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2.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comments3.xml" ContentType="application/vnd.openxmlformats-officedocument.spreadsheetml.comments+xml"/>
  <Override PartName="/xl/customProperty4.bin" ContentType="application/vnd.openxmlformats-officedocument.spreadsheetml.customProperty"/>
  <Override PartName="/xl/drawings/drawing4.xml" ContentType="application/vnd.openxmlformats-officedocument.drawing+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comments4.xml" ContentType="application/vnd.openxmlformats-officedocument.spreadsheetml.comments+xml"/>
  <Override PartName="/xl/customProperty7.bin" ContentType="application/vnd.openxmlformats-officedocument.spreadsheetml.customProperty"/>
  <Override PartName="/xl/drawings/drawing7.xml" ContentType="application/vnd.openxmlformats-officedocument.drawing+xml"/>
  <Override PartName="/xl/comments5.xml" ContentType="application/vnd.openxmlformats-officedocument.spreadsheetml.comments+xml"/>
  <Override PartName="/xl/customProperty8.bin" ContentType="application/vnd.openxmlformats-officedocument.spreadsheetml.customProperty"/>
  <Override PartName="/xl/drawings/drawing8.xml" ContentType="application/vnd.openxmlformats-officedocument.drawing+xml"/>
  <Override PartName="/xl/ctrlProps/ctrlProp2.xml" ContentType="application/vnd.ms-excel.controlproperties+xml"/>
  <Override PartName="/xl/comments6.xml" ContentType="application/vnd.openxmlformats-officedocument.spreadsheetml.comments+xml"/>
  <Override PartName="/xl/customProperty9.bin" ContentType="application/vnd.openxmlformats-officedocument.spreadsheetml.customProperty"/>
  <Override PartName="/xl/drawings/drawing9.xml" ContentType="application/vnd.openxmlformats-officedocument.drawing+xml"/>
  <Override PartName="/xl/ctrlProps/ctrlProp3.xml" ContentType="application/vnd.ms-excel.controlproperties+xml"/>
  <Override PartName="/xl/comments7.xml" ContentType="application/vnd.openxmlformats-officedocument.spreadsheetml.comments+xml"/>
  <Override PartName="/xl/customProperty10.bin" ContentType="application/vnd.openxmlformats-officedocument.spreadsheetml.customProperty"/>
  <Override PartName="/xl/drawings/drawing10.xml" ContentType="application/vnd.openxmlformats-officedocument.drawing+xml"/>
  <Override PartName="/xl/customProperty11.bin" ContentType="application/vnd.openxmlformats-officedocument.spreadsheetml.customProperty"/>
  <Override PartName="/xl/drawings/drawing11.xml" ContentType="application/vnd.openxmlformats-officedocument.drawing+xml"/>
  <Override PartName="/xl/comments8.xml" ContentType="application/vnd.openxmlformats-officedocument.spreadsheetml.comments+xml"/>
  <Override PartName="/xl/customProperty12.bin" ContentType="application/vnd.openxmlformats-officedocument.spreadsheetml.customProperty"/>
  <Override PartName="/xl/drawings/drawing12.xml" ContentType="application/vnd.openxmlformats-officedocument.drawing+xml"/>
  <Override PartName="/xl/customProperty13.bin" ContentType="application/vnd.openxmlformats-officedocument.spreadsheetml.customProperty"/>
  <Override PartName="/xl/drawings/drawing13.xml" ContentType="application/vnd.openxmlformats-officedocument.drawing+xml"/>
  <Override PartName="/xl/customProperty14.bin" ContentType="application/vnd.openxmlformats-officedocument.spreadsheetml.customProperty"/>
  <Override PartName="/xl/drawings/drawing14.xml" ContentType="application/vnd.openxmlformats-officedocument.drawing+xml"/>
  <Override PartName="/xl/customProperty15.bin" ContentType="application/vnd.openxmlformats-officedocument.spreadsheetml.customProperty"/>
  <Override PartName="/xl/drawings/drawing15.xml" ContentType="application/vnd.openxmlformats-officedocument.drawing+xml"/>
  <Override PartName="/xl/comments9.xml" ContentType="application/vnd.openxmlformats-officedocument.spreadsheetml.comments+xml"/>
  <Override PartName="/xl/customProperty16.bin" ContentType="application/vnd.openxmlformats-officedocument.spreadsheetml.customProperty"/>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7.xml" ContentType="application/vnd.openxmlformats-officedocument.drawingml.chartshapes+xml"/>
  <Override PartName="/xl/charts/chart3.xml" ContentType="application/vnd.openxmlformats-officedocument.drawingml.chart+xml"/>
  <Override PartName="/xl/customProperty17.bin" ContentType="application/vnd.openxmlformats-officedocument.spreadsheetml.customProperty"/>
  <Override PartName="/xl/drawings/drawing18.xml" ContentType="application/vnd.openxmlformats-officedocument.drawing+xml"/>
  <Override PartName="/xl/customProperty18.bin" ContentType="application/vnd.openxmlformats-officedocument.spreadsheetml.customProperty"/>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drawings/drawing20.xml" ContentType="application/vnd.openxmlformats-officedocument.drawingml.chartshapes+xml"/>
  <Override PartName="/xl/charts/chart6.xml" ContentType="application/vnd.openxmlformats-officedocument.drawingml.chart+xml"/>
  <Override PartName="/xl/customProperty19.bin" ContentType="application/vnd.openxmlformats-officedocument.spreadsheetml.customProperty"/>
  <Override PartName="/xl/drawings/drawing21.xml" ContentType="application/vnd.openxmlformats-officedocument.drawing+xml"/>
  <Override PartName="/xl/ctrlProps/ctrlProp8.xml" ContentType="application/vnd.ms-excel.controlproperties+xml"/>
  <Override PartName="/xl/charts/chart7.xml" ContentType="application/vnd.openxmlformats-officedocument.drawingml.chart+xml"/>
  <Override PartName="/xl/customProperty20.bin" ContentType="application/vnd.openxmlformats-officedocument.spreadsheetml.customProperty"/>
  <Override PartName="/xl/drawings/drawing22.xml" ContentType="application/vnd.openxmlformats-officedocument.drawing+xml"/>
  <Override PartName="/xl/customProperty21.bin" ContentType="application/vnd.openxmlformats-officedocument.spreadsheetml.customProperty"/>
  <Override PartName="/xl/drawings/drawing23.xml" ContentType="application/vnd.openxmlformats-officedocument.drawing+xml"/>
  <Override PartName="/xl/customProperty22.bin" ContentType="application/vnd.openxmlformats-officedocument.spreadsheetml.customProperty"/>
  <Override PartName="/xl/drawings/drawing24.xml" ContentType="application/vnd.openxmlformats-officedocument.drawing+xml"/>
  <Override PartName="/xl/customProperty23.bin" ContentType="application/vnd.openxmlformats-officedocument.spreadsheetml.customProperty"/>
  <Override PartName="/xl/drawings/drawing25.xml" ContentType="application/vnd.openxmlformats-officedocument.drawing+xml"/>
  <Override PartName="/xl/customProperty24.bin" ContentType="application/vnd.openxmlformats-officedocument.spreadsheetml.customProperty"/>
  <Override PartName="/xl/comments10.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customProperty25.bin" ContentType="application/vnd.openxmlformats-officedocument.spreadsheetml.customProperty"/>
  <Override PartName="/xl/drawings/drawing26.xml" ContentType="application/vnd.openxmlformats-officedocument.drawing+xml"/>
  <Override PartName="/xl/customProperty26.bin" ContentType="application/vnd.openxmlformats-officedocument.spreadsheetml.customProperty"/>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Clients\OFISA\"/>
    </mc:Choice>
  </mc:AlternateContent>
  <bookViews>
    <workbookView xWindow="-12" yWindow="5736" windowWidth="15372" windowHeight="2088"/>
  </bookViews>
  <sheets>
    <sheet name="Overview" sheetId="50" r:id="rId1"/>
    <sheet name="Master Data" sheetId="43" r:id="rId2"/>
    <sheet name="Opportunity Qualification" sheetId="45" r:id="rId3"/>
    <sheet name="Effort Estimation" sheetId="24" r:id="rId4"/>
    <sheet name="Effort Statistics" sheetId="48" r:id="rId5"/>
    <sheet name="Price Calculation" sheetId="27" r:id="rId6"/>
    <sheet name="Offer Qualification" sheetId="46" r:id="rId7"/>
    <sheet name="OpeningTemplate" sheetId="36" r:id="rId8"/>
    <sheet name="Actual Value" sheetId="5" r:id="rId9"/>
    <sheet name="Ressource Plan" sheetId="56" r:id="rId10"/>
    <sheet name="Milestones" sheetId="2" r:id="rId11"/>
    <sheet name="Risklog" sheetId="13" r:id="rId12"/>
    <sheet name="ChangeLog" sheetId="55" r:id="rId13"/>
    <sheet name="Descriptions" sheetId="11" r:id="rId14"/>
    <sheet name="Project Summary" sheetId="7" r:id="rId15"/>
    <sheet name="Project Charts" sheetId="18" r:id="rId16"/>
    <sheet name="Details" sheetId="41" r:id="rId17"/>
    <sheet name="Printable Overview" sheetId="42" r:id="rId18"/>
    <sheet name="Printable Customer Report" sheetId="49" r:id="rId19"/>
    <sheet name="OP-Summary" sheetId="37" r:id="rId20"/>
    <sheet name="Delivery Calculation" sheetId="40" r:id="rId21"/>
    <sheet name="Project Business Checklist" sheetId="58" r:id="rId22"/>
    <sheet name="RiskChecklist" sheetId="60" r:id="rId23"/>
    <sheet name="EVM" sheetId="53" r:id="rId24"/>
    <sheet name="Performance Risikobewertung" sheetId="47" state="hidden" r:id="rId25"/>
    <sheet name="Trimaran" sheetId="57" state="hidden" r:id="rId26"/>
    <sheet name="Technical Master Data" sheetId="20" r:id="rId27"/>
    <sheet name="D%$&amp;01_DevSheet" sheetId="59" state="hidden" r:id="rId28"/>
  </sheets>
  <externalReferences>
    <externalReference r:id="rId29"/>
  </externalReferences>
  <definedNames>
    <definedName name="AVapprovedCREffort">'Actual Value'!$E$10</definedName>
    <definedName name="AVForecastCompletion">'Actual Value'!$AR$364</definedName>
    <definedName name="AVForecastEffort">'Actual Value'!$AR$363</definedName>
    <definedName name="AVForecastExpClPersonal">'Actual Value'!$AR$355</definedName>
    <definedName name="AVForecastExpClTravel">'Actual Value'!$AR$354</definedName>
    <definedName name="AVForecastExpNClPersonal">'Actual Value'!$AR$359</definedName>
    <definedName name="AVForecastExpNClTravel">'Actual Value'!$AR$358</definedName>
    <definedName name="AVForecastPayments">'Actual Value'!$AR$365</definedName>
    <definedName name="AVLastReportedPeriod">'Actual Value'!$AV$15</definedName>
    <definedName name="AVLastReportedPeriodString">'Actual Value'!$AV$16</definedName>
    <definedName name="AVReportedCompletion">'Actual Value'!$AQ$364</definedName>
    <definedName name="AVReportedEffort">'Actual Value'!$AQ$363</definedName>
    <definedName name="AVReportedExpClPersonal">'Actual Value'!$AQ$355</definedName>
    <definedName name="AVReportedExpClTravel">'Actual Value'!$AQ$354</definedName>
    <definedName name="AVReportedExpNClPersonal">'Actual Value'!$AQ$359</definedName>
    <definedName name="AVReportedExpNClTravel">'Actual Value'!$AQ$358</definedName>
    <definedName name="AVReportedPayments">'Actual Value'!$AQ$365</definedName>
    <definedName name="AVReportedPlannedCompletion">'Actual Value'!$AS$364</definedName>
    <definedName name="AVReportedPlannedEffort">'Actual Value'!$AS$363</definedName>
    <definedName name="AVReportedPlannedExpClPersonal">'Actual Value'!$AS$355</definedName>
    <definedName name="AVReportedPlannedExpClTravel">'Actual Value'!$AS$354</definedName>
    <definedName name="AVReportedRevenueAll">'Actual Value'!$P$7</definedName>
    <definedName name="AVSAPEffort">'Actual Value'!$AU$363</definedName>
    <definedName name="CR">#REF!</definedName>
    <definedName name="CR_PD">#REF!</definedName>
    <definedName name="DCBudgetEffClPersonal">'Delivery Calculation'!$E$8</definedName>
    <definedName name="DCBudgetEffClTravel">'Delivery Calculation'!$E$7</definedName>
    <definedName name="DCBudgetEffProjectTotal">'Delivery Calculation'!$E$9</definedName>
    <definedName name="DCBudgetExpClPersonal">'Delivery Calculation'!$D$8</definedName>
    <definedName name="DCBudgetExpClTravel">'Delivery Calculation'!$D$7</definedName>
    <definedName name="DCBudgetExpNClPersonal">'Delivery Calculation'!$D$8</definedName>
    <definedName name="DCBudgetExpProjectTotal">'Delivery Calculation'!$D$9</definedName>
    <definedName name="desMilestoneStatus">Descriptions!$I$47</definedName>
    <definedName name="desNextSteps">Descriptions!$L$47</definedName>
    <definedName name="desOpenItems">Descriptions!$K$47</definedName>
    <definedName name="desQualityStatus">Descriptions!$C$47</definedName>
    <definedName name="desReachedGoals">Descriptions!$J$47</definedName>
    <definedName name="desRessourceStatus">Descriptions!$G$47</definedName>
    <definedName name="desTechnicalStatus">Descriptions!$E$47</definedName>
    <definedName name="ESActivityTypeDescription">'Effort Statistics'!$B$8:$C$17</definedName>
    <definedName name="ESActivityTypeExternalPrice">'Effort Statistics'!$F$8:$F$17</definedName>
    <definedName name="ESActivityTypeInternalCost">'Effort Statistics'!$E$8:$E$17</definedName>
    <definedName name="ESActivityTypeTotalHours">'Effort Statistics'!$G$8:$G$17</definedName>
    <definedName name="ESPSPEffort">'Effort Statistics'!$H$40:$H$69</definedName>
    <definedName name="ESPSPEnd">'Effort Statistics'!$E$40:$E$69</definedName>
    <definedName name="ESPSPExternalPrice">'Effort Statistics'!$L$40:$L$69</definedName>
    <definedName name="ESPSPInternalCost">'Effort Statistics'!$J$40:$J$69</definedName>
    <definedName name="ESPSPManualCorrected">'Effort Statistics'!$Q$40:$Q$69</definedName>
    <definedName name="ESPSPNo">'Effort Statistics'!$A$40:$A$69</definedName>
    <definedName name="ESPSPNotes">'Effort Statistics'!$P$40:$P$69</definedName>
    <definedName name="ESPSPPERTEffort">'Effort Statistics'!$G$40:$G$69</definedName>
    <definedName name="ESPSPStart">'Effort Statistics'!$D$40:$D$69</definedName>
    <definedName name="ESPSPTandM">'Effort Statistics'!$F$40:$F$69</definedName>
    <definedName name="ESPSPTitle">'Effort Statistics'!$B$40:$B$69</definedName>
    <definedName name="LandingPointActualValue">'Actual Value'!$D$15</definedName>
    <definedName name="LandingPointAPM">'Performance Risikobewertung'!$B$7</definedName>
    <definedName name="LandingPointChangeRequestChangeLog">ChangeLog!$F$7</definedName>
    <definedName name="LandingPointChangeRequestPDChangeLog">ChangeLog!$E$7</definedName>
    <definedName name="LandingPointCharts">'Project Charts'!$B$6</definedName>
    <definedName name="LandingPointCustomerReport">'Printable Customer Report'!$C$11</definedName>
    <definedName name="LandingPointDaysPriceCalculation">'Price Calculation'!$D$37</definedName>
    <definedName name="LandingPointDeliveryCalculation">'Delivery Calculation'!$D$9</definedName>
    <definedName name="LandingPointDescription">Descriptions!$U$6</definedName>
    <definedName name="LandingPointDetails">Details!#REF!</definedName>
    <definedName name="LandingPointEffortEstimation">'Effort Estimation'!$B$8</definedName>
    <definedName name="LandingPointEffortStatistics">'Effort Statistics'!#REF!</definedName>
    <definedName name="LandingPointLeadQualification">'Opportunity Qualification'!$D$62</definedName>
    <definedName name="LandingPointMilestones">Milestones!$G$7</definedName>
    <definedName name="LandingPointOfferQualification">'Offer Qualification'!$D$12</definedName>
    <definedName name="LandingPointOpeningTemplate">OpeningTemplate!$B$7</definedName>
    <definedName name="LandingPointOPSummary">'OP-Summary'!$A$6</definedName>
    <definedName name="LandingPointOverview">Overview!$C$5</definedName>
    <definedName name="LandingPointProjectDescription" localSheetId="18">'Printable Customer Report'!$A$9</definedName>
    <definedName name="LandingPointProjectDescription">'Printable Overview'!$A$8</definedName>
    <definedName name="LandingPointRisklog">Risklog!$B$7</definedName>
    <definedName name="LandingPointStartPage">'Master Data'!$D$6</definedName>
    <definedName name="LandingPointSummary">'Project Summary'!#REF!</definedName>
    <definedName name="MDAccountManager">'Master Data'!$L$15</definedName>
    <definedName name="MDActivityTypeDescription">'Master Data'!$B$25:$C$34</definedName>
    <definedName name="MDActivityTypeExternalPricePerDay">'Master Data'!$G$25:$G$34</definedName>
    <definedName name="MDActivityTypeExternalPricePerHour">'Master Data'!$F$25:$F$34</definedName>
    <definedName name="MDActivityTypeID">OFFSET('Master Data'!$A$25,0,0,COUNTA('Master Data'!$A$25:$A$42))</definedName>
    <definedName name="MDActivityTypeInternalCostPerDay">'Master Data'!$E$25:$E$34</definedName>
    <definedName name="MDActivityTypeInternalCostPerHour">'Master Data'!$D$25:$D$34</definedName>
    <definedName name="MDActivityTypes">'Master Data'!$A$25:$G$34</definedName>
    <definedName name="MDBidManager">'Master Data'!$D$17</definedName>
    <definedName name="MDContractCurrency">'Master Data'!$L$8</definedName>
    <definedName name="MDContractExchangeRate">'Master Data'!$L$9</definedName>
    <definedName name="MDContractType">'Master Data'!$D$8</definedName>
    <definedName name="MDContractVolume">'Master Data'!$L$11</definedName>
    <definedName name="MDCustomer">'Master Data'!$D$6</definedName>
    <definedName name="MDCustomerContact">'Master Data'!$L$6</definedName>
    <definedName name="MDCustomerProjectNo">'Master Data'!$D$12</definedName>
    <definedName name="MDLeadOwner">'Master Data'!$D$16</definedName>
    <definedName name="MDOpportunityID">'Master Data'!$D$10</definedName>
    <definedName name="MDProjectBusinessManager">'Master Data'!$D$14</definedName>
    <definedName name="MDProjectClass">'Master Data'!$D$11</definedName>
    <definedName name="MDProjectDescription" localSheetId="26">'Technical Master Data'!$B$5</definedName>
    <definedName name="MDProjectDescription">'Master Data'!$L$7</definedName>
    <definedName name="MDProjectEnd">'Master Data'!$L$19</definedName>
    <definedName name="MDProjectManager">'Master Data'!$L$14</definedName>
    <definedName name="MDProjectOwner">'Master Data'!$D$15</definedName>
    <definedName name="MDProjectStart">'Master Data'!$D$19</definedName>
    <definedName name="MDProjectTerm">'Master Data'!$C$48</definedName>
    <definedName name="MDProjectType">'Master Data'!$D$20</definedName>
    <definedName name="MDProjektname" localSheetId="26">'Technical Master Data'!$B$4</definedName>
    <definedName name="MDProjektname">'Master Data'!$D$7</definedName>
    <definedName name="MDReportingDates">'Master Data'!$C$46:$AO$46</definedName>
    <definedName name="MDReportingPeriod">'Master Data'!$L$20</definedName>
    <definedName name="MDReportPeriod">'Actual Value'!$A$5</definedName>
    <definedName name="MDSAPNumber">'Master Data'!$D$9</definedName>
    <definedName name="MDSolutionManager">'Master Data'!$L$16</definedName>
    <definedName name="MDStaffMember">OFFSET('Master Data'!$L$24,0,0,COUNTA('Master Data'!$L$24:$L$42))</definedName>
    <definedName name="MDStaffMemberName">OFFSET('Master Data'!$M$24,0,0,COUNTA('Master Data'!$M$24:$M$42))</definedName>
    <definedName name="MDWorkhours">'Master Data'!$L$10</definedName>
    <definedName name="MILastMilestoneExpected">Milestones!$AS$19</definedName>
    <definedName name="OpeningTemplateComplete">OpeningTemplate!$A$5:$K$341</definedName>
    <definedName name="OVBudgetAtCompletion">Overview!$B$49</definedName>
    <definedName name="OVCostVariance">Overview!$B$54</definedName>
    <definedName name="OVDelayAtCompletion">Overview!$B$51</definedName>
    <definedName name="OVEarnedValue">Overview!$B$47</definedName>
    <definedName name="OVEstimateAtCompletion">Overview!$B$48</definedName>
    <definedName name="OVPlannedValue">Overview!$B$50</definedName>
    <definedName name="OVRiskRatio">Overview!$B$53</definedName>
    <definedName name="OVScheduleVariance">Overview!$B$56</definedName>
    <definedName name="OVVarianceAtCompletion">Overview!$B$55</definedName>
    <definedName name="PCAdd1">'Price Calculation'!$M$12</definedName>
    <definedName name="PCAdd1Title">'Price Calculation'!$K$12</definedName>
    <definedName name="PCAdd2">'Price Calculation'!$M$13</definedName>
    <definedName name="PCAdd2Title">'Price Calculation'!$K$13</definedName>
    <definedName name="PCAdditionalMargin">'Price Calculation'!$M$19</definedName>
    <definedName name="PCComponentPrice">'Price Calculation'!$M$9</definedName>
    <definedName name="PCCostActivityType">'Price Calculation'!$F$37</definedName>
    <definedName name="PCCostComponents">'Price Calculation'!$F$49</definedName>
    <definedName name="PCCostOfSales">'Price Calculation'!$M$7</definedName>
    <definedName name="PCCoverage" localSheetId="18">'Price Calculation'!#REF!</definedName>
    <definedName name="PCCoverage">'Price Calculation'!#REF!</definedName>
    <definedName name="PCPriceOffered">'Price Calculation'!$M$21</definedName>
    <definedName name="PCRiskCharge">'Price Calculation'!$M$10</definedName>
    <definedName name="PCvmOS">'Technical Master Data'!$P$36:$P$37</definedName>
    <definedName name="PCWarranty">'Price Calculation'!$M$11</definedName>
    <definedName name="_xlnm.Print_Area" localSheetId="8">'Actual Value'!$A$1:$AO$350</definedName>
    <definedName name="_xlnm.Print_Area" localSheetId="12">ChangeLog!$A$1:$J$97</definedName>
    <definedName name="_xlnm.Print_Area" localSheetId="20">'Delivery Calculation'!$A$1:$BA$272</definedName>
    <definedName name="_xlnm.Print_Area" localSheetId="13">Descriptions!$A$1:$AF$43</definedName>
    <definedName name="_xlnm.Print_Area" localSheetId="16">Details!$A$1:$P$43</definedName>
    <definedName name="_xlnm.Print_Area" localSheetId="3">'Effort Estimation'!$A$1:$T$637</definedName>
    <definedName name="_xlnm.Print_Area" localSheetId="4">'Effort Statistics'!$A$1:$O$70</definedName>
    <definedName name="_xlnm.Print_Area" localSheetId="23">EVM!$A$1:$P$48</definedName>
    <definedName name="_xlnm.Print_Area" localSheetId="1">'Master Data'!$A$1:$S$48</definedName>
    <definedName name="_xlnm.Print_Area" localSheetId="10">Milestones!$A$1:$AS$31</definedName>
    <definedName name="_xlnm.Print_Area" localSheetId="6">'Offer Qualification'!$A$1:$H$30</definedName>
    <definedName name="_xlnm.Print_Area" localSheetId="7">OpeningTemplate!$A$1:$K$341</definedName>
    <definedName name="_xlnm.Print_Area" localSheetId="2">'Opportunity Qualification'!$A$1:$H$68</definedName>
    <definedName name="_xlnm.Print_Area" localSheetId="19">'OP-Summary'!$A$1:$M$35</definedName>
    <definedName name="_xlnm.Print_Area" localSheetId="0">Overview!$A$1:$N$38</definedName>
    <definedName name="_xlnm.Print_Area" localSheetId="5">'Price Calculation'!$A$1:$N$57</definedName>
    <definedName name="_xlnm.Print_Area" localSheetId="18">'Printable Customer Report'!$A$6:$H$153</definedName>
    <definedName name="_xlnm.Print_Area" localSheetId="17">'Printable Overview'!$A$5:$H$267</definedName>
    <definedName name="_xlnm.Print_Area" localSheetId="21">'Project Business Checklist'!$A$1:$R$33</definedName>
    <definedName name="_xlnm.Print_Area" localSheetId="15">'Project Charts'!$A$1:$O$64</definedName>
    <definedName name="_xlnm.Print_Area" localSheetId="14">'Project Summary'!$A$1:$P$50</definedName>
    <definedName name="_xlnm.Print_Area" localSheetId="9">'Ressource Plan'!$A$1:$CC$47</definedName>
    <definedName name="_xlnm.Print_Area" localSheetId="11">Risklog!$A$1:$Z$46</definedName>
    <definedName name="_xlnm.Print_Titles" localSheetId="8">'Actual Value'!$A:$C,'Actual Value'!$14:$14</definedName>
    <definedName name="_xlnm.Print_Titles" localSheetId="12">ChangeLog!$5:$8</definedName>
    <definedName name="_xlnm.Print_Titles" localSheetId="3">'Effort Estimation'!$6:$7</definedName>
    <definedName name="_xlnm.Print_Titles" localSheetId="10">Milestones!$A:$F</definedName>
    <definedName name="_xlnm.Print_Titles" localSheetId="7">OpeningTemplate!$41:$41</definedName>
    <definedName name="_xlnm.Print_Titles" localSheetId="18">'Printable Customer Report'!$6:$7</definedName>
    <definedName name="_xlnm.Print_Titles" localSheetId="17">'Printable Overview'!#REF!</definedName>
    <definedName name="_xlnm.Print_Titles" localSheetId="21">'Project Business Checklist'!$5:$5</definedName>
    <definedName name="_xlnm.Print_Titles" localSheetId="9">'Ressource Plan'!$A:$C</definedName>
    <definedName name="_xlnm.Print_Titles" localSheetId="11">Risklog!$6:$6</definedName>
    <definedName name="RatingBidSize">'Technical Master Data'!$L$34:$L$36</definedName>
    <definedName name="RatingBudgetAFRed">'Technical Master Data'!$H$27</definedName>
    <definedName name="RatingBudgetAFYellow">'Technical Master Data'!$H$26</definedName>
    <definedName name="RatingCOSCHF">'Technical Master Data'!$M$34:$M$36</definedName>
    <definedName name="RatingCOSEUR">'Technical Master Data'!$N$34:$N$36</definedName>
    <definedName name="RatingFinancialRiskRed" localSheetId="18">'Technical Master Data'!#REF!</definedName>
    <definedName name="RatingFinancialRiskRed">'Technical Master Data'!#REF!</definedName>
    <definedName name="RatingFinancialRiskYellow" localSheetId="18">'Technical Master Data'!#REF!</definedName>
    <definedName name="RatingFinancialRiskYellow">'Technical Master Data'!#REF!</definedName>
    <definedName name="RatingPlannedActualRed">'Technical Master Data'!$N$27</definedName>
    <definedName name="RatingPlannedActualYellow">'Technical Master Data'!$N$26</definedName>
    <definedName name="RatingPlannedAFRed">'Technical Master Data'!$K$27</definedName>
    <definedName name="RatingPlannedAFYellow">'Technical Master Data'!$K$26</definedName>
    <definedName name="RatingTimeRed">'Technical Master Data'!$H$35</definedName>
    <definedName name="RatingTimeYellow">'Technical Master Data'!$H$34</definedName>
    <definedName name="ressourcePlanFTE">'Ressource Plan'!$I$28</definedName>
    <definedName name="risk1amount">Risklog!$K$52</definedName>
    <definedName name="risk1description">Risklog!$H$52</definedName>
    <definedName name="risk1id">Risklog!$E$52</definedName>
    <definedName name="risk1severity">Risklog!$N$52</definedName>
    <definedName name="risk1title">Risklog!$F$52</definedName>
    <definedName name="risk1titleCust">Risklog!$F$62</definedName>
    <definedName name="risk1wholeheader">'Printable Overview'!$Q$157</definedName>
    <definedName name="risk2amount">Risklog!$K$53</definedName>
    <definedName name="risk2description">Risklog!$H$53</definedName>
    <definedName name="risk2id">Risklog!$E$53</definedName>
    <definedName name="risk2severity">Risklog!$N$53</definedName>
    <definedName name="risk2title">Risklog!$F$53</definedName>
    <definedName name="risk2titleCust">Risklog!$F$63</definedName>
    <definedName name="risk2wholeheader">'Printable Overview'!$Q$166</definedName>
    <definedName name="risk3amount">Risklog!$K$54</definedName>
    <definedName name="risk3description">Risklog!$H$54</definedName>
    <definedName name="risk3id">Risklog!$E$54</definedName>
    <definedName name="risk3severity">Risklog!$N$54</definedName>
    <definedName name="risk3title">Risklog!$F$54</definedName>
    <definedName name="risk3titleCust">Risklog!$F$64</definedName>
    <definedName name="risk3wholeheader">'Printable Overview'!$Q$175</definedName>
    <definedName name="risk4amount">Risklog!$K$55</definedName>
    <definedName name="risk4description">Risklog!$H$55</definedName>
    <definedName name="risk4id">Risklog!$E$55</definedName>
    <definedName name="risk4severity">Risklog!$N$55</definedName>
    <definedName name="risk4title">Risklog!$F$55</definedName>
    <definedName name="risk4titleCust">Risklog!$F$65</definedName>
    <definedName name="risk4wholeheader">'Printable Overview'!$Q$193</definedName>
    <definedName name="risk5amount">Risklog!$K$56</definedName>
    <definedName name="risk5description">Risklog!$H$56</definedName>
    <definedName name="risk5id">Risklog!$E$56</definedName>
    <definedName name="risk5severity">Risklog!$N$56</definedName>
    <definedName name="risk5title">Risklog!$F$56</definedName>
    <definedName name="risk5titleCust">Risklog!$F$66</definedName>
    <definedName name="risk5wholeheader">'Printable Overview'!$Q$202</definedName>
    <definedName name="RLLossAmountMax">Risklog!$Q$5</definedName>
    <definedName name="RLLossAmountWeighted">Risklog!$R$5</definedName>
    <definedName name="RPWorkdays">'Ressource Plan'!$C$31</definedName>
    <definedName name="RRGray">'Technical Master Data'!$P$19</definedName>
    <definedName name="RRImpact">'Technical Master Data'!$L$12:$P$12</definedName>
    <definedName name="RRImpactRow">'Technical Master Data'!$L$12:$P$13</definedName>
    <definedName name="RRMatrix">'Technical Master Data'!$L$6:$P$10</definedName>
    <definedName name="RRProbability">'Technical Master Data'!$I$6:$I$10</definedName>
    <definedName name="RRProbabilityColumn">'Technical Master Data'!$I$6:$J$10</definedName>
    <definedName name="RRRed">'Technical Master Data'!$P$16</definedName>
    <definedName name="RRYellowHigh">'Technical Master Data'!$P$18</definedName>
    <definedName name="RRYellowLow" localSheetId="23" hidden="1">'[1]Technical Master Data'!$N$18</definedName>
    <definedName name="RRYellowLow">'Technical Master Data'!$N$18</definedName>
    <definedName name="Slicer_Order">#N/A</definedName>
    <definedName name="TMDAllocationFix">'Technical Master Data'!$C$24</definedName>
    <definedName name="TMDAllocationTandM">'Technical Master Data'!$C$23</definedName>
    <definedName name="TMDAllocationType">'Technical Master Data'!$C$22:$C$25</definedName>
    <definedName name="TMDAllocationUnclearable">'Technical Master Data'!$C$25</definedName>
    <definedName name="TMDChangeStatus">'Technical Master Data'!$A$50:$A$54</definedName>
    <definedName name="TMDContractType">'Technical Master Data'!$A$8:$A$10</definedName>
    <definedName name="TMDCRApproval">'Technical Master Data'!$C$64:$C$67</definedName>
    <definedName name="TMDCRApproved">'Technical Master Data'!$C$65</definedName>
    <definedName name="TMDCRStatus">'Technical Master Data'!$C$59:$C$61</definedName>
    <definedName name="TMDCRType">'Technical Master Data'!$C$50:$C$55</definedName>
    <definedName name="TMDCurrency">'Technical Master Data'!$C$16:$C$19</definedName>
    <definedName name="TMDCurrencyCHF">'Technical Master Data'!$C$16</definedName>
    <definedName name="TMDCurrencyEUR">'Technical Master Data'!$C$17</definedName>
    <definedName name="TMDCurrencyUSD">'Technical Master Data'!$C$18</definedName>
    <definedName name="TMDDecisionStatus">'Technical Master Data'!$C$43:$C$45</definedName>
    <definedName name="TMDDrittleistung">'Technical Master Data'!$E$79:$E$80</definedName>
    <definedName name="TMDFaktura">'Technical Master Data'!$E$83:$E$84</definedName>
    <definedName name="TMDInvoiceStatus">'Technical Master Data'!$E$73:$E$76</definedName>
    <definedName name="TMDInvoiceStatusInvoiced">'Technical Master Data'!$E$76</definedName>
    <definedName name="TMDLanguage">'Technical Master Data'!$A$35:$A$37</definedName>
    <definedName name="TMDLocArea" comment="Short term for location and work area">'Technical Master Data'!$E$25:$E$70</definedName>
    <definedName name="TMDMailSubject">'Technical Master Data'!#REF!</definedName>
    <definedName name="TMDMailText">'Technical Master Data'!#REF!</definedName>
    <definedName name="TMDMailTo">'Technical Master Data'!#REF!</definedName>
    <definedName name="TMDMonthly">'Technical Master Data'!$C$37</definedName>
    <definedName name="TMDNo">'Technical Master Data'!$C$5</definedName>
    <definedName name="TMDOrderType">'Technical Master Data'!$A$13:$A$18</definedName>
    <definedName name="TMDPeriodValueType">'Technical Master Data'!$A$4:$A$5</definedName>
    <definedName name="TMDPeriodValueTypeForecast">'Technical Master Data'!$A$4</definedName>
    <definedName name="TMDPeriodValueTypeReported">'Technical Master Data'!$A$5</definedName>
    <definedName name="TMDPhaseChangeTimeAndMaterial">'Master Data'!$S$31</definedName>
    <definedName name="TMDPhaseTimeAndMaterial">'Master Data'!$S$32</definedName>
    <definedName name="TMDPortfolioElement">'Technical Master Data'!$A$70:$A$175</definedName>
    <definedName name="TMDProjectClass">'Technical Master Data'!$A$58:$A$63</definedName>
    <definedName name="TMDProjectPhase">OFFSET('Master Data'!$S$23,0,0,COUNTA('Master Data'!$S$23:$S$42))</definedName>
    <definedName name="TMDReportPeriod">'Technical Master Data'!$C$37:$C$39</definedName>
    <definedName name="TMDRiskShow">'Technical Master Data'!$E$87:$E$89</definedName>
    <definedName name="TMDRiskStatus">'Technical Master Data'!$A$43:$A$46</definedName>
    <definedName name="TMDRiskStatusActionInWork">'Technical Master Data'!$A$44</definedName>
    <definedName name="TMDRiskStatusNotHandled">'Technical Master Data'!$A$43</definedName>
    <definedName name="TMDRiskStatusReduced">'Technical Master Data'!$A$45</definedName>
    <definedName name="TMDRiskStatusSolved">'Technical Master Data'!$A$46</definedName>
    <definedName name="TMDRisktype">OFFSET('Master Data'!$Q$23,0,0,COUNTA('Master Data'!$Q$23:$Q$42))</definedName>
    <definedName name="TMDSAPReportLayout">'Technical Master Data'!$E$4:$E$22</definedName>
    <definedName name="TMDSolutionArea">'Technical Master Data'!$A$21:$A$32</definedName>
    <definedName name="TMDStaff">'Technical Master Data'!#REF!</definedName>
    <definedName name="TMDTechnology">'Technical Master Data'!$C$30:$C$34</definedName>
    <definedName name="TMDTrafficLight">'Technical Master Data'!$C$9:$C$11</definedName>
    <definedName name="TMDTwoweekly">'Technical Master Data'!$C$38</definedName>
    <definedName name="TMDVersion">'Technical Master Data'!$G$40</definedName>
    <definedName name="TMDVMCPU">'Technical Master Data'!$S$33</definedName>
    <definedName name="TMDVMDisk">'Technical Master Data'!$S$35</definedName>
    <definedName name="TMDVMInit">'Technical Master Data'!$S$32</definedName>
    <definedName name="TMDVMLinux">'Technical Master Data'!$S$37</definedName>
    <definedName name="TMDVMMemory">'Technical Master Data'!$S$34</definedName>
    <definedName name="TMDVMWin">'Technical Master Data'!$S$36</definedName>
    <definedName name="TMDWeekly">'Technical Master Data'!$C$39</definedName>
    <definedName name="TMDYes">'Technical Master Data'!$C$4</definedName>
    <definedName name="TMDYesNo">'Technical Master Data'!$C$4:$C$5</definedName>
    <definedName name="TRIMARANmonthly">Trimaran!$G$9</definedName>
    <definedName name="TRIMARANweekly">Trimaran!$M$9</definedName>
  </definedNames>
  <calcPr calcId="152511" concurrentCalc="0"/>
  <pivotCaches>
    <pivotCache cacheId="0" r:id="rId30"/>
    <pivotCache cacheId="1" r:id="rId31"/>
    <pivotCache cacheId="2" r:id="rId32"/>
  </pivotCaches>
  <extLst>
    <ext xmlns:x14="http://schemas.microsoft.com/office/spreadsheetml/2009/9/main" uri="{876F7934-8845-4945-9796-88D515C7AA90}">
      <x14:pivotCaches>
        <pivotCache cacheId="3" r:id="rId33"/>
      </x14:pivotCaches>
    </ex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47" i="11" l="1"/>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8" i="13"/>
  <c r="Z39" i="13"/>
  <c r="Z40" i="13"/>
  <c r="Z41" i="13"/>
  <c r="Z42" i="13"/>
  <c r="Z43" i="13"/>
  <c r="Z44" i="13"/>
  <c r="Z45" i="13"/>
  <c r="Z46" i="13"/>
  <c r="Z7" i="13"/>
  <c r="C25" i="56"/>
  <c r="C13" i="56"/>
  <c r="C14" i="56"/>
  <c r="C15" i="56"/>
  <c r="C16" i="56"/>
  <c r="C17" i="56"/>
  <c r="C18" i="56"/>
  <c r="C19" i="56"/>
  <c r="C20" i="56"/>
  <c r="C21" i="56"/>
  <c r="C22" i="56"/>
  <c r="C23" i="56"/>
  <c r="C24" i="56"/>
  <c r="A24" i="56"/>
  <c r="A25" i="56"/>
  <c r="B9" i="56"/>
  <c r="B10" i="56"/>
  <c r="B11" i="56"/>
  <c r="B12" i="56"/>
  <c r="B13" i="56"/>
  <c r="B14" i="56"/>
  <c r="B15" i="56"/>
  <c r="B16" i="56"/>
  <c r="B17" i="56"/>
  <c r="B18" i="56"/>
  <c r="B19" i="56"/>
  <c r="B20" i="56"/>
  <c r="B21" i="56"/>
  <c r="B22" i="56"/>
  <c r="B23" i="56"/>
  <c r="B24" i="56"/>
  <c r="B25" i="56"/>
  <c r="B8" i="56"/>
  <c r="CC26" i="56"/>
  <c r="CA26" i="56"/>
  <c r="BY26" i="56"/>
  <c r="BW26" i="56"/>
  <c r="BU26" i="56"/>
  <c r="BS26" i="56"/>
  <c r="BQ26" i="56"/>
  <c r="BO26" i="56"/>
  <c r="BM26" i="56"/>
  <c r="BK26" i="56"/>
  <c r="BI26" i="56"/>
  <c r="BG26" i="56"/>
  <c r="BE26" i="56"/>
  <c r="BC26" i="56"/>
  <c r="BA26" i="56"/>
  <c r="AY26" i="56"/>
  <c r="AW26" i="56"/>
  <c r="AU26" i="56"/>
  <c r="AS26" i="56"/>
  <c r="AQ26" i="56"/>
  <c r="AO26" i="56"/>
  <c r="AM26" i="56"/>
  <c r="AK26" i="56"/>
  <c r="AI26" i="56"/>
  <c r="AG26" i="56"/>
  <c r="AE26" i="56"/>
  <c r="AC26" i="56"/>
  <c r="AA26" i="56"/>
  <c r="Y26" i="56"/>
  <c r="W26" i="56"/>
  <c r="U26" i="56"/>
  <c r="S26" i="56"/>
  <c r="Q26" i="56"/>
  <c r="O26" i="56"/>
  <c r="M26" i="56"/>
  <c r="K26" i="56"/>
  <c r="I26" i="56"/>
  <c r="G26" i="56"/>
  <c r="J27" i="56"/>
  <c r="L30" i="56"/>
  <c r="L31" i="56"/>
  <c r="L32" i="56"/>
  <c r="L33" i="56"/>
  <c r="L34" i="56"/>
  <c r="L35" i="56"/>
  <c r="L36" i="56"/>
  <c r="L37" i="56"/>
  <c r="L38" i="56"/>
  <c r="L39" i="56"/>
  <c r="L40" i="56"/>
  <c r="L41" i="56"/>
  <c r="L42" i="56"/>
  <c r="L43" i="56"/>
  <c r="L44" i="56"/>
  <c r="L45" i="56"/>
  <c r="L46" i="56"/>
  <c r="L29" i="56"/>
  <c r="CB25" i="56"/>
  <c r="CB24" i="56"/>
  <c r="CB23" i="56"/>
  <c r="CB22" i="56"/>
  <c r="CB21" i="56"/>
  <c r="CB20" i="56"/>
  <c r="CB19" i="56"/>
  <c r="CB18" i="56"/>
  <c r="CB17" i="56"/>
  <c r="CB16" i="56"/>
  <c r="CB15" i="56"/>
  <c r="CB14" i="56"/>
  <c r="CB13" i="56"/>
  <c r="CB12" i="56"/>
  <c r="CB11" i="56"/>
  <c r="CB10" i="56"/>
  <c r="CB9" i="56"/>
  <c r="CB8" i="56"/>
  <c r="BZ25" i="56"/>
  <c r="BZ24" i="56"/>
  <c r="BZ23" i="56"/>
  <c r="BZ22" i="56"/>
  <c r="BZ21" i="56"/>
  <c r="BZ20" i="56"/>
  <c r="BZ19" i="56"/>
  <c r="BZ18" i="56"/>
  <c r="BZ17" i="56"/>
  <c r="BZ16" i="56"/>
  <c r="BZ15" i="56"/>
  <c r="BZ14" i="56"/>
  <c r="BZ13" i="56"/>
  <c r="BZ12" i="56"/>
  <c r="BZ11" i="56"/>
  <c r="BZ10" i="56"/>
  <c r="BZ9" i="56"/>
  <c r="BZ8" i="56"/>
  <c r="BX25" i="56"/>
  <c r="BX24" i="56"/>
  <c r="BX23" i="56"/>
  <c r="BX22" i="56"/>
  <c r="BX21" i="56"/>
  <c r="BX20" i="56"/>
  <c r="BX19" i="56"/>
  <c r="BX18" i="56"/>
  <c r="BX17" i="56"/>
  <c r="BX16" i="56"/>
  <c r="BX15" i="56"/>
  <c r="BX14" i="56"/>
  <c r="BX13" i="56"/>
  <c r="BX12" i="56"/>
  <c r="BX11" i="56"/>
  <c r="BX10" i="56"/>
  <c r="BX9" i="56"/>
  <c r="BX8" i="56"/>
  <c r="BV25" i="56"/>
  <c r="BV24" i="56"/>
  <c r="BV23" i="56"/>
  <c r="BV22" i="56"/>
  <c r="BV21" i="56"/>
  <c r="BV20" i="56"/>
  <c r="BV19" i="56"/>
  <c r="BV18" i="56"/>
  <c r="BV17" i="56"/>
  <c r="BV16" i="56"/>
  <c r="BV15" i="56"/>
  <c r="BV14" i="56"/>
  <c r="BV13" i="56"/>
  <c r="BV12" i="56"/>
  <c r="BV11" i="56"/>
  <c r="BV10" i="56"/>
  <c r="BV9" i="56"/>
  <c r="BV8" i="56"/>
  <c r="BT25" i="56"/>
  <c r="BT24" i="56"/>
  <c r="BT23" i="56"/>
  <c r="BT22" i="56"/>
  <c r="BT21" i="56"/>
  <c r="BT20" i="56"/>
  <c r="BT19" i="56"/>
  <c r="BT18" i="56"/>
  <c r="BT17" i="56"/>
  <c r="BT16" i="56"/>
  <c r="BT15" i="56"/>
  <c r="BT14" i="56"/>
  <c r="BT13" i="56"/>
  <c r="BT12" i="56"/>
  <c r="BT11" i="56"/>
  <c r="BT10" i="56"/>
  <c r="BT9" i="56"/>
  <c r="BT8" i="56"/>
  <c r="BR25" i="56"/>
  <c r="BR24" i="56"/>
  <c r="BR23" i="56"/>
  <c r="BR22" i="56"/>
  <c r="BR21" i="56"/>
  <c r="BR20" i="56"/>
  <c r="BR19" i="56"/>
  <c r="BR18" i="56"/>
  <c r="BR17" i="56"/>
  <c r="BR16" i="56"/>
  <c r="BR15" i="56"/>
  <c r="BR14" i="56"/>
  <c r="BR13" i="56"/>
  <c r="BR12" i="56"/>
  <c r="BR11" i="56"/>
  <c r="BR10" i="56"/>
  <c r="BR9" i="56"/>
  <c r="BR8" i="56"/>
  <c r="BP25" i="56"/>
  <c r="BP24" i="56"/>
  <c r="BP23" i="56"/>
  <c r="BP22" i="56"/>
  <c r="BP21" i="56"/>
  <c r="BP20" i="56"/>
  <c r="BP19" i="56"/>
  <c r="BP18" i="56"/>
  <c r="BP17" i="56"/>
  <c r="BP16" i="56"/>
  <c r="BP15" i="56"/>
  <c r="BP14" i="56"/>
  <c r="BP13" i="56"/>
  <c r="BP12" i="56"/>
  <c r="BP11" i="56"/>
  <c r="BP10" i="56"/>
  <c r="BP9" i="56"/>
  <c r="BP8" i="56"/>
  <c r="BN25" i="56"/>
  <c r="BN24" i="56"/>
  <c r="BN23" i="56"/>
  <c r="BN22" i="56"/>
  <c r="BN21" i="56"/>
  <c r="BN20" i="56"/>
  <c r="BN19" i="56"/>
  <c r="BN18" i="56"/>
  <c r="BN17" i="56"/>
  <c r="BN16" i="56"/>
  <c r="BN15" i="56"/>
  <c r="BN14" i="56"/>
  <c r="BN13" i="56"/>
  <c r="BN12" i="56"/>
  <c r="BN11" i="56"/>
  <c r="BN10" i="56"/>
  <c r="BN9" i="56"/>
  <c r="BN8" i="56"/>
  <c r="BL25" i="56"/>
  <c r="BL24" i="56"/>
  <c r="BL23" i="56"/>
  <c r="BL22" i="56"/>
  <c r="BL21" i="56"/>
  <c r="BL20" i="56"/>
  <c r="BL19" i="56"/>
  <c r="BL18" i="56"/>
  <c r="BL17" i="56"/>
  <c r="BL16" i="56"/>
  <c r="BL15" i="56"/>
  <c r="BL14" i="56"/>
  <c r="BL13" i="56"/>
  <c r="BL12" i="56"/>
  <c r="BL11" i="56"/>
  <c r="BL10" i="56"/>
  <c r="BL9" i="56"/>
  <c r="BL8" i="56"/>
  <c r="BJ25" i="56"/>
  <c r="BJ24" i="56"/>
  <c r="BJ23" i="56"/>
  <c r="BJ22" i="56"/>
  <c r="BJ21" i="56"/>
  <c r="BJ20" i="56"/>
  <c r="BJ19" i="56"/>
  <c r="BJ18" i="56"/>
  <c r="BJ17" i="56"/>
  <c r="BJ16" i="56"/>
  <c r="BJ15" i="56"/>
  <c r="BJ14" i="56"/>
  <c r="BJ13" i="56"/>
  <c r="BJ12" i="56"/>
  <c r="BJ11" i="56"/>
  <c r="BJ10" i="56"/>
  <c r="BJ9" i="56"/>
  <c r="BJ8" i="56"/>
  <c r="BH25" i="56"/>
  <c r="BH24" i="56"/>
  <c r="BH23" i="56"/>
  <c r="BH22" i="56"/>
  <c r="BH21" i="56"/>
  <c r="BH20" i="56"/>
  <c r="BH19" i="56"/>
  <c r="BH18" i="56"/>
  <c r="BH17" i="56"/>
  <c r="BH16" i="56"/>
  <c r="BH15" i="56"/>
  <c r="BH14" i="56"/>
  <c r="BH13" i="56"/>
  <c r="BH12" i="56"/>
  <c r="BH11" i="56"/>
  <c r="BH10" i="56"/>
  <c r="BH9" i="56"/>
  <c r="BH8" i="56"/>
  <c r="BF25" i="56"/>
  <c r="BF24" i="56"/>
  <c r="BF23" i="56"/>
  <c r="BF22" i="56"/>
  <c r="BF21" i="56"/>
  <c r="BF20" i="56"/>
  <c r="BF19" i="56"/>
  <c r="BF18" i="56"/>
  <c r="BF17" i="56"/>
  <c r="BF16" i="56"/>
  <c r="BF15" i="56"/>
  <c r="BF14" i="56"/>
  <c r="BF13" i="56"/>
  <c r="BF12" i="56"/>
  <c r="BF11" i="56"/>
  <c r="BF10" i="56"/>
  <c r="BF9" i="56"/>
  <c r="BF8" i="56"/>
  <c r="BD25" i="56"/>
  <c r="BD24" i="56"/>
  <c r="BD23" i="56"/>
  <c r="BD22" i="56"/>
  <c r="BD21" i="56"/>
  <c r="BD20" i="56"/>
  <c r="BD19" i="56"/>
  <c r="BD18" i="56"/>
  <c r="BD17" i="56"/>
  <c r="BD16" i="56"/>
  <c r="BD15" i="56"/>
  <c r="BD14" i="56"/>
  <c r="BD13" i="56"/>
  <c r="BD12" i="56"/>
  <c r="BD11" i="56"/>
  <c r="BD10" i="56"/>
  <c r="BD9" i="56"/>
  <c r="BD8" i="56"/>
  <c r="BB25" i="56"/>
  <c r="BB24" i="56"/>
  <c r="BB23" i="56"/>
  <c r="BB22" i="56"/>
  <c r="BB21" i="56"/>
  <c r="BB20" i="56"/>
  <c r="BB19" i="56"/>
  <c r="BB18" i="56"/>
  <c r="BB17" i="56"/>
  <c r="BB16" i="56"/>
  <c r="BB15" i="56"/>
  <c r="BB14" i="56"/>
  <c r="BB13" i="56"/>
  <c r="BB12" i="56"/>
  <c r="BB11" i="56"/>
  <c r="BB10" i="56"/>
  <c r="BB9" i="56"/>
  <c r="BB8" i="56"/>
  <c r="AZ25" i="56"/>
  <c r="AZ24" i="56"/>
  <c r="AZ23" i="56"/>
  <c r="AZ22" i="56"/>
  <c r="AZ21" i="56"/>
  <c r="AZ20" i="56"/>
  <c r="AZ19" i="56"/>
  <c r="AZ18" i="56"/>
  <c r="AZ17" i="56"/>
  <c r="AZ16" i="56"/>
  <c r="AZ15" i="56"/>
  <c r="AZ14" i="56"/>
  <c r="AZ13" i="56"/>
  <c r="AZ12" i="56"/>
  <c r="AZ11" i="56"/>
  <c r="AZ10" i="56"/>
  <c r="AZ9" i="56"/>
  <c r="AZ8" i="56"/>
  <c r="AX25" i="56"/>
  <c r="AX24" i="56"/>
  <c r="AX23" i="56"/>
  <c r="AX22" i="56"/>
  <c r="AX21" i="56"/>
  <c r="AX20" i="56"/>
  <c r="AX19" i="56"/>
  <c r="AX18" i="56"/>
  <c r="AX17" i="56"/>
  <c r="AX16" i="56"/>
  <c r="AX15" i="56"/>
  <c r="AX14" i="56"/>
  <c r="AX13" i="56"/>
  <c r="AX12" i="56"/>
  <c r="AX11" i="56"/>
  <c r="AX10" i="56"/>
  <c r="AX9" i="56"/>
  <c r="AX8" i="56"/>
  <c r="AV25" i="56"/>
  <c r="AV24" i="56"/>
  <c r="AV23" i="56"/>
  <c r="AV22" i="56"/>
  <c r="AV21" i="56"/>
  <c r="AV20" i="56"/>
  <c r="AV19" i="56"/>
  <c r="AV18" i="56"/>
  <c r="AV17" i="56"/>
  <c r="AV16" i="56"/>
  <c r="AV15" i="56"/>
  <c r="AV14" i="56"/>
  <c r="AV13" i="56"/>
  <c r="AV12" i="56"/>
  <c r="AV11" i="56"/>
  <c r="AV10" i="56"/>
  <c r="AV9" i="56"/>
  <c r="AV8" i="56"/>
  <c r="AT25" i="56"/>
  <c r="AT24" i="56"/>
  <c r="AT23" i="56"/>
  <c r="AT22" i="56"/>
  <c r="AT21" i="56"/>
  <c r="AT20" i="56"/>
  <c r="AT19" i="56"/>
  <c r="AT18" i="56"/>
  <c r="AT17" i="56"/>
  <c r="AT16" i="56"/>
  <c r="AT15" i="56"/>
  <c r="AT14" i="56"/>
  <c r="AT13" i="56"/>
  <c r="AT12" i="56"/>
  <c r="AT11" i="56"/>
  <c r="AT10" i="56"/>
  <c r="AT9" i="56"/>
  <c r="AT8" i="56"/>
  <c r="AR25" i="56"/>
  <c r="AR24" i="56"/>
  <c r="AR23" i="56"/>
  <c r="AR22" i="56"/>
  <c r="AR21" i="56"/>
  <c r="AR20" i="56"/>
  <c r="AR19" i="56"/>
  <c r="AR18" i="56"/>
  <c r="AR17" i="56"/>
  <c r="AR16" i="56"/>
  <c r="AR15" i="56"/>
  <c r="AR14" i="56"/>
  <c r="AR13" i="56"/>
  <c r="AR12" i="56"/>
  <c r="AR11" i="56"/>
  <c r="AR10" i="56"/>
  <c r="AR9" i="56"/>
  <c r="AR8" i="56"/>
  <c r="AP25" i="56"/>
  <c r="AP24" i="56"/>
  <c r="AP23" i="56"/>
  <c r="AP22" i="56"/>
  <c r="AP21" i="56"/>
  <c r="AP20" i="56"/>
  <c r="AP19" i="56"/>
  <c r="AP18" i="56"/>
  <c r="AP17" i="56"/>
  <c r="AP16" i="56"/>
  <c r="AP15" i="56"/>
  <c r="AP14" i="56"/>
  <c r="AP13" i="56"/>
  <c r="AP12" i="56"/>
  <c r="AP11" i="56"/>
  <c r="AP10" i="56"/>
  <c r="AP9" i="56"/>
  <c r="AP8" i="56"/>
  <c r="AN25" i="56"/>
  <c r="AN24" i="56"/>
  <c r="AN23" i="56"/>
  <c r="AN22" i="56"/>
  <c r="AN21" i="56"/>
  <c r="AN20" i="56"/>
  <c r="AN19" i="56"/>
  <c r="AN18" i="56"/>
  <c r="AN17" i="56"/>
  <c r="AN16" i="56"/>
  <c r="AN15" i="56"/>
  <c r="AN14" i="56"/>
  <c r="AN13" i="56"/>
  <c r="AN12" i="56"/>
  <c r="AN11" i="56"/>
  <c r="AN10" i="56"/>
  <c r="AN9" i="56"/>
  <c r="AN8" i="56"/>
  <c r="AL25" i="56"/>
  <c r="AL24" i="56"/>
  <c r="AL23" i="56"/>
  <c r="AL22" i="56"/>
  <c r="AL21" i="56"/>
  <c r="AL20" i="56"/>
  <c r="AL19" i="56"/>
  <c r="AL18" i="56"/>
  <c r="AL17" i="56"/>
  <c r="AL16" i="56"/>
  <c r="AL15" i="56"/>
  <c r="AL14" i="56"/>
  <c r="AL13" i="56"/>
  <c r="AL12" i="56"/>
  <c r="AL11" i="56"/>
  <c r="AL10" i="56"/>
  <c r="AL9" i="56"/>
  <c r="AL8" i="56"/>
  <c r="AJ25" i="56"/>
  <c r="AJ24" i="56"/>
  <c r="AJ23" i="56"/>
  <c r="AJ22" i="56"/>
  <c r="AJ21" i="56"/>
  <c r="AJ20" i="56"/>
  <c r="AJ19" i="56"/>
  <c r="AJ18" i="56"/>
  <c r="AJ17" i="56"/>
  <c r="AJ16" i="56"/>
  <c r="AJ15" i="56"/>
  <c r="AJ14" i="56"/>
  <c r="AJ13" i="56"/>
  <c r="AJ12" i="56"/>
  <c r="AJ11" i="56"/>
  <c r="AJ10" i="56"/>
  <c r="AJ9" i="56"/>
  <c r="AJ8" i="56"/>
  <c r="AH25" i="56"/>
  <c r="AH24" i="56"/>
  <c r="AH23" i="56"/>
  <c r="AH22" i="56"/>
  <c r="AH21" i="56"/>
  <c r="AH20" i="56"/>
  <c r="AH19" i="56"/>
  <c r="AH18" i="56"/>
  <c r="AH17" i="56"/>
  <c r="AH16" i="56"/>
  <c r="AH15" i="56"/>
  <c r="AH14" i="56"/>
  <c r="AH13" i="56"/>
  <c r="AH12" i="56"/>
  <c r="AH11" i="56"/>
  <c r="AH10" i="56"/>
  <c r="AH9" i="56"/>
  <c r="AH8" i="56"/>
  <c r="AF25" i="56"/>
  <c r="AF24" i="56"/>
  <c r="AF23" i="56"/>
  <c r="AF22" i="56"/>
  <c r="AF21" i="56"/>
  <c r="AF20" i="56"/>
  <c r="AF19" i="56"/>
  <c r="AF18" i="56"/>
  <c r="AF17" i="56"/>
  <c r="AF16" i="56"/>
  <c r="AF15" i="56"/>
  <c r="AF14" i="56"/>
  <c r="AF13" i="56"/>
  <c r="AF12" i="56"/>
  <c r="AF11" i="56"/>
  <c r="AF10" i="56"/>
  <c r="AF9" i="56"/>
  <c r="AF8" i="56"/>
  <c r="AD25" i="56"/>
  <c r="AD24" i="56"/>
  <c r="AD23" i="56"/>
  <c r="AD22" i="56"/>
  <c r="AD21" i="56"/>
  <c r="AD20" i="56"/>
  <c r="AD19" i="56"/>
  <c r="AD18" i="56"/>
  <c r="AD17" i="56"/>
  <c r="AD16" i="56"/>
  <c r="AD15" i="56"/>
  <c r="AD14" i="56"/>
  <c r="AD13" i="56"/>
  <c r="AD12" i="56"/>
  <c r="AD11" i="56"/>
  <c r="AD10" i="56"/>
  <c r="AD9" i="56"/>
  <c r="AD8" i="56"/>
  <c r="AB25" i="56"/>
  <c r="AB24" i="56"/>
  <c r="AB23" i="56"/>
  <c r="AB22" i="56"/>
  <c r="AB21" i="56"/>
  <c r="AB20" i="56"/>
  <c r="AB19" i="56"/>
  <c r="AB18" i="56"/>
  <c r="AB17" i="56"/>
  <c r="AB16" i="56"/>
  <c r="AB15" i="56"/>
  <c r="AB14" i="56"/>
  <c r="AB13" i="56"/>
  <c r="AB12" i="56"/>
  <c r="AB11" i="56"/>
  <c r="AB10" i="56"/>
  <c r="AB9" i="56"/>
  <c r="AB8" i="56"/>
  <c r="Z25" i="56"/>
  <c r="Z24" i="56"/>
  <c r="Z23" i="56"/>
  <c r="Z22" i="56"/>
  <c r="Z21" i="56"/>
  <c r="Z20" i="56"/>
  <c r="Z19" i="56"/>
  <c r="Z18" i="56"/>
  <c r="Z17" i="56"/>
  <c r="Z16" i="56"/>
  <c r="Z15" i="56"/>
  <c r="Z14" i="56"/>
  <c r="Z13" i="56"/>
  <c r="Z12" i="56"/>
  <c r="Z11" i="56"/>
  <c r="Z10" i="56"/>
  <c r="Z9" i="56"/>
  <c r="Z8" i="56"/>
  <c r="X25" i="56"/>
  <c r="X24" i="56"/>
  <c r="X23" i="56"/>
  <c r="X22" i="56"/>
  <c r="X21" i="56"/>
  <c r="X20" i="56"/>
  <c r="X19" i="56"/>
  <c r="X18" i="56"/>
  <c r="X17" i="56"/>
  <c r="X16" i="56"/>
  <c r="X15" i="56"/>
  <c r="X14" i="56"/>
  <c r="X13" i="56"/>
  <c r="X12" i="56"/>
  <c r="X11" i="56"/>
  <c r="X10" i="56"/>
  <c r="X9" i="56"/>
  <c r="X8" i="56"/>
  <c r="V25" i="56"/>
  <c r="V24" i="56"/>
  <c r="V23" i="56"/>
  <c r="V22" i="56"/>
  <c r="V21" i="56"/>
  <c r="V20" i="56"/>
  <c r="V19" i="56"/>
  <c r="V18" i="56"/>
  <c r="V17" i="56"/>
  <c r="V16" i="56"/>
  <c r="V15" i="56"/>
  <c r="V14" i="56"/>
  <c r="V13" i="56"/>
  <c r="V12" i="56"/>
  <c r="V11" i="56"/>
  <c r="V10" i="56"/>
  <c r="V9" i="56"/>
  <c r="V8" i="56"/>
  <c r="T25" i="56"/>
  <c r="T24" i="56"/>
  <c r="T23" i="56"/>
  <c r="T22" i="56"/>
  <c r="T21" i="56"/>
  <c r="T20" i="56"/>
  <c r="T19" i="56"/>
  <c r="T18" i="56"/>
  <c r="T17" i="56"/>
  <c r="T16" i="56"/>
  <c r="T15" i="56"/>
  <c r="T14" i="56"/>
  <c r="T13" i="56"/>
  <c r="T12" i="56"/>
  <c r="T11" i="56"/>
  <c r="T10" i="56"/>
  <c r="T9" i="56"/>
  <c r="T8" i="56"/>
  <c r="R25" i="56"/>
  <c r="R24" i="56"/>
  <c r="R23" i="56"/>
  <c r="R22" i="56"/>
  <c r="R21" i="56"/>
  <c r="R20" i="56"/>
  <c r="R19" i="56"/>
  <c r="R18" i="56"/>
  <c r="R17" i="56"/>
  <c r="R16" i="56"/>
  <c r="R15" i="56"/>
  <c r="R14" i="56"/>
  <c r="R13" i="56"/>
  <c r="R12" i="56"/>
  <c r="R11" i="56"/>
  <c r="R10" i="56"/>
  <c r="R9" i="56"/>
  <c r="R8" i="56"/>
  <c r="P25" i="56"/>
  <c r="P24" i="56"/>
  <c r="P23" i="56"/>
  <c r="P22" i="56"/>
  <c r="P21" i="56"/>
  <c r="P20" i="56"/>
  <c r="P19" i="56"/>
  <c r="P18" i="56"/>
  <c r="P17" i="56"/>
  <c r="P16" i="56"/>
  <c r="P15" i="56"/>
  <c r="P14" i="56"/>
  <c r="P13" i="56"/>
  <c r="P12" i="56"/>
  <c r="P11" i="56"/>
  <c r="P10" i="56"/>
  <c r="P9" i="56"/>
  <c r="P8" i="56"/>
  <c r="N25" i="56"/>
  <c r="N24" i="56"/>
  <c r="N23" i="56"/>
  <c r="N22" i="56"/>
  <c r="N21" i="56"/>
  <c r="N20" i="56"/>
  <c r="N19" i="56"/>
  <c r="N18" i="56"/>
  <c r="N17" i="56"/>
  <c r="N16" i="56"/>
  <c r="N15" i="56"/>
  <c r="N14" i="56"/>
  <c r="N13" i="56"/>
  <c r="N12" i="56"/>
  <c r="N11" i="56"/>
  <c r="N10" i="56"/>
  <c r="N9" i="56"/>
  <c r="N8" i="56"/>
  <c r="L25" i="56"/>
  <c r="L24" i="56"/>
  <c r="L23" i="56"/>
  <c r="L22" i="56"/>
  <c r="L21" i="56"/>
  <c r="L20" i="56"/>
  <c r="L19" i="56"/>
  <c r="L18" i="56"/>
  <c r="L17" i="56"/>
  <c r="L16" i="56"/>
  <c r="L15" i="56"/>
  <c r="L14" i="56"/>
  <c r="L13" i="56"/>
  <c r="L12" i="56"/>
  <c r="L11" i="56"/>
  <c r="L10" i="56"/>
  <c r="L9" i="56"/>
  <c r="L8" i="56"/>
  <c r="J25" i="56"/>
  <c r="J24" i="56"/>
  <c r="J23" i="56"/>
  <c r="J22" i="56"/>
  <c r="J21" i="56"/>
  <c r="J20" i="56"/>
  <c r="J19" i="56"/>
  <c r="J18" i="56"/>
  <c r="J17" i="56"/>
  <c r="J16" i="56"/>
  <c r="J15" i="56"/>
  <c r="J14" i="56"/>
  <c r="J13" i="56"/>
  <c r="J12" i="56"/>
  <c r="J11" i="56"/>
  <c r="J10" i="56"/>
  <c r="J9" i="56"/>
  <c r="J8" i="56"/>
  <c r="H9" i="56"/>
  <c r="H10" i="56"/>
  <c r="H11" i="56"/>
  <c r="H12" i="56"/>
  <c r="H13" i="56"/>
  <c r="H14" i="56"/>
  <c r="H15" i="56"/>
  <c r="H16" i="56"/>
  <c r="H17" i="56"/>
  <c r="H18" i="56"/>
  <c r="H19" i="56"/>
  <c r="H20" i="56"/>
  <c r="H21" i="56"/>
  <c r="H22" i="56"/>
  <c r="H23" i="56"/>
  <c r="H24" i="56"/>
  <c r="H25" i="56"/>
  <c r="H8" i="56"/>
  <c r="C46" i="43"/>
  <c r="J28" i="56"/>
  <c r="N34" i="56"/>
  <c r="O39" i="56"/>
  <c r="N40" i="56"/>
  <c r="O42" i="56"/>
  <c r="N46" i="56"/>
  <c r="N30" i="56"/>
  <c r="O41" i="56"/>
  <c r="N43" i="56"/>
  <c r="O46" i="56"/>
  <c r="O38" i="56"/>
  <c r="O30" i="56"/>
  <c r="O40" i="56"/>
  <c r="N42" i="56"/>
  <c r="N45" i="56"/>
  <c r="N37" i="56"/>
  <c r="O31" i="56"/>
  <c r="N39" i="56"/>
  <c r="N36" i="56"/>
  <c r="O34" i="56"/>
  <c r="M34" i="56"/>
  <c r="O43" i="56"/>
  <c r="O29" i="56"/>
  <c r="O33" i="56"/>
  <c r="N35" i="56"/>
  <c r="N29" i="56"/>
  <c r="N31" i="56"/>
  <c r="N44" i="56"/>
  <c r="N38" i="56"/>
  <c r="O35" i="56"/>
  <c r="O32" i="56"/>
  <c r="N41" i="56"/>
  <c r="N33" i="56"/>
  <c r="N32" i="56"/>
  <c r="O45" i="56"/>
  <c r="O37" i="56"/>
  <c r="O44" i="56"/>
  <c r="O36" i="56"/>
  <c r="J50" i="7"/>
  <c r="J49" i="7"/>
  <c r="J48" i="7"/>
  <c r="A50" i="7"/>
  <c r="A49" i="7"/>
  <c r="A48" i="7"/>
  <c r="M39" i="56"/>
  <c r="M45" i="56"/>
  <c r="M35" i="56"/>
  <c r="M46" i="56"/>
  <c r="M37" i="56"/>
  <c r="M36" i="56"/>
  <c r="M43" i="56"/>
  <c r="M44" i="56"/>
  <c r="M41" i="56"/>
  <c r="M42" i="56"/>
  <c r="M40" i="56"/>
  <c r="M38" i="56"/>
  <c r="M33" i="56"/>
  <c r="M30" i="56"/>
  <c r="M31" i="56"/>
  <c r="M32" i="56"/>
  <c r="M29" i="56"/>
  <c r="C50" i="43"/>
  <c r="C47" i="43"/>
  <c r="E22" i="2"/>
  <c r="E23" i="2"/>
  <c r="E24" i="2"/>
  <c r="C48" i="43"/>
  <c r="K28" i="56"/>
  <c r="J29" i="56"/>
  <c r="F57" i="27"/>
  <c r="G57" i="27"/>
  <c r="F55" i="27"/>
  <c r="G55" i="27"/>
  <c r="M55" i="27"/>
  <c r="G59" i="42"/>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7" i="13"/>
  <c r="R7" i="13"/>
  <c r="P8" i="13"/>
  <c r="R8" i="13"/>
  <c r="I617" i="24"/>
  <c r="I596" i="24"/>
  <c r="I575" i="24"/>
  <c r="I554" i="24"/>
  <c r="I533" i="24"/>
  <c r="I512" i="24"/>
  <c r="I491" i="24"/>
  <c r="I470" i="24"/>
  <c r="I449" i="24"/>
  <c r="I428" i="24"/>
  <c r="I407" i="24"/>
  <c r="I386" i="24"/>
  <c r="I365" i="24"/>
  <c r="I344" i="24"/>
  <c r="I323" i="24"/>
  <c r="I302" i="24"/>
  <c r="I281" i="24"/>
  <c r="I260" i="24"/>
  <c r="I239" i="24"/>
  <c r="I218" i="24"/>
  <c r="I197" i="24"/>
  <c r="I176" i="24"/>
  <c r="I155" i="24"/>
  <c r="I134" i="24"/>
  <c r="I113" i="24"/>
  <c r="I92" i="24"/>
  <c r="I71" i="24"/>
  <c r="I50" i="24"/>
  <c r="I29" i="24"/>
  <c r="I8" i="24"/>
  <c r="H35" i="20"/>
  <c r="G35" i="20"/>
  <c r="G34" i="20"/>
  <c r="H34" i="20"/>
  <c r="H62" i="49"/>
  <c r="H63" i="49"/>
  <c r="H64" i="49"/>
  <c r="H65" i="49"/>
  <c r="H66" i="49"/>
  <c r="H67" i="49"/>
  <c r="H68" i="49"/>
  <c r="H69" i="49"/>
  <c r="H70" i="49"/>
  <c r="H71" i="49"/>
  <c r="H72" i="49"/>
  <c r="H61" i="49"/>
  <c r="H60" i="42"/>
  <c r="H61" i="42"/>
  <c r="H62" i="42"/>
  <c r="H63" i="42"/>
  <c r="H64" i="42"/>
  <c r="H65" i="42"/>
  <c r="H66" i="42"/>
  <c r="H67" i="42"/>
  <c r="H68" i="42"/>
  <c r="H69" i="42"/>
  <c r="H70" i="42"/>
  <c r="H59" i="42"/>
  <c r="G33" i="7"/>
  <c r="G34" i="7"/>
  <c r="G35" i="7"/>
  <c r="G36" i="7"/>
  <c r="G37" i="7"/>
  <c r="G32" i="7"/>
  <c r="P33" i="7"/>
  <c r="P34" i="7"/>
  <c r="P35" i="7"/>
  <c r="P36" i="7"/>
  <c r="P37" i="7"/>
  <c r="P32" i="7"/>
  <c r="AC385" i="5"/>
  <c r="F354" i="5"/>
  <c r="K56" i="27"/>
  <c r="K57" i="27"/>
  <c r="M57" i="27"/>
  <c r="K55" i="27"/>
  <c r="R37" i="20"/>
  <c r="S37" i="20"/>
  <c r="R36" i="20"/>
  <c r="S36" i="20"/>
  <c r="R35" i="20"/>
  <c r="S35" i="20"/>
  <c r="J57" i="27"/>
  <c r="R34" i="20"/>
  <c r="S34" i="20"/>
  <c r="R33" i="20"/>
  <c r="S33" i="20"/>
  <c r="R32" i="20"/>
  <c r="S32" i="20"/>
  <c r="G42" i="43"/>
  <c r="E42" i="43"/>
  <c r="G41" i="43"/>
  <c r="E41" i="43"/>
  <c r="G40" i="43"/>
  <c r="E40" i="43"/>
  <c r="G39" i="43"/>
  <c r="E39" i="43"/>
  <c r="G38" i="43"/>
  <c r="E38" i="43"/>
  <c r="G37" i="43"/>
  <c r="E37" i="43"/>
  <c r="G36" i="43"/>
  <c r="E36" i="43"/>
  <c r="G35" i="43"/>
  <c r="E35" i="43"/>
  <c r="D66" i="13"/>
  <c r="C66" i="13"/>
  <c r="D62" i="13"/>
  <c r="C62" i="13"/>
  <c r="D65" i="13"/>
  <c r="C65" i="13"/>
  <c r="D64" i="13"/>
  <c r="C64" i="13"/>
  <c r="D63" i="13"/>
  <c r="C63" i="13"/>
  <c r="L56" i="27"/>
  <c r="L57" i="27"/>
  <c r="L55" i="27"/>
  <c r="I56" i="27"/>
  <c r="I57" i="27"/>
  <c r="I55" i="27"/>
  <c r="H56" i="27"/>
  <c r="H57" i="27"/>
  <c r="H55" i="27"/>
  <c r="J55" i="27"/>
  <c r="J56" i="27"/>
  <c r="E26" i="43"/>
  <c r="E27" i="43"/>
  <c r="E28" i="43"/>
  <c r="E29" i="43"/>
  <c r="E30" i="43"/>
  <c r="E31" i="43"/>
  <c r="E32" i="43"/>
  <c r="E33" i="43"/>
  <c r="E34" i="43"/>
  <c r="E25" i="43"/>
  <c r="G66" i="13"/>
  <c r="K66" i="13"/>
  <c r="N66" i="13"/>
  <c r="I66" i="13"/>
  <c r="R66" i="13"/>
  <c r="J66" i="13"/>
  <c r="L66" i="13"/>
  <c r="F66" i="13"/>
  <c r="E66" i="13"/>
  <c r="M66" i="13"/>
  <c r="O66" i="13"/>
  <c r="P66" i="13"/>
  <c r="Q66" i="13"/>
  <c r="H66" i="13"/>
  <c r="O64" i="13"/>
  <c r="G64" i="13"/>
  <c r="I64" i="13"/>
  <c r="L64" i="13"/>
  <c r="P64" i="13"/>
  <c r="Q64" i="13"/>
  <c r="H64" i="13"/>
  <c r="N64" i="13"/>
  <c r="E64" i="13"/>
  <c r="F64" i="13"/>
  <c r="R64" i="13"/>
  <c r="J64" i="13"/>
  <c r="K64" i="13"/>
  <c r="M64" i="13"/>
  <c r="P62" i="13"/>
  <c r="G62" i="13"/>
  <c r="O62" i="13"/>
  <c r="I62" i="13"/>
  <c r="F62" i="13"/>
  <c r="J62" i="13"/>
  <c r="N62" i="13"/>
  <c r="R62" i="13"/>
  <c r="E62" i="13"/>
  <c r="K62" i="13"/>
  <c r="M62" i="13"/>
  <c r="H62" i="13"/>
  <c r="Q62" i="13"/>
  <c r="L62" i="13"/>
  <c r="E63" i="13"/>
  <c r="H63" i="13"/>
  <c r="Q63" i="13"/>
  <c r="M63" i="13"/>
  <c r="I63" i="13"/>
  <c r="O63" i="13"/>
  <c r="J63" i="13"/>
  <c r="N63" i="13"/>
  <c r="K63" i="13"/>
  <c r="F63" i="13"/>
  <c r="L63" i="13"/>
  <c r="P63" i="13"/>
  <c r="G63" i="13"/>
  <c r="R63" i="13"/>
  <c r="E65" i="13"/>
  <c r="N65" i="13"/>
  <c r="Q65" i="13"/>
  <c r="O65" i="13"/>
  <c r="F65" i="13"/>
  <c r="P65" i="13"/>
  <c r="G65" i="13"/>
  <c r="H65" i="13"/>
  <c r="J65" i="13"/>
  <c r="R65" i="13"/>
  <c r="L65" i="13"/>
  <c r="I65" i="13"/>
  <c r="M65" i="13"/>
  <c r="K65" i="13"/>
  <c r="I23" i="36"/>
  <c r="DE380" i="59"/>
  <c r="DF380" i="59"/>
  <c r="DG380" i="59"/>
  <c r="DH380" i="59"/>
  <c r="DI380" i="59"/>
  <c r="DJ380" i="59"/>
  <c r="DK380" i="59"/>
  <c r="DL380" i="59"/>
  <c r="DM380" i="59"/>
  <c r="DN380" i="59"/>
  <c r="DO380" i="59"/>
  <c r="DP380" i="59"/>
  <c r="DQ380" i="59"/>
  <c r="DR380" i="59"/>
  <c r="DS380" i="59"/>
  <c r="DT380" i="59"/>
  <c r="DU380" i="59"/>
  <c r="DV380" i="59"/>
  <c r="DW380" i="59"/>
  <c r="DX380" i="59"/>
  <c r="DY380" i="59"/>
  <c r="DZ380" i="59"/>
  <c r="EA380" i="59"/>
  <c r="EB380" i="59"/>
  <c r="EC380" i="59"/>
  <c r="ED380" i="59"/>
  <c r="EE380" i="59"/>
  <c r="EF380" i="59"/>
  <c r="EG380" i="59"/>
  <c r="EH380" i="59"/>
  <c r="EI380" i="59"/>
  <c r="EJ380" i="59"/>
  <c r="EK380" i="59"/>
  <c r="EL380" i="59"/>
  <c r="EM380" i="59"/>
  <c r="EN380" i="59"/>
  <c r="EO380" i="59"/>
  <c r="EP380" i="59"/>
  <c r="EQ380" i="59"/>
  <c r="ER380" i="59"/>
  <c r="ES380" i="59"/>
  <c r="ET380" i="59"/>
  <c r="EU380" i="59"/>
  <c r="EV380" i="59"/>
  <c r="EW380" i="59"/>
  <c r="EX380" i="59"/>
  <c r="EY380" i="59"/>
  <c r="EZ380" i="59"/>
  <c r="FA380" i="59"/>
  <c r="FB380" i="59"/>
  <c r="FC380" i="59"/>
  <c r="FD380" i="59"/>
  <c r="FE380" i="59"/>
  <c r="FF380" i="59"/>
  <c r="FG380" i="59"/>
  <c r="DB380" i="59"/>
  <c r="CI380" i="59"/>
  <c r="CJ380" i="59"/>
  <c r="CK380" i="59"/>
  <c r="CL380" i="59"/>
  <c r="CM380" i="59"/>
  <c r="CN380" i="59"/>
  <c r="CO380" i="59"/>
  <c r="CP380" i="59"/>
  <c r="CQ380" i="59"/>
  <c r="CR380" i="59"/>
  <c r="CS380" i="59"/>
  <c r="CT380" i="59"/>
  <c r="CU380" i="59"/>
  <c r="CV380" i="59"/>
  <c r="CW380" i="59"/>
  <c r="CY380" i="59"/>
  <c r="F380" i="59"/>
  <c r="G380" i="59"/>
  <c r="H380" i="59"/>
  <c r="I380" i="59"/>
  <c r="J380" i="59"/>
  <c r="K380" i="59"/>
  <c r="L380" i="59"/>
  <c r="M380" i="59"/>
  <c r="N380" i="59"/>
  <c r="O380" i="59"/>
  <c r="P380" i="59"/>
  <c r="Q380" i="59"/>
  <c r="R380" i="59"/>
  <c r="S380" i="59"/>
  <c r="T380" i="59"/>
  <c r="U380" i="59"/>
  <c r="V380" i="59"/>
  <c r="W380" i="59"/>
  <c r="X380" i="59"/>
  <c r="Y380" i="59"/>
  <c r="Z380" i="59"/>
  <c r="AA380" i="59"/>
  <c r="AB380" i="59"/>
  <c r="AC380" i="59"/>
  <c r="AD380" i="59"/>
  <c r="AE380" i="59"/>
  <c r="AF380" i="59"/>
  <c r="AG380" i="59"/>
  <c r="AH380" i="59"/>
  <c r="AI380" i="59"/>
  <c r="AJ380" i="59"/>
  <c r="AK380" i="59"/>
  <c r="AL380" i="59"/>
  <c r="AM380" i="59"/>
  <c r="AN380" i="59"/>
  <c r="AO380" i="59"/>
  <c r="AP380" i="59"/>
  <c r="AQ380" i="59"/>
  <c r="AR380" i="59"/>
  <c r="AS380" i="59"/>
  <c r="AT380" i="59"/>
  <c r="AU380" i="59"/>
  <c r="AV380" i="59"/>
  <c r="AW380" i="59"/>
  <c r="AX380" i="59"/>
  <c r="AY380" i="59"/>
  <c r="AZ380" i="59"/>
  <c r="BA380" i="59"/>
  <c r="BB380" i="59"/>
  <c r="BC380" i="59"/>
  <c r="BD380" i="59"/>
  <c r="BE380" i="59"/>
  <c r="BF380" i="59"/>
  <c r="BG380" i="59"/>
  <c r="BH380" i="59"/>
  <c r="BI380" i="59"/>
  <c r="BJ380" i="59"/>
  <c r="BK380" i="59"/>
  <c r="BP380" i="59"/>
  <c r="BQ380" i="59"/>
  <c r="BR380" i="59"/>
  <c r="BS380" i="59"/>
  <c r="BT380" i="59"/>
  <c r="BU380" i="59"/>
  <c r="BV380" i="59"/>
  <c r="BW380" i="59"/>
  <c r="BX380" i="59"/>
  <c r="BY380" i="59"/>
  <c r="BZ380" i="59"/>
  <c r="CA380" i="59"/>
  <c r="CB380" i="59"/>
  <c r="CC380" i="59"/>
  <c r="CD380" i="59"/>
  <c r="CE380" i="59"/>
  <c r="CF380" i="59"/>
  <c r="CG380" i="59"/>
  <c r="CH380" i="59"/>
  <c r="BI379" i="59"/>
  <c r="BJ379" i="59"/>
  <c r="BK379" i="59"/>
  <c r="BL379" i="59"/>
  <c r="BM379" i="59"/>
  <c r="BN379" i="59"/>
  <c r="BO379" i="59"/>
  <c r="BP379" i="59"/>
  <c r="BQ379" i="59"/>
  <c r="BR379" i="59"/>
  <c r="BS379" i="59"/>
  <c r="BT379" i="59"/>
  <c r="BU379" i="59"/>
  <c r="BV379" i="59"/>
  <c r="BW379" i="59"/>
  <c r="BX379" i="59"/>
  <c r="BY379" i="59"/>
  <c r="BZ379" i="59"/>
  <c r="CA379" i="59"/>
  <c r="CB379" i="59"/>
  <c r="CC379" i="59"/>
  <c r="CD379" i="59"/>
  <c r="CE379" i="59"/>
  <c r="CF379" i="59"/>
  <c r="CG379" i="59"/>
  <c r="CH379" i="59"/>
  <c r="CI379" i="59"/>
  <c r="CJ379" i="59"/>
  <c r="CK379" i="59"/>
  <c r="CL379" i="59"/>
  <c r="CM379" i="59"/>
  <c r="CN379" i="59"/>
  <c r="CO379" i="59"/>
  <c r="CP379" i="59"/>
  <c r="CQ379" i="59"/>
  <c r="CR379" i="59"/>
  <c r="CS379" i="59"/>
  <c r="CT379" i="59"/>
  <c r="CU379" i="59"/>
  <c r="CV379" i="59"/>
  <c r="CW379" i="59"/>
  <c r="CX379" i="59"/>
  <c r="CY379" i="59"/>
  <c r="CZ379" i="59"/>
  <c r="DA379" i="59"/>
  <c r="DB379" i="59"/>
  <c r="DC379" i="59"/>
  <c r="DD379" i="59"/>
  <c r="DE379" i="59"/>
  <c r="DF379" i="59"/>
  <c r="DG379" i="59"/>
  <c r="DH379" i="59"/>
  <c r="DI379" i="59"/>
  <c r="DJ379" i="59"/>
  <c r="DK379" i="59"/>
  <c r="DL379" i="59"/>
  <c r="DM379" i="59"/>
  <c r="DN379" i="59"/>
  <c r="DO379" i="59"/>
  <c r="DP379" i="59"/>
  <c r="DQ379" i="59"/>
  <c r="DR379" i="59"/>
  <c r="DS379" i="59"/>
  <c r="DT379" i="59"/>
  <c r="DU379" i="59"/>
  <c r="DV379" i="59"/>
  <c r="DW379" i="59"/>
  <c r="DX379" i="59"/>
  <c r="DY379" i="59"/>
  <c r="DZ379" i="59"/>
  <c r="EA379" i="59"/>
  <c r="EB379" i="59"/>
  <c r="EC379" i="59"/>
  <c r="ED379" i="59"/>
  <c r="EE379" i="59"/>
  <c r="EF379" i="59"/>
  <c r="EG379" i="59"/>
  <c r="EH379" i="59"/>
  <c r="EI379" i="59"/>
  <c r="EJ379" i="59"/>
  <c r="EQ379" i="59"/>
  <c r="ER379" i="59"/>
  <c r="ES379" i="59"/>
  <c r="ET379" i="59"/>
  <c r="EU379" i="59"/>
  <c r="EV379" i="59"/>
  <c r="EW379" i="59"/>
  <c r="EX379" i="59"/>
  <c r="EY379" i="59"/>
  <c r="EZ379" i="59"/>
  <c r="FA379" i="59"/>
  <c r="FB379" i="59"/>
  <c r="FC379" i="59"/>
  <c r="FD379" i="59"/>
  <c r="FE379" i="59"/>
  <c r="FF379" i="59"/>
  <c r="FG379" i="59"/>
  <c r="FH379" i="59"/>
  <c r="FI379" i="59"/>
  <c r="FJ379" i="59"/>
  <c r="FK379" i="59"/>
  <c r="FL379" i="59"/>
  <c r="FM379" i="59"/>
  <c r="FN379" i="59"/>
  <c r="FO379" i="59"/>
  <c r="FP379" i="59"/>
  <c r="FQ379" i="59"/>
  <c r="FR379" i="59"/>
  <c r="FS379" i="59"/>
  <c r="FT379" i="59"/>
  <c r="FU379" i="59"/>
  <c r="FV379" i="59"/>
  <c r="FW379" i="59"/>
  <c r="FX379" i="59"/>
  <c r="FY379" i="59"/>
  <c r="FZ379" i="59"/>
  <c r="GA379" i="59"/>
  <c r="GB379" i="59"/>
  <c r="GC379" i="59"/>
  <c r="GE379" i="59"/>
  <c r="GF379" i="59"/>
  <c r="GG379" i="59"/>
  <c r="GH379" i="59"/>
  <c r="GI379" i="59"/>
  <c r="GJ379" i="59"/>
  <c r="GK379" i="59"/>
  <c r="GM379" i="59"/>
  <c r="GN379" i="59"/>
  <c r="GO379" i="59"/>
  <c r="GP379" i="59"/>
  <c r="GQ379" i="59"/>
  <c r="GR379" i="59"/>
  <c r="GS379" i="59"/>
  <c r="GU379" i="59"/>
  <c r="GV379" i="59"/>
  <c r="GW379" i="59"/>
  <c r="GX379" i="59"/>
  <c r="GY379" i="59"/>
  <c r="GZ379" i="59"/>
  <c r="HA379" i="59"/>
  <c r="HC379" i="59"/>
  <c r="HD379" i="59"/>
  <c r="HE379" i="59"/>
  <c r="HF379" i="59"/>
  <c r="HG379" i="59"/>
  <c r="HH379" i="59"/>
  <c r="HI379" i="59"/>
  <c r="HK379" i="59"/>
  <c r="HL379" i="59"/>
  <c r="HM379" i="59"/>
  <c r="HN379" i="59"/>
  <c r="HO379" i="59"/>
  <c r="HP379" i="59"/>
  <c r="HQ379" i="59"/>
  <c r="HR379" i="59"/>
  <c r="HS379" i="59"/>
  <c r="HT379" i="59"/>
  <c r="HU379" i="59"/>
  <c r="HW379" i="59"/>
  <c r="HX379" i="59"/>
  <c r="HY379" i="59"/>
  <c r="IA379" i="59"/>
  <c r="IB379" i="59"/>
  <c r="IC379" i="59"/>
  <c r="IE379" i="59"/>
  <c r="IF379" i="59"/>
  <c r="IG379" i="59"/>
  <c r="II379" i="59"/>
  <c r="IJ379" i="59"/>
  <c r="IK379" i="59"/>
  <c r="IL379" i="59"/>
  <c r="IM379" i="59"/>
  <c r="IN379" i="59"/>
  <c r="IO379" i="59"/>
  <c r="IP379" i="59"/>
  <c r="IQ379" i="59"/>
  <c r="IR379" i="59"/>
  <c r="IS379" i="59"/>
  <c r="IT379" i="59"/>
  <c r="IU379" i="59"/>
  <c r="IV379" i="59"/>
  <c r="F379" i="59"/>
  <c r="G379" i="59"/>
  <c r="H379" i="59"/>
  <c r="I379" i="59"/>
  <c r="J379" i="59"/>
  <c r="K379" i="59"/>
  <c r="L379" i="59"/>
  <c r="M379" i="59"/>
  <c r="N379" i="59"/>
  <c r="O379" i="59"/>
  <c r="P379" i="59"/>
  <c r="Q379" i="59"/>
  <c r="R379" i="59"/>
  <c r="S379" i="59"/>
  <c r="T379" i="59"/>
  <c r="U379" i="59"/>
  <c r="V379" i="59"/>
  <c r="W379" i="59"/>
  <c r="X379" i="59"/>
  <c r="Y379" i="59"/>
  <c r="Z379" i="59"/>
  <c r="AA379" i="59"/>
  <c r="AB379" i="59"/>
  <c r="AC379" i="59"/>
  <c r="AD379" i="59"/>
  <c r="AE379" i="59"/>
  <c r="AF379" i="59"/>
  <c r="AG379" i="59"/>
  <c r="AH379" i="59"/>
  <c r="AI379" i="59"/>
  <c r="AJ379" i="59"/>
  <c r="AK379" i="59"/>
  <c r="AL379" i="59"/>
  <c r="AM379" i="59"/>
  <c r="AN379" i="59"/>
  <c r="AO379" i="59"/>
  <c r="AP379" i="59"/>
  <c r="AQ379" i="59"/>
  <c r="AR379" i="59"/>
  <c r="AS379" i="59"/>
  <c r="AT379" i="59"/>
  <c r="AU379" i="59"/>
  <c r="AV379" i="59"/>
  <c r="AW379" i="59"/>
  <c r="AX379" i="59"/>
  <c r="AY379" i="59"/>
  <c r="AZ379" i="59"/>
  <c r="BA379" i="59"/>
  <c r="BB379" i="59"/>
  <c r="BC379" i="59"/>
  <c r="BD379" i="59"/>
  <c r="BE379" i="59"/>
  <c r="BF379" i="59"/>
  <c r="BG379" i="59"/>
  <c r="BH379" i="59"/>
  <c r="GY378" i="59"/>
  <c r="GZ378" i="59"/>
  <c r="HA378" i="59"/>
  <c r="HB378" i="59"/>
  <c r="HC378" i="59"/>
  <c r="HF378" i="59"/>
  <c r="HG378" i="59"/>
  <c r="HH378" i="59"/>
  <c r="HK378" i="59"/>
  <c r="HL378" i="59"/>
  <c r="HM378" i="59"/>
  <c r="HN378" i="59"/>
  <c r="HO378" i="59"/>
  <c r="HP378" i="59"/>
  <c r="HQ378" i="59"/>
  <c r="HR378" i="59"/>
  <c r="HS378" i="59"/>
  <c r="HT378" i="59"/>
  <c r="HU378" i="59"/>
  <c r="HV378" i="59"/>
  <c r="HW378" i="59"/>
  <c r="HX378" i="59"/>
  <c r="HY378" i="59"/>
  <c r="HZ378" i="59"/>
  <c r="IA378" i="59"/>
  <c r="IB378" i="59"/>
  <c r="IC378" i="59"/>
  <c r="ID378" i="59"/>
  <c r="IE378" i="59"/>
  <c r="IF378" i="59"/>
  <c r="IG378" i="59"/>
  <c r="IH378" i="59"/>
  <c r="II378" i="59"/>
  <c r="IJ378" i="59"/>
  <c r="IK378" i="59"/>
  <c r="IL378" i="59"/>
  <c r="IM378" i="59"/>
  <c r="IN378" i="59"/>
  <c r="IO378" i="59"/>
  <c r="IP378" i="59"/>
  <c r="IQ378" i="59"/>
  <c r="IR378" i="59"/>
  <c r="IS378" i="59"/>
  <c r="IT378" i="59"/>
  <c r="IU378" i="59"/>
  <c r="IV378" i="59"/>
  <c r="AU363" i="5"/>
  <c r="V37" i="53"/>
  <c r="DC380" i="59"/>
  <c r="EE378" i="59"/>
  <c r="EF378" i="59"/>
  <c r="EG378" i="59"/>
  <c r="EH378" i="59"/>
  <c r="EI378" i="59"/>
  <c r="EJ378" i="59"/>
  <c r="EK378" i="59"/>
  <c r="EL378" i="59"/>
  <c r="EM378" i="59"/>
  <c r="EN378" i="59"/>
  <c r="EO378" i="59"/>
  <c r="EP378" i="59"/>
  <c r="EQ378" i="59"/>
  <c r="ER378" i="59"/>
  <c r="ES378" i="59"/>
  <c r="ET378" i="59"/>
  <c r="EU378" i="59"/>
  <c r="EV378" i="59"/>
  <c r="EW378" i="59"/>
  <c r="EX378" i="59"/>
  <c r="EY378" i="59"/>
  <c r="EZ378" i="59"/>
  <c r="FA378" i="59"/>
  <c r="FB378" i="59"/>
  <c r="FC378" i="59"/>
  <c r="FD378" i="59"/>
  <c r="FE378" i="59"/>
  <c r="FF378" i="59"/>
  <c r="FG378" i="59"/>
  <c r="FH378" i="59"/>
  <c r="FI378" i="59"/>
  <c r="FJ378" i="59"/>
  <c r="FK378" i="59"/>
  <c r="FL378" i="59"/>
  <c r="FM378" i="59"/>
  <c r="FN378" i="59"/>
  <c r="FO378" i="59"/>
  <c r="FP378" i="59"/>
  <c r="FQ378" i="59"/>
  <c r="FR378" i="59"/>
  <c r="FS378" i="59"/>
  <c r="FT378" i="59"/>
  <c r="FU378" i="59"/>
  <c r="FV378" i="59"/>
  <c r="FW378" i="59"/>
  <c r="FX378" i="59"/>
  <c r="FY378" i="59"/>
  <c r="FZ378" i="59"/>
  <c r="GA378" i="59"/>
  <c r="GB378" i="59"/>
  <c r="GC378" i="59"/>
  <c r="GD378" i="59"/>
  <c r="GE378" i="59"/>
  <c r="GF378" i="59"/>
  <c r="GG378" i="59"/>
  <c r="GH378" i="59"/>
  <c r="GI378" i="59"/>
  <c r="GJ378" i="59"/>
  <c r="GK378" i="59"/>
  <c r="GL378" i="59"/>
  <c r="GM378" i="59"/>
  <c r="GN378" i="59"/>
  <c r="GO378" i="59"/>
  <c r="GP378" i="59"/>
  <c r="GQ378" i="59"/>
  <c r="GR378" i="59"/>
  <c r="GS378" i="59"/>
  <c r="GT378" i="59"/>
  <c r="GU378" i="59"/>
  <c r="GV378" i="59"/>
  <c r="GW378" i="59"/>
  <c r="GX378" i="59"/>
  <c r="DF378" i="59"/>
  <c r="DG378" i="59"/>
  <c r="DH378" i="59"/>
  <c r="DI378" i="59"/>
  <c r="DJ378" i="59"/>
  <c r="DK378" i="59"/>
  <c r="DL378" i="59"/>
  <c r="DM378" i="59"/>
  <c r="DN378" i="59"/>
  <c r="DO378" i="59"/>
  <c r="DP378" i="59"/>
  <c r="DQ378" i="59"/>
  <c r="DR378" i="59"/>
  <c r="DS378" i="59"/>
  <c r="DT378" i="59"/>
  <c r="DU378" i="59"/>
  <c r="DV378" i="59"/>
  <c r="DW378" i="59"/>
  <c r="DX378" i="59"/>
  <c r="DY378" i="59"/>
  <c r="DZ378" i="59"/>
  <c r="EA378" i="59"/>
  <c r="EB378" i="59"/>
  <c r="EC378" i="59"/>
  <c r="ED378" i="59"/>
  <c r="DD378" i="59"/>
  <c r="DE378" i="59"/>
  <c r="F2" i="59"/>
  <c r="G2" i="59"/>
  <c r="H2" i="59"/>
  <c r="I2" i="59"/>
  <c r="J2" i="59"/>
  <c r="K2" i="59"/>
  <c r="L2" i="59"/>
  <c r="M2" i="59"/>
  <c r="N2" i="59"/>
  <c r="O2" i="59"/>
  <c r="P2" i="59"/>
  <c r="Q2" i="59"/>
  <c r="R2" i="59"/>
  <c r="S2" i="59"/>
  <c r="T2" i="59"/>
  <c r="U2" i="59"/>
  <c r="V2" i="59"/>
  <c r="W2" i="59"/>
  <c r="X2" i="59"/>
  <c r="Y2" i="59"/>
  <c r="Z2" i="59"/>
  <c r="AA2" i="59"/>
  <c r="AB2" i="59"/>
  <c r="AC2" i="59"/>
  <c r="AD2" i="59"/>
  <c r="AE2" i="59"/>
  <c r="AF2" i="59"/>
  <c r="AG2" i="59"/>
  <c r="AH2" i="59"/>
  <c r="AI2" i="59"/>
  <c r="AJ2" i="59"/>
  <c r="AK2" i="59"/>
  <c r="AL2" i="59"/>
  <c r="AM2" i="59"/>
  <c r="AN2" i="59"/>
  <c r="AO2" i="59"/>
  <c r="AP2" i="59"/>
  <c r="AQ2" i="59"/>
  <c r="AR2" i="59"/>
  <c r="AS2" i="59"/>
  <c r="AT2" i="59"/>
  <c r="AU2" i="59"/>
  <c r="AV2" i="59"/>
  <c r="AW2" i="59"/>
  <c r="AX2" i="59"/>
  <c r="AY2" i="59"/>
  <c r="BA2" i="59"/>
  <c r="BB2" i="59"/>
  <c r="BC2" i="59"/>
  <c r="BD2" i="59"/>
  <c r="BE2" i="59"/>
  <c r="BG2" i="59"/>
  <c r="BH2" i="59"/>
  <c r="BI2" i="59"/>
  <c r="BJ2" i="59"/>
  <c r="BK2" i="59"/>
  <c r="BL2" i="59"/>
  <c r="BM2" i="59"/>
  <c r="BN2" i="59"/>
  <c r="BO2" i="59"/>
  <c r="BP2" i="59"/>
  <c r="BQ2" i="59"/>
  <c r="BR2" i="59"/>
  <c r="BS2" i="59"/>
  <c r="BT2" i="59"/>
  <c r="BU2" i="59"/>
  <c r="BV2" i="59"/>
  <c r="BW2" i="59"/>
  <c r="BX2" i="59"/>
  <c r="BY2" i="59"/>
  <c r="BZ2" i="59"/>
  <c r="CA2" i="59"/>
  <c r="CC2" i="59"/>
  <c r="CD2" i="59"/>
  <c r="CE2" i="59"/>
  <c r="CF2" i="59"/>
  <c r="CH2" i="59"/>
  <c r="CI2" i="59"/>
  <c r="CK2" i="59"/>
  <c r="CL2" i="59"/>
  <c r="CM2" i="59"/>
  <c r="CN2" i="59"/>
  <c r="CO2" i="59"/>
  <c r="CQ2" i="59"/>
  <c r="CR2" i="59"/>
  <c r="CS2" i="59"/>
  <c r="CT2" i="59"/>
  <c r="CV2" i="59"/>
  <c r="CW2" i="59"/>
  <c r="CX2" i="59"/>
  <c r="CY2" i="59"/>
  <c r="CZ2" i="59"/>
  <c r="DA2" i="59"/>
  <c r="DB2" i="59"/>
  <c r="DC2" i="59"/>
  <c r="DE2" i="59"/>
  <c r="DF2" i="59"/>
  <c r="DG2" i="59"/>
  <c r="DH2" i="59"/>
  <c r="DJ2" i="59"/>
  <c r="DK2" i="59"/>
  <c r="DL2" i="59"/>
  <c r="DM2" i="59"/>
  <c r="DN2" i="59"/>
  <c r="DO2" i="59"/>
  <c r="DP2" i="59"/>
  <c r="DQ2" i="59"/>
  <c r="DS2" i="59"/>
  <c r="DT2" i="59"/>
  <c r="DU2" i="59"/>
  <c r="DV2" i="59"/>
  <c r="DX2" i="59"/>
  <c r="DY2" i="59"/>
  <c r="DZ2" i="59"/>
  <c r="EA2" i="59"/>
  <c r="EB2" i="59"/>
  <c r="EC2" i="59"/>
  <c r="ED2" i="59"/>
  <c r="EE2" i="59"/>
  <c r="EF2" i="59"/>
  <c r="EG2" i="59"/>
  <c r="EH2" i="59"/>
  <c r="EI2" i="59"/>
  <c r="EJ2" i="59"/>
  <c r="EK2" i="59"/>
  <c r="EL2" i="59"/>
  <c r="EM2" i="59"/>
  <c r="EN2" i="59"/>
  <c r="EO2" i="59"/>
  <c r="EP2" i="59"/>
  <c r="EQ2" i="59"/>
  <c r="ER2" i="59"/>
  <c r="ES2" i="59"/>
  <c r="ET2" i="59"/>
  <c r="EU2" i="59"/>
  <c r="EV2" i="59"/>
  <c r="EW2" i="59"/>
  <c r="EX2" i="59"/>
  <c r="EY2" i="59"/>
  <c r="EZ2" i="59"/>
  <c r="FA2" i="59"/>
  <c r="FB2" i="59"/>
  <c r="FC2" i="59"/>
  <c r="FD2" i="59"/>
  <c r="FE2" i="59"/>
  <c r="FF2" i="59"/>
  <c r="FG2" i="59"/>
  <c r="FH2" i="59"/>
  <c r="FI2" i="59"/>
  <c r="FJ2" i="59"/>
  <c r="FK2" i="59"/>
  <c r="FL2" i="59"/>
  <c r="FM2" i="59"/>
  <c r="FN2" i="59"/>
  <c r="FO2" i="59"/>
  <c r="FP2" i="59"/>
  <c r="FQ2" i="59"/>
  <c r="FR2" i="59"/>
  <c r="FS2" i="59"/>
  <c r="FT2" i="59"/>
  <c r="FX2" i="59"/>
  <c r="FY2" i="59"/>
  <c r="GA2" i="59"/>
  <c r="GB2" i="59"/>
  <c r="GC2" i="59"/>
  <c r="GD2" i="59"/>
  <c r="GE2" i="59"/>
  <c r="GG2" i="59"/>
  <c r="GH2" i="59"/>
  <c r="GI2" i="59"/>
  <c r="GJ2" i="59"/>
  <c r="GK2" i="59"/>
  <c r="GL2" i="59"/>
  <c r="GM2" i="59"/>
  <c r="GN2" i="59"/>
  <c r="GO2" i="59"/>
  <c r="GP2" i="59"/>
  <c r="GQ2" i="59"/>
  <c r="GR2" i="59"/>
  <c r="GS2" i="59"/>
  <c r="GT2" i="59"/>
  <c r="GU2" i="59"/>
  <c r="GV2" i="59"/>
  <c r="GW2" i="59"/>
  <c r="GX2" i="59"/>
  <c r="GY2" i="59"/>
  <c r="GZ2" i="59"/>
  <c r="HA2" i="59"/>
  <c r="HB2" i="59"/>
  <c r="HC2" i="59"/>
  <c r="HD2" i="59"/>
  <c r="HE2" i="59"/>
  <c r="HF2" i="59"/>
  <c r="HG2" i="59"/>
  <c r="HH2" i="59"/>
  <c r="HI2" i="59"/>
  <c r="HJ2" i="59"/>
  <c r="HK2" i="59"/>
  <c r="HL2" i="59"/>
  <c r="HM2" i="59"/>
  <c r="HN2" i="59"/>
  <c r="HO2" i="59"/>
  <c r="HP2" i="59"/>
  <c r="HQ2" i="59"/>
  <c r="HR2" i="59"/>
  <c r="HS2" i="59"/>
  <c r="HT2" i="59"/>
  <c r="HU2" i="59"/>
  <c r="HV2" i="59"/>
  <c r="HW2" i="59"/>
  <c r="HX2" i="59"/>
  <c r="HY2" i="59"/>
  <c r="HZ2" i="59"/>
  <c r="IA2" i="59"/>
  <c r="IB2" i="59"/>
  <c r="IC2" i="59"/>
  <c r="ID2" i="59"/>
  <c r="IE2" i="59"/>
  <c r="IF2" i="59"/>
  <c r="IG2" i="59"/>
  <c r="IH2" i="59"/>
  <c r="II2" i="59"/>
  <c r="IJ2" i="59"/>
  <c r="IK2" i="59"/>
  <c r="IL2" i="59"/>
  <c r="IM2" i="59"/>
  <c r="IN2" i="59"/>
  <c r="IO2" i="59"/>
  <c r="IP2" i="59"/>
  <c r="IQ2" i="59"/>
  <c r="IR2" i="59"/>
  <c r="IS2" i="59"/>
  <c r="IT2" i="59"/>
  <c r="IU2" i="59"/>
  <c r="IV2" i="59"/>
  <c r="F3" i="59"/>
  <c r="G3" i="59"/>
  <c r="H3" i="59"/>
  <c r="I3" i="59"/>
  <c r="J3" i="59"/>
  <c r="K3" i="59"/>
  <c r="L3" i="59"/>
  <c r="M3" i="59"/>
  <c r="N3" i="59"/>
  <c r="O3" i="59"/>
  <c r="P3" i="59"/>
  <c r="Q3" i="59"/>
  <c r="R3" i="59"/>
  <c r="S3" i="59"/>
  <c r="T3" i="59"/>
  <c r="U3" i="59"/>
  <c r="V3" i="59"/>
  <c r="W3" i="59"/>
  <c r="X3" i="59"/>
  <c r="Y3" i="59"/>
  <c r="Z3" i="59"/>
  <c r="AA3" i="59"/>
  <c r="AB3" i="59"/>
  <c r="AC3" i="59"/>
  <c r="AD3" i="59"/>
  <c r="AE3" i="59"/>
  <c r="AF3" i="59"/>
  <c r="AG3" i="59"/>
  <c r="AH3" i="59"/>
  <c r="AI3" i="59"/>
  <c r="AJ3" i="59"/>
  <c r="AK3" i="59"/>
  <c r="AL3" i="59"/>
  <c r="AM3" i="59"/>
  <c r="AN3" i="59"/>
  <c r="AO3" i="59"/>
  <c r="AP3" i="59"/>
  <c r="AQ3" i="59"/>
  <c r="AR3" i="59"/>
  <c r="AS3" i="59"/>
  <c r="AT3" i="59"/>
  <c r="AU3" i="59"/>
  <c r="AV3" i="59"/>
  <c r="AW3" i="59"/>
  <c r="AX3" i="59"/>
  <c r="AY3" i="59"/>
  <c r="AZ3" i="59"/>
  <c r="BA3" i="59"/>
  <c r="BB3" i="59"/>
  <c r="BC3" i="59"/>
  <c r="BD3" i="59"/>
  <c r="BE3" i="59"/>
  <c r="BF3" i="59"/>
  <c r="BG3" i="59"/>
  <c r="BH3" i="59"/>
  <c r="BI3" i="59"/>
  <c r="BJ3" i="59"/>
  <c r="BK3" i="59"/>
  <c r="BL3" i="59"/>
  <c r="BM3" i="59"/>
  <c r="BN3" i="59"/>
  <c r="BO3" i="59"/>
  <c r="BP3" i="59"/>
  <c r="BQ3" i="59"/>
  <c r="BR3" i="59"/>
  <c r="BS3" i="59"/>
  <c r="BT3" i="59"/>
  <c r="BU3" i="59"/>
  <c r="BV3" i="59"/>
  <c r="BW3" i="59"/>
  <c r="BX3" i="59"/>
  <c r="BY3" i="59"/>
  <c r="BZ3" i="59"/>
  <c r="CA3" i="59"/>
  <c r="CB3" i="59"/>
  <c r="CC3" i="59"/>
  <c r="CD3" i="59"/>
  <c r="CE3" i="59"/>
  <c r="CF3" i="59"/>
  <c r="CG3" i="59"/>
  <c r="CH3" i="59"/>
  <c r="CI3" i="59"/>
  <c r="CJ3" i="59"/>
  <c r="CK3" i="59"/>
  <c r="CL3" i="59"/>
  <c r="CM3" i="59"/>
  <c r="CN3" i="59"/>
  <c r="CO3" i="59"/>
  <c r="CP3" i="59"/>
  <c r="CQ3" i="59"/>
  <c r="CR3" i="59"/>
  <c r="CS3" i="59"/>
  <c r="CT3" i="59"/>
  <c r="CU3" i="59"/>
  <c r="CV3" i="59"/>
  <c r="CW3" i="59"/>
  <c r="CX3" i="59"/>
  <c r="CY3" i="59"/>
  <c r="CZ3" i="59"/>
  <c r="DA3" i="59"/>
  <c r="DB3" i="59"/>
  <c r="DC3" i="59"/>
  <c r="DD3" i="59"/>
  <c r="DE3" i="59"/>
  <c r="DF3" i="59"/>
  <c r="DG3" i="59"/>
  <c r="DH3" i="59"/>
  <c r="DI3" i="59"/>
  <c r="DJ3" i="59"/>
  <c r="DK3" i="59"/>
  <c r="DL3" i="59"/>
  <c r="DM3" i="59"/>
  <c r="DN3" i="59"/>
  <c r="DO3" i="59"/>
  <c r="DP3" i="59"/>
  <c r="DQ3" i="59"/>
  <c r="DR3" i="59"/>
  <c r="DS3" i="59"/>
  <c r="DT3" i="59"/>
  <c r="DU3" i="59"/>
  <c r="DV3" i="59"/>
  <c r="DW3" i="59"/>
  <c r="DX3" i="59"/>
  <c r="DY3" i="59"/>
  <c r="DZ3" i="59"/>
  <c r="EA3" i="59"/>
  <c r="EB3" i="59"/>
  <c r="EC3" i="59"/>
  <c r="ED3" i="59"/>
  <c r="EE3" i="59"/>
  <c r="EF3" i="59"/>
  <c r="EG3" i="59"/>
  <c r="EH3" i="59"/>
  <c r="EI3" i="59"/>
  <c r="EJ3" i="59"/>
  <c r="EK3" i="59"/>
  <c r="EL3" i="59"/>
  <c r="EM3" i="59"/>
  <c r="EN3" i="59"/>
  <c r="EO3" i="59"/>
  <c r="EP3" i="59"/>
  <c r="EQ3" i="59"/>
  <c r="ER3" i="59"/>
  <c r="ES3" i="59"/>
  <c r="ET3" i="59"/>
  <c r="EU3" i="59"/>
  <c r="EV3" i="59"/>
  <c r="EW3" i="59"/>
  <c r="EX3" i="59"/>
  <c r="EY3" i="59"/>
  <c r="EZ3" i="59"/>
  <c r="FA3" i="59"/>
  <c r="FB3" i="59"/>
  <c r="FC3" i="59"/>
  <c r="FD3" i="59"/>
  <c r="FE3" i="59"/>
  <c r="FF3" i="59"/>
  <c r="FG3" i="59"/>
  <c r="FH3" i="59"/>
  <c r="FI3" i="59"/>
  <c r="FJ3" i="59"/>
  <c r="FK3" i="59"/>
  <c r="FL3" i="59"/>
  <c r="FM3" i="59"/>
  <c r="FN3" i="59"/>
  <c r="FO3" i="59"/>
  <c r="FP3" i="59"/>
  <c r="FQ3" i="59"/>
  <c r="FR3" i="59"/>
  <c r="FS3" i="59"/>
  <c r="FT3" i="59"/>
  <c r="FU3" i="59"/>
  <c r="FV3" i="59"/>
  <c r="FW3" i="59"/>
  <c r="FX3" i="59"/>
  <c r="FY3" i="59"/>
  <c r="FZ3" i="59"/>
  <c r="GA3" i="59"/>
  <c r="GB3" i="59"/>
  <c r="GC3" i="59"/>
  <c r="GD3" i="59"/>
  <c r="GE3" i="59"/>
  <c r="GF3" i="59"/>
  <c r="GG3" i="59"/>
  <c r="GH3" i="59"/>
  <c r="GI3" i="59"/>
  <c r="GJ3" i="59"/>
  <c r="GK3" i="59"/>
  <c r="GL3" i="59"/>
  <c r="GM3" i="59"/>
  <c r="GN3" i="59"/>
  <c r="GO3" i="59"/>
  <c r="GP3" i="59"/>
  <c r="GQ3" i="59"/>
  <c r="GR3" i="59"/>
  <c r="GS3" i="59"/>
  <c r="GT3" i="59"/>
  <c r="GU3" i="59"/>
  <c r="GV3" i="59"/>
  <c r="GW3" i="59"/>
  <c r="GX3" i="59"/>
  <c r="GY3" i="59"/>
  <c r="GZ3" i="59"/>
  <c r="HA3" i="59"/>
  <c r="HB3" i="59"/>
  <c r="HC3" i="59"/>
  <c r="HD3" i="59"/>
  <c r="HE3" i="59"/>
  <c r="HF3" i="59"/>
  <c r="HG3" i="59"/>
  <c r="HH3" i="59"/>
  <c r="HI3" i="59"/>
  <c r="HJ3" i="59"/>
  <c r="HK3" i="59"/>
  <c r="HL3" i="59"/>
  <c r="HM3" i="59"/>
  <c r="HN3" i="59"/>
  <c r="HO3" i="59"/>
  <c r="HP3" i="59"/>
  <c r="HQ3" i="59"/>
  <c r="HR3" i="59"/>
  <c r="HS3" i="59"/>
  <c r="HT3" i="59"/>
  <c r="HU3" i="59"/>
  <c r="HV3" i="59"/>
  <c r="HW3" i="59"/>
  <c r="HX3" i="59"/>
  <c r="HY3" i="59"/>
  <c r="HZ3" i="59"/>
  <c r="IA3" i="59"/>
  <c r="IB3" i="59"/>
  <c r="IC3" i="59"/>
  <c r="ID3" i="59"/>
  <c r="IE3" i="59"/>
  <c r="IF3" i="59"/>
  <c r="IG3" i="59"/>
  <c r="IH3" i="59"/>
  <c r="II3" i="59"/>
  <c r="IJ3" i="59"/>
  <c r="IK3" i="59"/>
  <c r="IL3" i="59"/>
  <c r="IM3" i="59"/>
  <c r="IN3" i="59"/>
  <c r="IO3" i="59"/>
  <c r="IP3" i="59"/>
  <c r="IQ3" i="59"/>
  <c r="IR3" i="59"/>
  <c r="IS3" i="59"/>
  <c r="IT3" i="59"/>
  <c r="IU3" i="59"/>
  <c r="IV3" i="59"/>
  <c r="F4" i="59"/>
  <c r="G4" i="59"/>
  <c r="H4" i="59"/>
  <c r="I4" i="59"/>
  <c r="J4" i="59"/>
  <c r="K4" i="59"/>
  <c r="L4" i="59"/>
  <c r="M4" i="59"/>
  <c r="N4" i="59"/>
  <c r="O4" i="59"/>
  <c r="P4" i="59"/>
  <c r="Q4" i="59"/>
  <c r="R4" i="59"/>
  <c r="S4" i="59"/>
  <c r="T4" i="59"/>
  <c r="U4" i="59"/>
  <c r="V4" i="59"/>
  <c r="W4" i="59"/>
  <c r="X4" i="59"/>
  <c r="Y4" i="59"/>
  <c r="Z4" i="59"/>
  <c r="AA4" i="59"/>
  <c r="AB4" i="59"/>
  <c r="AC4" i="59"/>
  <c r="AD4" i="59"/>
  <c r="AE4" i="59"/>
  <c r="AF4" i="59"/>
  <c r="AG4" i="59"/>
  <c r="AH4" i="59"/>
  <c r="AI4" i="59"/>
  <c r="AJ4" i="59"/>
  <c r="AK4" i="59"/>
  <c r="AL4" i="59"/>
  <c r="AM4" i="59"/>
  <c r="AN4" i="59"/>
  <c r="AO4" i="59"/>
  <c r="AP4" i="59"/>
  <c r="AQ4" i="59"/>
  <c r="AR4" i="59"/>
  <c r="AS4" i="59"/>
  <c r="AT4" i="59"/>
  <c r="AU4" i="59"/>
  <c r="AV4" i="59"/>
  <c r="AW4" i="59"/>
  <c r="AX4" i="59"/>
  <c r="AY4" i="59"/>
  <c r="AZ4" i="59"/>
  <c r="BA4" i="59"/>
  <c r="BB4" i="59"/>
  <c r="BC4" i="59"/>
  <c r="BD4" i="59"/>
  <c r="BE4" i="59"/>
  <c r="BF4" i="59"/>
  <c r="BG4" i="59"/>
  <c r="BH4" i="59"/>
  <c r="BI4" i="59"/>
  <c r="BJ4" i="59"/>
  <c r="BK4" i="59"/>
  <c r="BL4" i="59"/>
  <c r="BM4" i="59"/>
  <c r="BN4" i="59"/>
  <c r="BO4" i="59"/>
  <c r="BP4" i="59"/>
  <c r="BQ4" i="59"/>
  <c r="BR4" i="59"/>
  <c r="BS4" i="59"/>
  <c r="BT4" i="59"/>
  <c r="BU4" i="59"/>
  <c r="BV4" i="59"/>
  <c r="BW4" i="59"/>
  <c r="BX4" i="59"/>
  <c r="BY4" i="59"/>
  <c r="BZ4" i="59"/>
  <c r="CA4" i="59"/>
  <c r="CB4" i="59"/>
  <c r="CC4" i="59"/>
  <c r="CD4" i="59"/>
  <c r="CE4" i="59"/>
  <c r="CF4" i="59"/>
  <c r="CG4" i="59"/>
  <c r="CH4" i="59"/>
  <c r="CI4" i="59"/>
  <c r="CJ4" i="59"/>
  <c r="CK4" i="59"/>
  <c r="CL4" i="59"/>
  <c r="CM4" i="59"/>
  <c r="CN4" i="59"/>
  <c r="CO4" i="59"/>
  <c r="CP4" i="59"/>
  <c r="CQ4" i="59"/>
  <c r="CR4" i="59"/>
  <c r="CS4" i="59"/>
  <c r="CT4" i="59"/>
  <c r="CU4" i="59"/>
  <c r="CV4" i="59"/>
  <c r="CW4" i="59"/>
  <c r="CX4" i="59"/>
  <c r="CY4" i="59"/>
  <c r="CZ4" i="59"/>
  <c r="DA4" i="59"/>
  <c r="DB4" i="59"/>
  <c r="DC4" i="59"/>
  <c r="DD4" i="59"/>
  <c r="DE4" i="59"/>
  <c r="DF4" i="59"/>
  <c r="DG4" i="59"/>
  <c r="DH4" i="59"/>
  <c r="DI4" i="59"/>
  <c r="DJ4" i="59"/>
  <c r="DK4" i="59"/>
  <c r="DL4" i="59"/>
  <c r="DM4" i="59"/>
  <c r="DN4" i="59"/>
  <c r="DO4" i="59"/>
  <c r="DP4" i="59"/>
  <c r="DQ4" i="59"/>
  <c r="DR4" i="59"/>
  <c r="DS4" i="59"/>
  <c r="DT4" i="59"/>
  <c r="DV4" i="59"/>
  <c r="DW4" i="59"/>
  <c r="DX4" i="59"/>
  <c r="DY4" i="59"/>
  <c r="DZ4" i="59"/>
  <c r="EA4" i="59"/>
  <c r="EB4" i="59"/>
  <c r="EC4" i="59"/>
  <c r="ED4" i="59"/>
  <c r="EE4" i="59"/>
  <c r="EF4" i="59"/>
  <c r="EG4" i="59"/>
  <c r="EH4" i="59"/>
  <c r="EI4" i="59"/>
  <c r="EJ4" i="59"/>
  <c r="EK4" i="59"/>
  <c r="EL4" i="59"/>
  <c r="EM4" i="59"/>
  <c r="EN4" i="59"/>
  <c r="EP4" i="59"/>
  <c r="EQ4" i="59"/>
  <c r="ER4" i="59"/>
  <c r="ES4" i="59"/>
  <c r="ET4" i="59"/>
  <c r="EU4" i="59"/>
  <c r="EV4" i="59"/>
  <c r="EW4" i="59"/>
  <c r="EX4" i="59"/>
  <c r="EY4" i="59"/>
  <c r="EZ4" i="59"/>
  <c r="FA4" i="59"/>
  <c r="FB4" i="59"/>
  <c r="FC4" i="59"/>
  <c r="FD4" i="59"/>
  <c r="FE4" i="59"/>
  <c r="FF4" i="59"/>
  <c r="FG4" i="59"/>
  <c r="FH4" i="59"/>
  <c r="FI4" i="59"/>
  <c r="FJ4" i="59"/>
  <c r="FK4" i="59"/>
  <c r="FL4" i="59"/>
  <c r="FM4" i="59"/>
  <c r="FN4" i="59"/>
  <c r="FO4" i="59"/>
  <c r="FP4" i="59"/>
  <c r="FQ4" i="59"/>
  <c r="FR4" i="59"/>
  <c r="FS4" i="59"/>
  <c r="FT4" i="59"/>
  <c r="FU4" i="59"/>
  <c r="FV4" i="59"/>
  <c r="FW4" i="59"/>
  <c r="FX4" i="59"/>
  <c r="FY4" i="59"/>
  <c r="FZ4" i="59"/>
  <c r="GA4" i="59"/>
  <c r="GB4" i="59"/>
  <c r="GC4" i="59"/>
  <c r="GD4" i="59"/>
  <c r="GE4" i="59"/>
  <c r="GF4" i="59"/>
  <c r="GG4" i="59"/>
  <c r="GH4" i="59"/>
  <c r="GI4" i="59"/>
  <c r="GJ4" i="59"/>
  <c r="GK4" i="59"/>
  <c r="GL4" i="59"/>
  <c r="GM4" i="59"/>
  <c r="GN4" i="59"/>
  <c r="GO4" i="59"/>
  <c r="GP4" i="59"/>
  <c r="GQ4" i="59"/>
  <c r="GR4" i="59"/>
  <c r="GS4" i="59"/>
  <c r="GT4" i="59"/>
  <c r="GU4" i="59"/>
  <c r="GV4" i="59"/>
  <c r="GW4" i="59"/>
  <c r="GX4" i="59"/>
  <c r="GY4" i="59"/>
  <c r="GZ4" i="59"/>
  <c r="HA4" i="59"/>
  <c r="HB4" i="59"/>
  <c r="HC4" i="59"/>
  <c r="HD4" i="59"/>
  <c r="HE4" i="59"/>
  <c r="HF4" i="59"/>
  <c r="HG4" i="59"/>
  <c r="HH4" i="59"/>
  <c r="HI4" i="59"/>
  <c r="HJ4" i="59"/>
  <c r="HK4" i="59"/>
  <c r="HL4" i="59"/>
  <c r="HM4" i="59"/>
  <c r="HN4" i="59"/>
  <c r="HO4" i="59"/>
  <c r="HP4" i="59"/>
  <c r="HQ4" i="59"/>
  <c r="HR4" i="59"/>
  <c r="HS4" i="59"/>
  <c r="HT4" i="59"/>
  <c r="HU4" i="59"/>
  <c r="HV4" i="59"/>
  <c r="HW4" i="59"/>
  <c r="HX4" i="59"/>
  <c r="HY4" i="59"/>
  <c r="HZ4" i="59"/>
  <c r="IA4" i="59"/>
  <c r="IB4" i="59"/>
  <c r="IC4" i="59"/>
  <c r="ID4" i="59"/>
  <c r="IE4" i="59"/>
  <c r="IF4" i="59"/>
  <c r="IG4" i="59"/>
  <c r="IH4" i="59"/>
  <c r="II4" i="59"/>
  <c r="IJ4" i="59"/>
  <c r="IK4" i="59"/>
  <c r="IL4" i="59"/>
  <c r="IM4" i="59"/>
  <c r="IN4" i="59"/>
  <c r="IO4" i="59"/>
  <c r="IP4" i="59"/>
  <c r="IQ4" i="59"/>
  <c r="IR4" i="59"/>
  <c r="IS4" i="59"/>
  <c r="IT4" i="59"/>
  <c r="IU4" i="59"/>
  <c r="IV4" i="59"/>
  <c r="F5" i="59"/>
  <c r="G5" i="59"/>
  <c r="H5" i="59"/>
  <c r="I5" i="59"/>
  <c r="J5" i="59"/>
  <c r="K5" i="59"/>
  <c r="L5" i="59"/>
  <c r="M5" i="59"/>
  <c r="N5" i="59"/>
  <c r="O5" i="59"/>
  <c r="P5" i="59"/>
  <c r="Q5" i="59"/>
  <c r="R5" i="59"/>
  <c r="S5" i="59"/>
  <c r="T5" i="59"/>
  <c r="U5" i="59"/>
  <c r="V5" i="59"/>
  <c r="W5" i="59"/>
  <c r="X5" i="59"/>
  <c r="Y5" i="59"/>
  <c r="Z5" i="59"/>
  <c r="AA5" i="59"/>
  <c r="AB5" i="59"/>
  <c r="AC5" i="59"/>
  <c r="AD5" i="59"/>
  <c r="AE5" i="59"/>
  <c r="AF5" i="59"/>
  <c r="AG5" i="59"/>
  <c r="AH5" i="59"/>
  <c r="AI5" i="59"/>
  <c r="AJ5" i="59"/>
  <c r="AK5" i="59"/>
  <c r="AL5" i="59"/>
  <c r="AM5" i="59"/>
  <c r="AN5" i="59"/>
  <c r="AO5" i="59"/>
  <c r="AP5" i="59"/>
  <c r="AQ5" i="59"/>
  <c r="AR5" i="59"/>
  <c r="AS5" i="59"/>
  <c r="AT5" i="59"/>
  <c r="AU5" i="59"/>
  <c r="AV5" i="59"/>
  <c r="AW5" i="59"/>
  <c r="AX5" i="59"/>
  <c r="AY5" i="59"/>
  <c r="AZ5" i="59"/>
  <c r="BA5" i="59"/>
  <c r="BB5" i="59"/>
  <c r="BC5" i="59"/>
  <c r="BD5" i="59"/>
  <c r="BE5" i="59"/>
  <c r="BF5" i="59"/>
  <c r="BG5" i="59"/>
  <c r="BH5" i="59"/>
  <c r="BI5" i="59"/>
  <c r="BJ5" i="59"/>
  <c r="BK5" i="59"/>
  <c r="BL5" i="59"/>
  <c r="BM5" i="59"/>
  <c r="BN5" i="59"/>
  <c r="BO5" i="59"/>
  <c r="BP5" i="59"/>
  <c r="BQ5" i="59"/>
  <c r="BR5" i="59"/>
  <c r="BS5" i="59"/>
  <c r="BT5" i="59"/>
  <c r="BU5" i="59"/>
  <c r="BV5" i="59"/>
  <c r="BW5" i="59"/>
  <c r="BX5" i="59"/>
  <c r="BY5" i="59"/>
  <c r="BZ5" i="59"/>
  <c r="CA5" i="59"/>
  <c r="CB5" i="59"/>
  <c r="CC5" i="59"/>
  <c r="CD5" i="59"/>
  <c r="CE5" i="59"/>
  <c r="CF5" i="59"/>
  <c r="CG5" i="59"/>
  <c r="CH5" i="59"/>
  <c r="CI5" i="59"/>
  <c r="CJ5" i="59"/>
  <c r="CK5" i="59"/>
  <c r="CL5" i="59"/>
  <c r="CM5" i="59"/>
  <c r="CN5" i="59"/>
  <c r="CO5" i="59"/>
  <c r="CP5" i="59"/>
  <c r="CQ5" i="59"/>
  <c r="CR5" i="59"/>
  <c r="CS5" i="59"/>
  <c r="CT5" i="59"/>
  <c r="CU5" i="59"/>
  <c r="CV5" i="59"/>
  <c r="CW5" i="59"/>
  <c r="CX5" i="59"/>
  <c r="CY5" i="59"/>
  <c r="CZ5" i="59"/>
  <c r="DA5" i="59"/>
  <c r="DB5" i="59"/>
  <c r="DC5" i="59"/>
  <c r="DD5" i="59"/>
  <c r="DE5" i="59"/>
  <c r="DF5" i="59"/>
  <c r="DG5" i="59"/>
  <c r="DH5" i="59"/>
  <c r="DI5" i="59"/>
  <c r="DJ5" i="59"/>
  <c r="DK5" i="59"/>
  <c r="DL5" i="59"/>
  <c r="DM5" i="59"/>
  <c r="DN5" i="59"/>
  <c r="DO5" i="59"/>
  <c r="DP5" i="59"/>
  <c r="DQ5" i="59"/>
  <c r="DR5" i="59"/>
  <c r="DS5" i="59"/>
  <c r="DT5" i="59"/>
  <c r="DU5" i="59"/>
  <c r="DV5" i="59"/>
  <c r="DW5" i="59"/>
  <c r="DX5" i="59"/>
  <c r="DY5" i="59"/>
  <c r="DZ5" i="59"/>
  <c r="EA5" i="59"/>
  <c r="EB5" i="59"/>
  <c r="EC5" i="59"/>
  <c r="ED5" i="59"/>
  <c r="EE5" i="59"/>
  <c r="EF5" i="59"/>
  <c r="EG5" i="59"/>
  <c r="EH5" i="59"/>
  <c r="EI5" i="59"/>
  <c r="EJ5" i="59"/>
  <c r="EK5" i="59"/>
  <c r="EL5" i="59"/>
  <c r="EM5" i="59"/>
  <c r="EN5" i="59"/>
  <c r="EO5" i="59"/>
  <c r="EP5" i="59"/>
  <c r="EQ5" i="59"/>
  <c r="ER5" i="59"/>
  <c r="ES5" i="59"/>
  <c r="ET5" i="59"/>
  <c r="EU5" i="59"/>
  <c r="EV5" i="59"/>
  <c r="EW5" i="59"/>
  <c r="EX5" i="59"/>
  <c r="EY5" i="59"/>
  <c r="EZ5" i="59"/>
  <c r="FA5" i="59"/>
  <c r="FB5" i="59"/>
  <c r="FC5" i="59"/>
  <c r="FD5" i="59"/>
  <c r="FE5" i="59"/>
  <c r="FF5" i="59"/>
  <c r="FG5" i="59"/>
  <c r="FH5" i="59"/>
  <c r="FI5" i="59"/>
  <c r="FJ5" i="59"/>
  <c r="FK5" i="59"/>
  <c r="FL5" i="59"/>
  <c r="FM5" i="59"/>
  <c r="FN5" i="59"/>
  <c r="FO5" i="59"/>
  <c r="FP5" i="59"/>
  <c r="FQ5" i="59"/>
  <c r="FR5" i="59"/>
  <c r="FS5" i="59"/>
  <c r="FT5" i="59"/>
  <c r="FU5" i="59"/>
  <c r="FV5" i="59"/>
  <c r="FW5" i="59"/>
  <c r="FX5" i="59"/>
  <c r="FY5" i="59"/>
  <c r="FZ5" i="59"/>
  <c r="GA5" i="59"/>
  <c r="GB5" i="59"/>
  <c r="GC5" i="59"/>
  <c r="GD5" i="59"/>
  <c r="GE5" i="59"/>
  <c r="GF5" i="59"/>
  <c r="GG5" i="59"/>
  <c r="GH5" i="59"/>
  <c r="GI5" i="59"/>
  <c r="GJ5" i="59"/>
  <c r="GK5" i="59"/>
  <c r="GL5" i="59"/>
  <c r="GM5" i="59"/>
  <c r="GN5" i="59"/>
  <c r="GO5" i="59"/>
  <c r="GP5" i="59"/>
  <c r="GQ5" i="59"/>
  <c r="GR5" i="59"/>
  <c r="GS5" i="59"/>
  <c r="GT5" i="59"/>
  <c r="GU5" i="59"/>
  <c r="GV5" i="59"/>
  <c r="GW5" i="59"/>
  <c r="GX5" i="59"/>
  <c r="GY5" i="59"/>
  <c r="GZ5" i="59"/>
  <c r="HA5" i="59"/>
  <c r="HB5" i="59"/>
  <c r="HC5" i="59"/>
  <c r="HD5" i="59"/>
  <c r="HE5" i="59"/>
  <c r="HF5" i="59"/>
  <c r="HG5" i="59"/>
  <c r="HH5" i="59"/>
  <c r="HI5" i="59"/>
  <c r="HJ5" i="59"/>
  <c r="HK5" i="59"/>
  <c r="HL5" i="59"/>
  <c r="HM5" i="59"/>
  <c r="HN5" i="59"/>
  <c r="HO5" i="59"/>
  <c r="HP5" i="59"/>
  <c r="HQ5" i="59"/>
  <c r="HR5" i="59"/>
  <c r="HS5" i="59"/>
  <c r="HT5" i="59"/>
  <c r="HU5" i="59"/>
  <c r="HV5" i="59"/>
  <c r="HW5" i="59"/>
  <c r="HX5" i="59"/>
  <c r="HY5" i="59"/>
  <c r="HZ5" i="59"/>
  <c r="IA5" i="59"/>
  <c r="IB5" i="59"/>
  <c r="IC5" i="59"/>
  <c r="ID5" i="59"/>
  <c r="IE5" i="59"/>
  <c r="IF5" i="59"/>
  <c r="IG5" i="59"/>
  <c r="IH5" i="59"/>
  <c r="II5" i="59"/>
  <c r="IJ5" i="59"/>
  <c r="IK5" i="59"/>
  <c r="IL5" i="59"/>
  <c r="IM5" i="59"/>
  <c r="IN5" i="59"/>
  <c r="IO5" i="59"/>
  <c r="IP5" i="59"/>
  <c r="IQ5" i="59"/>
  <c r="IR5" i="59"/>
  <c r="IS5" i="59"/>
  <c r="IT5" i="59"/>
  <c r="IU5" i="59"/>
  <c r="IV5" i="59"/>
  <c r="F6" i="59"/>
  <c r="G6" i="59"/>
  <c r="H6" i="59"/>
  <c r="I6" i="59"/>
  <c r="J6" i="59"/>
  <c r="K6" i="59"/>
  <c r="L6" i="59"/>
  <c r="M6" i="59"/>
  <c r="N6" i="59"/>
  <c r="O6" i="59"/>
  <c r="P6" i="59"/>
  <c r="Q6" i="59"/>
  <c r="R6" i="59"/>
  <c r="S6" i="59"/>
  <c r="T6" i="59"/>
  <c r="U6" i="59"/>
  <c r="V6" i="59"/>
  <c r="W6" i="59"/>
  <c r="X6" i="59"/>
  <c r="Y6" i="59"/>
  <c r="Z6" i="59"/>
  <c r="AA6" i="59"/>
  <c r="AB6" i="59"/>
  <c r="AC6" i="59"/>
  <c r="AD6" i="59"/>
  <c r="AE6" i="59"/>
  <c r="AF6" i="59"/>
  <c r="AG6" i="59"/>
  <c r="AH6" i="59"/>
  <c r="AI6" i="59"/>
  <c r="AJ6" i="59"/>
  <c r="AK6" i="59"/>
  <c r="AL6" i="59"/>
  <c r="AM6" i="59"/>
  <c r="AN6" i="59"/>
  <c r="AO6" i="59"/>
  <c r="AP6" i="59"/>
  <c r="AQ6" i="59"/>
  <c r="AR6" i="59"/>
  <c r="AS6" i="59"/>
  <c r="AT6" i="59"/>
  <c r="AU6" i="59"/>
  <c r="AV6" i="59"/>
  <c r="AW6" i="59"/>
  <c r="AX6" i="59"/>
  <c r="AY6" i="59"/>
  <c r="AZ6" i="59"/>
  <c r="BA6" i="59"/>
  <c r="BB6" i="59"/>
  <c r="BC6" i="59"/>
  <c r="BD6" i="59"/>
  <c r="BE6" i="59"/>
  <c r="BF6" i="59"/>
  <c r="BG6" i="59"/>
  <c r="BH6" i="59"/>
  <c r="BI6" i="59"/>
  <c r="BJ6" i="59"/>
  <c r="BK6" i="59"/>
  <c r="BL6" i="59"/>
  <c r="BM6" i="59"/>
  <c r="BN6" i="59"/>
  <c r="BO6" i="59"/>
  <c r="BP6" i="59"/>
  <c r="BQ6" i="59"/>
  <c r="BR6" i="59"/>
  <c r="BS6" i="59"/>
  <c r="BT6" i="59"/>
  <c r="BU6" i="59"/>
  <c r="BV6" i="59"/>
  <c r="BW6" i="59"/>
  <c r="BX6" i="59"/>
  <c r="BY6" i="59"/>
  <c r="BZ6" i="59"/>
  <c r="CA6" i="59"/>
  <c r="CB6" i="59"/>
  <c r="CC6" i="59"/>
  <c r="CD6" i="59"/>
  <c r="CE6" i="59"/>
  <c r="CF6" i="59"/>
  <c r="CG6" i="59"/>
  <c r="CH6" i="59"/>
  <c r="CI6" i="59"/>
  <c r="CJ6" i="59"/>
  <c r="CK6" i="59"/>
  <c r="CL6" i="59"/>
  <c r="CM6" i="59"/>
  <c r="CN6" i="59"/>
  <c r="CO6" i="59"/>
  <c r="CP6" i="59"/>
  <c r="CQ6" i="59"/>
  <c r="CR6" i="59"/>
  <c r="CS6" i="59"/>
  <c r="CT6" i="59"/>
  <c r="CU6" i="59"/>
  <c r="CV6" i="59"/>
  <c r="CW6" i="59"/>
  <c r="CX6" i="59"/>
  <c r="CY6" i="59"/>
  <c r="CZ6" i="59"/>
  <c r="DA6" i="59"/>
  <c r="DB6" i="59"/>
  <c r="DC6" i="59"/>
  <c r="DD6" i="59"/>
  <c r="DE6" i="59"/>
  <c r="DF6" i="59"/>
  <c r="DG6" i="59"/>
  <c r="DH6" i="59"/>
  <c r="DI6" i="59"/>
  <c r="DJ6" i="59"/>
  <c r="DK6" i="59"/>
  <c r="DL6" i="59"/>
  <c r="DM6" i="59"/>
  <c r="DN6" i="59"/>
  <c r="DO6" i="59"/>
  <c r="DP6" i="59"/>
  <c r="DQ6" i="59"/>
  <c r="DR6" i="59"/>
  <c r="DS6" i="59"/>
  <c r="DT6" i="59"/>
  <c r="DU6" i="59"/>
  <c r="DV6" i="59"/>
  <c r="DW6" i="59"/>
  <c r="DX6" i="59"/>
  <c r="DY6" i="59"/>
  <c r="DZ6" i="59"/>
  <c r="EA6" i="59"/>
  <c r="EB6" i="59"/>
  <c r="EC6" i="59"/>
  <c r="ED6" i="59"/>
  <c r="EE6" i="59"/>
  <c r="EF6" i="59"/>
  <c r="EG6" i="59"/>
  <c r="EH6" i="59"/>
  <c r="EI6" i="59"/>
  <c r="EJ6" i="59"/>
  <c r="EK6" i="59"/>
  <c r="EL6" i="59"/>
  <c r="EM6" i="59"/>
  <c r="EN6" i="59"/>
  <c r="EO6" i="59"/>
  <c r="EP6" i="59"/>
  <c r="EQ6" i="59"/>
  <c r="ER6" i="59"/>
  <c r="ES6" i="59"/>
  <c r="ET6" i="59"/>
  <c r="EU6" i="59"/>
  <c r="EV6" i="59"/>
  <c r="EW6" i="59"/>
  <c r="EX6" i="59"/>
  <c r="EY6" i="59"/>
  <c r="EZ6" i="59"/>
  <c r="FA6" i="59"/>
  <c r="FB6" i="59"/>
  <c r="FC6" i="59"/>
  <c r="FD6" i="59"/>
  <c r="FE6" i="59"/>
  <c r="FF6" i="59"/>
  <c r="FG6" i="59"/>
  <c r="FH6" i="59"/>
  <c r="FI6" i="59"/>
  <c r="FJ6" i="59"/>
  <c r="FK6" i="59"/>
  <c r="FL6" i="59"/>
  <c r="FM6" i="59"/>
  <c r="FN6" i="59"/>
  <c r="FO6" i="59"/>
  <c r="FP6" i="59"/>
  <c r="FQ6" i="59"/>
  <c r="FR6" i="59"/>
  <c r="FS6" i="59"/>
  <c r="FT6" i="59"/>
  <c r="FU6" i="59"/>
  <c r="FV6" i="59"/>
  <c r="FW6" i="59"/>
  <c r="FX6" i="59"/>
  <c r="FY6" i="59"/>
  <c r="FZ6" i="59"/>
  <c r="GA6" i="59"/>
  <c r="GB6" i="59"/>
  <c r="GC6" i="59"/>
  <c r="GD6" i="59"/>
  <c r="GE6" i="59"/>
  <c r="GF6" i="59"/>
  <c r="GG6" i="59"/>
  <c r="GH6" i="59"/>
  <c r="GI6" i="59"/>
  <c r="GJ6" i="59"/>
  <c r="GK6" i="59"/>
  <c r="GL6" i="59"/>
  <c r="GM6" i="59"/>
  <c r="GN6" i="59"/>
  <c r="GO6" i="59"/>
  <c r="GP6" i="59"/>
  <c r="GQ6" i="59"/>
  <c r="GR6" i="59"/>
  <c r="GS6" i="59"/>
  <c r="GT6" i="59"/>
  <c r="GU6" i="59"/>
  <c r="GV6" i="59"/>
  <c r="GW6" i="59"/>
  <c r="GX6" i="59"/>
  <c r="GY6" i="59"/>
  <c r="GZ6" i="59"/>
  <c r="HA6" i="59"/>
  <c r="HB6" i="59"/>
  <c r="HC6" i="59"/>
  <c r="HD6" i="59"/>
  <c r="HE6" i="59"/>
  <c r="HF6" i="59"/>
  <c r="HG6" i="59"/>
  <c r="HH6" i="59"/>
  <c r="HI6" i="59"/>
  <c r="HJ6" i="59"/>
  <c r="HK6" i="59"/>
  <c r="HL6" i="59"/>
  <c r="HM6" i="59"/>
  <c r="HN6" i="59"/>
  <c r="HO6" i="59"/>
  <c r="HP6" i="59"/>
  <c r="HQ6" i="59"/>
  <c r="HR6" i="59"/>
  <c r="HS6" i="59"/>
  <c r="HT6" i="59"/>
  <c r="HU6" i="59"/>
  <c r="HV6" i="59"/>
  <c r="HW6" i="59"/>
  <c r="HX6" i="59"/>
  <c r="HY6" i="59"/>
  <c r="HZ6" i="59"/>
  <c r="IA6" i="59"/>
  <c r="IB6" i="59"/>
  <c r="IC6" i="59"/>
  <c r="ID6" i="59"/>
  <c r="IE6" i="59"/>
  <c r="IF6" i="59"/>
  <c r="IG6" i="59"/>
  <c r="IH6" i="59"/>
  <c r="II6" i="59"/>
  <c r="IJ6" i="59"/>
  <c r="IK6" i="59"/>
  <c r="IL6" i="59"/>
  <c r="IM6" i="59"/>
  <c r="IN6" i="59"/>
  <c r="IO6" i="59"/>
  <c r="IP6" i="59"/>
  <c r="IQ6" i="59"/>
  <c r="IR6" i="59"/>
  <c r="IS6" i="59"/>
  <c r="IT6" i="59"/>
  <c r="IU6" i="59"/>
  <c r="IV6" i="59"/>
  <c r="F7" i="59"/>
  <c r="G7" i="59"/>
  <c r="H7" i="59"/>
  <c r="I7" i="59"/>
  <c r="J7" i="59"/>
  <c r="K7" i="59"/>
  <c r="L7" i="59"/>
  <c r="M7" i="59"/>
  <c r="N7" i="59"/>
  <c r="O7" i="59"/>
  <c r="P7" i="59"/>
  <c r="Q7" i="59"/>
  <c r="R7" i="59"/>
  <c r="S7" i="59"/>
  <c r="T7" i="59"/>
  <c r="U7" i="59"/>
  <c r="V7" i="59"/>
  <c r="W7" i="59"/>
  <c r="X7" i="59"/>
  <c r="Y7" i="59"/>
  <c r="Z7" i="59"/>
  <c r="AA7" i="59"/>
  <c r="AB7" i="59"/>
  <c r="AC7" i="59"/>
  <c r="AD7" i="59"/>
  <c r="AE7" i="59"/>
  <c r="AF7" i="59"/>
  <c r="AG7" i="59"/>
  <c r="AH7" i="59"/>
  <c r="AI7" i="59"/>
  <c r="AJ7" i="59"/>
  <c r="AK7" i="59"/>
  <c r="AL7" i="59"/>
  <c r="AM7" i="59"/>
  <c r="AN7" i="59"/>
  <c r="AO7" i="59"/>
  <c r="AP7" i="59"/>
  <c r="AQ7" i="59"/>
  <c r="AR7" i="59"/>
  <c r="AS7" i="59"/>
  <c r="AT7" i="59"/>
  <c r="AU7" i="59"/>
  <c r="AV7" i="59"/>
  <c r="AW7" i="59"/>
  <c r="AX7" i="59"/>
  <c r="AY7" i="59"/>
  <c r="AZ7" i="59"/>
  <c r="BA7" i="59"/>
  <c r="BB7" i="59"/>
  <c r="BC7" i="59"/>
  <c r="BD7" i="59"/>
  <c r="BE7" i="59"/>
  <c r="BF7" i="59"/>
  <c r="BG7" i="59"/>
  <c r="BH7" i="59"/>
  <c r="BI7" i="59"/>
  <c r="BJ7" i="59"/>
  <c r="BK7" i="59"/>
  <c r="BL7" i="59"/>
  <c r="BM7" i="59"/>
  <c r="BN7" i="59"/>
  <c r="BO7" i="59"/>
  <c r="BP7" i="59"/>
  <c r="BQ7" i="59"/>
  <c r="BR7" i="59"/>
  <c r="BS7" i="59"/>
  <c r="BT7" i="59"/>
  <c r="BU7" i="59"/>
  <c r="BV7" i="59"/>
  <c r="BW7" i="59"/>
  <c r="BX7" i="59"/>
  <c r="BY7" i="59"/>
  <c r="BZ7" i="59"/>
  <c r="CA7" i="59"/>
  <c r="CB7" i="59"/>
  <c r="CC7" i="59"/>
  <c r="CD7" i="59"/>
  <c r="CE7" i="59"/>
  <c r="CF7" i="59"/>
  <c r="CG7" i="59"/>
  <c r="CH7" i="59"/>
  <c r="CI7" i="59"/>
  <c r="CJ7" i="59"/>
  <c r="CK7" i="59"/>
  <c r="CL7" i="59"/>
  <c r="CM7" i="59"/>
  <c r="CN7" i="59"/>
  <c r="CO7" i="59"/>
  <c r="CP7" i="59"/>
  <c r="CQ7" i="59"/>
  <c r="CR7" i="59"/>
  <c r="CS7" i="59"/>
  <c r="CT7" i="59"/>
  <c r="CU7" i="59"/>
  <c r="CV7" i="59"/>
  <c r="CW7" i="59"/>
  <c r="CX7" i="59"/>
  <c r="CY7" i="59"/>
  <c r="CZ7" i="59"/>
  <c r="DA7" i="59"/>
  <c r="DB7" i="59"/>
  <c r="DC7" i="59"/>
  <c r="DD7" i="59"/>
  <c r="DE7" i="59"/>
  <c r="DF7" i="59"/>
  <c r="DG7" i="59"/>
  <c r="DH7" i="59"/>
  <c r="DI7" i="59"/>
  <c r="DJ7" i="59"/>
  <c r="DK7" i="59"/>
  <c r="DL7" i="59"/>
  <c r="DM7" i="59"/>
  <c r="DN7" i="59"/>
  <c r="DO7" i="59"/>
  <c r="DP7" i="59"/>
  <c r="DQ7" i="59"/>
  <c r="DR7" i="59"/>
  <c r="DS7" i="59"/>
  <c r="DT7" i="59"/>
  <c r="DU7" i="59"/>
  <c r="DV7" i="59"/>
  <c r="DW7" i="59"/>
  <c r="DX7" i="59"/>
  <c r="DY7" i="59"/>
  <c r="DZ7" i="59"/>
  <c r="EA7" i="59"/>
  <c r="EB7" i="59"/>
  <c r="EC7" i="59"/>
  <c r="ED7" i="59"/>
  <c r="EE7" i="59"/>
  <c r="EF7" i="59"/>
  <c r="EG7" i="59"/>
  <c r="EH7" i="59"/>
  <c r="EI7" i="59"/>
  <c r="EJ7" i="59"/>
  <c r="EK7" i="59"/>
  <c r="EL7" i="59"/>
  <c r="EM7" i="59"/>
  <c r="EN7" i="59"/>
  <c r="EO7" i="59"/>
  <c r="EP7" i="59"/>
  <c r="EQ7" i="59"/>
  <c r="ER7" i="59"/>
  <c r="ES7" i="59"/>
  <c r="ET7" i="59"/>
  <c r="EU7" i="59"/>
  <c r="EV7" i="59"/>
  <c r="EW7" i="59"/>
  <c r="EX7" i="59"/>
  <c r="EY7" i="59"/>
  <c r="EZ7" i="59"/>
  <c r="FA7" i="59"/>
  <c r="FB7" i="59"/>
  <c r="FC7" i="59"/>
  <c r="FD7" i="59"/>
  <c r="FE7" i="59"/>
  <c r="FF7" i="59"/>
  <c r="FG7" i="59"/>
  <c r="FH7" i="59"/>
  <c r="FI7" i="59"/>
  <c r="FJ7" i="59"/>
  <c r="FK7" i="59"/>
  <c r="FL7" i="59"/>
  <c r="FM7" i="59"/>
  <c r="FN7" i="59"/>
  <c r="FO7" i="59"/>
  <c r="FP7" i="59"/>
  <c r="FQ7" i="59"/>
  <c r="FR7" i="59"/>
  <c r="FS7" i="59"/>
  <c r="FT7" i="59"/>
  <c r="FU7" i="59"/>
  <c r="FV7" i="59"/>
  <c r="FW7" i="59"/>
  <c r="FX7" i="59"/>
  <c r="FY7" i="59"/>
  <c r="FZ7" i="59"/>
  <c r="GA7" i="59"/>
  <c r="GB7" i="59"/>
  <c r="GC7" i="59"/>
  <c r="GD7" i="59"/>
  <c r="GE7" i="59"/>
  <c r="GF7" i="59"/>
  <c r="GG7" i="59"/>
  <c r="GH7" i="59"/>
  <c r="GI7" i="59"/>
  <c r="GJ7" i="59"/>
  <c r="GK7" i="59"/>
  <c r="GL7" i="59"/>
  <c r="GM7" i="59"/>
  <c r="GN7" i="59"/>
  <c r="GO7" i="59"/>
  <c r="GP7" i="59"/>
  <c r="GQ7" i="59"/>
  <c r="GR7" i="59"/>
  <c r="GS7" i="59"/>
  <c r="GT7" i="59"/>
  <c r="GU7" i="59"/>
  <c r="GV7" i="59"/>
  <c r="GW7" i="59"/>
  <c r="GX7" i="59"/>
  <c r="GY7" i="59"/>
  <c r="GZ7" i="59"/>
  <c r="HA7" i="59"/>
  <c r="HB7" i="59"/>
  <c r="HC7" i="59"/>
  <c r="HD7" i="59"/>
  <c r="HE7" i="59"/>
  <c r="HF7" i="59"/>
  <c r="HG7" i="59"/>
  <c r="HI7" i="59"/>
  <c r="HK7" i="59"/>
  <c r="HL7" i="59"/>
  <c r="HM7" i="59"/>
  <c r="HN7" i="59"/>
  <c r="HO7" i="59"/>
  <c r="HP7" i="59"/>
  <c r="HQ7" i="59"/>
  <c r="HR7" i="59"/>
  <c r="HS7" i="59"/>
  <c r="HT7" i="59"/>
  <c r="HU7" i="59"/>
  <c r="HV7" i="59"/>
  <c r="HW7" i="59"/>
  <c r="HX7" i="59"/>
  <c r="HY7" i="59"/>
  <c r="HZ7" i="59"/>
  <c r="IA7" i="59"/>
  <c r="IB7" i="59"/>
  <c r="IC7" i="59"/>
  <c r="ID7" i="59"/>
  <c r="IE7" i="59"/>
  <c r="IF7" i="59"/>
  <c r="IG7" i="59"/>
  <c r="IH7" i="59"/>
  <c r="II7" i="59"/>
  <c r="IJ7" i="59"/>
  <c r="IK7" i="59"/>
  <c r="IL7" i="59"/>
  <c r="IM7" i="59"/>
  <c r="IN7" i="59"/>
  <c r="IO7" i="59"/>
  <c r="IP7" i="59"/>
  <c r="IQ7" i="59"/>
  <c r="IR7" i="59"/>
  <c r="IS7" i="59"/>
  <c r="IU7" i="59"/>
  <c r="F8" i="59"/>
  <c r="G8" i="59"/>
  <c r="H8" i="59"/>
  <c r="I8" i="59"/>
  <c r="J8" i="59"/>
  <c r="K8" i="59"/>
  <c r="L8" i="59"/>
  <c r="M8" i="59"/>
  <c r="N8" i="59"/>
  <c r="O8" i="59"/>
  <c r="P8" i="59"/>
  <c r="Q8" i="59"/>
  <c r="R8" i="59"/>
  <c r="S8" i="59"/>
  <c r="T8" i="59"/>
  <c r="U8" i="59"/>
  <c r="V8" i="59"/>
  <c r="W8" i="59"/>
  <c r="X8" i="59"/>
  <c r="Y8" i="59"/>
  <c r="Z8" i="59"/>
  <c r="AA8" i="59"/>
  <c r="AB8" i="59"/>
  <c r="AC8" i="59"/>
  <c r="AD8" i="59"/>
  <c r="AE8" i="59"/>
  <c r="AF8" i="59"/>
  <c r="AG8" i="59"/>
  <c r="AH8" i="59"/>
  <c r="AI8" i="59"/>
  <c r="AJ8" i="59"/>
  <c r="AK8" i="59"/>
  <c r="AL8" i="59"/>
  <c r="AM8" i="59"/>
  <c r="AN8" i="59"/>
  <c r="AP8" i="59"/>
  <c r="AR8" i="59"/>
  <c r="AS8" i="59"/>
  <c r="AT8" i="59"/>
  <c r="AU8" i="59"/>
  <c r="AV8" i="59"/>
  <c r="AW8" i="59"/>
  <c r="AX8" i="59"/>
  <c r="AY8" i="59"/>
  <c r="AZ8" i="59"/>
  <c r="BA8" i="59"/>
  <c r="BB8" i="59"/>
  <c r="BC8" i="59"/>
  <c r="BD8" i="59"/>
  <c r="BE8" i="59"/>
  <c r="BF8" i="59"/>
  <c r="BG8" i="59"/>
  <c r="BH8" i="59"/>
  <c r="BI8" i="59"/>
  <c r="BJ8" i="59"/>
  <c r="BK8" i="59"/>
  <c r="BL8" i="59"/>
  <c r="BM8" i="59"/>
  <c r="BN8" i="59"/>
  <c r="BO8" i="59"/>
  <c r="BP8" i="59"/>
  <c r="BQ8" i="59"/>
  <c r="BR8" i="59"/>
  <c r="BS8" i="59"/>
  <c r="BT8" i="59"/>
  <c r="BU8" i="59"/>
  <c r="BV8" i="59"/>
  <c r="BW8" i="59"/>
  <c r="BX8" i="59"/>
  <c r="BY8" i="59"/>
  <c r="BZ8" i="59"/>
  <c r="CB8" i="59"/>
  <c r="CD8" i="59"/>
  <c r="CE8" i="59"/>
  <c r="CF8" i="59"/>
  <c r="CG8" i="59"/>
  <c r="CH8" i="59"/>
  <c r="CI8" i="59"/>
  <c r="CJ8" i="59"/>
  <c r="CK8" i="59"/>
  <c r="CL8" i="59"/>
  <c r="CM8" i="59"/>
  <c r="CN8" i="59"/>
  <c r="CO8" i="59"/>
  <c r="CP8" i="59"/>
  <c r="CQ8" i="59"/>
  <c r="CR8" i="59"/>
  <c r="CS8" i="59"/>
  <c r="CT8" i="59"/>
  <c r="CU8" i="59"/>
  <c r="CV8" i="59"/>
  <c r="CW8" i="59"/>
  <c r="CX8" i="59"/>
  <c r="CY8" i="59"/>
  <c r="CZ8" i="59"/>
  <c r="DA8" i="59"/>
  <c r="DB8" i="59"/>
  <c r="DC8" i="59"/>
  <c r="DD8" i="59"/>
  <c r="DE8" i="59"/>
  <c r="DF8" i="59"/>
  <c r="DG8" i="59"/>
  <c r="DH8" i="59"/>
  <c r="DI8" i="59"/>
  <c r="DJ8" i="59"/>
  <c r="DK8" i="59"/>
  <c r="DL8" i="59"/>
  <c r="DN8" i="59"/>
  <c r="DP8" i="59"/>
  <c r="DQ8" i="59"/>
  <c r="DR8" i="59"/>
  <c r="DS8" i="59"/>
  <c r="DT8" i="59"/>
  <c r="DU8" i="59"/>
  <c r="DV8" i="59"/>
  <c r="DW8" i="59"/>
  <c r="DX8" i="59"/>
  <c r="DY8" i="59"/>
  <c r="DZ8" i="59"/>
  <c r="EA8" i="59"/>
  <c r="EB8" i="59"/>
  <c r="EC8" i="59"/>
  <c r="ED8" i="59"/>
  <c r="EE8" i="59"/>
  <c r="EF8" i="59"/>
  <c r="EG8" i="59"/>
  <c r="EH8" i="59"/>
  <c r="EI8" i="59"/>
  <c r="EJ8" i="59"/>
  <c r="EK8" i="59"/>
  <c r="EL8" i="59"/>
  <c r="EM8" i="59"/>
  <c r="EN8" i="59"/>
  <c r="EO8" i="59"/>
  <c r="EP8" i="59"/>
  <c r="EQ8" i="59"/>
  <c r="ER8" i="59"/>
  <c r="ES8" i="59"/>
  <c r="ET8" i="59"/>
  <c r="EU8" i="59"/>
  <c r="EV8" i="59"/>
  <c r="EW8" i="59"/>
  <c r="EX8" i="59"/>
  <c r="EZ8" i="59"/>
  <c r="FB8" i="59"/>
  <c r="FC8" i="59"/>
  <c r="FD8" i="59"/>
  <c r="FE8" i="59"/>
  <c r="FF8" i="59"/>
  <c r="FG8" i="59"/>
  <c r="FH8" i="59"/>
  <c r="FI8" i="59"/>
  <c r="FJ8" i="59"/>
  <c r="FK8" i="59"/>
  <c r="FL8" i="59"/>
  <c r="FM8" i="59"/>
  <c r="FN8" i="59"/>
  <c r="FO8" i="59"/>
  <c r="FP8" i="59"/>
  <c r="FQ8" i="59"/>
  <c r="FR8" i="59"/>
  <c r="FS8" i="59"/>
  <c r="FT8" i="59"/>
  <c r="FU8" i="59"/>
  <c r="FV8" i="59"/>
  <c r="FW8" i="59"/>
  <c r="FX8" i="59"/>
  <c r="FY8" i="59"/>
  <c r="FZ8" i="59"/>
  <c r="GA8" i="59"/>
  <c r="GB8" i="59"/>
  <c r="GC8" i="59"/>
  <c r="GD8" i="59"/>
  <c r="GE8" i="59"/>
  <c r="GF8" i="59"/>
  <c r="GG8" i="59"/>
  <c r="GH8" i="59"/>
  <c r="GI8" i="59"/>
  <c r="GJ8" i="59"/>
  <c r="GL8" i="59"/>
  <c r="GN8" i="59"/>
  <c r="GO8" i="59"/>
  <c r="GP8" i="59"/>
  <c r="GQ8" i="59"/>
  <c r="GR8" i="59"/>
  <c r="GS8" i="59"/>
  <c r="GT8" i="59"/>
  <c r="GU8" i="59"/>
  <c r="GV8" i="59"/>
  <c r="GW8" i="59"/>
  <c r="GX8" i="59"/>
  <c r="GY8" i="59"/>
  <c r="GZ8" i="59"/>
  <c r="HA8" i="59"/>
  <c r="HB8" i="59"/>
  <c r="HC8" i="59"/>
  <c r="HD8" i="59"/>
  <c r="HE8" i="59"/>
  <c r="HF8" i="59"/>
  <c r="HG8" i="59"/>
  <c r="HH8" i="59"/>
  <c r="HI8" i="59"/>
  <c r="HJ8" i="59"/>
  <c r="HK8" i="59"/>
  <c r="HL8" i="59"/>
  <c r="HM8" i="59"/>
  <c r="HN8" i="59"/>
  <c r="HO8" i="59"/>
  <c r="HP8" i="59"/>
  <c r="HQ8" i="59"/>
  <c r="HR8" i="59"/>
  <c r="HS8" i="59"/>
  <c r="HT8" i="59"/>
  <c r="HU8" i="59"/>
  <c r="HV8" i="59"/>
  <c r="HX8" i="59"/>
  <c r="HZ8" i="59"/>
  <c r="IA8" i="59"/>
  <c r="IB8" i="59"/>
  <c r="IC8" i="59"/>
  <c r="ID8" i="59"/>
  <c r="IE8" i="59"/>
  <c r="IF8" i="59"/>
  <c r="IG8" i="59"/>
  <c r="IH8" i="59"/>
  <c r="II8" i="59"/>
  <c r="IJ8" i="59"/>
  <c r="IK8" i="59"/>
  <c r="IL8" i="59"/>
  <c r="IM8" i="59"/>
  <c r="IN8" i="59"/>
  <c r="IO8" i="59"/>
  <c r="IP8" i="59"/>
  <c r="IQ8" i="59"/>
  <c r="IR8" i="59"/>
  <c r="IS8" i="59"/>
  <c r="IT8" i="59"/>
  <c r="IU8" i="59"/>
  <c r="IV8" i="59"/>
  <c r="F9" i="59"/>
  <c r="G9" i="59"/>
  <c r="H9" i="59"/>
  <c r="I9" i="59"/>
  <c r="J9" i="59"/>
  <c r="K9" i="59"/>
  <c r="L9" i="59"/>
  <c r="M9" i="59"/>
  <c r="N9" i="59"/>
  <c r="O9" i="59"/>
  <c r="P9" i="59"/>
  <c r="Q9" i="59"/>
  <c r="S9" i="59"/>
  <c r="U9" i="59"/>
  <c r="V9" i="59"/>
  <c r="W9" i="59"/>
  <c r="X9" i="59"/>
  <c r="Y9" i="59"/>
  <c r="Z9" i="59"/>
  <c r="AA9" i="59"/>
  <c r="AB9" i="59"/>
  <c r="AC9" i="59"/>
  <c r="AD9" i="59"/>
  <c r="AE9" i="59"/>
  <c r="AF9" i="59"/>
  <c r="AG9" i="59"/>
  <c r="AH9" i="59"/>
  <c r="AI9" i="59"/>
  <c r="AJ9" i="59"/>
  <c r="AK9" i="59"/>
  <c r="AL9" i="59"/>
  <c r="AM9" i="59"/>
  <c r="AN9" i="59"/>
  <c r="AO9" i="59"/>
  <c r="AP9" i="59"/>
  <c r="AQ9" i="59"/>
  <c r="AR9" i="59"/>
  <c r="AS9" i="59"/>
  <c r="AT9" i="59"/>
  <c r="AU9" i="59"/>
  <c r="AV9" i="59"/>
  <c r="AW9" i="59"/>
  <c r="AX9" i="59"/>
  <c r="AY9" i="59"/>
  <c r="AZ9" i="59"/>
  <c r="BA9" i="59"/>
  <c r="BB9" i="59"/>
  <c r="BC9" i="59"/>
  <c r="BE9" i="59"/>
  <c r="BG9" i="59"/>
  <c r="BH9" i="59"/>
  <c r="BI9" i="59"/>
  <c r="BJ9" i="59"/>
  <c r="BK9" i="59"/>
  <c r="BL9" i="59"/>
  <c r="BM9" i="59"/>
  <c r="BN9" i="59"/>
  <c r="BO9" i="59"/>
  <c r="BP9" i="59"/>
  <c r="BQ9" i="59"/>
  <c r="BR9" i="59"/>
  <c r="BS9" i="59"/>
  <c r="BT9" i="59"/>
  <c r="BU9" i="59"/>
  <c r="BV9" i="59"/>
  <c r="BW9" i="59"/>
  <c r="BX9" i="59"/>
  <c r="BY9" i="59"/>
  <c r="BZ9" i="59"/>
  <c r="CA9" i="59"/>
  <c r="CB9" i="59"/>
  <c r="CC9" i="59"/>
  <c r="CD9" i="59"/>
  <c r="CE9" i="59"/>
  <c r="CF9" i="59"/>
  <c r="CG9" i="59"/>
  <c r="CH9" i="59"/>
  <c r="CI9" i="59"/>
  <c r="CJ9" i="59"/>
  <c r="CK9" i="59"/>
  <c r="CL9" i="59"/>
  <c r="CM9" i="59"/>
  <c r="CN9" i="59"/>
  <c r="CO9" i="59"/>
  <c r="CP9" i="59"/>
  <c r="CQ9" i="59"/>
  <c r="CR9" i="59"/>
  <c r="CS9" i="59"/>
  <c r="CT9" i="59"/>
  <c r="CU9" i="59"/>
  <c r="CV9" i="59"/>
  <c r="CW9" i="59"/>
  <c r="CX9" i="59"/>
  <c r="CY9" i="59"/>
  <c r="CZ9" i="59"/>
  <c r="DA9" i="59"/>
  <c r="DB9" i="59"/>
  <c r="DC9" i="59"/>
  <c r="DD9" i="59"/>
  <c r="DE9" i="59"/>
  <c r="DF9" i="59"/>
  <c r="DG9" i="59"/>
  <c r="DH9" i="59"/>
  <c r="DI9" i="59"/>
  <c r="DJ9" i="59"/>
  <c r="DK9" i="59"/>
  <c r="DL9" i="59"/>
  <c r="DM9" i="59"/>
  <c r="DN9" i="59"/>
  <c r="DO9" i="59"/>
  <c r="DP9" i="59"/>
  <c r="DQ9" i="59"/>
  <c r="DR9" i="59"/>
  <c r="DS9" i="59"/>
  <c r="DT9" i="59"/>
  <c r="DU9" i="59"/>
  <c r="DV9" i="59"/>
  <c r="DW9" i="59"/>
  <c r="DX9" i="59"/>
  <c r="DY9" i="59"/>
  <c r="DZ9" i="59"/>
  <c r="EA9" i="59"/>
  <c r="EB9" i="59"/>
  <c r="EC9" i="59"/>
  <c r="ED9" i="59"/>
  <c r="EE9" i="59"/>
  <c r="EF9" i="59"/>
  <c r="EG9" i="59"/>
  <c r="EH9" i="59"/>
  <c r="EI9" i="59"/>
  <c r="EJ9" i="59"/>
  <c r="EK9" i="59"/>
  <c r="EL9" i="59"/>
  <c r="EM9" i="59"/>
  <c r="EN9" i="59"/>
  <c r="EO9" i="59"/>
  <c r="EP9" i="59"/>
  <c r="EQ9" i="59"/>
  <c r="ER9" i="59"/>
  <c r="ES9" i="59"/>
  <c r="ET9" i="59"/>
  <c r="EU9" i="59"/>
  <c r="EV9" i="59"/>
  <c r="EW9" i="59"/>
  <c r="EX9" i="59"/>
  <c r="EY9" i="59"/>
  <c r="EZ9" i="59"/>
  <c r="FA9" i="59"/>
  <c r="FB9" i="59"/>
  <c r="FC9" i="59"/>
  <c r="FD9" i="59"/>
  <c r="FE9" i="59"/>
  <c r="FF9" i="59"/>
  <c r="FG9" i="59"/>
  <c r="FH9" i="59"/>
  <c r="FI9" i="59"/>
  <c r="FJ9" i="59"/>
  <c r="FK9" i="59"/>
  <c r="FL9" i="59"/>
  <c r="FM9" i="59"/>
  <c r="FN9" i="59"/>
  <c r="FO9" i="59"/>
  <c r="FP9" i="59"/>
  <c r="FQ9" i="59"/>
  <c r="FR9" i="59"/>
  <c r="FS9" i="59"/>
  <c r="FT9" i="59"/>
  <c r="FU9" i="59"/>
  <c r="FV9" i="59"/>
  <c r="FW9" i="59"/>
  <c r="FX9" i="59"/>
  <c r="FY9" i="59"/>
  <c r="FZ9" i="59"/>
  <c r="GA9" i="59"/>
  <c r="GB9" i="59"/>
  <c r="GC9" i="59"/>
  <c r="GD9" i="59"/>
  <c r="GE9" i="59"/>
  <c r="GF9" i="59"/>
  <c r="GG9" i="59"/>
  <c r="GH9" i="59"/>
  <c r="GI9" i="59"/>
  <c r="GJ9" i="59"/>
  <c r="GK9" i="59"/>
  <c r="GL9" i="59"/>
  <c r="GM9" i="59"/>
  <c r="GN9" i="59"/>
  <c r="GO9" i="59"/>
  <c r="GP9" i="59"/>
  <c r="GQ9" i="59"/>
  <c r="GR9" i="59"/>
  <c r="GS9" i="59"/>
  <c r="GT9" i="59"/>
  <c r="GU9" i="59"/>
  <c r="GV9" i="59"/>
  <c r="GW9" i="59"/>
  <c r="GX9" i="59"/>
  <c r="GY9" i="59"/>
  <c r="GZ9" i="59"/>
  <c r="HA9" i="59"/>
  <c r="HB9" i="59"/>
  <c r="HC9" i="59"/>
  <c r="HD9" i="59"/>
  <c r="HE9" i="59"/>
  <c r="HF9" i="59"/>
  <c r="HG9" i="59"/>
  <c r="HH9" i="59"/>
  <c r="HI9" i="59"/>
  <c r="HJ9" i="59"/>
  <c r="HK9" i="59"/>
  <c r="HL9" i="59"/>
  <c r="HM9" i="59"/>
  <c r="HN9" i="59"/>
  <c r="HO9" i="59"/>
  <c r="HP9" i="59"/>
  <c r="HQ9" i="59"/>
  <c r="HR9" i="59"/>
  <c r="HS9" i="59"/>
  <c r="HT9" i="59"/>
  <c r="HU9" i="59"/>
  <c r="HV9" i="59"/>
  <c r="HW9" i="59"/>
  <c r="HX9" i="59"/>
  <c r="HY9" i="59"/>
  <c r="HZ9" i="59"/>
  <c r="IA9" i="59"/>
  <c r="IB9" i="59"/>
  <c r="IC9" i="59"/>
  <c r="ID9" i="59"/>
  <c r="IE9" i="59"/>
  <c r="IF9" i="59"/>
  <c r="IG9" i="59"/>
  <c r="IH9" i="59"/>
  <c r="II9" i="59"/>
  <c r="IJ9" i="59"/>
  <c r="IK9" i="59"/>
  <c r="IL9" i="59"/>
  <c r="IM9" i="59"/>
  <c r="IN9" i="59"/>
  <c r="IO9" i="59"/>
  <c r="IP9" i="59"/>
  <c r="IQ9" i="59"/>
  <c r="IR9" i="59"/>
  <c r="IS9" i="59"/>
  <c r="IT9" i="59"/>
  <c r="IU9" i="59"/>
  <c r="IV9" i="59"/>
  <c r="F10" i="59"/>
  <c r="G10" i="59"/>
  <c r="H10" i="59"/>
  <c r="I10" i="59"/>
  <c r="J10" i="59"/>
  <c r="K10" i="59"/>
  <c r="L10" i="59"/>
  <c r="M10" i="59"/>
  <c r="N10" i="59"/>
  <c r="O10" i="59"/>
  <c r="P10" i="59"/>
  <c r="Q10" i="59"/>
  <c r="R10" i="59"/>
  <c r="S10" i="59"/>
  <c r="T10" i="59"/>
  <c r="U10" i="59"/>
  <c r="V10" i="59"/>
  <c r="W10" i="59"/>
  <c r="X10" i="59"/>
  <c r="Y10" i="59"/>
  <c r="Z10" i="59"/>
  <c r="AA10" i="59"/>
  <c r="AB10" i="59"/>
  <c r="AC10" i="59"/>
  <c r="AD10" i="59"/>
  <c r="AE10" i="59"/>
  <c r="AF10" i="59"/>
  <c r="AG10" i="59"/>
  <c r="AH10" i="59"/>
  <c r="AI10" i="59"/>
  <c r="AJ10" i="59"/>
  <c r="AK10" i="59"/>
  <c r="AL10" i="59"/>
  <c r="AM10" i="59"/>
  <c r="AN10" i="59"/>
  <c r="AO10" i="59"/>
  <c r="AP10" i="59"/>
  <c r="AQ10" i="59"/>
  <c r="AR10" i="59"/>
  <c r="AS10" i="59"/>
  <c r="AT10" i="59"/>
  <c r="AU10" i="59"/>
  <c r="AV10" i="59"/>
  <c r="AW10" i="59"/>
  <c r="AX10" i="59"/>
  <c r="AY10" i="59"/>
  <c r="AZ10" i="59"/>
  <c r="BA10" i="59"/>
  <c r="BB10" i="59"/>
  <c r="BC10" i="59"/>
  <c r="BD10" i="59"/>
  <c r="BE10" i="59"/>
  <c r="BF10" i="59"/>
  <c r="BG10" i="59"/>
  <c r="BH10" i="59"/>
  <c r="BI10" i="59"/>
  <c r="BJ10" i="59"/>
  <c r="BK10" i="59"/>
  <c r="BL10" i="59"/>
  <c r="BM10" i="59"/>
  <c r="BN10" i="59"/>
  <c r="BO10" i="59"/>
  <c r="BP10" i="59"/>
  <c r="BQ10" i="59"/>
  <c r="BR10" i="59"/>
  <c r="BS10" i="59"/>
  <c r="BT10" i="59"/>
  <c r="BU10" i="59"/>
  <c r="BV10" i="59"/>
  <c r="BW10" i="59"/>
  <c r="BX10" i="59"/>
  <c r="BY10" i="59"/>
  <c r="BZ10" i="59"/>
  <c r="CA10" i="59"/>
  <c r="CB10" i="59"/>
  <c r="CC10" i="59"/>
  <c r="CD10" i="59"/>
  <c r="CE10" i="59"/>
  <c r="CF10" i="59"/>
  <c r="CG10" i="59"/>
  <c r="CH10" i="59"/>
  <c r="CI10" i="59"/>
  <c r="CJ10" i="59"/>
  <c r="CK10" i="59"/>
  <c r="CL10" i="59"/>
  <c r="CM10" i="59"/>
  <c r="CN10" i="59"/>
  <c r="CO10" i="59"/>
  <c r="CP10" i="59"/>
  <c r="CQ10" i="59"/>
  <c r="CR10" i="59"/>
  <c r="CS10" i="59"/>
  <c r="CT10" i="59"/>
  <c r="CU10" i="59"/>
  <c r="CV10" i="59"/>
  <c r="CW10" i="59"/>
  <c r="CX10" i="59"/>
  <c r="CY10" i="59"/>
  <c r="CZ10" i="59"/>
  <c r="DA10" i="59"/>
  <c r="DB10" i="59"/>
  <c r="DC10" i="59"/>
  <c r="DD10" i="59"/>
  <c r="DE10" i="59"/>
  <c r="DF10" i="59"/>
  <c r="DG10" i="59"/>
  <c r="DH10" i="59"/>
  <c r="DI10" i="59"/>
  <c r="DJ10" i="59"/>
  <c r="DK10" i="59"/>
  <c r="DL10" i="59"/>
  <c r="DM10" i="59"/>
  <c r="DN10" i="59"/>
  <c r="DO10" i="59"/>
  <c r="DP10" i="59"/>
  <c r="DQ10" i="59"/>
  <c r="DR10" i="59"/>
  <c r="DS10" i="59"/>
  <c r="DT10" i="59"/>
  <c r="DU10" i="59"/>
  <c r="DV10" i="59"/>
  <c r="DW10" i="59"/>
  <c r="DX10" i="59"/>
  <c r="DY10" i="59"/>
  <c r="DZ10" i="59"/>
  <c r="EA10" i="59"/>
  <c r="EB10" i="59"/>
  <c r="EC10" i="59"/>
  <c r="ED10" i="59"/>
  <c r="EE10" i="59"/>
  <c r="EF10" i="59"/>
  <c r="EG10" i="59"/>
  <c r="EH10" i="59"/>
  <c r="EI10" i="59"/>
  <c r="EJ10" i="59"/>
  <c r="EK10" i="59"/>
  <c r="EL10" i="59"/>
  <c r="EM10" i="59"/>
  <c r="EN10" i="59"/>
  <c r="EO10" i="59"/>
  <c r="EP10" i="59"/>
  <c r="EQ10" i="59"/>
  <c r="ER10" i="59"/>
  <c r="ES10" i="59"/>
  <c r="ET10" i="59"/>
  <c r="EU10" i="59"/>
  <c r="EV10" i="59"/>
  <c r="EW10" i="59"/>
  <c r="EX10" i="59"/>
  <c r="EY10" i="59"/>
  <c r="EZ10" i="59"/>
  <c r="FA10" i="59"/>
  <c r="FB10" i="59"/>
  <c r="FC10" i="59"/>
  <c r="FD10" i="59"/>
  <c r="FE10" i="59"/>
  <c r="FF10" i="59"/>
  <c r="FG10" i="59"/>
  <c r="FH10" i="59"/>
  <c r="FI10" i="59"/>
  <c r="FJ10" i="59"/>
  <c r="FK10" i="59"/>
  <c r="FL10" i="59"/>
  <c r="FM10" i="59"/>
  <c r="FN10" i="59"/>
  <c r="FO10" i="59"/>
  <c r="FP10" i="59"/>
  <c r="FQ10" i="59"/>
  <c r="FR10" i="59"/>
  <c r="FS10" i="59"/>
  <c r="FT10" i="59"/>
  <c r="FU10" i="59"/>
  <c r="FV10" i="59"/>
  <c r="FW10" i="59"/>
  <c r="FX10" i="59"/>
  <c r="FY10" i="59"/>
  <c r="FZ10" i="59"/>
  <c r="GA10" i="59"/>
  <c r="GB10" i="59"/>
  <c r="GC10" i="59"/>
  <c r="GD10" i="59"/>
  <c r="GE10" i="59"/>
  <c r="GF10" i="59"/>
  <c r="GG10" i="59"/>
  <c r="GH10" i="59"/>
  <c r="GI10" i="59"/>
  <c r="GJ10" i="59"/>
  <c r="GK10" i="59"/>
  <c r="GL10" i="59"/>
  <c r="GM10" i="59"/>
  <c r="GN10" i="59"/>
  <c r="GO10" i="59"/>
  <c r="GP10" i="59"/>
  <c r="GQ10" i="59"/>
  <c r="GR10" i="59"/>
  <c r="GS10" i="59"/>
  <c r="GT10" i="59"/>
  <c r="GU10" i="59"/>
  <c r="GV10" i="59"/>
  <c r="GW10" i="59"/>
  <c r="GX10" i="59"/>
  <c r="GY10" i="59"/>
  <c r="GZ10" i="59"/>
  <c r="HA10" i="59"/>
  <c r="HB10" i="59"/>
  <c r="HC10" i="59"/>
  <c r="HD10" i="59"/>
  <c r="HE10" i="59"/>
  <c r="HF10" i="59"/>
  <c r="HG10" i="59"/>
  <c r="HH10" i="59"/>
  <c r="HI10" i="59"/>
  <c r="HJ10" i="59"/>
  <c r="HK10" i="59"/>
  <c r="HL10" i="59"/>
  <c r="HM10" i="59"/>
  <c r="HN10" i="59"/>
  <c r="HO10" i="59"/>
  <c r="HP10" i="59"/>
  <c r="HQ10" i="59"/>
  <c r="HR10" i="59"/>
  <c r="HS10" i="59"/>
  <c r="HT10" i="59"/>
  <c r="HU10" i="59"/>
  <c r="HV10" i="59"/>
  <c r="HW10" i="59"/>
  <c r="HX10" i="59"/>
  <c r="HY10" i="59"/>
  <c r="HZ10" i="59"/>
  <c r="IA10" i="59"/>
  <c r="IB10" i="59"/>
  <c r="IC10" i="59"/>
  <c r="ID10" i="59"/>
  <c r="IE10" i="59"/>
  <c r="IF10" i="59"/>
  <c r="IG10" i="59"/>
  <c r="IH10" i="59"/>
  <c r="II10" i="59"/>
  <c r="IJ10" i="59"/>
  <c r="IK10" i="59"/>
  <c r="IL10" i="59"/>
  <c r="IM10" i="59"/>
  <c r="IN10" i="59"/>
  <c r="IO10" i="59"/>
  <c r="IP10" i="59"/>
  <c r="IQ10" i="59"/>
  <c r="IR10" i="59"/>
  <c r="IS10" i="59"/>
  <c r="IT10" i="59"/>
  <c r="IU10" i="59"/>
  <c r="IV10" i="59"/>
  <c r="F11" i="59"/>
  <c r="AS11" i="59"/>
  <c r="AT11" i="59"/>
  <c r="AU11" i="59"/>
  <c r="CH11" i="59"/>
  <c r="CI11" i="59"/>
  <c r="CJ11" i="59"/>
  <c r="CL11" i="59"/>
  <c r="CM11" i="59"/>
  <c r="CN11" i="59"/>
  <c r="CO11" i="59"/>
  <c r="CP11" i="59"/>
  <c r="CQ11" i="59"/>
  <c r="CR11" i="59"/>
  <c r="CS11" i="59"/>
  <c r="CT11" i="59"/>
  <c r="CU11" i="59"/>
  <c r="CV11" i="59"/>
  <c r="CW11" i="59"/>
  <c r="CX11" i="59"/>
  <c r="CY11" i="59"/>
  <c r="CZ11" i="59"/>
  <c r="DA11" i="59"/>
  <c r="DB11" i="59"/>
  <c r="DC11" i="59"/>
  <c r="DD11" i="59"/>
  <c r="DE11" i="59"/>
  <c r="DF11" i="59"/>
  <c r="DG11" i="59"/>
  <c r="DH11" i="59"/>
  <c r="DI11" i="59"/>
  <c r="DJ11" i="59"/>
  <c r="DK11" i="59"/>
  <c r="DL11" i="59"/>
  <c r="DM11" i="59"/>
  <c r="DN11" i="59"/>
  <c r="DO11" i="59"/>
  <c r="DP11" i="59"/>
  <c r="DQ11" i="59"/>
  <c r="DR11" i="59"/>
  <c r="DS11" i="59"/>
  <c r="DT11" i="59"/>
  <c r="DU11" i="59"/>
  <c r="DV11" i="59"/>
  <c r="DW11" i="59"/>
  <c r="DX11" i="59"/>
  <c r="DY11" i="59"/>
  <c r="DZ11" i="59"/>
  <c r="EA11" i="59"/>
  <c r="EB11" i="59"/>
  <c r="EC11" i="59"/>
  <c r="ED11" i="59"/>
  <c r="EE11" i="59"/>
  <c r="EF11" i="59"/>
  <c r="EG11" i="59"/>
  <c r="EH11" i="59"/>
  <c r="EI11" i="59"/>
  <c r="EJ11" i="59"/>
  <c r="EK11" i="59"/>
  <c r="EL11" i="59"/>
  <c r="EM11" i="59"/>
  <c r="EN11" i="59"/>
  <c r="EO11" i="59"/>
  <c r="EP11" i="59"/>
  <c r="EQ11" i="59"/>
  <c r="ER11" i="59"/>
  <c r="ES11" i="59"/>
  <c r="ET11" i="59"/>
  <c r="EU11" i="59"/>
  <c r="EV11" i="59"/>
  <c r="EW11" i="59"/>
  <c r="EX11" i="59"/>
  <c r="EY11" i="59"/>
  <c r="EZ11" i="59"/>
  <c r="FA11" i="59"/>
  <c r="FB11" i="59"/>
  <c r="FC11" i="59"/>
  <c r="FD11" i="59"/>
  <c r="FE11" i="59"/>
  <c r="FF11" i="59"/>
  <c r="FG11" i="59"/>
  <c r="FH11" i="59"/>
  <c r="FI11" i="59"/>
  <c r="FJ11" i="59"/>
  <c r="FK11" i="59"/>
  <c r="FL11" i="59"/>
  <c r="FM11" i="59"/>
  <c r="FN11" i="59"/>
  <c r="FO11" i="59"/>
  <c r="FP11" i="59"/>
  <c r="FQ11" i="59"/>
  <c r="FR11" i="59"/>
  <c r="FS11" i="59"/>
  <c r="FT11" i="59"/>
  <c r="FU11" i="59"/>
  <c r="FV11" i="59"/>
  <c r="FW11" i="59"/>
  <c r="FX11" i="59"/>
  <c r="FY11" i="59"/>
  <c r="FZ11" i="59"/>
  <c r="GA11" i="59"/>
  <c r="GB11" i="59"/>
  <c r="GC11" i="59"/>
  <c r="GD11" i="59"/>
  <c r="GE11" i="59"/>
  <c r="GF11" i="59"/>
  <c r="GG11" i="59"/>
  <c r="GH11" i="59"/>
  <c r="GI11" i="59"/>
  <c r="GJ11" i="59"/>
  <c r="GK11" i="59"/>
  <c r="GL11" i="59"/>
  <c r="GM11" i="59"/>
  <c r="GN11" i="59"/>
  <c r="GO11" i="59"/>
  <c r="GP11" i="59"/>
  <c r="GQ11" i="59"/>
  <c r="GR11" i="59"/>
  <c r="GS11" i="59"/>
  <c r="GT11" i="59"/>
  <c r="GU11" i="59"/>
  <c r="GV11" i="59"/>
  <c r="GW11" i="59"/>
  <c r="GX11" i="59"/>
  <c r="GY11" i="59"/>
  <c r="GZ11" i="59"/>
  <c r="HA11" i="59"/>
  <c r="HB11" i="59"/>
  <c r="HC11" i="59"/>
  <c r="HD11" i="59"/>
  <c r="HE11" i="59"/>
  <c r="HF11" i="59"/>
  <c r="HG11" i="59"/>
  <c r="HH11" i="59"/>
  <c r="HI11" i="59"/>
  <c r="HJ11" i="59"/>
  <c r="HK11" i="59"/>
  <c r="HL11" i="59"/>
  <c r="HM11" i="59"/>
  <c r="HN11" i="59"/>
  <c r="HO11" i="59"/>
  <c r="HP11" i="59"/>
  <c r="HQ11" i="59"/>
  <c r="HR11" i="59"/>
  <c r="HS11" i="59"/>
  <c r="HT11" i="59"/>
  <c r="HU11" i="59"/>
  <c r="HV11" i="59"/>
  <c r="HW11" i="59"/>
  <c r="HX11" i="59"/>
  <c r="HY11" i="59"/>
  <c r="HZ11" i="59"/>
  <c r="IA11" i="59"/>
  <c r="IB11" i="59"/>
  <c r="IC11" i="59"/>
  <c r="ID11" i="59"/>
  <c r="IE11" i="59"/>
  <c r="IF11" i="59"/>
  <c r="IG11" i="59"/>
  <c r="IH11" i="59"/>
  <c r="II11" i="59"/>
  <c r="IJ11" i="59"/>
  <c r="IK11" i="59"/>
  <c r="IL11" i="59"/>
  <c r="IM11" i="59"/>
  <c r="IN11" i="59"/>
  <c r="IO11" i="59"/>
  <c r="IP11" i="59"/>
  <c r="IQ11" i="59"/>
  <c r="IR11" i="59"/>
  <c r="IS11" i="59"/>
  <c r="IT11" i="59"/>
  <c r="IU11" i="59"/>
  <c r="IV11" i="59"/>
  <c r="F12" i="59"/>
  <c r="G12" i="59"/>
  <c r="H12" i="59"/>
  <c r="I12" i="59"/>
  <c r="J12" i="59"/>
  <c r="K12" i="59"/>
  <c r="L12" i="59"/>
  <c r="M12" i="59"/>
  <c r="N12" i="59"/>
  <c r="O12" i="59"/>
  <c r="P12" i="59"/>
  <c r="Q12" i="59"/>
  <c r="R12" i="59"/>
  <c r="S12" i="59"/>
  <c r="T12" i="59"/>
  <c r="U12" i="59"/>
  <c r="V12" i="59"/>
  <c r="W12" i="59"/>
  <c r="X12" i="59"/>
  <c r="Y12" i="59"/>
  <c r="Z12" i="59"/>
  <c r="AA12" i="59"/>
  <c r="AB12" i="59"/>
  <c r="AC12" i="59"/>
  <c r="AD12" i="59"/>
  <c r="AE12" i="59"/>
  <c r="AF12" i="59"/>
  <c r="AG12" i="59"/>
  <c r="AH12" i="59"/>
  <c r="AI12" i="59"/>
  <c r="AJ12" i="59"/>
  <c r="AK12" i="59"/>
  <c r="AL12" i="59"/>
  <c r="AM12" i="59"/>
  <c r="AN12" i="59"/>
  <c r="AO12" i="59"/>
  <c r="AP12" i="59"/>
  <c r="AQ12" i="59"/>
  <c r="AR12" i="59"/>
  <c r="AS12" i="59"/>
  <c r="AT12" i="59"/>
  <c r="AU12" i="59"/>
  <c r="AV12" i="59"/>
  <c r="AW12" i="59"/>
  <c r="AX12" i="59"/>
  <c r="AY12" i="59"/>
  <c r="AZ12" i="59"/>
  <c r="BA12" i="59"/>
  <c r="BB12" i="59"/>
  <c r="BC12" i="59"/>
  <c r="BD12" i="59"/>
  <c r="BE12" i="59"/>
  <c r="BF12" i="59"/>
  <c r="BG12" i="59"/>
  <c r="BH12" i="59"/>
  <c r="BI12" i="59"/>
  <c r="BJ12" i="59"/>
  <c r="BK12" i="59"/>
  <c r="BL12" i="59"/>
  <c r="BM12" i="59"/>
  <c r="BN12" i="59"/>
  <c r="BO12" i="59"/>
  <c r="BP12" i="59"/>
  <c r="BQ12" i="59"/>
  <c r="BR12" i="59"/>
  <c r="BS12" i="59"/>
  <c r="BT12" i="59"/>
  <c r="BU12" i="59"/>
  <c r="BV12" i="59"/>
  <c r="BW12" i="59"/>
  <c r="BX12" i="59"/>
  <c r="BY12" i="59"/>
  <c r="BZ12" i="59"/>
  <c r="CA12" i="59"/>
  <c r="CB12" i="59"/>
  <c r="CC12" i="59"/>
  <c r="CD12" i="59"/>
  <c r="CE12" i="59"/>
  <c r="CF12" i="59"/>
  <c r="CG12" i="59"/>
  <c r="CH12" i="59"/>
  <c r="CI12" i="59"/>
  <c r="CJ12" i="59"/>
  <c r="CK12" i="59"/>
  <c r="CL12" i="59"/>
  <c r="CM12" i="59"/>
  <c r="CN12" i="59"/>
  <c r="CO12" i="59"/>
  <c r="CP12" i="59"/>
  <c r="CQ12" i="59"/>
  <c r="CR12" i="59"/>
  <c r="CS12" i="59"/>
  <c r="CT12" i="59"/>
  <c r="CU12" i="59"/>
  <c r="CV12" i="59"/>
  <c r="CW12" i="59"/>
  <c r="CX12" i="59"/>
  <c r="CY12" i="59"/>
  <c r="CZ12" i="59"/>
  <c r="DA12" i="59"/>
  <c r="DB12" i="59"/>
  <c r="DC12" i="59"/>
  <c r="DD12" i="59"/>
  <c r="DE12" i="59"/>
  <c r="DF12" i="59"/>
  <c r="DG12" i="59"/>
  <c r="DH12" i="59"/>
  <c r="DI12" i="59"/>
  <c r="DJ12" i="59"/>
  <c r="DK12" i="59"/>
  <c r="DL12" i="59"/>
  <c r="DM12" i="59"/>
  <c r="DN12" i="59"/>
  <c r="DO12" i="59"/>
  <c r="DP12" i="59"/>
  <c r="DQ12" i="59"/>
  <c r="DR12" i="59"/>
  <c r="DS12" i="59"/>
  <c r="DT12" i="59"/>
  <c r="DU12" i="59"/>
  <c r="DV12" i="59"/>
  <c r="DW12" i="59"/>
  <c r="DX12" i="59"/>
  <c r="DY12" i="59"/>
  <c r="DZ12" i="59"/>
  <c r="EA12" i="59"/>
  <c r="EB12" i="59"/>
  <c r="EC12" i="59"/>
  <c r="ED12" i="59"/>
  <c r="EE12" i="59"/>
  <c r="EF12" i="59"/>
  <c r="EG12" i="59"/>
  <c r="EH12" i="59"/>
  <c r="EI12" i="59"/>
  <c r="EJ12" i="59"/>
  <c r="EK12" i="59"/>
  <c r="EL12" i="59"/>
  <c r="EM12" i="59"/>
  <c r="EN12" i="59"/>
  <c r="EO12" i="59"/>
  <c r="EP12" i="59"/>
  <c r="EQ12" i="59"/>
  <c r="ER12" i="59"/>
  <c r="ES12" i="59"/>
  <c r="ET12" i="59"/>
  <c r="EU12" i="59"/>
  <c r="EV12" i="59"/>
  <c r="EW12" i="59"/>
  <c r="EX12" i="59"/>
  <c r="EY12" i="59"/>
  <c r="EZ12" i="59"/>
  <c r="FA12" i="59"/>
  <c r="FB12" i="59"/>
  <c r="FC12" i="59"/>
  <c r="FD12" i="59"/>
  <c r="FE12" i="59"/>
  <c r="FF12" i="59"/>
  <c r="FG12" i="59"/>
  <c r="FH12" i="59"/>
  <c r="FI12" i="59"/>
  <c r="FJ12" i="59"/>
  <c r="FK12" i="59"/>
  <c r="FL12" i="59"/>
  <c r="FM12" i="59"/>
  <c r="FN12" i="59"/>
  <c r="FO12" i="59"/>
  <c r="FP12" i="59"/>
  <c r="FQ12" i="59"/>
  <c r="FR12" i="59"/>
  <c r="FS12" i="59"/>
  <c r="FT12" i="59"/>
  <c r="FU12" i="59"/>
  <c r="FV12" i="59"/>
  <c r="FW12" i="59"/>
  <c r="FX12" i="59"/>
  <c r="FY12" i="59"/>
  <c r="FZ12" i="59"/>
  <c r="GA12" i="59"/>
  <c r="GB12" i="59"/>
  <c r="GC12" i="59"/>
  <c r="GD12" i="59"/>
  <c r="GE12" i="59"/>
  <c r="GF12" i="59"/>
  <c r="GG12" i="59"/>
  <c r="GH12" i="59"/>
  <c r="GI12" i="59"/>
  <c r="GJ12" i="59"/>
  <c r="GK12" i="59"/>
  <c r="GL12" i="59"/>
  <c r="GM12" i="59"/>
  <c r="GN12" i="59"/>
  <c r="GO12" i="59"/>
  <c r="GP12" i="59"/>
  <c r="GQ12" i="59"/>
  <c r="GR12" i="59"/>
  <c r="GS12" i="59"/>
  <c r="GT12" i="59"/>
  <c r="GU12" i="59"/>
  <c r="GV12" i="59"/>
  <c r="GW12" i="59"/>
  <c r="GX12" i="59"/>
  <c r="GY12" i="59"/>
  <c r="GZ12" i="59"/>
  <c r="HA12" i="59"/>
  <c r="HB12" i="59"/>
  <c r="HC12" i="59"/>
  <c r="HD12" i="59"/>
  <c r="HE12" i="59"/>
  <c r="HF12" i="59"/>
  <c r="HG12" i="59"/>
  <c r="HH12" i="59"/>
  <c r="HI12" i="59"/>
  <c r="HJ12" i="59"/>
  <c r="HK12" i="59"/>
  <c r="HL12" i="59"/>
  <c r="HM12" i="59"/>
  <c r="HN12" i="59"/>
  <c r="HO12" i="59"/>
  <c r="HP12" i="59"/>
  <c r="HQ12" i="59"/>
  <c r="HR12" i="59"/>
  <c r="HS12" i="59"/>
  <c r="HT12" i="59"/>
  <c r="HU12" i="59"/>
  <c r="HV12" i="59"/>
  <c r="HW12" i="59"/>
  <c r="HX12" i="59"/>
  <c r="HY12" i="59"/>
  <c r="HZ12" i="59"/>
  <c r="IA12" i="59"/>
  <c r="IB12" i="59"/>
  <c r="IC12" i="59"/>
  <c r="ID12" i="59"/>
  <c r="IE12" i="59"/>
  <c r="IF12" i="59"/>
  <c r="IG12" i="59"/>
  <c r="IH12" i="59"/>
  <c r="II12" i="59"/>
  <c r="IJ12" i="59"/>
  <c r="IK12" i="59"/>
  <c r="IL12" i="59"/>
  <c r="IM12" i="59"/>
  <c r="IN12" i="59"/>
  <c r="IO12" i="59"/>
  <c r="IP12" i="59"/>
  <c r="IQ12" i="59"/>
  <c r="IR12" i="59"/>
  <c r="IS12" i="59"/>
  <c r="IT12" i="59"/>
  <c r="IU12" i="59"/>
  <c r="F13" i="59"/>
  <c r="G13" i="59"/>
  <c r="H13" i="59"/>
  <c r="I13" i="59"/>
  <c r="J13" i="59"/>
  <c r="K13" i="59"/>
  <c r="L13" i="59"/>
  <c r="M13" i="59"/>
  <c r="N13" i="59"/>
  <c r="O13" i="59"/>
  <c r="P13" i="59"/>
  <c r="Q13" i="59"/>
  <c r="R13" i="59"/>
  <c r="S13" i="59"/>
  <c r="T13" i="59"/>
  <c r="U13" i="59"/>
  <c r="V13" i="59"/>
  <c r="W13" i="59"/>
  <c r="X13" i="59"/>
  <c r="Z13" i="59"/>
  <c r="AA13" i="59"/>
  <c r="AB13" i="59"/>
  <c r="AC13" i="59"/>
  <c r="AD13" i="59"/>
  <c r="AE13" i="59"/>
  <c r="AF13" i="59"/>
  <c r="AG13" i="59"/>
  <c r="AH13" i="59"/>
  <c r="AI13" i="59"/>
  <c r="AJ13" i="59"/>
  <c r="AK13" i="59"/>
  <c r="AL13" i="59"/>
  <c r="AM13" i="59"/>
  <c r="AN13" i="59"/>
  <c r="AO13" i="59"/>
  <c r="AP13" i="59"/>
  <c r="AQ13" i="59"/>
  <c r="AR13" i="59"/>
  <c r="AS13" i="59"/>
  <c r="AT13" i="59"/>
  <c r="AU13" i="59"/>
  <c r="AV13" i="59"/>
  <c r="AW13" i="59"/>
  <c r="AX13" i="59"/>
  <c r="AY13" i="59"/>
  <c r="AZ13" i="59"/>
  <c r="BA13" i="59"/>
  <c r="BB13" i="59"/>
  <c r="BC13" i="59"/>
  <c r="BD13" i="59"/>
  <c r="BE13" i="59"/>
  <c r="BF13" i="59"/>
  <c r="BG13" i="59"/>
  <c r="BH13" i="59"/>
  <c r="BI13" i="59"/>
  <c r="BJ13" i="59"/>
  <c r="BK13" i="59"/>
  <c r="BL13" i="59"/>
  <c r="BM13" i="59"/>
  <c r="BN13" i="59"/>
  <c r="BO13" i="59"/>
  <c r="BP13" i="59"/>
  <c r="BQ13" i="59"/>
  <c r="BR13" i="59"/>
  <c r="BS13" i="59"/>
  <c r="BT13" i="59"/>
  <c r="BU13" i="59"/>
  <c r="BV13" i="59"/>
  <c r="BW13" i="59"/>
  <c r="BX13" i="59"/>
  <c r="BY13" i="59"/>
  <c r="BZ13" i="59"/>
  <c r="CA13" i="59"/>
  <c r="CB13" i="59"/>
  <c r="CC13" i="59"/>
  <c r="CD13" i="59"/>
  <c r="CE13" i="59"/>
  <c r="CF13" i="59"/>
  <c r="CG13" i="59"/>
  <c r="CH13" i="59"/>
  <c r="CI13" i="59"/>
  <c r="CJ13" i="59"/>
  <c r="CK13" i="59"/>
  <c r="CL13" i="59"/>
  <c r="CM13" i="59"/>
  <c r="CN13" i="59"/>
  <c r="CO13" i="59"/>
  <c r="CQ13" i="59"/>
  <c r="CR13" i="59"/>
  <c r="CS13" i="59"/>
  <c r="CU13" i="59"/>
  <c r="CV13" i="59"/>
  <c r="CW13" i="59"/>
  <c r="CY13" i="59"/>
  <c r="CZ13" i="59"/>
  <c r="DA13" i="59"/>
  <c r="DC13" i="59"/>
  <c r="DD13" i="59"/>
  <c r="DE13" i="59"/>
  <c r="DG13" i="59"/>
  <c r="DH13" i="59"/>
  <c r="DI13" i="59"/>
  <c r="DK13" i="59"/>
  <c r="DL13" i="59"/>
  <c r="DM13" i="59"/>
  <c r="DO13" i="59"/>
  <c r="DP13" i="59"/>
  <c r="DQ13" i="59"/>
  <c r="DS13" i="59"/>
  <c r="DT13" i="59"/>
  <c r="DU13" i="59"/>
  <c r="DV13" i="59"/>
  <c r="DW13" i="59"/>
  <c r="DX13" i="59"/>
  <c r="DY13" i="59"/>
  <c r="DZ13" i="59"/>
  <c r="EA13" i="59"/>
  <c r="EB13" i="59"/>
  <c r="EC13" i="59"/>
  <c r="ED13" i="59"/>
  <c r="EE13" i="59"/>
  <c r="EF13" i="59"/>
  <c r="EG13" i="59"/>
  <c r="EH13" i="59"/>
  <c r="EI13" i="59"/>
  <c r="EJ13" i="59"/>
  <c r="EK13" i="59"/>
  <c r="EL13" i="59"/>
  <c r="EM13" i="59"/>
  <c r="EN13" i="59"/>
  <c r="EO13" i="59"/>
  <c r="EP13" i="59"/>
  <c r="EQ13" i="59"/>
  <c r="ER13" i="59"/>
  <c r="ES13" i="59"/>
  <c r="ET13" i="59"/>
  <c r="EU13" i="59"/>
  <c r="EV13" i="59"/>
  <c r="EW13" i="59"/>
  <c r="EX13" i="59"/>
  <c r="EY13" i="59"/>
  <c r="EZ13" i="59"/>
  <c r="FA13" i="59"/>
  <c r="FB13" i="59"/>
  <c r="FC13" i="59"/>
  <c r="FD13" i="59"/>
  <c r="FE13" i="59"/>
  <c r="FF13" i="59"/>
  <c r="FG13" i="59"/>
  <c r="FH13" i="59"/>
  <c r="FI13" i="59"/>
  <c r="FJ13" i="59"/>
  <c r="FK13" i="59"/>
  <c r="FL13" i="59"/>
  <c r="FM13" i="59"/>
  <c r="FN13" i="59"/>
  <c r="FO13" i="59"/>
  <c r="FP13" i="59"/>
  <c r="FQ13" i="59"/>
  <c r="FR13" i="59"/>
  <c r="FS13" i="59"/>
  <c r="FT13" i="59"/>
  <c r="FU13" i="59"/>
  <c r="FV13" i="59"/>
  <c r="FW13" i="59"/>
  <c r="FX13" i="59"/>
  <c r="FY13" i="59"/>
  <c r="FZ13" i="59"/>
  <c r="GA13" i="59"/>
  <c r="GB13" i="59"/>
  <c r="GC13" i="59"/>
  <c r="GD13" i="59"/>
  <c r="GE13" i="59"/>
  <c r="GF13" i="59"/>
  <c r="GG13" i="59"/>
  <c r="GH13" i="59"/>
  <c r="GI13" i="59"/>
  <c r="GJ13" i="59"/>
  <c r="GK13" i="59"/>
  <c r="GL13" i="59"/>
  <c r="GM13" i="59"/>
  <c r="GN13" i="59"/>
  <c r="GO13" i="59"/>
  <c r="GP13" i="59"/>
  <c r="GQ13" i="59"/>
  <c r="GR13" i="59"/>
  <c r="GS13" i="59"/>
  <c r="GT13" i="59"/>
  <c r="GU13" i="59"/>
  <c r="GV13" i="59"/>
  <c r="GW13" i="59"/>
  <c r="GX13" i="59"/>
  <c r="GY13" i="59"/>
  <c r="GZ13" i="59"/>
  <c r="HA13" i="59"/>
  <c r="HB13" i="59"/>
  <c r="HC13" i="59"/>
  <c r="HD13" i="59"/>
  <c r="HE13" i="59"/>
  <c r="HF13" i="59"/>
  <c r="HG13" i="59"/>
  <c r="HH13" i="59"/>
  <c r="HI13" i="59"/>
  <c r="HJ13" i="59"/>
  <c r="HK13" i="59"/>
  <c r="HL13" i="59"/>
  <c r="HM13" i="59"/>
  <c r="HN13" i="59"/>
  <c r="HO13" i="59"/>
  <c r="HP13" i="59"/>
  <c r="HQ13" i="59"/>
  <c r="HR13" i="59"/>
  <c r="HS13" i="59"/>
  <c r="HT13" i="59"/>
  <c r="HU13" i="59"/>
  <c r="HV13" i="59"/>
  <c r="HW13" i="59"/>
  <c r="HX13" i="59"/>
  <c r="HY13" i="59"/>
  <c r="HZ13" i="59"/>
  <c r="IA13" i="59"/>
  <c r="IB13" i="59"/>
  <c r="IC13" i="59"/>
  <c r="ID13" i="59"/>
  <c r="IE13" i="59"/>
  <c r="IF13" i="59"/>
  <c r="IG13" i="59"/>
  <c r="IH13" i="59"/>
  <c r="II13" i="59"/>
  <c r="IJ13" i="59"/>
  <c r="IK13" i="59"/>
  <c r="IL13" i="59"/>
  <c r="IM13" i="59"/>
  <c r="IN13" i="59"/>
  <c r="IO13" i="59"/>
  <c r="IP13" i="59"/>
  <c r="IQ13" i="59"/>
  <c r="IR13" i="59"/>
  <c r="IS13" i="59"/>
  <c r="IT13" i="59"/>
  <c r="IU13" i="59"/>
  <c r="IV13" i="59"/>
  <c r="F14" i="59"/>
  <c r="G14" i="59"/>
  <c r="H14" i="59"/>
  <c r="I14" i="59"/>
  <c r="J14" i="59"/>
  <c r="K14" i="59"/>
  <c r="L14" i="59"/>
  <c r="M14" i="59"/>
  <c r="N14" i="59"/>
  <c r="O14" i="59"/>
  <c r="P14" i="59"/>
  <c r="Q14" i="59"/>
  <c r="R14" i="59"/>
  <c r="S14" i="59"/>
  <c r="T14" i="59"/>
  <c r="U14" i="59"/>
  <c r="V14" i="59"/>
  <c r="W14" i="59"/>
  <c r="X14" i="59"/>
  <c r="Y14" i="59"/>
  <c r="Z14" i="59"/>
  <c r="AA14" i="59"/>
  <c r="AB14" i="59"/>
  <c r="AC14" i="59"/>
  <c r="AD14" i="59"/>
  <c r="AE14" i="59"/>
  <c r="AF14" i="59"/>
  <c r="AG14" i="59"/>
  <c r="AH14" i="59"/>
  <c r="AI14" i="59"/>
  <c r="AJ14" i="59"/>
  <c r="AK14" i="59"/>
  <c r="AL14" i="59"/>
  <c r="AM14" i="59"/>
  <c r="AN14" i="59"/>
  <c r="AO14" i="59"/>
  <c r="AP14" i="59"/>
  <c r="AQ14" i="59"/>
  <c r="AR14" i="59"/>
  <c r="AS14" i="59"/>
  <c r="AT14" i="59"/>
  <c r="AU14" i="59"/>
  <c r="AV14" i="59"/>
  <c r="AW14" i="59"/>
  <c r="AX14" i="59"/>
  <c r="AY14" i="59"/>
  <c r="AZ14" i="59"/>
  <c r="BA14" i="59"/>
  <c r="BB14" i="59"/>
  <c r="BC14" i="59"/>
  <c r="BD14" i="59"/>
  <c r="BE14" i="59"/>
  <c r="BF14" i="59"/>
  <c r="BG14" i="59"/>
  <c r="BH14" i="59"/>
  <c r="BI14" i="59"/>
  <c r="BJ14" i="59"/>
  <c r="BK14" i="59"/>
  <c r="BL14" i="59"/>
  <c r="BM14" i="59"/>
  <c r="BN14" i="59"/>
  <c r="BO14" i="59"/>
  <c r="BP14" i="59"/>
  <c r="BQ14" i="59"/>
  <c r="BR14" i="59"/>
  <c r="BS14" i="59"/>
  <c r="BT14" i="59"/>
  <c r="BU14" i="59"/>
  <c r="BV14" i="59"/>
  <c r="BW14" i="59"/>
  <c r="BX14" i="59"/>
  <c r="BY14" i="59"/>
  <c r="BZ14" i="59"/>
  <c r="CA14" i="59"/>
  <c r="CB14" i="59"/>
  <c r="CC14" i="59"/>
  <c r="CD14" i="59"/>
  <c r="CE14" i="59"/>
  <c r="CF14" i="59"/>
  <c r="CG14" i="59"/>
  <c r="CH14" i="59"/>
  <c r="CI14" i="59"/>
  <c r="CJ14" i="59"/>
  <c r="CK14" i="59"/>
  <c r="CL14" i="59"/>
  <c r="CM14" i="59"/>
  <c r="CN14" i="59"/>
  <c r="CO14" i="59"/>
  <c r="CP14" i="59"/>
  <c r="CQ14" i="59"/>
  <c r="CR14" i="59"/>
  <c r="CS14" i="59"/>
  <c r="CT14" i="59"/>
  <c r="CU14" i="59"/>
  <c r="CV14" i="59"/>
  <c r="CW14" i="59"/>
  <c r="CX14" i="59"/>
  <c r="CY14" i="59"/>
  <c r="CZ14" i="59"/>
  <c r="DA14" i="59"/>
  <c r="DB14" i="59"/>
  <c r="DC14" i="59"/>
  <c r="DD14" i="59"/>
  <c r="DE14" i="59"/>
  <c r="DF14" i="59"/>
  <c r="DG14" i="59"/>
  <c r="DH14" i="59"/>
  <c r="DI14" i="59"/>
  <c r="DJ14" i="59"/>
  <c r="DK14" i="59"/>
  <c r="DL14" i="59"/>
  <c r="DM14" i="59"/>
  <c r="DN14" i="59"/>
  <c r="DO14" i="59"/>
  <c r="DP14" i="59"/>
  <c r="DQ14" i="59"/>
  <c r="DR14" i="59"/>
  <c r="DS14" i="59"/>
  <c r="DT14" i="59"/>
  <c r="DU14" i="59"/>
  <c r="DV14" i="59"/>
  <c r="DW14" i="59"/>
  <c r="DX14" i="59"/>
  <c r="DY14" i="59"/>
  <c r="DZ14" i="59"/>
  <c r="EA14" i="59"/>
  <c r="EB14" i="59"/>
  <c r="EC14" i="59"/>
  <c r="ED14" i="59"/>
  <c r="EE14" i="59"/>
  <c r="EF14" i="59"/>
  <c r="EG14" i="59"/>
  <c r="EH14" i="59"/>
  <c r="EI14" i="59"/>
  <c r="EJ14" i="59"/>
  <c r="EK14" i="59"/>
  <c r="EL14" i="59"/>
  <c r="EM14" i="59"/>
  <c r="EN14" i="59"/>
  <c r="EO14" i="59"/>
  <c r="EP14" i="59"/>
  <c r="EQ14" i="59"/>
  <c r="ER14" i="59"/>
  <c r="ES14" i="59"/>
  <c r="ET14" i="59"/>
  <c r="EU14" i="59"/>
  <c r="EV14" i="59"/>
  <c r="EW14" i="59"/>
  <c r="EX14" i="59"/>
  <c r="EY14" i="59"/>
  <c r="EZ14" i="59"/>
  <c r="FA14" i="59"/>
  <c r="FB14" i="59"/>
  <c r="FC14" i="59"/>
  <c r="FD14" i="59"/>
  <c r="FE14" i="59"/>
  <c r="FF14" i="59"/>
  <c r="FG14" i="59"/>
  <c r="FH14" i="59"/>
  <c r="FI14" i="59"/>
  <c r="FJ14" i="59"/>
  <c r="FK14" i="59"/>
  <c r="FL14" i="59"/>
  <c r="FM14" i="59"/>
  <c r="FN14" i="59"/>
  <c r="FO14" i="59"/>
  <c r="FP14" i="59"/>
  <c r="FQ14" i="59"/>
  <c r="FR14" i="59"/>
  <c r="FS14" i="59"/>
  <c r="FT14" i="59"/>
  <c r="FU14" i="59"/>
  <c r="FV14" i="59"/>
  <c r="FW14" i="59"/>
  <c r="FX14" i="59"/>
  <c r="FY14" i="59"/>
  <c r="FZ14" i="59"/>
  <c r="GA14" i="59"/>
  <c r="GB14" i="59"/>
  <c r="GC14" i="59"/>
  <c r="GD14" i="59"/>
  <c r="GE14" i="59"/>
  <c r="GF14" i="59"/>
  <c r="GG14" i="59"/>
  <c r="GH14" i="59"/>
  <c r="GI14" i="59"/>
  <c r="GJ14" i="59"/>
  <c r="GK14" i="59"/>
  <c r="GL14" i="59"/>
  <c r="GM14" i="59"/>
  <c r="GN14" i="59"/>
  <c r="GO14" i="59"/>
  <c r="GP14" i="59"/>
  <c r="GQ14" i="59"/>
  <c r="GR14" i="59"/>
  <c r="GS14" i="59"/>
  <c r="GT14" i="59"/>
  <c r="GU14" i="59"/>
  <c r="GV14" i="59"/>
  <c r="GW14" i="59"/>
  <c r="GX14" i="59"/>
  <c r="GY14" i="59"/>
  <c r="GZ14" i="59"/>
  <c r="HA14" i="59"/>
  <c r="HB14" i="59"/>
  <c r="HC14" i="59"/>
  <c r="HD14" i="59"/>
  <c r="HE14" i="59"/>
  <c r="HF14" i="59"/>
  <c r="HG14" i="59"/>
  <c r="HH14" i="59"/>
  <c r="HI14" i="59"/>
  <c r="HJ14" i="59"/>
  <c r="HK14" i="59"/>
  <c r="HL14" i="59"/>
  <c r="HM14" i="59"/>
  <c r="HN14" i="59"/>
  <c r="HO14" i="59"/>
  <c r="HP14" i="59"/>
  <c r="HQ14" i="59"/>
  <c r="HR14" i="59"/>
  <c r="HS14" i="59"/>
  <c r="HT14" i="59"/>
  <c r="HU14" i="59"/>
  <c r="HV14" i="59"/>
  <c r="HW14" i="59"/>
  <c r="HX14" i="59"/>
  <c r="HY14" i="59"/>
  <c r="HZ14" i="59"/>
  <c r="IA14" i="59"/>
  <c r="IB14" i="59"/>
  <c r="IC14" i="59"/>
  <c r="ID14" i="59"/>
  <c r="IE14" i="59"/>
  <c r="IF14" i="59"/>
  <c r="IG14" i="59"/>
  <c r="IH14" i="59"/>
  <c r="II14" i="59"/>
  <c r="IJ14" i="59"/>
  <c r="IK14" i="59"/>
  <c r="IL14" i="59"/>
  <c r="IM14" i="59"/>
  <c r="IN14" i="59"/>
  <c r="IO14" i="59"/>
  <c r="IP14" i="59"/>
  <c r="IQ14" i="59"/>
  <c r="IR14" i="59"/>
  <c r="IS14" i="59"/>
  <c r="IT14" i="59"/>
  <c r="IU14" i="59"/>
  <c r="IV14" i="59"/>
  <c r="F15" i="59"/>
  <c r="G15" i="59"/>
  <c r="H15" i="59"/>
  <c r="I15" i="59"/>
  <c r="J15" i="59"/>
  <c r="K15" i="59"/>
  <c r="L15" i="59"/>
  <c r="M15" i="59"/>
  <c r="N15" i="59"/>
  <c r="O15" i="59"/>
  <c r="P15" i="59"/>
  <c r="Q15" i="59"/>
  <c r="R15" i="59"/>
  <c r="S15" i="59"/>
  <c r="T15" i="59"/>
  <c r="U15" i="59"/>
  <c r="V15" i="59"/>
  <c r="W15" i="59"/>
  <c r="X15" i="59"/>
  <c r="Y15" i="59"/>
  <c r="Z15" i="59"/>
  <c r="AA15" i="59"/>
  <c r="AB15" i="59"/>
  <c r="AC15" i="59"/>
  <c r="AD15" i="59"/>
  <c r="AE15" i="59"/>
  <c r="AF15" i="59"/>
  <c r="AG15" i="59"/>
  <c r="AH15" i="59"/>
  <c r="AI15" i="59"/>
  <c r="AJ15" i="59"/>
  <c r="AK15" i="59"/>
  <c r="AL15" i="59"/>
  <c r="AM15" i="59"/>
  <c r="AN15" i="59"/>
  <c r="AO15" i="59"/>
  <c r="AP15" i="59"/>
  <c r="AQ15" i="59"/>
  <c r="AR15" i="59"/>
  <c r="AT15" i="59"/>
  <c r="AU15" i="59"/>
  <c r="AV15" i="59"/>
  <c r="AW15" i="59"/>
  <c r="AX15" i="59"/>
  <c r="AY15" i="59"/>
  <c r="AZ15" i="59"/>
  <c r="BA15" i="59"/>
  <c r="BB15" i="59"/>
  <c r="BC15" i="59"/>
  <c r="BD15" i="59"/>
  <c r="BJ15" i="59"/>
  <c r="BK15" i="59"/>
  <c r="BL15" i="59"/>
  <c r="BM15" i="59"/>
  <c r="BN15" i="59"/>
  <c r="BO15" i="59"/>
  <c r="BP15" i="59"/>
  <c r="BQ15" i="59"/>
  <c r="BR15" i="59"/>
  <c r="BS15" i="59"/>
  <c r="BT15" i="59"/>
  <c r="BU15" i="59"/>
  <c r="BV15" i="59"/>
  <c r="BW15" i="59"/>
  <c r="BX15" i="59"/>
  <c r="BY15" i="59"/>
  <c r="BZ15" i="59"/>
  <c r="CA15" i="59"/>
  <c r="CB15" i="59"/>
  <c r="CC15" i="59"/>
  <c r="CD15" i="59"/>
  <c r="CE15" i="59"/>
  <c r="CF15" i="59"/>
  <c r="CG15" i="59"/>
  <c r="CH15" i="59"/>
  <c r="CI15" i="59"/>
  <c r="CJ15" i="59"/>
  <c r="CK15" i="59"/>
  <c r="CL15" i="59"/>
  <c r="CM15" i="59"/>
  <c r="CN15" i="59"/>
  <c r="CO15" i="59"/>
  <c r="CP15" i="59"/>
  <c r="CQ15" i="59"/>
  <c r="CR15" i="59"/>
  <c r="CS15" i="59"/>
  <c r="CT15" i="59"/>
  <c r="CU15" i="59"/>
  <c r="CV15" i="59"/>
  <c r="CW15" i="59"/>
  <c r="CX15" i="59"/>
  <c r="CY15" i="59"/>
  <c r="CZ15" i="59"/>
  <c r="DA15" i="59"/>
  <c r="DB15" i="59"/>
  <c r="DC15" i="59"/>
  <c r="DD15" i="59"/>
  <c r="DE15" i="59"/>
  <c r="DF15" i="59"/>
  <c r="DG15" i="59"/>
  <c r="DH15" i="59"/>
  <c r="DI15" i="59"/>
  <c r="DJ15" i="59"/>
  <c r="DK15" i="59"/>
  <c r="DL15" i="59"/>
  <c r="DM15" i="59"/>
  <c r="DN15" i="59"/>
  <c r="DO15" i="59"/>
  <c r="DP15" i="59"/>
  <c r="DQ15" i="59"/>
  <c r="DR15" i="59"/>
  <c r="DS15" i="59"/>
  <c r="DT15" i="59"/>
  <c r="DU15" i="59"/>
  <c r="DV15" i="59"/>
  <c r="DW15" i="59"/>
  <c r="DX15" i="59"/>
  <c r="DY15" i="59"/>
  <c r="DZ15" i="59"/>
  <c r="EA15" i="59"/>
  <c r="EB15" i="59"/>
  <c r="EC15" i="59"/>
  <c r="ED15" i="59"/>
  <c r="EE15" i="59"/>
  <c r="EF15" i="59"/>
  <c r="EG15" i="59"/>
  <c r="EH15" i="59"/>
  <c r="EI15" i="59"/>
  <c r="EJ15" i="59"/>
  <c r="EK15" i="59"/>
  <c r="EL15" i="59"/>
  <c r="EM15" i="59"/>
  <c r="EN15" i="59"/>
  <c r="EO15" i="59"/>
  <c r="EP15" i="59"/>
  <c r="EQ15" i="59"/>
  <c r="ER15" i="59"/>
  <c r="ES15" i="59"/>
  <c r="ET15" i="59"/>
  <c r="EU15" i="59"/>
  <c r="EV15" i="59"/>
  <c r="EW15" i="59"/>
  <c r="EX15" i="59"/>
  <c r="EY15" i="59"/>
  <c r="EZ15" i="59"/>
  <c r="FA15" i="59"/>
  <c r="FB15" i="59"/>
  <c r="FC15" i="59"/>
  <c r="FD15" i="59"/>
  <c r="FE15" i="59"/>
  <c r="FF15" i="59"/>
  <c r="FG15" i="59"/>
  <c r="FH15" i="59"/>
  <c r="FI15" i="59"/>
  <c r="FJ15" i="59"/>
  <c r="FK15" i="59"/>
  <c r="FL15" i="59"/>
  <c r="FM15" i="59"/>
  <c r="FN15" i="59"/>
  <c r="FO15" i="59"/>
  <c r="FP15" i="59"/>
  <c r="FQ15" i="59"/>
  <c r="FR15" i="59"/>
  <c r="FS15" i="59"/>
  <c r="FT15" i="59"/>
  <c r="FU15" i="59"/>
  <c r="FV15" i="59"/>
  <c r="FW15" i="59"/>
  <c r="FX15" i="59"/>
  <c r="FY15" i="59"/>
  <c r="FZ15" i="59"/>
  <c r="GA15" i="59"/>
  <c r="GB15" i="59"/>
  <c r="GC15" i="59"/>
  <c r="GD15" i="59"/>
  <c r="GE15" i="59"/>
  <c r="GF15" i="59"/>
  <c r="GG15" i="59"/>
  <c r="GH15" i="59"/>
  <c r="GI15" i="59"/>
  <c r="GJ15" i="59"/>
  <c r="GK15" i="59"/>
  <c r="GL15" i="59"/>
  <c r="GM15" i="59"/>
  <c r="GN15" i="59"/>
  <c r="GO15" i="59"/>
  <c r="GP15" i="59"/>
  <c r="GQ15" i="59"/>
  <c r="GR15" i="59"/>
  <c r="GS15" i="59"/>
  <c r="GT15" i="59"/>
  <c r="GU15" i="59"/>
  <c r="GV15" i="59"/>
  <c r="GW15" i="59"/>
  <c r="GX15" i="59"/>
  <c r="GY15" i="59"/>
  <c r="GZ15" i="59"/>
  <c r="HA15" i="59"/>
  <c r="HB15" i="59"/>
  <c r="HC15" i="59"/>
  <c r="HD15" i="59"/>
  <c r="HE15" i="59"/>
  <c r="HF15" i="59"/>
  <c r="HG15" i="59"/>
  <c r="HH15" i="59"/>
  <c r="HI15" i="59"/>
  <c r="HJ15" i="59"/>
  <c r="HK15" i="59"/>
  <c r="HL15" i="59"/>
  <c r="HM15" i="59"/>
  <c r="HN15" i="59"/>
  <c r="HO15" i="59"/>
  <c r="HP15" i="59"/>
  <c r="HQ15" i="59"/>
  <c r="HR15" i="59"/>
  <c r="HS15" i="59"/>
  <c r="HT15" i="59"/>
  <c r="HU15" i="59"/>
  <c r="HV15" i="59"/>
  <c r="HW15" i="59"/>
  <c r="HX15" i="59"/>
  <c r="HY15" i="59"/>
  <c r="HZ15" i="59"/>
  <c r="IA15" i="59"/>
  <c r="IB15" i="59"/>
  <c r="IC15" i="59"/>
  <c r="ID15" i="59"/>
  <c r="IE15" i="59"/>
  <c r="IF15" i="59"/>
  <c r="IG15" i="59"/>
  <c r="IH15" i="59"/>
  <c r="II15" i="59"/>
  <c r="IJ15" i="59"/>
  <c r="IK15" i="59"/>
  <c r="IL15" i="59"/>
  <c r="IM15" i="59"/>
  <c r="IN15" i="59"/>
  <c r="IO15" i="59"/>
  <c r="IP15" i="59"/>
  <c r="IQ15" i="59"/>
  <c r="IR15" i="59"/>
  <c r="IS15" i="59"/>
  <c r="IT15" i="59"/>
  <c r="IU15" i="59"/>
  <c r="IV15" i="59"/>
  <c r="F16" i="59"/>
  <c r="G16" i="59"/>
  <c r="H16" i="59"/>
  <c r="I16" i="59"/>
  <c r="J16" i="59"/>
  <c r="K16" i="59"/>
  <c r="L16" i="59"/>
  <c r="R16" i="59"/>
  <c r="S16" i="59"/>
  <c r="T16" i="59"/>
  <c r="U16" i="59"/>
  <c r="V16" i="59"/>
  <c r="W16" i="59"/>
  <c r="X16" i="59"/>
  <c r="Y16" i="59"/>
  <c r="Z16" i="59"/>
  <c r="AA16" i="59"/>
  <c r="AB16" i="59"/>
  <c r="AC16" i="59"/>
  <c r="AD16" i="59"/>
  <c r="AE16" i="59"/>
  <c r="AF16" i="59"/>
  <c r="AG16" i="59"/>
  <c r="AH16" i="59"/>
  <c r="AI16" i="59"/>
  <c r="AJ16" i="59"/>
  <c r="AK16" i="59"/>
  <c r="AL16" i="59"/>
  <c r="AM16" i="59"/>
  <c r="AN16" i="59"/>
  <c r="AO16" i="59"/>
  <c r="AP16" i="59"/>
  <c r="AQ16" i="59"/>
  <c r="AR16" i="59"/>
  <c r="AS16" i="59"/>
  <c r="AT16" i="59"/>
  <c r="AU16" i="59"/>
  <c r="AV16" i="59"/>
  <c r="AW16" i="59"/>
  <c r="AX16" i="59"/>
  <c r="AY16" i="59"/>
  <c r="AZ16" i="59"/>
  <c r="BA16" i="59"/>
  <c r="BB16" i="59"/>
  <c r="BC16" i="59"/>
  <c r="BD16" i="59"/>
  <c r="BE16" i="59"/>
  <c r="BF16" i="59"/>
  <c r="BG16" i="59"/>
  <c r="BH16" i="59"/>
  <c r="BI16" i="59"/>
  <c r="BJ16" i="59"/>
  <c r="BK16" i="59"/>
  <c r="BL16" i="59"/>
  <c r="BM16" i="59"/>
  <c r="BN16" i="59"/>
  <c r="BO16" i="59"/>
  <c r="BP16" i="59"/>
  <c r="BQ16" i="59"/>
  <c r="BR16" i="59"/>
  <c r="BS16" i="59"/>
  <c r="BT16" i="59"/>
  <c r="BU16" i="59"/>
  <c r="BV16" i="59"/>
  <c r="BW16" i="59"/>
  <c r="BX16" i="59"/>
  <c r="BY16" i="59"/>
  <c r="BZ16" i="59"/>
  <c r="CA16" i="59"/>
  <c r="CB16" i="59"/>
  <c r="CC16" i="59"/>
  <c r="CD16" i="59"/>
  <c r="CE16" i="59"/>
  <c r="CF16" i="59"/>
  <c r="CG16" i="59"/>
  <c r="CH16" i="59"/>
  <c r="CI16" i="59"/>
  <c r="CJ16" i="59"/>
  <c r="CK16" i="59"/>
  <c r="CL16" i="59"/>
  <c r="CM16" i="59"/>
  <c r="CN16" i="59"/>
  <c r="CO16" i="59"/>
  <c r="CP16" i="59"/>
  <c r="CQ16" i="59"/>
  <c r="CR16" i="59"/>
  <c r="CS16" i="59"/>
  <c r="CT16" i="59"/>
  <c r="CU16" i="59"/>
  <c r="CV16" i="59"/>
  <c r="CW16" i="59"/>
  <c r="CX16" i="59"/>
  <c r="CY16" i="59"/>
  <c r="CZ16" i="59"/>
  <c r="DA16" i="59"/>
  <c r="DB16" i="59"/>
  <c r="DC16" i="59"/>
  <c r="DD16" i="59"/>
  <c r="DE16" i="59"/>
  <c r="DF16" i="59"/>
  <c r="DG16" i="59"/>
  <c r="DH16" i="59"/>
  <c r="DI16" i="59"/>
  <c r="DJ16" i="59"/>
  <c r="DK16" i="59"/>
  <c r="DL16" i="59"/>
  <c r="DM16" i="59"/>
  <c r="DN16" i="59"/>
  <c r="DO16" i="59"/>
  <c r="DP16" i="59"/>
  <c r="DQ16" i="59"/>
  <c r="DR16" i="59"/>
  <c r="DS16" i="59"/>
  <c r="DT16" i="59"/>
  <c r="DU16" i="59"/>
  <c r="DV16" i="59"/>
  <c r="DW16" i="59"/>
  <c r="DX16" i="59"/>
  <c r="DY16" i="59"/>
  <c r="DZ16" i="59"/>
  <c r="EA16" i="59"/>
  <c r="EB16" i="59"/>
  <c r="EC16" i="59"/>
  <c r="ED16" i="59"/>
  <c r="EE16" i="59"/>
  <c r="EF16" i="59"/>
  <c r="EG16" i="59"/>
  <c r="EH16" i="59"/>
  <c r="EI16" i="59"/>
  <c r="EJ16" i="59"/>
  <c r="EK16" i="59"/>
  <c r="EL16" i="59"/>
  <c r="EM16" i="59"/>
  <c r="EN16" i="59"/>
  <c r="EO16" i="59"/>
  <c r="EP16" i="59"/>
  <c r="EQ16" i="59"/>
  <c r="ER16" i="59"/>
  <c r="ES16" i="59"/>
  <c r="ET16" i="59"/>
  <c r="EU16" i="59"/>
  <c r="EV16" i="59"/>
  <c r="EW16" i="59"/>
  <c r="EX16" i="59"/>
  <c r="EY16" i="59"/>
  <c r="EZ16" i="59"/>
  <c r="FA16" i="59"/>
  <c r="FB16" i="59"/>
  <c r="FC16" i="59"/>
  <c r="FD16" i="59"/>
  <c r="FE16" i="59"/>
  <c r="FF16" i="59"/>
  <c r="FG16" i="59"/>
  <c r="FH16" i="59"/>
  <c r="FI16" i="59"/>
  <c r="FJ16" i="59"/>
  <c r="FK16" i="59"/>
  <c r="FL16" i="59"/>
  <c r="FM16" i="59"/>
  <c r="FN16" i="59"/>
  <c r="FO16" i="59"/>
  <c r="FP16" i="59"/>
  <c r="FQ16" i="59"/>
  <c r="FR16" i="59"/>
  <c r="FS16" i="59"/>
  <c r="FT16" i="59"/>
  <c r="FU16" i="59"/>
  <c r="FV16" i="59"/>
  <c r="FW16" i="59"/>
  <c r="FX16" i="59"/>
  <c r="FY16" i="59"/>
  <c r="FZ16" i="59"/>
  <c r="GA16" i="59"/>
  <c r="GB16" i="59"/>
  <c r="GC16" i="59"/>
  <c r="GD16" i="59"/>
  <c r="GE16" i="59"/>
  <c r="GF16" i="59"/>
  <c r="GG16" i="59"/>
  <c r="GH16" i="59"/>
  <c r="GI16" i="59"/>
  <c r="GJ16" i="59"/>
  <c r="GK16" i="59"/>
  <c r="GL16" i="59"/>
  <c r="GM16" i="59"/>
  <c r="GN16" i="59"/>
  <c r="GO16" i="59"/>
  <c r="GP16" i="59"/>
  <c r="GQ16" i="59"/>
  <c r="GR16" i="59"/>
  <c r="GS16" i="59"/>
  <c r="GT16" i="59"/>
  <c r="GU16" i="59"/>
  <c r="GV16" i="59"/>
  <c r="GW16" i="59"/>
  <c r="GX16" i="59"/>
  <c r="GY16" i="59"/>
  <c r="GZ16" i="59"/>
  <c r="HA16" i="59"/>
  <c r="HB16" i="59"/>
  <c r="HC16" i="59"/>
  <c r="HD16" i="59"/>
  <c r="HE16" i="59"/>
  <c r="HF16" i="59"/>
  <c r="HG16" i="59"/>
  <c r="HH16" i="59"/>
  <c r="HI16" i="59"/>
  <c r="HJ16" i="59"/>
  <c r="HK16" i="59"/>
  <c r="HL16" i="59"/>
  <c r="HM16" i="59"/>
  <c r="HN16" i="59"/>
  <c r="HO16" i="59"/>
  <c r="HP16" i="59"/>
  <c r="HQ16" i="59"/>
  <c r="HR16" i="59"/>
  <c r="HS16" i="59"/>
  <c r="HT16" i="59"/>
  <c r="HU16" i="59"/>
  <c r="HV16" i="59"/>
  <c r="HW16" i="59"/>
  <c r="HX16" i="59"/>
  <c r="HY16" i="59"/>
  <c r="HZ16" i="59"/>
  <c r="IA16" i="59"/>
  <c r="IB16" i="59"/>
  <c r="IC16" i="59"/>
  <c r="ID16" i="59"/>
  <c r="IE16" i="59"/>
  <c r="IF16" i="59"/>
  <c r="IG16" i="59"/>
  <c r="IH16" i="59"/>
  <c r="II16" i="59"/>
  <c r="IJ16" i="59"/>
  <c r="IK16" i="59"/>
  <c r="IL16" i="59"/>
  <c r="IM16" i="59"/>
  <c r="IN16" i="59"/>
  <c r="IO16" i="59"/>
  <c r="IP16" i="59"/>
  <c r="IQ16" i="59"/>
  <c r="IR16" i="59"/>
  <c r="IS16" i="59"/>
  <c r="IT16" i="59"/>
  <c r="IU16" i="59"/>
  <c r="IV16" i="59"/>
  <c r="F17" i="59"/>
  <c r="G17" i="59"/>
  <c r="H17" i="59"/>
  <c r="I17" i="59"/>
  <c r="J17" i="59"/>
  <c r="K17" i="59"/>
  <c r="L17" i="59"/>
  <c r="R17" i="59"/>
  <c r="S17" i="59"/>
  <c r="T17" i="59"/>
  <c r="U17" i="59"/>
  <c r="V17" i="59"/>
  <c r="W17" i="59"/>
  <c r="X17" i="59"/>
  <c r="Y17" i="59"/>
  <c r="Z17" i="59"/>
  <c r="AA17" i="59"/>
  <c r="AB17" i="59"/>
  <c r="AC17" i="59"/>
  <c r="AD17" i="59"/>
  <c r="AE17" i="59"/>
  <c r="AF17" i="59"/>
  <c r="AG17" i="59"/>
  <c r="AH17" i="59"/>
  <c r="AI17" i="59"/>
  <c r="AJ17" i="59"/>
  <c r="AK17" i="59"/>
  <c r="AL17" i="59"/>
  <c r="AM17" i="59"/>
  <c r="AN17" i="59"/>
  <c r="AO17" i="59"/>
  <c r="AP17" i="59"/>
  <c r="AQ17" i="59"/>
  <c r="AR17" i="59"/>
  <c r="AS17" i="59"/>
  <c r="AT17" i="59"/>
  <c r="AU17" i="59"/>
  <c r="AV17" i="59"/>
  <c r="AW17" i="59"/>
  <c r="AX17" i="59"/>
  <c r="AY17" i="59"/>
  <c r="AZ17" i="59"/>
  <c r="BA17" i="59"/>
  <c r="BB17" i="59"/>
  <c r="BC17" i="59"/>
  <c r="BD17" i="59"/>
  <c r="BE17" i="59"/>
  <c r="BF17" i="59"/>
  <c r="BG17" i="59"/>
  <c r="BH17" i="59"/>
  <c r="BI17" i="59"/>
  <c r="BJ17" i="59"/>
  <c r="BK17" i="59"/>
  <c r="BL17" i="59"/>
  <c r="BM17" i="59"/>
  <c r="BN17" i="59"/>
  <c r="BO17" i="59"/>
  <c r="BP17" i="59"/>
  <c r="BQ17" i="59"/>
  <c r="BR17" i="59"/>
  <c r="BS17" i="59"/>
  <c r="BT17" i="59"/>
  <c r="BU17" i="59"/>
  <c r="BV17" i="59"/>
  <c r="BW17" i="59"/>
  <c r="BX17" i="59"/>
  <c r="BY17" i="59"/>
  <c r="BZ17" i="59"/>
  <c r="CA17" i="59"/>
  <c r="CB17" i="59"/>
  <c r="CC17" i="59"/>
  <c r="CD17" i="59"/>
  <c r="CE17" i="59"/>
  <c r="CF17" i="59"/>
  <c r="CG17" i="59"/>
  <c r="CH17" i="59"/>
  <c r="CI17" i="59"/>
  <c r="CJ17" i="59"/>
  <c r="CK17" i="59"/>
  <c r="CL17" i="59"/>
  <c r="CM17" i="59"/>
  <c r="CN17" i="59"/>
  <c r="CO17" i="59"/>
  <c r="CP17" i="59"/>
  <c r="CQ17" i="59"/>
  <c r="CR17" i="59"/>
  <c r="CS17" i="59"/>
  <c r="CT17" i="59"/>
  <c r="CU17" i="59"/>
  <c r="CV17" i="59"/>
  <c r="CW17" i="59"/>
  <c r="CX17" i="59"/>
  <c r="CY17" i="59"/>
  <c r="CZ17" i="59"/>
  <c r="DA17" i="59"/>
  <c r="DB17" i="59"/>
  <c r="DC17" i="59"/>
  <c r="DD17" i="59"/>
  <c r="DE17" i="59"/>
  <c r="DF17" i="59"/>
  <c r="DG17" i="59"/>
  <c r="DH17" i="59"/>
  <c r="DI17" i="59"/>
  <c r="DJ17" i="59"/>
  <c r="DK17" i="59"/>
  <c r="DL17" i="59"/>
  <c r="DM17" i="59"/>
  <c r="DN17" i="59"/>
  <c r="DO17" i="59"/>
  <c r="DP17" i="59"/>
  <c r="DQ17" i="59"/>
  <c r="DR17" i="59"/>
  <c r="DS17" i="59"/>
  <c r="DT17" i="59"/>
  <c r="DU17" i="59"/>
  <c r="DV17" i="59"/>
  <c r="DW17" i="59"/>
  <c r="DX17" i="59"/>
  <c r="DY17" i="59"/>
  <c r="DZ17" i="59"/>
  <c r="EA17" i="59"/>
  <c r="EB17" i="59"/>
  <c r="EC17" i="59"/>
  <c r="ED17" i="59"/>
  <c r="EE17" i="59"/>
  <c r="EF17" i="59"/>
  <c r="EG17" i="59"/>
  <c r="EH17" i="59"/>
  <c r="EI17" i="59"/>
  <c r="EJ17" i="59"/>
  <c r="EK17" i="59"/>
  <c r="EL17" i="59"/>
  <c r="EM17" i="59"/>
  <c r="EN17" i="59"/>
  <c r="EO17" i="59"/>
  <c r="EP17" i="59"/>
  <c r="EQ17" i="59"/>
  <c r="ER17" i="59"/>
  <c r="ES17" i="59"/>
  <c r="ET17" i="59"/>
  <c r="EU17" i="59"/>
  <c r="EV17" i="59"/>
  <c r="EW17" i="59"/>
  <c r="EX17" i="59"/>
  <c r="EY17" i="59"/>
  <c r="EZ17" i="59"/>
  <c r="FA17" i="59"/>
  <c r="FB17" i="59"/>
  <c r="FC17" i="59"/>
  <c r="FD17" i="59"/>
  <c r="FE17" i="59"/>
  <c r="FF17" i="59"/>
  <c r="FG17" i="59"/>
  <c r="FH17" i="59"/>
  <c r="FI17" i="59"/>
  <c r="FJ17" i="59"/>
  <c r="FK17" i="59"/>
  <c r="FL17" i="59"/>
  <c r="FM17" i="59"/>
  <c r="FN17" i="59"/>
  <c r="FO17" i="59"/>
  <c r="FP17" i="59"/>
  <c r="FQ17" i="59"/>
  <c r="FR17" i="59"/>
  <c r="FS17" i="59"/>
  <c r="FT17" i="59"/>
  <c r="FU17" i="59"/>
  <c r="FV17" i="59"/>
  <c r="FW17" i="59"/>
  <c r="FX17" i="59"/>
  <c r="FY17" i="59"/>
  <c r="FZ17" i="59"/>
  <c r="GA17" i="59"/>
  <c r="GB17" i="59"/>
  <c r="GC17" i="59"/>
  <c r="GD17" i="59"/>
  <c r="GE17" i="59"/>
  <c r="GF17" i="59"/>
  <c r="GG17" i="59"/>
  <c r="GH17" i="59"/>
  <c r="GI17" i="59"/>
  <c r="GJ17" i="59"/>
  <c r="GK17" i="59"/>
  <c r="GL17" i="59"/>
  <c r="GM17" i="59"/>
  <c r="GN17" i="59"/>
  <c r="GO17" i="59"/>
  <c r="GP17" i="59"/>
  <c r="GQ17" i="59"/>
  <c r="GR17" i="59"/>
  <c r="GS17" i="59"/>
  <c r="GT17" i="59"/>
  <c r="GU17" i="59"/>
  <c r="GV17" i="59"/>
  <c r="GW17" i="59"/>
  <c r="GX17" i="59"/>
  <c r="GY17" i="59"/>
  <c r="GZ17" i="59"/>
  <c r="HA17" i="59"/>
  <c r="HB17" i="59"/>
  <c r="HC17" i="59"/>
  <c r="HD17" i="59"/>
  <c r="HE17" i="59"/>
  <c r="HF17" i="59"/>
  <c r="HG17" i="59"/>
  <c r="HH17" i="59"/>
  <c r="HI17" i="59"/>
  <c r="HJ17" i="59"/>
  <c r="HK17" i="59"/>
  <c r="HL17" i="59"/>
  <c r="HM17" i="59"/>
  <c r="HN17" i="59"/>
  <c r="HO17" i="59"/>
  <c r="HP17" i="59"/>
  <c r="HQ17" i="59"/>
  <c r="HR17" i="59"/>
  <c r="HS17" i="59"/>
  <c r="HT17" i="59"/>
  <c r="HU17" i="59"/>
  <c r="HV17" i="59"/>
  <c r="HW17" i="59"/>
  <c r="HX17" i="59"/>
  <c r="HY17" i="59"/>
  <c r="HZ17" i="59"/>
  <c r="IA17" i="59"/>
  <c r="IB17" i="59"/>
  <c r="IC17" i="59"/>
  <c r="ID17" i="59"/>
  <c r="IE17" i="59"/>
  <c r="IF17" i="59"/>
  <c r="IG17" i="59"/>
  <c r="IH17" i="59"/>
  <c r="II17" i="59"/>
  <c r="IJ17" i="59"/>
  <c r="IK17" i="59"/>
  <c r="IL17" i="59"/>
  <c r="IM17" i="59"/>
  <c r="IN17" i="59"/>
  <c r="IO17" i="59"/>
  <c r="IP17" i="59"/>
  <c r="IQ17" i="59"/>
  <c r="IR17" i="59"/>
  <c r="IS17" i="59"/>
  <c r="IT17" i="59"/>
  <c r="IU17" i="59"/>
  <c r="IV17" i="59"/>
  <c r="F18" i="59"/>
  <c r="G18" i="59"/>
  <c r="H18" i="59"/>
  <c r="I18" i="59"/>
  <c r="J18" i="59"/>
  <c r="K18" i="59"/>
  <c r="L18" i="59"/>
  <c r="M18" i="59"/>
  <c r="N18" i="59"/>
  <c r="O18" i="59"/>
  <c r="P18" i="59"/>
  <c r="Q18" i="59"/>
  <c r="R18" i="59"/>
  <c r="S18" i="59"/>
  <c r="T18" i="59"/>
  <c r="U18" i="59"/>
  <c r="V18" i="59"/>
  <c r="W18" i="59"/>
  <c r="X18" i="59"/>
  <c r="Y18" i="59"/>
  <c r="Z18" i="59"/>
  <c r="AA18" i="59"/>
  <c r="AB18" i="59"/>
  <c r="AC18" i="59"/>
  <c r="AD18" i="59"/>
  <c r="AE18" i="59"/>
  <c r="AF18" i="59"/>
  <c r="AG18" i="59"/>
  <c r="AH18" i="59"/>
  <c r="AI18" i="59"/>
  <c r="AJ18" i="59"/>
  <c r="AK18" i="59"/>
  <c r="AL18" i="59"/>
  <c r="AM18" i="59"/>
  <c r="AN18" i="59"/>
  <c r="AO18" i="59"/>
  <c r="AP18" i="59"/>
  <c r="AQ18" i="59"/>
  <c r="AR18" i="59"/>
  <c r="AS18" i="59"/>
  <c r="AT18" i="59"/>
  <c r="AU18" i="59"/>
  <c r="AV18" i="59"/>
  <c r="AW18" i="59"/>
  <c r="AX18" i="59"/>
  <c r="AY18" i="59"/>
  <c r="AZ18" i="59"/>
  <c r="BA18" i="59"/>
  <c r="BB18" i="59"/>
  <c r="BC18" i="59"/>
  <c r="BD18" i="59"/>
  <c r="BE18" i="59"/>
  <c r="BF18" i="59"/>
  <c r="BG18" i="59"/>
  <c r="BH18" i="59"/>
  <c r="BI18" i="59"/>
  <c r="BJ18" i="59"/>
  <c r="BK18" i="59"/>
  <c r="BL18" i="59"/>
  <c r="BM18" i="59"/>
  <c r="BN18" i="59"/>
  <c r="BO18" i="59"/>
  <c r="BP18" i="59"/>
  <c r="BQ18" i="59"/>
  <c r="BR18" i="59"/>
  <c r="BS18" i="59"/>
  <c r="BT18" i="59"/>
  <c r="BU18" i="59"/>
  <c r="BV18" i="59"/>
  <c r="BW18" i="59"/>
  <c r="BX18" i="59"/>
  <c r="BY18" i="59"/>
  <c r="BZ18" i="59"/>
  <c r="CA18" i="59"/>
  <c r="CB18" i="59"/>
  <c r="CC18" i="59"/>
  <c r="CD18" i="59"/>
  <c r="CE18" i="59"/>
  <c r="CF18" i="59"/>
  <c r="CG18" i="59"/>
  <c r="CH18" i="59"/>
  <c r="CI18" i="59"/>
  <c r="CJ18" i="59"/>
  <c r="CK18" i="59"/>
  <c r="CL18" i="59"/>
  <c r="CM18" i="59"/>
  <c r="CN18" i="59"/>
  <c r="CO18" i="59"/>
  <c r="CP18" i="59"/>
  <c r="CQ18" i="59"/>
  <c r="CR18" i="59"/>
  <c r="CS18" i="59"/>
  <c r="CT18" i="59"/>
  <c r="CU18" i="59"/>
  <c r="CV18" i="59"/>
  <c r="CW18" i="59"/>
  <c r="CX18" i="59"/>
  <c r="CY18" i="59"/>
  <c r="CZ18" i="59"/>
  <c r="DA18" i="59"/>
  <c r="DB18" i="59"/>
  <c r="DC18" i="59"/>
  <c r="DD18" i="59"/>
  <c r="DE18" i="59"/>
  <c r="DF18" i="59"/>
  <c r="DG18" i="59"/>
  <c r="DH18" i="59"/>
  <c r="DI18" i="59"/>
  <c r="DJ18" i="59"/>
  <c r="DK18" i="59"/>
  <c r="DL18" i="59"/>
  <c r="DM18" i="59"/>
  <c r="DN18" i="59"/>
  <c r="DO18" i="59"/>
  <c r="DP18" i="59"/>
  <c r="DQ18" i="59"/>
  <c r="DR18" i="59"/>
  <c r="DS18" i="59"/>
  <c r="DT18" i="59"/>
  <c r="DU18" i="59"/>
  <c r="DV18" i="59"/>
  <c r="DW18" i="59"/>
  <c r="DX18" i="59"/>
  <c r="DY18" i="59"/>
  <c r="DZ18" i="59"/>
  <c r="EA18" i="59"/>
  <c r="EB18" i="59"/>
  <c r="EC18" i="59"/>
  <c r="ED18" i="59"/>
  <c r="EE18" i="59"/>
  <c r="EF18" i="59"/>
  <c r="EG18" i="59"/>
  <c r="EH18" i="59"/>
  <c r="EI18" i="59"/>
  <c r="EJ18" i="59"/>
  <c r="EK18" i="59"/>
  <c r="EL18" i="59"/>
  <c r="EM18" i="59"/>
  <c r="EN18" i="59"/>
  <c r="EO18" i="59"/>
  <c r="EP18" i="59"/>
  <c r="EQ18" i="59"/>
  <c r="ER18" i="59"/>
  <c r="ES18" i="59"/>
  <c r="ET18" i="59"/>
  <c r="EU18" i="59"/>
  <c r="EV18" i="59"/>
  <c r="EW18" i="59"/>
  <c r="EX18" i="59"/>
  <c r="EY18" i="59"/>
  <c r="EZ18" i="59"/>
  <c r="FA18" i="59"/>
  <c r="FB18" i="59"/>
  <c r="FC18" i="59"/>
  <c r="FD18" i="59"/>
  <c r="FE18" i="59"/>
  <c r="FF18" i="59"/>
  <c r="FG18" i="59"/>
  <c r="FH18" i="59"/>
  <c r="FI18" i="59"/>
  <c r="FJ18" i="59"/>
  <c r="FK18" i="59"/>
  <c r="FL18" i="59"/>
  <c r="FM18" i="59"/>
  <c r="FN18" i="59"/>
  <c r="FO18" i="59"/>
  <c r="FP18" i="59"/>
  <c r="FQ18" i="59"/>
  <c r="FR18" i="59"/>
  <c r="FS18" i="59"/>
  <c r="FT18" i="59"/>
  <c r="FU18" i="59"/>
  <c r="FV18" i="59"/>
  <c r="FW18" i="59"/>
  <c r="FX18" i="59"/>
  <c r="FY18" i="59"/>
  <c r="FZ18" i="59"/>
  <c r="GA18" i="59"/>
  <c r="GB18" i="59"/>
  <c r="GC18" i="59"/>
  <c r="GD18" i="59"/>
  <c r="GE18" i="59"/>
  <c r="GF18" i="59"/>
  <c r="GG18" i="59"/>
  <c r="GH18" i="59"/>
  <c r="GI18" i="59"/>
  <c r="GJ18" i="59"/>
  <c r="GK18" i="59"/>
  <c r="GL18" i="59"/>
  <c r="GM18" i="59"/>
  <c r="GN18" i="59"/>
  <c r="GO18" i="59"/>
  <c r="GP18" i="59"/>
  <c r="GQ18" i="59"/>
  <c r="GR18" i="59"/>
  <c r="GT18" i="59"/>
  <c r="GU18" i="59"/>
  <c r="GV18" i="59"/>
  <c r="GW18" i="59"/>
  <c r="GX18" i="59"/>
  <c r="GY18" i="59"/>
  <c r="GZ18" i="59"/>
  <c r="HA18" i="59"/>
  <c r="HB18" i="59"/>
  <c r="HC18" i="59"/>
  <c r="HD18" i="59"/>
  <c r="HE18" i="59"/>
  <c r="HF18" i="59"/>
  <c r="HG18" i="59"/>
  <c r="HH18" i="59"/>
  <c r="HI18" i="59"/>
  <c r="HJ18" i="59"/>
  <c r="HK18" i="59"/>
  <c r="HL18" i="59"/>
  <c r="HN18" i="59"/>
  <c r="HO18" i="59"/>
  <c r="HP18" i="59"/>
  <c r="HQ18" i="59"/>
  <c r="HR18" i="59"/>
  <c r="HS18" i="59"/>
  <c r="HT18" i="59"/>
  <c r="HU18" i="59"/>
  <c r="HV18" i="59"/>
  <c r="HW18" i="59"/>
  <c r="HX18" i="59"/>
  <c r="HY18" i="59"/>
  <c r="HZ18" i="59"/>
  <c r="IA18" i="59"/>
  <c r="IB18" i="59"/>
  <c r="IC18" i="59"/>
  <c r="ID18" i="59"/>
  <c r="IE18" i="59"/>
  <c r="IF18" i="59"/>
  <c r="IG18" i="59"/>
  <c r="IH18" i="59"/>
  <c r="II18" i="59"/>
  <c r="IJ18" i="59"/>
  <c r="IK18" i="59"/>
  <c r="IL18" i="59"/>
  <c r="IM18" i="59"/>
  <c r="IN18" i="59"/>
  <c r="IO18" i="59"/>
  <c r="IP18" i="59"/>
  <c r="IQ18" i="59"/>
  <c r="IR18" i="59"/>
  <c r="IS18" i="59"/>
  <c r="IT18" i="59"/>
  <c r="IU18" i="59"/>
  <c r="IV18" i="59"/>
  <c r="F19" i="59"/>
  <c r="G19" i="59"/>
  <c r="H19" i="59"/>
  <c r="I19" i="59"/>
  <c r="J19" i="59"/>
  <c r="K19" i="59"/>
  <c r="L19" i="59"/>
  <c r="M19" i="59"/>
  <c r="N19" i="59"/>
  <c r="O19" i="59"/>
  <c r="P19" i="59"/>
  <c r="Q19" i="59"/>
  <c r="R19" i="59"/>
  <c r="S19" i="59"/>
  <c r="T19" i="59"/>
  <c r="U19" i="59"/>
  <c r="V19" i="59"/>
  <c r="W19" i="59"/>
  <c r="X19" i="59"/>
  <c r="Y19" i="59"/>
  <c r="Z19" i="59"/>
  <c r="AA19" i="59"/>
  <c r="AB19" i="59"/>
  <c r="AC19" i="59"/>
  <c r="AD19" i="59"/>
  <c r="AE19" i="59"/>
  <c r="AF19" i="59"/>
  <c r="AG19" i="59"/>
  <c r="AH19" i="59"/>
  <c r="AI19" i="59"/>
  <c r="AJ19" i="59"/>
  <c r="AK19" i="59"/>
  <c r="AL19" i="59"/>
  <c r="AM19" i="59"/>
  <c r="AN19" i="59"/>
  <c r="AO19" i="59"/>
  <c r="AP19" i="59"/>
  <c r="AQ19" i="59"/>
  <c r="AR19" i="59"/>
  <c r="AS19" i="59"/>
  <c r="AT19" i="59"/>
  <c r="AU19" i="59"/>
  <c r="AV19" i="59"/>
  <c r="AW19" i="59"/>
  <c r="AX19" i="59"/>
  <c r="AY19" i="59"/>
  <c r="AZ19" i="59"/>
  <c r="BA19" i="59"/>
  <c r="BB19" i="59"/>
  <c r="BC19" i="59"/>
  <c r="BD19" i="59"/>
  <c r="BE19" i="59"/>
  <c r="BF19" i="59"/>
  <c r="BG19" i="59"/>
  <c r="BH19" i="59"/>
  <c r="BI19" i="59"/>
  <c r="BJ19" i="59"/>
  <c r="BK19" i="59"/>
  <c r="BL19" i="59"/>
  <c r="BM19" i="59"/>
  <c r="BN19" i="59"/>
  <c r="BO19" i="59"/>
  <c r="BP19" i="59"/>
  <c r="BQ19" i="59"/>
  <c r="BR19" i="59"/>
  <c r="CB19" i="59"/>
  <c r="CC19" i="59"/>
  <c r="CD19" i="59"/>
  <c r="CF19" i="59"/>
  <c r="CG19" i="59"/>
  <c r="CH19" i="59"/>
  <c r="CI19" i="59"/>
  <c r="CJ19" i="59"/>
  <c r="CK19" i="59"/>
  <c r="CL19" i="59"/>
  <c r="CM19" i="59"/>
  <c r="CN19" i="59"/>
  <c r="CO19" i="59"/>
  <c r="CP19" i="59"/>
  <c r="CV19" i="59"/>
  <c r="CW19" i="59"/>
  <c r="CX19" i="59"/>
  <c r="CZ19" i="59"/>
  <c r="DA19" i="59"/>
  <c r="DB19" i="59"/>
  <c r="DC19" i="59"/>
  <c r="DD19" i="59"/>
  <c r="DE19" i="59"/>
  <c r="DF19" i="59"/>
  <c r="DG19" i="59"/>
  <c r="DH19" i="59"/>
  <c r="DI19" i="59"/>
  <c r="DJ19" i="59"/>
  <c r="DP19" i="59"/>
  <c r="DQ19" i="59"/>
  <c r="DR19" i="59"/>
  <c r="DT19" i="59"/>
  <c r="DU19" i="59"/>
  <c r="DV19" i="59"/>
  <c r="DW19" i="59"/>
  <c r="DX19" i="59"/>
  <c r="DY19" i="59"/>
  <c r="DZ19" i="59"/>
  <c r="EA19" i="59"/>
  <c r="EB19" i="59"/>
  <c r="EC19" i="59"/>
  <c r="ED19" i="59"/>
  <c r="EJ19" i="59"/>
  <c r="EK19" i="59"/>
  <c r="EL19" i="59"/>
  <c r="EN19" i="59"/>
  <c r="EO19" i="59"/>
  <c r="EP19" i="59"/>
  <c r="EQ19" i="59"/>
  <c r="ER19" i="59"/>
  <c r="ES19" i="59"/>
  <c r="ET19" i="59"/>
  <c r="EU19" i="59"/>
  <c r="EV19" i="59"/>
  <c r="EW19" i="59"/>
  <c r="EX19" i="59"/>
  <c r="EZ19" i="59"/>
  <c r="FD19" i="59"/>
  <c r="FE19" i="59"/>
  <c r="FF19" i="59"/>
  <c r="FH19" i="59"/>
  <c r="FI19" i="59"/>
  <c r="FJ19" i="59"/>
  <c r="FK19" i="59"/>
  <c r="FL19" i="59"/>
  <c r="FM19" i="59"/>
  <c r="FN19" i="59"/>
  <c r="FO19" i="59"/>
  <c r="FP19" i="59"/>
  <c r="FQ19" i="59"/>
  <c r="FR19" i="59"/>
  <c r="FX19" i="59"/>
  <c r="FY19" i="59"/>
  <c r="FZ19" i="59"/>
  <c r="GB19" i="59"/>
  <c r="GC19" i="59"/>
  <c r="GD19" i="59"/>
  <c r="GE19" i="59"/>
  <c r="GF19" i="59"/>
  <c r="GG19" i="59"/>
  <c r="GH19" i="59"/>
  <c r="GI19" i="59"/>
  <c r="GJ19" i="59"/>
  <c r="GK19" i="59"/>
  <c r="GL19" i="59"/>
  <c r="GR19" i="59"/>
  <c r="GS19" i="59"/>
  <c r="GT19" i="59"/>
  <c r="GV19" i="59"/>
  <c r="GW19" i="59"/>
  <c r="GX19" i="59"/>
  <c r="GY19" i="59"/>
  <c r="GZ19" i="59"/>
  <c r="HA19" i="59"/>
  <c r="HB19" i="59"/>
  <c r="HC19" i="59"/>
  <c r="HD19" i="59"/>
  <c r="HE19" i="59"/>
  <c r="HF19" i="59"/>
  <c r="HL19" i="59"/>
  <c r="HM19" i="59"/>
  <c r="HN19" i="59"/>
  <c r="HP19" i="59"/>
  <c r="HQ19" i="59"/>
  <c r="HR19" i="59"/>
  <c r="HS19" i="59"/>
  <c r="HT19" i="59"/>
  <c r="HU19" i="59"/>
  <c r="HV19" i="59"/>
  <c r="HW19" i="59"/>
  <c r="HX19" i="59"/>
  <c r="HY19" i="59"/>
  <c r="HZ19" i="59"/>
  <c r="IF19" i="59"/>
  <c r="IG19" i="59"/>
  <c r="IH19" i="59"/>
  <c r="IJ19" i="59"/>
  <c r="IK19" i="59"/>
  <c r="IL19" i="59"/>
  <c r="IM19" i="59"/>
  <c r="IN19" i="59"/>
  <c r="IO19" i="59"/>
  <c r="IP19" i="59"/>
  <c r="IQ19" i="59"/>
  <c r="IR19" i="59"/>
  <c r="IS19" i="59"/>
  <c r="IT19" i="59"/>
  <c r="I20" i="59"/>
  <c r="J20" i="59"/>
  <c r="K20" i="59"/>
  <c r="M20" i="59"/>
  <c r="N20" i="59"/>
  <c r="O20" i="59"/>
  <c r="P20" i="59"/>
  <c r="Q20" i="59"/>
  <c r="R20" i="59"/>
  <c r="S20" i="59"/>
  <c r="T20" i="59"/>
  <c r="U20" i="59"/>
  <c r="V20" i="59"/>
  <c r="W20" i="59"/>
  <c r="AC20" i="59"/>
  <c r="AD20" i="59"/>
  <c r="AE20" i="59"/>
  <c r="AG20" i="59"/>
  <c r="AH20" i="59"/>
  <c r="AI20" i="59"/>
  <c r="AJ20" i="59"/>
  <c r="AK20" i="59"/>
  <c r="AL20" i="59"/>
  <c r="AM20" i="59"/>
  <c r="AN20" i="59"/>
  <c r="AO20" i="59"/>
  <c r="AP20" i="59"/>
  <c r="AQ20" i="59"/>
  <c r="AW20" i="59"/>
  <c r="AX20" i="59"/>
  <c r="AY20" i="59"/>
  <c r="BA20" i="59"/>
  <c r="BB20" i="59"/>
  <c r="BC20" i="59"/>
  <c r="BD20" i="59"/>
  <c r="BE20" i="59"/>
  <c r="BF20" i="59"/>
  <c r="BG20" i="59"/>
  <c r="BH20" i="59"/>
  <c r="BI20" i="59"/>
  <c r="BJ20" i="59"/>
  <c r="BK20" i="59"/>
  <c r="BQ20" i="59"/>
  <c r="BR20" i="59"/>
  <c r="BS20" i="59"/>
  <c r="BU20" i="59"/>
  <c r="BV20" i="59"/>
  <c r="BW20" i="59"/>
  <c r="BX20" i="59"/>
  <c r="BY20" i="59"/>
  <c r="BZ20" i="59"/>
  <c r="CA20" i="59"/>
  <c r="CB20" i="59"/>
  <c r="CC20" i="59"/>
  <c r="CD20" i="59"/>
  <c r="CE20" i="59"/>
  <c r="CK20" i="59"/>
  <c r="CL20" i="59"/>
  <c r="CM20" i="59"/>
  <c r="CO20" i="59"/>
  <c r="CP20" i="59"/>
  <c r="CQ20" i="59"/>
  <c r="CR20" i="59"/>
  <c r="CS20" i="59"/>
  <c r="CT20" i="59"/>
  <c r="CU20" i="59"/>
  <c r="CV20" i="59"/>
  <c r="CW20" i="59"/>
  <c r="CX20" i="59"/>
  <c r="CY20" i="59"/>
  <c r="DE20" i="59"/>
  <c r="DF20" i="59"/>
  <c r="DG20" i="59"/>
  <c r="DI20" i="59"/>
  <c r="DJ20" i="59"/>
  <c r="DK20" i="59"/>
  <c r="DL20" i="59"/>
  <c r="DM20" i="59"/>
  <c r="DN20" i="59"/>
  <c r="DO20" i="59"/>
  <c r="DP20" i="59"/>
  <c r="DQ20" i="59"/>
  <c r="DR20" i="59"/>
  <c r="DS20" i="59"/>
  <c r="DY20" i="59"/>
  <c r="DZ20" i="59"/>
  <c r="EA20" i="59"/>
  <c r="EC20" i="59"/>
  <c r="ED20" i="59"/>
  <c r="EE20" i="59"/>
  <c r="EF20" i="59"/>
  <c r="EG20" i="59"/>
  <c r="EH20" i="59"/>
  <c r="EI20" i="59"/>
  <c r="EJ20" i="59"/>
  <c r="EK20" i="59"/>
  <c r="EL20" i="59"/>
  <c r="EM20" i="59"/>
  <c r="ES20" i="59"/>
  <c r="ET20" i="59"/>
  <c r="EU20" i="59"/>
  <c r="EW20" i="59"/>
  <c r="EX20" i="59"/>
  <c r="EY20" i="59"/>
  <c r="EZ20" i="59"/>
  <c r="FA20" i="59"/>
  <c r="FB20" i="59"/>
  <c r="FC20" i="59"/>
  <c r="FD20" i="59"/>
  <c r="FE20" i="59"/>
  <c r="FF20" i="59"/>
  <c r="FG20" i="59"/>
  <c r="FM20" i="59"/>
  <c r="FN20" i="59"/>
  <c r="FO20" i="59"/>
  <c r="FQ20" i="59"/>
  <c r="FR20" i="59"/>
  <c r="FS20" i="59"/>
  <c r="FT20" i="59"/>
  <c r="FU20" i="59"/>
  <c r="FV20" i="59"/>
  <c r="FW20" i="59"/>
  <c r="FX20" i="59"/>
  <c r="FY20" i="59"/>
  <c r="FZ20" i="59"/>
  <c r="GA20" i="59"/>
  <c r="GG20" i="59"/>
  <c r="GH20" i="59"/>
  <c r="GI20" i="59"/>
  <c r="GK20" i="59"/>
  <c r="GL20" i="59"/>
  <c r="GM20" i="59"/>
  <c r="GN20" i="59"/>
  <c r="GO20" i="59"/>
  <c r="GP20" i="59"/>
  <c r="GQ20" i="59"/>
  <c r="GR20" i="59"/>
  <c r="GS20" i="59"/>
  <c r="GT20" i="59"/>
  <c r="GU20" i="59"/>
  <c r="HA20" i="59"/>
  <c r="HB20" i="59"/>
  <c r="HC20" i="59"/>
  <c r="HE20" i="59"/>
  <c r="HF20" i="59"/>
  <c r="HG20" i="59"/>
  <c r="HH20" i="59"/>
  <c r="HI20" i="59"/>
  <c r="HJ20" i="59"/>
  <c r="HK20" i="59"/>
  <c r="HL20" i="59"/>
  <c r="HM20" i="59"/>
  <c r="HN20" i="59"/>
  <c r="HO20" i="59"/>
  <c r="HU20" i="59"/>
  <c r="HV20" i="59"/>
  <c r="HW20" i="59"/>
  <c r="HX20" i="59"/>
  <c r="HY20" i="59"/>
  <c r="HZ20" i="59"/>
  <c r="IA20" i="59"/>
  <c r="IB20" i="59"/>
  <c r="IC20" i="59"/>
  <c r="ID20" i="59"/>
  <c r="IE20" i="59"/>
  <c r="IO20" i="59"/>
  <c r="IP20" i="59"/>
  <c r="IQ20" i="59"/>
  <c r="IS20" i="59"/>
  <c r="IT20" i="59"/>
  <c r="IU20" i="59"/>
  <c r="IV20" i="59"/>
  <c r="F21" i="59"/>
  <c r="G21" i="59"/>
  <c r="H21" i="59"/>
  <c r="I21" i="59"/>
  <c r="J21" i="59"/>
  <c r="K21" i="59"/>
  <c r="L21" i="59"/>
  <c r="R21" i="59"/>
  <c r="S21" i="59"/>
  <c r="T21" i="59"/>
  <c r="V21" i="59"/>
  <c r="W21" i="59"/>
  <c r="X21" i="59"/>
  <c r="Y21" i="59"/>
  <c r="Z21" i="59"/>
  <c r="AA21" i="59"/>
  <c r="AB21" i="59"/>
  <c r="AC21" i="59"/>
  <c r="AD21" i="59"/>
  <c r="AE21" i="59"/>
  <c r="AF21" i="59"/>
  <c r="AL21" i="59"/>
  <c r="AM21" i="59"/>
  <c r="AN21" i="59"/>
  <c r="AP21" i="59"/>
  <c r="AQ21" i="59"/>
  <c r="AR21" i="59"/>
  <c r="AS21" i="59"/>
  <c r="AT21" i="59"/>
  <c r="AU21" i="59"/>
  <c r="AV21" i="59"/>
  <c r="AW21" i="59"/>
  <c r="AX21" i="59"/>
  <c r="AY21" i="59"/>
  <c r="AZ21" i="59"/>
  <c r="BF21" i="59"/>
  <c r="BG21" i="59"/>
  <c r="BH21" i="59"/>
  <c r="BJ21" i="59"/>
  <c r="BK21" i="59"/>
  <c r="BL21" i="59"/>
  <c r="BM21" i="59"/>
  <c r="BN21" i="59"/>
  <c r="BO21" i="59"/>
  <c r="BP21" i="59"/>
  <c r="BQ21" i="59"/>
  <c r="BR21" i="59"/>
  <c r="BS21" i="59"/>
  <c r="BT21" i="59"/>
  <c r="BZ21" i="59"/>
  <c r="CA21" i="59"/>
  <c r="CB21" i="59"/>
  <c r="CD21" i="59"/>
  <c r="CE21" i="59"/>
  <c r="CF21" i="59"/>
  <c r="CG21" i="59"/>
  <c r="CH21" i="59"/>
  <c r="CI21" i="59"/>
  <c r="CJ21" i="59"/>
  <c r="CK21" i="59"/>
  <c r="CL21" i="59"/>
  <c r="CM21" i="59"/>
  <c r="CN21" i="59"/>
  <c r="CT21" i="59"/>
  <c r="CU21" i="59"/>
  <c r="CV21" i="59"/>
  <c r="CX21" i="59"/>
  <c r="CY21" i="59"/>
  <c r="CZ21" i="59"/>
  <c r="DA21" i="59"/>
  <c r="DB21" i="59"/>
  <c r="DC21" i="59"/>
  <c r="DD21" i="59"/>
  <c r="DE21" i="59"/>
  <c r="DF21" i="59"/>
  <c r="DG21" i="59"/>
  <c r="DH21" i="59"/>
  <c r="DN21" i="59"/>
  <c r="DO21" i="59"/>
  <c r="DP21" i="59"/>
  <c r="DR21" i="59"/>
  <c r="DS21" i="59"/>
  <c r="DT21" i="59"/>
  <c r="DU21" i="59"/>
  <c r="DV21" i="59"/>
  <c r="DW21" i="59"/>
  <c r="DX21" i="59"/>
  <c r="DY21" i="59"/>
  <c r="DZ21" i="59"/>
  <c r="EA21" i="59"/>
  <c r="EB21" i="59"/>
  <c r="EH21" i="59"/>
  <c r="EI21" i="59"/>
  <c r="EJ21" i="59"/>
  <c r="EL21" i="59"/>
  <c r="EM21" i="59"/>
  <c r="EN21" i="59"/>
  <c r="EO21" i="59"/>
  <c r="EP21" i="59"/>
  <c r="EQ21" i="59"/>
  <c r="ER21" i="59"/>
  <c r="ES21" i="59"/>
  <c r="ET21" i="59"/>
  <c r="EU21" i="59"/>
  <c r="EV21" i="59"/>
  <c r="FB21" i="59"/>
  <c r="FC21" i="59"/>
  <c r="FD21" i="59"/>
  <c r="FF21" i="59"/>
  <c r="FG21" i="59"/>
  <c r="FH21" i="59"/>
  <c r="FI21" i="59"/>
  <c r="FJ21" i="59"/>
  <c r="FK21" i="59"/>
  <c r="FL21" i="59"/>
  <c r="FM21" i="59"/>
  <c r="FN21" i="59"/>
  <c r="FO21" i="59"/>
  <c r="FP21" i="59"/>
  <c r="FV21" i="59"/>
  <c r="FW21" i="59"/>
  <c r="FX21" i="59"/>
  <c r="FZ21" i="59"/>
  <c r="GA21" i="59"/>
  <c r="GB21" i="59"/>
  <c r="GC21" i="59"/>
  <c r="GD21" i="59"/>
  <c r="GE21" i="59"/>
  <c r="GF21" i="59"/>
  <c r="GG21" i="59"/>
  <c r="GH21" i="59"/>
  <c r="GI21" i="59"/>
  <c r="GJ21" i="59"/>
  <c r="GP21" i="59"/>
  <c r="GQ21" i="59"/>
  <c r="GR21" i="59"/>
  <c r="GT21" i="59"/>
  <c r="GU21" i="59"/>
  <c r="GV21" i="59"/>
  <c r="GW21" i="59"/>
  <c r="GX21" i="59"/>
  <c r="GY21" i="59"/>
  <c r="GZ21" i="59"/>
  <c r="HA21" i="59"/>
  <c r="HB21" i="59"/>
  <c r="HC21" i="59"/>
  <c r="HD21" i="59"/>
  <c r="HJ21" i="59"/>
  <c r="HK21" i="59"/>
  <c r="HL21" i="59"/>
  <c r="HN21" i="59"/>
  <c r="HO21" i="59"/>
  <c r="HP21" i="59"/>
  <c r="HQ21" i="59"/>
  <c r="HR21" i="59"/>
  <c r="HS21" i="59"/>
  <c r="HT21" i="59"/>
  <c r="HU21" i="59"/>
  <c r="HV21" i="59"/>
  <c r="HW21" i="59"/>
  <c r="HX21" i="59"/>
  <c r="ID21" i="59"/>
  <c r="IE21" i="59"/>
  <c r="IF21" i="59"/>
  <c r="IH21" i="59"/>
  <c r="II21" i="59"/>
  <c r="IJ21" i="59"/>
  <c r="IK21" i="59"/>
  <c r="IL21" i="59"/>
  <c r="IM21" i="59"/>
  <c r="IN21" i="59"/>
  <c r="IO21" i="59"/>
  <c r="IP21" i="59"/>
  <c r="IQ21" i="59"/>
  <c r="IR21" i="59"/>
  <c r="G22" i="59"/>
  <c r="H22" i="59"/>
  <c r="I22" i="59"/>
  <c r="K22" i="59"/>
  <c r="L22" i="59"/>
  <c r="M22" i="59"/>
  <c r="N22" i="59"/>
  <c r="O22" i="59"/>
  <c r="P22" i="59"/>
  <c r="Q22" i="59"/>
  <c r="R22" i="59"/>
  <c r="S22" i="59"/>
  <c r="T22" i="59"/>
  <c r="U22" i="59"/>
  <c r="AA22" i="59"/>
  <c r="AB22" i="59"/>
  <c r="AC22" i="59"/>
  <c r="AE22" i="59"/>
  <c r="AF22" i="59"/>
  <c r="AG22" i="59"/>
  <c r="AH22" i="59"/>
  <c r="AI22" i="59"/>
  <c r="AJ22" i="59"/>
  <c r="AK22" i="59"/>
  <c r="AL22" i="59"/>
  <c r="AM22" i="59"/>
  <c r="AN22" i="59"/>
  <c r="AO22" i="59"/>
  <c r="AU22" i="59"/>
  <c r="AV22" i="59"/>
  <c r="AW22" i="59"/>
  <c r="AY22" i="59"/>
  <c r="AZ22" i="59"/>
  <c r="BA22" i="59"/>
  <c r="BB22" i="59"/>
  <c r="BC22" i="59"/>
  <c r="BD22" i="59"/>
  <c r="BE22" i="59"/>
  <c r="BF22" i="59"/>
  <c r="BG22" i="59"/>
  <c r="BH22" i="59"/>
  <c r="BI22" i="59"/>
  <c r="BO22" i="59"/>
  <c r="BP22" i="59"/>
  <c r="BQ22" i="59"/>
  <c r="BS22" i="59"/>
  <c r="BT22" i="59"/>
  <c r="BU22" i="59"/>
  <c r="BV22" i="59"/>
  <c r="BW22" i="59"/>
  <c r="BX22" i="59"/>
  <c r="BY22" i="59"/>
  <c r="BZ22" i="59"/>
  <c r="CA22" i="59"/>
  <c r="CB22" i="59"/>
  <c r="CC22" i="59"/>
  <c r="CI22" i="59"/>
  <c r="CJ22" i="59"/>
  <c r="CK22" i="59"/>
  <c r="CM22" i="59"/>
  <c r="CN22" i="59"/>
  <c r="CO22" i="59"/>
  <c r="CP22" i="59"/>
  <c r="CQ22" i="59"/>
  <c r="CR22" i="59"/>
  <c r="CS22" i="59"/>
  <c r="CT22" i="59"/>
  <c r="CU22" i="59"/>
  <c r="CV22" i="59"/>
  <c r="CW22" i="59"/>
  <c r="DC22" i="59"/>
  <c r="DD22" i="59"/>
  <c r="DE22" i="59"/>
  <c r="DG22" i="59"/>
  <c r="DH22" i="59"/>
  <c r="DI22" i="59"/>
  <c r="DJ22" i="59"/>
  <c r="DK22" i="59"/>
  <c r="DL22" i="59"/>
  <c r="DM22" i="59"/>
  <c r="DN22" i="59"/>
  <c r="DO22" i="59"/>
  <c r="DP22" i="59"/>
  <c r="DQ22" i="59"/>
  <c r="DW22" i="59"/>
  <c r="DX22" i="59"/>
  <c r="DY22" i="59"/>
  <c r="EA22" i="59"/>
  <c r="EB22" i="59"/>
  <c r="EC22" i="59"/>
  <c r="ED22" i="59"/>
  <c r="EE22" i="59"/>
  <c r="EF22" i="59"/>
  <c r="EG22" i="59"/>
  <c r="EH22" i="59"/>
  <c r="EI22" i="59"/>
  <c r="EJ22" i="59"/>
  <c r="EK22" i="59"/>
  <c r="EQ22" i="59"/>
  <c r="ER22" i="59"/>
  <c r="ES22" i="59"/>
  <c r="ET22" i="59"/>
  <c r="EU22" i="59"/>
  <c r="EV22" i="59"/>
  <c r="EW22" i="59"/>
  <c r="EX22" i="59"/>
  <c r="EY22" i="59"/>
  <c r="EZ22" i="59"/>
  <c r="FA22" i="59"/>
  <c r="FK22" i="59"/>
  <c r="FL22" i="59"/>
  <c r="FM22" i="59"/>
  <c r="FO22" i="59"/>
  <c r="FP22" i="59"/>
  <c r="FQ22" i="59"/>
  <c r="FR22" i="59"/>
  <c r="FS22" i="59"/>
  <c r="FT22" i="59"/>
  <c r="FU22" i="59"/>
  <c r="FV22" i="59"/>
  <c r="FW22" i="59"/>
  <c r="FX22" i="59"/>
  <c r="FY22" i="59"/>
  <c r="GE22" i="59"/>
  <c r="GF22" i="59"/>
  <c r="GG22" i="59"/>
  <c r="GI22" i="59"/>
  <c r="GJ22" i="59"/>
  <c r="GK22" i="59"/>
  <c r="GL22" i="59"/>
  <c r="GM22" i="59"/>
  <c r="GN22" i="59"/>
  <c r="GO22" i="59"/>
  <c r="GP22" i="59"/>
  <c r="GQ22" i="59"/>
  <c r="GR22" i="59"/>
  <c r="GS22" i="59"/>
  <c r="GY22" i="59"/>
  <c r="GZ22" i="59"/>
  <c r="HA22" i="59"/>
  <c r="HC22" i="59"/>
  <c r="HD22" i="59"/>
  <c r="HE22" i="59"/>
  <c r="HF22" i="59"/>
  <c r="HG22" i="59"/>
  <c r="HH22" i="59"/>
  <c r="HI22" i="59"/>
  <c r="HJ22" i="59"/>
  <c r="HK22" i="59"/>
  <c r="HL22" i="59"/>
  <c r="HM22" i="59"/>
  <c r="HS22" i="59"/>
  <c r="HT22" i="59"/>
  <c r="HU22" i="59"/>
  <c r="HW22" i="59"/>
  <c r="HX22" i="59"/>
  <c r="HY22" i="59"/>
  <c r="HZ22" i="59"/>
  <c r="IA22" i="59"/>
  <c r="IB22" i="59"/>
  <c r="IC22" i="59"/>
  <c r="ID22" i="59"/>
  <c r="IE22" i="59"/>
  <c r="IF22" i="59"/>
  <c r="IG22" i="59"/>
  <c r="IM22" i="59"/>
  <c r="IN22" i="59"/>
  <c r="IO22" i="59"/>
  <c r="IQ22" i="59"/>
  <c r="IR22" i="59"/>
  <c r="IS22" i="59"/>
  <c r="IT22" i="59"/>
  <c r="IU22" i="59"/>
  <c r="IV22" i="59"/>
  <c r="F23" i="59"/>
  <c r="G23" i="59"/>
  <c r="H23" i="59"/>
  <c r="I23" i="59"/>
  <c r="J23" i="59"/>
  <c r="P23" i="59"/>
  <c r="Q23" i="59"/>
  <c r="R23" i="59"/>
  <c r="T23" i="59"/>
  <c r="U23" i="59"/>
  <c r="V23" i="59"/>
  <c r="W23" i="59"/>
  <c r="X23" i="59"/>
  <c r="Y23" i="59"/>
  <c r="Z23" i="59"/>
  <c r="AA23" i="59"/>
  <c r="AB23" i="59"/>
  <c r="AC23" i="59"/>
  <c r="AD23" i="59"/>
  <c r="AJ23" i="59"/>
  <c r="AK23" i="59"/>
  <c r="AL23" i="59"/>
  <c r="AN23" i="59"/>
  <c r="AO23" i="59"/>
  <c r="AP23" i="59"/>
  <c r="AQ23" i="59"/>
  <c r="AR23" i="59"/>
  <c r="AS23" i="59"/>
  <c r="AT23" i="59"/>
  <c r="AU23" i="59"/>
  <c r="AV23" i="59"/>
  <c r="AW23" i="59"/>
  <c r="AX23" i="59"/>
  <c r="BD23" i="59"/>
  <c r="BE23" i="59"/>
  <c r="BF23" i="59"/>
  <c r="BH23" i="59"/>
  <c r="BI23" i="59"/>
  <c r="BJ23" i="59"/>
  <c r="BK23" i="59"/>
  <c r="BL23" i="59"/>
  <c r="BM23" i="59"/>
  <c r="BN23" i="59"/>
  <c r="BO23" i="59"/>
  <c r="BP23" i="59"/>
  <c r="BQ23" i="59"/>
  <c r="BR23" i="59"/>
  <c r="BX23" i="59"/>
  <c r="BY23" i="59"/>
  <c r="BZ23" i="59"/>
  <c r="CB23" i="59"/>
  <c r="CC23" i="59"/>
  <c r="CD23" i="59"/>
  <c r="CE23" i="59"/>
  <c r="CF23" i="59"/>
  <c r="CG23" i="59"/>
  <c r="CH23" i="59"/>
  <c r="CI23" i="59"/>
  <c r="CJ23" i="59"/>
  <c r="CK23" i="59"/>
  <c r="CL23" i="59"/>
  <c r="CR23" i="59"/>
  <c r="CS23" i="59"/>
  <c r="CT23" i="59"/>
  <c r="CV23" i="59"/>
  <c r="CW23" i="59"/>
  <c r="CX23" i="59"/>
  <c r="CY23" i="59"/>
  <c r="CZ23" i="59"/>
  <c r="DA23" i="59"/>
  <c r="DB23" i="59"/>
  <c r="DC23" i="59"/>
  <c r="DD23" i="59"/>
  <c r="DE23" i="59"/>
  <c r="DF23" i="59"/>
  <c r="DL23" i="59"/>
  <c r="DM23" i="59"/>
  <c r="DN23" i="59"/>
  <c r="DP23" i="59"/>
  <c r="DQ23" i="59"/>
  <c r="DR23" i="59"/>
  <c r="DS23" i="59"/>
  <c r="DT23" i="59"/>
  <c r="DU23" i="59"/>
  <c r="DV23" i="59"/>
  <c r="DW23" i="59"/>
  <c r="DX23" i="59"/>
  <c r="DY23" i="59"/>
  <c r="DZ23" i="59"/>
  <c r="EF23" i="59"/>
  <c r="EG23" i="59"/>
  <c r="EH23" i="59"/>
  <c r="EJ23" i="59"/>
  <c r="EK23" i="59"/>
  <c r="EL23" i="59"/>
  <c r="EM23" i="59"/>
  <c r="EN23" i="59"/>
  <c r="EO23" i="59"/>
  <c r="EP23" i="59"/>
  <c r="EQ23" i="59"/>
  <c r="ER23" i="59"/>
  <c r="ES23" i="59"/>
  <c r="ET23" i="59"/>
  <c r="EZ23" i="59"/>
  <c r="FA23" i="59"/>
  <c r="FB23" i="59"/>
  <c r="FD23" i="59"/>
  <c r="FE23" i="59"/>
  <c r="FF23" i="59"/>
  <c r="FG23" i="59"/>
  <c r="FH23" i="59"/>
  <c r="FI23" i="59"/>
  <c r="FJ23" i="59"/>
  <c r="FK23" i="59"/>
  <c r="FL23" i="59"/>
  <c r="FM23" i="59"/>
  <c r="FN23" i="59"/>
  <c r="FT23" i="59"/>
  <c r="FU23" i="59"/>
  <c r="FV23" i="59"/>
  <c r="FX23" i="59"/>
  <c r="FY23" i="59"/>
  <c r="FZ23" i="59"/>
  <c r="GA23" i="59"/>
  <c r="GB23" i="59"/>
  <c r="GC23" i="59"/>
  <c r="GD23" i="59"/>
  <c r="GE23" i="59"/>
  <c r="GF23" i="59"/>
  <c r="GG23" i="59"/>
  <c r="GH23" i="59"/>
  <c r="GN23" i="59"/>
  <c r="GO23" i="59"/>
  <c r="GP23" i="59"/>
  <c r="GR23" i="59"/>
  <c r="GS23" i="59"/>
  <c r="GT23" i="59"/>
  <c r="GU23" i="59"/>
  <c r="GV23" i="59"/>
  <c r="GW23" i="59"/>
  <c r="GX23" i="59"/>
  <c r="GY23" i="59"/>
  <c r="GZ23" i="59"/>
  <c r="HA23" i="59"/>
  <c r="HB23" i="59"/>
  <c r="HH23" i="59"/>
  <c r="HI23" i="59"/>
  <c r="HJ23" i="59"/>
  <c r="HL23" i="59"/>
  <c r="HM23" i="59"/>
  <c r="HN23" i="59"/>
  <c r="HO23" i="59"/>
  <c r="HP23" i="59"/>
  <c r="HQ23" i="59"/>
  <c r="HR23" i="59"/>
  <c r="HS23" i="59"/>
  <c r="HT23" i="59"/>
  <c r="HU23" i="59"/>
  <c r="HV23" i="59"/>
  <c r="IB23" i="59"/>
  <c r="IC23" i="59"/>
  <c r="ID23" i="59"/>
  <c r="IF23" i="59"/>
  <c r="IG23" i="59"/>
  <c r="IH23" i="59"/>
  <c r="II23" i="59"/>
  <c r="IJ23" i="59"/>
  <c r="IK23" i="59"/>
  <c r="IL23" i="59"/>
  <c r="IM23" i="59"/>
  <c r="IN23" i="59"/>
  <c r="IO23" i="59"/>
  <c r="IP23" i="59"/>
  <c r="IV23" i="59"/>
  <c r="F24" i="59"/>
  <c r="G24" i="59"/>
  <c r="I24" i="59"/>
  <c r="J24" i="59"/>
  <c r="K24" i="59"/>
  <c r="L24" i="59"/>
  <c r="M24" i="59"/>
  <c r="N24" i="59"/>
  <c r="O24" i="59"/>
  <c r="P24" i="59"/>
  <c r="Q24" i="59"/>
  <c r="R24" i="59"/>
  <c r="S24" i="59"/>
  <c r="Y24" i="59"/>
  <c r="Z24" i="59"/>
  <c r="AA24" i="59"/>
  <c r="AC24" i="59"/>
  <c r="AD24" i="59"/>
  <c r="AE24" i="59"/>
  <c r="AF24" i="59"/>
  <c r="AG24" i="59"/>
  <c r="AH24" i="59"/>
  <c r="AI24" i="59"/>
  <c r="AJ24" i="59"/>
  <c r="AK24" i="59"/>
  <c r="AL24" i="59"/>
  <c r="AM24" i="59"/>
  <c r="AS24" i="59"/>
  <c r="AT24" i="59"/>
  <c r="AU24" i="59"/>
  <c r="AW24" i="59"/>
  <c r="AX24" i="59"/>
  <c r="AY24" i="59"/>
  <c r="AZ24" i="59"/>
  <c r="BA24" i="59"/>
  <c r="BB24" i="59"/>
  <c r="BC24" i="59"/>
  <c r="BD24" i="59"/>
  <c r="BE24" i="59"/>
  <c r="BF24" i="59"/>
  <c r="BG24" i="59"/>
  <c r="BM24" i="59"/>
  <c r="BN24" i="59"/>
  <c r="BO24" i="59"/>
  <c r="BP24" i="59"/>
  <c r="BQ24" i="59"/>
  <c r="BR24" i="59"/>
  <c r="BS24" i="59"/>
  <c r="BT24" i="59"/>
  <c r="BU24" i="59"/>
  <c r="BV24" i="59"/>
  <c r="BW24" i="59"/>
  <c r="CG24" i="59"/>
  <c r="CH24" i="59"/>
  <c r="CI24" i="59"/>
  <c r="CK24" i="59"/>
  <c r="CL24" i="59"/>
  <c r="CM24" i="59"/>
  <c r="CN24" i="59"/>
  <c r="CO24" i="59"/>
  <c r="CP24" i="59"/>
  <c r="CQ24" i="59"/>
  <c r="CR24" i="59"/>
  <c r="CS24" i="59"/>
  <c r="CT24" i="59"/>
  <c r="CU24" i="59"/>
  <c r="DA24" i="59"/>
  <c r="DB24" i="59"/>
  <c r="DC24" i="59"/>
  <c r="DE24" i="59"/>
  <c r="DF24" i="59"/>
  <c r="DG24" i="59"/>
  <c r="DH24" i="59"/>
  <c r="DI24" i="59"/>
  <c r="DJ24" i="59"/>
  <c r="DK24" i="59"/>
  <c r="DL24" i="59"/>
  <c r="DM24" i="59"/>
  <c r="DN24" i="59"/>
  <c r="DO24" i="59"/>
  <c r="DU24" i="59"/>
  <c r="DV24" i="59"/>
  <c r="DW24" i="59"/>
  <c r="DY24" i="59"/>
  <c r="DZ24" i="59"/>
  <c r="EA24" i="59"/>
  <c r="EB24" i="59"/>
  <c r="EC24" i="59"/>
  <c r="ED24" i="59"/>
  <c r="EE24" i="59"/>
  <c r="EF24" i="59"/>
  <c r="EG24" i="59"/>
  <c r="EH24" i="59"/>
  <c r="EI24" i="59"/>
  <c r="EO24" i="59"/>
  <c r="EP24" i="59"/>
  <c r="EQ24" i="59"/>
  <c r="ES24" i="59"/>
  <c r="ET24" i="59"/>
  <c r="EU24" i="59"/>
  <c r="EV24" i="59"/>
  <c r="EW24" i="59"/>
  <c r="EX24" i="59"/>
  <c r="EY24" i="59"/>
  <c r="EZ24" i="59"/>
  <c r="FA24" i="59"/>
  <c r="FB24" i="59"/>
  <c r="FC24" i="59"/>
  <c r="FI24" i="59"/>
  <c r="FJ24" i="59"/>
  <c r="FK24" i="59"/>
  <c r="FM24" i="59"/>
  <c r="FN24" i="59"/>
  <c r="FO24" i="59"/>
  <c r="FP24" i="59"/>
  <c r="FQ24" i="59"/>
  <c r="FR24" i="59"/>
  <c r="FS24" i="59"/>
  <c r="FT24" i="59"/>
  <c r="FU24" i="59"/>
  <c r="FV24" i="59"/>
  <c r="FW24" i="59"/>
  <c r="GC24" i="59"/>
  <c r="GD24" i="59"/>
  <c r="GE24" i="59"/>
  <c r="GG24" i="59"/>
  <c r="GH24" i="59"/>
  <c r="GI24" i="59"/>
  <c r="GJ24" i="59"/>
  <c r="GK24" i="59"/>
  <c r="GL24" i="59"/>
  <c r="GM24" i="59"/>
  <c r="GN24" i="59"/>
  <c r="GO24" i="59"/>
  <c r="GP24" i="59"/>
  <c r="GQ24" i="59"/>
  <c r="GW24" i="59"/>
  <c r="GX24" i="59"/>
  <c r="GY24" i="59"/>
  <c r="HA24" i="59"/>
  <c r="HB24" i="59"/>
  <c r="HC24" i="59"/>
  <c r="HD24" i="59"/>
  <c r="HE24" i="59"/>
  <c r="HF24" i="59"/>
  <c r="HG24" i="59"/>
  <c r="HH24" i="59"/>
  <c r="HI24" i="59"/>
  <c r="HJ24" i="59"/>
  <c r="HK24" i="59"/>
  <c r="HQ24" i="59"/>
  <c r="HR24" i="59"/>
  <c r="HS24" i="59"/>
  <c r="HU24" i="59"/>
  <c r="HV24" i="59"/>
  <c r="HW24" i="59"/>
  <c r="HX24" i="59"/>
  <c r="HY24" i="59"/>
  <c r="HZ24" i="59"/>
  <c r="IA24" i="59"/>
  <c r="IB24" i="59"/>
  <c r="IC24" i="59"/>
  <c r="ID24" i="59"/>
  <c r="IE24" i="59"/>
  <c r="IK24" i="59"/>
  <c r="IL24" i="59"/>
  <c r="IM24" i="59"/>
  <c r="IO24" i="59"/>
  <c r="IP24" i="59"/>
  <c r="IQ24" i="59"/>
  <c r="IR24" i="59"/>
  <c r="IS24" i="59"/>
  <c r="IT24" i="59"/>
  <c r="IU24" i="59"/>
  <c r="IV24" i="59"/>
  <c r="F25" i="59"/>
  <c r="G25" i="59"/>
  <c r="H25" i="59"/>
  <c r="N25" i="59"/>
  <c r="O25" i="59"/>
  <c r="P25" i="59"/>
  <c r="R25" i="59"/>
  <c r="S25" i="59"/>
  <c r="T25" i="59"/>
  <c r="U25" i="59"/>
  <c r="V25" i="59"/>
  <c r="W25" i="59"/>
  <c r="X25" i="59"/>
  <c r="Y25" i="59"/>
  <c r="Z25" i="59"/>
  <c r="AA25" i="59"/>
  <c r="AB25" i="59"/>
  <c r="AH25" i="59"/>
  <c r="AI25" i="59"/>
  <c r="AJ25" i="59"/>
  <c r="AL25" i="59"/>
  <c r="AM25" i="59"/>
  <c r="AN25" i="59"/>
  <c r="AO25" i="59"/>
  <c r="AP25" i="59"/>
  <c r="AQ25" i="59"/>
  <c r="AR25" i="59"/>
  <c r="AS25" i="59"/>
  <c r="AT25" i="59"/>
  <c r="AU25" i="59"/>
  <c r="AV25" i="59"/>
  <c r="BB25" i="59"/>
  <c r="BC25" i="59"/>
  <c r="BD25" i="59"/>
  <c r="BF25" i="59"/>
  <c r="BG25" i="59"/>
  <c r="BH25" i="59"/>
  <c r="BI25" i="59"/>
  <c r="BJ25" i="59"/>
  <c r="BK25" i="59"/>
  <c r="BL25" i="59"/>
  <c r="BM25" i="59"/>
  <c r="BN25" i="59"/>
  <c r="BO25" i="59"/>
  <c r="BP25" i="59"/>
  <c r="BV25" i="59"/>
  <c r="BW25" i="59"/>
  <c r="BX25" i="59"/>
  <c r="BZ25" i="59"/>
  <c r="CA25" i="59"/>
  <c r="CB25" i="59"/>
  <c r="CC25" i="59"/>
  <c r="CD25" i="59"/>
  <c r="CE25" i="59"/>
  <c r="CF25" i="59"/>
  <c r="CG25" i="59"/>
  <c r="CH25" i="59"/>
  <c r="CI25" i="59"/>
  <c r="CJ25" i="59"/>
  <c r="CP25" i="59"/>
  <c r="CQ25" i="59"/>
  <c r="CR25" i="59"/>
  <c r="CT25" i="59"/>
  <c r="CU25" i="59"/>
  <c r="CV25" i="59"/>
  <c r="CW25" i="59"/>
  <c r="CX25" i="59"/>
  <c r="CY25" i="59"/>
  <c r="CZ25" i="59"/>
  <c r="DA25" i="59"/>
  <c r="DB25" i="59"/>
  <c r="DC25" i="59"/>
  <c r="DD25" i="59"/>
  <c r="DJ25" i="59"/>
  <c r="DK25" i="59"/>
  <c r="DL25" i="59"/>
  <c r="DN25" i="59"/>
  <c r="DO25" i="59"/>
  <c r="DP25" i="59"/>
  <c r="DQ25" i="59"/>
  <c r="DR25" i="59"/>
  <c r="DS25" i="59"/>
  <c r="DT25" i="59"/>
  <c r="DU25" i="59"/>
  <c r="DV25" i="59"/>
  <c r="DW25" i="59"/>
  <c r="DX25" i="59"/>
  <c r="ED25" i="59"/>
  <c r="EE25" i="59"/>
  <c r="EF25" i="59"/>
  <c r="EH25" i="59"/>
  <c r="EI25" i="59"/>
  <c r="EJ25" i="59"/>
  <c r="EK25" i="59"/>
  <c r="EL25" i="59"/>
  <c r="EM25" i="59"/>
  <c r="EN25" i="59"/>
  <c r="EO25" i="59"/>
  <c r="EP25" i="59"/>
  <c r="EQ25" i="59"/>
  <c r="ER25" i="59"/>
  <c r="EX25" i="59"/>
  <c r="EY25" i="59"/>
  <c r="EZ25" i="59"/>
  <c r="FB25" i="59"/>
  <c r="FC25" i="59"/>
  <c r="FD25" i="59"/>
  <c r="FE25" i="59"/>
  <c r="FF25" i="59"/>
  <c r="FG25" i="59"/>
  <c r="FH25" i="59"/>
  <c r="FI25" i="59"/>
  <c r="FJ25" i="59"/>
  <c r="FK25" i="59"/>
  <c r="FL25" i="59"/>
  <c r="FR25" i="59"/>
  <c r="FS25" i="59"/>
  <c r="FT25" i="59"/>
  <c r="FV25" i="59"/>
  <c r="FW25" i="59"/>
  <c r="FX25" i="59"/>
  <c r="FY25" i="59"/>
  <c r="FZ25" i="59"/>
  <c r="GA25" i="59"/>
  <c r="GB25" i="59"/>
  <c r="GC25" i="59"/>
  <c r="GD25" i="59"/>
  <c r="GE25" i="59"/>
  <c r="GF25" i="59"/>
  <c r="GL25" i="59"/>
  <c r="GM25" i="59"/>
  <c r="GN25" i="59"/>
  <c r="GP25" i="59"/>
  <c r="GQ25" i="59"/>
  <c r="GR25" i="59"/>
  <c r="GS25" i="59"/>
  <c r="GT25" i="59"/>
  <c r="GU25" i="59"/>
  <c r="GV25" i="59"/>
  <c r="GW25" i="59"/>
  <c r="GX25" i="59"/>
  <c r="GY25" i="59"/>
  <c r="GZ25" i="59"/>
  <c r="HF25" i="59"/>
  <c r="HG25" i="59"/>
  <c r="HH25" i="59"/>
  <c r="HJ25" i="59"/>
  <c r="HK25" i="59"/>
  <c r="HL25" i="59"/>
  <c r="HM25" i="59"/>
  <c r="HN25" i="59"/>
  <c r="HO25" i="59"/>
  <c r="HP25" i="59"/>
  <c r="HQ25" i="59"/>
  <c r="HR25" i="59"/>
  <c r="HS25" i="59"/>
  <c r="HT25" i="59"/>
  <c r="HZ25" i="59"/>
  <c r="IA25" i="59"/>
  <c r="IB25" i="59"/>
  <c r="IC25" i="59"/>
  <c r="ID25" i="59"/>
  <c r="IE25" i="59"/>
  <c r="IF25" i="59"/>
  <c r="IG25" i="59"/>
  <c r="IH25" i="59"/>
  <c r="II25" i="59"/>
  <c r="IJ25" i="59"/>
  <c r="IT25" i="59"/>
  <c r="IU25" i="59"/>
  <c r="IV25" i="59"/>
  <c r="G26" i="59"/>
  <c r="H26" i="59"/>
  <c r="I26" i="59"/>
  <c r="J26" i="59"/>
  <c r="K26" i="59"/>
  <c r="L26" i="59"/>
  <c r="M26" i="59"/>
  <c r="N26" i="59"/>
  <c r="O26" i="59"/>
  <c r="P26" i="59"/>
  <c r="Q26" i="59"/>
  <c r="W26" i="59"/>
  <c r="X26" i="59"/>
  <c r="Y26" i="59"/>
  <c r="AA26" i="59"/>
  <c r="AB26" i="59"/>
  <c r="AC26" i="59"/>
  <c r="AD26" i="59"/>
  <c r="AE26" i="59"/>
  <c r="AF26" i="59"/>
  <c r="AG26" i="59"/>
  <c r="AH26" i="59"/>
  <c r="AI26" i="59"/>
  <c r="AJ26" i="59"/>
  <c r="AK26" i="59"/>
  <c r="AQ26" i="59"/>
  <c r="AR26" i="59"/>
  <c r="AS26" i="59"/>
  <c r="AU26" i="59"/>
  <c r="AV26" i="59"/>
  <c r="AW26" i="59"/>
  <c r="AX26" i="59"/>
  <c r="AY26" i="59"/>
  <c r="AZ26" i="59"/>
  <c r="BA26" i="59"/>
  <c r="BB26" i="59"/>
  <c r="BC26" i="59"/>
  <c r="BD26" i="59"/>
  <c r="BE26" i="59"/>
  <c r="BK26" i="59"/>
  <c r="BL26" i="59"/>
  <c r="BM26" i="59"/>
  <c r="BO26" i="59"/>
  <c r="BP26" i="59"/>
  <c r="BQ26" i="59"/>
  <c r="BR26" i="59"/>
  <c r="BS26" i="59"/>
  <c r="BT26" i="59"/>
  <c r="BU26" i="59"/>
  <c r="BV26" i="59"/>
  <c r="BW26" i="59"/>
  <c r="BX26" i="59"/>
  <c r="BY26" i="59"/>
  <c r="CE26" i="59"/>
  <c r="CF26" i="59"/>
  <c r="CG26" i="59"/>
  <c r="CI26" i="59"/>
  <c r="CJ26" i="59"/>
  <c r="CK26" i="59"/>
  <c r="CL26" i="59"/>
  <c r="CM26" i="59"/>
  <c r="CN26" i="59"/>
  <c r="CO26" i="59"/>
  <c r="CP26" i="59"/>
  <c r="CQ26" i="59"/>
  <c r="CR26" i="59"/>
  <c r="CS26" i="59"/>
  <c r="CY26" i="59"/>
  <c r="CZ26" i="59"/>
  <c r="DA26" i="59"/>
  <c r="DC26" i="59"/>
  <c r="DD26" i="59"/>
  <c r="DE26" i="59"/>
  <c r="DF26" i="59"/>
  <c r="DG26" i="59"/>
  <c r="DH26" i="59"/>
  <c r="DI26" i="59"/>
  <c r="DJ26" i="59"/>
  <c r="DK26" i="59"/>
  <c r="DL26" i="59"/>
  <c r="DM26" i="59"/>
  <c r="DS26" i="59"/>
  <c r="DT26" i="59"/>
  <c r="DU26" i="59"/>
  <c r="DW26" i="59"/>
  <c r="DX26" i="59"/>
  <c r="DY26" i="59"/>
  <c r="DZ26" i="59"/>
  <c r="EA26" i="59"/>
  <c r="EB26" i="59"/>
  <c r="EC26" i="59"/>
  <c r="ED26" i="59"/>
  <c r="EE26" i="59"/>
  <c r="EF26" i="59"/>
  <c r="EG26" i="59"/>
  <c r="EM26" i="59"/>
  <c r="EN26" i="59"/>
  <c r="EO26" i="59"/>
  <c r="EQ26" i="59"/>
  <c r="ER26" i="59"/>
  <c r="ES26" i="59"/>
  <c r="ET26" i="59"/>
  <c r="EU26" i="59"/>
  <c r="EV26" i="59"/>
  <c r="EW26" i="59"/>
  <c r="EX26" i="59"/>
  <c r="EY26" i="59"/>
  <c r="EZ26" i="59"/>
  <c r="FA26" i="59"/>
  <c r="FG26" i="59"/>
  <c r="FH26" i="59"/>
  <c r="FI26" i="59"/>
  <c r="FK26" i="59"/>
  <c r="FL26" i="59"/>
  <c r="FM26" i="59"/>
  <c r="FN26" i="59"/>
  <c r="FO26" i="59"/>
  <c r="FP26" i="59"/>
  <c r="FQ26" i="59"/>
  <c r="FR26" i="59"/>
  <c r="FS26" i="59"/>
  <c r="FT26" i="59"/>
  <c r="FU26" i="59"/>
  <c r="GA26" i="59"/>
  <c r="GB26" i="59"/>
  <c r="GC26" i="59"/>
  <c r="GE26" i="59"/>
  <c r="GF26" i="59"/>
  <c r="GG26" i="59"/>
  <c r="GH26" i="59"/>
  <c r="GI26" i="59"/>
  <c r="GJ26" i="59"/>
  <c r="GK26" i="59"/>
  <c r="GL26" i="59"/>
  <c r="GM26" i="59"/>
  <c r="GN26" i="59"/>
  <c r="GO26" i="59"/>
  <c r="GU26" i="59"/>
  <c r="GV26" i="59"/>
  <c r="GW26" i="59"/>
  <c r="GY26" i="59"/>
  <c r="GZ26" i="59"/>
  <c r="HA26" i="59"/>
  <c r="HB26" i="59"/>
  <c r="HC26" i="59"/>
  <c r="HD26" i="59"/>
  <c r="HE26" i="59"/>
  <c r="HF26" i="59"/>
  <c r="HG26" i="59"/>
  <c r="HH26" i="59"/>
  <c r="HI26" i="59"/>
  <c r="HO26" i="59"/>
  <c r="HP26" i="59"/>
  <c r="HQ26" i="59"/>
  <c r="HS26" i="59"/>
  <c r="HT26" i="59"/>
  <c r="HU26" i="59"/>
  <c r="HV26" i="59"/>
  <c r="HW26" i="59"/>
  <c r="HX26" i="59"/>
  <c r="HY26" i="59"/>
  <c r="HZ26" i="59"/>
  <c r="IA26" i="59"/>
  <c r="IB26" i="59"/>
  <c r="IC26" i="59"/>
  <c r="II26" i="59"/>
  <c r="IJ26" i="59"/>
  <c r="IK26" i="59"/>
  <c r="IM26" i="59"/>
  <c r="IN26" i="59"/>
  <c r="IO26" i="59"/>
  <c r="IP26" i="59"/>
  <c r="IQ26" i="59"/>
  <c r="IR26" i="59"/>
  <c r="IS26" i="59"/>
  <c r="IT26" i="59"/>
  <c r="IU26" i="59"/>
  <c r="IV26" i="59"/>
  <c r="F27" i="59"/>
  <c r="L27" i="59"/>
  <c r="M27" i="59"/>
  <c r="N27" i="59"/>
  <c r="P27" i="59"/>
  <c r="Q27" i="59"/>
  <c r="R27" i="59"/>
  <c r="S27" i="59"/>
  <c r="T27" i="59"/>
  <c r="U27" i="59"/>
  <c r="V27" i="59"/>
  <c r="W27" i="59"/>
  <c r="X27" i="59"/>
  <c r="Y27" i="59"/>
  <c r="Z27" i="59"/>
  <c r="AF27" i="59"/>
  <c r="AG27" i="59"/>
  <c r="AH27" i="59"/>
  <c r="AJ27" i="59"/>
  <c r="AK27" i="59"/>
  <c r="AL27" i="59"/>
  <c r="AM27" i="59"/>
  <c r="AN27" i="59"/>
  <c r="AO27" i="59"/>
  <c r="AP27" i="59"/>
  <c r="AQ27" i="59"/>
  <c r="AR27" i="59"/>
  <c r="AS27" i="59"/>
  <c r="AT27" i="59"/>
  <c r="AZ27" i="59"/>
  <c r="BA27" i="59"/>
  <c r="BB27" i="59"/>
  <c r="BD27" i="59"/>
  <c r="BE27" i="59"/>
  <c r="BF27" i="59"/>
  <c r="BG27" i="59"/>
  <c r="BH27" i="59"/>
  <c r="BI27" i="59"/>
  <c r="BJ27" i="59"/>
  <c r="BK27" i="59"/>
  <c r="BL27" i="59"/>
  <c r="BM27" i="59"/>
  <c r="BN27" i="59"/>
  <c r="BT27" i="59"/>
  <c r="BU27" i="59"/>
  <c r="BV27" i="59"/>
  <c r="BX27" i="59"/>
  <c r="BY27" i="59"/>
  <c r="BZ27" i="59"/>
  <c r="CA27" i="59"/>
  <c r="CB27" i="59"/>
  <c r="CC27" i="59"/>
  <c r="CD27" i="59"/>
  <c r="CE27" i="59"/>
  <c r="CF27" i="59"/>
  <c r="CG27" i="59"/>
  <c r="CH27" i="59"/>
  <c r="CN27" i="59"/>
  <c r="CO27" i="59"/>
  <c r="CP27" i="59"/>
  <c r="CR27" i="59"/>
  <c r="CS27" i="59"/>
  <c r="CT27" i="59"/>
  <c r="CU27" i="59"/>
  <c r="CV27" i="59"/>
  <c r="CW27" i="59"/>
  <c r="CX27" i="59"/>
  <c r="CY27" i="59"/>
  <c r="CZ27" i="59"/>
  <c r="DA27" i="59"/>
  <c r="DB27" i="59"/>
  <c r="DH27" i="59"/>
  <c r="DI27" i="59"/>
  <c r="DJ27" i="59"/>
  <c r="DL27" i="59"/>
  <c r="DM27" i="59"/>
  <c r="DN27" i="59"/>
  <c r="DO27" i="59"/>
  <c r="DP27" i="59"/>
  <c r="DQ27" i="59"/>
  <c r="DR27" i="59"/>
  <c r="DS27" i="59"/>
  <c r="DT27" i="59"/>
  <c r="DU27" i="59"/>
  <c r="DV27" i="59"/>
  <c r="EB27" i="59"/>
  <c r="EC27" i="59"/>
  <c r="ED27" i="59"/>
  <c r="EF27" i="59"/>
  <c r="EG27" i="59"/>
  <c r="EH27" i="59"/>
  <c r="EI27" i="59"/>
  <c r="EJ27" i="59"/>
  <c r="EK27" i="59"/>
  <c r="EL27" i="59"/>
  <c r="EM27" i="59"/>
  <c r="EN27" i="59"/>
  <c r="EO27" i="59"/>
  <c r="EP27" i="59"/>
  <c r="EV27" i="59"/>
  <c r="EW27" i="59"/>
  <c r="EX27" i="59"/>
  <c r="EY27" i="59"/>
  <c r="EZ27" i="59"/>
  <c r="FA27" i="59"/>
  <c r="FB27" i="59"/>
  <c r="FC27" i="59"/>
  <c r="FD27" i="59"/>
  <c r="FE27" i="59"/>
  <c r="FF27" i="59"/>
  <c r="FP27" i="59"/>
  <c r="FQ27" i="59"/>
  <c r="FR27" i="59"/>
  <c r="FT27" i="59"/>
  <c r="FU27" i="59"/>
  <c r="FV27" i="59"/>
  <c r="FW27" i="59"/>
  <c r="FX27" i="59"/>
  <c r="FY27" i="59"/>
  <c r="FZ27" i="59"/>
  <c r="GA27" i="59"/>
  <c r="GB27" i="59"/>
  <c r="GC27" i="59"/>
  <c r="GD27" i="59"/>
  <c r="GJ27" i="59"/>
  <c r="GK27" i="59"/>
  <c r="GL27" i="59"/>
  <c r="GN27" i="59"/>
  <c r="GO27" i="59"/>
  <c r="GP27" i="59"/>
  <c r="GQ27" i="59"/>
  <c r="GR27" i="59"/>
  <c r="GS27" i="59"/>
  <c r="GT27" i="59"/>
  <c r="GU27" i="59"/>
  <c r="GV27" i="59"/>
  <c r="GW27" i="59"/>
  <c r="GX27" i="59"/>
  <c r="HD27" i="59"/>
  <c r="HE27" i="59"/>
  <c r="HF27" i="59"/>
  <c r="HH27" i="59"/>
  <c r="HI27" i="59"/>
  <c r="HJ27" i="59"/>
  <c r="HK27" i="59"/>
  <c r="HL27" i="59"/>
  <c r="HM27" i="59"/>
  <c r="HN27" i="59"/>
  <c r="HO27" i="59"/>
  <c r="HP27" i="59"/>
  <c r="HQ27" i="59"/>
  <c r="HR27" i="59"/>
  <c r="HX27" i="59"/>
  <c r="HY27" i="59"/>
  <c r="HZ27" i="59"/>
  <c r="IB27" i="59"/>
  <c r="IC27" i="59"/>
  <c r="ID27" i="59"/>
  <c r="IE27" i="59"/>
  <c r="IF27" i="59"/>
  <c r="IG27" i="59"/>
  <c r="IH27" i="59"/>
  <c r="II27" i="59"/>
  <c r="IJ27" i="59"/>
  <c r="IK27" i="59"/>
  <c r="IL27" i="59"/>
  <c r="IR27" i="59"/>
  <c r="IS27" i="59"/>
  <c r="IT27" i="59"/>
  <c r="IV27" i="59"/>
  <c r="F28" i="59"/>
  <c r="G28" i="59"/>
  <c r="H28" i="59"/>
  <c r="I28" i="59"/>
  <c r="J28" i="59"/>
  <c r="K28" i="59"/>
  <c r="L28" i="59"/>
  <c r="M28" i="59"/>
  <c r="N28" i="59"/>
  <c r="O28" i="59"/>
  <c r="U28" i="59"/>
  <c r="V28" i="59"/>
  <c r="W28" i="59"/>
  <c r="Y28" i="59"/>
  <c r="Z28" i="59"/>
  <c r="AA28" i="59"/>
  <c r="AB28" i="59"/>
  <c r="AC28" i="59"/>
  <c r="AD28" i="59"/>
  <c r="AE28" i="59"/>
  <c r="AF28" i="59"/>
  <c r="AG28" i="59"/>
  <c r="AH28" i="59"/>
  <c r="AI28" i="59"/>
  <c r="AO28" i="59"/>
  <c r="AP28" i="59"/>
  <c r="AQ28" i="59"/>
  <c r="AS28" i="59"/>
  <c r="AT28" i="59"/>
  <c r="AU28" i="59"/>
  <c r="AV28" i="59"/>
  <c r="AW28" i="59"/>
  <c r="AX28" i="59"/>
  <c r="AY28" i="59"/>
  <c r="AZ28" i="59"/>
  <c r="BA28" i="59"/>
  <c r="BB28" i="59"/>
  <c r="BC28" i="59"/>
  <c r="BI28" i="59"/>
  <c r="BJ28" i="59"/>
  <c r="BK28" i="59"/>
  <c r="BM28" i="59"/>
  <c r="BN28" i="59"/>
  <c r="BO28" i="59"/>
  <c r="BP28" i="59"/>
  <c r="BQ28" i="59"/>
  <c r="BR28" i="59"/>
  <c r="BS28" i="59"/>
  <c r="BT28" i="59"/>
  <c r="BU28" i="59"/>
  <c r="BV28" i="59"/>
  <c r="BW28" i="59"/>
  <c r="CC28" i="59"/>
  <c r="CD28" i="59"/>
  <c r="CE28" i="59"/>
  <c r="CG28" i="59"/>
  <c r="CH28" i="59"/>
  <c r="CI28" i="59"/>
  <c r="CJ28" i="59"/>
  <c r="CK28" i="59"/>
  <c r="CL28" i="59"/>
  <c r="CM28" i="59"/>
  <c r="CN28" i="59"/>
  <c r="CO28" i="59"/>
  <c r="CP28" i="59"/>
  <c r="CQ28" i="59"/>
  <c r="CW28" i="59"/>
  <c r="CX28" i="59"/>
  <c r="CY28" i="59"/>
  <c r="DA28" i="59"/>
  <c r="DB28" i="59"/>
  <c r="DC28" i="59"/>
  <c r="DD28" i="59"/>
  <c r="DE28" i="59"/>
  <c r="DF28" i="59"/>
  <c r="DG28" i="59"/>
  <c r="DH28" i="59"/>
  <c r="DI28" i="59"/>
  <c r="DJ28" i="59"/>
  <c r="DK28" i="59"/>
  <c r="DQ28" i="59"/>
  <c r="DR28" i="59"/>
  <c r="DS28" i="59"/>
  <c r="DU28" i="59"/>
  <c r="DV28" i="59"/>
  <c r="DW28" i="59"/>
  <c r="DX28" i="59"/>
  <c r="DY28" i="59"/>
  <c r="DZ28" i="59"/>
  <c r="EA28" i="59"/>
  <c r="EB28" i="59"/>
  <c r="EC28" i="59"/>
  <c r="ED28" i="59"/>
  <c r="EE28" i="59"/>
  <c r="EK28" i="59"/>
  <c r="EL28" i="59"/>
  <c r="EM28" i="59"/>
  <c r="EO28" i="59"/>
  <c r="EP28" i="59"/>
  <c r="EQ28" i="59"/>
  <c r="ER28" i="59"/>
  <c r="ES28" i="59"/>
  <c r="ET28" i="59"/>
  <c r="EU28" i="59"/>
  <c r="EV28" i="59"/>
  <c r="EW28" i="59"/>
  <c r="EX28" i="59"/>
  <c r="EY28" i="59"/>
  <c r="FE28" i="59"/>
  <c r="FF28" i="59"/>
  <c r="FG28" i="59"/>
  <c r="FI28" i="59"/>
  <c r="FJ28" i="59"/>
  <c r="FK28" i="59"/>
  <c r="FL28" i="59"/>
  <c r="FM28" i="59"/>
  <c r="FN28" i="59"/>
  <c r="FO28" i="59"/>
  <c r="FP28" i="59"/>
  <c r="FQ28" i="59"/>
  <c r="FR28" i="59"/>
  <c r="FS28" i="59"/>
  <c r="FY28" i="59"/>
  <c r="FZ28" i="59"/>
  <c r="GA28" i="59"/>
  <c r="GC28" i="59"/>
  <c r="GD28" i="59"/>
  <c r="GE28" i="59"/>
  <c r="GF28" i="59"/>
  <c r="GG28" i="59"/>
  <c r="GH28" i="59"/>
  <c r="GI28" i="59"/>
  <c r="GJ28" i="59"/>
  <c r="GK28" i="59"/>
  <c r="GL28" i="59"/>
  <c r="GM28" i="59"/>
  <c r="GS28" i="59"/>
  <c r="GT28" i="59"/>
  <c r="GU28" i="59"/>
  <c r="GW28" i="59"/>
  <c r="GX28" i="59"/>
  <c r="GY28" i="59"/>
  <c r="GZ28" i="59"/>
  <c r="HA28" i="59"/>
  <c r="HB28" i="59"/>
  <c r="HC28" i="59"/>
  <c r="HD28" i="59"/>
  <c r="HE28" i="59"/>
  <c r="HF28" i="59"/>
  <c r="HG28" i="59"/>
  <c r="HM28" i="59"/>
  <c r="HN28" i="59"/>
  <c r="HO28" i="59"/>
  <c r="HQ28" i="59"/>
  <c r="HR28" i="59"/>
  <c r="HS28" i="59"/>
  <c r="HT28" i="59"/>
  <c r="HU28" i="59"/>
  <c r="HV28" i="59"/>
  <c r="HW28" i="59"/>
  <c r="HX28" i="59"/>
  <c r="HY28" i="59"/>
  <c r="HZ28" i="59"/>
  <c r="IA28" i="59"/>
  <c r="IG28" i="59"/>
  <c r="IH28" i="59"/>
  <c r="II28" i="59"/>
  <c r="IK28" i="59"/>
  <c r="IL28" i="59"/>
  <c r="IM28" i="59"/>
  <c r="IN28" i="59"/>
  <c r="IO28" i="59"/>
  <c r="IP28" i="59"/>
  <c r="IQ28" i="59"/>
  <c r="IR28" i="59"/>
  <c r="IS28" i="59"/>
  <c r="IT28" i="59"/>
  <c r="IU28" i="59"/>
  <c r="J29" i="59"/>
  <c r="K29" i="59"/>
  <c r="L29" i="59"/>
  <c r="N29" i="59"/>
  <c r="O29" i="59"/>
  <c r="P29" i="59"/>
  <c r="Q29" i="59"/>
  <c r="R29" i="59"/>
  <c r="S29" i="59"/>
  <c r="T29" i="59"/>
  <c r="U29" i="59"/>
  <c r="V29" i="59"/>
  <c r="W29" i="59"/>
  <c r="X29" i="59"/>
  <c r="AD29" i="59"/>
  <c r="AE29" i="59"/>
  <c r="AF29" i="59"/>
  <c r="AH29" i="59"/>
  <c r="AI29" i="59"/>
  <c r="AJ29" i="59"/>
  <c r="AK29" i="59"/>
  <c r="AL29" i="59"/>
  <c r="AM29" i="59"/>
  <c r="AN29" i="59"/>
  <c r="AO29" i="59"/>
  <c r="AP29" i="59"/>
  <c r="AQ29" i="59"/>
  <c r="AR29" i="59"/>
  <c r="AX29" i="59"/>
  <c r="AY29" i="59"/>
  <c r="AZ29" i="59"/>
  <c r="BB29" i="59"/>
  <c r="BC29" i="59"/>
  <c r="BD29" i="59"/>
  <c r="BE29" i="59"/>
  <c r="BF29" i="59"/>
  <c r="BG29" i="59"/>
  <c r="BH29" i="59"/>
  <c r="BI29" i="59"/>
  <c r="BJ29" i="59"/>
  <c r="BK29" i="59"/>
  <c r="BL29" i="59"/>
  <c r="BR29" i="59"/>
  <c r="BS29" i="59"/>
  <c r="BT29" i="59"/>
  <c r="BU29" i="59"/>
  <c r="BV29" i="59"/>
  <c r="BW29" i="59"/>
  <c r="BX29" i="59"/>
  <c r="BY29" i="59"/>
  <c r="BZ29" i="59"/>
  <c r="CA29" i="59"/>
  <c r="CB29" i="59"/>
  <c r="CL29" i="59"/>
  <c r="CM29" i="59"/>
  <c r="CN29" i="59"/>
  <c r="CP29" i="59"/>
  <c r="CQ29" i="59"/>
  <c r="CR29" i="59"/>
  <c r="CS29" i="59"/>
  <c r="CT29" i="59"/>
  <c r="CU29" i="59"/>
  <c r="CV29" i="59"/>
  <c r="CW29" i="59"/>
  <c r="CX29" i="59"/>
  <c r="CY29" i="59"/>
  <c r="CZ29" i="59"/>
  <c r="DF29" i="59"/>
  <c r="DG29" i="59"/>
  <c r="DH29" i="59"/>
  <c r="DJ29" i="59"/>
  <c r="DK29" i="59"/>
  <c r="DL29" i="59"/>
  <c r="DM29" i="59"/>
  <c r="DN29" i="59"/>
  <c r="DO29" i="59"/>
  <c r="DP29" i="59"/>
  <c r="DQ29" i="59"/>
  <c r="DR29" i="59"/>
  <c r="DS29" i="59"/>
  <c r="DT29" i="59"/>
  <c r="DZ29" i="59"/>
  <c r="EA29" i="59"/>
  <c r="EB29" i="59"/>
  <c r="ED29" i="59"/>
  <c r="EE29" i="59"/>
  <c r="EF29" i="59"/>
  <c r="EG29" i="59"/>
  <c r="EH29" i="59"/>
  <c r="EI29" i="59"/>
  <c r="EJ29" i="59"/>
  <c r="EK29" i="59"/>
  <c r="EL29" i="59"/>
  <c r="EM29" i="59"/>
  <c r="EN29" i="59"/>
  <c r="ET29" i="59"/>
  <c r="EU29" i="59"/>
  <c r="EV29" i="59"/>
  <c r="EX29" i="59"/>
  <c r="EY29" i="59"/>
  <c r="EZ29" i="59"/>
  <c r="FA29" i="59"/>
  <c r="FB29" i="59"/>
  <c r="FC29" i="59"/>
  <c r="FD29" i="59"/>
  <c r="FE29" i="59"/>
  <c r="FF29" i="59"/>
  <c r="FG29" i="59"/>
  <c r="FH29" i="59"/>
  <c r="FN29" i="59"/>
  <c r="FO29" i="59"/>
  <c r="FP29" i="59"/>
  <c r="FR29" i="59"/>
  <c r="FS29" i="59"/>
  <c r="FT29" i="59"/>
  <c r="FU29" i="59"/>
  <c r="FV29" i="59"/>
  <c r="FW29" i="59"/>
  <c r="FX29" i="59"/>
  <c r="FY29" i="59"/>
  <c r="FZ29" i="59"/>
  <c r="GA29" i="59"/>
  <c r="GB29" i="59"/>
  <c r="GH29" i="59"/>
  <c r="GI29" i="59"/>
  <c r="GJ29" i="59"/>
  <c r="GL29" i="59"/>
  <c r="GM29" i="59"/>
  <c r="GN29" i="59"/>
  <c r="GO29" i="59"/>
  <c r="GP29" i="59"/>
  <c r="GQ29" i="59"/>
  <c r="GR29" i="59"/>
  <c r="GS29" i="59"/>
  <c r="GT29" i="59"/>
  <c r="GU29" i="59"/>
  <c r="GV29" i="59"/>
  <c r="HB29" i="59"/>
  <c r="HC29" i="59"/>
  <c r="HD29" i="59"/>
  <c r="HF29" i="59"/>
  <c r="HG29" i="59"/>
  <c r="HH29" i="59"/>
  <c r="HI29" i="59"/>
  <c r="HJ29" i="59"/>
  <c r="HK29" i="59"/>
  <c r="HL29" i="59"/>
  <c r="HM29" i="59"/>
  <c r="HN29" i="59"/>
  <c r="HO29" i="59"/>
  <c r="HP29" i="59"/>
  <c r="HV29" i="59"/>
  <c r="HW29" i="59"/>
  <c r="HX29" i="59"/>
  <c r="HZ29" i="59"/>
  <c r="IA29" i="59"/>
  <c r="IB29" i="59"/>
  <c r="IC29" i="59"/>
  <c r="ID29" i="59"/>
  <c r="IE29" i="59"/>
  <c r="IF29" i="59"/>
  <c r="IG29" i="59"/>
  <c r="IH29" i="59"/>
  <c r="II29" i="59"/>
  <c r="IJ29" i="59"/>
  <c r="IP29" i="59"/>
  <c r="IQ29" i="59"/>
  <c r="IR29" i="59"/>
  <c r="IT29" i="59"/>
  <c r="IU29" i="59"/>
  <c r="IV29" i="59"/>
  <c r="F30" i="59"/>
  <c r="G30" i="59"/>
  <c r="H30" i="59"/>
  <c r="I30" i="59"/>
  <c r="J30" i="59"/>
  <c r="K30" i="59"/>
  <c r="L30" i="59"/>
  <c r="M30" i="59"/>
  <c r="S30" i="59"/>
  <c r="T30" i="59"/>
  <c r="U30" i="59"/>
  <c r="W30" i="59"/>
  <c r="X30" i="59"/>
  <c r="Y30" i="59"/>
  <c r="Z30" i="59"/>
  <c r="AA30" i="59"/>
  <c r="AB30" i="59"/>
  <c r="AC30" i="59"/>
  <c r="AD30" i="59"/>
  <c r="AE30" i="59"/>
  <c r="AF30" i="59"/>
  <c r="AG30" i="59"/>
  <c r="AM30" i="59"/>
  <c r="AN30" i="59"/>
  <c r="AO30" i="59"/>
  <c r="AQ30" i="59"/>
  <c r="AR30" i="59"/>
  <c r="AS30" i="59"/>
  <c r="AT30" i="59"/>
  <c r="AU30" i="59"/>
  <c r="AV30" i="59"/>
  <c r="AW30" i="59"/>
  <c r="AX30" i="59"/>
  <c r="AY30" i="59"/>
  <c r="AZ30" i="59"/>
  <c r="BA30" i="59"/>
  <c r="BG30" i="59"/>
  <c r="BH30" i="59"/>
  <c r="BI30" i="59"/>
  <c r="BK30" i="59"/>
  <c r="BL30" i="59"/>
  <c r="BM30" i="59"/>
  <c r="BN30" i="59"/>
  <c r="BO30" i="59"/>
  <c r="BP30" i="59"/>
  <c r="BQ30" i="59"/>
  <c r="BR30" i="59"/>
  <c r="BS30" i="59"/>
  <c r="BT30" i="59"/>
  <c r="BU30" i="59"/>
  <c r="CA30" i="59"/>
  <c r="CB30" i="59"/>
  <c r="CC30" i="59"/>
  <c r="CE30" i="59"/>
  <c r="CF30" i="59"/>
  <c r="CG30" i="59"/>
  <c r="CH30" i="59"/>
  <c r="CI30" i="59"/>
  <c r="CJ30" i="59"/>
  <c r="CK30" i="59"/>
  <c r="CL30" i="59"/>
  <c r="CM30" i="59"/>
  <c r="CN30" i="59"/>
  <c r="CO30" i="59"/>
  <c r="CU30" i="59"/>
  <c r="CV30" i="59"/>
  <c r="CW30" i="59"/>
  <c r="CY30" i="59"/>
  <c r="CZ30" i="59"/>
  <c r="DA30" i="59"/>
  <c r="DB30" i="59"/>
  <c r="DC30" i="59"/>
  <c r="DD30" i="59"/>
  <c r="DE30" i="59"/>
  <c r="DF30" i="59"/>
  <c r="DG30" i="59"/>
  <c r="DH30" i="59"/>
  <c r="DI30" i="59"/>
  <c r="DO30" i="59"/>
  <c r="DP30" i="59"/>
  <c r="DQ30" i="59"/>
  <c r="DS30" i="59"/>
  <c r="DT30" i="59"/>
  <c r="DU30" i="59"/>
  <c r="DV30" i="59"/>
  <c r="DW30" i="59"/>
  <c r="DX30" i="59"/>
  <c r="DY30" i="59"/>
  <c r="DZ30" i="59"/>
  <c r="EA30" i="59"/>
  <c r="EB30" i="59"/>
  <c r="EC30" i="59"/>
  <c r="EI30" i="59"/>
  <c r="EJ30" i="59"/>
  <c r="EK30" i="59"/>
  <c r="EM30" i="59"/>
  <c r="EN30" i="59"/>
  <c r="EO30" i="59"/>
  <c r="EP30" i="59"/>
  <c r="EQ30" i="59"/>
  <c r="ER30" i="59"/>
  <c r="ES30" i="59"/>
  <c r="ET30" i="59"/>
  <c r="EU30" i="59"/>
  <c r="EV30" i="59"/>
  <c r="EW30" i="59"/>
  <c r="FC30" i="59"/>
  <c r="FD30" i="59"/>
  <c r="FE30" i="59"/>
  <c r="FG30" i="59"/>
  <c r="FH30" i="59"/>
  <c r="FI30" i="59"/>
  <c r="FJ30" i="59"/>
  <c r="FK30" i="59"/>
  <c r="FL30" i="59"/>
  <c r="FM30" i="59"/>
  <c r="FN30" i="59"/>
  <c r="FO30" i="59"/>
  <c r="FP30" i="59"/>
  <c r="FQ30" i="59"/>
  <c r="FW30" i="59"/>
  <c r="FX30" i="59"/>
  <c r="FY30" i="59"/>
  <c r="GA30" i="59"/>
  <c r="GB30" i="59"/>
  <c r="GC30" i="59"/>
  <c r="GD30" i="59"/>
  <c r="GE30" i="59"/>
  <c r="GF30" i="59"/>
  <c r="GG30" i="59"/>
  <c r="GH30" i="59"/>
  <c r="GI30" i="59"/>
  <c r="GJ30" i="59"/>
  <c r="GK30" i="59"/>
  <c r="GQ30" i="59"/>
  <c r="GR30" i="59"/>
  <c r="GS30" i="59"/>
  <c r="GU30" i="59"/>
  <c r="GV30" i="59"/>
  <c r="GW30" i="59"/>
  <c r="GX30" i="59"/>
  <c r="GY30" i="59"/>
  <c r="GZ30" i="59"/>
  <c r="HA30" i="59"/>
  <c r="HB30" i="59"/>
  <c r="HC30" i="59"/>
  <c r="HD30" i="59"/>
  <c r="HE30" i="59"/>
  <c r="HK30" i="59"/>
  <c r="HL30" i="59"/>
  <c r="HM30" i="59"/>
  <c r="HO30" i="59"/>
  <c r="HP30" i="59"/>
  <c r="HQ30" i="59"/>
  <c r="HR30" i="59"/>
  <c r="HS30" i="59"/>
  <c r="HT30" i="59"/>
  <c r="HU30" i="59"/>
  <c r="HV30" i="59"/>
  <c r="HW30" i="59"/>
  <c r="HX30" i="59"/>
  <c r="HY30" i="59"/>
  <c r="IE30" i="59"/>
  <c r="IF30" i="59"/>
  <c r="IG30" i="59"/>
  <c r="IH30" i="59"/>
  <c r="II30" i="59"/>
  <c r="IJ30" i="59"/>
  <c r="IK30" i="59"/>
  <c r="IL30" i="59"/>
  <c r="IM30" i="59"/>
  <c r="IN30" i="59"/>
  <c r="IO30" i="59"/>
  <c r="H31" i="59"/>
  <c r="I31" i="59"/>
  <c r="J31" i="59"/>
  <c r="L31" i="59"/>
  <c r="M31" i="59"/>
  <c r="N31" i="59"/>
  <c r="O31" i="59"/>
  <c r="P31" i="59"/>
  <c r="Q31" i="59"/>
  <c r="R31" i="59"/>
  <c r="S31" i="59"/>
  <c r="T31" i="59"/>
  <c r="U31" i="59"/>
  <c r="V31" i="59"/>
  <c r="AB31" i="59"/>
  <c r="AC31" i="59"/>
  <c r="AD31" i="59"/>
  <c r="AF31" i="59"/>
  <c r="AG31" i="59"/>
  <c r="AH31" i="59"/>
  <c r="AI31" i="59"/>
  <c r="AJ31" i="59"/>
  <c r="AK31" i="59"/>
  <c r="AL31" i="59"/>
  <c r="AM31" i="59"/>
  <c r="AN31" i="59"/>
  <c r="AO31" i="59"/>
  <c r="AP31" i="59"/>
  <c r="AV31" i="59"/>
  <c r="AW31" i="59"/>
  <c r="AX31" i="59"/>
  <c r="AZ31" i="59"/>
  <c r="BA31" i="59"/>
  <c r="BB31" i="59"/>
  <c r="BC31" i="59"/>
  <c r="BD31" i="59"/>
  <c r="BE31" i="59"/>
  <c r="BF31" i="59"/>
  <c r="BG31" i="59"/>
  <c r="BH31" i="59"/>
  <c r="BI31" i="59"/>
  <c r="BJ31" i="59"/>
  <c r="BP31" i="59"/>
  <c r="BQ31" i="59"/>
  <c r="BR31" i="59"/>
  <c r="BT31" i="59"/>
  <c r="BU31" i="59"/>
  <c r="BV31" i="59"/>
  <c r="BW31" i="59"/>
  <c r="BX31" i="59"/>
  <c r="BY31" i="59"/>
  <c r="BZ31" i="59"/>
  <c r="CA31" i="59"/>
  <c r="CB31" i="59"/>
  <c r="CC31" i="59"/>
  <c r="CD31" i="59"/>
  <c r="CJ31" i="59"/>
  <c r="CK31" i="59"/>
  <c r="CL31" i="59"/>
  <c r="CN31" i="59"/>
  <c r="CO31" i="59"/>
  <c r="CP31" i="59"/>
  <c r="CQ31" i="59"/>
  <c r="CR31" i="59"/>
  <c r="CS31" i="59"/>
  <c r="CT31" i="59"/>
  <c r="CU31" i="59"/>
  <c r="CV31" i="59"/>
  <c r="CW31" i="59"/>
  <c r="CX31" i="59"/>
  <c r="DD31" i="59"/>
  <c r="DE31" i="59"/>
  <c r="DF31" i="59"/>
  <c r="DH31" i="59"/>
  <c r="DI31" i="59"/>
  <c r="DJ31" i="59"/>
  <c r="DK31" i="59"/>
  <c r="DL31" i="59"/>
  <c r="DM31" i="59"/>
  <c r="DN31" i="59"/>
  <c r="DO31" i="59"/>
  <c r="DP31" i="59"/>
  <c r="DQ31" i="59"/>
  <c r="DR31" i="59"/>
  <c r="DX31" i="59"/>
  <c r="DY31" i="59"/>
  <c r="DZ31" i="59"/>
  <c r="EB31" i="59"/>
  <c r="EC31" i="59"/>
  <c r="ED31" i="59"/>
  <c r="EE31" i="59"/>
  <c r="EF31" i="59"/>
  <c r="EG31" i="59"/>
  <c r="EH31" i="59"/>
  <c r="EI31" i="59"/>
  <c r="EJ31" i="59"/>
  <c r="EK31" i="59"/>
  <c r="EL31" i="59"/>
  <c r="ER31" i="59"/>
  <c r="ES31" i="59"/>
  <c r="ET31" i="59"/>
  <c r="EV31" i="59"/>
  <c r="EW31" i="59"/>
  <c r="EX31" i="59"/>
  <c r="EY31" i="59"/>
  <c r="EZ31" i="59"/>
  <c r="FA31" i="59"/>
  <c r="FB31" i="59"/>
  <c r="FC31" i="59"/>
  <c r="FD31" i="59"/>
  <c r="FE31" i="59"/>
  <c r="FF31" i="59"/>
  <c r="FL31" i="59"/>
  <c r="FM31" i="59"/>
  <c r="FN31" i="59"/>
  <c r="FP31" i="59"/>
  <c r="FQ31" i="59"/>
  <c r="FR31" i="59"/>
  <c r="FS31" i="59"/>
  <c r="FT31" i="59"/>
  <c r="FU31" i="59"/>
  <c r="FV31" i="59"/>
  <c r="FW31" i="59"/>
  <c r="FX31" i="59"/>
  <c r="FY31" i="59"/>
  <c r="FZ31" i="59"/>
  <c r="GF31" i="59"/>
  <c r="GG31" i="59"/>
  <c r="GH31" i="59"/>
  <c r="GJ31" i="59"/>
  <c r="GK31" i="59"/>
  <c r="GL31" i="59"/>
  <c r="GM31" i="59"/>
  <c r="GN31" i="59"/>
  <c r="GO31" i="59"/>
  <c r="GP31" i="59"/>
  <c r="GQ31" i="59"/>
  <c r="GR31" i="59"/>
  <c r="GS31" i="59"/>
  <c r="GT31" i="59"/>
  <c r="GZ31" i="59"/>
  <c r="HA31" i="59"/>
  <c r="HB31" i="59"/>
  <c r="HD31" i="59"/>
  <c r="HE31" i="59"/>
  <c r="HF31" i="59"/>
  <c r="HG31" i="59"/>
  <c r="HH31" i="59"/>
  <c r="HI31" i="59"/>
  <c r="HJ31" i="59"/>
  <c r="HK31" i="59"/>
  <c r="HL31" i="59"/>
  <c r="HM31" i="59"/>
  <c r="HN31" i="59"/>
  <c r="HT31" i="59"/>
  <c r="HU31" i="59"/>
  <c r="HV31" i="59"/>
  <c r="HX31" i="59"/>
  <c r="HY31" i="59"/>
  <c r="HZ31" i="59"/>
  <c r="IA31" i="59"/>
  <c r="IB31" i="59"/>
  <c r="IC31" i="59"/>
  <c r="ID31" i="59"/>
  <c r="IE31" i="59"/>
  <c r="IF31" i="59"/>
  <c r="IG31" i="59"/>
  <c r="IH31" i="59"/>
  <c r="IN31" i="59"/>
  <c r="IO31" i="59"/>
  <c r="IP31" i="59"/>
  <c r="IR31" i="59"/>
  <c r="IS31" i="59"/>
  <c r="IT31" i="59"/>
  <c r="IU31" i="59"/>
  <c r="IV31" i="59"/>
  <c r="F32" i="59"/>
  <c r="G32" i="59"/>
  <c r="H32" i="59"/>
  <c r="I32" i="59"/>
  <c r="J32" i="59"/>
  <c r="K32" i="59"/>
  <c r="Q32" i="59"/>
  <c r="R32" i="59"/>
  <c r="S32" i="59"/>
  <c r="U32" i="59"/>
  <c r="V32" i="59"/>
  <c r="W32" i="59"/>
  <c r="X32" i="59"/>
  <c r="Y32" i="59"/>
  <c r="Z32" i="59"/>
  <c r="AA32" i="59"/>
  <c r="AB32" i="59"/>
  <c r="AC32" i="59"/>
  <c r="AD32" i="59"/>
  <c r="AE32" i="59"/>
  <c r="AK32" i="59"/>
  <c r="AL32" i="59"/>
  <c r="AM32" i="59"/>
  <c r="AO32" i="59"/>
  <c r="AP32" i="59"/>
  <c r="AQ32" i="59"/>
  <c r="AR32" i="59"/>
  <c r="AS32" i="59"/>
  <c r="AT32" i="59"/>
  <c r="AU32" i="59"/>
  <c r="AV32" i="59"/>
  <c r="AW32" i="59"/>
  <c r="AX32" i="59"/>
  <c r="AY32" i="59"/>
  <c r="BE32" i="59"/>
  <c r="BF32" i="59"/>
  <c r="BG32" i="59"/>
  <c r="BI32" i="59"/>
  <c r="BJ32" i="59"/>
  <c r="BK32" i="59"/>
  <c r="BL32" i="59"/>
  <c r="BM32" i="59"/>
  <c r="BN32" i="59"/>
  <c r="BO32" i="59"/>
  <c r="BP32" i="59"/>
  <c r="BQ32" i="59"/>
  <c r="BR32" i="59"/>
  <c r="BS32" i="59"/>
  <c r="BY32" i="59"/>
  <c r="BZ32" i="59"/>
  <c r="CA32" i="59"/>
  <c r="CC32" i="59"/>
  <c r="CD32" i="59"/>
  <c r="CE32" i="59"/>
  <c r="CF32" i="59"/>
  <c r="CG32" i="59"/>
  <c r="CH32" i="59"/>
  <c r="CI32" i="59"/>
  <c r="CJ32" i="59"/>
  <c r="CK32" i="59"/>
  <c r="CL32" i="59"/>
  <c r="CM32" i="59"/>
  <c r="CS32" i="59"/>
  <c r="CT32" i="59"/>
  <c r="CU32" i="59"/>
  <c r="CW32" i="59"/>
  <c r="CX32" i="59"/>
  <c r="CY32" i="59"/>
  <c r="CZ32" i="59"/>
  <c r="DA32" i="59"/>
  <c r="DB32" i="59"/>
  <c r="DC32" i="59"/>
  <c r="DD32" i="59"/>
  <c r="DE32" i="59"/>
  <c r="DF32" i="59"/>
  <c r="DG32" i="59"/>
  <c r="DM32" i="59"/>
  <c r="DN32" i="59"/>
  <c r="DO32" i="59"/>
  <c r="DQ32" i="59"/>
  <c r="DR32" i="59"/>
  <c r="DS32" i="59"/>
  <c r="DT32" i="59"/>
  <c r="DU32" i="59"/>
  <c r="DV32" i="59"/>
  <c r="DW32" i="59"/>
  <c r="DX32" i="59"/>
  <c r="DY32" i="59"/>
  <c r="DZ32" i="59"/>
  <c r="EA32" i="59"/>
  <c r="EG32" i="59"/>
  <c r="EH32" i="59"/>
  <c r="EI32" i="59"/>
  <c r="EK32" i="59"/>
  <c r="EL32" i="59"/>
  <c r="EM32" i="59"/>
  <c r="EN32" i="59"/>
  <c r="EO32" i="59"/>
  <c r="EP32" i="59"/>
  <c r="EQ32" i="59"/>
  <c r="ER32" i="59"/>
  <c r="ES32" i="59"/>
  <c r="ET32" i="59"/>
  <c r="EU32" i="59"/>
  <c r="FA32" i="59"/>
  <c r="FB32" i="59"/>
  <c r="FC32" i="59"/>
  <c r="FD32" i="59"/>
  <c r="FE32" i="59"/>
  <c r="FF32" i="59"/>
  <c r="FG32" i="59"/>
  <c r="FH32" i="59"/>
  <c r="FI32" i="59"/>
  <c r="FJ32" i="59"/>
  <c r="FK32" i="59"/>
  <c r="FU32" i="59"/>
  <c r="FV32" i="59"/>
  <c r="FW32" i="59"/>
  <c r="FY32" i="59"/>
  <c r="FZ32" i="59"/>
  <c r="GA32" i="59"/>
  <c r="GB32" i="59"/>
  <c r="GC32" i="59"/>
  <c r="GD32" i="59"/>
  <c r="GE32" i="59"/>
  <c r="GF32" i="59"/>
  <c r="GG32" i="59"/>
  <c r="GH32" i="59"/>
  <c r="GI32" i="59"/>
  <c r="GO32" i="59"/>
  <c r="GP32" i="59"/>
  <c r="GQ32" i="59"/>
  <c r="GS32" i="59"/>
  <c r="GT32" i="59"/>
  <c r="GU32" i="59"/>
  <c r="GV32" i="59"/>
  <c r="GW32" i="59"/>
  <c r="GX32" i="59"/>
  <c r="GY32" i="59"/>
  <c r="GZ32" i="59"/>
  <c r="HA32" i="59"/>
  <c r="HB32" i="59"/>
  <c r="HC32" i="59"/>
  <c r="HI32" i="59"/>
  <c r="HJ32" i="59"/>
  <c r="HK32" i="59"/>
  <c r="HM32" i="59"/>
  <c r="HN32" i="59"/>
  <c r="HO32" i="59"/>
  <c r="HP32" i="59"/>
  <c r="HQ32" i="59"/>
  <c r="HR32" i="59"/>
  <c r="HS32" i="59"/>
  <c r="HT32" i="59"/>
  <c r="HU32" i="59"/>
  <c r="HV32" i="59"/>
  <c r="HW32" i="59"/>
  <c r="IC32" i="59"/>
  <c r="ID32" i="59"/>
  <c r="IE32" i="59"/>
  <c r="IG32" i="59"/>
  <c r="IH32" i="59"/>
  <c r="II32" i="59"/>
  <c r="IJ32" i="59"/>
  <c r="IK32" i="59"/>
  <c r="IL32" i="59"/>
  <c r="IM32" i="59"/>
  <c r="IN32" i="59"/>
  <c r="IO32" i="59"/>
  <c r="IP32" i="59"/>
  <c r="IQ32" i="59"/>
  <c r="F33" i="59"/>
  <c r="G33" i="59"/>
  <c r="H33" i="59"/>
  <c r="J33" i="59"/>
  <c r="K33" i="59"/>
  <c r="L33" i="59"/>
  <c r="M33" i="59"/>
  <c r="N33" i="59"/>
  <c r="O33" i="59"/>
  <c r="P33" i="59"/>
  <c r="Q33" i="59"/>
  <c r="R33" i="59"/>
  <c r="S33" i="59"/>
  <c r="T33" i="59"/>
  <c r="Z33" i="59"/>
  <c r="AA33" i="59"/>
  <c r="AB33" i="59"/>
  <c r="AD33" i="59"/>
  <c r="AE33" i="59"/>
  <c r="AF33" i="59"/>
  <c r="AG33" i="59"/>
  <c r="AH33" i="59"/>
  <c r="AI33" i="59"/>
  <c r="AJ33" i="59"/>
  <c r="AK33" i="59"/>
  <c r="AL33" i="59"/>
  <c r="AM33" i="59"/>
  <c r="AN33" i="59"/>
  <c r="AT33" i="59"/>
  <c r="AU33" i="59"/>
  <c r="AV33" i="59"/>
  <c r="AX33" i="59"/>
  <c r="AY33" i="59"/>
  <c r="AZ33" i="59"/>
  <c r="BA33" i="59"/>
  <c r="BB33" i="59"/>
  <c r="BC33" i="59"/>
  <c r="BD33" i="59"/>
  <c r="BE33" i="59"/>
  <c r="BF33" i="59"/>
  <c r="BG33" i="59"/>
  <c r="BH33" i="59"/>
  <c r="BN33" i="59"/>
  <c r="BO33" i="59"/>
  <c r="BP33" i="59"/>
  <c r="BR33" i="59"/>
  <c r="BS33" i="59"/>
  <c r="BT33" i="59"/>
  <c r="BU33" i="59"/>
  <c r="BV33" i="59"/>
  <c r="BW33" i="59"/>
  <c r="BX33" i="59"/>
  <c r="BY33" i="59"/>
  <c r="BZ33" i="59"/>
  <c r="CA33" i="59"/>
  <c r="CB33" i="59"/>
  <c r="CH33" i="59"/>
  <c r="CI33" i="59"/>
  <c r="CJ33" i="59"/>
  <c r="CL33" i="59"/>
  <c r="CM33" i="59"/>
  <c r="CN33" i="59"/>
  <c r="CO33" i="59"/>
  <c r="CP33" i="59"/>
  <c r="CQ33" i="59"/>
  <c r="CR33" i="59"/>
  <c r="CS33" i="59"/>
  <c r="CT33" i="59"/>
  <c r="CU33" i="59"/>
  <c r="CV33" i="59"/>
  <c r="DB33" i="59"/>
  <c r="DC33" i="59"/>
  <c r="DD33" i="59"/>
  <c r="DF33" i="59"/>
  <c r="DG33" i="59"/>
  <c r="DH33" i="59"/>
  <c r="DI33" i="59"/>
  <c r="DJ33" i="59"/>
  <c r="DK33" i="59"/>
  <c r="DL33" i="59"/>
  <c r="DM33" i="59"/>
  <c r="DN33" i="59"/>
  <c r="DO33" i="59"/>
  <c r="DP33" i="59"/>
  <c r="DV33" i="59"/>
  <c r="DW33" i="59"/>
  <c r="DX33" i="59"/>
  <c r="DZ33" i="59"/>
  <c r="EA33" i="59"/>
  <c r="EB33" i="59"/>
  <c r="EC33" i="59"/>
  <c r="ED33" i="59"/>
  <c r="EE33" i="59"/>
  <c r="EF33" i="59"/>
  <c r="EG33" i="59"/>
  <c r="EH33" i="59"/>
  <c r="EI33" i="59"/>
  <c r="EJ33" i="59"/>
  <c r="EP33" i="59"/>
  <c r="EQ33" i="59"/>
  <c r="ER33" i="59"/>
  <c r="ET33" i="59"/>
  <c r="EU33" i="59"/>
  <c r="EV33" i="59"/>
  <c r="EW33" i="59"/>
  <c r="EX33" i="59"/>
  <c r="EY33" i="59"/>
  <c r="EZ33" i="59"/>
  <c r="FA33" i="59"/>
  <c r="FB33" i="59"/>
  <c r="FC33" i="59"/>
  <c r="FD33" i="59"/>
  <c r="FJ33" i="59"/>
  <c r="FK33" i="59"/>
  <c r="FL33" i="59"/>
  <c r="FN33" i="59"/>
  <c r="FO33" i="59"/>
  <c r="FP33" i="59"/>
  <c r="FQ33" i="59"/>
  <c r="FR33" i="59"/>
  <c r="FS33" i="59"/>
  <c r="FT33" i="59"/>
  <c r="FU33" i="59"/>
  <c r="FV33" i="59"/>
  <c r="FW33" i="59"/>
  <c r="FX33" i="59"/>
  <c r="GD33" i="59"/>
  <c r="GE33" i="59"/>
  <c r="GF33" i="59"/>
  <c r="GH33" i="59"/>
  <c r="GI33" i="59"/>
  <c r="GJ33" i="59"/>
  <c r="GK33" i="59"/>
  <c r="GL33" i="59"/>
  <c r="GM33" i="59"/>
  <c r="GN33" i="59"/>
  <c r="GO33" i="59"/>
  <c r="GP33" i="59"/>
  <c r="GQ33" i="59"/>
  <c r="GR33" i="59"/>
  <c r="GX33" i="59"/>
  <c r="GY33" i="59"/>
  <c r="GZ33" i="59"/>
  <c r="HB33" i="59"/>
  <c r="HC33" i="59"/>
  <c r="HD33" i="59"/>
  <c r="HE33" i="59"/>
  <c r="HF33" i="59"/>
  <c r="HG33" i="59"/>
  <c r="HH33" i="59"/>
  <c r="HI33" i="59"/>
  <c r="HJ33" i="59"/>
  <c r="HK33" i="59"/>
  <c r="HL33" i="59"/>
  <c r="HR33" i="59"/>
  <c r="HS33" i="59"/>
  <c r="HT33" i="59"/>
  <c r="HV33" i="59"/>
  <c r="HW33" i="59"/>
  <c r="HX33" i="59"/>
  <c r="HY33" i="59"/>
  <c r="HZ33" i="59"/>
  <c r="IA33" i="59"/>
  <c r="IB33" i="59"/>
  <c r="IC33" i="59"/>
  <c r="ID33" i="59"/>
  <c r="IE33" i="59"/>
  <c r="IF33" i="59"/>
  <c r="IL33" i="59"/>
  <c r="IM33" i="59"/>
  <c r="IN33" i="59"/>
  <c r="IP33" i="59"/>
  <c r="IQ33" i="59"/>
  <c r="IR33" i="59"/>
  <c r="IS33" i="59"/>
  <c r="IT33" i="59"/>
  <c r="IU33" i="59"/>
  <c r="IV33" i="59"/>
  <c r="F34" i="59"/>
  <c r="G34" i="59"/>
  <c r="H34" i="59"/>
  <c r="I34" i="59"/>
  <c r="O34" i="59"/>
  <c r="P34" i="59"/>
  <c r="Q34" i="59"/>
  <c r="S34" i="59"/>
  <c r="T34" i="59"/>
  <c r="U34" i="59"/>
  <c r="V34" i="59"/>
  <c r="W34" i="59"/>
  <c r="X34" i="59"/>
  <c r="Y34" i="59"/>
  <c r="Z34" i="59"/>
  <c r="AA34" i="59"/>
  <c r="AB34" i="59"/>
  <c r="AC34" i="59"/>
  <c r="AI34" i="59"/>
  <c r="AJ34" i="59"/>
  <c r="AK34" i="59"/>
  <c r="AM34" i="59"/>
  <c r="AN34" i="59"/>
  <c r="AO34" i="59"/>
  <c r="AP34" i="59"/>
  <c r="AQ34" i="59"/>
  <c r="AR34" i="59"/>
  <c r="AS34" i="59"/>
  <c r="AT34" i="59"/>
  <c r="AU34" i="59"/>
  <c r="AV34" i="59"/>
  <c r="AW34" i="59"/>
  <c r="BC34" i="59"/>
  <c r="BD34" i="59"/>
  <c r="BE34" i="59"/>
  <c r="BG34" i="59"/>
  <c r="BH34" i="59"/>
  <c r="BI34" i="59"/>
  <c r="BJ34" i="59"/>
  <c r="BK34" i="59"/>
  <c r="BL34" i="59"/>
  <c r="BM34" i="59"/>
  <c r="BN34" i="59"/>
  <c r="BO34" i="59"/>
  <c r="BP34" i="59"/>
  <c r="BQ34" i="59"/>
  <c r="BW34" i="59"/>
  <c r="BX34" i="59"/>
  <c r="BY34" i="59"/>
  <c r="BZ34" i="59"/>
  <c r="CA34" i="59"/>
  <c r="CB34" i="59"/>
  <c r="CC34" i="59"/>
  <c r="CD34" i="59"/>
  <c r="CE34" i="59"/>
  <c r="CF34" i="59"/>
  <c r="CG34" i="59"/>
  <c r="CQ34" i="59"/>
  <c r="CR34" i="59"/>
  <c r="CS34" i="59"/>
  <c r="CU34" i="59"/>
  <c r="CV34" i="59"/>
  <c r="CW34" i="59"/>
  <c r="CX34" i="59"/>
  <c r="CY34" i="59"/>
  <c r="CZ34" i="59"/>
  <c r="DA34" i="59"/>
  <c r="DB34" i="59"/>
  <c r="DC34" i="59"/>
  <c r="DD34" i="59"/>
  <c r="DE34" i="59"/>
  <c r="DK34" i="59"/>
  <c r="DL34" i="59"/>
  <c r="DM34" i="59"/>
  <c r="DO34" i="59"/>
  <c r="DP34" i="59"/>
  <c r="DQ34" i="59"/>
  <c r="DR34" i="59"/>
  <c r="DS34" i="59"/>
  <c r="DT34" i="59"/>
  <c r="DU34" i="59"/>
  <c r="DV34" i="59"/>
  <c r="DW34" i="59"/>
  <c r="DX34" i="59"/>
  <c r="DY34" i="59"/>
  <c r="EE34" i="59"/>
  <c r="EF34" i="59"/>
  <c r="EG34" i="59"/>
  <c r="EI34" i="59"/>
  <c r="EJ34" i="59"/>
  <c r="EK34" i="59"/>
  <c r="EL34" i="59"/>
  <c r="EM34" i="59"/>
  <c r="EN34" i="59"/>
  <c r="EO34" i="59"/>
  <c r="EP34" i="59"/>
  <c r="EQ34" i="59"/>
  <c r="ER34" i="59"/>
  <c r="ES34" i="59"/>
  <c r="EY34" i="59"/>
  <c r="EZ34" i="59"/>
  <c r="FA34" i="59"/>
  <c r="FC34" i="59"/>
  <c r="FD34" i="59"/>
  <c r="FE34" i="59"/>
  <c r="FF34" i="59"/>
  <c r="FG34" i="59"/>
  <c r="FH34" i="59"/>
  <c r="FI34" i="59"/>
  <c r="FJ34" i="59"/>
  <c r="FK34" i="59"/>
  <c r="FL34" i="59"/>
  <c r="FM34" i="59"/>
  <c r="FS34" i="59"/>
  <c r="FT34" i="59"/>
  <c r="FU34" i="59"/>
  <c r="FW34" i="59"/>
  <c r="FX34" i="59"/>
  <c r="FY34" i="59"/>
  <c r="FZ34" i="59"/>
  <c r="GA34" i="59"/>
  <c r="GB34" i="59"/>
  <c r="GC34" i="59"/>
  <c r="GD34" i="59"/>
  <c r="GE34" i="59"/>
  <c r="GF34" i="59"/>
  <c r="GG34" i="59"/>
  <c r="GM34" i="59"/>
  <c r="GN34" i="59"/>
  <c r="GO34" i="59"/>
  <c r="GQ34" i="59"/>
  <c r="GR34" i="59"/>
  <c r="GS34" i="59"/>
  <c r="GT34" i="59"/>
  <c r="GU34" i="59"/>
  <c r="GV34" i="59"/>
  <c r="GW34" i="59"/>
  <c r="GX34" i="59"/>
  <c r="GY34" i="59"/>
  <c r="GZ34" i="59"/>
  <c r="HA34" i="59"/>
  <c r="HG34" i="59"/>
  <c r="HH34" i="59"/>
  <c r="HI34" i="59"/>
  <c r="HK34" i="59"/>
  <c r="HL34" i="59"/>
  <c r="HM34" i="59"/>
  <c r="HN34" i="59"/>
  <c r="HO34" i="59"/>
  <c r="HP34" i="59"/>
  <c r="HQ34" i="59"/>
  <c r="HR34" i="59"/>
  <c r="HS34" i="59"/>
  <c r="HT34" i="59"/>
  <c r="HU34" i="59"/>
  <c r="IA34" i="59"/>
  <c r="IB34" i="59"/>
  <c r="IC34" i="59"/>
  <c r="IE34" i="59"/>
  <c r="IF34" i="59"/>
  <c r="IG34" i="59"/>
  <c r="IH34" i="59"/>
  <c r="II34" i="59"/>
  <c r="IJ34" i="59"/>
  <c r="IK34" i="59"/>
  <c r="IL34" i="59"/>
  <c r="IM34" i="59"/>
  <c r="IN34" i="59"/>
  <c r="IO34" i="59"/>
  <c r="IU34" i="59"/>
  <c r="IV34" i="59"/>
  <c r="F35" i="59"/>
  <c r="H35" i="59"/>
  <c r="I35" i="59"/>
  <c r="J35" i="59"/>
  <c r="K35" i="59"/>
  <c r="L35" i="59"/>
  <c r="M35" i="59"/>
  <c r="N35" i="59"/>
  <c r="O35" i="59"/>
  <c r="P35" i="59"/>
  <c r="Q35" i="59"/>
  <c r="R35" i="59"/>
  <c r="X35" i="59"/>
  <c r="Y35" i="59"/>
  <c r="Z35" i="59"/>
  <c r="AB35" i="59"/>
  <c r="AC35" i="59"/>
  <c r="AD35" i="59"/>
  <c r="AE35" i="59"/>
  <c r="AF35" i="59"/>
  <c r="AG35" i="59"/>
  <c r="AH35" i="59"/>
  <c r="AI35" i="59"/>
  <c r="AJ35" i="59"/>
  <c r="AK35" i="59"/>
  <c r="AL35" i="59"/>
  <c r="AR35" i="59"/>
  <c r="AS35" i="59"/>
  <c r="AT35" i="59"/>
  <c r="AV35" i="59"/>
  <c r="AW35" i="59"/>
  <c r="AX35" i="59"/>
  <c r="AY35" i="59"/>
  <c r="AZ35" i="59"/>
  <c r="BA35" i="59"/>
  <c r="BB35" i="59"/>
  <c r="BC35" i="59"/>
  <c r="BD35" i="59"/>
  <c r="BE35" i="59"/>
  <c r="BF35" i="59"/>
  <c r="BL35" i="59"/>
  <c r="BM35" i="59"/>
  <c r="BN35" i="59"/>
  <c r="BP35" i="59"/>
  <c r="BQ35" i="59"/>
  <c r="BR35" i="59"/>
  <c r="BS35" i="59"/>
  <c r="BT35" i="59"/>
  <c r="BU35" i="59"/>
  <c r="BV35" i="59"/>
  <c r="BW35" i="59"/>
  <c r="BX35" i="59"/>
  <c r="BY35" i="59"/>
  <c r="BZ35" i="59"/>
  <c r="CF35" i="59"/>
  <c r="CG35" i="59"/>
  <c r="CH35" i="59"/>
  <c r="CJ35" i="59"/>
  <c r="CK35" i="59"/>
  <c r="CL35" i="59"/>
  <c r="CM35" i="59"/>
  <c r="CN35" i="59"/>
  <c r="CO35" i="59"/>
  <c r="CP35" i="59"/>
  <c r="CQ35" i="59"/>
  <c r="CR35" i="59"/>
  <c r="CS35" i="59"/>
  <c r="CT35" i="59"/>
  <c r="CZ35" i="59"/>
  <c r="DA35" i="59"/>
  <c r="DB35" i="59"/>
  <c r="DD35" i="59"/>
  <c r="DE35" i="59"/>
  <c r="DF35" i="59"/>
  <c r="DG35" i="59"/>
  <c r="DH35" i="59"/>
  <c r="DI35" i="59"/>
  <c r="DJ35" i="59"/>
  <c r="DK35" i="59"/>
  <c r="DL35" i="59"/>
  <c r="DM35" i="59"/>
  <c r="DN35" i="59"/>
  <c r="DT35" i="59"/>
  <c r="DU35" i="59"/>
  <c r="DV35" i="59"/>
  <c r="DX35" i="59"/>
  <c r="DY35" i="59"/>
  <c r="DZ35" i="59"/>
  <c r="EA35" i="59"/>
  <c r="EB35" i="59"/>
  <c r="EC35" i="59"/>
  <c r="ED35" i="59"/>
  <c r="EE35" i="59"/>
  <c r="EF35" i="59"/>
  <c r="EG35" i="59"/>
  <c r="EH35" i="59"/>
  <c r="EN35" i="59"/>
  <c r="EO35" i="59"/>
  <c r="EP35" i="59"/>
  <c r="ER35" i="59"/>
  <c r="ES35" i="59"/>
  <c r="ET35" i="59"/>
  <c r="EU35" i="59"/>
  <c r="EV35" i="59"/>
  <c r="EW35" i="59"/>
  <c r="EX35" i="59"/>
  <c r="EY35" i="59"/>
  <c r="EZ35" i="59"/>
  <c r="FA35" i="59"/>
  <c r="FB35" i="59"/>
  <c r="FH35" i="59"/>
  <c r="FI35" i="59"/>
  <c r="FJ35" i="59"/>
  <c r="FL35" i="59"/>
  <c r="FM35" i="59"/>
  <c r="FN35" i="59"/>
  <c r="FO35" i="59"/>
  <c r="FP35" i="59"/>
  <c r="FQ35" i="59"/>
  <c r="FR35" i="59"/>
  <c r="FS35" i="59"/>
  <c r="FT35" i="59"/>
  <c r="FU35" i="59"/>
  <c r="FV35" i="59"/>
  <c r="GB35" i="59"/>
  <c r="GC35" i="59"/>
  <c r="GD35" i="59"/>
  <c r="GF35" i="59"/>
  <c r="GG35" i="59"/>
  <c r="GH35" i="59"/>
  <c r="GI35" i="59"/>
  <c r="GJ35" i="59"/>
  <c r="GK35" i="59"/>
  <c r="GL35" i="59"/>
  <c r="GM35" i="59"/>
  <c r="GN35" i="59"/>
  <c r="GO35" i="59"/>
  <c r="GP35" i="59"/>
  <c r="GV35" i="59"/>
  <c r="GW35" i="59"/>
  <c r="GX35" i="59"/>
  <c r="GZ35" i="59"/>
  <c r="HA35" i="59"/>
  <c r="HB35" i="59"/>
  <c r="HC35" i="59"/>
  <c r="HD35" i="59"/>
  <c r="HE35" i="59"/>
  <c r="HF35" i="59"/>
  <c r="HG35" i="59"/>
  <c r="HH35" i="59"/>
  <c r="HI35" i="59"/>
  <c r="HJ35" i="59"/>
  <c r="HP35" i="59"/>
  <c r="HQ35" i="59"/>
  <c r="HR35" i="59"/>
  <c r="HT35" i="59"/>
  <c r="HU35" i="59"/>
  <c r="HV35" i="59"/>
  <c r="HW35" i="59"/>
  <c r="HX35" i="59"/>
  <c r="HY35" i="59"/>
  <c r="HZ35" i="59"/>
  <c r="IA35" i="59"/>
  <c r="IB35" i="59"/>
  <c r="IC35" i="59"/>
  <c r="ID35" i="59"/>
  <c r="IJ35" i="59"/>
  <c r="IK35" i="59"/>
  <c r="IL35" i="59"/>
  <c r="IM35" i="59"/>
  <c r="IN35" i="59"/>
  <c r="IO35" i="59"/>
  <c r="IP35" i="59"/>
  <c r="IQ35" i="59"/>
  <c r="IR35" i="59"/>
  <c r="IS35" i="59"/>
  <c r="IT35" i="59"/>
  <c r="M36" i="59"/>
  <c r="N36" i="59"/>
  <c r="O36" i="59"/>
  <c r="Q36" i="59"/>
  <c r="R36" i="59"/>
  <c r="S36" i="59"/>
  <c r="T36" i="59"/>
  <c r="U36" i="59"/>
  <c r="V36" i="59"/>
  <c r="W36" i="59"/>
  <c r="X36" i="59"/>
  <c r="Y36" i="59"/>
  <c r="Z36" i="59"/>
  <c r="AA36" i="59"/>
  <c r="AG36" i="59"/>
  <c r="AH36" i="59"/>
  <c r="AI36" i="59"/>
  <c r="AK36" i="59"/>
  <c r="AL36" i="59"/>
  <c r="AM36" i="59"/>
  <c r="AN36" i="59"/>
  <c r="AO36" i="59"/>
  <c r="AP36" i="59"/>
  <c r="AQ36" i="59"/>
  <c r="AR36" i="59"/>
  <c r="AS36" i="59"/>
  <c r="AT36" i="59"/>
  <c r="AU36" i="59"/>
  <c r="BA36" i="59"/>
  <c r="BB36" i="59"/>
  <c r="BC36" i="59"/>
  <c r="BE36" i="59"/>
  <c r="BF36" i="59"/>
  <c r="BG36" i="59"/>
  <c r="BH36" i="59"/>
  <c r="BI36" i="59"/>
  <c r="BJ36" i="59"/>
  <c r="BK36" i="59"/>
  <c r="BL36" i="59"/>
  <c r="BM36" i="59"/>
  <c r="BN36" i="59"/>
  <c r="BO36" i="59"/>
  <c r="BU36" i="59"/>
  <c r="BV36" i="59"/>
  <c r="BW36" i="59"/>
  <c r="BY36" i="59"/>
  <c r="BZ36" i="59"/>
  <c r="CA36" i="59"/>
  <c r="CB36" i="59"/>
  <c r="CC36" i="59"/>
  <c r="CD36" i="59"/>
  <c r="CE36" i="59"/>
  <c r="CF36" i="59"/>
  <c r="CG36" i="59"/>
  <c r="CH36" i="59"/>
  <c r="CI36" i="59"/>
  <c r="CO36" i="59"/>
  <c r="CP36" i="59"/>
  <c r="CQ36" i="59"/>
  <c r="CS36" i="59"/>
  <c r="CT36" i="59"/>
  <c r="CU36" i="59"/>
  <c r="CV36" i="59"/>
  <c r="CW36" i="59"/>
  <c r="CX36" i="59"/>
  <c r="CY36" i="59"/>
  <c r="CZ36" i="59"/>
  <c r="DA36" i="59"/>
  <c r="DB36" i="59"/>
  <c r="DC36" i="59"/>
  <c r="DI36" i="59"/>
  <c r="DJ36" i="59"/>
  <c r="DK36" i="59"/>
  <c r="DM36" i="59"/>
  <c r="DN36" i="59"/>
  <c r="DO36" i="59"/>
  <c r="DP36" i="59"/>
  <c r="DQ36" i="59"/>
  <c r="DR36" i="59"/>
  <c r="DS36" i="59"/>
  <c r="DT36" i="59"/>
  <c r="DU36" i="59"/>
  <c r="DV36" i="59"/>
  <c r="DW36" i="59"/>
  <c r="EC36" i="59"/>
  <c r="ED36" i="59"/>
  <c r="EE36" i="59"/>
  <c r="EG36" i="59"/>
  <c r="EH36" i="59"/>
  <c r="EI36" i="59"/>
  <c r="EJ36" i="59"/>
  <c r="EK36" i="59"/>
  <c r="EL36" i="59"/>
  <c r="EM36" i="59"/>
  <c r="EN36" i="59"/>
  <c r="EO36" i="59"/>
  <c r="EP36" i="59"/>
  <c r="EQ36" i="59"/>
  <c r="EW36" i="59"/>
  <c r="EX36" i="59"/>
  <c r="EY36" i="59"/>
  <c r="FA36" i="59"/>
  <c r="FB36" i="59"/>
  <c r="FC36" i="59"/>
  <c r="FD36" i="59"/>
  <c r="FE36" i="59"/>
  <c r="FF36" i="59"/>
  <c r="FG36" i="59"/>
  <c r="FH36" i="59"/>
  <c r="FI36" i="59"/>
  <c r="FJ36" i="59"/>
  <c r="FK36" i="59"/>
  <c r="FQ36" i="59"/>
  <c r="FR36" i="59"/>
  <c r="FS36" i="59"/>
  <c r="FU36" i="59"/>
  <c r="FV36" i="59"/>
  <c r="FW36" i="59"/>
  <c r="FX36" i="59"/>
  <c r="FY36" i="59"/>
  <c r="FZ36" i="59"/>
  <c r="GA36" i="59"/>
  <c r="GB36" i="59"/>
  <c r="GC36" i="59"/>
  <c r="GD36" i="59"/>
  <c r="GE36" i="59"/>
  <c r="GK36" i="59"/>
  <c r="GL36" i="59"/>
  <c r="GM36" i="59"/>
  <c r="GO36" i="59"/>
  <c r="GP36" i="59"/>
  <c r="GQ36" i="59"/>
  <c r="GR36" i="59"/>
  <c r="GS36" i="59"/>
  <c r="GT36" i="59"/>
  <c r="GU36" i="59"/>
  <c r="GV36" i="59"/>
  <c r="GW36" i="59"/>
  <c r="GX36" i="59"/>
  <c r="GY36" i="59"/>
  <c r="HE36" i="59"/>
  <c r="HF36" i="59"/>
  <c r="HG36" i="59"/>
  <c r="HI36" i="59"/>
  <c r="HJ36" i="59"/>
  <c r="HK36" i="59"/>
  <c r="HL36" i="59"/>
  <c r="HM36" i="59"/>
  <c r="HN36" i="59"/>
  <c r="HO36" i="59"/>
  <c r="HP36" i="59"/>
  <c r="HQ36" i="59"/>
  <c r="HR36" i="59"/>
  <c r="HS36" i="59"/>
  <c r="HY36" i="59"/>
  <c r="HZ36" i="59"/>
  <c r="IA36" i="59"/>
  <c r="IC36" i="59"/>
  <c r="ID36" i="59"/>
  <c r="IE36" i="59"/>
  <c r="IF36" i="59"/>
  <c r="IG36" i="59"/>
  <c r="IH36" i="59"/>
  <c r="II36" i="59"/>
  <c r="IJ36" i="59"/>
  <c r="IK36" i="59"/>
  <c r="IL36" i="59"/>
  <c r="IM36" i="59"/>
  <c r="IS36" i="59"/>
  <c r="IT36" i="59"/>
  <c r="IU36" i="59"/>
  <c r="F37" i="59"/>
  <c r="G37" i="59"/>
  <c r="H37" i="59"/>
  <c r="I37" i="59"/>
  <c r="J37" i="59"/>
  <c r="K37" i="59"/>
  <c r="L37" i="59"/>
  <c r="M37" i="59"/>
  <c r="N37" i="59"/>
  <c r="O37" i="59"/>
  <c r="P37" i="59"/>
  <c r="V37" i="59"/>
  <c r="W37" i="59"/>
  <c r="X37" i="59"/>
  <c r="Z37" i="59"/>
  <c r="AA37" i="59"/>
  <c r="AB37" i="59"/>
  <c r="AC37" i="59"/>
  <c r="AD37" i="59"/>
  <c r="AE37" i="59"/>
  <c r="AF37" i="59"/>
  <c r="AG37" i="59"/>
  <c r="AH37" i="59"/>
  <c r="AI37" i="59"/>
  <c r="AJ37" i="59"/>
  <c r="AP37" i="59"/>
  <c r="AQ37" i="59"/>
  <c r="AR37" i="59"/>
  <c r="AT37" i="59"/>
  <c r="AU37" i="59"/>
  <c r="AV37" i="59"/>
  <c r="AW37" i="59"/>
  <c r="AX37" i="59"/>
  <c r="AY37" i="59"/>
  <c r="AZ37" i="59"/>
  <c r="BA37" i="59"/>
  <c r="BB37" i="59"/>
  <c r="BC37" i="59"/>
  <c r="BD37" i="59"/>
  <c r="BJ37" i="59"/>
  <c r="BK37" i="59"/>
  <c r="BL37" i="59"/>
  <c r="BN37" i="59"/>
  <c r="BO37" i="59"/>
  <c r="BP37" i="59"/>
  <c r="BQ37" i="59"/>
  <c r="BR37" i="59"/>
  <c r="BS37" i="59"/>
  <c r="BT37" i="59"/>
  <c r="BU37" i="59"/>
  <c r="BV37" i="59"/>
  <c r="BW37" i="59"/>
  <c r="BX37" i="59"/>
  <c r="CD37" i="59"/>
  <c r="CE37" i="59"/>
  <c r="CF37" i="59"/>
  <c r="CH37" i="59"/>
  <c r="CI37" i="59"/>
  <c r="CJ37" i="59"/>
  <c r="CK37" i="59"/>
  <c r="CL37" i="59"/>
  <c r="CM37" i="59"/>
  <c r="CN37" i="59"/>
  <c r="CO37" i="59"/>
  <c r="CP37" i="59"/>
  <c r="CQ37" i="59"/>
  <c r="CR37" i="59"/>
  <c r="CX37" i="59"/>
  <c r="CY37" i="59"/>
  <c r="CZ37" i="59"/>
  <c r="DB37" i="59"/>
  <c r="DC37" i="59"/>
  <c r="DD37" i="59"/>
  <c r="DE37" i="59"/>
  <c r="DF37" i="59"/>
  <c r="DG37" i="59"/>
  <c r="DH37" i="59"/>
  <c r="DI37" i="59"/>
  <c r="DJ37" i="59"/>
  <c r="DK37" i="59"/>
  <c r="DL37" i="59"/>
  <c r="DR37" i="59"/>
  <c r="DS37" i="59"/>
  <c r="DT37" i="59"/>
  <c r="DV37" i="59"/>
  <c r="DW37" i="59"/>
  <c r="DX37" i="59"/>
  <c r="DY37" i="59"/>
  <c r="DZ37" i="59"/>
  <c r="EA37" i="59"/>
  <c r="EB37" i="59"/>
  <c r="EC37" i="59"/>
  <c r="ED37" i="59"/>
  <c r="EE37" i="59"/>
  <c r="EF37" i="59"/>
  <c r="EL37" i="59"/>
  <c r="EM37" i="59"/>
  <c r="EN37" i="59"/>
  <c r="EP37" i="59"/>
  <c r="EQ37" i="59"/>
  <c r="ER37" i="59"/>
  <c r="ES37" i="59"/>
  <c r="ET37" i="59"/>
  <c r="EU37" i="59"/>
  <c r="EV37" i="59"/>
  <c r="EW37" i="59"/>
  <c r="EX37" i="59"/>
  <c r="EY37" i="59"/>
  <c r="EZ37" i="59"/>
  <c r="FF37" i="59"/>
  <c r="FG37" i="59"/>
  <c r="FH37" i="59"/>
  <c r="FI37" i="59"/>
  <c r="FJ37" i="59"/>
  <c r="FK37" i="59"/>
  <c r="FL37" i="59"/>
  <c r="FM37" i="59"/>
  <c r="FN37" i="59"/>
  <c r="FO37" i="59"/>
  <c r="FP37" i="59"/>
  <c r="FZ37" i="59"/>
  <c r="GA37" i="59"/>
  <c r="GB37" i="59"/>
  <c r="GD37" i="59"/>
  <c r="GE37" i="59"/>
  <c r="GF37" i="59"/>
  <c r="GG37" i="59"/>
  <c r="GH37" i="59"/>
  <c r="GI37" i="59"/>
  <c r="GJ37" i="59"/>
  <c r="GK37" i="59"/>
  <c r="GL37" i="59"/>
  <c r="GM37" i="59"/>
  <c r="GN37" i="59"/>
  <c r="GT37" i="59"/>
  <c r="GU37" i="59"/>
  <c r="GV37" i="59"/>
  <c r="GX37" i="59"/>
  <c r="GY37" i="59"/>
  <c r="GZ37" i="59"/>
  <c r="HA37" i="59"/>
  <c r="HB37" i="59"/>
  <c r="HC37" i="59"/>
  <c r="HD37" i="59"/>
  <c r="HE37" i="59"/>
  <c r="HF37" i="59"/>
  <c r="HG37" i="59"/>
  <c r="HH37" i="59"/>
  <c r="HN37" i="59"/>
  <c r="HO37" i="59"/>
  <c r="HP37" i="59"/>
  <c r="HR37" i="59"/>
  <c r="HS37" i="59"/>
  <c r="HT37" i="59"/>
  <c r="HU37" i="59"/>
  <c r="HV37" i="59"/>
  <c r="HW37" i="59"/>
  <c r="HX37" i="59"/>
  <c r="HY37" i="59"/>
  <c r="HZ37" i="59"/>
  <c r="IA37" i="59"/>
  <c r="IB37" i="59"/>
  <c r="IH37" i="59"/>
  <c r="II37" i="59"/>
  <c r="IJ37" i="59"/>
  <c r="IL37" i="59"/>
  <c r="IM37" i="59"/>
  <c r="IN37" i="59"/>
  <c r="IO37" i="59"/>
  <c r="IP37" i="59"/>
  <c r="IQ37" i="59"/>
  <c r="IR37" i="59"/>
  <c r="IS37" i="59"/>
  <c r="IT37" i="59"/>
  <c r="IU37" i="59"/>
  <c r="IV37" i="59"/>
  <c r="K38" i="59"/>
  <c r="L38" i="59"/>
  <c r="M38" i="59"/>
  <c r="O38" i="59"/>
  <c r="P38" i="59"/>
  <c r="Q38" i="59"/>
  <c r="R38" i="59"/>
  <c r="S38" i="59"/>
  <c r="T38" i="59"/>
  <c r="U38" i="59"/>
  <c r="V38" i="59"/>
  <c r="W38" i="59"/>
  <c r="X38" i="59"/>
  <c r="Y38" i="59"/>
  <c r="AE38" i="59"/>
  <c r="AF38" i="59"/>
  <c r="AG38" i="59"/>
  <c r="AI38" i="59"/>
  <c r="AJ38" i="59"/>
  <c r="AK38" i="59"/>
  <c r="AL38" i="59"/>
  <c r="AM38" i="59"/>
  <c r="AN38" i="59"/>
  <c r="AO38" i="59"/>
  <c r="AP38" i="59"/>
  <c r="AQ38" i="59"/>
  <c r="AR38" i="59"/>
  <c r="AS38" i="59"/>
  <c r="AY38" i="59"/>
  <c r="AZ38" i="59"/>
  <c r="BA38" i="59"/>
  <c r="BC38" i="59"/>
  <c r="BD38" i="59"/>
  <c r="BE38" i="59"/>
  <c r="BF38" i="59"/>
  <c r="BG38" i="59"/>
  <c r="BH38" i="59"/>
  <c r="BI38" i="59"/>
  <c r="BJ38" i="59"/>
  <c r="BK38" i="59"/>
  <c r="BL38" i="59"/>
  <c r="BM38" i="59"/>
  <c r="BS38" i="59"/>
  <c r="BT38" i="59"/>
  <c r="BU38" i="59"/>
  <c r="BW38" i="59"/>
  <c r="BX38" i="59"/>
  <c r="BY38" i="59"/>
  <c r="BZ38" i="59"/>
  <c r="CA38" i="59"/>
  <c r="CB38" i="59"/>
  <c r="CC38" i="59"/>
  <c r="CD38" i="59"/>
  <c r="CE38" i="59"/>
  <c r="CF38" i="59"/>
  <c r="CG38" i="59"/>
  <c r="CM38" i="59"/>
  <c r="CN38" i="59"/>
  <c r="CO38" i="59"/>
  <c r="CQ38" i="59"/>
  <c r="CR38" i="59"/>
  <c r="CS38" i="59"/>
  <c r="CT38" i="59"/>
  <c r="CU38" i="59"/>
  <c r="CV38" i="59"/>
  <c r="CW38" i="59"/>
  <c r="CX38" i="59"/>
  <c r="CY38" i="59"/>
  <c r="CZ38" i="59"/>
  <c r="DA38" i="59"/>
  <c r="DG38" i="59"/>
  <c r="DH38" i="59"/>
  <c r="DI38" i="59"/>
  <c r="DK38" i="59"/>
  <c r="DL38" i="59"/>
  <c r="DM38" i="59"/>
  <c r="DN38" i="59"/>
  <c r="DO38" i="59"/>
  <c r="DP38" i="59"/>
  <c r="DQ38" i="59"/>
  <c r="DR38" i="59"/>
  <c r="DS38" i="59"/>
  <c r="DT38" i="59"/>
  <c r="DU38" i="59"/>
  <c r="EA38" i="59"/>
  <c r="EB38" i="59"/>
  <c r="EC38" i="59"/>
  <c r="EE38" i="59"/>
  <c r="EF38" i="59"/>
  <c r="EG38" i="59"/>
  <c r="EH38" i="59"/>
  <c r="EI38" i="59"/>
  <c r="EJ38" i="59"/>
  <c r="EK38" i="59"/>
  <c r="EL38" i="59"/>
  <c r="EM38" i="59"/>
  <c r="EN38" i="59"/>
  <c r="EO38" i="59"/>
  <c r="EU38" i="59"/>
  <c r="EV38" i="59"/>
  <c r="EW38" i="59"/>
  <c r="EY38" i="59"/>
  <c r="EZ38" i="59"/>
  <c r="FA38" i="59"/>
  <c r="FB38" i="59"/>
  <c r="FC38" i="59"/>
  <c r="FD38" i="59"/>
  <c r="FE38" i="59"/>
  <c r="FF38" i="59"/>
  <c r="FG38" i="59"/>
  <c r="FH38" i="59"/>
  <c r="FI38" i="59"/>
  <c r="FO38" i="59"/>
  <c r="FP38" i="59"/>
  <c r="FQ38" i="59"/>
  <c r="FS38" i="59"/>
  <c r="FT38" i="59"/>
  <c r="FU38" i="59"/>
  <c r="FV38" i="59"/>
  <c r="FW38" i="59"/>
  <c r="FX38" i="59"/>
  <c r="FY38" i="59"/>
  <c r="FZ38" i="59"/>
  <c r="GA38" i="59"/>
  <c r="GB38" i="59"/>
  <c r="GC38" i="59"/>
  <c r="GI38" i="59"/>
  <c r="GJ38" i="59"/>
  <c r="GK38" i="59"/>
  <c r="GM38" i="59"/>
  <c r="GN38" i="59"/>
  <c r="GO38" i="59"/>
  <c r="GP38" i="59"/>
  <c r="GQ38" i="59"/>
  <c r="GR38" i="59"/>
  <c r="GS38" i="59"/>
  <c r="GT38" i="59"/>
  <c r="GU38" i="59"/>
  <c r="GV38" i="59"/>
  <c r="GW38" i="59"/>
  <c r="HC38" i="59"/>
  <c r="HD38" i="59"/>
  <c r="HE38" i="59"/>
  <c r="HG38" i="59"/>
  <c r="HH38" i="59"/>
  <c r="HI38" i="59"/>
  <c r="HJ38" i="59"/>
  <c r="HK38" i="59"/>
  <c r="HL38" i="59"/>
  <c r="HM38" i="59"/>
  <c r="HN38" i="59"/>
  <c r="HO38" i="59"/>
  <c r="HP38" i="59"/>
  <c r="HQ38" i="59"/>
  <c r="HW38" i="59"/>
  <c r="HX38" i="59"/>
  <c r="HY38" i="59"/>
  <c r="IA38" i="59"/>
  <c r="IB38" i="59"/>
  <c r="IC38" i="59"/>
  <c r="ID38" i="59"/>
  <c r="IE38" i="59"/>
  <c r="IF38" i="59"/>
  <c r="IG38" i="59"/>
  <c r="IH38" i="59"/>
  <c r="II38" i="59"/>
  <c r="IJ38" i="59"/>
  <c r="IK38" i="59"/>
  <c r="IQ38" i="59"/>
  <c r="IR38" i="59"/>
  <c r="IS38" i="59"/>
  <c r="IU38" i="59"/>
  <c r="IV38" i="59"/>
  <c r="F39" i="59"/>
  <c r="G39" i="59"/>
  <c r="H39" i="59"/>
  <c r="I39" i="59"/>
  <c r="J39" i="59"/>
  <c r="K39" i="59"/>
  <c r="L39" i="59"/>
  <c r="M39" i="59"/>
  <c r="N39" i="59"/>
  <c r="T39" i="59"/>
  <c r="U39" i="59"/>
  <c r="V39" i="59"/>
  <c r="X39" i="59"/>
  <c r="Y39" i="59"/>
  <c r="Z39" i="59"/>
  <c r="AA39" i="59"/>
  <c r="AB39" i="59"/>
  <c r="AC39" i="59"/>
  <c r="AD39" i="59"/>
  <c r="AE39" i="59"/>
  <c r="AF39" i="59"/>
  <c r="AG39" i="59"/>
  <c r="AH39" i="59"/>
  <c r="AN39" i="59"/>
  <c r="AO39" i="59"/>
  <c r="AP39" i="59"/>
  <c r="AR39" i="59"/>
  <c r="AS39" i="59"/>
  <c r="AT39" i="59"/>
  <c r="AU39" i="59"/>
  <c r="AV39" i="59"/>
  <c r="AW39" i="59"/>
  <c r="AX39" i="59"/>
  <c r="AY39" i="59"/>
  <c r="AZ39" i="59"/>
  <c r="BA39" i="59"/>
  <c r="BB39" i="59"/>
  <c r="BH39" i="59"/>
  <c r="BI39" i="59"/>
  <c r="BJ39" i="59"/>
  <c r="BL39" i="59"/>
  <c r="BM39" i="59"/>
  <c r="BN39" i="59"/>
  <c r="BO39" i="59"/>
  <c r="BP39" i="59"/>
  <c r="BQ39" i="59"/>
  <c r="BR39" i="59"/>
  <c r="BS39" i="59"/>
  <c r="BT39" i="59"/>
  <c r="BU39" i="59"/>
  <c r="BV39" i="59"/>
  <c r="CB39" i="59"/>
  <c r="CC39" i="59"/>
  <c r="CD39" i="59"/>
  <c r="CE39" i="59"/>
  <c r="CF39" i="59"/>
  <c r="CG39" i="59"/>
  <c r="CH39" i="59"/>
  <c r="CI39" i="59"/>
  <c r="CJ39" i="59"/>
  <c r="CK39" i="59"/>
  <c r="CL39" i="59"/>
  <c r="CV39" i="59"/>
  <c r="CW39" i="59"/>
  <c r="CX39" i="59"/>
  <c r="CZ39" i="59"/>
  <c r="DA39" i="59"/>
  <c r="DB39" i="59"/>
  <c r="DC39" i="59"/>
  <c r="DD39" i="59"/>
  <c r="DE39" i="59"/>
  <c r="DF39" i="59"/>
  <c r="DG39" i="59"/>
  <c r="DH39" i="59"/>
  <c r="DI39" i="59"/>
  <c r="DJ39" i="59"/>
  <c r="DP39" i="59"/>
  <c r="DQ39" i="59"/>
  <c r="DR39" i="59"/>
  <c r="DT39" i="59"/>
  <c r="DU39" i="59"/>
  <c r="DV39" i="59"/>
  <c r="DW39" i="59"/>
  <c r="DX39" i="59"/>
  <c r="DY39" i="59"/>
  <c r="DZ39" i="59"/>
  <c r="EA39" i="59"/>
  <c r="EB39" i="59"/>
  <c r="EC39" i="59"/>
  <c r="ED39" i="59"/>
  <c r="EJ39" i="59"/>
  <c r="EK39" i="59"/>
  <c r="EL39" i="59"/>
  <c r="EN39" i="59"/>
  <c r="EO39" i="59"/>
  <c r="EP39" i="59"/>
  <c r="EQ39" i="59"/>
  <c r="ER39" i="59"/>
  <c r="ES39" i="59"/>
  <c r="ET39" i="59"/>
  <c r="EU39" i="59"/>
  <c r="EV39" i="59"/>
  <c r="EW39" i="59"/>
  <c r="EX39" i="59"/>
  <c r="FD39" i="59"/>
  <c r="FE39" i="59"/>
  <c r="FF39" i="59"/>
  <c r="FH39" i="59"/>
  <c r="FI39" i="59"/>
  <c r="FJ39" i="59"/>
  <c r="FK39" i="59"/>
  <c r="FL39" i="59"/>
  <c r="FM39" i="59"/>
  <c r="FN39" i="59"/>
  <c r="FO39" i="59"/>
  <c r="FP39" i="59"/>
  <c r="FQ39" i="59"/>
  <c r="FR39" i="59"/>
  <c r="FX39" i="59"/>
  <c r="FY39" i="59"/>
  <c r="FZ39" i="59"/>
  <c r="GB39" i="59"/>
  <c r="GC39" i="59"/>
  <c r="GD39" i="59"/>
  <c r="GE39" i="59"/>
  <c r="GF39" i="59"/>
  <c r="GG39" i="59"/>
  <c r="GH39" i="59"/>
  <c r="GI39" i="59"/>
  <c r="GJ39" i="59"/>
  <c r="GK39" i="59"/>
  <c r="GL39" i="59"/>
  <c r="GR39" i="59"/>
  <c r="GS39" i="59"/>
  <c r="GT39" i="59"/>
  <c r="GV39" i="59"/>
  <c r="GW39" i="59"/>
  <c r="GX39" i="59"/>
  <c r="GY39" i="59"/>
  <c r="GZ39" i="59"/>
  <c r="HA39" i="59"/>
  <c r="HB39" i="59"/>
  <c r="HC39" i="59"/>
  <c r="HD39" i="59"/>
  <c r="HE39" i="59"/>
  <c r="HF39" i="59"/>
  <c r="HL39" i="59"/>
  <c r="HM39" i="59"/>
  <c r="HN39" i="59"/>
  <c r="HP39" i="59"/>
  <c r="HQ39" i="59"/>
  <c r="HR39" i="59"/>
  <c r="HS39" i="59"/>
  <c r="HT39" i="59"/>
  <c r="HU39" i="59"/>
  <c r="HV39" i="59"/>
  <c r="HW39" i="59"/>
  <c r="HX39" i="59"/>
  <c r="HY39" i="59"/>
  <c r="HZ39" i="59"/>
  <c r="IF39" i="59"/>
  <c r="IG39" i="59"/>
  <c r="IH39" i="59"/>
  <c r="IJ39" i="59"/>
  <c r="IK39" i="59"/>
  <c r="IL39" i="59"/>
  <c r="IM39" i="59"/>
  <c r="IN39" i="59"/>
  <c r="IO39" i="59"/>
  <c r="IP39" i="59"/>
  <c r="IQ39" i="59"/>
  <c r="IR39" i="59"/>
  <c r="IS39" i="59"/>
  <c r="IT39" i="59"/>
  <c r="I40" i="59"/>
  <c r="J40" i="59"/>
  <c r="K40" i="59"/>
  <c r="M40" i="59"/>
  <c r="N40" i="59"/>
  <c r="O40" i="59"/>
  <c r="P40" i="59"/>
  <c r="Q40" i="59"/>
  <c r="R40" i="59"/>
  <c r="S40" i="59"/>
  <c r="T40" i="59"/>
  <c r="U40" i="59"/>
  <c r="V40" i="59"/>
  <c r="W40" i="59"/>
  <c r="AC40" i="59"/>
  <c r="AD40" i="59"/>
  <c r="AE40" i="59"/>
  <c r="AG40" i="59"/>
  <c r="AH40" i="59"/>
  <c r="AI40" i="59"/>
  <c r="AJ40" i="59"/>
  <c r="AK40" i="59"/>
  <c r="AL40" i="59"/>
  <c r="AM40" i="59"/>
  <c r="AN40" i="59"/>
  <c r="AO40" i="59"/>
  <c r="AP40" i="59"/>
  <c r="AQ40" i="59"/>
  <c r="AW40" i="59"/>
  <c r="AX40" i="59"/>
  <c r="AY40" i="59"/>
  <c r="BA40" i="59"/>
  <c r="BB40" i="59"/>
  <c r="BC40" i="59"/>
  <c r="BD40" i="59"/>
  <c r="BE40" i="59"/>
  <c r="BF40" i="59"/>
  <c r="BG40" i="59"/>
  <c r="BH40" i="59"/>
  <c r="BI40" i="59"/>
  <c r="BJ40" i="59"/>
  <c r="BK40" i="59"/>
  <c r="BQ40" i="59"/>
  <c r="BR40" i="59"/>
  <c r="BS40" i="59"/>
  <c r="BU40" i="59"/>
  <c r="BV40" i="59"/>
  <c r="BW40" i="59"/>
  <c r="BX40" i="59"/>
  <c r="BY40" i="59"/>
  <c r="BZ40" i="59"/>
  <c r="CA40" i="59"/>
  <c r="CB40" i="59"/>
  <c r="CC40" i="59"/>
  <c r="CD40" i="59"/>
  <c r="CE40" i="59"/>
  <c r="CK40" i="59"/>
  <c r="CL40" i="59"/>
  <c r="CM40" i="59"/>
  <c r="CO40" i="59"/>
  <c r="CP40" i="59"/>
  <c r="CQ40" i="59"/>
  <c r="CR40" i="59"/>
  <c r="CS40" i="59"/>
  <c r="CT40" i="59"/>
  <c r="CU40" i="59"/>
  <c r="CV40" i="59"/>
  <c r="CW40" i="59"/>
  <c r="CX40" i="59"/>
  <c r="CY40" i="59"/>
  <c r="DE40" i="59"/>
  <c r="DF40" i="59"/>
  <c r="DG40" i="59"/>
  <c r="DI40" i="59"/>
  <c r="DJ40" i="59"/>
  <c r="DK40" i="59"/>
  <c r="DL40" i="59"/>
  <c r="DM40" i="59"/>
  <c r="DN40" i="59"/>
  <c r="DO40" i="59"/>
  <c r="DP40" i="59"/>
  <c r="DQ40" i="59"/>
  <c r="DR40" i="59"/>
  <c r="DS40" i="59"/>
  <c r="DY40" i="59"/>
  <c r="DZ40" i="59"/>
  <c r="EA40" i="59"/>
  <c r="EC40" i="59"/>
  <c r="ED40" i="59"/>
  <c r="EE40" i="59"/>
  <c r="EF40" i="59"/>
  <c r="EG40" i="59"/>
  <c r="EH40" i="59"/>
  <c r="EI40" i="59"/>
  <c r="EJ40" i="59"/>
  <c r="EK40" i="59"/>
  <c r="EL40" i="59"/>
  <c r="EM40" i="59"/>
  <c r="ES40" i="59"/>
  <c r="ET40" i="59"/>
  <c r="EU40" i="59"/>
  <c r="EW40" i="59"/>
  <c r="EX40" i="59"/>
  <c r="EY40" i="59"/>
  <c r="EZ40" i="59"/>
  <c r="FA40" i="59"/>
  <c r="FB40" i="59"/>
  <c r="FC40" i="59"/>
  <c r="FD40" i="59"/>
  <c r="FE40" i="59"/>
  <c r="FF40" i="59"/>
  <c r="FG40" i="59"/>
  <c r="FM40" i="59"/>
  <c r="FN40" i="59"/>
  <c r="FO40" i="59"/>
  <c r="FQ40" i="59"/>
  <c r="FR40" i="59"/>
  <c r="FS40" i="59"/>
  <c r="FT40" i="59"/>
  <c r="FU40" i="59"/>
  <c r="FV40" i="59"/>
  <c r="FW40" i="59"/>
  <c r="FX40" i="59"/>
  <c r="FY40" i="59"/>
  <c r="FZ40" i="59"/>
  <c r="GA40" i="59"/>
  <c r="GG40" i="59"/>
  <c r="GH40" i="59"/>
  <c r="GI40" i="59"/>
  <c r="GK40" i="59"/>
  <c r="GL40" i="59"/>
  <c r="GM40" i="59"/>
  <c r="GN40" i="59"/>
  <c r="GO40" i="59"/>
  <c r="GP40" i="59"/>
  <c r="GQ40" i="59"/>
  <c r="GR40" i="59"/>
  <c r="GS40" i="59"/>
  <c r="GT40" i="59"/>
  <c r="GU40" i="59"/>
  <c r="HA40" i="59"/>
  <c r="HB40" i="59"/>
  <c r="HC40" i="59"/>
  <c r="HE40" i="59"/>
  <c r="HF40" i="59"/>
  <c r="HG40" i="59"/>
  <c r="HH40" i="59"/>
  <c r="HI40" i="59"/>
  <c r="HJ40" i="59"/>
  <c r="HK40" i="59"/>
  <c r="HL40" i="59"/>
  <c r="HM40" i="59"/>
  <c r="HN40" i="59"/>
  <c r="HO40" i="59"/>
  <c r="HU40" i="59"/>
  <c r="HV40" i="59"/>
  <c r="HW40" i="59"/>
  <c r="HY40" i="59"/>
  <c r="HZ40" i="59"/>
  <c r="IA40" i="59"/>
  <c r="IB40" i="59"/>
  <c r="IC40" i="59"/>
  <c r="ID40" i="59"/>
  <c r="IE40" i="59"/>
  <c r="IF40" i="59"/>
  <c r="IG40" i="59"/>
  <c r="IH40" i="59"/>
  <c r="II40" i="59"/>
  <c r="IO40" i="59"/>
  <c r="IP40" i="59"/>
  <c r="IQ40" i="59"/>
  <c r="IR40" i="59"/>
  <c r="IS40" i="59"/>
  <c r="IT40" i="59"/>
  <c r="IU40" i="59"/>
  <c r="IV40" i="59"/>
  <c r="F41" i="59"/>
  <c r="G41" i="59"/>
  <c r="H41" i="59"/>
  <c r="R41" i="59"/>
  <c r="S41" i="59"/>
  <c r="T41" i="59"/>
  <c r="V41" i="59"/>
  <c r="W41" i="59"/>
  <c r="X41" i="59"/>
  <c r="Y41" i="59"/>
  <c r="Z41" i="59"/>
  <c r="AA41" i="59"/>
  <c r="AB41" i="59"/>
  <c r="AC41" i="59"/>
  <c r="AD41" i="59"/>
  <c r="AE41" i="59"/>
  <c r="AF41" i="59"/>
  <c r="AL41" i="59"/>
  <c r="AM41" i="59"/>
  <c r="AN41" i="59"/>
  <c r="AP41" i="59"/>
  <c r="AQ41" i="59"/>
  <c r="AR41" i="59"/>
  <c r="AS41" i="59"/>
  <c r="AT41" i="59"/>
  <c r="AU41" i="59"/>
  <c r="AV41" i="59"/>
  <c r="AW41" i="59"/>
  <c r="AX41" i="59"/>
  <c r="AY41" i="59"/>
  <c r="AZ41" i="59"/>
  <c r="BF41" i="59"/>
  <c r="BG41" i="59"/>
  <c r="BH41" i="59"/>
  <c r="BJ41" i="59"/>
  <c r="BK41" i="59"/>
  <c r="BL41" i="59"/>
  <c r="BM41" i="59"/>
  <c r="BN41" i="59"/>
  <c r="BO41" i="59"/>
  <c r="BP41" i="59"/>
  <c r="BQ41" i="59"/>
  <c r="BR41" i="59"/>
  <c r="BS41" i="59"/>
  <c r="BT41" i="59"/>
  <c r="BZ41" i="59"/>
  <c r="CA41" i="59"/>
  <c r="CB41" i="59"/>
  <c r="CD41" i="59"/>
  <c r="CE41" i="59"/>
  <c r="CF41" i="59"/>
  <c r="CG41" i="59"/>
  <c r="CH41" i="59"/>
  <c r="CI41" i="59"/>
  <c r="CJ41" i="59"/>
  <c r="CK41" i="59"/>
  <c r="CL41" i="59"/>
  <c r="CM41" i="59"/>
  <c r="CN41" i="59"/>
  <c r="CT41" i="59"/>
  <c r="CU41" i="59"/>
  <c r="CV41" i="59"/>
  <c r="CX41" i="59"/>
  <c r="CY41" i="59"/>
  <c r="CZ41" i="59"/>
  <c r="DA41" i="59"/>
  <c r="DB41" i="59"/>
  <c r="DC41" i="59"/>
  <c r="DD41" i="59"/>
  <c r="DE41" i="59"/>
  <c r="DF41" i="59"/>
  <c r="DG41" i="59"/>
  <c r="DH41" i="59"/>
  <c r="DN41" i="59"/>
  <c r="DO41" i="59"/>
  <c r="DP41" i="59"/>
  <c r="DR41" i="59"/>
  <c r="DS41" i="59"/>
  <c r="DT41" i="59"/>
  <c r="DU41" i="59"/>
  <c r="DV41" i="59"/>
  <c r="DW41" i="59"/>
  <c r="DX41" i="59"/>
  <c r="DY41" i="59"/>
  <c r="DZ41" i="59"/>
  <c r="EA41" i="59"/>
  <c r="EB41" i="59"/>
  <c r="EH41" i="59"/>
  <c r="EI41" i="59"/>
  <c r="EJ41" i="59"/>
  <c r="EL41" i="59"/>
  <c r="EM41" i="59"/>
  <c r="EN41" i="59"/>
  <c r="EO41" i="59"/>
  <c r="EP41" i="59"/>
  <c r="EQ41" i="59"/>
  <c r="ER41" i="59"/>
  <c r="ES41" i="59"/>
  <c r="ET41" i="59"/>
  <c r="EU41" i="59"/>
  <c r="EV41" i="59"/>
  <c r="FB41" i="59"/>
  <c r="FC41" i="59"/>
  <c r="FD41" i="59"/>
  <c r="FF41" i="59"/>
  <c r="FG41" i="59"/>
  <c r="FH41" i="59"/>
  <c r="FI41" i="59"/>
  <c r="FJ41" i="59"/>
  <c r="FK41" i="59"/>
  <c r="FL41" i="59"/>
  <c r="FM41" i="59"/>
  <c r="FN41" i="59"/>
  <c r="FO41" i="59"/>
  <c r="FP41" i="59"/>
  <c r="FV41" i="59"/>
  <c r="FW41" i="59"/>
  <c r="FX41" i="59"/>
  <c r="FZ41" i="59"/>
  <c r="GA41" i="59"/>
  <c r="GB41" i="59"/>
  <c r="GC41" i="59"/>
  <c r="GD41" i="59"/>
  <c r="GE41" i="59"/>
  <c r="GF41" i="59"/>
  <c r="GG41" i="59"/>
  <c r="GH41" i="59"/>
  <c r="GI41" i="59"/>
  <c r="GJ41" i="59"/>
  <c r="GP41" i="59"/>
  <c r="GQ41" i="59"/>
  <c r="GR41" i="59"/>
  <c r="GT41" i="59"/>
  <c r="GU41" i="59"/>
  <c r="GV41" i="59"/>
  <c r="GW41" i="59"/>
  <c r="GX41" i="59"/>
  <c r="GY41" i="59"/>
  <c r="GZ41" i="59"/>
  <c r="HA41" i="59"/>
  <c r="HB41" i="59"/>
  <c r="HC41" i="59"/>
  <c r="HD41" i="59"/>
  <c r="HJ41" i="59"/>
  <c r="HK41" i="59"/>
  <c r="HL41" i="59"/>
  <c r="HN41" i="59"/>
  <c r="HO41" i="59"/>
  <c r="HP41" i="59"/>
  <c r="HQ41" i="59"/>
  <c r="HR41" i="59"/>
  <c r="HS41" i="59"/>
  <c r="HT41" i="59"/>
  <c r="HU41" i="59"/>
  <c r="HV41" i="59"/>
  <c r="HW41" i="59"/>
  <c r="HX41" i="59"/>
  <c r="ID41" i="59"/>
  <c r="IE41" i="59"/>
  <c r="IF41" i="59"/>
  <c r="IH41" i="59"/>
  <c r="II41" i="59"/>
  <c r="IJ41" i="59"/>
  <c r="IK41" i="59"/>
  <c r="IL41" i="59"/>
  <c r="IM41" i="59"/>
  <c r="IN41" i="59"/>
  <c r="IO41" i="59"/>
  <c r="IP41" i="59"/>
  <c r="IQ41" i="59"/>
  <c r="IR41" i="59"/>
  <c r="G42" i="59"/>
  <c r="H42" i="59"/>
  <c r="I42" i="59"/>
  <c r="K42" i="59"/>
  <c r="L42" i="59"/>
  <c r="M42" i="59"/>
  <c r="N42" i="59"/>
  <c r="O42" i="59"/>
  <c r="P42" i="59"/>
  <c r="Q42" i="59"/>
  <c r="R42" i="59"/>
  <c r="S42" i="59"/>
  <c r="T42" i="59"/>
  <c r="U42" i="59"/>
  <c r="AA42" i="59"/>
  <c r="AB42" i="59"/>
  <c r="AC42" i="59"/>
  <c r="AE42" i="59"/>
  <c r="AF42" i="59"/>
  <c r="AG42" i="59"/>
  <c r="AH42" i="59"/>
  <c r="AI42" i="59"/>
  <c r="AJ42" i="59"/>
  <c r="AK42" i="59"/>
  <c r="AL42" i="59"/>
  <c r="AM42" i="59"/>
  <c r="AN42" i="59"/>
  <c r="AO42" i="59"/>
  <c r="AU42" i="59"/>
  <c r="AV42" i="59"/>
  <c r="AW42" i="59"/>
  <c r="AY42" i="59"/>
  <c r="AZ42" i="59"/>
  <c r="BA42" i="59"/>
  <c r="BB42" i="59"/>
  <c r="BC42" i="59"/>
  <c r="BD42" i="59"/>
  <c r="BE42" i="59"/>
  <c r="BF42" i="59"/>
  <c r="BG42" i="59"/>
  <c r="BH42" i="59"/>
  <c r="BI42" i="59"/>
  <c r="BO42" i="59"/>
  <c r="BP42" i="59"/>
  <c r="BQ42" i="59"/>
  <c r="BS42" i="59"/>
  <c r="BT42" i="59"/>
  <c r="BU42" i="59"/>
  <c r="BV42" i="59"/>
  <c r="BW42" i="59"/>
  <c r="BX42" i="59"/>
  <c r="BY42" i="59"/>
  <c r="BZ42" i="59"/>
  <c r="CA42" i="59"/>
  <c r="CB42" i="59"/>
  <c r="CC42" i="59"/>
  <c r="CI42" i="59"/>
  <c r="CJ42" i="59"/>
  <c r="CK42" i="59"/>
  <c r="CM42" i="59"/>
  <c r="CN42" i="59"/>
  <c r="CO42" i="59"/>
  <c r="CP42" i="59"/>
  <c r="CQ42" i="59"/>
  <c r="CR42" i="59"/>
  <c r="CS42" i="59"/>
  <c r="CT42" i="59"/>
  <c r="CU42" i="59"/>
  <c r="CV42" i="59"/>
  <c r="CW42" i="59"/>
  <c r="DC42" i="59"/>
  <c r="DD42" i="59"/>
  <c r="DE42" i="59"/>
  <c r="DG42" i="59"/>
  <c r="DH42" i="59"/>
  <c r="DI42" i="59"/>
  <c r="DJ42" i="59"/>
  <c r="DK42" i="59"/>
  <c r="DL42" i="59"/>
  <c r="DM42" i="59"/>
  <c r="DN42" i="59"/>
  <c r="DO42" i="59"/>
  <c r="DP42" i="59"/>
  <c r="DQ42" i="59"/>
  <c r="DW42" i="59"/>
  <c r="DX42" i="59"/>
  <c r="DY42" i="59"/>
  <c r="EA42" i="59"/>
  <c r="EB42" i="59"/>
  <c r="EC42" i="59"/>
  <c r="ED42" i="59"/>
  <c r="EE42" i="59"/>
  <c r="EF42" i="59"/>
  <c r="EG42" i="59"/>
  <c r="EH42" i="59"/>
  <c r="EI42" i="59"/>
  <c r="EJ42" i="59"/>
  <c r="EK42" i="59"/>
  <c r="EQ42" i="59"/>
  <c r="ER42" i="59"/>
  <c r="ES42" i="59"/>
  <c r="EU42" i="59"/>
  <c r="EV42" i="59"/>
  <c r="EW42" i="59"/>
  <c r="EX42" i="59"/>
  <c r="EY42" i="59"/>
  <c r="EZ42" i="59"/>
  <c r="FA42" i="59"/>
  <c r="FB42" i="59"/>
  <c r="FC42" i="59"/>
  <c r="FD42" i="59"/>
  <c r="FE42" i="59"/>
  <c r="FK42" i="59"/>
  <c r="FL42" i="59"/>
  <c r="FM42" i="59"/>
  <c r="FN42" i="59"/>
  <c r="FO42" i="59"/>
  <c r="FP42" i="59"/>
  <c r="FQ42" i="59"/>
  <c r="FR42" i="59"/>
  <c r="FS42" i="59"/>
  <c r="FT42" i="59"/>
  <c r="FU42" i="59"/>
  <c r="GE42" i="59"/>
  <c r="GF42" i="59"/>
  <c r="GG42" i="59"/>
  <c r="GI42" i="59"/>
  <c r="GJ42" i="59"/>
  <c r="GK42" i="59"/>
  <c r="GL42" i="59"/>
  <c r="GM42" i="59"/>
  <c r="GN42" i="59"/>
  <c r="GO42" i="59"/>
  <c r="GP42" i="59"/>
  <c r="GQ42" i="59"/>
  <c r="GR42" i="59"/>
  <c r="GS42" i="59"/>
  <c r="GY42" i="59"/>
  <c r="GZ42" i="59"/>
  <c r="HA42" i="59"/>
  <c r="HC42" i="59"/>
  <c r="HD42" i="59"/>
  <c r="HE42" i="59"/>
  <c r="HF42" i="59"/>
  <c r="HG42" i="59"/>
  <c r="HH42" i="59"/>
  <c r="HI42" i="59"/>
  <c r="HJ42" i="59"/>
  <c r="HK42" i="59"/>
  <c r="HL42" i="59"/>
  <c r="HM42" i="59"/>
  <c r="HS42" i="59"/>
  <c r="HT42" i="59"/>
  <c r="HU42" i="59"/>
  <c r="HW42" i="59"/>
  <c r="HX42" i="59"/>
  <c r="HY42" i="59"/>
  <c r="HZ42" i="59"/>
  <c r="IA42" i="59"/>
  <c r="IB42" i="59"/>
  <c r="IC42" i="59"/>
  <c r="ID42" i="59"/>
  <c r="IE42" i="59"/>
  <c r="IF42" i="59"/>
  <c r="IG42" i="59"/>
  <c r="IM42" i="59"/>
  <c r="IN42" i="59"/>
  <c r="IO42" i="59"/>
  <c r="IQ42" i="59"/>
  <c r="IR42" i="59"/>
  <c r="IS42" i="59"/>
  <c r="IT42" i="59"/>
  <c r="IU42" i="59"/>
  <c r="IV42" i="59"/>
  <c r="F43" i="59"/>
  <c r="G43" i="59"/>
  <c r="H43" i="59"/>
  <c r="I43" i="59"/>
  <c r="J43" i="59"/>
  <c r="P43" i="59"/>
  <c r="Q43" i="59"/>
  <c r="R43" i="59"/>
  <c r="T43" i="59"/>
  <c r="U43" i="59"/>
  <c r="V43" i="59"/>
  <c r="W43" i="59"/>
  <c r="X43" i="59"/>
  <c r="Y43" i="59"/>
  <c r="Z43" i="59"/>
  <c r="AA43" i="59"/>
  <c r="AB43" i="59"/>
  <c r="AC43" i="59"/>
  <c r="AD43" i="59"/>
  <c r="AJ43" i="59"/>
  <c r="AK43" i="59"/>
  <c r="AL43" i="59"/>
  <c r="AN43" i="59"/>
  <c r="AO43" i="59"/>
  <c r="AP43" i="59"/>
  <c r="AQ43" i="59"/>
  <c r="AR43" i="59"/>
  <c r="AS43" i="59"/>
  <c r="AT43" i="59"/>
  <c r="AU43" i="59"/>
  <c r="AV43" i="59"/>
  <c r="AW43" i="59"/>
  <c r="AX43" i="59"/>
  <c r="BD43" i="59"/>
  <c r="BE43" i="59"/>
  <c r="BF43" i="59"/>
  <c r="BH43" i="59"/>
  <c r="BI43" i="59"/>
  <c r="BJ43" i="59"/>
  <c r="BK43" i="59"/>
  <c r="BL43" i="59"/>
  <c r="BM43" i="59"/>
  <c r="BN43" i="59"/>
  <c r="BO43" i="59"/>
  <c r="BP43" i="59"/>
  <c r="BQ43" i="59"/>
  <c r="BR43" i="59"/>
  <c r="BX43" i="59"/>
  <c r="BY43" i="59"/>
  <c r="BZ43" i="59"/>
  <c r="CB43" i="59"/>
  <c r="CC43" i="59"/>
  <c r="CD43" i="59"/>
  <c r="CE43" i="59"/>
  <c r="CF43" i="59"/>
  <c r="CG43" i="59"/>
  <c r="CH43" i="59"/>
  <c r="CI43" i="59"/>
  <c r="CJ43" i="59"/>
  <c r="CK43" i="59"/>
  <c r="CL43" i="59"/>
  <c r="CR43" i="59"/>
  <c r="CS43" i="59"/>
  <c r="CT43" i="59"/>
  <c r="CV43" i="59"/>
  <c r="CW43" i="59"/>
  <c r="CX43" i="59"/>
  <c r="CY43" i="59"/>
  <c r="CZ43" i="59"/>
  <c r="DA43" i="59"/>
  <c r="DB43" i="59"/>
  <c r="DC43" i="59"/>
  <c r="DD43" i="59"/>
  <c r="DE43" i="59"/>
  <c r="DF43" i="59"/>
  <c r="DL43" i="59"/>
  <c r="DM43" i="59"/>
  <c r="DN43" i="59"/>
  <c r="DP43" i="59"/>
  <c r="DQ43" i="59"/>
  <c r="DR43" i="59"/>
  <c r="DS43" i="59"/>
  <c r="DT43" i="59"/>
  <c r="DU43" i="59"/>
  <c r="DV43" i="59"/>
  <c r="DW43" i="59"/>
  <c r="DX43" i="59"/>
  <c r="DY43" i="59"/>
  <c r="DZ43" i="59"/>
  <c r="EF43" i="59"/>
  <c r="EG43" i="59"/>
  <c r="EH43" i="59"/>
  <c r="EJ43" i="59"/>
  <c r="EK43" i="59"/>
  <c r="EL43" i="59"/>
  <c r="EM43" i="59"/>
  <c r="EN43" i="59"/>
  <c r="EO43" i="59"/>
  <c r="EP43" i="59"/>
  <c r="EQ43" i="59"/>
  <c r="ER43" i="59"/>
  <c r="ES43" i="59"/>
  <c r="ET43" i="59"/>
  <c r="EZ43" i="59"/>
  <c r="FA43" i="59"/>
  <c r="FB43" i="59"/>
  <c r="FD43" i="59"/>
  <c r="FE43" i="59"/>
  <c r="FF43" i="59"/>
  <c r="FG43" i="59"/>
  <c r="FH43" i="59"/>
  <c r="FI43" i="59"/>
  <c r="FJ43" i="59"/>
  <c r="FK43" i="59"/>
  <c r="FL43" i="59"/>
  <c r="FM43" i="59"/>
  <c r="FN43" i="59"/>
  <c r="FT43" i="59"/>
  <c r="FU43" i="59"/>
  <c r="FV43" i="59"/>
  <c r="FX43" i="59"/>
  <c r="FY43" i="59"/>
  <c r="FZ43" i="59"/>
  <c r="GA43" i="59"/>
  <c r="GB43" i="59"/>
  <c r="GC43" i="59"/>
  <c r="GD43" i="59"/>
  <c r="GE43" i="59"/>
  <c r="GF43" i="59"/>
  <c r="GG43" i="59"/>
  <c r="GH43" i="59"/>
  <c r="GN43" i="59"/>
  <c r="GO43" i="59"/>
  <c r="GP43" i="59"/>
  <c r="GR43" i="59"/>
  <c r="GS43" i="59"/>
  <c r="GT43" i="59"/>
  <c r="GU43" i="59"/>
  <c r="GV43" i="59"/>
  <c r="GW43" i="59"/>
  <c r="GX43" i="59"/>
  <c r="GY43" i="59"/>
  <c r="GZ43" i="59"/>
  <c r="HA43" i="59"/>
  <c r="HB43" i="59"/>
  <c r="HH43" i="59"/>
  <c r="HI43" i="59"/>
  <c r="HJ43" i="59"/>
  <c r="HL43" i="59"/>
  <c r="HM43" i="59"/>
  <c r="HN43" i="59"/>
  <c r="HO43" i="59"/>
  <c r="HP43" i="59"/>
  <c r="HQ43" i="59"/>
  <c r="HR43" i="59"/>
  <c r="HS43" i="59"/>
  <c r="HT43" i="59"/>
  <c r="HU43" i="59"/>
  <c r="HV43" i="59"/>
  <c r="IB43" i="59"/>
  <c r="IC43" i="59"/>
  <c r="ID43" i="59"/>
  <c r="IF43" i="59"/>
  <c r="IG43" i="59"/>
  <c r="IH43" i="59"/>
  <c r="II43" i="59"/>
  <c r="IJ43" i="59"/>
  <c r="IK43" i="59"/>
  <c r="IL43" i="59"/>
  <c r="IM43" i="59"/>
  <c r="IN43" i="59"/>
  <c r="IO43" i="59"/>
  <c r="IP43" i="59"/>
  <c r="IV43" i="59"/>
  <c r="F44" i="59"/>
  <c r="G44" i="59"/>
  <c r="I44" i="59"/>
  <c r="J44" i="59"/>
  <c r="K44" i="59"/>
  <c r="L44" i="59"/>
  <c r="M44" i="59"/>
  <c r="N44" i="59"/>
  <c r="O44" i="59"/>
  <c r="P44" i="59"/>
  <c r="Q44" i="59"/>
  <c r="R44" i="59"/>
  <c r="S44" i="59"/>
  <c r="Y44" i="59"/>
  <c r="Z44" i="59"/>
  <c r="AA44" i="59"/>
  <c r="AC44" i="59"/>
  <c r="AD44" i="59"/>
  <c r="AE44" i="59"/>
  <c r="AF44" i="59"/>
  <c r="AG44" i="59"/>
  <c r="AH44" i="59"/>
  <c r="AI44" i="59"/>
  <c r="AJ44" i="59"/>
  <c r="AK44" i="59"/>
  <c r="AL44" i="59"/>
  <c r="AM44" i="59"/>
  <c r="AS44" i="59"/>
  <c r="AT44" i="59"/>
  <c r="AU44" i="59"/>
  <c r="AW44" i="59"/>
  <c r="AX44" i="59"/>
  <c r="AY44" i="59"/>
  <c r="AZ44" i="59"/>
  <c r="BA44" i="59"/>
  <c r="BB44" i="59"/>
  <c r="BC44" i="59"/>
  <c r="BD44" i="59"/>
  <c r="BE44" i="59"/>
  <c r="BF44" i="59"/>
  <c r="BG44" i="59"/>
  <c r="BM44" i="59"/>
  <c r="BN44" i="59"/>
  <c r="BO44" i="59"/>
  <c r="BQ44" i="59"/>
  <c r="BR44" i="59"/>
  <c r="BS44" i="59"/>
  <c r="BT44" i="59"/>
  <c r="BU44" i="59"/>
  <c r="BV44" i="59"/>
  <c r="BW44" i="59"/>
  <c r="BX44" i="59"/>
  <c r="BY44" i="59"/>
  <c r="BZ44" i="59"/>
  <c r="CA44" i="59"/>
  <c r="CG44" i="59"/>
  <c r="CH44" i="59"/>
  <c r="CI44" i="59"/>
  <c r="CJ44" i="59"/>
  <c r="CK44" i="59"/>
  <c r="CL44" i="59"/>
  <c r="CM44" i="59"/>
  <c r="CN44" i="59"/>
  <c r="CO44" i="59"/>
  <c r="CP44" i="59"/>
  <c r="CQ44" i="59"/>
  <c r="DA44" i="59"/>
  <c r="DB44" i="59"/>
  <c r="DC44" i="59"/>
  <c r="DE44" i="59"/>
  <c r="DF44" i="59"/>
  <c r="DG44" i="59"/>
  <c r="DH44" i="59"/>
  <c r="DI44" i="59"/>
  <c r="DJ44" i="59"/>
  <c r="DK44" i="59"/>
  <c r="DL44" i="59"/>
  <c r="DM44" i="59"/>
  <c r="DN44" i="59"/>
  <c r="DO44" i="59"/>
  <c r="DU44" i="59"/>
  <c r="DV44" i="59"/>
  <c r="DW44" i="59"/>
  <c r="DY44" i="59"/>
  <c r="DZ44" i="59"/>
  <c r="EA44" i="59"/>
  <c r="EB44" i="59"/>
  <c r="EC44" i="59"/>
  <c r="ED44" i="59"/>
  <c r="EE44" i="59"/>
  <c r="EF44" i="59"/>
  <c r="EG44" i="59"/>
  <c r="EH44" i="59"/>
  <c r="EI44" i="59"/>
  <c r="EO44" i="59"/>
  <c r="EP44" i="59"/>
  <c r="EQ44" i="59"/>
  <c r="ES44" i="59"/>
  <c r="ET44" i="59"/>
  <c r="EU44" i="59"/>
  <c r="EV44" i="59"/>
  <c r="EW44" i="59"/>
  <c r="EX44" i="59"/>
  <c r="EY44" i="59"/>
  <c r="EZ44" i="59"/>
  <c r="FA44" i="59"/>
  <c r="FB44" i="59"/>
  <c r="FC44" i="59"/>
  <c r="FI44" i="59"/>
  <c r="FJ44" i="59"/>
  <c r="FK44" i="59"/>
  <c r="FM44" i="59"/>
  <c r="FN44" i="59"/>
  <c r="FO44" i="59"/>
  <c r="FP44" i="59"/>
  <c r="FQ44" i="59"/>
  <c r="FR44" i="59"/>
  <c r="FS44" i="59"/>
  <c r="FT44" i="59"/>
  <c r="FU44" i="59"/>
  <c r="FV44" i="59"/>
  <c r="FW44" i="59"/>
  <c r="GC44" i="59"/>
  <c r="GD44" i="59"/>
  <c r="GE44" i="59"/>
  <c r="GG44" i="59"/>
  <c r="GH44" i="59"/>
  <c r="GI44" i="59"/>
  <c r="GJ44" i="59"/>
  <c r="GK44" i="59"/>
  <c r="GL44" i="59"/>
  <c r="GM44" i="59"/>
  <c r="GN44" i="59"/>
  <c r="GO44" i="59"/>
  <c r="GP44" i="59"/>
  <c r="GQ44" i="59"/>
  <c r="GW44" i="59"/>
  <c r="GX44" i="59"/>
  <c r="GY44" i="59"/>
  <c r="HA44" i="59"/>
  <c r="HB44" i="59"/>
  <c r="HC44" i="59"/>
  <c r="HD44" i="59"/>
  <c r="HE44" i="59"/>
  <c r="HF44" i="59"/>
  <c r="HG44" i="59"/>
  <c r="HH44" i="59"/>
  <c r="HI44" i="59"/>
  <c r="HJ44" i="59"/>
  <c r="HK44" i="59"/>
  <c r="HQ44" i="59"/>
  <c r="HR44" i="59"/>
  <c r="HS44" i="59"/>
  <c r="HU44" i="59"/>
  <c r="HV44" i="59"/>
  <c r="HW44" i="59"/>
  <c r="HX44" i="59"/>
  <c r="HY44" i="59"/>
  <c r="HZ44" i="59"/>
  <c r="IA44" i="59"/>
  <c r="IB44" i="59"/>
  <c r="IC44" i="59"/>
  <c r="ID44" i="59"/>
  <c r="IE44" i="59"/>
  <c r="IK44" i="59"/>
  <c r="IL44" i="59"/>
  <c r="IM44" i="59"/>
  <c r="IO44" i="59"/>
  <c r="IP44" i="59"/>
  <c r="IQ44" i="59"/>
  <c r="IR44" i="59"/>
  <c r="IS44" i="59"/>
  <c r="IT44" i="59"/>
  <c r="IU44" i="59"/>
  <c r="IV44" i="59"/>
  <c r="F45" i="59"/>
  <c r="G45" i="59"/>
  <c r="H45" i="59"/>
  <c r="N45" i="59"/>
  <c r="O45" i="59"/>
  <c r="P45" i="59"/>
  <c r="R45" i="59"/>
  <c r="S45" i="59"/>
  <c r="T45" i="59"/>
  <c r="U45" i="59"/>
  <c r="V45" i="59"/>
  <c r="W45" i="59"/>
  <c r="X45" i="59"/>
  <c r="Y45" i="59"/>
  <c r="Z45" i="59"/>
  <c r="AA45" i="59"/>
  <c r="AB45" i="59"/>
  <c r="AH45" i="59"/>
  <c r="AI45" i="59"/>
  <c r="AJ45" i="59"/>
  <c r="AL45" i="59"/>
  <c r="AM45" i="59"/>
  <c r="AN45" i="59"/>
  <c r="AO45" i="59"/>
  <c r="AP45" i="59"/>
  <c r="AQ45" i="59"/>
  <c r="AR45" i="59"/>
  <c r="AS45" i="59"/>
  <c r="AT45" i="59"/>
  <c r="AU45" i="59"/>
  <c r="AV45" i="59"/>
  <c r="BB45" i="59"/>
  <c r="BC45" i="59"/>
  <c r="BD45" i="59"/>
  <c r="BF45" i="59"/>
  <c r="BG45" i="59"/>
  <c r="BH45" i="59"/>
  <c r="BI45" i="59"/>
  <c r="BJ45" i="59"/>
  <c r="BK45" i="59"/>
  <c r="BL45" i="59"/>
  <c r="BM45" i="59"/>
  <c r="BN45" i="59"/>
  <c r="BO45" i="59"/>
  <c r="BP45" i="59"/>
  <c r="BV45" i="59"/>
  <c r="BW45" i="59"/>
  <c r="BX45" i="59"/>
  <c r="BZ45" i="59"/>
  <c r="CA45" i="59"/>
  <c r="CB45" i="59"/>
  <c r="CC45" i="59"/>
  <c r="CD45" i="59"/>
  <c r="CE45" i="59"/>
  <c r="CF45" i="59"/>
  <c r="CG45" i="59"/>
  <c r="CH45" i="59"/>
  <c r="CI45" i="59"/>
  <c r="CJ45" i="59"/>
  <c r="CP45" i="59"/>
  <c r="CQ45" i="59"/>
  <c r="CR45" i="59"/>
  <c r="CT45" i="59"/>
  <c r="CU45" i="59"/>
  <c r="CV45" i="59"/>
  <c r="CW45" i="59"/>
  <c r="CX45" i="59"/>
  <c r="CY45" i="59"/>
  <c r="CZ45" i="59"/>
  <c r="DA45" i="59"/>
  <c r="DB45" i="59"/>
  <c r="DC45" i="59"/>
  <c r="DD45" i="59"/>
  <c r="DJ45" i="59"/>
  <c r="DK45" i="59"/>
  <c r="DL45" i="59"/>
  <c r="DN45" i="59"/>
  <c r="DO45" i="59"/>
  <c r="DP45" i="59"/>
  <c r="DQ45" i="59"/>
  <c r="DR45" i="59"/>
  <c r="DS45" i="59"/>
  <c r="DT45" i="59"/>
  <c r="DU45" i="59"/>
  <c r="DV45" i="59"/>
  <c r="DW45" i="59"/>
  <c r="DX45" i="59"/>
  <c r="ED45" i="59"/>
  <c r="EE45" i="59"/>
  <c r="EF45" i="59"/>
  <c r="EH45" i="59"/>
  <c r="EI45" i="59"/>
  <c r="EJ45" i="59"/>
  <c r="EK45" i="59"/>
  <c r="EL45" i="59"/>
  <c r="EM45" i="59"/>
  <c r="EN45" i="59"/>
  <c r="EO45" i="59"/>
  <c r="EP45" i="59"/>
  <c r="EQ45" i="59"/>
  <c r="ER45" i="59"/>
  <c r="EX45" i="59"/>
  <c r="EY45" i="59"/>
  <c r="EZ45" i="59"/>
  <c r="FB45" i="59"/>
  <c r="FC45" i="59"/>
  <c r="FD45" i="59"/>
  <c r="FE45" i="59"/>
  <c r="FF45" i="59"/>
  <c r="FG45" i="59"/>
  <c r="FH45" i="59"/>
  <c r="FI45" i="59"/>
  <c r="FJ45" i="59"/>
  <c r="FK45" i="59"/>
  <c r="FL45" i="59"/>
  <c r="FR45" i="59"/>
  <c r="FS45" i="59"/>
  <c r="FT45" i="59"/>
  <c r="FV45" i="59"/>
  <c r="FW45" i="59"/>
  <c r="FX45" i="59"/>
  <c r="FY45" i="59"/>
  <c r="FZ45" i="59"/>
  <c r="GA45" i="59"/>
  <c r="GB45" i="59"/>
  <c r="GC45" i="59"/>
  <c r="GD45" i="59"/>
  <c r="GE45" i="59"/>
  <c r="GF45" i="59"/>
  <c r="GL45" i="59"/>
  <c r="GM45" i="59"/>
  <c r="GN45" i="59"/>
  <c r="GP45" i="59"/>
  <c r="GQ45" i="59"/>
  <c r="GR45" i="59"/>
  <c r="GS45" i="59"/>
  <c r="GT45" i="59"/>
  <c r="GU45" i="59"/>
  <c r="GV45" i="59"/>
  <c r="GW45" i="59"/>
  <c r="GX45" i="59"/>
  <c r="GY45" i="59"/>
  <c r="GZ45" i="59"/>
  <c r="HF45" i="59"/>
  <c r="HG45" i="59"/>
  <c r="HH45" i="59"/>
  <c r="HJ45" i="59"/>
  <c r="HK45" i="59"/>
  <c r="HL45" i="59"/>
  <c r="HM45" i="59"/>
  <c r="HN45" i="59"/>
  <c r="HO45" i="59"/>
  <c r="HP45" i="59"/>
  <c r="HQ45" i="59"/>
  <c r="HR45" i="59"/>
  <c r="HS45" i="59"/>
  <c r="HT45" i="59"/>
  <c r="HZ45" i="59"/>
  <c r="IA45" i="59"/>
  <c r="IB45" i="59"/>
  <c r="ID45" i="59"/>
  <c r="IE45" i="59"/>
  <c r="IF45" i="59"/>
  <c r="IG45" i="59"/>
  <c r="IH45" i="59"/>
  <c r="II45" i="59"/>
  <c r="IJ45" i="59"/>
  <c r="IK45" i="59"/>
  <c r="IL45" i="59"/>
  <c r="IM45" i="59"/>
  <c r="IN45" i="59"/>
  <c r="IT45" i="59"/>
  <c r="IU45" i="59"/>
  <c r="IV45" i="59"/>
  <c r="F46" i="59"/>
  <c r="G46" i="59"/>
  <c r="H46" i="59"/>
  <c r="I46" i="59"/>
  <c r="J46" i="59"/>
  <c r="K46" i="59"/>
  <c r="L46" i="59"/>
  <c r="M46" i="59"/>
  <c r="W46" i="59"/>
  <c r="X46" i="59"/>
  <c r="Y46" i="59"/>
  <c r="AA46" i="59"/>
  <c r="AB46" i="59"/>
  <c r="AC46" i="59"/>
  <c r="AD46" i="59"/>
  <c r="AE46" i="59"/>
  <c r="AF46" i="59"/>
  <c r="AG46" i="59"/>
  <c r="AH46" i="59"/>
  <c r="AI46" i="59"/>
  <c r="AJ46" i="59"/>
  <c r="AK46" i="59"/>
  <c r="AQ46" i="59"/>
  <c r="AR46" i="59"/>
  <c r="AS46" i="59"/>
  <c r="AU46" i="59"/>
  <c r="AV46" i="59"/>
  <c r="AW46" i="59"/>
  <c r="AX46" i="59"/>
  <c r="AY46" i="59"/>
  <c r="AZ46" i="59"/>
  <c r="BA46" i="59"/>
  <c r="BB46" i="59"/>
  <c r="BC46" i="59"/>
  <c r="BD46" i="59"/>
  <c r="BE46" i="59"/>
  <c r="BK46" i="59"/>
  <c r="BL46" i="59"/>
  <c r="BM46" i="59"/>
  <c r="BO46" i="59"/>
  <c r="BP46" i="59"/>
  <c r="BQ46" i="59"/>
  <c r="BR46" i="59"/>
  <c r="BS46" i="59"/>
  <c r="BT46" i="59"/>
  <c r="BU46" i="59"/>
  <c r="BV46" i="59"/>
  <c r="BW46" i="59"/>
  <c r="BX46" i="59"/>
  <c r="BY46" i="59"/>
  <c r="CE46" i="59"/>
  <c r="CF46" i="59"/>
  <c r="CG46" i="59"/>
  <c r="CI46" i="59"/>
  <c r="CJ46" i="59"/>
  <c r="CK46" i="59"/>
  <c r="CL46" i="59"/>
  <c r="CM46" i="59"/>
  <c r="CN46" i="59"/>
  <c r="CO46" i="59"/>
  <c r="CP46" i="59"/>
  <c r="CQ46" i="59"/>
  <c r="CR46" i="59"/>
  <c r="CS46" i="59"/>
  <c r="CY46" i="59"/>
  <c r="CZ46" i="59"/>
  <c r="DA46" i="59"/>
  <c r="DC46" i="59"/>
  <c r="DD46" i="59"/>
  <c r="DE46" i="59"/>
  <c r="DF46" i="59"/>
  <c r="DG46" i="59"/>
  <c r="DH46" i="59"/>
  <c r="DI46" i="59"/>
  <c r="DJ46" i="59"/>
  <c r="DK46" i="59"/>
  <c r="DL46" i="59"/>
  <c r="DM46" i="59"/>
  <c r="DS46" i="59"/>
  <c r="DT46" i="59"/>
  <c r="DU46" i="59"/>
  <c r="DW46" i="59"/>
  <c r="DX46" i="59"/>
  <c r="DY46" i="59"/>
  <c r="DZ46" i="59"/>
  <c r="EA46" i="59"/>
  <c r="EB46" i="59"/>
  <c r="EC46" i="59"/>
  <c r="ED46" i="59"/>
  <c r="EE46" i="59"/>
  <c r="EF46" i="59"/>
  <c r="EG46" i="59"/>
  <c r="EM46" i="59"/>
  <c r="EN46" i="59"/>
  <c r="EO46" i="59"/>
  <c r="EQ46" i="59"/>
  <c r="ER46" i="59"/>
  <c r="ES46" i="59"/>
  <c r="ET46" i="59"/>
  <c r="EU46" i="59"/>
  <c r="EV46" i="59"/>
  <c r="EW46" i="59"/>
  <c r="EX46" i="59"/>
  <c r="EY46" i="59"/>
  <c r="EZ46" i="59"/>
  <c r="FA46" i="59"/>
  <c r="FG46" i="59"/>
  <c r="FH46" i="59"/>
  <c r="FI46" i="59"/>
  <c r="FK46" i="59"/>
  <c r="FL46" i="59"/>
  <c r="FM46" i="59"/>
  <c r="FN46" i="59"/>
  <c r="FO46" i="59"/>
  <c r="FP46" i="59"/>
  <c r="FQ46" i="59"/>
  <c r="FR46" i="59"/>
  <c r="FS46" i="59"/>
  <c r="FT46" i="59"/>
  <c r="FU46" i="59"/>
  <c r="GA46" i="59"/>
  <c r="GB46" i="59"/>
  <c r="GC46" i="59"/>
  <c r="GE46" i="59"/>
  <c r="GF46" i="59"/>
  <c r="GG46" i="59"/>
  <c r="GH46" i="59"/>
  <c r="GI46" i="59"/>
  <c r="GJ46" i="59"/>
  <c r="GK46" i="59"/>
  <c r="GL46" i="59"/>
  <c r="GM46" i="59"/>
  <c r="GN46" i="59"/>
  <c r="GO46" i="59"/>
  <c r="GU46" i="59"/>
  <c r="GV46" i="59"/>
  <c r="GW46" i="59"/>
  <c r="GY46" i="59"/>
  <c r="GZ46" i="59"/>
  <c r="HA46" i="59"/>
  <c r="HB46" i="59"/>
  <c r="HC46" i="59"/>
  <c r="HD46" i="59"/>
  <c r="HE46" i="59"/>
  <c r="HF46" i="59"/>
  <c r="HG46" i="59"/>
  <c r="HH46" i="59"/>
  <c r="HI46" i="59"/>
  <c r="HO46" i="59"/>
  <c r="HP46" i="59"/>
  <c r="HQ46" i="59"/>
  <c r="HS46" i="59"/>
  <c r="HT46" i="59"/>
  <c r="HU46" i="59"/>
  <c r="HV46" i="59"/>
  <c r="HW46" i="59"/>
  <c r="HX46" i="59"/>
  <c r="HY46" i="59"/>
  <c r="HZ46" i="59"/>
  <c r="IA46" i="59"/>
  <c r="IB46" i="59"/>
  <c r="IC46" i="59"/>
  <c r="II46" i="59"/>
  <c r="IJ46" i="59"/>
  <c r="IK46" i="59"/>
  <c r="IM46" i="59"/>
  <c r="IN46" i="59"/>
  <c r="IO46" i="59"/>
  <c r="IP46" i="59"/>
  <c r="IQ46" i="59"/>
  <c r="IR46" i="59"/>
  <c r="IS46" i="59"/>
  <c r="IT46" i="59"/>
  <c r="IU46" i="59"/>
  <c r="IV46" i="59"/>
  <c r="F47" i="59"/>
  <c r="L47" i="59"/>
  <c r="M47" i="59"/>
  <c r="N47" i="59"/>
  <c r="P47" i="59"/>
  <c r="Q47" i="59"/>
  <c r="R47" i="59"/>
  <c r="S47" i="59"/>
  <c r="T47" i="59"/>
  <c r="U47" i="59"/>
  <c r="V47" i="59"/>
  <c r="W47" i="59"/>
  <c r="X47" i="59"/>
  <c r="Y47" i="59"/>
  <c r="Z47" i="59"/>
  <c r="AF47" i="59"/>
  <c r="AG47" i="59"/>
  <c r="AH47" i="59"/>
  <c r="AJ47" i="59"/>
  <c r="AK47" i="59"/>
  <c r="AL47" i="59"/>
  <c r="AM47" i="59"/>
  <c r="AN47" i="59"/>
  <c r="AO47" i="59"/>
  <c r="AP47" i="59"/>
  <c r="AQ47" i="59"/>
  <c r="AR47" i="59"/>
  <c r="AS47" i="59"/>
  <c r="AT47" i="59"/>
  <c r="AZ47" i="59"/>
  <c r="BA47" i="59"/>
  <c r="BB47" i="59"/>
  <c r="BD47" i="59"/>
  <c r="BE47" i="59"/>
  <c r="BF47" i="59"/>
  <c r="BG47" i="59"/>
  <c r="BH47" i="59"/>
  <c r="BI47" i="59"/>
  <c r="BJ47" i="59"/>
  <c r="BK47" i="59"/>
  <c r="BL47" i="59"/>
  <c r="BM47" i="59"/>
  <c r="BN47" i="59"/>
  <c r="BT47" i="59"/>
  <c r="BU47" i="59"/>
  <c r="BV47" i="59"/>
  <c r="BX47" i="59"/>
  <c r="BY47" i="59"/>
  <c r="BZ47" i="59"/>
  <c r="CA47" i="59"/>
  <c r="CB47" i="59"/>
  <c r="CC47" i="59"/>
  <c r="CD47" i="59"/>
  <c r="CE47" i="59"/>
  <c r="CF47" i="59"/>
  <c r="CG47" i="59"/>
  <c r="CH47" i="59"/>
  <c r="CN47" i="59"/>
  <c r="CO47" i="59"/>
  <c r="CP47" i="59"/>
  <c r="CR47" i="59"/>
  <c r="CS47" i="59"/>
  <c r="CT47" i="59"/>
  <c r="CU47" i="59"/>
  <c r="CV47" i="59"/>
  <c r="CW47" i="59"/>
  <c r="CX47" i="59"/>
  <c r="CY47" i="59"/>
  <c r="CZ47" i="59"/>
  <c r="DA47" i="59"/>
  <c r="DB47" i="59"/>
  <c r="DH47" i="59"/>
  <c r="DI47" i="59"/>
  <c r="DJ47" i="59"/>
  <c r="DL47" i="59"/>
  <c r="DM47" i="59"/>
  <c r="DN47" i="59"/>
  <c r="DO47" i="59"/>
  <c r="DP47" i="59"/>
  <c r="DQ47" i="59"/>
  <c r="DR47" i="59"/>
  <c r="DS47" i="59"/>
  <c r="DT47" i="59"/>
  <c r="DU47" i="59"/>
  <c r="DV47" i="59"/>
  <c r="EB47" i="59"/>
  <c r="EC47" i="59"/>
  <c r="ED47" i="59"/>
  <c r="EF47" i="59"/>
  <c r="EG47" i="59"/>
  <c r="EH47" i="59"/>
  <c r="EI47" i="59"/>
  <c r="EJ47" i="59"/>
  <c r="EK47" i="59"/>
  <c r="EL47" i="59"/>
  <c r="EM47" i="59"/>
  <c r="EN47" i="59"/>
  <c r="EO47" i="59"/>
  <c r="EP47" i="59"/>
  <c r="EV47" i="59"/>
  <c r="EW47" i="59"/>
  <c r="EX47" i="59"/>
  <c r="EZ47" i="59"/>
  <c r="FA47" i="59"/>
  <c r="FB47" i="59"/>
  <c r="FC47" i="59"/>
  <c r="FD47" i="59"/>
  <c r="FE47" i="59"/>
  <c r="FF47" i="59"/>
  <c r="FG47" i="59"/>
  <c r="FH47" i="59"/>
  <c r="FI47" i="59"/>
  <c r="FJ47" i="59"/>
  <c r="FP47" i="59"/>
  <c r="FQ47" i="59"/>
  <c r="FR47" i="59"/>
  <c r="FS47" i="59"/>
  <c r="FT47" i="59"/>
  <c r="FU47" i="59"/>
  <c r="FV47" i="59"/>
  <c r="FW47" i="59"/>
  <c r="FX47" i="59"/>
  <c r="FY47" i="59"/>
  <c r="FZ47" i="59"/>
  <c r="GJ47" i="59"/>
  <c r="GK47" i="59"/>
  <c r="GL47" i="59"/>
  <c r="GN47" i="59"/>
  <c r="GO47" i="59"/>
  <c r="GP47" i="59"/>
  <c r="GQ47" i="59"/>
  <c r="GR47" i="59"/>
  <c r="GS47" i="59"/>
  <c r="GT47" i="59"/>
  <c r="GU47" i="59"/>
  <c r="GV47" i="59"/>
  <c r="GW47" i="59"/>
  <c r="GX47" i="59"/>
  <c r="HD47" i="59"/>
  <c r="HE47" i="59"/>
  <c r="HF47" i="59"/>
  <c r="HH47" i="59"/>
  <c r="HI47" i="59"/>
  <c r="HJ47" i="59"/>
  <c r="HK47" i="59"/>
  <c r="HL47" i="59"/>
  <c r="HM47" i="59"/>
  <c r="HN47" i="59"/>
  <c r="HO47" i="59"/>
  <c r="HP47" i="59"/>
  <c r="HQ47" i="59"/>
  <c r="HR47" i="59"/>
  <c r="HX47" i="59"/>
  <c r="HY47" i="59"/>
  <c r="HZ47" i="59"/>
  <c r="IB47" i="59"/>
  <c r="IC47" i="59"/>
  <c r="ID47" i="59"/>
  <c r="IE47" i="59"/>
  <c r="IF47" i="59"/>
  <c r="IG47" i="59"/>
  <c r="IH47" i="59"/>
  <c r="II47" i="59"/>
  <c r="IJ47" i="59"/>
  <c r="IK47" i="59"/>
  <c r="IL47" i="59"/>
  <c r="IR47" i="59"/>
  <c r="IS47" i="59"/>
  <c r="IT47" i="59"/>
  <c r="IV47" i="59"/>
  <c r="F48" i="59"/>
  <c r="G48" i="59"/>
  <c r="H48" i="59"/>
  <c r="I48" i="59"/>
  <c r="J48" i="59"/>
  <c r="K48" i="59"/>
  <c r="L48" i="59"/>
  <c r="M48" i="59"/>
  <c r="N48" i="59"/>
  <c r="O48" i="59"/>
  <c r="U48" i="59"/>
  <c r="V48" i="59"/>
  <c r="W48" i="59"/>
  <c r="Y48" i="59"/>
  <c r="Z48" i="59"/>
  <c r="AA48" i="59"/>
  <c r="AB48" i="59"/>
  <c r="AC48" i="59"/>
  <c r="AD48" i="59"/>
  <c r="AE48" i="59"/>
  <c r="AF48" i="59"/>
  <c r="AG48" i="59"/>
  <c r="AH48" i="59"/>
  <c r="AI48" i="59"/>
  <c r="AO48" i="59"/>
  <c r="AP48" i="59"/>
  <c r="AQ48" i="59"/>
  <c r="AS48" i="59"/>
  <c r="AT48" i="59"/>
  <c r="AU48" i="59"/>
  <c r="AV48" i="59"/>
  <c r="AW48" i="59"/>
  <c r="AX48" i="59"/>
  <c r="AY48" i="59"/>
  <c r="AZ48" i="59"/>
  <c r="BA48" i="59"/>
  <c r="BB48" i="59"/>
  <c r="BC48" i="59"/>
  <c r="BI48" i="59"/>
  <c r="BJ48" i="59"/>
  <c r="BK48" i="59"/>
  <c r="BM48" i="59"/>
  <c r="BN48" i="59"/>
  <c r="BO48" i="59"/>
  <c r="BP48" i="59"/>
  <c r="BQ48" i="59"/>
  <c r="BR48" i="59"/>
  <c r="BS48" i="59"/>
  <c r="BT48" i="59"/>
  <c r="BU48" i="59"/>
  <c r="BV48" i="59"/>
  <c r="BW48" i="59"/>
  <c r="CC48" i="59"/>
  <c r="CD48" i="59"/>
  <c r="CE48" i="59"/>
  <c r="CG48" i="59"/>
  <c r="CH48" i="59"/>
  <c r="CI48" i="59"/>
  <c r="CJ48" i="59"/>
  <c r="CK48" i="59"/>
  <c r="CL48" i="59"/>
  <c r="CM48" i="59"/>
  <c r="CN48" i="59"/>
  <c r="CO48" i="59"/>
  <c r="CP48" i="59"/>
  <c r="CQ48" i="59"/>
  <c r="CW48" i="59"/>
  <c r="CX48" i="59"/>
  <c r="CY48" i="59"/>
  <c r="DA48" i="59"/>
  <c r="DB48" i="59"/>
  <c r="DC48" i="59"/>
  <c r="DD48" i="59"/>
  <c r="DE48" i="59"/>
  <c r="DF48" i="59"/>
  <c r="DG48" i="59"/>
  <c r="DH48" i="59"/>
  <c r="DI48" i="59"/>
  <c r="DJ48" i="59"/>
  <c r="DK48" i="59"/>
  <c r="DQ48" i="59"/>
  <c r="DR48" i="59"/>
  <c r="DS48" i="59"/>
  <c r="DU48" i="59"/>
  <c r="DV48" i="59"/>
  <c r="DW48" i="59"/>
  <c r="DX48" i="59"/>
  <c r="DY48" i="59"/>
  <c r="DZ48" i="59"/>
  <c r="EA48" i="59"/>
  <c r="EB48" i="59"/>
  <c r="EC48" i="59"/>
  <c r="ED48" i="59"/>
  <c r="EE48" i="59"/>
  <c r="EK48" i="59"/>
  <c r="EL48" i="59"/>
  <c r="EM48" i="59"/>
  <c r="EO48" i="59"/>
  <c r="EP48" i="59"/>
  <c r="EQ48" i="59"/>
  <c r="ER48" i="59"/>
  <c r="ES48" i="59"/>
  <c r="ET48" i="59"/>
  <c r="EU48" i="59"/>
  <c r="EV48" i="59"/>
  <c r="EW48" i="59"/>
  <c r="EX48" i="59"/>
  <c r="EY48" i="59"/>
  <c r="FE48" i="59"/>
  <c r="FF48" i="59"/>
  <c r="FG48" i="59"/>
  <c r="FI48" i="59"/>
  <c r="FJ48" i="59"/>
  <c r="FK48" i="59"/>
  <c r="FL48" i="59"/>
  <c r="FM48" i="59"/>
  <c r="FN48" i="59"/>
  <c r="FO48" i="59"/>
  <c r="FP48" i="59"/>
  <c r="FQ48" i="59"/>
  <c r="FR48" i="59"/>
  <c r="FS48" i="59"/>
  <c r="FY48" i="59"/>
  <c r="FZ48" i="59"/>
  <c r="GA48" i="59"/>
  <c r="GC48" i="59"/>
  <c r="GD48" i="59"/>
  <c r="GE48" i="59"/>
  <c r="GF48" i="59"/>
  <c r="GG48" i="59"/>
  <c r="GH48" i="59"/>
  <c r="GI48" i="59"/>
  <c r="GJ48" i="59"/>
  <c r="GK48" i="59"/>
  <c r="GL48" i="59"/>
  <c r="GM48" i="59"/>
  <c r="GS48" i="59"/>
  <c r="GT48" i="59"/>
  <c r="GU48" i="59"/>
  <c r="GW48" i="59"/>
  <c r="GX48" i="59"/>
  <c r="GY48" i="59"/>
  <c r="GZ48" i="59"/>
  <c r="HA48" i="59"/>
  <c r="HB48" i="59"/>
  <c r="HC48" i="59"/>
  <c r="HD48" i="59"/>
  <c r="HE48" i="59"/>
  <c r="HF48" i="59"/>
  <c r="HG48" i="59"/>
  <c r="HM48" i="59"/>
  <c r="HN48" i="59"/>
  <c r="HO48" i="59"/>
  <c r="HQ48" i="59"/>
  <c r="HR48" i="59"/>
  <c r="HS48" i="59"/>
  <c r="HT48" i="59"/>
  <c r="HU48" i="59"/>
  <c r="HV48" i="59"/>
  <c r="HW48" i="59"/>
  <c r="HX48" i="59"/>
  <c r="HY48" i="59"/>
  <c r="HZ48" i="59"/>
  <c r="IA48" i="59"/>
  <c r="IG48" i="59"/>
  <c r="IH48" i="59"/>
  <c r="II48" i="59"/>
  <c r="IK48" i="59"/>
  <c r="IL48" i="59"/>
  <c r="IM48" i="59"/>
  <c r="IN48" i="59"/>
  <c r="IO48" i="59"/>
  <c r="IP48" i="59"/>
  <c r="IQ48" i="59"/>
  <c r="IR48" i="59"/>
  <c r="IS48" i="59"/>
  <c r="IT48" i="59"/>
  <c r="IU48" i="59"/>
  <c r="J49" i="59"/>
  <c r="K49" i="59"/>
  <c r="L49" i="59"/>
  <c r="N49" i="59"/>
  <c r="O49" i="59"/>
  <c r="P49" i="59"/>
  <c r="Q49" i="59"/>
  <c r="R49" i="59"/>
  <c r="S49" i="59"/>
  <c r="T49" i="59"/>
  <c r="U49" i="59"/>
  <c r="V49" i="59"/>
  <c r="W49" i="59"/>
  <c r="X49" i="59"/>
  <c r="AD49" i="59"/>
  <c r="AE49" i="59"/>
  <c r="AF49" i="59"/>
  <c r="AH49" i="59"/>
  <c r="AI49" i="59"/>
  <c r="AJ49" i="59"/>
  <c r="AK49" i="59"/>
  <c r="AL49" i="59"/>
  <c r="AM49" i="59"/>
  <c r="AN49" i="59"/>
  <c r="AO49" i="59"/>
  <c r="AP49" i="59"/>
  <c r="AQ49" i="59"/>
  <c r="AR49" i="59"/>
  <c r="AX49" i="59"/>
  <c r="AY49" i="59"/>
  <c r="AZ49" i="59"/>
  <c r="BB49" i="59"/>
  <c r="BC49" i="59"/>
  <c r="BD49" i="59"/>
  <c r="BE49" i="59"/>
  <c r="BF49" i="59"/>
  <c r="BG49" i="59"/>
  <c r="BH49" i="59"/>
  <c r="BI49" i="59"/>
  <c r="BJ49" i="59"/>
  <c r="BK49" i="59"/>
  <c r="BL49" i="59"/>
  <c r="BR49" i="59"/>
  <c r="BS49" i="59"/>
  <c r="BT49" i="59"/>
  <c r="BV49" i="59"/>
  <c r="BW49" i="59"/>
  <c r="BX49" i="59"/>
  <c r="BY49" i="59"/>
  <c r="BZ49" i="59"/>
  <c r="CA49" i="59"/>
  <c r="CB49" i="59"/>
  <c r="CC49" i="59"/>
  <c r="CD49" i="59"/>
  <c r="CE49" i="59"/>
  <c r="CF49" i="59"/>
  <c r="CL49" i="59"/>
  <c r="CM49" i="59"/>
  <c r="CN49" i="59"/>
  <c r="CO49" i="59"/>
  <c r="CP49" i="59"/>
  <c r="CQ49" i="59"/>
  <c r="CR49" i="59"/>
  <c r="CS49" i="59"/>
  <c r="CT49" i="59"/>
  <c r="CU49" i="59"/>
  <c r="CV49" i="59"/>
  <c r="DF49" i="59"/>
  <c r="DG49" i="59"/>
  <c r="DH49" i="59"/>
  <c r="DJ49" i="59"/>
  <c r="DK49" i="59"/>
  <c r="DL49" i="59"/>
  <c r="DM49" i="59"/>
  <c r="DN49" i="59"/>
  <c r="DO49" i="59"/>
  <c r="DP49" i="59"/>
  <c r="DQ49" i="59"/>
  <c r="DR49" i="59"/>
  <c r="DS49" i="59"/>
  <c r="DT49" i="59"/>
  <c r="DZ49" i="59"/>
  <c r="EA49" i="59"/>
  <c r="EB49" i="59"/>
  <c r="ED49" i="59"/>
  <c r="EE49" i="59"/>
  <c r="EF49" i="59"/>
  <c r="EG49" i="59"/>
  <c r="EH49" i="59"/>
  <c r="EI49" i="59"/>
  <c r="EJ49" i="59"/>
  <c r="EK49" i="59"/>
  <c r="EL49" i="59"/>
  <c r="EM49" i="59"/>
  <c r="EN49" i="59"/>
  <c r="ET49" i="59"/>
  <c r="EU49" i="59"/>
  <c r="EV49" i="59"/>
  <c r="EX49" i="59"/>
  <c r="EY49" i="59"/>
  <c r="EZ49" i="59"/>
  <c r="FA49" i="59"/>
  <c r="FB49" i="59"/>
  <c r="FC49" i="59"/>
  <c r="FD49" i="59"/>
  <c r="FE49" i="59"/>
  <c r="FF49" i="59"/>
  <c r="FG49" i="59"/>
  <c r="FH49" i="59"/>
  <c r="FN49" i="59"/>
  <c r="FO49" i="59"/>
  <c r="FP49" i="59"/>
  <c r="FR49" i="59"/>
  <c r="FS49" i="59"/>
  <c r="FT49" i="59"/>
  <c r="FU49" i="59"/>
  <c r="FV49" i="59"/>
  <c r="FW49" i="59"/>
  <c r="FX49" i="59"/>
  <c r="FY49" i="59"/>
  <c r="FZ49" i="59"/>
  <c r="GA49" i="59"/>
  <c r="GB49" i="59"/>
  <c r="GH49" i="59"/>
  <c r="GI49" i="59"/>
  <c r="GJ49" i="59"/>
  <c r="GL49" i="59"/>
  <c r="GM49" i="59"/>
  <c r="GN49" i="59"/>
  <c r="GO49" i="59"/>
  <c r="GP49" i="59"/>
  <c r="GQ49" i="59"/>
  <c r="GR49" i="59"/>
  <c r="GS49" i="59"/>
  <c r="GT49" i="59"/>
  <c r="GU49" i="59"/>
  <c r="GV49" i="59"/>
  <c r="HB49" i="59"/>
  <c r="HC49" i="59"/>
  <c r="HD49" i="59"/>
  <c r="HF49" i="59"/>
  <c r="HG49" i="59"/>
  <c r="HH49" i="59"/>
  <c r="HI49" i="59"/>
  <c r="HJ49" i="59"/>
  <c r="HK49" i="59"/>
  <c r="HL49" i="59"/>
  <c r="HM49" i="59"/>
  <c r="HN49" i="59"/>
  <c r="HO49" i="59"/>
  <c r="HP49" i="59"/>
  <c r="HV49" i="59"/>
  <c r="HW49" i="59"/>
  <c r="HX49" i="59"/>
  <c r="HZ49" i="59"/>
  <c r="IA49" i="59"/>
  <c r="IB49" i="59"/>
  <c r="IC49" i="59"/>
  <c r="ID49" i="59"/>
  <c r="IE49" i="59"/>
  <c r="IF49" i="59"/>
  <c r="IG49" i="59"/>
  <c r="IH49" i="59"/>
  <c r="II49" i="59"/>
  <c r="IJ49" i="59"/>
  <c r="IP49" i="59"/>
  <c r="IQ49" i="59"/>
  <c r="IR49" i="59"/>
  <c r="IT49" i="59"/>
  <c r="IU49" i="59"/>
  <c r="IV49" i="59"/>
  <c r="F50" i="59"/>
  <c r="G50" i="59"/>
  <c r="H50" i="59"/>
  <c r="I50" i="59"/>
  <c r="J50" i="59"/>
  <c r="K50" i="59"/>
  <c r="L50" i="59"/>
  <c r="M50" i="59"/>
  <c r="S50" i="59"/>
  <c r="T50" i="59"/>
  <c r="U50" i="59"/>
  <c r="W50" i="59"/>
  <c r="X50" i="59"/>
  <c r="Y50" i="59"/>
  <c r="Z50" i="59"/>
  <c r="AA50" i="59"/>
  <c r="AB50" i="59"/>
  <c r="AC50" i="59"/>
  <c r="AD50" i="59"/>
  <c r="AE50" i="59"/>
  <c r="AF50" i="59"/>
  <c r="AG50" i="59"/>
  <c r="AM50" i="59"/>
  <c r="AN50" i="59"/>
  <c r="AO50" i="59"/>
  <c r="AQ50" i="59"/>
  <c r="AR50" i="59"/>
  <c r="AS50" i="59"/>
  <c r="AT50" i="59"/>
  <c r="AU50" i="59"/>
  <c r="AV50" i="59"/>
  <c r="AW50" i="59"/>
  <c r="AX50" i="59"/>
  <c r="AY50" i="59"/>
  <c r="AZ50" i="59"/>
  <c r="BA50" i="59"/>
  <c r="BG50" i="59"/>
  <c r="BH50" i="59"/>
  <c r="BI50" i="59"/>
  <c r="BK50" i="59"/>
  <c r="BL50" i="59"/>
  <c r="BM50" i="59"/>
  <c r="BN50" i="59"/>
  <c r="BO50" i="59"/>
  <c r="BP50" i="59"/>
  <c r="BQ50" i="59"/>
  <c r="BR50" i="59"/>
  <c r="BS50" i="59"/>
  <c r="BT50" i="59"/>
  <c r="BU50" i="59"/>
  <c r="CA50" i="59"/>
  <c r="CB50" i="59"/>
  <c r="CC50" i="59"/>
  <c r="CE50" i="59"/>
  <c r="CF50" i="59"/>
  <c r="CG50" i="59"/>
  <c r="CH50" i="59"/>
  <c r="CI50" i="59"/>
  <c r="CJ50" i="59"/>
  <c r="CK50" i="59"/>
  <c r="CL50" i="59"/>
  <c r="CM50" i="59"/>
  <c r="CN50" i="59"/>
  <c r="CO50" i="59"/>
  <c r="CU50" i="59"/>
  <c r="CV50" i="59"/>
  <c r="CW50" i="59"/>
  <c r="CY50" i="59"/>
  <c r="CZ50" i="59"/>
  <c r="DA50" i="59"/>
  <c r="DB50" i="59"/>
  <c r="DC50" i="59"/>
  <c r="DD50" i="59"/>
  <c r="DE50" i="59"/>
  <c r="DF50" i="59"/>
  <c r="DG50" i="59"/>
  <c r="DH50" i="59"/>
  <c r="DI50" i="59"/>
  <c r="DO50" i="59"/>
  <c r="DP50" i="59"/>
  <c r="DQ50" i="59"/>
  <c r="DS50" i="59"/>
  <c r="DT50" i="59"/>
  <c r="DU50" i="59"/>
  <c r="DV50" i="59"/>
  <c r="DW50" i="59"/>
  <c r="DX50" i="59"/>
  <c r="DY50" i="59"/>
  <c r="DZ50" i="59"/>
  <c r="EA50" i="59"/>
  <c r="EB50" i="59"/>
  <c r="EC50" i="59"/>
  <c r="EI50" i="59"/>
  <c r="EJ50" i="59"/>
  <c r="EK50" i="59"/>
  <c r="EM50" i="59"/>
  <c r="EN50" i="59"/>
  <c r="EO50" i="59"/>
  <c r="EP50" i="59"/>
  <c r="EQ50" i="59"/>
  <c r="ER50" i="59"/>
  <c r="ES50" i="59"/>
  <c r="ET50" i="59"/>
  <c r="EU50" i="59"/>
  <c r="EV50" i="59"/>
  <c r="EW50" i="59"/>
  <c r="FC50" i="59"/>
  <c r="FD50" i="59"/>
  <c r="FE50" i="59"/>
  <c r="FG50" i="59"/>
  <c r="FH50" i="59"/>
  <c r="FI50" i="59"/>
  <c r="FJ50" i="59"/>
  <c r="FK50" i="59"/>
  <c r="FL50" i="59"/>
  <c r="FM50" i="59"/>
  <c r="FN50" i="59"/>
  <c r="FO50" i="59"/>
  <c r="FP50" i="59"/>
  <c r="FQ50" i="59"/>
  <c r="FW50" i="59"/>
  <c r="FX50" i="59"/>
  <c r="FY50" i="59"/>
  <c r="GA50" i="59"/>
  <c r="GB50" i="59"/>
  <c r="GC50" i="59"/>
  <c r="GD50" i="59"/>
  <c r="GE50" i="59"/>
  <c r="GF50" i="59"/>
  <c r="GG50" i="59"/>
  <c r="GH50" i="59"/>
  <c r="GI50" i="59"/>
  <c r="GJ50" i="59"/>
  <c r="GK50" i="59"/>
  <c r="GQ50" i="59"/>
  <c r="GR50" i="59"/>
  <c r="GS50" i="59"/>
  <c r="GU50" i="59"/>
  <c r="GV50" i="59"/>
  <c r="GW50" i="59"/>
  <c r="GX50" i="59"/>
  <c r="GY50" i="59"/>
  <c r="GZ50" i="59"/>
  <c r="HA50" i="59"/>
  <c r="HB50" i="59"/>
  <c r="HC50" i="59"/>
  <c r="HD50" i="59"/>
  <c r="HE50" i="59"/>
  <c r="HK50" i="59"/>
  <c r="HL50" i="59"/>
  <c r="HM50" i="59"/>
  <c r="HO50" i="59"/>
  <c r="HP50" i="59"/>
  <c r="HQ50" i="59"/>
  <c r="HR50" i="59"/>
  <c r="HS50" i="59"/>
  <c r="HT50" i="59"/>
  <c r="HU50" i="59"/>
  <c r="HV50" i="59"/>
  <c r="HW50" i="59"/>
  <c r="HX50" i="59"/>
  <c r="HY50" i="59"/>
  <c r="IE50" i="59"/>
  <c r="IF50" i="59"/>
  <c r="IG50" i="59"/>
  <c r="II50" i="59"/>
  <c r="IJ50" i="59"/>
  <c r="IK50" i="59"/>
  <c r="IL50" i="59"/>
  <c r="IM50" i="59"/>
  <c r="IN50" i="59"/>
  <c r="IO50" i="59"/>
  <c r="IP50" i="59"/>
  <c r="IQ50" i="59"/>
  <c r="IR50" i="59"/>
  <c r="IS50" i="59"/>
  <c r="H51" i="59"/>
  <c r="I51" i="59"/>
  <c r="J51" i="59"/>
  <c r="K51" i="59"/>
  <c r="L51" i="59"/>
  <c r="M51" i="59"/>
  <c r="N51" i="59"/>
  <c r="O51" i="59"/>
  <c r="P51" i="59"/>
  <c r="Q51" i="59"/>
  <c r="R51" i="59"/>
  <c r="AB51" i="59"/>
  <c r="AC51" i="59"/>
  <c r="AD51" i="59"/>
  <c r="AF51" i="59"/>
  <c r="AG51" i="59"/>
  <c r="AH51" i="59"/>
  <c r="AI51" i="59"/>
  <c r="AJ51" i="59"/>
  <c r="AK51" i="59"/>
  <c r="AL51" i="59"/>
  <c r="AM51" i="59"/>
  <c r="AN51" i="59"/>
  <c r="AO51" i="59"/>
  <c r="AP51" i="59"/>
  <c r="AV51" i="59"/>
  <c r="AW51" i="59"/>
  <c r="AX51" i="59"/>
  <c r="AZ51" i="59"/>
  <c r="BA51" i="59"/>
  <c r="BB51" i="59"/>
  <c r="BC51" i="59"/>
  <c r="BD51" i="59"/>
  <c r="BE51" i="59"/>
  <c r="BF51" i="59"/>
  <c r="BG51" i="59"/>
  <c r="BH51" i="59"/>
  <c r="BI51" i="59"/>
  <c r="BJ51" i="59"/>
  <c r="BP51" i="59"/>
  <c r="BQ51" i="59"/>
  <c r="BR51" i="59"/>
  <c r="BT51" i="59"/>
  <c r="BU51" i="59"/>
  <c r="BV51" i="59"/>
  <c r="BW51" i="59"/>
  <c r="BX51" i="59"/>
  <c r="BY51" i="59"/>
  <c r="BZ51" i="59"/>
  <c r="CA51" i="59"/>
  <c r="CB51" i="59"/>
  <c r="CC51" i="59"/>
  <c r="CD51" i="59"/>
  <c r="CJ51" i="59"/>
  <c r="CK51" i="59"/>
  <c r="CL51" i="59"/>
  <c r="CN51" i="59"/>
  <c r="CO51" i="59"/>
  <c r="CP51" i="59"/>
  <c r="CQ51" i="59"/>
  <c r="CR51" i="59"/>
  <c r="CS51" i="59"/>
  <c r="CT51" i="59"/>
  <c r="CU51" i="59"/>
  <c r="CV51" i="59"/>
  <c r="CW51" i="59"/>
  <c r="CX51" i="59"/>
  <c r="DD51" i="59"/>
  <c r="DE51" i="59"/>
  <c r="DF51" i="59"/>
  <c r="DH51" i="59"/>
  <c r="DI51" i="59"/>
  <c r="DJ51" i="59"/>
  <c r="DK51" i="59"/>
  <c r="DL51" i="59"/>
  <c r="DM51" i="59"/>
  <c r="DN51" i="59"/>
  <c r="DO51" i="59"/>
  <c r="DP51" i="59"/>
  <c r="DQ51" i="59"/>
  <c r="DR51" i="59"/>
  <c r="DX51" i="59"/>
  <c r="DY51" i="59"/>
  <c r="DZ51" i="59"/>
  <c r="EB51" i="59"/>
  <c r="EC51" i="59"/>
  <c r="ED51" i="59"/>
  <c r="EE51" i="59"/>
  <c r="EF51" i="59"/>
  <c r="EG51" i="59"/>
  <c r="EH51" i="59"/>
  <c r="EI51" i="59"/>
  <c r="EJ51" i="59"/>
  <c r="EK51" i="59"/>
  <c r="EL51" i="59"/>
  <c r="ER51" i="59"/>
  <c r="ES51" i="59"/>
  <c r="ET51" i="59"/>
  <c r="EV51" i="59"/>
  <c r="EW51" i="59"/>
  <c r="EX51" i="59"/>
  <c r="EY51" i="59"/>
  <c r="EZ51" i="59"/>
  <c r="FA51" i="59"/>
  <c r="FB51" i="59"/>
  <c r="FC51" i="59"/>
  <c r="FD51" i="59"/>
  <c r="FE51" i="59"/>
  <c r="FF51" i="59"/>
  <c r="FL51" i="59"/>
  <c r="FM51" i="59"/>
  <c r="FN51" i="59"/>
  <c r="FP51" i="59"/>
  <c r="FQ51" i="59"/>
  <c r="FR51" i="59"/>
  <c r="FS51" i="59"/>
  <c r="FT51" i="59"/>
  <c r="FU51" i="59"/>
  <c r="FV51" i="59"/>
  <c r="FW51" i="59"/>
  <c r="FX51" i="59"/>
  <c r="FY51" i="59"/>
  <c r="FZ51" i="59"/>
  <c r="GF51" i="59"/>
  <c r="GG51" i="59"/>
  <c r="GH51" i="59"/>
  <c r="GJ51" i="59"/>
  <c r="GK51" i="59"/>
  <c r="GL51" i="59"/>
  <c r="GM51" i="59"/>
  <c r="GN51" i="59"/>
  <c r="GO51" i="59"/>
  <c r="GP51" i="59"/>
  <c r="GQ51" i="59"/>
  <c r="GR51" i="59"/>
  <c r="GS51" i="59"/>
  <c r="GT51" i="59"/>
  <c r="GZ51" i="59"/>
  <c r="HA51" i="59"/>
  <c r="HB51" i="59"/>
  <c r="HD51" i="59"/>
  <c r="HE51" i="59"/>
  <c r="HF51" i="59"/>
  <c r="HG51" i="59"/>
  <c r="HH51" i="59"/>
  <c r="HI51" i="59"/>
  <c r="HJ51" i="59"/>
  <c r="HK51" i="59"/>
  <c r="HL51" i="59"/>
  <c r="HM51" i="59"/>
  <c r="HN51" i="59"/>
  <c r="HT51" i="59"/>
  <c r="HU51" i="59"/>
  <c r="HV51" i="59"/>
  <c r="HX51" i="59"/>
  <c r="HY51" i="59"/>
  <c r="HZ51" i="59"/>
  <c r="IA51" i="59"/>
  <c r="IB51" i="59"/>
  <c r="IC51" i="59"/>
  <c r="ID51" i="59"/>
  <c r="IE51" i="59"/>
  <c r="IF51" i="59"/>
  <c r="IG51" i="59"/>
  <c r="IH51" i="59"/>
  <c r="IN51" i="59"/>
  <c r="IO51" i="59"/>
  <c r="IP51" i="59"/>
  <c r="IR51" i="59"/>
  <c r="IS51" i="59"/>
  <c r="IT51" i="59"/>
  <c r="IU51" i="59"/>
  <c r="IV51" i="59"/>
  <c r="F52" i="59"/>
  <c r="G52" i="59"/>
  <c r="H52" i="59"/>
  <c r="I52" i="59"/>
  <c r="J52" i="59"/>
  <c r="K52" i="59"/>
  <c r="Q52" i="59"/>
  <c r="R52" i="59"/>
  <c r="S52" i="59"/>
  <c r="U52" i="59"/>
  <c r="V52" i="59"/>
  <c r="W52" i="59"/>
  <c r="X52" i="59"/>
  <c r="Y52" i="59"/>
  <c r="Z52" i="59"/>
  <c r="AA52" i="59"/>
  <c r="AB52" i="59"/>
  <c r="AC52" i="59"/>
  <c r="AD52" i="59"/>
  <c r="AE52" i="59"/>
  <c r="AK52" i="59"/>
  <c r="AL52" i="59"/>
  <c r="AM52" i="59"/>
  <c r="AO52" i="59"/>
  <c r="AP52" i="59"/>
  <c r="AQ52" i="59"/>
  <c r="AR52" i="59"/>
  <c r="AS52" i="59"/>
  <c r="AT52" i="59"/>
  <c r="AU52" i="59"/>
  <c r="AV52" i="59"/>
  <c r="AW52" i="59"/>
  <c r="AX52" i="59"/>
  <c r="AY52" i="59"/>
  <c r="BE52" i="59"/>
  <c r="BF52" i="59"/>
  <c r="BG52" i="59"/>
  <c r="BI52" i="59"/>
  <c r="BJ52" i="59"/>
  <c r="BK52" i="59"/>
  <c r="BL52" i="59"/>
  <c r="BM52" i="59"/>
  <c r="BN52" i="59"/>
  <c r="BO52" i="59"/>
  <c r="BP52" i="59"/>
  <c r="BQ52" i="59"/>
  <c r="BR52" i="59"/>
  <c r="BS52" i="59"/>
  <c r="BY52" i="59"/>
  <c r="BZ52" i="59"/>
  <c r="CA52" i="59"/>
  <c r="CC52" i="59"/>
  <c r="CD52" i="59"/>
  <c r="CE52" i="59"/>
  <c r="CF52" i="59"/>
  <c r="CG52" i="59"/>
  <c r="CH52" i="59"/>
  <c r="CI52" i="59"/>
  <c r="CJ52" i="59"/>
  <c r="CK52" i="59"/>
  <c r="CL52" i="59"/>
  <c r="CM52" i="59"/>
  <c r="CS52" i="59"/>
  <c r="CT52" i="59"/>
  <c r="CU52" i="59"/>
  <c r="CW52" i="59"/>
  <c r="CX52" i="59"/>
  <c r="CY52" i="59"/>
  <c r="CZ52" i="59"/>
  <c r="DA52" i="59"/>
  <c r="DB52" i="59"/>
  <c r="DC52" i="59"/>
  <c r="DD52" i="59"/>
  <c r="DE52" i="59"/>
  <c r="DF52" i="59"/>
  <c r="DG52" i="59"/>
  <c r="DM52" i="59"/>
  <c r="DN52" i="59"/>
  <c r="DO52" i="59"/>
  <c r="DQ52" i="59"/>
  <c r="DR52" i="59"/>
  <c r="DS52" i="59"/>
  <c r="DT52" i="59"/>
  <c r="DU52" i="59"/>
  <c r="DV52" i="59"/>
  <c r="DW52" i="59"/>
  <c r="DX52" i="59"/>
  <c r="DY52" i="59"/>
  <c r="DZ52" i="59"/>
  <c r="EA52" i="59"/>
  <c r="EG52" i="59"/>
  <c r="EH52" i="59"/>
  <c r="EI52" i="59"/>
  <c r="EK52" i="59"/>
  <c r="EL52" i="59"/>
  <c r="EM52" i="59"/>
  <c r="EN52" i="59"/>
  <c r="EO52" i="59"/>
  <c r="EP52" i="59"/>
  <c r="EQ52" i="59"/>
  <c r="ER52" i="59"/>
  <c r="ES52" i="59"/>
  <c r="ET52" i="59"/>
  <c r="EU52" i="59"/>
  <c r="FA52" i="59"/>
  <c r="FB52" i="59"/>
  <c r="FC52" i="59"/>
  <c r="FE52" i="59"/>
  <c r="FF52" i="59"/>
  <c r="FG52" i="59"/>
  <c r="FH52" i="59"/>
  <c r="FI52" i="59"/>
  <c r="FJ52" i="59"/>
  <c r="FK52" i="59"/>
  <c r="FL52" i="59"/>
  <c r="FM52" i="59"/>
  <c r="FN52" i="59"/>
  <c r="FO52" i="59"/>
  <c r="FU52" i="59"/>
  <c r="FV52" i="59"/>
  <c r="FW52" i="59"/>
  <c r="FX52" i="59"/>
  <c r="FY52" i="59"/>
  <c r="FZ52" i="59"/>
  <c r="GA52" i="59"/>
  <c r="GB52" i="59"/>
  <c r="GC52" i="59"/>
  <c r="GD52" i="59"/>
  <c r="GE52" i="59"/>
  <c r="GO52" i="59"/>
  <c r="GP52" i="59"/>
  <c r="GQ52" i="59"/>
  <c r="GS52" i="59"/>
  <c r="GT52" i="59"/>
  <c r="GU52" i="59"/>
  <c r="GV52" i="59"/>
  <c r="GW52" i="59"/>
  <c r="GX52" i="59"/>
  <c r="GY52" i="59"/>
  <c r="GZ52" i="59"/>
  <c r="HA52" i="59"/>
  <c r="HB52" i="59"/>
  <c r="HC52" i="59"/>
  <c r="HI52" i="59"/>
  <c r="HJ52" i="59"/>
  <c r="HK52" i="59"/>
  <c r="HM52" i="59"/>
  <c r="HN52" i="59"/>
  <c r="HO52" i="59"/>
  <c r="HP52" i="59"/>
  <c r="HQ52" i="59"/>
  <c r="HR52" i="59"/>
  <c r="HS52" i="59"/>
  <c r="HT52" i="59"/>
  <c r="HU52" i="59"/>
  <c r="HV52" i="59"/>
  <c r="HW52" i="59"/>
  <c r="IC52" i="59"/>
  <c r="ID52" i="59"/>
  <c r="IE52" i="59"/>
  <c r="IG52" i="59"/>
  <c r="IH52" i="59"/>
  <c r="II52" i="59"/>
  <c r="IJ52" i="59"/>
  <c r="IK52" i="59"/>
  <c r="IL52" i="59"/>
  <c r="IM52" i="59"/>
  <c r="IN52" i="59"/>
  <c r="IO52" i="59"/>
  <c r="IP52" i="59"/>
  <c r="IQ52" i="59"/>
  <c r="F53" i="59"/>
  <c r="G53" i="59"/>
  <c r="H53" i="59"/>
  <c r="J53" i="59"/>
  <c r="K53" i="59"/>
  <c r="L53" i="59"/>
  <c r="M53" i="59"/>
  <c r="N53" i="59"/>
  <c r="O53" i="59"/>
  <c r="P53" i="59"/>
  <c r="Q53" i="59"/>
  <c r="R53" i="59"/>
  <c r="S53" i="59"/>
  <c r="T53" i="59"/>
  <c r="Z53" i="59"/>
  <c r="AA53" i="59"/>
  <c r="AB53" i="59"/>
  <c r="AD53" i="59"/>
  <c r="AE53" i="59"/>
  <c r="AF53" i="59"/>
  <c r="AG53" i="59"/>
  <c r="AH53" i="59"/>
  <c r="AI53" i="59"/>
  <c r="AJ53" i="59"/>
  <c r="AK53" i="59"/>
  <c r="AL53" i="59"/>
  <c r="AM53" i="59"/>
  <c r="AN53" i="59"/>
  <c r="AT53" i="59"/>
  <c r="AU53" i="59"/>
  <c r="AV53" i="59"/>
  <c r="AX53" i="59"/>
  <c r="AY53" i="59"/>
  <c r="AZ53" i="59"/>
  <c r="BA53" i="59"/>
  <c r="BB53" i="59"/>
  <c r="BC53" i="59"/>
  <c r="BD53" i="59"/>
  <c r="BE53" i="59"/>
  <c r="BF53" i="59"/>
  <c r="BG53" i="59"/>
  <c r="BH53" i="59"/>
  <c r="BN53" i="59"/>
  <c r="BO53" i="59"/>
  <c r="BP53" i="59"/>
  <c r="BR53" i="59"/>
  <c r="BS53" i="59"/>
  <c r="BT53" i="59"/>
  <c r="BU53" i="59"/>
  <c r="BV53" i="59"/>
  <c r="BW53" i="59"/>
  <c r="BX53" i="59"/>
  <c r="BY53" i="59"/>
  <c r="BZ53" i="59"/>
  <c r="CA53" i="59"/>
  <c r="CB53" i="59"/>
  <c r="CH53" i="59"/>
  <c r="CI53" i="59"/>
  <c r="CJ53" i="59"/>
  <c r="CL53" i="59"/>
  <c r="CM53" i="59"/>
  <c r="CN53" i="59"/>
  <c r="CO53" i="59"/>
  <c r="CP53" i="59"/>
  <c r="CQ53" i="59"/>
  <c r="CR53" i="59"/>
  <c r="CS53" i="59"/>
  <c r="CT53" i="59"/>
  <c r="CU53" i="59"/>
  <c r="CV53" i="59"/>
  <c r="DB53" i="59"/>
  <c r="DC53" i="59"/>
  <c r="DD53" i="59"/>
  <c r="DF53" i="59"/>
  <c r="DG53" i="59"/>
  <c r="DH53" i="59"/>
  <c r="DI53" i="59"/>
  <c r="DJ53" i="59"/>
  <c r="DK53" i="59"/>
  <c r="DL53" i="59"/>
  <c r="DM53" i="59"/>
  <c r="DN53" i="59"/>
  <c r="DO53" i="59"/>
  <c r="DP53" i="59"/>
  <c r="DV53" i="59"/>
  <c r="DW53" i="59"/>
  <c r="DX53" i="59"/>
  <c r="DZ53" i="59"/>
  <c r="EA53" i="59"/>
  <c r="EB53" i="59"/>
  <c r="EC53" i="59"/>
  <c r="ED53" i="59"/>
  <c r="EE53" i="59"/>
  <c r="EF53" i="59"/>
  <c r="EG53" i="59"/>
  <c r="EH53" i="59"/>
  <c r="EI53" i="59"/>
  <c r="EJ53" i="59"/>
  <c r="EP53" i="59"/>
  <c r="EQ53" i="59"/>
  <c r="ER53" i="59"/>
  <c r="ET53" i="59"/>
  <c r="EU53" i="59"/>
  <c r="EV53" i="59"/>
  <c r="EW53" i="59"/>
  <c r="EX53" i="59"/>
  <c r="EY53" i="59"/>
  <c r="EZ53" i="59"/>
  <c r="FA53" i="59"/>
  <c r="FB53" i="59"/>
  <c r="FC53" i="59"/>
  <c r="FD53" i="59"/>
  <c r="FJ53" i="59"/>
  <c r="FK53" i="59"/>
  <c r="FL53" i="59"/>
  <c r="FN53" i="59"/>
  <c r="FO53" i="59"/>
  <c r="FP53" i="59"/>
  <c r="FQ53" i="59"/>
  <c r="FR53" i="59"/>
  <c r="FS53" i="59"/>
  <c r="FT53" i="59"/>
  <c r="FU53" i="59"/>
  <c r="FV53" i="59"/>
  <c r="FW53" i="59"/>
  <c r="FX53" i="59"/>
  <c r="GD53" i="59"/>
  <c r="GE53" i="59"/>
  <c r="GF53" i="59"/>
  <c r="GH53" i="59"/>
  <c r="GI53" i="59"/>
  <c r="GJ53" i="59"/>
  <c r="GK53" i="59"/>
  <c r="GL53" i="59"/>
  <c r="GM53" i="59"/>
  <c r="GN53" i="59"/>
  <c r="GO53" i="59"/>
  <c r="GP53" i="59"/>
  <c r="GQ53" i="59"/>
  <c r="GR53" i="59"/>
  <c r="GX53" i="59"/>
  <c r="GY53" i="59"/>
  <c r="GZ53" i="59"/>
  <c r="HB53" i="59"/>
  <c r="HC53" i="59"/>
  <c r="HD53" i="59"/>
  <c r="HE53" i="59"/>
  <c r="HF53" i="59"/>
  <c r="HG53" i="59"/>
  <c r="HH53" i="59"/>
  <c r="HI53" i="59"/>
  <c r="HJ53" i="59"/>
  <c r="HK53" i="59"/>
  <c r="HL53" i="59"/>
  <c r="HR53" i="59"/>
  <c r="HS53" i="59"/>
  <c r="HT53" i="59"/>
  <c r="HV53" i="59"/>
  <c r="HW53" i="59"/>
  <c r="HX53" i="59"/>
  <c r="HY53" i="59"/>
  <c r="HZ53" i="59"/>
  <c r="IA53" i="59"/>
  <c r="IB53" i="59"/>
  <c r="IC53" i="59"/>
  <c r="ID53" i="59"/>
  <c r="IE53" i="59"/>
  <c r="IF53" i="59"/>
  <c r="IL53" i="59"/>
  <c r="IM53" i="59"/>
  <c r="IN53" i="59"/>
  <c r="IP53" i="59"/>
  <c r="IQ53" i="59"/>
  <c r="IR53" i="59"/>
  <c r="IS53" i="59"/>
  <c r="IT53" i="59"/>
  <c r="IU53" i="59"/>
  <c r="IV53" i="59"/>
  <c r="F54" i="59"/>
  <c r="G54" i="59"/>
  <c r="H54" i="59"/>
  <c r="I54" i="59"/>
  <c r="O54" i="59"/>
  <c r="P54" i="59"/>
  <c r="Q54" i="59"/>
  <c r="S54" i="59"/>
  <c r="T54" i="59"/>
  <c r="U54" i="59"/>
  <c r="V54" i="59"/>
  <c r="W54" i="59"/>
  <c r="X54" i="59"/>
  <c r="Y54" i="59"/>
  <c r="Z54" i="59"/>
  <c r="AA54" i="59"/>
  <c r="AB54" i="59"/>
  <c r="AC54" i="59"/>
  <c r="AI54" i="59"/>
  <c r="AJ54" i="59"/>
  <c r="AK54" i="59"/>
  <c r="AM54" i="59"/>
  <c r="AN54" i="59"/>
  <c r="AO54" i="59"/>
  <c r="AP54" i="59"/>
  <c r="AQ54" i="59"/>
  <c r="AR54" i="59"/>
  <c r="AS54" i="59"/>
  <c r="AT54" i="59"/>
  <c r="AU54" i="59"/>
  <c r="AV54" i="59"/>
  <c r="AW54" i="59"/>
  <c r="BC54" i="59"/>
  <c r="BD54" i="59"/>
  <c r="BE54" i="59"/>
  <c r="BG54" i="59"/>
  <c r="BH54" i="59"/>
  <c r="BI54" i="59"/>
  <c r="BJ54" i="59"/>
  <c r="BK54" i="59"/>
  <c r="BL54" i="59"/>
  <c r="BM54" i="59"/>
  <c r="BN54" i="59"/>
  <c r="BO54" i="59"/>
  <c r="BP54" i="59"/>
  <c r="BQ54" i="59"/>
  <c r="BW54" i="59"/>
  <c r="BX54" i="59"/>
  <c r="BY54" i="59"/>
  <c r="CA54" i="59"/>
  <c r="CB54" i="59"/>
  <c r="CC54" i="59"/>
  <c r="CD54" i="59"/>
  <c r="CE54" i="59"/>
  <c r="CF54" i="59"/>
  <c r="CG54" i="59"/>
  <c r="CH54" i="59"/>
  <c r="CI54" i="59"/>
  <c r="CJ54" i="59"/>
  <c r="CK54" i="59"/>
  <c r="CQ54" i="59"/>
  <c r="CR54" i="59"/>
  <c r="CS54" i="59"/>
  <c r="CT54" i="59"/>
  <c r="CU54" i="59"/>
  <c r="CV54" i="59"/>
  <c r="CW54" i="59"/>
  <c r="CX54" i="59"/>
  <c r="CY54" i="59"/>
  <c r="CZ54" i="59"/>
  <c r="DA54" i="59"/>
  <c r="DK54" i="59"/>
  <c r="DL54" i="59"/>
  <c r="DM54" i="59"/>
  <c r="DO54" i="59"/>
  <c r="DP54" i="59"/>
  <c r="DQ54" i="59"/>
  <c r="DR54" i="59"/>
  <c r="DS54" i="59"/>
  <c r="DT54" i="59"/>
  <c r="DU54" i="59"/>
  <c r="DV54" i="59"/>
  <c r="DW54" i="59"/>
  <c r="DX54" i="59"/>
  <c r="DY54" i="59"/>
  <c r="EE54" i="59"/>
  <c r="EF54" i="59"/>
  <c r="EG54" i="59"/>
  <c r="EI54" i="59"/>
  <c r="EJ54" i="59"/>
  <c r="EK54" i="59"/>
  <c r="EL54" i="59"/>
  <c r="EM54" i="59"/>
  <c r="EN54" i="59"/>
  <c r="EO54" i="59"/>
  <c r="EP54" i="59"/>
  <c r="EQ54" i="59"/>
  <c r="ER54" i="59"/>
  <c r="ES54" i="59"/>
  <c r="EY54" i="59"/>
  <c r="EZ54" i="59"/>
  <c r="FA54" i="59"/>
  <c r="FC54" i="59"/>
  <c r="FD54" i="59"/>
  <c r="FE54" i="59"/>
  <c r="FF54" i="59"/>
  <c r="FG54" i="59"/>
  <c r="FH54" i="59"/>
  <c r="FI54" i="59"/>
  <c r="FJ54" i="59"/>
  <c r="FK54" i="59"/>
  <c r="FL54" i="59"/>
  <c r="FM54" i="59"/>
  <c r="FS54" i="59"/>
  <c r="FT54" i="59"/>
  <c r="FU54" i="59"/>
  <c r="FW54" i="59"/>
  <c r="FX54" i="59"/>
  <c r="FY54" i="59"/>
  <c r="FZ54" i="59"/>
  <c r="GA54" i="59"/>
  <c r="GB54" i="59"/>
  <c r="GC54" i="59"/>
  <c r="GD54" i="59"/>
  <c r="GE54" i="59"/>
  <c r="GF54" i="59"/>
  <c r="GG54" i="59"/>
  <c r="GM54" i="59"/>
  <c r="GN54" i="59"/>
  <c r="GO54" i="59"/>
  <c r="GQ54" i="59"/>
  <c r="GR54" i="59"/>
  <c r="GS54" i="59"/>
  <c r="GT54" i="59"/>
  <c r="GU54" i="59"/>
  <c r="GV54" i="59"/>
  <c r="GW54" i="59"/>
  <c r="GX54" i="59"/>
  <c r="GY54" i="59"/>
  <c r="GZ54" i="59"/>
  <c r="HA54" i="59"/>
  <c r="HG54" i="59"/>
  <c r="HH54" i="59"/>
  <c r="HI54" i="59"/>
  <c r="HK54" i="59"/>
  <c r="HL54" i="59"/>
  <c r="HM54" i="59"/>
  <c r="HN54" i="59"/>
  <c r="HO54" i="59"/>
  <c r="HP54" i="59"/>
  <c r="HQ54" i="59"/>
  <c r="HR54" i="59"/>
  <c r="HS54" i="59"/>
  <c r="HT54" i="59"/>
  <c r="HU54" i="59"/>
  <c r="IA54" i="59"/>
  <c r="IB54" i="59"/>
  <c r="IC54" i="59"/>
  <c r="IE54" i="59"/>
  <c r="IF54" i="59"/>
  <c r="IG54" i="59"/>
  <c r="IH54" i="59"/>
  <c r="II54" i="59"/>
  <c r="IJ54" i="59"/>
  <c r="IK54" i="59"/>
  <c r="IL54" i="59"/>
  <c r="IM54" i="59"/>
  <c r="IN54" i="59"/>
  <c r="IO54" i="59"/>
  <c r="IU54" i="59"/>
  <c r="IV54" i="59"/>
  <c r="F55" i="59"/>
  <c r="H55" i="59"/>
  <c r="I55" i="59"/>
  <c r="J55" i="59"/>
  <c r="K55" i="59"/>
  <c r="L55" i="59"/>
  <c r="M55" i="59"/>
  <c r="N55" i="59"/>
  <c r="O55" i="59"/>
  <c r="P55" i="59"/>
  <c r="Q55" i="59"/>
  <c r="R55" i="59"/>
  <c r="X55" i="59"/>
  <c r="Y55" i="59"/>
  <c r="Z55" i="59"/>
  <c r="AB55" i="59"/>
  <c r="AC55" i="59"/>
  <c r="AD55" i="59"/>
  <c r="AE55" i="59"/>
  <c r="AF55" i="59"/>
  <c r="AG55" i="59"/>
  <c r="AH55" i="59"/>
  <c r="AI55" i="59"/>
  <c r="AJ55" i="59"/>
  <c r="AK55" i="59"/>
  <c r="AL55" i="59"/>
  <c r="AR55" i="59"/>
  <c r="AS55" i="59"/>
  <c r="AT55" i="59"/>
  <c r="AV55" i="59"/>
  <c r="AW55" i="59"/>
  <c r="AX55" i="59"/>
  <c r="AY55" i="59"/>
  <c r="AZ55" i="59"/>
  <c r="BA55" i="59"/>
  <c r="BB55" i="59"/>
  <c r="BC55" i="59"/>
  <c r="BD55" i="59"/>
  <c r="BE55" i="59"/>
  <c r="BF55" i="59"/>
  <c r="BL55" i="59"/>
  <c r="BM55" i="59"/>
  <c r="BN55" i="59"/>
  <c r="BP55" i="59"/>
  <c r="BQ55" i="59"/>
  <c r="BR55" i="59"/>
  <c r="BS55" i="59"/>
  <c r="BT55" i="59"/>
  <c r="BU55" i="59"/>
  <c r="BV55" i="59"/>
  <c r="BW55" i="59"/>
  <c r="BX55" i="59"/>
  <c r="BY55" i="59"/>
  <c r="BZ55" i="59"/>
  <c r="CF55" i="59"/>
  <c r="CG55" i="59"/>
  <c r="CH55" i="59"/>
  <c r="CJ55" i="59"/>
  <c r="CK55" i="59"/>
  <c r="CL55" i="59"/>
  <c r="CM55" i="59"/>
  <c r="CN55" i="59"/>
  <c r="CO55" i="59"/>
  <c r="CP55" i="59"/>
  <c r="CQ55" i="59"/>
  <c r="CR55" i="59"/>
  <c r="CS55" i="59"/>
  <c r="CT55" i="59"/>
  <c r="CZ55" i="59"/>
  <c r="DA55" i="59"/>
  <c r="DB55" i="59"/>
  <c r="DD55" i="59"/>
  <c r="DE55" i="59"/>
  <c r="DF55" i="59"/>
  <c r="DG55" i="59"/>
  <c r="DH55" i="59"/>
  <c r="DI55" i="59"/>
  <c r="DJ55" i="59"/>
  <c r="DK55" i="59"/>
  <c r="DL55" i="59"/>
  <c r="DM55" i="59"/>
  <c r="DN55" i="59"/>
  <c r="DT55" i="59"/>
  <c r="DU55" i="59"/>
  <c r="DV55" i="59"/>
  <c r="DX55" i="59"/>
  <c r="DY55" i="59"/>
  <c r="DZ55" i="59"/>
  <c r="EA55" i="59"/>
  <c r="EB55" i="59"/>
  <c r="EC55" i="59"/>
  <c r="ED55" i="59"/>
  <c r="EE55" i="59"/>
  <c r="EF55" i="59"/>
  <c r="EG55" i="59"/>
  <c r="EH55" i="59"/>
  <c r="EN55" i="59"/>
  <c r="EO55" i="59"/>
  <c r="EP55" i="59"/>
  <c r="ER55" i="59"/>
  <c r="ES55" i="59"/>
  <c r="ET55" i="59"/>
  <c r="EU55" i="59"/>
  <c r="EV55" i="59"/>
  <c r="EW55" i="59"/>
  <c r="EX55" i="59"/>
  <c r="EY55" i="59"/>
  <c r="EZ55" i="59"/>
  <c r="FA55" i="59"/>
  <c r="FB55" i="59"/>
  <c r="FH55" i="59"/>
  <c r="FI55" i="59"/>
  <c r="FJ55" i="59"/>
  <c r="FL55" i="59"/>
  <c r="FM55" i="59"/>
  <c r="FN55" i="59"/>
  <c r="FO55" i="59"/>
  <c r="FP55" i="59"/>
  <c r="FQ55" i="59"/>
  <c r="FR55" i="59"/>
  <c r="FS55" i="59"/>
  <c r="FT55" i="59"/>
  <c r="FU55" i="59"/>
  <c r="FV55" i="59"/>
  <c r="GB55" i="59"/>
  <c r="GC55" i="59"/>
  <c r="GD55" i="59"/>
  <c r="GF55" i="59"/>
  <c r="GG55" i="59"/>
  <c r="GH55" i="59"/>
  <c r="GI55" i="59"/>
  <c r="GJ55" i="59"/>
  <c r="GK55" i="59"/>
  <c r="GL55" i="59"/>
  <c r="GM55" i="59"/>
  <c r="GN55" i="59"/>
  <c r="GO55" i="59"/>
  <c r="GP55" i="59"/>
  <c r="GV55" i="59"/>
  <c r="GW55" i="59"/>
  <c r="GX55" i="59"/>
  <c r="GZ55" i="59"/>
  <c r="HA55" i="59"/>
  <c r="HB55" i="59"/>
  <c r="HC55" i="59"/>
  <c r="HD55" i="59"/>
  <c r="HE55" i="59"/>
  <c r="HF55" i="59"/>
  <c r="HG55" i="59"/>
  <c r="HH55" i="59"/>
  <c r="HI55" i="59"/>
  <c r="HJ55" i="59"/>
  <c r="HP55" i="59"/>
  <c r="HQ55" i="59"/>
  <c r="HR55" i="59"/>
  <c r="HT55" i="59"/>
  <c r="HU55" i="59"/>
  <c r="HV55" i="59"/>
  <c r="HW55" i="59"/>
  <c r="HX55" i="59"/>
  <c r="HY55" i="59"/>
  <c r="HZ55" i="59"/>
  <c r="IA55" i="59"/>
  <c r="IB55" i="59"/>
  <c r="IC55" i="59"/>
  <c r="ID55" i="59"/>
  <c r="IJ55" i="59"/>
  <c r="IK55" i="59"/>
  <c r="IL55" i="59"/>
  <c r="IN55" i="59"/>
  <c r="IO55" i="59"/>
  <c r="IP55" i="59"/>
  <c r="IQ55" i="59"/>
  <c r="IR55" i="59"/>
  <c r="IS55" i="59"/>
  <c r="IT55" i="59"/>
  <c r="IU55" i="59"/>
  <c r="IV55" i="59"/>
  <c r="F56" i="59"/>
  <c r="G56" i="59"/>
  <c r="M56" i="59"/>
  <c r="N56" i="59"/>
  <c r="O56" i="59"/>
  <c r="P56" i="59"/>
  <c r="Q56" i="59"/>
  <c r="R56" i="59"/>
  <c r="S56" i="59"/>
  <c r="T56" i="59"/>
  <c r="U56" i="59"/>
  <c r="V56" i="59"/>
  <c r="W56" i="59"/>
  <c r="AG56" i="59"/>
  <c r="AH56" i="59"/>
  <c r="AI56" i="59"/>
  <c r="AK56" i="59"/>
  <c r="AL56" i="59"/>
  <c r="AM56" i="59"/>
  <c r="AN56" i="59"/>
  <c r="AO56" i="59"/>
  <c r="AP56" i="59"/>
  <c r="AQ56" i="59"/>
  <c r="AR56" i="59"/>
  <c r="AS56" i="59"/>
  <c r="AT56" i="59"/>
  <c r="AU56" i="59"/>
  <c r="BA56" i="59"/>
  <c r="BB56" i="59"/>
  <c r="BC56" i="59"/>
  <c r="BE56" i="59"/>
  <c r="BF56" i="59"/>
  <c r="BG56" i="59"/>
  <c r="BH56" i="59"/>
  <c r="BI56" i="59"/>
  <c r="BJ56" i="59"/>
  <c r="BK56" i="59"/>
  <c r="BL56" i="59"/>
  <c r="BM56" i="59"/>
  <c r="BN56" i="59"/>
  <c r="BO56" i="59"/>
  <c r="BU56" i="59"/>
  <c r="BV56" i="59"/>
  <c r="BW56" i="59"/>
  <c r="BY56" i="59"/>
  <c r="BZ56" i="59"/>
  <c r="CA56" i="59"/>
  <c r="CB56" i="59"/>
  <c r="CC56" i="59"/>
  <c r="CD56" i="59"/>
  <c r="CE56" i="59"/>
  <c r="CF56" i="59"/>
  <c r="CG56" i="59"/>
  <c r="CH56" i="59"/>
  <c r="CI56" i="59"/>
  <c r="CO56" i="59"/>
  <c r="CP56" i="59"/>
  <c r="CQ56" i="59"/>
  <c r="CS56" i="59"/>
  <c r="CT56" i="59"/>
  <c r="CU56" i="59"/>
  <c r="CV56" i="59"/>
  <c r="CW56" i="59"/>
  <c r="CX56" i="59"/>
  <c r="CY56" i="59"/>
  <c r="CZ56" i="59"/>
  <c r="DA56" i="59"/>
  <c r="DB56" i="59"/>
  <c r="DC56" i="59"/>
  <c r="DI56" i="59"/>
  <c r="DJ56" i="59"/>
  <c r="DK56" i="59"/>
  <c r="DM56" i="59"/>
  <c r="DN56" i="59"/>
  <c r="DO56" i="59"/>
  <c r="DP56" i="59"/>
  <c r="DQ56" i="59"/>
  <c r="DR56" i="59"/>
  <c r="DS56" i="59"/>
  <c r="DT56" i="59"/>
  <c r="DU56" i="59"/>
  <c r="DV56" i="59"/>
  <c r="DW56" i="59"/>
  <c r="EC56" i="59"/>
  <c r="ED56" i="59"/>
  <c r="EE56" i="59"/>
  <c r="EG56" i="59"/>
  <c r="EH56" i="59"/>
  <c r="EI56" i="59"/>
  <c r="EJ56" i="59"/>
  <c r="EK56" i="59"/>
  <c r="EL56" i="59"/>
  <c r="EM56" i="59"/>
  <c r="EN56" i="59"/>
  <c r="EO56" i="59"/>
  <c r="EP56" i="59"/>
  <c r="EQ56" i="59"/>
  <c r="EW56" i="59"/>
  <c r="EX56" i="59"/>
  <c r="EY56" i="59"/>
  <c r="FA56" i="59"/>
  <c r="FB56" i="59"/>
  <c r="FC56" i="59"/>
  <c r="FD56" i="59"/>
  <c r="FE56" i="59"/>
  <c r="FF56" i="59"/>
  <c r="FG56" i="59"/>
  <c r="FH56" i="59"/>
  <c r="FI56" i="59"/>
  <c r="FJ56" i="59"/>
  <c r="FK56" i="59"/>
  <c r="FQ56" i="59"/>
  <c r="FR56" i="59"/>
  <c r="FS56" i="59"/>
  <c r="FU56" i="59"/>
  <c r="FV56" i="59"/>
  <c r="FW56" i="59"/>
  <c r="FX56" i="59"/>
  <c r="FY56" i="59"/>
  <c r="FZ56" i="59"/>
  <c r="GA56" i="59"/>
  <c r="GB56" i="59"/>
  <c r="GC56" i="59"/>
  <c r="GD56" i="59"/>
  <c r="GE56" i="59"/>
  <c r="GK56" i="59"/>
  <c r="GL56" i="59"/>
  <c r="GM56" i="59"/>
  <c r="GO56" i="59"/>
  <c r="GP56" i="59"/>
  <c r="GQ56" i="59"/>
  <c r="GR56" i="59"/>
  <c r="GS56" i="59"/>
  <c r="GT56" i="59"/>
  <c r="GU56" i="59"/>
  <c r="GV56" i="59"/>
  <c r="GW56" i="59"/>
  <c r="GX56" i="59"/>
  <c r="GY56" i="59"/>
  <c r="HE56" i="59"/>
  <c r="HF56" i="59"/>
  <c r="HG56" i="59"/>
  <c r="HI56" i="59"/>
  <c r="HJ56" i="59"/>
  <c r="HK56" i="59"/>
  <c r="HL56" i="59"/>
  <c r="HM56" i="59"/>
  <c r="HN56" i="59"/>
  <c r="HO56" i="59"/>
  <c r="HP56" i="59"/>
  <c r="HQ56" i="59"/>
  <c r="HR56" i="59"/>
  <c r="HS56" i="59"/>
  <c r="HY56" i="59"/>
  <c r="HZ56" i="59"/>
  <c r="IA56" i="59"/>
  <c r="IC56" i="59"/>
  <c r="ID56" i="59"/>
  <c r="IE56" i="59"/>
  <c r="IF56" i="59"/>
  <c r="IG56" i="59"/>
  <c r="IH56" i="59"/>
  <c r="II56" i="59"/>
  <c r="IJ56" i="59"/>
  <c r="IK56" i="59"/>
  <c r="IL56" i="59"/>
  <c r="IM56" i="59"/>
  <c r="IS56" i="59"/>
  <c r="IT56" i="59"/>
  <c r="IU56" i="59"/>
  <c r="F57" i="59"/>
  <c r="G57" i="59"/>
  <c r="H57" i="59"/>
  <c r="I57" i="59"/>
  <c r="J57" i="59"/>
  <c r="K57" i="59"/>
  <c r="L57" i="59"/>
  <c r="M57" i="59"/>
  <c r="N57" i="59"/>
  <c r="O57" i="59"/>
  <c r="P57" i="59"/>
  <c r="V57" i="59"/>
  <c r="W57" i="59"/>
  <c r="X57" i="59"/>
  <c r="Z57" i="59"/>
  <c r="AA57" i="59"/>
  <c r="AB57" i="59"/>
  <c r="AC57" i="59"/>
  <c r="AD57" i="59"/>
  <c r="AE57" i="59"/>
  <c r="AF57" i="59"/>
  <c r="AG57" i="59"/>
  <c r="AH57" i="59"/>
  <c r="AI57" i="59"/>
  <c r="AJ57" i="59"/>
  <c r="AP57" i="59"/>
  <c r="AQ57" i="59"/>
  <c r="AR57" i="59"/>
  <c r="AT57" i="59"/>
  <c r="AU57" i="59"/>
  <c r="AV57" i="59"/>
  <c r="AW57" i="59"/>
  <c r="AX57" i="59"/>
  <c r="AY57" i="59"/>
  <c r="AZ57" i="59"/>
  <c r="BA57" i="59"/>
  <c r="BB57" i="59"/>
  <c r="BC57" i="59"/>
  <c r="BD57" i="59"/>
  <c r="BJ57" i="59"/>
  <c r="BK57" i="59"/>
  <c r="BL57" i="59"/>
  <c r="BN57" i="59"/>
  <c r="BO57" i="59"/>
  <c r="BP57" i="59"/>
  <c r="BQ57" i="59"/>
  <c r="BR57" i="59"/>
  <c r="BS57" i="59"/>
  <c r="BT57" i="59"/>
  <c r="BU57" i="59"/>
  <c r="BV57" i="59"/>
  <c r="BW57" i="59"/>
  <c r="BX57" i="59"/>
  <c r="CD57" i="59"/>
  <c r="CE57" i="59"/>
  <c r="CF57" i="59"/>
  <c r="CH57" i="59"/>
  <c r="CI57" i="59"/>
  <c r="CJ57" i="59"/>
  <c r="CK57" i="59"/>
  <c r="CL57" i="59"/>
  <c r="CM57" i="59"/>
  <c r="CN57" i="59"/>
  <c r="CO57" i="59"/>
  <c r="CP57" i="59"/>
  <c r="CQ57" i="59"/>
  <c r="CR57" i="59"/>
  <c r="CX57" i="59"/>
  <c r="CY57" i="59"/>
  <c r="CZ57" i="59"/>
  <c r="DB57" i="59"/>
  <c r="DC57" i="59"/>
  <c r="DD57" i="59"/>
  <c r="DE57" i="59"/>
  <c r="DF57" i="59"/>
  <c r="DG57" i="59"/>
  <c r="DH57" i="59"/>
  <c r="DI57" i="59"/>
  <c r="DJ57" i="59"/>
  <c r="DK57" i="59"/>
  <c r="DL57" i="59"/>
  <c r="DR57" i="59"/>
  <c r="DS57" i="59"/>
  <c r="DT57" i="59"/>
  <c r="DV57" i="59"/>
  <c r="DW57" i="59"/>
  <c r="DX57" i="59"/>
  <c r="DY57" i="59"/>
  <c r="DZ57" i="59"/>
  <c r="EA57" i="59"/>
  <c r="EB57" i="59"/>
  <c r="EC57" i="59"/>
  <c r="ED57" i="59"/>
  <c r="EE57" i="59"/>
  <c r="EF57" i="59"/>
  <c r="EL57" i="59"/>
  <c r="EM57" i="59"/>
  <c r="EN57" i="59"/>
  <c r="EP57" i="59"/>
  <c r="EQ57" i="59"/>
  <c r="ER57" i="59"/>
  <c r="ES57" i="59"/>
  <c r="ET57" i="59"/>
  <c r="EU57" i="59"/>
  <c r="EV57" i="59"/>
  <c r="EW57" i="59"/>
  <c r="EX57" i="59"/>
  <c r="EY57" i="59"/>
  <c r="EZ57" i="59"/>
  <c r="FF57" i="59"/>
  <c r="FG57" i="59"/>
  <c r="FH57" i="59"/>
  <c r="FJ57" i="59"/>
  <c r="FK57" i="59"/>
  <c r="FL57" i="59"/>
  <c r="FM57" i="59"/>
  <c r="FN57" i="59"/>
  <c r="FO57" i="59"/>
  <c r="FP57" i="59"/>
  <c r="FQ57" i="59"/>
  <c r="FR57" i="59"/>
  <c r="FS57" i="59"/>
  <c r="FT57" i="59"/>
  <c r="FZ57" i="59"/>
  <c r="GA57" i="59"/>
  <c r="GB57" i="59"/>
  <c r="GC57" i="59"/>
  <c r="GD57" i="59"/>
  <c r="GE57" i="59"/>
  <c r="GF57" i="59"/>
  <c r="GG57" i="59"/>
  <c r="GH57" i="59"/>
  <c r="GI57" i="59"/>
  <c r="GJ57" i="59"/>
  <c r="GT57" i="59"/>
  <c r="GU57" i="59"/>
  <c r="GV57" i="59"/>
  <c r="GX57" i="59"/>
  <c r="GY57" i="59"/>
  <c r="GZ57" i="59"/>
  <c r="HA57" i="59"/>
  <c r="HB57" i="59"/>
  <c r="HC57" i="59"/>
  <c r="HD57" i="59"/>
  <c r="HE57" i="59"/>
  <c r="HF57" i="59"/>
  <c r="HG57" i="59"/>
  <c r="HH57" i="59"/>
  <c r="HN57" i="59"/>
  <c r="HO57" i="59"/>
  <c r="HP57" i="59"/>
  <c r="HR57" i="59"/>
  <c r="HS57" i="59"/>
  <c r="HT57" i="59"/>
  <c r="HU57" i="59"/>
  <c r="HV57" i="59"/>
  <c r="HW57" i="59"/>
  <c r="HX57" i="59"/>
  <c r="HY57" i="59"/>
  <c r="HZ57" i="59"/>
  <c r="IA57" i="59"/>
  <c r="IB57" i="59"/>
  <c r="IH57" i="59"/>
  <c r="II57" i="59"/>
  <c r="IJ57" i="59"/>
  <c r="IL57" i="59"/>
  <c r="IM57" i="59"/>
  <c r="IN57" i="59"/>
  <c r="IO57" i="59"/>
  <c r="IP57" i="59"/>
  <c r="IQ57" i="59"/>
  <c r="IR57" i="59"/>
  <c r="IS57" i="59"/>
  <c r="IT57" i="59"/>
  <c r="IU57" i="59"/>
  <c r="IV57" i="59"/>
  <c r="K58" i="59"/>
  <c r="L58" i="59"/>
  <c r="M58" i="59"/>
  <c r="O58" i="59"/>
  <c r="P58" i="59"/>
  <c r="Q58" i="59"/>
  <c r="R58" i="59"/>
  <c r="S58" i="59"/>
  <c r="T58" i="59"/>
  <c r="U58" i="59"/>
  <c r="V58" i="59"/>
  <c r="W58" i="59"/>
  <c r="X58" i="59"/>
  <c r="Y58" i="59"/>
  <c r="AE58" i="59"/>
  <c r="AF58" i="59"/>
  <c r="AG58" i="59"/>
  <c r="AI58" i="59"/>
  <c r="AJ58" i="59"/>
  <c r="AK58" i="59"/>
  <c r="AL58" i="59"/>
  <c r="AM58" i="59"/>
  <c r="AN58" i="59"/>
  <c r="AO58" i="59"/>
  <c r="AP58" i="59"/>
  <c r="AQ58" i="59"/>
  <c r="AR58" i="59"/>
  <c r="AS58" i="59"/>
  <c r="AY58" i="59"/>
  <c r="AZ58" i="59"/>
  <c r="BA58" i="59"/>
  <c r="BC58" i="59"/>
  <c r="BD58" i="59"/>
  <c r="BE58" i="59"/>
  <c r="BF58" i="59"/>
  <c r="BG58" i="59"/>
  <c r="BH58" i="59"/>
  <c r="BI58" i="59"/>
  <c r="BJ58" i="59"/>
  <c r="BK58" i="59"/>
  <c r="BL58" i="59"/>
  <c r="BM58" i="59"/>
  <c r="BS58" i="59"/>
  <c r="BT58" i="59"/>
  <c r="BU58" i="59"/>
  <c r="BW58" i="59"/>
  <c r="BX58" i="59"/>
  <c r="BY58" i="59"/>
  <c r="BZ58" i="59"/>
  <c r="CA58" i="59"/>
  <c r="CB58" i="59"/>
  <c r="CC58" i="59"/>
  <c r="CD58" i="59"/>
  <c r="CE58" i="59"/>
  <c r="CF58" i="59"/>
  <c r="CG58" i="59"/>
  <c r="CM58" i="59"/>
  <c r="CN58" i="59"/>
  <c r="CO58" i="59"/>
  <c r="CQ58" i="59"/>
  <c r="CR58" i="59"/>
  <c r="CS58" i="59"/>
  <c r="CT58" i="59"/>
  <c r="CU58" i="59"/>
  <c r="CV58" i="59"/>
  <c r="CW58" i="59"/>
  <c r="CX58" i="59"/>
  <c r="CY58" i="59"/>
  <c r="CZ58" i="59"/>
  <c r="DA58" i="59"/>
  <c r="DG58" i="59"/>
  <c r="DH58" i="59"/>
  <c r="DI58" i="59"/>
  <c r="DK58" i="59"/>
  <c r="DL58" i="59"/>
  <c r="DM58" i="59"/>
  <c r="DN58" i="59"/>
  <c r="DO58" i="59"/>
  <c r="DP58" i="59"/>
  <c r="DQ58" i="59"/>
  <c r="DR58" i="59"/>
  <c r="DS58" i="59"/>
  <c r="DT58" i="59"/>
  <c r="DU58" i="59"/>
  <c r="EA58" i="59"/>
  <c r="EB58" i="59"/>
  <c r="EC58" i="59"/>
  <c r="EE58" i="59"/>
  <c r="EF58" i="59"/>
  <c r="EG58" i="59"/>
  <c r="EH58" i="59"/>
  <c r="EI58" i="59"/>
  <c r="EJ58" i="59"/>
  <c r="EK58" i="59"/>
  <c r="EL58" i="59"/>
  <c r="EM58" i="59"/>
  <c r="EN58" i="59"/>
  <c r="EO58" i="59"/>
  <c r="EU58" i="59"/>
  <c r="EV58" i="59"/>
  <c r="EW58" i="59"/>
  <c r="EY58" i="59"/>
  <c r="EZ58" i="59"/>
  <c r="FA58" i="59"/>
  <c r="FB58" i="59"/>
  <c r="FC58" i="59"/>
  <c r="FD58" i="59"/>
  <c r="FE58" i="59"/>
  <c r="FF58" i="59"/>
  <c r="FG58" i="59"/>
  <c r="FH58" i="59"/>
  <c r="FI58" i="59"/>
  <c r="FO58" i="59"/>
  <c r="FP58" i="59"/>
  <c r="FQ58" i="59"/>
  <c r="FS58" i="59"/>
  <c r="FT58" i="59"/>
  <c r="FU58" i="59"/>
  <c r="FV58" i="59"/>
  <c r="FW58" i="59"/>
  <c r="FX58" i="59"/>
  <c r="FY58" i="59"/>
  <c r="FZ58" i="59"/>
  <c r="GA58" i="59"/>
  <c r="GB58" i="59"/>
  <c r="GC58" i="59"/>
  <c r="GI58" i="59"/>
  <c r="GJ58" i="59"/>
  <c r="GK58" i="59"/>
  <c r="GM58" i="59"/>
  <c r="GN58" i="59"/>
  <c r="GO58" i="59"/>
  <c r="GP58" i="59"/>
  <c r="GQ58" i="59"/>
  <c r="GR58" i="59"/>
  <c r="GS58" i="59"/>
  <c r="GT58" i="59"/>
  <c r="GU58" i="59"/>
  <c r="GV58" i="59"/>
  <c r="GW58" i="59"/>
  <c r="HC58" i="59"/>
  <c r="HD58" i="59"/>
  <c r="HE58" i="59"/>
  <c r="HG58" i="59"/>
  <c r="HH58" i="59"/>
  <c r="HI58" i="59"/>
  <c r="HJ58" i="59"/>
  <c r="HK58" i="59"/>
  <c r="HL58" i="59"/>
  <c r="HM58" i="59"/>
  <c r="HN58" i="59"/>
  <c r="HO58" i="59"/>
  <c r="HP58" i="59"/>
  <c r="HQ58" i="59"/>
  <c r="HW58" i="59"/>
  <c r="HX58" i="59"/>
  <c r="HY58" i="59"/>
  <c r="IA58" i="59"/>
  <c r="IB58" i="59"/>
  <c r="IC58" i="59"/>
  <c r="ID58" i="59"/>
  <c r="IE58" i="59"/>
  <c r="IF58" i="59"/>
  <c r="IG58" i="59"/>
  <c r="IH58" i="59"/>
  <c r="II58" i="59"/>
  <c r="IJ58" i="59"/>
  <c r="IK58" i="59"/>
  <c r="IQ58" i="59"/>
  <c r="IR58" i="59"/>
  <c r="IS58" i="59"/>
  <c r="IU58" i="59"/>
  <c r="IV58" i="59"/>
  <c r="F59" i="59"/>
  <c r="G59" i="59"/>
  <c r="H59" i="59"/>
  <c r="I59" i="59"/>
  <c r="J59" i="59"/>
  <c r="K59" i="59"/>
  <c r="L59" i="59"/>
  <c r="M59" i="59"/>
  <c r="N59" i="59"/>
  <c r="T59" i="59"/>
  <c r="U59" i="59"/>
  <c r="V59" i="59"/>
  <c r="X59" i="59"/>
  <c r="Y59" i="59"/>
  <c r="Z59" i="59"/>
  <c r="AA59" i="59"/>
  <c r="AB59" i="59"/>
  <c r="AC59" i="59"/>
  <c r="AD59" i="59"/>
  <c r="AE59" i="59"/>
  <c r="AF59" i="59"/>
  <c r="AG59" i="59"/>
  <c r="AH59" i="59"/>
  <c r="AN59" i="59"/>
  <c r="AO59" i="59"/>
  <c r="AP59" i="59"/>
  <c r="AR59" i="59"/>
  <c r="AS59" i="59"/>
  <c r="AT59" i="59"/>
  <c r="AU59" i="59"/>
  <c r="AV59" i="59"/>
  <c r="AW59" i="59"/>
  <c r="AX59" i="59"/>
  <c r="AY59" i="59"/>
  <c r="AZ59" i="59"/>
  <c r="BA59" i="59"/>
  <c r="BB59" i="59"/>
  <c r="BH59" i="59"/>
  <c r="BI59" i="59"/>
  <c r="BJ59" i="59"/>
  <c r="BL59" i="59"/>
  <c r="BM59" i="59"/>
  <c r="BN59" i="59"/>
  <c r="BO59" i="59"/>
  <c r="BP59" i="59"/>
  <c r="BQ59" i="59"/>
  <c r="BR59" i="59"/>
  <c r="BS59" i="59"/>
  <c r="BT59" i="59"/>
  <c r="BU59" i="59"/>
  <c r="BV59" i="59"/>
  <c r="CB59" i="59"/>
  <c r="CC59" i="59"/>
  <c r="CD59" i="59"/>
  <c r="CF59" i="59"/>
  <c r="CG59" i="59"/>
  <c r="CH59" i="59"/>
  <c r="CI59" i="59"/>
  <c r="CJ59" i="59"/>
  <c r="CK59" i="59"/>
  <c r="CL59" i="59"/>
  <c r="CM59" i="59"/>
  <c r="CN59" i="59"/>
  <c r="CO59" i="59"/>
  <c r="CP59" i="59"/>
  <c r="CV59" i="59"/>
  <c r="CW59" i="59"/>
  <c r="CX59" i="59"/>
  <c r="CY59" i="59"/>
  <c r="CZ59" i="59"/>
  <c r="DA59" i="59"/>
  <c r="DB59" i="59"/>
  <c r="DC59" i="59"/>
  <c r="DD59" i="59"/>
  <c r="DE59" i="59"/>
  <c r="DF59" i="59"/>
  <c r="DP59" i="59"/>
  <c r="DQ59" i="59"/>
  <c r="DR59" i="59"/>
  <c r="DT59" i="59"/>
  <c r="DU59" i="59"/>
  <c r="DV59" i="59"/>
  <c r="DW59" i="59"/>
  <c r="DX59" i="59"/>
  <c r="DY59" i="59"/>
  <c r="DZ59" i="59"/>
  <c r="EA59" i="59"/>
  <c r="EB59" i="59"/>
  <c r="EC59" i="59"/>
  <c r="ED59" i="59"/>
  <c r="EJ59" i="59"/>
  <c r="EK59" i="59"/>
  <c r="EL59" i="59"/>
  <c r="EN59" i="59"/>
  <c r="EO59" i="59"/>
  <c r="EP59" i="59"/>
  <c r="EQ59" i="59"/>
  <c r="ER59" i="59"/>
  <c r="ES59" i="59"/>
  <c r="ET59" i="59"/>
  <c r="EU59" i="59"/>
  <c r="EV59" i="59"/>
  <c r="EW59" i="59"/>
  <c r="EX59" i="59"/>
  <c r="FD59" i="59"/>
  <c r="FE59" i="59"/>
  <c r="FF59" i="59"/>
  <c r="FH59" i="59"/>
  <c r="FI59" i="59"/>
  <c r="FJ59" i="59"/>
  <c r="FK59" i="59"/>
  <c r="FL59" i="59"/>
  <c r="FM59" i="59"/>
  <c r="FN59" i="59"/>
  <c r="FO59" i="59"/>
  <c r="FP59" i="59"/>
  <c r="FQ59" i="59"/>
  <c r="FR59" i="59"/>
  <c r="FX59" i="59"/>
  <c r="FY59" i="59"/>
  <c r="FZ59" i="59"/>
  <c r="GB59" i="59"/>
  <c r="GC59" i="59"/>
  <c r="GD59" i="59"/>
  <c r="GE59" i="59"/>
  <c r="GF59" i="59"/>
  <c r="GG59" i="59"/>
  <c r="GH59" i="59"/>
  <c r="GI59" i="59"/>
  <c r="GJ59" i="59"/>
  <c r="GK59" i="59"/>
  <c r="GL59" i="59"/>
  <c r="GR59" i="59"/>
  <c r="GS59" i="59"/>
  <c r="GT59" i="59"/>
  <c r="GV59" i="59"/>
  <c r="GW59" i="59"/>
  <c r="GX59" i="59"/>
  <c r="GY59" i="59"/>
  <c r="GZ59" i="59"/>
  <c r="HA59" i="59"/>
  <c r="HB59" i="59"/>
  <c r="HC59" i="59"/>
  <c r="HD59" i="59"/>
  <c r="HE59" i="59"/>
  <c r="HF59" i="59"/>
  <c r="HL59" i="59"/>
  <c r="HM59" i="59"/>
  <c r="HN59" i="59"/>
  <c r="HP59" i="59"/>
  <c r="HQ59" i="59"/>
  <c r="HR59" i="59"/>
  <c r="HS59" i="59"/>
  <c r="HT59" i="59"/>
  <c r="HU59" i="59"/>
  <c r="HV59" i="59"/>
  <c r="HW59" i="59"/>
  <c r="HX59" i="59"/>
  <c r="HY59" i="59"/>
  <c r="HZ59" i="59"/>
  <c r="IF59" i="59"/>
  <c r="IG59" i="59"/>
  <c r="IH59" i="59"/>
  <c r="IJ59" i="59"/>
  <c r="IK59" i="59"/>
  <c r="IL59" i="59"/>
  <c r="IM59" i="59"/>
  <c r="IN59" i="59"/>
  <c r="IO59" i="59"/>
  <c r="IP59" i="59"/>
  <c r="IQ59" i="59"/>
  <c r="IR59" i="59"/>
  <c r="IS59" i="59"/>
  <c r="IT59" i="59"/>
  <c r="I60" i="59"/>
  <c r="J60" i="59"/>
  <c r="K60" i="59"/>
  <c r="M60" i="59"/>
  <c r="N60" i="59"/>
  <c r="O60" i="59"/>
  <c r="P60" i="59"/>
  <c r="Q60" i="59"/>
  <c r="R60" i="59"/>
  <c r="S60" i="59"/>
  <c r="T60" i="59"/>
  <c r="U60" i="59"/>
  <c r="V60" i="59"/>
  <c r="W60" i="59"/>
  <c r="AC60" i="59"/>
  <c r="AD60" i="59"/>
  <c r="AE60" i="59"/>
  <c r="AG60" i="59"/>
  <c r="AH60" i="59"/>
  <c r="AI60" i="59"/>
  <c r="AJ60" i="59"/>
  <c r="AK60" i="59"/>
  <c r="AL60" i="59"/>
  <c r="AM60" i="59"/>
  <c r="AN60" i="59"/>
  <c r="AO60" i="59"/>
  <c r="AP60" i="59"/>
  <c r="AQ60" i="59"/>
  <c r="AW60" i="59"/>
  <c r="AX60" i="59"/>
  <c r="AY60" i="59"/>
  <c r="BA60" i="59"/>
  <c r="BB60" i="59"/>
  <c r="BC60" i="59"/>
  <c r="BD60" i="59"/>
  <c r="BE60" i="59"/>
  <c r="BF60" i="59"/>
  <c r="BG60" i="59"/>
  <c r="BH60" i="59"/>
  <c r="BI60" i="59"/>
  <c r="BJ60" i="59"/>
  <c r="BK60" i="59"/>
  <c r="BQ60" i="59"/>
  <c r="BR60" i="59"/>
  <c r="BS60" i="59"/>
  <c r="BU60" i="59"/>
  <c r="BV60" i="59"/>
  <c r="BW60" i="59"/>
  <c r="BX60" i="59"/>
  <c r="BY60" i="59"/>
  <c r="BZ60" i="59"/>
  <c r="CA60" i="59"/>
  <c r="CB60" i="59"/>
  <c r="CC60" i="59"/>
  <c r="CD60" i="59"/>
  <c r="CE60" i="59"/>
  <c r="CK60" i="59"/>
  <c r="CL60" i="59"/>
  <c r="CM60" i="59"/>
  <c r="CO60" i="59"/>
  <c r="CP60" i="59"/>
  <c r="CQ60" i="59"/>
  <c r="CR60" i="59"/>
  <c r="CS60" i="59"/>
  <c r="CT60" i="59"/>
  <c r="CU60" i="59"/>
  <c r="CV60" i="59"/>
  <c r="CW60" i="59"/>
  <c r="CX60" i="59"/>
  <c r="CY60" i="59"/>
  <c r="DE60" i="59"/>
  <c r="DF60" i="59"/>
  <c r="DG60" i="59"/>
  <c r="DI60" i="59"/>
  <c r="DJ60" i="59"/>
  <c r="DK60" i="59"/>
  <c r="DL60" i="59"/>
  <c r="DM60" i="59"/>
  <c r="DN60" i="59"/>
  <c r="DO60" i="59"/>
  <c r="DP60" i="59"/>
  <c r="DQ60" i="59"/>
  <c r="DR60" i="59"/>
  <c r="DS60" i="59"/>
  <c r="DY60" i="59"/>
  <c r="DZ60" i="59"/>
  <c r="EA60" i="59"/>
  <c r="EC60" i="59"/>
  <c r="ED60" i="59"/>
  <c r="EE60" i="59"/>
  <c r="EF60" i="59"/>
  <c r="EG60" i="59"/>
  <c r="EH60" i="59"/>
  <c r="EI60" i="59"/>
  <c r="EJ60" i="59"/>
  <c r="EK60" i="59"/>
  <c r="EL60" i="59"/>
  <c r="EM60" i="59"/>
  <c r="ES60" i="59"/>
  <c r="ET60" i="59"/>
  <c r="EU60" i="59"/>
  <c r="EW60" i="59"/>
  <c r="EX60" i="59"/>
  <c r="EY60" i="59"/>
  <c r="EZ60" i="59"/>
  <c r="FA60" i="59"/>
  <c r="FB60" i="59"/>
  <c r="FC60" i="59"/>
  <c r="FD60" i="59"/>
  <c r="FE60" i="59"/>
  <c r="FF60" i="59"/>
  <c r="FG60" i="59"/>
  <c r="FM60" i="59"/>
  <c r="FN60" i="59"/>
  <c r="FO60" i="59"/>
  <c r="FQ60" i="59"/>
  <c r="FR60" i="59"/>
  <c r="FS60" i="59"/>
  <c r="FT60" i="59"/>
  <c r="FU60" i="59"/>
  <c r="FV60" i="59"/>
  <c r="FW60" i="59"/>
  <c r="FX60" i="59"/>
  <c r="FY60" i="59"/>
  <c r="FZ60" i="59"/>
  <c r="GA60" i="59"/>
  <c r="GG60" i="59"/>
  <c r="GH60" i="59"/>
  <c r="GI60" i="59"/>
  <c r="GK60" i="59"/>
  <c r="GL60" i="59"/>
  <c r="GM60" i="59"/>
  <c r="GN60" i="59"/>
  <c r="GO60" i="59"/>
  <c r="GP60" i="59"/>
  <c r="GQ60" i="59"/>
  <c r="GR60" i="59"/>
  <c r="GS60" i="59"/>
  <c r="GT60" i="59"/>
  <c r="GU60" i="59"/>
  <c r="HA60" i="59"/>
  <c r="HB60" i="59"/>
  <c r="HC60" i="59"/>
  <c r="HE60" i="59"/>
  <c r="HF60" i="59"/>
  <c r="HG60" i="59"/>
  <c r="HH60" i="59"/>
  <c r="HI60" i="59"/>
  <c r="HJ60" i="59"/>
  <c r="HK60" i="59"/>
  <c r="HL60" i="59"/>
  <c r="HM60" i="59"/>
  <c r="HN60" i="59"/>
  <c r="HO60" i="59"/>
  <c r="HU60" i="59"/>
  <c r="HV60" i="59"/>
  <c r="HW60" i="59"/>
  <c r="HY60" i="59"/>
  <c r="HZ60" i="59"/>
  <c r="IA60" i="59"/>
  <c r="IB60" i="59"/>
  <c r="IC60" i="59"/>
  <c r="ID60" i="59"/>
  <c r="IE60" i="59"/>
  <c r="IF60" i="59"/>
  <c r="IG60" i="59"/>
  <c r="IH60" i="59"/>
  <c r="II60" i="59"/>
  <c r="IO60" i="59"/>
  <c r="IP60" i="59"/>
  <c r="IQ60" i="59"/>
  <c r="IS60" i="59"/>
  <c r="IT60" i="59"/>
  <c r="IU60" i="59"/>
  <c r="IV60" i="59"/>
  <c r="F61" i="59"/>
  <c r="G61" i="59"/>
  <c r="H61" i="59"/>
  <c r="I61" i="59"/>
  <c r="J61" i="59"/>
  <c r="K61" i="59"/>
  <c r="L61" i="59"/>
  <c r="R61" i="59"/>
  <c r="S61" i="59"/>
  <c r="T61" i="59"/>
  <c r="U61" i="59"/>
  <c r="V61" i="59"/>
  <c r="W61" i="59"/>
  <c r="X61" i="59"/>
  <c r="Y61" i="59"/>
  <c r="Z61" i="59"/>
  <c r="AA61" i="59"/>
  <c r="AB61" i="59"/>
  <c r="AL61" i="59"/>
  <c r="AM61" i="59"/>
  <c r="AN61" i="59"/>
  <c r="AP61" i="59"/>
  <c r="AQ61" i="59"/>
  <c r="AR61" i="59"/>
  <c r="AS61" i="59"/>
  <c r="AT61" i="59"/>
  <c r="AU61" i="59"/>
  <c r="AV61" i="59"/>
  <c r="AW61" i="59"/>
  <c r="AX61" i="59"/>
  <c r="AY61" i="59"/>
  <c r="AZ61" i="59"/>
  <c r="BF61" i="59"/>
  <c r="BG61" i="59"/>
  <c r="BH61" i="59"/>
  <c r="BJ61" i="59"/>
  <c r="BK61" i="59"/>
  <c r="BL61" i="59"/>
  <c r="BM61" i="59"/>
  <c r="BN61" i="59"/>
  <c r="BO61" i="59"/>
  <c r="BP61" i="59"/>
  <c r="BQ61" i="59"/>
  <c r="BR61" i="59"/>
  <c r="BS61" i="59"/>
  <c r="BT61" i="59"/>
  <c r="BZ61" i="59"/>
  <c r="CA61" i="59"/>
  <c r="CB61" i="59"/>
  <c r="CD61" i="59"/>
  <c r="CE61" i="59"/>
  <c r="CF61" i="59"/>
  <c r="CG61" i="59"/>
  <c r="CH61" i="59"/>
  <c r="CI61" i="59"/>
  <c r="CJ61" i="59"/>
  <c r="CK61" i="59"/>
  <c r="CL61" i="59"/>
  <c r="CM61" i="59"/>
  <c r="CN61" i="59"/>
  <c r="CT61" i="59"/>
  <c r="CU61" i="59"/>
  <c r="CV61" i="59"/>
  <c r="CX61" i="59"/>
  <c r="CY61" i="59"/>
  <c r="CZ61" i="59"/>
  <c r="DA61" i="59"/>
  <c r="DB61" i="59"/>
  <c r="DC61" i="59"/>
  <c r="DD61" i="59"/>
  <c r="DE61" i="59"/>
  <c r="DF61" i="59"/>
  <c r="DG61" i="59"/>
  <c r="DH61" i="59"/>
  <c r="DN61" i="59"/>
  <c r="DO61" i="59"/>
  <c r="DP61" i="59"/>
  <c r="DR61" i="59"/>
  <c r="DS61" i="59"/>
  <c r="DT61" i="59"/>
  <c r="DU61" i="59"/>
  <c r="DV61" i="59"/>
  <c r="DW61" i="59"/>
  <c r="DX61" i="59"/>
  <c r="DY61" i="59"/>
  <c r="DZ61" i="59"/>
  <c r="EA61" i="59"/>
  <c r="EB61" i="59"/>
  <c r="EH61" i="59"/>
  <c r="EI61" i="59"/>
  <c r="EJ61" i="59"/>
  <c r="EL61" i="59"/>
  <c r="EM61" i="59"/>
  <c r="EN61" i="59"/>
  <c r="EO61" i="59"/>
  <c r="EP61" i="59"/>
  <c r="EQ61" i="59"/>
  <c r="ER61" i="59"/>
  <c r="ES61" i="59"/>
  <c r="ET61" i="59"/>
  <c r="EU61" i="59"/>
  <c r="EV61" i="59"/>
  <c r="FB61" i="59"/>
  <c r="FC61" i="59"/>
  <c r="FD61" i="59"/>
  <c r="FF61" i="59"/>
  <c r="FG61" i="59"/>
  <c r="FH61" i="59"/>
  <c r="FI61" i="59"/>
  <c r="FJ61" i="59"/>
  <c r="FK61" i="59"/>
  <c r="FL61" i="59"/>
  <c r="FM61" i="59"/>
  <c r="FN61" i="59"/>
  <c r="FO61" i="59"/>
  <c r="FP61" i="59"/>
  <c r="FV61" i="59"/>
  <c r="FW61" i="59"/>
  <c r="FX61" i="59"/>
  <c r="FZ61" i="59"/>
  <c r="GA61" i="59"/>
  <c r="GB61" i="59"/>
  <c r="GC61" i="59"/>
  <c r="GD61" i="59"/>
  <c r="GE61" i="59"/>
  <c r="GF61" i="59"/>
  <c r="GG61" i="59"/>
  <c r="GH61" i="59"/>
  <c r="GI61" i="59"/>
  <c r="GJ61" i="59"/>
  <c r="GP61" i="59"/>
  <c r="GQ61" i="59"/>
  <c r="GR61" i="59"/>
  <c r="GT61" i="59"/>
  <c r="GU61" i="59"/>
  <c r="GV61" i="59"/>
  <c r="GW61" i="59"/>
  <c r="GX61" i="59"/>
  <c r="GY61" i="59"/>
  <c r="GZ61" i="59"/>
  <c r="HA61" i="59"/>
  <c r="HB61" i="59"/>
  <c r="HC61" i="59"/>
  <c r="HD61" i="59"/>
  <c r="HJ61" i="59"/>
  <c r="HK61" i="59"/>
  <c r="HL61" i="59"/>
  <c r="HN61" i="59"/>
  <c r="HO61" i="59"/>
  <c r="HP61" i="59"/>
  <c r="HQ61" i="59"/>
  <c r="HR61" i="59"/>
  <c r="HS61" i="59"/>
  <c r="HT61" i="59"/>
  <c r="HU61" i="59"/>
  <c r="HV61" i="59"/>
  <c r="HW61" i="59"/>
  <c r="HX61" i="59"/>
  <c r="ID61" i="59"/>
  <c r="IE61" i="59"/>
  <c r="IF61" i="59"/>
  <c r="IH61" i="59"/>
  <c r="II61" i="59"/>
  <c r="IJ61" i="59"/>
  <c r="IK61" i="59"/>
  <c r="IL61" i="59"/>
  <c r="IM61" i="59"/>
  <c r="IN61" i="59"/>
  <c r="IO61" i="59"/>
  <c r="IP61" i="59"/>
  <c r="IQ61" i="59"/>
  <c r="IR61" i="59"/>
  <c r="G62" i="59"/>
  <c r="H62" i="59"/>
  <c r="I62" i="59"/>
  <c r="K62" i="59"/>
  <c r="L62" i="59"/>
  <c r="M62" i="59"/>
  <c r="N62" i="59"/>
  <c r="O62" i="59"/>
  <c r="P62" i="59"/>
  <c r="Q62" i="59"/>
  <c r="R62" i="59"/>
  <c r="S62" i="59"/>
  <c r="T62" i="59"/>
  <c r="U62" i="59"/>
  <c r="AA62" i="59"/>
  <c r="AB62" i="59"/>
  <c r="AC62" i="59"/>
  <c r="AE62" i="59"/>
  <c r="AF62" i="59"/>
  <c r="AG62" i="59"/>
  <c r="AH62" i="59"/>
  <c r="AI62" i="59"/>
  <c r="AJ62" i="59"/>
  <c r="AK62" i="59"/>
  <c r="AL62" i="59"/>
  <c r="AM62" i="59"/>
  <c r="AN62" i="59"/>
  <c r="AO62" i="59"/>
  <c r="AU62" i="59"/>
  <c r="AV62" i="59"/>
  <c r="AW62" i="59"/>
  <c r="AY62" i="59"/>
  <c r="AZ62" i="59"/>
  <c r="BA62" i="59"/>
  <c r="BB62" i="59"/>
  <c r="BC62" i="59"/>
  <c r="BD62" i="59"/>
  <c r="BE62" i="59"/>
  <c r="BF62" i="59"/>
  <c r="BG62" i="59"/>
  <c r="BH62" i="59"/>
  <c r="BI62" i="59"/>
  <c r="BO62" i="59"/>
  <c r="BP62" i="59"/>
  <c r="BQ62" i="59"/>
  <c r="BS62" i="59"/>
  <c r="BT62" i="59"/>
  <c r="BU62" i="59"/>
  <c r="BV62" i="59"/>
  <c r="BW62" i="59"/>
  <c r="BX62" i="59"/>
  <c r="BY62" i="59"/>
  <c r="BZ62" i="59"/>
  <c r="CA62" i="59"/>
  <c r="CB62" i="59"/>
  <c r="CC62" i="59"/>
  <c r="CI62" i="59"/>
  <c r="CJ62" i="59"/>
  <c r="CK62" i="59"/>
  <c r="CM62" i="59"/>
  <c r="CN62" i="59"/>
  <c r="CO62" i="59"/>
  <c r="CP62" i="59"/>
  <c r="CQ62" i="59"/>
  <c r="CR62" i="59"/>
  <c r="CS62" i="59"/>
  <c r="CT62" i="59"/>
  <c r="CU62" i="59"/>
  <c r="CV62" i="59"/>
  <c r="CW62" i="59"/>
  <c r="DC62" i="59"/>
  <c r="DD62" i="59"/>
  <c r="DE62" i="59"/>
  <c r="DG62" i="59"/>
  <c r="DH62" i="59"/>
  <c r="DI62" i="59"/>
  <c r="DJ62" i="59"/>
  <c r="DK62" i="59"/>
  <c r="DL62" i="59"/>
  <c r="DM62" i="59"/>
  <c r="DN62" i="59"/>
  <c r="DO62" i="59"/>
  <c r="DP62" i="59"/>
  <c r="DQ62" i="59"/>
  <c r="DW62" i="59"/>
  <c r="DX62" i="59"/>
  <c r="DY62" i="59"/>
  <c r="EA62" i="59"/>
  <c r="EB62" i="59"/>
  <c r="EC62" i="59"/>
  <c r="ED62" i="59"/>
  <c r="EE62" i="59"/>
  <c r="EF62" i="59"/>
  <c r="EG62" i="59"/>
  <c r="EH62" i="59"/>
  <c r="EI62" i="59"/>
  <c r="EJ62" i="59"/>
  <c r="EK62" i="59"/>
  <c r="EQ62" i="59"/>
  <c r="ER62" i="59"/>
  <c r="ES62" i="59"/>
  <c r="EU62" i="59"/>
  <c r="EV62" i="59"/>
  <c r="EW62" i="59"/>
  <c r="EX62" i="59"/>
  <c r="EY62" i="59"/>
  <c r="EZ62" i="59"/>
  <c r="FA62" i="59"/>
  <c r="FB62" i="59"/>
  <c r="FC62" i="59"/>
  <c r="FD62" i="59"/>
  <c r="FE62" i="59"/>
  <c r="FK62" i="59"/>
  <c r="FL62" i="59"/>
  <c r="FM62" i="59"/>
  <c r="FO62" i="59"/>
  <c r="FP62" i="59"/>
  <c r="FQ62" i="59"/>
  <c r="FR62" i="59"/>
  <c r="FS62" i="59"/>
  <c r="FT62" i="59"/>
  <c r="FU62" i="59"/>
  <c r="FV62" i="59"/>
  <c r="FW62" i="59"/>
  <c r="FX62" i="59"/>
  <c r="FY62" i="59"/>
  <c r="GE62" i="59"/>
  <c r="GF62" i="59"/>
  <c r="GG62" i="59"/>
  <c r="GH62" i="59"/>
  <c r="GI62" i="59"/>
  <c r="GJ62" i="59"/>
  <c r="GK62" i="59"/>
  <c r="GL62" i="59"/>
  <c r="GM62" i="59"/>
  <c r="GN62" i="59"/>
  <c r="GO62" i="59"/>
  <c r="GY62" i="59"/>
  <c r="GZ62" i="59"/>
  <c r="HA62" i="59"/>
  <c r="HC62" i="59"/>
  <c r="HD62" i="59"/>
  <c r="HE62" i="59"/>
  <c r="HF62" i="59"/>
  <c r="HG62" i="59"/>
  <c r="HH62" i="59"/>
  <c r="HI62" i="59"/>
  <c r="HJ62" i="59"/>
  <c r="HK62" i="59"/>
  <c r="HL62" i="59"/>
  <c r="HM62" i="59"/>
  <c r="HS62" i="59"/>
  <c r="HT62" i="59"/>
  <c r="HU62" i="59"/>
  <c r="HW62" i="59"/>
  <c r="HX62" i="59"/>
  <c r="HY62" i="59"/>
  <c r="HZ62" i="59"/>
  <c r="IA62" i="59"/>
  <c r="IB62" i="59"/>
  <c r="IC62" i="59"/>
  <c r="ID62" i="59"/>
  <c r="IE62" i="59"/>
  <c r="IF62" i="59"/>
  <c r="IG62" i="59"/>
  <c r="IM62" i="59"/>
  <c r="IN62" i="59"/>
  <c r="IO62" i="59"/>
  <c r="IQ62" i="59"/>
  <c r="IR62" i="59"/>
  <c r="IS62" i="59"/>
  <c r="IT62" i="59"/>
  <c r="IU62" i="59"/>
  <c r="IV62" i="59"/>
  <c r="F63" i="59"/>
  <c r="G63" i="59"/>
  <c r="H63" i="59"/>
  <c r="I63" i="59"/>
  <c r="J63" i="59"/>
  <c r="P63" i="59"/>
  <c r="Q63" i="59"/>
  <c r="R63" i="59"/>
  <c r="T63" i="59"/>
  <c r="U63" i="59"/>
  <c r="V63" i="59"/>
  <c r="W63" i="59"/>
  <c r="X63" i="59"/>
  <c r="Y63" i="59"/>
  <c r="Z63" i="59"/>
  <c r="AA63" i="59"/>
  <c r="AB63" i="59"/>
  <c r="AC63" i="59"/>
  <c r="AD63" i="59"/>
  <c r="AJ63" i="59"/>
  <c r="AK63" i="59"/>
  <c r="AL63" i="59"/>
  <c r="AN63" i="59"/>
  <c r="AO63" i="59"/>
  <c r="AP63" i="59"/>
  <c r="AQ63" i="59"/>
  <c r="AR63" i="59"/>
  <c r="AS63" i="59"/>
  <c r="AT63" i="59"/>
  <c r="AU63" i="59"/>
  <c r="AV63" i="59"/>
  <c r="AW63" i="59"/>
  <c r="AX63" i="59"/>
  <c r="BD63" i="59"/>
  <c r="BE63" i="59"/>
  <c r="BF63" i="59"/>
  <c r="BH63" i="59"/>
  <c r="BI63" i="59"/>
  <c r="BJ63" i="59"/>
  <c r="BK63" i="59"/>
  <c r="BL63" i="59"/>
  <c r="BM63" i="59"/>
  <c r="BN63" i="59"/>
  <c r="BO63" i="59"/>
  <c r="BP63" i="59"/>
  <c r="BQ63" i="59"/>
  <c r="BR63" i="59"/>
  <c r="BX63" i="59"/>
  <c r="BY63" i="59"/>
  <c r="BZ63" i="59"/>
  <c r="CB63" i="59"/>
  <c r="CC63" i="59"/>
  <c r="CD63" i="59"/>
  <c r="CE63" i="59"/>
  <c r="CF63" i="59"/>
  <c r="CG63" i="59"/>
  <c r="CH63" i="59"/>
  <c r="CI63" i="59"/>
  <c r="CJ63" i="59"/>
  <c r="CK63" i="59"/>
  <c r="CL63" i="59"/>
  <c r="CR63" i="59"/>
  <c r="CS63" i="59"/>
  <c r="CT63" i="59"/>
  <c r="CV63" i="59"/>
  <c r="CW63" i="59"/>
  <c r="CX63" i="59"/>
  <c r="CY63" i="59"/>
  <c r="CZ63" i="59"/>
  <c r="DA63" i="59"/>
  <c r="DB63" i="59"/>
  <c r="DC63" i="59"/>
  <c r="DD63" i="59"/>
  <c r="DE63" i="59"/>
  <c r="DF63" i="59"/>
  <c r="DL63" i="59"/>
  <c r="DM63" i="59"/>
  <c r="DN63" i="59"/>
  <c r="DP63" i="59"/>
  <c r="DQ63" i="59"/>
  <c r="DR63" i="59"/>
  <c r="DS63" i="59"/>
  <c r="DT63" i="59"/>
  <c r="DU63" i="59"/>
  <c r="DV63" i="59"/>
  <c r="DW63" i="59"/>
  <c r="DX63" i="59"/>
  <c r="DY63" i="59"/>
  <c r="DZ63" i="59"/>
  <c r="EF63" i="59"/>
  <c r="EG63" i="59"/>
  <c r="EH63" i="59"/>
  <c r="EJ63" i="59"/>
  <c r="EK63" i="59"/>
  <c r="EL63" i="59"/>
  <c r="EM63" i="59"/>
  <c r="EN63" i="59"/>
  <c r="EO63" i="59"/>
  <c r="EP63" i="59"/>
  <c r="EQ63" i="59"/>
  <c r="ER63" i="59"/>
  <c r="ES63" i="59"/>
  <c r="ET63" i="59"/>
  <c r="EZ63" i="59"/>
  <c r="FA63" i="59"/>
  <c r="FB63" i="59"/>
  <c r="FD63" i="59"/>
  <c r="FE63" i="59"/>
  <c r="FF63" i="59"/>
  <c r="FG63" i="59"/>
  <c r="FH63" i="59"/>
  <c r="FI63" i="59"/>
  <c r="FJ63" i="59"/>
  <c r="FK63" i="59"/>
  <c r="FL63" i="59"/>
  <c r="FM63" i="59"/>
  <c r="FN63" i="59"/>
  <c r="FT63" i="59"/>
  <c r="FU63" i="59"/>
  <c r="FV63" i="59"/>
  <c r="FX63" i="59"/>
  <c r="FY63" i="59"/>
  <c r="FZ63" i="59"/>
  <c r="GA63" i="59"/>
  <c r="GB63" i="59"/>
  <c r="GC63" i="59"/>
  <c r="GD63" i="59"/>
  <c r="GE63" i="59"/>
  <c r="GF63" i="59"/>
  <c r="GG63" i="59"/>
  <c r="GH63" i="59"/>
  <c r="GN63" i="59"/>
  <c r="GO63" i="59"/>
  <c r="GP63" i="59"/>
  <c r="GR63" i="59"/>
  <c r="GS63" i="59"/>
  <c r="GT63" i="59"/>
  <c r="GU63" i="59"/>
  <c r="GV63" i="59"/>
  <c r="GW63" i="59"/>
  <c r="GX63" i="59"/>
  <c r="GY63" i="59"/>
  <c r="GZ63" i="59"/>
  <c r="HA63" i="59"/>
  <c r="HB63" i="59"/>
  <c r="HH63" i="59"/>
  <c r="HI63" i="59"/>
  <c r="HJ63" i="59"/>
  <c r="HL63" i="59"/>
  <c r="HM63" i="59"/>
  <c r="HN63" i="59"/>
  <c r="HO63" i="59"/>
  <c r="HP63" i="59"/>
  <c r="HQ63" i="59"/>
  <c r="HR63" i="59"/>
  <c r="HS63" i="59"/>
  <c r="HT63" i="59"/>
  <c r="HU63" i="59"/>
  <c r="HV63" i="59"/>
  <c r="IB63" i="59"/>
  <c r="IC63" i="59"/>
  <c r="ID63" i="59"/>
  <c r="IF63" i="59"/>
  <c r="IG63" i="59"/>
  <c r="IH63" i="59"/>
  <c r="II63" i="59"/>
  <c r="IJ63" i="59"/>
  <c r="IK63" i="59"/>
  <c r="IL63" i="59"/>
  <c r="IM63" i="59"/>
  <c r="IN63" i="59"/>
  <c r="IO63" i="59"/>
  <c r="IP63" i="59"/>
  <c r="IV63" i="59"/>
  <c r="F64" i="59"/>
  <c r="G64" i="59"/>
  <c r="I64" i="59"/>
  <c r="J64" i="59"/>
  <c r="K64" i="59"/>
  <c r="L64" i="59"/>
  <c r="M64" i="59"/>
  <c r="N64" i="59"/>
  <c r="O64" i="59"/>
  <c r="P64" i="59"/>
  <c r="Q64" i="59"/>
  <c r="R64" i="59"/>
  <c r="S64" i="59"/>
  <c r="Y64" i="59"/>
  <c r="Z64" i="59"/>
  <c r="AA64" i="59"/>
  <c r="AC64" i="59"/>
  <c r="AD64" i="59"/>
  <c r="AE64" i="59"/>
  <c r="AF64" i="59"/>
  <c r="AG64" i="59"/>
  <c r="AH64" i="59"/>
  <c r="AI64" i="59"/>
  <c r="AJ64" i="59"/>
  <c r="AK64" i="59"/>
  <c r="AL64" i="59"/>
  <c r="AM64" i="59"/>
  <c r="AS64" i="59"/>
  <c r="AT64" i="59"/>
  <c r="AU64" i="59"/>
  <c r="AW64" i="59"/>
  <c r="AX64" i="59"/>
  <c r="AY64" i="59"/>
  <c r="AZ64" i="59"/>
  <c r="BA64" i="59"/>
  <c r="BB64" i="59"/>
  <c r="BC64" i="59"/>
  <c r="BD64" i="59"/>
  <c r="BE64" i="59"/>
  <c r="BF64" i="59"/>
  <c r="BG64" i="59"/>
  <c r="BM64" i="59"/>
  <c r="BN64" i="59"/>
  <c r="BO64" i="59"/>
  <c r="BQ64" i="59"/>
  <c r="BR64" i="59"/>
  <c r="BS64" i="59"/>
  <c r="BT64" i="59"/>
  <c r="BU64" i="59"/>
  <c r="BV64" i="59"/>
  <c r="BW64" i="59"/>
  <c r="BX64" i="59"/>
  <c r="BY64" i="59"/>
  <c r="BZ64" i="59"/>
  <c r="CA64" i="59"/>
  <c r="CG64" i="59"/>
  <c r="CH64" i="59"/>
  <c r="CI64" i="59"/>
  <c r="CK64" i="59"/>
  <c r="CL64" i="59"/>
  <c r="CM64" i="59"/>
  <c r="CN64" i="59"/>
  <c r="CO64" i="59"/>
  <c r="CP64" i="59"/>
  <c r="CQ64" i="59"/>
  <c r="CR64" i="59"/>
  <c r="CS64" i="59"/>
  <c r="CT64" i="59"/>
  <c r="CU64" i="59"/>
  <c r="DA64" i="59"/>
  <c r="DB64" i="59"/>
  <c r="DC64" i="59"/>
  <c r="DD64" i="59"/>
  <c r="DE64" i="59"/>
  <c r="DF64" i="59"/>
  <c r="DG64" i="59"/>
  <c r="DH64" i="59"/>
  <c r="DI64" i="59"/>
  <c r="DJ64" i="59"/>
  <c r="DK64" i="59"/>
  <c r="DU64" i="59"/>
  <c r="DV64" i="59"/>
  <c r="DW64" i="59"/>
  <c r="DY64" i="59"/>
  <c r="DZ64" i="59"/>
  <c r="EA64" i="59"/>
  <c r="EB64" i="59"/>
  <c r="EC64" i="59"/>
  <c r="ED64" i="59"/>
  <c r="EE64" i="59"/>
  <c r="EF64" i="59"/>
  <c r="EG64" i="59"/>
  <c r="EH64" i="59"/>
  <c r="EI64" i="59"/>
  <c r="EO64" i="59"/>
  <c r="EP64" i="59"/>
  <c r="EQ64" i="59"/>
  <c r="ES64" i="59"/>
  <c r="ET64" i="59"/>
  <c r="EU64" i="59"/>
  <c r="EV64" i="59"/>
  <c r="EW64" i="59"/>
  <c r="EX64" i="59"/>
  <c r="EY64" i="59"/>
  <c r="EZ64" i="59"/>
  <c r="FA64" i="59"/>
  <c r="FB64" i="59"/>
  <c r="FC64" i="59"/>
  <c r="FI64" i="59"/>
  <c r="FJ64" i="59"/>
  <c r="FK64" i="59"/>
  <c r="FM64" i="59"/>
  <c r="FN64" i="59"/>
  <c r="FO64" i="59"/>
  <c r="FP64" i="59"/>
  <c r="FQ64" i="59"/>
  <c r="FR64" i="59"/>
  <c r="FS64" i="59"/>
  <c r="FT64" i="59"/>
  <c r="FU64" i="59"/>
  <c r="FV64" i="59"/>
  <c r="FW64" i="59"/>
  <c r="GC64" i="59"/>
  <c r="GD64" i="59"/>
  <c r="GE64" i="59"/>
  <c r="GG64" i="59"/>
  <c r="GH64" i="59"/>
  <c r="GI64" i="59"/>
  <c r="GJ64" i="59"/>
  <c r="GK64" i="59"/>
  <c r="GL64" i="59"/>
  <c r="GM64" i="59"/>
  <c r="GN64" i="59"/>
  <c r="GO64" i="59"/>
  <c r="GP64" i="59"/>
  <c r="GQ64" i="59"/>
  <c r="GW64" i="59"/>
  <c r="GX64" i="59"/>
  <c r="GY64" i="59"/>
  <c r="HA64" i="59"/>
  <c r="HB64" i="59"/>
  <c r="HC64" i="59"/>
  <c r="HD64" i="59"/>
  <c r="HE64" i="59"/>
  <c r="HF64" i="59"/>
  <c r="HG64" i="59"/>
  <c r="HH64" i="59"/>
  <c r="HI64" i="59"/>
  <c r="HJ64" i="59"/>
  <c r="HK64" i="59"/>
  <c r="HQ64" i="59"/>
  <c r="HR64" i="59"/>
  <c r="HS64" i="59"/>
  <c r="HU64" i="59"/>
  <c r="HV64" i="59"/>
  <c r="HW64" i="59"/>
  <c r="HX64" i="59"/>
  <c r="HY64" i="59"/>
  <c r="HZ64" i="59"/>
  <c r="IA64" i="59"/>
  <c r="IB64" i="59"/>
  <c r="IC64" i="59"/>
  <c r="ID64" i="59"/>
  <c r="IE64" i="59"/>
  <c r="IK64" i="59"/>
  <c r="IL64" i="59"/>
  <c r="IM64" i="59"/>
  <c r="IO64" i="59"/>
  <c r="IP64" i="59"/>
  <c r="IQ64" i="59"/>
  <c r="IR64" i="59"/>
  <c r="IS64" i="59"/>
  <c r="IT64" i="59"/>
  <c r="IU64" i="59"/>
  <c r="IV64" i="59"/>
  <c r="F65" i="59"/>
  <c r="G65" i="59"/>
  <c r="H65" i="59"/>
  <c r="N65" i="59"/>
  <c r="O65" i="59"/>
  <c r="P65" i="59"/>
  <c r="R65" i="59"/>
  <c r="S65" i="59"/>
  <c r="T65" i="59"/>
  <c r="U65" i="59"/>
  <c r="V65" i="59"/>
  <c r="W65" i="59"/>
  <c r="X65" i="59"/>
  <c r="Y65" i="59"/>
  <c r="Z65" i="59"/>
  <c r="AA65" i="59"/>
  <c r="AB65" i="59"/>
  <c r="AH65" i="59"/>
  <c r="AI65" i="59"/>
  <c r="AJ65" i="59"/>
  <c r="AL65" i="59"/>
  <c r="AM65" i="59"/>
  <c r="AN65" i="59"/>
  <c r="AO65" i="59"/>
  <c r="AP65" i="59"/>
  <c r="AQ65" i="59"/>
  <c r="AR65" i="59"/>
  <c r="AS65" i="59"/>
  <c r="AT65" i="59"/>
  <c r="AU65" i="59"/>
  <c r="AV65" i="59"/>
  <c r="BB65" i="59"/>
  <c r="BC65" i="59"/>
  <c r="BD65" i="59"/>
  <c r="BF65" i="59"/>
  <c r="BG65" i="59"/>
  <c r="BH65" i="59"/>
  <c r="BI65" i="59"/>
  <c r="BJ65" i="59"/>
  <c r="BK65" i="59"/>
  <c r="BL65" i="59"/>
  <c r="BM65" i="59"/>
  <c r="BN65" i="59"/>
  <c r="BO65" i="59"/>
  <c r="BP65" i="59"/>
  <c r="BV65" i="59"/>
  <c r="BW65" i="59"/>
  <c r="BX65" i="59"/>
  <c r="BZ65" i="59"/>
  <c r="CA65" i="59"/>
  <c r="CB65" i="59"/>
  <c r="CC65" i="59"/>
  <c r="CD65" i="59"/>
  <c r="CE65" i="59"/>
  <c r="CF65" i="59"/>
  <c r="CG65" i="59"/>
  <c r="CH65" i="59"/>
  <c r="CI65" i="59"/>
  <c r="CJ65" i="59"/>
  <c r="CP65" i="59"/>
  <c r="CQ65" i="59"/>
  <c r="CR65" i="59"/>
  <c r="CT65" i="59"/>
  <c r="CU65" i="59"/>
  <c r="CV65" i="59"/>
  <c r="CW65" i="59"/>
  <c r="CX65" i="59"/>
  <c r="CY65" i="59"/>
  <c r="CZ65" i="59"/>
  <c r="DA65" i="59"/>
  <c r="DB65" i="59"/>
  <c r="DC65" i="59"/>
  <c r="DD65" i="59"/>
  <c r="DJ65" i="59"/>
  <c r="DK65" i="59"/>
  <c r="DL65" i="59"/>
  <c r="DN65" i="59"/>
  <c r="DO65" i="59"/>
  <c r="DP65" i="59"/>
  <c r="DQ65" i="59"/>
  <c r="DR65" i="59"/>
  <c r="DS65" i="59"/>
  <c r="DT65" i="59"/>
  <c r="DU65" i="59"/>
  <c r="DV65" i="59"/>
  <c r="DW65" i="59"/>
  <c r="DX65" i="59"/>
  <c r="ED65" i="59"/>
  <c r="EE65" i="59"/>
  <c r="EF65" i="59"/>
  <c r="EH65" i="59"/>
  <c r="EI65" i="59"/>
  <c r="EJ65" i="59"/>
  <c r="EK65" i="59"/>
  <c r="EL65" i="59"/>
  <c r="EM65" i="59"/>
  <c r="EN65" i="59"/>
  <c r="EO65" i="59"/>
  <c r="EP65" i="59"/>
  <c r="EQ65" i="59"/>
  <c r="ER65" i="59"/>
  <c r="EX65" i="59"/>
  <c r="EY65" i="59"/>
  <c r="EZ65" i="59"/>
  <c r="FB65" i="59"/>
  <c r="FC65" i="59"/>
  <c r="FD65" i="59"/>
  <c r="FE65" i="59"/>
  <c r="FF65" i="59"/>
  <c r="FG65" i="59"/>
  <c r="FH65" i="59"/>
  <c r="FI65" i="59"/>
  <c r="FJ65" i="59"/>
  <c r="FK65" i="59"/>
  <c r="FL65" i="59"/>
  <c r="FR65" i="59"/>
  <c r="FS65" i="59"/>
  <c r="FT65" i="59"/>
  <c r="FV65" i="59"/>
  <c r="FW65" i="59"/>
  <c r="FX65" i="59"/>
  <c r="FY65" i="59"/>
  <c r="FZ65" i="59"/>
  <c r="GA65" i="59"/>
  <c r="GB65" i="59"/>
  <c r="GC65" i="59"/>
  <c r="GD65" i="59"/>
  <c r="GE65" i="59"/>
  <c r="GF65" i="59"/>
  <c r="GL65" i="59"/>
  <c r="GM65" i="59"/>
  <c r="GN65" i="59"/>
  <c r="GP65" i="59"/>
  <c r="GQ65" i="59"/>
  <c r="GR65" i="59"/>
  <c r="GS65" i="59"/>
  <c r="GT65" i="59"/>
  <c r="GU65" i="59"/>
  <c r="GV65" i="59"/>
  <c r="GW65" i="59"/>
  <c r="GX65" i="59"/>
  <c r="GY65" i="59"/>
  <c r="GZ65" i="59"/>
  <c r="HF65" i="59"/>
  <c r="HG65" i="59"/>
  <c r="HH65" i="59"/>
  <c r="HJ65" i="59"/>
  <c r="HK65" i="59"/>
  <c r="HL65" i="59"/>
  <c r="HM65" i="59"/>
  <c r="HN65" i="59"/>
  <c r="HO65" i="59"/>
  <c r="HP65" i="59"/>
  <c r="HQ65" i="59"/>
  <c r="HR65" i="59"/>
  <c r="HS65" i="59"/>
  <c r="HT65" i="59"/>
  <c r="HZ65" i="59"/>
  <c r="IA65" i="59"/>
  <c r="IB65" i="59"/>
  <c r="ID65" i="59"/>
  <c r="IE65" i="59"/>
  <c r="IF65" i="59"/>
  <c r="IG65" i="59"/>
  <c r="IH65" i="59"/>
  <c r="II65" i="59"/>
  <c r="IJ65" i="59"/>
  <c r="IK65" i="59"/>
  <c r="IL65" i="59"/>
  <c r="IM65" i="59"/>
  <c r="IN65" i="59"/>
  <c r="IT65" i="59"/>
  <c r="IU65" i="59"/>
  <c r="IV65" i="59"/>
  <c r="G66" i="59"/>
  <c r="H66" i="59"/>
  <c r="I66" i="59"/>
  <c r="J66" i="59"/>
  <c r="K66" i="59"/>
  <c r="L66" i="59"/>
  <c r="M66" i="59"/>
  <c r="N66" i="59"/>
  <c r="O66" i="59"/>
  <c r="P66" i="59"/>
  <c r="Q66" i="59"/>
  <c r="W66" i="59"/>
  <c r="X66" i="59"/>
  <c r="Y66" i="59"/>
  <c r="Z66" i="59"/>
  <c r="AA66" i="59"/>
  <c r="AB66" i="59"/>
  <c r="AC66" i="59"/>
  <c r="AD66" i="59"/>
  <c r="AE66" i="59"/>
  <c r="AF66" i="59"/>
  <c r="AG66" i="59"/>
  <c r="AQ66" i="59"/>
  <c r="AR66" i="59"/>
  <c r="AS66" i="59"/>
  <c r="AU66" i="59"/>
  <c r="AV66" i="59"/>
  <c r="AW66" i="59"/>
  <c r="AX66" i="59"/>
  <c r="AY66" i="59"/>
  <c r="AZ66" i="59"/>
  <c r="BA66" i="59"/>
  <c r="BB66" i="59"/>
  <c r="BC66" i="59"/>
  <c r="BD66" i="59"/>
  <c r="BE66" i="59"/>
  <c r="BK66" i="59"/>
  <c r="BL66" i="59"/>
  <c r="BM66" i="59"/>
  <c r="BO66" i="59"/>
  <c r="BP66" i="59"/>
  <c r="BQ66" i="59"/>
  <c r="BR66" i="59"/>
  <c r="BS66" i="59"/>
  <c r="BT66" i="59"/>
  <c r="BU66" i="59"/>
  <c r="BV66" i="59"/>
  <c r="BW66" i="59"/>
  <c r="BX66" i="59"/>
  <c r="BY66" i="59"/>
  <c r="CE66" i="59"/>
  <c r="CF66" i="59"/>
  <c r="CG66" i="59"/>
  <c r="CI66" i="59"/>
  <c r="CJ66" i="59"/>
  <c r="CK66" i="59"/>
  <c r="CL66" i="59"/>
  <c r="CM66" i="59"/>
  <c r="CN66" i="59"/>
  <c r="CO66" i="59"/>
  <c r="CP66" i="59"/>
  <c r="CQ66" i="59"/>
  <c r="CR66" i="59"/>
  <c r="CS66" i="59"/>
  <c r="CY66" i="59"/>
  <c r="CZ66" i="59"/>
  <c r="DA66" i="59"/>
  <c r="DC66" i="59"/>
  <c r="DD66" i="59"/>
  <c r="DE66" i="59"/>
  <c r="DF66" i="59"/>
  <c r="DG66" i="59"/>
  <c r="DH66" i="59"/>
  <c r="DI66" i="59"/>
  <c r="DJ66" i="59"/>
  <c r="DK66" i="59"/>
  <c r="DL66" i="59"/>
  <c r="DM66" i="59"/>
  <c r="DS66" i="59"/>
  <c r="DT66" i="59"/>
  <c r="DU66" i="59"/>
  <c r="DW66" i="59"/>
  <c r="DX66" i="59"/>
  <c r="DY66" i="59"/>
  <c r="DZ66" i="59"/>
  <c r="EA66" i="59"/>
  <c r="EB66" i="59"/>
  <c r="EC66" i="59"/>
  <c r="ED66" i="59"/>
  <c r="EE66" i="59"/>
  <c r="EF66" i="59"/>
  <c r="EG66" i="59"/>
  <c r="EM66" i="59"/>
  <c r="EN66" i="59"/>
  <c r="EO66" i="59"/>
  <c r="EQ66" i="59"/>
  <c r="ER66" i="59"/>
  <c r="ES66" i="59"/>
  <c r="ET66" i="59"/>
  <c r="EU66" i="59"/>
  <c r="EV66" i="59"/>
  <c r="EW66" i="59"/>
  <c r="EX66" i="59"/>
  <c r="EY66" i="59"/>
  <c r="EZ66" i="59"/>
  <c r="FA66" i="59"/>
  <c r="FG66" i="59"/>
  <c r="FH66" i="59"/>
  <c r="FI66" i="59"/>
  <c r="FK66" i="59"/>
  <c r="FL66" i="59"/>
  <c r="FM66" i="59"/>
  <c r="FN66" i="59"/>
  <c r="FO66" i="59"/>
  <c r="FP66" i="59"/>
  <c r="FQ66" i="59"/>
  <c r="FR66" i="59"/>
  <c r="FS66" i="59"/>
  <c r="FT66" i="59"/>
  <c r="FU66" i="59"/>
  <c r="GA66" i="59"/>
  <c r="GB66" i="59"/>
  <c r="GC66" i="59"/>
  <c r="GE66" i="59"/>
  <c r="GF66" i="59"/>
  <c r="GG66" i="59"/>
  <c r="GH66" i="59"/>
  <c r="GI66" i="59"/>
  <c r="GJ66" i="59"/>
  <c r="GK66" i="59"/>
  <c r="GL66" i="59"/>
  <c r="GM66" i="59"/>
  <c r="GN66" i="59"/>
  <c r="GO66" i="59"/>
  <c r="GU66" i="59"/>
  <c r="GV66" i="59"/>
  <c r="GW66" i="59"/>
  <c r="GY66" i="59"/>
  <c r="GZ66" i="59"/>
  <c r="HA66" i="59"/>
  <c r="HB66" i="59"/>
  <c r="HC66" i="59"/>
  <c r="HD66" i="59"/>
  <c r="HE66" i="59"/>
  <c r="HF66" i="59"/>
  <c r="HG66" i="59"/>
  <c r="HH66" i="59"/>
  <c r="HI66" i="59"/>
  <c r="HO66" i="59"/>
  <c r="HP66" i="59"/>
  <c r="HQ66" i="59"/>
  <c r="HS66" i="59"/>
  <c r="HT66" i="59"/>
  <c r="HU66" i="59"/>
  <c r="HV66" i="59"/>
  <c r="HW66" i="59"/>
  <c r="HX66" i="59"/>
  <c r="HY66" i="59"/>
  <c r="HZ66" i="59"/>
  <c r="IA66" i="59"/>
  <c r="IB66" i="59"/>
  <c r="IC66" i="59"/>
  <c r="II66" i="59"/>
  <c r="IJ66" i="59"/>
  <c r="IK66" i="59"/>
  <c r="IM66" i="59"/>
  <c r="IN66" i="59"/>
  <c r="IO66" i="59"/>
  <c r="IP66" i="59"/>
  <c r="IQ66" i="59"/>
  <c r="IR66" i="59"/>
  <c r="IS66" i="59"/>
  <c r="IT66" i="59"/>
  <c r="IU66" i="59"/>
  <c r="IV66" i="59"/>
  <c r="F67" i="59"/>
  <c r="L67" i="59"/>
  <c r="M67" i="59"/>
  <c r="N67" i="59"/>
  <c r="P67" i="59"/>
  <c r="Q67" i="59"/>
  <c r="R67" i="59"/>
  <c r="S67" i="59"/>
  <c r="T67" i="59"/>
  <c r="U67" i="59"/>
  <c r="V67" i="59"/>
  <c r="W67" i="59"/>
  <c r="X67" i="59"/>
  <c r="Y67" i="59"/>
  <c r="Z67" i="59"/>
  <c r="AF67" i="59"/>
  <c r="AG67" i="59"/>
  <c r="AH67" i="59"/>
  <c r="AJ67" i="59"/>
  <c r="AK67" i="59"/>
  <c r="AL67" i="59"/>
  <c r="AM67" i="59"/>
  <c r="AN67" i="59"/>
  <c r="AO67" i="59"/>
  <c r="AP67" i="59"/>
  <c r="AQ67" i="59"/>
  <c r="AR67" i="59"/>
  <c r="AS67" i="59"/>
  <c r="AT67" i="59"/>
  <c r="AZ67" i="59"/>
  <c r="BA67" i="59"/>
  <c r="BB67" i="59"/>
  <c r="BD67" i="59"/>
  <c r="BE67" i="59"/>
  <c r="BF67" i="59"/>
  <c r="BG67" i="59"/>
  <c r="BH67" i="59"/>
  <c r="BI67" i="59"/>
  <c r="BJ67" i="59"/>
  <c r="BK67" i="59"/>
  <c r="BL67" i="59"/>
  <c r="BM67" i="59"/>
  <c r="BN67" i="59"/>
  <c r="BT67" i="59"/>
  <c r="BU67" i="59"/>
  <c r="BV67" i="59"/>
  <c r="BX67" i="59"/>
  <c r="BY67" i="59"/>
  <c r="BZ67" i="59"/>
  <c r="CA67" i="59"/>
  <c r="CB67" i="59"/>
  <c r="CC67" i="59"/>
  <c r="CD67" i="59"/>
  <c r="CE67" i="59"/>
  <c r="CF67" i="59"/>
  <c r="CG67" i="59"/>
  <c r="CH67" i="59"/>
  <c r="CN67" i="59"/>
  <c r="CO67" i="59"/>
  <c r="CP67" i="59"/>
  <c r="CR67" i="59"/>
  <c r="CS67" i="59"/>
  <c r="CT67" i="59"/>
  <c r="CU67" i="59"/>
  <c r="CV67" i="59"/>
  <c r="CW67" i="59"/>
  <c r="CX67" i="59"/>
  <c r="CY67" i="59"/>
  <c r="CZ67" i="59"/>
  <c r="DA67" i="59"/>
  <c r="DB67" i="59"/>
  <c r="DH67" i="59"/>
  <c r="DI67" i="59"/>
  <c r="DJ67" i="59"/>
  <c r="DL67" i="59"/>
  <c r="DM67" i="59"/>
  <c r="DN67" i="59"/>
  <c r="DO67" i="59"/>
  <c r="DP67" i="59"/>
  <c r="DQ67" i="59"/>
  <c r="DR67" i="59"/>
  <c r="DS67" i="59"/>
  <c r="DT67" i="59"/>
  <c r="DU67" i="59"/>
  <c r="DV67" i="59"/>
  <c r="EB67" i="59"/>
  <c r="EC67" i="59"/>
  <c r="ED67" i="59"/>
  <c r="EF67" i="59"/>
  <c r="EG67" i="59"/>
  <c r="EH67" i="59"/>
  <c r="EI67" i="59"/>
  <c r="EJ67" i="59"/>
  <c r="EK67" i="59"/>
  <c r="EL67" i="59"/>
  <c r="EM67" i="59"/>
  <c r="EN67" i="59"/>
  <c r="EO67" i="59"/>
  <c r="EP67" i="59"/>
  <c r="EV67" i="59"/>
  <c r="EW67" i="59"/>
  <c r="EX67" i="59"/>
  <c r="EZ67" i="59"/>
  <c r="FA67" i="59"/>
  <c r="FB67" i="59"/>
  <c r="FC67" i="59"/>
  <c r="FD67" i="59"/>
  <c r="FE67" i="59"/>
  <c r="FF67" i="59"/>
  <c r="FG67" i="59"/>
  <c r="FH67" i="59"/>
  <c r="FI67" i="59"/>
  <c r="FJ67" i="59"/>
  <c r="FP67" i="59"/>
  <c r="FQ67" i="59"/>
  <c r="FR67" i="59"/>
  <c r="FT67" i="59"/>
  <c r="FU67" i="59"/>
  <c r="FV67" i="59"/>
  <c r="FW67" i="59"/>
  <c r="FX67" i="59"/>
  <c r="FY67" i="59"/>
  <c r="FZ67" i="59"/>
  <c r="GA67" i="59"/>
  <c r="GB67" i="59"/>
  <c r="GC67" i="59"/>
  <c r="GD67" i="59"/>
  <c r="GJ67" i="59"/>
  <c r="GK67" i="59"/>
  <c r="GL67" i="59"/>
  <c r="GM67" i="59"/>
  <c r="GN67" i="59"/>
  <c r="GO67" i="59"/>
  <c r="GP67" i="59"/>
  <c r="GQ67" i="59"/>
  <c r="GR67" i="59"/>
  <c r="GS67" i="59"/>
  <c r="GT67" i="59"/>
  <c r="HD67" i="59"/>
  <c r="HE67" i="59"/>
  <c r="HF67" i="59"/>
  <c r="HH67" i="59"/>
  <c r="HI67" i="59"/>
  <c r="HJ67" i="59"/>
  <c r="HK67" i="59"/>
  <c r="HL67" i="59"/>
  <c r="HM67" i="59"/>
  <c r="HN67" i="59"/>
  <c r="HO67" i="59"/>
  <c r="HP67" i="59"/>
  <c r="HQ67" i="59"/>
  <c r="HR67" i="59"/>
  <c r="HX67" i="59"/>
  <c r="HY67" i="59"/>
  <c r="HZ67" i="59"/>
  <c r="IB67" i="59"/>
  <c r="IC67" i="59"/>
  <c r="ID67" i="59"/>
  <c r="IE67" i="59"/>
  <c r="IF67" i="59"/>
  <c r="IG67" i="59"/>
  <c r="IH67" i="59"/>
  <c r="II67" i="59"/>
  <c r="IJ67" i="59"/>
  <c r="IK67" i="59"/>
  <c r="IL67" i="59"/>
  <c r="IR67" i="59"/>
  <c r="IS67" i="59"/>
  <c r="IT67" i="59"/>
  <c r="IV67" i="59"/>
  <c r="F68" i="59"/>
  <c r="G68" i="59"/>
  <c r="H68" i="59"/>
  <c r="I68" i="59"/>
  <c r="J68" i="59"/>
  <c r="K68" i="59"/>
  <c r="L68" i="59"/>
  <c r="M68" i="59"/>
  <c r="N68" i="59"/>
  <c r="O68" i="59"/>
  <c r="U68" i="59"/>
  <c r="V68" i="59"/>
  <c r="W68" i="59"/>
  <c r="Y68" i="59"/>
  <c r="Z68" i="59"/>
  <c r="AA68" i="59"/>
  <c r="AB68" i="59"/>
  <c r="AC68" i="59"/>
  <c r="AD68" i="59"/>
  <c r="AE68" i="59"/>
  <c r="AF68" i="59"/>
  <c r="AG68" i="59"/>
  <c r="AH68" i="59"/>
  <c r="AI68" i="59"/>
  <c r="AO68" i="59"/>
  <c r="AP68" i="59"/>
  <c r="AQ68" i="59"/>
  <c r="AS68" i="59"/>
  <c r="AT68" i="59"/>
  <c r="AU68" i="59"/>
  <c r="AV68" i="59"/>
  <c r="AW68" i="59"/>
  <c r="AX68" i="59"/>
  <c r="AY68" i="59"/>
  <c r="AZ68" i="59"/>
  <c r="BA68" i="59"/>
  <c r="BB68" i="59"/>
  <c r="BC68" i="59"/>
  <c r="BI68" i="59"/>
  <c r="BJ68" i="59"/>
  <c r="BK68" i="59"/>
  <c r="BM68" i="59"/>
  <c r="BN68" i="59"/>
  <c r="BO68" i="59"/>
  <c r="BP68" i="59"/>
  <c r="BQ68" i="59"/>
  <c r="BR68" i="59"/>
  <c r="BS68" i="59"/>
  <c r="BT68" i="59"/>
  <c r="BU68" i="59"/>
  <c r="BV68" i="59"/>
  <c r="BW68" i="59"/>
  <c r="CC68" i="59"/>
  <c r="CD68" i="59"/>
  <c r="CE68" i="59"/>
  <c r="CG68" i="59"/>
  <c r="CH68" i="59"/>
  <c r="CI68" i="59"/>
  <c r="CJ68" i="59"/>
  <c r="CK68" i="59"/>
  <c r="CL68" i="59"/>
  <c r="CM68" i="59"/>
  <c r="CN68" i="59"/>
  <c r="CO68" i="59"/>
  <c r="CP68" i="59"/>
  <c r="CQ68" i="59"/>
  <c r="CW68" i="59"/>
  <c r="CX68" i="59"/>
  <c r="CY68" i="59"/>
  <c r="DA68" i="59"/>
  <c r="DB68" i="59"/>
  <c r="DC68" i="59"/>
  <c r="DD68" i="59"/>
  <c r="DE68" i="59"/>
  <c r="DF68" i="59"/>
  <c r="DG68" i="59"/>
  <c r="DH68" i="59"/>
  <c r="DI68" i="59"/>
  <c r="DJ68" i="59"/>
  <c r="DK68" i="59"/>
  <c r="DQ68" i="59"/>
  <c r="DR68" i="59"/>
  <c r="DS68" i="59"/>
  <c r="DU68" i="59"/>
  <c r="DV68" i="59"/>
  <c r="DW68" i="59"/>
  <c r="DX68" i="59"/>
  <c r="DY68" i="59"/>
  <c r="DZ68" i="59"/>
  <c r="EA68" i="59"/>
  <c r="EB68" i="59"/>
  <c r="EC68" i="59"/>
  <c r="ED68" i="59"/>
  <c r="EE68" i="59"/>
  <c r="EK68" i="59"/>
  <c r="EL68" i="59"/>
  <c r="EM68" i="59"/>
  <c r="EO68" i="59"/>
  <c r="EP68" i="59"/>
  <c r="EQ68" i="59"/>
  <c r="ER68" i="59"/>
  <c r="ES68" i="59"/>
  <c r="ET68" i="59"/>
  <c r="EU68" i="59"/>
  <c r="EV68" i="59"/>
  <c r="EW68" i="59"/>
  <c r="EX68" i="59"/>
  <c r="EY68" i="59"/>
  <c r="FE68" i="59"/>
  <c r="FF68" i="59"/>
  <c r="FG68" i="59"/>
  <c r="FI68" i="59"/>
  <c r="FJ68" i="59"/>
  <c r="FK68" i="59"/>
  <c r="FL68" i="59"/>
  <c r="FM68" i="59"/>
  <c r="FN68" i="59"/>
  <c r="FO68" i="59"/>
  <c r="FP68" i="59"/>
  <c r="FQ68" i="59"/>
  <c r="FR68" i="59"/>
  <c r="FS68" i="59"/>
  <c r="FY68" i="59"/>
  <c r="FZ68" i="59"/>
  <c r="GA68" i="59"/>
  <c r="GC68" i="59"/>
  <c r="GD68" i="59"/>
  <c r="GE68" i="59"/>
  <c r="GF68" i="59"/>
  <c r="GG68" i="59"/>
  <c r="GH68" i="59"/>
  <c r="GI68" i="59"/>
  <c r="GJ68" i="59"/>
  <c r="GK68" i="59"/>
  <c r="GL68" i="59"/>
  <c r="GM68" i="59"/>
  <c r="GS68" i="59"/>
  <c r="GT68" i="59"/>
  <c r="GU68" i="59"/>
  <c r="GW68" i="59"/>
  <c r="GX68" i="59"/>
  <c r="GY68" i="59"/>
  <c r="GZ68" i="59"/>
  <c r="HA68" i="59"/>
  <c r="HB68" i="59"/>
  <c r="HC68" i="59"/>
  <c r="HD68" i="59"/>
  <c r="HE68" i="59"/>
  <c r="HF68" i="59"/>
  <c r="HG68" i="59"/>
  <c r="HM68" i="59"/>
  <c r="HN68" i="59"/>
  <c r="HO68" i="59"/>
  <c r="HQ68" i="59"/>
  <c r="HR68" i="59"/>
  <c r="HS68" i="59"/>
  <c r="HT68" i="59"/>
  <c r="HU68" i="59"/>
  <c r="HV68" i="59"/>
  <c r="HW68" i="59"/>
  <c r="HX68" i="59"/>
  <c r="HY68" i="59"/>
  <c r="HZ68" i="59"/>
  <c r="IA68" i="59"/>
  <c r="IG68" i="59"/>
  <c r="IH68" i="59"/>
  <c r="II68" i="59"/>
  <c r="IK68" i="59"/>
  <c r="IL68" i="59"/>
  <c r="IM68" i="59"/>
  <c r="IN68" i="59"/>
  <c r="IO68" i="59"/>
  <c r="IP68" i="59"/>
  <c r="IQ68" i="59"/>
  <c r="IR68" i="59"/>
  <c r="IS68" i="59"/>
  <c r="IT68" i="59"/>
  <c r="IU68" i="59"/>
  <c r="J69" i="59"/>
  <c r="K69" i="59"/>
  <c r="L69" i="59"/>
  <c r="N69" i="59"/>
  <c r="O69" i="59"/>
  <c r="P69" i="59"/>
  <c r="Q69" i="59"/>
  <c r="R69" i="59"/>
  <c r="S69" i="59"/>
  <c r="T69" i="59"/>
  <c r="U69" i="59"/>
  <c r="V69" i="59"/>
  <c r="W69" i="59"/>
  <c r="X69" i="59"/>
  <c r="AD69" i="59"/>
  <c r="AE69" i="59"/>
  <c r="AF69" i="59"/>
  <c r="AH69" i="59"/>
  <c r="AI69" i="59"/>
  <c r="AJ69" i="59"/>
  <c r="AK69" i="59"/>
  <c r="AL69" i="59"/>
  <c r="AM69" i="59"/>
  <c r="AN69" i="59"/>
  <c r="AO69" i="59"/>
  <c r="AP69" i="59"/>
  <c r="AQ69" i="59"/>
  <c r="AR69" i="59"/>
  <c r="AX69" i="59"/>
  <c r="AY69" i="59"/>
  <c r="AZ69" i="59"/>
  <c r="BB69" i="59"/>
  <c r="BC69" i="59"/>
  <c r="BD69" i="59"/>
  <c r="BE69" i="59"/>
  <c r="BF69" i="59"/>
  <c r="BG69" i="59"/>
  <c r="BH69" i="59"/>
  <c r="BI69" i="59"/>
  <c r="BJ69" i="59"/>
  <c r="BK69" i="59"/>
  <c r="BL69" i="59"/>
  <c r="BR69" i="59"/>
  <c r="BS69" i="59"/>
  <c r="BT69" i="59"/>
  <c r="BV69" i="59"/>
  <c r="BW69" i="59"/>
  <c r="BX69" i="59"/>
  <c r="BY69" i="59"/>
  <c r="BZ69" i="59"/>
  <c r="CA69" i="59"/>
  <c r="CB69" i="59"/>
  <c r="CC69" i="59"/>
  <c r="CD69" i="59"/>
  <c r="CE69" i="59"/>
  <c r="CF69" i="59"/>
  <c r="CL69" i="59"/>
  <c r="CM69" i="59"/>
  <c r="CN69" i="59"/>
  <c r="CP69" i="59"/>
  <c r="CQ69" i="59"/>
  <c r="CR69" i="59"/>
  <c r="CS69" i="59"/>
  <c r="CT69" i="59"/>
  <c r="CU69" i="59"/>
  <c r="CV69" i="59"/>
  <c r="CW69" i="59"/>
  <c r="CX69" i="59"/>
  <c r="CY69" i="59"/>
  <c r="CZ69" i="59"/>
  <c r="DF69" i="59"/>
  <c r="DG69" i="59"/>
  <c r="DH69" i="59"/>
  <c r="DI69" i="59"/>
  <c r="DJ69" i="59"/>
  <c r="DK69" i="59"/>
  <c r="DL69" i="59"/>
  <c r="DM69" i="59"/>
  <c r="DN69" i="59"/>
  <c r="DO69" i="59"/>
  <c r="DP69" i="59"/>
  <c r="DQ69" i="59"/>
  <c r="DW69" i="59"/>
  <c r="DX69" i="59"/>
  <c r="DY69" i="59"/>
  <c r="DZ69" i="59"/>
  <c r="EA69" i="59"/>
  <c r="EB69" i="59"/>
  <c r="EC69" i="59"/>
  <c r="ED69" i="59"/>
  <c r="EE69" i="59"/>
  <c r="EF69" i="59"/>
  <c r="EG69" i="59"/>
  <c r="EH69" i="59"/>
  <c r="EI69" i="59"/>
  <c r="EJ69" i="59"/>
  <c r="EK69" i="59"/>
  <c r="EL69" i="59"/>
  <c r="EM69" i="59"/>
  <c r="EN69" i="59"/>
  <c r="EO69" i="59"/>
  <c r="EP69" i="59"/>
  <c r="EQ69" i="59"/>
  <c r="ER69" i="59"/>
  <c r="ES69" i="59"/>
  <c r="ET69" i="59"/>
  <c r="EW69" i="59"/>
  <c r="FL69" i="59"/>
  <c r="FM69" i="59"/>
  <c r="FN69" i="59"/>
  <c r="FO69" i="59"/>
  <c r="FP69" i="59"/>
  <c r="FQ69" i="59"/>
  <c r="FR69" i="59"/>
  <c r="FS69" i="59"/>
  <c r="FT69" i="59"/>
  <c r="FU69" i="59"/>
  <c r="FV69" i="59"/>
  <c r="FW69" i="59"/>
  <c r="FX69" i="59"/>
  <c r="FY69" i="59"/>
  <c r="FZ69" i="59"/>
  <c r="GA69" i="59"/>
  <c r="GB69" i="59"/>
  <c r="GC69" i="59"/>
  <c r="GD69" i="59"/>
  <c r="GE69" i="59"/>
  <c r="GF69" i="59"/>
  <c r="GG69" i="59"/>
  <c r="GH69" i="59"/>
  <c r="GI69" i="59"/>
  <c r="GJ69" i="59"/>
  <c r="GK69" i="59"/>
  <c r="GL69" i="59"/>
  <c r="GM69" i="59"/>
  <c r="GN69" i="59"/>
  <c r="GO69" i="59"/>
  <c r="GP69" i="59"/>
  <c r="GQ69" i="59"/>
  <c r="GR69" i="59"/>
  <c r="GS69" i="59"/>
  <c r="GT69" i="59"/>
  <c r="GU69" i="59"/>
  <c r="GV69" i="59"/>
  <c r="GW69" i="59"/>
  <c r="GX69" i="59"/>
  <c r="GY69" i="59"/>
  <c r="GZ69" i="59"/>
  <c r="HA69" i="59"/>
  <c r="HB69" i="59"/>
  <c r="HC69" i="59"/>
  <c r="HD69" i="59"/>
  <c r="HE69" i="59"/>
  <c r="HF69" i="59"/>
  <c r="HG69" i="59"/>
  <c r="HH69" i="59"/>
  <c r="HI69" i="59"/>
  <c r="HJ69" i="59"/>
  <c r="HK69" i="59"/>
  <c r="HL69" i="59"/>
  <c r="HM69" i="59"/>
  <c r="HN69" i="59"/>
  <c r="HO69" i="59"/>
  <c r="HP69" i="59"/>
  <c r="HQ69" i="59"/>
  <c r="HR69" i="59"/>
  <c r="HS69" i="59"/>
  <c r="HT69" i="59"/>
  <c r="HU69" i="59"/>
  <c r="HV69" i="59"/>
  <c r="HW69" i="59"/>
  <c r="HX69" i="59"/>
  <c r="HY69" i="59"/>
  <c r="HZ69" i="59"/>
  <c r="IA69" i="59"/>
  <c r="IB69" i="59"/>
  <c r="IC69" i="59"/>
  <c r="ID69" i="59"/>
  <c r="IE69" i="59"/>
  <c r="IF69" i="59"/>
  <c r="IG69" i="59"/>
  <c r="IH69" i="59"/>
  <c r="II69" i="59"/>
  <c r="IJ69" i="59"/>
  <c r="IK69" i="59"/>
  <c r="IL69" i="59"/>
  <c r="IM69" i="59"/>
  <c r="IN69" i="59"/>
  <c r="IO69" i="59"/>
  <c r="IP69" i="59"/>
  <c r="IQ69" i="59"/>
  <c r="IR69" i="59"/>
  <c r="IS69" i="59"/>
  <c r="IT69" i="59"/>
  <c r="IU69" i="59"/>
  <c r="IV69" i="59"/>
  <c r="F70" i="59"/>
  <c r="G70" i="59"/>
  <c r="H70" i="59"/>
  <c r="R70" i="59"/>
  <c r="S70" i="59"/>
  <c r="T70" i="59"/>
  <c r="U70" i="59"/>
  <c r="V70" i="59"/>
  <c r="W70" i="59"/>
  <c r="X70" i="59"/>
  <c r="Y70" i="59"/>
  <c r="Z70" i="59"/>
  <c r="AA70" i="59"/>
  <c r="AB70" i="59"/>
  <c r="AC70" i="59"/>
  <c r="AD70" i="59"/>
  <c r="AE70" i="59"/>
  <c r="AF70" i="59"/>
  <c r="AG70" i="59"/>
  <c r="AH70" i="59"/>
  <c r="AI70" i="59"/>
  <c r="AJ70" i="59"/>
  <c r="AK70" i="59"/>
  <c r="AL70" i="59"/>
  <c r="AM70" i="59"/>
  <c r="AN70" i="59"/>
  <c r="AO70" i="59"/>
  <c r="AP70" i="59"/>
  <c r="AQ70" i="59"/>
  <c r="AR70" i="59"/>
  <c r="AS70" i="59"/>
  <c r="AT70" i="59"/>
  <c r="AU70" i="59"/>
  <c r="AV70" i="59"/>
  <c r="AW70" i="59"/>
  <c r="AX70" i="59"/>
  <c r="AY70" i="59"/>
  <c r="AZ70" i="59"/>
  <c r="BA70" i="59"/>
  <c r="BB70" i="59"/>
  <c r="BC70" i="59"/>
  <c r="BD70" i="59"/>
  <c r="BE70" i="59"/>
  <c r="BF70" i="59"/>
  <c r="BG70" i="59"/>
  <c r="BH70" i="59"/>
  <c r="BI70" i="59"/>
  <c r="BJ70" i="59"/>
  <c r="BK70" i="59"/>
  <c r="BL70" i="59"/>
  <c r="BM70" i="59"/>
  <c r="BN70" i="59"/>
  <c r="BO70" i="59"/>
  <c r="BP70" i="59"/>
  <c r="BQ70" i="59"/>
  <c r="BR70" i="59"/>
  <c r="BS70" i="59"/>
  <c r="BT70" i="59"/>
  <c r="BU70" i="59"/>
  <c r="BV70" i="59"/>
  <c r="BW70" i="59"/>
  <c r="BX70" i="59"/>
  <c r="BY70" i="59"/>
  <c r="BZ70" i="59"/>
  <c r="CA70" i="59"/>
  <c r="CB70" i="59"/>
  <c r="CC70" i="59"/>
  <c r="CD70" i="59"/>
  <c r="CE70" i="59"/>
  <c r="CF70" i="59"/>
  <c r="CG70" i="59"/>
  <c r="CH70" i="59"/>
  <c r="CI70" i="59"/>
  <c r="CJ70" i="59"/>
  <c r="CK70" i="59"/>
  <c r="CL70" i="59"/>
  <c r="CM70" i="59"/>
  <c r="CN70" i="59"/>
  <c r="CO70" i="59"/>
  <c r="CP70" i="59"/>
  <c r="CQ70" i="59"/>
  <c r="CR70" i="59"/>
  <c r="CS70" i="59"/>
  <c r="CT70" i="59"/>
  <c r="CU70" i="59"/>
  <c r="CV70" i="59"/>
  <c r="CW70" i="59"/>
  <c r="CX70" i="59"/>
  <c r="CY70" i="59"/>
  <c r="CZ70" i="59"/>
  <c r="DA70" i="59"/>
  <c r="DB70" i="59"/>
  <c r="DC70" i="59"/>
  <c r="DD70" i="59"/>
  <c r="DE70" i="59"/>
  <c r="DF70" i="59"/>
  <c r="DG70" i="59"/>
  <c r="DH70" i="59"/>
  <c r="DI70" i="59"/>
  <c r="DJ70" i="59"/>
  <c r="DK70" i="59"/>
  <c r="DL70" i="59"/>
  <c r="DM70" i="59"/>
  <c r="DN70" i="59"/>
  <c r="DO70" i="59"/>
  <c r="DP70" i="59"/>
  <c r="DQ70" i="59"/>
  <c r="DR70" i="59"/>
  <c r="DS70" i="59"/>
  <c r="DT70" i="59"/>
  <c r="DU70" i="59"/>
  <c r="DV70" i="59"/>
  <c r="DW70" i="59"/>
  <c r="DX70" i="59"/>
  <c r="DY70" i="59"/>
  <c r="DZ70" i="59"/>
  <c r="EA70" i="59"/>
  <c r="EB70" i="59"/>
  <c r="EC70" i="59"/>
  <c r="ED70" i="59"/>
  <c r="EE70" i="59"/>
  <c r="EF70" i="59"/>
  <c r="EG70" i="59"/>
  <c r="EH70" i="59"/>
  <c r="EI70" i="59"/>
  <c r="EJ70" i="59"/>
  <c r="EK70" i="59"/>
  <c r="EL70" i="59"/>
  <c r="EM70" i="59"/>
  <c r="EN70" i="59"/>
  <c r="EO70" i="59"/>
  <c r="EP70" i="59"/>
  <c r="EQ70" i="59"/>
  <c r="ER70" i="59"/>
  <c r="ES70" i="59"/>
  <c r="ET70" i="59"/>
  <c r="EU70" i="59"/>
  <c r="EV70" i="59"/>
  <c r="EW70" i="59"/>
  <c r="EX70" i="59"/>
  <c r="EY70" i="59"/>
  <c r="EZ70" i="59"/>
  <c r="FA70" i="59"/>
  <c r="FB70" i="59"/>
  <c r="FC70" i="59"/>
  <c r="FD70" i="59"/>
  <c r="FE70" i="59"/>
  <c r="FF70" i="59"/>
  <c r="FG70" i="59"/>
  <c r="FH70" i="59"/>
  <c r="FI70" i="59"/>
  <c r="FJ70" i="59"/>
  <c r="FK70" i="59"/>
  <c r="FL70" i="59"/>
  <c r="FM70" i="59"/>
  <c r="FN70" i="59"/>
  <c r="FO70" i="59"/>
  <c r="FP70" i="59"/>
  <c r="FQ70" i="59"/>
  <c r="FR70" i="59"/>
  <c r="FS70" i="59"/>
  <c r="FT70" i="59"/>
  <c r="FU70" i="59"/>
  <c r="FV70" i="59"/>
  <c r="FW70" i="59"/>
  <c r="FX70" i="59"/>
  <c r="FY70" i="59"/>
  <c r="FZ70" i="59"/>
  <c r="GA70" i="59"/>
  <c r="GB70" i="59"/>
  <c r="GC70" i="59"/>
  <c r="GD70" i="59"/>
  <c r="GE70" i="59"/>
  <c r="GF70" i="59"/>
  <c r="GG70" i="59"/>
  <c r="GH70" i="59"/>
  <c r="GI70" i="59"/>
  <c r="GJ70" i="59"/>
  <c r="GK70" i="59"/>
  <c r="GL70" i="59"/>
  <c r="GM70" i="59"/>
  <c r="GN70" i="59"/>
  <c r="GO70" i="59"/>
  <c r="GP70" i="59"/>
  <c r="GQ70" i="59"/>
  <c r="GR70" i="59"/>
  <c r="GS70" i="59"/>
  <c r="GT70" i="59"/>
  <c r="GU70" i="59"/>
  <c r="GV70" i="59"/>
  <c r="GW70" i="59"/>
  <c r="GX70" i="59"/>
  <c r="GY70" i="59"/>
  <c r="GZ70" i="59"/>
  <c r="HA70" i="59"/>
  <c r="HB70" i="59"/>
  <c r="HC70" i="59"/>
  <c r="HD70" i="59"/>
  <c r="HE70" i="59"/>
  <c r="HF70" i="59"/>
  <c r="HG70" i="59"/>
  <c r="HH70" i="59"/>
  <c r="HI70" i="59"/>
  <c r="HJ70" i="59"/>
  <c r="HK70" i="59"/>
  <c r="HL70" i="59"/>
  <c r="HM70" i="59"/>
  <c r="HN70" i="59"/>
  <c r="HO70" i="59"/>
  <c r="HP70" i="59"/>
  <c r="HQ70" i="59"/>
  <c r="HR70" i="59"/>
  <c r="HS70" i="59"/>
  <c r="HT70" i="59"/>
  <c r="HU70" i="59"/>
  <c r="HV70" i="59"/>
  <c r="HW70" i="59"/>
  <c r="HX70" i="59"/>
  <c r="HY70" i="59"/>
  <c r="HZ70" i="59"/>
  <c r="IA70" i="59"/>
  <c r="IB70" i="59"/>
  <c r="IC70" i="59"/>
  <c r="ID70" i="59"/>
  <c r="IE70" i="59"/>
  <c r="IG70" i="59"/>
  <c r="IH70" i="59"/>
  <c r="II70" i="59"/>
  <c r="IJ70" i="59"/>
  <c r="IK70" i="59"/>
  <c r="IL70" i="59"/>
  <c r="IM70" i="59"/>
  <c r="IN70" i="59"/>
  <c r="IO70" i="59"/>
  <c r="IP70" i="59"/>
  <c r="IQ70" i="59"/>
  <c r="IR70" i="59"/>
  <c r="IS70" i="59"/>
  <c r="IT70" i="59"/>
  <c r="IU70" i="59"/>
  <c r="IV70" i="59"/>
  <c r="F71" i="59"/>
  <c r="G71" i="59"/>
  <c r="H71" i="59"/>
  <c r="J71" i="59"/>
  <c r="K71" i="59"/>
  <c r="L71" i="59"/>
  <c r="M71" i="59"/>
  <c r="N71" i="59"/>
  <c r="O71" i="59"/>
  <c r="P71" i="59"/>
  <c r="Q71" i="59"/>
  <c r="R71" i="59"/>
  <c r="S71" i="59"/>
  <c r="T71" i="59"/>
  <c r="U71" i="59"/>
  <c r="V71" i="59"/>
  <c r="W71" i="59"/>
  <c r="X71" i="59"/>
  <c r="Y71" i="59"/>
  <c r="Z71" i="59"/>
  <c r="AA71" i="59"/>
  <c r="AB71" i="59"/>
  <c r="AC71" i="59"/>
  <c r="AD71" i="59"/>
  <c r="AE71" i="59"/>
  <c r="AF71" i="59"/>
  <c r="AG71" i="59"/>
  <c r="AH71" i="59"/>
  <c r="AI71" i="59"/>
  <c r="AJ71" i="59"/>
  <c r="AK71" i="59"/>
  <c r="AL71" i="59"/>
  <c r="AM71" i="59"/>
  <c r="AN71" i="59"/>
  <c r="AO71" i="59"/>
  <c r="AP71" i="59"/>
  <c r="AQ71" i="59"/>
  <c r="AR71" i="59"/>
  <c r="AS71" i="59"/>
  <c r="AT71" i="59"/>
  <c r="AU71" i="59"/>
  <c r="AV71" i="59"/>
  <c r="AW71" i="59"/>
  <c r="AX71" i="59"/>
  <c r="AY71" i="59"/>
  <c r="AZ71" i="59"/>
  <c r="BA71" i="59"/>
  <c r="BB71" i="59"/>
  <c r="BC71" i="59"/>
  <c r="BD71" i="59"/>
  <c r="BE71" i="59"/>
  <c r="BF71" i="59"/>
  <c r="BG71" i="59"/>
  <c r="BH71" i="59"/>
  <c r="BI71" i="59"/>
  <c r="BJ71" i="59"/>
  <c r="BK71" i="59"/>
  <c r="BL71" i="59"/>
  <c r="BM71" i="59"/>
  <c r="BN71" i="59"/>
  <c r="BO71" i="59"/>
  <c r="BP71" i="59"/>
  <c r="BQ71" i="59"/>
  <c r="BR71" i="59"/>
  <c r="BS71" i="59"/>
  <c r="BT71" i="59"/>
  <c r="BU71" i="59"/>
  <c r="BV71" i="59"/>
  <c r="BW71" i="59"/>
  <c r="BX71" i="59"/>
  <c r="BY71" i="59"/>
  <c r="BZ71" i="59"/>
  <c r="CA71" i="59"/>
  <c r="CB71" i="59"/>
  <c r="CC71" i="59"/>
  <c r="CD71" i="59"/>
  <c r="CE71" i="59"/>
  <c r="CF71" i="59"/>
  <c r="CG71" i="59"/>
  <c r="CH71" i="59"/>
  <c r="CI71" i="59"/>
  <c r="CJ71" i="59"/>
  <c r="CK71" i="59"/>
  <c r="CL71" i="59"/>
  <c r="CM71" i="59"/>
  <c r="CN71" i="59"/>
  <c r="CO71" i="59"/>
  <c r="CP71" i="59"/>
  <c r="CQ71" i="59"/>
  <c r="CR71" i="59"/>
  <c r="CS71" i="59"/>
  <c r="CT71" i="59"/>
  <c r="CU71" i="59"/>
  <c r="CV71" i="59"/>
  <c r="CW71" i="59"/>
  <c r="CX71" i="59"/>
  <c r="CY71" i="59"/>
  <c r="CZ71" i="59"/>
  <c r="DA71" i="59"/>
  <c r="DB71" i="59"/>
  <c r="DC71" i="59"/>
  <c r="DD71" i="59"/>
  <c r="DE71" i="59"/>
  <c r="DF71" i="59"/>
  <c r="DG71" i="59"/>
  <c r="DH71" i="59"/>
  <c r="DI71" i="59"/>
  <c r="DJ71" i="59"/>
  <c r="DK71" i="59"/>
  <c r="DL71" i="59"/>
  <c r="DM71" i="59"/>
  <c r="DP71" i="59"/>
  <c r="DQ71" i="59"/>
  <c r="EB71" i="59"/>
  <c r="EC71" i="59"/>
  <c r="ED71" i="59"/>
  <c r="EG71" i="59"/>
  <c r="EH71" i="59"/>
  <c r="ES71" i="59"/>
  <c r="ET71" i="59"/>
  <c r="EU71" i="59"/>
  <c r="EX71" i="59"/>
  <c r="EY71" i="59"/>
  <c r="FJ71" i="59"/>
  <c r="FK71" i="59"/>
  <c r="FL71" i="59"/>
  <c r="FO71" i="59"/>
  <c r="FP71" i="59"/>
  <c r="GA71" i="59"/>
  <c r="GB71" i="59"/>
  <c r="GC71" i="59"/>
  <c r="GF71" i="59"/>
  <c r="GG71" i="59"/>
  <c r="GR71" i="59"/>
  <c r="GS71" i="59"/>
  <c r="GT71" i="59"/>
  <c r="GW71" i="59"/>
  <c r="GX71" i="59"/>
  <c r="HI71" i="59"/>
  <c r="HJ71" i="59"/>
  <c r="HK71" i="59"/>
  <c r="HN71" i="59"/>
  <c r="HO71" i="59"/>
  <c r="HZ71" i="59"/>
  <c r="IA71" i="59"/>
  <c r="IB71" i="59"/>
  <c r="IE71" i="59"/>
  <c r="IF71" i="59"/>
  <c r="IQ71" i="59"/>
  <c r="IR71" i="59"/>
  <c r="IS71" i="59"/>
  <c r="IV71" i="59"/>
  <c r="F72" i="59"/>
  <c r="Q72" i="59"/>
  <c r="R72" i="59"/>
  <c r="S72" i="59"/>
  <c r="V72" i="59"/>
  <c r="W72" i="59"/>
  <c r="AH72" i="59"/>
  <c r="AI72" i="59"/>
  <c r="AJ72" i="59"/>
  <c r="AK72" i="59"/>
  <c r="AL72" i="59"/>
  <c r="AM72" i="59"/>
  <c r="AN72" i="59"/>
  <c r="AO72" i="59"/>
  <c r="AP72" i="59"/>
  <c r="AY72" i="59"/>
  <c r="AZ72" i="59"/>
  <c r="BA72" i="59"/>
  <c r="BB72" i="59"/>
  <c r="BC72" i="59"/>
  <c r="BD72" i="59"/>
  <c r="BE72" i="59"/>
  <c r="BF72" i="59"/>
  <c r="BG72" i="59"/>
  <c r="BH72" i="59"/>
  <c r="BI72" i="59"/>
  <c r="BJ72" i="59"/>
  <c r="BK72" i="59"/>
  <c r="BL72" i="59"/>
  <c r="BM72" i="59"/>
  <c r="BN72" i="59"/>
  <c r="BO72" i="59"/>
  <c r="BP72" i="59"/>
  <c r="BQ72" i="59"/>
  <c r="BR72" i="59"/>
  <c r="BS72" i="59"/>
  <c r="BT72" i="59"/>
  <c r="BU72" i="59"/>
  <c r="BV72" i="59"/>
  <c r="BW72" i="59"/>
  <c r="BX72" i="59"/>
  <c r="BY72" i="59"/>
  <c r="BZ72" i="59"/>
  <c r="CA72" i="59"/>
  <c r="CB72" i="59"/>
  <c r="CC72" i="59"/>
  <c r="CD72" i="59"/>
  <c r="CE72" i="59"/>
  <c r="CF72" i="59"/>
  <c r="CG72" i="59"/>
  <c r="CH72" i="59"/>
  <c r="CI72" i="59"/>
  <c r="CJ72" i="59"/>
  <c r="CK72" i="59"/>
  <c r="CL72" i="59"/>
  <c r="CM72" i="59"/>
  <c r="CN72" i="59"/>
  <c r="CO72" i="59"/>
  <c r="CP72" i="59"/>
  <c r="CQ72" i="59"/>
  <c r="CR72" i="59"/>
  <c r="CS72" i="59"/>
  <c r="CT72" i="59"/>
  <c r="CU72" i="59"/>
  <c r="CV72" i="59"/>
  <c r="CW72" i="59"/>
  <c r="CX72" i="59"/>
  <c r="CY72" i="59"/>
  <c r="CZ72" i="59"/>
  <c r="DA72" i="59"/>
  <c r="DB72" i="59"/>
  <c r="DC72" i="59"/>
  <c r="DD72" i="59"/>
  <c r="DE72" i="59"/>
  <c r="DF72" i="59"/>
  <c r="DG72" i="59"/>
  <c r="DH72" i="59"/>
  <c r="DI72" i="59"/>
  <c r="DJ72" i="59"/>
  <c r="DK72" i="59"/>
  <c r="DL72" i="59"/>
  <c r="DM72" i="59"/>
  <c r="DN72" i="59"/>
  <c r="DO72" i="59"/>
  <c r="DP72" i="59"/>
  <c r="DQ72" i="59"/>
  <c r="DR72" i="59"/>
  <c r="DS72" i="59"/>
  <c r="DT72" i="59"/>
  <c r="DU72" i="59"/>
  <c r="DV72" i="59"/>
  <c r="DW72" i="59"/>
  <c r="DX72" i="59"/>
  <c r="DY72" i="59"/>
  <c r="DZ72" i="59"/>
  <c r="EA72" i="59"/>
  <c r="EB72" i="59"/>
  <c r="EC72" i="59"/>
  <c r="ED72" i="59"/>
  <c r="EE72" i="59"/>
  <c r="EF72" i="59"/>
  <c r="EG72" i="59"/>
  <c r="EH72" i="59"/>
  <c r="EJ72" i="59"/>
  <c r="EK72" i="59"/>
  <c r="EL72" i="59"/>
  <c r="EM72" i="59"/>
  <c r="EN72" i="59"/>
  <c r="EW72" i="59"/>
  <c r="EX72" i="59"/>
  <c r="EY72" i="59"/>
  <c r="FA72" i="59"/>
  <c r="FB72" i="59"/>
  <c r="FC72" i="59"/>
  <c r="FD72" i="59"/>
  <c r="FE72" i="59"/>
  <c r="FN72" i="59"/>
  <c r="FO72" i="59"/>
  <c r="FP72" i="59"/>
  <c r="FR72" i="59"/>
  <c r="FS72" i="59"/>
  <c r="FT72" i="59"/>
  <c r="FU72" i="59"/>
  <c r="FV72" i="59"/>
  <c r="GE72" i="59"/>
  <c r="GF72" i="59"/>
  <c r="GG72" i="59"/>
  <c r="GI72" i="59"/>
  <c r="GJ72" i="59"/>
  <c r="GK72" i="59"/>
  <c r="GL72" i="59"/>
  <c r="GM72" i="59"/>
  <c r="GV72" i="59"/>
  <c r="GW72" i="59"/>
  <c r="GX72" i="59"/>
  <c r="GZ72" i="59"/>
  <c r="HA72" i="59"/>
  <c r="HB72" i="59"/>
  <c r="HC72" i="59"/>
  <c r="HD72" i="59"/>
  <c r="HM72" i="59"/>
  <c r="HN72" i="59"/>
  <c r="HO72" i="59"/>
  <c r="HQ72" i="59"/>
  <c r="HR72" i="59"/>
  <c r="HS72" i="59"/>
  <c r="HT72" i="59"/>
  <c r="HU72" i="59"/>
  <c r="ID72" i="59"/>
  <c r="IE72" i="59"/>
  <c r="IF72" i="59"/>
  <c r="IH72" i="59"/>
  <c r="II72" i="59"/>
  <c r="IJ72" i="59"/>
  <c r="IK72" i="59"/>
  <c r="IL72" i="59"/>
  <c r="IU72" i="59"/>
  <c r="IV72" i="59"/>
  <c r="F73" i="59"/>
  <c r="H73" i="59"/>
  <c r="I73" i="59"/>
  <c r="J73" i="59"/>
  <c r="K73" i="59"/>
  <c r="L73" i="59"/>
  <c r="U73" i="59"/>
  <c r="V73" i="59"/>
  <c r="W73" i="59"/>
  <c r="Y73" i="59"/>
  <c r="Z73" i="59"/>
  <c r="AA73" i="59"/>
  <c r="AB73" i="59"/>
  <c r="AC73" i="59"/>
  <c r="AL73" i="59"/>
  <c r="AM73" i="59"/>
  <c r="AN73" i="59"/>
  <c r="AP73" i="59"/>
  <c r="AQ73" i="59"/>
  <c r="AR73" i="59"/>
  <c r="AS73" i="59"/>
  <c r="AT73" i="59"/>
  <c r="BC73" i="59"/>
  <c r="BD73" i="59"/>
  <c r="BE73" i="59"/>
  <c r="BF73" i="59"/>
  <c r="BG73" i="59"/>
  <c r="BH73" i="59"/>
  <c r="BI73" i="59"/>
  <c r="BJ73" i="59"/>
  <c r="BK73" i="59"/>
  <c r="BT73" i="59"/>
  <c r="BU73" i="59"/>
  <c r="BV73" i="59"/>
  <c r="BW73" i="59"/>
  <c r="BX73" i="59"/>
  <c r="BY73" i="59"/>
  <c r="BZ73" i="59"/>
  <c r="CA73" i="59"/>
  <c r="CB73" i="59"/>
  <c r="CC73" i="59"/>
  <c r="CD73" i="59"/>
  <c r="CE73" i="59"/>
  <c r="CF73" i="59"/>
  <c r="CG73" i="59"/>
  <c r="CH73" i="59"/>
  <c r="CI73" i="59"/>
  <c r="CJ73" i="59"/>
  <c r="CK73" i="59"/>
  <c r="CL73" i="59"/>
  <c r="CM73" i="59"/>
  <c r="CN73" i="59"/>
  <c r="CO73" i="59"/>
  <c r="CP73" i="59"/>
  <c r="CQ73" i="59"/>
  <c r="CR73" i="59"/>
  <c r="CS73" i="59"/>
  <c r="CT73" i="59"/>
  <c r="CU73" i="59"/>
  <c r="CV73" i="59"/>
  <c r="CW73" i="59"/>
  <c r="CX73" i="59"/>
  <c r="CY73" i="59"/>
  <c r="CZ73" i="59"/>
  <c r="DA73" i="59"/>
  <c r="DB73" i="59"/>
  <c r="DC73" i="59"/>
  <c r="DD73" i="59"/>
  <c r="DE73" i="59"/>
  <c r="DF73" i="59"/>
  <c r="DG73" i="59"/>
  <c r="DH73" i="59"/>
  <c r="DI73" i="59"/>
  <c r="DJ73" i="59"/>
  <c r="DK73" i="59"/>
  <c r="DL73" i="59"/>
  <c r="DM73" i="59"/>
  <c r="DN73" i="59"/>
  <c r="DO73" i="59"/>
  <c r="DP73" i="59"/>
  <c r="DQ73" i="59"/>
  <c r="DR73" i="59"/>
  <c r="DS73" i="59"/>
  <c r="DT73" i="59"/>
  <c r="DU73" i="59"/>
  <c r="DV73" i="59"/>
  <c r="DW73" i="59"/>
  <c r="DX73" i="59"/>
  <c r="DY73" i="59"/>
  <c r="DZ73" i="59"/>
  <c r="EA73" i="59"/>
  <c r="EB73" i="59"/>
  <c r="EC73" i="59"/>
  <c r="ED73" i="59"/>
  <c r="EE73" i="59"/>
  <c r="EF73" i="59"/>
  <c r="EG73" i="59"/>
  <c r="EH73" i="59"/>
  <c r="EI73" i="59"/>
  <c r="EJ73" i="59"/>
  <c r="EK73" i="59"/>
  <c r="EL73" i="59"/>
  <c r="EM73" i="59"/>
  <c r="EN73" i="59"/>
  <c r="EO73" i="59"/>
  <c r="EP73" i="59"/>
  <c r="EQ73" i="59"/>
  <c r="ER73" i="59"/>
  <c r="ES73" i="59"/>
  <c r="ET73" i="59"/>
  <c r="EU73" i="59"/>
  <c r="EV73" i="59"/>
  <c r="EW73" i="59"/>
  <c r="EX73" i="59"/>
  <c r="EY73" i="59"/>
  <c r="EZ73" i="59"/>
  <c r="FA73" i="59"/>
  <c r="FB73" i="59"/>
  <c r="FC73" i="59"/>
  <c r="FF73" i="59"/>
  <c r="FW73" i="59"/>
  <c r="GN73" i="59"/>
  <c r="HE73" i="59"/>
  <c r="HV73" i="59"/>
  <c r="IM73" i="59"/>
  <c r="M74" i="59"/>
  <c r="AD74" i="59"/>
  <c r="AU74" i="59"/>
  <c r="BL74" i="59"/>
  <c r="CC74" i="59"/>
  <c r="CT74" i="59"/>
  <c r="DK74" i="59"/>
  <c r="EB74" i="59"/>
  <c r="ES74" i="59"/>
  <c r="FJ74" i="59"/>
  <c r="GA74" i="59"/>
  <c r="GR74" i="59"/>
  <c r="HI74" i="59"/>
  <c r="HZ74" i="59"/>
  <c r="IQ74" i="59"/>
  <c r="Q75" i="59"/>
  <c r="AH75" i="59"/>
  <c r="AY75" i="59"/>
  <c r="BP75" i="59"/>
  <c r="CG75" i="59"/>
  <c r="CX75" i="59"/>
  <c r="DO75" i="59"/>
  <c r="EF75" i="59"/>
  <c r="EW75" i="59"/>
  <c r="FL75" i="59"/>
  <c r="FM75" i="59"/>
  <c r="FN75" i="59"/>
  <c r="FO75" i="59"/>
  <c r="FP75" i="59"/>
  <c r="FQ75" i="59"/>
  <c r="GA75" i="59"/>
  <c r="GB75" i="59"/>
  <c r="GC75" i="59"/>
  <c r="GD75" i="59"/>
  <c r="GE75" i="59"/>
  <c r="GF75" i="59"/>
  <c r="GG75" i="59"/>
  <c r="GH75" i="59"/>
  <c r="GI75" i="59"/>
  <c r="GJ75" i="59"/>
  <c r="GK75" i="59"/>
  <c r="GL75" i="59"/>
  <c r="GM75" i="59"/>
  <c r="GN75" i="59"/>
  <c r="GO75" i="59"/>
  <c r="GP75" i="59"/>
  <c r="GQ75" i="59"/>
  <c r="GR75" i="59"/>
  <c r="GS75" i="59"/>
  <c r="GT75" i="59"/>
  <c r="GU75" i="59"/>
  <c r="GV75" i="59"/>
  <c r="GW75" i="59"/>
  <c r="GX75" i="59"/>
  <c r="GY75" i="59"/>
  <c r="GZ75" i="59"/>
  <c r="HA75" i="59"/>
  <c r="HB75" i="59"/>
  <c r="HC75" i="59"/>
  <c r="HD75" i="59"/>
  <c r="HE75" i="59"/>
  <c r="HF75" i="59"/>
  <c r="HG75" i="59"/>
  <c r="HH75" i="59"/>
  <c r="HI75" i="59"/>
  <c r="HJ75" i="59"/>
  <c r="HK75" i="59"/>
  <c r="HL75" i="59"/>
  <c r="HM75" i="59"/>
  <c r="HN75" i="59"/>
  <c r="HO75" i="59"/>
  <c r="HP75" i="59"/>
  <c r="HQ75" i="59"/>
  <c r="HR75" i="59"/>
  <c r="HS75" i="59"/>
  <c r="HT75" i="59"/>
  <c r="HU75" i="59"/>
  <c r="HV75" i="59"/>
  <c r="HW75" i="59"/>
  <c r="HX75" i="59"/>
  <c r="HY75" i="59"/>
  <c r="HZ75" i="59"/>
  <c r="IA75" i="59"/>
  <c r="IB75" i="59"/>
  <c r="IC75" i="59"/>
  <c r="ID75" i="59"/>
  <c r="IE75" i="59"/>
  <c r="IF75" i="59"/>
  <c r="IG75" i="59"/>
  <c r="IH75" i="59"/>
  <c r="II75" i="59"/>
  <c r="IJ75" i="59"/>
  <c r="IK75" i="59"/>
  <c r="IL75" i="59"/>
  <c r="IM75" i="59"/>
  <c r="IN75" i="59"/>
  <c r="IO75" i="59"/>
  <c r="IP75" i="59"/>
  <c r="IQ75" i="59"/>
  <c r="IR75" i="59"/>
  <c r="IS75" i="59"/>
  <c r="IT75" i="59"/>
  <c r="IU75" i="59"/>
  <c r="IV75" i="59"/>
  <c r="F76" i="59"/>
  <c r="G76" i="59"/>
  <c r="H76" i="59"/>
  <c r="I76" i="59"/>
  <c r="J76" i="59"/>
  <c r="K76" i="59"/>
  <c r="L76" i="59"/>
  <c r="O76" i="59"/>
  <c r="P76" i="59"/>
  <c r="Q76" i="59"/>
  <c r="R76" i="59"/>
  <c r="S76" i="59"/>
  <c r="T76" i="59"/>
  <c r="U76" i="59"/>
  <c r="V76" i="59"/>
  <c r="W76" i="59"/>
  <c r="X76" i="59"/>
  <c r="Y76" i="59"/>
  <c r="Z76" i="59"/>
  <c r="AA76" i="59"/>
  <c r="AB76" i="59"/>
  <c r="AC76" i="59"/>
  <c r="AD76" i="59"/>
  <c r="AE76" i="59"/>
  <c r="AF76" i="59"/>
  <c r="AG76" i="59"/>
  <c r="AH76" i="59"/>
  <c r="AI76" i="59"/>
  <c r="AJ76" i="59"/>
  <c r="AK76" i="59"/>
  <c r="AL76" i="59"/>
  <c r="AM76" i="59"/>
  <c r="AN76" i="59"/>
  <c r="AO76" i="59"/>
  <c r="AP76" i="59"/>
  <c r="AQ76" i="59"/>
  <c r="AR76" i="59"/>
  <c r="AS76" i="59"/>
  <c r="AT76" i="59"/>
  <c r="AU76" i="59"/>
  <c r="AV76" i="59"/>
  <c r="AW76" i="59"/>
  <c r="AX76" i="59"/>
  <c r="AY76" i="59"/>
  <c r="AZ76" i="59"/>
  <c r="BA76" i="59"/>
  <c r="BB76" i="59"/>
  <c r="BC76" i="59"/>
  <c r="BD76" i="59"/>
  <c r="BE76" i="59"/>
  <c r="BF76" i="59"/>
  <c r="BG76" i="59"/>
  <c r="BH76" i="59"/>
  <c r="BI76" i="59"/>
  <c r="BJ76" i="59"/>
  <c r="BK76" i="59"/>
  <c r="BL76" i="59"/>
  <c r="BM76" i="59"/>
  <c r="BN76" i="59"/>
  <c r="BO76" i="59"/>
  <c r="BP76" i="59"/>
  <c r="BQ76" i="59"/>
  <c r="BR76" i="59"/>
  <c r="BS76" i="59"/>
  <c r="BT76" i="59"/>
  <c r="BU76" i="59"/>
  <c r="BV76" i="59"/>
  <c r="BW76" i="59"/>
  <c r="BX76" i="59"/>
  <c r="BY76" i="59"/>
  <c r="BZ76" i="59"/>
  <c r="CA76" i="59"/>
  <c r="CB76" i="59"/>
  <c r="CC76" i="59"/>
  <c r="CD76" i="59"/>
  <c r="CE76" i="59"/>
  <c r="CF76" i="59"/>
  <c r="CG76" i="59"/>
  <c r="CH76" i="59"/>
  <c r="CI76" i="59"/>
  <c r="CJ76" i="59"/>
  <c r="CK76" i="59"/>
  <c r="CL76" i="59"/>
  <c r="CM76" i="59"/>
  <c r="CN76" i="59"/>
  <c r="CO76" i="59"/>
  <c r="CP76" i="59"/>
  <c r="CQ76" i="59"/>
  <c r="CR76" i="59"/>
  <c r="CS76" i="59"/>
  <c r="CT76" i="59"/>
  <c r="CU76" i="59"/>
  <c r="CV76" i="59"/>
  <c r="CW76" i="59"/>
  <c r="CX76" i="59"/>
  <c r="CY76" i="59"/>
  <c r="CZ76" i="59"/>
  <c r="DA76" i="59"/>
  <c r="DB76" i="59"/>
  <c r="DC76" i="59"/>
  <c r="DD76" i="59"/>
  <c r="DE76" i="59"/>
  <c r="DF76" i="59"/>
  <c r="DG76" i="59"/>
  <c r="DH76" i="59"/>
  <c r="DI76" i="59"/>
  <c r="DJ76" i="59"/>
  <c r="DK76" i="59"/>
  <c r="DL76" i="59"/>
  <c r="DM76" i="59"/>
  <c r="DN76" i="59"/>
  <c r="DO76" i="59"/>
  <c r="DP76" i="59"/>
  <c r="DQ76" i="59"/>
  <c r="DR76" i="59"/>
  <c r="DS76" i="59"/>
  <c r="DT76" i="59"/>
  <c r="DU76" i="59"/>
  <c r="DV76" i="59"/>
  <c r="DW76" i="59"/>
  <c r="DX76" i="59"/>
  <c r="DY76" i="59"/>
  <c r="DZ76" i="59"/>
  <c r="EA76" i="59"/>
  <c r="EB76" i="59"/>
  <c r="EC76" i="59"/>
  <c r="ED76" i="59"/>
  <c r="EE76" i="59"/>
  <c r="EF76" i="59"/>
  <c r="EG76" i="59"/>
  <c r="EH76" i="59"/>
  <c r="EI76" i="59"/>
  <c r="EJ76" i="59"/>
  <c r="EK76" i="59"/>
  <c r="EL76" i="59"/>
  <c r="EM76" i="59"/>
  <c r="EN76" i="59"/>
  <c r="EO76" i="59"/>
  <c r="EP76" i="59"/>
  <c r="EQ76" i="59"/>
  <c r="ER76" i="59"/>
  <c r="ES76" i="59"/>
  <c r="ET76" i="59"/>
  <c r="EU76" i="59"/>
  <c r="EV76" i="59"/>
  <c r="EW76" i="59"/>
  <c r="EX76" i="59"/>
  <c r="EY76" i="59"/>
  <c r="EZ76" i="59"/>
  <c r="FA76" i="59"/>
  <c r="FB76" i="59"/>
  <c r="FC76" i="59"/>
  <c r="FD76" i="59"/>
  <c r="FE76" i="59"/>
  <c r="FF76" i="59"/>
  <c r="FG76" i="59"/>
  <c r="FH76" i="59"/>
  <c r="FI76" i="59"/>
  <c r="FJ76" i="59"/>
  <c r="FK76" i="59"/>
  <c r="FL76" i="59"/>
  <c r="FM76" i="59"/>
  <c r="FN76" i="59"/>
  <c r="FO76" i="59"/>
  <c r="FP76" i="59"/>
  <c r="FQ76" i="59"/>
  <c r="FR76" i="59"/>
  <c r="FS76" i="59"/>
  <c r="FT76" i="59"/>
  <c r="FU76" i="59"/>
  <c r="FV76" i="59"/>
  <c r="FW76" i="59"/>
  <c r="FX76" i="59"/>
  <c r="FY76" i="59"/>
  <c r="FZ76" i="59"/>
  <c r="GA76" i="59"/>
  <c r="GB76" i="59"/>
  <c r="GC76" i="59"/>
  <c r="GD76" i="59"/>
  <c r="GE76" i="59"/>
  <c r="GF76" i="59"/>
  <c r="GG76" i="59"/>
  <c r="GH76" i="59"/>
  <c r="GI76" i="59"/>
  <c r="GJ76" i="59"/>
  <c r="GK76" i="59"/>
  <c r="GL76" i="59"/>
  <c r="GM76" i="59"/>
  <c r="GN76" i="59"/>
  <c r="GO76" i="59"/>
  <c r="GP76" i="59"/>
  <c r="GQ76" i="59"/>
  <c r="GR76" i="59"/>
  <c r="GS76" i="59"/>
  <c r="GT76" i="59"/>
  <c r="GU76" i="59"/>
  <c r="GV76" i="59"/>
  <c r="GW76" i="59"/>
  <c r="GX76" i="59"/>
  <c r="GY76" i="59"/>
  <c r="GZ76" i="59"/>
  <c r="HA76" i="59"/>
  <c r="HB76" i="59"/>
  <c r="HC76" i="59"/>
  <c r="HD76" i="59"/>
  <c r="HE76" i="59"/>
  <c r="HF76" i="59"/>
  <c r="HG76" i="59"/>
  <c r="HH76" i="59"/>
  <c r="HI76" i="59"/>
  <c r="HJ76" i="59"/>
  <c r="HK76" i="59"/>
  <c r="HL76" i="59"/>
  <c r="HM76" i="59"/>
  <c r="HN76" i="59"/>
  <c r="HO76" i="59"/>
  <c r="HP76" i="59"/>
  <c r="HQ76" i="59"/>
  <c r="HR76" i="59"/>
  <c r="HS76" i="59"/>
  <c r="HT76" i="59"/>
  <c r="HU76" i="59"/>
  <c r="HV76" i="59"/>
  <c r="HW76" i="59"/>
  <c r="HX76" i="59"/>
  <c r="HY76" i="59"/>
  <c r="HZ76" i="59"/>
  <c r="IA76" i="59"/>
  <c r="IB76" i="59"/>
  <c r="IC76" i="59"/>
  <c r="ID76" i="59"/>
  <c r="IE76" i="59"/>
  <c r="IF76" i="59"/>
  <c r="IG76" i="59"/>
  <c r="IH76" i="59"/>
  <c r="II76" i="59"/>
  <c r="IJ76" i="59"/>
  <c r="IK76" i="59"/>
  <c r="IL76" i="59"/>
  <c r="IM76" i="59"/>
  <c r="IN76" i="59"/>
  <c r="IO76" i="59"/>
  <c r="IP76" i="59"/>
  <c r="IQ76" i="59"/>
  <c r="IR76" i="59"/>
  <c r="IS76" i="59"/>
  <c r="IT76" i="59"/>
  <c r="IU76" i="59"/>
  <c r="IV76" i="59"/>
  <c r="F77" i="59"/>
  <c r="G77" i="59"/>
  <c r="H77" i="59"/>
  <c r="I77" i="59"/>
  <c r="J77" i="59"/>
  <c r="K77" i="59"/>
  <c r="L77" i="59"/>
  <c r="M77" i="59"/>
  <c r="N77" i="59"/>
  <c r="O77" i="59"/>
  <c r="P77" i="59"/>
  <c r="Q77" i="59"/>
  <c r="R77" i="59"/>
  <c r="T77" i="59"/>
  <c r="U77" i="59"/>
  <c r="V77" i="59"/>
  <c r="W77" i="59"/>
  <c r="X77" i="59"/>
  <c r="Y77" i="59"/>
  <c r="Z77" i="59"/>
  <c r="AA77" i="59"/>
  <c r="AB77" i="59"/>
  <c r="AC77" i="59"/>
  <c r="AD77" i="59"/>
  <c r="AE77" i="59"/>
  <c r="AF77" i="59"/>
  <c r="AG77" i="59"/>
  <c r="AH77" i="59"/>
  <c r="AI77" i="59"/>
  <c r="AJ77" i="59"/>
  <c r="AK77" i="59"/>
  <c r="AL77" i="59"/>
  <c r="AN77" i="59"/>
  <c r="AO77" i="59"/>
  <c r="AP77" i="59"/>
  <c r="AQ77" i="59"/>
  <c r="AR77" i="59"/>
  <c r="AS77" i="59"/>
  <c r="AT77" i="59"/>
  <c r="AU77" i="59"/>
  <c r="AV77" i="59"/>
  <c r="AW77" i="59"/>
  <c r="AX77" i="59"/>
  <c r="AY77" i="59"/>
  <c r="AZ77" i="59"/>
  <c r="BA77" i="59"/>
  <c r="BB77" i="59"/>
  <c r="BC77" i="59"/>
  <c r="BD77" i="59"/>
  <c r="BE77" i="59"/>
  <c r="BF77" i="59"/>
  <c r="BG77" i="59"/>
  <c r="BH77" i="59"/>
  <c r="BI77" i="59"/>
  <c r="BJ77" i="59"/>
  <c r="BK77" i="59"/>
  <c r="BL77" i="59"/>
  <c r="BM77" i="59"/>
  <c r="BN77" i="59"/>
  <c r="BO77" i="59"/>
  <c r="BP77" i="59"/>
  <c r="BQ77" i="59"/>
  <c r="BR77" i="59"/>
  <c r="BS77" i="59"/>
  <c r="BT77" i="59"/>
  <c r="BU77" i="59"/>
  <c r="BV77" i="59"/>
  <c r="BW77" i="59"/>
  <c r="BX77" i="59"/>
  <c r="BY77" i="59"/>
  <c r="BZ77" i="59"/>
  <c r="CA77" i="59"/>
  <c r="CB77" i="59"/>
  <c r="CC77" i="59"/>
  <c r="CD77" i="59"/>
  <c r="CE77" i="59"/>
  <c r="CF77" i="59"/>
  <c r="CG77" i="59"/>
  <c r="CH77" i="59"/>
  <c r="CI77" i="59"/>
  <c r="CJ77" i="59"/>
  <c r="CK77" i="59"/>
  <c r="CL77" i="59"/>
  <c r="CM77" i="59"/>
  <c r="CN77" i="59"/>
  <c r="CO77" i="59"/>
  <c r="CP77" i="59"/>
  <c r="CQ77" i="59"/>
  <c r="CR77" i="59"/>
  <c r="CS77" i="59"/>
  <c r="CT77" i="59"/>
  <c r="CU77" i="59"/>
  <c r="CV77" i="59"/>
  <c r="CW77" i="59"/>
  <c r="CX77" i="59"/>
  <c r="CY77" i="59"/>
  <c r="CZ77" i="59"/>
  <c r="DA77" i="59"/>
  <c r="DB77" i="59"/>
  <c r="DC77" i="59"/>
  <c r="DD77" i="59"/>
  <c r="DE77" i="59"/>
  <c r="DF77" i="59"/>
  <c r="DG77" i="59"/>
  <c r="DH77" i="59"/>
  <c r="DI77" i="59"/>
  <c r="DJ77" i="59"/>
  <c r="DK77" i="59"/>
  <c r="DL77" i="59"/>
  <c r="DM77" i="59"/>
  <c r="DN77" i="59"/>
  <c r="DO77" i="59"/>
  <c r="DP77" i="59"/>
  <c r="DQ77" i="59"/>
  <c r="DR77" i="59"/>
  <c r="DS77" i="59"/>
  <c r="DU77" i="59"/>
  <c r="DV77" i="59"/>
  <c r="DW77" i="59"/>
  <c r="DX77" i="59"/>
  <c r="DY77" i="59"/>
  <c r="DZ77" i="59"/>
  <c r="EA77" i="59"/>
  <c r="EB77" i="59"/>
  <c r="EC77" i="59"/>
  <c r="ED77" i="59"/>
  <c r="EE77" i="59"/>
  <c r="EF77" i="59"/>
  <c r="EH77" i="59"/>
  <c r="EI77" i="59"/>
  <c r="EP77" i="59"/>
  <c r="EQ77" i="59"/>
  <c r="ER77" i="59"/>
  <c r="ES77" i="59"/>
  <c r="EU77" i="59"/>
  <c r="EV77" i="59"/>
  <c r="EW77" i="59"/>
  <c r="EX77" i="59"/>
  <c r="EY77" i="59"/>
  <c r="EZ77" i="59"/>
  <c r="FB77" i="59"/>
  <c r="FC77" i="59"/>
  <c r="FJ77" i="59"/>
  <c r="FK77" i="59"/>
  <c r="FL77" i="59"/>
  <c r="FO77" i="59"/>
  <c r="FP77" i="59"/>
  <c r="FQ77" i="59"/>
  <c r="FR77" i="59"/>
  <c r="FS77" i="59"/>
  <c r="FT77" i="59"/>
  <c r="FV77" i="59"/>
  <c r="FW77" i="59"/>
  <c r="GD77" i="59"/>
  <c r="GE77" i="59"/>
  <c r="GF77" i="59"/>
  <c r="GI77" i="59"/>
  <c r="GJ77" i="59"/>
  <c r="GK77" i="59"/>
  <c r="GL77" i="59"/>
  <c r="GM77" i="59"/>
  <c r="GN77" i="59"/>
  <c r="GP77" i="59"/>
  <c r="GQ77" i="59"/>
  <c r="GX77" i="59"/>
  <c r="GY77" i="59"/>
  <c r="GZ77" i="59"/>
  <c r="HC77" i="59"/>
  <c r="HD77" i="59"/>
  <c r="HE77" i="59"/>
  <c r="HF77" i="59"/>
  <c r="HG77" i="59"/>
  <c r="HH77" i="59"/>
  <c r="HJ77" i="59"/>
  <c r="HK77" i="59"/>
  <c r="HR77" i="59"/>
  <c r="HS77" i="59"/>
  <c r="HT77" i="59"/>
  <c r="HW77" i="59"/>
  <c r="HX77" i="59"/>
  <c r="HY77" i="59"/>
  <c r="HZ77" i="59"/>
  <c r="IA77" i="59"/>
  <c r="IB77" i="59"/>
  <c r="ID77" i="59"/>
  <c r="IE77" i="59"/>
  <c r="IL77" i="59"/>
  <c r="IM77" i="59"/>
  <c r="IN77" i="59"/>
  <c r="IO77" i="59"/>
  <c r="IQ77" i="59"/>
  <c r="IR77" i="59"/>
  <c r="IS77" i="59"/>
  <c r="IT77" i="59"/>
  <c r="IU77" i="59"/>
  <c r="IV77" i="59"/>
  <c r="G78" i="59"/>
  <c r="H78" i="59"/>
  <c r="O78" i="59"/>
  <c r="P78" i="59"/>
  <c r="Q78" i="59"/>
  <c r="R78" i="59"/>
  <c r="T78" i="59"/>
  <c r="U78" i="59"/>
  <c r="V78" i="59"/>
  <c r="W78" i="59"/>
  <c r="X78" i="59"/>
  <c r="Y78" i="59"/>
  <c r="AA78" i="59"/>
  <c r="AB78" i="59"/>
  <c r="AI78" i="59"/>
  <c r="AJ78" i="59"/>
  <c r="AK78" i="59"/>
  <c r="AN78" i="59"/>
  <c r="AO78" i="59"/>
  <c r="AP78" i="59"/>
  <c r="AQ78" i="59"/>
  <c r="AR78" i="59"/>
  <c r="AS78" i="59"/>
  <c r="AU78" i="59"/>
  <c r="AV78" i="59"/>
  <c r="BC78" i="59"/>
  <c r="BD78" i="59"/>
  <c r="BE78" i="59"/>
  <c r="BF78" i="59"/>
  <c r="BG78" i="59"/>
  <c r="BH78" i="59"/>
  <c r="BI78" i="59"/>
  <c r="BJ78" i="59"/>
  <c r="BK78" i="59"/>
  <c r="BL78" i="59"/>
  <c r="BM78" i="59"/>
  <c r="BO78" i="59"/>
  <c r="BP78" i="59"/>
  <c r="BW78" i="59"/>
  <c r="BX78" i="59"/>
  <c r="BY78" i="59"/>
  <c r="BZ78" i="59"/>
  <c r="CA78" i="59"/>
  <c r="CB78" i="59"/>
  <c r="CC78" i="59"/>
  <c r="CD78" i="59"/>
  <c r="CE78" i="59"/>
  <c r="CF78" i="59"/>
  <c r="CG78" i="59"/>
  <c r="CI78" i="59"/>
  <c r="CJ78" i="59"/>
  <c r="CQ78" i="59"/>
  <c r="CR78" i="59"/>
  <c r="CS78" i="59"/>
  <c r="CT78" i="59"/>
  <c r="CU78" i="59"/>
  <c r="CV78" i="59"/>
  <c r="CW78" i="59"/>
  <c r="CX78" i="59"/>
  <c r="CY78" i="59"/>
  <c r="CZ78" i="59"/>
  <c r="DA78" i="59"/>
  <c r="DC78" i="59"/>
  <c r="DD78" i="59"/>
  <c r="DK78" i="59"/>
  <c r="DL78" i="59"/>
  <c r="DM78" i="59"/>
  <c r="DN78" i="59"/>
  <c r="DO78" i="59"/>
  <c r="DP78" i="59"/>
  <c r="DQ78" i="59"/>
  <c r="DR78" i="59"/>
  <c r="DS78" i="59"/>
  <c r="DT78" i="59"/>
  <c r="DU78" i="59"/>
  <c r="DW78" i="59"/>
  <c r="DX78" i="59"/>
  <c r="EE78" i="59"/>
  <c r="EF78" i="59"/>
  <c r="EG78" i="59"/>
  <c r="EH78" i="59"/>
  <c r="EI78" i="59"/>
  <c r="EJ78" i="59"/>
  <c r="EK78" i="59"/>
  <c r="EL78" i="59"/>
  <c r="EM78" i="59"/>
  <c r="EN78" i="59"/>
  <c r="EO78" i="59"/>
  <c r="EQ78" i="59"/>
  <c r="ER78" i="59"/>
  <c r="EY78" i="59"/>
  <c r="EZ78" i="59"/>
  <c r="FA78" i="59"/>
  <c r="FB78" i="59"/>
  <c r="FC78" i="59"/>
  <c r="FD78" i="59"/>
  <c r="FE78" i="59"/>
  <c r="FF78" i="59"/>
  <c r="FG78" i="59"/>
  <c r="FH78" i="59"/>
  <c r="FI78" i="59"/>
  <c r="FK78" i="59"/>
  <c r="FL78" i="59"/>
  <c r="FS78" i="59"/>
  <c r="FT78" i="59"/>
  <c r="FU78" i="59"/>
  <c r="FW78" i="59"/>
  <c r="FX78" i="59"/>
  <c r="FY78" i="59"/>
  <c r="FZ78" i="59"/>
  <c r="GA78" i="59"/>
  <c r="GB78" i="59"/>
  <c r="GC78" i="59"/>
  <c r="GE78" i="59"/>
  <c r="GF78" i="59"/>
  <c r="GM78" i="59"/>
  <c r="GN78" i="59"/>
  <c r="GO78" i="59"/>
  <c r="GP78" i="59"/>
  <c r="GQ78" i="59"/>
  <c r="GR78" i="59"/>
  <c r="GS78" i="59"/>
  <c r="GT78" i="59"/>
  <c r="GU78" i="59"/>
  <c r="GV78" i="59"/>
  <c r="GW78" i="59"/>
  <c r="GY78" i="59"/>
  <c r="GZ78" i="59"/>
  <c r="HG78" i="59"/>
  <c r="HH78" i="59"/>
  <c r="HI78" i="59"/>
  <c r="HJ78" i="59"/>
  <c r="HK78" i="59"/>
  <c r="HL78" i="59"/>
  <c r="HM78" i="59"/>
  <c r="HN78" i="59"/>
  <c r="HO78" i="59"/>
  <c r="HP78" i="59"/>
  <c r="HQ78" i="59"/>
  <c r="HS78" i="59"/>
  <c r="HT78" i="59"/>
  <c r="IA78" i="59"/>
  <c r="IB78" i="59"/>
  <c r="IC78" i="59"/>
  <c r="ID78" i="59"/>
  <c r="IE78" i="59"/>
  <c r="IF78" i="59"/>
  <c r="IG78" i="59"/>
  <c r="IH78" i="59"/>
  <c r="II78" i="59"/>
  <c r="IJ78" i="59"/>
  <c r="IK78" i="59"/>
  <c r="IM78" i="59"/>
  <c r="IN78" i="59"/>
  <c r="IU78" i="59"/>
  <c r="IV78" i="59"/>
  <c r="F79" i="59"/>
  <c r="G79" i="59"/>
  <c r="H79" i="59"/>
  <c r="I79" i="59"/>
  <c r="J79" i="59"/>
  <c r="K79" i="59"/>
  <c r="L79" i="59"/>
  <c r="M79" i="59"/>
  <c r="N79" i="59"/>
  <c r="P79" i="59"/>
  <c r="Q79" i="59"/>
  <c r="X79" i="59"/>
  <c r="Y79" i="59"/>
  <c r="Z79" i="59"/>
  <c r="AA79" i="59"/>
  <c r="AC79" i="59"/>
  <c r="AD79" i="59"/>
  <c r="AE79" i="59"/>
  <c r="AF79" i="59"/>
  <c r="AG79" i="59"/>
  <c r="AH79" i="59"/>
  <c r="AJ79" i="59"/>
  <c r="AK79" i="59"/>
  <c r="AR79" i="59"/>
  <c r="AS79" i="59"/>
  <c r="AT79" i="59"/>
  <c r="AU79" i="59"/>
  <c r="AW79" i="59"/>
  <c r="AX79" i="59"/>
  <c r="AY79" i="59"/>
  <c r="AZ79" i="59"/>
  <c r="BA79" i="59"/>
  <c r="BB79" i="59"/>
  <c r="BD79" i="59"/>
  <c r="BE79" i="59"/>
  <c r="BL79" i="59"/>
  <c r="BM79" i="59"/>
  <c r="BN79" i="59"/>
  <c r="BO79" i="59"/>
  <c r="BP79" i="59"/>
  <c r="BQ79" i="59"/>
  <c r="BR79" i="59"/>
  <c r="BS79" i="59"/>
  <c r="BT79" i="59"/>
  <c r="BU79" i="59"/>
  <c r="BV79" i="59"/>
  <c r="BX79" i="59"/>
  <c r="BY79" i="59"/>
  <c r="CF79" i="59"/>
  <c r="CG79" i="59"/>
  <c r="CH79" i="59"/>
  <c r="CK79" i="59"/>
  <c r="CL79" i="59"/>
  <c r="CM79" i="59"/>
  <c r="CN79" i="59"/>
  <c r="CO79" i="59"/>
  <c r="CP79" i="59"/>
  <c r="CR79" i="59"/>
  <c r="CS79" i="59"/>
  <c r="CZ79" i="59"/>
  <c r="DA79" i="59"/>
  <c r="DB79" i="59"/>
  <c r="DC79" i="59"/>
  <c r="DD79" i="59"/>
  <c r="DE79" i="59"/>
  <c r="DF79" i="59"/>
  <c r="DG79" i="59"/>
  <c r="DH79" i="59"/>
  <c r="DI79" i="59"/>
  <c r="DJ79" i="59"/>
  <c r="DL79" i="59"/>
  <c r="DM79" i="59"/>
  <c r="DT79" i="59"/>
  <c r="DU79" i="59"/>
  <c r="DV79" i="59"/>
  <c r="DW79" i="59"/>
  <c r="DX79" i="59"/>
  <c r="DY79" i="59"/>
  <c r="DZ79" i="59"/>
  <c r="EA79" i="59"/>
  <c r="EB79" i="59"/>
  <c r="EC79" i="59"/>
  <c r="ED79" i="59"/>
  <c r="EF79" i="59"/>
  <c r="EG79" i="59"/>
  <c r="EN79" i="59"/>
  <c r="EO79" i="59"/>
  <c r="EP79" i="59"/>
  <c r="EQ79" i="59"/>
  <c r="ER79" i="59"/>
  <c r="ES79" i="59"/>
  <c r="ET79" i="59"/>
  <c r="EU79" i="59"/>
  <c r="EV79" i="59"/>
  <c r="EW79" i="59"/>
  <c r="EX79" i="59"/>
  <c r="EZ79" i="59"/>
  <c r="FA79" i="59"/>
  <c r="FH79" i="59"/>
  <c r="FI79" i="59"/>
  <c r="FJ79" i="59"/>
  <c r="FK79" i="59"/>
  <c r="FL79" i="59"/>
  <c r="FM79" i="59"/>
  <c r="FN79" i="59"/>
  <c r="FO79" i="59"/>
  <c r="FP79" i="59"/>
  <c r="FQ79" i="59"/>
  <c r="FR79" i="59"/>
  <c r="FT79" i="59"/>
  <c r="FU79" i="59"/>
  <c r="GB79" i="59"/>
  <c r="GC79" i="59"/>
  <c r="GD79" i="59"/>
  <c r="GE79" i="59"/>
  <c r="GF79" i="59"/>
  <c r="GG79" i="59"/>
  <c r="GH79" i="59"/>
  <c r="GI79" i="59"/>
  <c r="GJ79" i="59"/>
  <c r="GK79" i="59"/>
  <c r="GL79" i="59"/>
  <c r="GN79" i="59"/>
  <c r="GO79" i="59"/>
  <c r="GV79" i="59"/>
  <c r="GW79" i="59"/>
  <c r="GX79" i="59"/>
  <c r="GY79" i="59"/>
  <c r="GZ79" i="59"/>
  <c r="HA79" i="59"/>
  <c r="HB79" i="59"/>
  <c r="HC79" i="59"/>
  <c r="HD79" i="59"/>
  <c r="HE79" i="59"/>
  <c r="HF79" i="59"/>
  <c r="HH79" i="59"/>
  <c r="HI79" i="59"/>
  <c r="HP79" i="59"/>
  <c r="HQ79" i="59"/>
  <c r="HR79" i="59"/>
  <c r="HS79" i="59"/>
  <c r="HT79" i="59"/>
  <c r="HU79" i="59"/>
  <c r="HV79" i="59"/>
  <c r="HW79" i="59"/>
  <c r="HX79" i="59"/>
  <c r="HY79" i="59"/>
  <c r="HZ79" i="59"/>
  <c r="IA79" i="59"/>
  <c r="IB79" i="59"/>
  <c r="IC79" i="59"/>
  <c r="IE79" i="59"/>
  <c r="IH79" i="59"/>
  <c r="IJ79" i="59"/>
  <c r="IK79" i="59"/>
  <c r="IL79" i="59"/>
  <c r="IM79" i="59"/>
  <c r="IN79" i="59"/>
  <c r="IO79" i="59"/>
  <c r="IP79" i="59"/>
  <c r="IQ79" i="59"/>
  <c r="IR79" i="59"/>
  <c r="IS79" i="59"/>
  <c r="IT79" i="59"/>
  <c r="IU79" i="59"/>
  <c r="IV79" i="59"/>
  <c r="F80" i="59"/>
  <c r="G80" i="59"/>
  <c r="H80" i="59"/>
  <c r="I80" i="59"/>
  <c r="J80" i="59"/>
  <c r="K80" i="59"/>
  <c r="L80" i="59"/>
  <c r="M80" i="59"/>
  <c r="N80" i="59"/>
  <c r="O80" i="59"/>
  <c r="P80" i="59"/>
  <c r="Q80" i="59"/>
  <c r="R80" i="59"/>
  <c r="S80" i="59"/>
  <c r="T80" i="59"/>
  <c r="U80" i="59"/>
  <c r="V80" i="59"/>
  <c r="W80" i="59"/>
  <c r="X80" i="59"/>
  <c r="Y80" i="59"/>
  <c r="Z80" i="59"/>
  <c r="AA80" i="59"/>
  <c r="AB80" i="59"/>
  <c r="AC80" i="59"/>
  <c r="AD80" i="59"/>
  <c r="AE80" i="59"/>
  <c r="AF80" i="59"/>
  <c r="AG80" i="59"/>
  <c r="AH80" i="59"/>
  <c r="AI80" i="59"/>
  <c r="AJ80" i="59"/>
  <c r="AK80" i="59"/>
  <c r="AL80" i="59"/>
  <c r="AM80" i="59"/>
  <c r="AN80" i="59"/>
  <c r="AO80" i="59"/>
  <c r="AP80" i="59"/>
  <c r="AQ80" i="59"/>
  <c r="AR80" i="59"/>
  <c r="AS80" i="59"/>
  <c r="AT80" i="59"/>
  <c r="AU80" i="59"/>
  <c r="AV80" i="59"/>
  <c r="AY80" i="59"/>
  <c r="BA80" i="59"/>
  <c r="BB80" i="59"/>
  <c r="BC80" i="59"/>
  <c r="BD80" i="59"/>
  <c r="BE80" i="59"/>
  <c r="BF80" i="59"/>
  <c r="BG80" i="59"/>
  <c r="BH80" i="59"/>
  <c r="BI80" i="59"/>
  <c r="BJ80" i="59"/>
  <c r="BK80" i="59"/>
  <c r="BL80" i="59"/>
  <c r="BM80" i="59"/>
  <c r="BN80" i="59"/>
  <c r="BO80" i="59"/>
  <c r="BP80" i="59"/>
  <c r="BS80" i="59"/>
  <c r="BU80" i="59"/>
  <c r="BV80" i="59"/>
  <c r="BW80" i="59"/>
  <c r="BX80" i="59"/>
  <c r="BY80" i="59"/>
  <c r="BZ80" i="59"/>
  <c r="CA80" i="59"/>
  <c r="CB80" i="59"/>
  <c r="CC80" i="59"/>
  <c r="CD80" i="59"/>
  <c r="CE80" i="59"/>
  <c r="CF80" i="59"/>
  <c r="CG80" i="59"/>
  <c r="CH80" i="59"/>
  <c r="CI80" i="59"/>
  <c r="CJ80" i="59"/>
  <c r="CM80" i="59"/>
  <c r="CO80" i="59"/>
  <c r="CP80" i="59"/>
  <c r="CQ80" i="59"/>
  <c r="CR80" i="59"/>
  <c r="CS80" i="59"/>
  <c r="CT80" i="59"/>
  <c r="CU80" i="59"/>
  <c r="CV80" i="59"/>
  <c r="CW80" i="59"/>
  <c r="CX80" i="59"/>
  <c r="CY80" i="59"/>
  <c r="CZ80" i="59"/>
  <c r="DA80" i="59"/>
  <c r="DB80" i="59"/>
  <c r="DC80" i="59"/>
  <c r="DD80" i="59"/>
  <c r="DG80" i="59"/>
  <c r="DI80" i="59"/>
  <c r="DJ80" i="59"/>
  <c r="DK80" i="59"/>
  <c r="DL80" i="59"/>
  <c r="DM80" i="59"/>
  <c r="DN80" i="59"/>
  <c r="DO80" i="59"/>
  <c r="DP80" i="59"/>
  <c r="DQ80" i="59"/>
  <c r="DR80" i="59"/>
  <c r="DS80" i="59"/>
  <c r="DT80" i="59"/>
  <c r="DU80" i="59"/>
  <c r="DV80" i="59"/>
  <c r="DW80" i="59"/>
  <c r="DX80" i="59"/>
  <c r="EA80" i="59"/>
  <c r="EC80" i="59"/>
  <c r="ED80" i="59"/>
  <c r="EE80" i="59"/>
  <c r="EF80" i="59"/>
  <c r="EG80" i="59"/>
  <c r="EH80" i="59"/>
  <c r="EI80" i="59"/>
  <c r="EJ80" i="59"/>
  <c r="EK80" i="59"/>
  <c r="EL80" i="59"/>
  <c r="EM80" i="59"/>
  <c r="EN80" i="59"/>
  <c r="EO80" i="59"/>
  <c r="EP80" i="59"/>
  <c r="EQ80" i="59"/>
  <c r="ER80" i="59"/>
  <c r="EU80" i="59"/>
  <c r="EW80" i="59"/>
  <c r="EX80" i="59"/>
  <c r="EY80" i="59"/>
  <c r="EZ80" i="59"/>
  <c r="FA80" i="59"/>
  <c r="FB80" i="59"/>
  <c r="FC80" i="59"/>
  <c r="FD80" i="59"/>
  <c r="FE80" i="59"/>
  <c r="FF80" i="59"/>
  <c r="FG80" i="59"/>
  <c r="FI80" i="59"/>
  <c r="FJ80" i="59"/>
  <c r="FL80" i="59"/>
  <c r="FO80" i="59"/>
  <c r="FQ80" i="59"/>
  <c r="FR80" i="59"/>
  <c r="FS80" i="59"/>
  <c r="FT80" i="59"/>
  <c r="FU80" i="59"/>
  <c r="FV80" i="59"/>
  <c r="FW80" i="59"/>
  <c r="FX80" i="59"/>
  <c r="FY80" i="59"/>
  <c r="FZ80" i="59"/>
  <c r="GA80" i="59"/>
  <c r="GC80" i="59"/>
  <c r="GD80" i="59"/>
  <c r="GF80" i="59"/>
  <c r="GI80" i="59"/>
  <c r="GK80" i="59"/>
  <c r="GL80" i="59"/>
  <c r="GM80" i="59"/>
  <c r="GN80" i="59"/>
  <c r="GO80" i="59"/>
  <c r="GP80" i="59"/>
  <c r="GQ80" i="59"/>
  <c r="GR80" i="59"/>
  <c r="GS80" i="59"/>
  <c r="GT80" i="59"/>
  <c r="GU80" i="59"/>
  <c r="GW80" i="59"/>
  <c r="GX80" i="59"/>
  <c r="GZ80" i="59"/>
  <c r="HC80" i="59"/>
  <c r="HE80" i="59"/>
  <c r="HF80" i="59"/>
  <c r="HG80" i="59"/>
  <c r="HH80" i="59"/>
  <c r="HI80" i="59"/>
  <c r="HJ80" i="59"/>
  <c r="HK80" i="59"/>
  <c r="HL80" i="59"/>
  <c r="HM80" i="59"/>
  <c r="HN80" i="59"/>
  <c r="HO80" i="59"/>
  <c r="HP80" i="59"/>
  <c r="HQ80" i="59"/>
  <c r="HR80" i="59"/>
  <c r="HS80" i="59"/>
  <c r="HT80" i="59"/>
  <c r="HY80" i="59"/>
  <c r="HZ80" i="59"/>
  <c r="IA80" i="59"/>
  <c r="IB80" i="59"/>
  <c r="IC80" i="59"/>
  <c r="ID80" i="59"/>
  <c r="IE80" i="59"/>
  <c r="IF80" i="59"/>
  <c r="IG80" i="59"/>
  <c r="IH80" i="59"/>
  <c r="II80" i="59"/>
  <c r="IJ80" i="59"/>
  <c r="IK80" i="59"/>
  <c r="IL80" i="59"/>
  <c r="IM80" i="59"/>
  <c r="IN80" i="59"/>
  <c r="IO80" i="59"/>
  <c r="IP80" i="59"/>
  <c r="IQ80" i="59"/>
  <c r="IR80" i="59"/>
  <c r="IS80" i="59"/>
  <c r="IT80" i="59"/>
  <c r="IU80" i="59"/>
  <c r="IV80" i="59"/>
  <c r="F81" i="59"/>
  <c r="G81" i="59"/>
  <c r="H81" i="59"/>
  <c r="I81" i="59"/>
  <c r="J81" i="59"/>
  <c r="K81" i="59"/>
  <c r="L81" i="59"/>
  <c r="M81" i="59"/>
  <c r="N81" i="59"/>
  <c r="O81" i="59"/>
  <c r="P81" i="59"/>
  <c r="Q81" i="59"/>
  <c r="R81" i="59"/>
  <c r="S81" i="59"/>
  <c r="T81" i="59"/>
  <c r="U81" i="59"/>
  <c r="V81" i="59"/>
  <c r="W81" i="59"/>
  <c r="X81" i="59"/>
  <c r="Y81" i="59"/>
  <c r="Z81" i="59"/>
  <c r="AA81" i="59"/>
  <c r="AB81" i="59"/>
  <c r="AC81" i="59"/>
  <c r="AD81" i="59"/>
  <c r="AE81" i="59"/>
  <c r="AF81" i="59"/>
  <c r="AG81" i="59"/>
  <c r="AH81" i="59"/>
  <c r="AI81" i="59"/>
  <c r="AJ81" i="59"/>
  <c r="AK81" i="59"/>
  <c r="AL81" i="59"/>
  <c r="AM81" i="59"/>
  <c r="AN81" i="59"/>
  <c r="AO81" i="59"/>
  <c r="AP81" i="59"/>
  <c r="AQ81" i="59"/>
  <c r="AR81" i="59"/>
  <c r="AS81" i="59"/>
  <c r="AT81" i="59"/>
  <c r="AU81" i="59"/>
  <c r="AV81" i="59"/>
  <c r="AW81" i="59"/>
  <c r="AX81" i="59"/>
  <c r="AY81" i="59"/>
  <c r="AZ81" i="59"/>
  <c r="BA81" i="59"/>
  <c r="BB81" i="59"/>
  <c r="BC81" i="59"/>
  <c r="BD81" i="59"/>
  <c r="BE81" i="59"/>
  <c r="BF81" i="59"/>
  <c r="BG81" i="59"/>
  <c r="BH81" i="59"/>
  <c r="BI81" i="59"/>
  <c r="BR81" i="59"/>
  <c r="BS81" i="59"/>
  <c r="BT81" i="59"/>
  <c r="BU81" i="59"/>
  <c r="BV81" i="59"/>
  <c r="BW81" i="59"/>
  <c r="CF81" i="59"/>
  <c r="CG81" i="59"/>
  <c r="CH81" i="59"/>
  <c r="CI81" i="59"/>
  <c r="CJ81" i="59"/>
  <c r="CK81" i="59"/>
  <c r="CT81" i="59"/>
  <c r="CU81" i="59"/>
  <c r="CV81" i="59"/>
  <c r="CW81" i="59"/>
  <c r="CX81" i="59"/>
  <c r="CY81" i="59"/>
  <c r="CZ81" i="59"/>
  <c r="DA81" i="59"/>
  <c r="DB81" i="59"/>
  <c r="DC81" i="59"/>
  <c r="DD81" i="59"/>
  <c r="DE81" i="59"/>
  <c r="DF81" i="59"/>
  <c r="DG81" i="59"/>
  <c r="DH81" i="59"/>
  <c r="DI81" i="59"/>
  <c r="DJ81" i="59"/>
  <c r="DK81" i="59"/>
  <c r="DL81" i="59"/>
  <c r="DM81" i="59"/>
  <c r="DN81" i="59"/>
  <c r="DO81" i="59"/>
  <c r="DP81" i="59"/>
  <c r="DQ81" i="59"/>
  <c r="DR81" i="59"/>
  <c r="DS81" i="59"/>
  <c r="DT81" i="59"/>
  <c r="DV81" i="59"/>
  <c r="DW81" i="59"/>
  <c r="DX81" i="59"/>
  <c r="DY81" i="59"/>
  <c r="DZ81" i="59"/>
  <c r="EA81" i="59"/>
  <c r="EB81" i="59"/>
  <c r="EC81" i="59"/>
  <c r="ED81" i="59"/>
  <c r="EE81" i="59"/>
  <c r="EF81" i="59"/>
  <c r="EG81" i="59"/>
  <c r="EI81" i="59"/>
  <c r="EJ81" i="59"/>
  <c r="EK81" i="59"/>
  <c r="EL81" i="59"/>
  <c r="EM81" i="59"/>
  <c r="EN81" i="59"/>
  <c r="EO81" i="59"/>
  <c r="EP81" i="59"/>
  <c r="EQ81" i="59"/>
  <c r="ER81" i="59"/>
  <c r="ES81" i="59"/>
  <c r="ET81" i="59"/>
  <c r="EV81" i="59"/>
  <c r="EW81" i="59"/>
  <c r="EX81" i="59"/>
  <c r="EY81" i="59"/>
  <c r="FA81" i="59"/>
  <c r="FB81" i="59"/>
  <c r="FC81" i="59"/>
  <c r="FD81" i="59"/>
  <c r="FF81" i="59"/>
  <c r="FG81" i="59"/>
  <c r="FH81" i="59"/>
  <c r="FI81" i="59"/>
  <c r="FK81" i="59"/>
  <c r="FL81" i="59"/>
  <c r="FM81" i="59"/>
  <c r="FN81" i="59"/>
  <c r="FO81" i="59"/>
  <c r="FP81" i="59"/>
  <c r="FQ81" i="59"/>
  <c r="FR81" i="59"/>
  <c r="FS81" i="59"/>
  <c r="FT81" i="59"/>
  <c r="FU81" i="59"/>
  <c r="FV81" i="59"/>
  <c r="FW81" i="59"/>
  <c r="FX81" i="59"/>
  <c r="FY81" i="59"/>
  <c r="FZ81" i="59"/>
  <c r="GA81" i="59"/>
  <c r="GB81" i="59"/>
  <c r="GC81" i="59"/>
  <c r="GD81" i="59"/>
  <c r="GE81" i="59"/>
  <c r="GF81" i="59"/>
  <c r="GG81" i="59"/>
  <c r="GH81" i="59"/>
  <c r="GI81" i="59"/>
  <c r="GJ81" i="59"/>
  <c r="GK81" i="59"/>
  <c r="GL81" i="59"/>
  <c r="GM81" i="59"/>
  <c r="GN81" i="59"/>
  <c r="GO81" i="59"/>
  <c r="GP81" i="59"/>
  <c r="GQ81" i="59"/>
  <c r="GR81" i="59"/>
  <c r="GS81" i="59"/>
  <c r="GT81" i="59"/>
  <c r="GU81" i="59"/>
  <c r="GV81" i="59"/>
  <c r="GW81" i="59"/>
  <c r="GX81" i="59"/>
  <c r="GY81" i="59"/>
  <c r="GZ81" i="59"/>
  <c r="HA81" i="59"/>
  <c r="HB81" i="59"/>
  <c r="HC81" i="59"/>
  <c r="HD81" i="59"/>
  <c r="HE81" i="59"/>
  <c r="HF81" i="59"/>
  <c r="HG81" i="59"/>
  <c r="HH81" i="59"/>
  <c r="HI81" i="59"/>
  <c r="HJ81" i="59"/>
  <c r="HK81" i="59"/>
  <c r="HL81" i="59"/>
  <c r="HM81" i="59"/>
  <c r="HN81" i="59"/>
  <c r="HO81" i="59"/>
  <c r="HP81" i="59"/>
  <c r="HQ81" i="59"/>
  <c r="HR81" i="59"/>
  <c r="HS81" i="59"/>
  <c r="HT81" i="59"/>
  <c r="HU81" i="59"/>
  <c r="HV81" i="59"/>
  <c r="HW81" i="59"/>
  <c r="HX81" i="59"/>
  <c r="HY81" i="59"/>
  <c r="HZ81" i="59"/>
  <c r="IA81" i="59"/>
  <c r="IB81" i="59"/>
  <c r="IC81" i="59"/>
  <c r="ID81" i="59"/>
  <c r="IE81" i="59"/>
  <c r="IF81" i="59"/>
  <c r="IG81" i="59"/>
  <c r="IH81" i="59"/>
  <c r="II81" i="59"/>
  <c r="IJ81" i="59"/>
  <c r="IK81" i="59"/>
  <c r="IL81" i="59"/>
  <c r="IM81" i="59"/>
  <c r="IN81" i="59"/>
  <c r="IO81" i="59"/>
  <c r="IP81" i="59"/>
  <c r="IQ81" i="59"/>
  <c r="IR81" i="59"/>
  <c r="IS81" i="59"/>
  <c r="IT81" i="59"/>
  <c r="IU81" i="59"/>
  <c r="IV81" i="59"/>
  <c r="F82" i="59"/>
  <c r="G82" i="59"/>
  <c r="H82" i="59"/>
  <c r="I82" i="59"/>
  <c r="J82" i="59"/>
  <c r="K82" i="59"/>
  <c r="L82" i="59"/>
  <c r="M82" i="59"/>
  <c r="N82" i="59"/>
  <c r="O82" i="59"/>
  <c r="P82" i="59"/>
  <c r="Q82" i="59"/>
  <c r="R82" i="59"/>
  <c r="S82" i="59"/>
  <c r="T82" i="59"/>
  <c r="U82" i="59"/>
  <c r="V82" i="59"/>
  <c r="W82" i="59"/>
  <c r="X82" i="59"/>
  <c r="Y82" i="59"/>
  <c r="Z82" i="59"/>
  <c r="AA82" i="59"/>
  <c r="AB82" i="59"/>
  <c r="AC82" i="59"/>
  <c r="AD82" i="59"/>
  <c r="AE82" i="59"/>
  <c r="AF82" i="59"/>
  <c r="AG82" i="59"/>
  <c r="AH82" i="59"/>
  <c r="AI82" i="59"/>
  <c r="AJ82" i="59"/>
  <c r="AK82" i="59"/>
  <c r="AL82" i="59"/>
  <c r="AM82" i="59"/>
  <c r="AN82" i="59"/>
  <c r="AO82" i="59"/>
  <c r="AP82" i="59"/>
  <c r="AQ82" i="59"/>
  <c r="AR82" i="59"/>
  <c r="AS82" i="59"/>
  <c r="AT82" i="59"/>
  <c r="AU82" i="59"/>
  <c r="AV82" i="59"/>
  <c r="AW82" i="59"/>
  <c r="AX82" i="59"/>
  <c r="AY82" i="59"/>
  <c r="AZ82" i="59"/>
  <c r="BA82" i="59"/>
  <c r="BB82" i="59"/>
  <c r="BC82" i="59"/>
  <c r="BD82" i="59"/>
  <c r="BE82" i="59"/>
  <c r="BF82" i="59"/>
  <c r="BG82" i="59"/>
  <c r="BH82" i="59"/>
  <c r="BI82" i="59"/>
  <c r="BJ82" i="59"/>
  <c r="BK82" i="59"/>
  <c r="BL82" i="59"/>
  <c r="BM82" i="59"/>
  <c r="BN82" i="59"/>
  <c r="BO82" i="59"/>
  <c r="BP82" i="59"/>
  <c r="BQ82" i="59"/>
  <c r="BR82" i="59"/>
  <c r="BS82" i="59"/>
  <c r="BT82" i="59"/>
  <c r="BU82" i="59"/>
  <c r="BV82" i="59"/>
  <c r="BW82" i="59"/>
  <c r="BX82" i="59"/>
  <c r="BY82" i="59"/>
  <c r="BZ82" i="59"/>
  <c r="CA82" i="59"/>
  <c r="CB82" i="59"/>
  <c r="CC82" i="59"/>
  <c r="CD82" i="59"/>
  <c r="CE82" i="59"/>
  <c r="CF82" i="59"/>
  <c r="CG82" i="59"/>
  <c r="CH82" i="59"/>
  <c r="CI82" i="59"/>
  <c r="CJ82" i="59"/>
  <c r="CK82" i="59"/>
  <c r="CL82" i="59"/>
  <c r="CM82" i="59"/>
  <c r="CN82" i="59"/>
  <c r="CO82" i="59"/>
  <c r="CP82" i="59"/>
  <c r="CQ82" i="59"/>
  <c r="CR82" i="59"/>
  <c r="CS82" i="59"/>
  <c r="CT82" i="59"/>
  <c r="CU82" i="59"/>
  <c r="CV82" i="59"/>
  <c r="CW82" i="59"/>
  <c r="CX82" i="59"/>
  <c r="CY82" i="59"/>
  <c r="CZ82" i="59"/>
  <c r="DA82" i="59"/>
  <c r="DB82" i="59"/>
  <c r="DC82" i="59"/>
  <c r="DD82" i="59"/>
  <c r="DE82" i="59"/>
  <c r="DF82" i="59"/>
  <c r="DG82" i="59"/>
  <c r="DH82" i="59"/>
  <c r="DI82" i="59"/>
  <c r="DJ82" i="59"/>
  <c r="DK82" i="59"/>
  <c r="DL82" i="59"/>
  <c r="DM82" i="59"/>
  <c r="DN82" i="59"/>
  <c r="DO82" i="59"/>
  <c r="DP82" i="59"/>
  <c r="DQ82" i="59"/>
  <c r="DR82" i="59"/>
  <c r="DS82" i="59"/>
  <c r="DT82" i="59"/>
  <c r="DU82" i="59"/>
  <c r="DV82" i="59"/>
  <c r="DW82" i="59"/>
  <c r="DX82" i="59"/>
  <c r="DY82" i="59"/>
  <c r="DZ82" i="59"/>
  <c r="EA82" i="59"/>
  <c r="EB82" i="59"/>
  <c r="EC82" i="59"/>
  <c r="ED82" i="59"/>
  <c r="EE82" i="59"/>
  <c r="EF82" i="59"/>
  <c r="EG82" i="59"/>
  <c r="EH82" i="59"/>
  <c r="EI82" i="59"/>
  <c r="EJ82" i="59"/>
  <c r="EK82" i="59"/>
  <c r="EL82" i="59"/>
  <c r="EM82" i="59"/>
  <c r="EN82" i="59"/>
  <c r="EO82" i="59"/>
  <c r="EP82" i="59"/>
  <c r="EQ82" i="59"/>
  <c r="ER82" i="59"/>
  <c r="ES82" i="59"/>
  <c r="ET82" i="59"/>
  <c r="EU82" i="59"/>
  <c r="EV82" i="59"/>
  <c r="EW82" i="59"/>
  <c r="EX82" i="59"/>
  <c r="EY82" i="59"/>
  <c r="EZ82" i="59"/>
  <c r="FA82" i="59"/>
  <c r="FB82" i="59"/>
  <c r="FC82" i="59"/>
  <c r="FD82" i="59"/>
  <c r="FE82" i="59"/>
  <c r="FF82" i="59"/>
  <c r="FG82" i="59"/>
  <c r="FH82" i="59"/>
  <c r="FI82" i="59"/>
  <c r="FJ82" i="59"/>
  <c r="FK82" i="59"/>
  <c r="FL82" i="59"/>
  <c r="FM82" i="59"/>
  <c r="FN82" i="59"/>
  <c r="FO82" i="59"/>
  <c r="FP82" i="59"/>
  <c r="FQ82" i="59"/>
  <c r="FR82" i="59"/>
  <c r="FS82" i="59"/>
  <c r="FT82" i="59"/>
  <c r="FU82" i="59"/>
  <c r="FV82" i="59"/>
  <c r="FW82" i="59"/>
  <c r="FX82" i="59"/>
  <c r="FY82" i="59"/>
  <c r="FZ82" i="59"/>
  <c r="GA82" i="59"/>
  <c r="GB82" i="59"/>
  <c r="GC82" i="59"/>
  <c r="GD82" i="59"/>
  <c r="GE82" i="59"/>
  <c r="GF82" i="59"/>
  <c r="GG82" i="59"/>
  <c r="GH82" i="59"/>
  <c r="GI82" i="59"/>
  <c r="GJ82" i="59"/>
  <c r="GK82" i="59"/>
  <c r="GL82" i="59"/>
  <c r="GM82" i="59"/>
  <c r="GN82" i="59"/>
  <c r="GO82" i="59"/>
  <c r="GP82" i="59"/>
  <c r="GQ82" i="59"/>
  <c r="GR82" i="59"/>
  <c r="GS82" i="59"/>
  <c r="GT82" i="59"/>
  <c r="GU82" i="59"/>
  <c r="GV82" i="59"/>
  <c r="GW82" i="59"/>
  <c r="GX82" i="59"/>
  <c r="GY82" i="59"/>
  <c r="GZ82" i="59"/>
  <c r="HA82" i="59"/>
  <c r="HB82" i="59"/>
  <c r="HC82" i="59"/>
  <c r="HD82" i="59"/>
  <c r="HE82" i="59"/>
  <c r="HF82" i="59"/>
  <c r="HG82" i="59"/>
  <c r="HH82" i="59"/>
  <c r="HI82" i="59"/>
  <c r="HJ82" i="59"/>
  <c r="HK82" i="59"/>
  <c r="HL82" i="59"/>
  <c r="HM82" i="59"/>
  <c r="HO82" i="59"/>
  <c r="HP82" i="59"/>
  <c r="HQ82" i="59"/>
  <c r="HR82" i="59"/>
  <c r="HS82" i="59"/>
  <c r="HT82" i="59"/>
  <c r="HU82" i="59"/>
  <c r="HV82" i="59"/>
  <c r="HW82" i="59"/>
  <c r="HX82" i="59"/>
  <c r="HY82" i="59"/>
  <c r="HZ82" i="59"/>
  <c r="IA82" i="59"/>
  <c r="IB82" i="59"/>
  <c r="IC82" i="59"/>
  <c r="ID82" i="59"/>
  <c r="IE82" i="59"/>
  <c r="IF82" i="59"/>
  <c r="IH82" i="59"/>
  <c r="II82" i="59"/>
  <c r="IJ82" i="59"/>
  <c r="IK82" i="59"/>
  <c r="IL82" i="59"/>
  <c r="IM82" i="59"/>
  <c r="IN82" i="59"/>
  <c r="IO82" i="59"/>
  <c r="IP82" i="59"/>
  <c r="IQ82" i="59"/>
  <c r="IR82" i="59"/>
  <c r="IS82" i="59"/>
  <c r="IT82" i="59"/>
  <c r="IU82" i="59"/>
  <c r="IV82" i="59"/>
  <c r="F83" i="59"/>
  <c r="G83" i="59"/>
  <c r="H83" i="59"/>
  <c r="I83" i="59"/>
  <c r="J83" i="59"/>
  <c r="K83" i="59"/>
  <c r="L83" i="59"/>
  <c r="M83" i="59"/>
  <c r="N83" i="59"/>
  <c r="O83" i="59"/>
  <c r="P83" i="59"/>
  <c r="Q83" i="59"/>
  <c r="R83" i="59"/>
  <c r="S83" i="59"/>
  <c r="T83" i="59"/>
  <c r="U83" i="59"/>
  <c r="V83" i="59"/>
  <c r="W83" i="59"/>
  <c r="X83" i="59"/>
  <c r="Y83" i="59"/>
  <c r="Z83" i="59"/>
  <c r="AA83" i="59"/>
  <c r="AB83" i="59"/>
  <c r="AC83" i="59"/>
  <c r="AD83" i="59"/>
  <c r="AE83" i="59"/>
  <c r="AF83" i="59"/>
  <c r="AG83" i="59"/>
  <c r="AH83" i="59"/>
  <c r="AI83" i="59"/>
  <c r="AJ83" i="59"/>
  <c r="AK83" i="59"/>
  <c r="AL83" i="59"/>
  <c r="AM83" i="59"/>
  <c r="AN83" i="59"/>
  <c r="AO83" i="59"/>
  <c r="AP83" i="59"/>
  <c r="AQ83" i="59"/>
  <c r="AR83" i="59"/>
  <c r="AS83" i="59"/>
  <c r="AT83" i="59"/>
  <c r="AU83" i="59"/>
  <c r="AV83" i="59"/>
  <c r="AW83" i="59"/>
  <c r="AX83" i="59"/>
  <c r="AY83" i="59"/>
  <c r="AZ83" i="59"/>
  <c r="BA83" i="59"/>
  <c r="BB83" i="59"/>
  <c r="BC83" i="59"/>
  <c r="BD83" i="59"/>
  <c r="BF83" i="59"/>
  <c r="BG83" i="59"/>
  <c r="BH83" i="59"/>
  <c r="BJ83" i="59"/>
  <c r="BK83" i="59"/>
  <c r="BL83" i="59"/>
  <c r="BN83" i="59"/>
  <c r="BO83" i="59"/>
  <c r="BP83" i="59"/>
  <c r="BR83" i="59"/>
  <c r="BS83" i="59"/>
  <c r="BT83" i="59"/>
  <c r="BV83" i="59"/>
  <c r="BW83" i="59"/>
  <c r="BX83" i="59"/>
  <c r="BZ83" i="59"/>
  <c r="CA83" i="59"/>
  <c r="CB83" i="59"/>
  <c r="CD83" i="59"/>
  <c r="CE83" i="59"/>
  <c r="CF83" i="59"/>
  <c r="CH83" i="59"/>
  <c r="CI83" i="59"/>
  <c r="CJ83" i="59"/>
  <c r="CK83" i="59"/>
  <c r="CL83" i="59"/>
  <c r="CM83" i="59"/>
  <c r="CN83" i="59"/>
  <c r="CO83" i="59"/>
  <c r="CP83" i="59"/>
  <c r="CQ83" i="59"/>
  <c r="CR83" i="59"/>
  <c r="CS83" i="59"/>
  <c r="CT83" i="59"/>
  <c r="CU83" i="59"/>
  <c r="CV83" i="59"/>
  <c r="CW83" i="59"/>
  <c r="CX83" i="59"/>
  <c r="CY83" i="59"/>
  <c r="CZ83" i="59"/>
  <c r="DA83" i="59"/>
  <c r="DB83" i="59"/>
  <c r="DC83" i="59"/>
  <c r="DD83" i="59"/>
  <c r="DE83" i="59"/>
  <c r="DF83" i="59"/>
  <c r="DG83" i="59"/>
  <c r="DH83" i="59"/>
  <c r="DI83" i="59"/>
  <c r="DJ83" i="59"/>
  <c r="DK83" i="59"/>
  <c r="DL83" i="59"/>
  <c r="DM83" i="59"/>
  <c r="DN83" i="59"/>
  <c r="DO83" i="59"/>
  <c r="DP83" i="59"/>
  <c r="DQ83" i="59"/>
  <c r="DR83" i="59"/>
  <c r="DS83" i="59"/>
  <c r="DT83" i="59"/>
  <c r="DU83" i="59"/>
  <c r="DV83" i="59"/>
  <c r="DW83" i="59"/>
  <c r="DX83" i="59"/>
  <c r="DY83" i="59"/>
  <c r="DZ83" i="59"/>
  <c r="EA83" i="59"/>
  <c r="EB83" i="59"/>
  <c r="EC83" i="59"/>
  <c r="ED83" i="59"/>
  <c r="EE83" i="59"/>
  <c r="EF83" i="59"/>
  <c r="EG83" i="59"/>
  <c r="EH83" i="59"/>
  <c r="EI83" i="59"/>
  <c r="EJ83" i="59"/>
  <c r="EK83" i="59"/>
  <c r="EL83" i="59"/>
  <c r="EM83" i="59"/>
  <c r="EN83" i="59"/>
  <c r="EO83" i="59"/>
  <c r="EP83" i="59"/>
  <c r="EQ83" i="59"/>
  <c r="ER83" i="59"/>
  <c r="ES83" i="59"/>
  <c r="ET83" i="59"/>
  <c r="EU83" i="59"/>
  <c r="EV83" i="59"/>
  <c r="EW83" i="59"/>
  <c r="EX83" i="59"/>
  <c r="EY83" i="59"/>
  <c r="EZ83" i="59"/>
  <c r="FA83" i="59"/>
  <c r="FB83" i="59"/>
  <c r="FC83" i="59"/>
  <c r="FD83" i="59"/>
  <c r="FE83" i="59"/>
  <c r="FF83" i="59"/>
  <c r="FG83" i="59"/>
  <c r="FH83" i="59"/>
  <c r="FI83" i="59"/>
  <c r="FJ83" i="59"/>
  <c r="FK83" i="59"/>
  <c r="FL83" i="59"/>
  <c r="FM83" i="59"/>
  <c r="FN83" i="59"/>
  <c r="FO83" i="59"/>
  <c r="FP83" i="59"/>
  <c r="FQ83" i="59"/>
  <c r="FR83" i="59"/>
  <c r="FS83" i="59"/>
  <c r="FT83" i="59"/>
  <c r="FU83" i="59"/>
  <c r="FV83" i="59"/>
  <c r="FW83" i="59"/>
  <c r="FX83" i="59"/>
  <c r="FY83" i="59"/>
  <c r="FZ83" i="59"/>
  <c r="GA83" i="59"/>
  <c r="GB83" i="59"/>
  <c r="GC83" i="59"/>
  <c r="GD83" i="59"/>
  <c r="GE83" i="59"/>
  <c r="GF83" i="59"/>
  <c r="GG83" i="59"/>
  <c r="GH83" i="59"/>
  <c r="GI83" i="59"/>
  <c r="GJ83" i="59"/>
  <c r="GK83" i="59"/>
  <c r="GL83" i="59"/>
  <c r="GM83" i="59"/>
  <c r="GN83" i="59"/>
  <c r="GO83" i="59"/>
  <c r="GP83" i="59"/>
  <c r="GQ83" i="59"/>
  <c r="GR83" i="59"/>
  <c r="GS83" i="59"/>
  <c r="GT83" i="59"/>
  <c r="GU83" i="59"/>
  <c r="GV83" i="59"/>
  <c r="GW83" i="59"/>
  <c r="GX83" i="59"/>
  <c r="GY83" i="59"/>
  <c r="GZ83" i="59"/>
  <c r="HA83" i="59"/>
  <c r="HB83" i="59"/>
  <c r="HC83" i="59"/>
  <c r="HD83" i="59"/>
  <c r="HE83" i="59"/>
  <c r="HF83" i="59"/>
  <c r="HG83" i="59"/>
  <c r="HH83" i="59"/>
  <c r="HI83" i="59"/>
  <c r="HJ83" i="59"/>
  <c r="HK83" i="59"/>
  <c r="HL83" i="59"/>
  <c r="HM83" i="59"/>
  <c r="HN83" i="59"/>
  <c r="HO83" i="59"/>
  <c r="HP83" i="59"/>
  <c r="HQ83" i="59"/>
  <c r="HR83" i="59"/>
  <c r="HS83" i="59"/>
  <c r="HT83" i="59"/>
  <c r="HU83" i="59"/>
  <c r="HV83" i="59"/>
  <c r="HW83" i="59"/>
  <c r="HX83" i="59"/>
  <c r="HY83" i="59"/>
  <c r="HZ83" i="59"/>
  <c r="IA83" i="59"/>
  <c r="IB83" i="59"/>
  <c r="IC83" i="59"/>
  <c r="ID83" i="59"/>
  <c r="IE83" i="59"/>
  <c r="IF83" i="59"/>
  <c r="IG83" i="59"/>
  <c r="IH83" i="59"/>
  <c r="II83" i="59"/>
  <c r="IJ83" i="59"/>
  <c r="IK83" i="59"/>
  <c r="IL83" i="59"/>
  <c r="IM83" i="59"/>
  <c r="IN83" i="59"/>
  <c r="IO83" i="59"/>
  <c r="IP83" i="59"/>
  <c r="IQ83" i="59"/>
  <c r="IR83" i="59"/>
  <c r="IS83" i="59"/>
  <c r="IT83" i="59"/>
  <c r="IU83" i="59"/>
  <c r="IV83" i="59"/>
  <c r="F84" i="59"/>
  <c r="G84" i="59"/>
  <c r="H84" i="59"/>
  <c r="I84" i="59"/>
  <c r="J84" i="59"/>
  <c r="K84" i="59"/>
  <c r="L84" i="59"/>
  <c r="M84" i="59"/>
  <c r="N84" i="59"/>
  <c r="O84" i="59"/>
  <c r="P84" i="59"/>
  <c r="Q84" i="59"/>
  <c r="R84" i="59"/>
  <c r="S84" i="59"/>
  <c r="T84" i="59"/>
  <c r="U84" i="59"/>
  <c r="V84" i="59"/>
  <c r="W84" i="59"/>
  <c r="X84" i="59"/>
  <c r="Y84" i="59"/>
  <c r="Z84" i="59"/>
  <c r="AA84" i="59"/>
  <c r="AB84" i="59"/>
  <c r="AC84" i="59"/>
  <c r="AD84" i="59"/>
  <c r="AE84" i="59"/>
  <c r="AF84" i="59"/>
  <c r="AG84" i="59"/>
  <c r="AH84" i="59"/>
  <c r="AI84" i="59"/>
  <c r="AJ84" i="59"/>
  <c r="AK84" i="59"/>
  <c r="AL84" i="59"/>
  <c r="AM84" i="59"/>
  <c r="AN84" i="59"/>
  <c r="AO84" i="59"/>
  <c r="AP84" i="59"/>
  <c r="AQ84" i="59"/>
  <c r="AR84" i="59"/>
  <c r="AS84" i="59"/>
  <c r="AT84" i="59"/>
  <c r="AU84" i="59"/>
  <c r="AV84" i="59"/>
  <c r="AW84" i="59"/>
  <c r="AX84" i="59"/>
  <c r="AY84" i="59"/>
  <c r="AZ84" i="59"/>
  <c r="BA84" i="59"/>
  <c r="BB84" i="59"/>
  <c r="BC84" i="59"/>
  <c r="BD84" i="59"/>
  <c r="BE84" i="59"/>
  <c r="BF84" i="59"/>
  <c r="BG84" i="59"/>
  <c r="BH84" i="59"/>
  <c r="BI84" i="59"/>
  <c r="BJ84" i="59"/>
  <c r="BK84" i="59"/>
  <c r="BL84" i="59"/>
  <c r="BM84" i="59"/>
  <c r="BN84" i="59"/>
  <c r="BO84" i="59"/>
  <c r="BP84" i="59"/>
  <c r="BQ84" i="59"/>
  <c r="BR84" i="59"/>
  <c r="BS84" i="59"/>
  <c r="BT84" i="59"/>
  <c r="BU84" i="59"/>
  <c r="BV84" i="59"/>
  <c r="BW84" i="59"/>
  <c r="BX84" i="59"/>
  <c r="BY84" i="59"/>
  <c r="BZ84" i="59"/>
  <c r="CA84" i="59"/>
  <c r="CB84" i="59"/>
  <c r="CC84" i="59"/>
  <c r="CD84" i="59"/>
  <c r="CE84" i="59"/>
  <c r="CF84" i="59"/>
  <c r="CG84" i="59"/>
  <c r="CH84" i="59"/>
  <c r="CI84" i="59"/>
  <c r="CJ84" i="59"/>
  <c r="CK84" i="59"/>
  <c r="CL84" i="59"/>
  <c r="CM84" i="59"/>
  <c r="CN84" i="59"/>
  <c r="CO84" i="59"/>
  <c r="CP84" i="59"/>
  <c r="CQ84" i="59"/>
  <c r="CR84" i="59"/>
  <c r="CS84" i="59"/>
  <c r="CT84" i="59"/>
  <c r="CU84" i="59"/>
  <c r="CV84" i="59"/>
  <c r="CW84" i="59"/>
  <c r="CX84" i="59"/>
  <c r="CY84" i="59"/>
  <c r="CZ84" i="59"/>
  <c r="DA84" i="59"/>
  <c r="DB84" i="59"/>
  <c r="DC84" i="59"/>
  <c r="DD84" i="59"/>
  <c r="DE84" i="59"/>
  <c r="DF84" i="59"/>
  <c r="DG84" i="59"/>
  <c r="DH84" i="59"/>
  <c r="DI84" i="59"/>
  <c r="DJ84" i="59"/>
  <c r="DK84" i="59"/>
  <c r="DL84" i="59"/>
  <c r="DM84" i="59"/>
  <c r="DN84" i="59"/>
  <c r="DO84" i="59"/>
  <c r="DP84" i="59"/>
  <c r="DQ84" i="59"/>
  <c r="DR84" i="59"/>
  <c r="DS84" i="59"/>
  <c r="DT84" i="59"/>
  <c r="DU84" i="59"/>
  <c r="DV84" i="59"/>
  <c r="DW84" i="59"/>
  <c r="DX84" i="59"/>
  <c r="DY84" i="59"/>
  <c r="DZ84" i="59"/>
  <c r="EA84" i="59"/>
  <c r="EB84" i="59"/>
  <c r="EC84" i="59"/>
  <c r="ED84" i="59"/>
  <c r="EE84" i="59"/>
  <c r="EF84" i="59"/>
  <c r="EG84" i="59"/>
  <c r="EH84" i="59"/>
  <c r="EI84" i="59"/>
  <c r="EJ84" i="59"/>
  <c r="EK84" i="59"/>
  <c r="EL84" i="59"/>
  <c r="EM84" i="59"/>
  <c r="EN84" i="59"/>
  <c r="EO84" i="59"/>
  <c r="EP84" i="59"/>
  <c r="EQ84" i="59"/>
  <c r="ER84" i="59"/>
  <c r="ES84" i="59"/>
  <c r="ET84" i="59"/>
  <c r="EU84" i="59"/>
  <c r="EV84" i="59"/>
  <c r="EW84" i="59"/>
  <c r="EX84" i="59"/>
  <c r="EY84" i="59"/>
  <c r="EZ84" i="59"/>
  <c r="FA84" i="59"/>
  <c r="FB84" i="59"/>
  <c r="FC84" i="59"/>
  <c r="FD84" i="59"/>
  <c r="FE84" i="59"/>
  <c r="FF84" i="59"/>
  <c r="FG84" i="59"/>
  <c r="FH84" i="59"/>
  <c r="FI84" i="59"/>
  <c r="FJ84" i="59"/>
  <c r="FK84" i="59"/>
  <c r="FL84" i="59"/>
  <c r="FM84" i="59"/>
  <c r="FN84" i="59"/>
  <c r="FO84" i="59"/>
  <c r="FP84" i="59"/>
  <c r="FQ84" i="59"/>
  <c r="FR84" i="59"/>
  <c r="FS84" i="59"/>
  <c r="FT84" i="59"/>
  <c r="FU84" i="59"/>
  <c r="FV84" i="59"/>
  <c r="FW84" i="59"/>
  <c r="FX84" i="59"/>
  <c r="FY84" i="59"/>
  <c r="FZ84" i="59"/>
  <c r="GA84" i="59"/>
  <c r="GB84" i="59"/>
  <c r="GC84" i="59"/>
  <c r="GD84" i="59"/>
  <c r="GE84" i="59"/>
  <c r="GF84" i="59"/>
  <c r="GG84" i="59"/>
  <c r="GH84" i="59"/>
  <c r="GI84" i="59"/>
  <c r="GJ84" i="59"/>
  <c r="GK84" i="59"/>
  <c r="GL84" i="59"/>
  <c r="GM84" i="59"/>
  <c r="GN84" i="59"/>
  <c r="GO84" i="59"/>
  <c r="GP84" i="59"/>
  <c r="GQ84" i="59"/>
  <c r="GR84" i="59"/>
  <c r="GS84" i="59"/>
  <c r="GT84" i="59"/>
  <c r="GU84" i="59"/>
  <c r="GV84" i="59"/>
  <c r="GW84" i="59"/>
  <c r="GX84" i="59"/>
  <c r="GY84" i="59"/>
  <c r="GZ84" i="59"/>
  <c r="HA84" i="59"/>
  <c r="HB84" i="59"/>
  <c r="HC84" i="59"/>
  <c r="HD84" i="59"/>
  <c r="HE84" i="59"/>
  <c r="HF84" i="59"/>
  <c r="HG84" i="59"/>
  <c r="HH84" i="59"/>
  <c r="HI84" i="59"/>
  <c r="HJ84" i="59"/>
  <c r="HK84" i="59"/>
  <c r="HL84" i="59"/>
  <c r="HM84" i="59"/>
  <c r="HN84" i="59"/>
  <c r="HO84" i="59"/>
  <c r="HP84" i="59"/>
  <c r="HQ84" i="59"/>
  <c r="HR84" i="59"/>
  <c r="HS84" i="59"/>
  <c r="HT84" i="59"/>
  <c r="HU84" i="59"/>
  <c r="HV84" i="59"/>
  <c r="HW84" i="59"/>
  <c r="HX84" i="59"/>
  <c r="HY84" i="59"/>
  <c r="HZ84" i="59"/>
  <c r="IA84" i="59"/>
  <c r="IB84" i="59"/>
  <c r="IC84" i="59"/>
  <c r="ID84" i="59"/>
  <c r="IE84" i="59"/>
  <c r="IF84" i="59"/>
  <c r="IG84" i="59"/>
  <c r="IH84" i="59"/>
  <c r="II84" i="59"/>
  <c r="IJ84" i="59"/>
  <c r="IK84" i="59"/>
  <c r="IL84" i="59"/>
  <c r="IM84" i="59"/>
  <c r="IN84" i="59"/>
  <c r="IO84" i="59"/>
  <c r="IP84" i="59"/>
  <c r="IQ84" i="59"/>
  <c r="IR84" i="59"/>
  <c r="IS84" i="59"/>
  <c r="IT84" i="59"/>
  <c r="IU84" i="59"/>
  <c r="IV84" i="59"/>
  <c r="G85" i="59"/>
  <c r="H85" i="59"/>
  <c r="I85" i="59"/>
  <c r="J85" i="59"/>
  <c r="K85" i="59"/>
  <c r="L85" i="59"/>
  <c r="M85" i="59"/>
  <c r="N85" i="59"/>
  <c r="O85" i="59"/>
  <c r="P85" i="59"/>
  <c r="Q85" i="59"/>
  <c r="R85" i="59"/>
  <c r="S85" i="59"/>
  <c r="T85" i="59"/>
  <c r="U85" i="59"/>
  <c r="V85" i="59"/>
  <c r="W85" i="59"/>
  <c r="X85" i="59"/>
  <c r="Y85" i="59"/>
  <c r="Z85" i="59"/>
  <c r="AA85" i="59"/>
  <c r="AB85" i="59"/>
  <c r="AC85" i="59"/>
  <c r="AD85" i="59"/>
  <c r="AE85" i="59"/>
  <c r="AF85" i="59"/>
  <c r="AG85" i="59"/>
  <c r="AH85" i="59"/>
  <c r="AI85" i="59"/>
  <c r="AJ85" i="59"/>
  <c r="AK85" i="59"/>
  <c r="AL85" i="59"/>
  <c r="AM85" i="59"/>
  <c r="AN85" i="59"/>
  <c r="AO85" i="59"/>
  <c r="AP85" i="59"/>
  <c r="AQ85" i="59"/>
  <c r="AR85" i="59"/>
  <c r="AS85" i="59"/>
  <c r="AT85" i="59"/>
  <c r="AU85" i="59"/>
  <c r="AV85" i="59"/>
  <c r="AW85" i="59"/>
  <c r="AX85" i="59"/>
  <c r="AY85" i="59"/>
  <c r="AZ85" i="59"/>
  <c r="BA85" i="59"/>
  <c r="BB85" i="59"/>
  <c r="BC85" i="59"/>
  <c r="BD85" i="59"/>
  <c r="BE85" i="59"/>
  <c r="BF85" i="59"/>
  <c r="BG85" i="59"/>
  <c r="BH85" i="59"/>
  <c r="BI85" i="59"/>
  <c r="BJ85" i="59"/>
  <c r="BK85" i="59"/>
  <c r="BL85" i="59"/>
  <c r="BM85" i="59"/>
  <c r="BN85" i="59"/>
  <c r="BO85" i="59"/>
  <c r="BP85" i="59"/>
  <c r="BQ85" i="59"/>
  <c r="BR85" i="59"/>
  <c r="BS85" i="59"/>
  <c r="BT85" i="59"/>
  <c r="BU85" i="59"/>
  <c r="BV85" i="59"/>
  <c r="BW85" i="59"/>
  <c r="BX85" i="59"/>
  <c r="BY85" i="59"/>
  <c r="BZ85" i="59"/>
  <c r="CA85" i="59"/>
  <c r="CB85" i="59"/>
  <c r="CC85" i="59"/>
  <c r="CD85" i="59"/>
  <c r="CE85" i="59"/>
  <c r="CF85" i="59"/>
  <c r="CG85" i="59"/>
  <c r="CH85" i="59"/>
  <c r="CI85" i="59"/>
  <c r="CJ85" i="59"/>
  <c r="CK85" i="59"/>
  <c r="CL85" i="59"/>
  <c r="CM85" i="59"/>
  <c r="CN85" i="59"/>
  <c r="CO85" i="59"/>
  <c r="CP85" i="59"/>
  <c r="CQ85" i="59"/>
  <c r="CR85" i="59"/>
  <c r="CS85" i="59"/>
  <c r="CT85" i="59"/>
  <c r="CU85" i="59"/>
  <c r="CV85" i="59"/>
  <c r="CW85" i="59"/>
  <c r="CX85" i="59"/>
  <c r="CY85" i="59"/>
  <c r="CZ85" i="59"/>
  <c r="DA85" i="59"/>
  <c r="DB85" i="59"/>
  <c r="DC85" i="59"/>
  <c r="DD85" i="59"/>
  <c r="DE85" i="59"/>
  <c r="DF85" i="59"/>
  <c r="DG85" i="59"/>
  <c r="DH85" i="59"/>
  <c r="DI85" i="59"/>
  <c r="DJ85" i="59"/>
  <c r="DK85" i="59"/>
  <c r="DL85" i="59"/>
  <c r="DM85" i="59"/>
  <c r="DN85" i="59"/>
  <c r="DO85" i="59"/>
  <c r="DP85" i="59"/>
  <c r="DQ85" i="59"/>
  <c r="DR85" i="59"/>
  <c r="DS85" i="59"/>
  <c r="DT85" i="59"/>
  <c r="DU85" i="59"/>
  <c r="DV85" i="59"/>
  <c r="DW85" i="59"/>
  <c r="DX85" i="59"/>
  <c r="DY85" i="59"/>
  <c r="DZ85" i="59"/>
  <c r="EA85" i="59"/>
  <c r="EB85" i="59"/>
  <c r="EC85" i="59"/>
  <c r="ED85" i="59"/>
  <c r="EE85" i="59"/>
  <c r="EF85" i="59"/>
  <c r="EG85" i="59"/>
  <c r="EH85" i="59"/>
  <c r="EI85" i="59"/>
  <c r="EJ85" i="59"/>
  <c r="EK85" i="59"/>
  <c r="EL85" i="59"/>
  <c r="EM85" i="59"/>
  <c r="EN85" i="59"/>
  <c r="EO85" i="59"/>
  <c r="EP85" i="59"/>
  <c r="EQ85" i="59"/>
  <c r="ER85" i="59"/>
  <c r="ES85" i="59"/>
  <c r="ET85" i="59"/>
  <c r="EU85" i="59"/>
  <c r="EV85" i="59"/>
  <c r="EW85" i="59"/>
  <c r="EX85" i="59"/>
  <c r="EY85" i="59"/>
  <c r="EZ85" i="59"/>
  <c r="FA85" i="59"/>
  <c r="FB85" i="59"/>
  <c r="FC85" i="59"/>
  <c r="FD85" i="59"/>
  <c r="FE85" i="59"/>
  <c r="FF85" i="59"/>
  <c r="FG85" i="59"/>
  <c r="FH85" i="59"/>
  <c r="FI85" i="59"/>
  <c r="FJ85" i="59"/>
  <c r="FK85" i="59"/>
  <c r="FL85" i="59"/>
  <c r="FM85" i="59"/>
  <c r="FN85" i="59"/>
  <c r="FO85" i="59"/>
  <c r="FP85" i="59"/>
  <c r="FQ85" i="59"/>
  <c r="FR85" i="59"/>
  <c r="FS85" i="59"/>
  <c r="FT85" i="59"/>
  <c r="FU85" i="59"/>
  <c r="FV85" i="59"/>
  <c r="FW85" i="59"/>
  <c r="FX85" i="59"/>
  <c r="FY85" i="59"/>
  <c r="FZ85" i="59"/>
  <c r="GA85" i="59"/>
  <c r="GB85" i="59"/>
  <c r="GC85" i="59"/>
  <c r="GD85" i="59"/>
  <c r="GE85" i="59"/>
  <c r="GF85" i="59"/>
  <c r="GG85" i="59"/>
  <c r="GH85" i="59"/>
  <c r="GI85" i="59"/>
  <c r="GJ85" i="59"/>
  <c r="GK85" i="59"/>
  <c r="GL85" i="59"/>
  <c r="GM85" i="59"/>
  <c r="GN85" i="59"/>
  <c r="GO85" i="59"/>
  <c r="GP85" i="59"/>
  <c r="GQ85" i="59"/>
  <c r="GR85" i="59"/>
  <c r="GS85" i="59"/>
  <c r="GT85" i="59"/>
  <c r="GU85" i="59"/>
  <c r="GV85" i="59"/>
  <c r="GW85" i="59"/>
  <c r="GX85" i="59"/>
  <c r="GY85" i="59"/>
  <c r="GZ85" i="59"/>
  <c r="HA85" i="59"/>
  <c r="HB85" i="59"/>
  <c r="HC85" i="59"/>
  <c r="HD85" i="59"/>
  <c r="HE85" i="59"/>
  <c r="HF85" i="59"/>
  <c r="HG85" i="59"/>
  <c r="HH85" i="59"/>
  <c r="HI85" i="59"/>
  <c r="HJ85" i="59"/>
  <c r="HK85" i="59"/>
  <c r="HL85" i="59"/>
  <c r="HM85" i="59"/>
  <c r="HN85" i="59"/>
  <c r="HO85" i="59"/>
  <c r="HP85" i="59"/>
  <c r="HQ85" i="59"/>
  <c r="HR85" i="59"/>
  <c r="HS85" i="59"/>
  <c r="HT85" i="59"/>
  <c r="HU85" i="59"/>
  <c r="HV85" i="59"/>
  <c r="HW85" i="59"/>
  <c r="HX85" i="59"/>
  <c r="HY85" i="59"/>
  <c r="HZ85" i="59"/>
  <c r="IA85" i="59"/>
  <c r="IB85" i="59"/>
  <c r="IC85" i="59"/>
  <c r="ID85" i="59"/>
  <c r="IE85" i="59"/>
  <c r="IF85" i="59"/>
  <c r="IG85" i="59"/>
  <c r="IH85" i="59"/>
  <c r="II85" i="59"/>
  <c r="IJ85" i="59"/>
  <c r="IK85" i="59"/>
  <c r="IL85" i="59"/>
  <c r="IM85" i="59"/>
  <c r="IN85" i="59"/>
  <c r="IO85" i="59"/>
  <c r="IP85" i="59"/>
  <c r="IQ85" i="59"/>
  <c r="IR85" i="59"/>
  <c r="IS85" i="59"/>
  <c r="IT85" i="59"/>
  <c r="IU85" i="59"/>
  <c r="IV85" i="59"/>
  <c r="F86" i="59"/>
  <c r="G86" i="59"/>
  <c r="H86" i="59"/>
  <c r="I86" i="59"/>
  <c r="J86" i="59"/>
  <c r="K86" i="59"/>
  <c r="L86" i="59"/>
  <c r="M86" i="59"/>
  <c r="N86" i="59"/>
  <c r="O86" i="59"/>
  <c r="P86" i="59"/>
  <c r="Q86" i="59"/>
  <c r="R86" i="59"/>
  <c r="S86" i="59"/>
  <c r="T86" i="59"/>
  <c r="U86" i="59"/>
  <c r="V86" i="59"/>
  <c r="W86" i="59"/>
  <c r="X86" i="59"/>
  <c r="Y86" i="59"/>
  <c r="Z86" i="59"/>
  <c r="AA86" i="59"/>
  <c r="AB86" i="59"/>
  <c r="AC86" i="59"/>
  <c r="AD86" i="59"/>
  <c r="AE86" i="59"/>
  <c r="AF86" i="59"/>
  <c r="AG86" i="59"/>
  <c r="AH86" i="59"/>
  <c r="AI86" i="59"/>
  <c r="AJ86" i="59"/>
  <c r="AK86" i="59"/>
  <c r="AL86" i="59"/>
  <c r="AM86" i="59"/>
  <c r="AN86" i="59"/>
  <c r="AO86" i="59"/>
  <c r="AP86" i="59"/>
  <c r="AQ86" i="59"/>
  <c r="AR86" i="59"/>
  <c r="AS86" i="59"/>
  <c r="AT86" i="59"/>
  <c r="AU86" i="59"/>
  <c r="AV86" i="59"/>
  <c r="AW86" i="59"/>
  <c r="AX86" i="59"/>
  <c r="AY86" i="59"/>
  <c r="AZ86" i="59"/>
  <c r="BA86" i="59"/>
  <c r="BB86" i="59"/>
  <c r="BC86" i="59"/>
  <c r="BD86" i="59"/>
  <c r="BE86" i="59"/>
  <c r="BF86" i="59"/>
  <c r="BG86" i="59"/>
  <c r="BH86" i="59"/>
  <c r="BI86" i="59"/>
  <c r="BJ86" i="59"/>
  <c r="BK86" i="59"/>
  <c r="BL86" i="59"/>
  <c r="BM86" i="59"/>
  <c r="BN86" i="59"/>
  <c r="BO86" i="59"/>
  <c r="BP86" i="59"/>
  <c r="BQ86" i="59"/>
  <c r="BR86" i="59"/>
  <c r="BS86" i="59"/>
  <c r="BT86" i="59"/>
  <c r="BU86" i="59"/>
  <c r="BV86" i="59"/>
  <c r="BW86" i="59"/>
  <c r="BX86" i="59"/>
  <c r="BY86" i="59"/>
  <c r="BZ86" i="59"/>
  <c r="CA86" i="59"/>
  <c r="CB86" i="59"/>
  <c r="CC86" i="59"/>
  <c r="CD86" i="59"/>
  <c r="CE86" i="59"/>
  <c r="CF86" i="59"/>
  <c r="CH86" i="59"/>
  <c r="CI86" i="59"/>
  <c r="CJ86" i="59"/>
  <c r="CK86" i="59"/>
  <c r="CL86" i="59"/>
  <c r="CM86" i="59"/>
  <c r="CN86" i="59"/>
  <c r="CO86" i="59"/>
  <c r="CP86" i="59"/>
  <c r="CQ86" i="59"/>
  <c r="CR86" i="59"/>
  <c r="CS86" i="59"/>
  <c r="CU86" i="59"/>
  <c r="CV86" i="59"/>
  <c r="CW86" i="59"/>
  <c r="CX86" i="59"/>
  <c r="CY86" i="59"/>
  <c r="CZ86" i="59"/>
  <c r="DA86" i="59"/>
  <c r="DB86" i="59"/>
  <c r="DC86" i="59"/>
  <c r="DD86" i="59"/>
  <c r="DE86" i="59"/>
  <c r="DF86" i="59"/>
  <c r="DG86" i="59"/>
  <c r="DH86" i="59"/>
  <c r="DI86" i="59"/>
  <c r="DJ86" i="59"/>
  <c r="DK86" i="59"/>
  <c r="DL86" i="59"/>
  <c r="DM86" i="59"/>
  <c r="DN86" i="59"/>
  <c r="DO86" i="59"/>
  <c r="DP86" i="59"/>
  <c r="DQ86" i="59"/>
  <c r="DR86" i="59"/>
  <c r="DS86" i="59"/>
  <c r="DT86" i="59"/>
  <c r="DU86" i="59"/>
  <c r="DV86" i="59"/>
  <c r="DW86" i="59"/>
  <c r="DX86" i="59"/>
  <c r="DY86" i="59"/>
  <c r="DZ86" i="59"/>
  <c r="EA86" i="59"/>
  <c r="EB86" i="59"/>
  <c r="EC86" i="59"/>
  <c r="ED86" i="59"/>
  <c r="EE86" i="59"/>
  <c r="EF86" i="59"/>
  <c r="EG86" i="59"/>
  <c r="EH86" i="59"/>
  <c r="EI86" i="59"/>
  <c r="EJ86" i="59"/>
  <c r="EK86" i="59"/>
  <c r="EL86" i="59"/>
  <c r="EM86" i="59"/>
  <c r="EN86" i="59"/>
  <c r="EO86" i="59"/>
  <c r="EP86" i="59"/>
  <c r="EQ86" i="59"/>
  <c r="ER86" i="59"/>
  <c r="ES86" i="59"/>
  <c r="ET86" i="59"/>
  <c r="EU86" i="59"/>
  <c r="EV86" i="59"/>
  <c r="EW86" i="59"/>
  <c r="EX86" i="59"/>
  <c r="EY86" i="59"/>
  <c r="EZ86" i="59"/>
  <c r="FA86" i="59"/>
  <c r="FB86" i="59"/>
  <c r="FC86" i="59"/>
  <c r="FD86" i="59"/>
  <c r="FE86" i="59"/>
  <c r="FF86" i="59"/>
  <c r="FG86" i="59"/>
  <c r="FH86" i="59"/>
  <c r="FI86" i="59"/>
  <c r="FK86" i="59"/>
  <c r="FL86" i="59"/>
  <c r="FM86" i="59"/>
  <c r="FN86" i="59"/>
  <c r="FO86" i="59"/>
  <c r="FP86" i="59"/>
  <c r="FQ86" i="59"/>
  <c r="FR86" i="59"/>
  <c r="FS86" i="59"/>
  <c r="FT86" i="59"/>
  <c r="FU86" i="59"/>
  <c r="FV86" i="59"/>
  <c r="FW86" i="59"/>
  <c r="FX86" i="59"/>
  <c r="FY86" i="59"/>
  <c r="FZ86" i="59"/>
  <c r="GA86" i="59"/>
  <c r="GB86" i="59"/>
  <c r="GC86" i="59"/>
  <c r="GD86" i="59"/>
  <c r="GE86" i="59"/>
  <c r="GF86" i="59"/>
  <c r="GG86" i="59"/>
  <c r="GH86" i="59"/>
  <c r="GI86" i="59"/>
  <c r="GJ86" i="59"/>
  <c r="GK86" i="59"/>
  <c r="GL86" i="59"/>
  <c r="GM86" i="59"/>
  <c r="GN86" i="59"/>
  <c r="GO86" i="59"/>
  <c r="GP86" i="59"/>
  <c r="GQ86" i="59"/>
  <c r="GR86" i="59"/>
  <c r="GS86" i="59"/>
  <c r="GT86" i="59"/>
  <c r="GU86" i="59"/>
  <c r="GV86" i="59"/>
  <c r="GW86" i="59"/>
  <c r="GX86" i="59"/>
  <c r="GY86" i="59"/>
  <c r="GZ86" i="59"/>
  <c r="HA86" i="59"/>
  <c r="HB86" i="59"/>
  <c r="HC86" i="59"/>
  <c r="HD86" i="59"/>
  <c r="HE86" i="59"/>
  <c r="HF86" i="59"/>
  <c r="HG86" i="59"/>
  <c r="HH86" i="59"/>
  <c r="HI86" i="59"/>
  <c r="HJ86" i="59"/>
  <c r="HK86" i="59"/>
  <c r="HL86" i="59"/>
  <c r="HM86" i="59"/>
  <c r="HN86" i="59"/>
  <c r="HO86" i="59"/>
  <c r="HP86" i="59"/>
  <c r="HQ86" i="59"/>
  <c r="HR86" i="59"/>
  <c r="HS86" i="59"/>
  <c r="HT86" i="59"/>
  <c r="HU86" i="59"/>
  <c r="HV86" i="59"/>
  <c r="HW86" i="59"/>
  <c r="HX86" i="59"/>
  <c r="HY86" i="59"/>
  <c r="HZ86" i="59"/>
  <c r="IA86" i="59"/>
  <c r="IB86" i="59"/>
  <c r="IC86" i="59"/>
  <c r="ID86" i="59"/>
  <c r="IE86" i="59"/>
  <c r="IF86" i="59"/>
  <c r="IG86" i="59"/>
  <c r="IH86" i="59"/>
  <c r="II86" i="59"/>
  <c r="IJ86" i="59"/>
  <c r="IK86" i="59"/>
  <c r="IL86" i="59"/>
  <c r="IM86" i="59"/>
  <c r="IN86" i="59"/>
  <c r="IO86" i="59"/>
  <c r="IP86" i="59"/>
  <c r="IQ86" i="59"/>
  <c r="IR86" i="59"/>
  <c r="IS86" i="59"/>
  <c r="IT86" i="59"/>
  <c r="IU86" i="59"/>
  <c r="IV86" i="59"/>
  <c r="F87" i="59"/>
  <c r="G87" i="59"/>
  <c r="H87" i="59"/>
  <c r="I87" i="59"/>
  <c r="J87" i="59"/>
  <c r="K87" i="59"/>
  <c r="L87" i="59"/>
  <c r="M87" i="59"/>
  <c r="N87" i="59"/>
  <c r="O87" i="59"/>
  <c r="P87" i="59"/>
  <c r="Q87" i="59"/>
  <c r="R87" i="59"/>
  <c r="S87" i="59"/>
  <c r="T87" i="59"/>
  <c r="U87" i="59"/>
  <c r="V87" i="59"/>
  <c r="W87" i="59"/>
  <c r="X87" i="59"/>
  <c r="Y87" i="59"/>
  <c r="Z87" i="59"/>
  <c r="AA87" i="59"/>
  <c r="AB87" i="59"/>
  <c r="AD87" i="59"/>
  <c r="AE87" i="59"/>
  <c r="AF87" i="59"/>
  <c r="AH87" i="59"/>
  <c r="AI87" i="59"/>
  <c r="AJ87" i="59"/>
  <c r="AK87" i="59"/>
  <c r="AL87" i="59"/>
  <c r="AM87" i="59"/>
  <c r="AN87" i="59"/>
  <c r="AP87" i="59"/>
  <c r="AQ87" i="59"/>
  <c r="AR87" i="59"/>
  <c r="AT87" i="59"/>
  <c r="AU87" i="59"/>
  <c r="AV87" i="59"/>
  <c r="AW87" i="59"/>
  <c r="AX87" i="59"/>
  <c r="AY87" i="59"/>
  <c r="AZ87" i="59"/>
  <c r="BA87" i="59"/>
  <c r="BB87" i="59"/>
  <c r="BC87" i="59"/>
  <c r="BD87" i="59"/>
  <c r="BF87" i="59"/>
  <c r="BG87" i="59"/>
  <c r="BH87" i="59"/>
  <c r="BI87" i="59"/>
  <c r="BJ87" i="59"/>
  <c r="BK87" i="59"/>
  <c r="BL87" i="59"/>
  <c r="BN87" i="59"/>
  <c r="BO87" i="59"/>
  <c r="BP87" i="59"/>
  <c r="BR87" i="59"/>
  <c r="BS87" i="59"/>
  <c r="BT87" i="59"/>
  <c r="BU87" i="59"/>
  <c r="BV87" i="59"/>
  <c r="BW87" i="59"/>
  <c r="BX87" i="59"/>
  <c r="BZ87" i="59"/>
  <c r="CA87" i="59"/>
  <c r="CB87" i="59"/>
  <c r="CD87" i="59"/>
  <c r="CE87" i="59"/>
  <c r="CF87" i="59"/>
  <c r="CG87" i="59"/>
  <c r="CH87" i="59"/>
  <c r="CI87" i="59"/>
  <c r="CJ87" i="59"/>
  <c r="CL87" i="59"/>
  <c r="CM87" i="59"/>
  <c r="CN87" i="59"/>
  <c r="CP87" i="59"/>
  <c r="CQ87" i="59"/>
  <c r="CR87" i="59"/>
  <c r="CS87" i="59"/>
  <c r="CT87" i="59"/>
  <c r="CU87" i="59"/>
  <c r="CV87" i="59"/>
  <c r="CX87" i="59"/>
  <c r="CY87" i="59"/>
  <c r="CZ87" i="59"/>
  <c r="DB87" i="59"/>
  <c r="DC87" i="59"/>
  <c r="DD87" i="59"/>
  <c r="DE87" i="59"/>
  <c r="DF87" i="59"/>
  <c r="DG87" i="59"/>
  <c r="DH87" i="59"/>
  <c r="DI87" i="59"/>
  <c r="DJ87" i="59"/>
  <c r="DK87" i="59"/>
  <c r="DL87" i="59"/>
  <c r="DN87" i="59"/>
  <c r="DO87" i="59"/>
  <c r="DP87" i="59"/>
  <c r="DQ87" i="59"/>
  <c r="DR87" i="59"/>
  <c r="DS87" i="59"/>
  <c r="DT87" i="59"/>
  <c r="DU87" i="59"/>
  <c r="DV87" i="59"/>
  <c r="DW87" i="59"/>
  <c r="DX87" i="59"/>
  <c r="DZ87" i="59"/>
  <c r="EA87" i="59"/>
  <c r="EB87" i="59"/>
  <c r="EC87" i="59"/>
  <c r="ED87" i="59"/>
  <c r="EE87" i="59"/>
  <c r="EF87" i="59"/>
  <c r="EG87" i="59"/>
  <c r="EH87" i="59"/>
  <c r="EI87" i="59"/>
  <c r="EJ87" i="59"/>
  <c r="EL87" i="59"/>
  <c r="EM87" i="59"/>
  <c r="EN87" i="59"/>
  <c r="EO87" i="59"/>
  <c r="EP87" i="59"/>
  <c r="EQ87" i="59"/>
  <c r="ER87" i="59"/>
  <c r="ES87" i="59"/>
  <c r="ET87" i="59"/>
  <c r="EU87" i="59"/>
  <c r="EV87" i="59"/>
  <c r="EW87" i="59"/>
  <c r="EX87" i="59"/>
  <c r="EY87" i="59"/>
  <c r="EZ87" i="59"/>
  <c r="FA87" i="59"/>
  <c r="FB87" i="59"/>
  <c r="FC87" i="59"/>
  <c r="FD87" i="59"/>
  <c r="FE87" i="59"/>
  <c r="FF87" i="59"/>
  <c r="FG87" i="59"/>
  <c r="FH87" i="59"/>
  <c r="FI87" i="59"/>
  <c r="FJ87" i="59"/>
  <c r="FK87" i="59"/>
  <c r="FL87" i="59"/>
  <c r="FM87" i="59"/>
  <c r="FN87" i="59"/>
  <c r="FO87" i="59"/>
  <c r="FP87" i="59"/>
  <c r="FQ87" i="59"/>
  <c r="FR87" i="59"/>
  <c r="FS87" i="59"/>
  <c r="FT87" i="59"/>
  <c r="FU87" i="59"/>
  <c r="FV87" i="59"/>
  <c r="FW87" i="59"/>
  <c r="FX87" i="59"/>
  <c r="FY87" i="59"/>
  <c r="FZ87" i="59"/>
  <c r="GA87" i="59"/>
  <c r="GB87" i="59"/>
  <c r="GC87" i="59"/>
  <c r="GD87" i="59"/>
  <c r="GE87" i="59"/>
  <c r="GF87" i="59"/>
  <c r="GG87" i="59"/>
  <c r="GH87" i="59"/>
  <c r="GI87" i="59"/>
  <c r="GJ87" i="59"/>
  <c r="GL87" i="59"/>
  <c r="GM87" i="59"/>
  <c r="GN87" i="59"/>
  <c r="GP87" i="59"/>
  <c r="GQ87" i="59"/>
  <c r="GR87" i="59"/>
  <c r="GT87" i="59"/>
  <c r="GU87" i="59"/>
  <c r="GV87" i="59"/>
  <c r="GW87" i="59"/>
  <c r="GX87" i="59"/>
  <c r="GY87" i="59"/>
  <c r="GZ87" i="59"/>
  <c r="HA87" i="59"/>
  <c r="HB87" i="59"/>
  <c r="HC87" i="59"/>
  <c r="HD87" i="59"/>
  <c r="HF87" i="59"/>
  <c r="HG87" i="59"/>
  <c r="HH87" i="59"/>
  <c r="HI87" i="59"/>
  <c r="HJ87" i="59"/>
  <c r="HK87" i="59"/>
  <c r="HL87" i="59"/>
  <c r="HN87" i="59"/>
  <c r="HO87" i="59"/>
  <c r="HP87" i="59"/>
  <c r="HQ87" i="59"/>
  <c r="HR87" i="59"/>
  <c r="HS87" i="59"/>
  <c r="HT87" i="59"/>
  <c r="HU87" i="59"/>
  <c r="HV87" i="59"/>
  <c r="HW87" i="59"/>
  <c r="HX87" i="59"/>
  <c r="HZ87" i="59"/>
  <c r="IA87" i="59"/>
  <c r="IB87" i="59"/>
  <c r="IC87" i="59"/>
  <c r="ID87" i="59"/>
  <c r="IE87" i="59"/>
  <c r="IF87" i="59"/>
  <c r="IG87" i="59"/>
  <c r="IH87" i="59"/>
  <c r="II87" i="59"/>
  <c r="IJ87" i="59"/>
  <c r="IL87" i="59"/>
  <c r="IM87" i="59"/>
  <c r="IN87" i="59"/>
  <c r="IO87" i="59"/>
  <c r="IP87" i="59"/>
  <c r="IQ87" i="59"/>
  <c r="IR87" i="59"/>
  <c r="IS87" i="59"/>
  <c r="IT87" i="59"/>
  <c r="IU87" i="59"/>
  <c r="IV87" i="59"/>
  <c r="G88" i="59"/>
  <c r="H88" i="59"/>
  <c r="I88" i="59"/>
  <c r="J88" i="59"/>
  <c r="K88" i="59"/>
  <c r="L88" i="59"/>
  <c r="M88" i="59"/>
  <c r="N88" i="59"/>
  <c r="O88" i="59"/>
  <c r="P88" i="59"/>
  <c r="Q88" i="59"/>
  <c r="R88" i="59"/>
  <c r="S88" i="59"/>
  <c r="T88" i="59"/>
  <c r="U88" i="59"/>
  <c r="V88" i="59"/>
  <c r="W88" i="59"/>
  <c r="X88" i="59"/>
  <c r="Y88" i="59"/>
  <c r="Z88" i="59"/>
  <c r="AA88" i="59"/>
  <c r="AB88" i="59"/>
  <c r="AC88" i="59"/>
  <c r="AD88" i="59"/>
  <c r="AE88" i="59"/>
  <c r="AF88" i="59"/>
  <c r="AG88" i="59"/>
  <c r="AH88" i="59"/>
  <c r="AI88" i="59"/>
  <c r="AJ88" i="59"/>
  <c r="AK88" i="59"/>
  <c r="AL88" i="59"/>
  <c r="AM88" i="59"/>
  <c r="AN88" i="59"/>
  <c r="AO88" i="59"/>
  <c r="AP88" i="59"/>
  <c r="AQ88" i="59"/>
  <c r="AR88" i="59"/>
  <c r="AS88" i="59"/>
  <c r="AT88" i="59"/>
  <c r="AU88" i="59"/>
  <c r="AV88" i="59"/>
  <c r="AW88" i="59"/>
  <c r="AX88" i="59"/>
  <c r="AY88" i="59"/>
  <c r="AZ88" i="59"/>
  <c r="BA88" i="59"/>
  <c r="BB88" i="59"/>
  <c r="BC88" i="59"/>
  <c r="BD88" i="59"/>
  <c r="BE88" i="59"/>
  <c r="BF88" i="59"/>
  <c r="BG88" i="59"/>
  <c r="BH88" i="59"/>
  <c r="BI88" i="59"/>
  <c r="BJ88" i="59"/>
  <c r="BK88" i="59"/>
  <c r="BL88" i="59"/>
  <c r="BM88" i="59"/>
  <c r="BN88" i="59"/>
  <c r="BO88" i="59"/>
  <c r="BP88" i="59"/>
  <c r="BQ88" i="59"/>
  <c r="BR88" i="59"/>
  <c r="BS88" i="59"/>
  <c r="BT88" i="59"/>
  <c r="BU88" i="59"/>
  <c r="BV88" i="59"/>
  <c r="BW88" i="59"/>
  <c r="BX88" i="59"/>
  <c r="BY88" i="59"/>
  <c r="BZ88" i="59"/>
  <c r="CA88" i="59"/>
  <c r="CB88" i="59"/>
  <c r="CC88" i="59"/>
  <c r="CD88" i="59"/>
  <c r="CE88" i="59"/>
  <c r="CF88" i="59"/>
  <c r="CG88" i="59"/>
  <c r="CH88" i="59"/>
  <c r="CI88" i="59"/>
  <c r="CJ88" i="59"/>
  <c r="CK88" i="59"/>
  <c r="CL88" i="59"/>
  <c r="CM88" i="59"/>
  <c r="CN88" i="59"/>
  <c r="CO88" i="59"/>
  <c r="CP88" i="59"/>
  <c r="CQ88" i="59"/>
  <c r="CR88" i="59"/>
  <c r="CS88" i="59"/>
  <c r="CT88" i="59"/>
  <c r="CU88" i="59"/>
  <c r="CV88" i="59"/>
  <c r="CW88" i="59"/>
  <c r="CX88" i="59"/>
  <c r="CY88" i="59"/>
  <c r="CZ88" i="59"/>
  <c r="DA88" i="59"/>
  <c r="DB88" i="59"/>
  <c r="DC88" i="59"/>
  <c r="DD88" i="59"/>
  <c r="DE88" i="59"/>
  <c r="DF88" i="59"/>
  <c r="DG88" i="59"/>
  <c r="DH88" i="59"/>
  <c r="DK88" i="59"/>
  <c r="DL88" i="59"/>
  <c r="DM88" i="59"/>
  <c r="DP88" i="59"/>
  <c r="DR88" i="59"/>
  <c r="DS88" i="59"/>
  <c r="DT88" i="59"/>
  <c r="DU88" i="59"/>
  <c r="DV88" i="59"/>
  <c r="DW88" i="59"/>
  <c r="DX88" i="59"/>
  <c r="DY88" i="59"/>
  <c r="DZ88" i="59"/>
  <c r="EA88" i="59"/>
  <c r="EB88" i="59"/>
  <c r="EC88" i="59"/>
  <c r="ED88" i="59"/>
  <c r="EE88" i="59"/>
  <c r="EF88" i="59"/>
  <c r="EG88" i="59"/>
  <c r="EL88" i="59"/>
  <c r="EM88" i="59"/>
  <c r="EN88" i="59"/>
  <c r="EO88" i="59"/>
  <c r="EP88" i="59"/>
  <c r="EQ88" i="59"/>
  <c r="ER88" i="59"/>
  <c r="ES88" i="59"/>
  <c r="ET88" i="59"/>
  <c r="EU88" i="59"/>
  <c r="EV88" i="59"/>
  <c r="EW88" i="59"/>
  <c r="EX88" i="59"/>
  <c r="EY88" i="59"/>
  <c r="EZ88" i="59"/>
  <c r="FA88" i="59"/>
  <c r="FB88" i="59"/>
  <c r="FC88" i="59"/>
  <c r="FD88" i="59"/>
  <c r="FE88" i="59"/>
  <c r="FF88" i="59"/>
  <c r="FG88" i="59"/>
  <c r="FH88" i="59"/>
  <c r="FI88" i="59"/>
  <c r="FJ88" i="59"/>
  <c r="FL88" i="59"/>
  <c r="FM88" i="59"/>
  <c r="FN88" i="59"/>
  <c r="FO88" i="59"/>
  <c r="FP88" i="59"/>
  <c r="FQ88" i="59"/>
  <c r="FR88" i="59"/>
  <c r="FS88" i="59"/>
  <c r="FT88" i="59"/>
  <c r="FU88" i="59"/>
  <c r="FV88" i="59"/>
  <c r="FW88" i="59"/>
  <c r="FX88" i="59"/>
  <c r="FY88" i="59"/>
  <c r="FZ88" i="59"/>
  <c r="GA88" i="59"/>
  <c r="GB88" i="59"/>
  <c r="GC88" i="59"/>
  <c r="GD88" i="59"/>
  <c r="GE88" i="59"/>
  <c r="GF88" i="59"/>
  <c r="GG88" i="59"/>
  <c r="GH88" i="59"/>
  <c r="GI88" i="59"/>
  <c r="GJ88" i="59"/>
  <c r="GK88" i="59"/>
  <c r="GL88" i="59"/>
  <c r="GM88" i="59"/>
  <c r="GN88" i="59"/>
  <c r="GO88" i="59"/>
  <c r="GP88" i="59"/>
  <c r="GQ88" i="59"/>
  <c r="GR88" i="59"/>
  <c r="GS88" i="59"/>
  <c r="GT88" i="59"/>
  <c r="GU88" i="59"/>
  <c r="GV88" i="59"/>
  <c r="GW88" i="59"/>
  <c r="GX88" i="59"/>
  <c r="GY88" i="59"/>
  <c r="GZ88" i="59"/>
  <c r="HA88" i="59"/>
  <c r="HB88" i="59"/>
  <c r="HC88" i="59"/>
  <c r="HD88" i="59"/>
  <c r="HE88" i="59"/>
  <c r="HF88" i="59"/>
  <c r="HG88" i="59"/>
  <c r="HH88" i="59"/>
  <c r="HI88" i="59"/>
  <c r="HJ88" i="59"/>
  <c r="HK88" i="59"/>
  <c r="HL88" i="59"/>
  <c r="HM88" i="59"/>
  <c r="HN88" i="59"/>
  <c r="HO88" i="59"/>
  <c r="HP88" i="59"/>
  <c r="HQ88" i="59"/>
  <c r="HR88" i="59"/>
  <c r="HS88" i="59"/>
  <c r="HT88" i="59"/>
  <c r="HU88" i="59"/>
  <c r="HV88" i="59"/>
  <c r="HW88" i="59"/>
  <c r="HX88" i="59"/>
  <c r="IA88" i="59"/>
  <c r="IB88" i="59"/>
  <c r="IF88" i="59"/>
  <c r="IH88" i="59"/>
  <c r="II88" i="59"/>
  <c r="IJ88" i="59"/>
  <c r="IK88" i="59"/>
  <c r="IL88" i="59"/>
  <c r="IM88" i="59"/>
  <c r="IN88" i="59"/>
  <c r="IO88" i="59"/>
  <c r="IP88" i="59"/>
  <c r="IQ88" i="59"/>
  <c r="IR88" i="59"/>
  <c r="IS88" i="59"/>
  <c r="IT88" i="59"/>
  <c r="IU88" i="59"/>
  <c r="IV88" i="59"/>
  <c r="F89" i="59"/>
  <c r="K89" i="59"/>
  <c r="L89" i="59"/>
  <c r="M89" i="59"/>
  <c r="N89" i="59"/>
  <c r="O89" i="59"/>
  <c r="P89" i="59"/>
  <c r="Q89" i="59"/>
  <c r="R89" i="59"/>
  <c r="S89" i="59"/>
  <c r="T89" i="59"/>
  <c r="U89" i="59"/>
  <c r="V89" i="59"/>
  <c r="W89" i="59"/>
  <c r="X89" i="59"/>
  <c r="Y89" i="59"/>
  <c r="Z89" i="59"/>
  <c r="AA89" i="59"/>
  <c r="AB89" i="59"/>
  <c r="AC89" i="59"/>
  <c r="AD89" i="59"/>
  <c r="AE89" i="59"/>
  <c r="AF89" i="59"/>
  <c r="AG89" i="59"/>
  <c r="AH89" i="59"/>
  <c r="AI89" i="59"/>
  <c r="AK89" i="59"/>
  <c r="AL89" i="59"/>
  <c r="AM89" i="59"/>
  <c r="AN89" i="59"/>
  <c r="AO89" i="59"/>
  <c r="AP89" i="59"/>
  <c r="AQ89" i="59"/>
  <c r="AR89" i="59"/>
  <c r="AS89" i="59"/>
  <c r="AT89" i="59"/>
  <c r="AU89" i="59"/>
  <c r="AV89" i="59"/>
  <c r="AW89" i="59"/>
  <c r="AX89" i="59"/>
  <c r="AY89" i="59"/>
  <c r="AZ89" i="59"/>
  <c r="BA89" i="59"/>
  <c r="BB89" i="59"/>
  <c r="BC89" i="59"/>
  <c r="BD89" i="59"/>
  <c r="BE89" i="59"/>
  <c r="BF89" i="59"/>
  <c r="BG89" i="59"/>
  <c r="BH89" i="59"/>
  <c r="BI89" i="59"/>
  <c r="BJ89" i="59"/>
  <c r="BK89" i="59"/>
  <c r="BL89" i="59"/>
  <c r="BM89" i="59"/>
  <c r="BN89" i="59"/>
  <c r="BO89" i="59"/>
  <c r="BP89" i="59"/>
  <c r="BQ89" i="59"/>
  <c r="BR89" i="59"/>
  <c r="BS89" i="59"/>
  <c r="BT89" i="59"/>
  <c r="BU89" i="59"/>
  <c r="BV89" i="59"/>
  <c r="BW89" i="59"/>
  <c r="BX89" i="59"/>
  <c r="BY89" i="59"/>
  <c r="BZ89" i="59"/>
  <c r="CA89" i="59"/>
  <c r="CB89" i="59"/>
  <c r="CC89" i="59"/>
  <c r="CD89" i="59"/>
  <c r="CE89" i="59"/>
  <c r="CF89" i="59"/>
  <c r="CG89" i="59"/>
  <c r="CH89" i="59"/>
  <c r="CI89" i="59"/>
  <c r="CJ89" i="59"/>
  <c r="CK89" i="59"/>
  <c r="CL89" i="59"/>
  <c r="CM89" i="59"/>
  <c r="CN89" i="59"/>
  <c r="CO89" i="59"/>
  <c r="CP89" i="59"/>
  <c r="CQ89" i="59"/>
  <c r="CR89" i="59"/>
  <c r="CS89" i="59"/>
  <c r="CT89" i="59"/>
  <c r="CU89" i="59"/>
  <c r="CV89" i="59"/>
  <c r="CW89" i="59"/>
  <c r="CZ89" i="59"/>
  <c r="DA89" i="59"/>
  <c r="DE89" i="59"/>
  <c r="DG89" i="59"/>
  <c r="DH89" i="59"/>
  <c r="DI89" i="59"/>
  <c r="DJ89" i="59"/>
  <c r="DK89" i="59"/>
  <c r="DL89" i="59"/>
  <c r="DM89" i="59"/>
  <c r="DN89" i="59"/>
  <c r="DO89" i="59"/>
  <c r="DP89" i="59"/>
  <c r="DQ89" i="59"/>
  <c r="DR89" i="59"/>
  <c r="DS89" i="59"/>
  <c r="DT89" i="59"/>
  <c r="DU89" i="59"/>
  <c r="DV89" i="59"/>
  <c r="EA89" i="59"/>
  <c r="EB89" i="59"/>
  <c r="EC89" i="59"/>
  <c r="ED89" i="59"/>
  <c r="EE89" i="59"/>
  <c r="EF89" i="59"/>
  <c r="EG89" i="59"/>
  <c r="EH89" i="59"/>
  <c r="EI89" i="59"/>
  <c r="EJ89" i="59"/>
  <c r="EK89" i="59"/>
  <c r="EL89" i="59"/>
  <c r="EM89" i="59"/>
  <c r="EN89" i="59"/>
  <c r="EO89" i="59"/>
  <c r="EP89" i="59"/>
  <c r="EQ89" i="59"/>
  <c r="ER89" i="59"/>
  <c r="ES89" i="59"/>
  <c r="ET89" i="59"/>
  <c r="EU89" i="59"/>
  <c r="EV89" i="59"/>
  <c r="EW89" i="59"/>
  <c r="EX89" i="59"/>
  <c r="EY89" i="59"/>
  <c r="FA89" i="59"/>
  <c r="FB89" i="59"/>
  <c r="FC89" i="59"/>
  <c r="FD89" i="59"/>
  <c r="FE89" i="59"/>
  <c r="FF89" i="59"/>
  <c r="FG89" i="59"/>
  <c r="FH89" i="59"/>
  <c r="FI89" i="59"/>
  <c r="FJ89" i="59"/>
  <c r="FK89" i="59"/>
  <c r="FL89" i="59"/>
  <c r="FM89" i="59"/>
  <c r="FN89" i="59"/>
  <c r="FO89" i="59"/>
  <c r="FP89" i="59"/>
  <c r="FQ89" i="59"/>
  <c r="FR89" i="59"/>
  <c r="FS89" i="59"/>
  <c r="FT89" i="59"/>
  <c r="FU89" i="59"/>
  <c r="FV89" i="59"/>
  <c r="FW89" i="59"/>
  <c r="FX89" i="59"/>
  <c r="FY89" i="59"/>
  <c r="FZ89" i="59"/>
  <c r="GA89" i="59"/>
  <c r="GB89" i="59"/>
  <c r="GC89" i="59"/>
  <c r="GD89" i="59"/>
  <c r="GE89" i="59"/>
  <c r="GF89" i="59"/>
  <c r="GG89" i="59"/>
  <c r="GH89" i="59"/>
  <c r="GI89" i="59"/>
  <c r="GJ89" i="59"/>
  <c r="GK89" i="59"/>
  <c r="GL89" i="59"/>
  <c r="GM89" i="59"/>
  <c r="GN89" i="59"/>
  <c r="GO89" i="59"/>
  <c r="GP89" i="59"/>
  <c r="GQ89" i="59"/>
  <c r="GR89" i="59"/>
  <c r="GS89" i="59"/>
  <c r="GT89" i="59"/>
  <c r="GU89" i="59"/>
  <c r="GV89" i="59"/>
  <c r="GW89" i="59"/>
  <c r="GX89" i="59"/>
  <c r="GY89" i="59"/>
  <c r="GZ89" i="59"/>
  <c r="HA89" i="59"/>
  <c r="HB89" i="59"/>
  <c r="HC89" i="59"/>
  <c r="HD89" i="59"/>
  <c r="HE89" i="59"/>
  <c r="HF89" i="59"/>
  <c r="HG89" i="59"/>
  <c r="HH89" i="59"/>
  <c r="HI89" i="59"/>
  <c r="HJ89" i="59"/>
  <c r="HK89" i="59"/>
  <c r="HL89" i="59"/>
  <c r="HM89" i="59"/>
  <c r="HP89" i="59"/>
  <c r="HQ89" i="59"/>
  <c r="HU89" i="59"/>
  <c r="HW89" i="59"/>
  <c r="HX89" i="59"/>
  <c r="HY89" i="59"/>
  <c r="HZ89" i="59"/>
  <c r="IA89" i="59"/>
  <c r="IB89" i="59"/>
  <c r="IC89" i="59"/>
  <c r="ID89" i="59"/>
  <c r="IE89" i="59"/>
  <c r="IF89" i="59"/>
  <c r="IG89" i="59"/>
  <c r="IH89" i="59"/>
  <c r="II89" i="59"/>
  <c r="IJ89" i="59"/>
  <c r="IK89" i="59"/>
  <c r="IL89" i="59"/>
  <c r="IQ89" i="59"/>
  <c r="IR89" i="59"/>
  <c r="IS89" i="59"/>
  <c r="IT89" i="59"/>
  <c r="IU89" i="59"/>
  <c r="IV89" i="59"/>
  <c r="F90" i="59"/>
  <c r="G90" i="59"/>
  <c r="H90" i="59"/>
  <c r="I90" i="59"/>
  <c r="J90" i="59"/>
  <c r="K90" i="59"/>
  <c r="L90" i="59"/>
  <c r="M90" i="59"/>
  <c r="N90" i="59"/>
  <c r="O90" i="59"/>
  <c r="P90" i="59"/>
  <c r="Q90" i="59"/>
  <c r="R90" i="59"/>
  <c r="S90" i="59"/>
  <c r="T90" i="59"/>
  <c r="U90" i="59"/>
  <c r="V90" i="59"/>
  <c r="W90" i="59"/>
  <c r="X90" i="59"/>
  <c r="Z90" i="59"/>
  <c r="AA90" i="59"/>
  <c r="AB90" i="59"/>
  <c r="AC90" i="59"/>
  <c r="AD90" i="59"/>
  <c r="AE90" i="59"/>
  <c r="AF90" i="59"/>
  <c r="AG90" i="59"/>
  <c r="AH90" i="59"/>
  <c r="AI90" i="59"/>
  <c r="AJ90" i="59"/>
  <c r="AK90" i="59"/>
  <c r="AL90" i="59"/>
  <c r="AM90" i="59"/>
  <c r="AN90" i="59"/>
  <c r="AO90" i="59"/>
  <c r="AP90" i="59"/>
  <c r="AQ90" i="59"/>
  <c r="AR90" i="59"/>
  <c r="AS90" i="59"/>
  <c r="AT90" i="59"/>
  <c r="AU90" i="59"/>
  <c r="AV90" i="59"/>
  <c r="AW90" i="59"/>
  <c r="AX90" i="59"/>
  <c r="AY90" i="59"/>
  <c r="AZ90" i="59"/>
  <c r="BA90" i="59"/>
  <c r="BB90" i="59"/>
  <c r="BC90" i="59"/>
  <c r="BD90" i="59"/>
  <c r="BE90" i="59"/>
  <c r="BF90" i="59"/>
  <c r="BG90" i="59"/>
  <c r="BH90" i="59"/>
  <c r="BI90" i="59"/>
  <c r="BJ90" i="59"/>
  <c r="BK90" i="59"/>
  <c r="BL90" i="59"/>
  <c r="BM90" i="59"/>
  <c r="BN90" i="59"/>
  <c r="BO90" i="59"/>
  <c r="BP90" i="59"/>
  <c r="BQ90" i="59"/>
  <c r="BR90" i="59"/>
  <c r="BS90" i="59"/>
  <c r="BT90" i="59"/>
  <c r="BU90" i="59"/>
  <c r="BV90" i="59"/>
  <c r="BW90" i="59"/>
  <c r="BX90" i="59"/>
  <c r="BY90" i="59"/>
  <c r="BZ90" i="59"/>
  <c r="CA90" i="59"/>
  <c r="CB90" i="59"/>
  <c r="CC90" i="59"/>
  <c r="CD90" i="59"/>
  <c r="CE90" i="59"/>
  <c r="CF90" i="59"/>
  <c r="CG90" i="59"/>
  <c r="CH90" i="59"/>
  <c r="CI90" i="59"/>
  <c r="CJ90" i="59"/>
  <c r="CK90" i="59"/>
  <c r="CL90" i="59"/>
  <c r="CM90" i="59"/>
  <c r="CP90" i="59"/>
  <c r="CQ90" i="59"/>
  <c r="CU90" i="59"/>
  <c r="CW90" i="59"/>
  <c r="CX90" i="59"/>
  <c r="CY90" i="59"/>
  <c r="CZ90" i="59"/>
  <c r="DA90" i="59"/>
  <c r="DB90" i="59"/>
  <c r="DC90" i="59"/>
  <c r="DD90" i="59"/>
  <c r="DE90" i="59"/>
  <c r="DF90" i="59"/>
  <c r="DG90" i="59"/>
  <c r="DH90" i="59"/>
  <c r="DI90" i="59"/>
  <c r="DJ90" i="59"/>
  <c r="DK90" i="59"/>
  <c r="DL90" i="59"/>
  <c r="DM90" i="59"/>
  <c r="DN90" i="59"/>
  <c r="DS90" i="59"/>
  <c r="DT90" i="59"/>
  <c r="DU90" i="59"/>
  <c r="DV90" i="59"/>
  <c r="DW90" i="59"/>
  <c r="DX90" i="59"/>
  <c r="DY90" i="59"/>
  <c r="DZ90" i="59"/>
  <c r="EA90" i="59"/>
  <c r="EB90" i="59"/>
  <c r="EC90" i="59"/>
  <c r="ED90" i="59"/>
  <c r="EE90" i="59"/>
  <c r="EF90" i="59"/>
  <c r="EG90" i="59"/>
  <c r="EH90" i="59"/>
  <c r="EI90" i="59"/>
  <c r="EJ90" i="59"/>
  <c r="EK90" i="59"/>
  <c r="EL90" i="59"/>
  <c r="EM90" i="59"/>
  <c r="EN90" i="59"/>
  <c r="EO90" i="59"/>
  <c r="EP90" i="59"/>
  <c r="EQ90" i="59"/>
  <c r="ER90" i="59"/>
  <c r="ES90" i="59"/>
  <c r="EU90" i="59"/>
  <c r="EV90" i="59"/>
  <c r="EW90" i="59"/>
  <c r="EX90" i="59"/>
  <c r="EY90" i="59"/>
  <c r="EZ90" i="59"/>
  <c r="FA90" i="59"/>
  <c r="FB90" i="59"/>
  <c r="FC90" i="59"/>
  <c r="FD90" i="59"/>
  <c r="FE90" i="59"/>
  <c r="FF90" i="59"/>
  <c r="FG90" i="59"/>
  <c r="FH90" i="59"/>
  <c r="FI90" i="59"/>
  <c r="FJ90" i="59"/>
  <c r="FK90" i="59"/>
  <c r="FL90" i="59"/>
  <c r="FM90" i="59"/>
  <c r="FN90" i="59"/>
  <c r="FO90" i="59"/>
  <c r="FP90" i="59"/>
  <c r="FQ90" i="59"/>
  <c r="FR90" i="59"/>
  <c r="FS90" i="59"/>
  <c r="FT90" i="59"/>
  <c r="FU90" i="59"/>
  <c r="FV90" i="59"/>
  <c r="FW90" i="59"/>
  <c r="FX90" i="59"/>
  <c r="FY90" i="59"/>
  <c r="FZ90" i="59"/>
  <c r="GA90" i="59"/>
  <c r="GB90" i="59"/>
  <c r="GC90" i="59"/>
  <c r="GD90" i="59"/>
  <c r="GE90" i="59"/>
  <c r="GF90" i="59"/>
  <c r="GG90" i="59"/>
  <c r="GH90" i="59"/>
  <c r="GI90" i="59"/>
  <c r="GJ90" i="59"/>
  <c r="GK90" i="59"/>
  <c r="GL90" i="59"/>
  <c r="GM90" i="59"/>
  <c r="GN90" i="59"/>
  <c r="GO90" i="59"/>
  <c r="GP90" i="59"/>
  <c r="GQ90" i="59"/>
  <c r="GR90" i="59"/>
  <c r="GS90" i="59"/>
  <c r="GT90" i="59"/>
  <c r="GU90" i="59"/>
  <c r="GV90" i="59"/>
  <c r="GW90" i="59"/>
  <c r="GX90" i="59"/>
  <c r="GY90" i="59"/>
  <c r="GZ90" i="59"/>
  <c r="HA90" i="59"/>
  <c r="HB90" i="59"/>
  <c r="HC90" i="59"/>
  <c r="HD90" i="59"/>
  <c r="HE90" i="59"/>
  <c r="HF90" i="59"/>
  <c r="HG90" i="59"/>
  <c r="HH90" i="59"/>
  <c r="HI90" i="59"/>
  <c r="HJ90" i="59"/>
  <c r="HK90" i="59"/>
  <c r="HL90" i="59"/>
  <c r="HM90" i="59"/>
  <c r="HP90" i="59"/>
  <c r="HQ90" i="59"/>
  <c r="HU90" i="59"/>
  <c r="HW90" i="59"/>
  <c r="HX90" i="59"/>
  <c r="HY90" i="59"/>
  <c r="HZ90" i="59"/>
  <c r="IA90" i="59"/>
  <c r="IB90" i="59"/>
  <c r="IC90" i="59"/>
  <c r="ID90" i="59"/>
  <c r="IE90" i="59"/>
  <c r="IF90" i="59"/>
  <c r="IG90" i="59"/>
  <c r="IH90" i="59"/>
  <c r="II90" i="59"/>
  <c r="IJ90" i="59"/>
  <c r="IK90" i="59"/>
  <c r="IL90" i="59"/>
  <c r="IM90" i="59"/>
  <c r="IN90" i="59"/>
  <c r="IS90" i="59"/>
  <c r="IT90" i="59"/>
  <c r="IU90" i="59"/>
  <c r="IV90" i="59"/>
  <c r="F91" i="59"/>
  <c r="G91" i="59"/>
  <c r="H91" i="59"/>
  <c r="I91" i="59"/>
  <c r="J91" i="59"/>
  <c r="K91" i="59"/>
  <c r="L91" i="59"/>
  <c r="M91" i="59"/>
  <c r="N91" i="59"/>
  <c r="O91" i="59"/>
  <c r="P91" i="59"/>
  <c r="Q91" i="59"/>
  <c r="R91" i="59"/>
  <c r="S91" i="59"/>
  <c r="T91" i="59"/>
  <c r="U91" i="59"/>
  <c r="V91" i="59"/>
  <c r="W91" i="59"/>
  <c r="X91" i="59"/>
  <c r="Y91" i="59"/>
  <c r="Z91" i="59"/>
  <c r="AA91" i="59"/>
  <c r="AB91" i="59"/>
  <c r="AD91" i="59"/>
  <c r="AE91" i="59"/>
  <c r="AF91" i="59"/>
  <c r="AG91" i="59"/>
  <c r="AH91" i="59"/>
  <c r="AI91" i="59"/>
  <c r="AJ91" i="59"/>
  <c r="AK91" i="59"/>
  <c r="AL91" i="59"/>
  <c r="AM91" i="59"/>
  <c r="AN91" i="59"/>
  <c r="AO91" i="59"/>
  <c r="AP91" i="59"/>
  <c r="AQ91" i="59"/>
  <c r="AR91" i="59"/>
  <c r="AS91" i="59"/>
  <c r="AT91" i="59"/>
  <c r="AU91" i="59"/>
  <c r="AV91" i="59"/>
  <c r="AW91" i="59"/>
  <c r="AX91" i="59"/>
  <c r="AY91" i="59"/>
  <c r="AZ91" i="59"/>
  <c r="BA91" i="59"/>
  <c r="BB91" i="59"/>
  <c r="BC91" i="59"/>
  <c r="BD91" i="59"/>
  <c r="BE91" i="59"/>
  <c r="BF91" i="59"/>
  <c r="BG91" i="59"/>
  <c r="BH91" i="59"/>
  <c r="BI91" i="59"/>
  <c r="BJ91" i="59"/>
  <c r="BK91" i="59"/>
  <c r="BL91" i="59"/>
  <c r="BM91" i="59"/>
  <c r="BN91" i="59"/>
  <c r="BO91" i="59"/>
  <c r="BP91" i="59"/>
  <c r="BQ91" i="59"/>
  <c r="BR91" i="59"/>
  <c r="BS91" i="59"/>
  <c r="BT91" i="59"/>
  <c r="BU91" i="59"/>
  <c r="BV91" i="59"/>
  <c r="BW91" i="59"/>
  <c r="BX91" i="59"/>
  <c r="BY91" i="59"/>
  <c r="BZ91" i="59"/>
  <c r="CA91" i="59"/>
  <c r="CB91" i="59"/>
  <c r="CC91" i="59"/>
  <c r="CD91" i="59"/>
  <c r="CE91" i="59"/>
  <c r="CF91" i="59"/>
  <c r="CG91" i="59"/>
  <c r="CH91" i="59"/>
  <c r="CI91" i="59"/>
  <c r="CJ91" i="59"/>
  <c r="CK91" i="59"/>
  <c r="CL91" i="59"/>
  <c r="CM91" i="59"/>
  <c r="CN91" i="59"/>
  <c r="CO91" i="59"/>
  <c r="CP91" i="59"/>
  <c r="CQ91" i="59"/>
  <c r="CR91" i="59"/>
  <c r="CS91" i="59"/>
  <c r="CT91" i="59"/>
  <c r="CU91" i="59"/>
  <c r="CX91" i="59"/>
  <c r="CY91" i="59"/>
  <c r="DC91" i="59"/>
  <c r="DE91" i="59"/>
  <c r="DF91" i="59"/>
  <c r="DG91" i="59"/>
  <c r="DH91" i="59"/>
  <c r="DI91" i="59"/>
  <c r="DJ91" i="59"/>
  <c r="DK91" i="59"/>
  <c r="DL91" i="59"/>
  <c r="DM91" i="59"/>
  <c r="DN91" i="59"/>
  <c r="DO91" i="59"/>
  <c r="DP91" i="59"/>
  <c r="DQ91" i="59"/>
  <c r="DR91" i="59"/>
  <c r="DS91" i="59"/>
  <c r="DT91" i="59"/>
  <c r="DU91" i="59"/>
  <c r="DV91" i="59"/>
  <c r="EA91" i="59"/>
  <c r="EB91" i="59"/>
  <c r="EC91" i="59"/>
  <c r="ED91" i="59"/>
  <c r="EE91" i="59"/>
  <c r="EF91" i="59"/>
  <c r="EG91" i="59"/>
  <c r="EH91" i="59"/>
  <c r="EI91" i="59"/>
  <c r="EJ91" i="59"/>
  <c r="EK91" i="59"/>
  <c r="EL91" i="59"/>
  <c r="EM91" i="59"/>
  <c r="EN91" i="59"/>
  <c r="EO91" i="59"/>
  <c r="EP91" i="59"/>
  <c r="EQ91" i="59"/>
  <c r="ER91" i="59"/>
  <c r="ES91" i="59"/>
  <c r="ET91" i="59"/>
  <c r="EU91" i="59"/>
  <c r="EV91" i="59"/>
  <c r="EW91" i="59"/>
  <c r="EX91" i="59"/>
  <c r="EY91" i="59"/>
  <c r="EZ91" i="59"/>
  <c r="FA91" i="59"/>
  <c r="FC91" i="59"/>
  <c r="FD91" i="59"/>
  <c r="FE91" i="59"/>
  <c r="FF91" i="59"/>
  <c r="FG91" i="59"/>
  <c r="FH91" i="59"/>
  <c r="FI91" i="59"/>
  <c r="FJ91" i="59"/>
  <c r="FK91" i="59"/>
  <c r="FL91" i="59"/>
  <c r="FM91" i="59"/>
  <c r="FN91" i="59"/>
  <c r="FO91" i="59"/>
  <c r="FP91" i="59"/>
  <c r="FQ91" i="59"/>
  <c r="FR91" i="59"/>
  <c r="FS91" i="59"/>
  <c r="FT91" i="59"/>
  <c r="FU91" i="59"/>
  <c r="FV91" i="59"/>
  <c r="FW91" i="59"/>
  <c r="FX91" i="59"/>
  <c r="FY91" i="59"/>
  <c r="FZ91" i="59"/>
  <c r="GA91" i="59"/>
  <c r="GB91" i="59"/>
  <c r="GC91" i="59"/>
  <c r="GD91" i="59"/>
  <c r="GE91" i="59"/>
  <c r="GF91" i="59"/>
  <c r="GG91" i="59"/>
  <c r="GH91" i="59"/>
  <c r="GI91" i="59"/>
  <c r="GJ91" i="59"/>
  <c r="GK91" i="59"/>
  <c r="GL91" i="59"/>
  <c r="GM91" i="59"/>
  <c r="GN91" i="59"/>
  <c r="GO91" i="59"/>
  <c r="GP91" i="59"/>
  <c r="GQ91" i="59"/>
  <c r="GR91" i="59"/>
  <c r="GS91" i="59"/>
  <c r="GT91" i="59"/>
  <c r="GU91" i="59"/>
  <c r="GV91" i="59"/>
  <c r="GW91" i="59"/>
  <c r="GX91" i="59"/>
  <c r="GY91" i="59"/>
  <c r="GZ91" i="59"/>
  <c r="HA91" i="59"/>
  <c r="HB91" i="59"/>
  <c r="HC91" i="59"/>
  <c r="HD91" i="59"/>
  <c r="HE91" i="59"/>
  <c r="HF91" i="59"/>
  <c r="HG91" i="59"/>
  <c r="HH91" i="59"/>
  <c r="HI91" i="59"/>
  <c r="HJ91" i="59"/>
  <c r="HK91" i="59"/>
  <c r="HL91" i="59"/>
  <c r="HM91" i="59"/>
  <c r="HN91" i="59"/>
  <c r="HO91" i="59"/>
  <c r="HP91" i="59"/>
  <c r="HQ91" i="59"/>
  <c r="HR91" i="59"/>
  <c r="HS91" i="59"/>
  <c r="HT91" i="59"/>
  <c r="HU91" i="59"/>
  <c r="HX91" i="59"/>
  <c r="HY91" i="59"/>
  <c r="IC91" i="59"/>
  <c r="IE91" i="59"/>
  <c r="IF91" i="59"/>
  <c r="IG91" i="59"/>
  <c r="IH91" i="59"/>
  <c r="II91" i="59"/>
  <c r="IJ91" i="59"/>
  <c r="IK91" i="59"/>
  <c r="IL91" i="59"/>
  <c r="IM91" i="59"/>
  <c r="IN91" i="59"/>
  <c r="IO91" i="59"/>
  <c r="IP91" i="59"/>
  <c r="IQ91" i="59"/>
  <c r="IR91" i="59"/>
  <c r="IS91" i="59"/>
  <c r="IT91" i="59"/>
  <c r="IU91" i="59"/>
  <c r="I92" i="59"/>
  <c r="J92" i="59"/>
  <c r="K92" i="59"/>
  <c r="L92" i="59"/>
  <c r="M92" i="59"/>
  <c r="N92" i="59"/>
  <c r="O92" i="59"/>
  <c r="P92" i="59"/>
  <c r="Q92" i="59"/>
  <c r="R92" i="59"/>
  <c r="S92" i="59"/>
  <c r="T92" i="59"/>
  <c r="U92" i="59"/>
  <c r="V92" i="59"/>
  <c r="W92" i="59"/>
  <c r="X92" i="59"/>
  <c r="Y92" i="59"/>
  <c r="Z92" i="59"/>
  <c r="AA92" i="59"/>
  <c r="AB92" i="59"/>
  <c r="AC92" i="59"/>
  <c r="AD92" i="59"/>
  <c r="AE92" i="59"/>
  <c r="AF92" i="59"/>
  <c r="AG92" i="59"/>
  <c r="AI92" i="59"/>
  <c r="AJ92" i="59"/>
  <c r="AK92" i="59"/>
  <c r="AL92" i="59"/>
  <c r="AM92" i="59"/>
  <c r="AN92" i="59"/>
  <c r="AO92" i="59"/>
  <c r="AP92" i="59"/>
  <c r="AQ92" i="59"/>
  <c r="AR92" i="59"/>
  <c r="AS92" i="59"/>
  <c r="AT92" i="59"/>
  <c r="AU92" i="59"/>
  <c r="AV92" i="59"/>
  <c r="AW92" i="59"/>
  <c r="AX92" i="59"/>
  <c r="AY92" i="59"/>
  <c r="AZ92" i="59"/>
  <c r="BA92" i="59"/>
  <c r="BB92" i="59"/>
  <c r="BC92" i="59"/>
  <c r="BD92" i="59"/>
  <c r="BE92" i="59"/>
  <c r="BF92" i="59"/>
  <c r="BG92" i="59"/>
  <c r="BH92" i="59"/>
  <c r="BI92" i="59"/>
  <c r="BJ92" i="59"/>
  <c r="BK92" i="59"/>
  <c r="BL92" i="59"/>
  <c r="BM92" i="59"/>
  <c r="BN92" i="59"/>
  <c r="BO92" i="59"/>
  <c r="BP92" i="59"/>
  <c r="BQ92" i="59"/>
  <c r="BR92" i="59"/>
  <c r="BS92" i="59"/>
  <c r="BT92" i="59"/>
  <c r="BU92" i="59"/>
  <c r="BV92" i="59"/>
  <c r="BW92" i="59"/>
  <c r="BX92" i="59"/>
  <c r="BY92" i="59"/>
  <c r="BZ92" i="59"/>
  <c r="CA92" i="59"/>
  <c r="CB92" i="59"/>
  <c r="CC92" i="59"/>
  <c r="CD92" i="59"/>
  <c r="CE92" i="59"/>
  <c r="CF92" i="59"/>
  <c r="CG92" i="59"/>
  <c r="CH92" i="59"/>
  <c r="CI92" i="59"/>
  <c r="CJ92" i="59"/>
  <c r="CK92" i="59"/>
  <c r="CL92" i="59"/>
  <c r="CM92" i="59"/>
  <c r="CN92" i="59"/>
  <c r="CO92" i="59"/>
  <c r="CP92" i="59"/>
  <c r="CQ92" i="59"/>
  <c r="CR92" i="59"/>
  <c r="CS92" i="59"/>
  <c r="CT92" i="59"/>
  <c r="CU92" i="59"/>
  <c r="CX92" i="59"/>
  <c r="CY92" i="59"/>
  <c r="DC92" i="59"/>
  <c r="DE92" i="59"/>
  <c r="DF92" i="59"/>
  <c r="DG92" i="59"/>
  <c r="DH92" i="59"/>
  <c r="DI92" i="59"/>
  <c r="DJ92" i="59"/>
  <c r="DK92" i="59"/>
  <c r="DL92" i="59"/>
  <c r="DM92" i="59"/>
  <c r="DN92" i="59"/>
  <c r="DO92" i="59"/>
  <c r="DP92" i="59"/>
  <c r="DQ92" i="59"/>
  <c r="DR92" i="59"/>
  <c r="DS92" i="59"/>
  <c r="DT92" i="59"/>
  <c r="DY92" i="59"/>
  <c r="DZ92" i="59"/>
  <c r="EA92" i="59"/>
  <c r="EB92" i="59"/>
  <c r="EC92" i="59"/>
  <c r="ED92" i="59"/>
  <c r="EE92" i="59"/>
  <c r="EF92" i="59"/>
  <c r="EG92" i="59"/>
  <c r="EH92" i="59"/>
  <c r="EI92" i="59"/>
  <c r="EJ92" i="59"/>
  <c r="EK92" i="59"/>
  <c r="EL92" i="59"/>
  <c r="EM92" i="59"/>
  <c r="EN92" i="59"/>
  <c r="EO92" i="59"/>
  <c r="EP92" i="59"/>
  <c r="EQ92" i="59"/>
  <c r="ER92" i="59"/>
  <c r="ES92" i="59"/>
  <c r="ET92" i="59"/>
  <c r="EU92" i="59"/>
  <c r="EV92" i="59"/>
  <c r="EW92" i="59"/>
  <c r="EY92" i="59"/>
  <c r="EZ92" i="59"/>
  <c r="FA92" i="59"/>
  <c r="FB92" i="59"/>
  <c r="FC92" i="59"/>
  <c r="FD92" i="59"/>
  <c r="FE92" i="59"/>
  <c r="FF92" i="59"/>
  <c r="FG92" i="59"/>
  <c r="FH92" i="59"/>
  <c r="FI92" i="59"/>
  <c r="FJ92" i="59"/>
  <c r="FK92" i="59"/>
  <c r="FL92" i="59"/>
  <c r="FM92" i="59"/>
  <c r="FN92" i="59"/>
  <c r="FO92" i="59"/>
  <c r="FP92" i="59"/>
  <c r="FQ92" i="59"/>
  <c r="FR92" i="59"/>
  <c r="FS92" i="59"/>
  <c r="FT92" i="59"/>
  <c r="FU92" i="59"/>
  <c r="FV92" i="59"/>
  <c r="FW92" i="59"/>
  <c r="FX92" i="59"/>
  <c r="FY92" i="59"/>
  <c r="FZ92" i="59"/>
  <c r="GA92" i="59"/>
  <c r="GB92" i="59"/>
  <c r="GC92" i="59"/>
  <c r="GD92" i="59"/>
  <c r="GE92" i="59"/>
  <c r="GF92" i="59"/>
  <c r="GG92" i="59"/>
  <c r="GH92" i="59"/>
  <c r="GI92" i="59"/>
  <c r="GJ92" i="59"/>
  <c r="GK92" i="59"/>
  <c r="GL92" i="59"/>
  <c r="GM92" i="59"/>
  <c r="GN92" i="59"/>
  <c r="GO92" i="59"/>
  <c r="GP92" i="59"/>
  <c r="GQ92" i="59"/>
  <c r="GR92" i="59"/>
  <c r="GS92" i="59"/>
  <c r="GT92" i="59"/>
  <c r="GU92" i="59"/>
  <c r="GV92" i="59"/>
  <c r="GW92" i="59"/>
  <c r="GX92" i="59"/>
  <c r="GY92" i="59"/>
  <c r="GZ92" i="59"/>
  <c r="HA92" i="59"/>
  <c r="HB92" i="59"/>
  <c r="HC92" i="59"/>
  <c r="HD92" i="59"/>
  <c r="HE92" i="59"/>
  <c r="HF92" i="59"/>
  <c r="HG92" i="59"/>
  <c r="HH92" i="59"/>
  <c r="HI92" i="59"/>
  <c r="HJ92" i="59"/>
  <c r="HK92" i="59"/>
  <c r="HN92" i="59"/>
  <c r="HO92" i="59"/>
  <c r="HS92" i="59"/>
  <c r="HU92" i="59"/>
  <c r="HV92" i="59"/>
  <c r="HW92" i="59"/>
  <c r="HX92" i="59"/>
  <c r="HY92" i="59"/>
  <c r="HZ92" i="59"/>
  <c r="IA92" i="59"/>
  <c r="IB92" i="59"/>
  <c r="IC92" i="59"/>
  <c r="ID92" i="59"/>
  <c r="IE92" i="59"/>
  <c r="IF92" i="59"/>
  <c r="IG92" i="59"/>
  <c r="IH92" i="59"/>
  <c r="II92" i="59"/>
  <c r="IJ92" i="59"/>
  <c r="IO92" i="59"/>
  <c r="IP92" i="59"/>
  <c r="IQ92" i="59"/>
  <c r="IR92" i="59"/>
  <c r="IS92" i="59"/>
  <c r="IT92" i="59"/>
  <c r="IU92" i="59"/>
  <c r="IV92" i="59"/>
  <c r="F93" i="59"/>
  <c r="G93" i="59"/>
  <c r="H93" i="59"/>
  <c r="I93" i="59"/>
  <c r="J93" i="59"/>
  <c r="K93" i="59"/>
  <c r="L93" i="59"/>
  <c r="M93" i="59"/>
  <c r="N93" i="59"/>
  <c r="O93" i="59"/>
  <c r="P93" i="59"/>
  <c r="Q93" i="59"/>
  <c r="R93" i="59"/>
  <c r="S93" i="59"/>
  <c r="T93" i="59"/>
  <c r="U93" i="59"/>
  <c r="V93" i="59"/>
  <c r="X93" i="59"/>
  <c r="Y93" i="59"/>
  <c r="Z93" i="59"/>
  <c r="AA93" i="59"/>
  <c r="AB93" i="59"/>
  <c r="AC93" i="59"/>
  <c r="AD93" i="59"/>
  <c r="AE93" i="59"/>
  <c r="AF93" i="59"/>
  <c r="AG93" i="59"/>
  <c r="AH93" i="59"/>
  <c r="AI93" i="59"/>
  <c r="AJ93" i="59"/>
  <c r="AK93" i="59"/>
  <c r="AL93" i="59"/>
  <c r="AM93" i="59"/>
  <c r="AN93" i="59"/>
  <c r="AO93" i="59"/>
  <c r="AP93" i="59"/>
  <c r="AQ93" i="59"/>
  <c r="AR93" i="59"/>
  <c r="AS93" i="59"/>
  <c r="AT93" i="59"/>
  <c r="AU93" i="59"/>
  <c r="AV93" i="59"/>
  <c r="AW93" i="59"/>
  <c r="AX93" i="59"/>
  <c r="AY93" i="59"/>
  <c r="AZ93" i="59"/>
  <c r="BA93" i="59"/>
  <c r="BB93" i="59"/>
  <c r="BC93" i="59"/>
  <c r="BD93" i="59"/>
  <c r="BE93" i="59"/>
  <c r="BF93" i="59"/>
  <c r="BG93" i="59"/>
  <c r="BH93" i="59"/>
  <c r="BI93" i="59"/>
  <c r="BJ93" i="59"/>
  <c r="BK93" i="59"/>
  <c r="BL93" i="59"/>
  <c r="BM93" i="59"/>
  <c r="BN93" i="59"/>
  <c r="BO93" i="59"/>
  <c r="BP93" i="59"/>
  <c r="BQ93" i="59"/>
  <c r="BR93" i="59"/>
  <c r="BS93" i="59"/>
  <c r="BT93" i="59"/>
  <c r="BU93" i="59"/>
  <c r="BV93" i="59"/>
  <c r="BW93" i="59"/>
  <c r="BX93" i="59"/>
  <c r="BY93" i="59"/>
  <c r="BZ93" i="59"/>
  <c r="CA93" i="59"/>
  <c r="CB93" i="59"/>
  <c r="CC93" i="59"/>
  <c r="CD93" i="59"/>
  <c r="CE93" i="59"/>
  <c r="CF93" i="59"/>
  <c r="CG93" i="59"/>
  <c r="CH93" i="59"/>
  <c r="CI93" i="59"/>
  <c r="CJ93" i="59"/>
  <c r="CM93" i="59"/>
  <c r="CN93" i="59"/>
  <c r="CR93" i="59"/>
  <c r="CT93" i="59"/>
  <c r="CU93" i="59"/>
  <c r="CV93" i="59"/>
  <c r="CW93" i="59"/>
  <c r="CX93" i="59"/>
  <c r="CY93" i="59"/>
  <c r="CZ93" i="59"/>
  <c r="DA93" i="59"/>
  <c r="DB93" i="59"/>
  <c r="DC93" i="59"/>
  <c r="DD93" i="59"/>
  <c r="DE93" i="59"/>
  <c r="DF93" i="59"/>
  <c r="DG93" i="59"/>
  <c r="DH93" i="59"/>
  <c r="DI93" i="59"/>
  <c r="DN93" i="59"/>
  <c r="DO93" i="59"/>
  <c r="DP93" i="59"/>
  <c r="DQ93" i="59"/>
  <c r="DR93" i="59"/>
  <c r="DS93" i="59"/>
  <c r="DT93" i="59"/>
  <c r="DU93" i="59"/>
  <c r="DV93" i="59"/>
  <c r="DW93" i="59"/>
  <c r="DX93" i="59"/>
  <c r="DY93" i="59"/>
  <c r="DZ93" i="59"/>
  <c r="EA93" i="59"/>
  <c r="EB93" i="59"/>
  <c r="EC93" i="59"/>
  <c r="ED93" i="59"/>
  <c r="EE93" i="59"/>
  <c r="EF93" i="59"/>
  <c r="EG93" i="59"/>
  <c r="EH93" i="59"/>
  <c r="EI93" i="59"/>
  <c r="EJ93" i="59"/>
  <c r="EK93" i="59"/>
  <c r="EL93" i="59"/>
  <c r="EN93" i="59"/>
  <c r="EO93" i="59"/>
  <c r="EP93" i="59"/>
  <c r="EQ93" i="59"/>
  <c r="ER93" i="59"/>
  <c r="ES93" i="59"/>
  <c r="ET93" i="59"/>
  <c r="EU93" i="59"/>
  <c r="EV93" i="59"/>
  <c r="EW93" i="59"/>
  <c r="EX93" i="59"/>
  <c r="EY93" i="59"/>
  <c r="EZ93" i="59"/>
  <c r="FA93" i="59"/>
  <c r="FB93" i="59"/>
  <c r="FC93" i="59"/>
  <c r="FD93" i="59"/>
  <c r="FE93" i="59"/>
  <c r="FF93" i="59"/>
  <c r="FG93" i="59"/>
  <c r="FH93" i="59"/>
  <c r="FI93" i="59"/>
  <c r="FJ93" i="59"/>
  <c r="FK93" i="59"/>
  <c r="FL93" i="59"/>
  <c r="FM93" i="59"/>
  <c r="FN93" i="59"/>
  <c r="FO93" i="59"/>
  <c r="FP93" i="59"/>
  <c r="FQ93" i="59"/>
  <c r="FR93" i="59"/>
  <c r="FS93" i="59"/>
  <c r="FT93" i="59"/>
  <c r="FU93" i="59"/>
  <c r="FV93" i="59"/>
  <c r="FW93" i="59"/>
  <c r="FX93" i="59"/>
  <c r="FY93" i="59"/>
  <c r="FZ93" i="59"/>
  <c r="GA93" i="59"/>
  <c r="GB93" i="59"/>
  <c r="GC93" i="59"/>
  <c r="GD93" i="59"/>
  <c r="GE93" i="59"/>
  <c r="GF93" i="59"/>
  <c r="GG93" i="59"/>
  <c r="GH93" i="59"/>
  <c r="GI93" i="59"/>
  <c r="GJ93" i="59"/>
  <c r="GK93" i="59"/>
  <c r="GL93" i="59"/>
  <c r="GM93" i="59"/>
  <c r="GN93" i="59"/>
  <c r="GO93" i="59"/>
  <c r="GP93" i="59"/>
  <c r="GQ93" i="59"/>
  <c r="GR93" i="59"/>
  <c r="GS93" i="59"/>
  <c r="GT93" i="59"/>
  <c r="GU93" i="59"/>
  <c r="GV93" i="59"/>
  <c r="GW93" i="59"/>
  <c r="GX93" i="59"/>
  <c r="GY93" i="59"/>
  <c r="GZ93" i="59"/>
  <c r="HC93" i="59"/>
  <c r="HD93" i="59"/>
  <c r="HH93" i="59"/>
  <c r="HJ93" i="59"/>
  <c r="HK93" i="59"/>
  <c r="HL93" i="59"/>
  <c r="HM93" i="59"/>
  <c r="HN93" i="59"/>
  <c r="HO93" i="59"/>
  <c r="HP93" i="59"/>
  <c r="HQ93" i="59"/>
  <c r="HR93" i="59"/>
  <c r="HS93" i="59"/>
  <c r="HT93" i="59"/>
  <c r="HU93" i="59"/>
  <c r="HV93" i="59"/>
  <c r="HW93" i="59"/>
  <c r="HX93" i="59"/>
  <c r="HY93" i="59"/>
  <c r="ID93" i="59"/>
  <c r="IE93" i="59"/>
  <c r="IF93" i="59"/>
  <c r="IG93" i="59"/>
  <c r="IH93" i="59"/>
  <c r="II93" i="59"/>
  <c r="IJ93" i="59"/>
  <c r="IK93" i="59"/>
  <c r="IL93" i="59"/>
  <c r="IM93" i="59"/>
  <c r="IN93" i="59"/>
  <c r="IO93" i="59"/>
  <c r="IP93" i="59"/>
  <c r="IQ93" i="59"/>
  <c r="IR93" i="59"/>
  <c r="IS93" i="59"/>
  <c r="IT93" i="59"/>
  <c r="IU93" i="59"/>
  <c r="IV93" i="59"/>
  <c r="F94" i="59"/>
  <c r="G94" i="59"/>
  <c r="H94" i="59"/>
  <c r="I94" i="59"/>
  <c r="J94" i="59"/>
  <c r="K94" i="59"/>
  <c r="M94" i="59"/>
  <c r="N94" i="59"/>
  <c r="O94" i="59"/>
  <c r="P94" i="59"/>
  <c r="Q94" i="59"/>
  <c r="R94" i="59"/>
  <c r="S94" i="59"/>
  <c r="T94" i="59"/>
  <c r="U94" i="59"/>
  <c r="V94" i="59"/>
  <c r="W94" i="59"/>
  <c r="X94" i="59"/>
  <c r="Y94" i="59"/>
  <c r="Z94" i="59"/>
  <c r="AA94" i="59"/>
  <c r="AB94" i="59"/>
  <c r="AC94" i="59"/>
  <c r="AD94" i="59"/>
  <c r="AE94" i="59"/>
  <c r="AF94" i="59"/>
  <c r="AG94" i="59"/>
  <c r="AH94" i="59"/>
  <c r="AI94" i="59"/>
  <c r="AJ94" i="59"/>
  <c r="AK94" i="59"/>
  <c r="AL94" i="59"/>
  <c r="AM94" i="59"/>
  <c r="AN94" i="59"/>
  <c r="AO94" i="59"/>
  <c r="AP94" i="59"/>
  <c r="AQ94" i="59"/>
  <c r="AR94" i="59"/>
  <c r="AS94" i="59"/>
  <c r="AT94" i="59"/>
  <c r="AU94" i="59"/>
  <c r="AV94" i="59"/>
  <c r="AW94" i="59"/>
  <c r="AX94" i="59"/>
  <c r="AY94" i="59"/>
  <c r="AZ94" i="59"/>
  <c r="BA94" i="59"/>
  <c r="BB94" i="59"/>
  <c r="BC94" i="59"/>
  <c r="BD94" i="59"/>
  <c r="BE94" i="59"/>
  <c r="BF94" i="59"/>
  <c r="BG94" i="59"/>
  <c r="BH94" i="59"/>
  <c r="BI94" i="59"/>
  <c r="BJ94" i="59"/>
  <c r="BK94" i="59"/>
  <c r="BL94" i="59"/>
  <c r="BM94" i="59"/>
  <c r="BN94" i="59"/>
  <c r="BO94" i="59"/>
  <c r="BP94" i="59"/>
  <c r="BQ94" i="59"/>
  <c r="BR94" i="59"/>
  <c r="BS94" i="59"/>
  <c r="BT94" i="59"/>
  <c r="BU94" i="59"/>
  <c r="BV94" i="59"/>
  <c r="BW94" i="59"/>
  <c r="BX94" i="59"/>
  <c r="BY94" i="59"/>
  <c r="CB94" i="59"/>
  <c r="CC94" i="59"/>
  <c r="CG94" i="59"/>
  <c r="CI94" i="59"/>
  <c r="CJ94" i="59"/>
  <c r="CK94" i="59"/>
  <c r="CL94" i="59"/>
  <c r="CM94" i="59"/>
  <c r="CN94" i="59"/>
  <c r="CO94" i="59"/>
  <c r="CP94" i="59"/>
  <c r="CQ94" i="59"/>
  <c r="CR94" i="59"/>
  <c r="CS94" i="59"/>
  <c r="CT94" i="59"/>
  <c r="CU94" i="59"/>
  <c r="CV94" i="59"/>
  <c r="CW94" i="59"/>
  <c r="CX94" i="59"/>
  <c r="DC94" i="59"/>
  <c r="DD94" i="59"/>
  <c r="DE94" i="59"/>
  <c r="DF94" i="59"/>
  <c r="DG94" i="59"/>
  <c r="DH94" i="59"/>
  <c r="DI94" i="59"/>
  <c r="DJ94" i="59"/>
  <c r="DK94" i="59"/>
  <c r="DL94" i="59"/>
  <c r="DM94" i="59"/>
  <c r="DN94" i="59"/>
  <c r="DO94" i="59"/>
  <c r="DP94" i="59"/>
  <c r="DQ94" i="59"/>
  <c r="DR94" i="59"/>
  <c r="DS94" i="59"/>
  <c r="DT94" i="59"/>
  <c r="DU94" i="59"/>
  <c r="DV94" i="59"/>
  <c r="DW94" i="59"/>
  <c r="DX94" i="59"/>
  <c r="DY94" i="59"/>
  <c r="DZ94" i="59"/>
  <c r="EA94" i="59"/>
  <c r="EC94" i="59"/>
  <c r="ED94" i="59"/>
  <c r="EE94" i="59"/>
  <c r="EF94" i="59"/>
  <c r="EG94" i="59"/>
  <c r="EH94" i="59"/>
  <c r="EI94" i="59"/>
  <c r="EJ94" i="59"/>
  <c r="EK94" i="59"/>
  <c r="EL94" i="59"/>
  <c r="EM94" i="59"/>
  <c r="EN94" i="59"/>
  <c r="EO94" i="59"/>
  <c r="EP94" i="59"/>
  <c r="EQ94" i="59"/>
  <c r="ER94" i="59"/>
  <c r="ES94" i="59"/>
  <c r="ET94" i="59"/>
  <c r="EU94" i="59"/>
  <c r="EV94" i="59"/>
  <c r="EW94" i="59"/>
  <c r="EX94" i="59"/>
  <c r="EY94" i="59"/>
  <c r="EZ94" i="59"/>
  <c r="FA94" i="59"/>
  <c r="FB94" i="59"/>
  <c r="FC94" i="59"/>
  <c r="FD94" i="59"/>
  <c r="FE94" i="59"/>
  <c r="FF94" i="59"/>
  <c r="FG94" i="59"/>
  <c r="FH94" i="59"/>
  <c r="FI94" i="59"/>
  <c r="FJ94" i="59"/>
  <c r="FK94" i="59"/>
  <c r="FL94" i="59"/>
  <c r="FM94" i="59"/>
  <c r="FN94" i="59"/>
  <c r="FO94" i="59"/>
  <c r="FP94" i="59"/>
  <c r="FQ94" i="59"/>
  <c r="FR94" i="59"/>
  <c r="FS94" i="59"/>
  <c r="FT94" i="59"/>
  <c r="FU94" i="59"/>
  <c r="FV94" i="59"/>
  <c r="FW94" i="59"/>
  <c r="FX94" i="59"/>
  <c r="FY94" i="59"/>
  <c r="FZ94" i="59"/>
  <c r="GA94" i="59"/>
  <c r="GB94" i="59"/>
  <c r="GC94" i="59"/>
  <c r="GD94" i="59"/>
  <c r="GE94" i="59"/>
  <c r="GF94" i="59"/>
  <c r="GG94" i="59"/>
  <c r="GH94" i="59"/>
  <c r="GI94" i="59"/>
  <c r="GJ94" i="59"/>
  <c r="GK94" i="59"/>
  <c r="GL94" i="59"/>
  <c r="GM94" i="59"/>
  <c r="GN94" i="59"/>
  <c r="GO94" i="59"/>
  <c r="GR94" i="59"/>
  <c r="GS94" i="59"/>
  <c r="GW94" i="59"/>
  <c r="GY94" i="59"/>
  <c r="GZ94" i="59"/>
  <c r="HA94" i="59"/>
  <c r="HB94" i="59"/>
  <c r="HC94" i="59"/>
  <c r="HD94" i="59"/>
  <c r="HE94" i="59"/>
  <c r="HF94" i="59"/>
  <c r="HG94" i="59"/>
  <c r="HH94" i="59"/>
  <c r="HI94" i="59"/>
  <c r="HJ94" i="59"/>
  <c r="HK94" i="59"/>
  <c r="HL94" i="59"/>
  <c r="HM94" i="59"/>
  <c r="HN94" i="59"/>
  <c r="HS94" i="59"/>
  <c r="HT94" i="59"/>
  <c r="HU94" i="59"/>
  <c r="HV94" i="59"/>
  <c r="HW94" i="59"/>
  <c r="HX94" i="59"/>
  <c r="HY94" i="59"/>
  <c r="HZ94" i="59"/>
  <c r="IA94" i="59"/>
  <c r="IB94" i="59"/>
  <c r="IC94" i="59"/>
  <c r="ID94" i="59"/>
  <c r="IE94" i="59"/>
  <c r="IF94" i="59"/>
  <c r="IG94" i="59"/>
  <c r="IH94" i="59"/>
  <c r="II94" i="59"/>
  <c r="IJ94" i="59"/>
  <c r="IK94" i="59"/>
  <c r="IL94" i="59"/>
  <c r="IM94" i="59"/>
  <c r="IN94" i="59"/>
  <c r="IO94" i="59"/>
  <c r="IP94" i="59"/>
  <c r="IQ94" i="59"/>
  <c r="IS94" i="59"/>
  <c r="IT94" i="59"/>
  <c r="IU94" i="59"/>
  <c r="IV94" i="59"/>
  <c r="F95" i="59"/>
  <c r="G95" i="59"/>
  <c r="H95" i="59"/>
  <c r="I95" i="59"/>
  <c r="J95" i="59"/>
  <c r="K95" i="59"/>
  <c r="L95" i="59"/>
  <c r="M95" i="59"/>
  <c r="N95" i="59"/>
  <c r="O95" i="59"/>
  <c r="P95" i="59"/>
  <c r="Q95" i="59"/>
  <c r="R95" i="59"/>
  <c r="S95" i="59"/>
  <c r="T95" i="59"/>
  <c r="U95" i="59"/>
  <c r="V95" i="59"/>
  <c r="W95" i="59"/>
  <c r="X95" i="59"/>
  <c r="Y95" i="59"/>
  <c r="Z95" i="59"/>
  <c r="AA95" i="59"/>
  <c r="AB95" i="59"/>
  <c r="AC95" i="59"/>
  <c r="AD95" i="59"/>
  <c r="AE95" i="59"/>
  <c r="AF95" i="59"/>
  <c r="AG95" i="59"/>
  <c r="AH95" i="59"/>
  <c r="AI95" i="59"/>
  <c r="AJ95" i="59"/>
  <c r="AK95" i="59"/>
  <c r="AL95" i="59"/>
  <c r="AM95" i="59"/>
  <c r="AN95" i="59"/>
  <c r="AO95" i="59"/>
  <c r="AP95" i="59"/>
  <c r="AQ95" i="59"/>
  <c r="AR95" i="59"/>
  <c r="AS95" i="59"/>
  <c r="AT95" i="59"/>
  <c r="AU95" i="59"/>
  <c r="AV95" i="59"/>
  <c r="AW95" i="59"/>
  <c r="AX95" i="59"/>
  <c r="AY95" i="59"/>
  <c r="AZ95" i="59"/>
  <c r="BA95" i="59"/>
  <c r="BB95" i="59"/>
  <c r="BC95" i="59"/>
  <c r="BD95" i="59"/>
  <c r="BE95" i="59"/>
  <c r="BF95" i="59"/>
  <c r="BG95" i="59"/>
  <c r="BH95" i="59"/>
  <c r="BI95" i="59"/>
  <c r="BJ95" i="59"/>
  <c r="BK95" i="59"/>
  <c r="BL95" i="59"/>
  <c r="BM95" i="59"/>
  <c r="BN95" i="59"/>
  <c r="BQ95" i="59"/>
  <c r="BR95" i="59"/>
  <c r="BV95" i="59"/>
  <c r="BX95" i="59"/>
  <c r="BY95" i="59"/>
  <c r="BZ95" i="59"/>
  <c r="CA95" i="59"/>
  <c r="CB95" i="59"/>
  <c r="CC95" i="59"/>
  <c r="CD95" i="59"/>
  <c r="CE95" i="59"/>
  <c r="CF95" i="59"/>
  <c r="CG95" i="59"/>
  <c r="CH95" i="59"/>
  <c r="CI95" i="59"/>
  <c r="CJ95" i="59"/>
  <c r="CK95" i="59"/>
  <c r="CL95" i="59"/>
  <c r="CM95" i="59"/>
  <c r="CR95" i="59"/>
  <c r="CS95" i="59"/>
  <c r="CT95" i="59"/>
  <c r="CU95" i="59"/>
  <c r="CV95" i="59"/>
  <c r="CW95" i="59"/>
  <c r="CX95" i="59"/>
  <c r="CY95" i="59"/>
  <c r="CZ95" i="59"/>
  <c r="DA95" i="59"/>
  <c r="DB95" i="59"/>
  <c r="DC95" i="59"/>
  <c r="DD95" i="59"/>
  <c r="DE95" i="59"/>
  <c r="DF95" i="59"/>
  <c r="DG95" i="59"/>
  <c r="DH95" i="59"/>
  <c r="DI95" i="59"/>
  <c r="DJ95" i="59"/>
  <c r="DK95" i="59"/>
  <c r="DL95" i="59"/>
  <c r="DM95" i="59"/>
  <c r="DN95" i="59"/>
  <c r="DO95" i="59"/>
  <c r="DP95" i="59"/>
  <c r="DR95" i="59"/>
  <c r="DS95" i="59"/>
  <c r="DT95" i="59"/>
  <c r="DU95" i="59"/>
  <c r="DV95" i="59"/>
  <c r="DW95" i="59"/>
  <c r="DX95" i="59"/>
  <c r="DY95" i="59"/>
  <c r="DZ95" i="59"/>
  <c r="EA95" i="59"/>
  <c r="EB95" i="59"/>
  <c r="EC95" i="59"/>
  <c r="ED95" i="59"/>
  <c r="EE95" i="59"/>
  <c r="EF95" i="59"/>
  <c r="EG95" i="59"/>
  <c r="EH95" i="59"/>
  <c r="EI95" i="59"/>
  <c r="EJ95" i="59"/>
  <c r="EK95" i="59"/>
  <c r="EL95" i="59"/>
  <c r="EM95" i="59"/>
  <c r="EN95" i="59"/>
  <c r="EO95" i="59"/>
  <c r="EP95" i="59"/>
  <c r="EQ95" i="59"/>
  <c r="ER95" i="59"/>
  <c r="ES95" i="59"/>
  <c r="ET95" i="59"/>
  <c r="EU95" i="59"/>
  <c r="EV95" i="59"/>
  <c r="EW95" i="59"/>
  <c r="EX95" i="59"/>
  <c r="EY95" i="59"/>
  <c r="EZ95" i="59"/>
  <c r="FA95" i="59"/>
  <c r="FB95" i="59"/>
  <c r="FC95" i="59"/>
  <c r="FD95" i="59"/>
  <c r="FE95" i="59"/>
  <c r="FF95" i="59"/>
  <c r="FG95" i="59"/>
  <c r="FH95" i="59"/>
  <c r="FI95" i="59"/>
  <c r="FJ95" i="59"/>
  <c r="FK95" i="59"/>
  <c r="FL95" i="59"/>
  <c r="FM95" i="59"/>
  <c r="FN95" i="59"/>
  <c r="FO95" i="59"/>
  <c r="FP95" i="59"/>
  <c r="FQ95" i="59"/>
  <c r="FR95" i="59"/>
  <c r="FS95" i="59"/>
  <c r="FT95" i="59"/>
  <c r="FU95" i="59"/>
  <c r="FV95" i="59"/>
  <c r="FW95" i="59"/>
  <c r="FX95" i="59"/>
  <c r="FY95" i="59"/>
  <c r="FZ95" i="59"/>
  <c r="GA95" i="59"/>
  <c r="GB95" i="59"/>
  <c r="GC95" i="59"/>
  <c r="GD95" i="59"/>
  <c r="GG95" i="59"/>
  <c r="GH95" i="59"/>
  <c r="GL95" i="59"/>
  <c r="GN95" i="59"/>
  <c r="GO95" i="59"/>
  <c r="GP95" i="59"/>
  <c r="GQ95" i="59"/>
  <c r="GR95" i="59"/>
  <c r="GS95" i="59"/>
  <c r="GT95" i="59"/>
  <c r="GU95" i="59"/>
  <c r="GV95" i="59"/>
  <c r="GW95" i="59"/>
  <c r="GX95" i="59"/>
  <c r="GY95" i="59"/>
  <c r="GZ95" i="59"/>
  <c r="HA95" i="59"/>
  <c r="HB95" i="59"/>
  <c r="HC95" i="59"/>
  <c r="HH95" i="59"/>
  <c r="HI95" i="59"/>
  <c r="HJ95" i="59"/>
  <c r="HK95" i="59"/>
  <c r="HL95" i="59"/>
  <c r="HM95" i="59"/>
  <c r="HN95" i="59"/>
  <c r="HO95" i="59"/>
  <c r="HP95" i="59"/>
  <c r="HQ95" i="59"/>
  <c r="HR95" i="59"/>
  <c r="HS95" i="59"/>
  <c r="HT95" i="59"/>
  <c r="HU95" i="59"/>
  <c r="HV95" i="59"/>
  <c r="HW95" i="59"/>
  <c r="HX95" i="59"/>
  <c r="HY95" i="59"/>
  <c r="HZ95" i="59"/>
  <c r="IA95" i="59"/>
  <c r="IB95" i="59"/>
  <c r="IC95" i="59"/>
  <c r="ID95" i="59"/>
  <c r="IE95" i="59"/>
  <c r="IF95" i="59"/>
  <c r="IH95" i="59"/>
  <c r="II95" i="59"/>
  <c r="IJ95" i="59"/>
  <c r="IK95" i="59"/>
  <c r="IL95" i="59"/>
  <c r="IM95" i="59"/>
  <c r="IN95" i="59"/>
  <c r="IO95" i="59"/>
  <c r="IP95" i="59"/>
  <c r="IQ95" i="59"/>
  <c r="IR95" i="59"/>
  <c r="IS95" i="59"/>
  <c r="IT95" i="59"/>
  <c r="IU95" i="59"/>
  <c r="IV95" i="59"/>
  <c r="F96" i="59"/>
  <c r="G96" i="59"/>
  <c r="H96" i="59"/>
  <c r="I96" i="59"/>
  <c r="J96" i="59"/>
  <c r="K96" i="59"/>
  <c r="L96" i="59"/>
  <c r="M96" i="59"/>
  <c r="N96" i="59"/>
  <c r="O96" i="59"/>
  <c r="P96" i="59"/>
  <c r="Q96" i="59"/>
  <c r="R96" i="59"/>
  <c r="S96" i="59"/>
  <c r="T96" i="59"/>
  <c r="U96" i="59"/>
  <c r="V96" i="59"/>
  <c r="W96" i="59"/>
  <c r="X96" i="59"/>
  <c r="Y96" i="59"/>
  <c r="Z96" i="59"/>
  <c r="AA96" i="59"/>
  <c r="AB96" i="59"/>
  <c r="AC96" i="59"/>
  <c r="AD96" i="59"/>
  <c r="AE96" i="59"/>
  <c r="AF96" i="59"/>
  <c r="AG96" i="59"/>
  <c r="AH96" i="59"/>
  <c r="AI96" i="59"/>
  <c r="AJ96" i="59"/>
  <c r="AK96" i="59"/>
  <c r="AL96" i="59"/>
  <c r="AM96" i="59"/>
  <c r="AN96" i="59"/>
  <c r="AO96" i="59"/>
  <c r="AP96" i="59"/>
  <c r="AQ96" i="59"/>
  <c r="AR96" i="59"/>
  <c r="AS96" i="59"/>
  <c r="AT96" i="59"/>
  <c r="AU96" i="59"/>
  <c r="AV96" i="59"/>
  <c r="AW96" i="59"/>
  <c r="AX96" i="59"/>
  <c r="AY96" i="59"/>
  <c r="AZ96" i="59"/>
  <c r="BA96" i="59"/>
  <c r="BB96" i="59"/>
  <c r="BC96" i="59"/>
  <c r="BD96" i="59"/>
  <c r="BG96" i="59"/>
  <c r="BH96" i="59"/>
  <c r="BL96" i="59"/>
  <c r="BN96" i="59"/>
  <c r="BO96" i="59"/>
  <c r="BP96" i="59"/>
  <c r="BQ96" i="59"/>
  <c r="BR96" i="59"/>
  <c r="BS96" i="59"/>
  <c r="BT96" i="59"/>
  <c r="BU96" i="59"/>
  <c r="BV96" i="59"/>
  <c r="BW96" i="59"/>
  <c r="BX96" i="59"/>
  <c r="BY96" i="59"/>
  <c r="BZ96" i="59"/>
  <c r="CA96" i="59"/>
  <c r="CB96" i="59"/>
  <c r="CC96" i="59"/>
  <c r="CD96" i="59"/>
  <c r="CE96" i="59"/>
  <c r="CJ96" i="59"/>
  <c r="CK96" i="59"/>
  <c r="CL96" i="59"/>
  <c r="CM96" i="59"/>
  <c r="CN96" i="59"/>
  <c r="CO96" i="59"/>
  <c r="CP96" i="59"/>
  <c r="CQ96" i="59"/>
  <c r="CR96" i="59"/>
  <c r="CS96" i="59"/>
  <c r="CT96" i="59"/>
  <c r="CU96" i="59"/>
  <c r="CV96" i="59"/>
  <c r="CW96" i="59"/>
  <c r="CX96" i="59"/>
  <c r="CY96" i="59"/>
  <c r="CZ96" i="59"/>
  <c r="DA96" i="59"/>
  <c r="DB96" i="59"/>
  <c r="DC96" i="59"/>
  <c r="DD96" i="59"/>
  <c r="DE96" i="59"/>
  <c r="DF96" i="59"/>
  <c r="DG96" i="59"/>
  <c r="DH96" i="59"/>
  <c r="DI96" i="59"/>
  <c r="DJ96" i="59"/>
  <c r="DL96" i="59"/>
  <c r="DM96" i="59"/>
  <c r="DN96" i="59"/>
  <c r="DO96" i="59"/>
  <c r="DP96" i="59"/>
  <c r="DQ96" i="59"/>
  <c r="DR96" i="59"/>
  <c r="DS96" i="59"/>
  <c r="DT96" i="59"/>
  <c r="DU96" i="59"/>
  <c r="DV96" i="59"/>
  <c r="DW96" i="59"/>
  <c r="DX96" i="59"/>
  <c r="DY96" i="59"/>
  <c r="DZ96" i="59"/>
  <c r="EA96" i="59"/>
  <c r="EB96" i="59"/>
  <c r="EC96" i="59"/>
  <c r="ED96" i="59"/>
  <c r="EE96" i="59"/>
  <c r="EF96" i="59"/>
  <c r="EG96" i="59"/>
  <c r="EH96" i="59"/>
  <c r="EI96" i="59"/>
  <c r="EJ96" i="59"/>
  <c r="EK96" i="59"/>
  <c r="EL96" i="59"/>
  <c r="EM96" i="59"/>
  <c r="EN96" i="59"/>
  <c r="EO96" i="59"/>
  <c r="EP96" i="59"/>
  <c r="EQ96" i="59"/>
  <c r="ER96" i="59"/>
  <c r="ES96" i="59"/>
  <c r="ET96" i="59"/>
  <c r="EU96" i="59"/>
  <c r="EV96" i="59"/>
  <c r="EW96" i="59"/>
  <c r="EX96" i="59"/>
  <c r="EY96" i="59"/>
  <c r="EZ96" i="59"/>
  <c r="FA96" i="59"/>
  <c r="FB96" i="59"/>
  <c r="FC96" i="59"/>
  <c r="FD96" i="59"/>
  <c r="FE96" i="59"/>
  <c r="FF96" i="59"/>
  <c r="FG96" i="59"/>
  <c r="FH96" i="59"/>
  <c r="FI96" i="59"/>
  <c r="FJ96" i="59"/>
  <c r="FK96" i="59"/>
  <c r="FL96" i="59"/>
  <c r="FM96" i="59"/>
  <c r="FN96" i="59"/>
  <c r="FO96" i="59"/>
  <c r="FP96" i="59"/>
  <c r="FQ96" i="59"/>
  <c r="FR96" i="59"/>
  <c r="FS96" i="59"/>
  <c r="FT96" i="59"/>
  <c r="FU96" i="59"/>
  <c r="FV96" i="59"/>
  <c r="FW96" i="59"/>
  <c r="FX96" i="59"/>
  <c r="FY96" i="59"/>
  <c r="FZ96" i="59"/>
  <c r="GA96" i="59"/>
  <c r="GB96" i="59"/>
  <c r="GC96" i="59"/>
  <c r="GD96" i="59"/>
  <c r="GG96" i="59"/>
  <c r="GH96" i="59"/>
  <c r="GL96" i="59"/>
  <c r="GN96" i="59"/>
  <c r="GO96" i="59"/>
  <c r="GP96" i="59"/>
  <c r="GQ96" i="59"/>
  <c r="GR96" i="59"/>
  <c r="GS96" i="59"/>
  <c r="GT96" i="59"/>
  <c r="GU96" i="59"/>
  <c r="GV96" i="59"/>
  <c r="GW96" i="59"/>
  <c r="GX96" i="59"/>
  <c r="GY96" i="59"/>
  <c r="GZ96" i="59"/>
  <c r="HA96" i="59"/>
  <c r="HB96" i="59"/>
  <c r="HC96" i="59"/>
  <c r="HD96" i="59"/>
  <c r="HE96" i="59"/>
  <c r="HJ96" i="59"/>
  <c r="HK96" i="59"/>
  <c r="HL96" i="59"/>
  <c r="HM96" i="59"/>
  <c r="HN96" i="59"/>
  <c r="HO96" i="59"/>
  <c r="HP96" i="59"/>
  <c r="HQ96" i="59"/>
  <c r="HR96" i="59"/>
  <c r="HS96" i="59"/>
  <c r="HT96" i="59"/>
  <c r="HU96" i="59"/>
  <c r="HV96" i="59"/>
  <c r="HW96" i="59"/>
  <c r="HX96" i="59"/>
  <c r="HY96" i="59"/>
  <c r="HZ96" i="59"/>
  <c r="IA96" i="59"/>
  <c r="IB96" i="59"/>
  <c r="IC96" i="59"/>
  <c r="ID96" i="59"/>
  <c r="IE96" i="59"/>
  <c r="IF96" i="59"/>
  <c r="IG96" i="59"/>
  <c r="IH96" i="59"/>
  <c r="II96" i="59"/>
  <c r="IJ96" i="59"/>
  <c r="IL96" i="59"/>
  <c r="IM96" i="59"/>
  <c r="IN96" i="59"/>
  <c r="IO96" i="59"/>
  <c r="IP96" i="59"/>
  <c r="IQ96" i="59"/>
  <c r="IR96" i="59"/>
  <c r="IS96" i="59"/>
  <c r="IT96" i="59"/>
  <c r="IU96" i="59"/>
  <c r="IV96" i="59"/>
  <c r="F97" i="59"/>
  <c r="G97" i="59"/>
  <c r="H97" i="59"/>
  <c r="I97" i="59"/>
  <c r="J97" i="59"/>
  <c r="K97" i="59"/>
  <c r="L97" i="59"/>
  <c r="M97" i="59"/>
  <c r="N97" i="59"/>
  <c r="O97" i="59"/>
  <c r="P97" i="59"/>
  <c r="Q97" i="59"/>
  <c r="R97" i="59"/>
  <c r="S97" i="59"/>
  <c r="T97" i="59"/>
  <c r="U97" i="59"/>
  <c r="V97" i="59"/>
  <c r="W97" i="59"/>
  <c r="X97" i="59"/>
  <c r="Y97" i="59"/>
  <c r="Z97" i="59"/>
  <c r="AA97" i="59"/>
  <c r="AB97" i="59"/>
  <c r="AC97" i="59"/>
  <c r="AD97" i="59"/>
  <c r="AE97" i="59"/>
  <c r="AF97" i="59"/>
  <c r="AG97" i="59"/>
  <c r="AH97" i="59"/>
  <c r="AI97" i="59"/>
  <c r="AJ97" i="59"/>
  <c r="AK97" i="59"/>
  <c r="AL97" i="59"/>
  <c r="AM97" i="59"/>
  <c r="AN97" i="59"/>
  <c r="AO97" i="59"/>
  <c r="AP97" i="59"/>
  <c r="AQ97" i="59"/>
  <c r="AR97" i="59"/>
  <c r="AS97" i="59"/>
  <c r="AT97" i="59"/>
  <c r="AU97" i="59"/>
  <c r="AV97" i="59"/>
  <c r="AW97" i="59"/>
  <c r="AX97" i="59"/>
  <c r="AY97" i="59"/>
  <c r="AZ97" i="59"/>
  <c r="BA97" i="59"/>
  <c r="BB97" i="59"/>
  <c r="BC97" i="59"/>
  <c r="BD97" i="59"/>
  <c r="BE97" i="59"/>
  <c r="BF97" i="59"/>
  <c r="BG97" i="59"/>
  <c r="BH97" i="59"/>
  <c r="BI97" i="59"/>
  <c r="BJ97" i="59"/>
  <c r="BK97" i="59"/>
  <c r="BL97" i="59"/>
  <c r="BO97" i="59"/>
  <c r="BP97" i="59"/>
  <c r="BT97" i="59"/>
  <c r="BV97" i="59"/>
  <c r="BW97" i="59"/>
  <c r="BX97" i="59"/>
  <c r="BY97" i="59"/>
  <c r="BZ97" i="59"/>
  <c r="CA97" i="59"/>
  <c r="CB97" i="59"/>
  <c r="CC97" i="59"/>
  <c r="CD97" i="59"/>
  <c r="CE97" i="59"/>
  <c r="CF97" i="59"/>
  <c r="CG97" i="59"/>
  <c r="CH97" i="59"/>
  <c r="CI97" i="59"/>
  <c r="CJ97" i="59"/>
  <c r="CK97" i="59"/>
  <c r="CL97" i="59"/>
  <c r="CM97" i="59"/>
  <c r="CR97" i="59"/>
  <c r="CS97" i="59"/>
  <c r="CT97" i="59"/>
  <c r="CU97" i="59"/>
  <c r="CV97" i="59"/>
  <c r="CW97" i="59"/>
  <c r="CX97" i="59"/>
  <c r="CY97" i="59"/>
  <c r="CZ97" i="59"/>
  <c r="DA97" i="59"/>
  <c r="DB97" i="59"/>
  <c r="DC97" i="59"/>
  <c r="DD97" i="59"/>
  <c r="DE97" i="59"/>
  <c r="DF97" i="59"/>
  <c r="DG97" i="59"/>
  <c r="DH97" i="59"/>
  <c r="DI97" i="59"/>
  <c r="DJ97" i="59"/>
  <c r="DK97" i="59"/>
  <c r="DL97" i="59"/>
  <c r="DM97" i="59"/>
  <c r="DN97" i="59"/>
  <c r="DO97" i="59"/>
  <c r="DP97" i="59"/>
  <c r="DQ97" i="59"/>
  <c r="DR97" i="59"/>
  <c r="DT97" i="59"/>
  <c r="DU97" i="59"/>
  <c r="DV97" i="59"/>
  <c r="DW97" i="59"/>
  <c r="DX97" i="59"/>
  <c r="DY97" i="59"/>
  <c r="DZ97" i="59"/>
  <c r="EA97" i="59"/>
  <c r="EB97" i="59"/>
  <c r="EC97" i="59"/>
  <c r="ED97" i="59"/>
  <c r="EE97" i="59"/>
  <c r="EF97" i="59"/>
  <c r="EG97" i="59"/>
  <c r="EH97" i="59"/>
  <c r="EI97" i="59"/>
  <c r="EJ97" i="59"/>
  <c r="EK97" i="59"/>
  <c r="EL97" i="59"/>
  <c r="EM97" i="59"/>
  <c r="EN97" i="59"/>
  <c r="EO97" i="59"/>
  <c r="EP97" i="59"/>
  <c r="EQ97" i="59"/>
  <c r="ER97" i="59"/>
  <c r="ES97" i="59"/>
  <c r="ET97" i="59"/>
  <c r="EU97" i="59"/>
  <c r="EV97" i="59"/>
  <c r="EW97" i="59"/>
  <c r="EX97" i="59"/>
  <c r="EY97" i="59"/>
  <c r="EZ97" i="59"/>
  <c r="FA97" i="59"/>
  <c r="FB97" i="59"/>
  <c r="FC97" i="59"/>
  <c r="FD97" i="59"/>
  <c r="FE97" i="59"/>
  <c r="FF97" i="59"/>
  <c r="FG97" i="59"/>
  <c r="FH97" i="59"/>
  <c r="FI97" i="59"/>
  <c r="FJ97" i="59"/>
  <c r="FK97" i="59"/>
  <c r="FL97" i="59"/>
  <c r="FM97" i="59"/>
  <c r="FN97" i="59"/>
  <c r="FO97" i="59"/>
  <c r="FP97" i="59"/>
  <c r="FQ97" i="59"/>
  <c r="FR97" i="59"/>
  <c r="FS97" i="59"/>
  <c r="FT97" i="59"/>
  <c r="FU97" i="59"/>
  <c r="FV97" i="59"/>
  <c r="FW97" i="59"/>
  <c r="FX97" i="59"/>
  <c r="FY97" i="59"/>
  <c r="FZ97" i="59"/>
  <c r="GA97" i="59"/>
  <c r="GB97" i="59"/>
  <c r="GC97" i="59"/>
  <c r="GD97" i="59"/>
  <c r="GE97" i="59"/>
  <c r="GF97" i="59"/>
  <c r="GG97" i="59"/>
  <c r="GJ97" i="59"/>
  <c r="GK97" i="59"/>
  <c r="GO97" i="59"/>
  <c r="GQ97" i="59"/>
  <c r="GR97" i="59"/>
  <c r="GS97" i="59"/>
  <c r="GT97" i="59"/>
  <c r="GU97" i="59"/>
  <c r="GV97" i="59"/>
  <c r="GW97" i="59"/>
  <c r="GX97" i="59"/>
  <c r="GY97" i="59"/>
  <c r="GZ97" i="59"/>
  <c r="HA97" i="59"/>
  <c r="HB97" i="59"/>
  <c r="HC97" i="59"/>
  <c r="HD97" i="59"/>
  <c r="HE97" i="59"/>
  <c r="HF97" i="59"/>
  <c r="HK97" i="59"/>
  <c r="HL97" i="59"/>
  <c r="HM97" i="59"/>
  <c r="HN97" i="59"/>
  <c r="HO97" i="59"/>
  <c r="HP97" i="59"/>
  <c r="HQ97" i="59"/>
  <c r="HR97" i="59"/>
  <c r="HS97" i="59"/>
  <c r="HT97" i="59"/>
  <c r="HU97" i="59"/>
  <c r="HV97" i="59"/>
  <c r="HW97" i="59"/>
  <c r="HX97" i="59"/>
  <c r="HY97" i="59"/>
  <c r="HZ97" i="59"/>
  <c r="IA97" i="59"/>
  <c r="IB97" i="59"/>
  <c r="IC97" i="59"/>
  <c r="ID97" i="59"/>
  <c r="IE97" i="59"/>
  <c r="IF97" i="59"/>
  <c r="IG97" i="59"/>
  <c r="IH97" i="59"/>
  <c r="II97" i="59"/>
  <c r="IK97" i="59"/>
  <c r="IL97" i="59"/>
  <c r="IM97" i="59"/>
  <c r="IN97" i="59"/>
  <c r="IO97" i="59"/>
  <c r="IP97" i="59"/>
  <c r="IQ97" i="59"/>
  <c r="IR97" i="59"/>
  <c r="IS97" i="59"/>
  <c r="IT97" i="59"/>
  <c r="IU97" i="59"/>
  <c r="IV97" i="59"/>
  <c r="F98" i="59"/>
  <c r="G98" i="59"/>
  <c r="H98" i="59"/>
  <c r="I98" i="59"/>
  <c r="J98" i="59"/>
  <c r="K98" i="59"/>
  <c r="L98" i="59"/>
  <c r="M98" i="59"/>
  <c r="N98" i="59"/>
  <c r="O98" i="59"/>
  <c r="P98" i="59"/>
  <c r="Q98" i="59"/>
  <c r="R98" i="59"/>
  <c r="S98" i="59"/>
  <c r="T98" i="59"/>
  <c r="U98" i="59"/>
  <c r="V98" i="59"/>
  <c r="W98" i="59"/>
  <c r="X98" i="59"/>
  <c r="Y98" i="59"/>
  <c r="Z98" i="59"/>
  <c r="AA98" i="59"/>
  <c r="AB98" i="59"/>
  <c r="AC98" i="59"/>
  <c r="AD98" i="59"/>
  <c r="AE98" i="59"/>
  <c r="AF98" i="59"/>
  <c r="AG98" i="59"/>
  <c r="AH98" i="59"/>
  <c r="AI98" i="59"/>
  <c r="AJ98" i="59"/>
  <c r="AK98" i="59"/>
  <c r="AL98" i="59"/>
  <c r="AM98" i="59"/>
  <c r="AN98" i="59"/>
  <c r="AO98" i="59"/>
  <c r="AP98" i="59"/>
  <c r="AQ98" i="59"/>
  <c r="AR98" i="59"/>
  <c r="AS98" i="59"/>
  <c r="AT98" i="59"/>
  <c r="AU98" i="59"/>
  <c r="AV98" i="59"/>
  <c r="AW98" i="59"/>
  <c r="AX98" i="59"/>
  <c r="AY98" i="59"/>
  <c r="AZ98" i="59"/>
  <c r="BA98" i="59"/>
  <c r="BB98" i="59"/>
  <c r="BC98" i="59"/>
  <c r="BD98" i="59"/>
  <c r="BE98" i="59"/>
  <c r="BF98" i="59"/>
  <c r="BI98" i="59"/>
  <c r="BJ98" i="59"/>
  <c r="BN98" i="59"/>
  <c r="BP98" i="59"/>
  <c r="BQ98" i="59"/>
  <c r="BR98" i="59"/>
  <c r="BS98" i="59"/>
  <c r="BT98" i="59"/>
  <c r="BU98" i="59"/>
  <c r="BV98" i="59"/>
  <c r="BW98" i="59"/>
  <c r="BX98" i="59"/>
  <c r="BY98" i="59"/>
  <c r="BZ98" i="59"/>
  <c r="CA98" i="59"/>
  <c r="CB98" i="59"/>
  <c r="CC98" i="59"/>
  <c r="CD98" i="59"/>
  <c r="CE98" i="59"/>
  <c r="CJ98" i="59"/>
  <c r="CK98" i="59"/>
  <c r="CL98" i="59"/>
  <c r="CM98" i="59"/>
  <c r="CN98" i="59"/>
  <c r="CO98" i="59"/>
  <c r="CP98" i="59"/>
  <c r="CQ98" i="59"/>
  <c r="CR98" i="59"/>
  <c r="CS98" i="59"/>
  <c r="CT98" i="59"/>
  <c r="CU98" i="59"/>
  <c r="CV98" i="59"/>
  <c r="CW98" i="59"/>
  <c r="CX98" i="59"/>
  <c r="CY98" i="59"/>
  <c r="CZ98" i="59"/>
  <c r="DA98" i="59"/>
  <c r="DB98" i="59"/>
  <c r="DC98" i="59"/>
  <c r="DD98" i="59"/>
  <c r="DE98" i="59"/>
  <c r="DF98" i="59"/>
  <c r="DG98" i="59"/>
  <c r="DH98" i="59"/>
  <c r="DJ98" i="59"/>
  <c r="DK98" i="59"/>
  <c r="DL98" i="59"/>
  <c r="DM98" i="59"/>
  <c r="DN98" i="59"/>
  <c r="DO98" i="59"/>
  <c r="DP98" i="59"/>
  <c r="DQ98" i="59"/>
  <c r="DR98" i="59"/>
  <c r="DS98" i="59"/>
  <c r="DT98" i="59"/>
  <c r="DU98" i="59"/>
  <c r="DV98" i="59"/>
  <c r="DW98" i="59"/>
  <c r="DX98" i="59"/>
  <c r="DY98" i="59"/>
  <c r="DZ98" i="59"/>
  <c r="EA98" i="59"/>
  <c r="EB98" i="59"/>
  <c r="EC98" i="59"/>
  <c r="ED98" i="59"/>
  <c r="EE98" i="59"/>
  <c r="EF98" i="59"/>
  <c r="EG98" i="59"/>
  <c r="EH98" i="59"/>
  <c r="EI98" i="59"/>
  <c r="EJ98" i="59"/>
  <c r="EK98" i="59"/>
  <c r="EL98" i="59"/>
  <c r="EM98" i="59"/>
  <c r="EN98" i="59"/>
  <c r="EO98" i="59"/>
  <c r="EP98" i="59"/>
  <c r="EQ98" i="59"/>
  <c r="ER98" i="59"/>
  <c r="ES98" i="59"/>
  <c r="ET98" i="59"/>
  <c r="EU98" i="59"/>
  <c r="EV98" i="59"/>
  <c r="EW98" i="59"/>
  <c r="EX98" i="59"/>
  <c r="EY98" i="59"/>
  <c r="EZ98" i="59"/>
  <c r="FA98" i="59"/>
  <c r="FB98" i="59"/>
  <c r="FC98" i="59"/>
  <c r="FD98" i="59"/>
  <c r="FE98" i="59"/>
  <c r="FF98" i="59"/>
  <c r="FG98" i="59"/>
  <c r="FH98" i="59"/>
  <c r="FI98" i="59"/>
  <c r="FJ98" i="59"/>
  <c r="FK98" i="59"/>
  <c r="FL98" i="59"/>
  <c r="FM98" i="59"/>
  <c r="FN98" i="59"/>
  <c r="FO98" i="59"/>
  <c r="FP98" i="59"/>
  <c r="FQ98" i="59"/>
  <c r="FR98" i="59"/>
  <c r="FS98" i="59"/>
  <c r="FT98" i="59"/>
  <c r="FU98" i="59"/>
  <c r="FV98" i="59"/>
  <c r="FY98" i="59"/>
  <c r="FZ98" i="59"/>
  <c r="GD98" i="59"/>
  <c r="GF98" i="59"/>
  <c r="GG98" i="59"/>
  <c r="GH98" i="59"/>
  <c r="GI98" i="59"/>
  <c r="GJ98" i="59"/>
  <c r="GK98" i="59"/>
  <c r="GL98" i="59"/>
  <c r="GM98" i="59"/>
  <c r="GN98" i="59"/>
  <c r="GO98" i="59"/>
  <c r="GP98" i="59"/>
  <c r="GQ98" i="59"/>
  <c r="GR98" i="59"/>
  <c r="GS98" i="59"/>
  <c r="GT98" i="59"/>
  <c r="GU98" i="59"/>
  <c r="GZ98" i="59"/>
  <c r="HA98" i="59"/>
  <c r="HB98" i="59"/>
  <c r="HC98" i="59"/>
  <c r="HD98" i="59"/>
  <c r="HE98" i="59"/>
  <c r="HF98" i="59"/>
  <c r="HG98" i="59"/>
  <c r="HH98" i="59"/>
  <c r="HI98" i="59"/>
  <c r="HJ98" i="59"/>
  <c r="HK98" i="59"/>
  <c r="HL98" i="59"/>
  <c r="HM98" i="59"/>
  <c r="HN98" i="59"/>
  <c r="HO98" i="59"/>
  <c r="HP98" i="59"/>
  <c r="HQ98" i="59"/>
  <c r="HR98" i="59"/>
  <c r="HS98" i="59"/>
  <c r="HT98" i="59"/>
  <c r="HU98" i="59"/>
  <c r="HV98" i="59"/>
  <c r="HW98" i="59"/>
  <c r="HX98" i="59"/>
  <c r="HZ98" i="59"/>
  <c r="IA98" i="59"/>
  <c r="IB98" i="59"/>
  <c r="IC98" i="59"/>
  <c r="ID98" i="59"/>
  <c r="IE98" i="59"/>
  <c r="IF98" i="59"/>
  <c r="IG98" i="59"/>
  <c r="IH98" i="59"/>
  <c r="II98" i="59"/>
  <c r="IJ98" i="59"/>
  <c r="IK98" i="59"/>
  <c r="IL98" i="59"/>
  <c r="IM98" i="59"/>
  <c r="IN98" i="59"/>
  <c r="IO98" i="59"/>
  <c r="IP98" i="59"/>
  <c r="IQ98" i="59"/>
  <c r="IR98" i="59"/>
  <c r="IS98" i="59"/>
  <c r="IT98" i="59"/>
  <c r="IU98" i="59"/>
  <c r="IV98" i="59"/>
  <c r="F99" i="59"/>
  <c r="G99" i="59"/>
  <c r="H99" i="59"/>
  <c r="I99" i="59"/>
  <c r="J99" i="59"/>
  <c r="K99" i="59"/>
  <c r="L99" i="59"/>
  <c r="M99" i="59"/>
  <c r="N99" i="59"/>
  <c r="O99" i="59"/>
  <c r="P99" i="59"/>
  <c r="Q99" i="59"/>
  <c r="R99" i="59"/>
  <c r="S99" i="59"/>
  <c r="T99" i="59"/>
  <c r="U99" i="59"/>
  <c r="V99" i="59"/>
  <c r="W99" i="59"/>
  <c r="X99" i="59"/>
  <c r="Y99" i="59"/>
  <c r="Z99" i="59"/>
  <c r="AA99" i="59"/>
  <c r="AB99" i="59"/>
  <c r="AC99" i="59"/>
  <c r="AD99" i="59"/>
  <c r="AE99" i="59"/>
  <c r="AF99" i="59"/>
  <c r="AG99" i="59"/>
  <c r="AH99" i="59"/>
  <c r="AI99" i="59"/>
  <c r="AJ99" i="59"/>
  <c r="AK99" i="59"/>
  <c r="AL99" i="59"/>
  <c r="AM99" i="59"/>
  <c r="AN99" i="59"/>
  <c r="AO99" i="59"/>
  <c r="AP99" i="59"/>
  <c r="AQ99" i="59"/>
  <c r="AR99" i="59"/>
  <c r="AS99" i="59"/>
  <c r="AT99" i="59"/>
  <c r="AU99" i="59"/>
  <c r="AV99" i="59"/>
  <c r="AY99" i="59"/>
  <c r="AZ99" i="59"/>
  <c r="BD99" i="59"/>
  <c r="BF99" i="59"/>
  <c r="BG99" i="59"/>
  <c r="BH99" i="59"/>
  <c r="BI99" i="59"/>
  <c r="BJ99" i="59"/>
  <c r="BK99" i="59"/>
  <c r="BL99" i="59"/>
  <c r="BM99" i="59"/>
  <c r="BN99" i="59"/>
  <c r="BO99" i="59"/>
  <c r="BP99" i="59"/>
  <c r="BQ99" i="59"/>
  <c r="BR99" i="59"/>
  <c r="BS99" i="59"/>
  <c r="BT99" i="59"/>
  <c r="BU99" i="59"/>
  <c r="BZ99" i="59"/>
  <c r="CA99" i="59"/>
  <c r="CB99" i="59"/>
  <c r="CC99" i="59"/>
  <c r="CD99" i="59"/>
  <c r="CE99" i="59"/>
  <c r="CF99" i="59"/>
  <c r="CG99" i="59"/>
  <c r="CH99" i="59"/>
  <c r="CI99" i="59"/>
  <c r="CJ99" i="59"/>
  <c r="CK99" i="59"/>
  <c r="CL99" i="59"/>
  <c r="CM99" i="59"/>
  <c r="CN99" i="59"/>
  <c r="CO99" i="59"/>
  <c r="CP99" i="59"/>
  <c r="CQ99" i="59"/>
  <c r="CR99" i="59"/>
  <c r="CS99" i="59"/>
  <c r="CT99" i="59"/>
  <c r="CU99" i="59"/>
  <c r="CV99" i="59"/>
  <c r="CW99" i="59"/>
  <c r="CX99" i="59"/>
  <c r="CZ99" i="59"/>
  <c r="DA99" i="59"/>
  <c r="DB99" i="59"/>
  <c r="DC99" i="59"/>
  <c r="DD99" i="59"/>
  <c r="DE99" i="59"/>
  <c r="DF99" i="59"/>
  <c r="DG99" i="59"/>
  <c r="DH99" i="59"/>
  <c r="DI99" i="59"/>
  <c r="DJ99" i="59"/>
  <c r="DK99" i="59"/>
  <c r="DL99" i="59"/>
  <c r="DM99" i="59"/>
  <c r="DN99" i="59"/>
  <c r="DO99" i="59"/>
  <c r="DP99" i="59"/>
  <c r="DQ99" i="59"/>
  <c r="DR99" i="59"/>
  <c r="DS99" i="59"/>
  <c r="DT99" i="59"/>
  <c r="DU99" i="59"/>
  <c r="DV99" i="59"/>
  <c r="DW99" i="59"/>
  <c r="DX99" i="59"/>
  <c r="DY99" i="59"/>
  <c r="DZ99" i="59"/>
  <c r="EA99" i="59"/>
  <c r="EB99" i="59"/>
  <c r="EC99" i="59"/>
  <c r="ED99" i="59"/>
  <c r="EE99" i="59"/>
  <c r="EF99" i="59"/>
  <c r="EG99" i="59"/>
  <c r="EH99" i="59"/>
  <c r="EI99" i="59"/>
  <c r="EJ99" i="59"/>
  <c r="EK99" i="59"/>
  <c r="EL99" i="59"/>
  <c r="EM99" i="59"/>
  <c r="EN99" i="59"/>
  <c r="EO99" i="59"/>
  <c r="EP99" i="59"/>
  <c r="EQ99" i="59"/>
  <c r="ER99" i="59"/>
  <c r="ES99" i="59"/>
  <c r="ET99" i="59"/>
  <c r="EU99" i="59"/>
  <c r="EV99" i="59"/>
  <c r="EW99" i="59"/>
  <c r="EX99" i="59"/>
  <c r="EY99" i="59"/>
  <c r="EZ99" i="59"/>
  <c r="FA99" i="59"/>
  <c r="FB99" i="59"/>
  <c r="FC99" i="59"/>
  <c r="FD99" i="59"/>
  <c r="FE99" i="59"/>
  <c r="FF99" i="59"/>
  <c r="FG99" i="59"/>
  <c r="FH99" i="59"/>
  <c r="FI99" i="59"/>
  <c r="FJ99" i="59"/>
  <c r="FK99" i="59"/>
  <c r="FL99" i="59"/>
  <c r="FO99" i="59"/>
  <c r="FP99" i="59"/>
  <c r="FT99" i="59"/>
  <c r="FV99" i="59"/>
  <c r="FW99" i="59"/>
  <c r="FX99" i="59"/>
  <c r="FY99" i="59"/>
  <c r="FZ99" i="59"/>
  <c r="GA99" i="59"/>
  <c r="GB99" i="59"/>
  <c r="GC99" i="59"/>
  <c r="GD99" i="59"/>
  <c r="GE99" i="59"/>
  <c r="GF99" i="59"/>
  <c r="GG99" i="59"/>
  <c r="GH99" i="59"/>
  <c r="GI99" i="59"/>
  <c r="GJ99" i="59"/>
  <c r="GK99" i="59"/>
  <c r="GP99" i="59"/>
  <c r="GQ99" i="59"/>
  <c r="GR99" i="59"/>
  <c r="GS99" i="59"/>
  <c r="GT99" i="59"/>
  <c r="GU99" i="59"/>
  <c r="GV99" i="59"/>
  <c r="GW99" i="59"/>
  <c r="GX99" i="59"/>
  <c r="GY99" i="59"/>
  <c r="GZ99" i="59"/>
  <c r="HA99" i="59"/>
  <c r="HB99" i="59"/>
  <c r="HC99" i="59"/>
  <c r="HD99" i="59"/>
  <c r="HE99" i="59"/>
  <c r="HF99" i="59"/>
  <c r="HG99" i="59"/>
  <c r="HH99" i="59"/>
  <c r="HI99" i="59"/>
  <c r="HJ99" i="59"/>
  <c r="HK99" i="59"/>
  <c r="HL99" i="59"/>
  <c r="HM99" i="59"/>
  <c r="HN99" i="59"/>
  <c r="HP99" i="59"/>
  <c r="HQ99" i="59"/>
  <c r="HR99" i="59"/>
  <c r="HS99" i="59"/>
  <c r="HT99" i="59"/>
  <c r="HU99" i="59"/>
  <c r="HV99" i="59"/>
  <c r="HW99" i="59"/>
  <c r="HX99" i="59"/>
  <c r="HY99" i="59"/>
  <c r="HZ99" i="59"/>
  <c r="IA99" i="59"/>
  <c r="IB99" i="59"/>
  <c r="IC99" i="59"/>
  <c r="ID99" i="59"/>
  <c r="IE99" i="59"/>
  <c r="IF99" i="59"/>
  <c r="IG99" i="59"/>
  <c r="IH99" i="59"/>
  <c r="II99" i="59"/>
  <c r="IJ99" i="59"/>
  <c r="IK99" i="59"/>
  <c r="IL99" i="59"/>
  <c r="IM99" i="59"/>
  <c r="IN99" i="59"/>
  <c r="IO99" i="59"/>
  <c r="IP99" i="59"/>
  <c r="IQ99" i="59"/>
  <c r="IR99" i="59"/>
  <c r="IS99" i="59"/>
  <c r="IT99" i="59"/>
  <c r="IU99" i="59"/>
  <c r="IV99" i="59"/>
  <c r="F100" i="59"/>
  <c r="G100" i="59"/>
  <c r="H100" i="59"/>
  <c r="I100" i="59"/>
  <c r="J100" i="59"/>
  <c r="K100" i="59"/>
  <c r="L100" i="59"/>
  <c r="M100" i="59"/>
  <c r="N100" i="59"/>
  <c r="O100" i="59"/>
  <c r="P100" i="59"/>
  <c r="Q100" i="59"/>
  <c r="R100" i="59"/>
  <c r="S100" i="59"/>
  <c r="T100" i="59"/>
  <c r="U100" i="59"/>
  <c r="V100" i="59"/>
  <c r="W100" i="59"/>
  <c r="X100" i="59"/>
  <c r="Y100" i="59"/>
  <c r="Z100" i="59"/>
  <c r="AA100" i="59"/>
  <c r="AB100" i="59"/>
  <c r="AC100" i="59"/>
  <c r="AD100" i="59"/>
  <c r="AE100" i="59"/>
  <c r="AF100" i="59"/>
  <c r="AG100" i="59"/>
  <c r="AH100" i="59"/>
  <c r="AI100" i="59"/>
  <c r="AJ100" i="59"/>
  <c r="AK100" i="59"/>
  <c r="AN100" i="59"/>
  <c r="AO100" i="59"/>
  <c r="AS100" i="59"/>
  <c r="AU100" i="59"/>
  <c r="AV100" i="59"/>
  <c r="AW100" i="59"/>
  <c r="AX100" i="59"/>
  <c r="AY100" i="59"/>
  <c r="AZ100" i="59"/>
  <c r="BA100" i="59"/>
  <c r="BB100" i="59"/>
  <c r="BC100" i="59"/>
  <c r="BD100" i="59"/>
  <c r="BE100" i="59"/>
  <c r="BF100" i="59"/>
  <c r="BG100" i="59"/>
  <c r="BH100" i="59"/>
  <c r="BI100" i="59"/>
  <c r="BJ100" i="59"/>
  <c r="BO100" i="59"/>
  <c r="BP100" i="59"/>
  <c r="BQ100" i="59"/>
  <c r="BR100" i="59"/>
  <c r="BS100" i="59"/>
  <c r="BT100" i="59"/>
  <c r="BU100" i="59"/>
  <c r="BV100" i="59"/>
  <c r="BW100" i="59"/>
  <c r="BX100" i="59"/>
  <c r="BY100" i="59"/>
  <c r="BZ100" i="59"/>
  <c r="CA100" i="59"/>
  <c r="CB100" i="59"/>
  <c r="CC100" i="59"/>
  <c r="CD100" i="59"/>
  <c r="CE100" i="59"/>
  <c r="CF100" i="59"/>
  <c r="CG100" i="59"/>
  <c r="CH100" i="59"/>
  <c r="CI100" i="59"/>
  <c r="CJ100" i="59"/>
  <c r="CK100" i="59"/>
  <c r="CL100" i="59"/>
  <c r="CM100" i="59"/>
  <c r="CO100" i="59"/>
  <c r="CP100" i="59"/>
  <c r="CQ100" i="59"/>
  <c r="CR100" i="59"/>
  <c r="CS100" i="59"/>
  <c r="CT100" i="59"/>
  <c r="CU100" i="59"/>
  <c r="CV100" i="59"/>
  <c r="CW100" i="59"/>
  <c r="CX100" i="59"/>
  <c r="CY100" i="59"/>
  <c r="CZ100" i="59"/>
  <c r="DA100" i="59"/>
  <c r="DB100" i="59"/>
  <c r="DC100" i="59"/>
  <c r="DD100" i="59"/>
  <c r="DE100" i="59"/>
  <c r="DF100" i="59"/>
  <c r="DG100" i="59"/>
  <c r="DH100" i="59"/>
  <c r="DI100" i="59"/>
  <c r="DJ100" i="59"/>
  <c r="DK100" i="59"/>
  <c r="DL100" i="59"/>
  <c r="DM100" i="59"/>
  <c r="DN100" i="59"/>
  <c r="DO100" i="59"/>
  <c r="DP100" i="59"/>
  <c r="DQ100" i="59"/>
  <c r="DR100" i="59"/>
  <c r="DS100" i="59"/>
  <c r="DT100" i="59"/>
  <c r="DU100" i="59"/>
  <c r="DV100" i="59"/>
  <c r="DW100" i="59"/>
  <c r="DX100" i="59"/>
  <c r="DY100" i="59"/>
  <c r="DZ100" i="59"/>
  <c r="EA100" i="59"/>
  <c r="EB100" i="59"/>
  <c r="EC100" i="59"/>
  <c r="ED100" i="59"/>
  <c r="EE100" i="59"/>
  <c r="EF100" i="59"/>
  <c r="EG100" i="59"/>
  <c r="EH100" i="59"/>
  <c r="EI100" i="59"/>
  <c r="EJ100" i="59"/>
  <c r="EK100" i="59"/>
  <c r="EL100" i="59"/>
  <c r="EM100" i="59"/>
  <c r="EN100" i="59"/>
  <c r="EO100" i="59"/>
  <c r="EP100" i="59"/>
  <c r="EQ100" i="59"/>
  <c r="ER100" i="59"/>
  <c r="ES100" i="59"/>
  <c r="ET100" i="59"/>
  <c r="EU100" i="59"/>
  <c r="EV100" i="59"/>
  <c r="EW100" i="59"/>
  <c r="EX100" i="59"/>
  <c r="EY100" i="59"/>
  <c r="EZ100" i="59"/>
  <c r="FA100" i="59"/>
  <c r="FD100" i="59"/>
  <c r="FE100" i="59"/>
  <c r="FI100" i="59"/>
  <c r="FK100" i="59"/>
  <c r="FL100" i="59"/>
  <c r="FM100" i="59"/>
  <c r="FN100" i="59"/>
  <c r="FO100" i="59"/>
  <c r="FP100" i="59"/>
  <c r="FQ100" i="59"/>
  <c r="FR100" i="59"/>
  <c r="FS100" i="59"/>
  <c r="FT100" i="59"/>
  <c r="FU100" i="59"/>
  <c r="FV100" i="59"/>
  <c r="FW100" i="59"/>
  <c r="FX100" i="59"/>
  <c r="FY100" i="59"/>
  <c r="FZ100" i="59"/>
  <c r="GE100" i="59"/>
  <c r="GF100" i="59"/>
  <c r="GG100" i="59"/>
  <c r="GH100" i="59"/>
  <c r="GI100" i="59"/>
  <c r="GJ100" i="59"/>
  <c r="GK100" i="59"/>
  <c r="GL100" i="59"/>
  <c r="GM100" i="59"/>
  <c r="GN100" i="59"/>
  <c r="GO100" i="59"/>
  <c r="GP100" i="59"/>
  <c r="GQ100" i="59"/>
  <c r="GR100" i="59"/>
  <c r="GS100" i="59"/>
  <c r="GT100" i="59"/>
  <c r="GU100" i="59"/>
  <c r="GV100" i="59"/>
  <c r="GW100" i="59"/>
  <c r="GX100" i="59"/>
  <c r="GY100" i="59"/>
  <c r="GZ100" i="59"/>
  <c r="HA100" i="59"/>
  <c r="HB100" i="59"/>
  <c r="HC100" i="59"/>
  <c r="HE100" i="59"/>
  <c r="HF100" i="59"/>
  <c r="HG100" i="59"/>
  <c r="HH100" i="59"/>
  <c r="HI100" i="59"/>
  <c r="HJ100" i="59"/>
  <c r="HK100" i="59"/>
  <c r="HL100" i="59"/>
  <c r="HM100" i="59"/>
  <c r="HN100" i="59"/>
  <c r="HO100" i="59"/>
  <c r="HP100" i="59"/>
  <c r="HQ100" i="59"/>
  <c r="HR100" i="59"/>
  <c r="HS100" i="59"/>
  <c r="HT100" i="59"/>
  <c r="HU100" i="59"/>
  <c r="HV100" i="59"/>
  <c r="HW100" i="59"/>
  <c r="HX100" i="59"/>
  <c r="HY100" i="59"/>
  <c r="HZ100" i="59"/>
  <c r="IA100" i="59"/>
  <c r="IB100" i="59"/>
  <c r="IC100" i="59"/>
  <c r="ID100" i="59"/>
  <c r="IE100" i="59"/>
  <c r="IF100" i="59"/>
  <c r="IG100" i="59"/>
  <c r="IH100" i="59"/>
  <c r="II100" i="59"/>
  <c r="IJ100" i="59"/>
  <c r="IK100" i="59"/>
  <c r="IL100" i="59"/>
  <c r="IM100" i="59"/>
  <c r="IN100" i="59"/>
  <c r="IO100" i="59"/>
  <c r="IP100" i="59"/>
  <c r="IQ100" i="59"/>
  <c r="IR100" i="59"/>
  <c r="IS100" i="59"/>
  <c r="IT100" i="59"/>
  <c r="IU100" i="59"/>
  <c r="IV100" i="59"/>
  <c r="F101" i="59"/>
  <c r="G101" i="59"/>
  <c r="H101" i="59"/>
  <c r="I101" i="59"/>
  <c r="J101" i="59"/>
  <c r="K101" i="59"/>
  <c r="L101" i="59"/>
  <c r="M101" i="59"/>
  <c r="N101" i="59"/>
  <c r="O101" i="59"/>
  <c r="P101" i="59"/>
  <c r="Q101" i="59"/>
  <c r="R101" i="59"/>
  <c r="S101" i="59"/>
  <c r="T101" i="59"/>
  <c r="U101" i="59"/>
  <c r="V101" i="59"/>
  <c r="W101" i="59"/>
  <c r="X101" i="59"/>
  <c r="Y101" i="59"/>
  <c r="Z101" i="59"/>
  <c r="AC101" i="59"/>
  <c r="AD101" i="59"/>
  <c r="AH101" i="59"/>
  <c r="AJ101" i="59"/>
  <c r="AK101" i="59"/>
  <c r="AL101" i="59"/>
  <c r="AM101" i="59"/>
  <c r="AN101" i="59"/>
  <c r="AO101" i="59"/>
  <c r="AP101" i="59"/>
  <c r="AQ101" i="59"/>
  <c r="AR101" i="59"/>
  <c r="AS101" i="59"/>
  <c r="AT101" i="59"/>
  <c r="AU101" i="59"/>
  <c r="AV101" i="59"/>
  <c r="AW101" i="59"/>
  <c r="AX101" i="59"/>
  <c r="AY101" i="59"/>
  <c r="BD101" i="59"/>
  <c r="BE101" i="59"/>
  <c r="BF101" i="59"/>
  <c r="BG101" i="59"/>
  <c r="BH101" i="59"/>
  <c r="BI101" i="59"/>
  <c r="BJ101" i="59"/>
  <c r="BK101" i="59"/>
  <c r="BL101" i="59"/>
  <c r="BM101" i="59"/>
  <c r="BN101" i="59"/>
  <c r="BO101" i="59"/>
  <c r="BP101" i="59"/>
  <c r="BQ101" i="59"/>
  <c r="BR101" i="59"/>
  <c r="BS101" i="59"/>
  <c r="BT101" i="59"/>
  <c r="BU101" i="59"/>
  <c r="BV101" i="59"/>
  <c r="BW101" i="59"/>
  <c r="BX101" i="59"/>
  <c r="BY101" i="59"/>
  <c r="BZ101" i="59"/>
  <c r="CA101" i="59"/>
  <c r="CB101" i="59"/>
  <c r="CD101" i="59"/>
  <c r="CE101" i="59"/>
  <c r="CF101" i="59"/>
  <c r="CG101" i="59"/>
  <c r="CH101" i="59"/>
  <c r="CI101" i="59"/>
  <c r="CJ101" i="59"/>
  <c r="CK101" i="59"/>
  <c r="CL101" i="59"/>
  <c r="CM101" i="59"/>
  <c r="CN101" i="59"/>
  <c r="CO101" i="59"/>
  <c r="CP101" i="59"/>
  <c r="CQ101" i="59"/>
  <c r="CR101" i="59"/>
  <c r="CS101" i="59"/>
  <c r="CT101" i="59"/>
  <c r="CU101" i="59"/>
  <c r="CV101" i="59"/>
  <c r="CW101" i="59"/>
  <c r="CX101" i="59"/>
  <c r="CY101" i="59"/>
  <c r="CZ101" i="59"/>
  <c r="DA101" i="59"/>
  <c r="DB101" i="59"/>
  <c r="DC101" i="59"/>
  <c r="DD101" i="59"/>
  <c r="DE101" i="59"/>
  <c r="DF101" i="59"/>
  <c r="DG101" i="59"/>
  <c r="DH101" i="59"/>
  <c r="DI101" i="59"/>
  <c r="DJ101" i="59"/>
  <c r="DK101" i="59"/>
  <c r="DL101" i="59"/>
  <c r="DM101" i="59"/>
  <c r="DN101" i="59"/>
  <c r="DO101" i="59"/>
  <c r="DP101" i="59"/>
  <c r="DQ101" i="59"/>
  <c r="DR101" i="59"/>
  <c r="DS101" i="59"/>
  <c r="DT101" i="59"/>
  <c r="DU101" i="59"/>
  <c r="DV101" i="59"/>
  <c r="DW101" i="59"/>
  <c r="DX101" i="59"/>
  <c r="DY101" i="59"/>
  <c r="DZ101" i="59"/>
  <c r="EA101" i="59"/>
  <c r="EB101" i="59"/>
  <c r="EC101" i="59"/>
  <c r="ED101" i="59"/>
  <c r="EE101" i="59"/>
  <c r="EF101" i="59"/>
  <c r="EG101" i="59"/>
  <c r="EH101" i="59"/>
  <c r="EI101" i="59"/>
  <c r="EJ101" i="59"/>
  <c r="EK101" i="59"/>
  <c r="EL101" i="59"/>
  <c r="EM101" i="59"/>
  <c r="EN101" i="59"/>
  <c r="EO101" i="59"/>
  <c r="EP101" i="59"/>
  <c r="EQ101" i="59"/>
  <c r="ET101" i="59"/>
  <c r="EU101" i="59"/>
  <c r="EY101" i="59"/>
  <c r="FA101" i="59"/>
  <c r="FB101" i="59"/>
  <c r="FC101" i="59"/>
  <c r="FD101" i="59"/>
  <c r="FE101" i="59"/>
  <c r="FF101" i="59"/>
  <c r="FG101" i="59"/>
  <c r="FH101" i="59"/>
  <c r="FI101" i="59"/>
  <c r="FJ101" i="59"/>
  <c r="FK101" i="59"/>
  <c r="FL101" i="59"/>
  <c r="FM101" i="59"/>
  <c r="FN101" i="59"/>
  <c r="FO101" i="59"/>
  <c r="FP101" i="59"/>
  <c r="FU101" i="59"/>
  <c r="FV101" i="59"/>
  <c r="FW101" i="59"/>
  <c r="FX101" i="59"/>
  <c r="FY101" i="59"/>
  <c r="FZ101" i="59"/>
  <c r="GA101" i="59"/>
  <c r="GB101" i="59"/>
  <c r="GC101" i="59"/>
  <c r="GD101" i="59"/>
  <c r="GE101" i="59"/>
  <c r="GF101" i="59"/>
  <c r="GG101" i="59"/>
  <c r="GH101" i="59"/>
  <c r="GI101" i="59"/>
  <c r="GJ101" i="59"/>
  <c r="GK101" i="59"/>
  <c r="GL101" i="59"/>
  <c r="GM101" i="59"/>
  <c r="GN101" i="59"/>
  <c r="GO101" i="59"/>
  <c r="GP101" i="59"/>
  <c r="GQ101" i="59"/>
  <c r="GR101" i="59"/>
  <c r="GS101" i="59"/>
  <c r="GU101" i="59"/>
  <c r="GV101" i="59"/>
  <c r="GW101" i="59"/>
  <c r="GX101" i="59"/>
  <c r="GY101" i="59"/>
  <c r="GZ101" i="59"/>
  <c r="HA101" i="59"/>
  <c r="HB101" i="59"/>
  <c r="HC101" i="59"/>
  <c r="HD101" i="59"/>
  <c r="HE101" i="59"/>
  <c r="HF101" i="59"/>
  <c r="HG101" i="59"/>
  <c r="HH101" i="59"/>
  <c r="HI101" i="59"/>
  <c r="HJ101" i="59"/>
  <c r="HK101" i="59"/>
  <c r="HL101" i="59"/>
  <c r="HM101" i="59"/>
  <c r="HN101" i="59"/>
  <c r="HO101" i="59"/>
  <c r="HP101" i="59"/>
  <c r="HQ101" i="59"/>
  <c r="HR101" i="59"/>
  <c r="HS101" i="59"/>
  <c r="HT101" i="59"/>
  <c r="HU101" i="59"/>
  <c r="HV101" i="59"/>
  <c r="HW101" i="59"/>
  <c r="HX101" i="59"/>
  <c r="HY101" i="59"/>
  <c r="HZ101" i="59"/>
  <c r="IA101" i="59"/>
  <c r="IB101" i="59"/>
  <c r="IC101" i="59"/>
  <c r="ID101" i="59"/>
  <c r="IE101" i="59"/>
  <c r="IF101" i="59"/>
  <c r="IG101" i="59"/>
  <c r="IH101" i="59"/>
  <c r="II101" i="59"/>
  <c r="IJ101" i="59"/>
  <c r="IK101" i="59"/>
  <c r="IL101" i="59"/>
  <c r="IM101" i="59"/>
  <c r="IN101" i="59"/>
  <c r="IO101" i="59"/>
  <c r="IP101" i="59"/>
  <c r="IQ101" i="59"/>
  <c r="IR101" i="59"/>
  <c r="IS101" i="59"/>
  <c r="IT101" i="59"/>
  <c r="IU101" i="59"/>
  <c r="IV101" i="59"/>
  <c r="F102" i="59"/>
  <c r="G102" i="59"/>
  <c r="H102" i="59"/>
  <c r="I102" i="59"/>
  <c r="J102" i="59"/>
  <c r="K102" i="59"/>
  <c r="L102" i="59"/>
  <c r="M102" i="59"/>
  <c r="N102" i="59"/>
  <c r="O102" i="59"/>
  <c r="P102" i="59"/>
  <c r="S102" i="59"/>
  <c r="T102" i="59"/>
  <c r="X102" i="59"/>
  <c r="Z102" i="59"/>
  <c r="AA102" i="59"/>
  <c r="AB102" i="59"/>
  <c r="AC102" i="59"/>
  <c r="AD102" i="59"/>
  <c r="AE102" i="59"/>
  <c r="AF102" i="59"/>
  <c r="AG102" i="59"/>
  <c r="AH102" i="59"/>
  <c r="AI102" i="59"/>
  <c r="AJ102" i="59"/>
  <c r="AK102" i="59"/>
  <c r="AL102" i="59"/>
  <c r="AM102" i="59"/>
  <c r="AN102" i="59"/>
  <c r="AO102" i="59"/>
  <c r="AT102" i="59"/>
  <c r="AU102" i="59"/>
  <c r="AV102" i="59"/>
  <c r="AW102" i="59"/>
  <c r="AX102" i="59"/>
  <c r="AY102" i="59"/>
  <c r="AZ102" i="59"/>
  <c r="BA102" i="59"/>
  <c r="BB102" i="59"/>
  <c r="BC102" i="59"/>
  <c r="BD102" i="59"/>
  <c r="BE102" i="59"/>
  <c r="BF102" i="59"/>
  <c r="BG102" i="59"/>
  <c r="BH102" i="59"/>
  <c r="BI102" i="59"/>
  <c r="BJ102" i="59"/>
  <c r="BK102" i="59"/>
  <c r="BL102" i="59"/>
  <c r="BM102" i="59"/>
  <c r="BN102" i="59"/>
  <c r="BO102" i="59"/>
  <c r="BP102" i="59"/>
  <c r="BQ102" i="59"/>
  <c r="BR102" i="59"/>
  <c r="BT102" i="59"/>
  <c r="BU102" i="59"/>
  <c r="BV102" i="59"/>
  <c r="BW102" i="59"/>
  <c r="BX102" i="59"/>
  <c r="BY102" i="59"/>
  <c r="BZ102" i="59"/>
  <c r="CA102" i="59"/>
  <c r="CB102" i="59"/>
  <c r="CC102" i="59"/>
  <c r="CD102" i="59"/>
  <c r="CE102" i="59"/>
  <c r="CF102" i="59"/>
  <c r="CG102" i="59"/>
  <c r="CH102" i="59"/>
  <c r="CI102" i="59"/>
  <c r="CJ102" i="59"/>
  <c r="CK102" i="59"/>
  <c r="CL102" i="59"/>
  <c r="CM102" i="59"/>
  <c r="CN102" i="59"/>
  <c r="CO102" i="59"/>
  <c r="CP102" i="59"/>
  <c r="CQ102" i="59"/>
  <c r="CR102" i="59"/>
  <c r="CS102" i="59"/>
  <c r="CT102" i="59"/>
  <c r="CU102" i="59"/>
  <c r="CV102" i="59"/>
  <c r="CW102" i="59"/>
  <c r="CX102" i="59"/>
  <c r="CY102" i="59"/>
  <c r="CZ102" i="59"/>
  <c r="DA102" i="59"/>
  <c r="DB102" i="59"/>
  <c r="DC102" i="59"/>
  <c r="DD102" i="59"/>
  <c r="DE102" i="59"/>
  <c r="DF102" i="59"/>
  <c r="DG102" i="59"/>
  <c r="DH102" i="59"/>
  <c r="DI102" i="59"/>
  <c r="DJ102" i="59"/>
  <c r="DK102" i="59"/>
  <c r="DL102" i="59"/>
  <c r="DM102" i="59"/>
  <c r="DN102" i="59"/>
  <c r="DO102" i="59"/>
  <c r="DP102" i="59"/>
  <c r="DQ102" i="59"/>
  <c r="DR102" i="59"/>
  <c r="DS102" i="59"/>
  <c r="DT102" i="59"/>
  <c r="DU102" i="59"/>
  <c r="DV102" i="59"/>
  <c r="DW102" i="59"/>
  <c r="DX102" i="59"/>
  <c r="DY102" i="59"/>
  <c r="DZ102" i="59"/>
  <c r="EA102" i="59"/>
  <c r="EB102" i="59"/>
  <c r="EC102" i="59"/>
  <c r="ED102" i="59"/>
  <c r="EE102" i="59"/>
  <c r="EF102" i="59"/>
  <c r="EI102" i="59"/>
  <c r="EJ102" i="59"/>
  <c r="EN102" i="59"/>
  <c r="EP102" i="59"/>
  <c r="EQ102" i="59"/>
  <c r="ER102" i="59"/>
  <c r="ES102" i="59"/>
  <c r="ET102" i="59"/>
  <c r="EU102" i="59"/>
  <c r="EV102" i="59"/>
  <c r="EW102" i="59"/>
  <c r="EX102" i="59"/>
  <c r="EY102" i="59"/>
  <c r="EZ102" i="59"/>
  <c r="FA102" i="59"/>
  <c r="FB102" i="59"/>
  <c r="FC102" i="59"/>
  <c r="FD102" i="59"/>
  <c r="FE102" i="59"/>
  <c r="FJ102" i="59"/>
  <c r="FK102" i="59"/>
  <c r="FL102" i="59"/>
  <c r="FM102" i="59"/>
  <c r="FN102" i="59"/>
  <c r="FO102" i="59"/>
  <c r="FP102" i="59"/>
  <c r="FQ102" i="59"/>
  <c r="FR102" i="59"/>
  <c r="FS102" i="59"/>
  <c r="FT102" i="59"/>
  <c r="FU102" i="59"/>
  <c r="FV102" i="59"/>
  <c r="FW102" i="59"/>
  <c r="FX102" i="59"/>
  <c r="FY102" i="59"/>
  <c r="FZ102" i="59"/>
  <c r="GA102" i="59"/>
  <c r="GB102" i="59"/>
  <c r="GC102" i="59"/>
  <c r="GD102" i="59"/>
  <c r="GE102" i="59"/>
  <c r="GF102" i="59"/>
  <c r="GG102" i="59"/>
  <c r="GH102" i="59"/>
  <c r="GJ102" i="59"/>
  <c r="GK102" i="59"/>
  <c r="GL102" i="59"/>
  <c r="GM102" i="59"/>
  <c r="GN102" i="59"/>
  <c r="GO102" i="59"/>
  <c r="GP102" i="59"/>
  <c r="GQ102" i="59"/>
  <c r="GR102" i="59"/>
  <c r="GS102" i="59"/>
  <c r="GT102" i="59"/>
  <c r="GU102" i="59"/>
  <c r="GV102" i="59"/>
  <c r="GW102" i="59"/>
  <c r="GX102" i="59"/>
  <c r="GY102" i="59"/>
  <c r="GZ102" i="59"/>
  <c r="HA102" i="59"/>
  <c r="HB102" i="59"/>
  <c r="HC102" i="59"/>
  <c r="HD102" i="59"/>
  <c r="HE102" i="59"/>
  <c r="HF102" i="59"/>
  <c r="HG102" i="59"/>
  <c r="HH102" i="59"/>
  <c r="HI102" i="59"/>
  <c r="HJ102" i="59"/>
  <c r="HK102" i="59"/>
  <c r="HL102" i="59"/>
  <c r="HM102" i="59"/>
  <c r="HN102" i="59"/>
  <c r="HO102" i="59"/>
  <c r="HP102" i="59"/>
  <c r="HQ102" i="59"/>
  <c r="HR102" i="59"/>
  <c r="HS102" i="59"/>
  <c r="HT102" i="59"/>
  <c r="HU102" i="59"/>
  <c r="HV102" i="59"/>
  <c r="HW102" i="59"/>
  <c r="HX102" i="59"/>
  <c r="HY102" i="59"/>
  <c r="HZ102" i="59"/>
  <c r="IA102" i="59"/>
  <c r="IB102" i="59"/>
  <c r="IC102" i="59"/>
  <c r="ID102" i="59"/>
  <c r="IE102" i="59"/>
  <c r="IF102" i="59"/>
  <c r="IG102" i="59"/>
  <c r="IH102" i="59"/>
  <c r="II102" i="59"/>
  <c r="IJ102" i="59"/>
  <c r="IK102" i="59"/>
  <c r="IL102" i="59"/>
  <c r="IM102" i="59"/>
  <c r="IN102" i="59"/>
  <c r="IO102" i="59"/>
  <c r="IP102" i="59"/>
  <c r="IQ102" i="59"/>
  <c r="IR102" i="59"/>
  <c r="IS102" i="59"/>
  <c r="IT102" i="59"/>
  <c r="IV102" i="59"/>
  <c r="F103" i="59"/>
  <c r="G103" i="59"/>
  <c r="H103" i="59"/>
  <c r="BC103" i="59"/>
  <c r="BD103" i="59"/>
  <c r="BE103" i="59"/>
  <c r="BF103" i="59"/>
  <c r="BG103" i="59"/>
  <c r="BH103" i="59"/>
  <c r="BI103" i="59"/>
  <c r="BJ103" i="59"/>
  <c r="BK103" i="59"/>
  <c r="BL103" i="59"/>
  <c r="BM103" i="59"/>
  <c r="BN103" i="59"/>
  <c r="BO103" i="59"/>
  <c r="BP103" i="59"/>
  <c r="BQ103" i="59"/>
  <c r="BR103" i="59"/>
  <c r="BS103" i="59"/>
  <c r="BT103" i="59"/>
  <c r="BU103" i="59"/>
  <c r="BV103" i="59"/>
  <c r="BW103" i="59"/>
  <c r="BX103" i="59"/>
  <c r="BY103" i="59"/>
  <c r="BZ103" i="59"/>
  <c r="CA103" i="59"/>
  <c r="CB103" i="59"/>
  <c r="CC103" i="59"/>
  <c r="CD103" i="59"/>
  <c r="CE103" i="59"/>
  <c r="CF103" i="59"/>
  <c r="CG103" i="59"/>
  <c r="CH103" i="59"/>
  <c r="CI103" i="59"/>
  <c r="CJ103" i="59"/>
  <c r="CK103" i="59"/>
  <c r="CL103" i="59"/>
  <c r="CM103" i="59"/>
  <c r="CN103" i="59"/>
  <c r="CO103" i="59"/>
  <c r="CP103" i="59"/>
  <c r="CQ103" i="59"/>
  <c r="CR103" i="59"/>
  <c r="CS103" i="59"/>
  <c r="CT103" i="59"/>
  <c r="CU103" i="59"/>
  <c r="CV103" i="59"/>
  <c r="CW103" i="59"/>
  <c r="CX103" i="59"/>
  <c r="CY103" i="59"/>
  <c r="CZ103" i="59"/>
  <c r="DA103" i="59"/>
  <c r="DB103" i="59"/>
  <c r="DC103" i="59"/>
  <c r="DD103" i="59"/>
  <c r="DE103" i="59"/>
  <c r="DF103" i="59"/>
  <c r="DG103" i="59"/>
  <c r="DH103" i="59"/>
  <c r="DI103" i="59"/>
  <c r="DJ103" i="59"/>
  <c r="DK103" i="59"/>
  <c r="DL103" i="59"/>
  <c r="DM103" i="59"/>
  <c r="DN103" i="59"/>
  <c r="DO103" i="59"/>
  <c r="DP103" i="59"/>
  <c r="DQ103" i="59"/>
  <c r="DR103" i="59"/>
  <c r="DS103" i="59"/>
  <c r="DT103" i="59"/>
  <c r="DU103" i="59"/>
  <c r="DV103" i="59"/>
  <c r="DW103" i="59"/>
  <c r="DX103" i="59"/>
  <c r="DY103" i="59"/>
  <c r="DZ103" i="59"/>
  <c r="EA103" i="59"/>
  <c r="EB103" i="59"/>
  <c r="EC103" i="59"/>
  <c r="ED103" i="59"/>
  <c r="EE103" i="59"/>
  <c r="EF103" i="59"/>
  <c r="EG103" i="59"/>
  <c r="EH103" i="59"/>
  <c r="EI103" i="59"/>
  <c r="EJ103" i="59"/>
  <c r="EK103" i="59"/>
  <c r="EL103" i="59"/>
  <c r="EM103" i="59"/>
  <c r="EN103" i="59"/>
  <c r="EO103" i="59"/>
  <c r="EP103" i="59"/>
  <c r="EQ103" i="59"/>
  <c r="ER103" i="59"/>
  <c r="ES103" i="59"/>
  <c r="ET103" i="59"/>
  <c r="EU103" i="59"/>
  <c r="EV103" i="59"/>
  <c r="EW103" i="59"/>
  <c r="EX103" i="59"/>
  <c r="EY103" i="59"/>
  <c r="EZ103" i="59"/>
  <c r="FA103" i="59"/>
  <c r="FB103" i="59"/>
  <c r="FC103" i="59"/>
  <c r="FD103" i="59"/>
  <c r="FE103" i="59"/>
  <c r="FF103" i="59"/>
  <c r="FG103" i="59"/>
  <c r="FH103" i="59"/>
  <c r="FI103" i="59"/>
  <c r="FJ103" i="59"/>
  <c r="FK103" i="59"/>
  <c r="FL103" i="59"/>
  <c r="FM103" i="59"/>
  <c r="FN103" i="59"/>
  <c r="FO103" i="59"/>
  <c r="FP103" i="59"/>
  <c r="FQ103" i="59"/>
  <c r="FR103" i="59"/>
  <c r="FS103" i="59"/>
  <c r="FT103" i="59"/>
  <c r="FU103" i="59"/>
  <c r="FV103" i="59"/>
  <c r="FW103" i="59"/>
  <c r="FX103" i="59"/>
  <c r="FY103" i="59"/>
  <c r="FZ103" i="59"/>
  <c r="GA103" i="59"/>
  <c r="GB103" i="59"/>
  <c r="GC103" i="59"/>
  <c r="GD103" i="59"/>
  <c r="GE103" i="59"/>
  <c r="GF103" i="59"/>
  <c r="GG103" i="59"/>
  <c r="GH103" i="59"/>
  <c r="GI103" i="59"/>
  <c r="GJ103" i="59"/>
  <c r="GK103" i="59"/>
  <c r="GL103" i="59"/>
  <c r="GM103" i="59"/>
  <c r="GN103" i="59"/>
  <c r="GO103" i="59"/>
  <c r="GP103" i="59"/>
  <c r="GQ103" i="59"/>
  <c r="GR103" i="59"/>
  <c r="GS103" i="59"/>
  <c r="GT103" i="59"/>
  <c r="GU103" i="59"/>
  <c r="GV103" i="59"/>
  <c r="GW103" i="59"/>
  <c r="GX103" i="59"/>
  <c r="GY103" i="59"/>
  <c r="GZ103" i="59"/>
  <c r="HA103" i="59"/>
  <c r="HB103" i="59"/>
  <c r="HC103" i="59"/>
  <c r="HD103" i="59"/>
  <c r="HE103" i="59"/>
  <c r="HF103" i="59"/>
  <c r="HG103" i="59"/>
  <c r="HH103" i="59"/>
  <c r="HI103" i="59"/>
  <c r="HJ103" i="59"/>
  <c r="HK103" i="59"/>
  <c r="HL103" i="59"/>
  <c r="HM103" i="59"/>
  <c r="HN103" i="59"/>
  <c r="HO103" i="59"/>
  <c r="HP103" i="59"/>
  <c r="HQ103" i="59"/>
  <c r="HR103" i="59"/>
  <c r="HS103" i="59"/>
  <c r="HT103" i="59"/>
  <c r="HU103" i="59"/>
  <c r="HV103" i="59"/>
  <c r="HW103" i="59"/>
  <c r="HX103" i="59"/>
  <c r="HY103" i="59"/>
  <c r="HZ103" i="59"/>
  <c r="IA103" i="59"/>
  <c r="IB103" i="59"/>
  <c r="IC103" i="59"/>
  <c r="ID103" i="59"/>
  <c r="IE103" i="59"/>
  <c r="IF103" i="59"/>
  <c r="IG103" i="59"/>
  <c r="IH103" i="59"/>
  <c r="II103" i="59"/>
  <c r="IJ103" i="59"/>
  <c r="IK103" i="59"/>
  <c r="IL103" i="59"/>
  <c r="IM103" i="59"/>
  <c r="IN103" i="59"/>
  <c r="IO103" i="59"/>
  <c r="IP103" i="59"/>
  <c r="IQ103" i="59"/>
  <c r="IR103" i="59"/>
  <c r="IS103" i="59"/>
  <c r="IT103" i="59"/>
  <c r="IU103" i="59"/>
  <c r="IV103" i="59"/>
  <c r="I104" i="59"/>
  <c r="J104" i="59"/>
  <c r="K104" i="59"/>
  <c r="L104" i="59"/>
  <c r="M104" i="59"/>
  <c r="AT104" i="59"/>
  <c r="AU104" i="59"/>
  <c r="AV104" i="59"/>
  <c r="AY104" i="59"/>
  <c r="AZ104" i="59"/>
  <c r="BA104" i="59"/>
  <c r="BB104" i="59"/>
  <c r="BC104" i="59"/>
  <c r="BD104" i="59"/>
  <c r="BE104" i="59"/>
  <c r="BF104" i="59"/>
  <c r="BG104" i="59"/>
  <c r="BH104" i="59"/>
  <c r="BI104" i="59"/>
  <c r="BJ104" i="59"/>
  <c r="BK104" i="59"/>
  <c r="BL104" i="59"/>
  <c r="BM104" i="59"/>
  <c r="BN104" i="59"/>
  <c r="BO104" i="59"/>
  <c r="BP104" i="59"/>
  <c r="BQ104" i="59"/>
  <c r="BR104" i="59"/>
  <c r="BS104" i="59"/>
  <c r="BT104" i="59"/>
  <c r="BU104" i="59"/>
  <c r="BV104" i="59"/>
  <c r="BW104" i="59"/>
  <c r="BX104" i="59"/>
  <c r="BY104" i="59"/>
  <c r="BZ104" i="59"/>
  <c r="CA104" i="59"/>
  <c r="CB104" i="59"/>
  <c r="CC104" i="59"/>
  <c r="CD104" i="59"/>
  <c r="CE104" i="59"/>
  <c r="CF104" i="59"/>
  <c r="CG104" i="59"/>
  <c r="CH104" i="59"/>
  <c r="CI104" i="59"/>
  <c r="CJ104" i="59"/>
  <c r="CK104" i="59"/>
  <c r="CL104" i="59"/>
  <c r="CM104" i="59"/>
  <c r="CN104" i="59"/>
  <c r="CO104" i="59"/>
  <c r="CP104" i="59"/>
  <c r="CQ104" i="59"/>
  <c r="CR104" i="59"/>
  <c r="CS104" i="59"/>
  <c r="CT104" i="59"/>
  <c r="CU104" i="59"/>
  <c r="CV104" i="59"/>
  <c r="CW104" i="59"/>
  <c r="CX104" i="59"/>
  <c r="CY104" i="59"/>
  <c r="CZ104" i="59"/>
  <c r="DA104" i="59"/>
  <c r="DB104" i="59"/>
  <c r="DC104" i="59"/>
  <c r="DD104" i="59"/>
  <c r="DE104" i="59"/>
  <c r="DF104" i="59"/>
  <c r="DG104" i="59"/>
  <c r="DH104" i="59"/>
  <c r="DI104" i="59"/>
  <c r="DJ104" i="59"/>
  <c r="DK104" i="59"/>
  <c r="DL104" i="59"/>
  <c r="DM104" i="59"/>
  <c r="DN104" i="59"/>
  <c r="DO104" i="59"/>
  <c r="DP104" i="59"/>
  <c r="DQ104" i="59"/>
  <c r="DR104" i="59"/>
  <c r="DS104" i="59"/>
  <c r="DT104" i="59"/>
  <c r="DU104" i="59"/>
  <c r="DV104" i="59"/>
  <c r="DW104" i="59"/>
  <c r="DX104" i="59"/>
  <c r="DY104" i="59"/>
  <c r="DZ104" i="59"/>
  <c r="EA104" i="59"/>
  <c r="EB104" i="59"/>
  <c r="EC104" i="59"/>
  <c r="ED104" i="59"/>
  <c r="EE104" i="59"/>
  <c r="EF104" i="59"/>
  <c r="EG104" i="59"/>
  <c r="EH104" i="59"/>
  <c r="EI104" i="59"/>
  <c r="EJ104" i="59"/>
  <c r="EK104" i="59"/>
  <c r="EL104" i="59"/>
  <c r="EM104" i="59"/>
  <c r="EN104" i="59"/>
  <c r="EO104" i="59"/>
  <c r="EP104" i="59"/>
  <c r="EQ104" i="59"/>
  <c r="ER104" i="59"/>
  <c r="ES104" i="59"/>
  <c r="ET104" i="59"/>
  <c r="EU104" i="59"/>
  <c r="EV104" i="59"/>
  <c r="EW104" i="59"/>
  <c r="EX104" i="59"/>
  <c r="EY104" i="59"/>
  <c r="EZ104" i="59"/>
  <c r="FA104" i="59"/>
  <c r="FB104" i="59"/>
  <c r="FC104" i="59"/>
  <c r="FD104" i="59"/>
  <c r="FE104" i="59"/>
  <c r="FF104" i="59"/>
  <c r="FG104" i="59"/>
  <c r="FH104" i="59"/>
  <c r="FI104" i="59"/>
  <c r="FJ104" i="59"/>
  <c r="FK104" i="59"/>
  <c r="FL104" i="59"/>
  <c r="FM104" i="59"/>
  <c r="FN104" i="59"/>
  <c r="FO104" i="59"/>
  <c r="FP104" i="59"/>
  <c r="FQ104" i="59"/>
  <c r="FR104" i="59"/>
  <c r="FS104" i="59"/>
  <c r="FT104" i="59"/>
  <c r="FU104" i="59"/>
  <c r="FV104" i="59"/>
  <c r="FW104" i="59"/>
  <c r="FX104" i="59"/>
  <c r="FY104" i="59"/>
  <c r="FZ104" i="59"/>
  <c r="GA104" i="59"/>
  <c r="GB104" i="59"/>
  <c r="GC104" i="59"/>
  <c r="GD104" i="59"/>
  <c r="GE104" i="59"/>
  <c r="GF104" i="59"/>
  <c r="GG104" i="59"/>
  <c r="GH104" i="59"/>
  <c r="GI104" i="59"/>
  <c r="GJ104" i="59"/>
  <c r="GK104" i="59"/>
  <c r="GL104" i="59"/>
  <c r="GM104" i="59"/>
  <c r="GN104" i="59"/>
  <c r="GO104" i="59"/>
  <c r="GP104" i="59"/>
  <c r="GQ104" i="59"/>
  <c r="GR104" i="59"/>
  <c r="GS104" i="59"/>
  <c r="GT104" i="59"/>
  <c r="GU104" i="59"/>
  <c r="GV104" i="59"/>
  <c r="GW104" i="59"/>
  <c r="GX104" i="59"/>
  <c r="GY104" i="59"/>
  <c r="GZ104" i="59"/>
  <c r="HA104" i="59"/>
  <c r="HB104" i="59"/>
  <c r="HC104" i="59"/>
  <c r="HD104" i="59"/>
  <c r="HE104" i="59"/>
  <c r="HF104" i="59"/>
  <c r="HG104" i="59"/>
  <c r="HH104" i="59"/>
  <c r="HI104" i="59"/>
  <c r="HJ104" i="59"/>
  <c r="HK104" i="59"/>
  <c r="HL104" i="59"/>
  <c r="HM104" i="59"/>
  <c r="HN104" i="59"/>
  <c r="HO104" i="59"/>
  <c r="HP104" i="59"/>
  <c r="HQ104" i="59"/>
  <c r="HR104" i="59"/>
  <c r="HS104" i="59"/>
  <c r="HT104" i="59"/>
  <c r="HU104" i="59"/>
  <c r="HV104" i="59"/>
  <c r="HW104" i="59"/>
  <c r="HX104" i="59"/>
  <c r="HY104" i="59"/>
  <c r="HZ104" i="59"/>
  <c r="IA104" i="59"/>
  <c r="IB104" i="59"/>
  <c r="IC104" i="59"/>
  <c r="ID104" i="59"/>
  <c r="IE104" i="59"/>
  <c r="IF104" i="59"/>
  <c r="IG104" i="59"/>
  <c r="IH104" i="59"/>
  <c r="II104" i="59"/>
  <c r="IJ104" i="59"/>
  <c r="IK104" i="59"/>
  <c r="IL104" i="59"/>
  <c r="IM104" i="59"/>
  <c r="IN104" i="59"/>
  <c r="IO104" i="59"/>
  <c r="IP104" i="59"/>
  <c r="IQ104" i="59"/>
  <c r="IR104" i="59"/>
  <c r="IS104" i="59"/>
  <c r="IT104" i="59"/>
  <c r="IU104" i="59"/>
  <c r="IV104" i="59"/>
  <c r="F105" i="59"/>
  <c r="G105" i="59"/>
  <c r="H105" i="59"/>
  <c r="I105" i="59"/>
  <c r="J105" i="59"/>
  <c r="K105" i="59"/>
  <c r="L105" i="59"/>
  <c r="M105" i="59"/>
  <c r="N105" i="59"/>
  <c r="O105" i="59"/>
  <c r="P105" i="59"/>
  <c r="Q105" i="59"/>
  <c r="R105" i="59"/>
  <c r="S105" i="59"/>
  <c r="T105" i="59"/>
  <c r="U105" i="59"/>
  <c r="V105" i="59"/>
  <c r="W105" i="59"/>
  <c r="X105" i="59"/>
  <c r="Y105" i="59"/>
  <c r="Z105" i="59"/>
  <c r="AA105" i="59"/>
  <c r="AB105" i="59"/>
  <c r="AC105" i="59"/>
  <c r="AD105" i="59"/>
  <c r="AE105" i="59"/>
  <c r="AF105" i="59"/>
  <c r="AG105" i="59"/>
  <c r="AH105" i="59"/>
  <c r="AI105" i="59"/>
  <c r="AJ105" i="59"/>
  <c r="AK105" i="59"/>
  <c r="AL105" i="59"/>
  <c r="AM105" i="59"/>
  <c r="AN105" i="59"/>
  <c r="AO105" i="59"/>
  <c r="AP105" i="59"/>
  <c r="AQ105" i="59"/>
  <c r="AR105" i="59"/>
  <c r="AS105" i="59"/>
  <c r="AT105" i="59"/>
  <c r="AU105" i="59"/>
  <c r="AV105" i="59"/>
  <c r="AW105" i="59"/>
  <c r="AX105" i="59"/>
  <c r="AY105" i="59"/>
  <c r="AZ105" i="59"/>
  <c r="BA105" i="59"/>
  <c r="BB105" i="59"/>
  <c r="BC105" i="59"/>
  <c r="BD105" i="59"/>
  <c r="BE105" i="59"/>
  <c r="BF105" i="59"/>
  <c r="BG105" i="59"/>
  <c r="BH105" i="59"/>
  <c r="BI105" i="59"/>
  <c r="BJ105" i="59"/>
  <c r="BK105" i="59"/>
  <c r="BL105" i="59"/>
  <c r="BM105" i="59"/>
  <c r="BN105" i="59"/>
  <c r="BO105" i="59"/>
  <c r="BP105" i="59"/>
  <c r="BQ105" i="59"/>
  <c r="BR105" i="59"/>
  <c r="BS105" i="59"/>
  <c r="BT105" i="59"/>
  <c r="BU105" i="59"/>
  <c r="BV105" i="59"/>
  <c r="BW105" i="59"/>
  <c r="BX105" i="59"/>
  <c r="BY105" i="59"/>
  <c r="BZ105" i="59"/>
  <c r="CB105" i="59"/>
  <c r="CC105" i="59"/>
  <c r="CD105" i="59"/>
  <c r="CE105" i="59"/>
  <c r="CF105" i="59"/>
  <c r="CG105" i="59"/>
  <c r="CH105" i="59"/>
  <c r="CI105" i="59"/>
  <c r="CJ105" i="59"/>
  <c r="CK105" i="59"/>
  <c r="CL105" i="59"/>
  <c r="CM105" i="59"/>
  <c r="CN105" i="59"/>
  <c r="CO105" i="59"/>
  <c r="CP105" i="59"/>
  <c r="CQ105" i="59"/>
  <c r="CR105" i="59"/>
  <c r="CS105" i="59"/>
  <c r="CT105" i="59"/>
  <c r="CV105" i="59"/>
  <c r="CW105" i="59"/>
  <c r="CX105" i="59"/>
  <c r="CY105" i="59"/>
  <c r="CZ105" i="59"/>
  <c r="DA105" i="59"/>
  <c r="DB105" i="59"/>
  <c r="DC105" i="59"/>
  <c r="DD105" i="59"/>
  <c r="DE105" i="59"/>
  <c r="DF105" i="59"/>
  <c r="DG105" i="59"/>
  <c r="DH105" i="59"/>
  <c r="DI105" i="59"/>
  <c r="DJ105" i="59"/>
  <c r="DK105" i="59"/>
  <c r="DL105" i="59"/>
  <c r="DM105" i="59"/>
  <c r="DN105" i="59"/>
  <c r="DO105" i="59"/>
  <c r="DP105" i="59"/>
  <c r="DQ105" i="59"/>
  <c r="DR105" i="59"/>
  <c r="DS105" i="59"/>
  <c r="DT105" i="59"/>
  <c r="DU105" i="59"/>
  <c r="DV105" i="59"/>
  <c r="DW105" i="59"/>
  <c r="DX105" i="59"/>
  <c r="DY105" i="59"/>
  <c r="DZ105" i="59"/>
  <c r="EA105" i="59"/>
  <c r="EB105" i="59"/>
  <c r="EC105" i="59"/>
  <c r="ED105" i="59"/>
  <c r="EE105" i="59"/>
  <c r="EF105" i="59"/>
  <c r="EG105" i="59"/>
  <c r="EH105" i="59"/>
  <c r="EI105" i="59"/>
  <c r="EJ105" i="59"/>
  <c r="EK105" i="59"/>
  <c r="EL105" i="59"/>
  <c r="EM105" i="59"/>
  <c r="EN105" i="59"/>
  <c r="EO105" i="59"/>
  <c r="EP105" i="59"/>
  <c r="EQ105" i="59"/>
  <c r="ER105" i="59"/>
  <c r="ES105" i="59"/>
  <c r="ET105" i="59"/>
  <c r="EU105" i="59"/>
  <c r="EV105" i="59"/>
  <c r="EW105" i="59"/>
  <c r="EX105" i="59"/>
  <c r="EY105" i="59"/>
  <c r="EZ105" i="59"/>
  <c r="FA105" i="59"/>
  <c r="FB105" i="59"/>
  <c r="FC105" i="59"/>
  <c r="FD105" i="59"/>
  <c r="FE105" i="59"/>
  <c r="FF105" i="59"/>
  <c r="FG105" i="59"/>
  <c r="FH105" i="59"/>
  <c r="FI105" i="59"/>
  <c r="FJ105" i="59"/>
  <c r="FK105" i="59"/>
  <c r="FL105" i="59"/>
  <c r="FM105" i="59"/>
  <c r="FN105" i="59"/>
  <c r="FO105" i="59"/>
  <c r="FP105" i="59"/>
  <c r="FQ105" i="59"/>
  <c r="FR105" i="59"/>
  <c r="FS105" i="59"/>
  <c r="FT105" i="59"/>
  <c r="FU105" i="59"/>
  <c r="FV105" i="59"/>
  <c r="FW105" i="59"/>
  <c r="FX105" i="59"/>
  <c r="FY105" i="59"/>
  <c r="FZ105" i="59"/>
  <c r="GA105" i="59"/>
  <c r="GB105" i="59"/>
  <c r="GC105" i="59"/>
  <c r="GD105" i="59"/>
  <c r="GE105" i="59"/>
  <c r="GF105" i="59"/>
  <c r="GG105" i="59"/>
  <c r="GH105" i="59"/>
  <c r="GI105" i="59"/>
  <c r="GJ105" i="59"/>
  <c r="GK105" i="59"/>
  <c r="GL105" i="59"/>
  <c r="GM105" i="59"/>
  <c r="GN105" i="59"/>
  <c r="GO105" i="59"/>
  <c r="GP105" i="59"/>
  <c r="GQ105" i="59"/>
  <c r="GR105" i="59"/>
  <c r="GS105" i="59"/>
  <c r="GT105" i="59"/>
  <c r="GU105" i="59"/>
  <c r="GV105" i="59"/>
  <c r="GW105" i="59"/>
  <c r="GX105" i="59"/>
  <c r="GY105" i="59"/>
  <c r="GZ105" i="59"/>
  <c r="HA105" i="59"/>
  <c r="HB105" i="59"/>
  <c r="HC105" i="59"/>
  <c r="HD105" i="59"/>
  <c r="HE105" i="59"/>
  <c r="HF105" i="59"/>
  <c r="HG105" i="59"/>
  <c r="HH105" i="59"/>
  <c r="HI105" i="59"/>
  <c r="HJ105" i="59"/>
  <c r="HK105" i="59"/>
  <c r="HL105" i="59"/>
  <c r="HM105" i="59"/>
  <c r="HN105" i="59"/>
  <c r="HO105" i="59"/>
  <c r="HP105" i="59"/>
  <c r="HQ105" i="59"/>
  <c r="HR105" i="59"/>
  <c r="HS105" i="59"/>
  <c r="HT105" i="59"/>
  <c r="HU105" i="59"/>
  <c r="HV105" i="59"/>
  <c r="HW105" i="59"/>
  <c r="HX105" i="59"/>
  <c r="HY105" i="59"/>
  <c r="HZ105" i="59"/>
  <c r="IA105" i="59"/>
  <c r="IB105" i="59"/>
  <c r="IC105" i="59"/>
  <c r="ID105" i="59"/>
  <c r="IE105" i="59"/>
  <c r="IF105" i="59"/>
  <c r="IG105" i="59"/>
  <c r="IH105" i="59"/>
  <c r="II105" i="59"/>
  <c r="IJ105" i="59"/>
  <c r="IK105" i="59"/>
  <c r="IL105" i="59"/>
  <c r="IM105" i="59"/>
  <c r="IN105" i="59"/>
  <c r="IO105" i="59"/>
  <c r="IP105" i="59"/>
  <c r="IQ105" i="59"/>
  <c r="IR105" i="59"/>
  <c r="IS105" i="59"/>
  <c r="IT105" i="59"/>
  <c r="IU105" i="59"/>
  <c r="IV105" i="59"/>
  <c r="F106" i="59"/>
  <c r="G106" i="59"/>
  <c r="H106" i="59"/>
  <c r="I106" i="59"/>
  <c r="J106" i="59"/>
  <c r="K106" i="59"/>
  <c r="L106" i="59"/>
  <c r="O106" i="59"/>
  <c r="P106" i="59"/>
  <c r="Q106" i="59"/>
  <c r="R106" i="59"/>
  <c r="S106" i="59"/>
  <c r="T106" i="59"/>
  <c r="U106" i="59"/>
  <c r="V106" i="59"/>
  <c r="W106" i="59"/>
  <c r="X106" i="59"/>
  <c r="Y106" i="59"/>
  <c r="Z106" i="59"/>
  <c r="AA106" i="59"/>
  <c r="AB106" i="59"/>
  <c r="AC106" i="59"/>
  <c r="AD106" i="59"/>
  <c r="AE106" i="59"/>
  <c r="AF106" i="59"/>
  <c r="AG106" i="59"/>
  <c r="AH106" i="59"/>
  <c r="AI106" i="59"/>
  <c r="AJ106" i="59"/>
  <c r="AK106" i="59"/>
  <c r="AL106" i="59"/>
  <c r="AM106" i="59"/>
  <c r="AN106" i="59"/>
  <c r="AO106" i="59"/>
  <c r="AP106" i="59"/>
  <c r="AQ106" i="59"/>
  <c r="AR106" i="59"/>
  <c r="AS106" i="59"/>
  <c r="AT106" i="59"/>
  <c r="AU106" i="59"/>
  <c r="AV106" i="59"/>
  <c r="AW106" i="59"/>
  <c r="AX106" i="59"/>
  <c r="AY106" i="59"/>
  <c r="AZ106" i="59"/>
  <c r="BA106" i="59"/>
  <c r="BB106" i="59"/>
  <c r="BC106" i="59"/>
  <c r="BD106" i="59"/>
  <c r="BE106" i="59"/>
  <c r="BF106" i="59"/>
  <c r="BG106" i="59"/>
  <c r="BH106" i="59"/>
  <c r="BI106" i="59"/>
  <c r="BJ106" i="59"/>
  <c r="BK106" i="59"/>
  <c r="BL106" i="59"/>
  <c r="BO106" i="59"/>
  <c r="BP106" i="59"/>
  <c r="BQ106" i="59"/>
  <c r="BR106" i="59"/>
  <c r="BS106" i="59"/>
  <c r="BT106" i="59"/>
  <c r="BU106" i="59"/>
  <c r="BV106" i="59"/>
  <c r="BW106" i="59"/>
  <c r="BX106" i="59"/>
  <c r="BY106" i="59"/>
  <c r="BZ106" i="59"/>
  <c r="CA106" i="59"/>
  <c r="CB106" i="59"/>
  <c r="CC106" i="59"/>
  <c r="CD106" i="59"/>
  <c r="CE106" i="59"/>
  <c r="CF106" i="59"/>
  <c r="CG106" i="59"/>
  <c r="CH106" i="59"/>
  <c r="CI106" i="59"/>
  <c r="CJ106" i="59"/>
  <c r="CK106" i="59"/>
  <c r="CL106" i="59"/>
  <c r="CM106" i="59"/>
  <c r="CN106" i="59"/>
  <c r="CO106" i="59"/>
  <c r="CP106" i="59"/>
  <c r="CQ106" i="59"/>
  <c r="CR106" i="59"/>
  <c r="CS106" i="59"/>
  <c r="CT106" i="59"/>
  <c r="CU106" i="59"/>
  <c r="CV106" i="59"/>
  <c r="CW106" i="59"/>
  <c r="CX106" i="59"/>
  <c r="CY106" i="59"/>
  <c r="CZ106" i="59"/>
  <c r="DA106" i="59"/>
  <c r="DB106" i="59"/>
  <c r="DC106" i="59"/>
  <c r="DD106" i="59"/>
  <c r="DE106" i="59"/>
  <c r="DF106" i="59"/>
  <c r="DG106" i="59"/>
  <c r="DH106" i="59"/>
  <c r="DI106" i="59"/>
  <c r="DJ106" i="59"/>
  <c r="DK106" i="59"/>
  <c r="DL106" i="59"/>
  <c r="DO106" i="59"/>
  <c r="DP106" i="59"/>
  <c r="DQ106" i="59"/>
  <c r="DR106" i="59"/>
  <c r="DS106" i="59"/>
  <c r="DT106" i="59"/>
  <c r="DU106" i="59"/>
  <c r="DV106" i="59"/>
  <c r="DW106" i="59"/>
  <c r="DX106" i="59"/>
  <c r="DY106" i="59"/>
  <c r="DZ106" i="59"/>
  <c r="EA106" i="59"/>
  <c r="EB106" i="59"/>
  <c r="EC106" i="59"/>
  <c r="ED106" i="59"/>
  <c r="EE106" i="59"/>
  <c r="EF106" i="59"/>
  <c r="EG106" i="59"/>
  <c r="EH106" i="59"/>
  <c r="EI106" i="59"/>
  <c r="EJ106" i="59"/>
  <c r="EK106" i="59"/>
  <c r="EL106" i="59"/>
  <c r="EM106" i="59"/>
  <c r="EN106" i="59"/>
  <c r="EO106" i="59"/>
  <c r="EP106" i="59"/>
  <c r="EQ106" i="59"/>
  <c r="ER106" i="59"/>
  <c r="ES106" i="59"/>
  <c r="ET106" i="59"/>
  <c r="EU106" i="59"/>
  <c r="EV106" i="59"/>
  <c r="EW106" i="59"/>
  <c r="EX106" i="59"/>
  <c r="EY106" i="59"/>
  <c r="EZ106" i="59"/>
  <c r="FA106" i="59"/>
  <c r="FB106" i="59"/>
  <c r="FC106" i="59"/>
  <c r="FD106" i="59"/>
  <c r="FE106" i="59"/>
  <c r="FF106" i="59"/>
  <c r="FG106" i="59"/>
  <c r="FH106" i="59"/>
  <c r="FI106" i="59"/>
  <c r="FJ106" i="59"/>
  <c r="FK106" i="59"/>
  <c r="FL106" i="59"/>
  <c r="FM106" i="59"/>
  <c r="FN106" i="59"/>
  <c r="FO106" i="59"/>
  <c r="FP106" i="59"/>
  <c r="FQ106" i="59"/>
  <c r="FR106" i="59"/>
  <c r="FS106" i="59"/>
  <c r="FT106" i="59"/>
  <c r="FU106" i="59"/>
  <c r="FV106" i="59"/>
  <c r="FW106" i="59"/>
  <c r="FX106" i="59"/>
  <c r="FY106" i="59"/>
  <c r="FZ106" i="59"/>
  <c r="GA106" i="59"/>
  <c r="GB106" i="59"/>
  <c r="GC106" i="59"/>
  <c r="GD106" i="59"/>
  <c r="GE106" i="59"/>
  <c r="GF106" i="59"/>
  <c r="GG106" i="59"/>
  <c r="GH106" i="59"/>
  <c r="GI106" i="59"/>
  <c r="GJ106" i="59"/>
  <c r="GK106" i="59"/>
  <c r="GL106" i="59"/>
  <c r="GM106" i="59"/>
  <c r="GN106" i="59"/>
  <c r="GO106" i="59"/>
  <c r="GP106" i="59"/>
  <c r="GQ106" i="59"/>
  <c r="GR106" i="59"/>
  <c r="GS106" i="59"/>
  <c r="GT106" i="59"/>
  <c r="GU106" i="59"/>
  <c r="GV106" i="59"/>
  <c r="GW106" i="59"/>
  <c r="GX106" i="59"/>
  <c r="GY106" i="59"/>
  <c r="GZ106" i="59"/>
  <c r="HA106" i="59"/>
  <c r="HB106" i="59"/>
  <c r="HC106" i="59"/>
  <c r="HD106" i="59"/>
  <c r="HE106" i="59"/>
  <c r="HF106" i="59"/>
  <c r="HG106" i="59"/>
  <c r="HH106" i="59"/>
  <c r="HI106" i="59"/>
  <c r="HJ106" i="59"/>
  <c r="HK106" i="59"/>
  <c r="HL106" i="59"/>
  <c r="HM106" i="59"/>
  <c r="HN106" i="59"/>
  <c r="HO106" i="59"/>
  <c r="HP106" i="59"/>
  <c r="HQ106" i="59"/>
  <c r="HR106" i="59"/>
  <c r="HS106" i="59"/>
  <c r="HT106" i="59"/>
  <c r="HU106" i="59"/>
  <c r="HV106" i="59"/>
  <c r="HW106" i="59"/>
  <c r="HX106" i="59"/>
  <c r="HY106" i="59"/>
  <c r="HZ106" i="59"/>
  <c r="IA106" i="59"/>
  <c r="IB106" i="59"/>
  <c r="IC106" i="59"/>
  <c r="ID106" i="59"/>
  <c r="IE106" i="59"/>
  <c r="IF106" i="59"/>
  <c r="IG106" i="59"/>
  <c r="IH106" i="59"/>
  <c r="II106" i="59"/>
  <c r="IJ106" i="59"/>
  <c r="IK106" i="59"/>
  <c r="IL106" i="59"/>
  <c r="IM106" i="59"/>
  <c r="IN106" i="59"/>
  <c r="IO106" i="59"/>
  <c r="IP106" i="59"/>
  <c r="IQ106" i="59"/>
  <c r="IR106" i="59"/>
  <c r="IS106" i="59"/>
  <c r="IT106" i="59"/>
  <c r="IU106" i="59"/>
  <c r="IV106" i="59"/>
  <c r="F107" i="59"/>
  <c r="G107" i="59"/>
  <c r="H107" i="59"/>
  <c r="I107" i="59"/>
  <c r="J107" i="59"/>
  <c r="K107" i="59"/>
  <c r="L107" i="59"/>
  <c r="M107" i="59"/>
  <c r="N107" i="59"/>
  <c r="O107" i="59"/>
  <c r="P107" i="59"/>
  <c r="Q107" i="59"/>
  <c r="R107" i="59"/>
  <c r="S107" i="59"/>
  <c r="T107" i="59"/>
  <c r="U107" i="59"/>
  <c r="V107" i="59"/>
  <c r="W107" i="59"/>
  <c r="X107" i="59"/>
  <c r="Y107" i="59"/>
  <c r="Z107" i="59"/>
  <c r="AA107" i="59"/>
  <c r="AB107" i="59"/>
  <c r="AC107" i="59"/>
  <c r="AD107" i="59"/>
  <c r="AE107" i="59"/>
  <c r="AF107" i="59"/>
  <c r="AG107" i="59"/>
  <c r="AH107" i="59"/>
  <c r="AI107" i="59"/>
  <c r="AJ107" i="59"/>
  <c r="AK107" i="59"/>
  <c r="AL107" i="59"/>
  <c r="AM107" i="59"/>
  <c r="AN107" i="59"/>
  <c r="AO107" i="59"/>
  <c r="AP107" i="59"/>
  <c r="AQ107" i="59"/>
  <c r="AR107" i="59"/>
  <c r="AS107" i="59"/>
  <c r="AT107" i="59"/>
  <c r="AU107" i="59"/>
  <c r="AV107" i="59"/>
  <c r="AW107" i="59"/>
  <c r="AX107" i="59"/>
  <c r="AY107" i="59"/>
  <c r="AZ107" i="59"/>
  <c r="BA107" i="59"/>
  <c r="BB107" i="59"/>
  <c r="BC107" i="59"/>
  <c r="BD107" i="59"/>
  <c r="BE107" i="59"/>
  <c r="BF107" i="59"/>
  <c r="BG107" i="59"/>
  <c r="BH107" i="59"/>
  <c r="BI107" i="59"/>
  <c r="BJ107" i="59"/>
  <c r="BM107" i="59"/>
  <c r="BN107" i="59"/>
  <c r="BO107" i="59"/>
  <c r="BW107" i="59"/>
  <c r="BY107" i="59"/>
  <c r="CB107" i="59"/>
  <c r="CC107" i="59"/>
  <c r="CD107" i="59"/>
  <c r="CE107" i="59"/>
  <c r="CF107" i="59"/>
  <c r="CG107" i="59"/>
  <c r="CH107" i="59"/>
  <c r="CI107" i="59"/>
  <c r="CJ107" i="59"/>
  <c r="CK107" i="59"/>
  <c r="CL107" i="59"/>
  <c r="CM107" i="59"/>
  <c r="CN107" i="59"/>
  <c r="CO107" i="59"/>
  <c r="CP107" i="59"/>
  <c r="CQ107" i="59"/>
  <c r="CR107" i="59"/>
  <c r="CS107" i="59"/>
  <c r="CT107" i="59"/>
  <c r="CU107" i="59"/>
  <c r="CV107" i="59"/>
  <c r="CW107" i="59"/>
  <c r="CX107" i="59"/>
  <c r="CY107" i="59"/>
  <c r="CZ107" i="59"/>
  <c r="DA107" i="59"/>
  <c r="DB107" i="59"/>
  <c r="DC107" i="59"/>
  <c r="DD107" i="59"/>
  <c r="DE107" i="59"/>
  <c r="DF107" i="59"/>
  <c r="DI107" i="59"/>
  <c r="DJ107" i="59"/>
  <c r="DK107" i="59"/>
  <c r="DS107" i="59"/>
  <c r="DU107" i="59"/>
  <c r="DX107" i="59"/>
  <c r="DY107" i="59"/>
  <c r="DZ107" i="59"/>
  <c r="EA107" i="59"/>
  <c r="EB107" i="59"/>
  <c r="EC107" i="59"/>
  <c r="ED107" i="59"/>
  <c r="EE107" i="59"/>
  <c r="EF107" i="59"/>
  <c r="EG107" i="59"/>
  <c r="EH107" i="59"/>
  <c r="EI107" i="59"/>
  <c r="EJ107" i="59"/>
  <c r="EK107" i="59"/>
  <c r="EL107" i="59"/>
  <c r="EM107" i="59"/>
  <c r="EN107" i="59"/>
  <c r="EO107" i="59"/>
  <c r="EP107" i="59"/>
  <c r="EQ107" i="59"/>
  <c r="ER107" i="59"/>
  <c r="ES107" i="59"/>
  <c r="ET107" i="59"/>
  <c r="EU107" i="59"/>
  <c r="EV107" i="59"/>
  <c r="EW107" i="59"/>
  <c r="EX107" i="59"/>
  <c r="EY107" i="59"/>
  <c r="EZ107" i="59"/>
  <c r="FA107" i="59"/>
  <c r="FB107" i="59"/>
  <c r="FE107" i="59"/>
  <c r="FF107" i="59"/>
  <c r="FG107" i="59"/>
  <c r="FO107" i="59"/>
  <c r="FQ107" i="59"/>
  <c r="FT107" i="59"/>
  <c r="FU107" i="59"/>
  <c r="FV107" i="59"/>
  <c r="FW107" i="59"/>
  <c r="FX107" i="59"/>
  <c r="FY107" i="59"/>
  <c r="FZ107" i="59"/>
  <c r="GA107" i="59"/>
  <c r="GB107" i="59"/>
  <c r="GC107" i="59"/>
  <c r="GD107" i="59"/>
  <c r="GE107" i="59"/>
  <c r="GF107" i="59"/>
  <c r="GG107" i="59"/>
  <c r="GH107" i="59"/>
  <c r="GI107" i="59"/>
  <c r="GJ107" i="59"/>
  <c r="GK107" i="59"/>
  <c r="GL107" i="59"/>
  <c r="GM107" i="59"/>
  <c r="GN107" i="59"/>
  <c r="GO107" i="59"/>
  <c r="GP107" i="59"/>
  <c r="GQ107" i="59"/>
  <c r="GR107" i="59"/>
  <c r="GS107" i="59"/>
  <c r="GT107" i="59"/>
  <c r="GU107" i="59"/>
  <c r="GV107" i="59"/>
  <c r="GW107" i="59"/>
  <c r="GX107" i="59"/>
  <c r="HA107" i="59"/>
  <c r="HB107" i="59"/>
  <c r="HC107" i="59"/>
  <c r="HK107" i="59"/>
  <c r="HM107" i="59"/>
  <c r="HP107" i="59"/>
  <c r="HQ107" i="59"/>
  <c r="HR107" i="59"/>
  <c r="HS107" i="59"/>
  <c r="HT107" i="59"/>
  <c r="HU107" i="59"/>
  <c r="HV107" i="59"/>
  <c r="HW107" i="59"/>
  <c r="HX107" i="59"/>
  <c r="HY107" i="59"/>
  <c r="HZ107" i="59"/>
  <c r="IA107" i="59"/>
  <c r="IB107" i="59"/>
  <c r="IC107" i="59"/>
  <c r="ID107" i="59"/>
  <c r="IE107" i="59"/>
  <c r="IF107" i="59"/>
  <c r="IG107" i="59"/>
  <c r="IH107" i="59"/>
  <c r="II107" i="59"/>
  <c r="IJ107" i="59"/>
  <c r="IK107" i="59"/>
  <c r="IL107" i="59"/>
  <c r="IM107" i="59"/>
  <c r="IN107" i="59"/>
  <c r="IO107" i="59"/>
  <c r="IP107" i="59"/>
  <c r="IQ107" i="59"/>
  <c r="IR107" i="59"/>
  <c r="IS107" i="59"/>
  <c r="IT107" i="59"/>
  <c r="F108" i="59"/>
  <c r="G108" i="59"/>
  <c r="H108" i="59"/>
  <c r="P108" i="59"/>
  <c r="R108" i="59"/>
  <c r="U108" i="59"/>
  <c r="V108" i="59"/>
  <c r="W108" i="59"/>
  <c r="X108" i="59"/>
  <c r="Y108" i="59"/>
  <c r="Z108" i="59"/>
  <c r="AA108" i="59"/>
  <c r="AB108" i="59"/>
  <c r="AC108" i="59"/>
  <c r="AD108" i="59"/>
  <c r="AE108" i="59"/>
  <c r="AF108" i="59"/>
  <c r="AG108" i="59"/>
  <c r="AH108" i="59"/>
  <c r="AI108" i="59"/>
  <c r="AJ108" i="59"/>
  <c r="AK108" i="59"/>
  <c r="AL108" i="59"/>
  <c r="AM108" i="59"/>
  <c r="AN108" i="59"/>
  <c r="AO108" i="59"/>
  <c r="AP108" i="59"/>
  <c r="AQ108" i="59"/>
  <c r="AR108" i="59"/>
  <c r="AS108" i="59"/>
  <c r="AT108" i="59"/>
  <c r="AU108" i="59"/>
  <c r="AV108" i="59"/>
  <c r="AW108" i="59"/>
  <c r="AX108" i="59"/>
  <c r="AY108" i="59"/>
  <c r="BB108" i="59"/>
  <c r="BC108" i="59"/>
  <c r="BD108" i="59"/>
  <c r="BL108" i="59"/>
  <c r="BN108" i="59"/>
  <c r="BQ108" i="59"/>
  <c r="BR108" i="59"/>
  <c r="BS108" i="59"/>
  <c r="BT108" i="59"/>
  <c r="BU108" i="59"/>
  <c r="BV108" i="59"/>
  <c r="BW108" i="59"/>
  <c r="BX108" i="59"/>
  <c r="BY108" i="59"/>
  <c r="BZ108" i="59"/>
  <c r="CA108" i="59"/>
  <c r="CB108" i="59"/>
  <c r="CC108" i="59"/>
  <c r="CD108" i="59"/>
  <c r="CE108" i="59"/>
  <c r="CF108" i="59"/>
  <c r="CG108" i="59"/>
  <c r="CH108" i="59"/>
  <c r="CI108" i="59"/>
  <c r="CJ108" i="59"/>
  <c r="CK108" i="59"/>
  <c r="CL108" i="59"/>
  <c r="CM108" i="59"/>
  <c r="CN108" i="59"/>
  <c r="CO108" i="59"/>
  <c r="CP108" i="59"/>
  <c r="CQ108" i="59"/>
  <c r="CR108" i="59"/>
  <c r="CS108" i="59"/>
  <c r="CT108" i="59"/>
  <c r="CU108" i="59"/>
  <c r="CX108" i="59"/>
  <c r="CY108" i="59"/>
  <c r="CZ108" i="59"/>
  <c r="DH108" i="59"/>
  <c r="DJ108" i="59"/>
  <c r="DM108" i="59"/>
  <c r="DN108" i="59"/>
  <c r="DO108" i="59"/>
  <c r="DP108" i="59"/>
  <c r="DQ108" i="59"/>
  <c r="DR108" i="59"/>
  <c r="DS108" i="59"/>
  <c r="DT108" i="59"/>
  <c r="DU108" i="59"/>
  <c r="DV108" i="59"/>
  <c r="DW108" i="59"/>
  <c r="DX108" i="59"/>
  <c r="DY108" i="59"/>
  <c r="DZ108" i="59"/>
  <c r="EA108" i="59"/>
  <c r="EB108" i="59"/>
  <c r="EC108" i="59"/>
  <c r="ED108" i="59"/>
  <c r="EE108" i="59"/>
  <c r="EF108" i="59"/>
  <c r="EG108" i="59"/>
  <c r="EH108" i="59"/>
  <c r="EI108" i="59"/>
  <c r="EJ108" i="59"/>
  <c r="EK108" i="59"/>
  <c r="EL108" i="59"/>
  <c r="EM108" i="59"/>
  <c r="EN108" i="59"/>
  <c r="EO108" i="59"/>
  <c r="EP108" i="59"/>
  <c r="EQ108" i="59"/>
  <c r="ET108" i="59"/>
  <c r="EU108" i="59"/>
  <c r="EV108" i="59"/>
  <c r="FD108" i="59"/>
  <c r="FF108" i="59"/>
  <c r="FI108" i="59"/>
  <c r="FJ108" i="59"/>
  <c r="FK108" i="59"/>
  <c r="FL108" i="59"/>
  <c r="FM108" i="59"/>
  <c r="FN108" i="59"/>
  <c r="FO108" i="59"/>
  <c r="FP108" i="59"/>
  <c r="FQ108" i="59"/>
  <c r="FR108" i="59"/>
  <c r="FS108" i="59"/>
  <c r="FT108" i="59"/>
  <c r="FU108" i="59"/>
  <c r="FV108" i="59"/>
  <c r="FW108" i="59"/>
  <c r="FX108" i="59"/>
  <c r="FY108" i="59"/>
  <c r="FZ108" i="59"/>
  <c r="GA108" i="59"/>
  <c r="GB108" i="59"/>
  <c r="GC108" i="59"/>
  <c r="GD108" i="59"/>
  <c r="GE108" i="59"/>
  <c r="GF108" i="59"/>
  <c r="GG108" i="59"/>
  <c r="GH108" i="59"/>
  <c r="GI108" i="59"/>
  <c r="GJ108" i="59"/>
  <c r="GK108" i="59"/>
  <c r="GL108" i="59"/>
  <c r="GM108" i="59"/>
  <c r="GP108" i="59"/>
  <c r="GQ108" i="59"/>
  <c r="GR108" i="59"/>
  <c r="GZ108" i="59"/>
  <c r="HB108" i="59"/>
  <c r="HE108" i="59"/>
  <c r="HF108" i="59"/>
  <c r="HG108" i="59"/>
  <c r="HH108" i="59"/>
  <c r="HI108" i="59"/>
  <c r="HJ108" i="59"/>
  <c r="HK108" i="59"/>
  <c r="HL108" i="59"/>
  <c r="HM108" i="59"/>
  <c r="HN108" i="59"/>
  <c r="HO108" i="59"/>
  <c r="HP108" i="59"/>
  <c r="HQ108" i="59"/>
  <c r="HR108" i="59"/>
  <c r="HS108" i="59"/>
  <c r="HT108" i="59"/>
  <c r="HU108" i="59"/>
  <c r="HV108" i="59"/>
  <c r="HW108" i="59"/>
  <c r="HX108" i="59"/>
  <c r="HY108" i="59"/>
  <c r="HZ108" i="59"/>
  <c r="IA108" i="59"/>
  <c r="IB108" i="59"/>
  <c r="IC108" i="59"/>
  <c r="ID108" i="59"/>
  <c r="IE108" i="59"/>
  <c r="IF108" i="59"/>
  <c r="IG108" i="59"/>
  <c r="IH108" i="59"/>
  <c r="II108" i="59"/>
  <c r="IL108" i="59"/>
  <c r="IM108" i="59"/>
  <c r="IN108" i="59"/>
  <c r="IV108" i="59"/>
  <c r="G109" i="59"/>
  <c r="J109" i="59"/>
  <c r="K109" i="59"/>
  <c r="L109" i="59"/>
  <c r="M109" i="59"/>
  <c r="N109" i="59"/>
  <c r="O109" i="59"/>
  <c r="P109" i="59"/>
  <c r="Q109" i="59"/>
  <c r="R109" i="59"/>
  <c r="S109" i="59"/>
  <c r="T109" i="59"/>
  <c r="U109" i="59"/>
  <c r="V109" i="59"/>
  <c r="W109" i="59"/>
  <c r="X109" i="59"/>
  <c r="Y109" i="59"/>
  <c r="Z109" i="59"/>
  <c r="AA109" i="59"/>
  <c r="AB109" i="59"/>
  <c r="AC109" i="59"/>
  <c r="AD109" i="59"/>
  <c r="AE109" i="59"/>
  <c r="AF109" i="59"/>
  <c r="AG109" i="59"/>
  <c r="AH109" i="59"/>
  <c r="AI109" i="59"/>
  <c r="AJ109" i="59"/>
  <c r="AK109" i="59"/>
  <c r="AL109" i="59"/>
  <c r="AM109" i="59"/>
  <c r="AN109" i="59"/>
  <c r="AQ109" i="59"/>
  <c r="AR109" i="59"/>
  <c r="AS109" i="59"/>
  <c r="BA109" i="59"/>
  <c r="BC109" i="59"/>
  <c r="BF109" i="59"/>
  <c r="BG109" i="59"/>
  <c r="BH109" i="59"/>
  <c r="BI109" i="59"/>
  <c r="BJ109" i="59"/>
  <c r="BK109" i="59"/>
  <c r="BL109" i="59"/>
  <c r="BM109" i="59"/>
  <c r="BN109" i="59"/>
  <c r="BO109" i="59"/>
  <c r="BP109" i="59"/>
  <c r="BQ109" i="59"/>
  <c r="BR109" i="59"/>
  <c r="BS109" i="59"/>
  <c r="BT109" i="59"/>
  <c r="BU109" i="59"/>
  <c r="BV109" i="59"/>
  <c r="BW109" i="59"/>
  <c r="BX109" i="59"/>
  <c r="BY109" i="59"/>
  <c r="BZ109" i="59"/>
  <c r="CA109" i="59"/>
  <c r="CB109" i="59"/>
  <c r="CC109" i="59"/>
  <c r="CD109" i="59"/>
  <c r="CE109" i="59"/>
  <c r="CF109" i="59"/>
  <c r="CG109" i="59"/>
  <c r="CH109" i="59"/>
  <c r="CI109" i="59"/>
  <c r="CJ109" i="59"/>
  <c r="CM109" i="59"/>
  <c r="CN109" i="59"/>
  <c r="CO109" i="59"/>
  <c r="CW109" i="59"/>
  <c r="CY109" i="59"/>
  <c r="DB109" i="59"/>
  <c r="DC109" i="59"/>
  <c r="DD109" i="59"/>
  <c r="DE109" i="59"/>
  <c r="DF109" i="59"/>
  <c r="DG109" i="59"/>
  <c r="DH109" i="59"/>
  <c r="DI109" i="59"/>
  <c r="DJ109" i="59"/>
  <c r="DK109" i="59"/>
  <c r="DL109" i="59"/>
  <c r="DM109" i="59"/>
  <c r="DN109" i="59"/>
  <c r="DO109" i="59"/>
  <c r="DP109" i="59"/>
  <c r="DQ109" i="59"/>
  <c r="DR109" i="59"/>
  <c r="DS109" i="59"/>
  <c r="DT109" i="59"/>
  <c r="DU109" i="59"/>
  <c r="DV109" i="59"/>
  <c r="DW109" i="59"/>
  <c r="DX109" i="59"/>
  <c r="DY109" i="59"/>
  <c r="DZ109" i="59"/>
  <c r="EA109" i="59"/>
  <c r="EB109" i="59"/>
  <c r="EC109" i="59"/>
  <c r="ED109" i="59"/>
  <c r="EE109" i="59"/>
  <c r="EF109" i="59"/>
  <c r="EI109" i="59"/>
  <c r="EJ109" i="59"/>
  <c r="EK109" i="59"/>
  <c r="ES109" i="59"/>
  <c r="EU109" i="59"/>
  <c r="EX109" i="59"/>
  <c r="EY109" i="59"/>
  <c r="EZ109" i="59"/>
  <c r="FA109" i="59"/>
  <c r="FB109" i="59"/>
  <c r="FC109" i="59"/>
  <c r="FD109" i="59"/>
  <c r="FE109" i="59"/>
  <c r="FF109" i="59"/>
  <c r="FG109" i="59"/>
  <c r="FH109" i="59"/>
  <c r="FI109" i="59"/>
  <c r="FJ109" i="59"/>
  <c r="FK109" i="59"/>
  <c r="FL109" i="59"/>
  <c r="FM109" i="59"/>
  <c r="FN109" i="59"/>
  <c r="FO109" i="59"/>
  <c r="FP109" i="59"/>
  <c r="FQ109" i="59"/>
  <c r="FR109" i="59"/>
  <c r="FS109" i="59"/>
  <c r="FT109" i="59"/>
  <c r="FU109" i="59"/>
  <c r="FV109" i="59"/>
  <c r="FW109" i="59"/>
  <c r="FX109" i="59"/>
  <c r="FY109" i="59"/>
  <c r="FZ109" i="59"/>
  <c r="GA109" i="59"/>
  <c r="GB109" i="59"/>
  <c r="GE109" i="59"/>
  <c r="GF109" i="59"/>
  <c r="GG109" i="59"/>
  <c r="GO109" i="59"/>
  <c r="GQ109" i="59"/>
  <c r="GT109" i="59"/>
  <c r="GU109" i="59"/>
  <c r="GV109" i="59"/>
  <c r="GW109" i="59"/>
  <c r="GX109" i="59"/>
  <c r="GY109" i="59"/>
  <c r="GZ109" i="59"/>
  <c r="HA109" i="59"/>
  <c r="HB109" i="59"/>
  <c r="HC109" i="59"/>
  <c r="HD109" i="59"/>
  <c r="HE109" i="59"/>
  <c r="HF109" i="59"/>
  <c r="HG109" i="59"/>
  <c r="HH109" i="59"/>
  <c r="HI109" i="59"/>
  <c r="HJ109" i="59"/>
  <c r="HK109" i="59"/>
  <c r="HL109" i="59"/>
  <c r="HM109" i="59"/>
  <c r="HN109" i="59"/>
  <c r="HO109" i="59"/>
  <c r="HP109" i="59"/>
  <c r="HQ109" i="59"/>
  <c r="HR109" i="59"/>
  <c r="HS109" i="59"/>
  <c r="HT109" i="59"/>
  <c r="HU109" i="59"/>
  <c r="HV109" i="59"/>
  <c r="HW109" i="59"/>
  <c r="HX109" i="59"/>
  <c r="IA109" i="59"/>
  <c r="IB109" i="59"/>
  <c r="IC109" i="59"/>
  <c r="IK109" i="59"/>
  <c r="IM109" i="59"/>
  <c r="IP109" i="59"/>
  <c r="IQ109" i="59"/>
  <c r="IR109" i="59"/>
  <c r="IS109" i="59"/>
  <c r="IT109" i="59"/>
  <c r="IU109" i="59"/>
  <c r="IV109" i="59"/>
  <c r="F110" i="59"/>
  <c r="G110" i="59"/>
  <c r="H110" i="59"/>
  <c r="I110" i="59"/>
  <c r="J110" i="59"/>
  <c r="K110" i="59"/>
  <c r="L110" i="59"/>
  <c r="M110" i="59"/>
  <c r="N110" i="59"/>
  <c r="O110" i="59"/>
  <c r="P110" i="59"/>
  <c r="Q110" i="59"/>
  <c r="R110" i="59"/>
  <c r="S110" i="59"/>
  <c r="T110" i="59"/>
  <c r="U110" i="59"/>
  <c r="V110" i="59"/>
  <c r="W110" i="59"/>
  <c r="X110" i="59"/>
  <c r="Y110" i="59"/>
  <c r="Z110" i="59"/>
  <c r="AA110" i="59"/>
  <c r="AB110" i="59"/>
  <c r="AC110" i="59"/>
  <c r="AF110" i="59"/>
  <c r="AG110" i="59"/>
  <c r="AH110" i="59"/>
  <c r="AP110" i="59"/>
  <c r="AR110" i="59"/>
  <c r="AU110" i="59"/>
  <c r="AV110" i="59"/>
  <c r="AW110" i="59"/>
  <c r="AX110" i="59"/>
  <c r="AY110" i="59"/>
  <c r="AZ110" i="59"/>
  <c r="BA110" i="59"/>
  <c r="BB110" i="59"/>
  <c r="BC110" i="59"/>
  <c r="BD110" i="59"/>
  <c r="BE110" i="59"/>
  <c r="BF110" i="59"/>
  <c r="BG110" i="59"/>
  <c r="BH110" i="59"/>
  <c r="BI110" i="59"/>
  <c r="BJ110" i="59"/>
  <c r="BK110" i="59"/>
  <c r="BL110" i="59"/>
  <c r="BM110" i="59"/>
  <c r="BN110" i="59"/>
  <c r="BO110" i="59"/>
  <c r="BP110" i="59"/>
  <c r="BQ110" i="59"/>
  <c r="BR110" i="59"/>
  <c r="BS110" i="59"/>
  <c r="BT110" i="59"/>
  <c r="BU110" i="59"/>
  <c r="BV110" i="59"/>
  <c r="BW110" i="59"/>
  <c r="BX110" i="59"/>
  <c r="BY110" i="59"/>
  <c r="CB110" i="59"/>
  <c r="CC110" i="59"/>
  <c r="CD110" i="59"/>
  <c r="CL110" i="59"/>
  <c r="CN110" i="59"/>
  <c r="CQ110" i="59"/>
  <c r="CR110" i="59"/>
  <c r="CS110" i="59"/>
  <c r="CT110" i="59"/>
  <c r="CU110" i="59"/>
  <c r="CV110" i="59"/>
  <c r="CW110" i="59"/>
  <c r="CX110" i="59"/>
  <c r="CY110" i="59"/>
  <c r="CZ110" i="59"/>
  <c r="DA110" i="59"/>
  <c r="DB110" i="59"/>
  <c r="DC110" i="59"/>
  <c r="DD110" i="59"/>
  <c r="DE110" i="59"/>
  <c r="DF110" i="59"/>
  <c r="DG110" i="59"/>
  <c r="DH110" i="59"/>
  <c r="DI110" i="59"/>
  <c r="DJ110" i="59"/>
  <c r="DK110" i="59"/>
  <c r="DL110" i="59"/>
  <c r="DM110" i="59"/>
  <c r="DN110" i="59"/>
  <c r="DO110" i="59"/>
  <c r="DP110" i="59"/>
  <c r="DQ110" i="59"/>
  <c r="DR110" i="59"/>
  <c r="DS110" i="59"/>
  <c r="DT110" i="59"/>
  <c r="DU110" i="59"/>
  <c r="DX110" i="59"/>
  <c r="DY110" i="59"/>
  <c r="DZ110" i="59"/>
  <c r="EH110" i="59"/>
  <c r="EJ110" i="59"/>
  <c r="EM110" i="59"/>
  <c r="EN110" i="59"/>
  <c r="EO110" i="59"/>
  <c r="EP110" i="59"/>
  <c r="EQ110" i="59"/>
  <c r="ER110" i="59"/>
  <c r="ES110" i="59"/>
  <c r="ET110" i="59"/>
  <c r="EU110" i="59"/>
  <c r="EV110" i="59"/>
  <c r="EW110" i="59"/>
  <c r="EX110" i="59"/>
  <c r="EY110" i="59"/>
  <c r="EZ110" i="59"/>
  <c r="FA110" i="59"/>
  <c r="FB110" i="59"/>
  <c r="FC110" i="59"/>
  <c r="FD110" i="59"/>
  <c r="FE110" i="59"/>
  <c r="FF110" i="59"/>
  <c r="FG110" i="59"/>
  <c r="FH110" i="59"/>
  <c r="FI110" i="59"/>
  <c r="FJ110" i="59"/>
  <c r="FK110" i="59"/>
  <c r="FL110" i="59"/>
  <c r="FM110" i="59"/>
  <c r="FN110" i="59"/>
  <c r="FO110" i="59"/>
  <c r="FP110" i="59"/>
  <c r="FQ110" i="59"/>
  <c r="FT110" i="59"/>
  <c r="FU110" i="59"/>
  <c r="FV110" i="59"/>
  <c r="GD110" i="59"/>
  <c r="GF110" i="59"/>
  <c r="GI110" i="59"/>
  <c r="GJ110" i="59"/>
  <c r="GK110" i="59"/>
  <c r="GL110" i="59"/>
  <c r="GM110" i="59"/>
  <c r="GN110" i="59"/>
  <c r="GO110" i="59"/>
  <c r="GP110" i="59"/>
  <c r="GQ110" i="59"/>
  <c r="GR110" i="59"/>
  <c r="GS110" i="59"/>
  <c r="GT110" i="59"/>
  <c r="GU110" i="59"/>
  <c r="GV110" i="59"/>
  <c r="GW110" i="59"/>
  <c r="GX110" i="59"/>
  <c r="GY110" i="59"/>
  <c r="GZ110" i="59"/>
  <c r="HA110" i="59"/>
  <c r="HB110" i="59"/>
  <c r="HC110" i="59"/>
  <c r="HD110" i="59"/>
  <c r="HE110" i="59"/>
  <c r="HF110" i="59"/>
  <c r="HG110" i="59"/>
  <c r="HH110" i="59"/>
  <c r="HI110" i="59"/>
  <c r="HJ110" i="59"/>
  <c r="HK110" i="59"/>
  <c r="HL110" i="59"/>
  <c r="HM110" i="59"/>
  <c r="HP110" i="59"/>
  <c r="HQ110" i="59"/>
  <c r="HR110" i="59"/>
  <c r="HZ110" i="59"/>
  <c r="IB110" i="59"/>
  <c r="IE110" i="59"/>
  <c r="IF110" i="59"/>
  <c r="IG110" i="59"/>
  <c r="IH110" i="59"/>
  <c r="II110" i="59"/>
  <c r="IJ110" i="59"/>
  <c r="IK110" i="59"/>
  <c r="IL110" i="59"/>
  <c r="IM110" i="59"/>
  <c r="IN110" i="59"/>
  <c r="IO110" i="59"/>
  <c r="IP110" i="59"/>
  <c r="IQ110" i="59"/>
  <c r="IR110" i="59"/>
  <c r="IS110" i="59"/>
  <c r="IT110" i="59"/>
  <c r="IU110" i="59"/>
  <c r="IV110" i="59"/>
  <c r="F111" i="59"/>
  <c r="G111" i="59"/>
  <c r="H111" i="59"/>
  <c r="I111" i="59"/>
  <c r="J111" i="59"/>
  <c r="K111" i="59"/>
  <c r="L111" i="59"/>
  <c r="M111" i="59"/>
  <c r="N111" i="59"/>
  <c r="O111" i="59"/>
  <c r="P111" i="59"/>
  <c r="Q111" i="59"/>
  <c r="R111" i="59"/>
  <c r="U111" i="59"/>
  <c r="V111" i="59"/>
  <c r="W111" i="59"/>
  <c r="AE111" i="59"/>
  <c r="AG111" i="59"/>
  <c r="AJ111" i="59"/>
  <c r="AK111" i="59"/>
  <c r="AL111" i="59"/>
  <c r="AM111" i="59"/>
  <c r="AN111" i="59"/>
  <c r="AO111" i="59"/>
  <c r="AP111" i="59"/>
  <c r="AQ111" i="59"/>
  <c r="AR111" i="59"/>
  <c r="AS111" i="59"/>
  <c r="AT111" i="59"/>
  <c r="AU111" i="59"/>
  <c r="AV111" i="59"/>
  <c r="AW111" i="59"/>
  <c r="AX111" i="59"/>
  <c r="AY111" i="59"/>
  <c r="AZ111" i="59"/>
  <c r="BA111" i="59"/>
  <c r="BB111" i="59"/>
  <c r="BC111" i="59"/>
  <c r="BD111" i="59"/>
  <c r="BE111" i="59"/>
  <c r="BF111" i="59"/>
  <c r="BG111" i="59"/>
  <c r="BH111" i="59"/>
  <c r="BI111" i="59"/>
  <c r="BJ111" i="59"/>
  <c r="BK111" i="59"/>
  <c r="BL111" i="59"/>
  <c r="BM111" i="59"/>
  <c r="BN111" i="59"/>
  <c r="BQ111" i="59"/>
  <c r="BR111" i="59"/>
  <c r="BS111" i="59"/>
  <c r="CA111" i="59"/>
  <c r="CC111" i="59"/>
  <c r="CF111" i="59"/>
  <c r="CG111" i="59"/>
  <c r="CH111" i="59"/>
  <c r="CI111" i="59"/>
  <c r="CJ111" i="59"/>
  <c r="CK111" i="59"/>
  <c r="CL111" i="59"/>
  <c r="CM111" i="59"/>
  <c r="CN111" i="59"/>
  <c r="CO111" i="59"/>
  <c r="CP111" i="59"/>
  <c r="CQ111" i="59"/>
  <c r="CR111" i="59"/>
  <c r="CS111" i="59"/>
  <c r="CT111" i="59"/>
  <c r="CU111" i="59"/>
  <c r="CV111" i="59"/>
  <c r="CW111" i="59"/>
  <c r="CX111" i="59"/>
  <c r="CY111" i="59"/>
  <c r="CZ111" i="59"/>
  <c r="DA111" i="59"/>
  <c r="DB111" i="59"/>
  <c r="DC111" i="59"/>
  <c r="DD111" i="59"/>
  <c r="DE111" i="59"/>
  <c r="DF111" i="59"/>
  <c r="DG111" i="59"/>
  <c r="DH111" i="59"/>
  <c r="DI111" i="59"/>
  <c r="DJ111" i="59"/>
  <c r="DM111" i="59"/>
  <c r="DN111" i="59"/>
  <c r="DO111" i="59"/>
  <c r="DW111" i="59"/>
  <c r="DY111" i="59"/>
  <c r="EB111" i="59"/>
  <c r="EC111" i="59"/>
  <c r="ED111" i="59"/>
  <c r="EE111" i="59"/>
  <c r="EF111" i="59"/>
  <c r="EG111" i="59"/>
  <c r="EH111" i="59"/>
  <c r="EI111" i="59"/>
  <c r="EJ111" i="59"/>
  <c r="EK111" i="59"/>
  <c r="EL111" i="59"/>
  <c r="EM111" i="59"/>
  <c r="EN111" i="59"/>
  <c r="EO111" i="59"/>
  <c r="EP111" i="59"/>
  <c r="EQ111" i="59"/>
  <c r="ER111" i="59"/>
  <c r="ES111" i="59"/>
  <c r="ET111" i="59"/>
  <c r="EU111" i="59"/>
  <c r="EV111" i="59"/>
  <c r="EW111" i="59"/>
  <c r="EX111" i="59"/>
  <c r="EY111" i="59"/>
  <c r="EZ111" i="59"/>
  <c r="FA111" i="59"/>
  <c r="FB111" i="59"/>
  <c r="FC111" i="59"/>
  <c r="FD111" i="59"/>
  <c r="FE111" i="59"/>
  <c r="FF111" i="59"/>
  <c r="FI111" i="59"/>
  <c r="FJ111" i="59"/>
  <c r="FK111" i="59"/>
  <c r="FS111" i="59"/>
  <c r="FU111" i="59"/>
  <c r="FX111" i="59"/>
  <c r="FY111" i="59"/>
  <c r="FZ111" i="59"/>
  <c r="GA111" i="59"/>
  <c r="GB111" i="59"/>
  <c r="GC111" i="59"/>
  <c r="GD111" i="59"/>
  <c r="GE111" i="59"/>
  <c r="GF111" i="59"/>
  <c r="GG111" i="59"/>
  <c r="GH111" i="59"/>
  <c r="GI111" i="59"/>
  <c r="GJ111" i="59"/>
  <c r="GK111" i="59"/>
  <c r="GL111" i="59"/>
  <c r="GM111" i="59"/>
  <c r="GN111" i="59"/>
  <c r="GO111" i="59"/>
  <c r="GP111" i="59"/>
  <c r="GQ111" i="59"/>
  <c r="GR111" i="59"/>
  <c r="GS111" i="59"/>
  <c r="GT111" i="59"/>
  <c r="GU111" i="59"/>
  <c r="GV111" i="59"/>
  <c r="GW111" i="59"/>
  <c r="GX111" i="59"/>
  <c r="GY111" i="59"/>
  <c r="GZ111" i="59"/>
  <c r="HA111" i="59"/>
  <c r="HB111" i="59"/>
  <c r="HE111" i="59"/>
  <c r="HF111" i="59"/>
  <c r="HG111" i="59"/>
  <c r="HO111" i="59"/>
  <c r="HQ111" i="59"/>
  <c r="HT111" i="59"/>
  <c r="HU111" i="59"/>
  <c r="HV111" i="59"/>
  <c r="HW111" i="59"/>
  <c r="HX111" i="59"/>
  <c r="HY111" i="59"/>
  <c r="HZ111" i="59"/>
  <c r="IA111" i="59"/>
  <c r="IB111" i="59"/>
  <c r="IC111" i="59"/>
  <c r="ID111" i="59"/>
  <c r="IE111" i="59"/>
  <c r="IF111" i="59"/>
  <c r="IG111" i="59"/>
  <c r="IH111" i="59"/>
  <c r="II111" i="59"/>
  <c r="IJ111" i="59"/>
  <c r="IK111" i="59"/>
  <c r="IL111" i="59"/>
  <c r="IM111" i="59"/>
  <c r="IN111" i="59"/>
  <c r="IO111" i="59"/>
  <c r="IP111" i="59"/>
  <c r="IQ111" i="59"/>
  <c r="IR111" i="59"/>
  <c r="IS111" i="59"/>
  <c r="IT111" i="59"/>
  <c r="IU111" i="59"/>
  <c r="IV111" i="59"/>
  <c r="F112" i="59"/>
  <c r="G112" i="59"/>
  <c r="J112" i="59"/>
  <c r="K112" i="59"/>
  <c r="L112" i="59"/>
  <c r="T112" i="59"/>
  <c r="V112" i="59"/>
  <c r="Y112" i="59"/>
  <c r="Z112" i="59"/>
  <c r="AA112" i="59"/>
  <c r="AB112" i="59"/>
  <c r="AC112" i="59"/>
  <c r="AD112" i="59"/>
  <c r="AE112" i="59"/>
  <c r="AF112" i="59"/>
  <c r="AG112" i="59"/>
  <c r="AH112" i="59"/>
  <c r="AI112" i="59"/>
  <c r="AJ112" i="59"/>
  <c r="AK112" i="59"/>
  <c r="AL112" i="59"/>
  <c r="AM112" i="59"/>
  <c r="AN112" i="59"/>
  <c r="AO112" i="59"/>
  <c r="AP112" i="59"/>
  <c r="AQ112" i="59"/>
  <c r="AR112" i="59"/>
  <c r="AS112" i="59"/>
  <c r="AT112" i="59"/>
  <c r="AU112" i="59"/>
  <c r="AV112" i="59"/>
  <c r="AW112" i="59"/>
  <c r="AX112" i="59"/>
  <c r="AY112" i="59"/>
  <c r="AZ112" i="59"/>
  <c r="BA112" i="59"/>
  <c r="BB112" i="59"/>
  <c r="BC112" i="59"/>
  <c r="BF112" i="59"/>
  <c r="BG112" i="59"/>
  <c r="BH112" i="59"/>
  <c r="BP112" i="59"/>
  <c r="BR112" i="59"/>
  <c r="BU112" i="59"/>
  <c r="BV112" i="59"/>
  <c r="BW112" i="59"/>
  <c r="BX112" i="59"/>
  <c r="BY112" i="59"/>
  <c r="BZ112" i="59"/>
  <c r="CA112" i="59"/>
  <c r="CB112" i="59"/>
  <c r="CC112" i="59"/>
  <c r="CD112" i="59"/>
  <c r="CE112" i="59"/>
  <c r="CF112" i="59"/>
  <c r="CG112" i="59"/>
  <c r="CH112" i="59"/>
  <c r="CI112" i="59"/>
  <c r="CJ112" i="59"/>
  <c r="CK112" i="59"/>
  <c r="CL112" i="59"/>
  <c r="CM112" i="59"/>
  <c r="CN112" i="59"/>
  <c r="CO112" i="59"/>
  <c r="CP112" i="59"/>
  <c r="CQ112" i="59"/>
  <c r="CR112" i="59"/>
  <c r="CS112" i="59"/>
  <c r="CT112" i="59"/>
  <c r="CU112" i="59"/>
  <c r="CV112" i="59"/>
  <c r="CW112" i="59"/>
  <c r="CX112" i="59"/>
  <c r="CY112" i="59"/>
  <c r="DB112" i="59"/>
  <c r="DC112" i="59"/>
  <c r="DD112" i="59"/>
  <c r="DL112" i="59"/>
  <c r="DN112" i="59"/>
  <c r="DQ112" i="59"/>
  <c r="DR112" i="59"/>
  <c r="DS112" i="59"/>
  <c r="DT112" i="59"/>
  <c r="DU112" i="59"/>
  <c r="DV112" i="59"/>
  <c r="DW112" i="59"/>
  <c r="DX112" i="59"/>
  <c r="DY112" i="59"/>
  <c r="DZ112" i="59"/>
  <c r="EA112" i="59"/>
  <c r="EB112" i="59"/>
  <c r="EC112" i="59"/>
  <c r="ED112" i="59"/>
  <c r="EE112" i="59"/>
  <c r="EF112" i="59"/>
  <c r="EG112" i="59"/>
  <c r="EH112" i="59"/>
  <c r="EI112" i="59"/>
  <c r="EJ112" i="59"/>
  <c r="EK112" i="59"/>
  <c r="EL112" i="59"/>
  <c r="EM112" i="59"/>
  <c r="EN112" i="59"/>
  <c r="EO112" i="59"/>
  <c r="EP112" i="59"/>
  <c r="EQ112" i="59"/>
  <c r="ER112" i="59"/>
  <c r="ES112" i="59"/>
  <c r="ET112" i="59"/>
  <c r="EU112" i="59"/>
  <c r="EX112" i="59"/>
  <c r="EY112" i="59"/>
  <c r="EZ112" i="59"/>
  <c r="FH112" i="59"/>
  <c r="FJ112" i="59"/>
  <c r="FM112" i="59"/>
  <c r="FN112" i="59"/>
  <c r="FO112" i="59"/>
  <c r="FP112" i="59"/>
  <c r="FQ112" i="59"/>
  <c r="FR112" i="59"/>
  <c r="FS112" i="59"/>
  <c r="FT112" i="59"/>
  <c r="FU112" i="59"/>
  <c r="FV112" i="59"/>
  <c r="FW112" i="59"/>
  <c r="FX112" i="59"/>
  <c r="FY112" i="59"/>
  <c r="FZ112" i="59"/>
  <c r="GA112" i="59"/>
  <c r="GB112" i="59"/>
  <c r="GC112" i="59"/>
  <c r="GD112" i="59"/>
  <c r="GE112" i="59"/>
  <c r="GF112" i="59"/>
  <c r="GG112" i="59"/>
  <c r="GH112" i="59"/>
  <c r="GI112" i="59"/>
  <c r="GJ112" i="59"/>
  <c r="GK112" i="59"/>
  <c r="GL112" i="59"/>
  <c r="GM112" i="59"/>
  <c r="GN112" i="59"/>
  <c r="GO112" i="59"/>
  <c r="GP112" i="59"/>
  <c r="GQ112" i="59"/>
  <c r="GT112" i="59"/>
  <c r="GU112" i="59"/>
  <c r="GV112" i="59"/>
  <c r="HD112" i="59"/>
  <c r="HF112" i="59"/>
  <c r="HI112" i="59"/>
  <c r="HJ112" i="59"/>
  <c r="HK112" i="59"/>
  <c r="HL112" i="59"/>
  <c r="HM112" i="59"/>
  <c r="HN112" i="59"/>
  <c r="HO112" i="59"/>
  <c r="HP112" i="59"/>
  <c r="HQ112" i="59"/>
  <c r="HR112" i="59"/>
  <c r="HS112" i="59"/>
  <c r="HT112" i="59"/>
  <c r="HU112" i="59"/>
  <c r="HV112" i="59"/>
  <c r="HW112" i="59"/>
  <c r="HX112" i="59"/>
  <c r="HY112" i="59"/>
  <c r="HZ112" i="59"/>
  <c r="IA112" i="59"/>
  <c r="IB112" i="59"/>
  <c r="IC112" i="59"/>
  <c r="ID112" i="59"/>
  <c r="IE112" i="59"/>
  <c r="IF112" i="59"/>
  <c r="IG112" i="59"/>
  <c r="IH112" i="59"/>
  <c r="II112" i="59"/>
  <c r="IJ112" i="59"/>
  <c r="IK112" i="59"/>
  <c r="IL112" i="59"/>
  <c r="IM112" i="59"/>
  <c r="IN112" i="59"/>
  <c r="IO112" i="59"/>
  <c r="IP112" i="59"/>
  <c r="IQ112" i="59"/>
  <c r="IR112" i="59"/>
  <c r="IS112" i="59"/>
  <c r="IT112" i="59"/>
  <c r="IU112" i="59"/>
  <c r="IV112" i="59"/>
  <c r="F113" i="59"/>
  <c r="G113" i="59"/>
  <c r="H113" i="59"/>
  <c r="I113" i="59"/>
  <c r="J113" i="59"/>
  <c r="K113" i="59"/>
  <c r="L113" i="59"/>
  <c r="M113" i="59"/>
  <c r="N113" i="59"/>
  <c r="O113" i="59"/>
  <c r="P113" i="59"/>
  <c r="Q113" i="59"/>
  <c r="R113" i="59"/>
  <c r="S113" i="59"/>
  <c r="T113" i="59"/>
  <c r="U113" i="59"/>
  <c r="V113" i="59"/>
  <c r="W113" i="59"/>
  <c r="X113" i="59"/>
  <c r="Y113" i="59"/>
  <c r="Z113" i="59"/>
  <c r="AA113" i="59"/>
  <c r="AB113" i="59"/>
  <c r="AC113" i="59"/>
  <c r="AD113" i="59"/>
  <c r="AE113" i="59"/>
  <c r="AF113" i="59"/>
  <c r="AG113" i="59"/>
  <c r="AH113" i="59"/>
  <c r="AI113" i="59"/>
  <c r="AJ113" i="59"/>
  <c r="AK113" i="59"/>
  <c r="AL113" i="59"/>
  <c r="AM113" i="59"/>
  <c r="AN113" i="59"/>
  <c r="AO113" i="59"/>
  <c r="AP113" i="59"/>
  <c r="AQ113" i="59"/>
  <c r="AR113" i="59"/>
  <c r="AS113" i="59"/>
  <c r="AT113" i="59"/>
  <c r="AU113" i="59"/>
  <c r="AV113" i="59"/>
  <c r="AW113" i="59"/>
  <c r="AX113" i="59"/>
  <c r="AY113" i="59"/>
  <c r="AZ113" i="59"/>
  <c r="BE113" i="59"/>
  <c r="BF113" i="59"/>
  <c r="BG113" i="59"/>
  <c r="BH113" i="59"/>
  <c r="BI113" i="59"/>
  <c r="BJ113" i="59"/>
  <c r="BK113" i="59"/>
  <c r="BL113" i="59"/>
  <c r="BM113" i="59"/>
  <c r="BN113" i="59"/>
  <c r="BO113" i="59"/>
  <c r="BP113" i="59"/>
  <c r="BQ113" i="59"/>
  <c r="BR113" i="59"/>
  <c r="BS113" i="59"/>
  <c r="BT113" i="59"/>
  <c r="BU113" i="59"/>
  <c r="BV113" i="59"/>
  <c r="BW113" i="59"/>
  <c r="BX113" i="59"/>
  <c r="BY113" i="59"/>
  <c r="BZ113" i="59"/>
  <c r="CA113" i="59"/>
  <c r="CB113" i="59"/>
  <c r="CC113" i="59"/>
  <c r="CD113" i="59"/>
  <c r="CE113" i="59"/>
  <c r="CF113" i="59"/>
  <c r="CG113" i="59"/>
  <c r="CH113" i="59"/>
  <c r="CI113" i="59"/>
  <c r="CJ113" i="59"/>
  <c r="CK113" i="59"/>
  <c r="CL113" i="59"/>
  <c r="CM113" i="59"/>
  <c r="CN113" i="59"/>
  <c r="CO113" i="59"/>
  <c r="CP113" i="59"/>
  <c r="CQ113" i="59"/>
  <c r="CR113" i="59"/>
  <c r="CS113" i="59"/>
  <c r="CT113" i="59"/>
  <c r="CU113" i="59"/>
  <c r="CV113" i="59"/>
  <c r="CW113" i="59"/>
  <c r="CX113" i="59"/>
  <c r="CY113" i="59"/>
  <c r="CZ113" i="59"/>
  <c r="DA113" i="59"/>
  <c r="DB113" i="59"/>
  <c r="DC113" i="59"/>
  <c r="DD113" i="59"/>
  <c r="DE113" i="59"/>
  <c r="DF113" i="59"/>
  <c r="DG113" i="59"/>
  <c r="DH113" i="59"/>
  <c r="DI113" i="59"/>
  <c r="DJ113" i="59"/>
  <c r="DK113" i="59"/>
  <c r="DL113" i="59"/>
  <c r="DM113" i="59"/>
  <c r="DN113" i="59"/>
  <c r="DO113" i="59"/>
  <c r="DP113" i="59"/>
  <c r="DQ113" i="59"/>
  <c r="DR113" i="59"/>
  <c r="DS113" i="59"/>
  <c r="DT113" i="59"/>
  <c r="DU113" i="59"/>
  <c r="DV113" i="59"/>
  <c r="DW113" i="59"/>
  <c r="DX113" i="59"/>
  <c r="DY113" i="59"/>
  <c r="DZ113" i="59"/>
  <c r="EA113" i="59"/>
  <c r="EB113" i="59"/>
  <c r="EC113" i="59"/>
  <c r="ED113" i="59"/>
  <c r="EE113" i="59"/>
  <c r="EF113" i="59"/>
  <c r="EG113" i="59"/>
  <c r="EH113" i="59"/>
  <c r="EI113" i="59"/>
  <c r="EJ113" i="59"/>
  <c r="EK113" i="59"/>
  <c r="EL113" i="59"/>
  <c r="EM113" i="59"/>
  <c r="EN113" i="59"/>
  <c r="EO113" i="59"/>
  <c r="EP113" i="59"/>
  <c r="EQ113" i="59"/>
  <c r="ER113" i="59"/>
  <c r="ES113" i="59"/>
  <c r="ET113" i="59"/>
  <c r="EU113" i="59"/>
  <c r="EV113" i="59"/>
  <c r="EW113" i="59"/>
  <c r="EX113" i="59"/>
  <c r="EY113" i="59"/>
  <c r="EZ113" i="59"/>
  <c r="FA113" i="59"/>
  <c r="FB113" i="59"/>
  <c r="FC113" i="59"/>
  <c r="FD113" i="59"/>
  <c r="FE113" i="59"/>
  <c r="FF113" i="59"/>
  <c r="FG113" i="59"/>
  <c r="FH113" i="59"/>
  <c r="FI113" i="59"/>
  <c r="FJ113" i="59"/>
  <c r="FK113" i="59"/>
  <c r="FL113" i="59"/>
  <c r="FM113" i="59"/>
  <c r="FN113" i="59"/>
  <c r="FO113" i="59"/>
  <c r="FP113" i="59"/>
  <c r="FQ113" i="59"/>
  <c r="FR113" i="59"/>
  <c r="FS113" i="59"/>
  <c r="FT113" i="59"/>
  <c r="FU113" i="59"/>
  <c r="FV113" i="59"/>
  <c r="FW113" i="59"/>
  <c r="FX113" i="59"/>
  <c r="FY113" i="59"/>
  <c r="FZ113" i="59"/>
  <c r="GA113" i="59"/>
  <c r="GB113" i="59"/>
  <c r="GC113" i="59"/>
  <c r="GD113" i="59"/>
  <c r="GE113" i="59"/>
  <c r="GF113" i="59"/>
  <c r="GG113" i="59"/>
  <c r="GH113" i="59"/>
  <c r="GI113" i="59"/>
  <c r="GJ113" i="59"/>
  <c r="GK113" i="59"/>
  <c r="GL113" i="59"/>
  <c r="GM113" i="59"/>
  <c r="GN113" i="59"/>
  <c r="GO113" i="59"/>
  <c r="GP113" i="59"/>
  <c r="GQ113" i="59"/>
  <c r="GR113" i="59"/>
  <c r="GS113" i="59"/>
  <c r="GT113" i="59"/>
  <c r="GU113" i="59"/>
  <c r="GV113" i="59"/>
  <c r="GW113" i="59"/>
  <c r="GX113" i="59"/>
  <c r="GY113" i="59"/>
  <c r="GZ113" i="59"/>
  <c r="HA113" i="59"/>
  <c r="HB113" i="59"/>
  <c r="HC113" i="59"/>
  <c r="HD113" i="59"/>
  <c r="HE113" i="59"/>
  <c r="HF113" i="59"/>
  <c r="HG113" i="59"/>
  <c r="HH113" i="59"/>
  <c r="HI113" i="59"/>
  <c r="HJ113" i="59"/>
  <c r="HK113" i="59"/>
  <c r="HL113" i="59"/>
  <c r="HM113" i="59"/>
  <c r="HN113" i="59"/>
  <c r="HO113" i="59"/>
  <c r="HP113" i="59"/>
  <c r="HQ113" i="59"/>
  <c r="HR113" i="59"/>
  <c r="HS113" i="59"/>
  <c r="HT113" i="59"/>
  <c r="HU113" i="59"/>
  <c r="HV113" i="59"/>
  <c r="HW113" i="59"/>
  <c r="HX113" i="59"/>
  <c r="HY113" i="59"/>
  <c r="HZ113" i="59"/>
  <c r="IA113" i="59"/>
  <c r="IB113" i="59"/>
  <c r="IC113" i="59"/>
  <c r="ID113" i="59"/>
  <c r="IE113" i="59"/>
  <c r="IF113" i="59"/>
  <c r="IG113" i="59"/>
  <c r="IH113" i="59"/>
  <c r="II113" i="59"/>
  <c r="IJ113" i="59"/>
  <c r="IK113" i="59"/>
  <c r="IL113" i="59"/>
  <c r="IM113" i="59"/>
  <c r="IN113" i="59"/>
  <c r="IO113" i="59"/>
  <c r="IP113" i="59"/>
  <c r="IQ113" i="59"/>
  <c r="IR113" i="59"/>
  <c r="IS113" i="59"/>
  <c r="IT113" i="59"/>
  <c r="IU113" i="59"/>
  <c r="IV113" i="59"/>
  <c r="F114" i="59"/>
  <c r="G114" i="59"/>
  <c r="H114" i="59"/>
  <c r="I114" i="59"/>
  <c r="J114" i="59"/>
  <c r="K114" i="59"/>
  <c r="L114" i="59"/>
  <c r="M114" i="59"/>
  <c r="N114" i="59"/>
  <c r="O114" i="59"/>
  <c r="P114" i="59"/>
  <c r="Q114" i="59"/>
  <c r="R114" i="59"/>
  <c r="S114" i="59"/>
  <c r="T114" i="59"/>
  <c r="U114" i="59"/>
  <c r="V114" i="59"/>
  <c r="W114" i="59"/>
  <c r="X114" i="59"/>
  <c r="Y114" i="59"/>
  <c r="Z114" i="59"/>
  <c r="AA114" i="59"/>
  <c r="AB114" i="59"/>
  <c r="AC114" i="59"/>
  <c r="AD114" i="59"/>
  <c r="AE114" i="59"/>
  <c r="AF114" i="59"/>
  <c r="AG114" i="59"/>
  <c r="AH114" i="59"/>
  <c r="AI114" i="59"/>
  <c r="AJ114" i="59"/>
  <c r="AK114" i="59"/>
  <c r="AL114" i="59"/>
  <c r="AM114" i="59"/>
  <c r="AN114" i="59"/>
  <c r="AO114" i="59"/>
  <c r="AP114" i="59"/>
  <c r="AQ114" i="59"/>
  <c r="AR114" i="59"/>
  <c r="AS114" i="59"/>
  <c r="AT114" i="59"/>
  <c r="AU114" i="59"/>
  <c r="AV114" i="59"/>
  <c r="AW114" i="59"/>
  <c r="AX114" i="59"/>
  <c r="AY114" i="59"/>
  <c r="AZ114" i="59"/>
  <c r="BA114" i="59"/>
  <c r="BB114" i="59"/>
  <c r="BC114" i="59"/>
  <c r="BD114" i="59"/>
  <c r="BE114" i="59"/>
  <c r="BF114" i="59"/>
  <c r="BG114" i="59"/>
  <c r="BH114" i="59"/>
  <c r="BI114" i="59"/>
  <c r="BJ114" i="59"/>
  <c r="BK114" i="59"/>
  <c r="BL114" i="59"/>
  <c r="BM114" i="59"/>
  <c r="BN114" i="59"/>
  <c r="BO114" i="59"/>
  <c r="BP114" i="59"/>
  <c r="BQ114" i="59"/>
  <c r="BR114" i="59"/>
  <c r="BS114" i="59"/>
  <c r="BT114" i="59"/>
  <c r="BU114" i="59"/>
  <c r="BV114" i="59"/>
  <c r="BW114" i="59"/>
  <c r="BX114" i="59"/>
  <c r="BY114" i="59"/>
  <c r="BZ114" i="59"/>
  <c r="CA114" i="59"/>
  <c r="CB114" i="59"/>
  <c r="CC114" i="59"/>
  <c r="CD114" i="59"/>
  <c r="CE114" i="59"/>
  <c r="CF114" i="59"/>
  <c r="CG114" i="59"/>
  <c r="CH114" i="59"/>
  <c r="CI114" i="59"/>
  <c r="CJ114" i="59"/>
  <c r="CK114" i="59"/>
  <c r="CL114" i="59"/>
  <c r="CM114" i="59"/>
  <c r="CN114" i="59"/>
  <c r="CO114" i="59"/>
  <c r="CP114" i="59"/>
  <c r="CQ114" i="59"/>
  <c r="CR114" i="59"/>
  <c r="CS114" i="59"/>
  <c r="CT114" i="59"/>
  <c r="CU114" i="59"/>
  <c r="CV114" i="59"/>
  <c r="CW114" i="59"/>
  <c r="CX114" i="59"/>
  <c r="CY114" i="59"/>
  <c r="CZ114" i="59"/>
  <c r="DA114" i="59"/>
  <c r="DB114" i="59"/>
  <c r="DC114" i="59"/>
  <c r="DD114" i="59"/>
  <c r="DE114" i="59"/>
  <c r="DF114" i="59"/>
  <c r="DG114" i="59"/>
  <c r="DH114" i="59"/>
  <c r="DI114" i="59"/>
  <c r="EV114" i="59"/>
  <c r="EW114" i="59"/>
  <c r="EY114" i="59"/>
  <c r="EZ114" i="59"/>
  <c r="FA114" i="59"/>
  <c r="FB114" i="59"/>
  <c r="GW114" i="59"/>
  <c r="GY114" i="59"/>
  <c r="GZ114" i="59"/>
  <c r="HA114" i="59"/>
  <c r="HB114" i="59"/>
  <c r="F115" i="59"/>
  <c r="H115" i="59"/>
  <c r="I115" i="59"/>
  <c r="J115" i="59"/>
  <c r="K115" i="59"/>
  <c r="BF115" i="59"/>
  <c r="BH115" i="59"/>
  <c r="BI115" i="59"/>
  <c r="BJ115" i="59"/>
  <c r="BK115" i="59"/>
  <c r="DF115" i="59"/>
  <c r="DH115" i="59"/>
  <c r="DI115" i="59"/>
  <c r="DJ115" i="59"/>
  <c r="DK115" i="59"/>
  <c r="FF115" i="59"/>
  <c r="FH115" i="59"/>
  <c r="FI115" i="59"/>
  <c r="FJ115" i="59"/>
  <c r="FK115" i="59"/>
  <c r="HF115" i="59"/>
  <c r="HH115" i="59"/>
  <c r="HI115" i="59"/>
  <c r="HJ115" i="59"/>
  <c r="HK115" i="59"/>
  <c r="O116" i="59"/>
  <c r="Q116" i="59"/>
  <c r="R116" i="59"/>
  <c r="S116" i="59"/>
  <c r="T116" i="59"/>
  <c r="BO116" i="59"/>
  <c r="BQ116" i="59"/>
  <c r="BR116" i="59"/>
  <c r="BS116" i="59"/>
  <c r="BT116" i="59"/>
  <c r="DO116" i="59"/>
  <c r="DQ116" i="59"/>
  <c r="DR116" i="59"/>
  <c r="DS116" i="59"/>
  <c r="DT116" i="59"/>
  <c r="FO116" i="59"/>
  <c r="FQ116" i="59"/>
  <c r="FR116" i="59"/>
  <c r="FS116" i="59"/>
  <c r="FT116" i="59"/>
  <c r="HO116" i="59"/>
  <c r="HQ116" i="59"/>
  <c r="HR116" i="59"/>
  <c r="HS116" i="59"/>
  <c r="HT116" i="59"/>
  <c r="X117" i="59"/>
  <c r="Z117" i="59"/>
  <c r="AA117" i="59"/>
  <c r="AB117" i="59"/>
  <c r="AC117" i="59"/>
  <c r="BX117" i="59"/>
  <c r="BZ117" i="59"/>
  <c r="CA117" i="59"/>
  <c r="CB117" i="59"/>
  <c r="CC117" i="59"/>
  <c r="DX117" i="59"/>
  <c r="DZ117" i="59"/>
  <c r="EA117" i="59"/>
  <c r="EB117" i="59"/>
  <c r="EC117" i="59"/>
  <c r="FX117" i="59"/>
  <c r="FZ117" i="59"/>
  <c r="GA117" i="59"/>
  <c r="GB117" i="59"/>
  <c r="GC117" i="59"/>
  <c r="HX117" i="59"/>
  <c r="HZ117" i="59"/>
  <c r="IA117" i="59"/>
  <c r="IB117" i="59"/>
  <c r="IC117" i="59"/>
  <c r="AG118" i="59"/>
  <c r="AI118" i="59"/>
  <c r="AJ118" i="59"/>
  <c r="AK118" i="59"/>
  <c r="AL118" i="59"/>
  <c r="CG118" i="59"/>
  <c r="CI118" i="59"/>
  <c r="CJ118" i="59"/>
  <c r="CK118" i="59"/>
  <c r="CL118" i="59"/>
  <c r="EG118" i="59"/>
  <c r="EI118" i="59"/>
  <c r="EJ118" i="59"/>
  <c r="EK118" i="59"/>
  <c r="EL118" i="59"/>
  <c r="GG118" i="59"/>
  <c r="GI118" i="59"/>
  <c r="GJ118" i="59"/>
  <c r="GK118" i="59"/>
  <c r="GL118" i="59"/>
  <c r="IG118" i="59"/>
  <c r="II118" i="59"/>
  <c r="IJ118" i="59"/>
  <c r="IK118" i="59"/>
  <c r="IL118" i="59"/>
  <c r="AP119" i="59"/>
  <c r="AR119" i="59"/>
  <c r="AS119" i="59"/>
  <c r="AT119" i="59"/>
  <c r="AU119" i="59"/>
  <c r="CP119" i="59"/>
  <c r="CR119" i="59"/>
  <c r="CS119" i="59"/>
  <c r="CT119" i="59"/>
  <c r="CU119" i="59"/>
  <c r="EP119" i="59"/>
  <c r="ER119" i="59"/>
  <c r="ES119" i="59"/>
  <c r="ET119" i="59"/>
  <c r="EU119" i="59"/>
  <c r="GP119" i="59"/>
  <c r="GR119" i="59"/>
  <c r="GS119" i="59"/>
  <c r="GT119" i="59"/>
  <c r="GU119" i="59"/>
  <c r="IP119" i="59"/>
  <c r="IR119" i="59"/>
  <c r="IS119" i="59"/>
  <c r="IT119" i="59"/>
  <c r="IU119" i="59"/>
  <c r="AY120" i="59"/>
  <c r="BA120" i="59"/>
  <c r="BB120" i="59"/>
  <c r="BC120" i="59"/>
  <c r="BD120" i="59"/>
  <c r="CY120" i="59"/>
  <c r="DA120" i="59"/>
  <c r="DB120" i="59"/>
  <c r="DC120" i="59"/>
  <c r="DD120" i="59"/>
  <c r="EY120" i="59"/>
  <c r="FA120" i="59"/>
  <c r="FB120" i="59"/>
  <c r="FC120" i="59"/>
  <c r="FD120" i="59"/>
  <c r="GY120" i="59"/>
  <c r="GZ120" i="59"/>
  <c r="HA120" i="59"/>
  <c r="HB120" i="59"/>
  <c r="HC120" i="59"/>
  <c r="HD120" i="59"/>
  <c r="HE120" i="59"/>
  <c r="HF120" i="59"/>
  <c r="HG120" i="59"/>
  <c r="HH120" i="59"/>
  <c r="HI120" i="59"/>
  <c r="HJ120" i="59"/>
  <c r="HK120" i="59"/>
  <c r="H121" i="59"/>
  <c r="I121" i="59"/>
  <c r="J121" i="59"/>
  <c r="K121" i="59"/>
  <c r="L121" i="59"/>
  <c r="M121" i="59"/>
  <c r="N121" i="59"/>
  <c r="O121" i="59"/>
  <c r="P121" i="59"/>
  <c r="Q121" i="59"/>
  <c r="R121" i="59"/>
  <c r="S121" i="59"/>
  <c r="T121" i="59"/>
  <c r="U121" i="59"/>
  <c r="V121" i="59"/>
  <c r="W121" i="59"/>
  <c r="X121" i="59"/>
  <c r="Y121" i="59"/>
  <c r="Z121" i="59"/>
  <c r="AA121" i="59"/>
  <c r="AB121" i="59"/>
  <c r="AC121" i="59"/>
  <c r="AD121" i="59"/>
  <c r="AE121" i="59"/>
  <c r="AF121" i="59"/>
  <c r="AG121" i="59"/>
  <c r="AH121" i="59"/>
  <c r="AI121" i="59"/>
  <c r="AJ121" i="59"/>
  <c r="AK121" i="59"/>
  <c r="AL121" i="59"/>
  <c r="AM121" i="59"/>
  <c r="AN121" i="59"/>
  <c r="AO121" i="59"/>
  <c r="AP121" i="59"/>
  <c r="AQ121" i="59"/>
  <c r="AR121" i="59"/>
  <c r="AS121" i="59"/>
  <c r="AT121" i="59"/>
  <c r="AU121" i="59"/>
  <c r="AV121" i="59"/>
  <c r="AW121" i="59"/>
  <c r="AX121" i="59"/>
  <c r="AY121" i="59"/>
  <c r="AZ121" i="59"/>
  <c r="BA121" i="59"/>
  <c r="BB121" i="59"/>
  <c r="BC121" i="59"/>
  <c r="BD121" i="59"/>
  <c r="BE121" i="59"/>
  <c r="BF121" i="59"/>
  <c r="BG121" i="59"/>
  <c r="BH121" i="59"/>
  <c r="BI121" i="59"/>
  <c r="BJ121" i="59"/>
  <c r="BK121" i="59"/>
  <c r="BL121" i="59"/>
  <c r="BM121" i="59"/>
  <c r="BN121" i="59"/>
  <c r="BO121" i="59"/>
  <c r="BP121" i="59"/>
  <c r="BQ121" i="59"/>
  <c r="BR121" i="59"/>
  <c r="BS121" i="59"/>
  <c r="BT121" i="59"/>
  <c r="BU121" i="59"/>
  <c r="BV121" i="59"/>
  <c r="BW121" i="59"/>
  <c r="BX121" i="59"/>
  <c r="BY121" i="59"/>
  <c r="BZ121" i="59"/>
  <c r="CA121" i="59"/>
  <c r="CB121" i="59"/>
  <c r="CC121" i="59"/>
  <c r="CD121" i="59"/>
  <c r="CE121" i="59"/>
  <c r="CF121" i="59"/>
  <c r="CG121" i="59"/>
  <c r="CH121" i="59"/>
  <c r="CI121" i="59"/>
  <c r="CJ121" i="59"/>
  <c r="CK121" i="59"/>
  <c r="CL121" i="59"/>
  <c r="CM121" i="59"/>
  <c r="CN121" i="59"/>
  <c r="CO121" i="59"/>
  <c r="CP121" i="59"/>
  <c r="CQ121" i="59"/>
  <c r="CR121" i="59"/>
  <c r="CS121" i="59"/>
  <c r="CT121" i="59"/>
  <c r="CU121" i="59"/>
  <c r="CV121" i="59"/>
  <c r="CW121" i="59"/>
  <c r="CX121" i="59"/>
  <c r="CY121" i="59"/>
  <c r="CZ121" i="59"/>
  <c r="DA121" i="59"/>
  <c r="DB121" i="59"/>
  <c r="DC121" i="59"/>
  <c r="DD121" i="59"/>
  <c r="DE121" i="59"/>
  <c r="DF121" i="59"/>
  <c r="DG121" i="59"/>
  <c r="DH121" i="59"/>
  <c r="DI121" i="59"/>
  <c r="DJ121" i="59"/>
  <c r="DK121" i="59"/>
  <c r="DL121" i="59"/>
  <c r="DM121" i="59"/>
  <c r="DN121" i="59"/>
  <c r="DO121" i="59"/>
  <c r="DP121" i="59"/>
  <c r="DQ121" i="59"/>
  <c r="DR121" i="59"/>
  <c r="DS121" i="59"/>
  <c r="DT121" i="59"/>
  <c r="DU121" i="59"/>
  <c r="DV121" i="59"/>
  <c r="DW121" i="59"/>
  <c r="DX121" i="59"/>
  <c r="DY121" i="59"/>
  <c r="DZ121" i="59"/>
  <c r="EA121" i="59"/>
  <c r="EB121" i="59"/>
  <c r="EC121" i="59"/>
  <c r="ED121" i="59"/>
  <c r="EE121" i="59"/>
  <c r="EF121" i="59"/>
  <c r="EG121" i="59"/>
  <c r="EH121" i="59"/>
  <c r="EI121" i="59"/>
  <c r="EJ121" i="59"/>
  <c r="EK121" i="59"/>
  <c r="EL121" i="59"/>
  <c r="EM121" i="59"/>
  <c r="EN121" i="59"/>
  <c r="EO121" i="59"/>
  <c r="EP121" i="59"/>
  <c r="EQ121" i="59"/>
  <c r="ER121" i="59"/>
  <c r="ES121" i="59"/>
  <c r="ET121" i="59"/>
  <c r="EU121" i="59"/>
  <c r="EV121" i="59"/>
  <c r="EW121" i="59"/>
  <c r="EX121" i="59"/>
  <c r="EY121" i="59"/>
  <c r="EZ121" i="59"/>
  <c r="FA121" i="59"/>
  <c r="FB121" i="59"/>
  <c r="FC121" i="59"/>
  <c r="FD121" i="59"/>
  <c r="FE121" i="59"/>
  <c r="FF121" i="59"/>
  <c r="FG121" i="59"/>
  <c r="FH121" i="59"/>
  <c r="FI121" i="59"/>
  <c r="FJ121" i="59"/>
  <c r="FK121" i="59"/>
  <c r="FL121" i="59"/>
  <c r="FM121" i="59"/>
  <c r="FN121" i="59"/>
  <c r="FO121" i="59"/>
  <c r="FP121" i="59"/>
  <c r="FQ121" i="59"/>
  <c r="FR121" i="59"/>
  <c r="FS121" i="59"/>
  <c r="FT121" i="59"/>
  <c r="FU121" i="59"/>
  <c r="FV121" i="59"/>
  <c r="FW121" i="59"/>
  <c r="FX121" i="59"/>
  <c r="FY121" i="59"/>
  <c r="FZ121" i="59"/>
  <c r="GA121" i="59"/>
  <c r="GB121" i="59"/>
  <c r="GC121" i="59"/>
  <c r="GD121" i="59"/>
  <c r="GE121" i="59"/>
  <c r="GF121" i="59"/>
  <c r="GG121" i="59"/>
  <c r="GH121" i="59"/>
  <c r="GI121" i="59"/>
  <c r="GJ121" i="59"/>
  <c r="GK121" i="59"/>
  <c r="GL121" i="59"/>
  <c r="GM121" i="59"/>
  <c r="GN121" i="59"/>
  <c r="GO121" i="59"/>
  <c r="GP121" i="59"/>
  <c r="GQ121" i="59"/>
  <c r="GR121" i="59"/>
  <c r="GS121" i="59"/>
  <c r="GT121" i="59"/>
  <c r="GU121" i="59"/>
  <c r="GV121" i="59"/>
  <c r="GW121" i="59"/>
  <c r="GX121" i="59"/>
  <c r="GY121" i="59"/>
  <c r="GZ121" i="59"/>
  <c r="HA121" i="59"/>
  <c r="HB121" i="59"/>
  <c r="HC121" i="59"/>
  <c r="HD121" i="59"/>
  <c r="HE121" i="59"/>
  <c r="HF121" i="59"/>
  <c r="HG121" i="59"/>
  <c r="HH121" i="59"/>
  <c r="HI121" i="59"/>
  <c r="HJ121" i="59"/>
  <c r="HK121" i="59"/>
  <c r="HL121" i="59"/>
  <c r="HM121" i="59"/>
  <c r="HN121" i="59"/>
  <c r="HO121" i="59"/>
  <c r="HP121" i="59"/>
  <c r="HQ121" i="59"/>
  <c r="HR121" i="59"/>
  <c r="HS121" i="59"/>
  <c r="HT121" i="59"/>
  <c r="P122" i="59"/>
  <c r="Q122" i="59"/>
  <c r="S122" i="59"/>
  <c r="T122" i="59"/>
  <c r="U122" i="59"/>
  <c r="V122" i="59"/>
  <c r="BQ122" i="59"/>
  <c r="BS122" i="59"/>
  <c r="BT122" i="59"/>
  <c r="BU122" i="59"/>
  <c r="BV122" i="59"/>
  <c r="DQ122" i="59"/>
  <c r="DS122" i="59"/>
  <c r="DT122" i="59"/>
  <c r="DU122" i="59"/>
  <c r="DV122" i="59"/>
  <c r="FQ122" i="59"/>
  <c r="FS122" i="59"/>
  <c r="FT122" i="59"/>
  <c r="FU122" i="59"/>
  <c r="FV122" i="59"/>
  <c r="HQ122" i="59"/>
  <c r="HS122" i="59"/>
  <c r="HT122" i="59"/>
  <c r="HU122" i="59"/>
  <c r="HV122" i="59"/>
  <c r="Z123" i="59"/>
  <c r="AB123" i="59"/>
  <c r="AC123" i="59"/>
  <c r="AD123" i="59"/>
  <c r="AE123" i="59"/>
  <c r="BZ123" i="59"/>
  <c r="CB123" i="59"/>
  <c r="CC123" i="59"/>
  <c r="CD123" i="59"/>
  <c r="CE123" i="59"/>
  <c r="DZ123" i="59"/>
  <c r="EB123" i="59"/>
  <c r="EC123" i="59"/>
  <c r="ED123" i="59"/>
  <c r="EE123" i="59"/>
  <c r="FZ123" i="59"/>
  <c r="GB123" i="59"/>
  <c r="GC123" i="59"/>
  <c r="GD123" i="59"/>
  <c r="GE123" i="59"/>
  <c r="HZ123" i="59"/>
  <c r="IB123" i="59"/>
  <c r="IC123" i="59"/>
  <c r="ID123" i="59"/>
  <c r="IE123" i="59"/>
  <c r="AI124" i="59"/>
  <c r="AK124" i="59"/>
  <c r="AL124" i="59"/>
  <c r="AM124" i="59"/>
  <c r="AN124" i="59"/>
  <c r="CI124" i="59"/>
  <c r="CK124" i="59"/>
  <c r="CL124" i="59"/>
  <c r="CM124" i="59"/>
  <c r="CN124" i="59"/>
  <c r="EI124" i="59"/>
  <c r="EK124" i="59"/>
  <c r="EL124" i="59"/>
  <c r="EM124" i="59"/>
  <c r="EN124" i="59"/>
  <c r="GI124" i="59"/>
  <c r="GK124" i="59"/>
  <c r="GL124" i="59"/>
  <c r="GM124" i="59"/>
  <c r="GN124" i="59"/>
  <c r="II124" i="59"/>
  <c r="IK124" i="59"/>
  <c r="IL124" i="59"/>
  <c r="IM124" i="59"/>
  <c r="IN124" i="59"/>
  <c r="AR125" i="59"/>
  <c r="AT125" i="59"/>
  <c r="AU125" i="59"/>
  <c r="AV125" i="59"/>
  <c r="AW125" i="59"/>
  <c r="CR125" i="59"/>
  <c r="CT125" i="59"/>
  <c r="CU125" i="59"/>
  <c r="CV125" i="59"/>
  <c r="CW125" i="59"/>
  <c r="ER125" i="59"/>
  <c r="ET125" i="59"/>
  <c r="EU125" i="59"/>
  <c r="EV125" i="59"/>
  <c r="EW125" i="59"/>
  <c r="GR125" i="59"/>
  <c r="GT125" i="59"/>
  <c r="GU125" i="59"/>
  <c r="GV125" i="59"/>
  <c r="GW125" i="59"/>
  <c r="IR125" i="59"/>
  <c r="IT125" i="59"/>
  <c r="IU125" i="59"/>
  <c r="IV125" i="59"/>
  <c r="F126" i="59"/>
  <c r="BA126" i="59"/>
  <c r="BC126" i="59"/>
  <c r="BD126" i="59"/>
  <c r="BE126" i="59"/>
  <c r="BF126" i="59"/>
  <c r="DA126" i="59"/>
  <c r="DC126" i="59"/>
  <c r="DD126" i="59"/>
  <c r="DE126" i="59"/>
  <c r="DF126" i="59"/>
  <c r="FA126" i="59"/>
  <c r="FC126" i="59"/>
  <c r="FD126" i="59"/>
  <c r="FE126" i="59"/>
  <c r="FF126" i="59"/>
  <c r="HA126" i="59"/>
  <c r="HC126" i="59"/>
  <c r="HD126" i="59"/>
  <c r="HE126" i="59"/>
  <c r="HF126" i="59"/>
  <c r="J127" i="59"/>
  <c r="L127" i="59"/>
  <c r="M127" i="59"/>
  <c r="N127" i="59"/>
  <c r="O127" i="59"/>
  <c r="BJ127" i="59"/>
  <c r="BL127" i="59"/>
  <c r="BM127" i="59"/>
  <c r="BN127" i="59"/>
  <c r="BO127" i="59"/>
  <c r="DJ127" i="59"/>
  <c r="DL127" i="59"/>
  <c r="DM127" i="59"/>
  <c r="DN127" i="59"/>
  <c r="DO127" i="59"/>
  <c r="FJ127" i="59"/>
  <c r="FL127" i="59"/>
  <c r="FM127" i="59"/>
  <c r="FN127" i="59"/>
  <c r="FO127" i="59"/>
  <c r="HJ127" i="59"/>
  <c r="HL127" i="59"/>
  <c r="HM127" i="59"/>
  <c r="HN127" i="59"/>
  <c r="HO127" i="59"/>
  <c r="S128" i="59"/>
  <c r="U128" i="59"/>
  <c r="V128" i="59"/>
  <c r="W128" i="59"/>
  <c r="X128" i="59"/>
  <c r="BS128" i="59"/>
  <c r="BT128" i="59"/>
  <c r="BU128" i="59"/>
  <c r="BV128" i="59"/>
  <c r="BW128" i="59"/>
  <c r="BX128" i="59"/>
  <c r="BY128" i="59"/>
  <c r="BZ128" i="59"/>
  <c r="CA128" i="59"/>
  <c r="CB128" i="59"/>
  <c r="CC128" i="59"/>
  <c r="CD128" i="59"/>
  <c r="CE128" i="59"/>
  <c r="DS128" i="59"/>
  <c r="DT128" i="59"/>
  <c r="DU128" i="59"/>
  <c r="DV128" i="59"/>
  <c r="DW128" i="59"/>
  <c r="DX128" i="59"/>
  <c r="DY128" i="59"/>
  <c r="DZ128" i="59"/>
  <c r="EA128" i="59"/>
  <c r="EB128" i="59"/>
  <c r="EC128" i="59"/>
  <c r="ED128" i="59"/>
  <c r="EE128" i="59"/>
  <c r="EF128" i="59"/>
  <c r="EG128" i="59"/>
  <c r="EH128" i="59"/>
  <c r="EI128" i="59"/>
  <c r="EJ128" i="59"/>
  <c r="EK128" i="59"/>
  <c r="EL128" i="59"/>
  <c r="EM128" i="59"/>
  <c r="EN128" i="59"/>
  <c r="EO128" i="59"/>
  <c r="EP128" i="59"/>
  <c r="EQ128" i="59"/>
  <c r="ER128" i="59"/>
  <c r="ES128" i="59"/>
  <c r="ET128" i="59"/>
  <c r="EU128" i="59"/>
  <c r="EV128" i="59"/>
  <c r="EW128" i="59"/>
  <c r="EX128" i="59"/>
  <c r="EY128" i="59"/>
  <c r="EZ128" i="59"/>
  <c r="FA128" i="59"/>
  <c r="FB128" i="59"/>
  <c r="FC128" i="59"/>
  <c r="FD128" i="59"/>
  <c r="FE128" i="59"/>
  <c r="FF128" i="59"/>
  <c r="FG128" i="59"/>
  <c r="FH128" i="59"/>
  <c r="FI128" i="59"/>
  <c r="FJ128" i="59"/>
  <c r="FK128" i="59"/>
  <c r="FL128" i="59"/>
  <c r="FM128" i="59"/>
  <c r="FN128" i="59"/>
  <c r="FO128" i="59"/>
  <c r="FP128" i="59"/>
  <c r="FQ128" i="59"/>
  <c r="FR128" i="59"/>
  <c r="FS128" i="59"/>
  <c r="FT128" i="59"/>
  <c r="FU128" i="59"/>
  <c r="FV128" i="59"/>
  <c r="FW128" i="59"/>
  <c r="FX128" i="59"/>
  <c r="FY128" i="59"/>
  <c r="FZ128" i="59"/>
  <c r="GA128" i="59"/>
  <c r="GB128" i="59"/>
  <c r="GC128" i="59"/>
  <c r="GD128" i="59"/>
  <c r="GE128" i="59"/>
  <c r="GF128" i="59"/>
  <c r="GG128" i="59"/>
  <c r="GH128" i="59"/>
  <c r="GI128" i="59"/>
  <c r="GJ128" i="59"/>
  <c r="GK128" i="59"/>
  <c r="GL128" i="59"/>
  <c r="GM128" i="59"/>
  <c r="GN128" i="59"/>
  <c r="GO128" i="59"/>
  <c r="GP128" i="59"/>
  <c r="GQ128" i="59"/>
  <c r="GR128" i="59"/>
  <c r="GS128" i="59"/>
  <c r="GT128" i="59"/>
  <c r="GU128" i="59"/>
  <c r="GV128" i="59"/>
  <c r="GW128" i="59"/>
  <c r="GX128" i="59"/>
  <c r="GY128" i="59"/>
  <c r="GZ128" i="59"/>
  <c r="HA128" i="59"/>
  <c r="HB128" i="59"/>
  <c r="HC128" i="59"/>
  <c r="HD128" i="59"/>
  <c r="HE128" i="59"/>
  <c r="HF128" i="59"/>
  <c r="HG128" i="59"/>
  <c r="HH128" i="59"/>
  <c r="HI128" i="59"/>
  <c r="HJ128" i="59"/>
  <c r="HK128" i="59"/>
  <c r="HL128" i="59"/>
  <c r="HM128" i="59"/>
  <c r="HN128" i="59"/>
  <c r="HO128" i="59"/>
  <c r="HP128" i="59"/>
  <c r="HQ128" i="59"/>
  <c r="HR128" i="59"/>
  <c r="HS128" i="59"/>
  <c r="HT128" i="59"/>
  <c r="HU128" i="59"/>
  <c r="HV128" i="59"/>
  <c r="HW128" i="59"/>
  <c r="HX128" i="59"/>
  <c r="HY128" i="59"/>
  <c r="HZ128" i="59"/>
  <c r="IA128" i="59"/>
  <c r="IB128" i="59"/>
  <c r="IC128" i="59"/>
  <c r="ID128" i="59"/>
  <c r="IE128" i="59"/>
  <c r="IF128" i="59"/>
  <c r="IG128" i="59"/>
  <c r="IH128" i="59"/>
  <c r="II128" i="59"/>
  <c r="IJ128" i="59"/>
  <c r="IK128" i="59"/>
  <c r="IL128" i="59"/>
  <c r="IM128" i="59"/>
  <c r="IN128" i="59"/>
  <c r="IO128" i="59"/>
  <c r="IP128" i="59"/>
  <c r="IQ128" i="59"/>
  <c r="IR128" i="59"/>
  <c r="IS128" i="59"/>
  <c r="IT128" i="59"/>
  <c r="IU128" i="59"/>
  <c r="IV128" i="59"/>
  <c r="F129" i="59"/>
  <c r="G129" i="59"/>
  <c r="H129" i="59"/>
  <c r="I129" i="59"/>
  <c r="J129" i="59"/>
  <c r="K129" i="59"/>
  <c r="L129" i="59"/>
  <c r="M129" i="59"/>
  <c r="N129" i="59"/>
  <c r="O129" i="59"/>
  <c r="P129" i="59"/>
  <c r="Q129" i="59"/>
  <c r="R129" i="59"/>
  <c r="S129" i="59"/>
  <c r="T129" i="59"/>
  <c r="U129" i="59"/>
  <c r="V129" i="59"/>
  <c r="W129" i="59"/>
  <c r="X129" i="59"/>
  <c r="Y129" i="59"/>
  <c r="Z129" i="59"/>
  <c r="AA129" i="59"/>
  <c r="AB129" i="59"/>
  <c r="AC129" i="59"/>
  <c r="AD129" i="59"/>
  <c r="AE129" i="59"/>
  <c r="AF129" i="59"/>
  <c r="AG129" i="59"/>
  <c r="AH129" i="59"/>
  <c r="AI129" i="59"/>
  <c r="AJ129" i="59"/>
  <c r="AK129" i="59"/>
  <c r="AL129" i="59"/>
  <c r="AM129" i="59"/>
  <c r="AN129" i="59"/>
  <c r="AO129" i="59"/>
  <c r="AP129" i="59"/>
  <c r="AQ129" i="59"/>
  <c r="AR129" i="59"/>
  <c r="AS129" i="59"/>
  <c r="AT129" i="59"/>
  <c r="AU129" i="59"/>
  <c r="AV129" i="59"/>
  <c r="AW129" i="59"/>
  <c r="AX129" i="59"/>
  <c r="AY129" i="59"/>
  <c r="AZ129" i="59"/>
  <c r="BA129" i="59"/>
  <c r="BB129" i="59"/>
  <c r="BC129" i="59"/>
  <c r="BD129" i="59"/>
  <c r="BE129" i="59"/>
  <c r="BF129" i="59"/>
  <c r="BG129" i="59"/>
  <c r="BH129" i="59"/>
  <c r="BI129" i="59"/>
  <c r="BJ129" i="59"/>
  <c r="BK129" i="59"/>
  <c r="BL129" i="59"/>
  <c r="BM129" i="59"/>
  <c r="BN129" i="59"/>
  <c r="BO129" i="59"/>
  <c r="BP129" i="59"/>
  <c r="BQ129" i="59"/>
  <c r="BR129" i="59"/>
  <c r="BS129" i="59"/>
  <c r="BT129" i="59"/>
  <c r="BU129" i="59"/>
  <c r="BV129" i="59"/>
  <c r="BW129" i="59"/>
  <c r="BX129" i="59"/>
  <c r="BY129" i="59"/>
  <c r="BZ129" i="59"/>
  <c r="CA129" i="59"/>
  <c r="CB129" i="59"/>
  <c r="CC129" i="59"/>
  <c r="CD129" i="59"/>
  <c r="CE129" i="59"/>
  <c r="CF129" i="59"/>
  <c r="CG129" i="59"/>
  <c r="CH129" i="59"/>
  <c r="CI129" i="59"/>
  <c r="CJ129" i="59"/>
  <c r="CK129" i="59"/>
  <c r="CL129" i="59"/>
  <c r="CM129" i="59"/>
  <c r="CN129" i="59"/>
  <c r="EA129" i="59"/>
  <c r="EB129" i="59"/>
  <c r="ED129" i="59"/>
  <c r="EE129" i="59"/>
  <c r="EF129" i="59"/>
  <c r="EG129" i="59"/>
  <c r="GB129" i="59"/>
  <c r="GD129" i="59"/>
  <c r="GE129" i="59"/>
  <c r="GF129" i="59"/>
  <c r="GG129" i="59"/>
  <c r="IB129" i="59"/>
  <c r="ID129" i="59"/>
  <c r="IE129" i="59"/>
  <c r="IF129" i="59"/>
  <c r="IG129" i="59"/>
  <c r="AK130" i="59"/>
  <c r="AM130" i="59"/>
  <c r="AN130" i="59"/>
  <c r="AO130" i="59"/>
  <c r="AP130" i="59"/>
  <c r="CK130" i="59"/>
  <c r="CM130" i="59"/>
  <c r="CN130" i="59"/>
  <c r="CO130" i="59"/>
  <c r="CP130" i="59"/>
  <c r="EK130" i="59"/>
  <c r="EM130" i="59"/>
  <c r="EN130" i="59"/>
  <c r="EO130" i="59"/>
  <c r="EP130" i="59"/>
  <c r="GK130" i="59"/>
  <c r="GM130" i="59"/>
  <c r="GN130" i="59"/>
  <c r="GO130" i="59"/>
  <c r="GP130" i="59"/>
  <c r="IK130" i="59"/>
  <c r="IM130" i="59"/>
  <c r="IN130" i="59"/>
  <c r="IO130" i="59"/>
  <c r="IP130" i="59"/>
  <c r="AT131" i="59"/>
  <c r="AV131" i="59"/>
  <c r="AW131" i="59"/>
  <c r="AX131" i="59"/>
  <c r="AY131" i="59"/>
  <c r="CT131" i="59"/>
  <c r="CV131" i="59"/>
  <c r="CW131" i="59"/>
  <c r="CX131" i="59"/>
  <c r="CY131" i="59"/>
  <c r="ET131" i="59"/>
  <c r="EV131" i="59"/>
  <c r="EW131" i="59"/>
  <c r="EX131" i="59"/>
  <c r="EY131" i="59"/>
  <c r="GT131" i="59"/>
  <c r="GV131" i="59"/>
  <c r="GW131" i="59"/>
  <c r="GX131" i="59"/>
  <c r="GY131" i="59"/>
  <c r="IT131" i="59"/>
  <c r="IV131" i="59"/>
  <c r="F132" i="59"/>
  <c r="G132" i="59"/>
  <c r="H132" i="59"/>
  <c r="BC132" i="59"/>
  <c r="BE132" i="59"/>
  <c r="BF132" i="59"/>
  <c r="BG132" i="59"/>
  <c r="BH132" i="59"/>
  <c r="DC132" i="59"/>
  <c r="DE132" i="59"/>
  <c r="DF132" i="59"/>
  <c r="DG132" i="59"/>
  <c r="DH132" i="59"/>
  <c r="FC132" i="59"/>
  <c r="FE132" i="59"/>
  <c r="FF132" i="59"/>
  <c r="FG132" i="59"/>
  <c r="FH132" i="59"/>
  <c r="HC132" i="59"/>
  <c r="HE132" i="59"/>
  <c r="HF132" i="59"/>
  <c r="HG132" i="59"/>
  <c r="HH132" i="59"/>
  <c r="L133" i="59"/>
  <c r="N133" i="59"/>
  <c r="O133" i="59"/>
  <c r="P133" i="59"/>
  <c r="Q133" i="59"/>
  <c r="BL133" i="59"/>
  <c r="BN133" i="59"/>
  <c r="BO133" i="59"/>
  <c r="BP133" i="59"/>
  <c r="BQ133" i="59"/>
  <c r="DL133" i="59"/>
  <c r="DN133" i="59"/>
  <c r="DO133" i="59"/>
  <c r="DP133" i="59"/>
  <c r="DQ133" i="59"/>
  <c r="FL133" i="59"/>
  <c r="FN133" i="59"/>
  <c r="FO133" i="59"/>
  <c r="FP133" i="59"/>
  <c r="FQ133" i="59"/>
  <c r="HL133" i="59"/>
  <c r="HN133" i="59"/>
  <c r="HO133" i="59"/>
  <c r="HP133" i="59"/>
  <c r="HQ133" i="59"/>
  <c r="U134" i="59"/>
  <c r="W134" i="59"/>
  <c r="X134" i="59"/>
  <c r="Y134" i="59"/>
  <c r="Z134" i="59"/>
  <c r="BU134" i="59"/>
  <c r="BW134" i="59"/>
  <c r="BX134" i="59"/>
  <c r="BY134" i="59"/>
  <c r="BZ134" i="59"/>
  <c r="DU134" i="59"/>
  <c r="DW134" i="59"/>
  <c r="DX134" i="59"/>
  <c r="DY134" i="59"/>
  <c r="DZ134" i="59"/>
  <c r="FU134" i="59"/>
  <c r="FW134" i="59"/>
  <c r="FX134" i="59"/>
  <c r="FY134" i="59"/>
  <c r="FZ134" i="59"/>
  <c r="HU134" i="59"/>
  <c r="HW134" i="59"/>
  <c r="HX134" i="59"/>
  <c r="HY134" i="59"/>
  <c r="HZ134" i="59"/>
  <c r="AD135" i="59"/>
  <c r="AF135" i="59"/>
  <c r="AG135" i="59"/>
  <c r="AH135" i="59"/>
  <c r="AI135" i="59"/>
  <c r="CD135" i="59"/>
  <c r="CF135" i="59"/>
  <c r="CG135" i="59"/>
  <c r="CH135" i="59"/>
  <c r="CI135" i="59"/>
  <c r="ED135" i="59"/>
  <c r="EF135" i="59"/>
  <c r="EG135" i="59"/>
  <c r="EH135" i="59"/>
  <c r="EI135" i="59"/>
  <c r="GD135" i="59"/>
  <c r="GE135" i="59"/>
  <c r="GF135" i="59"/>
  <c r="GG135" i="59"/>
  <c r="GH135" i="59"/>
  <c r="GI135" i="59"/>
  <c r="GJ135" i="59"/>
  <c r="GK135" i="59"/>
  <c r="GL135" i="59"/>
  <c r="GM135" i="59"/>
  <c r="GN135" i="59"/>
  <c r="GO135" i="59"/>
  <c r="GP135" i="59"/>
  <c r="ID135" i="59"/>
  <c r="IE135" i="59"/>
  <c r="IF135" i="59"/>
  <c r="IG135" i="59"/>
  <c r="IH135" i="59"/>
  <c r="II135" i="59"/>
  <c r="IJ135" i="59"/>
  <c r="IK135" i="59"/>
  <c r="IL135" i="59"/>
  <c r="IM135" i="59"/>
  <c r="IN135" i="59"/>
  <c r="IO135" i="59"/>
  <c r="IP135" i="59"/>
  <c r="IQ135" i="59"/>
  <c r="IR135" i="59"/>
  <c r="IS135" i="59"/>
  <c r="IT135" i="59"/>
  <c r="IU135" i="59"/>
  <c r="IV135" i="59"/>
  <c r="F136" i="59"/>
  <c r="G136" i="59"/>
  <c r="H136" i="59"/>
  <c r="I136" i="59"/>
  <c r="J136" i="59"/>
  <c r="K136" i="59"/>
  <c r="L136" i="59"/>
  <c r="M136" i="59"/>
  <c r="N136" i="59"/>
  <c r="O136" i="59"/>
  <c r="P136" i="59"/>
  <c r="Q136" i="59"/>
  <c r="R136" i="59"/>
  <c r="S136" i="59"/>
  <c r="T136" i="59"/>
  <c r="U136" i="59"/>
  <c r="V136" i="59"/>
  <c r="W136" i="59"/>
  <c r="X136" i="59"/>
  <c r="Y136" i="59"/>
  <c r="Z136" i="59"/>
  <c r="AA136" i="59"/>
  <c r="AB136" i="59"/>
  <c r="AC136" i="59"/>
  <c r="AD136" i="59"/>
  <c r="AE136" i="59"/>
  <c r="AF136" i="59"/>
  <c r="AG136" i="59"/>
  <c r="AH136" i="59"/>
  <c r="AI136" i="59"/>
  <c r="AJ136" i="59"/>
  <c r="AK136" i="59"/>
  <c r="AL136" i="59"/>
  <c r="AM136" i="59"/>
  <c r="AN136" i="59"/>
  <c r="AO136" i="59"/>
  <c r="AP136" i="59"/>
  <c r="AQ136" i="59"/>
  <c r="AR136" i="59"/>
  <c r="AS136" i="59"/>
  <c r="AT136" i="59"/>
  <c r="AU136" i="59"/>
  <c r="AV136" i="59"/>
  <c r="AW136" i="59"/>
  <c r="AX136" i="59"/>
  <c r="AY136" i="59"/>
  <c r="AZ136" i="59"/>
  <c r="BA136" i="59"/>
  <c r="BB136" i="59"/>
  <c r="BC136" i="59"/>
  <c r="BD136" i="59"/>
  <c r="BE136" i="59"/>
  <c r="BF136" i="59"/>
  <c r="BG136" i="59"/>
  <c r="BH136" i="59"/>
  <c r="BI136" i="59"/>
  <c r="BJ136" i="59"/>
  <c r="BK136" i="59"/>
  <c r="BL136" i="59"/>
  <c r="BM136" i="59"/>
  <c r="BN136" i="59"/>
  <c r="BO136" i="59"/>
  <c r="BP136" i="59"/>
  <c r="BQ136" i="59"/>
  <c r="BR136" i="59"/>
  <c r="BS136" i="59"/>
  <c r="BT136" i="59"/>
  <c r="BU136" i="59"/>
  <c r="BV136" i="59"/>
  <c r="BW136" i="59"/>
  <c r="BX136" i="59"/>
  <c r="BY136" i="59"/>
  <c r="BZ136" i="59"/>
  <c r="CA136" i="59"/>
  <c r="CB136" i="59"/>
  <c r="CC136" i="59"/>
  <c r="CD136" i="59"/>
  <c r="CE136" i="59"/>
  <c r="CF136" i="59"/>
  <c r="CG136" i="59"/>
  <c r="CH136" i="59"/>
  <c r="CI136" i="59"/>
  <c r="CJ136" i="59"/>
  <c r="CK136" i="59"/>
  <c r="CL136" i="59"/>
  <c r="CM136" i="59"/>
  <c r="CN136" i="59"/>
  <c r="CO136" i="59"/>
  <c r="CP136" i="59"/>
  <c r="CQ136" i="59"/>
  <c r="CR136" i="59"/>
  <c r="CS136" i="59"/>
  <c r="CT136" i="59"/>
  <c r="CU136" i="59"/>
  <c r="CV136" i="59"/>
  <c r="CW136" i="59"/>
  <c r="CX136" i="59"/>
  <c r="CY136" i="59"/>
  <c r="CZ136" i="59"/>
  <c r="DA136" i="59"/>
  <c r="DB136" i="59"/>
  <c r="DC136" i="59"/>
  <c r="DD136" i="59"/>
  <c r="DE136" i="59"/>
  <c r="DF136" i="59"/>
  <c r="DG136" i="59"/>
  <c r="DH136" i="59"/>
  <c r="DI136" i="59"/>
  <c r="DJ136" i="59"/>
  <c r="DK136" i="59"/>
  <c r="DL136" i="59"/>
  <c r="DM136" i="59"/>
  <c r="DN136" i="59"/>
  <c r="DO136" i="59"/>
  <c r="DP136" i="59"/>
  <c r="DQ136" i="59"/>
  <c r="DR136" i="59"/>
  <c r="DS136" i="59"/>
  <c r="DT136" i="59"/>
  <c r="DU136" i="59"/>
  <c r="DV136" i="59"/>
  <c r="DW136" i="59"/>
  <c r="DX136" i="59"/>
  <c r="DY136" i="59"/>
  <c r="DZ136" i="59"/>
  <c r="EA136" i="59"/>
  <c r="EB136" i="59"/>
  <c r="EC136" i="59"/>
  <c r="ED136" i="59"/>
  <c r="EE136" i="59"/>
  <c r="EF136" i="59"/>
  <c r="EG136" i="59"/>
  <c r="EH136" i="59"/>
  <c r="EI136" i="59"/>
  <c r="EJ136" i="59"/>
  <c r="EK136" i="59"/>
  <c r="EL136" i="59"/>
  <c r="EM136" i="59"/>
  <c r="EN136" i="59"/>
  <c r="EO136" i="59"/>
  <c r="EP136" i="59"/>
  <c r="EQ136" i="59"/>
  <c r="ER136" i="59"/>
  <c r="ES136" i="59"/>
  <c r="ET136" i="59"/>
  <c r="EU136" i="59"/>
  <c r="EV136" i="59"/>
  <c r="EW136" i="59"/>
  <c r="EX136" i="59"/>
  <c r="EY136" i="59"/>
  <c r="EZ136" i="59"/>
  <c r="FA136" i="59"/>
  <c r="FB136" i="59"/>
  <c r="FC136" i="59"/>
  <c r="FD136" i="59"/>
  <c r="FE136" i="59"/>
  <c r="FF136" i="59"/>
  <c r="FG136" i="59"/>
  <c r="FH136" i="59"/>
  <c r="FI136" i="59"/>
  <c r="FJ136" i="59"/>
  <c r="FK136" i="59"/>
  <c r="FL136" i="59"/>
  <c r="FM136" i="59"/>
  <c r="FN136" i="59"/>
  <c r="FO136" i="59"/>
  <c r="FP136" i="59"/>
  <c r="FQ136" i="59"/>
  <c r="FR136" i="59"/>
  <c r="FS136" i="59"/>
  <c r="FT136" i="59"/>
  <c r="FU136" i="59"/>
  <c r="FV136" i="59"/>
  <c r="FW136" i="59"/>
  <c r="FX136" i="59"/>
  <c r="FY136" i="59"/>
  <c r="FZ136" i="59"/>
  <c r="GA136" i="59"/>
  <c r="GB136" i="59"/>
  <c r="GC136" i="59"/>
  <c r="GD136" i="59"/>
  <c r="GE136" i="59"/>
  <c r="GF136" i="59"/>
  <c r="GG136" i="59"/>
  <c r="GH136" i="59"/>
  <c r="GI136" i="59"/>
  <c r="GJ136" i="59"/>
  <c r="GK136" i="59"/>
  <c r="GL136" i="59"/>
  <c r="GM136" i="59"/>
  <c r="GN136" i="59"/>
  <c r="GO136" i="59"/>
  <c r="GP136" i="59"/>
  <c r="GQ136" i="59"/>
  <c r="GR136" i="59"/>
  <c r="GS136" i="59"/>
  <c r="GT136" i="59"/>
  <c r="GU136" i="59"/>
  <c r="GV136" i="59"/>
  <c r="GW136" i="59"/>
  <c r="GX136" i="59"/>
  <c r="GY136" i="59"/>
  <c r="IL136" i="59"/>
  <c r="IN136" i="59"/>
  <c r="IO136" i="59"/>
  <c r="IP136" i="59"/>
  <c r="IQ136" i="59"/>
  <c r="IV136" i="59"/>
  <c r="F137" i="59"/>
  <c r="G137" i="59"/>
  <c r="AT137" i="59"/>
  <c r="AV137" i="59"/>
  <c r="AW137" i="59"/>
  <c r="AX137" i="59"/>
  <c r="AY137" i="59"/>
  <c r="BD137" i="59"/>
  <c r="BE137" i="59"/>
  <c r="BF137" i="59"/>
  <c r="CS137" i="59"/>
  <c r="CU137" i="59"/>
  <c r="CV137" i="59"/>
  <c r="CW137" i="59"/>
  <c r="CX137" i="59"/>
  <c r="DC137" i="59"/>
  <c r="DD137" i="59"/>
  <c r="DE137" i="59"/>
  <c r="ER137" i="59"/>
  <c r="ET137" i="59"/>
  <c r="EU137" i="59"/>
  <c r="EV137" i="59"/>
  <c r="EW137" i="59"/>
  <c r="FB137" i="59"/>
  <c r="FC137" i="59"/>
  <c r="FD137" i="59"/>
  <c r="GQ137" i="59"/>
  <c r="GS137" i="59"/>
  <c r="GT137" i="59"/>
  <c r="GU137" i="59"/>
  <c r="GV137" i="59"/>
  <c r="HA137" i="59"/>
  <c r="HB137" i="59"/>
  <c r="HC137" i="59"/>
  <c r="IP137" i="59"/>
  <c r="IR137" i="59"/>
  <c r="IS137" i="59"/>
  <c r="IT137" i="59"/>
  <c r="IU137" i="59"/>
  <c r="I138" i="59"/>
  <c r="J138" i="59"/>
  <c r="K138" i="59"/>
  <c r="AX138" i="59"/>
  <c r="AZ138" i="59"/>
  <c r="BA138" i="59"/>
  <c r="BB138" i="59"/>
  <c r="BC138" i="59"/>
  <c r="BH138" i="59"/>
  <c r="BI138" i="59"/>
  <c r="BJ138" i="59"/>
  <c r="CW138" i="59"/>
  <c r="CY138" i="59"/>
  <c r="CZ138" i="59"/>
  <c r="DA138" i="59"/>
  <c r="DB138" i="59"/>
  <c r="DG138" i="59"/>
  <c r="DH138" i="59"/>
  <c r="DI138" i="59"/>
  <c r="EV138" i="59"/>
  <c r="EX138" i="59"/>
  <c r="EY138" i="59"/>
  <c r="EZ138" i="59"/>
  <c r="FA138" i="59"/>
  <c r="FF138" i="59"/>
  <c r="FG138" i="59"/>
  <c r="FH138" i="59"/>
  <c r="GU138" i="59"/>
  <c r="GW138" i="59"/>
  <c r="GX138" i="59"/>
  <c r="GY138" i="59"/>
  <c r="GZ138" i="59"/>
  <c r="HE138" i="59"/>
  <c r="HF138" i="59"/>
  <c r="HG138" i="59"/>
  <c r="IT138" i="59"/>
  <c r="IV138" i="59"/>
  <c r="F139" i="59"/>
  <c r="G139" i="59"/>
  <c r="H139" i="59"/>
  <c r="M139" i="59"/>
  <c r="N139" i="59"/>
  <c r="O139" i="59"/>
  <c r="BB139" i="59"/>
  <c r="BD139" i="59"/>
  <c r="BE139" i="59"/>
  <c r="BF139" i="59"/>
  <c r="BG139" i="59"/>
  <c r="BL139" i="59"/>
  <c r="BM139" i="59"/>
  <c r="BN139" i="59"/>
  <c r="DA139" i="59"/>
  <c r="DC139" i="59"/>
  <c r="DD139" i="59"/>
  <c r="DE139" i="59"/>
  <c r="DF139" i="59"/>
  <c r="DK139" i="59"/>
  <c r="DL139" i="59"/>
  <c r="DM139" i="59"/>
  <c r="EZ139" i="59"/>
  <c r="FB139" i="59"/>
  <c r="FC139" i="59"/>
  <c r="FD139" i="59"/>
  <c r="FE139" i="59"/>
  <c r="FJ139" i="59"/>
  <c r="FK139" i="59"/>
  <c r="FL139" i="59"/>
  <c r="GY139" i="59"/>
  <c r="HA139" i="59"/>
  <c r="HB139" i="59"/>
  <c r="HC139" i="59"/>
  <c r="HD139" i="59"/>
  <c r="HI139" i="59"/>
  <c r="HJ139" i="59"/>
  <c r="HK139" i="59"/>
  <c r="G140" i="59"/>
  <c r="I140" i="59"/>
  <c r="J140" i="59"/>
  <c r="K140" i="59"/>
  <c r="L140" i="59"/>
  <c r="Q140" i="59"/>
  <c r="R140" i="59"/>
  <c r="S140" i="59"/>
  <c r="BF140" i="59"/>
  <c r="BH140" i="59"/>
  <c r="BI140" i="59"/>
  <c r="BJ140" i="59"/>
  <c r="BK140" i="59"/>
  <c r="BP140" i="59"/>
  <c r="BQ140" i="59"/>
  <c r="BR140" i="59"/>
  <c r="DE140" i="59"/>
  <c r="DG140" i="59"/>
  <c r="DH140" i="59"/>
  <c r="DI140" i="59"/>
  <c r="DJ140" i="59"/>
  <c r="DO140" i="59"/>
  <c r="DP140" i="59"/>
  <c r="DQ140" i="59"/>
  <c r="FD140" i="59"/>
  <c r="FF140" i="59"/>
  <c r="FG140" i="59"/>
  <c r="FH140" i="59"/>
  <c r="FI140" i="59"/>
  <c r="FN140" i="59"/>
  <c r="FO140" i="59"/>
  <c r="FP140" i="59"/>
  <c r="HC140" i="59"/>
  <c r="HE140" i="59"/>
  <c r="HF140" i="59"/>
  <c r="HG140" i="59"/>
  <c r="HH140" i="59"/>
  <c r="HM140" i="59"/>
  <c r="HN140" i="59"/>
  <c r="HO140" i="59"/>
  <c r="K141" i="59"/>
  <c r="M141" i="59"/>
  <c r="N141" i="59"/>
  <c r="O141" i="59"/>
  <c r="P141" i="59"/>
  <c r="U141" i="59"/>
  <c r="V141" i="59"/>
  <c r="W141" i="59"/>
  <c r="BJ141" i="59"/>
  <c r="BL141" i="59"/>
  <c r="BM141" i="59"/>
  <c r="BN141" i="59"/>
  <c r="BO141" i="59"/>
  <c r="BT141" i="59"/>
  <c r="BU141" i="59"/>
  <c r="BV141" i="59"/>
  <c r="DI141" i="59"/>
  <c r="DK141" i="59"/>
  <c r="DL141" i="59"/>
  <c r="DM141" i="59"/>
  <c r="DN141" i="59"/>
  <c r="DS141" i="59"/>
  <c r="DT141" i="59"/>
  <c r="DU141" i="59"/>
  <c r="FH141" i="59"/>
  <c r="FJ141" i="59"/>
  <c r="FK141" i="59"/>
  <c r="FL141" i="59"/>
  <c r="FM141" i="59"/>
  <c r="FR141" i="59"/>
  <c r="FS141" i="59"/>
  <c r="FT141" i="59"/>
  <c r="HG141" i="59"/>
  <c r="HI141" i="59"/>
  <c r="HJ141" i="59"/>
  <c r="HK141" i="59"/>
  <c r="HL141" i="59"/>
  <c r="HQ141" i="59"/>
  <c r="HR141" i="59"/>
  <c r="HS141" i="59"/>
  <c r="O142" i="59"/>
  <c r="Q142" i="59"/>
  <c r="R142" i="59"/>
  <c r="S142" i="59"/>
  <c r="T142" i="59"/>
  <c r="Y142" i="59"/>
  <c r="Z142" i="59"/>
  <c r="AA142" i="59"/>
  <c r="BN142" i="59"/>
  <c r="BP142" i="59"/>
  <c r="BQ142" i="59"/>
  <c r="BR142" i="59"/>
  <c r="BS142" i="59"/>
  <c r="BX142" i="59"/>
  <c r="BY142" i="59"/>
  <c r="BZ142" i="59"/>
  <c r="DM142" i="59"/>
  <c r="DO142" i="59"/>
  <c r="DP142" i="59"/>
  <c r="DQ142" i="59"/>
  <c r="DR142" i="59"/>
  <c r="DW142" i="59"/>
  <c r="DX142" i="59"/>
  <c r="DY142" i="59"/>
  <c r="FL142" i="59"/>
  <c r="FN142" i="59"/>
  <c r="FO142" i="59"/>
  <c r="FP142" i="59"/>
  <c r="FQ142" i="59"/>
  <c r="FV142" i="59"/>
  <c r="FW142" i="59"/>
  <c r="FX142" i="59"/>
  <c r="HK142" i="59"/>
  <c r="HM142" i="59"/>
  <c r="HN142" i="59"/>
  <c r="HO142" i="59"/>
  <c r="HP142" i="59"/>
  <c r="HU142" i="59"/>
  <c r="HV142" i="59"/>
  <c r="HW142" i="59"/>
  <c r="S143" i="59"/>
  <c r="T143" i="59"/>
  <c r="U143" i="59"/>
  <c r="V143" i="59"/>
  <c r="W143" i="59"/>
  <c r="X143" i="59"/>
  <c r="Y143" i="59"/>
  <c r="Z143" i="59"/>
  <c r="AA143" i="59"/>
  <c r="AB143" i="59"/>
  <c r="AC143" i="59"/>
  <c r="AD143" i="59"/>
  <c r="AE143" i="59"/>
  <c r="BR143" i="59"/>
  <c r="BS143" i="59"/>
  <c r="BT143" i="59"/>
  <c r="BU143" i="59"/>
  <c r="BV143" i="59"/>
  <c r="BW143" i="59"/>
  <c r="BX143" i="59"/>
  <c r="BY143" i="59"/>
  <c r="BZ143" i="59"/>
  <c r="CA143" i="59"/>
  <c r="CB143" i="59"/>
  <c r="CC143" i="59"/>
  <c r="CD143" i="59"/>
  <c r="CE143" i="59"/>
  <c r="CF143" i="59"/>
  <c r="CG143" i="59"/>
  <c r="CH143" i="59"/>
  <c r="CI143" i="59"/>
  <c r="CJ143" i="59"/>
  <c r="CK143" i="59"/>
  <c r="CL143" i="59"/>
  <c r="CM143" i="59"/>
  <c r="CN143" i="59"/>
  <c r="CO143" i="59"/>
  <c r="CP143" i="59"/>
  <c r="CQ143" i="59"/>
  <c r="CR143" i="59"/>
  <c r="CS143" i="59"/>
  <c r="CT143" i="59"/>
  <c r="CU143" i="59"/>
  <c r="CV143" i="59"/>
  <c r="CW143" i="59"/>
  <c r="CX143" i="59"/>
  <c r="CY143" i="59"/>
  <c r="CZ143" i="59"/>
  <c r="DA143" i="59"/>
  <c r="DB143" i="59"/>
  <c r="DC143" i="59"/>
  <c r="DD143" i="59"/>
  <c r="DE143" i="59"/>
  <c r="DF143" i="59"/>
  <c r="DG143" i="59"/>
  <c r="DH143" i="59"/>
  <c r="DI143" i="59"/>
  <c r="DJ143" i="59"/>
  <c r="DK143" i="59"/>
  <c r="DL143" i="59"/>
  <c r="DM143" i="59"/>
  <c r="DN143" i="59"/>
  <c r="DO143" i="59"/>
  <c r="DP143" i="59"/>
  <c r="DQ143" i="59"/>
  <c r="DR143" i="59"/>
  <c r="DS143" i="59"/>
  <c r="DT143" i="59"/>
  <c r="DU143" i="59"/>
  <c r="DV143" i="59"/>
  <c r="DW143" i="59"/>
  <c r="DX143" i="59"/>
  <c r="DY143" i="59"/>
  <c r="DZ143" i="59"/>
  <c r="EA143" i="59"/>
  <c r="EB143" i="59"/>
  <c r="EC143" i="59"/>
  <c r="ED143" i="59"/>
  <c r="EE143" i="59"/>
  <c r="EF143" i="59"/>
  <c r="EG143" i="59"/>
  <c r="EH143" i="59"/>
  <c r="EI143" i="59"/>
  <c r="EJ143" i="59"/>
  <c r="EK143" i="59"/>
  <c r="EL143" i="59"/>
  <c r="EM143" i="59"/>
  <c r="EN143" i="59"/>
  <c r="EO143" i="59"/>
  <c r="EP143" i="59"/>
  <c r="EQ143" i="59"/>
  <c r="ER143" i="59"/>
  <c r="ES143" i="59"/>
  <c r="ET143" i="59"/>
  <c r="EU143" i="59"/>
  <c r="EV143" i="59"/>
  <c r="EW143" i="59"/>
  <c r="EX143" i="59"/>
  <c r="EY143" i="59"/>
  <c r="EZ143" i="59"/>
  <c r="FA143" i="59"/>
  <c r="FB143" i="59"/>
  <c r="FC143" i="59"/>
  <c r="FD143" i="59"/>
  <c r="FE143" i="59"/>
  <c r="FF143" i="59"/>
  <c r="FG143" i="59"/>
  <c r="FH143" i="59"/>
  <c r="FI143" i="59"/>
  <c r="FJ143" i="59"/>
  <c r="FK143" i="59"/>
  <c r="FL143" i="59"/>
  <c r="FM143" i="59"/>
  <c r="FN143" i="59"/>
  <c r="FO143" i="59"/>
  <c r="FP143" i="59"/>
  <c r="FQ143" i="59"/>
  <c r="FR143" i="59"/>
  <c r="FS143" i="59"/>
  <c r="FT143" i="59"/>
  <c r="FU143" i="59"/>
  <c r="FV143" i="59"/>
  <c r="FW143" i="59"/>
  <c r="FX143" i="59"/>
  <c r="FY143" i="59"/>
  <c r="FZ143" i="59"/>
  <c r="GA143" i="59"/>
  <c r="GB143" i="59"/>
  <c r="GC143" i="59"/>
  <c r="GD143" i="59"/>
  <c r="GE143" i="59"/>
  <c r="GF143" i="59"/>
  <c r="GG143" i="59"/>
  <c r="GH143" i="59"/>
  <c r="GI143" i="59"/>
  <c r="GJ143" i="59"/>
  <c r="GK143" i="59"/>
  <c r="GL143" i="59"/>
  <c r="GM143" i="59"/>
  <c r="GN143" i="59"/>
  <c r="GO143" i="59"/>
  <c r="GP143" i="59"/>
  <c r="GQ143" i="59"/>
  <c r="GR143" i="59"/>
  <c r="GS143" i="59"/>
  <c r="GT143" i="59"/>
  <c r="GU143" i="59"/>
  <c r="GV143" i="59"/>
  <c r="GW143" i="59"/>
  <c r="GX143" i="59"/>
  <c r="GY143" i="59"/>
  <c r="GZ143" i="59"/>
  <c r="HA143" i="59"/>
  <c r="HB143" i="59"/>
  <c r="HC143" i="59"/>
  <c r="HD143" i="59"/>
  <c r="HE143" i="59"/>
  <c r="HF143" i="59"/>
  <c r="HG143" i="59"/>
  <c r="HH143" i="59"/>
  <c r="HI143" i="59"/>
  <c r="HJ143" i="59"/>
  <c r="HK143" i="59"/>
  <c r="HL143" i="59"/>
  <c r="HM143" i="59"/>
  <c r="HN143" i="59"/>
  <c r="HO143" i="59"/>
  <c r="HP143" i="59"/>
  <c r="HQ143" i="59"/>
  <c r="HR143" i="59"/>
  <c r="HS143" i="59"/>
  <c r="HT143" i="59"/>
  <c r="HU143" i="59"/>
  <c r="HV143" i="59"/>
  <c r="HW143" i="59"/>
  <c r="HX143" i="59"/>
  <c r="HY143" i="59"/>
  <c r="HZ143" i="59"/>
  <c r="IA143" i="59"/>
  <c r="IB143" i="59"/>
  <c r="IC143" i="59"/>
  <c r="ID143" i="59"/>
  <c r="Z144" i="59"/>
  <c r="AB144" i="59"/>
  <c r="AC144" i="59"/>
  <c r="AD144" i="59"/>
  <c r="AE144" i="59"/>
  <c r="AI144" i="59"/>
  <c r="AJ144" i="59"/>
  <c r="AK144" i="59"/>
  <c r="AL144" i="59"/>
  <c r="BY144" i="59"/>
  <c r="CA144" i="59"/>
  <c r="CB144" i="59"/>
  <c r="CC144" i="59"/>
  <c r="CD144" i="59"/>
  <c r="CH144" i="59"/>
  <c r="CI144" i="59"/>
  <c r="CJ144" i="59"/>
  <c r="CK144" i="59"/>
  <c r="DX144" i="59"/>
  <c r="DZ144" i="59"/>
  <c r="EA144" i="59"/>
  <c r="EB144" i="59"/>
  <c r="EC144" i="59"/>
  <c r="EG144" i="59"/>
  <c r="EH144" i="59"/>
  <c r="EI144" i="59"/>
  <c r="EJ144" i="59"/>
  <c r="FW144" i="59"/>
  <c r="FY144" i="59"/>
  <c r="FZ144" i="59"/>
  <c r="GA144" i="59"/>
  <c r="GB144" i="59"/>
  <c r="GF144" i="59"/>
  <c r="GG144" i="59"/>
  <c r="GH144" i="59"/>
  <c r="GI144" i="59"/>
  <c r="HV144" i="59"/>
  <c r="HX144" i="59"/>
  <c r="HY144" i="59"/>
  <c r="HZ144" i="59"/>
  <c r="IA144" i="59"/>
  <c r="IE144" i="59"/>
  <c r="IF144" i="59"/>
  <c r="IG144" i="59"/>
  <c r="IH144" i="59"/>
  <c r="AD145" i="59"/>
  <c r="AF145" i="59"/>
  <c r="AG145" i="59"/>
  <c r="AH145" i="59"/>
  <c r="AI145" i="59"/>
  <c r="AM145" i="59"/>
  <c r="AN145" i="59"/>
  <c r="AO145" i="59"/>
  <c r="AP145" i="59"/>
  <c r="CC145" i="59"/>
  <c r="CE145" i="59"/>
  <c r="CF145" i="59"/>
  <c r="CG145" i="59"/>
  <c r="CH145" i="59"/>
  <c r="CL145" i="59"/>
  <c r="CM145" i="59"/>
  <c r="CN145" i="59"/>
  <c r="CO145" i="59"/>
  <c r="EB145" i="59"/>
  <c r="ED145" i="59"/>
  <c r="EE145" i="59"/>
  <c r="EF145" i="59"/>
  <c r="EG145" i="59"/>
  <c r="EK145" i="59"/>
  <c r="EL145" i="59"/>
  <c r="EM145" i="59"/>
  <c r="EN145" i="59"/>
  <c r="GA145" i="59"/>
  <c r="GC145" i="59"/>
  <c r="GD145" i="59"/>
  <c r="GE145" i="59"/>
  <c r="GF145" i="59"/>
  <c r="GJ145" i="59"/>
  <c r="GK145" i="59"/>
  <c r="GL145" i="59"/>
  <c r="GM145" i="59"/>
  <c r="HZ145" i="59"/>
  <c r="IB145" i="59"/>
  <c r="IC145" i="59"/>
  <c r="ID145" i="59"/>
  <c r="IE145" i="59"/>
  <c r="II145" i="59"/>
  <c r="IJ145" i="59"/>
  <c r="IK145" i="59"/>
  <c r="IL145" i="59"/>
  <c r="AH146" i="59"/>
  <c r="AJ146" i="59"/>
  <c r="AK146" i="59"/>
  <c r="AL146" i="59"/>
  <c r="AM146" i="59"/>
  <c r="AQ146" i="59"/>
  <c r="AR146" i="59"/>
  <c r="AS146" i="59"/>
  <c r="AT146" i="59"/>
  <c r="CG146" i="59"/>
  <c r="CI146" i="59"/>
  <c r="CJ146" i="59"/>
  <c r="CK146" i="59"/>
  <c r="CL146" i="59"/>
  <c r="CP146" i="59"/>
  <c r="CQ146" i="59"/>
  <c r="CR146" i="59"/>
  <c r="CS146" i="59"/>
  <c r="EF146" i="59"/>
  <c r="EH146" i="59"/>
  <c r="EI146" i="59"/>
  <c r="EJ146" i="59"/>
  <c r="EK146" i="59"/>
  <c r="EO146" i="59"/>
  <c r="EP146" i="59"/>
  <c r="EQ146" i="59"/>
  <c r="ER146" i="59"/>
  <c r="GE146" i="59"/>
  <c r="GG146" i="59"/>
  <c r="GH146" i="59"/>
  <c r="GI146" i="59"/>
  <c r="GJ146" i="59"/>
  <c r="GN146" i="59"/>
  <c r="GO146" i="59"/>
  <c r="GP146" i="59"/>
  <c r="GQ146" i="59"/>
  <c r="ID146" i="59"/>
  <c r="IF146" i="59"/>
  <c r="IG146" i="59"/>
  <c r="IH146" i="59"/>
  <c r="II146" i="59"/>
  <c r="IM146" i="59"/>
  <c r="IN146" i="59"/>
  <c r="IO146" i="59"/>
  <c r="IP146" i="59"/>
  <c r="AL147" i="59"/>
  <c r="AN147" i="59"/>
  <c r="AO147" i="59"/>
  <c r="AP147" i="59"/>
  <c r="AQ147" i="59"/>
  <c r="AU147" i="59"/>
  <c r="AV147" i="59"/>
  <c r="AW147" i="59"/>
  <c r="AX147" i="59"/>
  <c r="CK147" i="59"/>
  <c r="CM147" i="59"/>
  <c r="CN147" i="59"/>
  <c r="CO147" i="59"/>
  <c r="CP147" i="59"/>
  <c r="CT147" i="59"/>
  <c r="CU147" i="59"/>
  <c r="CV147" i="59"/>
  <c r="CW147" i="59"/>
  <c r="EJ147" i="59"/>
  <c r="EL147" i="59"/>
  <c r="EM147" i="59"/>
  <c r="EN147" i="59"/>
  <c r="EO147" i="59"/>
  <c r="ES147" i="59"/>
  <c r="ET147" i="59"/>
  <c r="EU147" i="59"/>
  <c r="EV147" i="59"/>
  <c r="GI147" i="59"/>
  <c r="GK147" i="59"/>
  <c r="GL147" i="59"/>
  <c r="GM147" i="59"/>
  <c r="GN147" i="59"/>
  <c r="GR147" i="59"/>
  <c r="GS147" i="59"/>
  <c r="GT147" i="59"/>
  <c r="GU147" i="59"/>
  <c r="IH147" i="59"/>
  <c r="IJ147" i="59"/>
  <c r="IK147" i="59"/>
  <c r="IL147" i="59"/>
  <c r="IM147" i="59"/>
  <c r="IQ147" i="59"/>
  <c r="IR147" i="59"/>
  <c r="IS147" i="59"/>
  <c r="IT147" i="59"/>
  <c r="AP148" i="59"/>
  <c r="AR148" i="59"/>
  <c r="AS148" i="59"/>
  <c r="AT148" i="59"/>
  <c r="AU148" i="59"/>
  <c r="AY148" i="59"/>
  <c r="AZ148" i="59"/>
  <c r="BA148" i="59"/>
  <c r="BB148" i="59"/>
  <c r="CO148" i="59"/>
  <c r="CQ148" i="59"/>
  <c r="CR148" i="59"/>
  <c r="CS148" i="59"/>
  <c r="CT148" i="59"/>
  <c r="CX148" i="59"/>
  <c r="CY148" i="59"/>
  <c r="CZ148" i="59"/>
  <c r="DA148" i="59"/>
  <c r="EN148" i="59"/>
  <c r="EP148" i="59"/>
  <c r="EQ148" i="59"/>
  <c r="ER148" i="59"/>
  <c r="ES148" i="59"/>
  <c r="EW148" i="59"/>
  <c r="EX148" i="59"/>
  <c r="EY148" i="59"/>
  <c r="EZ148" i="59"/>
  <c r="GM148" i="59"/>
  <c r="GO148" i="59"/>
  <c r="GP148" i="59"/>
  <c r="GQ148" i="59"/>
  <c r="GR148" i="59"/>
  <c r="GV148" i="59"/>
  <c r="GW148" i="59"/>
  <c r="GX148" i="59"/>
  <c r="GY148" i="59"/>
  <c r="IL148" i="59"/>
  <c r="IN148" i="59"/>
  <c r="IO148" i="59"/>
  <c r="IP148" i="59"/>
  <c r="IQ148" i="59"/>
  <c r="IU148" i="59"/>
  <c r="IV148" i="59"/>
  <c r="F149" i="59"/>
  <c r="G149" i="59"/>
  <c r="AT149" i="59"/>
  <c r="AV149" i="59"/>
  <c r="AW149" i="59"/>
  <c r="AX149" i="59"/>
  <c r="AY149" i="59"/>
  <c r="BC149" i="59"/>
  <c r="BD149" i="59"/>
  <c r="BE149" i="59"/>
  <c r="BF149" i="59"/>
  <c r="CS149" i="59"/>
  <c r="CU149" i="59"/>
  <c r="CV149" i="59"/>
  <c r="CW149" i="59"/>
  <c r="CX149" i="59"/>
  <c r="DB149" i="59"/>
  <c r="DC149" i="59"/>
  <c r="DD149" i="59"/>
  <c r="DE149" i="59"/>
  <c r="ER149" i="59"/>
  <c r="ET149" i="59"/>
  <c r="EU149" i="59"/>
  <c r="EV149" i="59"/>
  <c r="EW149" i="59"/>
  <c r="FA149" i="59"/>
  <c r="FB149" i="59"/>
  <c r="FC149" i="59"/>
  <c r="FD149" i="59"/>
  <c r="GQ149" i="59"/>
  <c r="GS149" i="59"/>
  <c r="GT149" i="59"/>
  <c r="GU149" i="59"/>
  <c r="GV149" i="59"/>
  <c r="GZ149" i="59"/>
  <c r="HA149" i="59"/>
  <c r="HB149" i="59"/>
  <c r="HC149" i="59"/>
  <c r="IP149" i="59"/>
  <c r="IR149" i="59"/>
  <c r="IS149" i="59"/>
  <c r="IT149" i="59"/>
  <c r="IU149" i="59"/>
  <c r="H150" i="59"/>
  <c r="I150" i="59"/>
  <c r="J150" i="59"/>
  <c r="K150" i="59"/>
  <c r="AX150" i="59"/>
  <c r="AY150" i="59"/>
  <c r="AZ150" i="59"/>
  <c r="BA150" i="59"/>
  <c r="BB150" i="59"/>
  <c r="BC150" i="59"/>
  <c r="BD150" i="59"/>
  <c r="BE150" i="59"/>
  <c r="BF150" i="59"/>
  <c r="BG150" i="59"/>
  <c r="BH150" i="59"/>
  <c r="BI150" i="59"/>
  <c r="BJ150" i="59"/>
  <c r="BK150" i="59"/>
  <c r="BL150" i="59"/>
  <c r="BM150" i="59"/>
  <c r="BN150" i="59"/>
  <c r="BO150" i="59"/>
  <c r="BP150" i="59"/>
  <c r="BQ150" i="59"/>
  <c r="BR150" i="59"/>
  <c r="BS150" i="59"/>
  <c r="BT150" i="59"/>
  <c r="BU150" i="59"/>
  <c r="BV150" i="59"/>
  <c r="BW150" i="59"/>
  <c r="BX150" i="59"/>
  <c r="BY150" i="59"/>
  <c r="BZ150" i="59"/>
  <c r="CA150" i="59"/>
  <c r="CB150" i="59"/>
  <c r="CC150" i="59"/>
  <c r="CD150" i="59"/>
  <c r="CE150" i="59"/>
  <c r="CF150" i="59"/>
  <c r="CG150" i="59"/>
  <c r="CH150" i="59"/>
  <c r="CI150" i="59"/>
  <c r="CJ150" i="59"/>
  <c r="CK150" i="59"/>
  <c r="CL150" i="59"/>
  <c r="CM150" i="59"/>
  <c r="CN150" i="59"/>
  <c r="CO150" i="59"/>
  <c r="CP150" i="59"/>
  <c r="CQ150" i="59"/>
  <c r="CR150" i="59"/>
  <c r="CS150" i="59"/>
  <c r="CT150" i="59"/>
  <c r="CU150" i="59"/>
  <c r="CV150" i="59"/>
  <c r="CW150" i="59"/>
  <c r="CX150" i="59"/>
  <c r="CY150" i="59"/>
  <c r="CZ150" i="59"/>
  <c r="DA150" i="59"/>
  <c r="DB150" i="59"/>
  <c r="DC150" i="59"/>
  <c r="DD150" i="59"/>
  <c r="DE150" i="59"/>
  <c r="DF150" i="59"/>
  <c r="DG150" i="59"/>
  <c r="DH150" i="59"/>
  <c r="DI150" i="59"/>
  <c r="DJ150" i="59"/>
  <c r="DK150" i="59"/>
  <c r="DL150" i="59"/>
  <c r="DM150" i="59"/>
  <c r="DN150" i="59"/>
  <c r="DO150" i="59"/>
  <c r="DP150" i="59"/>
  <c r="DQ150" i="59"/>
  <c r="DR150" i="59"/>
  <c r="DS150" i="59"/>
  <c r="DT150" i="59"/>
  <c r="DU150" i="59"/>
  <c r="DV150" i="59"/>
  <c r="DW150" i="59"/>
  <c r="DX150" i="59"/>
  <c r="DY150" i="59"/>
  <c r="DZ150" i="59"/>
  <c r="EA150" i="59"/>
  <c r="EB150" i="59"/>
  <c r="EC150" i="59"/>
  <c r="ED150" i="59"/>
  <c r="EE150" i="59"/>
  <c r="EF150" i="59"/>
  <c r="EG150" i="59"/>
  <c r="EH150" i="59"/>
  <c r="EI150" i="59"/>
  <c r="EJ150" i="59"/>
  <c r="EK150" i="59"/>
  <c r="EL150" i="59"/>
  <c r="EM150" i="59"/>
  <c r="EN150" i="59"/>
  <c r="EO150" i="59"/>
  <c r="EP150" i="59"/>
  <c r="EQ150" i="59"/>
  <c r="ER150" i="59"/>
  <c r="ES150" i="59"/>
  <c r="ET150" i="59"/>
  <c r="EU150" i="59"/>
  <c r="EV150" i="59"/>
  <c r="EW150" i="59"/>
  <c r="EX150" i="59"/>
  <c r="EY150" i="59"/>
  <c r="EZ150" i="59"/>
  <c r="FA150" i="59"/>
  <c r="FB150" i="59"/>
  <c r="FC150" i="59"/>
  <c r="FD150" i="59"/>
  <c r="FE150" i="59"/>
  <c r="FF150" i="59"/>
  <c r="FG150" i="59"/>
  <c r="FH150" i="59"/>
  <c r="FI150" i="59"/>
  <c r="FJ150" i="59"/>
  <c r="FK150" i="59"/>
  <c r="FL150" i="59"/>
  <c r="FM150" i="59"/>
  <c r="FN150" i="59"/>
  <c r="FO150" i="59"/>
  <c r="FP150" i="59"/>
  <c r="FQ150" i="59"/>
  <c r="FR150" i="59"/>
  <c r="FS150" i="59"/>
  <c r="FT150" i="59"/>
  <c r="FU150" i="59"/>
  <c r="FV150" i="59"/>
  <c r="FW150" i="59"/>
  <c r="FX150" i="59"/>
  <c r="FY150" i="59"/>
  <c r="FZ150" i="59"/>
  <c r="GA150" i="59"/>
  <c r="GB150" i="59"/>
  <c r="GC150" i="59"/>
  <c r="GD150" i="59"/>
  <c r="GE150" i="59"/>
  <c r="GF150" i="59"/>
  <c r="GG150" i="59"/>
  <c r="GH150" i="59"/>
  <c r="GI150" i="59"/>
  <c r="GJ150" i="59"/>
  <c r="GK150" i="59"/>
  <c r="GL150" i="59"/>
  <c r="GM150" i="59"/>
  <c r="GN150" i="59"/>
  <c r="GO150" i="59"/>
  <c r="GP150" i="59"/>
  <c r="GQ150" i="59"/>
  <c r="GR150" i="59"/>
  <c r="GS150" i="59"/>
  <c r="GT150" i="59"/>
  <c r="GU150" i="59"/>
  <c r="GV150" i="59"/>
  <c r="GW150" i="59"/>
  <c r="GX150" i="59"/>
  <c r="GY150" i="59"/>
  <c r="GZ150" i="59"/>
  <c r="HA150" i="59"/>
  <c r="HB150" i="59"/>
  <c r="HC150" i="59"/>
  <c r="HD150" i="59"/>
  <c r="HE150" i="59"/>
  <c r="HF150" i="59"/>
  <c r="HG150" i="59"/>
  <c r="HH150" i="59"/>
  <c r="HI150" i="59"/>
  <c r="HM150" i="59"/>
  <c r="HN150" i="59"/>
  <c r="HO150" i="59"/>
  <c r="HP150" i="59"/>
  <c r="HQ150" i="59"/>
  <c r="HR150" i="59"/>
  <c r="HS150" i="59"/>
  <c r="HT150" i="59"/>
  <c r="HU150" i="59"/>
  <c r="HV150" i="59"/>
  <c r="HW150" i="59"/>
  <c r="HX150" i="59"/>
  <c r="HY150" i="59"/>
  <c r="HZ150" i="59"/>
  <c r="IA150" i="59"/>
  <c r="IB150" i="59"/>
  <c r="IC150" i="59"/>
  <c r="ID150" i="59"/>
  <c r="IE150" i="59"/>
  <c r="IF150" i="59"/>
  <c r="IG150" i="59"/>
  <c r="IH150" i="59"/>
  <c r="II150" i="59"/>
  <c r="IJ150" i="59"/>
  <c r="IK150" i="59"/>
  <c r="IL150" i="59"/>
  <c r="IM150" i="59"/>
  <c r="IN150" i="59"/>
  <c r="IO150" i="59"/>
  <c r="IP150" i="59"/>
  <c r="IQ150" i="59"/>
  <c r="IR150" i="59"/>
  <c r="IS150" i="59"/>
  <c r="IT150" i="59"/>
  <c r="IU150" i="59"/>
  <c r="IV150" i="59"/>
  <c r="F151" i="59"/>
  <c r="G151" i="59"/>
  <c r="H151" i="59"/>
  <c r="I151" i="59"/>
  <c r="J151" i="59"/>
  <c r="K151" i="59"/>
  <c r="L151" i="59"/>
  <c r="M151" i="59"/>
  <c r="N151" i="59"/>
  <c r="O151" i="59"/>
  <c r="P151" i="59"/>
  <c r="Q151" i="59"/>
  <c r="V151" i="59"/>
  <c r="W151" i="59"/>
  <c r="X151" i="59"/>
  <c r="Y151" i="59"/>
  <c r="Z151" i="59"/>
  <c r="AA151" i="59"/>
  <c r="AB151" i="59"/>
  <c r="AC151" i="59"/>
  <c r="AD151" i="59"/>
  <c r="AE151" i="59"/>
  <c r="AF151" i="59"/>
  <c r="AG151" i="59"/>
  <c r="AH151" i="59"/>
  <c r="AI151" i="59"/>
  <c r="AJ151" i="59"/>
  <c r="AK151" i="59"/>
  <c r="AL151" i="59"/>
  <c r="AM151" i="59"/>
  <c r="AN151" i="59"/>
  <c r="AO151" i="59"/>
  <c r="AP151" i="59"/>
  <c r="AQ151" i="59"/>
  <c r="AR151" i="59"/>
  <c r="AS151" i="59"/>
  <c r="AT151" i="59"/>
  <c r="AU151" i="59"/>
  <c r="AV151" i="59"/>
  <c r="AW151" i="59"/>
  <c r="AX151" i="59"/>
  <c r="AY151" i="59"/>
  <c r="AZ151" i="59"/>
  <c r="BA151" i="59"/>
  <c r="BB151" i="59"/>
  <c r="BC151" i="59"/>
  <c r="BD151" i="59"/>
  <c r="BE151" i="59"/>
  <c r="BF151" i="59"/>
  <c r="BG151" i="59"/>
  <c r="BH151" i="59"/>
  <c r="BI151" i="59"/>
  <c r="BJ151" i="59"/>
  <c r="BK151" i="59"/>
  <c r="BL151" i="59"/>
  <c r="BM151" i="59"/>
  <c r="BN151" i="59"/>
  <c r="BO151" i="59"/>
  <c r="BP151" i="59"/>
  <c r="BQ151" i="59"/>
  <c r="BR151" i="59"/>
  <c r="BS151" i="59"/>
  <c r="BT151" i="59"/>
  <c r="DG151" i="59"/>
  <c r="DH151" i="59"/>
  <c r="DJ151" i="59"/>
  <c r="DK151" i="59"/>
  <c r="DL151" i="59"/>
  <c r="DM151" i="59"/>
  <c r="FJ151" i="59"/>
  <c r="FL151" i="59"/>
  <c r="FM151" i="59"/>
  <c r="FN151" i="59"/>
  <c r="FO151" i="59"/>
  <c r="HL151" i="59"/>
  <c r="HN151" i="59"/>
  <c r="HO151" i="59"/>
  <c r="HP151" i="59"/>
  <c r="HQ151" i="59"/>
  <c r="W152" i="59"/>
  <c r="Y152" i="59"/>
  <c r="Z152" i="59"/>
  <c r="AA152" i="59"/>
  <c r="AB152" i="59"/>
  <c r="BY152" i="59"/>
  <c r="CA152" i="59"/>
  <c r="CB152" i="59"/>
  <c r="CC152" i="59"/>
  <c r="CD152" i="59"/>
  <c r="EA152" i="59"/>
  <c r="EC152" i="59"/>
  <c r="ED152" i="59"/>
  <c r="EE152" i="59"/>
  <c r="EF152" i="59"/>
  <c r="GC152" i="59"/>
  <c r="GE152" i="59"/>
  <c r="GF152" i="59"/>
  <c r="GG152" i="59"/>
  <c r="GH152" i="59"/>
  <c r="IE152" i="59"/>
  <c r="IG152" i="59"/>
  <c r="IH152" i="59"/>
  <c r="II152" i="59"/>
  <c r="IJ152" i="59"/>
  <c r="AP153" i="59"/>
  <c r="AR153" i="59"/>
  <c r="AS153" i="59"/>
  <c r="AT153" i="59"/>
  <c r="AU153" i="59"/>
  <c r="CR153" i="59"/>
  <c r="CT153" i="59"/>
  <c r="CU153" i="59"/>
  <c r="CV153" i="59"/>
  <c r="CW153" i="59"/>
  <c r="ET153" i="59"/>
  <c r="EV153" i="59"/>
  <c r="EW153" i="59"/>
  <c r="EX153" i="59"/>
  <c r="EY153" i="59"/>
  <c r="GV153" i="59"/>
  <c r="GX153" i="59"/>
  <c r="GY153" i="59"/>
  <c r="GZ153" i="59"/>
  <c r="HA153" i="59"/>
  <c r="G154" i="59"/>
  <c r="I154" i="59"/>
  <c r="J154" i="59"/>
  <c r="K154" i="59"/>
  <c r="L154" i="59"/>
  <c r="BI154" i="59"/>
  <c r="BK154" i="59"/>
  <c r="BL154" i="59"/>
  <c r="BM154" i="59"/>
  <c r="BN154" i="59"/>
  <c r="DK154" i="59"/>
  <c r="DM154" i="59"/>
  <c r="DN154" i="59"/>
  <c r="DO154" i="59"/>
  <c r="DP154" i="59"/>
  <c r="FM154" i="59"/>
  <c r="FO154" i="59"/>
  <c r="FP154" i="59"/>
  <c r="FQ154" i="59"/>
  <c r="FR154" i="59"/>
  <c r="HO154" i="59"/>
  <c r="HQ154" i="59"/>
  <c r="HR154" i="59"/>
  <c r="HS154" i="59"/>
  <c r="HT154" i="59"/>
  <c r="Z155" i="59"/>
  <c r="AB155" i="59"/>
  <c r="AC155" i="59"/>
  <c r="AD155" i="59"/>
  <c r="AE155" i="59"/>
  <c r="CB155" i="59"/>
  <c r="CD155" i="59"/>
  <c r="CE155" i="59"/>
  <c r="CF155" i="59"/>
  <c r="CG155" i="59"/>
  <c r="ED155" i="59"/>
  <c r="EF155" i="59"/>
  <c r="EG155" i="59"/>
  <c r="EH155" i="59"/>
  <c r="EI155" i="59"/>
  <c r="GF155" i="59"/>
  <c r="GH155" i="59"/>
  <c r="GI155" i="59"/>
  <c r="GJ155" i="59"/>
  <c r="GK155" i="59"/>
  <c r="IH155" i="59"/>
  <c r="IJ155" i="59"/>
  <c r="IK155" i="59"/>
  <c r="IL155" i="59"/>
  <c r="IM155" i="59"/>
  <c r="AS156" i="59"/>
  <c r="AU156" i="59"/>
  <c r="AV156" i="59"/>
  <c r="AW156" i="59"/>
  <c r="AX156" i="59"/>
  <c r="CU156" i="59"/>
  <c r="CW156" i="59"/>
  <c r="CX156" i="59"/>
  <c r="CY156" i="59"/>
  <c r="CZ156" i="59"/>
  <c r="EW156" i="59"/>
  <c r="EY156" i="59"/>
  <c r="EZ156" i="59"/>
  <c r="FA156" i="59"/>
  <c r="FB156" i="59"/>
  <c r="GY156" i="59"/>
  <c r="HA156" i="59"/>
  <c r="HB156" i="59"/>
  <c r="HC156" i="59"/>
  <c r="HD156" i="59"/>
  <c r="J157" i="59"/>
  <c r="L157" i="59"/>
  <c r="M157" i="59"/>
  <c r="N157" i="59"/>
  <c r="O157" i="59"/>
  <c r="BL157" i="59"/>
  <c r="BN157" i="59"/>
  <c r="BO157" i="59"/>
  <c r="BP157" i="59"/>
  <c r="BQ157" i="59"/>
  <c r="DN157" i="59"/>
  <c r="DP157" i="59"/>
  <c r="DQ157" i="59"/>
  <c r="DR157" i="59"/>
  <c r="DS157" i="59"/>
  <c r="FP157" i="59"/>
  <c r="FR157" i="59"/>
  <c r="FS157" i="59"/>
  <c r="FT157" i="59"/>
  <c r="FU157" i="59"/>
  <c r="HR157" i="59"/>
  <c r="HS157" i="59"/>
  <c r="HT157" i="59"/>
  <c r="HU157" i="59"/>
  <c r="HV157" i="59"/>
  <c r="HW157" i="59"/>
  <c r="HX157" i="59"/>
  <c r="HY157" i="59"/>
  <c r="HZ157" i="59"/>
  <c r="IA157" i="59"/>
  <c r="IB157" i="59"/>
  <c r="IC157" i="59"/>
  <c r="ID157" i="59"/>
  <c r="IE157" i="59"/>
  <c r="IF157" i="59"/>
  <c r="AC158" i="59"/>
  <c r="AD158" i="59"/>
  <c r="AE158" i="59"/>
  <c r="AF158" i="59"/>
  <c r="AG158" i="59"/>
  <c r="AH158" i="59"/>
  <c r="AI158" i="59"/>
  <c r="AJ158" i="59"/>
  <c r="AK158" i="59"/>
  <c r="AL158" i="59"/>
  <c r="AM158" i="59"/>
  <c r="AN158" i="59"/>
  <c r="AO158" i="59"/>
  <c r="AP158" i="59"/>
  <c r="AQ158" i="59"/>
  <c r="AR158" i="59"/>
  <c r="AS158" i="59"/>
  <c r="AT158" i="59"/>
  <c r="AU158" i="59"/>
  <c r="AV158" i="59"/>
  <c r="AW158" i="59"/>
  <c r="AX158" i="59"/>
  <c r="AY158" i="59"/>
  <c r="AZ158" i="59"/>
  <c r="BA158" i="59"/>
  <c r="BB158" i="59"/>
  <c r="BC158" i="59"/>
  <c r="BD158" i="59"/>
  <c r="BE158" i="59"/>
  <c r="BF158" i="59"/>
  <c r="BG158" i="59"/>
  <c r="BH158" i="59"/>
  <c r="BI158" i="59"/>
  <c r="BJ158" i="59"/>
  <c r="BK158" i="59"/>
  <c r="BL158" i="59"/>
  <c r="BM158" i="59"/>
  <c r="BN158" i="59"/>
  <c r="BO158" i="59"/>
  <c r="BP158" i="59"/>
  <c r="BQ158" i="59"/>
  <c r="BR158" i="59"/>
  <c r="BS158" i="59"/>
  <c r="BT158" i="59"/>
  <c r="BU158" i="59"/>
  <c r="BV158" i="59"/>
  <c r="BW158" i="59"/>
  <c r="BX158" i="59"/>
  <c r="BY158" i="59"/>
  <c r="BZ158" i="59"/>
  <c r="CA158" i="59"/>
  <c r="CB158" i="59"/>
  <c r="CC158" i="59"/>
  <c r="CF158" i="59"/>
  <c r="DS158" i="59"/>
  <c r="DU158" i="59"/>
  <c r="DX158" i="59"/>
  <c r="DY158" i="59"/>
  <c r="DZ158" i="59"/>
  <c r="EA158" i="59"/>
  <c r="EB158" i="59"/>
  <c r="EC158" i="59"/>
  <c r="ED158" i="59"/>
  <c r="EE158" i="59"/>
  <c r="EF158" i="59"/>
  <c r="EG158" i="59"/>
  <c r="EH158" i="59"/>
  <c r="EI158" i="59"/>
  <c r="EJ158" i="59"/>
  <c r="EK158" i="59"/>
  <c r="EL158" i="59"/>
  <c r="EM158" i="59"/>
  <c r="EN158" i="59"/>
  <c r="EO158" i="59"/>
  <c r="EP158" i="59"/>
  <c r="EQ158" i="59"/>
  <c r="ER158" i="59"/>
  <c r="ES158" i="59"/>
  <c r="ET158" i="59"/>
  <c r="EU158" i="59"/>
  <c r="EV158" i="59"/>
  <c r="EW158" i="59"/>
  <c r="EX158" i="59"/>
  <c r="EY158" i="59"/>
  <c r="EZ158" i="59"/>
  <c r="FA158" i="59"/>
  <c r="FB158" i="59"/>
  <c r="FC158" i="59"/>
  <c r="FD158" i="59"/>
  <c r="FE158" i="59"/>
  <c r="FF158" i="59"/>
  <c r="FG158" i="59"/>
  <c r="FH158" i="59"/>
  <c r="FI158" i="59"/>
  <c r="FJ158" i="59"/>
  <c r="FK158" i="59"/>
  <c r="FL158" i="59"/>
  <c r="FM158" i="59"/>
  <c r="FN158" i="59"/>
  <c r="FO158" i="59"/>
  <c r="FP158" i="59"/>
  <c r="FQ158" i="59"/>
  <c r="FR158" i="59"/>
  <c r="FS158" i="59"/>
  <c r="FT158" i="59"/>
  <c r="FU158" i="59"/>
  <c r="FV158" i="59"/>
  <c r="FW158" i="59"/>
  <c r="FX158" i="59"/>
  <c r="FY158" i="59"/>
  <c r="FZ158" i="59"/>
  <c r="GA158" i="59"/>
  <c r="GB158" i="59"/>
  <c r="GC158" i="59"/>
  <c r="GD158" i="59"/>
  <c r="GE158" i="59"/>
  <c r="GF158" i="59"/>
  <c r="GG158" i="59"/>
  <c r="GH158" i="59"/>
  <c r="GI158" i="59"/>
  <c r="GJ158" i="59"/>
  <c r="GK158" i="59"/>
  <c r="GL158" i="59"/>
  <c r="GM158" i="59"/>
  <c r="GN158" i="59"/>
  <c r="GO158" i="59"/>
  <c r="GP158" i="59"/>
  <c r="GQ158" i="59"/>
  <c r="GR158" i="59"/>
  <c r="GS158" i="59"/>
  <c r="GT158" i="59"/>
  <c r="GU158" i="59"/>
  <c r="GV158" i="59"/>
  <c r="GW158" i="59"/>
  <c r="GX158" i="59"/>
  <c r="GY158" i="59"/>
  <c r="GZ158" i="59"/>
  <c r="HA158" i="59"/>
  <c r="HB158" i="59"/>
  <c r="HC158" i="59"/>
  <c r="HD158" i="59"/>
  <c r="HE158" i="59"/>
  <c r="HF158" i="59"/>
  <c r="HG158" i="59"/>
  <c r="HH158" i="59"/>
  <c r="HI158" i="59"/>
  <c r="HJ158" i="59"/>
  <c r="HK158" i="59"/>
  <c r="HL158" i="59"/>
  <c r="HM158" i="59"/>
  <c r="HN158" i="59"/>
  <c r="HO158" i="59"/>
  <c r="HP158" i="59"/>
  <c r="HQ158" i="59"/>
  <c r="HR158" i="59"/>
  <c r="HS158" i="59"/>
  <c r="HT158" i="59"/>
  <c r="HU158" i="59"/>
  <c r="HV158" i="59"/>
  <c r="HW158" i="59"/>
  <c r="HX158" i="59"/>
  <c r="HY158" i="59"/>
  <c r="HZ158" i="59"/>
  <c r="IA158" i="59"/>
  <c r="IB158" i="59"/>
  <c r="IC158" i="59"/>
  <c r="ID158" i="59"/>
  <c r="IE158" i="59"/>
  <c r="IF158" i="59"/>
  <c r="IG158" i="59"/>
  <c r="IH158" i="59"/>
  <c r="II158" i="59"/>
  <c r="IJ158" i="59"/>
  <c r="IK158" i="59"/>
  <c r="IL158" i="59"/>
  <c r="IM158" i="59"/>
  <c r="IN158" i="59"/>
  <c r="IO158" i="59"/>
  <c r="IP158" i="59"/>
  <c r="IQ158" i="59"/>
  <c r="IR158" i="59"/>
  <c r="IS158" i="59"/>
  <c r="IT158" i="59"/>
  <c r="IU158" i="59"/>
  <c r="IV158" i="59"/>
  <c r="H159" i="59"/>
  <c r="L159" i="59"/>
  <c r="S159" i="59"/>
  <c r="W159" i="59"/>
  <c r="AD159" i="59"/>
  <c r="AH159" i="59"/>
  <c r="AO159" i="59"/>
  <c r="AP159" i="59"/>
  <c r="AS159" i="59"/>
  <c r="AT159" i="59"/>
  <c r="AU159" i="59"/>
  <c r="AV159" i="59"/>
  <c r="AW159" i="59"/>
  <c r="AX159" i="59"/>
  <c r="AY159" i="59"/>
  <c r="AZ159" i="59"/>
  <c r="BA159" i="59"/>
  <c r="BB159" i="59"/>
  <c r="BC159" i="59"/>
  <c r="BD159" i="59"/>
  <c r="BE159" i="59"/>
  <c r="BF159" i="59"/>
  <c r="BG159" i="59"/>
  <c r="BH159" i="59"/>
  <c r="BI159" i="59"/>
  <c r="BJ159" i="59"/>
  <c r="BK159" i="59"/>
  <c r="BL159" i="59"/>
  <c r="BM159" i="59"/>
  <c r="BN159" i="59"/>
  <c r="BO159" i="59"/>
  <c r="BP159" i="59"/>
  <c r="BQ159" i="59"/>
  <c r="BR159" i="59"/>
  <c r="BS159" i="59"/>
  <c r="BT159" i="59"/>
  <c r="BU159" i="59"/>
  <c r="BV159" i="59"/>
  <c r="BW159" i="59"/>
  <c r="BX159" i="59"/>
  <c r="BY159" i="59"/>
  <c r="BZ159" i="59"/>
  <c r="CA159" i="59"/>
  <c r="CB159" i="59"/>
  <c r="CC159" i="59"/>
  <c r="CD159" i="59"/>
  <c r="CE159" i="59"/>
  <c r="CF159" i="59"/>
  <c r="CG159" i="59"/>
  <c r="CH159" i="59"/>
  <c r="CI159" i="59"/>
  <c r="CJ159" i="59"/>
  <c r="CK159" i="59"/>
  <c r="CL159" i="59"/>
  <c r="CM159" i="59"/>
  <c r="CN159" i="59"/>
  <c r="CO159" i="59"/>
  <c r="CP159" i="59"/>
  <c r="CQ159" i="59"/>
  <c r="CR159" i="59"/>
  <c r="CS159" i="59"/>
  <c r="CT159" i="59"/>
  <c r="CU159" i="59"/>
  <c r="CV159" i="59"/>
  <c r="CW159" i="59"/>
  <c r="CX159" i="59"/>
  <c r="CY159" i="59"/>
  <c r="CZ159" i="59"/>
  <c r="DA159" i="59"/>
  <c r="DB159" i="59"/>
  <c r="DC159" i="59"/>
  <c r="DD159" i="59"/>
  <c r="DE159" i="59"/>
  <c r="DF159" i="59"/>
  <c r="DG159" i="59"/>
  <c r="DH159" i="59"/>
  <c r="DI159" i="59"/>
  <c r="DJ159" i="59"/>
  <c r="DK159" i="59"/>
  <c r="DL159" i="59"/>
  <c r="DM159" i="59"/>
  <c r="DN159" i="59"/>
  <c r="DO159" i="59"/>
  <c r="DP159" i="59"/>
  <c r="DQ159" i="59"/>
  <c r="DR159" i="59"/>
  <c r="DS159" i="59"/>
  <c r="DT159" i="59"/>
  <c r="DU159" i="59"/>
  <c r="DV159" i="59"/>
  <c r="DW159" i="59"/>
  <c r="DX159" i="59"/>
  <c r="DY159" i="59"/>
  <c r="DZ159" i="59"/>
  <c r="EA159" i="59"/>
  <c r="EB159" i="59"/>
  <c r="EC159" i="59"/>
  <c r="ED159" i="59"/>
  <c r="EE159" i="59"/>
  <c r="EF159" i="59"/>
  <c r="EG159" i="59"/>
  <c r="EH159" i="59"/>
  <c r="EI159" i="59"/>
  <c r="EJ159" i="59"/>
  <c r="EK159" i="59"/>
  <c r="EL159" i="59"/>
  <c r="EM159" i="59"/>
  <c r="EN159" i="59"/>
  <c r="EO159" i="59"/>
  <c r="EP159" i="59"/>
  <c r="EQ159" i="59"/>
  <c r="ER159" i="59"/>
  <c r="ES159" i="59"/>
  <c r="ET159" i="59"/>
  <c r="EU159" i="59"/>
  <c r="EV159" i="59"/>
  <c r="EW159" i="59"/>
  <c r="EX159" i="59"/>
  <c r="EY159" i="59"/>
  <c r="EZ159" i="59"/>
  <c r="FA159" i="59"/>
  <c r="FB159" i="59"/>
  <c r="FC159" i="59"/>
  <c r="FD159" i="59"/>
  <c r="FE159" i="59"/>
  <c r="FF159" i="59"/>
  <c r="FG159" i="59"/>
  <c r="FH159" i="59"/>
  <c r="FI159" i="59"/>
  <c r="FJ159" i="59"/>
  <c r="FK159" i="59"/>
  <c r="FL159" i="59"/>
  <c r="FM159" i="59"/>
  <c r="FN159" i="59"/>
  <c r="FO159" i="59"/>
  <c r="FP159" i="59"/>
  <c r="FQ159" i="59"/>
  <c r="FR159" i="59"/>
  <c r="FS159" i="59"/>
  <c r="FT159" i="59"/>
  <c r="FU159" i="59"/>
  <c r="FV159" i="59"/>
  <c r="FW159" i="59"/>
  <c r="FX159" i="59"/>
  <c r="FY159" i="59"/>
  <c r="FZ159" i="59"/>
  <c r="GA159" i="59"/>
  <c r="GB159" i="59"/>
  <c r="GC159" i="59"/>
  <c r="GD159" i="59"/>
  <c r="GE159" i="59"/>
  <c r="GF159" i="59"/>
  <c r="GG159" i="59"/>
  <c r="GH159" i="59"/>
  <c r="GI159" i="59"/>
  <c r="GJ159" i="59"/>
  <c r="GK159" i="59"/>
  <c r="GL159" i="59"/>
  <c r="GM159" i="59"/>
  <c r="GN159" i="59"/>
  <c r="GO159" i="59"/>
  <c r="GP159" i="59"/>
  <c r="GQ159" i="59"/>
  <c r="GR159" i="59"/>
  <c r="GS159" i="59"/>
  <c r="GT159" i="59"/>
  <c r="GU159" i="59"/>
  <c r="GV159" i="59"/>
  <c r="GW159" i="59"/>
  <c r="GX159" i="59"/>
  <c r="GY159" i="59"/>
  <c r="GZ159" i="59"/>
  <c r="HA159" i="59"/>
  <c r="HB159" i="59"/>
  <c r="HC159" i="59"/>
  <c r="HD159" i="59"/>
  <c r="HE159" i="59"/>
  <c r="HF159" i="59"/>
  <c r="HG159" i="59"/>
  <c r="HH159" i="59"/>
  <c r="HI159" i="59"/>
  <c r="HJ159" i="59"/>
  <c r="HK159" i="59"/>
  <c r="HL159" i="59"/>
  <c r="HM159" i="59"/>
  <c r="HN159" i="59"/>
  <c r="HO159" i="59"/>
  <c r="HP159" i="59"/>
  <c r="HQ159" i="59"/>
  <c r="HR159" i="59"/>
  <c r="HS159" i="59"/>
  <c r="HT159" i="59"/>
  <c r="HU159" i="59"/>
  <c r="HV159" i="59"/>
  <c r="HW159" i="59"/>
  <c r="HX159" i="59"/>
  <c r="HY159" i="59"/>
  <c r="HZ159" i="59"/>
  <c r="IA159" i="59"/>
  <c r="IB159" i="59"/>
  <c r="IC159" i="59"/>
  <c r="ID159" i="59"/>
  <c r="IE159" i="59"/>
  <c r="IF159" i="59"/>
  <c r="IG159" i="59"/>
  <c r="IH159" i="59"/>
  <c r="II159" i="59"/>
  <c r="IJ159" i="59"/>
  <c r="IK159" i="59"/>
  <c r="IL159" i="59"/>
  <c r="IM159" i="59"/>
  <c r="IN159" i="59"/>
  <c r="IO159" i="59"/>
  <c r="IP159" i="59"/>
  <c r="IQ159" i="59"/>
  <c r="IR159" i="59"/>
  <c r="IS159" i="59"/>
  <c r="IT159" i="59"/>
  <c r="IU159" i="59"/>
  <c r="IV159" i="59"/>
  <c r="J160" i="59"/>
  <c r="N160" i="59"/>
  <c r="U160" i="59"/>
  <c r="Y160" i="59"/>
  <c r="AF160" i="59"/>
  <c r="AJ160" i="59"/>
  <c r="AK160" i="59"/>
  <c r="AL160" i="59"/>
  <c r="AM160" i="59"/>
  <c r="AP160" i="59"/>
  <c r="AQ160" i="59"/>
  <c r="AS160" i="59"/>
  <c r="AT160" i="59"/>
  <c r="AU160" i="59"/>
  <c r="AV160" i="59"/>
  <c r="AW160" i="59"/>
  <c r="AX160" i="59"/>
  <c r="AY160" i="59"/>
  <c r="AZ160" i="59"/>
  <c r="BA160" i="59"/>
  <c r="BB160" i="59"/>
  <c r="BC160" i="59"/>
  <c r="BD160" i="59"/>
  <c r="BE160" i="59"/>
  <c r="BF160" i="59"/>
  <c r="BG160" i="59"/>
  <c r="BH160" i="59"/>
  <c r="BI160" i="59"/>
  <c r="BJ160" i="59"/>
  <c r="BK160" i="59"/>
  <c r="BL160" i="59"/>
  <c r="BM160" i="59"/>
  <c r="BN160" i="59"/>
  <c r="BO160" i="59"/>
  <c r="BP160" i="59"/>
  <c r="BQ160" i="59"/>
  <c r="BR160" i="59"/>
  <c r="BS160" i="59"/>
  <c r="BT160" i="59"/>
  <c r="BU160" i="59"/>
  <c r="BV160" i="59"/>
  <c r="BW160" i="59"/>
  <c r="BX160" i="59"/>
  <c r="BY160" i="59"/>
  <c r="BZ160" i="59"/>
  <c r="CA160" i="59"/>
  <c r="CB160" i="59"/>
  <c r="CC160" i="59"/>
  <c r="CD160" i="59"/>
  <c r="CE160" i="59"/>
  <c r="CF160" i="59"/>
  <c r="CG160" i="59"/>
  <c r="CH160" i="59"/>
  <c r="CI160" i="59"/>
  <c r="CJ160" i="59"/>
  <c r="CK160" i="59"/>
  <c r="CL160" i="59"/>
  <c r="CM160" i="59"/>
  <c r="CN160" i="59"/>
  <c r="CO160" i="59"/>
  <c r="CP160" i="59"/>
  <c r="CQ160" i="59"/>
  <c r="CR160" i="59"/>
  <c r="CS160" i="59"/>
  <c r="CT160" i="59"/>
  <c r="CU160" i="59"/>
  <c r="CV160" i="59"/>
  <c r="CW160" i="59"/>
  <c r="CX160" i="59"/>
  <c r="CY160" i="59"/>
  <c r="CZ160" i="59"/>
  <c r="DA160" i="59"/>
  <c r="DB160" i="59"/>
  <c r="DC160" i="59"/>
  <c r="DD160" i="59"/>
  <c r="DE160" i="59"/>
  <c r="DF160" i="59"/>
  <c r="DG160" i="59"/>
  <c r="DH160" i="59"/>
  <c r="DI160" i="59"/>
  <c r="DJ160" i="59"/>
  <c r="DK160" i="59"/>
  <c r="DL160" i="59"/>
  <c r="DM160" i="59"/>
  <c r="DN160" i="59"/>
  <c r="DO160" i="59"/>
  <c r="DP160" i="59"/>
  <c r="DQ160" i="59"/>
  <c r="DR160" i="59"/>
  <c r="DS160" i="59"/>
  <c r="DT160" i="59"/>
  <c r="DU160" i="59"/>
  <c r="DV160" i="59"/>
  <c r="DW160" i="59"/>
  <c r="DX160" i="59"/>
  <c r="DY160" i="59"/>
  <c r="DZ160" i="59"/>
  <c r="EA160" i="59"/>
  <c r="EB160" i="59"/>
  <c r="EC160" i="59"/>
  <c r="ED160" i="59"/>
  <c r="EE160" i="59"/>
  <c r="EF160" i="59"/>
  <c r="EG160" i="59"/>
  <c r="EH160" i="59"/>
  <c r="EI160" i="59"/>
  <c r="EJ160" i="59"/>
  <c r="EK160" i="59"/>
  <c r="EL160" i="59"/>
  <c r="EM160" i="59"/>
  <c r="EN160" i="59"/>
  <c r="EO160" i="59"/>
  <c r="EP160" i="59"/>
  <c r="EQ160" i="59"/>
  <c r="ER160" i="59"/>
  <c r="ES160" i="59"/>
  <c r="ET160" i="59"/>
  <c r="EU160" i="59"/>
  <c r="EV160" i="59"/>
  <c r="EW160" i="59"/>
  <c r="EX160" i="59"/>
  <c r="EY160" i="59"/>
  <c r="EZ160" i="59"/>
  <c r="FA160" i="59"/>
  <c r="FB160" i="59"/>
  <c r="FC160" i="59"/>
  <c r="FD160" i="59"/>
  <c r="FE160" i="59"/>
  <c r="FF160" i="59"/>
  <c r="FG160" i="59"/>
  <c r="FH160" i="59"/>
  <c r="FI160" i="59"/>
  <c r="FJ160" i="59"/>
  <c r="FK160" i="59"/>
  <c r="FL160" i="59"/>
  <c r="FM160" i="59"/>
  <c r="FN160" i="59"/>
  <c r="FO160" i="59"/>
  <c r="FP160" i="59"/>
  <c r="FQ160" i="59"/>
  <c r="FR160" i="59"/>
  <c r="FS160" i="59"/>
  <c r="FT160" i="59"/>
  <c r="FU160" i="59"/>
  <c r="FV160" i="59"/>
  <c r="FW160" i="59"/>
  <c r="FX160" i="59"/>
  <c r="FY160" i="59"/>
  <c r="FZ160" i="59"/>
  <c r="GA160" i="59"/>
  <c r="GB160" i="59"/>
  <c r="GC160" i="59"/>
  <c r="GD160" i="59"/>
  <c r="GE160" i="59"/>
  <c r="GF160" i="59"/>
  <c r="GG160" i="59"/>
  <c r="GH160" i="59"/>
  <c r="GI160" i="59"/>
  <c r="GJ160" i="59"/>
  <c r="GK160" i="59"/>
  <c r="GL160" i="59"/>
  <c r="GM160" i="59"/>
  <c r="GN160" i="59"/>
  <c r="GO160" i="59"/>
  <c r="GP160" i="59"/>
  <c r="GQ160" i="59"/>
  <c r="GR160" i="59"/>
  <c r="GS160" i="59"/>
  <c r="GT160" i="59"/>
  <c r="GU160" i="59"/>
  <c r="GV160" i="59"/>
  <c r="GW160" i="59"/>
  <c r="GX160" i="59"/>
  <c r="GY160" i="59"/>
  <c r="GZ160" i="59"/>
  <c r="HA160" i="59"/>
  <c r="HB160" i="59"/>
  <c r="HC160" i="59"/>
  <c r="HD160" i="59"/>
  <c r="HE160" i="59"/>
  <c r="HF160" i="59"/>
  <c r="HG160" i="59"/>
  <c r="HH160" i="59"/>
  <c r="HI160" i="59"/>
  <c r="HJ160" i="59"/>
  <c r="HK160" i="59"/>
  <c r="HL160" i="59"/>
  <c r="HM160" i="59"/>
  <c r="HN160" i="59"/>
  <c r="HO160" i="59"/>
  <c r="HP160" i="59"/>
  <c r="HQ160" i="59"/>
  <c r="HR160" i="59"/>
  <c r="HS160" i="59"/>
  <c r="HT160" i="59"/>
  <c r="HU160" i="59"/>
  <c r="HV160" i="59"/>
  <c r="HW160" i="59"/>
  <c r="HX160" i="59"/>
  <c r="HY160" i="59"/>
  <c r="HZ160" i="59"/>
  <c r="IA160" i="59"/>
  <c r="IB160" i="59"/>
  <c r="IC160" i="59"/>
  <c r="ID160" i="59"/>
  <c r="IE160" i="59"/>
  <c r="IF160" i="59"/>
  <c r="IG160" i="59"/>
  <c r="IH160" i="59"/>
  <c r="II160" i="59"/>
  <c r="IJ160" i="59"/>
  <c r="IK160" i="59"/>
  <c r="IL160" i="59"/>
  <c r="IM160" i="59"/>
  <c r="IN160" i="59"/>
  <c r="IO160" i="59"/>
  <c r="IP160" i="59"/>
  <c r="IQ160" i="59"/>
  <c r="IR160" i="59"/>
  <c r="IS160" i="59"/>
  <c r="IT160" i="59"/>
  <c r="IU160" i="59"/>
  <c r="IV160" i="59"/>
  <c r="F161" i="59"/>
  <c r="G161" i="59"/>
  <c r="H161" i="59"/>
  <c r="I161" i="59"/>
  <c r="J161" i="59"/>
  <c r="K161" i="59"/>
  <c r="L161" i="59"/>
  <c r="M161" i="59"/>
  <c r="N161" i="59"/>
  <c r="O161" i="59"/>
  <c r="P161" i="59"/>
  <c r="Q161" i="59"/>
  <c r="R161" i="59"/>
  <c r="S161" i="59"/>
  <c r="T161" i="59"/>
  <c r="U161" i="59"/>
  <c r="V161" i="59"/>
  <c r="W161" i="59"/>
  <c r="X161" i="59"/>
  <c r="Y161" i="59"/>
  <c r="Z161" i="59"/>
  <c r="AA161" i="59"/>
  <c r="AB161" i="59"/>
  <c r="AC161" i="59"/>
  <c r="AD161" i="59"/>
  <c r="AE161" i="59"/>
  <c r="AF161" i="59"/>
  <c r="AG161" i="59"/>
  <c r="AH161" i="59"/>
  <c r="AI161" i="59"/>
  <c r="AJ161" i="59"/>
  <c r="AK161" i="59"/>
  <c r="AL161" i="59"/>
  <c r="AM161" i="59"/>
  <c r="AN161" i="59"/>
  <c r="AO161" i="59"/>
  <c r="AP161" i="59"/>
  <c r="AQ161" i="59"/>
  <c r="AR161" i="59"/>
  <c r="AS161" i="59"/>
  <c r="AT161" i="59"/>
  <c r="AU161" i="59"/>
  <c r="AV161" i="59"/>
  <c r="AW161" i="59"/>
  <c r="AX161" i="59"/>
  <c r="AY161" i="59"/>
  <c r="AZ161" i="59"/>
  <c r="BA161" i="59"/>
  <c r="BB161" i="59"/>
  <c r="BC161" i="59"/>
  <c r="BD161" i="59"/>
  <c r="BE161" i="59"/>
  <c r="BF161" i="59"/>
  <c r="BG161" i="59"/>
  <c r="BH161" i="59"/>
  <c r="BI161" i="59"/>
  <c r="BJ161" i="59"/>
  <c r="BL161" i="59"/>
  <c r="BM161" i="59"/>
  <c r="BN161" i="59"/>
  <c r="BO161" i="59"/>
  <c r="BP161" i="59"/>
  <c r="BQ161" i="59"/>
  <c r="BR161" i="59"/>
  <c r="BS161" i="59"/>
  <c r="BT161" i="59"/>
  <c r="BU161" i="59"/>
  <c r="BV161" i="59"/>
  <c r="BW161" i="59"/>
  <c r="BX161" i="59"/>
  <c r="BY161" i="59"/>
  <c r="BZ161" i="59"/>
  <c r="CA161" i="59"/>
  <c r="CB161" i="59"/>
  <c r="CC161" i="59"/>
  <c r="CD161" i="59"/>
  <c r="CE161" i="59"/>
  <c r="CF161" i="59"/>
  <c r="CG161" i="59"/>
  <c r="CH161" i="59"/>
  <c r="CI161" i="59"/>
  <c r="CJ161" i="59"/>
  <c r="CK161" i="59"/>
  <c r="CM161" i="59"/>
  <c r="CN161" i="59"/>
  <c r="CO161" i="59"/>
  <c r="CP161" i="59"/>
  <c r="CQ161" i="59"/>
  <c r="CR161" i="59"/>
  <c r="CS161" i="59"/>
  <c r="CT161" i="59"/>
  <c r="CU161" i="59"/>
  <c r="CV161" i="59"/>
  <c r="CW161" i="59"/>
  <c r="CX161" i="59"/>
  <c r="CY161" i="59"/>
  <c r="CZ161" i="59"/>
  <c r="DA161" i="59"/>
  <c r="DB161" i="59"/>
  <c r="DC161" i="59"/>
  <c r="DD161" i="59"/>
  <c r="DE161" i="59"/>
  <c r="DF161" i="59"/>
  <c r="DG161" i="59"/>
  <c r="DH161" i="59"/>
  <c r="DI161" i="59"/>
  <c r="DJ161" i="59"/>
  <c r="DK161" i="59"/>
  <c r="DL161" i="59"/>
  <c r="DM161" i="59"/>
  <c r="DN161" i="59"/>
  <c r="DO161" i="59"/>
  <c r="DP161" i="59"/>
  <c r="DQ161" i="59"/>
  <c r="DR161" i="59"/>
  <c r="DS161" i="59"/>
  <c r="DT161" i="59"/>
  <c r="DU161" i="59"/>
  <c r="DV161" i="59"/>
  <c r="DW161" i="59"/>
  <c r="DX161" i="59"/>
  <c r="DY161" i="59"/>
  <c r="DZ161" i="59"/>
  <c r="EA161" i="59"/>
  <c r="EB161" i="59"/>
  <c r="EC161" i="59"/>
  <c r="ED161" i="59"/>
  <c r="EE161" i="59"/>
  <c r="EF161" i="59"/>
  <c r="EG161" i="59"/>
  <c r="EH161" i="59"/>
  <c r="EI161" i="59"/>
  <c r="EJ161" i="59"/>
  <c r="EK161" i="59"/>
  <c r="EL161" i="59"/>
  <c r="EM161" i="59"/>
  <c r="EN161" i="59"/>
  <c r="EO161" i="59"/>
  <c r="EP161" i="59"/>
  <c r="EQ161" i="59"/>
  <c r="ER161" i="59"/>
  <c r="ES161" i="59"/>
  <c r="ET161" i="59"/>
  <c r="EU161" i="59"/>
  <c r="EV161" i="59"/>
  <c r="EW161" i="59"/>
  <c r="EX161" i="59"/>
  <c r="EY161" i="59"/>
  <c r="EZ161" i="59"/>
  <c r="FA161" i="59"/>
  <c r="FB161" i="59"/>
  <c r="FC161" i="59"/>
  <c r="FD161" i="59"/>
  <c r="FE161" i="59"/>
  <c r="FF161" i="59"/>
  <c r="FG161" i="59"/>
  <c r="FH161" i="59"/>
  <c r="FI161" i="59"/>
  <c r="FJ161" i="59"/>
  <c r="FK161" i="59"/>
  <c r="FL161" i="59"/>
  <c r="FM161" i="59"/>
  <c r="FN161" i="59"/>
  <c r="FO161" i="59"/>
  <c r="FP161" i="59"/>
  <c r="FQ161" i="59"/>
  <c r="FR161" i="59"/>
  <c r="FS161" i="59"/>
  <c r="FT161" i="59"/>
  <c r="FU161" i="59"/>
  <c r="FV161" i="59"/>
  <c r="FW161" i="59"/>
  <c r="FX161" i="59"/>
  <c r="FY161" i="59"/>
  <c r="FZ161" i="59"/>
  <c r="GA161" i="59"/>
  <c r="GB161" i="59"/>
  <c r="GC161" i="59"/>
  <c r="GD161" i="59"/>
  <c r="GE161" i="59"/>
  <c r="GF161" i="59"/>
  <c r="GG161" i="59"/>
  <c r="GH161" i="59"/>
  <c r="GI161" i="59"/>
  <c r="GJ161" i="59"/>
  <c r="GK161" i="59"/>
  <c r="GL161" i="59"/>
  <c r="GM161" i="59"/>
  <c r="GN161" i="59"/>
  <c r="GO161" i="59"/>
  <c r="GP161" i="59"/>
  <c r="GQ161" i="59"/>
  <c r="GR161" i="59"/>
  <c r="GS161" i="59"/>
  <c r="GT161" i="59"/>
  <c r="GU161" i="59"/>
  <c r="GV161" i="59"/>
  <c r="GW161" i="59"/>
  <c r="GX161" i="59"/>
  <c r="GY161" i="59"/>
  <c r="GZ161" i="59"/>
  <c r="HA161" i="59"/>
  <c r="HB161" i="59"/>
  <c r="HC161" i="59"/>
  <c r="HD161" i="59"/>
  <c r="HE161" i="59"/>
  <c r="HF161" i="59"/>
  <c r="HG161" i="59"/>
  <c r="HH161" i="59"/>
  <c r="HI161" i="59"/>
  <c r="HJ161" i="59"/>
  <c r="HK161" i="59"/>
  <c r="HL161" i="59"/>
  <c r="HM161" i="59"/>
  <c r="HN161" i="59"/>
  <c r="HO161" i="59"/>
  <c r="HP161" i="59"/>
  <c r="HQ161" i="59"/>
  <c r="HR161" i="59"/>
  <c r="HS161" i="59"/>
  <c r="HT161" i="59"/>
  <c r="HU161" i="59"/>
  <c r="HV161" i="59"/>
  <c r="HW161" i="59"/>
  <c r="HX161" i="59"/>
  <c r="HY161" i="59"/>
  <c r="HZ161" i="59"/>
  <c r="IA161" i="59"/>
  <c r="IB161" i="59"/>
  <c r="IC161" i="59"/>
  <c r="ID161" i="59"/>
  <c r="IE161" i="59"/>
  <c r="IF161" i="59"/>
  <c r="IG161" i="59"/>
  <c r="IH161" i="59"/>
  <c r="II161" i="59"/>
  <c r="IJ161" i="59"/>
  <c r="IK161" i="59"/>
  <c r="IL161" i="59"/>
  <c r="IM161" i="59"/>
  <c r="IN161" i="59"/>
  <c r="IO161" i="59"/>
  <c r="IP161" i="59"/>
  <c r="IQ161" i="59"/>
  <c r="IR161" i="59"/>
  <c r="IS161" i="59"/>
  <c r="IT161" i="59"/>
  <c r="IU161" i="59"/>
  <c r="IV161" i="59"/>
  <c r="F162" i="59"/>
  <c r="G162" i="59"/>
  <c r="H162" i="59"/>
  <c r="I162" i="59"/>
  <c r="J162" i="59"/>
  <c r="K162" i="59"/>
  <c r="L162" i="59"/>
  <c r="M162" i="59"/>
  <c r="N162" i="59"/>
  <c r="O162" i="59"/>
  <c r="P162" i="59"/>
  <c r="Q162" i="59"/>
  <c r="V162" i="59"/>
  <c r="Z162" i="59"/>
  <c r="AD162" i="59"/>
  <c r="AF162" i="59"/>
  <c r="AG162" i="59"/>
  <c r="AH162" i="59"/>
  <c r="AI162" i="59"/>
  <c r="AJ162" i="59"/>
  <c r="AK162" i="59"/>
  <c r="AL162" i="59"/>
  <c r="AM162" i="59"/>
  <c r="AN162" i="59"/>
  <c r="AO162" i="59"/>
  <c r="AP162" i="59"/>
  <c r="AQ162" i="59"/>
  <c r="AR162" i="59"/>
  <c r="AS162" i="59"/>
  <c r="AT162" i="59"/>
  <c r="AU162" i="59"/>
  <c r="AV162" i="59"/>
  <c r="AW162" i="59"/>
  <c r="AX162" i="59"/>
  <c r="AY162" i="59"/>
  <c r="AZ162" i="59"/>
  <c r="BA162" i="59"/>
  <c r="BB162" i="59"/>
  <c r="BC162" i="59"/>
  <c r="BD162" i="59"/>
  <c r="BE162" i="59"/>
  <c r="BF162" i="59"/>
  <c r="BG162" i="59"/>
  <c r="BH162" i="59"/>
  <c r="BI162" i="59"/>
  <c r="BJ162" i="59"/>
  <c r="BK162" i="59"/>
  <c r="BL162" i="59"/>
  <c r="BM162" i="59"/>
  <c r="BN162" i="59"/>
  <c r="BR162" i="59"/>
  <c r="BS162" i="59"/>
  <c r="BW162" i="59"/>
  <c r="CA162" i="59"/>
  <c r="CB162" i="59"/>
  <c r="CC162" i="59"/>
  <c r="CD162" i="59"/>
  <c r="CE162" i="59"/>
  <c r="CF162" i="59"/>
  <c r="CG162" i="59"/>
  <c r="CH162" i="59"/>
  <c r="CI162" i="59"/>
  <c r="CJ162" i="59"/>
  <c r="CK162" i="59"/>
  <c r="CL162" i="59"/>
  <c r="CM162" i="59"/>
  <c r="CN162" i="59"/>
  <c r="CO162" i="59"/>
  <c r="CP162" i="59"/>
  <c r="CQ162" i="59"/>
  <c r="CR162" i="59"/>
  <c r="CS162" i="59"/>
  <c r="CT162" i="59"/>
  <c r="CU162" i="59"/>
  <c r="CV162" i="59"/>
  <c r="CW162" i="59"/>
  <c r="CX162" i="59"/>
  <c r="CY162" i="59"/>
  <c r="CZ162" i="59"/>
  <c r="DA162" i="59"/>
  <c r="DB162" i="59"/>
  <c r="DC162" i="59"/>
  <c r="DD162" i="59"/>
  <c r="DE162" i="59"/>
  <c r="DF162" i="59"/>
  <c r="DG162" i="59"/>
  <c r="DH162" i="59"/>
  <c r="DI162" i="59"/>
  <c r="DJ162" i="59"/>
  <c r="DK162" i="59"/>
  <c r="DL162" i="59"/>
  <c r="DO162" i="59"/>
  <c r="DP162" i="59"/>
  <c r="DT162" i="59"/>
  <c r="DU162" i="59"/>
  <c r="DV162" i="59"/>
  <c r="DW162" i="59"/>
  <c r="DX162" i="59"/>
  <c r="DY162" i="59"/>
  <c r="DZ162" i="59"/>
  <c r="EA162" i="59"/>
  <c r="EB162" i="59"/>
  <c r="EC162" i="59"/>
  <c r="ED162" i="59"/>
  <c r="EE162" i="59"/>
  <c r="EF162" i="59"/>
  <c r="EG162" i="59"/>
  <c r="EH162" i="59"/>
  <c r="EI162" i="59"/>
  <c r="EJ162" i="59"/>
  <c r="EK162" i="59"/>
  <c r="EL162" i="59"/>
  <c r="EM162" i="59"/>
  <c r="EN162" i="59"/>
  <c r="EO162" i="59"/>
  <c r="EP162" i="59"/>
  <c r="EQ162" i="59"/>
  <c r="ER162" i="59"/>
  <c r="ES162" i="59"/>
  <c r="ET162" i="59"/>
  <c r="EU162" i="59"/>
  <c r="EV162" i="59"/>
  <c r="EW162" i="59"/>
  <c r="EX162" i="59"/>
  <c r="EY162" i="59"/>
  <c r="EZ162" i="59"/>
  <c r="FA162" i="59"/>
  <c r="FB162" i="59"/>
  <c r="FC162" i="59"/>
  <c r="FD162" i="59"/>
  <c r="FE162" i="59"/>
  <c r="FF162" i="59"/>
  <c r="FG162" i="59"/>
  <c r="FH162" i="59"/>
  <c r="FI162" i="59"/>
  <c r="FM162" i="59"/>
  <c r="FQ162" i="59"/>
  <c r="FU162" i="59"/>
  <c r="FV162" i="59"/>
  <c r="FW162" i="59"/>
  <c r="FX162" i="59"/>
  <c r="FY162" i="59"/>
  <c r="FZ162" i="59"/>
  <c r="GA162" i="59"/>
  <c r="GB162" i="59"/>
  <c r="GC162" i="59"/>
  <c r="GD162" i="59"/>
  <c r="GE162" i="59"/>
  <c r="GF162" i="59"/>
  <c r="GG162" i="59"/>
  <c r="GH162" i="59"/>
  <c r="GI162" i="59"/>
  <c r="GJ162" i="59"/>
  <c r="GK162" i="59"/>
  <c r="GL162" i="59"/>
  <c r="GM162" i="59"/>
  <c r="GN162" i="59"/>
  <c r="GO162" i="59"/>
  <c r="GP162" i="59"/>
  <c r="GQ162" i="59"/>
  <c r="GR162" i="59"/>
  <c r="GS162" i="59"/>
  <c r="GT162" i="59"/>
  <c r="GU162" i="59"/>
  <c r="GV162" i="59"/>
  <c r="GW162" i="59"/>
  <c r="GX162" i="59"/>
  <c r="GY162" i="59"/>
  <c r="GZ162" i="59"/>
  <c r="HA162" i="59"/>
  <c r="HB162" i="59"/>
  <c r="HC162" i="59"/>
  <c r="HD162" i="59"/>
  <c r="HE162" i="59"/>
  <c r="HF162" i="59"/>
  <c r="HG162" i="59"/>
  <c r="HH162" i="59"/>
  <c r="HI162" i="59"/>
  <c r="HJ162" i="59"/>
  <c r="HK162" i="59"/>
  <c r="HL162" i="59"/>
  <c r="HM162" i="59"/>
  <c r="HN162" i="59"/>
  <c r="HO162" i="59"/>
  <c r="HP162" i="59"/>
  <c r="HQ162" i="59"/>
  <c r="HR162" i="59"/>
  <c r="HS162" i="59"/>
  <c r="HT162" i="59"/>
  <c r="HU162" i="59"/>
  <c r="HV162" i="59"/>
  <c r="HW162" i="59"/>
  <c r="HX162" i="59"/>
  <c r="HY162" i="59"/>
  <c r="HZ162" i="59"/>
  <c r="IA162" i="59"/>
  <c r="IB162" i="59"/>
  <c r="IC162" i="59"/>
  <c r="ID162" i="59"/>
  <c r="IE162" i="59"/>
  <c r="IF162" i="59"/>
  <c r="IG162" i="59"/>
  <c r="IH162" i="59"/>
  <c r="II162" i="59"/>
  <c r="IJ162" i="59"/>
  <c r="IK162" i="59"/>
  <c r="IL162" i="59"/>
  <c r="IM162" i="59"/>
  <c r="IN162" i="59"/>
  <c r="IO162" i="59"/>
  <c r="IP162" i="59"/>
  <c r="IQ162" i="59"/>
  <c r="IR162" i="59"/>
  <c r="IS162" i="59"/>
  <c r="IT162" i="59"/>
  <c r="IU162" i="59"/>
  <c r="IV162" i="59"/>
  <c r="F163" i="59"/>
  <c r="G163" i="59"/>
  <c r="H163" i="59"/>
  <c r="I163" i="59"/>
  <c r="J163" i="59"/>
  <c r="K163" i="59"/>
  <c r="L163" i="59"/>
  <c r="AY163" i="59"/>
  <c r="AZ163" i="59"/>
  <c r="BA163" i="59"/>
  <c r="BB163" i="59"/>
  <c r="BC163" i="59"/>
  <c r="BD163" i="59"/>
  <c r="BE163" i="59"/>
  <c r="BF163" i="59"/>
  <c r="BG163" i="59"/>
  <c r="BH163" i="59"/>
  <c r="BI163" i="59"/>
  <c r="BJ163" i="59"/>
  <c r="BK163" i="59"/>
  <c r="BL163" i="59"/>
  <c r="BM163" i="59"/>
  <c r="BN163" i="59"/>
  <c r="BO163" i="59"/>
  <c r="BP163" i="59"/>
  <c r="BQ163" i="59"/>
  <c r="BR163" i="59"/>
  <c r="BS163" i="59"/>
  <c r="BT163" i="59"/>
  <c r="BU163" i="59"/>
  <c r="BV163" i="59"/>
  <c r="BW163" i="59"/>
  <c r="BX163" i="59"/>
  <c r="BY163" i="59"/>
  <c r="BZ163" i="59"/>
  <c r="CA163" i="59"/>
  <c r="CB163" i="59"/>
  <c r="CC163" i="59"/>
  <c r="CD163" i="59"/>
  <c r="CE163" i="59"/>
  <c r="CF163" i="59"/>
  <c r="CG163" i="59"/>
  <c r="CH163" i="59"/>
  <c r="CI163" i="59"/>
  <c r="CJ163" i="59"/>
  <c r="CK163" i="59"/>
  <c r="CL163" i="59"/>
  <c r="CM163" i="59"/>
  <c r="CN163" i="59"/>
  <c r="CO163" i="59"/>
  <c r="CP163" i="59"/>
  <c r="CQ163" i="59"/>
  <c r="CR163" i="59"/>
  <c r="CS163" i="59"/>
  <c r="CT163" i="59"/>
  <c r="CU163" i="59"/>
  <c r="CV163" i="59"/>
  <c r="CW163" i="59"/>
  <c r="CX163" i="59"/>
  <c r="CY163" i="59"/>
  <c r="CZ163" i="59"/>
  <c r="DA163" i="59"/>
  <c r="DC163" i="59"/>
  <c r="DD163" i="59"/>
  <c r="DE163" i="59"/>
  <c r="DF163" i="59"/>
  <c r="ES163" i="59"/>
  <c r="ET163" i="59"/>
  <c r="EU163" i="59"/>
  <c r="EV163" i="59"/>
  <c r="EW163" i="59"/>
  <c r="EX163" i="59"/>
  <c r="EZ163" i="59"/>
  <c r="FA163" i="59"/>
  <c r="FB163" i="59"/>
  <c r="GP163" i="59"/>
  <c r="GS163" i="59"/>
  <c r="GU163" i="59"/>
  <c r="GV163" i="59"/>
  <c r="GW163" i="59"/>
  <c r="GX163" i="59"/>
  <c r="GY163" i="59"/>
  <c r="GZ163" i="59"/>
  <c r="HA163" i="59"/>
  <c r="HB163" i="59"/>
  <c r="HC163" i="59"/>
  <c r="HD163" i="59"/>
  <c r="HE163" i="59"/>
  <c r="HF163" i="59"/>
  <c r="HG163" i="59"/>
  <c r="HH163" i="59"/>
  <c r="HI163" i="59"/>
  <c r="HJ163" i="59"/>
  <c r="HK163" i="59"/>
  <c r="HL163" i="59"/>
  <c r="HM163" i="59"/>
  <c r="HN163" i="59"/>
  <c r="HO163" i="59"/>
  <c r="HP163" i="59"/>
  <c r="HQ163" i="59"/>
  <c r="HR163" i="59"/>
  <c r="HS163" i="59"/>
  <c r="HT163" i="59"/>
  <c r="HU163" i="59"/>
  <c r="HV163" i="59"/>
  <c r="HW163" i="59"/>
  <c r="HX163" i="59"/>
  <c r="HY163" i="59"/>
  <c r="HZ163" i="59"/>
  <c r="IA163" i="59"/>
  <c r="IB163" i="59"/>
  <c r="IC163" i="59"/>
  <c r="ID163" i="59"/>
  <c r="IE163" i="59"/>
  <c r="IF163" i="59"/>
  <c r="IG163" i="59"/>
  <c r="IH163" i="59"/>
  <c r="II163" i="59"/>
  <c r="IJ163" i="59"/>
  <c r="IK163" i="59"/>
  <c r="IL163" i="59"/>
  <c r="IM163" i="59"/>
  <c r="IN163" i="59"/>
  <c r="IO163" i="59"/>
  <c r="IP163" i="59"/>
  <c r="IQ163" i="59"/>
  <c r="IR163" i="59"/>
  <c r="IS163" i="59"/>
  <c r="IT163" i="59"/>
  <c r="IV163" i="59"/>
  <c r="F164" i="59"/>
  <c r="AS164" i="59"/>
  <c r="AX164" i="59"/>
  <c r="AY164" i="59"/>
  <c r="AZ164" i="59"/>
  <c r="BA164" i="59"/>
  <c r="BB164" i="59"/>
  <c r="BC164" i="59"/>
  <c r="BD164" i="59"/>
  <c r="BE164" i="59"/>
  <c r="BF164" i="59"/>
  <c r="BG164" i="59"/>
  <c r="BH164" i="59"/>
  <c r="BI164" i="59"/>
  <c r="BJ164" i="59"/>
  <c r="BK164" i="59"/>
  <c r="BL164" i="59"/>
  <c r="BM164" i="59"/>
  <c r="BN164" i="59"/>
  <c r="BO164" i="59"/>
  <c r="BP164" i="59"/>
  <c r="BQ164" i="59"/>
  <c r="BR164" i="59"/>
  <c r="BS164" i="59"/>
  <c r="BT164" i="59"/>
  <c r="BU164" i="59"/>
  <c r="BV164" i="59"/>
  <c r="BW164" i="59"/>
  <c r="BX164" i="59"/>
  <c r="BY164" i="59"/>
  <c r="BZ164" i="59"/>
  <c r="CA164" i="59"/>
  <c r="CB164" i="59"/>
  <c r="CC164" i="59"/>
  <c r="CD164" i="59"/>
  <c r="CE164" i="59"/>
  <c r="CF164" i="59"/>
  <c r="CG164" i="59"/>
  <c r="CH164" i="59"/>
  <c r="CI164" i="59"/>
  <c r="CJ164" i="59"/>
  <c r="CK164" i="59"/>
  <c r="CL164" i="59"/>
  <c r="CM164" i="59"/>
  <c r="CN164" i="59"/>
  <c r="CO164" i="59"/>
  <c r="CP164" i="59"/>
  <c r="CS164" i="59"/>
  <c r="CT164" i="59"/>
  <c r="CU164" i="59"/>
  <c r="CV164" i="59"/>
  <c r="CW164" i="59"/>
  <c r="CX164" i="59"/>
  <c r="CY164" i="59"/>
  <c r="CZ164" i="59"/>
  <c r="EM164" i="59"/>
  <c r="EN164" i="59"/>
  <c r="EO164" i="59"/>
  <c r="EP164" i="59"/>
  <c r="EQ164" i="59"/>
  <c r="ER164" i="59"/>
  <c r="ES164" i="59"/>
  <c r="ET164" i="59"/>
  <c r="EU164" i="59"/>
  <c r="EV164" i="59"/>
  <c r="EW164" i="59"/>
  <c r="EX164" i="59"/>
  <c r="GK164" i="59"/>
  <c r="GL164" i="59"/>
  <c r="GM164" i="59"/>
  <c r="GN164" i="59"/>
  <c r="GO164" i="59"/>
  <c r="GP164" i="59"/>
  <c r="GQ164" i="59"/>
  <c r="GR164" i="59"/>
  <c r="GS164" i="59"/>
  <c r="GT164" i="59"/>
  <c r="GU164" i="59"/>
  <c r="GV164" i="59"/>
  <c r="II164" i="59"/>
  <c r="IJ164" i="59"/>
  <c r="IK164" i="59"/>
  <c r="IL164" i="59"/>
  <c r="IM164" i="59"/>
  <c r="IN164" i="59"/>
  <c r="IO164" i="59"/>
  <c r="IP164" i="59"/>
  <c r="IQ164" i="59"/>
  <c r="IR164" i="59"/>
  <c r="IS164" i="59"/>
  <c r="IT164" i="59"/>
  <c r="AP165" i="59"/>
  <c r="AQ165" i="59"/>
  <c r="AR165" i="59"/>
  <c r="AS165" i="59"/>
  <c r="AT165" i="59"/>
  <c r="AU165" i="59"/>
  <c r="AV165" i="59"/>
  <c r="AW165" i="59"/>
  <c r="AX165" i="59"/>
  <c r="AY165" i="59"/>
  <c r="AZ165" i="59"/>
  <c r="BA165" i="59"/>
  <c r="CN165" i="59"/>
  <c r="CO165" i="59"/>
  <c r="CP165" i="59"/>
  <c r="CQ165" i="59"/>
  <c r="CR165" i="59"/>
  <c r="CS165" i="59"/>
  <c r="CT165" i="59"/>
  <c r="CU165" i="59"/>
  <c r="CV165" i="59"/>
  <c r="CW165" i="59"/>
  <c r="CX165" i="59"/>
  <c r="CY165" i="59"/>
  <c r="EL165" i="59"/>
  <c r="EM165" i="59"/>
  <c r="EN165" i="59"/>
  <c r="EO165" i="59"/>
  <c r="EP165" i="59"/>
  <c r="EQ165" i="59"/>
  <c r="ER165" i="59"/>
  <c r="ES165" i="59"/>
  <c r="ET165" i="59"/>
  <c r="EU165" i="59"/>
  <c r="EV165" i="59"/>
  <c r="EW165" i="59"/>
  <c r="EX165" i="59"/>
  <c r="EY165" i="59"/>
  <c r="EZ165" i="59"/>
  <c r="FA165" i="59"/>
  <c r="FB165" i="59"/>
  <c r="FC165" i="59"/>
  <c r="FD165" i="59"/>
  <c r="FE165" i="59"/>
  <c r="FF165" i="59"/>
  <c r="FG165" i="59"/>
  <c r="FH165" i="59"/>
  <c r="FI165" i="59"/>
  <c r="FJ165" i="59"/>
  <c r="FK165" i="59"/>
  <c r="FL165" i="59"/>
  <c r="FM165" i="59"/>
  <c r="FN165" i="59"/>
  <c r="FO165" i="59"/>
  <c r="FP165" i="59"/>
  <c r="FQ165" i="59"/>
  <c r="FR165" i="59"/>
  <c r="FS165" i="59"/>
  <c r="FT165" i="59"/>
  <c r="FU165" i="59"/>
  <c r="FV165" i="59"/>
  <c r="FW165" i="59"/>
  <c r="FX165" i="59"/>
  <c r="FY165" i="59"/>
  <c r="FZ165" i="59"/>
  <c r="GA165" i="59"/>
  <c r="GB165" i="59"/>
  <c r="GC165" i="59"/>
  <c r="GD165" i="59"/>
  <c r="GE165" i="59"/>
  <c r="GF165" i="59"/>
  <c r="GG165" i="59"/>
  <c r="GH165" i="59"/>
  <c r="GI165" i="59"/>
  <c r="GJ165" i="59"/>
  <c r="GK165" i="59"/>
  <c r="GL165" i="59"/>
  <c r="GM165" i="59"/>
  <c r="GN165" i="59"/>
  <c r="GO165" i="59"/>
  <c r="GP165" i="59"/>
  <c r="GQ165" i="59"/>
  <c r="GT165" i="59"/>
  <c r="IG165" i="59"/>
  <c r="II165" i="59"/>
  <c r="IL165" i="59"/>
  <c r="IM165" i="59"/>
  <c r="IN165" i="59"/>
  <c r="IO165" i="59"/>
  <c r="IP165" i="59"/>
  <c r="IQ165" i="59"/>
  <c r="AM166" i="59"/>
  <c r="AR166" i="59"/>
  <c r="AS166" i="59"/>
  <c r="AT166" i="59"/>
  <c r="AU166" i="59"/>
  <c r="AV166" i="59"/>
  <c r="AW166" i="59"/>
  <c r="CJ166" i="59"/>
  <c r="CO166" i="59"/>
  <c r="CP166" i="59"/>
  <c r="CQ166" i="59"/>
  <c r="CR166" i="59"/>
  <c r="CS166" i="59"/>
  <c r="CT166" i="59"/>
  <c r="CU166" i="59"/>
  <c r="CV166" i="59"/>
  <c r="CW166" i="59"/>
  <c r="CX166" i="59"/>
  <c r="CY166" i="59"/>
  <c r="CZ166" i="59"/>
  <c r="DA166" i="59"/>
  <c r="DB166" i="59"/>
  <c r="DC166" i="59"/>
  <c r="DD166" i="59"/>
  <c r="DE166" i="59"/>
  <c r="DF166" i="59"/>
  <c r="DG166" i="59"/>
  <c r="DH166" i="59"/>
  <c r="DI166" i="59"/>
  <c r="DJ166" i="59"/>
  <c r="DK166" i="59"/>
  <c r="DL166" i="59"/>
  <c r="DM166" i="59"/>
  <c r="DN166" i="59"/>
  <c r="DO166" i="59"/>
  <c r="DP166" i="59"/>
  <c r="DQ166" i="59"/>
  <c r="DR166" i="59"/>
  <c r="DS166" i="59"/>
  <c r="DT166" i="59"/>
  <c r="DU166" i="59"/>
  <c r="DV166" i="59"/>
  <c r="DW166" i="59"/>
  <c r="DX166" i="59"/>
  <c r="DY166" i="59"/>
  <c r="DZ166" i="59"/>
  <c r="EA166" i="59"/>
  <c r="EB166" i="59"/>
  <c r="EC166" i="59"/>
  <c r="ED166" i="59"/>
  <c r="EE166" i="59"/>
  <c r="EF166" i="59"/>
  <c r="EG166" i="59"/>
  <c r="EJ166" i="59"/>
  <c r="EL166" i="59"/>
  <c r="EM166" i="59"/>
  <c r="EN166" i="59"/>
  <c r="EO166" i="59"/>
  <c r="EP166" i="59"/>
  <c r="EQ166" i="59"/>
  <c r="GD166" i="59"/>
  <c r="GE166" i="59"/>
  <c r="GF166" i="59"/>
  <c r="GG166" i="59"/>
  <c r="GH166" i="59"/>
  <c r="GI166" i="59"/>
  <c r="GJ166" i="59"/>
  <c r="GK166" i="59"/>
  <c r="GL166" i="59"/>
  <c r="GM166" i="59"/>
  <c r="GN166" i="59"/>
  <c r="GO166" i="59"/>
  <c r="IB166" i="59"/>
  <c r="IC166" i="59"/>
  <c r="ID166" i="59"/>
  <c r="IE166" i="59"/>
  <c r="IF166" i="59"/>
  <c r="IG166" i="59"/>
  <c r="IH166" i="59"/>
  <c r="II166" i="59"/>
  <c r="IJ166" i="59"/>
  <c r="IK166" i="59"/>
  <c r="IL166" i="59"/>
  <c r="IM166" i="59"/>
  <c r="AI167" i="59"/>
  <c r="AJ167" i="59"/>
  <c r="AK167" i="59"/>
  <c r="AL167" i="59"/>
  <c r="AM167" i="59"/>
  <c r="AN167" i="59"/>
  <c r="AO167" i="59"/>
  <c r="AP167" i="59"/>
  <c r="AQ167" i="59"/>
  <c r="AR167" i="59"/>
  <c r="AS167" i="59"/>
  <c r="AT167" i="59"/>
  <c r="CG167" i="59"/>
  <c r="CH167" i="59"/>
  <c r="CI167" i="59"/>
  <c r="CJ167" i="59"/>
  <c r="CK167" i="59"/>
  <c r="CL167" i="59"/>
  <c r="CM167" i="59"/>
  <c r="CN167" i="59"/>
  <c r="CO167" i="59"/>
  <c r="CP167" i="59"/>
  <c r="CQ167" i="59"/>
  <c r="CR167" i="59"/>
  <c r="EE167" i="59"/>
  <c r="EF167" i="59"/>
  <c r="EG167" i="59"/>
  <c r="EH167" i="59"/>
  <c r="EI167" i="59"/>
  <c r="EJ167" i="59"/>
  <c r="EK167" i="59"/>
  <c r="EL167" i="59"/>
  <c r="EM167" i="59"/>
  <c r="EN167" i="59"/>
  <c r="EO167" i="59"/>
  <c r="EP167" i="59"/>
  <c r="GC167" i="59"/>
  <c r="GD167" i="59"/>
  <c r="GE167" i="59"/>
  <c r="GF167" i="59"/>
  <c r="GG167" i="59"/>
  <c r="GH167" i="59"/>
  <c r="GI167" i="59"/>
  <c r="GJ167" i="59"/>
  <c r="GK167" i="59"/>
  <c r="GL167" i="59"/>
  <c r="GM167" i="59"/>
  <c r="GN167" i="59"/>
  <c r="GO167" i="59"/>
  <c r="GP167" i="59"/>
  <c r="GQ167" i="59"/>
  <c r="GR167" i="59"/>
  <c r="GS167" i="59"/>
  <c r="GT167" i="59"/>
  <c r="GU167" i="59"/>
  <c r="GV167" i="59"/>
  <c r="GW167" i="59"/>
  <c r="GX167" i="59"/>
  <c r="GY167" i="59"/>
  <c r="GZ167" i="59"/>
  <c r="HA167" i="59"/>
  <c r="HB167" i="59"/>
  <c r="HC167" i="59"/>
  <c r="HD167" i="59"/>
  <c r="HE167" i="59"/>
  <c r="HF167" i="59"/>
  <c r="HG167" i="59"/>
  <c r="HH167" i="59"/>
  <c r="HI167" i="59"/>
  <c r="HJ167" i="59"/>
  <c r="HK167" i="59"/>
  <c r="HL167" i="59"/>
  <c r="HM167" i="59"/>
  <c r="HN167" i="59"/>
  <c r="HO167" i="59"/>
  <c r="HP167" i="59"/>
  <c r="HQ167" i="59"/>
  <c r="HR167" i="59"/>
  <c r="HS167" i="59"/>
  <c r="HT167" i="59"/>
  <c r="HU167" i="59"/>
  <c r="HV167" i="59"/>
  <c r="HW167" i="59"/>
  <c r="HX167" i="59"/>
  <c r="HY167" i="59"/>
  <c r="HZ167" i="59"/>
  <c r="IA167" i="59"/>
  <c r="IB167" i="59"/>
  <c r="IC167" i="59"/>
  <c r="ID167" i="59"/>
  <c r="IE167" i="59"/>
  <c r="IF167" i="59"/>
  <c r="IG167" i="59"/>
  <c r="IH167" i="59"/>
  <c r="IK167" i="59"/>
  <c r="AG168" i="59"/>
  <c r="AI168" i="59"/>
  <c r="AL168" i="59"/>
  <c r="AM168" i="59"/>
  <c r="AN168" i="59"/>
  <c r="AO168" i="59"/>
  <c r="AP168" i="59"/>
  <c r="AQ168" i="59"/>
  <c r="CD168" i="59"/>
  <c r="CI168" i="59"/>
  <c r="CJ168" i="59"/>
  <c r="CK168" i="59"/>
  <c r="CL168" i="59"/>
  <c r="CM168" i="59"/>
  <c r="CN168" i="59"/>
  <c r="EA168" i="59"/>
  <c r="EF168" i="59"/>
  <c r="EG168" i="59"/>
  <c r="EH168" i="59"/>
  <c r="EI168" i="59"/>
  <c r="EJ168" i="59"/>
  <c r="EK168" i="59"/>
  <c r="EL168" i="59"/>
  <c r="EM168" i="59"/>
  <c r="EN168" i="59"/>
  <c r="EO168" i="59"/>
  <c r="EP168" i="59"/>
  <c r="EQ168" i="59"/>
  <c r="ER168" i="59"/>
  <c r="ES168" i="59"/>
  <c r="ET168" i="59"/>
  <c r="EU168" i="59"/>
  <c r="EV168" i="59"/>
  <c r="EW168" i="59"/>
  <c r="EX168" i="59"/>
  <c r="EY168" i="59"/>
  <c r="EZ168" i="59"/>
  <c r="FA168" i="59"/>
  <c r="FB168" i="59"/>
  <c r="FC168" i="59"/>
  <c r="FD168" i="59"/>
  <c r="FE168" i="59"/>
  <c r="FF168" i="59"/>
  <c r="FG168" i="59"/>
  <c r="FH168" i="59"/>
  <c r="FI168" i="59"/>
  <c r="FJ168" i="59"/>
  <c r="FK168" i="59"/>
  <c r="FL168" i="59"/>
  <c r="FM168" i="59"/>
  <c r="FN168" i="59"/>
  <c r="FO168" i="59"/>
  <c r="FP168" i="59"/>
  <c r="FQ168" i="59"/>
  <c r="FR168" i="59"/>
  <c r="FS168" i="59"/>
  <c r="FT168" i="59"/>
  <c r="FU168" i="59"/>
  <c r="FV168" i="59"/>
  <c r="FW168" i="59"/>
  <c r="FX168" i="59"/>
  <c r="GA168" i="59"/>
  <c r="GC168" i="59"/>
  <c r="GD168" i="59"/>
  <c r="GE168" i="59"/>
  <c r="GF168" i="59"/>
  <c r="GG168" i="59"/>
  <c r="GH168" i="59"/>
  <c r="HU168" i="59"/>
  <c r="HV168" i="59"/>
  <c r="HW168" i="59"/>
  <c r="HX168" i="59"/>
  <c r="HY168" i="59"/>
  <c r="HZ168" i="59"/>
  <c r="IA168" i="59"/>
  <c r="IB168" i="59"/>
  <c r="IC168" i="59"/>
  <c r="ID168" i="59"/>
  <c r="IE168" i="59"/>
  <c r="IF168" i="59"/>
  <c r="AB169" i="59"/>
  <c r="AC169" i="59"/>
  <c r="AD169" i="59"/>
  <c r="AE169" i="59"/>
  <c r="AF169" i="59"/>
  <c r="AG169" i="59"/>
  <c r="AH169" i="59"/>
  <c r="AI169" i="59"/>
  <c r="AJ169" i="59"/>
  <c r="AK169" i="59"/>
  <c r="AL169" i="59"/>
  <c r="AM169" i="59"/>
  <c r="BZ169" i="59"/>
  <c r="CA169" i="59"/>
  <c r="CB169" i="59"/>
  <c r="CC169" i="59"/>
  <c r="CD169" i="59"/>
  <c r="CE169" i="59"/>
  <c r="CF169" i="59"/>
  <c r="CG169" i="59"/>
  <c r="CH169" i="59"/>
  <c r="CI169" i="59"/>
  <c r="CJ169" i="59"/>
  <c r="CK169" i="59"/>
  <c r="DX169" i="59"/>
  <c r="DY169" i="59"/>
  <c r="DZ169" i="59"/>
  <c r="EA169" i="59"/>
  <c r="EB169" i="59"/>
  <c r="EC169" i="59"/>
  <c r="ED169" i="59"/>
  <c r="EE169" i="59"/>
  <c r="EF169" i="59"/>
  <c r="EG169" i="59"/>
  <c r="EH169" i="59"/>
  <c r="EI169" i="59"/>
  <c r="FV169" i="59"/>
  <c r="FW169" i="59"/>
  <c r="FX169" i="59"/>
  <c r="FY169" i="59"/>
  <c r="FZ169" i="59"/>
  <c r="GA169" i="59"/>
  <c r="GB169" i="59"/>
  <c r="GC169" i="59"/>
  <c r="GD169" i="59"/>
  <c r="GE169" i="59"/>
  <c r="GF169" i="59"/>
  <c r="GG169" i="59"/>
  <c r="HT169" i="59"/>
  <c r="HU169" i="59"/>
  <c r="HV169" i="59"/>
  <c r="HW169" i="59"/>
  <c r="HX169" i="59"/>
  <c r="HY169" i="59"/>
  <c r="HZ169" i="59"/>
  <c r="IA169" i="59"/>
  <c r="IB169" i="59"/>
  <c r="IC169" i="59"/>
  <c r="ID169" i="59"/>
  <c r="IE169" i="59"/>
  <c r="IF169" i="59"/>
  <c r="IG169" i="59"/>
  <c r="IH169" i="59"/>
  <c r="II169" i="59"/>
  <c r="IJ169" i="59"/>
  <c r="IK169" i="59"/>
  <c r="IL169" i="59"/>
  <c r="IM169" i="59"/>
  <c r="IN169" i="59"/>
  <c r="IO169" i="59"/>
  <c r="IP169" i="59"/>
  <c r="IQ169" i="59"/>
  <c r="IR169" i="59"/>
  <c r="IS169" i="59"/>
  <c r="IT169" i="59"/>
  <c r="IU169" i="59"/>
  <c r="IV169" i="59"/>
  <c r="F170" i="59"/>
  <c r="G170" i="59"/>
  <c r="H170" i="59"/>
  <c r="I170" i="59"/>
  <c r="J170" i="59"/>
  <c r="K170" i="59"/>
  <c r="L170" i="59"/>
  <c r="M170" i="59"/>
  <c r="N170" i="59"/>
  <c r="O170" i="59"/>
  <c r="P170" i="59"/>
  <c r="Q170" i="59"/>
  <c r="R170" i="59"/>
  <c r="S170" i="59"/>
  <c r="T170" i="59"/>
  <c r="U170" i="59"/>
  <c r="V170" i="59"/>
  <c r="W170" i="59"/>
  <c r="X170" i="59"/>
  <c r="Y170" i="59"/>
  <c r="Z170" i="59"/>
  <c r="AA170" i="59"/>
  <c r="AB170" i="59"/>
  <c r="AC170" i="59"/>
  <c r="AD170" i="59"/>
  <c r="AE170" i="59"/>
  <c r="AF170" i="59"/>
  <c r="AG170" i="59"/>
  <c r="AH170" i="59"/>
  <c r="AK170" i="59"/>
  <c r="BX170" i="59"/>
  <c r="BZ170" i="59"/>
  <c r="CC170" i="59"/>
  <c r="CD170" i="59"/>
  <c r="CE170" i="59"/>
  <c r="CF170" i="59"/>
  <c r="CG170" i="59"/>
  <c r="CH170" i="59"/>
  <c r="DU170" i="59"/>
  <c r="DZ170" i="59"/>
  <c r="EA170" i="59"/>
  <c r="EB170" i="59"/>
  <c r="EC170" i="59"/>
  <c r="ED170" i="59"/>
  <c r="EE170" i="59"/>
  <c r="FR170" i="59"/>
  <c r="FW170" i="59"/>
  <c r="FX170" i="59"/>
  <c r="FY170" i="59"/>
  <c r="FZ170" i="59"/>
  <c r="GA170" i="59"/>
  <c r="GB170" i="59"/>
  <c r="GC170" i="59"/>
  <c r="GD170" i="59"/>
  <c r="GE170" i="59"/>
  <c r="GF170" i="59"/>
  <c r="GG170" i="59"/>
  <c r="GH170" i="59"/>
  <c r="GI170" i="59"/>
  <c r="GJ170" i="59"/>
  <c r="GK170" i="59"/>
  <c r="GL170" i="59"/>
  <c r="GM170" i="59"/>
  <c r="GN170" i="59"/>
  <c r="GO170" i="59"/>
  <c r="GP170" i="59"/>
  <c r="GQ170" i="59"/>
  <c r="GR170" i="59"/>
  <c r="GS170" i="59"/>
  <c r="GT170" i="59"/>
  <c r="GU170" i="59"/>
  <c r="GV170" i="59"/>
  <c r="GW170" i="59"/>
  <c r="GX170" i="59"/>
  <c r="GY170" i="59"/>
  <c r="GZ170" i="59"/>
  <c r="HA170" i="59"/>
  <c r="HB170" i="59"/>
  <c r="HC170" i="59"/>
  <c r="HD170" i="59"/>
  <c r="HE170" i="59"/>
  <c r="HF170" i="59"/>
  <c r="HG170" i="59"/>
  <c r="HH170" i="59"/>
  <c r="HI170" i="59"/>
  <c r="HJ170" i="59"/>
  <c r="HK170" i="59"/>
  <c r="HL170" i="59"/>
  <c r="HM170" i="59"/>
  <c r="HN170" i="59"/>
  <c r="HO170" i="59"/>
  <c r="HR170" i="59"/>
  <c r="HT170" i="59"/>
  <c r="HU170" i="59"/>
  <c r="HV170" i="59"/>
  <c r="HW170" i="59"/>
  <c r="HX170" i="59"/>
  <c r="HY170" i="59"/>
  <c r="U171" i="59"/>
  <c r="V171" i="59"/>
  <c r="W171" i="59"/>
  <c r="X171" i="59"/>
  <c r="Y171" i="59"/>
  <c r="Z171" i="59"/>
  <c r="AA171" i="59"/>
  <c r="AB171" i="59"/>
  <c r="AC171" i="59"/>
  <c r="AD171" i="59"/>
  <c r="AE171" i="59"/>
  <c r="AF171" i="59"/>
  <c r="BS171" i="59"/>
  <c r="BT171" i="59"/>
  <c r="BU171" i="59"/>
  <c r="BV171" i="59"/>
  <c r="BW171" i="59"/>
  <c r="BX171" i="59"/>
  <c r="BY171" i="59"/>
  <c r="BZ171" i="59"/>
  <c r="CA171" i="59"/>
  <c r="CB171" i="59"/>
  <c r="CC171" i="59"/>
  <c r="CD171" i="59"/>
  <c r="DQ171" i="59"/>
  <c r="DR171" i="59"/>
  <c r="DS171" i="59"/>
  <c r="DT171" i="59"/>
  <c r="DU171" i="59"/>
  <c r="DV171" i="59"/>
  <c r="DW171" i="59"/>
  <c r="DX171" i="59"/>
  <c r="DY171" i="59"/>
  <c r="DZ171" i="59"/>
  <c r="EA171" i="59"/>
  <c r="EB171" i="59"/>
  <c r="FO171" i="59"/>
  <c r="FP171" i="59"/>
  <c r="FQ171" i="59"/>
  <c r="FR171" i="59"/>
  <c r="FS171" i="59"/>
  <c r="FT171" i="59"/>
  <c r="FU171" i="59"/>
  <c r="FV171" i="59"/>
  <c r="FW171" i="59"/>
  <c r="FX171" i="59"/>
  <c r="FY171" i="59"/>
  <c r="FZ171" i="59"/>
  <c r="HM171" i="59"/>
  <c r="HN171" i="59"/>
  <c r="HO171" i="59"/>
  <c r="HP171" i="59"/>
  <c r="HQ171" i="59"/>
  <c r="HR171" i="59"/>
  <c r="HS171" i="59"/>
  <c r="HT171" i="59"/>
  <c r="HU171" i="59"/>
  <c r="HV171" i="59"/>
  <c r="HW171" i="59"/>
  <c r="HX171" i="59"/>
  <c r="T172" i="59"/>
  <c r="U172" i="59"/>
  <c r="V172" i="59"/>
  <c r="W172" i="59"/>
  <c r="X172" i="59"/>
  <c r="Y172" i="59"/>
  <c r="Z172" i="59"/>
  <c r="AA172" i="59"/>
  <c r="AB172" i="59"/>
  <c r="AC172" i="59"/>
  <c r="AD172" i="59"/>
  <c r="AE172" i="59"/>
  <c r="AF172" i="59"/>
  <c r="AG172" i="59"/>
  <c r="AH172" i="59"/>
  <c r="AI172" i="59"/>
  <c r="AJ172" i="59"/>
  <c r="AK172" i="59"/>
  <c r="AL172" i="59"/>
  <c r="AM172" i="59"/>
  <c r="AN172" i="59"/>
  <c r="AO172" i="59"/>
  <c r="AP172" i="59"/>
  <c r="AQ172" i="59"/>
  <c r="AR172" i="59"/>
  <c r="AS172" i="59"/>
  <c r="AT172" i="59"/>
  <c r="AU172" i="59"/>
  <c r="AV172" i="59"/>
  <c r="AW172" i="59"/>
  <c r="AX172" i="59"/>
  <c r="AY172" i="59"/>
  <c r="AZ172" i="59"/>
  <c r="BA172" i="59"/>
  <c r="BB172" i="59"/>
  <c r="BC172" i="59"/>
  <c r="BD172" i="59"/>
  <c r="BE172" i="59"/>
  <c r="BF172" i="59"/>
  <c r="BG172" i="59"/>
  <c r="BH172" i="59"/>
  <c r="BI172" i="59"/>
  <c r="BJ172" i="59"/>
  <c r="BK172" i="59"/>
  <c r="BL172" i="59"/>
  <c r="BM172" i="59"/>
  <c r="BN172" i="59"/>
  <c r="BO172" i="59"/>
  <c r="BP172" i="59"/>
  <c r="BQ172" i="59"/>
  <c r="BR172" i="59"/>
  <c r="BS172" i="59"/>
  <c r="BT172" i="59"/>
  <c r="BU172" i="59"/>
  <c r="BV172" i="59"/>
  <c r="BW172" i="59"/>
  <c r="BX172" i="59"/>
  <c r="BY172" i="59"/>
  <c r="CB172" i="59"/>
  <c r="DO172" i="59"/>
  <c r="DQ172" i="59"/>
  <c r="DT172" i="59"/>
  <c r="DU172" i="59"/>
  <c r="DV172" i="59"/>
  <c r="DW172" i="59"/>
  <c r="DX172" i="59"/>
  <c r="DY172" i="59"/>
  <c r="FL172" i="59"/>
  <c r="FQ172" i="59"/>
  <c r="FR172" i="59"/>
  <c r="FS172" i="59"/>
  <c r="FT172" i="59"/>
  <c r="FU172" i="59"/>
  <c r="FV172" i="59"/>
  <c r="HI172" i="59"/>
  <c r="HN172" i="59"/>
  <c r="HO172" i="59"/>
  <c r="HP172" i="59"/>
  <c r="HQ172" i="59"/>
  <c r="HR172" i="59"/>
  <c r="HS172" i="59"/>
  <c r="HT172" i="59"/>
  <c r="HU172" i="59"/>
  <c r="HV172" i="59"/>
  <c r="HW172" i="59"/>
  <c r="HX172" i="59"/>
  <c r="HY172" i="59"/>
  <c r="HZ172" i="59"/>
  <c r="IA172" i="59"/>
  <c r="IB172" i="59"/>
  <c r="IC172" i="59"/>
  <c r="ID172" i="59"/>
  <c r="IE172" i="59"/>
  <c r="IF172" i="59"/>
  <c r="IG172" i="59"/>
  <c r="IH172" i="59"/>
  <c r="II172" i="59"/>
  <c r="IJ172" i="59"/>
  <c r="IK172" i="59"/>
  <c r="IL172" i="59"/>
  <c r="IM172" i="59"/>
  <c r="IN172" i="59"/>
  <c r="IO172" i="59"/>
  <c r="IP172" i="59"/>
  <c r="IQ172" i="59"/>
  <c r="IR172" i="59"/>
  <c r="IS172" i="59"/>
  <c r="IT172" i="59"/>
  <c r="IU172" i="59"/>
  <c r="IV172" i="59"/>
  <c r="F173" i="59"/>
  <c r="G173" i="59"/>
  <c r="H173" i="59"/>
  <c r="I173" i="59"/>
  <c r="J173" i="59"/>
  <c r="K173" i="59"/>
  <c r="L173" i="59"/>
  <c r="M173" i="59"/>
  <c r="N173" i="59"/>
  <c r="O173" i="59"/>
  <c r="R173" i="59"/>
  <c r="T173" i="59"/>
  <c r="U173" i="59"/>
  <c r="V173" i="59"/>
  <c r="W173" i="59"/>
  <c r="X173" i="59"/>
  <c r="Y173" i="59"/>
  <c r="BL173" i="59"/>
  <c r="BM173" i="59"/>
  <c r="BN173" i="59"/>
  <c r="BO173" i="59"/>
  <c r="BP173" i="59"/>
  <c r="BQ173" i="59"/>
  <c r="BR173" i="59"/>
  <c r="BS173" i="59"/>
  <c r="BT173" i="59"/>
  <c r="BU173" i="59"/>
  <c r="BV173" i="59"/>
  <c r="BW173" i="59"/>
  <c r="DJ173" i="59"/>
  <c r="DK173" i="59"/>
  <c r="DL173" i="59"/>
  <c r="DM173" i="59"/>
  <c r="DN173" i="59"/>
  <c r="DO173" i="59"/>
  <c r="DP173" i="59"/>
  <c r="DQ173" i="59"/>
  <c r="DR173" i="59"/>
  <c r="DS173" i="59"/>
  <c r="DT173" i="59"/>
  <c r="DU173" i="59"/>
  <c r="FH173" i="59"/>
  <c r="FI173" i="59"/>
  <c r="FJ173" i="59"/>
  <c r="FK173" i="59"/>
  <c r="FL173" i="59"/>
  <c r="FM173" i="59"/>
  <c r="FN173" i="59"/>
  <c r="FO173" i="59"/>
  <c r="FP173" i="59"/>
  <c r="FQ173" i="59"/>
  <c r="FR173" i="59"/>
  <c r="FS173" i="59"/>
  <c r="HF173" i="59"/>
  <c r="HG173" i="59"/>
  <c r="HH173" i="59"/>
  <c r="HI173" i="59"/>
  <c r="HJ173" i="59"/>
  <c r="HK173" i="59"/>
  <c r="HL173" i="59"/>
  <c r="HM173" i="59"/>
  <c r="HN173" i="59"/>
  <c r="HO173" i="59"/>
  <c r="HP173" i="59"/>
  <c r="HQ173" i="59"/>
  <c r="M174" i="59"/>
  <c r="N174" i="59"/>
  <c r="O174" i="59"/>
  <c r="P174" i="59"/>
  <c r="Q174" i="59"/>
  <c r="R174" i="59"/>
  <c r="S174" i="59"/>
  <c r="T174" i="59"/>
  <c r="U174" i="59"/>
  <c r="V174" i="59"/>
  <c r="W174" i="59"/>
  <c r="X174" i="59"/>
  <c r="BK174" i="59"/>
  <c r="BL174" i="59"/>
  <c r="BM174" i="59"/>
  <c r="BN174" i="59"/>
  <c r="BO174" i="59"/>
  <c r="BP174" i="59"/>
  <c r="BQ174" i="59"/>
  <c r="BR174" i="59"/>
  <c r="BS174" i="59"/>
  <c r="BT174" i="59"/>
  <c r="BU174" i="59"/>
  <c r="BV174" i="59"/>
  <c r="BW174" i="59"/>
  <c r="BX174" i="59"/>
  <c r="BY174" i="59"/>
  <c r="BZ174" i="59"/>
  <c r="CA174" i="59"/>
  <c r="CB174" i="59"/>
  <c r="CC174" i="59"/>
  <c r="CD174" i="59"/>
  <c r="CE174" i="59"/>
  <c r="CF174" i="59"/>
  <c r="CG174" i="59"/>
  <c r="CH174" i="59"/>
  <c r="CI174" i="59"/>
  <c r="CJ174" i="59"/>
  <c r="CK174" i="59"/>
  <c r="CL174" i="59"/>
  <c r="CM174" i="59"/>
  <c r="CN174" i="59"/>
  <c r="CO174" i="59"/>
  <c r="CP174" i="59"/>
  <c r="CQ174" i="59"/>
  <c r="CR174" i="59"/>
  <c r="CS174" i="59"/>
  <c r="CT174" i="59"/>
  <c r="CU174" i="59"/>
  <c r="CV174" i="59"/>
  <c r="CW174" i="59"/>
  <c r="CX174" i="59"/>
  <c r="CY174" i="59"/>
  <c r="CZ174" i="59"/>
  <c r="DA174" i="59"/>
  <c r="DB174" i="59"/>
  <c r="DC174" i="59"/>
  <c r="DD174" i="59"/>
  <c r="DE174" i="59"/>
  <c r="DF174" i="59"/>
  <c r="DG174" i="59"/>
  <c r="DH174" i="59"/>
  <c r="DI174" i="59"/>
  <c r="DJ174" i="59"/>
  <c r="DK174" i="59"/>
  <c r="DL174" i="59"/>
  <c r="DM174" i="59"/>
  <c r="DN174" i="59"/>
  <c r="DO174" i="59"/>
  <c r="DP174" i="59"/>
  <c r="DS174" i="59"/>
  <c r="FF174" i="59"/>
  <c r="FH174" i="59"/>
  <c r="FK174" i="59"/>
  <c r="FL174" i="59"/>
  <c r="FM174" i="59"/>
  <c r="FN174" i="59"/>
  <c r="FO174" i="59"/>
  <c r="FP174" i="59"/>
  <c r="HC174" i="59"/>
  <c r="HH174" i="59"/>
  <c r="HI174" i="59"/>
  <c r="HJ174" i="59"/>
  <c r="HK174" i="59"/>
  <c r="HL174" i="59"/>
  <c r="HM174" i="59"/>
  <c r="I175" i="59"/>
  <c r="N175" i="59"/>
  <c r="O175" i="59"/>
  <c r="P175" i="59"/>
  <c r="Q175" i="59"/>
  <c r="R175" i="59"/>
  <c r="S175" i="59"/>
  <c r="T175" i="59"/>
  <c r="U175" i="59"/>
  <c r="V175" i="59"/>
  <c r="W175" i="59"/>
  <c r="X175" i="59"/>
  <c r="Y175" i="59"/>
  <c r="Z175" i="59"/>
  <c r="AA175" i="59"/>
  <c r="AB175" i="59"/>
  <c r="AC175" i="59"/>
  <c r="AD175" i="59"/>
  <c r="AE175" i="59"/>
  <c r="AF175" i="59"/>
  <c r="AG175" i="59"/>
  <c r="AH175" i="59"/>
  <c r="AI175" i="59"/>
  <c r="AJ175" i="59"/>
  <c r="AK175" i="59"/>
  <c r="AL175" i="59"/>
  <c r="AM175" i="59"/>
  <c r="AN175" i="59"/>
  <c r="AO175" i="59"/>
  <c r="AP175" i="59"/>
  <c r="AQ175" i="59"/>
  <c r="AR175" i="59"/>
  <c r="AS175" i="59"/>
  <c r="AT175" i="59"/>
  <c r="AU175" i="59"/>
  <c r="AV175" i="59"/>
  <c r="AW175" i="59"/>
  <c r="AX175" i="59"/>
  <c r="AY175" i="59"/>
  <c r="AZ175" i="59"/>
  <c r="BA175" i="59"/>
  <c r="BB175" i="59"/>
  <c r="BC175" i="59"/>
  <c r="BD175" i="59"/>
  <c r="BE175" i="59"/>
  <c r="BF175" i="59"/>
  <c r="BI175" i="59"/>
  <c r="BK175" i="59"/>
  <c r="BL175" i="59"/>
  <c r="BM175" i="59"/>
  <c r="BN175" i="59"/>
  <c r="BO175" i="59"/>
  <c r="BP175" i="59"/>
  <c r="DC175" i="59"/>
  <c r="DD175" i="59"/>
  <c r="DE175" i="59"/>
  <c r="DF175" i="59"/>
  <c r="DG175" i="59"/>
  <c r="DH175" i="59"/>
  <c r="DI175" i="59"/>
  <c r="DJ175" i="59"/>
  <c r="DK175" i="59"/>
  <c r="DL175" i="59"/>
  <c r="DM175" i="59"/>
  <c r="DN175" i="59"/>
  <c r="FA175" i="59"/>
  <c r="FB175" i="59"/>
  <c r="FC175" i="59"/>
  <c r="FD175" i="59"/>
  <c r="FE175" i="59"/>
  <c r="FF175" i="59"/>
  <c r="FG175" i="59"/>
  <c r="FH175" i="59"/>
  <c r="FI175" i="59"/>
  <c r="FJ175" i="59"/>
  <c r="FK175" i="59"/>
  <c r="FL175" i="59"/>
  <c r="GY175" i="59"/>
  <c r="GZ175" i="59"/>
  <c r="HA175" i="59"/>
  <c r="HB175" i="59"/>
  <c r="HC175" i="59"/>
  <c r="HD175" i="59"/>
  <c r="HE175" i="59"/>
  <c r="HF175" i="59"/>
  <c r="HG175" i="59"/>
  <c r="HH175" i="59"/>
  <c r="HI175" i="59"/>
  <c r="HJ175" i="59"/>
  <c r="F176" i="59"/>
  <c r="G176" i="59"/>
  <c r="H176" i="59"/>
  <c r="I176" i="59"/>
  <c r="J176" i="59"/>
  <c r="K176" i="59"/>
  <c r="L176" i="59"/>
  <c r="M176" i="59"/>
  <c r="N176" i="59"/>
  <c r="O176" i="59"/>
  <c r="P176" i="59"/>
  <c r="Q176" i="59"/>
  <c r="BD176" i="59"/>
  <c r="BE176" i="59"/>
  <c r="BF176" i="59"/>
  <c r="BG176" i="59"/>
  <c r="BH176" i="59"/>
  <c r="BI176" i="59"/>
  <c r="BJ176" i="59"/>
  <c r="BK176" i="59"/>
  <c r="BL176" i="59"/>
  <c r="BM176" i="59"/>
  <c r="BN176" i="59"/>
  <c r="BO176" i="59"/>
  <c r="DB176" i="59"/>
  <c r="DC176" i="59"/>
  <c r="DD176" i="59"/>
  <c r="DE176" i="59"/>
  <c r="DF176" i="59"/>
  <c r="DG176" i="59"/>
  <c r="DH176" i="59"/>
  <c r="DI176" i="59"/>
  <c r="DJ176" i="59"/>
  <c r="DK176" i="59"/>
  <c r="DL176" i="59"/>
  <c r="DM176" i="59"/>
  <c r="DN176" i="59"/>
  <c r="DO176" i="59"/>
  <c r="DP176" i="59"/>
  <c r="DQ176" i="59"/>
  <c r="DR176" i="59"/>
  <c r="DS176" i="59"/>
  <c r="DT176" i="59"/>
  <c r="DU176" i="59"/>
  <c r="DV176" i="59"/>
  <c r="DW176" i="59"/>
  <c r="DX176" i="59"/>
  <c r="DY176" i="59"/>
  <c r="DZ176" i="59"/>
  <c r="EA176" i="59"/>
  <c r="EB176" i="59"/>
  <c r="EC176" i="59"/>
  <c r="ED176" i="59"/>
  <c r="EE176" i="59"/>
  <c r="EF176" i="59"/>
  <c r="EG176" i="59"/>
  <c r="EH176" i="59"/>
  <c r="EI176" i="59"/>
  <c r="EJ176" i="59"/>
  <c r="EK176" i="59"/>
  <c r="EL176" i="59"/>
  <c r="EM176" i="59"/>
  <c r="EN176" i="59"/>
  <c r="EO176" i="59"/>
  <c r="EP176" i="59"/>
  <c r="EQ176" i="59"/>
  <c r="ER176" i="59"/>
  <c r="ES176" i="59"/>
  <c r="ET176" i="59"/>
  <c r="EU176" i="59"/>
  <c r="EV176" i="59"/>
  <c r="EW176" i="59"/>
  <c r="EX176" i="59"/>
  <c r="EY176" i="59"/>
  <c r="EZ176" i="59"/>
  <c r="FA176" i="59"/>
  <c r="FB176" i="59"/>
  <c r="FC176" i="59"/>
  <c r="FD176" i="59"/>
  <c r="FE176" i="59"/>
  <c r="FF176" i="59"/>
  <c r="FG176" i="59"/>
  <c r="FJ176" i="59"/>
  <c r="GW176" i="59"/>
  <c r="GY176" i="59"/>
  <c r="HB176" i="59"/>
  <c r="HC176" i="59"/>
  <c r="HD176" i="59"/>
  <c r="HE176" i="59"/>
  <c r="HF176" i="59"/>
  <c r="HG176" i="59"/>
  <c r="IT176" i="59"/>
  <c r="H177" i="59"/>
  <c r="I177" i="59"/>
  <c r="J177" i="59"/>
  <c r="K177" i="59"/>
  <c r="L177" i="59"/>
  <c r="M177" i="59"/>
  <c r="AZ177" i="59"/>
  <c r="BE177" i="59"/>
  <c r="BF177" i="59"/>
  <c r="BG177" i="59"/>
  <c r="BH177" i="59"/>
  <c r="BI177" i="59"/>
  <c r="BJ177" i="59"/>
  <c r="BK177" i="59"/>
  <c r="BL177" i="59"/>
  <c r="BM177" i="59"/>
  <c r="BN177" i="59"/>
  <c r="BO177" i="59"/>
  <c r="BP177" i="59"/>
  <c r="BQ177" i="59"/>
  <c r="BR177" i="59"/>
  <c r="BS177" i="59"/>
  <c r="BT177" i="59"/>
  <c r="BU177" i="59"/>
  <c r="BV177" i="59"/>
  <c r="BW177" i="59"/>
  <c r="BX177" i="59"/>
  <c r="BY177" i="59"/>
  <c r="BZ177" i="59"/>
  <c r="CA177" i="59"/>
  <c r="CB177" i="59"/>
  <c r="CC177" i="59"/>
  <c r="CD177" i="59"/>
  <c r="CE177" i="59"/>
  <c r="CF177" i="59"/>
  <c r="CG177" i="59"/>
  <c r="CH177" i="59"/>
  <c r="CI177" i="59"/>
  <c r="CJ177" i="59"/>
  <c r="CK177" i="59"/>
  <c r="CL177" i="59"/>
  <c r="CM177" i="59"/>
  <c r="CN177" i="59"/>
  <c r="CO177" i="59"/>
  <c r="CP177" i="59"/>
  <c r="CQ177" i="59"/>
  <c r="CR177" i="59"/>
  <c r="CS177" i="59"/>
  <c r="CT177" i="59"/>
  <c r="CU177" i="59"/>
  <c r="CV177" i="59"/>
  <c r="CW177" i="59"/>
  <c r="CZ177" i="59"/>
  <c r="DB177" i="59"/>
  <c r="DC177" i="59"/>
  <c r="DD177" i="59"/>
  <c r="DE177" i="59"/>
  <c r="DF177" i="59"/>
  <c r="DG177" i="59"/>
  <c r="ET177" i="59"/>
  <c r="EU177" i="59"/>
  <c r="EV177" i="59"/>
  <c r="EW177" i="59"/>
  <c r="EX177" i="59"/>
  <c r="EY177" i="59"/>
  <c r="EZ177" i="59"/>
  <c r="FA177" i="59"/>
  <c r="FB177" i="59"/>
  <c r="FC177" i="59"/>
  <c r="FD177" i="59"/>
  <c r="FE177" i="59"/>
  <c r="GR177" i="59"/>
  <c r="GS177" i="59"/>
  <c r="GT177" i="59"/>
  <c r="GU177" i="59"/>
  <c r="GV177" i="59"/>
  <c r="GW177" i="59"/>
  <c r="GX177" i="59"/>
  <c r="GY177" i="59"/>
  <c r="GZ177" i="59"/>
  <c r="HA177" i="59"/>
  <c r="HB177" i="59"/>
  <c r="HC177" i="59"/>
  <c r="IP177" i="59"/>
  <c r="IQ177" i="59"/>
  <c r="IR177" i="59"/>
  <c r="IS177" i="59"/>
  <c r="IT177" i="59"/>
  <c r="IU177" i="59"/>
  <c r="IV177" i="59"/>
  <c r="F178" i="59"/>
  <c r="G178" i="59"/>
  <c r="H178" i="59"/>
  <c r="I178" i="59"/>
  <c r="J178" i="59"/>
  <c r="AW178" i="59"/>
  <c r="AX178" i="59"/>
  <c r="AY178" i="59"/>
  <c r="AZ178" i="59"/>
  <c r="BA178" i="59"/>
  <c r="BB178" i="59"/>
  <c r="BC178" i="59"/>
  <c r="BD178" i="59"/>
  <c r="BE178" i="59"/>
  <c r="BF178" i="59"/>
  <c r="BG178" i="59"/>
  <c r="BH178" i="59"/>
  <c r="CU178" i="59"/>
  <c r="CV178" i="59"/>
  <c r="CW178" i="59"/>
  <c r="CX178" i="59"/>
  <c r="CY178" i="59"/>
  <c r="CZ178" i="59"/>
  <c r="DA178" i="59"/>
  <c r="DB178" i="59"/>
  <c r="DC178" i="59"/>
  <c r="DD178" i="59"/>
  <c r="DE178" i="59"/>
  <c r="DF178" i="59"/>
  <c r="ES178" i="59"/>
  <c r="ET178" i="59"/>
  <c r="EU178" i="59"/>
  <c r="EV178" i="59"/>
  <c r="EW178" i="59"/>
  <c r="EX178" i="59"/>
  <c r="EY178" i="59"/>
  <c r="EZ178" i="59"/>
  <c r="FA178" i="59"/>
  <c r="FB178" i="59"/>
  <c r="FC178" i="59"/>
  <c r="FD178" i="59"/>
  <c r="FE178" i="59"/>
  <c r="FF178" i="59"/>
  <c r="FG178" i="59"/>
  <c r="FH178" i="59"/>
  <c r="FI178" i="59"/>
  <c r="FJ178" i="59"/>
  <c r="FK178" i="59"/>
  <c r="FL178" i="59"/>
  <c r="FM178" i="59"/>
  <c r="FN178" i="59"/>
  <c r="FO178" i="59"/>
  <c r="FP178" i="59"/>
  <c r="FQ178" i="59"/>
  <c r="FR178" i="59"/>
  <c r="FS178" i="59"/>
  <c r="FT178" i="59"/>
  <c r="FU178" i="59"/>
  <c r="FV178" i="59"/>
  <c r="FW178" i="59"/>
  <c r="FX178" i="59"/>
  <c r="FY178" i="59"/>
  <c r="FZ178" i="59"/>
  <c r="GA178" i="59"/>
  <c r="GB178" i="59"/>
  <c r="GC178" i="59"/>
  <c r="GD178" i="59"/>
  <c r="GE178" i="59"/>
  <c r="GF178" i="59"/>
  <c r="GG178" i="59"/>
  <c r="GH178" i="59"/>
  <c r="GI178" i="59"/>
  <c r="GJ178" i="59"/>
  <c r="GK178" i="59"/>
  <c r="GL178" i="59"/>
  <c r="GM178" i="59"/>
  <c r="GN178" i="59"/>
  <c r="GO178" i="59"/>
  <c r="GP178" i="59"/>
  <c r="GQ178" i="59"/>
  <c r="GR178" i="59"/>
  <c r="GS178" i="59"/>
  <c r="GT178" i="59"/>
  <c r="GU178" i="59"/>
  <c r="GV178" i="59"/>
  <c r="GW178" i="59"/>
  <c r="GX178" i="59"/>
  <c r="HA178" i="59"/>
  <c r="IN178" i="59"/>
  <c r="IP178" i="59"/>
  <c r="IS178" i="59"/>
  <c r="IT178" i="59"/>
  <c r="IU178" i="59"/>
  <c r="IV178" i="59"/>
  <c r="F179" i="59"/>
  <c r="G179" i="59"/>
  <c r="AT179" i="59"/>
  <c r="AY179" i="59"/>
  <c r="AZ179" i="59"/>
  <c r="BA179" i="59"/>
  <c r="BB179" i="59"/>
  <c r="BC179" i="59"/>
  <c r="BD179" i="59"/>
  <c r="CQ179" i="59"/>
  <c r="CV179" i="59"/>
  <c r="CW179" i="59"/>
  <c r="CX179" i="59"/>
  <c r="CY179" i="59"/>
  <c r="CZ179" i="59"/>
  <c r="DA179" i="59"/>
  <c r="DB179" i="59"/>
  <c r="DC179" i="59"/>
  <c r="DD179" i="59"/>
  <c r="DE179" i="59"/>
  <c r="DF179" i="59"/>
  <c r="DG179" i="59"/>
  <c r="DH179" i="59"/>
  <c r="DI179" i="59"/>
  <c r="DJ179" i="59"/>
  <c r="DK179" i="59"/>
  <c r="DL179" i="59"/>
  <c r="DM179" i="59"/>
  <c r="DN179" i="59"/>
  <c r="DO179" i="59"/>
  <c r="DP179" i="59"/>
  <c r="DQ179" i="59"/>
  <c r="DR179" i="59"/>
  <c r="DS179" i="59"/>
  <c r="DT179" i="59"/>
  <c r="DU179" i="59"/>
  <c r="DV179" i="59"/>
  <c r="DW179" i="59"/>
  <c r="DX179" i="59"/>
  <c r="DY179" i="59"/>
  <c r="DZ179" i="59"/>
  <c r="EA179" i="59"/>
  <c r="EB179" i="59"/>
  <c r="EC179" i="59"/>
  <c r="ED179" i="59"/>
  <c r="EE179" i="59"/>
  <c r="EF179" i="59"/>
  <c r="EG179" i="59"/>
  <c r="EH179" i="59"/>
  <c r="EI179" i="59"/>
  <c r="EJ179" i="59"/>
  <c r="EK179" i="59"/>
  <c r="EL179" i="59"/>
  <c r="EM179" i="59"/>
  <c r="EN179" i="59"/>
  <c r="EQ179" i="59"/>
  <c r="ES179" i="59"/>
  <c r="ET179" i="59"/>
  <c r="EU179" i="59"/>
  <c r="EV179" i="59"/>
  <c r="EW179" i="59"/>
  <c r="EX179" i="59"/>
  <c r="GK179" i="59"/>
  <c r="GL179" i="59"/>
  <c r="GM179" i="59"/>
  <c r="GN179" i="59"/>
  <c r="GO179" i="59"/>
  <c r="GP179" i="59"/>
  <c r="GQ179" i="59"/>
  <c r="GR179" i="59"/>
  <c r="GS179" i="59"/>
  <c r="GT179" i="59"/>
  <c r="GU179" i="59"/>
  <c r="GV179" i="59"/>
  <c r="II179" i="59"/>
  <c r="IJ179" i="59"/>
  <c r="IK179" i="59"/>
  <c r="IL179" i="59"/>
  <c r="IM179" i="59"/>
  <c r="IN179" i="59"/>
  <c r="IO179" i="59"/>
  <c r="IP179" i="59"/>
  <c r="IQ179" i="59"/>
  <c r="IR179" i="59"/>
  <c r="IS179" i="59"/>
  <c r="IT179" i="59"/>
  <c r="AP180" i="59"/>
  <c r="AQ180" i="59"/>
  <c r="AR180" i="59"/>
  <c r="AS180" i="59"/>
  <c r="AT180" i="59"/>
  <c r="AU180" i="59"/>
  <c r="AV180" i="59"/>
  <c r="AW180" i="59"/>
  <c r="AX180" i="59"/>
  <c r="AY180" i="59"/>
  <c r="AZ180" i="59"/>
  <c r="BA180" i="59"/>
  <c r="CN180" i="59"/>
  <c r="CO180" i="59"/>
  <c r="CP180" i="59"/>
  <c r="CQ180" i="59"/>
  <c r="CR180" i="59"/>
  <c r="CS180" i="59"/>
  <c r="CT180" i="59"/>
  <c r="CU180" i="59"/>
  <c r="CV180" i="59"/>
  <c r="CW180" i="59"/>
  <c r="CX180" i="59"/>
  <c r="CY180" i="59"/>
  <c r="EL180" i="59"/>
  <c r="EM180" i="59"/>
  <c r="EN180" i="59"/>
  <c r="EO180" i="59"/>
  <c r="EP180" i="59"/>
  <c r="EQ180" i="59"/>
  <c r="ER180" i="59"/>
  <c r="ES180" i="59"/>
  <c r="ET180" i="59"/>
  <c r="EU180" i="59"/>
  <c r="EV180" i="59"/>
  <c r="EW180" i="59"/>
  <c r="GJ180" i="59"/>
  <c r="GK180" i="59"/>
  <c r="GL180" i="59"/>
  <c r="GM180" i="59"/>
  <c r="GN180" i="59"/>
  <c r="GO180" i="59"/>
  <c r="GP180" i="59"/>
  <c r="GQ180" i="59"/>
  <c r="GR180" i="59"/>
  <c r="GS180" i="59"/>
  <c r="GT180" i="59"/>
  <c r="GU180" i="59"/>
  <c r="GV180" i="59"/>
  <c r="GW180" i="59"/>
  <c r="GX180" i="59"/>
  <c r="GY180" i="59"/>
  <c r="GZ180" i="59"/>
  <c r="HA180" i="59"/>
  <c r="HB180" i="59"/>
  <c r="HC180" i="59"/>
  <c r="HD180" i="59"/>
  <c r="HE180" i="59"/>
  <c r="HF180" i="59"/>
  <c r="HG180" i="59"/>
  <c r="HH180" i="59"/>
  <c r="HI180" i="59"/>
  <c r="HJ180" i="59"/>
  <c r="HK180" i="59"/>
  <c r="HL180" i="59"/>
  <c r="HM180" i="59"/>
  <c r="HN180" i="59"/>
  <c r="HO180" i="59"/>
  <c r="HP180" i="59"/>
  <c r="HQ180" i="59"/>
  <c r="HR180" i="59"/>
  <c r="HS180" i="59"/>
  <c r="HT180" i="59"/>
  <c r="HU180" i="59"/>
  <c r="HV180" i="59"/>
  <c r="HW180" i="59"/>
  <c r="HX180" i="59"/>
  <c r="HY180" i="59"/>
  <c r="HZ180" i="59"/>
  <c r="IA180" i="59"/>
  <c r="IB180" i="59"/>
  <c r="IC180" i="59"/>
  <c r="ID180" i="59"/>
  <c r="IE180" i="59"/>
  <c r="IF180" i="59"/>
  <c r="IG180" i="59"/>
  <c r="IH180" i="59"/>
  <c r="II180" i="59"/>
  <c r="IJ180" i="59"/>
  <c r="IK180" i="59"/>
  <c r="IL180" i="59"/>
  <c r="IM180" i="59"/>
  <c r="IN180" i="59"/>
  <c r="IO180" i="59"/>
  <c r="IR180" i="59"/>
  <c r="AN181" i="59"/>
  <c r="AP181" i="59"/>
  <c r="AS181" i="59"/>
  <c r="AT181" i="59"/>
  <c r="AU181" i="59"/>
  <c r="AV181" i="59"/>
  <c r="AW181" i="59"/>
  <c r="AX181" i="59"/>
  <c r="CK181" i="59"/>
  <c r="CP181" i="59"/>
  <c r="CQ181" i="59"/>
  <c r="CR181" i="59"/>
  <c r="CS181" i="59"/>
  <c r="CT181" i="59"/>
  <c r="CU181" i="59"/>
  <c r="EH181" i="59"/>
  <c r="EM181" i="59"/>
  <c r="EN181" i="59"/>
  <c r="EO181" i="59"/>
  <c r="EP181" i="59"/>
  <c r="EQ181" i="59"/>
  <c r="ER181" i="59"/>
  <c r="ES181" i="59"/>
  <c r="ET181" i="59"/>
  <c r="EU181" i="59"/>
  <c r="EV181" i="59"/>
  <c r="EW181" i="59"/>
  <c r="EX181" i="59"/>
  <c r="EY181" i="59"/>
  <c r="EZ181" i="59"/>
  <c r="FA181" i="59"/>
  <c r="FB181" i="59"/>
  <c r="FC181" i="59"/>
  <c r="FD181" i="59"/>
  <c r="FE181" i="59"/>
  <c r="FF181" i="59"/>
  <c r="FG181" i="59"/>
  <c r="FH181" i="59"/>
  <c r="FI181" i="59"/>
  <c r="FJ181" i="59"/>
  <c r="FK181" i="59"/>
  <c r="FL181" i="59"/>
  <c r="FM181" i="59"/>
  <c r="FN181" i="59"/>
  <c r="FO181" i="59"/>
  <c r="FP181" i="59"/>
  <c r="FQ181" i="59"/>
  <c r="FR181" i="59"/>
  <c r="FS181" i="59"/>
  <c r="FT181" i="59"/>
  <c r="FU181" i="59"/>
  <c r="FV181" i="59"/>
  <c r="FW181" i="59"/>
  <c r="FX181" i="59"/>
  <c r="FY181" i="59"/>
  <c r="FZ181" i="59"/>
  <c r="GA181" i="59"/>
  <c r="GB181" i="59"/>
  <c r="GC181" i="59"/>
  <c r="GD181" i="59"/>
  <c r="GE181" i="59"/>
  <c r="GH181" i="59"/>
  <c r="GJ181" i="59"/>
  <c r="GK181" i="59"/>
  <c r="GL181" i="59"/>
  <c r="GM181" i="59"/>
  <c r="GN181" i="59"/>
  <c r="GO181" i="59"/>
  <c r="IB181" i="59"/>
  <c r="IC181" i="59"/>
  <c r="ID181" i="59"/>
  <c r="IE181" i="59"/>
  <c r="IF181" i="59"/>
  <c r="IG181" i="59"/>
  <c r="IH181" i="59"/>
  <c r="II181" i="59"/>
  <c r="IJ181" i="59"/>
  <c r="IK181" i="59"/>
  <c r="IL181" i="59"/>
  <c r="IM181" i="59"/>
  <c r="AI182" i="59"/>
  <c r="AJ182" i="59"/>
  <c r="AK182" i="59"/>
  <c r="AL182" i="59"/>
  <c r="AM182" i="59"/>
  <c r="AN182" i="59"/>
  <c r="AO182" i="59"/>
  <c r="AP182" i="59"/>
  <c r="AQ182" i="59"/>
  <c r="AR182" i="59"/>
  <c r="AS182" i="59"/>
  <c r="AT182" i="59"/>
  <c r="CG182" i="59"/>
  <c r="CH182" i="59"/>
  <c r="CI182" i="59"/>
  <c r="CJ182" i="59"/>
  <c r="CK182" i="59"/>
  <c r="CL182" i="59"/>
  <c r="CM182" i="59"/>
  <c r="CN182" i="59"/>
  <c r="CO182" i="59"/>
  <c r="CP182" i="59"/>
  <c r="CQ182" i="59"/>
  <c r="CR182" i="59"/>
  <c r="EE182" i="59"/>
  <c r="EF182" i="59"/>
  <c r="EG182" i="59"/>
  <c r="EH182" i="59"/>
  <c r="EI182" i="59"/>
  <c r="EJ182" i="59"/>
  <c r="EK182" i="59"/>
  <c r="EL182" i="59"/>
  <c r="EM182" i="59"/>
  <c r="EN182" i="59"/>
  <c r="EO182" i="59"/>
  <c r="EP182" i="59"/>
  <c r="GC182" i="59"/>
  <c r="GD182" i="59"/>
  <c r="GE182" i="59"/>
  <c r="GF182" i="59"/>
  <c r="GG182" i="59"/>
  <c r="GH182" i="59"/>
  <c r="GI182" i="59"/>
  <c r="GJ182" i="59"/>
  <c r="GK182" i="59"/>
  <c r="GL182" i="59"/>
  <c r="GM182" i="59"/>
  <c r="GN182" i="59"/>
  <c r="IA182" i="59"/>
  <c r="IB182" i="59"/>
  <c r="IC182" i="59"/>
  <c r="ID182" i="59"/>
  <c r="IE182" i="59"/>
  <c r="IF182" i="59"/>
  <c r="IG182" i="59"/>
  <c r="IH182" i="59"/>
  <c r="II182" i="59"/>
  <c r="IJ182" i="59"/>
  <c r="IK182" i="59"/>
  <c r="IL182" i="59"/>
  <c r="IM182" i="59"/>
  <c r="IN182" i="59"/>
  <c r="IO182" i="59"/>
  <c r="IP182" i="59"/>
  <c r="IQ182" i="59"/>
  <c r="IR182" i="59"/>
  <c r="IS182" i="59"/>
  <c r="IT182" i="59"/>
  <c r="IU182" i="59"/>
  <c r="IV182" i="59"/>
  <c r="F183" i="59"/>
  <c r="G183" i="59"/>
  <c r="H183" i="59"/>
  <c r="I183" i="59"/>
  <c r="J183" i="59"/>
  <c r="K183" i="59"/>
  <c r="L183" i="59"/>
  <c r="M183" i="59"/>
  <c r="N183" i="59"/>
  <c r="O183" i="59"/>
  <c r="P183" i="59"/>
  <c r="Q183" i="59"/>
  <c r="R183" i="59"/>
  <c r="S183" i="59"/>
  <c r="T183" i="59"/>
  <c r="U183" i="59"/>
  <c r="V183" i="59"/>
  <c r="W183" i="59"/>
  <c r="X183" i="59"/>
  <c r="Y183" i="59"/>
  <c r="Z183" i="59"/>
  <c r="AA183" i="59"/>
  <c r="AB183" i="59"/>
  <c r="AC183" i="59"/>
  <c r="AD183" i="59"/>
  <c r="AE183" i="59"/>
  <c r="AF183" i="59"/>
  <c r="AG183" i="59"/>
  <c r="AH183" i="59"/>
  <c r="AI183" i="59"/>
  <c r="AJ183" i="59"/>
  <c r="AK183" i="59"/>
  <c r="AL183" i="59"/>
  <c r="AM183" i="59"/>
  <c r="AN183" i="59"/>
  <c r="AO183" i="59"/>
  <c r="AR183" i="59"/>
  <c r="CE183" i="59"/>
  <c r="CG183" i="59"/>
  <c r="CJ183" i="59"/>
  <c r="CK183" i="59"/>
  <c r="CL183" i="59"/>
  <c r="CM183" i="59"/>
  <c r="CN183" i="59"/>
  <c r="CO183" i="59"/>
  <c r="EB183" i="59"/>
  <c r="EG183" i="59"/>
  <c r="EH183" i="59"/>
  <c r="EI183" i="59"/>
  <c r="EJ183" i="59"/>
  <c r="EK183" i="59"/>
  <c r="EL183" i="59"/>
  <c r="FY183" i="59"/>
  <c r="GD183" i="59"/>
  <c r="GE183" i="59"/>
  <c r="GF183" i="59"/>
  <c r="GG183" i="59"/>
  <c r="GH183" i="59"/>
  <c r="GI183" i="59"/>
  <c r="GJ183" i="59"/>
  <c r="GK183" i="59"/>
  <c r="GL183" i="59"/>
  <c r="GM183" i="59"/>
  <c r="GN183" i="59"/>
  <c r="GO183" i="59"/>
  <c r="GP183" i="59"/>
  <c r="GQ183" i="59"/>
  <c r="GR183" i="59"/>
  <c r="GS183" i="59"/>
  <c r="GT183" i="59"/>
  <c r="GU183" i="59"/>
  <c r="GV183" i="59"/>
  <c r="GW183" i="59"/>
  <c r="GX183" i="59"/>
  <c r="GY183" i="59"/>
  <c r="GZ183" i="59"/>
  <c r="HA183" i="59"/>
  <c r="HB183" i="59"/>
  <c r="HC183" i="59"/>
  <c r="HD183" i="59"/>
  <c r="HE183" i="59"/>
  <c r="HF183" i="59"/>
  <c r="HG183" i="59"/>
  <c r="HH183" i="59"/>
  <c r="HI183" i="59"/>
  <c r="HJ183" i="59"/>
  <c r="HK183" i="59"/>
  <c r="HL183" i="59"/>
  <c r="HM183" i="59"/>
  <c r="HN183" i="59"/>
  <c r="HO183" i="59"/>
  <c r="HP183" i="59"/>
  <c r="HQ183" i="59"/>
  <c r="HR183" i="59"/>
  <c r="HS183" i="59"/>
  <c r="HT183" i="59"/>
  <c r="HU183" i="59"/>
  <c r="HV183" i="59"/>
  <c r="HY183" i="59"/>
  <c r="IA183" i="59"/>
  <c r="IB183" i="59"/>
  <c r="IC183" i="59"/>
  <c r="ID183" i="59"/>
  <c r="IE183" i="59"/>
  <c r="IF183" i="59"/>
  <c r="AB184" i="59"/>
  <c r="AC184" i="59"/>
  <c r="AD184" i="59"/>
  <c r="AE184" i="59"/>
  <c r="AF184" i="59"/>
  <c r="AG184" i="59"/>
  <c r="AH184" i="59"/>
  <c r="AI184" i="59"/>
  <c r="AJ184" i="59"/>
  <c r="AK184" i="59"/>
  <c r="AL184" i="59"/>
  <c r="AM184" i="59"/>
  <c r="BZ184" i="59"/>
  <c r="CA184" i="59"/>
  <c r="CB184" i="59"/>
  <c r="CC184" i="59"/>
  <c r="CD184" i="59"/>
  <c r="CE184" i="59"/>
  <c r="CF184" i="59"/>
  <c r="CG184" i="59"/>
  <c r="CH184" i="59"/>
  <c r="CI184" i="59"/>
  <c r="CJ184" i="59"/>
  <c r="CK184" i="59"/>
  <c r="DX184" i="59"/>
  <c r="DY184" i="59"/>
  <c r="DZ184" i="59"/>
  <c r="EA184" i="59"/>
  <c r="EB184" i="59"/>
  <c r="EC184" i="59"/>
  <c r="ED184" i="59"/>
  <c r="EE184" i="59"/>
  <c r="EF184" i="59"/>
  <c r="EG184" i="59"/>
  <c r="EH184" i="59"/>
  <c r="EI184" i="59"/>
  <c r="FV184" i="59"/>
  <c r="FW184" i="59"/>
  <c r="FX184" i="59"/>
  <c r="FY184" i="59"/>
  <c r="FZ184" i="59"/>
  <c r="GA184" i="59"/>
  <c r="GB184" i="59"/>
  <c r="GC184" i="59"/>
  <c r="GD184" i="59"/>
  <c r="GE184" i="59"/>
  <c r="GF184" i="59"/>
  <c r="GG184" i="59"/>
  <c r="HT184" i="59"/>
  <c r="HU184" i="59"/>
  <c r="HV184" i="59"/>
  <c r="HW184" i="59"/>
  <c r="HX184" i="59"/>
  <c r="HY184" i="59"/>
  <c r="HZ184" i="59"/>
  <c r="IA184" i="59"/>
  <c r="IB184" i="59"/>
  <c r="IC184" i="59"/>
  <c r="ID184" i="59"/>
  <c r="IE184" i="59"/>
  <c r="AA185" i="59"/>
  <c r="AB185" i="59"/>
  <c r="AC185" i="59"/>
  <c r="AD185" i="59"/>
  <c r="AE185" i="59"/>
  <c r="AF185" i="59"/>
  <c r="AG185" i="59"/>
  <c r="AH185" i="59"/>
  <c r="AI185" i="59"/>
  <c r="AJ185" i="59"/>
  <c r="AK185" i="59"/>
  <c r="AL185" i="59"/>
  <c r="AM185" i="59"/>
  <c r="AN185" i="59"/>
  <c r="AO185" i="59"/>
  <c r="AP185" i="59"/>
  <c r="AQ185" i="59"/>
  <c r="AR185" i="59"/>
  <c r="AS185" i="59"/>
  <c r="AT185" i="59"/>
  <c r="AU185" i="59"/>
  <c r="AV185" i="59"/>
  <c r="AW185" i="59"/>
  <c r="AX185" i="59"/>
  <c r="AY185" i="59"/>
  <c r="AZ185" i="59"/>
  <c r="BA185" i="59"/>
  <c r="BB185" i="59"/>
  <c r="BC185" i="59"/>
  <c r="BD185" i="59"/>
  <c r="BE185" i="59"/>
  <c r="BF185" i="59"/>
  <c r="BG185" i="59"/>
  <c r="BH185" i="59"/>
  <c r="BI185" i="59"/>
  <c r="BJ185" i="59"/>
  <c r="BK185" i="59"/>
  <c r="BL185" i="59"/>
  <c r="BM185" i="59"/>
  <c r="BN185" i="59"/>
  <c r="BO185" i="59"/>
  <c r="BP185" i="59"/>
  <c r="BQ185" i="59"/>
  <c r="BR185" i="59"/>
  <c r="BS185" i="59"/>
  <c r="BT185" i="59"/>
  <c r="BU185" i="59"/>
  <c r="BV185" i="59"/>
  <c r="BW185" i="59"/>
  <c r="BX185" i="59"/>
  <c r="BY185" i="59"/>
  <c r="BZ185" i="59"/>
  <c r="CA185" i="59"/>
  <c r="CB185" i="59"/>
  <c r="CC185" i="59"/>
  <c r="CD185" i="59"/>
  <c r="CE185" i="59"/>
  <c r="CF185" i="59"/>
  <c r="CI185" i="59"/>
  <c r="DV185" i="59"/>
  <c r="DX185" i="59"/>
  <c r="EA185" i="59"/>
  <c r="EB185" i="59"/>
  <c r="EC185" i="59"/>
  <c r="ED185" i="59"/>
  <c r="EE185" i="59"/>
  <c r="EF185" i="59"/>
  <c r="FS185" i="59"/>
  <c r="FX185" i="59"/>
  <c r="FY185" i="59"/>
  <c r="FZ185" i="59"/>
  <c r="GA185" i="59"/>
  <c r="GB185" i="59"/>
  <c r="GC185" i="59"/>
  <c r="HP185" i="59"/>
  <c r="HU185" i="59"/>
  <c r="HV185" i="59"/>
  <c r="HW185" i="59"/>
  <c r="HX185" i="59"/>
  <c r="HY185" i="59"/>
  <c r="HZ185" i="59"/>
  <c r="IA185" i="59"/>
  <c r="IB185" i="59"/>
  <c r="IC185" i="59"/>
  <c r="ID185" i="59"/>
  <c r="IE185" i="59"/>
  <c r="IF185" i="59"/>
  <c r="IG185" i="59"/>
  <c r="IH185" i="59"/>
  <c r="II185" i="59"/>
  <c r="IJ185" i="59"/>
  <c r="IK185" i="59"/>
  <c r="IL185" i="59"/>
  <c r="IM185" i="59"/>
  <c r="IN185" i="59"/>
  <c r="IO185" i="59"/>
  <c r="IP185" i="59"/>
  <c r="IQ185" i="59"/>
  <c r="IR185" i="59"/>
  <c r="IS185" i="59"/>
  <c r="IT185" i="59"/>
  <c r="IU185" i="59"/>
  <c r="IV185" i="59"/>
  <c r="F186" i="59"/>
  <c r="G186" i="59"/>
  <c r="H186" i="59"/>
  <c r="I186" i="59"/>
  <c r="J186" i="59"/>
  <c r="K186" i="59"/>
  <c r="L186" i="59"/>
  <c r="M186" i="59"/>
  <c r="N186" i="59"/>
  <c r="O186" i="59"/>
  <c r="P186" i="59"/>
  <c r="Q186" i="59"/>
  <c r="R186" i="59"/>
  <c r="S186" i="59"/>
  <c r="T186" i="59"/>
  <c r="U186" i="59"/>
  <c r="V186" i="59"/>
  <c r="Y186" i="59"/>
  <c r="AA186" i="59"/>
  <c r="AB186" i="59"/>
  <c r="AC186" i="59"/>
  <c r="AD186" i="59"/>
  <c r="AE186" i="59"/>
  <c r="AF186" i="59"/>
  <c r="BS186" i="59"/>
  <c r="BT186" i="59"/>
  <c r="BU186" i="59"/>
  <c r="BV186" i="59"/>
  <c r="BW186" i="59"/>
  <c r="BX186" i="59"/>
  <c r="BY186" i="59"/>
  <c r="BZ186" i="59"/>
  <c r="CA186" i="59"/>
  <c r="CB186" i="59"/>
  <c r="CC186" i="59"/>
  <c r="CD186" i="59"/>
  <c r="DQ186" i="59"/>
  <c r="DR186" i="59"/>
  <c r="DS186" i="59"/>
  <c r="DT186" i="59"/>
  <c r="DU186" i="59"/>
  <c r="DV186" i="59"/>
  <c r="DW186" i="59"/>
  <c r="DX186" i="59"/>
  <c r="DY186" i="59"/>
  <c r="DZ186" i="59"/>
  <c r="EA186" i="59"/>
  <c r="EB186" i="59"/>
  <c r="FO186" i="59"/>
  <c r="FP186" i="59"/>
  <c r="FQ186" i="59"/>
  <c r="FR186" i="59"/>
  <c r="FS186" i="59"/>
  <c r="FT186" i="59"/>
  <c r="FU186" i="59"/>
  <c r="FV186" i="59"/>
  <c r="FW186" i="59"/>
  <c r="FX186" i="59"/>
  <c r="FY186" i="59"/>
  <c r="FZ186" i="59"/>
  <c r="HM186" i="59"/>
  <c r="HN186" i="59"/>
  <c r="HO186" i="59"/>
  <c r="HP186" i="59"/>
  <c r="HQ186" i="59"/>
  <c r="HR186" i="59"/>
  <c r="HS186" i="59"/>
  <c r="HT186" i="59"/>
  <c r="HU186" i="59"/>
  <c r="HV186" i="59"/>
  <c r="HW186" i="59"/>
  <c r="HX186" i="59"/>
  <c r="T187" i="59"/>
  <c r="U187" i="59"/>
  <c r="V187" i="59"/>
  <c r="W187" i="59"/>
  <c r="X187" i="59"/>
  <c r="Y187" i="59"/>
  <c r="Z187" i="59"/>
  <c r="AA187" i="59"/>
  <c r="AB187" i="59"/>
  <c r="AC187" i="59"/>
  <c r="AD187" i="59"/>
  <c r="AE187" i="59"/>
  <c r="BR187" i="59"/>
  <c r="BS187" i="59"/>
  <c r="BT187" i="59"/>
  <c r="BU187" i="59"/>
  <c r="BV187" i="59"/>
  <c r="BW187" i="59"/>
  <c r="BX187" i="59"/>
  <c r="BY187" i="59"/>
  <c r="BZ187" i="59"/>
  <c r="CA187" i="59"/>
  <c r="CB187" i="59"/>
  <c r="CC187" i="59"/>
  <c r="CD187" i="59"/>
  <c r="CE187" i="59"/>
  <c r="CF187" i="59"/>
  <c r="CG187" i="59"/>
  <c r="CH187" i="59"/>
  <c r="CI187" i="59"/>
  <c r="CJ187" i="59"/>
  <c r="CK187" i="59"/>
  <c r="CL187" i="59"/>
  <c r="CM187" i="59"/>
  <c r="CN187" i="59"/>
  <c r="CO187" i="59"/>
  <c r="CP187" i="59"/>
  <c r="CQ187" i="59"/>
  <c r="CR187" i="59"/>
  <c r="CS187" i="59"/>
  <c r="CT187" i="59"/>
  <c r="CU187" i="59"/>
  <c r="CV187" i="59"/>
  <c r="CW187" i="59"/>
  <c r="CX187" i="59"/>
  <c r="CY187" i="59"/>
  <c r="CZ187" i="59"/>
  <c r="DA187" i="59"/>
  <c r="DB187" i="59"/>
  <c r="DC187" i="59"/>
  <c r="DD187" i="59"/>
  <c r="DE187" i="59"/>
  <c r="DF187" i="59"/>
  <c r="DG187" i="59"/>
  <c r="DH187" i="59"/>
  <c r="DI187" i="59"/>
  <c r="DJ187" i="59"/>
  <c r="DK187" i="59"/>
  <c r="DL187" i="59"/>
  <c r="DM187" i="59"/>
  <c r="DN187" i="59"/>
  <c r="DO187" i="59"/>
  <c r="DP187" i="59"/>
  <c r="DQ187" i="59"/>
  <c r="DR187" i="59"/>
  <c r="DS187" i="59"/>
  <c r="DT187" i="59"/>
  <c r="DU187" i="59"/>
  <c r="DV187" i="59"/>
  <c r="DW187" i="59"/>
  <c r="DZ187" i="59"/>
  <c r="FM187" i="59"/>
  <c r="FO187" i="59"/>
  <c r="FR187" i="59"/>
  <c r="FS187" i="59"/>
  <c r="FT187" i="59"/>
  <c r="FU187" i="59"/>
  <c r="FV187" i="59"/>
  <c r="FW187" i="59"/>
  <c r="HJ187" i="59"/>
  <c r="HO187" i="59"/>
  <c r="HP187" i="59"/>
  <c r="HQ187" i="59"/>
  <c r="HR187" i="59"/>
  <c r="HS187" i="59"/>
  <c r="HT187" i="59"/>
  <c r="P188" i="59"/>
  <c r="U188" i="59"/>
  <c r="V188" i="59"/>
  <c r="W188" i="59"/>
  <c r="X188" i="59"/>
  <c r="Y188" i="59"/>
  <c r="Z188" i="59"/>
  <c r="AA188" i="59"/>
  <c r="AB188" i="59"/>
  <c r="AC188" i="59"/>
  <c r="AD188" i="59"/>
  <c r="AE188" i="59"/>
  <c r="AF188" i="59"/>
  <c r="AG188" i="59"/>
  <c r="AH188" i="59"/>
  <c r="AI188" i="59"/>
  <c r="AJ188" i="59"/>
  <c r="AK188" i="59"/>
  <c r="AL188" i="59"/>
  <c r="AM188" i="59"/>
  <c r="AN188" i="59"/>
  <c r="AO188" i="59"/>
  <c r="AP188" i="59"/>
  <c r="AQ188" i="59"/>
  <c r="AR188" i="59"/>
  <c r="AS188" i="59"/>
  <c r="AT188" i="59"/>
  <c r="AU188" i="59"/>
  <c r="AV188" i="59"/>
  <c r="AW188" i="59"/>
  <c r="AX188" i="59"/>
  <c r="AY188" i="59"/>
  <c r="AZ188" i="59"/>
  <c r="BA188" i="59"/>
  <c r="BB188" i="59"/>
  <c r="BC188" i="59"/>
  <c r="BD188" i="59"/>
  <c r="BE188" i="59"/>
  <c r="BF188" i="59"/>
  <c r="BG188" i="59"/>
  <c r="BH188" i="59"/>
  <c r="BI188" i="59"/>
  <c r="BJ188" i="59"/>
  <c r="BK188" i="59"/>
  <c r="BL188" i="59"/>
  <c r="BM188" i="59"/>
  <c r="BP188" i="59"/>
  <c r="BR188" i="59"/>
  <c r="BS188" i="59"/>
  <c r="BT188" i="59"/>
  <c r="BU188" i="59"/>
  <c r="BV188" i="59"/>
  <c r="BW188" i="59"/>
  <c r="DJ188" i="59"/>
  <c r="DK188" i="59"/>
  <c r="DL188" i="59"/>
  <c r="DM188" i="59"/>
  <c r="DN188" i="59"/>
  <c r="DO188" i="59"/>
  <c r="DP188" i="59"/>
  <c r="DQ188" i="59"/>
  <c r="DR188" i="59"/>
  <c r="DS188" i="59"/>
  <c r="DT188" i="59"/>
  <c r="DU188" i="59"/>
  <c r="FH188" i="59"/>
  <c r="FI188" i="59"/>
  <c r="FJ188" i="59"/>
  <c r="FK188" i="59"/>
  <c r="FL188" i="59"/>
  <c r="FM188" i="59"/>
  <c r="FN188" i="59"/>
  <c r="FO188" i="59"/>
  <c r="FP188" i="59"/>
  <c r="FQ188" i="59"/>
  <c r="FR188" i="59"/>
  <c r="FS188" i="59"/>
  <c r="HF188" i="59"/>
  <c r="HG188" i="59"/>
  <c r="HH188" i="59"/>
  <c r="HI188" i="59"/>
  <c r="HJ188" i="59"/>
  <c r="HK188" i="59"/>
  <c r="HL188" i="59"/>
  <c r="HM188" i="59"/>
  <c r="HN188" i="59"/>
  <c r="HO188" i="59"/>
  <c r="HP188" i="59"/>
  <c r="HQ188" i="59"/>
  <c r="M189" i="59"/>
  <c r="N189" i="59"/>
  <c r="O189" i="59"/>
  <c r="P189" i="59"/>
  <c r="Q189" i="59"/>
  <c r="R189" i="59"/>
  <c r="S189" i="59"/>
  <c r="T189" i="59"/>
  <c r="U189" i="59"/>
  <c r="V189" i="59"/>
  <c r="W189" i="59"/>
  <c r="X189" i="59"/>
  <c r="BK189" i="59"/>
  <c r="BL189" i="59"/>
  <c r="BM189" i="59"/>
  <c r="BN189" i="59"/>
  <c r="BO189" i="59"/>
  <c r="BP189" i="59"/>
  <c r="BQ189" i="59"/>
  <c r="BR189" i="59"/>
  <c r="BS189" i="59"/>
  <c r="BT189" i="59"/>
  <c r="BU189" i="59"/>
  <c r="BV189" i="59"/>
  <c r="DI189" i="59"/>
  <c r="DJ189" i="59"/>
  <c r="DK189" i="59"/>
  <c r="DL189" i="59"/>
  <c r="DM189" i="59"/>
  <c r="DN189" i="59"/>
  <c r="DO189" i="59"/>
  <c r="DP189" i="59"/>
  <c r="DQ189" i="59"/>
  <c r="DR189" i="59"/>
  <c r="DS189" i="59"/>
  <c r="DT189" i="59"/>
  <c r="DU189" i="59"/>
  <c r="DV189" i="59"/>
  <c r="DW189" i="59"/>
  <c r="DX189" i="59"/>
  <c r="DY189" i="59"/>
  <c r="DZ189" i="59"/>
  <c r="EA189" i="59"/>
  <c r="EB189" i="59"/>
  <c r="EC189" i="59"/>
  <c r="ED189" i="59"/>
  <c r="EE189" i="59"/>
  <c r="EF189" i="59"/>
  <c r="EG189" i="59"/>
  <c r="EH189" i="59"/>
  <c r="EI189" i="59"/>
  <c r="EJ189" i="59"/>
  <c r="EK189" i="59"/>
  <c r="EL189" i="59"/>
  <c r="EM189" i="59"/>
  <c r="EN189" i="59"/>
  <c r="EO189" i="59"/>
  <c r="EP189" i="59"/>
  <c r="EQ189" i="59"/>
  <c r="ER189" i="59"/>
  <c r="ES189" i="59"/>
  <c r="ET189" i="59"/>
  <c r="EU189" i="59"/>
  <c r="EV189" i="59"/>
  <c r="EW189" i="59"/>
  <c r="EX189" i="59"/>
  <c r="EY189" i="59"/>
  <c r="EZ189" i="59"/>
  <c r="FA189" i="59"/>
  <c r="FB189" i="59"/>
  <c r="FC189" i="59"/>
  <c r="FD189" i="59"/>
  <c r="FE189" i="59"/>
  <c r="FF189" i="59"/>
  <c r="FG189" i="59"/>
  <c r="FH189" i="59"/>
  <c r="FI189" i="59"/>
  <c r="FJ189" i="59"/>
  <c r="FK189" i="59"/>
  <c r="FL189" i="59"/>
  <c r="FM189" i="59"/>
  <c r="FN189" i="59"/>
  <c r="FQ189" i="59"/>
  <c r="HD189" i="59"/>
  <c r="HF189" i="59"/>
  <c r="HI189" i="59"/>
  <c r="HJ189" i="59"/>
  <c r="HK189" i="59"/>
  <c r="HL189" i="59"/>
  <c r="HM189" i="59"/>
  <c r="HN189" i="59"/>
  <c r="J190" i="59"/>
  <c r="O190" i="59"/>
  <c r="P190" i="59"/>
  <c r="Q190" i="59"/>
  <c r="R190" i="59"/>
  <c r="S190" i="59"/>
  <c r="T190" i="59"/>
  <c r="BG190" i="59"/>
  <c r="BL190" i="59"/>
  <c r="BM190" i="59"/>
  <c r="BN190" i="59"/>
  <c r="BO190" i="59"/>
  <c r="BP190" i="59"/>
  <c r="BQ190" i="59"/>
  <c r="BR190" i="59"/>
  <c r="BS190" i="59"/>
  <c r="BT190" i="59"/>
  <c r="BU190" i="59"/>
  <c r="BV190" i="59"/>
  <c r="BW190" i="59"/>
  <c r="BX190" i="59"/>
  <c r="BY190" i="59"/>
  <c r="BZ190" i="59"/>
  <c r="CA190" i="59"/>
  <c r="CB190" i="59"/>
  <c r="CC190" i="59"/>
  <c r="CD190" i="59"/>
  <c r="CE190" i="59"/>
  <c r="CF190" i="59"/>
  <c r="CG190" i="59"/>
  <c r="CH190" i="59"/>
  <c r="CI190" i="59"/>
  <c r="CJ190" i="59"/>
  <c r="CK190" i="59"/>
  <c r="CL190" i="59"/>
  <c r="CM190" i="59"/>
  <c r="CN190" i="59"/>
  <c r="CO190" i="59"/>
  <c r="CP190" i="59"/>
  <c r="CQ190" i="59"/>
  <c r="CR190" i="59"/>
  <c r="CS190" i="59"/>
  <c r="CT190" i="59"/>
  <c r="CU190" i="59"/>
  <c r="CV190" i="59"/>
  <c r="CW190" i="59"/>
  <c r="CX190" i="59"/>
  <c r="CY190" i="59"/>
  <c r="CZ190" i="59"/>
  <c r="DA190" i="59"/>
  <c r="DB190" i="59"/>
  <c r="DC190" i="59"/>
  <c r="DD190" i="59"/>
  <c r="DG190" i="59"/>
  <c r="DI190" i="59"/>
  <c r="DJ190" i="59"/>
  <c r="DK190" i="59"/>
  <c r="DL190" i="59"/>
  <c r="DM190" i="59"/>
  <c r="DN190" i="59"/>
  <c r="FA190" i="59"/>
  <c r="FB190" i="59"/>
  <c r="FC190" i="59"/>
  <c r="FD190" i="59"/>
  <c r="FE190" i="59"/>
  <c r="FF190" i="59"/>
  <c r="FG190" i="59"/>
  <c r="FH190" i="59"/>
  <c r="FI190" i="59"/>
  <c r="FJ190" i="59"/>
  <c r="FK190" i="59"/>
  <c r="FL190" i="59"/>
  <c r="GY190" i="59"/>
  <c r="GZ190" i="59"/>
  <c r="HA190" i="59"/>
  <c r="HB190" i="59"/>
  <c r="HC190" i="59"/>
  <c r="HD190" i="59"/>
  <c r="HE190" i="59"/>
  <c r="HF190" i="59"/>
  <c r="HG190" i="59"/>
  <c r="HH190" i="59"/>
  <c r="HI190" i="59"/>
  <c r="HJ190" i="59"/>
  <c r="F191" i="59"/>
  <c r="G191" i="59"/>
  <c r="H191" i="59"/>
  <c r="I191" i="59"/>
  <c r="J191" i="59"/>
  <c r="K191" i="59"/>
  <c r="L191" i="59"/>
  <c r="M191" i="59"/>
  <c r="N191" i="59"/>
  <c r="O191" i="59"/>
  <c r="P191" i="59"/>
  <c r="Q191" i="59"/>
  <c r="BD191" i="59"/>
  <c r="BE191" i="59"/>
  <c r="BF191" i="59"/>
  <c r="BG191" i="59"/>
  <c r="BH191" i="59"/>
  <c r="BI191" i="59"/>
  <c r="BJ191" i="59"/>
  <c r="BK191" i="59"/>
  <c r="BL191" i="59"/>
  <c r="BM191" i="59"/>
  <c r="BN191" i="59"/>
  <c r="BO191" i="59"/>
  <c r="DB191" i="59"/>
  <c r="DC191" i="59"/>
  <c r="DD191" i="59"/>
  <c r="DE191" i="59"/>
  <c r="DF191" i="59"/>
  <c r="DG191" i="59"/>
  <c r="DH191" i="59"/>
  <c r="DI191" i="59"/>
  <c r="DJ191" i="59"/>
  <c r="DK191" i="59"/>
  <c r="DL191" i="59"/>
  <c r="DM191" i="59"/>
  <c r="EZ191" i="59"/>
  <c r="FA191" i="59"/>
  <c r="FB191" i="59"/>
  <c r="FC191" i="59"/>
  <c r="FD191" i="59"/>
  <c r="FE191" i="59"/>
  <c r="FF191" i="59"/>
  <c r="FG191" i="59"/>
  <c r="FH191" i="59"/>
  <c r="FI191" i="59"/>
  <c r="FJ191" i="59"/>
  <c r="FK191" i="59"/>
  <c r="FL191" i="59"/>
  <c r="FM191" i="59"/>
  <c r="FN191" i="59"/>
  <c r="FO191" i="59"/>
  <c r="FP191" i="59"/>
  <c r="FQ191" i="59"/>
  <c r="FR191" i="59"/>
  <c r="FS191" i="59"/>
  <c r="FT191" i="59"/>
  <c r="FU191" i="59"/>
  <c r="FV191" i="59"/>
  <c r="FW191" i="59"/>
  <c r="FX191" i="59"/>
  <c r="FY191" i="59"/>
  <c r="FZ191" i="59"/>
  <c r="GA191" i="59"/>
  <c r="GB191" i="59"/>
  <c r="GC191" i="59"/>
  <c r="GD191" i="59"/>
  <c r="GE191" i="59"/>
  <c r="GF191" i="59"/>
  <c r="GG191" i="59"/>
  <c r="GH191" i="59"/>
  <c r="GI191" i="59"/>
  <c r="GJ191" i="59"/>
  <c r="GK191" i="59"/>
  <c r="GL191" i="59"/>
  <c r="GM191" i="59"/>
  <c r="GN191" i="59"/>
  <c r="GO191" i="59"/>
  <c r="GP191" i="59"/>
  <c r="GQ191" i="59"/>
  <c r="GR191" i="59"/>
  <c r="GS191" i="59"/>
  <c r="GT191" i="59"/>
  <c r="GU191" i="59"/>
  <c r="GV191" i="59"/>
  <c r="GW191" i="59"/>
  <c r="GX191" i="59"/>
  <c r="GY191" i="59"/>
  <c r="GZ191" i="59"/>
  <c r="HA191" i="59"/>
  <c r="HB191" i="59"/>
  <c r="HC191" i="59"/>
  <c r="HD191" i="59"/>
  <c r="HE191" i="59"/>
  <c r="HH191" i="59"/>
  <c r="IU191" i="59"/>
  <c r="F192" i="59"/>
  <c r="I192" i="59"/>
  <c r="J192" i="59"/>
  <c r="K192" i="59"/>
  <c r="L192" i="59"/>
  <c r="M192" i="59"/>
  <c r="N192" i="59"/>
  <c r="BA192" i="59"/>
  <c r="BF192" i="59"/>
  <c r="BG192" i="59"/>
  <c r="BH192" i="59"/>
  <c r="BI192" i="59"/>
  <c r="BJ192" i="59"/>
  <c r="BK192" i="59"/>
  <c r="CX192" i="59"/>
  <c r="DC192" i="59"/>
  <c r="DD192" i="59"/>
  <c r="DE192" i="59"/>
  <c r="DF192" i="59"/>
  <c r="DG192" i="59"/>
  <c r="DH192" i="59"/>
  <c r="DI192" i="59"/>
  <c r="DJ192" i="59"/>
  <c r="DK192" i="59"/>
  <c r="DL192" i="59"/>
  <c r="DM192" i="59"/>
  <c r="DN192" i="59"/>
  <c r="DO192" i="59"/>
  <c r="DP192" i="59"/>
  <c r="DQ192" i="59"/>
  <c r="DR192" i="59"/>
  <c r="DS192" i="59"/>
  <c r="DT192" i="59"/>
  <c r="DU192" i="59"/>
  <c r="DV192" i="59"/>
  <c r="DW192" i="59"/>
  <c r="DX192" i="59"/>
  <c r="DY192" i="59"/>
  <c r="DZ192" i="59"/>
  <c r="EA192" i="59"/>
  <c r="EB192" i="59"/>
  <c r="EC192" i="59"/>
  <c r="ED192" i="59"/>
  <c r="EE192" i="59"/>
  <c r="EF192" i="59"/>
  <c r="EG192" i="59"/>
  <c r="EH192" i="59"/>
  <c r="EI192" i="59"/>
  <c r="EJ192" i="59"/>
  <c r="EK192" i="59"/>
  <c r="EL192" i="59"/>
  <c r="EM192" i="59"/>
  <c r="EN192" i="59"/>
  <c r="EO192" i="59"/>
  <c r="EP192" i="59"/>
  <c r="EQ192" i="59"/>
  <c r="ER192" i="59"/>
  <c r="ES192" i="59"/>
  <c r="ET192" i="59"/>
  <c r="EU192" i="59"/>
  <c r="EX192" i="59"/>
  <c r="EZ192" i="59"/>
  <c r="FA192" i="59"/>
  <c r="FB192" i="59"/>
  <c r="FC192" i="59"/>
  <c r="FD192" i="59"/>
  <c r="FE192" i="59"/>
  <c r="GR192" i="59"/>
  <c r="GS192" i="59"/>
  <c r="GT192" i="59"/>
  <c r="GU192" i="59"/>
  <c r="GV192" i="59"/>
  <c r="GW192" i="59"/>
  <c r="GX192" i="59"/>
  <c r="GY192" i="59"/>
  <c r="GZ192" i="59"/>
  <c r="HA192" i="59"/>
  <c r="HB192" i="59"/>
  <c r="HC192" i="59"/>
  <c r="IP192" i="59"/>
  <c r="IQ192" i="59"/>
  <c r="IR192" i="59"/>
  <c r="IS192" i="59"/>
  <c r="IT192" i="59"/>
  <c r="IU192" i="59"/>
  <c r="IV192" i="59"/>
  <c r="F193" i="59"/>
  <c r="G193" i="59"/>
  <c r="H193" i="59"/>
  <c r="I193" i="59"/>
  <c r="J193" i="59"/>
  <c r="AW193" i="59"/>
  <c r="AX193" i="59"/>
  <c r="AY193" i="59"/>
  <c r="AZ193" i="59"/>
  <c r="BA193" i="59"/>
  <c r="BB193" i="59"/>
  <c r="BC193" i="59"/>
  <c r="BD193" i="59"/>
  <c r="BE193" i="59"/>
  <c r="BF193" i="59"/>
  <c r="BG193" i="59"/>
  <c r="BH193" i="59"/>
  <c r="CU193" i="59"/>
  <c r="CV193" i="59"/>
  <c r="CW193" i="59"/>
  <c r="CX193" i="59"/>
  <c r="CY193" i="59"/>
  <c r="CZ193" i="59"/>
  <c r="DA193" i="59"/>
  <c r="DB193" i="59"/>
  <c r="DC193" i="59"/>
  <c r="DD193" i="59"/>
  <c r="DE193" i="59"/>
  <c r="DF193" i="59"/>
  <c r="ES193" i="59"/>
  <c r="ET193" i="59"/>
  <c r="EU193" i="59"/>
  <c r="EV193" i="59"/>
  <c r="EW193" i="59"/>
  <c r="EX193" i="59"/>
  <c r="EY193" i="59"/>
  <c r="EZ193" i="59"/>
  <c r="FA193" i="59"/>
  <c r="FB193" i="59"/>
  <c r="FC193" i="59"/>
  <c r="FD193" i="59"/>
  <c r="GQ193" i="59"/>
  <c r="GR193" i="59"/>
  <c r="GS193" i="59"/>
  <c r="GT193" i="59"/>
  <c r="GU193" i="59"/>
  <c r="GV193" i="59"/>
  <c r="GW193" i="59"/>
  <c r="GX193" i="59"/>
  <c r="GY193" i="59"/>
  <c r="GZ193" i="59"/>
  <c r="HA193" i="59"/>
  <c r="HB193" i="59"/>
  <c r="HC193" i="59"/>
  <c r="HD193" i="59"/>
  <c r="HE193" i="59"/>
  <c r="HF193" i="59"/>
  <c r="HG193" i="59"/>
  <c r="HH193" i="59"/>
  <c r="HI193" i="59"/>
  <c r="HJ193" i="59"/>
  <c r="HK193" i="59"/>
  <c r="HL193" i="59"/>
  <c r="HM193" i="59"/>
  <c r="HN193" i="59"/>
  <c r="HO193" i="59"/>
  <c r="HP193" i="59"/>
  <c r="HQ193" i="59"/>
  <c r="HR193" i="59"/>
  <c r="HS193" i="59"/>
  <c r="HT193" i="59"/>
  <c r="HU193" i="59"/>
  <c r="HV193" i="59"/>
  <c r="HW193" i="59"/>
  <c r="HX193" i="59"/>
  <c r="HY193" i="59"/>
  <c r="HZ193" i="59"/>
  <c r="IA193" i="59"/>
  <c r="IB193" i="59"/>
  <c r="IC193" i="59"/>
  <c r="ID193" i="59"/>
  <c r="IE193" i="59"/>
  <c r="IF193" i="59"/>
  <c r="IG193" i="59"/>
  <c r="IH193" i="59"/>
  <c r="II193" i="59"/>
  <c r="IJ193" i="59"/>
  <c r="IK193" i="59"/>
  <c r="IL193" i="59"/>
  <c r="IM193" i="59"/>
  <c r="IN193" i="59"/>
  <c r="IO193" i="59"/>
  <c r="IP193" i="59"/>
  <c r="IQ193" i="59"/>
  <c r="IR193" i="59"/>
  <c r="IS193" i="59"/>
  <c r="IT193" i="59"/>
  <c r="IU193" i="59"/>
  <c r="IV193" i="59"/>
  <c r="H194" i="59"/>
  <c r="AU194" i="59"/>
  <c r="AW194" i="59"/>
  <c r="AZ194" i="59"/>
  <c r="BA194" i="59"/>
  <c r="BB194" i="59"/>
  <c r="BC194" i="59"/>
  <c r="BD194" i="59"/>
  <c r="BE194" i="59"/>
  <c r="CR194" i="59"/>
  <c r="CW194" i="59"/>
  <c r="CX194" i="59"/>
  <c r="CY194" i="59"/>
  <c r="CZ194" i="59"/>
  <c r="DA194" i="59"/>
  <c r="DB194" i="59"/>
  <c r="EO194" i="59"/>
  <c r="ET194" i="59"/>
  <c r="EU194" i="59"/>
  <c r="EV194" i="59"/>
  <c r="EW194" i="59"/>
  <c r="EX194" i="59"/>
  <c r="EY194" i="59"/>
  <c r="EZ194" i="59"/>
  <c r="FA194" i="59"/>
  <c r="FB194" i="59"/>
  <c r="FC194" i="59"/>
  <c r="FD194" i="59"/>
  <c r="FE194" i="59"/>
  <c r="FF194" i="59"/>
  <c r="FG194" i="59"/>
  <c r="FH194" i="59"/>
  <c r="FI194" i="59"/>
  <c r="FJ194" i="59"/>
  <c r="FK194" i="59"/>
  <c r="FL194" i="59"/>
  <c r="FM194" i="59"/>
  <c r="FN194" i="59"/>
  <c r="FO194" i="59"/>
  <c r="FP194" i="59"/>
  <c r="FQ194" i="59"/>
  <c r="FR194" i="59"/>
  <c r="FS194" i="59"/>
  <c r="FT194" i="59"/>
  <c r="FU194" i="59"/>
  <c r="FV194" i="59"/>
  <c r="FW194" i="59"/>
  <c r="FX194" i="59"/>
  <c r="FY194" i="59"/>
  <c r="FZ194" i="59"/>
  <c r="GA194" i="59"/>
  <c r="GB194" i="59"/>
  <c r="GC194" i="59"/>
  <c r="GD194" i="59"/>
  <c r="GE194" i="59"/>
  <c r="GF194" i="59"/>
  <c r="GG194" i="59"/>
  <c r="GH194" i="59"/>
  <c r="GI194" i="59"/>
  <c r="GJ194" i="59"/>
  <c r="GK194" i="59"/>
  <c r="GL194" i="59"/>
  <c r="GO194" i="59"/>
  <c r="GQ194" i="59"/>
  <c r="GR194" i="59"/>
  <c r="GS194" i="59"/>
  <c r="GT194" i="59"/>
  <c r="GU194" i="59"/>
  <c r="GV194" i="59"/>
  <c r="II194" i="59"/>
  <c r="IJ194" i="59"/>
  <c r="IK194" i="59"/>
  <c r="IL194" i="59"/>
  <c r="IM194" i="59"/>
  <c r="IN194" i="59"/>
  <c r="IO194" i="59"/>
  <c r="IP194" i="59"/>
  <c r="IQ194" i="59"/>
  <c r="IR194" i="59"/>
  <c r="IS194" i="59"/>
  <c r="IT194" i="59"/>
  <c r="AP195" i="59"/>
  <c r="AQ195" i="59"/>
  <c r="AR195" i="59"/>
  <c r="AS195" i="59"/>
  <c r="AT195" i="59"/>
  <c r="AU195" i="59"/>
  <c r="AV195" i="59"/>
  <c r="AW195" i="59"/>
  <c r="AX195" i="59"/>
  <c r="AY195" i="59"/>
  <c r="AZ195" i="59"/>
  <c r="BA195" i="59"/>
  <c r="CN195" i="59"/>
  <c r="CO195" i="59"/>
  <c r="CP195" i="59"/>
  <c r="CQ195" i="59"/>
  <c r="CR195" i="59"/>
  <c r="CS195" i="59"/>
  <c r="CT195" i="59"/>
  <c r="CU195" i="59"/>
  <c r="CV195" i="59"/>
  <c r="CW195" i="59"/>
  <c r="CX195" i="59"/>
  <c r="CY195" i="59"/>
  <c r="EL195" i="59"/>
  <c r="EM195" i="59"/>
  <c r="EN195" i="59"/>
  <c r="EO195" i="59"/>
  <c r="EP195" i="59"/>
  <c r="EQ195" i="59"/>
  <c r="ER195" i="59"/>
  <c r="ES195" i="59"/>
  <c r="ET195" i="59"/>
  <c r="EU195" i="59"/>
  <c r="EV195" i="59"/>
  <c r="EW195" i="59"/>
  <c r="GJ195" i="59"/>
  <c r="GK195" i="59"/>
  <c r="GL195" i="59"/>
  <c r="GM195" i="59"/>
  <c r="GN195" i="59"/>
  <c r="GO195" i="59"/>
  <c r="GP195" i="59"/>
  <c r="GQ195" i="59"/>
  <c r="GR195" i="59"/>
  <c r="GS195" i="59"/>
  <c r="GT195" i="59"/>
  <c r="GU195" i="59"/>
  <c r="IH195" i="59"/>
  <c r="II195" i="59"/>
  <c r="IJ195" i="59"/>
  <c r="IK195" i="59"/>
  <c r="IL195" i="59"/>
  <c r="IM195" i="59"/>
  <c r="IN195" i="59"/>
  <c r="IO195" i="59"/>
  <c r="IP195" i="59"/>
  <c r="IQ195" i="59"/>
  <c r="IR195" i="59"/>
  <c r="IS195" i="59"/>
  <c r="IT195" i="59"/>
  <c r="IU195" i="59"/>
  <c r="IV195" i="59"/>
  <c r="F196" i="59"/>
  <c r="G196" i="59"/>
  <c r="H196" i="59"/>
  <c r="I196" i="59"/>
  <c r="J196" i="59"/>
  <c r="K196" i="59"/>
  <c r="L196" i="59"/>
  <c r="M196" i="59"/>
  <c r="N196" i="59"/>
  <c r="O196" i="59"/>
  <c r="P196" i="59"/>
  <c r="Q196" i="59"/>
  <c r="R196" i="59"/>
  <c r="S196" i="59"/>
  <c r="T196" i="59"/>
  <c r="U196" i="59"/>
  <c r="V196" i="59"/>
  <c r="W196" i="59"/>
  <c r="X196" i="59"/>
  <c r="Y196" i="59"/>
  <c r="Z196" i="59"/>
  <c r="AA196" i="59"/>
  <c r="AB196" i="59"/>
  <c r="AC196" i="59"/>
  <c r="AD196" i="59"/>
  <c r="AE196" i="59"/>
  <c r="AF196" i="59"/>
  <c r="AG196" i="59"/>
  <c r="AH196" i="59"/>
  <c r="AI196" i="59"/>
  <c r="AJ196" i="59"/>
  <c r="AK196" i="59"/>
  <c r="AL196" i="59"/>
  <c r="AM196" i="59"/>
  <c r="AN196" i="59"/>
  <c r="AO196" i="59"/>
  <c r="AP196" i="59"/>
  <c r="AQ196" i="59"/>
  <c r="AR196" i="59"/>
  <c r="AS196" i="59"/>
  <c r="AT196" i="59"/>
  <c r="AU196" i="59"/>
  <c r="AV196" i="59"/>
  <c r="AY196" i="59"/>
  <c r="CL196" i="59"/>
  <c r="CN196" i="59"/>
  <c r="CQ196" i="59"/>
  <c r="CR196" i="59"/>
  <c r="CS196" i="59"/>
  <c r="CT196" i="59"/>
  <c r="CU196" i="59"/>
  <c r="CV196" i="59"/>
  <c r="EI196" i="59"/>
  <c r="EN196" i="59"/>
  <c r="EO196" i="59"/>
  <c r="EP196" i="59"/>
  <c r="EQ196" i="59"/>
  <c r="ER196" i="59"/>
  <c r="ES196" i="59"/>
  <c r="GF196" i="59"/>
  <c r="GK196" i="59"/>
  <c r="GL196" i="59"/>
  <c r="GM196" i="59"/>
  <c r="GN196" i="59"/>
  <c r="GO196" i="59"/>
  <c r="GP196" i="59"/>
  <c r="GQ196" i="59"/>
  <c r="GR196" i="59"/>
  <c r="GS196" i="59"/>
  <c r="GT196" i="59"/>
  <c r="GU196" i="59"/>
  <c r="GV196" i="59"/>
  <c r="GW196" i="59"/>
  <c r="GX196" i="59"/>
  <c r="GY196" i="59"/>
  <c r="GZ196" i="59"/>
  <c r="HA196" i="59"/>
  <c r="HB196" i="59"/>
  <c r="HC196" i="59"/>
  <c r="HD196" i="59"/>
  <c r="HE196" i="59"/>
  <c r="HF196" i="59"/>
  <c r="HG196" i="59"/>
  <c r="HH196" i="59"/>
  <c r="HI196" i="59"/>
  <c r="HJ196" i="59"/>
  <c r="HK196" i="59"/>
  <c r="HL196" i="59"/>
  <c r="HM196" i="59"/>
  <c r="HN196" i="59"/>
  <c r="HO196" i="59"/>
  <c r="HP196" i="59"/>
  <c r="HQ196" i="59"/>
  <c r="HR196" i="59"/>
  <c r="HS196" i="59"/>
  <c r="HT196" i="59"/>
  <c r="HU196" i="59"/>
  <c r="HV196" i="59"/>
  <c r="HW196" i="59"/>
  <c r="HX196" i="59"/>
  <c r="HY196" i="59"/>
  <c r="HZ196" i="59"/>
  <c r="IA196" i="59"/>
  <c r="IB196" i="59"/>
  <c r="IC196" i="59"/>
  <c r="IF196" i="59"/>
  <c r="IH196" i="59"/>
  <c r="II196" i="59"/>
  <c r="IJ196" i="59"/>
  <c r="IK196" i="59"/>
  <c r="IL196" i="59"/>
  <c r="IM196" i="59"/>
  <c r="AI197" i="59"/>
  <c r="AJ197" i="59"/>
  <c r="AK197" i="59"/>
  <c r="AL197" i="59"/>
  <c r="AM197" i="59"/>
  <c r="AN197" i="59"/>
  <c r="AO197" i="59"/>
  <c r="AP197" i="59"/>
  <c r="AQ197" i="59"/>
  <c r="AR197" i="59"/>
  <c r="AS197" i="59"/>
  <c r="AT197" i="59"/>
  <c r="CG197" i="59"/>
  <c r="CH197" i="59"/>
  <c r="CI197" i="59"/>
  <c r="CJ197" i="59"/>
  <c r="CK197" i="59"/>
  <c r="CL197" i="59"/>
  <c r="CM197" i="59"/>
  <c r="CN197" i="59"/>
  <c r="CO197" i="59"/>
  <c r="CP197" i="59"/>
  <c r="CQ197" i="59"/>
  <c r="CR197" i="59"/>
  <c r="EE197" i="59"/>
  <c r="EF197" i="59"/>
  <c r="EG197" i="59"/>
  <c r="EH197" i="59"/>
  <c r="EI197" i="59"/>
  <c r="EJ197" i="59"/>
  <c r="EK197" i="59"/>
  <c r="EL197" i="59"/>
  <c r="EM197" i="59"/>
  <c r="EN197" i="59"/>
  <c r="EO197" i="59"/>
  <c r="EP197" i="59"/>
  <c r="GC197" i="59"/>
  <c r="GD197" i="59"/>
  <c r="GE197" i="59"/>
  <c r="GF197" i="59"/>
  <c r="GG197" i="59"/>
  <c r="GH197" i="59"/>
  <c r="GI197" i="59"/>
  <c r="GJ197" i="59"/>
  <c r="GK197" i="59"/>
  <c r="GL197" i="59"/>
  <c r="GM197" i="59"/>
  <c r="GN197" i="59"/>
  <c r="IA197" i="59"/>
  <c r="IB197" i="59"/>
  <c r="IC197" i="59"/>
  <c r="ID197" i="59"/>
  <c r="IE197" i="59"/>
  <c r="IF197" i="59"/>
  <c r="IG197" i="59"/>
  <c r="IH197" i="59"/>
  <c r="II197" i="59"/>
  <c r="IJ197" i="59"/>
  <c r="IK197" i="59"/>
  <c r="IL197" i="59"/>
  <c r="AH198" i="59"/>
  <c r="AI198" i="59"/>
  <c r="AJ198" i="59"/>
  <c r="AK198" i="59"/>
  <c r="AL198" i="59"/>
  <c r="AM198" i="59"/>
  <c r="AN198" i="59"/>
  <c r="AO198" i="59"/>
  <c r="AP198" i="59"/>
  <c r="AQ198" i="59"/>
  <c r="AR198" i="59"/>
  <c r="AS198" i="59"/>
  <c r="AT198" i="59"/>
  <c r="AU198" i="59"/>
  <c r="AV198" i="59"/>
  <c r="AW198" i="59"/>
  <c r="AX198" i="59"/>
  <c r="AY198" i="59"/>
  <c r="AZ198" i="59"/>
  <c r="BA198" i="59"/>
  <c r="BB198" i="59"/>
  <c r="BC198" i="59"/>
  <c r="BD198" i="59"/>
  <c r="BE198" i="59"/>
  <c r="BF198" i="59"/>
  <c r="BG198" i="59"/>
  <c r="BH198" i="59"/>
  <c r="BI198" i="59"/>
  <c r="BJ198" i="59"/>
  <c r="BK198" i="59"/>
  <c r="BL198" i="59"/>
  <c r="BM198" i="59"/>
  <c r="BN198" i="59"/>
  <c r="BO198" i="59"/>
  <c r="BP198" i="59"/>
  <c r="BQ198" i="59"/>
  <c r="BR198" i="59"/>
  <c r="BS198" i="59"/>
  <c r="BT198" i="59"/>
  <c r="BU198" i="59"/>
  <c r="BV198" i="59"/>
  <c r="BW198" i="59"/>
  <c r="BX198" i="59"/>
  <c r="BY198" i="59"/>
  <c r="BZ198" i="59"/>
  <c r="CA198" i="59"/>
  <c r="CB198" i="59"/>
  <c r="CC198" i="59"/>
  <c r="CD198" i="59"/>
  <c r="CE198" i="59"/>
  <c r="CF198" i="59"/>
  <c r="CG198" i="59"/>
  <c r="CH198" i="59"/>
  <c r="CI198" i="59"/>
  <c r="CJ198" i="59"/>
  <c r="CK198" i="59"/>
  <c r="CL198" i="59"/>
  <c r="CM198" i="59"/>
  <c r="CP198" i="59"/>
  <c r="EC198" i="59"/>
  <c r="EE198" i="59"/>
  <c r="EH198" i="59"/>
  <c r="EI198" i="59"/>
  <c r="EJ198" i="59"/>
  <c r="EK198" i="59"/>
  <c r="EL198" i="59"/>
  <c r="EM198" i="59"/>
  <c r="FZ198" i="59"/>
  <c r="GE198" i="59"/>
  <c r="GF198" i="59"/>
  <c r="GG198" i="59"/>
  <c r="GH198" i="59"/>
  <c r="GI198" i="59"/>
  <c r="GJ198" i="59"/>
  <c r="HW198" i="59"/>
  <c r="IB198" i="59"/>
  <c r="IC198" i="59"/>
  <c r="ID198" i="59"/>
  <c r="IE198" i="59"/>
  <c r="IF198" i="59"/>
  <c r="IG198" i="59"/>
  <c r="IH198" i="59"/>
  <c r="II198" i="59"/>
  <c r="IJ198" i="59"/>
  <c r="IK198" i="59"/>
  <c r="IL198" i="59"/>
  <c r="IM198" i="59"/>
  <c r="IN198" i="59"/>
  <c r="IO198" i="59"/>
  <c r="IP198" i="59"/>
  <c r="IQ198" i="59"/>
  <c r="IR198" i="59"/>
  <c r="IS198" i="59"/>
  <c r="IT198" i="59"/>
  <c r="IU198" i="59"/>
  <c r="IV198" i="59"/>
  <c r="F199" i="59"/>
  <c r="G199" i="59"/>
  <c r="H199" i="59"/>
  <c r="I199" i="59"/>
  <c r="J199" i="59"/>
  <c r="K199" i="59"/>
  <c r="L199" i="59"/>
  <c r="M199" i="59"/>
  <c r="N199" i="59"/>
  <c r="O199" i="59"/>
  <c r="P199" i="59"/>
  <c r="Q199" i="59"/>
  <c r="R199" i="59"/>
  <c r="S199" i="59"/>
  <c r="T199" i="59"/>
  <c r="U199" i="59"/>
  <c r="V199" i="59"/>
  <c r="W199" i="59"/>
  <c r="X199" i="59"/>
  <c r="Y199" i="59"/>
  <c r="Z199" i="59"/>
  <c r="AA199" i="59"/>
  <c r="AB199" i="59"/>
  <c r="AC199" i="59"/>
  <c r="AF199" i="59"/>
  <c r="AH199" i="59"/>
  <c r="AI199" i="59"/>
  <c r="AJ199" i="59"/>
  <c r="AK199" i="59"/>
  <c r="AL199" i="59"/>
  <c r="AM199" i="59"/>
  <c r="BZ199" i="59"/>
  <c r="CA199" i="59"/>
  <c r="CB199" i="59"/>
  <c r="CC199" i="59"/>
  <c r="CD199" i="59"/>
  <c r="CE199" i="59"/>
  <c r="CF199" i="59"/>
  <c r="CG199" i="59"/>
  <c r="CH199" i="59"/>
  <c r="CI199" i="59"/>
  <c r="CJ199" i="59"/>
  <c r="CK199" i="59"/>
  <c r="DX199" i="59"/>
  <c r="DY199" i="59"/>
  <c r="DZ199" i="59"/>
  <c r="EA199" i="59"/>
  <c r="EB199" i="59"/>
  <c r="EC199" i="59"/>
  <c r="ED199" i="59"/>
  <c r="EE199" i="59"/>
  <c r="EF199" i="59"/>
  <c r="EG199" i="59"/>
  <c r="EH199" i="59"/>
  <c r="EI199" i="59"/>
  <c r="FV199" i="59"/>
  <c r="FW199" i="59"/>
  <c r="FX199" i="59"/>
  <c r="FY199" i="59"/>
  <c r="FZ199" i="59"/>
  <c r="GA199" i="59"/>
  <c r="GB199" i="59"/>
  <c r="GC199" i="59"/>
  <c r="GD199" i="59"/>
  <c r="GE199" i="59"/>
  <c r="GF199" i="59"/>
  <c r="GG199" i="59"/>
  <c r="HT199" i="59"/>
  <c r="HU199" i="59"/>
  <c r="HV199" i="59"/>
  <c r="HW199" i="59"/>
  <c r="HX199" i="59"/>
  <c r="HY199" i="59"/>
  <c r="HZ199" i="59"/>
  <c r="IA199" i="59"/>
  <c r="IB199" i="59"/>
  <c r="IC199" i="59"/>
  <c r="ID199" i="59"/>
  <c r="IE199" i="59"/>
  <c r="AA200" i="59"/>
  <c r="AB200" i="59"/>
  <c r="AC200" i="59"/>
  <c r="AD200" i="59"/>
  <c r="AE200" i="59"/>
  <c r="AF200" i="59"/>
  <c r="AG200" i="59"/>
  <c r="AH200" i="59"/>
  <c r="AI200" i="59"/>
  <c r="AJ200" i="59"/>
  <c r="AK200" i="59"/>
  <c r="AL200" i="59"/>
  <c r="BY200" i="59"/>
  <c r="BZ200" i="59"/>
  <c r="CA200" i="59"/>
  <c r="CB200" i="59"/>
  <c r="CC200" i="59"/>
  <c r="CD200" i="59"/>
  <c r="CE200" i="59"/>
  <c r="CF200" i="59"/>
  <c r="CG200" i="59"/>
  <c r="CH200" i="59"/>
  <c r="CI200" i="59"/>
  <c r="CJ200" i="59"/>
  <c r="CK200" i="59"/>
  <c r="CL200" i="59"/>
  <c r="CM200" i="59"/>
  <c r="CN200" i="59"/>
  <c r="CO200" i="59"/>
  <c r="CP200" i="59"/>
  <c r="CQ200" i="59"/>
  <c r="CR200" i="59"/>
  <c r="CS200" i="59"/>
  <c r="CT200" i="59"/>
  <c r="CU200" i="59"/>
  <c r="CV200" i="59"/>
  <c r="CW200" i="59"/>
  <c r="CX200" i="59"/>
  <c r="CY200" i="59"/>
  <c r="CZ200" i="59"/>
  <c r="DA200" i="59"/>
  <c r="DB200" i="59"/>
  <c r="DC200" i="59"/>
  <c r="DD200" i="59"/>
  <c r="DE200" i="59"/>
  <c r="DF200" i="59"/>
  <c r="DG200" i="59"/>
  <c r="DH200" i="59"/>
  <c r="DI200" i="59"/>
  <c r="DJ200" i="59"/>
  <c r="DK200" i="59"/>
  <c r="DL200" i="59"/>
  <c r="DM200" i="59"/>
  <c r="DN200" i="59"/>
  <c r="DO200" i="59"/>
  <c r="DP200" i="59"/>
  <c r="DQ200" i="59"/>
  <c r="DR200" i="59"/>
  <c r="DS200" i="59"/>
  <c r="DT200" i="59"/>
  <c r="DU200" i="59"/>
  <c r="DV200" i="59"/>
  <c r="DW200" i="59"/>
  <c r="DX200" i="59"/>
  <c r="DY200" i="59"/>
  <c r="DZ200" i="59"/>
  <c r="EA200" i="59"/>
  <c r="EB200" i="59"/>
  <c r="EC200" i="59"/>
  <c r="ED200" i="59"/>
  <c r="EG200" i="59"/>
  <c r="FT200" i="59"/>
  <c r="FV200" i="59"/>
  <c r="FY200" i="59"/>
  <c r="FZ200" i="59"/>
  <c r="GA200" i="59"/>
  <c r="GB200" i="59"/>
  <c r="GC200" i="59"/>
  <c r="GD200" i="59"/>
  <c r="HQ200" i="59"/>
  <c r="HV200" i="59"/>
  <c r="HW200" i="59"/>
  <c r="HX200" i="59"/>
  <c r="HY200" i="59"/>
  <c r="HZ200" i="59"/>
  <c r="IA200" i="59"/>
  <c r="W201" i="59"/>
  <c r="AB201" i="59"/>
  <c r="AC201" i="59"/>
  <c r="AD201" i="59"/>
  <c r="AE201" i="59"/>
  <c r="AF201" i="59"/>
  <c r="AG201" i="59"/>
  <c r="AH201" i="59"/>
  <c r="AI201" i="59"/>
  <c r="AJ201" i="59"/>
  <c r="AK201" i="59"/>
  <c r="AL201" i="59"/>
  <c r="AM201" i="59"/>
  <c r="AN201" i="59"/>
  <c r="AO201" i="59"/>
  <c r="AP201" i="59"/>
  <c r="AQ201" i="59"/>
  <c r="AR201" i="59"/>
  <c r="AS201" i="59"/>
  <c r="AT201" i="59"/>
  <c r="AU201" i="59"/>
  <c r="AV201" i="59"/>
  <c r="AW201" i="59"/>
  <c r="AX201" i="59"/>
  <c r="AY201" i="59"/>
  <c r="AZ201" i="59"/>
  <c r="BA201" i="59"/>
  <c r="BB201" i="59"/>
  <c r="BC201" i="59"/>
  <c r="BD201" i="59"/>
  <c r="BE201" i="59"/>
  <c r="BF201" i="59"/>
  <c r="BG201" i="59"/>
  <c r="BH201" i="59"/>
  <c r="BI201" i="59"/>
  <c r="BJ201" i="59"/>
  <c r="BK201" i="59"/>
  <c r="BL201" i="59"/>
  <c r="BM201" i="59"/>
  <c r="BN201" i="59"/>
  <c r="BO201" i="59"/>
  <c r="BP201" i="59"/>
  <c r="BQ201" i="59"/>
  <c r="BR201" i="59"/>
  <c r="BS201" i="59"/>
  <c r="BT201" i="59"/>
  <c r="BW201" i="59"/>
  <c r="BY201" i="59"/>
  <c r="BZ201" i="59"/>
  <c r="CA201" i="59"/>
  <c r="CB201" i="59"/>
  <c r="CC201" i="59"/>
  <c r="CD201" i="59"/>
  <c r="DQ201" i="59"/>
  <c r="DR201" i="59"/>
  <c r="DS201" i="59"/>
  <c r="DT201" i="59"/>
  <c r="DU201" i="59"/>
  <c r="DV201" i="59"/>
  <c r="DW201" i="59"/>
  <c r="DX201" i="59"/>
  <c r="DY201" i="59"/>
  <c r="DZ201" i="59"/>
  <c r="EA201" i="59"/>
  <c r="EB201" i="59"/>
  <c r="FO201" i="59"/>
  <c r="FP201" i="59"/>
  <c r="FQ201" i="59"/>
  <c r="FR201" i="59"/>
  <c r="FS201" i="59"/>
  <c r="FT201" i="59"/>
  <c r="FU201" i="59"/>
  <c r="FV201" i="59"/>
  <c r="FW201" i="59"/>
  <c r="FX201" i="59"/>
  <c r="FY201" i="59"/>
  <c r="FZ201" i="59"/>
  <c r="HM201" i="59"/>
  <c r="HN201" i="59"/>
  <c r="HO201" i="59"/>
  <c r="HP201" i="59"/>
  <c r="HQ201" i="59"/>
  <c r="HR201" i="59"/>
  <c r="HS201" i="59"/>
  <c r="HT201" i="59"/>
  <c r="HU201" i="59"/>
  <c r="HV201" i="59"/>
  <c r="HW201" i="59"/>
  <c r="HX201" i="59"/>
  <c r="T202" i="59"/>
  <c r="U202" i="59"/>
  <c r="V202" i="59"/>
  <c r="W202" i="59"/>
  <c r="X202" i="59"/>
  <c r="Y202" i="59"/>
  <c r="Z202" i="59"/>
  <c r="AA202" i="59"/>
  <c r="AB202" i="59"/>
  <c r="AC202" i="59"/>
  <c r="AD202" i="59"/>
  <c r="AE202" i="59"/>
  <c r="BR202" i="59"/>
  <c r="BS202" i="59"/>
  <c r="BT202" i="59"/>
  <c r="BU202" i="59"/>
  <c r="BV202" i="59"/>
  <c r="BW202" i="59"/>
  <c r="BX202" i="59"/>
  <c r="BY202" i="59"/>
  <c r="BZ202" i="59"/>
  <c r="CA202" i="59"/>
  <c r="CB202" i="59"/>
  <c r="CC202" i="59"/>
  <c r="DP202" i="59"/>
  <c r="DQ202" i="59"/>
  <c r="DR202" i="59"/>
  <c r="DS202" i="59"/>
  <c r="DT202" i="59"/>
  <c r="DU202" i="59"/>
  <c r="DV202" i="59"/>
  <c r="DW202" i="59"/>
  <c r="DX202" i="59"/>
  <c r="DY202" i="59"/>
  <c r="DZ202" i="59"/>
  <c r="EA202" i="59"/>
  <c r="EB202" i="59"/>
  <c r="EC202" i="59"/>
  <c r="ED202" i="59"/>
  <c r="EE202" i="59"/>
  <c r="EF202" i="59"/>
  <c r="EG202" i="59"/>
  <c r="EH202" i="59"/>
  <c r="EI202" i="59"/>
  <c r="EJ202" i="59"/>
  <c r="EK202" i="59"/>
  <c r="EL202" i="59"/>
  <c r="EM202" i="59"/>
  <c r="EN202" i="59"/>
  <c r="EO202" i="59"/>
  <c r="EP202" i="59"/>
  <c r="EQ202" i="59"/>
  <c r="ER202" i="59"/>
  <c r="ES202" i="59"/>
  <c r="ET202" i="59"/>
  <c r="EU202" i="59"/>
  <c r="EV202" i="59"/>
  <c r="EW202" i="59"/>
  <c r="EX202" i="59"/>
  <c r="EY202" i="59"/>
  <c r="EZ202" i="59"/>
  <c r="FA202" i="59"/>
  <c r="FB202" i="59"/>
  <c r="FC202" i="59"/>
  <c r="FD202" i="59"/>
  <c r="FE202" i="59"/>
  <c r="FF202" i="59"/>
  <c r="FG202" i="59"/>
  <c r="FH202" i="59"/>
  <c r="FI202" i="59"/>
  <c r="FJ202" i="59"/>
  <c r="FK202" i="59"/>
  <c r="FL202" i="59"/>
  <c r="FM202" i="59"/>
  <c r="FN202" i="59"/>
  <c r="FO202" i="59"/>
  <c r="FP202" i="59"/>
  <c r="FQ202" i="59"/>
  <c r="FR202" i="59"/>
  <c r="FS202" i="59"/>
  <c r="FT202" i="59"/>
  <c r="FU202" i="59"/>
  <c r="FX202" i="59"/>
  <c r="HK202" i="59"/>
  <c r="HM202" i="59"/>
  <c r="HP202" i="59"/>
  <c r="HQ202" i="59"/>
  <c r="HR202" i="59"/>
  <c r="HS202" i="59"/>
  <c r="HT202" i="59"/>
  <c r="HU202" i="59"/>
  <c r="Q203" i="59"/>
  <c r="V203" i="59"/>
  <c r="W203" i="59"/>
  <c r="X203" i="59"/>
  <c r="Y203" i="59"/>
  <c r="Z203" i="59"/>
  <c r="AA203" i="59"/>
  <c r="BN203" i="59"/>
  <c r="BS203" i="59"/>
  <c r="BT203" i="59"/>
  <c r="BU203" i="59"/>
  <c r="BV203" i="59"/>
  <c r="BW203" i="59"/>
  <c r="BX203" i="59"/>
  <c r="BY203" i="59"/>
  <c r="BZ203" i="59"/>
  <c r="CA203" i="59"/>
  <c r="CB203" i="59"/>
  <c r="CC203" i="59"/>
  <c r="CD203" i="59"/>
  <c r="CE203" i="59"/>
  <c r="CF203" i="59"/>
  <c r="CG203" i="59"/>
  <c r="CH203" i="59"/>
  <c r="CI203" i="59"/>
  <c r="CJ203" i="59"/>
  <c r="CK203" i="59"/>
  <c r="CL203" i="59"/>
  <c r="CM203" i="59"/>
  <c r="CN203" i="59"/>
  <c r="CO203" i="59"/>
  <c r="CP203" i="59"/>
  <c r="CQ203" i="59"/>
  <c r="CR203" i="59"/>
  <c r="CS203" i="59"/>
  <c r="CT203" i="59"/>
  <c r="CU203" i="59"/>
  <c r="CV203" i="59"/>
  <c r="CW203" i="59"/>
  <c r="CX203" i="59"/>
  <c r="CY203" i="59"/>
  <c r="CZ203" i="59"/>
  <c r="DA203" i="59"/>
  <c r="DB203" i="59"/>
  <c r="DC203" i="59"/>
  <c r="DD203" i="59"/>
  <c r="DE203" i="59"/>
  <c r="DF203" i="59"/>
  <c r="DG203" i="59"/>
  <c r="DH203" i="59"/>
  <c r="DI203" i="59"/>
  <c r="DJ203" i="59"/>
  <c r="DK203" i="59"/>
  <c r="DN203" i="59"/>
  <c r="DP203" i="59"/>
  <c r="DQ203" i="59"/>
  <c r="DR203" i="59"/>
  <c r="DS203" i="59"/>
  <c r="DT203" i="59"/>
  <c r="DU203" i="59"/>
  <c r="FH203" i="59"/>
  <c r="FI203" i="59"/>
  <c r="FJ203" i="59"/>
  <c r="FK203" i="59"/>
  <c r="FL203" i="59"/>
  <c r="FM203" i="59"/>
  <c r="FN203" i="59"/>
  <c r="FO203" i="59"/>
  <c r="FP203" i="59"/>
  <c r="FQ203" i="59"/>
  <c r="FR203" i="59"/>
  <c r="FS203" i="59"/>
  <c r="HF203" i="59"/>
  <c r="HG203" i="59"/>
  <c r="HH203" i="59"/>
  <c r="HI203" i="59"/>
  <c r="HJ203" i="59"/>
  <c r="HK203" i="59"/>
  <c r="HL203" i="59"/>
  <c r="HM203" i="59"/>
  <c r="HN203" i="59"/>
  <c r="HO203" i="59"/>
  <c r="HP203" i="59"/>
  <c r="HQ203" i="59"/>
  <c r="M204" i="59"/>
  <c r="N204" i="59"/>
  <c r="O204" i="59"/>
  <c r="P204" i="59"/>
  <c r="Q204" i="59"/>
  <c r="R204" i="59"/>
  <c r="S204" i="59"/>
  <c r="T204" i="59"/>
  <c r="U204" i="59"/>
  <c r="V204" i="59"/>
  <c r="W204" i="59"/>
  <c r="X204" i="59"/>
  <c r="BK204" i="59"/>
  <c r="BL204" i="59"/>
  <c r="BM204" i="59"/>
  <c r="BN204" i="59"/>
  <c r="BO204" i="59"/>
  <c r="BP204" i="59"/>
  <c r="BQ204" i="59"/>
  <c r="BR204" i="59"/>
  <c r="BS204" i="59"/>
  <c r="BT204" i="59"/>
  <c r="BU204" i="59"/>
  <c r="BV204" i="59"/>
  <c r="DI204" i="59"/>
  <c r="DJ204" i="59"/>
  <c r="DK204" i="59"/>
  <c r="DL204" i="59"/>
  <c r="DM204" i="59"/>
  <c r="DN204" i="59"/>
  <c r="DO204" i="59"/>
  <c r="DP204" i="59"/>
  <c r="DQ204" i="59"/>
  <c r="DR204" i="59"/>
  <c r="DS204" i="59"/>
  <c r="DT204" i="59"/>
  <c r="FG204" i="59"/>
  <c r="FH204" i="59"/>
  <c r="FI204" i="59"/>
  <c r="FJ204" i="59"/>
  <c r="FK204" i="59"/>
  <c r="FL204" i="59"/>
  <c r="FM204" i="59"/>
  <c r="FN204" i="59"/>
  <c r="FO204" i="59"/>
  <c r="FP204" i="59"/>
  <c r="FQ204" i="59"/>
  <c r="FR204" i="59"/>
  <c r="FS204" i="59"/>
  <c r="FT204" i="59"/>
  <c r="FU204" i="59"/>
  <c r="FV204" i="59"/>
  <c r="FW204" i="59"/>
  <c r="FX204" i="59"/>
  <c r="FY204" i="59"/>
  <c r="FZ204" i="59"/>
  <c r="GA204" i="59"/>
  <c r="GB204" i="59"/>
  <c r="GC204" i="59"/>
  <c r="GD204" i="59"/>
  <c r="GE204" i="59"/>
  <c r="GF204" i="59"/>
  <c r="GG204" i="59"/>
  <c r="GH204" i="59"/>
  <c r="GI204" i="59"/>
  <c r="GJ204" i="59"/>
  <c r="GK204" i="59"/>
  <c r="GL204" i="59"/>
  <c r="GM204" i="59"/>
  <c r="GN204" i="59"/>
  <c r="GO204" i="59"/>
  <c r="GP204" i="59"/>
  <c r="GQ204" i="59"/>
  <c r="GR204" i="59"/>
  <c r="GS204" i="59"/>
  <c r="GT204" i="59"/>
  <c r="GU204" i="59"/>
  <c r="GV204" i="59"/>
  <c r="GW204" i="59"/>
  <c r="GX204" i="59"/>
  <c r="GY204" i="59"/>
  <c r="GZ204" i="59"/>
  <c r="HA204" i="59"/>
  <c r="HB204" i="59"/>
  <c r="HC204" i="59"/>
  <c r="HD204" i="59"/>
  <c r="HE204" i="59"/>
  <c r="HF204" i="59"/>
  <c r="HG204" i="59"/>
  <c r="HH204" i="59"/>
  <c r="HI204" i="59"/>
  <c r="HJ204" i="59"/>
  <c r="HK204" i="59"/>
  <c r="HL204" i="59"/>
  <c r="HO204" i="59"/>
  <c r="K205" i="59"/>
  <c r="M205" i="59"/>
  <c r="P205" i="59"/>
  <c r="Q205" i="59"/>
  <c r="R205" i="59"/>
  <c r="S205" i="59"/>
  <c r="T205" i="59"/>
  <c r="U205" i="59"/>
  <c r="BH205" i="59"/>
  <c r="BM205" i="59"/>
  <c r="BN205" i="59"/>
  <c r="BO205" i="59"/>
  <c r="BP205" i="59"/>
  <c r="BQ205" i="59"/>
  <c r="BR205" i="59"/>
  <c r="DE205" i="59"/>
  <c r="DJ205" i="59"/>
  <c r="DK205" i="59"/>
  <c r="DL205" i="59"/>
  <c r="DM205" i="59"/>
  <c r="DN205" i="59"/>
  <c r="DO205" i="59"/>
  <c r="DP205" i="59"/>
  <c r="DQ205" i="59"/>
  <c r="DR205" i="59"/>
  <c r="DS205" i="59"/>
  <c r="DT205" i="59"/>
  <c r="DU205" i="59"/>
  <c r="DV205" i="59"/>
  <c r="DW205" i="59"/>
  <c r="DX205" i="59"/>
  <c r="DY205" i="59"/>
  <c r="DZ205" i="59"/>
  <c r="EA205" i="59"/>
  <c r="EB205" i="59"/>
  <c r="EC205" i="59"/>
  <c r="ED205" i="59"/>
  <c r="EE205" i="59"/>
  <c r="EF205" i="59"/>
  <c r="EG205" i="59"/>
  <c r="EH205" i="59"/>
  <c r="EI205" i="59"/>
  <c r="EJ205" i="59"/>
  <c r="EK205" i="59"/>
  <c r="EL205" i="59"/>
  <c r="EM205" i="59"/>
  <c r="EN205" i="59"/>
  <c r="EO205" i="59"/>
  <c r="EP205" i="59"/>
  <c r="EQ205" i="59"/>
  <c r="ER205" i="59"/>
  <c r="ES205" i="59"/>
  <c r="ET205" i="59"/>
  <c r="EU205" i="59"/>
  <c r="EV205" i="59"/>
  <c r="EW205" i="59"/>
  <c r="EX205" i="59"/>
  <c r="EY205" i="59"/>
  <c r="EZ205" i="59"/>
  <c r="FA205" i="59"/>
  <c r="FB205" i="59"/>
  <c r="FE205" i="59"/>
  <c r="FG205" i="59"/>
  <c r="FH205" i="59"/>
  <c r="FI205" i="59"/>
  <c r="FJ205" i="59"/>
  <c r="FK205" i="59"/>
  <c r="FL205" i="59"/>
  <c r="GY205" i="59"/>
  <c r="GZ205" i="59"/>
  <c r="HA205" i="59"/>
  <c r="HB205" i="59"/>
  <c r="HC205" i="59"/>
  <c r="HD205" i="59"/>
  <c r="HE205" i="59"/>
  <c r="HF205" i="59"/>
  <c r="HG205" i="59"/>
  <c r="HH205" i="59"/>
  <c r="HI205" i="59"/>
  <c r="HJ205" i="59"/>
  <c r="F206" i="59"/>
  <c r="G206" i="59"/>
  <c r="H206" i="59"/>
  <c r="I206" i="59"/>
  <c r="J206" i="59"/>
  <c r="K206" i="59"/>
  <c r="L206" i="59"/>
  <c r="M206" i="59"/>
  <c r="N206" i="59"/>
  <c r="O206" i="59"/>
  <c r="P206" i="59"/>
  <c r="Q206" i="59"/>
  <c r="BD206" i="59"/>
  <c r="BE206" i="59"/>
  <c r="BF206" i="59"/>
  <c r="BG206" i="59"/>
  <c r="BH206" i="59"/>
  <c r="BI206" i="59"/>
  <c r="BJ206" i="59"/>
  <c r="BK206" i="59"/>
  <c r="BL206" i="59"/>
  <c r="BM206" i="59"/>
  <c r="BN206" i="59"/>
  <c r="BO206" i="59"/>
  <c r="DB206" i="59"/>
  <c r="DC206" i="59"/>
  <c r="DD206" i="59"/>
  <c r="DE206" i="59"/>
  <c r="DF206" i="59"/>
  <c r="DG206" i="59"/>
  <c r="DH206" i="59"/>
  <c r="DI206" i="59"/>
  <c r="DJ206" i="59"/>
  <c r="DK206" i="59"/>
  <c r="DL206" i="59"/>
  <c r="DM206" i="59"/>
  <c r="EZ206" i="59"/>
  <c r="FA206" i="59"/>
  <c r="FB206" i="59"/>
  <c r="FC206" i="59"/>
  <c r="FD206" i="59"/>
  <c r="FE206" i="59"/>
  <c r="FF206" i="59"/>
  <c r="FG206" i="59"/>
  <c r="FH206" i="59"/>
  <c r="FI206" i="59"/>
  <c r="FJ206" i="59"/>
  <c r="FK206" i="59"/>
  <c r="GX206" i="59"/>
  <c r="GY206" i="59"/>
  <c r="GZ206" i="59"/>
  <c r="HA206" i="59"/>
  <c r="HB206" i="59"/>
  <c r="HC206" i="59"/>
  <c r="HD206" i="59"/>
  <c r="HE206" i="59"/>
  <c r="HF206" i="59"/>
  <c r="HG206" i="59"/>
  <c r="HH206" i="59"/>
  <c r="HI206" i="59"/>
  <c r="HJ206" i="59"/>
  <c r="HK206" i="59"/>
  <c r="HL206" i="59"/>
  <c r="HM206" i="59"/>
  <c r="HN206" i="59"/>
  <c r="HO206" i="59"/>
  <c r="HP206" i="59"/>
  <c r="HQ206" i="59"/>
  <c r="HR206" i="59"/>
  <c r="HS206" i="59"/>
  <c r="HT206" i="59"/>
  <c r="HU206" i="59"/>
  <c r="HV206" i="59"/>
  <c r="HW206" i="59"/>
  <c r="HX206" i="59"/>
  <c r="HY206" i="59"/>
  <c r="HZ206" i="59"/>
  <c r="IA206" i="59"/>
  <c r="IB206" i="59"/>
  <c r="IC206" i="59"/>
  <c r="ID206" i="59"/>
  <c r="IE206" i="59"/>
  <c r="IF206" i="59"/>
  <c r="IG206" i="59"/>
  <c r="IH206" i="59"/>
  <c r="II206" i="59"/>
  <c r="IJ206" i="59"/>
  <c r="IK206" i="59"/>
  <c r="IL206" i="59"/>
  <c r="IM206" i="59"/>
  <c r="IN206" i="59"/>
  <c r="IO206" i="59"/>
  <c r="IP206" i="59"/>
  <c r="IQ206" i="59"/>
  <c r="IR206" i="59"/>
  <c r="IS206" i="59"/>
  <c r="IT206" i="59"/>
  <c r="IU206" i="59"/>
  <c r="IV206" i="59"/>
  <c r="F207" i="59"/>
  <c r="G207" i="59"/>
  <c r="H207" i="59"/>
  <c r="I207" i="59"/>
  <c r="J207" i="59"/>
  <c r="K207" i="59"/>
  <c r="L207" i="59"/>
  <c r="O207" i="59"/>
  <c r="BB207" i="59"/>
  <c r="BD207" i="59"/>
  <c r="BG207" i="59"/>
  <c r="BH207" i="59"/>
  <c r="BI207" i="59"/>
  <c r="BJ207" i="59"/>
  <c r="BK207" i="59"/>
  <c r="BL207" i="59"/>
  <c r="CY207" i="59"/>
  <c r="DD207" i="59"/>
  <c r="DE207" i="59"/>
  <c r="DF207" i="59"/>
  <c r="DG207" i="59"/>
  <c r="DH207" i="59"/>
  <c r="DI207" i="59"/>
  <c r="EV207" i="59"/>
  <c r="FA207" i="59"/>
  <c r="FB207" i="59"/>
  <c r="FC207" i="59"/>
  <c r="FD207" i="59"/>
  <c r="FE207" i="59"/>
  <c r="FF207" i="59"/>
  <c r="FG207" i="59"/>
  <c r="FH207" i="59"/>
  <c r="FI207" i="59"/>
  <c r="FJ207" i="59"/>
  <c r="FK207" i="59"/>
  <c r="FL207" i="59"/>
  <c r="FM207" i="59"/>
  <c r="FN207" i="59"/>
  <c r="FO207" i="59"/>
  <c r="FP207" i="59"/>
  <c r="FQ207" i="59"/>
  <c r="FR207" i="59"/>
  <c r="FS207" i="59"/>
  <c r="FT207" i="59"/>
  <c r="FU207" i="59"/>
  <c r="FV207" i="59"/>
  <c r="FW207" i="59"/>
  <c r="FX207" i="59"/>
  <c r="FY207" i="59"/>
  <c r="FZ207" i="59"/>
  <c r="GA207" i="59"/>
  <c r="GB207" i="59"/>
  <c r="GC207" i="59"/>
  <c r="GD207" i="59"/>
  <c r="GE207" i="59"/>
  <c r="GF207" i="59"/>
  <c r="GG207" i="59"/>
  <c r="GH207" i="59"/>
  <c r="GI207" i="59"/>
  <c r="GJ207" i="59"/>
  <c r="GK207" i="59"/>
  <c r="GL207" i="59"/>
  <c r="GM207" i="59"/>
  <c r="GN207" i="59"/>
  <c r="GO207" i="59"/>
  <c r="GP207" i="59"/>
  <c r="GQ207" i="59"/>
  <c r="GR207" i="59"/>
  <c r="GS207" i="59"/>
  <c r="GV207" i="59"/>
  <c r="GX207" i="59"/>
  <c r="GY207" i="59"/>
  <c r="GZ207" i="59"/>
  <c r="HA207" i="59"/>
  <c r="HB207" i="59"/>
  <c r="HC207" i="59"/>
  <c r="IP207" i="59"/>
  <c r="IQ207" i="59"/>
  <c r="IR207" i="59"/>
  <c r="IS207" i="59"/>
  <c r="IT207" i="59"/>
  <c r="IU207" i="59"/>
  <c r="IV207" i="59"/>
  <c r="F208" i="59"/>
  <c r="G208" i="59"/>
  <c r="H208" i="59"/>
  <c r="I208" i="59"/>
  <c r="J208" i="59"/>
  <c r="AW208" i="59"/>
  <c r="AX208" i="59"/>
  <c r="AY208" i="59"/>
  <c r="AZ208" i="59"/>
  <c r="BA208" i="59"/>
  <c r="BB208" i="59"/>
  <c r="BC208" i="59"/>
  <c r="BD208" i="59"/>
  <c r="BE208" i="59"/>
  <c r="BF208" i="59"/>
  <c r="BG208" i="59"/>
  <c r="BH208" i="59"/>
  <c r="CU208" i="59"/>
  <c r="CV208" i="59"/>
  <c r="CW208" i="59"/>
  <c r="CX208" i="59"/>
  <c r="CY208" i="59"/>
  <c r="CZ208" i="59"/>
  <c r="DA208" i="59"/>
  <c r="DB208" i="59"/>
  <c r="DC208" i="59"/>
  <c r="DD208" i="59"/>
  <c r="DE208" i="59"/>
  <c r="DF208" i="59"/>
  <c r="ES208" i="59"/>
  <c r="ET208" i="59"/>
  <c r="EU208" i="59"/>
  <c r="EV208" i="59"/>
  <c r="EW208" i="59"/>
  <c r="EX208" i="59"/>
  <c r="EY208" i="59"/>
  <c r="EZ208" i="59"/>
  <c r="FA208" i="59"/>
  <c r="FB208" i="59"/>
  <c r="FC208" i="59"/>
  <c r="FD208" i="59"/>
  <c r="GQ208" i="59"/>
  <c r="GR208" i="59"/>
  <c r="GS208" i="59"/>
  <c r="GT208" i="59"/>
  <c r="GU208" i="59"/>
  <c r="GV208" i="59"/>
  <c r="GW208" i="59"/>
  <c r="GX208" i="59"/>
  <c r="GY208" i="59"/>
  <c r="GZ208" i="59"/>
  <c r="HA208" i="59"/>
  <c r="HB208" i="59"/>
  <c r="IO208" i="59"/>
  <c r="IP208" i="59"/>
  <c r="IQ208" i="59"/>
  <c r="IR208" i="59"/>
  <c r="IS208" i="59"/>
  <c r="IT208" i="59"/>
  <c r="IU208" i="59"/>
  <c r="IV208" i="59"/>
  <c r="F209" i="59"/>
  <c r="G209" i="59"/>
  <c r="H209" i="59"/>
  <c r="I209" i="59"/>
  <c r="J209" i="59"/>
  <c r="K209" i="59"/>
  <c r="L209" i="59"/>
  <c r="M209" i="59"/>
  <c r="N209" i="59"/>
  <c r="O209" i="59"/>
  <c r="P209" i="59"/>
  <c r="Q209" i="59"/>
  <c r="R209" i="59"/>
  <c r="S209" i="59"/>
  <c r="T209" i="59"/>
  <c r="U209" i="59"/>
  <c r="V209" i="59"/>
  <c r="W209" i="59"/>
  <c r="X209" i="59"/>
  <c r="Y209" i="59"/>
  <c r="Z209" i="59"/>
  <c r="AA209" i="59"/>
  <c r="AB209" i="59"/>
  <c r="AC209" i="59"/>
  <c r="AD209" i="59"/>
  <c r="AE209" i="59"/>
  <c r="AF209" i="59"/>
  <c r="AG209" i="59"/>
  <c r="AH209" i="59"/>
  <c r="AI209" i="59"/>
  <c r="AJ209" i="59"/>
  <c r="AK209" i="59"/>
  <c r="AL209" i="59"/>
  <c r="AM209" i="59"/>
  <c r="AN209" i="59"/>
  <c r="AO209" i="59"/>
  <c r="AP209" i="59"/>
  <c r="AQ209" i="59"/>
  <c r="AR209" i="59"/>
  <c r="AS209" i="59"/>
  <c r="AT209" i="59"/>
  <c r="AU209" i="59"/>
  <c r="AV209" i="59"/>
  <c r="AW209" i="59"/>
  <c r="AX209" i="59"/>
  <c r="AY209" i="59"/>
  <c r="AZ209" i="59"/>
  <c r="BA209" i="59"/>
  <c r="BB209" i="59"/>
  <c r="BC209" i="59"/>
  <c r="BF209" i="59"/>
  <c r="CS209" i="59"/>
  <c r="CU209" i="59"/>
  <c r="CX209" i="59"/>
  <c r="CY209" i="59"/>
  <c r="CZ209" i="59"/>
  <c r="DA209" i="59"/>
  <c r="DB209" i="59"/>
  <c r="DC209" i="59"/>
  <c r="EP209" i="59"/>
  <c r="EU209" i="59"/>
  <c r="EV209" i="59"/>
  <c r="EW209" i="59"/>
  <c r="EX209" i="59"/>
  <c r="EY209" i="59"/>
  <c r="EZ209" i="59"/>
  <c r="GM209" i="59"/>
  <c r="GR209" i="59"/>
  <c r="GS209" i="59"/>
  <c r="GT209" i="59"/>
  <c r="GU209" i="59"/>
  <c r="GV209" i="59"/>
  <c r="GW209" i="59"/>
  <c r="GX209" i="59"/>
  <c r="GY209" i="59"/>
  <c r="GZ209" i="59"/>
  <c r="HA209" i="59"/>
  <c r="HB209" i="59"/>
  <c r="HC209" i="59"/>
  <c r="HD209" i="59"/>
  <c r="HE209" i="59"/>
  <c r="HF209" i="59"/>
  <c r="HG209" i="59"/>
  <c r="HH209" i="59"/>
  <c r="HI209" i="59"/>
  <c r="HJ209" i="59"/>
  <c r="HK209" i="59"/>
  <c r="HL209" i="59"/>
  <c r="HM209" i="59"/>
  <c r="HN209" i="59"/>
  <c r="HO209" i="59"/>
  <c r="HP209" i="59"/>
  <c r="HQ209" i="59"/>
  <c r="HR209" i="59"/>
  <c r="HS209" i="59"/>
  <c r="HT209" i="59"/>
  <c r="HU209" i="59"/>
  <c r="HV209" i="59"/>
  <c r="HW209" i="59"/>
  <c r="HX209" i="59"/>
  <c r="HY209" i="59"/>
  <c r="HZ209" i="59"/>
  <c r="IA209" i="59"/>
  <c r="IB209" i="59"/>
  <c r="IC209" i="59"/>
  <c r="ID209" i="59"/>
  <c r="IE209" i="59"/>
  <c r="IF209" i="59"/>
  <c r="IG209" i="59"/>
  <c r="IH209" i="59"/>
  <c r="II209" i="59"/>
  <c r="IJ209" i="59"/>
  <c r="IM209" i="59"/>
  <c r="IO209" i="59"/>
  <c r="IP209" i="59"/>
  <c r="IQ209" i="59"/>
  <c r="IR209" i="59"/>
  <c r="IS209" i="59"/>
  <c r="IT209" i="59"/>
  <c r="AP210" i="59"/>
  <c r="AQ210" i="59"/>
  <c r="AR210" i="59"/>
  <c r="AS210" i="59"/>
  <c r="AT210" i="59"/>
  <c r="AU210" i="59"/>
  <c r="AV210" i="59"/>
  <c r="AW210" i="59"/>
  <c r="AX210" i="59"/>
  <c r="AY210" i="59"/>
  <c r="AZ210" i="59"/>
  <c r="BA210" i="59"/>
  <c r="CN210" i="59"/>
  <c r="CO210" i="59"/>
  <c r="CP210" i="59"/>
  <c r="CQ210" i="59"/>
  <c r="CR210" i="59"/>
  <c r="CS210" i="59"/>
  <c r="CT210" i="59"/>
  <c r="CU210" i="59"/>
  <c r="CV210" i="59"/>
  <c r="CW210" i="59"/>
  <c r="CX210" i="59"/>
  <c r="CY210" i="59"/>
  <c r="EL210" i="59"/>
  <c r="EM210" i="59"/>
  <c r="EN210" i="59"/>
  <c r="EO210" i="59"/>
  <c r="EP210" i="59"/>
  <c r="EQ210" i="59"/>
  <c r="ER210" i="59"/>
  <c r="ES210" i="59"/>
  <c r="ET210" i="59"/>
  <c r="EU210" i="59"/>
  <c r="EV210" i="59"/>
  <c r="EW210" i="59"/>
  <c r="GJ210" i="59"/>
  <c r="GK210" i="59"/>
  <c r="GL210" i="59"/>
  <c r="GM210" i="59"/>
  <c r="GN210" i="59"/>
  <c r="GO210" i="59"/>
  <c r="GP210" i="59"/>
  <c r="GQ210" i="59"/>
  <c r="GR210" i="59"/>
  <c r="GS210" i="59"/>
  <c r="GT210" i="59"/>
  <c r="GU210" i="59"/>
  <c r="IH210" i="59"/>
  <c r="II210" i="59"/>
  <c r="IJ210" i="59"/>
  <c r="IK210" i="59"/>
  <c r="IL210" i="59"/>
  <c r="IM210" i="59"/>
  <c r="IN210" i="59"/>
  <c r="IO210" i="59"/>
  <c r="IP210" i="59"/>
  <c r="IQ210" i="59"/>
  <c r="IR210" i="59"/>
  <c r="IS210" i="59"/>
  <c r="AO211" i="59"/>
  <c r="AP211" i="59"/>
  <c r="AQ211" i="59"/>
  <c r="AR211" i="59"/>
  <c r="AS211" i="59"/>
  <c r="AT211" i="59"/>
  <c r="AU211" i="59"/>
  <c r="AV211" i="59"/>
  <c r="AW211" i="59"/>
  <c r="AX211" i="59"/>
  <c r="AY211" i="59"/>
  <c r="AZ211" i="59"/>
  <c r="BA211" i="59"/>
  <c r="BB211" i="59"/>
  <c r="BC211" i="59"/>
  <c r="BD211" i="59"/>
  <c r="BE211" i="59"/>
  <c r="BF211" i="59"/>
  <c r="BG211" i="59"/>
  <c r="BH211" i="59"/>
  <c r="BI211" i="59"/>
  <c r="BJ211" i="59"/>
  <c r="BK211" i="59"/>
  <c r="BL211" i="59"/>
  <c r="BM211" i="59"/>
  <c r="BN211" i="59"/>
  <c r="BO211" i="59"/>
  <c r="BP211" i="59"/>
  <c r="BQ211" i="59"/>
  <c r="BR211" i="59"/>
  <c r="BS211" i="59"/>
  <c r="BT211" i="59"/>
  <c r="BU211" i="59"/>
  <c r="BV211" i="59"/>
  <c r="BW211" i="59"/>
  <c r="BX211" i="59"/>
  <c r="BY211" i="59"/>
  <c r="BZ211" i="59"/>
  <c r="CA211" i="59"/>
  <c r="CB211" i="59"/>
  <c r="CC211" i="59"/>
  <c r="CD211" i="59"/>
  <c r="CE211" i="59"/>
  <c r="CF211" i="59"/>
  <c r="CG211" i="59"/>
  <c r="CH211" i="59"/>
  <c r="CI211" i="59"/>
  <c r="CJ211" i="59"/>
  <c r="CK211" i="59"/>
  <c r="CL211" i="59"/>
  <c r="CM211" i="59"/>
  <c r="CN211" i="59"/>
  <c r="CO211" i="59"/>
  <c r="CP211" i="59"/>
  <c r="CQ211" i="59"/>
  <c r="CR211" i="59"/>
  <c r="CS211" i="59"/>
  <c r="CT211" i="59"/>
  <c r="CW211" i="59"/>
  <c r="EJ211" i="59"/>
  <c r="EL211" i="59"/>
  <c r="EO211" i="59"/>
  <c r="EP211" i="59"/>
  <c r="EQ211" i="59"/>
  <c r="ER211" i="59"/>
  <c r="ES211" i="59"/>
  <c r="ET211" i="59"/>
  <c r="GG211" i="59"/>
  <c r="GL211" i="59"/>
  <c r="GM211" i="59"/>
  <c r="GN211" i="59"/>
  <c r="GO211" i="59"/>
  <c r="GP211" i="59"/>
  <c r="GQ211" i="59"/>
  <c r="ID211" i="59"/>
  <c r="II211" i="59"/>
  <c r="IJ211" i="59"/>
  <c r="IK211" i="59"/>
  <c r="IL211" i="59"/>
  <c r="IM211" i="59"/>
  <c r="IN211" i="59"/>
  <c r="IO211" i="59"/>
  <c r="IP211" i="59"/>
  <c r="IQ211" i="59"/>
  <c r="IR211" i="59"/>
  <c r="IS211" i="59"/>
  <c r="IT211" i="59"/>
  <c r="IU211" i="59"/>
  <c r="IV211" i="59"/>
  <c r="F212" i="59"/>
  <c r="G212" i="59"/>
  <c r="H212" i="59"/>
  <c r="I212" i="59"/>
  <c r="J212" i="59"/>
  <c r="K212" i="59"/>
  <c r="L212" i="59"/>
  <c r="M212" i="59"/>
  <c r="N212" i="59"/>
  <c r="O212" i="59"/>
  <c r="P212" i="59"/>
  <c r="Q212" i="59"/>
  <c r="R212" i="59"/>
  <c r="S212" i="59"/>
  <c r="T212" i="59"/>
  <c r="U212" i="59"/>
  <c r="V212" i="59"/>
  <c r="W212" i="59"/>
  <c r="X212" i="59"/>
  <c r="Y212" i="59"/>
  <c r="Z212" i="59"/>
  <c r="AA212" i="59"/>
  <c r="AB212" i="59"/>
  <c r="AC212" i="59"/>
  <c r="AD212" i="59"/>
  <c r="AE212" i="59"/>
  <c r="AF212" i="59"/>
  <c r="AG212" i="59"/>
  <c r="AH212" i="59"/>
  <c r="AI212" i="59"/>
  <c r="AJ212" i="59"/>
  <c r="AM212" i="59"/>
  <c r="AO212" i="59"/>
  <c r="AP212" i="59"/>
  <c r="AQ212" i="59"/>
  <c r="AR212" i="59"/>
  <c r="AS212" i="59"/>
  <c r="AT212" i="59"/>
  <c r="CG212" i="59"/>
  <c r="CH212" i="59"/>
  <c r="CI212" i="59"/>
  <c r="CJ212" i="59"/>
  <c r="CK212" i="59"/>
  <c r="CL212" i="59"/>
  <c r="CM212" i="59"/>
  <c r="CN212" i="59"/>
  <c r="CO212" i="59"/>
  <c r="CP212" i="59"/>
  <c r="CQ212" i="59"/>
  <c r="CR212" i="59"/>
  <c r="EE212" i="59"/>
  <c r="EF212" i="59"/>
  <c r="EG212" i="59"/>
  <c r="EH212" i="59"/>
  <c r="EI212" i="59"/>
  <c r="EJ212" i="59"/>
  <c r="EK212" i="59"/>
  <c r="EL212" i="59"/>
  <c r="EM212" i="59"/>
  <c r="EN212" i="59"/>
  <c r="EO212" i="59"/>
  <c r="EP212" i="59"/>
  <c r="GC212" i="59"/>
  <c r="GD212" i="59"/>
  <c r="GE212" i="59"/>
  <c r="GF212" i="59"/>
  <c r="GG212" i="59"/>
  <c r="GH212" i="59"/>
  <c r="GI212" i="59"/>
  <c r="GJ212" i="59"/>
  <c r="GK212" i="59"/>
  <c r="GL212" i="59"/>
  <c r="GM212" i="59"/>
  <c r="GN212" i="59"/>
  <c r="IA212" i="59"/>
  <c r="IB212" i="59"/>
  <c r="IC212" i="59"/>
  <c r="ID212" i="59"/>
  <c r="IE212" i="59"/>
  <c r="IF212" i="59"/>
  <c r="IG212" i="59"/>
  <c r="IH212" i="59"/>
  <c r="II212" i="59"/>
  <c r="IJ212" i="59"/>
  <c r="IK212" i="59"/>
  <c r="IL212" i="59"/>
  <c r="AH213" i="59"/>
  <c r="AI213" i="59"/>
  <c r="AJ213" i="59"/>
  <c r="AK213" i="59"/>
  <c r="AL213" i="59"/>
  <c r="AM213" i="59"/>
  <c r="AN213" i="59"/>
  <c r="AO213" i="59"/>
  <c r="AP213" i="59"/>
  <c r="AQ213" i="59"/>
  <c r="AR213" i="59"/>
  <c r="AS213" i="59"/>
  <c r="CF213" i="59"/>
  <c r="CG213" i="59"/>
  <c r="CH213" i="59"/>
  <c r="CI213" i="59"/>
  <c r="CJ213" i="59"/>
  <c r="CK213" i="59"/>
  <c r="CL213" i="59"/>
  <c r="CM213" i="59"/>
  <c r="CN213" i="59"/>
  <c r="CO213" i="59"/>
  <c r="CP213" i="59"/>
  <c r="CQ213" i="59"/>
  <c r="CR213" i="59"/>
  <c r="CS213" i="59"/>
  <c r="CT213" i="59"/>
  <c r="CU213" i="59"/>
  <c r="CV213" i="59"/>
  <c r="CW213" i="59"/>
  <c r="CX213" i="59"/>
  <c r="CY213" i="59"/>
  <c r="CZ213" i="59"/>
  <c r="DA213" i="59"/>
  <c r="DB213" i="59"/>
  <c r="DC213" i="59"/>
  <c r="DD213" i="59"/>
  <c r="DE213" i="59"/>
  <c r="DF213" i="59"/>
  <c r="DG213" i="59"/>
  <c r="DH213" i="59"/>
  <c r="DI213" i="59"/>
  <c r="DJ213" i="59"/>
  <c r="DK213" i="59"/>
  <c r="DL213" i="59"/>
  <c r="DM213" i="59"/>
  <c r="DN213" i="59"/>
  <c r="DO213" i="59"/>
  <c r="DP213" i="59"/>
  <c r="DQ213" i="59"/>
  <c r="DR213" i="59"/>
  <c r="DS213" i="59"/>
  <c r="DT213" i="59"/>
  <c r="DU213" i="59"/>
  <c r="DV213" i="59"/>
  <c r="DW213" i="59"/>
  <c r="DX213" i="59"/>
  <c r="DY213" i="59"/>
  <c r="DZ213" i="59"/>
  <c r="EA213" i="59"/>
  <c r="EB213" i="59"/>
  <c r="EC213" i="59"/>
  <c r="ED213" i="59"/>
  <c r="EE213" i="59"/>
  <c r="EF213" i="59"/>
  <c r="EG213" i="59"/>
  <c r="EH213" i="59"/>
  <c r="EI213" i="59"/>
  <c r="EJ213" i="59"/>
  <c r="EK213" i="59"/>
  <c r="EN213" i="59"/>
  <c r="GA213" i="59"/>
  <c r="GC213" i="59"/>
  <c r="GF213" i="59"/>
  <c r="GG213" i="59"/>
  <c r="GH213" i="59"/>
  <c r="GI213" i="59"/>
  <c r="GJ213" i="59"/>
  <c r="GK213" i="59"/>
  <c r="HX213" i="59"/>
  <c r="IC213" i="59"/>
  <c r="ID213" i="59"/>
  <c r="IE213" i="59"/>
  <c r="IF213" i="59"/>
  <c r="IG213" i="59"/>
  <c r="IH213" i="59"/>
  <c r="AD214" i="59"/>
  <c r="AI214" i="59"/>
  <c r="AJ214" i="59"/>
  <c r="AK214" i="59"/>
  <c r="AL214" i="59"/>
  <c r="AM214" i="59"/>
  <c r="AN214" i="59"/>
  <c r="AO214" i="59"/>
  <c r="AP214" i="59"/>
  <c r="AQ214" i="59"/>
  <c r="AR214" i="59"/>
  <c r="AS214" i="59"/>
  <c r="AT214" i="59"/>
  <c r="AU214" i="59"/>
  <c r="AV214" i="59"/>
  <c r="AW214" i="59"/>
  <c r="AX214" i="59"/>
  <c r="AY214" i="59"/>
  <c r="AZ214" i="59"/>
  <c r="BA214" i="59"/>
  <c r="BB214" i="59"/>
  <c r="BC214" i="59"/>
  <c r="BD214" i="59"/>
  <c r="BE214" i="59"/>
  <c r="BF214" i="59"/>
  <c r="BG214" i="59"/>
  <c r="BH214" i="59"/>
  <c r="BI214" i="59"/>
  <c r="BJ214" i="59"/>
  <c r="BK214" i="59"/>
  <c r="BL214" i="59"/>
  <c r="BM214" i="59"/>
  <c r="BN214" i="59"/>
  <c r="BO214" i="59"/>
  <c r="BP214" i="59"/>
  <c r="BQ214" i="59"/>
  <c r="BR214" i="59"/>
  <c r="BS214" i="59"/>
  <c r="BT214" i="59"/>
  <c r="BU214" i="59"/>
  <c r="BV214" i="59"/>
  <c r="BW214" i="59"/>
  <c r="BX214" i="59"/>
  <c r="BY214" i="59"/>
  <c r="BZ214" i="59"/>
  <c r="CA214" i="59"/>
  <c r="CD214" i="59"/>
  <c r="CF214" i="59"/>
  <c r="CG214" i="59"/>
  <c r="CH214" i="59"/>
  <c r="CI214" i="59"/>
  <c r="CJ214" i="59"/>
  <c r="CK214" i="59"/>
  <c r="DX214" i="59"/>
  <c r="DY214" i="59"/>
  <c r="DZ214" i="59"/>
  <c r="EA214" i="59"/>
  <c r="EB214" i="59"/>
  <c r="EC214" i="59"/>
  <c r="ED214" i="59"/>
  <c r="EE214" i="59"/>
  <c r="EF214" i="59"/>
  <c r="EG214" i="59"/>
  <c r="EH214" i="59"/>
  <c r="EI214" i="59"/>
  <c r="FV214" i="59"/>
  <c r="FW214" i="59"/>
  <c r="FX214" i="59"/>
  <c r="FY214" i="59"/>
  <c r="FZ214" i="59"/>
  <c r="GA214" i="59"/>
  <c r="GB214" i="59"/>
  <c r="GC214" i="59"/>
  <c r="GD214" i="59"/>
  <c r="GE214" i="59"/>
  <c r="GF214" i="59"/>
  <c r="GG214" i="59"/>
  <c r="HT214" i="59"/>
  <c r="HU214" i="59"/>
  <c r="HV214" i="59"/>
  <c r="HW214" i="59"/>
  <c r="HX214" i="59"/>
  <c r="HY214" i="59"/>
  <c r="HZ214" i="59"/>
  <c r="IA214" i="59"/>
  <c r="IB214" i="59"/>
  <c r="IC214" i="59"/>
  <c r="ID214" i="59"/>
  <c r="IE214" i="59"/>
  <c r="AA215" i="59"/>
  <c r="AB215" i="59"/>
  <c r="AC215" i="59"/>
  <c r="AD215" i="59"/>
  <c r="AE215" i="59"/>
  <c r="AF215" i="59"/>
  <c r="AG215" i="59"/>
  <c r="AH215" i="59"/>
  <c r="AI215" i="59"/>
  <c r="AJ215" i="59"/>
  <c r="AK215" i="59"/>
  <c r="AL215" i="59"/>
  <c r="BY215" i="59"/>
  <c r="BZ215" i="59"/>
  <c r="CA215" i="59"/>
  <c r="CB215" i="59"/>
  <c r="CC215" i="59"/>
  <c r="CD215" i="59"/>
  <c r="CE215" i="59"/>
  <c r="CF215" i="59"/>
  <c r="CG215" i="59"/>
  <c r="CH215" i="59"/>
  <c r="CI215" i="59"/>
  <c r="CJ215" i="59"/>
  <c r="DW215" i="59"/>
  <c r="DX215" i="59"/>
  <c r="DY215" i="59"/>
  <c r="DZ215" i="59"/>
  <c r="EA215" i="59"/>
  <c r="EB215" i="59"/>
  <c r="EC215" i="59"/>
  <c r="ED215" i="59"/>
  <c r="EE215" i="59"/>
  <c r="EF215" i="59"/>
  <c r="EG215" i="59"/>
  <c r="EH215" i="59"/>
  <c r="EI215" i="59"/>
  <c r="EJ215" i="59"/>
  <c r="EK215" i="59"/>
  <c r="EL215" i="59"/>
  <c r="EM215" i="59"/>
  <c r="EN215" i="59"/>
  <c r="EO215" i="59"/>
  <c r="EP215" i="59"/>
  <c r="EQ215" i="59"/>
  <c r="ER215" i="59"/>
  <c r="ES215" i="59"/>
  <c r="ET215" i="59"/>
  <c r="EU215" i="59"/>
  <c r="EV215" i="59"/>
  <c r="EW215" i="59"/>
  <c r="EX215" i="59"/>
  <c r="EY215" i="59"/>
  <c r="EZ215" i="59"/>
  <c r="FA215" i="59"/>
  <c r="FB215" i="59"/>
  <c r="FC215" i="59"/>
  <c r="FD215" i="59"/>
  <c r="FE215" i="59"/>
  <c r="FF215" i="59"/>
  <c r="FG215" i="59"/>
  <c r="FH215" i="59"/>
  <c r="FI215" i="59"/>
  <c r="FJ215" i="59"/>
  <c r="FK215" i="59"/>
  <c r="FL215" i="59"/>
  <c r="FM215" i="59"/>
  <c r="FN215" i="59"/>
  <c r="FO215" i="59"/>
  <c r="FP215" i="59"/>
  <c r="FQ215" i="59"/>
  <c r="FR215" i="59"/>
  <c r="FS215" i="59"/>
  <c r="FT215" i="59"/>
  <c r="FU215" i="59"/>
  <c r="FV215" i="59"/>
  <c r="FW215" i="59"/>
  <c r="FX215" i="59"/>
  <c r="FY215" i="59"/>
  <c r="FZ215" i="59"/>
  <c r="GA215" i="59"/>
  <c r="GB215" i="59"/>
  <c r="GE215" i="59"/>
  <c r="HR215" i="59"/>
  <c r="HT215" i="59"/>
  <c r="HW215" i="59"/>
  <c r="HX215" i="59"/>
  <c r="HY215" i="59"/>
  <c r="HZ215" i="59"/>
  <c r="IA215" i="59"/>
  <c r="IB215" i="59"/>
  <c r="X216" i="59"/>
  <c r="AC216" i="59"/>
  <c r="AD216" i="59"/>
  <c r="AE216" i="59"/>
  <c r="AF216" i="59"/>
  <c r="AG216" i="59"/>
  <c r="AH216" i="59"/>
  <c r="BU216" i="59"/>
  <c r="BZ216" i="59"/>
  <c r="CA216" i="59"/>
  <c r="CB216" i="59"/>
  <c r="CC216" i="59"/>
  <c r="CD216" i="59"/>
  <c r="CE216" i="59"/>
  <c r="CF216" i="59"/>
  <c r="CG216" i="59"/>
  <c r="CH216" i="59"/>
  <c r="CI216" i="59"/>
  <c r="CJ216" i="59"/>
  <c r="CK216" i="59"/>
  <c r="CL216" i="59"/>
  <c r="CM216" i="59"/>
  <c r="CN216" i="59"/>
  <c r="CO216" i="59"/>
  <c r="CP216" i="59"/>
  <c r="CQ216" i="59"/>
  <c r="CR216" i="59"/>
  <c r="CS216" i="59"/>
  <c r="CT216" i="59"/>
  <c r="CU216" i="59"/>
  <c r="CV216" i="59"/>
  <c r="CW216" i="59"/>
  <c r="CX216" i="59"/>
  <c r="CY216" i="59"/>
  <c r="CZ216" i="59"/>
  <c r="DA216" i="59"/>
  <c r="DB216" i="59"/>
  <c r="DC216" i="59"/>
  <c r="DD216" i="59"/>
  <c r="DE216" i="59"/>
  <c r="DF216" i="59"/>
  <c r="DG216" i="59"/>
  <c r="DH216" i="59"/>
  <c r="DI216" i="59"/>
  <c r="DJ216" i="59"/>
  <c r="DK216" i="59"/>
  <c r="DL216" i="59"/>
  <c r="DM216" i="59"/>
  <c r="DN216" i="59"/>
  <c r="DO216" i="59"/>
  <c r="DP216" i="59"/>
  <c r="DQ216" i="59"/>
  <c r="DR216" i="59"/>
  <c r="DU216" i="59"/>
  <c r="DW216" i="59"/>
  <c r="DX216" i="59"/>
  <c r="DY216" i="59"/>
  <c r="DZ216" i="59"/>
  <c r="EA216" i="59"/>
  <c r="EB216" i="59"/>
  <c r="FO216" i="59"/>
  <c r="FP216" i="59"/>
  <c r="FQ216" i="59"/>
  <c r="FR216" i="59"/>
  <c r="FS216" i="59"/>
  <c r="FT216" i="59"/>
  <c r="FU216" i="59"/>
  <c r="FV216" i="59"/>
  <c r="FW216" i="59"/>
  <c r="FX216" i="59"/>
  <c r="FY216" i="59"/>
  <c r="FZ216" i="59"/>
  <c r="HM216" i="59"/>
  <c r="HN216" i="59"/>
  <c r="HO216" i="59"/>
  <c r="HP216" i="59"/>
  <c r="HQ216" i="59"/>
  <c r="HR216" i="59"/>
  <c r="HS216" i="59"/>
  <c r="HT216" i="59"/>
  <c r="HU216" i="59"/>
  <c r="HV216" i="59"/>
  <c r="HW216" i="59"/>
  <c r="HX216" i="59"/>
  <c r="T217" i="59"/>
  <c r="U217" i="59"/>
  <c r="V217" i="59"/>
  <c r="W217" i="59"/>
  <c r="X217" i="59"/>
  <c r="Y217" i="59"/>
  <c r="Z217" i="59"/>
  <c r="AA217" i="59"/>
  <c r="AB217" i="59"/>
  <c r="AC217" i="59"/>
  <c r="AD217" i="59"/>
  <c r="AE217" i="59"/>
  <c r="BR217" i="59"/>
  <c r="BS217" i="59"/>
  <c r="BT217" i="59"/>
  <c r="BU217" i="59"/>
  <c r="BV217" i="59"/>
  <c r="BW217" i="59"/>
  <c r="BX217" i="59"/>
  <c r="BY217" i="59"/>
  <c r="BZ217" i="59"/>
  <c r="CA217" i="59"/>
  <c r="CB217" i="59"/>
  <c r="CC217" i="59"/>
  <c r="DP217" i="59"/>
  <c r="DQ217" i="59"/>
  <c r="DR217" i="59"/>
  <c r="DS217" i="59"/>
  <c r="DT217" i="59"/>
  <c r="DU217" i="59"/>
  <c r="DV217" i="59"/>
  <c r="DW217" i="59"/>
  <c r="DX217" i="59"/>
  <c r="DY217" i="59"/>
  <c r="DZ217" i="59"/>
  <c r="EA217" i="59"/>
  <c r="FN217" i="59"/>
  <c r="FO217" i="59"/>
  <c r="FP217" i="59"/>
  <c r="FQ217" i="59"/>
  <c r="FR217" i="59"/>
  <c r="FS217" i="59"/>
  <c r="FT217" i="59"/>
  <c r="FU217" i="59"/>
  <c r="FV217" i="59"/>
  <c r="FW217" i="59"/>
  <c r="FX217" i="59"/>
  <c r="FY217" i="59"/>
  <c r="FZ217" i="59"/>
  <c r="GA217" i="59"/>
  <c r="GB217" i="59"/>
  <c r="GC217" i="59"/>
  <c r="GD217" i="59"/>
  <c r="GE217" i="59"/>
  <c r="GF217" i="59"/>
  <c r="GG217" i="59"/>
  <c r="GH217" i="59"/>
  <c r="GI217" i="59"/>
  <c r="GJ217" i="59"/>
  <c r="GK217" i="59"/>
  <c r="GL217" i="59"/>
  <c r="GM217" i="59"/>
  <c r="GN217" i="59"/>
  <c r="GO217" i="59"/>
  <c r="GP217" i="59"/>
  <c r="GQ217" i="59"/>
  <c r="GR217" i="59"/>
  <c r="GS217" i="59"/>
  <c r="GT217" i="59"/>
  <c r="GU217" i="59"/>
  <c r="GV217" i="59"/>
  <c r="GW217" i="59"/>
  <c r="GX217" i="59"/>
  <c r="GY217" i="59"/>
  <c r="GZ217" i="59"/>
  <c r="HA217" i="59"/>
  <c r="HB217" i="59"/>
  <c r="HC217" i="59"/>
  <c r="HD217" i="59"/>
  <c r="HE217" i="59"/>
  <c r="HF217" i="59"/>
  <c r="HG217" i="59"/>
  <c r="HH217" i="59"/>
  <c r="HI217" i="59"/>
  <c r="HJ217" i="59"/>
  <c r="HK217" i="59"/>
  <c r="HL217" i="59"/>
  <c r="HM217" i="59"/>
  <c r="HN217" i="59"/>
  <c r="HO217" i="59"/>
  <c r="HP217" i="59"/>
  <c r="HQ217" i="59"/>
  <c r="HR217" i="59"/>
  <c r="HS217" i="59"/>
  <c r="HV217" i="59"/>
  <c r="R218" i="59"/>
  <c r="T218" i="59"/>
  <c r="W218" i="59"/>
  <c r="X218" i="59"/>
  <c r="Y218" i="59"/>
  <c r="Z218" i="59"/>
  <c r="AA218" i="59"/>
  <c r="AB218" i="59"/>
  <c r="BO218" i="59"/>
  <c r="BT218" i="59"/>
  <c r="BU218" i="59"/>
  <c r="BV218" i="59"/>
  <c r="BW218" i="59"/>
  <c r="BX218" i="59"/>
  <c r="BY218" i="59"/>
  <c r="DL218" i="59"/>
  <c r="DQ218" i="59"/>
  <c r="DR218" i="59"/>
  <c r="DS218" i="59"/>
  <c r="DT218" i="59"/>
  <c r="DU218" i="59"/>
  <c r="DV218" i="59"/>
  <c r="DW218" i="59"/>
  <c r="DX218" i="59"/>
  <c r="DY218" i="59"/>
  <c r="DZ218" i="59"/>
  <c r="EA218" i="59"/>
  <c r="EB218" i="59"/>
  <c r="EC218" i="59"/>
  <c r="ED218" i="59"/>
  <c r="EE218" i="59"/>
  <c r="EF218" i="59"/>
  <c r="EG218" i="59"/>
  <c r="EH218" i="59"/>
  <c r="EI218" i="59"/>
  <c r="EJ218" i="59"/>
  <c r="EK218" i="59"/>
  <c r="EL218" i="59"/>
  <c r="EM218" i="59"/>
  <c r="EN218" i="59"/>
  <c r="EO218" i="59"/>
  <c r="EP218" i="59"/>
  <c r="EQ218" i="59"/>
  <c r="ER218" i="59"/>
  <c r="ES218" i="59"/>
  <c r="ET218" i="59"/>
  <c r="EU218" i="59"/>
  <c r="EV218" i="59"/>
  <c r="EW218" i="59"/>
  <c r="EX218" i="59"/>
  <c r="EY218" i="59"/>
  <c r="EZ218" i="59"/>
  <c r="FA218" i="59"/>
  <c r="FB218" i="59"/>
  <c r="FC218" i="59"/>
  <c r="FD218" i="59"/>
  <c r="FE218" i="59"/>
  <c r="FF218" i="59"/>
  <c r="FG218" i="59"/>
  <c r="FH218" i="59"/>
  <c r="FI218" i="59"/>
  <c r="FL218" i="59"/>
  <c r="FN218" i="59"/>
  <c r="FO218" i="59"/>
  <c r="FP218" i="59"/>
  <c r="FQ218" i="59"/>
  <c r="FR218" i="59"/>
  <c r="FS218" i="59"/>
  <c r="HF218" i="59"/>
  <c r="HG218" i="59"/>
  <c r="HH218" i="59"/>
  <c r="HI218" i="59"/>
  <c r="HJ218" i="59"/>
  <c r="HK218" i="59"/>
  <c r="HL218" i="59"/>
  <c r="HM218" i="59"/>
  <c r="HN218" i="59"/>
  <c r="HO218" i="59"/>
  <c r="HP218" i="59"/>
  <c r="HQ218" i="59"/>
  <c r="M219" i="59"/>
  <c r="N219" i="59"/>
  <c r="O219" i="59"/>
  <c r="P219" i="59"/>
  <c r="Q219" i="59"/>
  <c r="R219" i="59"/>
  <c r="S219" i="59"/>
  <c r="T219" i="59"/>
  <c r="U219" i="59"/>
  <c r="V219" i="59"/>
  <c r="W219" i="59"/>
  <c r="X219" i="59"/>
  <c r="BK219" i="59"/>
  <c r="BL219" i="59"/>
  <c r="BM219" i="59"/>
  <c r="BN219" i="59"/>
  <c r="BO219" i="59"/>
  <c r="BP219" i="59"/>
  <c r="BQ219" i="59"/>
  <c r="BR219" i="59"/>
  <c r="BS219" i="59"/>
  <c r="BT219" i="59"/>
  <c r="BU219" i="59"/>
  <c r="BV219" i="59"/>
  <c r="DI219" i="59"/>
  <c r="DJ219" i="59"/>
  <c r="DK219" i="59"/>
  <c r="DL219" i="59"/>
  <c r="DM219" i="59"/>
  <c r="DN219" i="59"/>
  <c r="DO219" i="59"/>
  <c r="DP219" i="59"/>
  <c r="DQ219" i="59"/>
  <c r="DR219" i="59"/>
  <c r="DS219" i="59"/>
  <c r="DT219" i="59"/>
  <c r="FG219" i="59"/>
  <c r="FH219" i="59"/>
  <c r="FI219" i="59"/>
  <c r="FJ219" i="59"/>
  <c r="FK219" i="59"/>
  <c r="FL219" i="59"/>
  <c r="FM219" i="59"/>
  <c r="FN219" i="59"/>
  <c r="FO219" i="59"/>
  <c r="FP219" i="59"/>
  <c r="FQ219" i="59"/>
  <c r="FR219" i="59"/>
  <c r="HE219" i="59"/>
  <c r="HF219" i="59"/>
  <c r="HG219" i="59"/>
  <c r="HH219" i="59"/>
  <c r="HI219" i="59"/>
  <c r="HJ219" i="59"/>
  <c r="HK219" i="59"/>
  <c r="HL219" i="59"/>
  <c r="HM219" i="59"/>
  <c r="HN219" i="59"/>
  <c r="HO219" i="59"/>
  <c r="HP219" i="59"/>
  <c r="HQ219" i="59"/>
  <c r="HR219" i="59"/>
  <c r="HS219" i="59"/>
  <c r="HT219" i="59"/>
  <c r="HU219" i="59"/>
  <c r="HV219" i="59"/>
  <c r="HW219" i="59"/>
  <c r="HX219" i="59"/>
  <c r="HY219" i="59"/>
  <c r="HZ219" i="59"/>
  <c r="IA219" i="59"/>
  <c r="IB219" i="59"/>
  <c r="IC219" i="59"/>
  <c r="ID219" i="59"/>
  <c r="IE219" i="59"/>
  <c r="IF219" i="59"/>
  <c r="IG219" i="59"/>
  <c r="IH219" i="59"/>
  <c r="II219" i="59"/>
  <c r="IJ219" i="59"/>
  <c r="IK219" i="59"/>
  <c r="IL219" i="59"/>
  <c r="IM219" i="59"/>
  <c r="IN219" i="59"/>
  <c r="IO219" i="59"/>
  <c r="IP219" i="59"/>
  <c r="IQ219" i="59"/>
  <c r="IR219" i="59"/>
  <c r="IS219" i="59"/>
  <c r="IT219" i="59"/>
  <c r="IU219" i="59"/>
  <c r="IV219" i="59"/>
  <c r="F220" i="59"/>
  <c r="G220" i="59"/>
  <c r="H220" i="59"/>
  <c r="I220" i="59"/>
  <c r="J220" i="59"/>
  <c r="K220" i="59"/>
  <c r="L220" i="59"/>
  <c r="M220" i="59"/>
  <c r="N220" i="59"/>
  <c r="O220" i="59"/>
  <c r="P220" i="59"/>
  <c r="Q220" i="59"/>
  <c r="R220" i="59"/>
  <c r="S220" i="59"/>
  <c r="V220" i="59"/>
  <c r="BI220" i="59"/>
  <c r="BK220" i="59"/>
  <c r="BN220" i="59"/>
  <c r="BO220" i="59"/>
  <c r="BP220" i="59"/>
  <c r="BQ220" i="59"/>
  <c r="BR220" i="59"/>
  <c r="BS220" i="59"/>
  <c r="DF220" i="59"/>
  <c r="DK220" i="59"/>
  <c r="DL220" i="59"/>
  <c r="DM220" i="59"/>
  <c r="DN220" i="59"/>
  <c r="DO220" i="59"/>
  <c r="DP220" i="59"/>
  <c r="FC220" i="59"/>
  <c r="FH220" i="59"/>
  <c r="FI220" i="59"/>
  <c r="FJ220" i="59"/>
  <c r="FK220" i="59"/>
  <c r="FL220" i="59"/>
  <c r="FM220" i="59"/>
  <c r="FN220" i="59"/>
  <c r="FO220" i="59"/>
  <c r="FP220" i="59"/>
  <c r="FQ220" i="59"/>
  <c r="FR220" i="59"/>
  <c r="FS220" i="59"/>
  <c r="FT220" i="59"/>
  <c r="FU220" i="59"/>
  <c r="FV220" i="59"/>
  <c r="FW220" i="59"/>
  <c r="FX220" i="59"/>
  <c r="FY220" i="59"/>
  <c r="FZ220" i="59"/>
  <c r="GA220" i="59"/>
  <c r="GB220" i="59"/>
  <c r="GC220" i="59"/>
  <c r="GD220" i="59"/>
  <c r="GE220" i="59"/>
  <c r="GF220" i="59"/>
  <c r="GG220" i="59"/>
  <c r="GH220" i="59"/>
  <c r="GI220" i="59"/>
  <c r="GJ220" i="59"/>
  <c r="GK220" i="59"/>
  <c r="GL220" i="59"/>
  <c r="GM220" i="59"/>
  <c r="GN220" i="59"/>
  <c r="GO220" i="59"/>
  <c r="GP220" i="59"/>
  <c r="GQ220" i="59"/>
  <c r="GR220" i="59"/>
  <c r="GS220" i="59"/>
  <c r="GT220" i="59"/>
  <c r="GU220" i="59"/>
  <c r="GV220" i="59"/>
  <c r="GW220" i="59"/>
  <c r="GX220" i="59"/>
  <c r="GY220" i="59"/>
  <c r="GZ220" i="59"/>
  <c r="HC220" i="59"/>
  <c r="HE220" i="59"/>
  <c r="HF220" i="59"/>
  <c r="HG220" i="59"/>
  <c r="HH220" i="59"/>
  <c r="HI220" i="59"/>
  <c r="HJ220" i="59"/>
  <c r="F221" i="59"/>
  <c r="G221" i="59"/>
  <c r="H221" i="59"/>
  <c r="I221" i="59"/>
  <c r="J221" i="59"/>
  <c r="K221" i="59"/>
  <c r="L221" i="59"/>
  <c r="M221" i="59"/>
  <c r="N221" i="59"/>
  <c r="O221" i="59"/>
  <c r="P221" i="59"/>
  <c r="Q221" i="59"/>
  <c r="BD221" i="59"/>
  <c r="BE221" i="59"/>
  <c r="BF221" i="59"/>
  <c r="BG221" i="59"/>
  <c r="BH221" i="59"/>
  <c r="BI221" i="59"/>
  <c r="BJ221" i="59"/>
  <c r="BK221" i="59"/>
  <c r="BL221" i="59"/>
  <c r="BM221" i="59"/>
  <c r="BN221" i="59"/>
  <c r="BO221" i="59"/>
  <c r="DB221" i="59"/>
  <c r="DC221" i="59"/>
  <c r="DD221" i="59"/>
  <c r="DE221" i="59"/>
  <c r="DF221" i="59"/>
  <c r="DG221" i="59"/>
  <c r="DH221" i="59"/>
  <c r="DI221" i="59"/>
  <c r="DJ221" i="59"/>
  <c r="DK221" i="59"/>
  <c r="DL221" i="59"/>
  <c r="DM221" i="59"/>
  <c r="EZ221" i="59"/>
  <c r="FA221" i="59"/>
  <c r="FB221" i="59"/>
  <c r="FC221" i="59"/>
  <c r="FD221" i="59"/>
  <c r="FE221" i="59"/>
  <c r="FF221" i="59"/>
  <c r="FG221" i="59"/>
  <c r="FH221" i="59"/>
  <c r="FI221" i="59"/>
  <c r="FJ221" i="59"/>
  <c r="FK221" i="59"/>
  <c r="GX221" i="59"/>
  <c r="GY221" i="59"/>
  <c r="GZ221" i="59"/>
  <c r="HA221" i="59"/>
  <c r="HB221" i="59"/>
  <c r="HC221" i="59"/>
  <c r="HD221" i="59"/>
  <c r="HE221" i="59"/>
  <c r="HF221" i="59"/>
  <c r="HG221" i="59"/>
  <c r="HH221" i="59"/>
  <c r="HI221" i="59"/>
  <c r="IV221" i="59"/>
  <c r="F222" i="59"/>
  <c r="G222" i="59"/>
  <c r="H222" i="59"/>
  <c r="I222" i="59"/>
  <c r="J222" i="59"/>
  <c r="K222" i="59"/>
  <c r="L222" i="59"/>
  <c r="M222" i="59"/>
  <c r="N222" i="59"/>
  <c r="O222" i="59"/>
  <c r="P222" i="59"/>
  <c r="Q222" i="59"/>
  <c r="R222" i="59"/>
  <c r="S222" i="59"/>
  <c r="T222" i="59"/>
  <c r="U222" i="59"/>
  <c r="V222" i="59"/>
  <c r="W222" i="59"/>
  <c r="X222" i="59"/>
  <c r="Y222" i="59"/>
  <c r="Z222" i="59"/>
  <c r="AA222" i="59"/>
  <c r="AB222" i="59"/>
  <c r="AC222" i="59"/>
  <c r="AD222" i="59"/>
  <c r="AE222" i="59"/>
  <c r="AF222" i="59"/>
  <c r="AG222" i="59"/>
  <c r="AH222" i="59"/>
  <c r="AI222" i="59"/>
  <c r="AJ222" i="59"/>
  <c r="AK222" i="59"/>
  <c r="AL222" i="59"/>
  <c r="AM222" i="59"/>
  <c r="AN222" i="59"/>
  <c r="AO222" i="59"/>
  <c r="AP222" i="59"/>
  <c r="AQ222" i="59"/>
  <c r="AR222" i="59"/>
  <c r="AS222" i="59"/>
  <c r="AT222" i="59"/>
  <c r="AU222" i="59"/>
  <c r="AV222" i="59"/>
  <c r="AW222" i="59"/>
  <c r="AX222" i="59"/>
  <c r="AY222" i="59"/>
  <c r="AZ222" i="59"/>
  <c r="BA222" i="59"/>
  <c r="BB222" i="59"/>
  <c r="BC222" i="59"/>
  <c r="BD222" i="59"/>
  <c r="BE222" i="59"/>
  <c r="BF222" i="59"/>
  <c r="BG222" i="59"/>
  <c r="BH222" i="59"/>
  <c r="BI222" i="59"/>
  <c r="BJ222" i="59"/>
  <c r="BM222" i="59"/>
  <c r="CZ222" i="59"/>
  <c r="DB222" i="59"/>
  <c r="DE222" i="59"/>
  <c r="DF222" i="59"/>
  <c r="DG222" i="59"/>
  <c r="DH222" i="59"/>
  <c r="DI222" i="59"/>
  <c r="DJ222" i="59"/>
  <c r="EW222" i="59"/>
  <c r="FB222" i="59"/>
  <c r="FC222" i="59"/>
  <c r="FD222" i="59"/>
  <c r="FE222" i="59"/>
  <c r="FF222" i="59"/>
  <c r="FG222" i="59"/>
  <c r="GT222" i="59"/>
  <c r="GY222" i="59"/>
  <c r="GZ222" i="59"/>
  <c r="HA222" i="59"/>
  <c r="HB222" i="59"/>
  <c r="HC222" i="59"/>
  <c r="HD222" i="59"/>
  <c r="HE222" i="59"/>
  <c r="HF222" i="59"/>
  <c r="HG222" i="59"/>
  <c r="HH222" i="59"/>
  <c r="HI222" i="59"/>
  <c r="HJ222" i="59"/>
  <c r="HK222" i="59"/>
  <c r="HL222" i="59"/>
  <c r="HM222" i="59"/>
  <c r="HN222" i="59"/>
  <c r="HO222" i="59"/>
  <c r="HP222" i="59"/>
  <c r="HQ222" i="59"/>
  <c r="HR222" i="59"/>
  <c r="HS222" i="59"/>
  <c r="HT222" i="59"/>
  <c r="HU222" i="59"/>
  <c r="HV222" i="59"/>
  <c r="HW222" i="59"/>
  <c r="HX222" i="59"/>
  <c r="HY222" i="59"/>
  <c r="HZ222" i="59"/>
  <c r="IA222" i="59"/>
  <c r="IB222" i="59"/>
  <c r="IC222" i="59"/>
  <c r="ID222" i="59"/>
  <c r="IE222" i="59"/>
  <c r="IF222" i="59"/>
  <c r="IG222" i="59"/>
  <c r="IH222" i="59"/>
  <c r="II222" i="59"/>
  <c r="IJ222" i="59"/>
  <c r="IK222" i="59"/>
  <c r="IL222" i="59"/>
  <c r="IM222" i="59"/>
  <c r="IN222" i="59"/>
  <c r="IO222" i="59"/>
  <c r="IP222" i="59"/>
  <c r="IQ222" i="59"/>
  <c r="IT222" i="59"/>
  <c r="IV222" i="59"/>
  <c r="F223" i="59"/>
  <c r="G223" i="59"/>
  <c r="H223" i="59"/>
  <c r="I223" i="59"/>
  <c r="J223" i="59"/>
  <c r="AW223" i="59"/>
  <c r="AX223" i="59"/>
  <c r="AY223" i="59"/>
  <c r="AZ223" i="59"/>
  <c r="BA223" i="59"/>
  <c r="BB223" i="59"/>
  <c r="BC223" i="59"/>
  <c r="BD223" i="59"/>
  <c r="BE223" i="59"/>
  <c r="BF223" i="59"/>
  <c r="BG223" i="59"/>
  <c r="BH223" i="59"/>
  <c r="CU223" i="59"/>
  <c r="CV223" i="59"/>
  <c r="CW223" i="59"/>
  <c r="CX223" i="59"/>
  <c r="CY223" i="59"/>
  <c r="CZ223" i="59"/>
  <c r="DA223" i="59"/>
  <c r="DB223" i="59"/>
  <c r="DC223" i="59"/>
  <c r="DD223" i="59"/>
  <c r="DE223" i="59"/>
  <c r="DF223" i="59"/>
  <c r="ES223" i="59"/>
  <c r="ET223" i="59"/>
  <c r="EU223" i="59"/>
  <c r="EV223" i="59"/>
  <c r="EW223" i="59"/>
  <c r="EX223" i="59"/>
  <c r="EY223" i="59"/>
  <c r="EZ223" i="59"/>
  <c r="FA223" i="59"/>
  <c r="FB223" i="59"/>
  <c r="FC223" i="59"/>
  <c r="FD223" i="59"/>
  <c r="GQ223" i="59"/>
  <c r="GR223" i="59"/>
  <c r="GS223" i="59"/>
  <c r="GT223" i="59"/>
  <c r="GU223" i="59"/>
  <c r="GV223" i="59"/>
  <c r="GW223" i="59"/>
  <c r="GX223" i="59"/>
  <c r="GY223" i="59"/>
  <c r="GZ223" i="59"/>
  <c r="HA223" i="59"/>
  <c r="HB223" i="59"/>
  <c r="IO223" i="59"/>
  <c r="IP223" i="59"/>
  <c r="IQ223" i="59"/>
  <c r="IR223" i="59"/>
  <c r="IS223" i="59"/>
  <c r="IT223" i="59"/>
  <c r="IU223" i="59"/>
  <c r="IV223" i="59"/>
  <c r="F224" i="59"/>
  <c r="G224" i="59"/>
  <c r="H224" i="59"/>
  <c r="I224" i="59"/>
  <c r="AV224" i="59"/>
  <c r="AW224" i="59"/>
  <c r="AX224" i="59"/>
  <c r="AY224" i="59"/>
  <c r="AZ224" i="59"/>
  <c r="BA224" i="59"/>
  <c r="BB224" i="59"/>
  <c r="BC224" i="59"/>
  <c r="BD224" i="59"/>
  <c r="BE224" i="59"/>
  <c r="BF224" i="59"/>
  <c r="BG224" i="59"/>
  <c r="BH224" i="59"/>
  <c r="BI224" i="59"/>
  <c r="BJ224" i="59"/>
  <c r="BK224" i="59"/>
  <c r="BL224" i="59"/>
  <c r="BM224" i="59"/>
  <c r="BN224" i="59"/>
  <c r="BO224" i="59"/>
  <c r="BP224" i="59"/>
  <c r="BQ224" i="59"/>
  <c r="BR224" i="59"/>
  <c r="BS224" i="59"/>
  <c r="BT224" i="59"/>
  <c r="BU224" i="59"/>
  <c r="BV224" i="59"/>
  <c r="BW224" i="59"/>
  <c r="BX224" i="59"/>
  <c r="BY224" i="59"/>
  <c r="BZ224" i="59"/>
  <c r="CA224" i="59"/>
  <c r="CB224" i="59"/>
  <c r="CC224" i="59"/>
  <c r="CD224" i="59"/>
  <c r="CE224" i="59"/>
  <c r="CF224" i="59"/>
  <c r="CG224" i="59"/>
  <c r="CH224" i="59"/>
  <c r="CI224" i="59"/>
  <c r="CJ224" i="59"/>
  <c r="CK224" i="59"/>
  <c r="CL224" i="59"/>
  <c r="CM224" i="59"/>
  <c r="CN224" i="59"/>
  <c r="CO224" i="59"/>
  <c r="CP224" i="59"/>
  <c r="CQ224" i="59"/>
  <c r="CR224" i="59"/>
  <c r="CS224" i="59"/>
  <c r="CT224" i="59"/>
  <c r="CU224" i="59"/>
  <c r="CV224" i="59"/>
  <c r="CW224" i="59"/>
  <c r="CX224" i="59"/>
  <c r="CY224" i="59"/>
  <c r="CZ224" i="59"/>
  <c r="DA224" i="59"/>
  <c r="DD224" i="59"/>
  <c r="EQ224" i="59"/>
  <c r="ES224" i="59"/>
  <c r="EV224" i="59"/>
  <c r="EW224" i="59"/>
  <c r="EX224" i="59"/>
  <c r="EY224" i="59"/>
  <c r="EZ224" i="59"/>
  <c r="FA224" i="59"/>
  <c r="GN224" i="59"/>
  <c r="GS224" i="59"/>
  <c r="GT224" i="59"/>
  <c r="GU224" i="59"/>
  <c r="GV224" i="59"/>
  <c r="GW224" i="59"/>
  <c r="GX224" i="59"/>
  <c r="IK224" i="59"/>
  <c r="IP224" i="59"/>
  <c r="IQ224" i="59"/>
  <c r="IR224" i="59"/>
  <c r="IS224" i="59"/>
  <c r="IT224" i="59"/>
  <c r="IU224" i="59"/>
  <c r="IV224" i="59"/>
  <c r="F225" i="59"/>
  <c r="G225" i="59"/>
  <c r="H225" i="59"/>
  <c r="I225" i="59"/>
  <c r="J225" i="59"/>
  <c r="K225" i="59"/>
  <c r="L225" i="59"/>
  <c r="M225" i="59"/>
  <c r="N225" i="59"/>
  <c r="O225" i="59"/>
  <c r="P225" i="59"/>
  <c r="Q225" i="59"/>
  <c r="R225" i="59"/>
  <c r="S225" i="59"/>
  <c r="T225" i="59"/>
  <c r="U225" i="59"/>
  <c r="V225" i="59"/>
  <c r="W225" i="59"/>
  <c r="X225" i="59"/>
  <c r="Y225" i="59"/>
  <c r="Z225" i="59"/>
  <c r="AA225" i="59"/>
  <c r="AB225" i="59"/>
  <c r="AC225" i="59"/>
  <c r="AD225" i="59"/>
  <c r="AE225" i="59"/>
  <c r="AF225" i="59"/>
  <c r="AG225" i="59"/>
  <c r="AH225" i="59"/>
  <c r="AI225" i="59"/>
  <c r="AJ225" i="59"/>
  <c r="AK225" i="59"/>
  <c r="AL225" i="59"/>
  <c r="AM225" i="59"/>
  <c r="AN225" i="59"/>
  <c r="AO225" i="59"/>
  <c r="AP225" i="59"/>
  <c r="AQ225" i="59"/>
  <c r="AT225" i="59"/>
  <c r="AV225" i="59"/>
  <c r="AW225" i="59"/>
  <c r="AX225" i="59"/>
  <c r="AY225" i="59"/>
  <c r="AZ225" i="59"/>
  <c r="BA225" i="59"/>
  <c r="CN225" i="59"/>
  <c r="CO225" i="59"/>
  <c r="CP225" i="59"/>
  <c r="CQ225" i="59"/>
  <c r="CR225" i="59"/>
  <c r="CS225" i="59"/>
  <c r="CT225" i="59"/>
  <c r="CU225" i="59"/>
  <c r="CV225" i="59"/>
  <c r="CW225" i="59"/>
  <c r="CX225" i="59"/>
  <c r="CY225" i="59"/>
  <c r="EL225" i="59"/>
  <c r="EM225" i="59"/>
  <c r="EN225" i="59"/>
  <c r="EO225" i="59"/>
  <c r="EP225" i="59"/>
  <c r="EQ225" i="59"/>
  <c r="ER225" i="59"/>
  <c r="ES225" i="59"/>
  <c r="ET225" i="59"/>
  <c r="EU225" i="59"/>
  <c r="EV225" i="59"/>
  <c r="EW225" i="59"/>
  <c r="GJ225" i="59"/>
  <c r="GK225" i="59"/>
  <c r="GL225" i="59"/>
  <c r="GM225" i="59"/>
  <c r="GN225" i="59"/>
  <c r="GO225" i="59"/>
  <c r="GP225" i="59"/>
  <c r="GQ225" i="59"/>
  <c r="GR225" i="59"/>
  <c r="GS225" i="59"/>
  <c r="GT225" i="59"/>
  <c r="GU225" i="59"/>
  <c r="IH225" i="59"/>
  <c r="II225" i="59"/>
  <c r="IJ225" i="59"/>
  <c r="IK225" i="59"/>
  <c r="IL225" i="59"/>
  <c r="IM225" i="59"/>
  <c r="IN225" i="59"/>
  <c r="IO225" i="59"/>
  <c r="IP225" i="59"/>
  <c r="IQ225" i="59"/>
  <c r="IR225" i="59"/>
  <c r="IS225" i="59"/>
  <c r="AO226" i="59"/>
  <c r="AP226" i="59"/>
  <c r="AQ226" i="59"/>
  <c r="AR226" i="59"/>
  <c r="AS226" i="59"/>
  <c r="AT226" i="59"/>
  <c r="AU226" i="59"/>
  <c r="AV226" i="59"/>
  <c r="AW226" i="59"/>
  <c r="AX226" i="59"/>
  <c r="AY226" i="59"/>
  <c r="AZ226" i="59"/>
  <c r="CM226" i="59"/>
  <c r="CN226" i="59"/>
  <c r="CO226" i="59"/>
  <c r="CP226" i="59"/>
  <c r="CQ226" i="59"/>
  <c r="CR226" i="59"/>
  <c r="CS226" i="59"/>
  <c r="CT226" i="59"/>
  <c r="CU226" i="59"/>
  <c r="CV226" i="59"/>
  <c r="CW226" i="59"/>
  <c r="CX226" i="59"/>
  <c r="CY226" i="59"/>
  <c r="CZ226" i="59"/>
  <c r="DA226" i="59"/>
  <c r="DB226" i="59"/>
  <c r="DC226" i="59"/>
  <c r="DD226" i="59"/>
  <c r="DE226" i="59"/>
  <c r="DF226" i="59"/>
  <c r="DG226" i="59"/>
  <c r="DH226" i="59"/>
  <c r="DI226" i="59"/>
  <c r="DJ226" i="59"/>
  <c r="DK226" i="59"/>
  <c r="DL226" i="59"/>
  <c r="DM226" i="59"/>
  <c r="DN226" i="59"/>
  <c r="DO226" i="59"/>
  <c r="DP226" i="59"/>
  <c r="DQ226" i="59"/>
  <c r="DR226" i="59"/>
  <c r="DS226" i="59"/>
  <c r="DT226" i="59"/>
  <c r="DU226" i="59"/>
  <c r="DV226" i="59"/>
  <c r="DW226" i="59"/>
  <c r="DX226" i="59"/>
  <c r="DY226" i="59"/>
  <c r="DZ226" i="59"/>
  <c r="EA226" i="59"/>
  <c r="EB226" i="59"/>
  <c r="EC226" i="59"/>
  <c r="ED226" i="59"/>
  <c r="EE226" i="59"/>
  <c r="EF226" i="59"/>
  <c r="EG226" i="59"/>
  <c r="EH226" i="59"/>
  <c r="EI226" i="59"/>
  <c r="EJ226" i="59"/>
  <c r="EK226" i="59"/>
  <c r="EL226" i="59"/>
  <c r="EM226" i="59"/>
  <c r="EN226" i="59"/>
  <c r="EO226" i="59"/>
  <c r="EP226" i="59"/>
  <c r="EQ226" i="59"/>
  <c r="ER226" i="59"/>
  <c r="EU226" i="59"/>
  <c r="GH226" i="59"/>
  <c r="GJ226" i="59"/>
  <c r="GM226" i="59"/>
  <c r="GN226" i="59"/>
  <c r="GO226" i="59"/>
  <c r="GP226" i="59"/>
  <c r="GQ226" i="59"/>
  <c r="GR226" i="59"/>
  <c r="IE226" i="59"/>
  <c r="IJ226" i="59"/>
  <c r="IK226" i="59"/>
  <c r="IL226" i="59"/>
  <c r="IM226" i="59"/>
  <c r="IN226" i="59"/>
  <c r="IO226" i="59"/>
  <c r="AK227" i="59"/>
  <c r="AP227" i="59"/>
  <c r="AQ227" i="59"/>
  <c r="AR227" i="59"/>
  <c r="AS227" i="59"/>
  <c r="AT227" i="59"/>
  <c r="AU227" i="59"/>
  <c r="AV227" i="59"/>
  <c r="AW227" i="59"/>
  <c r="AX227" i="59"/>
  <c r="AY227" i="59"/>
  <c r="AZ227" i="59"/>
  <c r="BA227" i="59"/>
  <c r="BB227" i="59"/>
  <c r="BC227" i="59"/>
  <c r="BD227" i="59"/>
  <c r="BE227" i="59"/>
  <c r="BF227" i="59"/>
  <c r="BG227" i="59"/>
  <c r="BH227" i="59"/>
  <c r="BI227" i="59"/>
  <c r="BJ227" i="59"/>
  <c r="BK227" i="59"/>
  <c r="BL227" i="59"/>
  <c r="BM227" i="59"/>
  <c r="BN227" i="59"/>
  <c r="BO227" i="59"/>
  <c r="BP227" i="59"/>
  <c r="BQ227" i="59"/>
  <c r="BR227" i="59"/>
  <c r="BS227" i="59"/>
  <c r="BT227" i="59"/>
  <c r="BU227" i="59"/>
  <c r="BV227" i="59"/>
  <c r="BW227" i="59"/>
  <c r="BX227" i="59"/>
  <c r="BY227" i="59"/>
  <c r="BZ227" i="59"/>
  <c r="CA227" i="59"/>
  <c r="CB227" i="59"/>
  <c r="CC227" i="59"/>
  <c r="CD227" i="59"/>
  <c r="CE227" i="59"/>
  <c r="CF227" i="59"/>
  <c r="CG227" i="59"/>
  <c r="CH227" i="59"/>
  <c r="CK227" i="59"/>
  <c r="CM227" i="59"/>
  <c r="CN227" i="59"/>
  <c r="CO227" i="59"/>
  <c r="CP227" i="59"/>
  <c r="CQ227" i="59"/>
  <c r="CR227" i="59"/>
  <c r="EE227" i="59"/>
  <c r="EF227" i="59"/>
  <c r="EG227" i="59"/>
  <c r="EH227" i="59"/>
  <c r="EI227" i="59"/>
  <c r="EJ227" i="59"/>
  <c r="EK227" i="59"/>
  <c r="EL227" i="59"/>
  <c r="EM227" i="59"/>
  <c r="EN227" i="59"/>
  <c r="EO227" i="59"/>
  <c r="EP227" i="59"/>
  <c r="GC227" i="59"/>
  <c r="GD227" i="59"/>
  <c r="GE227" i="59"/>
  <c r="GF227" i="59"/>
  <c r="GG227" i="59"/>
  <c r="GH227" i="59"/>
  <c r="GI227" i="59"/>
  <c r="GJ227" i="59"/>
  <c r="GK227" i="59"/>
  <c r="GL227" i="59"/>
  <c r="GM227" i="59"/>
  <c r="GN227" i="59"/>
  <c r="IA227" i="59"/>
  <c r="IB227" i="59"/>
  <c r="IC227" i="59"/>
  <c r="ID227" i="59"/>
  <c r="IE227" i="59"/>
  <c r="IF227" i="59"/>
  <c r="IG227" i="59"/>
  <c r="IH227" i="59"/>
  <c r="II227" i="59"/>
  <c r="IJ227" i="59"/>
  <c r="IK227" i="59"/>
  <c r="IL227" i="59"/>
  <c r="AH228" i="59"/>
  <c r="AI228" i="59"/>
  <c r="AJ228" i="59"/>
  <c r="AK228" i="59"/>
  <c r="AL228" i="59"/>
  <c r="AM228" i="59"/>
  <c r="AN228" i="59"/>
  <c r="AO228" i="59"/>
  <c r="AP228" i="59"/>
  <c r="AQ228" i="59"/>
  <c r="AR228" i="59"/>
  <c r="AS228" i="59"/>
  <c r="CF228" i="59"/>
  <c r="CG228" i="59"/>
  <c r="CH228" i="59"/>
  <c r="CI228" i="59"/>
  <c r="CJ228" i="59"/>
  <c r="CK228" i="59"/>
  <c r="CL228" i="59"/>
  <c r="CM228" i="59"/>
  <c r="CN228" i="59"/>
  <c r="CO228" i="59"/>
  <c r="CP228" i="59"/>
  <c r="CQ228" i="59"/>
  <c r="ED228" i="59"/>
  <c r="EE228" i="59"/>
  <c r="EF228" i="59"/>
  <c r="EG228" i="59"/>
  <c r="EH228" i="59"/>
  <c r="EI228" i="59"/>
  <c r="EJ228" i="59"/>
  <c r="EK228" i="59"/>
  <c r="EL228" i="59"/>
  <c r="EM228" i="59"/>
  <c r="EN228" i="59"/>
  <c r="EO228" i="59"/>
  <c r="EP228" i="59"/>
  <c r="EQ228" i="59"/>
  <c r="ER228" i="59"/>
  <c r="ES228" i="59"/>
  <c r="ET228" i="59"/>
  <c r="EU228" i="59"/>
  <c r="EV228" i="59"/>
  <c r="EW228" i="59"/>
  <c r="EX228" i="59"/>
  <c r="EY228" i="59"/>
  <c r="EZ228" i="59"/>
  <c r="FA228" i="59"/>
  <c r="FB228" i="59"/>
  <c r="FC228" i="59"/>
  <c r="FD228" i="59"/>
  <c r="FE228" i="59"/>
  <c r="FF228" i="59"/>
  <c r="FG228" i="59"/>
  <c r="FH228" i="59"/>
  <c r="FI228" i="59"/>
  <c r="FJ228" i="59"/>
  <c r="FK228" i="59"/>
  <c r="FL228" i="59"/>
  <c r="FM228" i="59"/>
  <c r="FN228" i="59"/>
  <c r="FO228" i="59"/>
  <c r="FP228" i="59"/>
  <c r="FQ228" i="59"/>
  <c r="FR228" i="59"/>
  <c r="FS228" i="59"/>
  <c r="FT228" i="59"/>
  <c r="FU228" i="59"/>
  <c r="FV228" i="59"/>
  <c r="FW228" i="59"/>
  <c r="FX228" i="59"/>
  <c r="FY228" i="59"/>
  <c r="FZ228" i="59"/>
  <c r="GA228" i="59"/>
  <c r="GB228" i="59"/>
  <c r="GC228" i="59"/>
  <c r="GD228" i="59"/>
  <c r="GE228" i="59"/>
  <c r="GF228" i="59"/>
  <c r="GG228" i="59"/>
  <c r="GH228" i="59"/>
  <c r="GI228" i="59"/>
  <c r="GL228" i="59"/>
  <c r="HY228" i="59"/>
  <c r="IA228" i="59"/>
  <c r="ID228" i="59"/>
  <c r="IE228" i="59"/>
  <c r="IF228" i="59"/>
  <c r="IG228" i="59"/>
  <c r="IH228" i="59"/>
  <c r="II228" i="59"/>
  <c r="AE229" i="59"/>
  <c r="AJ229" i="59"/>
  <c r="AK229" i="59"/>
  <c r="AL229" i="59"/>
  <c r="AM229" i="59"/>
  <c r="AN229" i="59"/>
  <c r="AO229" i="59"/>
  <c r="CB229" i="59"/>
  <c r="CG229" i="59"/>
  <c r="CH229" i="59"/>
  <c r="CI229" i="59"/>
  <c r="CJ229" i="59"/>
  <c r="CK229" i="59"/>
  <c r="CL229" i="59"/>
  <c r="CM229" i="59"/>
  <c r="CN229" i="59"/>
  <c r="CO229" i="59"/>
  <c r="CP229" i="59"/>
  <c r="CQ229" i="59"/>
  <c r="CR229" i="59"/>
  <c r="CS229" i="59"/>
  <c r="CT229" i="59"/>
  <c r="CU229" i="59"/>
  <c r="CV229" i="59"/>
  <c r="CW229" i="59"/>
  <c r="CX229" i="59"/>
  <c r="CY229" i="59"/>
  <c r="CZ229" i="59"/>
  <c r="DA229" i="59"/>
  <c r="DB229" i="59"/>
  <c r="DC229" i="59"/>
  <c r="DD229" i="59"/>
  <c r="DE229" i="59"/>
  <c r="DF229" i="59"/>
  <c r="DG229" i="59"/>
  <c r="DH229" i="59"/>
  <c r="DI229" i="59"/>
  <c r="DJ229" i="59"/>
  <c r="DK229" i="59"/>
  <c r="DL229" i="59"/>
  <c r="DM229" i="59"/>
  <c r="DN229" i="59"/>
  <c r="DO229" i="59"/>
  <c r="DP229" i="59"/>
  <c r="DQ229" i="59"/>
  <c r="DR229" i="59"/>
  <c r="DS229" i="59"/>
  <c r="DT229" i="59"/>
  <c r="DU229" i="59"/>
  <c r="DV229" i="59"/>
  <c r="DW229" i="59"/>
  <c r="DX229" i="59"/>
  <c r="DY229" i="59"/>
  <c r="EB229" i="59"/>
  <c r="ED229" i="59"/>
  <c r="EE229" i="59"/>
  <c r="EF229" i="59"/>
  <c r="EG229" i="59"/>
  <c r="EH229" i="59"/>
  <c r="EI229" i="59"/>
  <c r="EJ229" i="59"/>
  <c r="EK229" i="59"/>
  <c r="EL229" i="59"/>
  <c r="EM229" i="59"/>
  <c r="EN229" i="59"/>
  <c r="EO229" i="59"/>
  <c r="EP229" i="59"/>
  <c r="EQ229" i="59"/>
  <c r="ER229" i="59"/>
  <c r="ES229" i="59"/>
  <c r="ET229" i="59"/>
  <c r="EU229" i="59"/>
  <c r="EV229" i="59"/>
  <c r="EW229" i="59"/>
  <c r="EX229" i="59"/>
  <c r="EY229" i="59"/>
  <c r="EZ229" i="59"/>
  <c r="FA229" i="59"/>
  <c r="FB229" i="59"/>
  <c r="FC229" i="59"/>
  <c r="FD229" i="59"/>
  <c r="FE229" i="59"/>
  <c r="FF229" i="59"/>
  <c r="FG229" i="59"/>
  <c r="FH229" i="59"/>
  <c r="FI229" i="59"/>
  <c r="FJ229" i="59"/>
  <c r="FK229" i="59"/>
  <c r="FL229" i="59"/>
  <c r="FM229" i="59"/>
  <c r="FN229" i="59"/>
  <c r="FO229" i="59"/>
  <c r="FP229" i="59"/>
  <c r="FQ229" i="59"/>
  <c r="FR229" i="59"/>
  <c r="FS229" i="59"/>
  <c r="FT229" i="59"/>
  <c r="FU229" i="59"/>
  <c r="FV229" i="59"/>
  <c r="FW229" i="59"/>
  <c r="FX229" i="59"/>
  <c r="FY229" i="59"/>
  <c r="FZ229" i="59"/>
  <c r="GA229" i="59"/>
  <c r="GB229" i="59"/>
  <c r="GC229" i="59"/>
  <c r="GD229" i="59"/>
  <c r="GE229" i="59"/>
  <c r="GF229" i="59"/>
  <c r="GG229" i="59"/>
  <c r="GH229" i="59"/>
  <c r="GI229" i="59"/>
  <c r="GJ229" i="59"/>
  <c r="GK229" i="59"/>
  <c r="GL229" i="59"/>
  <c r="GM229" i="59"/>
  <c r="GN229" i="59"/>
  <c r="GO229" i="59"/>
  <c r="GP229" i="59"/>
  <c r="GQ229" i="59"/>
  <c r="GR229" i="59"/>
  <c r="GS229" i="59"/>
  <c r="GT229" i="59"/>
  <c r="GU229" i="59"/>
  <c r="GV229" i="59"/>
  <c r="GW229" i="59"/>
  <c r="GX229" i="59"/>
  <c r="GY229" i="59"/>
  <c r="GZ229" i="59"/>
  <c r="HA229" i="59"/>
  <c r="HB229" i="59"/>
  <c r="HC229" i="59"/>
  <c r="HD229" i="59"/>
  <c r="HE229" i="59"/>
  <c r="HF229" i="59"/>
  <c r="HG229" i="59"/>
  <c r="HH229" i="59"/>
  <c r="HI229" i="59"/>
  <c r="HJ229" i="59"/>
  <c r="HK229" i="59"/>
  <c r="HL229" i="59"/>
  <c r="HM229" i="59"/>
  <c r="HN229" i="59"/>
  <c r="HO229" i="59"/>
  <c r="HP229" i="59"/>
  <c r="HQ229" i="59"/>
  <c r="HR229" i="59"/>
  <c r="HS229" i="59"/>
  <c r="HT229" i="59"/>
  <c r="HU229" i="59"/>
  <c r="HV229" i="59"/>
  <c r="HW229" i="59"/>
  <c r="HX229" i="59"/>
  <c r="HY229" i="59"/>
  <c r="HZ229" i="59"/>
  <c r="IA229" i="59"/>
  <c r="IB229" i="59"/>
  <c r="IC229" i="59"/>
  <c r="ID229" i="59"/>
  <c r="IE229" i="59"/>
  <c r="IF229" i="59"/>
  <c r="IG229" i="59"/>
  <c r="IH229" i="59"/>
  <c r="II229" i="59"/>
  <c r="IJ229" i="59"/>
  <c r="IK229" i="59"/>
  <c r="IL229" i="59"/>
  <c r="IM229" i="59"/>
  <c r="IN229" i="59"/>
  <c r="IO229" i="59"/>
  <c r="IP229" i="59"/>
  <c r="IQ229" i="59"/>
  <c r="IR229" i="59"/>
  <c r="IS229" i="59"/>
  <c r="IT229" i="59"/>
  <c r="IU229" i="59"/>
  <c r="IV229" i="59"/>
  <c r="F230" i="59"/>
  <c r="G230" i="59"/>
  <c r="H230" i="59"/>
  <c r="I230" i="59"/>
  <c r="J230" i="59"/>
  <c r="K230" i="59"/>
  <c r="L230" i="59"/>
  <c r="M230" i="59"/>
  <c r="N230" i="59"/>
  <c r="O230" i="59"/>
  <c r="P230" i="59"/>
  <c r="Q230" i="59"/>
  <c r="R230" i="59"/>
  <c r="S230" i="59"/>
  <c r="T230" i="59"/>
  <c r="U230" i="59"/>
  <c r="V230" i="59"/>
  <c r="W230" i="59"/>
  <c r="X230" i="59"/>
  <c r="Y230" i="59"/>
  <c r="Z230" i="59"/>
  <c r="AA230" i="59"/>
  <c r="AB230" i="59"/>
  <c r="AC230" i="59"/>
  <c r="AD230" i="59"/>
  <c r="AE230" i="59"/>
  <c r="AF230" i="59"/>
  <c r="AG230" i="59"/>
  <c r="AH230" i="59"/>
  <c r="AI230" i="59"/>
  <c r="AJ230" i="59"/>
  <c r="AK230" i="59"/>
  <c r="AL230" i="59"/>
  <c r="BY230" i="59"/>
  <c r="CC230" i="59"/>
  <c r="CD230" i="59"/>
  <c r="CE230" i="59"/>
  <c r="CF230" i="59"/>
  <c r="CG230" i="59"/>
  <c r="CH230" i="59"/>
  <c r="CI230" i="59"/>
  <c r="CJ230" i="59"/>
  <c r="DW230" i="59"/>
  <c r="EA230" i="59"/>
  <c r="EB230" i="59"/>
  <c r="EC230" i="59"/>
  <c r="ED230" i="59"/>
  <c r="EE230" i="59"/>
  <c r="EF230" i="59"/>
  <c r="EG230" i="59"/>
  <c r="FT230" i="59"/>
  <c r="FX230" i="59"/>
  <c r="FY230" i="59"/>
  <c r="FZ230" i="59"/>
  <c r="GA230" i="59"/>
  <c r="GB230" i="59"/>
  <c r="GC230" i="59"/>
  <c r="GD230" i="59"/>
  <c r="GE230" i="59"/>
  <c r="GF230" i="59"/>
  <c r="GG230" i="59"/>
  <c r="GH230" i="59"/>
  <c r="GI230" i="59"/>
  <c r="GJ230" i="59"/>
  <c r="GK230" i="59"/>
  <c r="GL230" i="59"/>
  <c r="GM230" i="59"/>
  <c r="GN230" i="59"/>
  <c r="GO230" i="59"/>
  <c r="GP230" i="59"/>
  <c r="GQ230" i="59"/>
  <c r="GR230" i="59"/>
  <c r="GS230" i="59"/>
  <c r="GT230" i="59"/>
  <c r="GU230" i="59"/>
  <c r="GV230" i="59"/>
  <c r="GW230" i="59"/>
  <c r="GX230" i="59"/>
  <c r="GY230" i="59"/>
  <c r="GZ230" i="59"/>
  <c r="HA230" i="59"/>
  <c r="HB230" i="59"/>
  <c r="HC230" i="59"/>
  <c r="HD230" i="59"/>
  <c r="HE230" i="59"/>
  <c r="HF230" i="59"/>
  <c r="HG230" i="59"/>
  <c r="HH230" i="59"/>
  <c r="HI230" i="59"/>
  <c r="HJ230" i="59"/>
  <c r="HK230" i="59"/>
  <c r="HL230" i="59"/>
  <c r="HM230" i="59"/>
  <c r="HN230" i="59"/>
  <c r="HO230" i="59"/>
  <c r="HP230" i="59"/>
  <c r="HQ230" i="59"/>
  <c r="HR230" i="59"/>
  <c r="HS230" i="59"/>
  <c r="HT230" i="59"/>
  <c r="HU230" i="59"/>
  <c r="HV230" i="59"/>
  <c r="HW230" i="59"/>
  <c r="HX230" i="59"/>
  <c r="HY230" i="59"/>
  <c r="HZ230" i="59"/>
  <c r="IA230" i="59"/>
  <c r="IB230" i="59"/>
  <c r="IC230" i="59"/>
  <c r="Y231" i="59"/>
  <c r="AB231" i="59"/>
  <c r="AC231" i="59"/>
  <c r="AD231" i="59"/>
  <c r="AE231" i="59"/>
  <c r="AF231" i="59"/>
  <c r="AG231" i="59"/>
  <c r="AH231" i="59"/>
  <c r="AI231" i="59"/>
  <c r="AJ231" i="59"/>
  <c r="BW231" i="59"/>
  <c r="BZ231" i="59"/>
  <c r="CA231" i="59"/>
  <c r="CB231" i="59"/>
  <c r="CC231" i="59"/>
  <c r="CD231" i="59"/>
  <c r="CE231" i="59"/>
  <c r="CF231" i="59"/>
  <c r="CG231" i="59"/>
  <c r="CH231" i="59"/>
  <c r="DU231" i="59"/>
  <c r="DX231" i="59"/>
  <c r="DY231" i="59"/>
  <c r="DZ231" i="59"/>
  <c r="EA231" i="59"/>
  <c r="EB231" i="59"/>
  <c r="EC231" i="59"/>
  <c r="ED231" i="59"/>
  <c r="EE231" i="59"/>
  <c r="EF231" i="59"/>
  <c r="EG231" i="59"/>
  <c r="EH231" i="59"/>
  <c r="EI231" i="59"/>
  <c r="EJ231" i="59"/>
  <c r="EK231" i="59"/>
  <c r="EL231" i="59"/>
  <c r="EM231" i="59"/>
  <c r="EN231" i="59"/>
  <c r="EO231" i="59"/>
  <c r="EP231" i="59"/>
  <c r="EQ231" i="59"/>
  <c r="ER231" i="59"/>
  <c r="ES231" i="59"/>
  <c r="ET231" i="59"/>
  <c r="EU231" i="59"/>
  <c r="EV231" i="59"/>
  <c r="EW231" i="59"/>
  <c r="EX231" i="59"/>
  <c r="EY231" i="59"/>
  <c r="EZ231" i="59"/>
  <c r="FA231" i="59"/>
  <c r="FB231" i="59"/>
  <c r="FC231" i="59"/>
  <c r="FD231" i="59"/>
  <c r="FE231" i="59"/>
  <c r="FF231" i="59"/>
  <c r="FG231" i="59"/>
  <c r="FH231" i="59"/>
  <c r="FI231" i="59"/>
  <c r="FJ231" i="59"/>
  <c r="FK231" i="59"/>
  <c r="FL231" i="59"/>
  <c r="FM231" i="59"/>
  <c r="FN231" i="59"/>
  <c r="FO231" i="59"/>
  <c r="FP231" i="59"/>
  <c r="FQ231" i="59"/>
  <c r="FR231" i="59"/>
  <c r="FS231" i="59"/>
  <c r="FT231" i="59"/>
  <c r="FU231" i="59"/>
  <c r="FV231" i="59"/>
  <c r="FW231" i="59"/>
  <c r="FX231" i="59"/>
  <c r="FY231" i="59"/>
  <c r="FZ231" i="59"/>
  <c r="GA231" i="59"/>
  <c r="GB231" i="59"/>
  <c r="GC231" i="59"/>
  <c r="GD231" i="59"/>
  <c r="HQ231" i="59"/>
  <c r="HT231" i="59"/>
  <c r="HU231" i="59"/>
  <c r="HV231" i="59"/>
  <c r="HW231" i="59"/>
  <c r="HX231" i="59"/>
  <c r="HY231" i="59"/>
  <c r="HZ231" i="59"/>
  <c r="IA231" i="59"/>
  <c r="IB231" i="59"/>
  <c r="X232" i="59"/>
  <c r="AB232" i="59"/>
  <c r="AC232" i="59"/>
  <c r="AD232" i="59"/>
  <c r="AE232" i="59"/>
  <c r="AF232" i="59"/>
  <c r="AG232" i="59"/>
  <c r="AH232" i="59"/>
  <c r="AI232" i="59"/>
  <c r="BV232" i="59"/>
  <c r="BZ232" i="59"/>
  <c r="CA232" i="59"/>
  <c r="CB232" i="59"/>
  <c r="CC232" i="59"/>
  <c r="CD232" i="59"/>
  <c r="CE232" i="59"/>
  <c r="CF232" i="59"/>
  <c r="CG232" i="59"/>
  <c r="DT232" i="59"/>
  <c r="DW232" i="59"/>
  <c r="DX232" i="59"/>
  <c r="DY232" i="59"/>
  <c r="DZ232" i="59"/>
  <c r="EA232" i="59"/>
  <c r="EB232" i="59"/>
  <c r="EC232" i="59"/>
  <c r="ED232" i="59"/>
  <c r="EE232" i="59"/>
  <c r="EF232" i="59"/>
  <c r="EG232" i="59"/>
  <c r="EH232" i="59"/>
  <c r="EI232" i="59"/>
  <c r="EJ232" i="59"/>
  <c r="EK232" i="59"/>
  <c r="EL232" i="59"/>
  <c r="EM232" i="59"/>
  <c r="EN232" i="59"/>
  <c r="EO232" i="59"/>
  <c r="EP232" i="59"/>
  <c r="EQ232" i="59"/>
  <c r="ER232" i="59"/>
  <c r="ES232" i="59"/>
  <c r="ET232" i="59"/>
  <c r="EU232" i="59"/>
  <c r="EV232" i="59"/>
  <c r="EW232" i="59"/>
  <c r="EX232" i="59"/>
  <c r="EY232" i="59"/>
  <c r="EZ232" i="59"/>
  <c r="FA232" i="59"/>
  <c r="FB232" i="59"/>
  <c r="FC232" i="59"/>
  <c r="FD232" i="59"/>
  <c r="FE232" i="59"/>
  <c r="FF232" i="59"/>
  <c r="FG232" i="59"/>
  <c r="FH232" i="59"/>
  <c r="FI232" i="59"/>
  <c r="FJ232" i="59"/>
  <c r="FK232" i="59"/>
  <c r="FL232" i="59"/>
  <c r="FM232" i="59"/>
  <c r="FN232" i="59"/>
  <c r="FO232" i="59"/>
  <c r="FP232" i="59"/>
  <c r="FQ232" i="59"/>
  <c r="FR232" i="59"/>
  <c r="FS232" i="59"/>
  <c r="FT232" i="59"/>
  <c r="FU232" i="59"/>
  <c r="FV232" i="59"/>
  <c r="FW232" i="59"/>
  <c r="FX232" i="59"/>
  <c r="FY232" i="59"/>
  <c r="FZ232" i="59"/>
  <c r="GA232" i="59"/>
  <c r="GB232" i="59"/>
  <c r="GC232" i="59"/>
  <c r="GD232" i="59"/>
  <c r="GE232" i="59"/>
  <c r="GF232" i="59"/>
  <c r="GG232" i="59"/>
  <c r="GH232" i="59"/>
  <c r="GI232" i="59"/>
  <c r="GJ232" i="59"/>
  <c r="GK232" i="59"/>
  <c r="GL232" i="59"/>
  <c r="GM232" i="59"/>
  <c r="GN232" i="59"/>
  <c r="GO232" i="59"/>
  <c r="GP232" i="59"/>
  <c r="GQ232" i="59"/>
  <c r="GR232" i="59"/>
  <c r="GS232" i="59"/>
  <c r="GT232" i="59"/>
  <c r="GU232" i="59"/>
  <c r="GV232" i="59"/>
  <c r="GW232" i="59"/>
  <c r="GX232" i="59"/>
  <c r="GY232" i="59"/>
  <c r="GZ232" i="59"/>
  <c r="HA232" i="59"/>
  <c r="HB232" i="59"/>
  <c r="HC232" i="59"/>
  <c r="HD232" i="59"/>
  <c r="HE232" i="59"/>
  <c r="HF232" i="59"/>
  <c r="HG232" i="59"/>
  <c r="HH232" i="59"/>
  <c r="HI232" i="59"/>
  <c r="HJ232" i="59"/>
  <c r="HK232" i="59"/>
  <c r="HL232" i="59"/>
  <c r="HM232" i="59"/>
  <c r="HN232" i="59"/>
  <c r="HO232" i="59"/>
  <c r="HP232" i="59"/>
  <c r="HQ232" i="59"/>
  <c r="HR232" i="59"/>
  <c r="HS232" i="59"/>
  <c r="HT232" i="59"/>
  <c r="HU232" i="59"/>
  <c r="HV232" i="59"/>
  <c r="HW232" i="59"/>
  <c r="HX232" i="59"/>
  <c r="HY232" i="59"/>
  <c r="HZ232" i="59"/>
  <c r="IA232" i="59"/>
  <c r="IB232" i="59"/>
  <c r="IC232" i="59"/>
  <c r="ID232" i="59"/>
  <c r="IE232" i="59"/>
  <c r="IF232" i="59"/>
  <c r="IG232" i="59"/>
  <c r="IH232" i="59"/>
  <c r="II232" i="59"/>
  <c r="IJ232" i="59"/>
  <c r="IK232" i="59"/>
  <c r="IL232" i="59"/>
  <c r="IM232" i="59"/>
  <c r="IN232" i="59"/>
  <c r="IO232" i="59"/>
  <c r="IP232" i="59"/>
  <c r="IQ232" i="59"/>
  <c r="IR232" i="59"/>
  <c r="IS232" i="59"/>
  <c r="IT232" i="59"/>
  <c r="IU232" i="59"/>
  <c r="IV232" i="59"/>
  <c r="F233" i="59"/>
  <c r="G233" i="59"/>
  <c r="H233" i="59"/>
  <c r="I233" i="59"/>
  <c r="J233" i="59"/>
  <c r="K233" i="59"/>
  <c r="L233" i="59"/>
  <c r="M233" i="59"/>
  <c r="N233" i="59"/>
  <c r="O233" i="59"/>
  <c r="P233" i="59"/>
  <c r="Q233" i="59"/>
  <c r="R233" i="59"/>
  <c r="S233" i="59"/>
  <c r="T233" i="59"/>
  <c r="U233" i="59"/>
  <c r="V233" i="59"/>
  <c r="W233" i="59"/>
  <c r="X233" i="59"/>
  <c r="Y233" i="59"/>
  <c r="Z233" i="59"/>
  <c r="AA233" i="59"/>
  <c r="AB233" i="59"/>
  <c r="AC233" i="59"/>
  <c r="AD233" i="59"/>
  <c r="AE233" i="59"/>
  <c r="AF233" i="59"/>
  <c r="AG233" i="59"/>
  <c r="AH233" i="59"/>
  <c r="BU233" i="59"/>
  <c r="BV233" i="59"/>
  <c r="BW233" i="59"/>
  <c r="BX233" i="59"/>
  <c r="BY233" i="59"/>
  <c r="BZ233" i="59"/>
  <c r="CA233" i="59"/>
  <c r="CB233" i="59"/>
  <c r="CC233" i="59"/>
  <c r="CD233" i="59"/>
  <c r="CE233" i="59"/>
  <c r="CF233" i="59"/>
  <c r="DS233" i="59"/>
  <c r="DT233" i="59"/>
  <c r="DU233" i="59"/>
  <c r="DV233" i="59"/>
  <c r="DW233" i="59"/>
  <c r="DX233" i="59"/>
  <c r="DY233" i="59"/>
  <c r="DZ233" i="59"/>
  <c r="EA233" i="59"/>
  <c r="EB233" i="59"/>
  <c r="EC233" i="59"/>
  <c r="ED233" i="59"/>
  <c r="FQ233" i="59"/>
  <c r="FR233" i="59"/>
  <c r="FS233" i="59"/>
  <c r="FT233" i="59"/>
  <c r="FU233" i="59"/>
  <c r="FV233" i="59"/>
  <c r="FW233" i="59"/>
  <c r="FX233" i="59"/>
  <c r="FY233" i="59"/>
  <c r="FZ233" i="59"/>
  <c r="GA233" i="59"/>
  <c r="GB233" i="59"/>
  <c r="GC233" i="59"/>
  <c r="GD233" i="59"/>
  <c r="GE233" i="59"/>
  <c r="GF233" i="59"/>
  <c r="GG233" i="59"/>
  <c r="GH233" i="59"/>
  <c r="GI233" i="59"/>
  <c r="GJ233" i="59"/>
  <c r="GK233" i="59"/>
  <c r="GL233" i="59"/>
  <c r="GM233" i="59"/>
  <c r="GN233" i="59"/>
  <c r="GO233" i="59"/>
  <c r="GP233" i="59"/>
  <c r="GQ233" i="59"/>
  <c r="GR233" i="59"/>
  <c r="GS233" i="59"/>
  <c r="GT233" i="59"/>
  <c r="GU233" i="59"/>
  <c r="GV233" i="59"/>
  <c r="GW233" i="59"/>
  <c r="GX233" i="59"/>
  <c r="GY233" i="59"/>
  <c r="GZ233" i="59"/>
  <c r="HA233" i="59"/>
  <c r="HB233" i="59"/>
  <c r="HC233" i="59"/>
  <c r="HD233" i="59"/>
  <c r="HE233" i="59"/>
  <c r="HF233" i="59"/>
  <c r="HG233" i="59"/>
  <c r="HH233" i="59"/>
  <c r="HI233" i="59"/>
  <c r="HJ233" i="59"/>
  <c r="HK233" i="59"/>
  <c r="HL233" i="59"/>
  <c r="HM233" i="59"/>
  <c r="HN233" i="59"/>
  <c r="HO233" i="59"/>
  <c r="HP233" i="59"/>
  <c r="HQ233" i="59"/>
  <c r="HR233" i="59"/>
  <c r="HS233" i="59"/>
  <c r="HT233" i="59"/>
  <c r="HU233" i="59"/>
  <c r="HV233" i="59"/>
  <c r="HW233" i="59"/>
  <c r="HX233" i="59"/>
  <c r="HY233" i="59"/>
  <c r="HZ233" i="59"/>
  <c r="V234" i="59"/>
  <c r="W234" i="59"/>
  <c r="X234" i="59"/>
  <c r="Y234" i="59"/>
  <c r="Z234" i="59"/>
  <c r="AA234" i="59"/>
  <c r="AB234" i="59"/>
  <c r="AC234" i="59"/>
  <c r="AD234" i="59"/>
  <c r="AE234" i="59"/>
  <c r="AF234" i="59"/>
  <c r="AG234" i="59"/>
  <c r="BT234" i="59"/>
  <c r="BU234" i="59"/>
  <c r="BV234" i="59"/>
  <c r="BW234" i="59"/>
  <c r="BX234" i="59"/>
  <c r="BY234" i="59"/>
  <c r="BZ234" i="59"/>
  <c r="CA234" i="59"/>
  <c r="CB234" i="59"/>
  <c r="CC234" i="59"/>
  <c r="CD234" i="59"/>
  <c r="CE234" i="59"/>
  <c r="DR234" i="59"/>
  <c r="DS234" i="59"/>
  <c r="DT234" i="59"/>
  <c r="DU234" i="59"/>
  <c r="DV234" i="59"/>
  <c r="DW234" i="59"/>
  <c r="DX234" i="59"/>
  <c r="DY234" i="59"/>
  <c r="DZ234" i="59"/>
  <c r="EA234" i="59"/>
  <c r="EB234" i="59"/>
  <c r="EC234" i="59"/>
  <c r="ED234" i="59"/>
  <c r="EE234" i="59"/>
  <c r="EF234" i="59"/>
  <c r="EG234" i="59"/>
  <c r="EH234" i="59"/>
  <c r="EI234" i="59"/>
  <c r="EJ234" i="59"/>
  <c r="EK234" i="59"/>
  <c r="EL234" i="59"/>
  <c r="EM234" i="59"/>
  <c r="EN234" i="59"/>
  <c r="EO234" i="59"/>
  <c r="EP234" i="59"/>
  <c r="EQ234" i="59"/>
  <c r="ER234" i="59"/>
  <c r="ES234" i="59"/>
  <c r="ET234" i="59"/>
  <c r="EU234" i="59"/>
  <c r="EV234" i="59"/>
  <c r="EW234" i="59"/>
  <c r="EX234" i="59"/>
  <c r="EY234" i="59"/>
  <c r="EZ234" i="59"/>
  <c r="FA234" i="59"/>
  <c r="FB234" i="59"/>
  <c r="FC234" i="59"/>
  <c r="FD234" i="59"/>
  <c r="FE234" i="59"/>
  <c r="FF234" i="59"/>
  <c r="FG234" i="59"/>
  <c r="FH234" i="59"/>
  <c r="FI234" i="59"/>
  <c r="FJ234" i="59"/>
  <c r="FK234" i="59"/>
  <c r="FL234" i="59"/>
  <c r="FM234" i="59"/>
  <c r="FN234" i="59"/>
  <c r="FO234" i="59"/>
  <c r="FP234" i="59"/>
  <c r="FQ234" i="59"/>
  <c r="FR234" i="59"/>
  <c r="FS234" i="59"/>
  <c r="FT234" i="59"/>
  <c r="FU234" i="59"/>
  <c r="FV234" i="59"/>
  <c r="FW234" i="59"/>
  <c r="FX234" i="59"/>
  <c r="FY234" i="59"/>
  <c r="FZ234" i="59"/>
  <c r="GA234" i="59"/>
  <c r="HN234" i="59"/>
  <c r="HO234" i="59"/>
  <c r="HP234" i="59"/>
  <c r="HQ234" i="59"/>
  <c r="HR234" i="59"/>
  <c r="HS234" i="59"/>
  <c r="HT234" i="59"/>
  <c r="HU234" i="59"/>
  <c r="HV234" i="59"/>
  <c r="HW234" i="59"/>
  <c r="HX234" i="59"/>
  <c r="HY234" i="59"/>
  <c r="U235" i="59"/>
  <c r="V235" i="59"/>
  <c r="W235" i="59"/>
  <c r="X235" i="59"/>
  <c r="Y235" i="59"/>
  <c r="Z235" i="59"/>
  <c r="AA235" i="59"/>
  <c r="AB235" i="59"/>
  <c r="AC235" i="59"/>
  <c r="AD235" i="59"/>
  <c r="AE235" i="59"/>
  <c r="AF235" i="59"/>
  <c r="AG235" i="59"/>
  <c r="AH235" i="59"/>
  <c r="BU235" i="59"/>
  <c r="BV235" i="59"/>
  <c r="BW235" i="59"/>
  <c r="BX235" i="59"/>
  <c r="BY235" i="59"/>
  <c r="BZ235" i="59"/>
  <c r="CA235" i="59"/>
  <c r="CB235" i="59"/>
  <c r="CC235" i="59"/>
  <c r="CD235" i="59"/>
  <c r="CE235" i="59"/>
  <c r="CF235" i="59"/>
  <c r="CG235" i="59"/>
  <c r="CH235" i="59"/>
  <c r="DU235" i="59"/>
  <c r="DV235" i="59"/>
  <c r="DW235" i="59"/>
  <c r="DX235" i="59"/>
  <c r="DY235" i="59"/>
  <c r="DZ235" i="59"/>
  <c r="EA235" i="59"/>
  <c r="EB235" i="59"/>
  <c r="EC235" i="59"/>
  <c r="ED235" i="59"/>
  <c r="EE235" i="59"/>
  <c r="EF235" i="59"/>
  <c r="EG235" i="59"/>
  <c r="EH235" i="59"/>
  <c r="EI235" i="59"/>
  <c r="EJ235" i="59"/>
  <c r="EK235" i="59"/>
  <c r="EL235" i="59"/>
  <c r="EM235" i="59"/>
  <c r="EN235" i="59"/>
  <c r="EO235" i="59"/>
  <c r="EP235" i="59"/>
  <c r="EQ235" i="59"/>
  <c r="ER235" i="59"/>
  <c r="ES235" i="59"/>
  <c r="ET235" i="59"/>
  <c r="EU235" i="59"/>
  <c r="EV235" i="59"/>
  <c r="EW235" i="59"/>
  <c r="EX235" i="59"/>
  <c r="EY235" i="59"/>
  <c r="EZ235" i="59"/>
  <c r="FA235" i="59"/>
  <c r="FB235" i="59"/>
  <c r="FC235" i="59"/>
  <c r="FD235" i="59"/>
  <c r="FE235" i="59"/>
  <c r="FF235" i="59"/>
  <c r="FG235" i="59"/>
  <c r="FH235" i="59"/>
  <c r="FI235" i="59"/>
  <c r="FJ235" i="59"/>
  <c r="FK235" i="59"/>
  <c r="FL235" i="59"/>
  <c r="FM235" i="59"/>
  <c r="FN235" i="59"/>
  <c r="FO235" i="59"/>
  <c r="FP235" i="59"/>
  <c r="FQ235" i="59"/>
  <c r="FR235" i="59"/>
  <c r="FS235" i="59"/>
  <c r="FT235" i="59"/>
  <c r="FU235" i="59"/>
  <c r="FV235" i="59"/>
  <c r="FW235" i="59"/>
  <c r="FX235" i="59"/>
  <c r="FY235" i="59"/>
  <c r="FZ235" i="59"/>
  <c r="GA235" i="59"/>
  <c r="GB235" i="59"/>
  <c r="GC235" i="59"/>
  <c r="GD235" i="59"/>
  <c r="GE235" i="59"/>
  <c r="GF235" i="59"/>
  <c r="GG235" i="59"/>
  <c r="GH235" i="59"/>
  <c r="GI235" i="59"/>
  <c r="GJ235" i="59"/>
  <c r="GK235" i="59"/>
  <c r="GL235" i="59"/>
  <c r="GM235" i="59"/>
  <c r="GN235" i="59"/>
  <c r="GO235" i="59"/>
  <c r="GP235" i="59"/>
  <c r="GQ235" i="59"/>
  <c r="GR235" i="59"/>
  <c r="GS235" i="59"/>
  <c r="GT235" i="59"/>
  <c r="GU235" i="59"/>
  <c r="GV235" i="59"/>
  <c r="GW235" i="59"/>
  <c r="GX235" i="59"/>
  <c r="GY235" i="59"/>
  <c r="GZ235" i="59"/>
  <c r="HA235" i="59"/>
  <c r="HB235" i="59"/>
  <c r="HC235" i="59"/>
  <c r="HD235" i="59"/>
  <c r="HE235" i="59"/>
  <c r="HF235" i="59"/>
  <c r="HG235" i="59"/>
  <c r="HH235" i="59"/>
  <c r="HI235" i="59"/>
  <c r="HJ235" i="59"/>
  <c r="HK235" i="59"/>
  <c r="HL235" i="59"/>
  <c r="HM235" i="59"/>
  <c r="HN235" i="59"/>
  <c r="HO235" i="59"/>
  <c r="HP235" i="59"/>
  <c r="HQ235" i="59"/>
  <c r="HR235" i="59"/>
  <c r="HS235" i="59"/>
  <c r="HT235" i="59"/>
  <c r="HU235" i="59"/>
  <c r="HV235" i="59"/>
  <c r="HW235" i="59"/>
  <c r="HX235" i="59"/>
  <c r="HY235" i="59"/>
  <c r="HZ235" i="59"/>
  <c r="IA235" i="59"/>
  <c r="IB235" i="59"/>
  <c r="IC235" i="59"/>
  <c r="ID235" i="59"/>
  <c r="IE235" i="59"/>
  <c r="IF235" i="59"/>
  <c r="IG235" i="59"/>
  <c r="IH235" i="59"/>
  <c r="II235" i="59"/>
  <c r="IJ235" i="59"/>
  <c r="IK235" i="59"/>
  <c r="IL235" i="59"/>
  <c r="IM235" i="59"/>
  <c r="IN235" i="59"/>
  <c r="IO235" i="59"/>
  <c r="IP235" i="59"/>
  <c r="IQ235" i="59"/>
  <c r="IR235" i="59"/>
  <c r="IS235" i="59"/>
  <c r="IT235" i="59"/>
  <c r="IU235" i="59"/>
  <c r="IV235" i="59"/>
  <c r="F236" i="59"/>
  <c r="G236" i="59"/>
  <c r="H236" i="59"/>
  <c r="I236" i="59"/>
  <c r="J236" i="59"/>
  <c r="K236" i="59"/>
  <c r="L236" i="59"/>
  <c r="M236" i="59"/>
  <c r="N236" i="59"/>
  <c r="O236" i="59"/>
  <c r="P236" i="59"/>
  <c r="Q236" i="59"/>
  <c r="R236" i="59"/>
  <c r="S236" i="59"/>
  <c r="T236" i="59"/>
  <c r="U236" i="59"/>
  <c r="V236" i="59"/>
  <c r="W236" i="59"/>
  <c r="X236" i="59"/>
  <c r="Y236" i="59"/>
  <c r="Z236" i="59"/>
  <c r="AA236" i="59"/>
  <c r="AB236" i="59"/>
  <c r="AC236" i="59"/>
  <c r="AD236" i="59"/>
  <c r="AE236" i="59"/>
  <c r="AF236" i="59"/>
  <c r="AG236" i="59"/>
  <c r="AH236" i="59"/>
  <c r="AI236" i="59"/>
  <c r="AJ236" i="59"/>
  <c r="AK236" i="59"/>
  <c r="AL236" i="59"/>
  <c r="AM236" i="59"/>
  <c r="AN236" i="59"/>
  <c r="AO236" i="59"/>
  <c r="CB236" i="59"/>
  <c r="CC236" i="59"/>
  <c r="CD236" i="59"/>
  <c r="CE236" i="59"/>
  <c r="CF236" i="59"/>
  <c r="CG236" i="59"/>
  <c r="CH236" i="59"/>
  <c r="CI236" i="59"/>
  <c r="CJ236" i="59"/>
  <c r="CK236" i="59"/>
  <c r="CL236" i="59"/>
  <c r="CM236" i="59"/>
  <c r="CN236" i="59"/>
  <c r="CO236" i="59"/>
  <c r="EB236" i="59"/>
  <c r="EC236" i="59"/>
  <c r="ED236" i="59"/>
  <c r="EE236" i="59"/>
  <c r="EF236" i="59"/>
  <c r="EG236" i="59"/>
  <c r="EH236" i="59"/>
  <c r="EI236" i="59"/>
  <c r="EJ236" i="59"/>
  <c r="EK236" i="59"/>
  <c r="EL236" i="59"/>
  <c r="EM236" i="59"/>
  <c r="EN236" i="59"/>
  <c r="EO236" i="59"/>
  <c r="GB236" i="59"/>
  <c r="GC236" i="59"/>
  <c r="GD236" i="59"/>
  <c r="GE236" i="59"/>
  <c r="GF236" i="59"/>
  <c r="GG236" i="59"/>
  <c r="GH236" i="59"/>
  <c r="GI236" i="59"/>
  <c r="GJ236" i="59"/>
  <c r="GK236" i="59"/>
  <c r="GL236" i="59"/>
  <c r="GM236" i="59"/>
  <c r="GN236" i="59"/>
  <c r="GO236" i="59"/>
  <c r="IB236" i="59"/>
  <c r="IC236" i="59"/>
  <c r="ID236" i="59"/>
  <c r="IE236" i="59"/>
  <c r="IF236" i="59"/>
  <c r="IG236" i="59"/>
  <c r="IH236" i="59"/>
  <c r="II236" i="59"/>
  <c r="IJ236" i="59"/>
  <c r="IK236" i="59"/>
  <c r="IL236" i="59"/>
  <c r="IM236" i="59"/>
  <c r="IN236" i="59"/>
  <c r="IO236" i="59"/>
  <c r="IP236" i="59"/>
  <c r="IQ236" i="59"/>
  <c r="IR236" i="59"/>
  <c r="IS236" i="59"/>
  <c r="IT236" i="59"/>
  <c r="IU236" i="59"/>
  <c r="IV236" i="59"/>
  <c r="F237" i="59"/>
  <c r="G237" i="59"/>
  <c r="H237" i="59"/>
  <c r="I237" i="59"/>
  <c r="J237" i="59"/>
  <c r="K237" i="59"/>
  <c r="L237" i="59"/>
  <c r="M237" i="59"/>
  <c r="N237" i="59"/>
  <c r="O237" i="59"/>
  <c r="P237" i="59"/>
  <c r="Q237" i="59"/>
  <c r="R237" i="59"/>
  <c r="S237" i="59"/>
  <c r="T237" i="59"/>
  <c r="U237" i="59"/>
  <c r="V237" i="59"/>
  <c r="W237" i="59"/>
  <c r="X237" i="59"/>
  <c r="Y237" i="59"/>
  <c r="Z237" i="59"/>
  <c r="AA237" i="59"/>
  <c r="AB237" i="59"/>
  <c r="AC237" i="59"/>
  <c r="AD237" i="59"/>
  <c r="AE237" i="59"/>
  <c r="AF237" i="59"/>
  <c r="AG237" i="59"/>
  <c r="AH237" i="59"/>
  <c r="AI237" i="59"/>
  <c r="AJ237" i="59"/>
  <c r="AK237" i="59"/>
  <c r="AL237" i="59"/>
  <c r="AM237" i="59"/>
  <c r="AN237" i="59"/>
  <c r="AO237" i="59"/>
  <c r="AP237" i="59"/>
  <c r="AQ237" i="59"/>
  <c r="AR237" i="59"/>
  <c r="AS237" i="59"/>
  <c r="AT237" i="59"/>
  <c r="AU237" i="59"/>
  <c r="AV237" i="59"/>
  <c r="AW237" i="59"/>
  <c r="AX237" i="59"/>
  <c r="AY237" i="59"/>
  <c r="AZ237" i="59"/>
  <c r="BA237" i="59"/>
  <c r="BB237" i="59"/>
  <c r="BC237" i="59"/>
  <c r="BD237" i="59"/>
  <c r="BE237" i="59"/>
  <c r="BF237" i="59"/>
  <c r="BG237" i="59"/>
  <c r="BH237" i="59"/>
  <c r="BI237" i="59"/>
  <c r="BJ237" i="59"/>
  <c r="BK237" i="59"/>
  <c r="BL237" i="59"/>
  <c r="BM237" i="59"/>
  <c r="BN237" i="59"/>
  <c r="BO237" i="59"/>
  <c r="BP237" i="59"/>
  <c r="BQ237" i="59"/>
  <c r="BR237" i="59"/>
  <c r="BS237" i="59"/>
  <c r="BT237" i="59"/>
  <c r="BU237" i="59"/>
  <c r="BV237" i="59"/>
  <c r="BW237" i="59"/>
  <c r="BX237" i="59"/>
  <c r="BY237" i="59"/>
  <c r="BZ237" i="59"/>
  <c r="CA237" i="59"/>
  <c r="CB237" i="59"/>
  <c r="CC237" i="59"/>
  <c r="CD237" i="59"/>
  <c r="CE237" i="59"/>
  <c r="CF237" i="59"/>
  <c r="CG237" i="59"/>
  <c r="CH237" i="59"/>
  <c r="CI237" i="59"/>
  <c r="CJ237" i="59"/>
  <c r="CK237" i="59"/>
  <c r="CL237" i="59"/>
  <c r="CM237" i="59"/>
  <c r="CN237" i="59"/>
  <c r="CO237" i="59"/>
  <c r="CP237" i="59"/>
  <c r="CQ237" i="59"/>
  <c r="CR237" i="59"/>
  <c r="CS237" i="59"/>
  <c r="CT237" i="59"/>
  <c r="CU237" i="59"/>
  <c r="CV237" i="59"/>
  <c r="CW237" i="59"/>
  <c r="CX237" i="59"/>
  <c r="CY237" i="59"/>
  <c r="CZ237" i="59"/>
  <c r="DA237" i="59"/>
  <c r="DB237" i="59"/>
  <c r="DC237" i="59"/>
  <c r="DD237" i="59"/>
  <c r="DE237" i="59"/>
  <c r="DF237" i="59"/>
  <c r="DG237" i="59"/>
  <c r="DH237" i="59"/>
  <c r="DI237" i="59"/>
  <c r="DJ237" i="59"/>
  <c r="DK237" i="59"/>
  <c r="DL237" i="59"/>
  <c r="DM237" i="59"/>
  <c r="DN237" i="59"/>
  <c r="DO237" i="59"/>
  <c r="DP237" i="59"/>
  <c r="DQ237" i="59"/>
  <c r="DR237" i="59"/>
  <c r="DS237" i="59"/>
  <c r="DT237" i="59"/>
  <c r="DU237" i="59"/>
  <c r="DV237" i="59"/>
  <c r="DW237" i="59"/>
  <c r="DX237" i="59"/>
  <c r="DY237" i="59"/>
  <c r="DZ237" i="59"/>
  <c r="EA237" i="59"/>
  <c r="EB237" i="59"/>
  <c r="EC237" i="59"/>
  <c r="ED237" i="59"/>
  <c r="EE237" i="59"/>
  <c r="EF237" i="59"/>
  <c r="EG237" i="59"/>
  <c r="EH237" i="59"/>
  <c r="EI237" i="59"/>
  <c r="EJ237" i="59"/>
  <c r="EK237" i="59"/>
  <c r="EL237" i="59"/>
  <c r="EM237" i="59"/>
  <c r="EN237" i="59"/>
  <c r="EO237" i="59"/>
  <c r="EP237" i="59"/>
  <c r="EQ237" i="59"/>
  <c r="ER237" i="59"/>
  <c r="ES237" i="59"/>
  <c r="ET237" i="59"/>
  <c r="EU237" i="59"/>
  <c r="EV237" i="59"/>
  <c r="EW237" i="59"/>
  <c r="EX237" i="59"/>
  <c r="GK237" i="59"/>
  <c r="GL237" i="59"/>
  <c r="GM237" i="59"/>
  <c r="GN237" i="59"/>
  <c r="GO237" i="59"/>
  <c r="GP237" i="59"/>
  <c r="GQ237" i="59"/>
  <c r="GR237" i="59"/>
  <c r="GS237" i="59"/>
  <c r="GT237" i="59"/>
  <c r="GU237" i="59"/>
  <c r="GV237" i="59"/>
  <c r="GW237" i="59"/>
  <c r="GX237" i="59"/>
  <c r="IK237" i="59"/>
  <c r="IL237" i="59"/>
  <c r="IM237" i="59"/>
  <c r="IN237" i="59"/>
  <c r="IO237" i="59"/>
  <c r="IP237" i="59"/>
  <c r="IQ237" i="59"/>
  <c r="IR237" i="59"/>
  <c r="IS237" i="59"/>
  <c r="IT237" i="59"/>
  <c r="IU237" i="59"/>
  <c r="IV237" i="59"/>
  <c r="F238" i="59"/>
  <c r="G238" i="59"/>
  <c r="AT238" i="59"/>
  <c r="AU238" i="59"/>
  <c r="AV238" i="59"/>
  <c r="AW238" i="59"/>
  <c r="AX238" i="59"/>
  <c r="AY238" i="59"/>
  <c r="AZ238" i="59"/>
  <c r="BA238" i="59"/>
  <c r="BB238" i="59"/>
  <c r="BC238" i="59"/>
  <c r="BD238" i="59"/>
  <c r="BE238" i="59"/>
  <c r="BF238" i="59"/>
  <c r="BG238" i="59"/>
  <c r="CT238" i="59"/>
  <c r="CU238" i="59"/>
  <c r="CV238" i="59"/>
  <c r="CW238" i="59"/>
  <c r="CX238" i="59"/>
  <c r="CY238" i="59"/>
  <c r="CZ238" i="59"/>
  <c r="DA238" i="59"/>
  <c r="DB238" i="59"/>
  <c r="DC238" i="59"/>
  <c r="DD238" i="59"/>
  <c r="DE238" i="59"/>
  <c r="DF238" i="59"/>
  <c r="DG238" i="59"/>
  <c r="DH238" i="59"/>
  <c r="DI238" i="59"/>
  <c r="DJ238" i="59"/>
  <c r="DK238" i="59"/>
  <c r="DL238" i="59"/>
  <c r="DM238" i="59"/>
  <c r="DN238" i="59"/>
  <c r="DO238" i="59"/>
  <c r="DP238" i="59"/>
  <c r="DQ238" i="59"/>
  <c r="DR238" i="59"/>
  <c r="DS238" i="59"/>
  <c r="DT238" i="59"/>
  <c r="DU238" i="59"/>
  <c r="DV238" i="59"/>
  <c r="DW238" i="59"/>
  <c r="DX238" i="59"/>
  <c r="DY238" i="59"/>
  <c r="DZ238" i="59"/>
  <c r="EA238" i="59"/>
  <c r="EB238" i="59"/>
  <c r="EC238" i="59"/>
  <c r="ED238" i="59"/>
  <c r="EE238" i="59"/>
  <c r="EF238" i="59"/>
  <c r="EG238" i="59"/>
  <c r="EH238" i="59"/>
  <c r="EI238" i="59"/>
  <c r="EJ238" i="59"/>
  <c r="EK238" i="59"/>
  <c r="EL238" i="59"/>
  <c r="EM238" i="59"/>
  <c r="EN238" i="59"/>
  <c r="EO238" i="59"/>
  <c r="EP238" i="59"/>
  <c r="EQ238" i="59"/>
  <c r="ER238" i="59"/>
  <c r="ES238" i="59"/>
  <c r="ET238" i="59"/>
  <c r="EU238" i="59"/>
  <c r="EV238" i="59"/>
  <c r="EW238" i="59"/>
  <c r="EX238" i="59"/>
  <c r="EY238" i="59"/>
  <c r="EZ238" i="59"/>
  <c r="FA238" i="59"/>
  <c r="FB238" i="59"/>
  <c r="FC238" i="59"/>
  <c r="FD238" i="59"/>
  <c r="FE238" i="59"/>
  <c r="FF238" i="59"/>
  <c r="FG238" i="59"/>
  <c r="FH238" i="59"/>
  <c r="FI238" i="59"/>
  <c r="FJ238" i="59"/>
  <c r="FK238" i="59"/>
  <c r="FL238" i="59"/>
  <c r="FM238" i="59"/>
  <c r="FN238" i="59"/>
  <c r="FO238" i="59"/>
  <c r="FP238" i="59"/>
  <c r="FQ238" i="59"/>
  <c r="FR238" i="59"/>
  <c r="FS238" i="59"/>
  <c r="FT238" i="59"/>
  <c r="FU238" i="59"/>
  <c r="FV238" i="59"/>
  <c r="FW238" i="59"/>
  <c r="FX238" i="59"/>
  <c r="FY238" i="59"/>
  <c r="FZ238" i="59"/>
  <c r="GA238" i="59"/>
  <c r="GB238" i="59"/>
  <c r="GC238" i="59"/>
  <c r="GD238" i="59"/>
  <c r="GE238" i="59"/>
  <c r="GF238" i="59"/>
  <c r="GG238" i="59"/>
  <c r="GH238" i="59"/>
  <c r="GI238" i="59"/>
  <c r="GJ238" i="59"/>
  <c r="GK238" i="59"/>
  <c r="GL238" i="59"/>
  <c r="GM238" i="59"/>
  <c r="GN238" i="59"/>
  <c r="GO238" i="59"/>
  <c r="GP238" i="59"/>
  <c r="GQ238" i="59"/>
  <c r="GR238" i="59"/>
  <c r="GS238" i="59"/>
  <c r="GT238" i="59"/>
  <c r="GU238" i="59"/>
  <c r="GV238" i="59"/>
  <c r="GW238" i="59"/>
  <c r="GX238" i="59"/>
  <c r="GY238" i="59"/>
  <c r="GZ238" i="59"/>
  <c r="HA238" i="59"/>
  <c r="HB238" i="59"/>
  <c r="HC238" i="59"/>
  <c r="HD238" i="59"/>
  <c r="HE238" i="59"/>
  <c r="HF238" i="59"/>
  <c r="HG238" i="59"/>
  <c r="HH238" i="59"/>
  <c r="HI238" i="59"/>
  <c r="HJ238" i="59"/>
  <c r="HK238" i="59"/>
  <c r="HL238" i="59"/>
  <c r="HM238" i="59"/>
  <c r="HN238" i="59"/>
  <c r="HO238" i="59"/>
  <c r="HP238" i="59"/>
  <c r="HQ238" i="59"/>
  <c r="HR238" i="59"/>
  <c r="HS238" i="59"/>
  <c r="HT238" i="59"/>
  <c r="HU238" i="59"/>
  <c r="HV238" i="59"/>
  <c r="HW238" i="59"/>
  <c r="HX238" i="59"/>
  <c r="HY238" i="59"/>
  <c r="HZ238" i="59"/>
  <c r="IA238" i="59"/>
  <c r="IB238" i="59"/>
  <c r="IC238" i="59"/>
  <c r="ID238" i="59"/>
  <c r="IE238" i="59"/>
  <c r="IF238" i="59"/>
  <c r="IG238" i="59"/>
  <c r="IH238" i="59"/>
  <c r="II238" i="59"/>
  <c r="IJ238" i="59"/>
  <c r="IK238" i="59"/>
  <c r="IL238" i="59"/>
  <c r="IM238" i="59"/>
  <c r="IN238" i="59"/>
  <c r="IO238" i="59"/>
  <c r="IP238" i="59"/>
  <c r="IQ238" i="59"/>
  <c r="IR238" i="59"/>
  <c r="IS238" i="59"/>
  <c r="IT238" i="59"/>
  <c r="IU238" i="59"/>
  <c r="IV238" i="59"/>
  <c r="F239" i="59"/>
  <c r="G239" i="59"/>
  <c r="H239" i="59"/>
  <c r="I239" i="59"/>
  <c r="J239" i="59"/>
  <c r="K239" i="59"/>
  <c r="L239" i="59"/>
  <c r="M239" i="59"/>
  <c r="N239" i="59"/>
  <c r="O239" i="59"/>
  <c r="P239" i="59"/>
  <c r="Q239" i="59"/>
  <c r="R239" i="59"/>
  <c r="S239" i="59"/>
  <c r="T239" i="59"/>
  <c r="U239" i="59"/>
  <c r="V239" i="59"/>
  <c r="W239" i="59"/>
  <c r="X239" i="59"/>
  <c r="Y239" i="59"/>
  <c r="Z239" i="59"/>
  <c r="AA239" i="59"/>
  <c r="AB239" i="59"/>
  <c r="AC239" i="59"/>
  <c r="AD239" i="59"/>
  <c r="AE239" i="59"/>
  <c r="AF239" i="59"/>
  <c r="AG239" i="59"/>
  <c r="AH239" i="59"/>
  <c r="AI239" i="59"/>
  <c r="AJ239" i="59"/>
  <c r="AK239" i="59"/>
  <c r="AL239" i="59"/>
  <c r="AM239" i="59"/>
  <c r="AN239" i="59"/>
  <c r="AO239" i="59"/>
  <c r="AP239" i="59"/>
  <c r="AQ239" i="59"/>
  <c r="AR239" i="59"/>
  <c r="AS239" i="59"/>
  <c r="AT239" i="59"/>
  <c r="AU239" i="59"/>
  <c r="AV239" i="59"/>
  <c r="AW239" i="59"/>
  <c r="AX239" i="59"/>
  <c r="AY239" i="59"/>
  <c r="AZ239" i="59"/>
  <c r="BA239" i="59"/>
  <c r="BB239" i="59"/>
  <c r="BC239" i="59"/>
  <c r="BD239" i="59"/>
  <c r="BE239" i="59"/>
  <c r="BF239" i="59"/>
  <c r="BG239" i="59"/>
  <c r="BH239" i="59"/>
  <c r="BI239" i="59"/>
  <c r="BJ239" i="59"/>
  <c r="BK239" i="59"/>
  <c r="BL239" i="59"/>
  <c r="BM239" i="59"/>
  <c r="BN239" i="59"/>
  <c r="BO239" i="59"/>
  <c r="BP239" i="59"/>
  <c r="BR239" i="59"/>
  <c r="BS239" i="59"/>
  <c r="BT239" i="59"/>
  <c r="BU239" i="59"/>
  <c r="BV239" i="59"/>
  <c r="BW239" i="59"/>
  <c r="BX239" i="59"/>
  <c r="BY239" i="59"/>
  <c r="BZ239" i="59"/>
  <c r="CA239" i="59"/>
  <c r="CB239" i="59"/>
  <c r="CC239" i="59"/>
  <c r="CD239" i="59"/>
  <c r="CE239" i="59"/>
  <c r="CF239" i="59"/>
  <c r="CG239" i="59"/>
  <c r="CH239" i="59"/>
  <c r="CI239" i="59"/>
  <c r="CJ239" i="59"/>
  <c r="CK239" i="59"/>
  <c r="CL239" i="59"/>
  <c r="CM239" i="59"/>
  <c r="CN239" i="59"/>
  <c r="CO239" i="59"/>
  <c r="CP239" i="59"/>
  <c r="CQ239" i="59"/>
  <c r="CR239" i="59"/>
  <c r="CS239" i="59"/>
  <c r="CT239" i="59"/>
  <c r="CU239" i="59"/>
  <c r="CV239" i="59"/>
  <c r="CW239" i="59"/>
  <c r="CX239" i="59"/>
  <c r="CY239" i="59"/>
  <c r="CZ239" i="59"/>
  <c r="DA239" i="59"/>
  <c r="DB239" i="59"/>
  <c r="DC239" i="59"/>
  <c r="DD239" i="59"/>
  <c r="DE239" i="59"/>
  <c r="DF239" i="59"/>
  <c r="DG239" i="59"/>
  <c r="DH239" i="59"/>
  <c r="DI239" i="59"/>
  <c r="DJ239" i="59"/>
  <c r="DK239" i="59"/>
  <c r="DL239" i="59"/>
  <c r="DM239" i="59"/>
  <c r="DN239" i="59"/>
  <c r="DO239" i="59"/>
  <c r="DQ239" i="59"/>
  <c r="DR239" i="59"/>
  <c r="DS239" i="59"/>
  <c r="DT239" i="59"/>
  <c r="DU239" i="59"/>
  <c r="DV239" i="59"/>
  <c r="DW239" i="59"/>
  <c r="DX239" i="59"/>
  <c r="DY239" i="59"/>
  <c r="DZ239" i="59"/>
  <c r="EA239" i="59"/>
  <c r="EB239" i="59"/>
  <c r="EC239" i="59"/>
  <c r="ED239" i="59"/>
  <c r="EE239" i="59"/>
  <c r="EF239" i="59"/>
  <c r="EG239" i="59"/>
  <c r="EH239" i="59"/>
  <c r="EI239" i="59"/>
  <c r="EJ239" i="59"/>
  <c r="EK239" i="59"/>
  <c r="EL239" i="59"/>
  <c r="EM239" i="59"/>
  <c r="EN239" i="59"/>
  <c r="EO239" i="59"/>
  <c r="EP239" i="59"/>
  <c r="EQ239" i="59"/>
  <c r="ER239" i="59"/>
  <c r="ES239" i="59"/>
  <c r="ET239" i="59"/>
  <c r="EU239" i="59"/>
  <c r="EV239" i="59"/>
  <c r="EW239" i="59"/>
  <c r="EX239" i="59"/>
  <c r="EY239" i="59"/>
  <c r="EZ239" i="59"/>
  <c r="FA239" i="59"/>
  <c r="FB239" i="59"/>
  <c r="FC239" i="59"/>
  <c r="FD239" i="59"/>
  <c r="FE239" i="59"/>
  <c r="FF239" i="59"/>
  <c r="FG239" i="59"/>
  <c r="FH239" i="59"/>
  <c r="FI239" i="59"/>
  <c r="FJ239" i="59"/>
  <c r="FK239" i="59"/>
  <c r="FL239" i="59"/>
  <c r="FM239" i="59"/>
  <c r="FN239" i="59"/>
  <c r="FP239" i="59"/>
  <c r="FQ239" i="59"/>
  <c r="FR239" i="59"/>
  <c r="FS239" i="59"/>
  <c r="FT239" i="59"/>
  <c r="FU239" i="59"/>
  <c r="FV239" i="59"/>
  <c r="FW239" i="59"/>
  <c r="FX239" i="59"/>
  <c r="FY239" i="59"/>
  <c r="FZ239" i="59"/>
  <c r="GA239" i="59"/>
  <c r="GB239" i="59"/>
  <c r="GC239" i="59"/>
  <c r="GD239" i="59"/>
  <c r="GE239" i="59"/>
  <c r="GF239" i="59"/>
  <c r="GG239" i="59"/>
  <c r="GH239" i="59"/>
  <c r="GI239" i="59"/>
  <c r="GJ239" i="59"/>
  <c r="GK239" i="59"/>
  <c r="GL239" i="59"/>
  <c r="GM239" i="59"/>
  <c r="GN239" i="59"/>
  <c r="GO239" i="59"/>
  <c r="GP239" i="59"/>
  <c r="GQ239" i="59"/>
  <c r="GR239" i="59"/>
  <c r="GS239" i="59"/>
  <c r="GT239" i="59"/>
  <c r="GU239" i="59"/>
  <c r="GV239" i="59"/>
  <c r="GW239" i="59"/>
  <c r="GX239" i="59"/>
  <c r="GY239" i="59"/>
  <c r="GZ239" i="59"/>
  <c r="HA239" i="59"/>
  <c r="HB239" i="59"/>
  <c r="HC239" i="59"/>
  <c r="HD239" i="59"/>
  <c r="HE239" i="59"/>
  <c r="HF239" i="59"/>
  <c r="HG239" i="59"/>
  <c r="HH239" i="59"/>
  <c r="HI239" i="59"/>
  <c r="HJ239" i="59"/>
  <c r="HK239" i="59"/>
  <c r="HL239" i="59"/>
  <c r="HM239" i="59"/>
  <c r="HO239" i="59"/>
  <c r="HP239" i="59"/>
  <c r="HQ239" i="59"/>
  <c r="HR239" i="59"/>
  <c r="HS239" i="59"/>
  <c r="HT239" i="59"/>
  <c r="HU239" i="59"/>
  <c r="HV239" i="59"/>
  <c r="HW239" i="59"/>
  <c r="HX239" i="59"/>
  <c r="HY239" i="59"/>
  <c r="HZ239" i="59"/>
  <c r="IA239" i="59"/>
  <c r="IB239" i="59"/>
  <c r="IC239" i="59"/>
  <c r="ID239" i="59"/>
  <c r="IE239" i="59"/>
  <c r="IF239" i="59"/>
  <c r="IG239" i="59"/>
  <c r="IH239" i="59"/>
  <c r="II239" i="59"/>
  <c r="IJ239" i="59"/>
  <c r="IK239" i="59"/>
  <c r="IL239" i="59"/>
  <c r="IM239" i="59"/>
  <c r="IN239" i="59"/>
  <c r="IO239" i="59"/>
  <c r="IP239" i="59"/>
  <c r="IQ239" i="59"/>
  <c r="IR239" i="59"/>
  <c r="IS239" i="59"/>
  <c r="IT239" i="59"/>
  <c r="IU239" i="59"/>
  <c r="IV239" i="59"/>
  <c r="F240" i="59"/>
  <c r="G240" i="59"/>
  <c r="H240" i="59"/>
  <c r="I240" i="59"/>
  <c r="J240" i="59"/>
  <c r="K240" i="59"/>
  <c r="L240" i="59"/>
  <c r="M240" i="59"/>
  <c r="N240" i="59"/>
  <c r="O240" i="59"/>
  <c r="P240" i="59"/>
  <c r="Q240" i="59"/>
  <c r="R240" i="59"/>
  <c r="S240" i="59"/>
  <c r="T240" i="59"/>
  <c r="V240" i="59"/>
  <c r="W240" i="59"/>
  <c r="X240" i="59"/>
  <c r="Y240" i="59"/>
  <c r="Z240" i="59"/>
  <c r="AA240" i="59"/>
  <c r="AB240" i="59"/>
  <c r="AC240" i="59"/>
  <c r="AD240" i="59"/>
  <c r="AE240" i="59"/>
  <c r="AF240" i="59"/>
  <c r="AG240" i="59"/>
  <c r="AH240" i="59"/>
  <c r="AI240" i="59"/>
  <c r="AJ240" i="59"/>
  <c r="AK240" i="59"/>
  <c r="AL240" i="59"/>
  <c r="AM240" i="59"/>
  <c r="AN240" i="59"/>
  <c r="AO240" i="59"/>
  <c r="AP240" i="59"/>
  <c r="AQ240" i="59"/>
  <c r="AR240" i="59"/>
  <c r="AS240" i="59"/>
  <c r="AT240" i="59"/>
  <c r="AU240" i="59"/>
  <c r="AV240" i="59"/>
  <c r="AW240" i="59"/>
  <c r="AX240" i="59"/>
  <c r="AY240" i="59"/>
  <c r="AZ240" i="59"/>
  <c r="BA240" i="59"/>
  <c r="BB240" i="59"/>
  <c r="BC240" i="59"/>
  <c r="BD240" i="59"/>
  <c r="BE240" i="59"/>
  <c r="BF240" i="59"/>
  <c r="BG240" i="59"/>
  <c r="BH240" i="59"/>
  <c r="BI240" i="59"/>
  <c r="BJ240" i="59"/>
  <c r="BK240" i="59"/>
  <c r="BL240" i="59"/>
  <c r="BM240" i="59"/>
  <c r="BN240" i="59"/>
  <c r="BO240" i="59"/>
  <c r="BP240" i="59"/>
  <c r="BQ240" i="59"/>
  <c r="BR240" i="59"/>
  <c r="BS240" i="59"/>
  <c r="BU240" i="59"/>
  <c r="BV240" i="59"/>
  <c r="BW240" i="59"/>
  <c r="BX240" i="59"/>
  <c r="BY240" i="59"/>
  <c r="BZ240" i="59"/>
  <c r="CA240" i="59"/>
  <c r="CB240" i="59"/>
  <c r="CC240" i="59"/>
  <c r="CD240" i="59"/>
  <c r="CE240" i="59"/>
  <c r="CF240" i="59"/>
  <c r="CG240" i="59"/>
  <c r="CH240" i="59"/>
  <c r="CI240" i="59"/>
  <c r="CJ240" i="59"/>
  <c r="CK240" i="59"/>
  <c r="CL240" i="59"/>
  <c r="CM240" i="59"/>
  <c r="CN240" i="59"/>
  <c r="CO240" i="59"/>
  <c r="CP240" i="59"/>
  <c r="CQ240" i="59"/>
  <c r="CR240" i="59"/>
  <c r="CS240" i="59"/>
  <c r="CT240" i="59"/>
  <c r="CU240" i="59"/>
  <c r="CV240" i="59"/>
  <c r="CW240" i="59"/>
  <c r="CX240" i="59"/>
  <c r="CY240" i="59"/>
  <c r="CZ240" i="59"/>
  <c r="DA240" i="59"/>
  <c r="DB240" i="59"/>
  <c r="DC240" i="59"/>
  <c r="DD240" i="59"/>
  <c r="DE240" i="59"/>
  <c r="DF240" i="59"/>
  <c r="DG240" i="59"/>
  <c r="DH240" i="59"/>
  <c r="DI240" i="59"/>
  <c r="DJ240" i="59"/>
  <c r="DK240" i="59"/>
  <c r="DL240" i="59"/>
  <c r="DM240" i="59"/>
  <c r="DN240" i="59"/>
  <c r="DO240" i="59"/>
  <c r="DP240" i="59"/>
  <c r="DQ240" i="59"/>
  <c r="DR240" i="59"/>
  <c r="DT240" i="59"/>
  <c r="DU240" i="59"/>
  <c r="DV240" i="59"/>
  <c r="DW240" i="59"/>
  <c r="DX240" i="59"/>
  <c r="DY240" i="59"/>
  <c r="DZ240" i="59"/>
  <c r="EA240" i="59"/>
  <c r="EB240" i="59"/>
  <c r="EC240" i="59"/>
  <c r="ED240" i="59"/>
  <c r="EE240" i="59"/>
  <c r="EF240" i="59"/>
  <c r="EG240" i="59"/>
  <c r="EH240" i="59"/>
  <c r="EI240" i="59"/>
  <c r="EJ240" i="59"/>
  <c r="EK240" i="59"/>
  <c r="EL240" i="59"/>
  <c r="EM240" i="59"/>
  <c r="EN240" i="59"/>
  <c r="EO240" i="59"/>
  <c r="EP240" i="59"/>
  <c r="EQ240" i="59"/>
  <c r="ER240" i="59"/>
  <c r="ES240" i="59"/>
  <c r="ET240" i="59"/>
  <c r="EU240" i="59"/>
  <c r="EV240" i="59"/>
  <c r="EW240" i="59"/>
  <c r="EX240" i="59"/>
  <c r="EY240" i="59"/>
  <c r="EZ240" i="59"/>
  <c r="FA240" i="59"/>
  <c r="FB240" i="59"/>
  <c r="FC240" i="59"/>
  <c r="FD240" i="59"/>
  <c r="FE240" i="59"/>
  <c r="FF240" i="59"/>
  <c r="FG240" i="59"/>
  <c r="FH240" i="59"/>
  <c r="FI240" i="59"/>
  <c r="FJ240" i="59"/>
  <c r="FK240" i="59"/>
  <c r="FL240" i="59"/>
  <c r="FM240" i="59"/>
  <c r="FN240" i="59"/>
  <c r="FO240" i="59"/>
  <c r="FP240" i="59"/>
  <c r="FQ240" i="59"/>
  <c r="FS240" i="59"/>
  <c r="FT240" i="59"/>
  <c r="FU240" i="59"/>
  <c r="FV240" i="59"/>
  <c r="FW240" i="59"/>
  <c r="FX240" i="59"/>
  <c r="FY240" i="59"/>
  <c r="FZ240" i="59"/>
  <c r="GA240" i="59"/>
  <c r="GB240" i="59"/>
  <c r="GC240" i="59"/>
  <c r="GD240" i="59"/>
  <c r="GE240" i="59"/>
  <c r="GF240" i="59"/>
  <c r="GG240" i="59"/>
  <c r="GH240" i="59"/>
  <c r="GI240" i="59"/>
  <c r="GJ240" i="59"/>
  <c r="GK240" i="59"/>
  <c r="GL240" i="59"/>
  <c r="GM240" i="59"/>
  <c r="GN240" i="59"/>
  <c r="GO240" i="59"/>
  <c r="GP240" i="59"/>
  <c r="GQ240" i="59"/>
  <c r="GR240" i="59"/>
  <c r="GS240" i="59"/>
  <c r="GT240" i="59"/>
  <c r="GU240" i="59"/>
  <c r="GV240" i="59"/>
  <c r="GW240" i="59"/>
  <c r="GX240" i="59"/>
  <c r="GY240" i="59"/>
  <c r="GZ240" i="59"/>
  <c r="HA240" i="59"/>
  <c r="HB240" i="59"/>
  <c r="HC240" i="59"/>
  <c r="HD240" i="59"/>
  <c r="HE240" i="59"/>
  <c r="HF240" i="59"/>
  <c r="HG240" i="59"/>
  <c r="HH240" i="59"/>
  <c r="HI240" i="59"/>
  <c r="HJ240" i="59"/>
  <c r="HK240" i="59"/>
  <c r="HL240" i="59"/>
  <c r="HM240" i="59"/>
  <c r="HN240" i="59"/>
  <c r="HO240" i="59"/>
  <c r="HP240" i="59"/>
  <c r="HQ240" i="59"/>
  <c r="HR240" i="59"/>
  <c r="HT240" i="59"/>
  <c r="HU240" i="59"/>
  <c r="HV240" i="59"/>
  <c r="HW240" i="59"/>
  <c r="HX240" i="59"/>
  <c r="HY240" i="59"/>
  <c r="HZ240" i="59"/>
  <c r="IA240" i="59"/>
  <c r="IB240" i="59"/>
  <c r="IC240" i="59"/>
  <c r="ID240" i="59"/>
  <c r="IE240" i="59"/>
  <c r="IF240" i="59"/>
  <c r="IG240" i="59"/>
  <c r="IH240" i="59"/>
  <c r="II240" i="59"/>
  <c r="IJ240" i="59"/>
  <c r="IK240" i="59"/>
  <c r="IL240" i="59"/>
  <c r="IM240" i="59"/>
  <c r="IN240" i="59"/>
  <c r="IO240" i="59"/>
  <c r="IP240" i="59"/>
  <c r="IQ240" i="59"/>
  <c r="IR240" i="59"/>
  <c r="IS240" i="59"/>
  <c r="IT240" i="59"/>
  <c r="IU240" i="59"/>
  <c r="IV240" i="59"/>
  <c r="F241" i="59"/>
  <c r="G241" i="59"/>
  <c r="H241" i="59"/>
  <c r="I241" i="59"/>
  <c r="J241" i="59"/>
  <c r="K241" i="59"/>
  <c r="L241" i="59"/>
  <c r="M241" i="59"/>
  <c r="N241" i="59"/>
  <c r="O241" i="59"/>
  <c r="P241" i="59"/>
  <c r="Q241" i="59"/>
  <c r="R241" i="59"/>
  <c r="S241" i="59"/>
  <c r="T241" i="59"/>
  <c r="U241" i="59"/>
  <c r="V241" i="59"/>
  <c r="W241" i="59"/>
  <c r="X241" i="59"/>
  <c r="Y241" i="59"/>
  <c r="Z241" i="59"/>
  <c r="AB241" i="59"/>
  <c r="AC241" i="59"/>
  <c r="AD241" i="59"/>
  <c r="AE241" i="59"/>
  <c r="AF241" i="59"/>
  <c r="AG241" i="59"/>
  <c r="AH241" i="59"/>
  <c r="AI241" i="59"/>
  <c r="AJ241" i="59"/>
  <c r="AK241" i="59"/>
  <c r="AL241" i="59"/>
  <c r="AM241" i="59"/>
  <c r="AN241" i="59"/>
  <c r="AO241" i="59"/>
  <c r="AP241" i="59"/>
  <c r="AQ241" i="59"/>
  <c r="AR241" i="59"/>
  <c r="AS241" i="59"/>
  <c r="AT241" i="59"/>
  <c r="AU241" i="59"/>
  <c r="AV241" i="59"/>
  <c r="AW241" i="59"/>
  <c r="AX241" i="59"/>
  <c r="AY241" i="59"/>
  <c r="AZ241" i="59"/>
  <c r="BA241" i="59"/>
  <c r="BB241" i="59"/>
  <c r="BC241" i="59"/>
  <c r="BD241" i="59"/>
  <c r="BE241" i="59"/>
  <c r="BF241" i="59"/>
  <c r="BG241" i="59"/>
  <c r="BH241" i="59"/>
  <c r="BI241" i="59"/>
  <c r="BJ241" i="59"/>
  <c r="BK241" i="59"/>
  <c r="BL241" i="59"/>
  <c r="BM241" i="59"/>
  <c r="BN241" i="59"/>
  <c r="BO241" i="59"/>
  <c r="BP241" i="59"/>
  <c r="BQ241" i="59"/>
  <c r="BR241" i="59"/>
  <c r="BS241" i="59"/>
  <c r="BT241" i="59"/>
  <c r="BU241" i="59"/>
  <c r="BV241" i="59"/>
  <c r="BW241" i="59"/>
  <c r="BX241" i="59"/>
  <c r="BY241" i="59"/>
  <c r="BZ241" i="59"/>
  <c r="CA241" i="59"/>
  <c r="CB241" i="59"/>
  <c r="CC241" i="59"/>
  <c r="CD241" i="59"/>
  <c r="CE241" i="59"/>
  <c r="CF241" i="59"/>
  <c r="CG241" i="59"/>
  <c r="CH241" i="59"/>
  <c r="CI241" i="59"/>
  <c r="CJ241" i="59"/>
  <c r="CK241" i="59"/>
  <c r="CL241" i="59"/>
  <c r="CM241" i="59"/>
  <c r="CN241" i="59"/>
  <c r="CO241" i="59"/>
  <c r="CP241" i="59"/>
  <c r="CQ241" i="59"/>
  <c r="CR241" i="59"/>
  <c r="CS241" i="59"/>
  <c r="CT241" i="59"/>
  <c r="CU241" i="59"/>
  <c r="CV241" i="59"/>
  <c r="CW241" i="59"/>
  <c r="CX241" i="59"/>
  <c r="CY241" i="59"/>
  <c r="CZ241" i="59"/>
  <c r="DA241" i="59"/>
  <c r="DB241" i="59"/>
  <c r="DC241" i="59"/>
  <c r="DD241" i="59"/>
  <c r="DE241" i="59"/>
  <c r="DF241" i="59"/>
  <c r="DG241" i="59"/>
  <c r="DH241" i="59"/>
  <c r="DI241" i="59"/>
  <c r="DJ241" i="59"/>
  <c r="DK241" i="59"/>
  <c r="DL241" i="59"/>
  <c r="DM241" i="59"/>
  <c r="DN241" i="59"/>
  <c r="DO241" i="59"/>
  <c r="DP241" i="59"/>
  <c r="DQ241" i="59"/>
  <c r="DR241" i="59"/>
  <c r="DS241" i="59"/>
  <c r="DT241" i="59"/>
  <c r="DU241" i="59"/>
  <c r="DV241" i="59"/>
  <c r="DW241" i="59"/>
  <c r="DX241" i="59"/>
  <c r="DY241" i="59"/>
  <c r="DZ241" i="59"/>
  <c r="EA241" i="59"/>
  <c r="EB241" i="59"/>
  <c r="EC241" i="59"/>
  <c r="ED241" i="59"/>
  <c r="EE241" i="59"/>
  <c r="EF241" i="59"/>
  <c r="EG241" i="59"/>
  <c r="EH241" i="59"/>
  <c r="EI241" i="59"/>
  <c r="EJ241" i="59"/>
  <c r="EK241" i="59"/>
  <c r="EL241" i="59"/>
  <c r="EM241" i="59"/>
  <c r="EN241" i="59"/>
  <c r="EO241" i="59"/>
  <c r="EP241" i="59"/>
  <c r="EQ241" i="59"/>
  <c r="ER241" i="59"/>
  <c r="ES241" i="59"/>
  <c r="ET241" i="59"/>
  <c r="EU241" i="59"/>
  <c r="EV241" i="59"/>
  <c r="EW241" i="59"/>
  <c r="EX241" i="59"/>
  <c r="EY241" i="59"/>
  <c r="EZ241" i="59"/>
  <c r="FA241" i="59"/>
  <c r="FB241" i="59"/>
  <c r="FC241" i="59"/>
  <c r="FD241" i="59"/>
  <c r="FE241" i="59"/>
  <c r="FF241" i="59"/>
  <c r="FG241" i="59"/>
  <c r="FH241" i="59"/>
  <c r="FI241" i="59"/>
  <c r="FJ241" i="59"/>
  <c r="FK241" i="59"/>
  <c r="FL241" i="59"/>
  <c r="FM241" i="59"/>
  <c r="FN241" i="59"/>
  <c r="FO241" i="59"/>
  <c r="FP241" i="59"/>
  <c r="FQ241" i="59"/>
  <c r="FR241" i="59"/>
  <c r="FS241" i="59"/>
  <c r="FT241" i="59"/>
  <c r="FU241" i="59"/>
  <c r="FV241" i="59"/>
  <c r="FW241" i="59"/>
  <c r="FX241" i="59"/>
  <c r="FY241" i="59"/>
  <c r="FZ241" i="59"/>
  <c r="GA241" i="59"/>
  <c r="GB241" i="59"/>
  <c r="GC241" i="59"/>
  <c r="GD241" i="59"/>
  <c r="GE241" i="59"/>
  <c r="GF241" i="59"/>
  <c r="GG241" i="59"/>
  <c r="GH241" i="59"/>
  <c r="GI241" i="59"/>
  <c r="GJ241" i="59"/>
  <c r="GK241" i="59"/>
  <c r="GL241" i="59"/>
  <c r="GM241" i="59"/>
  <c r="GN241" i="59"/>
  <c r="GO241" i="59"/>
  <c r="GP241" i="59"/>
  <c r="GQ241" i="59"/>
  <c r="GR241" i="59"/>
  <c r="GS241" i="59"/>
  <c r="GT241" i="59"/>
  <c r="GU241" i="59"/>
  <c r="GV241" i="59"/>
  <c r="GW241" i="59"/>
  <c r="GX241" i="59"/>
  <c r="GY241" i="59"/>
  <c r="GZ241" i="59"/>
  <c r="HA241" i="59"/>
  <c r="HB241" i="59"/>
  <c r="HC241" i="59"/>
  <c r="HD241" i="59"/>
  <c r="HE241" i="59"/>
  <c r="HF241" i="59"/>
  <c r="HG241" i="59"/>
  <c r="HH241" i="59"/>
  <c r="HI241" i="59"/>
  <c r="HJ241" i="59"/>
  <c r="HK241" i="59"/>
  <c r="HL241" i="59"/>
  <c r="HM241" i="59"/>
  <c r="HN241" i="59"/>
  <c r="HO241" i="59"/>
  <c r="HP241" i="59"/>
  <c r="HQ241" i="59"/>
  <c r="HR241" i="59"/>
  <c r="HS241" i="59"/>
  <c r="HT241" i="59"/>
  <c r="HU241" i="59"/>
  <c r="HV241" i="59"/>
  <c r="HW241" i="59"/>
  <c r="HX241" i="59"/>
  <c r="HY241" i="59"/>
  <c r="HZ241" i="59"/>
  <c r="IA241" i="59"/>
  <c r="IB241" i="59"/>
  <c r="IC241" i="59"/>
  <c r="ID241" i="59"/>
  <c r="IE241" i="59"/>
  <c r="IF241" i="59"/>
  <c r="IG241" i="59"/>
  <c r="IH241" i="59"/>
  <c r="II241" i="59"/>
  <c r="IJ241" i="59"/>
  <c r="IK241" i="59"/>
  <c r="IL241" i="59"/>
  <c r="IM241" i="59"/>
  <c r="IN241" i="59"/>
  <c r="IO241" i="59"/>
  <c r="IP241" i="59"/>
  <c r="IQ241" i="59"/>
  <c r="IR241" i="59"/>
  <c r="IS241" i="59"/>
  <c r="IT241" i="59"/>
  <c r="IU241" i="59"/>
  <c r="IV241" i="59"/>
  <c r="F242" i="59"/>
  <c r="G242" i="59"/>
  <c r="H242" i="59"/>
  <c r="I242" i="59"/>
  <c r="J242" i="59"/>
  <c r="K242" i="59"/>
  <c r="L242" i="59"/>
  <c r="M242" i="59"/>
  <c r="N242" i="59"/>
  <c r="O242" i="59"/>
  <c r="P242" i="59"/>
  <c r="Q242" i="59"/>
  <c r="R242" i="59"/>
  <c r="S242" i="59"/>
  <c r="T242" i="59"/>
  <c r="U242" i="59"/>
  <c r="V242" i="59"/>
  <c r="W242" i="59"/>
  <c r="X242" i="59"/>
  <c r="Y242" i="59"/>
  <c r="Z242" i="59"/>
  <c r="AA242" i="59"/>
  <c r="AB242" i="59"/>
  <c r="AC242" i="59"/>
  <c r="AD242" i="59"/>
  <c r="AE242" i="59"/>
  <c r="AF242" i="59"/>
  <c r="AG242" i="59"/>
  <c r="AH242" i="59"/>
  <c r="AI242" i="59"/>
  <c r="AJ242" i="59"/>
  <c r="AK242" i="59"/>
  <c r="AL242" i="59"/>
  <c r="AM242" i="59"/>
  <c r="AN242" i="59"/>
  <c r="AO242" i="59"/>
  <c r="AP242" i="59"/>
  <c r="AQ242" i="59"/>
  <c r="AR242" i="59"/>
  <c r="AS242" i="59"/>
  <c r="AT242" i="59"/>
  <c r="AU242" i="59"/>
  <c r="AV242" i="59"/>
  <c r="AW242" i="59"/>
  <c r="AX242" i="59"/>
  <c r="AY242" i="59"/>
  <c r="AZ242" i="59"/>
  <c r="BA242" i="59"/>
  <c r="BB242" i="59"/>
  <c r="BC242" i="59"/>
  <c r="BD242" i="59"/>
  <c r="BE242" i="59"/>
  <c r="BF242" i="59"/>
  <c r="BG242" i="59"/>
  <c r="BH242" i="59"/>
  <c r="BI242" i="59"/>
  <c r="BJ242" i="59"/>
  <c r="BK242" i="59"/>
  <c r="BL242" i="59"/>
  <c r="BM242" i="59"/>
  <c r="BN242" i="59"/>
  <c r="BO242" i="59"/>
  <c r="BP242" i="59"/>
  <c r="BQ242" i="59"/>
  <c r="BR242" i="59"/>
  <c r="BS242" i="59"/>
  <c r="BT242" i="59"/>
  <c r="BU242" i="59"/>
  <c r="BV242" i="59"/>
  <c r="BW242" i="59"/>
  <c r="BX242" i="59"/>
  <c r="BY242" i="59"/>
  <c r="BZ242" i="59"/>
  <c r="CA242" i="59"/>
  <c r="CB242" i="59"/>
  <c r="CC242" i="59"/>
  <c r="CD242" i="59"/>
  <c r="CE242" i="59"/>
  <c r="CF242" i="59"/>
  <c r="CG242" i="59"/>
  <c r="CH242" i="59"/>
  <c r="CI242" i="59"/>
  <c r="CJ242" i="59"/>
  <c r="CK242" i="59"/>
  <c r="CL242" i="59"/>
  <c r="CM242" i="59"/>
  <c r="CN242" i="59"/>
  <c r="CO242" i="59"/>
  <c r="CP242" i="59"/>
  <c r="CQ242" i="59"/>
  <c r="CR242" i="59"/>
  <c r="CS242" i="59"/>
  <c r="CT242" i="59"/>
  <c r="CU242" i="59"/>
  <c r="CV242" i="59"/>
  <c r="CW242" i="59"/>
  <c r="CX242" i="59"/>
  <c r="CY242" i="59"/>
  <c r="CZ242" i="59"/>
  <c r="DA242" i="59"/>
  <c r="DB242" i="59"/>
  <c r="DC242" i="59"/>
  <c r="DD242" i="59"/>
  <c r="DE242" i="59"/>
  <c r="DF242" i="59"/>
  <c r="DG242" i="59"/>
  <c r="DH242" i="59"/>
  <c r="DI242" i="59"/>
  <c r="DJ242" i="59"/>
  <c r="DK242" i="59"/>
  <c r="DL242" i="59"/>
  <c r="DM242" i="59"/>
  <c r="DN242" i="59"/>
  <c r="DO242" i="59"/>
  <c r="DP242" i="59"/>
  <c r="DQ242" i="59"/>
  <c r="DR242" i="59"/>
  <c r="DS242" i="59"/>
  <c r="DT242" i="59"/>
  <c r="DU242" i="59"/>
  <c r="DV242" i="59"/>
  <c r="DW242" i="59"/>
  <c r="DX242" i="59"/>
  <c r="DY242" i="59"/>
  <c r="DZ242" i="59"/>
  <c r="EA242" i="59"/>
  <c r="EB242" i="59"/>
  <c r="EC242" i="59"/>
  <c r="ED242" i="59"/>
  <c r="EE242" i="59"/>
  <c r="EF242" i="59"/>
  <c r="EG242" i="59"/>
  <c r="EH242" i="59"/>
  <c r="EI242" i="59"/>
  <c r="EJ242" i="59"/>
  <c r="EK242" i="59"/>
  <c r="EL242" i="59"/>
  <c r="EM242" i="59"/>
  <c r="EN242" i="59"/>
  <c r="EO242" i="59"/>
  <c r="EP242" i="59"/>
  <c r="EQ242" i="59"/>
  <c r="ER242" i="59"/>
  <c r="ES242" i="59"/>
  <c r="ET242" i="59"/>
  <c r="EU242" i="59"/>
  <c r="EV242" i="59"/>
  <c r="EW242" i="59"/>
  <c r="EX242" i="59"/>
  <c r="EY242" i="59"/>
  <c r="EZ242" i="59"/>
  <c r="FA242" i="59"/>
  <c r="FB242" i="59"/>
  <c r="FC242" i="59"/>
  <c r="FD242" i="59"/>
  <c r="FE242" i="59"/>
  <c r="FF242" i="59"/>
  <c r="FG242" i="59"/>
  <c r="FH242" i="59"/>
  <c r="FI242" i="59"/>
  <c r="FJ242" i="59"/>
  <c r="FK242" i="59"/>
  <c r="FL242" i="59"/>
  <c r="FM242" i="59"/>
  <c r="FN242" i="59"/>
  <c r="FO242" i="59"/>
  <c r="FP242" i="59"/>
  <c r="FQ242" i="59"/>
  <c r="FR242" i="59"/>
  <c r="FS242" i="59"/>
  <c r="FT242" i="59"/>
  <c r="FU242" i="59"/>
  <c r="FV242" i="59"/>
  <c r="FW242" i="59"/>
  <c r="FX242" i="59"/>
  <c r="FY242" i="59"/>
  <c r="FZ242" i="59"/>
  <c r="GA242" i="59"/>
  <c r="GB242" i="59"/>
  <c r="GC242" i="59"/>
  <c r="GD242" i="59"/>
  <c r="GE242" i="59"/>
  <c r="GF242" i="59"/>
  <c r="GG242" i="59"/>
  <c r="GH242" i="59"/>
  <c r="GI242" i="59"/>
  <c r="GJ242" i="59"/>
  <c r="GK242" i="59"/>
  <c r="GL242" i="59"/>
  <c r="GM242" i="59"/>
  <c r="GN242" i="59"/>
  <c r="GO242" i="59"/>
  <c r="GP242" i="59"/>
  <c r="GQ242" i="59"/>
  <c r="GR242" i="59"/>
  <c r="GS242" i="59"/>
  <c r="GT242" i="59"/>
  <c r="GU242" i="59"/>
  <c r="GV242" i="59"/>
  <c r="GW242" i="59"/>
  <c r="GX242" i="59"/>
  <c r="GY242" i="59"/>
  <c r="GZ242" i="59"/>
  <c r="HA242" i="59"/>
  <c r="HB242" i="59"/>
  <c r="HC242" i="59"/>
  <c r="HD242" i="59"/>
  <c r="HE242" i="59"/>
  <c r="HF242" i="59"/>
  <c r="HG242" i="59"/>
  <c r="HH242" i="59"/>
  <c r="HI242" i="59"/>
  <c r="HJ242" i="59"/>
  <c r="HK242" i="59"/>
  <c r="HL242" i="59"/>
  <c r="HM242" i="59"/>
  <c r="HN242" i="59"/>
  <c r="HO242" i="59"/>
  <c r="HP242" i="59"/>
  <c r="HQ242" i="59"/>
  <c r="HR242" i="59"/>
  <c r="HS242" i="59"/>
  <c r="HT242" i="59"/>
  <c r="HU242" i="59"/>
  <c r="HV242" i="59"/>
  <c r="HW242" i="59"/>
  <c r="HX242" i="59"/>
  <c r="HY242" i="59"/>
  <c r="HZ242" i="59"/>
  <c r="IA242" i="59"/>
  <c r="IB242" i="59"/>
  <c r="IC242" i="59"/>
  <c r="ID242" i="59"/>
  <c r="IE242" i="59"/>
  <c r="IF242" i="59"/>
  <c r="IG242" i="59"/>
  <c r="IH242" i="59"/>
  <c r="II242" i="59"/>
  <c r="IJ242" i="59"/>
  <c r="IK242" i="59"/>
  <c r="IL242" i="59"/>
  <c r="IM242" i="59"/>
  <c r="IN242" i="59"/>
  <c r="IO242" i="59"/>
  <c r="IP242" i="59"/>
  <c r="IQ242" i="59"/>
  <c r="IR242" i="59"/>
  <c r="IS242" i="59"/>
  <c r="IT242" i="59"/>
  <c r="IU242" i="59"/>
  <c r="IV242" i="59"/>
  <c r="F243" i="59"/>
  <c r="G243" i="59"/>
  <c r="H243" i="59"/>
  <c r="I243" i="59"/>
  <c r="J243" i="59"/>
  <c r="K243" i="59"/>
  <c r="L243" i="59"/>
  <c r="M243" i="59"/>
  <c r="N243" i="59"/>
  <c r="O243" i="59"/>
  <c r="P243" i="59"/>
  <c r="Q243" i="59"/>
  <c r="R243" i="59"/>
  <c r="S243" i="59"/>
  <c r="T243" i="59"/>
  <c r="U243" i="59"/>
  <c r="V243" i="59"/>
  <c r="W243" i="59"/>
  <c r="Y243" i="59"/>
  <c r="Z243" i="59"/>
  <c r="AA243" i="59"/>
  <c r="AB243" i="59"/>
  <c r="AC243" i="59"/>
  <c r="AD243" i="59"/>
  <c r="AE243" i="59"/>
  <c r="AF243" i="59"/>
  <c r="AG243" i="59"/>
  <c r="AH243" i="59"/>
  <c r="AI243" i="59"/>
  <c r="AJ243" i="59"/>
  <c r="AK243" i="59"/>
  <c r="AL243" i="59"/>
  <c r="AM243" i="59"/>
  <c r="AN243" i="59"/>
  <c r="AO243" i="59"/>
  <c r="AP243" i="59"/>
  <c r="AQ243" i="59"/>
  <c r="AR243" i="59"/>
  <c r="AS243" i="59"/>
  <c r="AT243" i="59"/>
  <c r="AU243" i="59"/>
  <c r="AV243" i="59"/>
  <c r="AW243" i="59"/>
  <c r="AX243" i="59"/>
  <c r="AY243" i="59"/>
  <c r="AZ243" i="59"/>
  <c r="BA243" i="59"/>
  <c r="BB243" i="59"/>
  <c r="BC243" i="59"/>
  <c r="BD243" i="59"/>
  <c r="BE243" i="59"/>
  <c r="BF243" i="59"/>
  <c r="BG243" i="59"/>
  <c r="BH243" i="59"/>
  <c r="BI243" i="59"/>
  <c r="BJ243" i="59"/>
  <c r="BK243" i="59"/>
  <c r="BL243" i="59"/>
  <c r="BM243" i="59"/>
  <c r="BN243" i="59"/>
  <c r="BO243" i="59"/>
  <c r="BP243" i="59"/>
  <c r="BQ243" i="59"/>
  <c r="BR243" i="59"/>
  <c r="BS243" i="59"/>
  <c r="BT243" i="59"/>
  <c r="BU243" i="59"/>
  <c r="BV243" i="59"/>
  <c r="BW243" i="59"/>
  <c r="BX243" i="59"/>
  <c r="BY243" i="59"/>
  <c r="BZ243" i="59"/>
  <c r="CA243" i="59"/>
  <c r="CB243" i="59"/>
  <c r="CC243" i="59"/>
  <c r="CD243" i="59"/>
  <c r="CE243" i="59"/>
  <c r="CF243" i="59"/>
  <c r="CG243" i="59"/>
  <c r="CH243" i="59"/>
  <c r="CI243" i="59"/>
  <c r="CJ243" i="59"/>
  <c r="CK243" i="59"/>
  <c r="CL243" i="59"/>
  <c r="CM243" i="59"/>
  <c r="CN243" i="59"/>
  <c r="CO243" i="59"/>
  <c r="CP243" i="59"/>
  <c r="CQ243" i="59"/>
  <c r="CR243" i="59"/>
  <c r="CS243" i="59"/>
  <c r="CT243" i="59"/>
  <c r="CU243" i="59"/>
  <c r="CV243" i="59"/>
  <c r="CW243" i="59"/>
  <c r="CX243" i="59"/>
  <c r="CY243" i="59"/>
  <c r="CZ243" i="59"/>
  <c r="DA243" i="59"/>
  <c r="DB243" i="59"/>
  <c r="DC243" i="59"/>
  <c r="DD243" i="59"/>
  <c r="DE243" i="59"/>
  <c r="DF243" i="59"/>
  <c r="DG243" i="59"/>
  <c r="DH243" i="59"/>
  <c r="DI243" i="59"/>
  <c r="DJ243" i="59"/>
  <c r="DK243" i="59"/>
  <c r="DL243" i="59"/>
  <c r="DM243" i="59"/>
  <c r="DN243" i="59"/>
  <c r="DO243" i="59"/>
  <c r="DP243" i="59"/>
  <c r="DQ243" i="59"/>
  <c r="DR243" i="59"/>
  <c r="DS243" i="59"/>
  <c r="DT243" i="59"/>
  <c r="DU243" i="59"/>
  <c r="DV243" i="59"/>
  <c r="DW243" i="59"/>
  <c r="DX243" i="59"/>
  <c r="DY243" i="59"/>
  <c r="DZ243" i="59"/>
  <c r="EA243" i="59"/>
  <c r="EB243" i="59"/>
  <c r="EC243" i="59"/>
  <c r="ED243" i="59"/>
  <c r="EE243" i="59"/>
  <c r="EF243" i="59"/>
  <c r="EG243" i="59"/>
  <c r="EH243" i="59"/>
  <c r="EI243" i="59"/>
  <c r="EJ243" i="59"/>
  <c r="EK243" i="59"/>
  <c r="EL243" i="59"/>
  <c r="EM243" i="59"/>
  <c r="EN243" i="59"/>
  <c r="EO243" i="59"/>
  <c r="EP243" i="59"/>
  <c r="EQ243" i="59"/>
  <c r="ER243" i="59"/>
  <c r="ES243" i="59"/>
  <c r="ET243" i="59"/>
  <c r="EU243" i="59"/>
  <c r="EV243" i="59"/>
  <c r="EW243" i="59"/>
  <c r="EX243" i="59"/>
  <c r="EY243" i="59"/>
  <c r="EZ243" i="59"/>
  <c r="FA243" i="59"/>
  <c r="FB243" i="59"/>
  <c r="FC243" i="59"/>
  <c r="FD243" i="59"/>
  <c r="FE243" i="59"/>
  <c r="FF243" i="59"/>
  <c r="FG243" i="59"/>
  <c r="FH243" i="59"/>
  <c r="FI243" i="59"/>
  <c r="FJ243" i="59"/>
  <c r="FK243" i="59"/>
  <c r="FL243" i="59"/>
  <c r="FM243" i="59"/>
  <c r="FN243" i="59"/>
  <c r="FO243" i="59"/>
  <c r="FP243" i="59"/>
  <c r="FQ243" i="59"/>
  <c r="FR243" i="59"/>
  <c r="FS243" i="59"/>
  <c r="FT243" i="59"/>
  <c r="FU243" i="59"/>
  <c r="FV243" i="59"/>
  <c r="FW243" i="59"/>
  <c r="FX243" i="59"/>
  <c r="FY243" i="59"/>
  <c r="FZ243" i="59"/>
  <c r="GA243" i="59"/>
  <c r="GB243" i="59"/>
  <c r="GC243" i="59"/>
  <c r="GD243" i="59"/>
  <c r="GE243" i="59"/>
  <c r="GF243" i="59"/>
  <c r="GG243" i="59"/>
  <c r="GH243" i="59"/>
  <c r="GI243" i="59"/>
  <c r="GJ243" i="59"/>
  <c r="GK243" i="59"/>
  <c r="GL243" i="59"/>
  <c r="GM243" i="59"/>
  <c r="GN243" i="59"/>
  <c r="GO243" i="59"/>
  <c r="GP243" i="59"/>
  <c r="GQ243" i="59"/>
  <c r="GR243" i="59"/>
  <c r="GS243" i="59"/>
  <c r="GT243" i="59"/>
  <c r="GU243" i="59"/>
  <c r="GV243" i="59"/>
  <c r="GW243" i="59"/>
  <c r="GX243" i="59"/>
  <c r="GY243" i="59"/>
  <c r="GZ243" i="59"/>
  <c r="HA243" i="59"/>
  <c r="HB243" i="59"/>
  <c r="HC243" i="59"/>
  <c r="HD243" i="59"/>
  <c r="HE243" i="59"/>
  <c r="HF243" i="59"/>
  <c r="HG243" i="59"/>
  <c r="HH243" i="59"/>
  <c r="HI243" i="59"/>
  <c r="HJ243" i="59"/>
  <c r="HK243" i="59"/>
  <c r="HL243" i="59"/>
  <c r="HM243" i="59"/>
  <c r="HN243" i="59"/>
  <c r="HO243" i="59"/>
  <c r="HP243" i="59"/>
  <c r="HQ243" i="59"/>
  <c r="HR243" i="59"/>
  <c r="HS243" i="59"/>
  <c r="HT243" i="59"/>
  <c r="HU243" i="59"/>
  <c r="HV243" i="59"/>
  <c r="HW243" i="59"/>
  <c r="HX243" i="59"/>
  <c r="HY243" i="59"/>
  <c r="HZ243" i="59"/>
  <c r="IA243" i="59"/>
  <c r="IB243" i="59"/>
  <c r="IC243" i="59"/>
  <c r="ID243" i="59"/>
  <c r="IE243" i="59"/>
  <c r="IF243" i="59"/>
  <c r="IG243" i="59"/>
  <c r="IH243" i="59"/>
  <c r="II243" i="59"/>
  <c r="IJ243" i="59"/>
  <c r="IK243" i="59"/>
  <c r="IL243" i="59"/>
  <c r="IM243" i="59"/>
  <c r="IN243" i="59"/>
  <c r="IO243" i="59"/>
  <c r="IP243" i="59"/>
  <c r="IQ243" i="59"/>
  <c r="IR243" i="59"/>
  <c r="IS243" i="59"/>
  <c r="IT243" i="59"/>
  <c r="IU243" i="59"/>
  <c r="IV243" i="59"/>
  <c r="F244" i="59"/>
  <c r="G244" i="59"/>
  <c r="H244" i="59"/>
  <c r="I244" i="59"/>
  <c r="J244" i="59"/>
  <c r="K244" i="59"/>
  <c r="L244" i="59"/>
  <c r="M244" i="59"/>
  <c r="N244" i="59"/>
  <c r="P244" i="59"/>
  <c r="Q244" i="59"/>
  <c r="R244" i="59"/>
  <c r="S244" i="59"/>
  <c r="T244" i="59"/>
  <c r="U244" i="59"/>
  <c r="V244" i="59"/>
  <c r="W244" i="59"/>
  <c r="X244" i="59"/>
  <c r="Y244" i="59"/>
  <c r="Z244" i="59"/>
  <c r="AA244" i="59"/>
  <c r="AB244" i="59"/>
  <c r="AC244" i="59"/>
  <c r="AD244" i="59"/>
  <c r="AE244" i="59"/>
  <c r="AF244" i="59"/>
  <c r="AG244" i="59"/>
  <c r="AH244" i="59"/>
  <c r="AJ244" i="59"/>
  <c r="AK244" i="59"/>
  <c r="AL244" i="59"/>
  <c r="AM244" i="59"/>
  <c r="AN244" i="59"/>
  <c r="AO244" i="59"/>
  <c r="AP244" i="59"/>
  <c r="AQ244" i="59"/>
  <c r="AR244" i="59"/>
  <c r="AS244" i="59"/>
  <c r="AT244" i="59"/>
  <c r="AU244" i="59"/>
  <c r="AV244" i="59"/>
  <c r="AW244" i="59"/>
  <c r="AX244" i="59"/>
  <c r="AY244" i="59"/>
  <c r="AZ244" i="59"/>
  <c r="BA244" i="59"/>
  <c r="BB244" i="59"/>
  <c r="BC244" i="59"/>
  <c r="BD244" i="59"/>
  <c r="BE244" i="59"/>
  <c r="BF244" i="59"/>
  <c r="BG244" i="59"/>
  <c r="BH244" i="59"/>
  <c r="BI244" i="59"/>
  <c r="BJ244" i="59"/>
  <c r="BK244" i="59"/>
  <c r="BL244" i="59"/>
  <c r="BM244" i="59"/>
  <c r="BN244" i="59"/>
  <c r="BO244" i="59"/>
  <c r="BP244" i="59"/>
  <c r="BQ244" i="59"/>
  <c r="BR244" i="59"/>
  <c r="BS244" i="59"/>
  <c r="BT244" i="59"/>
  <c r="BU244" i="59"/>
  <c r="BV244" i="59"/>
  <c r="BW244" i="59"/>
  <c r="BX244" i="59"/>
  <c r="BY244" i="59"/>
  <c r="BZ244" i="59"/>
  <c r="CA244" i="59"/>
  <c r="CB244" i="59"/>
  <c r="CC244" i="59"/>
  <c r="CD244" i="59"/>
  <c r="CE244" i="59"/>
  <c r="CF244" i="59"/>
  <c r="CG244" i="59"/>
  <c r="CH244" i="59"/>
  <c r="CI244" i="59"/>
  <c r="CJ244" i="59"/>
  <c r="CK244" i="59"/>
  <c r="CL244" i="59"/>
  <c r="CM244" i="59"/>
  <c r="CN244" i="59"/>
  <c r="CO244" i="59"/>
  <c r="CP244" i="59"/>
  <c r="CQ244" i="59"/>
  <c r="CR244" i="59"/>
  <c r="CS244" i="59"/>
  <c r="CT244" i="59"/>
  <c r="CU244" i="59"/>
  <c r="CV244" i="59"/>
  <c r="CW244" i="59"/>
  <c r="CX244" i="59"/>
  <c r="CY244" i="59"/>
  <c r="CZ244" i="59"/>
  <c r="DA244" i="59"/>
  <c r="DB244" i="59"/>
  <c r="DC244" i="59"/>
  <c r="DD244" i="59"/>
  <c r="DE244" i="59"/>
  <c r="DF244" i="59"/>
  <c r="DG244" i="59"/>
  <c r="DH244" i="59"/>
  <c r="DI244" i="59"/>
  <c r="DJ244" i="59"/>
  <c r="DK244" i="59"/>
  <c r="DL244" i="59"/>
  <c r="DM244" i="59"/>
  <c r="DN244" i="59"/>
  <c r="DO244" i="59"/>
  <c r="DP244" i="59"/>
  <c r="DQ244" i="59"/>
  <c r="DR244" i="59"/>
  <c r="DS244" i="59"/>
  <c r="DT244" i="59"/>
  <c r="DU244" i="59"/>
  <c r="DV244" i="59"/>
  <c r="DW244" i="59"/>
  <c r="DX244" i="59"/>
  <c r="DY244" i="59"/>
  <c r="DZ244" i="59"/>
  <c r="EA244" i="59"/>
  <c r="EB244" i="59"/>
  <c r="EC244" i="59"/>
  <c r="ED244" i="59"/>
  <c r="EE244" i="59"/>
  <c r="EF244" i="59"/>
  <c r="EG244" i="59"/>
  <c r="EH244" i="59"/>
  <c r="EI244" i="59"/>
  <c r="EJ244" i="59"/>
  <c r="EK244" i="59"/>
  <c r="EL244" i="59"/>
  <c r="EM244" i="59"/>
  <c r="EN244" i="59"/>
  <c r="EO244" i="59"/>
  <c r="EP244" i="59"/>
  <c r="EQ244" i="59"/>
  <c r="ER244" i="59"/>
  <c r="ES244" i="59"/>
  <c r="ET244" i="59"/>
  <c r="EU244" i="59"/>
  <c r="EV244" i="59"/>
  <c r="EW244" i="59"/>
  <c r="EX244" i="59"/>
  <c r="EY244" i="59"/>
  <c r="EZ244" i="59"/>
  <c r="FA244" i="59"/>
  <c r="FB244" i="59"/>
  <c r="FC244" i="59"/>
  <c r="FD244" i="59"/>
  <c r="FE244" i="59"/>
  <c r="FF244" i="59"/>
  <c r="FG244" i="59"/>
  <c r="FH244" i="59"/>
  <c r="FI244" i="59"/>
  <c r="FJ244" i="59"/>
  <c r="FK244" i="59"/>
  <c r="FL244" i="59"/>
  <c r="FM244" i="59"/>
  <c r="FN244" i="59"/>
  <c r="FO244" i="59"/>
  <c r="FP244" i="59"/>
  <c r="FQ244" i="59"/>
  <c r="FR244" i="59"/>
  <c r="FS244" i="59"/>
  <c r="FT244" i="59"/>
  <c r="FU244" i="59"/>
  <c r="FV244" i="59"/>
  <c r="FX244" i="59"/>
  <c r="FZ244" i="59"/>
  <c r="GB244" i="59"/>
  <c r="GD244" i="59"/>
  <c r="GF244" i="59"/>
  <c r="GH244" i="59"/>
  <c r="GJ244" i="59"/>
  <c r="GL244" i="59"/>
  <c r="GN244" i="59"/>
  <c r="GP244" i="59"/>
  <c r="GR244" i="59"/>
  <c r="GT244" i="59"/>
  <c r="GV244" i="59"/>
  <c r="GX244" i="59"/>
  <c r="GZ244" i="59"/>
  <c r="HB244" i="59"/>
  <c r="HD244" i="59"/>
  <c r="HF244" i="59"/>
  <c r="HH244" i="59"/>
  <c r="HJ244" i="59"/>
  <c r="HL244" i="59"/>
  <c r="HN244" i="59"/>
  <c r="HP244" i="59"/>
  <c r="HR244" i="59"/>
  <c r="HT244" i="59"/>
  <c r="HV244" i="59"/>
  <c r="HX244" i="59"/>
  <c r="HZ244" i="59"/>
  <c r="IB244" i="59"/>
  <c r="ID244" i="59"/>
  <c r="IF244" i="59"/>
  <c r="IH244" i="59"/>
  <c r="IJ244" i="59"/>
  <c r="IL244" i="59"/>
  <c r="IN244" i="59"/>
  <c r="IP244" i="59"/>
  <c r="IR244" i="59"/>
  <c r="IT244" i="59"/>
  <c r="IU244" i="59"/>
  <c r="IV244" i="59"/>
  <c r="F245" i="59"/>
  <c r="G245" i="59"/>
  <c r="H245" i="59"/>
  <c r="I245" i="59"/>
  <c r="J245" i="59"/>
  <c r="K245" i="59"/>
  <c r="L245" i="59"/>
  <c r="M245" i="59"/>
  <c r="N245" i="59"/>
  <c r="O245" i="59"/>
  <c r="P245" i="59"/>
  <c r="Q245" i="59"/>
  <c r="R245" i="59"/>
  <c r="S245" i="59"/>
  <c r="T245" i="59"/>
  <c r="U245" i="59"/>
  <c r="V245" i="59"/>
  <c r="W245" i="59"/>
  <c r="X245" i="59"/>
  <c r="Y245" i="59"/>
  <c r="Z245" i="59"/>
  <c r="AA245" i="59"/>
  <c r="AB245" i="59"/>
  <c r="AC245" i="59"/>
  <c r="AD245" i="59"/>
  <c r="AE245" i="59"/>
  <c r="AF245" i="59"/>
  <c r="AG245" i="59"/>
  <c r="AH245" i="59"/>
  <c r="AI245" i="59"/>
  <c r="AJ245" i="59"/>
  <c r="AK245" i="59"/>
  <c r="AL245" i="59"/>
  <c r="AM245" i="59"/>
  <c r="AN245" i="59"/>
  <c r="AO245" i="59"/>
  <c r="AP245" i="59"/>
  <c r="AQ245" i="59"/>
  <c r="AR245" i="59"/>
  <c r="AS245" i="59"/>
  <c r="AT245" i="59"/>
  <c r="AU245" i="59"/>
  <c r="AV245" i="59"/>
  <c r="AW245" i="59"/>
  <c r="AX245" i="59"/>
  <c r="AY245" i="59"/>
  <c r="AZ245" i="59"/>
  <c r="BA245" i="59"/>
  <c r="BB245" i="59"/>
  <c r="BC245" i="59"/>
  <c r="BD245" i="59"/>
  <c r="BE245" i="59"/>
  <c r="BF245" i="59"/>
  <c r="BG245" i="59"/>
  <c r="BH245" i="59"/>
  <c r="BI245" i="59"/>
  <c r="BJ245" i="59"/>
  <c r="BK245" i="59"/>
  <c r="BL245" i="59"/>
  <c r="BM245" i="59"/>
  <c r="BN245" i="59"/>
  <c r="BO245" i="59"/>
  <c r="BP245" i="59"/>
  <c r="BQ245" i="59"/>
  <c r="BR245" i="59"/>
  <c r="BS245" i="59"/>
  <c r="BT245" i="59"/>
  <c r="BU245" i="59"/>
  <c r="BV245" i="59"/>
  <c r="BW245" i="59"/>
  <c r="BX245" i="59"/>
  <c r="BY245" i="59"/>
  <c r="BZ245" i="59"/>
  <c r="CA245" i="59"/>
  <c r="CB245" i="59"/>
  <c r="CC245" i="59"/>
  <c r="CD245" i="59"/>
  <c r="CE245" i="59"/>
  <c r="CF245" i="59"/>
  <c r="CJ245" i="59"/>
  <c r="CK245" i="59"/>
  <c r="CL245" i="59"/>
  <c r="CM245" i="59"/>
  <c r="CN245" i="59"/>
  <c r="CO245" i="59"/>
  <c r="CP245" i="59"/>
  <c r="CQ245" i="59"/>
  <c r="CR245" i="59"/>
  <c r="CS245" i="59"/>
  <c r="CT245" i="59"/>
  <c r="CU245" i="59"/>
  <c r="CV245" i="59"/>
  <c r="CW245" i="59"/>
  <c r="CX245" i="59"/>
  <c r="CY245" i="59"/>
  <c r="CZ245" i="59"/>
  <c r="DA245" i="59"/>
  <c r="DB245" i="59"/>
  <c r="DC245" i="59"/>
  <c r="DD245" i="59"/>
  <c r="DE245" i="59"/>
  <c r="DF245" i="59"/>
  <c r="DG245" i="59"/>
  <c r="DH245" i="59"/>
  <c r="DI245" i="59"/>
  <c r="DJ245" i="59"/>
  <c r="DK245" i="59"/>
  <c r="DL245" i="59"/>
  <c r="DM245" i="59"/>
  <c r="DN245" i="59"/>
  <c r="DO245" i="59"/>
  <c r="DP245" i="59"/>
  <c r="DQ245" i="59"/>
  <c r="DR245" i="59"/>
  <c r="DS245" i="59"/>
  <c r="DT245" i="59"/>
  <c r="DU245" i="59"/>
  <c r="DV245" i="59"/>
  <c r="DW245" i="59"/>
  <c r="DX245" i="59"/>
  <c r="DY245" i="59"/>
  <c r="DZ245" i="59"/>
  <c r="EA245" i="59"/>
  <c r="EB245" i="59"/>
  <c r="EC245" i="59"/>
  <c r="ED245" i="59"/>
  <c r="EE245" i="59"/>
  <c r="EF245" i="59"/>
  <c r="EG245" i="59"/>
  <c r="EH245" i="59"/>
  <c r="EI245" i="59"/>
  <c r="EJ245" i="59"/>
  <c r="EK245" i="59"/>
  <c r="EL245" i="59"/>
  <c r="EM245" i="59"/>
  <c r="EN245" i="59"/>
  <c r="EO245" i="59"/>
  <c r="EP245" i="59"/>
  <c r="EQ245" i="59"/>
  <c r="ER245" i="59"/>
  <c r="ES245" i="59"/>
  <c r="ET245" i="59"/>
  <c r="EU245" i="59"/>
  <c r="EV245" i="59"/>
  <c r="EW245" i="59"/>
  <c r="EX245" i="59"/>
  <c r="EY245" i="59"/>
  <c r="EZ245" i="59"/>
  <c r="FA245" i="59"/>
  <c r="FB245" i="59"/>
  <c r="FC245" i="59"/>
  <c r="FD245" i="59"/>
  <c r="FE245" i="59"/>
  <c r="FF245" i="59"/>
  <c r="FG245" i="59"/>
  <c r="FH245" i="59"/>
  <c r="FI245" i="59"/>
  <c r="FM245" i="59"/>
  <c r="FN245" i="59"/>
  <c r="FO245" i="59"/>
  <c r="FP245" i="59"/>
  <c r="FQ245" i="59"/>
  <c r="FR245" i="59"/>
  <c r="FS245" i="59"/>
  <c r="FT245" i="59"/>
  <c r="FU245" i="59"/>
  <c r="FV245" i="59"/>
  <c r="FW245" i="59"/>
  <c r="FX245" i="59"/>
  <c r="FY245" i="59"/>
  <c r="FZ245" i="59"/>
  <c r="GA245" i="59"/>
  <c r="GB245" i="59"/>
  <c r="GC245" i="59"/>
  <c r="GD245" i="59"/>
  <c r="GE245" i="59"/>
  <c r="GF245" i="59"/>
  <c r="GG245" i="59"/>
  <c r="GH245" i="59"/>
  <c r="GI245" i="59"/>
  <c r="GJ245" i="59"/>
  <c r="GK245" i="59"/>
  <c r="GL245" i="59"/>
  <c r="GM245" i="59"/>
  <c r="GN245" i="59"/>
  <c r="GO245" i="59"/>
  <c r="GP245" i="59"/>
  <c r="GQ245" i="59"/>
  <c r="GR245" i="59"/>
  <c r="GS245" i="59"/>
  <c r="GT245" i="59"/>
  <c r="GU245" i="59"/>
  <c r="GV245" i="59"/>
  <c r="GW245" i="59"/>
  <c r="GX245" i="59"/>
  <c r="GY245" i="59"/>
  <c r="GZ245" i="59"/>
  <c r="HA245" i="59"/>
  <c r="HB245" i="59"/>
  <c r="HC245" i="59"/>
  <c r="HD245" i="59"/>
  <c r="HE245" i="59"/>
  <c r="HF245" i="59"/>
  <c r="HG245" i="59"/>
  <c r="HH245" i="59"/>
  <c r="HI245" i="59"/>
  <c r="HJ245" i="59"/>
  <c r="HK245" i="59"/>
  <c r="HL245" i="59"/>
  <c r="HM245" i="59"/>
  <c r="HN245" i="59"/>
  <c r="HO245" i="59"/>
  <c r="HP245" i="59"/>
  <c r="HQ245" i="59"/>
  <c r="HR245" i="59"/>
  <c r="HS245" i="59"/>
  <c r="HT245" i="59"/>
  <c r="HU245" i="59"/>
  <c r="HV245" i="59"/>
  <c r="HW245" i="59"/>
  <c r="HX245" i="59"/>
  <c r="HY245" i="59"/>
  <c r="HZ245" i="59"/>
  <c r="IA245" i="59"/>
  <c r="IB245" i="59"/>
  <c r="IC245" i="59"/>
  <c r="ID245" i="59"/>
  <c r="IE245" i="59"/>
  <c r="IF245" i="59"/>
  <c r="IG245" i="59"/>
  <c r="IH245" i="59"/>
  <c r="II245" i="59"/>
  <c r="IJ245" i="59"/>
  <c r="IK245" i="59"/>
  <c r="IL245" i="59"/>
  <c r="IP245" i="59"/>
  <c r="IQ245" i="59"/>
  <c r="IR245" i="59"/>
  <c r="IS245" i="59"/>
  <c r="IT245" i="59"/>
  <c r="IU245" i="59"/>
  <c r="IV245" i="59"/>
  <c r="F246" i="59"/>
  <c r="G246" i="59"/>
  <c r="H246" i="59"/>
  <c r="I246" i="59"/>
  <c r="J246" i="59"/>
  <c r="K246" i="59"/>
  <c r="L246" i="59"/>
  <c r="M246" i="59"/>
  <c r="N246" i="59"/>
  <c r="O246" i="59"/>
  <c r="P246" i="59"/>
  <c r="Q246" i="59"/>
  <c r="R246" i="59"/>
  <c r="S246" i="59"/>
  <c r="T246" i="59"/>
  <c r="U246" i="59"/>
  <c r="V246" i="59"/>
  <c r="W246" i="59"/>
  <c r="X246" i="59"/>
  <c r="Y246" i="59"/>
  <c r="Z246" i="59"/>
  <c r="AA246" i="59"/>
  <c r="AB246" i="59"/>
  <c r="AC246" i="59"/>
  <c r="AD246" i="59"/>
  <c r="AE246" i="59"/>
  <c r="AF246" i="59"/>
  <c r="AG246" i="59"/>
  <c r="AH246" i="59"/>
  <c r="AI246" i="59"/>
  <c r="AJ246" i="59"/>
  <c r="AK246" i="59"/>
  <c r="AL246" i="59"/>
  <c r="AM246" i="59"/>
  <c r="AN246" i="59"/>
  <c r="AO246" i="59"/>
  <c r="AP246" i="59"/>
  <c r="AQ246" i="59"/>
  <c r="AR246" i="59"/>
  <c r="AS246" i="59"/>
  <c r="AT246" i="59"/>
  <c r="AU246" i="59"/>
  <c r="AV246" i="59"/>
  <c r="AW246" i="59"/>
  <c r="AX246" i="59"/>
  <c r="AY246" i="59"/>
  <c r="AZ246" i="59"/>
  <c r="BA246" i="59"/>
  <c r="BB246" i="59"/>
  <c r="BC246" i="59"/>
  <c r="BD246" i="59"/>
  <c r="BE246" i="59"/>
  <c r="BF246" i="59"/>
  <c r="BG246" i="59"/>
  <c r="BH246" i="59"/>
  <c r="BI246" i="59"/>
  <c r="BJ246" i="59"/>
  <c r="BK246" i="59"/>
  <c r="BL246" i="59"/>
  <c r="BM246" i="59"/>
  <c r="BN246" i="59"/>
  <c r="BO246" i="59"/>
  <c r="BP246" i="59"/>
  <c r="BQ246" i="59"/>
  <c r="BR246" i="59"/>
  <c r="BS246" i="59"/>
  <c r="BT246" i="59"/>
  <c r="BU246" i="59"/>
  <c r="BV246" i="59"/>
  <c r="BW246" i="59"/>
  <c r="BX246" i="59"/>
  <c r="CB246" i="59"/>
  <c r="CC246" i="59"/>
  <c r="CD246" i="59"/>
  <c r="CE246" i="59"/>
  <c r="CF246" i="59"/>
  <c r="CG246" i="59"/>
  <c r="CH246" i="59"/>
  <c r="CI246" i="59"/>
  <c r="CJ246" i="59"/>
  <c r="CK246" i="59"/>
  <c r="CL246" i="59"/>
  <c r="CM246" i="59"/>
  <c r="CN246" i="59"/>
  <c r="CO246" i="59"/>
  <c r="CP246" i="59"/>
  <c r="CQ246" i="59"/>
  <c r="CR246" i="59"/>
  <c r="CS246" i="59"/>
  <c r="CT246" i="59"/>
  <c r="CU246" i="59"/>
  <c r="CV246" i="59"/>
  <c r="CW246" i="59"/>
  <c r="CX246" i="59"/>
  <c r="CY246" i="59"/>
  <c r="CZ246" i="59"/>
  <c r="DA246" i="59"/>
  <c r="DB246" i="59"/>
  <c r="DC246" i="59"/>
  <c r="DD246" i="59"/>
  <c r="DE246" i="59"/>
  <c r="DF246" i="59"/>
  <c r="DG246" i="59"/>
  <c r="DH246" i="59"/>
  <c r="DI246" i="59"/>
  <c r="DJ246" i="59"/>
  <c r="DK246" i="59"/>
  <c r="DL246" i="59"/>
  <c r="DM246" i="59"/>
  <c r="DN246" i="59"/>
  <c r="DO246" i="59"/>
  <c r="DP246" i="59"/>
  <c r="DQ246" i="59"/>
  <c r="DR246" i="59"/>
  <c r="DS246" i="59"/>
  <c r="DT246" i="59"/>
  <c r="DU246" i="59"/>
  <c r="DV246" i="59"/>
  <c r="DW246" i="59"/>
  <c r="DX246" i="59"/>
  <c r="DY246" i="59"/>
  <c r="DZ246" i="59"/>
  <c r="EA246" i="59"/>
  <c r="EB246" i="59"/>
  <c r="EC246" i="59"/>
  <c r="ED246" i="59"/>
  <c r="EE246" i="59"/>
  <c r="EF246" i="59"/>
  <c r="EG246" i="59"/>
  <c r="EH246" i="59"/>
  <c r="EI246" i="59"/>
  <c r="EJ246" i="59"/>
  <c r="EK246" i="59"/>
  <c r="EL246" i="59"/>
  <c r="EM246" i="59"/>
  <c r="EN246" i="59"/>
  <c r="EO246" i="59"/>
  <c r="EP246" i="59"/>
  <c r="EQ246" i="59"/>
  <c r="ER246" i="59"/>
  <c r="ES246" i="59"/>
  <c r="ET246" i="59"/>
  <c r="EU246" i="59"/>
  <c r="EV246" i="59"/>
  <c r="EW246" i="59"/>
  <c r="EX246" i="59"/>
  <c r="EY246" i="59"/>
  <c r="EZ246" i="59"/>
  <c r="FA246" i="59"/>
  <c r="FE246" i="59"/>
  <c r="FF246" i="59"/>
  <c r="FG246" i="59"/>
  <c r="FH246" i="59"/>
  <c r="FI246" i="59"/>
  <c r="FJ246" i="59"/>
  <c r="FK246" i="59"/>
  <c r="FL246" i="59"/>
  <c r="FM246" i="59"/>
  <c r="FN246" i="59"/>
  <c r="FO246" i="59"/>
  <c r="FP246" i="59"/>
  <c r="FQ246" i="59"/>
  <c r="FR246" i="59"/>
  <c r="FS246" i="59"/>
  <c r="FT246" i="59"/>
  <c r="FU246" i="59"/>
  <c r="FV246" i="59"/>
  <c r="FW246" i="59"/>
  <c r="FX246" i="59"/>
  <c r="FY246" i="59"/>
  <c r="FZ246" i="59"/>
  <c r="GA246" i="59"/>
  <c r="GB246" i="59"/>
  <c r="GC246" i="59"/>
  <c r="GD246" i="59"/>
  <c r="GE246" i="59"/>
  <c r="GF246" i="59"/>
  <c r="GG246" i="59"/>
  <c r="GH246" i="59"/>
  <c r="GI246" i="59"/>
  <c r="GJ246" i="59"/>
  <c r="GK246" i="59"/>
  <c r="GL246" i="59"/>
  <c r="GM246" i="59"/>
  <c r="GN246" i="59"/>
  <c r="GO246" i="59"/>
  <c r="GP246" i="59"/>
  <c r="GQ246" i="59"/>
  <c r="GR246" i="59"/>
  <c r="GS246" i="59"/>
  <c r="GT246" i="59"/>
  <c r="GU246" i="59"/>
  <c r="GV246" i="59"/>
  <c r="GW246" i="59"/>
  <c r="GX246" i="59"/>
  <c r="GY246" i="59"/>
  <c r="GZ246" i="59"/>
  <c r="HA246" i="59"/>
  <c r="HB246" i="59"/>
  <c r="HC246" i="59"/>
  <c r="HD246" i="59"/>
  <c r="HE246" i="59"/>
  <c r="HF246" i="59"/>
  <c r="HG246" i="59"/>
  <c r="HH246" i="59"/>
  <c r="HI246" i="59"/>
  <c r="HJ246" i="59"/>
  <c r="HK246" i="59"/>
  <c r="HL246" i="59"/>
  <c r="HM246" i="59"/>
  <c r="HN246" i="59"/>
  <c r="HO246" i="59"/>
  <c r="HP246" i="59"/>
  <c r="HQ246" i="59"/>
  <c r="HR246" i="59"/>
  <c r="HS246" i="59"/>
  <c r="HT246" i="59"/>
  <c r="HU246" i="59"/>
  <c r="HV246" i="59"/>
  <c r="HW246" i="59"/>
  <c r="HX246" i="59"/>
  <c r="HY246" i="59"/>
  <c r="HZ246" i="59"/>
  <c r="IA246" i="59"/>
  <c r="IB246" i="59"/>
  <c r="IC246" i="59"/>
  <c r="ID246" i="59"/>
  <c r="IH246" i="59"/>
  <c r="II246" i="59"/>
  <c r="IJ246" i="59"/>
  <c r="IK246" i="59"/>
  <c r="IL246" i="59"/>
  <c r="IM246" i="59"/>
  <c r="IN246" i="59"/>
  <c r="IO246" i="59"/>
  <c r="IP246" i="59"/>
  <c r="IQ246" i="59"/>
  <c r="IR246" i="59"/>
  <c r="IS246" i="59"/>
  <c r="IT246" i="59"/>
  <c r="IU246" i="59"/>
  <c r="IV246" i="59"/>
  <c r="F247" i="59"/>
  <c r="G247" i="59"/>
  <c r="H247" i="59"/>
  <c r="I247" i="59"/>
  <c r="J247" i="59"/>
  <c r="K247" i="59"/>
  <c r="L247" i="59"/>
  <c r="M247" i="59"/>
  <c r="N247" i="59"/>
  <c r="O247" i="59"/>
  <c r="P247" i="59"/>
  <c r="Q247" i="59"/>
  <c r="R247" i="59"/>
  <c r="S247" i="59"/>
  <c r="T247" i="59"/>
  <c r="U247" i="59"/>
  <c r="V247" i="59"/>
  <c r="W247" i="59"/>
  <c r="X247" i="59"/>
  <c r="Y247" i="59"/>
  <c r="Z247" i="59"/>
  <c r="AA247" i="59"/>
  <c r="AB247" i="59"/>
  <c r="AC247" i="59"/>
  <c r="AD247" i="59"/>
  <c r="AE247" i="59"/>
  <c r="AF247" i="59"/>
  <c r="AG247" i="59"/>
  <c r="AH247" i="59"/>
  <c r="AI247" i="59"/>
  <c r="AJ247" i="59"/>
  <c r="AK247" i="59"/>
  <c r="AL247" i="59"/>
  <c r="AM247" i="59"/>
  <c r="AN247" i="59"/>
  <c r="AO247" i="59"/>
  <c r="AP247" i="59"/>
  <c r="AQ247" i="59"/>
  <c r="AR247" i="59"/>
  <c r="AS247" i="59"/>
  <c r="AT247" i="59"/>
  <c r="AU247" i="59"/>
  <c r="AV247" i="59"/>
  <c r="AW247" i="59"/>
  <c r="AX247" i="59"/>
  <c r="AY247" i="59"/>
  <c r="AZ247" i="59"/>
  <c r="BA247" i="59"/>
  <c r="BB247" i="59"/>
  <c r="BC247" i="59"/>
  <c r="BD247" i="59"/>
  <c r="BE247" i="59"/>
  <c r="BF247" i="59"/>
  <c r="BG247" i="59"/>
  <c r="BH247" i="59"/>
  <c r="BI247" i="59"/>
  <c r="BJ247" i="59"/>
  <c r="BK247" i="59"/>
  <c r="BL247" i="59"/>
  <c r="BM247" i="59"/>
  <c r="BN247" i="59"/>
  <c r="BO247" i="59"/>
  <c r="BP247" i="59"/>
  <c r="BT247" i="59"/>
  <c r="BU247" i="59"/>
  <c r="BV247" i="59"/>
  <c r="BW247" i="59"/>
  <c r="BX247" i="59"/>
  <c r="BY247" i="59"/>
  <c r="BZ247" i="59"/>
  <c r="CA247" i="59"/>
  <c r="CB247" i="59"/>
  <c r="CC247" i="59"/>
  <c r="CD247" i="59"/>
  <c r="CE247" i="59"/>
  <c r="CF247" i="59"/>
  <c r="CG247" i="59"/>
  <c r="CH247" i="59"/>
  <c r="CI247" i="59"/>
  <c r="CJ247" i="59"/>
  <c r="CK247" i="59"/>
  <c r="CL247" i="59"/>
  <c r="CM247" i="59"/>
  <c r="CN247" i="59"/>
  <c r="CO247" i="59"/>
  <c r="CP247" i="59"/>
  <c r="CQ247" i="59"/>
  <c r="CR247" i="59"/>
  <c r="CS247" i="59"/>
  <c r="CT247" i="59"/>
  <c r="CU247" i="59"/>
  <c r="CV247" i="59"/>
  <c r="CW247" i="59"/>
  <c r="CX247" i="59"/>
  <c r="CY247" i="59"/>
  <c r="CZ247" i="59"/>
  <c r="DA247" i="59"/>
  <c r="DB247" i="59"/>
  <c r="DC247" i="59"/>
  <c r="DD247" i="59"/>
  <c r="DE247" i="59"/>
  <c r="DF247" i="59"/>
  <c r="DG247" i="59"/>
  <c r="DH247" i="59"/>
  <c r="DI247" i="59"/>
  <c r="DJ247" i="59"/>
  <c r="DK247" i="59"/>
  <c r="DL247" i="59"/>
  <c r="DM247" i="59"/>
  <c r="DN247" i="59"/>
  <c r="DO247" i="59"/>
  <c r="DP247" i="59"/>
  <c r="DQ247" i="59"/>
  <c r="DR247" i="59"/>
  <c r="DS247" i="59"/>
  <c r="DT247" i="59"/>
  <c r="DU247" i="59"/>
  <c r="DV247" i="59"/>
  <c r="DW247" i="59"/>
  <c r="DX247" i="59"/>
  <c r="DY247" i="59"/>
  <c r="DZ247" i="59"/>
  <c r="EA247" i="59"/>
  <c r="EB247" i="59"/>
  <c r="EC247" i="59"/>
  <c r="ED247" i="59"/>
  <c r="EE247" i="59"/>
  <c r="EF247" i="59"/>
  <c r="EG247" i="59"/>
  <c r="EH247" i="59"/>
  <c r="EI247" i="59"/>
  <c r="EJ247" i="59"/>
  <c r="EK247" i="59"/>
  <c r="EL247" i="59"/>
  <c r="EM247" i="59"/>
  <c r="EN247" i="59"/>
  <c r="EO247" i="59"/>
  <c r="EP247" i="59"/>
  <c r="EQ247" i="59"/>
  <c r="ER247" i="59"/>
  <c r="ES247" i="59"/>
  <c r="EW247" i="59"/>
  <c r="EX247" i="59"/>
  <c r="EY247" i="59"/>
  <c r="EZ247" i="59"/>
  <c r="FA247" i="59"/>
  <c r="FB247" i="59"/>
  <c r="FC247" i="59"/>
  <c r="FD247" i="59"/>
  <c r="FE247" i="59"/>
  <c r="FF247" i="59"/>
  <c r="FG247" i="59"/>
  <c r="FH247" i="59"/>
  <c r="FI247" i="59"/>
  <c r="FJ247" i="59"/>
  <c r="FK247" i="59"/>
  <c r="FL247" i="59"/>
  <c r="FM247" i="59"/>
  <c r="FN247" i="59"/>
  <c r="FO247" i="59"/>
  <c r="FP247" i="59"/>
  <c r="FQ247" i="59"/>
  <c r="FR247" i="59"/>
  <c r="FS247" i="59"/>
  <c r="FT247" i="59"/>
  <c r="FU247" i="59"/>
  <c r="FV247" i="59"/>
  <c r="FW247" i="59"/>
  <c r="FX247" i="59"/>
  <c r="FY247" i="59"/>
  <c r="FZ247" i="59"/>
  <c r="GA247" i="59"/>
  <c r="GB247" i="59"/>
  <c r="GC247" i="59"/>
  <c r="GD247" i="59"/>
  <c r="GE247" i="59"/>
  <c r="GF247" i="59"/>
  <c r="GG247" i="59"/>
  <c r="GH247" i="59"/>
  <c r="GI247" i="59"/>
  <c r="GJ247" i="59"/>
  <c r="GK247" i="59"/>
  <c r="GL247" i="59"/>
  <c r="GM247" i="59"/>
  <c r="GN247" i="59"/>
  <c r="GO247" i="59"/>
  <c r="GP247" i="59"/>
  <c r="GQ247" i="59"/>
  <c r="GR247" i="59"/>
  <c r="GS247" i="59"/>
  <c r="GT247" i="59"/>
  <c r="GU247" i="59"/>
  <c r="GV247" i="59"/>
  <c r="GW247" i="59"/>
  <c r="GX247" i="59"/>
  <c r="GY247" i="59"/>
  <c r="GZ247" i="59"/>
  <c r="HA247" i="59"/>
  <c r="HB247" i="59"/>
  <c r="HC247" i="59"/>
  <c r="HD247" i="59"/>
  <c r="HE247" i="59"/>
  <c r="HF247" i="59"/>
  <c r="HG247" i="59"/>
  <c r="HH247" i="59"/>
  <c r="HI247" i="59"/>
  <c r="HJ247" i="59"/>
  <c r="HK247" i="59"/>
  <c r="HL247" i="59"/>
  <c r="HM247" i="59"/>
  <c r="HN247" i="59"/>
  <c r="HO247" i="59"/>
  <c r="HP247" i="59"/>
  <c r="HQ247" i="59"/>
  <c r="HR247" i="59"/>
  <c r="HS247" i="59"/>
  <c r="HT247" i="59"/>
  <c r="HU247" i="59"/>
  <c r="HV247" i="59"/>
  <c r="HZ247" i="59"/>
  <c r="IA247" i="59"/>
  <c r="IB247" i="59"/>
  <c r="IC247" i="59"/>
  <c r="ID247" i="59"/>
  <c r="IE247" i="59"/>
  <c r="IF247" i="59"/>
  <c r="IG247" i="59"/>
  <c r="IH247" i="59"/>
  <c r="II247" i="59"/>
  <c r="IJ247" i="59"/>
  <c r="IK247" i="59"/>
  <c r="IL247" i="59"/>
  <c r="IM247" i="59"/>
  <c r="IN247" i="59"/>
  <c r="IO247" i="59"/>
  <c r="IP247" i="59"/>
  <c r="IQ247" i="59"/>
  <c r="IR247" i="59"/>
  <c r="IS247" i="59"/>
  <c r="IT247" i="59"/>
  <c r="IU247" i="59"/>
  <c r="IV247" i="59"/>
  <c r="F248" i="59"/>
  <c r="G248" i="59"/>
  <c r="H248" i="59"/>
  <c r="I248" i="59"/>
  <c r="J248" i="59"/>
  <c r="K248" i="59"/>
  <c r="L248" i="59"/>
  <c r="M248" i="59"/>
  <c r="N248" i="59"/>
  <c r="O248" i="59"/>
  <c r="P248" i="59"/>
  <c r="Q248" i="59"/>
  <c r="R248" i="59"/>
  <c r="S248" i="59"/>
  <c r="T248" i="59"/>
  <c r="U248" i="59"/>
  <c r="V248" i="59"/>
  <c r="W248" i="59"/>
  <c r="X248" i="59"/>
  <c r="Y248" i="59"/>
  <c r="Z248" i="59"/>
  <c r="AA248" i="59"/>
  <c r="AB248" i="59"/>
  <c r="AC248" i="59"/>
  <c r="AD248" i="59"/>
  <c r="AE248" i="59"/>
  <c r="AF248" i="59"/>
  <c r="AG248" i="59"/>
  <c r="AH248" i="59"/>
  <c r="AI248" i="59"/>
  <c r="AJ248" i="59"/>
  <c r="AK248" i="59"/>
  <c r="AL248" i="59"/>
  <c r="AM248" i="59"/>
  <c r="AN248" i="59"/>
  <c r="AO248" i="59"/>
  <c r="AP248" i="59"/>
  <c r="AQ248" i="59"/>
  <c r="AR248" i="59"/>
  <c r="AS248" i="59"/>
  <c r="AT248" i="59"/>
  <c r="AU248" i="59"/>
  <c r="AV248" i="59"/>
  <c r="AW248" i="59"/>
  <c r="AX248" i="59"/>
  <c r="AY248" i="59"/>
  <c r="AZ248" i="59"/>
  <c r="BA248" i="59"/>
  <c r="BB248" i="59"/>
  <c r="BC248" i="59"/>
  <c r="BD248" i="59"/>
  <c r="BE248" i="59"/>
  <c r="BF248" i="59"/>
  <c r="BG248" i="59"/>
  <c r="BH248" i="59"/>
  <c r="BL248" i="59"/>
  <c r="BM248" i="59"/>
  <c r="BN248" i="59"/>
  <c r="BO248" i="59"/>
  <c r="BP248" i="59"/>
  <c r="BQ248" i="59"/>
  <c r="BR248" i="59"/>
  <c r="BS248" i="59"/>
  <c r="BT248" i="59"/>
  <c r="BU248" i="59"/>
  <c r="BV248" i="59"/>
  <c r="BW248" i="59"/>
  <c r="BX248" i="59"/>
  <c r="BY248" i="59"/>
  <c r="BZ248" i="59"/>
  <c r="CA248" i="59"/>
  <c r="CB248" i="59"/>
  <c r="CC248" i="59"/>
  <c r="CD248" i="59"/>
  <c r="CE248" i="59"/>
  <c r="CF248" i="59"/>
  <c r="CG248" i="59"/>
  <c r="CH248" i="59"/>
  <c r="CI248" i="59"/>
  <c r="CJ248" i="59"/>
  <c r="CK248" i="59"/>
  <c r="CL248" i="59"/>
  <c r="CM248" i="59"/>
  <c r="CN248" i="59"/>
  <c r="CO248" i="59"/>
  <c r="CP248" i="59"/>
  <c r="CQ248" i="59"/>
  <c r="CR248" i="59"/>
  <c r="CS248" i="59"/>
  <c r="CT248" i="59"/>
  <c r="CU248" i="59"/>
  <c r="CV248" i="59"/>
  <c r="CW248" i="59"/>
  <c r="CX248" i="59"/>
  <c r="CY248" i="59"/>
  <c r="CZ248" i="59"/>
  <c r="DA248" i="59"/>
  <c r="DB248" i="59"/>
  <c r="DC248" i="59"/>
  <c r="DD248" i="59"/>
  <c r="DE248" i="59"/>
  <c r="DF248" i="59"/>
  <c r="DG248" i="59"/>
  <c r="DH248" i="59"/>
  <c r="DI248" i="59"/>
  <c r="DJ248" i="59"/>
  <c r="DK248" i="59"/>
  <c r="DL248" i="59"/>
  <c r="DM248" i="59"/>
  <c r="DN248" i="59"/>
  <c r="DO248" i="59"/>
  <c r="DP248" i="59"/>
  <c r="DQ248" i="59"/>
  <c r="DR248" i="59"/>
  <c r="DS248" i="59"/>
  <c r="DT248" i="59"/>
  <c r="DU248" i="59"/>
  <c r="DV248" i="59"/>
  <c r="DW248" i="59"/>
  <c r="DX248" i="59"/>
  <c r="DY248" i="59"/>
  <c r="DZ248" i="59"/>
  <c r="EA248" i="59"/>
  <c r="EB248" i="59"/>
  <c r="EC248" i="59"/>
  <c r="ED248" i="59"/>
  <c r="EE248" i="59"/>
  <c r="EF248" i="59"/>
  <c r="EG248" i="59"/>
  <c r="EH248" i="59"/>
  <c r="EI248" i="59"/>
  <c r="EJ248" i="59"/>
  <c r="EK248" i="59"/>
  <c r="EM248" i="59"/>
  <c r="EO248" i="59"/>
  <c r="EP248" i="59"/>
  <c r="EQ248" i="59"/>
  <c r="ER248" i="59"/>
  <c r="ES248" i="59"/>
  <c r="ET248" i="59"/>
  <c r="EU248" i="59"/>
  <c r="EV248" i="59"/>
  <c r="EW248" i="59"/>
  <c r="EX248" i="59"/>
  <c r="EY248" i="59"/>
  <c r="EZ248" i="59"/>
  <c r="FA248" i="59"/>
  <c r="FB248" i="59"/>
  <c r="FC248" i="59"/>
  <c r="FD248" i="59"/>
  <c r="FE248" i="59"/>
  <c r="FF248" i="59"/>
  <c r="FG248" i="59"/>
  <c r="FH248" i="59"/>
  <c r="FI248" i="59"/>
  <c r="FJ248" i="59"/>
  <c r="FK248" i="59"/>
  <c r="FL248" i="59"/>
  <c r="FM248" i="59"/>
  <c r="FN248" i="59"/>
  <c r="FO248" i="59"/>
  <c r="FP248" i="59"/>
  <c r="FQ248" i="59"/>
  <c r="FR248" i="59"/>
  <c r="FS248" i="59"/>
  <c r="FT248" i="59"/>
  <c r="FU248" i="59"/>
  <c r="FV248" i="59"/>
  <c r="FW248" i="59"/>
  <c r="FX248" i="59"/>
  <c r="FY248" i="59"/>
  <c r="FZ248" i="59"/>
  <c r="GA248" i="59"/>
  <c r="GB248" i="59"/>
  <c r="GC248" i="59"/>
  <c r="GD248" i="59"/>
  <c r="GE248" i="59"/>
  <c r="GF248" i="59"/>
  <c r="GG248" i="59"/>
  <c r="GH248" i="59"/>
  <c r="GI248" i="59"/>
  <c r="GJ248" i="59"/>
  <c r="GK248" i="59"/>
  <c r="GL248" i="59"/>
  <c r="GM248" i="59"/>
  <c r="GN248" i="59"/>
  <c r="GO248" i="59"/>
  <c r="GP248" i="59"/>
  <c r="GQ248" i="59"/>
  <c r="GR248" i="59"/>
  <c r="GS248" i="59"/>
  <c r="GT248" i="59"/>
  <c r="GU248" i="59"/>
  <c r="GV248" i="59"/>
  <c r="GW248" i="59"/>
  <c r="GX248" i="59"/>
  <c r="GY248" i="59"/>
  <c r="GZ248" i="59"/>
  <c r="HA248" i="59"/>
  <c r="HB248" i="59"/>
  <c r="HC248" i="59"/>
  <c r="HD248" i="59"/>
  <c r="HE248" i="59"/>
  <c r="HF248" i="59"/>
  <c r="HG248" i="59"/>
  <c r="HH248" i="59"/>
  <c r="HI248" i="59"/>
  <c r="HJ248" i="59"/>
  <c r="HK248" i="59"/>
  <c r="HL248" i="59"/>
  <c r="HM248" i="59"/>
  <c r="HN248" i="59"/>
  <c r="HP248" i="59"/>
  <c r="HR248" i="59"/>
  <c r="HS248" i="59"/>
  <c r="HT248" i="59"/>
  <c r="HU248" i="59"/>
  <c r="HV248" i="59"/>
  <c r="HW248" i="59"/>
  <c r="HX248" i="59"/>
  <c r="HY248" i="59"/>
  <c r="HZ248" i="59"/>
  <c r="IA248" i="59"/>
  <c r="IB248" i="59"/>
  <c r="IC248" i="59"/>
  <c r="ID248" i="59"/>
  <c r="IE248" i="59"/>
  <c r="IF248" i="59"/>
  <c r="IG248" i="59"/>
  <c r="IH248" i="59"/>
  <c r="II248" i="59"/>
  <c r="IJ248" i="59"/>
  <c r="IK248" i="59"/>
  <c r="IL248" i="59"/>
  <c r="IM248" i="59"/>
  <c r="IN248" i="59"/>
  <c r="IO248" i="59"/>
  <c r="IP248" i="59"/>
  <c r="IQ248" i="59"/>
  <c r="IR248" i="59"/>
  <c r="IS248" i="59"/>
  <c r="IT248" i="59"/>
  <c r="IU248" i="59"/>
  <c r="IV248" i="59"/>
  <c r="F249" i="59"/>
  <c r="G249" i="59"/>
  <c r="H249" i="59"/>
  <c r="I249" i="59"/>
  <c r="J249" i="59"/>
  <c r="K249" i="59"/>
  <c r="L249" i="59"/>
  <c r="M249" i="59"/>
  <c r="N249" i="59"/>
  <c r="O249" i="59"/>
  <c r="P249" i="59"/>
  <c r="Q249" i="59"/>
  <c r="R249" i="59"/>
  <c r="S249" i="59"/>
  <c r="T249" i="59"/>
  <c r="U249" i="59"/>
  <c r="V249" i="59"/>
  <c r="W249" i="59"/>
  <c r="X249" i="59"/>
  <c r="Y249" i="59"/>
  <c r="Z249" i="59"/>
  <c r="AA249" i="59"/>
  <c r="AB249" i="59"/>
  <c r="AC249" i="59"/>
  <c r="AD249" i="59"/>
  <c r="AE249" i="59"/>
  <c r="AF249" i="59"/>
  <c r="AG249" i="59"/>
  <c r="AH249" i="59"/>
  <c r="AI249" i="59"/>
  <c r="AJ249" i="59"/>
  <c r="AK249" i="59"/>
  <c r="AL249" i="59"/>
  <c r="AM249" i="59"/>
  <c r="AN249" i="59"/>
  <c r="AO249" i="59"/>
  <c r="AP249" i="59"/>
  <c r="AQ249" i="59"/>
  <c r="AR249" i="59"/>
  <c r="AS249" i="59"/>
  <c r="AT249" i="59"/>
  <c r="AU249" i="59"/>
  <c r="AV249" i="59"/>
  <c r="AW249" i="59"/>
  <c r="AX249" i="59"/>
  <c r="AY249" i="59"/>
  <c r="AZ249" i="59"/>
  <c r="BB249" i="59"/>
  <c r="BD249" i="59"/>
  <c r="BE249" i="59"/>
  <c r="BF249" i="59"/>
  <c r="BG249" i="59"/>
  <c r="BH249" i="59"/>
  <c r="BI249" i="59"/>
  <c r="BJ249" i="59"/>
  <c r="BK249" i="59"/>
  <c r="BL249" i="59"/>
  <c r="BM249" i="59"/>
  <c r="BN249" i="59"/>
  <c r="BO249" i="59"/>
  <c r="BP249" i="59"/>
  <c r="BQ249" i="59"/>
  <c r="BR249" i="59"/>
  <c r="BS249" i="59"/>
  <c r="BT249" i="59"/>
  <c r="BU249" i="59"/>
  <c r="BV249" i="59"/>
  <c r="BW249" i="59"/>
  <c r="BX249" i="59"/>
  <c r="BY249" i="59"/>
  <c r="BZ249" i="59"/>
  <c r="CA249" i="59"/>
  <c r="CB249" i="59"/>
  <c r="CC249" i="59"/>
  <c r="CD249" i="59"/>
  <c r="CE249" i="59"/>
  <c r="CF249" i="59"/>
  <c r="CG249" i="59"/>
  <c r="CH249" i="59"/>
  <c r="CI249" i="59"/>
  <c r="CJ249" i="59"/>
  <c r="CK249" i="59"/>
  <c r="CL249" i="59"/>
  <c r="CM249" i="59"/>
  <c r="CN249" i="59"/>
  <c r="CO249" i="59"/>
  <c r="CP249" i="59"/>
  <c r="CQ249" i="59"/>
  <c r="CR249" i="59"/>
  <c r="CS249" i="59"/>
  <c r="CT249" i="59"/>
  <c r="CU249" i="59"/>
  <c r="CV249" i="59"/>
  <c r="CW249" i="59"/>
  <c r="CX249" i="59"/>
  <c r="CY249" i="59"/>
  <c r="CZ249" i="59"/>
  <c r="DA249" i="59"/>
  <c r="DB249" i="59"/>
  <c r="DC249" i="59"/>
  <c r="DD249" i="59"/>
  <c r="DE249" i="59"/>
  <c r="DF249" i="59"/>
  <c r="DG249" i="59"/>
  <c r="DH249" i="59"/>
  <c r="DI249" i="59"/>
  <c r="DJ249" i="59"/>
  <c r="DK249" i="59"/>
  <c r="DL249" i="59"/>
  <c r="DM249" i="59"/>
  <c r="DN249" i="59"/>
  <c r="DO249" i="59"/>
  <c r="DP249" i="59"/>
  <c r="DQ249" i="59"/>
  <c r="DR249" i="59"/>
  <c r="DS249" i="59"/>
  <c r="DT249" i="59"/>
  <c r="DU249" i="59"/>
  <c r="DV249" i="59"/>
  <c r="DW249" i="59"/>
  <c r="DX249" i="59"/>
  <c r="DY249" i="59"/>
  <c r="DZ249" i="59"/>
  <c r="EA249" i="59"/>
  <c r="EB249" i="59"/>
  <c r="EC249" i="59"/>
  <c r="EE249" i="59"/>
  <c r="EG249" i="59"/>
  <c r="EH249" i="59"/>
  <c r="EI249" i="59"/>
  <c r="EJ249" i="59"/>
  <c r="EK249" i="59"/>
  <c r="EL249" i="59"/>
  <c r="EM249" i="59"/>
  <c r="EN249" i="59"/>
  <c r="EO249" i="59"/>
  <c r="EP249" i="59"/>
  <c r="EQ249" i="59"/>
  <c r="ER249" i="59"/>
  <c r="ES249" i="59"/>
  <c r="ET249" i="59"/>
  <c r="EU249" i="59"/>
  <c r="EV249" i="59"/>
  <c r="EW249" i="59"/>
  <c r="EX249" i="59"/>
  <c r="EY249" i="59"/>
  <c r="EZ249" i="59"/>
  <c r="FA249" i="59"/>
  <c r="FB249" i="59"/>
  <c r="FC249" i="59"/>
  <c r="FD249" i="59"/>
  <c r="FE249" i="59"/>
  <c r="FF249" i="59"/>
  <c r="FG249" i="59"/>
  <c r="FH249" i="59"/>
  <c r="FI249" i="59"/>
  <c r="FJ249" i="59"/>
  <c r="FK249" i="59"/>
  <c r="FL249" i="59"/>
  <c r="FM249" i="59"/>
  <c r="FN249" i="59"/>
  <c r="FO249" i="59"/>
  <c r="FP249" i="59"/>
  <c r="FQ249" i="59"/>
  <c r="FR249" i="59"/>
  <c r="FS249" i="59"/>
  <c r="FT249" i="59"/>
  <c r="FU249" i="59"/>
  <c r="FV249" i="59"/>
  <c r="FW249" i="59"/>
  <c r="FX249" i="59"/>
  <c r="FY249" i="59"/>
  <c r="FZ249" i="59"/>
  <c r="GA249" i="59"/>
  <c r="GB249" i="59"/>
  <c r="GC249" i="59"/>
  <c r="GD249" i="59"/>
  <c r="GE249" i="59"/>
  <c r="GF249" i="59"/>
  <c r="GG249" i="59"/>
  <c r="GH249" i="59"/>
  <c r="GI249" i="59"/>
  <c r="GJ249" i="59"/>
  <c r="GK249" i="59"/>
  <c r="GL249" i="59"/>
  <c r="GM249" i="59"/>
  <c r="GN249" i="59"/>
  <c r="GO249" i="59"/>
  <c r="GP249" i="59"/>
  <c r="GQ249" i="59"/>
  <c r="GR249" i="59"/>
  <c r="GS249" i="59"/>
  <c r="GT249" i="59"/>
  <c r="GU249" i="59"/>
  <c r="GV249" i="59"/>
  <c r="GW249" i="59"/>
  <c r="GX249" i="59"/>
  <c r="GY249" i="59"/>
  <c r="GZ249" i="59"/>
  <c r="HA249" i="59"/>
  <c r="HB249" i="59"/>
  <c r="HC249" i="59"/>
  <c r="HD249" i="59"/>
  <c r="HE249" i="59"/>
  <c r="HF249" i="59"/>
  <c r="HH249" i="59"/>
  <c r="HJ249" i="59"/>
  <c r="HK249" i="59"/>
  <c r="HL249" i="59"/>
  <c r="HM249" i="59"/>
  <c r="HN249" i="59"/>
  <c r="HO249" i="59"/>
  <c r="HP249" i="59"/>
  <c r="HQ249" i="59"/>
  <c r="HR249" i="59"/>
  <c r="HS249" i="59"/>
  <c r="HT249" i="59"/>
  <c r="HU249" i="59"/>
  <c r="HV249" i="59"/>
  <c r="HW249" i="59"/>
  <c r="HX249" i="59"/>
  <c r="HY249" i="59"/>
  <c r="HZ249" i="59"/>
  <c r="IA249" i="59"/>
  <c r="IB249" i="59"/>
  <c r="IC249" i="59"/>
  <c r="ID249" i="59"/>
  <c r="IE249" i="59"/>
  <c r="IF249" i="59"/>
  <c r="IG249" i="59"/>
  <c r="IH249" i="59"/>
  <c r="II249" i="59"/>
  <c r="IJ249" i="59"/>
  <c r="IK249" i="59"/>
  <c r="IL249" i="59"/>
  <c r="IM249" i="59"/>
  <c r="IN249" i="59"/>
  <c r="IO249" i="59"/>
  <c r="IP249" i="59"/>
  <c r="IQ249" i="59"/>
  <c r="IR249" i="59"/>
  <c r="IS249" i="59"/>
  <c r="IT249" i="59"/>
  <c r="IU249" i="59"/>
  <c r="IV249" i="59"/>
  <c r="F250" i="59"/>
  <c r="G250" i="59"/>
  <c r="H250" i="59"/>
  <c r="I250" i="59"/>
  <c r="J250" i="59"/>
  <c r="K250" i="59"/>
  <c r="L250" i="59"/>
  <c r="M250" i="59"/>
  <c r="N250" i="59"/>
  <c r="O250" i="59"/>
  <c r="P250" i="59"/>
  <c r="Q250" i="59"/>
  <c r="R250" i="59"/>
  <c r="S250" i="59"/>
  <c r="T250" i="59"/>
  <c r="U250" i="59"/>
  <c r="V250" i="59"/>
  <c r="W250" i="59"/>
  <c r="X250" i="59"/>
  <c r="Y250" i="59"/>
  <c r="Z250" i="59"/>
  <c r="AA250" i="59"/>
  <c r="AB250" i="59"/>
  <c r="AC250" i="59"/>
  <c r="AD250" i="59"/>
  <c r="AE250" i="59"/>
  <c r="AF250" i="59"/>
  <c r="AG250" i="59"/>
  <c r="AH250" i="59"/>
  <c r="AI250" i="59"/>
  <c r="AJ250" i="59"/>
  <c r="AK250" i="59"/>
  <c r="AL250" i="59"/>
  <c r="AM250" i="59"/>
  <c r="AN250" i="59"/>
  <c r="AO250" i="59"/>
  <c r="AP250" i="59"/>
  <c r="AQ250" i="59"/>
  <c r="AR250" i="59"/>
  <c r="AT250" i="59"/>
  <c r="AV250" i="59"/>
  <c r="AW250" i="59"/>
  <c r="AX250" i="59"/>
  <c r="AY250" i="59"/>
  <c r="AZ250" i="59"/>
  <c r="BA250" i="59"/>
  <c r="BB250" i="59"/>
  <c r="BC250" i="59"/>
  <c r="BD250" i="59"/>
  <c r="BE250" i="59"/>
  <c r="BF250" i="59"/>
  <c r="BG250" i="59"/>
  <c r="BH250" i="59"/>
  <c r="BI250" i="59"/>
  <c r="BJ250" i="59"/>
  <c r="BK250" i="59"/>
  <c r="BL250" i="59"/>
  <c r="BM250" i="59"/>
  <c r="BN250" i="59"/>
  <c r="BO250" i="59"/>
  <c r="BP250" i="59"/>
  <c r="BQ250" i="59"/>
  <c r="BR250" i="59"/>
  <c r="BS250" i="59"/>
  <c r="BT250" i="59"/>
  <c r="BU250" i="59"/>
  <c r="BV250" i="59"/>
  <c r="BW250" i="59"/>
  <c r="BX250" i="59"/>
  <c r="BY250" i="59"/>
  <c r="BZ250" i="59"/>
  <c r="CA250" i="59"/>
  <c r="CB250" i="59"/>
  <c r="CC250" i="59"/>
  <c r="CD250" i="59"/>
  <c r="CE250" i="59"/>
  <c r="CF250" i="59"/>
  <c r="CG250" i="59"/>
  <c r="CH250" i="59"/>
  <c r="CI250" i="59"/>
  <c r="CJ250" i="59"/>
  <c r="CK250" i="59"/>
  <c r="CL250" i="59"/>
  <c r="CM250" i="59"/>
  <c r="CN250" i="59"/>
  <c r="CO250" i="59"/>
  <c r="CP250" i="59"/>
  <c r="CQ250" i="59"/>
  <c r="CR250" i="59"/>
  <c r="CS250" i="59"/>
  <c r="CT250" i="59"/>
  <c r="CU250" i="59"/>
  <c r="CV250" i="59"/>
  <c r="CW250" i="59"/>
  <c r="CX250" i="59"/>
  <c r="CY250" i="59"/>
  <c r="CZ250" i="59"/>
  <c r="DA250" i="59"/>
  <c r="DB250" i="59"/>
  <c r="DC250" i="59"/>
  <c r="DD250" i="59"/>
  <c r="DE250" i="59"/>
  <c r="DF250" i="59"/>
  <c r="DG250" i="59"/>
  <c r="DH250" i="59"/>
  <c r="DI250" i="59"/>
  <c r="DJ250" i="59"/>
  <c r="DK250" i="59"/>
  <c r="DL250" i="59"/>
  <c r="DM250" i="59"/>
  <c r="DN250" i="59"/>
  <c r="DO250" i="59"/>
  <c r="DP250" i="59"/>
  <c r="DQ250" i="59"/>
  <c r="DR250" i="59"/>
  <c r="DS250" i="59"/>
  <c r="DT250" i="59"/>
  <c r="DU250" i="59"/>
  <c r="DV250" i="59"/>
  <c r="DW250" i="59"/>
  <c r="DX250" i="59"/>
  <c r="DY250" i="59"/>
  <c r="DZ250" i="59"/>
  <c r="EA250" i="59"/>
  <c r="EB250" i="59"/>
  <c r="EC250" i="59"/>
  <c r="ED250" i="59"/>
  <c r="EE250" i="59"/>
  <c r="EF250" i="59"/>
  <c r="EG250" i="59"/>
  <c r="EH250" i="59"/>
  <c r="EI250" i="59"/>
  <c r="EJ250" i="59"/>
  <c r="EK250" i="59"/>
  <c r="EL250" i="59"/>
  <c r="EM250" i="59"/>
  <c r="EN250" i="59"/>
  <c r="EO250" i="59"/>
  <c r="EP250" i="59"/>
  <c r="EQ250" i="59"/>
  <c r="ER250" i="59"/>
  <c r="ES250" i="59"/>
  <c r="ET250" i="59"/>
  <c r="EV250" i="59"/>
  <c r="EW250" i="59"/>
  <c r="EX250" i="59"/>
  <c r="EY250" i="59"/>
  <c r="EZ250" i="59"/>
  <c r="FB250" i="59"/>
  <c r="FC250" i="59"/>
  <c r="FD250" i="59"/>
  <c r="FE250" i="59"/>
  <c r="FF250" i="59"/>
  <c r="FG250" i="59"/>
  <c r="FH250" i="59"/>
  <c r="FI250" i="59"/>
  <c r="FJ250" i="59"/>
  <c r="FK250" i="59"/>
  <c r="FL250" i="59"/>
  <c r="FM250" i="59"/>
  <c r="FN250" i="59"/>
  <c r="FO250" i="59"/>
  <c r="FP250" i="59"/>
  <c r="FQ250" i="59"/>
  <c r="FR250" i="59"/>
  <c r="FS250" i="59"/>
  <c r="FT250" i="59"/>
  <c r="FU250" i="59"/>
  <c r="FV250" i="59"/>
  <c r="FW250" i="59"/>
  <c r="FY250" i="59"/>
  <c r="FZ250" i="59"/>
  <c r="GA250" i="59"/>
  <c r="GB250" i="59"/>
  <c r="GC250" i="59"/>
  <c r="GD250" i="59"/>
  <c r="GE250" i="59"/>
  <c r="GF250" i="59"/>
  <c r="GG250" i="59"/>
  <c r="GH250" i="59"/>
  <c r="GI250" i="59"/>
  <c r="GJ250" i="59"/>
  <c r="GK250" i="59"/>
  <c r="GL250" i="59"/>
  <c r="GM250" i="59"/>
  <c r="GN250" i="59"/>
  <c r="GO250" i="59"/>
  <c r="GP250" i="59"/>
  <c r="GQ250" i="59"/>
  <c r="GR250" i="59"/>
  <c r="GS250" i="59"/>
  <c r="GT250" i="59"/>
  <c r="GU250" i="59"/>
  <c r="GV250" i="59"/>
  <c r="GY250" i="59"/>
  <c r="GZ250" i="59"/>
  <c r="HA250" i="59"/>
  <c r="HB250" i="59"/>
  <c r="HC250" i="59"/>
  <c r="HD250" i="59"/>
  <c r="HE250" i="59"/>
  <c r="HF250" i="59"/>
  <c r="HG250" i="59"/>
  <c r="HH250" i="59"/>
  <c r="HI250" i="59"/>
  <c r="HJ250" i="59"/>
  <c r="HK250" i="59"/>
  <c r="HL250" i="59"/>
  <c r="HM250" i="59"/>
  <c r="HN250" i="59"/>
  <c r="HO250" i="59"/>
  <c r="HP250" i="59"/>
  <c r="HQ250" i="59"/>
  <c r="HR250" i="59"/>
  <c r="HS250" i="59"/>
  <c r="HV250" i="59"/>
  <c r="HW250" i="59"/>
  <c r="HX250" i="59"/>
  <c r="HY250" i="59"/>
  <c r="HZ250" i="59"/>
  <c r="IA250" i="59"/>
  <c r="IB250" i="59"/>
  <c r="IC250" i="59"/>
  <c r="ID250" i="59"/>
  <c r="IE250" i="59"/>
  <c r="IF250" i="59"/>
  <c r="IG250" i="59"/>
  <c r="IH250" i="59"/>
  <c r="II250" i="59"/>
  <c r="IJ250" i="59"/>
  <c r="IK250" i="59"/>
  <c r="IL250" i="59"/>
  <c r="IM250" i="59"/>
  <c r="IN250" i="59"/>
  <c r="IO250" i="59"/>
  <c r="IP250" i="59"/>
  <c r="IS250" i="59"/>
  <c r="IT250" i="59"/>
  <c r="IU250" i="59"/>
  <c r="IV250" i="59"/>
  <c r="F251" i="59"/>
  <c r="G251" i="59"/>
  <c r="H251" i="59"/>
  <c r="I251" i="59"/>
  <c r="J251" i="59"/>
  <c r="K251" i="59"/>
  <c r="L251" i="59"/>
  <c r="M251" i="59"/>
  <c r="N251" i="59"/>
  <c r="O251" i="59"/>
  <c r="P251" i="59"/>
  <c r="Q251" i="59"/>
  <c r="R251" i="59"/>
  <c r="S251" i="59"/>
  <c r="T251" i="59"/>
  <c r="U251" i="59"/>
  <c r="V251" i="59"/>
  <c r="Y251" i="59"/>
  <c r="Z251" i="59"/>
  <c r="AA251" i="59"/>
  <c r="AB251" i="59"/>
  <c r="AC251" i="59"/>
  <c r="AD251" i="59"/>
  <c r="AE251" i="59"/>
  <c r="AF251" i="59"/>
  <c r="AG251" i="59"/>
  <c r="AH251" i="59"/>
  <c r="AI251" i="59"/>
  <c r="AJ251" i="59"/>
  <c r="AK251" i="59"/>
  <c r="AL251" i="59"/>
  <c r="AM251" i="59"/>
  <c r="AN251" i="59"/>
  <c r="AO251" i="59"/>
  <c r="AP251" i="59"/>
  <c r="AQ251" i="59"/>
  <c r="AR251" i="59"/>
  <c r="AS251" i="59"/>
  <c r="AV251" i="59"/>
  <c r="AW251" i="59"/>
  <c r="AX251" i="59"/>
  <c r="AY251" i="59"/>
  <c r="AZ251" i="59"/>
  <c r="BA251" i="59"/>
  <c r="BB251" i="59"/>
  <c r="BC251" i="59"/>
  <c r="BD251" i="59"/>
  <c r="BE251" i="59"/>
  <c r="BF251" i="59"/>
  <c r="BG251" i="59"/>
  <c r="BH251" i="59"/>
  <c r="BI251" i="59"/>
  <c r="BJ251" i="59"/>
  <c r="BK251" i="59"/>
  <c r="BL251" i="59"/>
  <c r="BM251" i="59"/>
  <c r="BN251" i="59"/>
  <c r="BO251" i="59"/>
  <c r="BP251" i="59"/>
  <c r="BS251" i="59"/>
  <c r="BT251" i="59"/>
  <c r="BU251" i="59"/>
  <c r="BV251" i="59"/>
  <c r="BW251" i="59"/>
  <c r="BX251" i="59"/>
  <c r="BY251" i="59"/>
  <c r="BZ251" i="59"/>
  <c r="CA251" i="59"/>
  <c r="CB251" i="59"/>
  <c r="CC251" i="59"/>
  <c r="CD251" i="59"/>
  <c r="CE251" i="59"/>
  <c r="CF251" i="59"/>
  <c r="CG251" i="59"/>
  <c r="CH251" i="59"/>
  <c r="CI251" i="59"/>
  <c r="CJ251" i="59"/>
  <c r="CK251" i="59"/>
  <c r="CL251" i="59"/>
  <c r="CM251" i="59"/>
  <c r="CP251" i="59"/>
  <c r="CQ251" i="59"/>
  <c r="CR251" i="59"/>
  <c r="CS251" i="59"/>
  <c r="CT251" i="59"/>
  <c r="CU251" i="59"/>
  <c r="CV251" i="59"/>
  <c r="CW251" i="59"/>
  <c r="CX251" i="59"/>
  <c r="CY251" i="59"/>
  <c r="CZ251" i="59"/>
  <c r="DA251" i="59"/>
  <c r="DB251" i="59"/>
  <c r="DC251" i="59"/>
  <c r="DD251" i="59"/>
  <c r="DE251" i="59"/>
  <c r="DF251" i="59"/>
  <c r="DG251" i="59"/>
  <c r="DH251" i="59"/>
  <c r="DI251" i="59"/>
  <c r="DJ251" i="59"/>
  <c r="DM251" i="59"/>
  <c r="DN251" i="59"/>
  <c r="DO251" i="59"/>
  <c r="DP251" i="59"/>
  <c r="DQ251" i="59"/>
  <c r="DR251" i="59"/>
  <c r="DS251" i="59"/>
  <c r="DT251" i="59"/>
  <c r="DU251" i="59"/>
  <c r="DV251" i="59"/>
  <c r="DW251" i="59"/>
  <c r="DX251" i="59"/>
  <c r="DY251" i="59"/>
  <c r="EP251" i="59"/>
  <c r="EQ251" i="59"/>
  <c r="ER251" i="59"/>
  <c r="ES251" i="59"/>
  <c r="ET251" i="59"/>
  <c r="EV251" i="59"/>
  <c r="EX251" i="59"/>
  <c r="EZ251" i="59"/>
  <c r="FB251" i="59"/>
  <c r="FD251" i="59"/>
  <c r="FF251" i="59"/>
  <c r="FH251" i="59"/>
  <c r="FJ251" i="59"/>
  <c r="FL251" i="59"/>
  <c r="FN251" i="59"/>
  <c r="FP251" i="59"/>
  <c r="FR251" i="59"/>
  <c r="FT251" i="59"/>
  <c r="FV251" i="59"/>
  <c r="FX251" i="59"/>
  <c r="FZ251" i="59"/>
  <c r="GB251" i="59"/>
  <c r="GD251" i="59"/>
  <c r="GF251" i="59"/>
  <c r="GH251" i="59"/>
  <c r="GJ251" i="59"/>
  <c r="GL251" i="59"/>
  <c r="GN251" i="59"/>
  <c r="GP251" i="59"/>
  <c r="GR251" i="59"/>
  <c r="GT251" i="59"/>
  <c r="GV251" i="59"/>
  <c r="GX251" i="59"/>
  <c r="GZ251" i="59"/>
  <c r="HB251" i="59"/>
  <c r="HD251" i="59"/>
  <c r="HF251" i="59"/>
  <c r="HH251" i="59"/>
  <c r="HJ251" i="59"/>
  <c r="HL251" i="59"/>
  <c r="HN251" i="59"/>
  <c r="HP251" i="59"/>
  <c r="HR251" i="59"/>
  <c r="HS251" i="59"/>
  <c r="HT251" i="59"/>
  <c r="HU251" i="59"/>
  <c r="HV251" i="59"/>
  <c r="HW251" i="59"/>
  <c r="HX251" i="59"/>
  <c r="HY251" i="59"/>
  <c r="HZ251" i="59"/>
  <c r="IA251" i="59"/>
  <c r="IB251" i="59"/>
  <c r="IC251" i="59"/>
  <c r="ID251" i="59"/>
  <c r="IE251" i="59"/>
  <c r="IF251" i="59"/>
  <c r="IG251" i="59"/>
  <c r="IH251" i="59"/>
  <c r="II251" i="59"/>
  <c r="IJ251" i="59"/>
  <c r="IK251" i="59"/>
  <c r="IL251" i="59"/>
  <c r="IM251" i="59"/>
  <c r="IN251" i="59"/>
  <c r="IO251" i="59"/>
  <c r="IP251" i="59"/>
  <c r="IQ251" i="59"/>
  <c r="IR251" i="59"/>
  <c r="IS251" i="59"/>
  <c r="IT251" i="59"/>
  <c r="IU251" i="59"/>
  <c r="IV251" i="59"/>
  <c r="F252" i="59"/>
  <c r="G252" i="59"/>
  <c r="H252" i="59"/>
  <c r="I252" i="59"/>
  <c r="J252" i="59"/>
  <c r="K252" i="59"/>
  <c r="L252" i="59"/>
  <c r="M252" i="59"/>
  <c r="N252" i="59"/>
  <c r="O252" i="59"/>
  <c r="P252" i="59"/>
  <c r="Q252" i="59"/>
  <c r="R252" i="59"/>
  <c r="S252" i="59"/>
  <c r="T252" i="59"/>
  <c r="U252" i="59"/>
  <c r="V252" i="59"/>
  <c r="W252" i="59"/>
  <c r="X252" i="59"/>
  <c r="Y252" i="59"/>
  <c r="Z252" i="59"/>
  <c r="AA252" i="59"/>
  <c r="AB252" i="59"/>
  <c r="AC252" i="59"/>
  <c r="AD252" i="59"/>
  <c r="AE252" i="59"/>
  <c r="AF252" i="59"/>
  <c r="AG252" i="59"/>
  <c r="AH252" i="59"/>
  <c r="AI252" i="59"/>
  <c r="AJ252" i="59"/>
  <c r="AK252" i="59"/>
  <c r="AL252" i="59"/>
  <c r="AM252" i="59"/>
  <c r="AN252" i="59"/>
  <c r="AO252" i="59"/>
  <c r="AP252" i="59"/>
  <c r="AQ252" i="59"/>
  <c r="AR252" i="59"/>
  <c r="AS252" i="59"/>
  <c r="AT252" i="59"/>
  <c r="AU252" i="59"/>
  <c r="AV252" i="59"/>
  <c r="AW252" i="59"/>
  <c r="AX252" i="59"/>
  <c r="AY252" i="59"/>
  <c r="AZ252" i="59"/>
  <c r="BA252" i="59"/>
  <c r="BB252" i="59"/>
  <c r="BC252" i="59"/>
  <c r="BD252" i="59"/>
  <c r="BE252" i="59"/>
  <c r="BF252" i="59"/>
  <c r="BG252" i="59"/>
  <c r="BH252" i="59"/>
  <c r="BI252" i="59"/>
  <c r="BJ252" i="59"/>
  <c r="BK252" i="59"/>
  <c r="BL252" i="59"/>
  <c r="BM252" i="59"/>
  <c r="BN252" i="59"/>
  <c r="BO252" i="59"/>
  <c r="BP252" i="59"/>
  <c r="BQ252" i="59"/>
  <c r="BR252" i="59"/>
  <c r="BS252" i="59"/>
  <c r="BT252" i="59"/>
  <c r="BU252" i="59"/>
  <c r="BV252" i="59"/>
  <c r="BW252" i="59"/>
  <c r="BX252" i="59"/>
  <c r="BY252" i="59"/>
  <c r="BZ252" i="59"/>
  <c r="CA252" i="59"/>
  <c r="CB252" i="59"/>
  <c r="CC252" i="59"/>
  <c r="CD252" i="59"/>
  <c r="CE252" i="59"/>
  <c r="CF252" i="59"/>
  <c r="CG252" i="59"/>
  <c r="CH252" i="59"/>
  <c r="CI252" i="59"/>
  <c r="CJ252" i="59"/>
  <c r="CK252" i="59"/>
  <c r="CL252" i="59"/>
  <c r="CM252" i="59"/>
  <c r="CN252" i="59"/>
  <c r="CO252" i="59"/>
  <c r="CP252" i="59"/>
  <c r="CQ252" i="59"/>
  <c r="CR252" i="59"/>
  <c r="CS252" i="59"/>
  <c r="CT252" i="59"/>
  <c r="CU252" i="59"/>
  <c r="CV252" i="59"/>
  <c r="CW252" i="59"/>
  <c r="CX252" i="59"/>
  <c r="CY252" i="59"/>
  <c r="CZ252" i="59"/>
  <c r="DA252" i="59"/>
  <c r="DB252" i="59"/>
  <c r="DC252" i="59"/>
  <c r="DD252" i="59"/>
  <c r="DE252" i="59"/>
  <c r="DF252" i="59"/>
  <c r="DG252" i="59"/>
  <c r="DH252" i="59"/>
  <c r="DI252" i="59"/>
  <c r="DJ252" i="59"/>
  <c r="DK252" i="59"/>
  <c r="DL252" i="59"/>
  <c r="DM252" i="59"/>
  <c r="DN252" i="59"/>
  <c r="DO252" i="59"/>
  <c r="DP252" i="59"/>
  <c r="DQ252" i="59"/>
  <c r="DR252" i="59"/>
  <c r="DS252" i="59"/>
  <c r="DT252" i="59"/>
  <c r="DU252" i="59"/>
  <c r="DV252" i="59"/>
  <c r="DW252" i="59"/>
  <c r="DX252" i="59"/>
  <c r="DY252" i="59"/>
  <c r="DZ252" i="59"/>
  <c r="EA252" i="59"/>
  <c r="EB252" i="59"/>
  <c r="EC252" i="59"/>
  <c r="ED252" i="59"/>
  <c r="EE252" i="59"/>
  <c r="EF252" i="59"/>
  <c r="EG252" i="59"/>
  <c r="EH252" i="59"/>
  <c r="EI252" i="59"/>
  <c r="EJ252" i="59"/>
  <c r="EK252" i="59"/>
  <c r="EL252" i="59"/>
  <c r="EM252" i="59"/>
  <c r="EN252" i="59"/>
  <c r="EO252" i="59"/>
  <c r="EP252" i="59"/>
  <c r="EQ252" i="59"/>
  <c r="ER252" i="59"/>
  <c r="ES252" i="59"/>
  <c r="ET252" i="59"/>
  <c r="EU252" i="59"/>
  <c r="EV252" i="59"/>
  <c r="EW252" i="59"/>
  <c r="EX252" i="59"/>
  <c r="EY252" i="59"/>
  <c r="EZ252" i="59"/>
  <c r="FA252" i="59"/>
  <c r="FB252" i="59"/>
  <c r="FC252" i="59"/>
  <c r="FD252" i="59"/>
  <c r="FE252" i="59"/>
  <c r="FF252" i="59"/>
  <c r="FG252" i="59"/>
  <c r="FH252" i="59"/>
  <c r="FI252" i="59"/>
  <c r="FJ252" i="59"/>
  <c r="FK252" i="59"/>
  <c r="FL252" i="59"/>
  <c r="FM252" i="59"/>
  <c r="FN252" i="59"/>
  <c r="FO252" i="59"/>
  <c r="FP252" i="59"/>
  <c r="FQ252" i="59"/>
  <c r="FR252" i="59"/>
  <c r="FS252" i="59"/>
  <c r="FT252" i="59"/>
  <c r="FU252" i="59"/>
  <c r="FV252" i="59"/>
  <c r="FW252" i="59"/>
  <c r="FX252" i="59"/>
  <c r="FY252" i="59"/>
  <c r="FZ252" i="59"/>
  <c r="GA252" i="59"/>
  <c r="GB252" i="59"/>
  <c r="GC252" i="59"/>
  <c r="GD252" i="59"/>
  <c r="GE252" i="59"/>
  <c r="GF252" i="59"/>
  <c r="GG252" i="59"/>
  <c r="GH252" i="59"/>
  <c r="GI252" i="59"/>
  <c r="GJ252" i="59"/>
  <c r="GK252" i="59"/>
  <c r="GL252" i="59"/>
  <c r="GM252" i="59"/>
  <c r="GN252" i="59"/>
  <c r="GO252" i="59"/>
  <c r="GP252" i="59"/>
  <c r="GQ252" i="59"/>
  <c r="GR252" i="59"/>
  <c r="GS252" i="59"/>
  <c r="GT252" i="59"/>
  <c r="GU252" i="59"/>
  <c r="GV252" i="59"/>
  <c r="GW252" i="59"/>
  <c r="GX252" i="59"/>
  <c r="GY252" i="59"/>
  <c r="GZ252" i="59"/>
  <c r="HA252" i="59"/>
  <c r="HB252" i="59"/>
  <c r="HC252" i="59"/>
  <c r="HD252" i="59"/>
  <c r="HE252" i="59"/>
  <c r="HF252" i="59"/>
  <c r="HG252" i="59"/>
  <c r="HH252" i="59"/>
  <c r="HI252" i="59"/>
  <c r="HJ252" i="59"/>
  <c r="HK252" i="59"/>
  <c r="HL252" i="59"/>
  <c r="HM252" i="59"/>
  <c r="HN252" i="59"/>
  <c r="HO252" i="59"/>
  <c r="HP252" i="59"/>
  <c r="HQ252" i="59"/>
  <c r="HR252" i="59"/>
  <c r="HS252" i="59"/>
  <c r="HT252" i="59"/>
  <c r="HU252" i="59"/>
  <c r="HV252" i="59"/>
  <c r="HW252" i="59"/>
  <c r="HX252" i="59"/>
  <c r="HY252" i="59"/>
  <c r="HZ252" i="59"/>
  <c r="IA252" i="59"/>
  <c r="IB252" i="59"/>
  <c r="IC252" i="59"/>
  <c r="ID252" i="59"/>
  <c r="IE252" i="59"/>
  <c r="IF252" i="59"/>
  <c r="IG252" i="59"/>
  <c r="IH252" i="59"/>
  <c r="II252" i="59"/>
  <c r="IJ252" i="59"/>
  <c r="IK252" i="59"/>
  <c r="IL252" i="59"/>
  <c r="IM252" i="59"/>
  <c r="IN252" i="59"/>
  <c r="IO252" i="59"/>
  <c r="IP252" i="59"/>
  <c r="IQ252" i="59"/>
  <c r="IR252" i="59"/>
  <c r="IS252" i="59"/>
  <c r="IT252" i="59"/>
  <c r="IU252" i="59"/>
  <c r="IV252" i="59"/>
  <c r="F253" i="59"/>
  <c r="G253" i="59"/>
  <c r="H253" i="59"/>
  <c r="I253" i="59"/>
  <c r="J253" i="59"/>
  <c r="K253" i="59"/>
  <c r="L253" i="59"/>
  <c r="M253" i="59"/>
  <c r="N253" i="59"/>
  <c r="O253" i="59"/>
  <c r="P253" i="59"/>
  <c r="Q253" i="59"/>
  <c r="R253" i="59"/>
  <c r="S253" i="59"/>
  <c r="T253" i="59"/>
  <c r="U253" i="59"/>
  <c r="V253" i="59"/>
  <c r="W253" i="59"/>
  <c r="X253" i="59"/>
  <c r="Y253" i="59"/>
  <c r="Z253" i="59"/>
  <c r="AA253" i="59"/>
  <c r="AB253" i="59"/>
  <c r="AC253" i="59"/>
  <c r="AD253" i="59"/>
  <c r="AE253" i="59"/>
  <c r="AF253" i="59"/>
  <c r="AG253" i="59"/>
  <c r="AH253" i="59"/>
  <c r="AI253" i="59"/>
  <c r="AJ253" i="59"/>
  <c r="AK253" i="59"/>
  <c r="AL253" i="59"/>
  <c r="AM253" i="59"/>
  <c r="AN253" i="59"/>
  <c r="AO253" i="59"/>
  <c r="AP253" i="59"/>
  <c r="AQ253" i="59"/>
  <c r="AR253" i="59"/>
  <c r="AS253" i="59"/>
  <c r="AT253" i="59"/>
  <c r="AU253" i="59"/>
  <c r="AV253" i="59"/>
  <c r="AW253" i="59"/>
  <c r="AX253" i="59"/>
  <c r="AY253" i="59"/>
  <c r="AZ253" i="59"/>
  <c r="BA253" i="59"/>
  <c r="BB253" i="59"/>
  <c r="BC253" i="59"/>
  <c r="BD253" i="59"/>
  <c r="BE253" i="59"/>
  <c r="BF253" i="59"/>
  <c r="BG253" i="59"/>
  <c r="BH253" i="59"/>
  <c r="BI253" i="59"/>
  <c r="BJ253" i="59"/>
  <c r="BK253" i="59"/>
  <c r="BL253" i="59"/>
  <c r="BM253" i="59"/>
  <c r="BN253" i="59"/>
  <c r="BP253" i="59"/>
  <c r="BQ253" i="59"/>
  <c r="BR253" i="59"/>
  <c r="BS253" i="59"/>
  <c r="BT253" i="59"/>
  <c r="BU253" i="59"/>
  <c r="BV253" i="59"/>
  <c r="BW253" i="59"/>
  <c r="BX253" i="59"/>
  <c r="BY253" i="59"/>
  <c r="BZ253" i="59"/>
  <c r="CA253" i="59"/>
  <c r="CB253" i="59"/>
  <c r="CC253" i="59"/>
  <c r="CD253" i="59"/>
  <c r="CE253" i="59"/>
  <c r="CF253" i="59"/>
  <c r="CG253" i="59"/>
  <c r="CH253" i="59"/>
  <c r="CJ253" i="59"/>
  <c r="CK253" i="59"/>
  <c r="CL253" i="59"/>
  <c r="CM253" i="59"/>
  <c r="CN253" i="59"/>
  <c r="CO253" i="59"/>
  <c r="CP253" i="59"/>
  <c r="CQ253" i="59"/>
  <c r="CR253" i="59"/>
  <c r="CS253" i="59"/>
  <c r="CT253" i="59"/>
  <c r="CU253" i="59"/>
  <c r="CV253" i="59"/>
  <c r="CW253" i="59"/>
  <c r="CX253" i="59"/>
  <c r="CY253" i="59"/>
  <c r="CZ253" i="59"/>
  <c r="DA253" i="59"/>
  <c r="DB253" i="59"/>
  <c r="DC253" i="59"/>
  <c r="DD253" i="59"/>
  <c r="DE253" i="59"/>
  <c r="DF253" i="59"/>
  <c r="DG253" i="59"/>
  <c r="DH253" i="59"/>
  <c r="DI253" i="59"/>
  <c r="DJ253" i="59"/>
  <c r="DK253" i="59"/>
  <c r="DL253" i="59"/>
  <c r="DM253" i="59"/>
  <c r="DN253" i="59"/>
  <c r="DO253" i="59"/>
  <c r="DP253" i="59"/>
  <c r="DQ253" i="59"/>
  <c r="DR253" i="59"/>
  <c r="DS253" i="59"/>
  <c r="DT253" i="59"/>
  <c r="DU253" i="59"/>
  <c r="DV253" i="59"/>
  <c r="DW253" i="59"/>
  <c r="DX253" i="59"/>
  <c r="DY253" i="59"/>
  <c r="DZ253" i="59"/>
  <c r="EA253" i="59"/>
  <c r="EB253" i="59"/>
  <c r="EC253" i="59"/>
  <c r="ED253" i="59"/>
  <c r="EE253" i="59"/>
  <c r="EF253" i="59"/>
  <c r="EG253" i="59"/>
  <c r="EH253" i="59"/>
  <c r="EI253" i="59"/>
  <c r="EJ253" i="59"/>
  <c r="EK253" i="59"/>
  <c r="EL253" i="59"/>
  <c r="EM253" i="59"/>
  <c r="EN253" i="59"/>
  <c r="EO253" i="59"/>
  <c r="EP253" i="59"/>
  <c r="EQ253" i="59"/>
  <c r="ER253" i="59"/>
  <c r="ES253" i="59"/>
  <c r="ET253" i="59"/>
  <c r="EU253" i="59"/>
  <c r="EV253" i="59"/>
  <c r="EW253" i="59"/>
  <c r="EX253" i="59"/>
  <c r="EY253" i="59"/>
  <c r="EZ253" i="59"/>
  <c r="FA253" i="59"/>
  <c r="FB253" i="59"/>
  <c r="FC253" i="59"/>
  <c r="FD253" i="59"/>
  <c r="FE253" i="59"/>
  <c r="FF253" i="59"/>
  <c r="FG253" i="59"/>
  <c r="FH253" i="59"/>
  <c r="FI253" i="59"/>
  <c r="FJ253" i="59"/>
  <c r="FK253" i="59"/>
  <c r="FL253" i="59"/>
  <c r="FM253" i="59"/>
  <c r="FN253" i="59"/>
  <c r="FO253" i="59"/>
  <c r="FP253" i="59"/>
  <c r="FQ253" i="59"/>
  <c r="FR253" i="59"/>
  <c r="FS253" i="59"/>
  <c r="FT253" i="59"/>
  <c r="FU253" i="59"/>
  <c r="FV253" i="59"/>
  <c r="FW253" i="59"/>
  <c r="FX253" i="59"/>
  <c r="FY253" i="59"/>
  <c r="FZ253" i="59"/>
  <c r="GA253" i="59"/>
  <c r="GB253" i="59"/>
  <c r="GC253" i="59"/>
  <c r="GD253" i="59"/>
  <c r="GE253" i="59"/>
  <c r="GF253" i="59"/>
  <c r="GG253" i="59"/>
  <c r="GH253" i="59"/>
  <c r="GI253" i="59"/>
  <c r="GJ253" i="59"/>
  <c r="GK253" i="59"/>
  <c r="GL253" i="59"/>
  <c r="GM253" i="59"/>
  <c r="GN253" i="59"/>
  <c r="IA253" i="59"/>
  <c r="IB253" i="59"/>
  <c r="IC253" i="59"/>
  <c r="ID253" i="59"/>
  <c r="IE253" i="59"/>
  <c r="IF253" i="59"/>
  <c r="IG253" i="59"/>
  <c r="IH253" i="59"/>
  <c r="II253" i="59"/>
  <c r="IJ253" i="59"/>
  <c r="IK253" i="59"/>
  <c r="IL253" i="59"/>
  <c r="IM253" i="59"/>
  <c r="IN253" i="59"/>
  <c r="IO253" i="59"/>
  <c r="IP253" i="59"/>
  <c r="IQ253" i="59"/>
  <c r="IR253" i="59"/>
  <c r="IS253" i="59"/>
  <c r="IT253" i="59"/>
  <c r="IU253" i="59"/>
  <c r="IV253" i="59"/>
  <c r="F254" i="59"/>
  <c r="G254" i="59"/>
  <c r="H254" i="59"/>
  <c r="I254" i="59"/>
  <c r="J254" i="59"/>
  <c r="K254" i="59"/>
  <c r="L254" i="59"/>
  <c r="M254" i="59"/>
  <c r="N254" i="59"/>
  <c r="O254" i="59"/>
  <c r="P254" i="59"/>
  <c r="Q254" i="59"/>
  <c r="R254" i="59"/>
  <c r="S254" i="59"/>
  <c r="T254" i="59"/>
  <c r="U254" i="59"/>
  <c r="V254" i="59"/>
  <c r="W254" i="59"/>
  <c r="X254" i="59"/>
  <c r="Y254" i="59"/>
  <c r="Z254" i="59"/>
  <c r="AA254" i="59"/>
  <c r="AB254" i="59"/>
  <c r="AC254" i="59"/>
  <c r="AE254" i="59"/>
  <c r="AF254" i="59"/>
  <c r="AG254" i="59"/>
  <c r="AH254" i="59"/>
  <c r="AI254" i="59"/>
  <c r="AJ254" i="59"/>
  <c r="AK254" i="59"/>
  <c r="AL254" i="59"/>
  <c r="AM254" i="59"/>
  <c r="AN254" i="59"/>
  <c r="AO254" i="59"/>
  <c r="AP254" i="59"/>
  <c r="AQ254" i="59"/>
  <c r="AR254" i="59"/>
  <c r="AS254" i="59"/>
  <c r="AT254" i="59"/>
  <c r="AU254" i="59"/>
  <c r="AV254" i="59"/>
  <c r="AW254" i="59"/>
  <c r="AX254" i="59"/>
  <c r="AY254" i="59"/>
  <c r="AZ254" i="59"/>
  <c r="BA254" i="59"/>
  <c r="BB254" i="59"/>
  <c r="BC254" i="59"/>
  <c r="BD254" i="59"/>
  <c r="BE254" i="59"/>
  <c r="BF254" i="59"/>
  <c r="BG254" i="59"/>
  <c r="BH254" i="59"/>
  <c r="BI254" i="59"/>
  <c r="BJ254" i="59"/>
  <c r="BK254" i="59"/>
  <c r="BL254" i="59"/>
  <c r="BM254" i="59"/>
  <c r="BN254" i="59"/>
  <c r="BO254" i="59"/>
  <c r="BP254" i="59"/>
  <c r="BQ254" i="59"/>
  <c r="BR254" i="59"/>
  <c r="BS254" i="59"/>
  <c r="BT254" i="59"/>
  <c r="BU254" i="59"/>
  <c r="BV254" i="59"/>
  <c r="BW254" i="59"/>
  <c r="BY254" i="59"/>
  <c r="BZ254" i="59"/>
  <c r="CA254" i="59"/>
  <c r="CB254" i="59"/>
  <c r="CC254" i="59"/>
  <c r="CD254" i="59"/>
  <c r="CE254" i="59"/>
  <c r="CF254" i="59"/>
  <c r="CG254" i="59"/>
  <c r="CH254" i="59"/>
  <c r="CI254" i="59"/>
  <c r="CJ254" i="59"/>
  <c r="CK254" i="59"/>
  <c r="CL254" i="59"/>
  <c r="CM254" i="59"/>
  <c r="CN254" i="59"/>
  <c r="CO254" i="59"/>
  <c r="CP254" i="59"/>
  <c r="CQ254" i="59"/>
  <c r="CR254" i="59"/>
  <c r="CS254" i="59"/>
  <c r="CT254" i="59"/>
  <c r="CU254" i="59"/>
  <c r="CV254" i="59"/>
  <c r="CW254" i="59"/>
  <c r="CX254" i="59"/>
  <c r="CY254" i="59"/>
  <c r="CZ254" i="59"/>
  <c r="DA254" i="59"/>
  <c r="DB254" i="59"/>
  <c r="DC254" i="59"/>
  <c r="DD254" i="59"/>
  <c r="DE254" i="59"/>
  <c r="DF254" i="59"/>
  <c r="DG254" i="59"/>
  <c r="DH254" i="59"/>
  <c r="DI254" i="59"/>
  <c r="DJ254" i="59"/>
  <c r="DK254" i="59"/>
  <c r="DL254" i="59"/>
  <c r="DM254" i="59"/>
  <c r="DN254" i="59"/>
  <c r="DO254" i="59"/>
  <c r="DP254" i="59"/>
  <c r="DQ254" i="59"/>
  <c r="DS254" i="59"/>
  <c r="DT254" i="59"/>
  <c r="DU254" i="59"/>
  <c r="DV254" i="59"/>
  <c r="DW254" i="59"/>
  <c r="DX254" i="59"/>
  <c r="DY254" i="59"/>
  <c r="DZ254" i="59"/>
  <c r="EA254" i="59"/>
  <c r="EB254" i="59"/>
  <c r="EC254" i="59"/>
  <c r="ED254" i="59"/>
  <c r="EE254" i="59"/>
  <c r="EF254" i="59"/>
  <c r="EG254" i="59"/>
  <c r="EH254" i="59"/>
  <c r="EI254" i="59"/>
  <c r="EJ254" i="59"/>
  <c r="EK254" i="59"/>
  <c r="EL254" i="59"/>
  <c r="EM254" i="59"/>
  <c r="EN254" i="59"/>
  <c r="EO254" i="59"/>
  <c r="EP254" i="59"/>
  <c r="EQ254" i="59"/>
  <c r="ER254" i="59"/>
  <c r="ES254" i="59"/>
  <c r="ET254" i="59"/>
  <c r="EU254" i="59"/>
  <c r="EV254" i="59"/>
  <c r="EW254" i="59"/>
  <c r="EX254" i="59"/>
  <c r="EY254" i="59"/>
  <c r="EZ254" i="59"/>
  <c r="FA254" i="59"/>
  <c r="FB254" i="59"/>
  <c r="FC254" i="59"/>
  <c r="FD254" i="59"/>
  <c r="FE254" i="59"/>
  <c r="FF254" i="59"/>
  <c r="FG254" i="59"/>
  <c r="FH254" i="59"/>
  <c r="FI254" i="59"/>
  <c r="FJ254" i="59"/>
  <c r="FK254" i="59"/>
  <c r="FM254" i="59"/>
  <c r="FN254" i="59"/>
  <c r="FO254" i="59"/>
  <c r="FP254" i="59"/>
  <c r="FQ254" i="59"/>
  <c r="FR254" i="59"/>
  <c r="FS254" i="59"/>
  <c r="FT254" i="59"/>
  <c r="FU254" i="59"/>
  <c r="FV254" i="59"/>
  <c r="FW254" i="59"/>
  <c r="FX254" i="59"/>
  <c r="FY254" i="59"/>
  <c r="FZ254" i="59"/>
  <c r="GA254" i="59"/>
  <c r="GB254" i="59"/>
  <c r="GC254" i="59"/>
  <c r="GD254" i="59"/>
  <c r="GE254" i="59"/>
  <c r="GF254" i="59"/>
  <c r="GG254" i="59"/>
  <c r="GH254" i="59"/>
  <c r="GI254" i="59"/>
  <c r="GJ254" i="59"/>
  <c r="GK254" i="59"/>
  <c r="GL254" i="59"/>
  <c r="GM254" i="59"/>
  <c r="GN254" i="59"/>
  <c r="GO254" i="59"/>
  <c r="GP254" i="59"/>
  <c r="GQ254" i="59"/>
  <c r="GR254" i="59"/>
  <c r="GS254" i="59"/>
  <c r="GT254" i="59"/>
  <c r="GU254" i="59"/>
  <c r="GV254" i="59"/>
  <c r="GW254" i="59"/>
  <c r="GX254" i="59"/>
  <c r="GY254" i="59"/>
  <c r="GZ254" i="59"/>
  <c r="HA254" i="59"/>
  <c r="HB254" i="59"/>
  <c r="HC254" i="59"/>
  <c r="HD254" i="59"/>
  <c r="HE254" i="59"/>
  <c r="HG254" i="59"/>
  <c r="HH254" i="59"/>
  <c r="HI254" i="59"/>
  <c r="HJ254" i="59"/>
  <c r="HK254" i="59"/>
  <c r="HL254" i="59"/>
  <c r="HM254" i="59"/>
  <c r="HN254" i="59"/>
  <c r="HO254" i="59"/>
  <c r="HP254" i="59"/>
  <c r="HQ254" i="59"/>
  <c r="HR254" i="59"/>
  <c r="HS254" i="59"/>
  <c r="HT254" i="59"/>
  <c r="HU254" i="59"/>
  <c r="HV254" i="59"/>
  <c r="HW254" i="59"/>
  <c r="HX254" i="59"/>
  <c r="HY254" i="59"/>
  <c r="HZ254" i="59"/>
  <c r="IA254" i="59"/>
  <c r="IB254" i="59"/>
  <c r="IC254" i="59"/>
  <c r="ID254" i="59"/>
  <c r="IE254" i="59"/>
  <c r="IF254" i="59"/>
  <c r="IG254" i="59"/>
  <c r="IH254" i="59"/>
  <c r="II254" i="59"/>
  <c r="IJ254" i="59"/>
  <c r="IK254" i="59"/>
  <c r="IL254" i="59"/>
  <c r="IM254" i="59"/>
  <c r="IN254" i="59"/>
  <c r="IO254" i="59"/>
  <c r="IP254" i="59"/>
  <c r="IQ254" i="59"/>
  <c r="IR254" i="59"/>
  <c r="IS254" i="59"/>
  <c r="IT254" i="59"/>
  <c r="IU254" i="59"/>
  <c r="IV254" i="59"/>
  <c r="F255" i="59"/>
  <c r="G255" i="59"/>
  <c r="H255" i="59"/>
  <c r="J255" i="59"/>
  <c r="K255" i="59"/>
  <c r="L255" i="59"/>
  <c r="M255" i="59"/>
  <c r="N255" i="59"/>
  <c r="O255" i="59"/>
  <c r="P255" i="59"/>
  <c r="Q255" i="59"/>
  <c r="R255" i="59"/>
  <c r="S255" i="59"/>
  <c r="T255" i="59"/>
  <c r="U255" i="59"/>
  <c r="V255" i="59"/>
  <c r="W255" i="59"/>
  <c r="X255" i="59"/>
  <c r="Y255" i="59"/>
  <c r="Z255" i="59"/>
  <c r="AA255" i="59"/>
  <c r="AB255" i="59"/>
  <c r="AC255" i="59"/>
  <c r="AD255" i="59"/>
  <c r="AE255" i="59"/>
  <c r="AF255" i="59"/>
  <c r="AG255" i="59"/>
  <c r="AH255" i="59"/>
  <c r="AI255" i="59"/>
  <c r="AJ255" i="59"/>
  <c r="AK255" i="59"/>
  <c r="AL255" i="59"/>
  <c r="AM255" i="59"/>
  <c r="AN255" i="59"/>
  <c r="AO255" i="59"/>
  <c r="AP255" i="59"/>
  <c r="AQ255" i="59"/>
  <c r="AR255" i="59"/>
  <c r="AS255" i="59"/>
  <c r="AT255" i="59"/>
  <c r="AU255" i="59"/>
  <c r="AV255" i="59"/>
  <c r="AW255" i="59"/>
  <c r="AX255" i="59"/>
  <c r="AY255" i="59"/>
  <c r="AZ255" i="59"/>
  <c r="BA255" i="59"/>
  <c r="BB255" i="59"/>
  <c r="BD255" i="59"/>
  <c r="BE255" i="59"/>
  <c r="BF255" i="59"/>
  <c r="BG255" i="59"/>
  <c r="BH255" i="59"/>
  <c r="BI255" i="59"/>
  <c r="BJ255" i="59"/>
  <c r="BK255" i="59"/>
  <c r="BL255" i="59"/>
  <c r="BM255" i="59"/>
  <c r="BN255" i="59"/>
  <c r="BO255" i="59"/>
  <c r="BP255" i="59"/>
  <c r="BQ255" i="59"/>
  <c r="BR255" i="59"/>
  <c r="BS255" i="59"/>
  <c r="BT255" i="59"/>
  <c r="BU255" i="59"/>
  <c r="BV255" i="59"/>
  <c r="BW255" i="59"/>
  <c r="BX255" i="59"/>
  <c r="BY255" i="59"/>
  <c r="BZ255" i="59"/>
  <c r="CA255" i="59"/>
  <c r="CB255" i="59"/>
  <c r="CC255" i="59"/>
  <c r="CD255" i="59"/>
  <c r="CE255" i="59"/>
  <c r="CF255" i="59"/>
  <c r="CG255" i="59"/>
  <c r="CH255" i="59"/>
  <c r="CI255" i="59"/>
  <c r="CJ255" i="59"/>
  <c r="CK255" i="59"/>
  <c r="CL255" i="59"/>
  <c r="CM255" i="59"/>
  <c r="CN255" i="59"/>
  <c r="CO255" i="59"/>
  <c r="CP255" i="59"/>
  <c r="CQ255" i="59"/>
  <c r="CR255" i="59"/>
  <c r="CS255" i="59"/>
  <c r="CT255" i="59"/>
  <c r="CU255" i="59"/>
  <c r="CV255" i="59"/>
  <c r="CX255" i="59"/>
  <c r="CY255" i="59"/>
  <c r="CZ255" i="59"/>
  <c r="DA255" i="59"/>
  <c r="DB255" i="59"/>
  <c r="DC255" i="59"/>
  <c r="DD255" i="59"/>
  <c r="DE255" i="59"/>
  <c r="DF255" i="59"/>
  <c r="DG255" i="59"/>
  <c r="DH255" i="59"/>
  <c r="DI255" i="59"/>
  <c r="DJ255" i="59"/>
  <c r="DK255" i="59"/>
  <c r="DL255" i="59"/>
  <c r="DM255" i="59"/>
  <c r="DN255" i="59"/>
  <c r="DO255" i="59"/>
  <c r="DP255" i="59"/>
  <c r="DQ255" i="59"/>
  <c r="DR255" i="59"/>
  <c r="DS255" i="59"/>
  <c r="DT255" i="59"/>
  <c r="DU255" i="59"/>
  <c r="DV255" i="59"/>
  <c r="DW255" i="59"/>
  <c r="DX255" i="59"/>
  <c r="DY255" i="59"/>
  <c r="DZ255" i="59"/>
  <c r="EA255" i="59"/>
  <c r="EB255" i="59"/>
  <c r="EC255" i="59"/>
  <c r="ED255" i="59"/>
  <c r="EE255" i="59"/>
  <c r="EF255" i="59"/>
  <c r="EG255" i="59"/>
  <c r="EH255" i="59"/>
  <c r="EI255" i="59"/>
  <c r="EJ255" i="59"/>
  <c r="EK255" i="59"/>
  <c r="EL255" i="59"/>
  <c r="EM255" i="59"/>
  <c r="EN255" i="59"/>
  <c r="EO255" i="59"/>
  <c r="EP255" i="59"/>
  <c r="ER255" i="59"/>
  <c r="ES255" i="59"/>
  <c r="ET255" i="59"/>
  <c r="EU255" i="59"/>
  <c r="EV255" i="59"/>
  <c r="EW255" i="59"/>
  <c r="EX255" i="59"/>
  <c r="EY255" i="59"/>
  <c r="EZ255" i="59"/>
  <c r="FA255" i="59"/>
  <c r="FB255" i="59"/>
  <c r="FC255" i="59"/>
  <c r="FD255" i="59"/>
  <c r="FE255" i="59"/>
  <c r="FF255" i="59"/>
  <c r="FG255" i="59"/>
  <c r="FH255" i="59"/>
  <c r="FI255" i="59"/>
  <c r="FJ255" i="59"/>
  <c r="FK255" i="59"/>
  <c r="FL255" i="59"/>
  <c r="FM255" i="59"/>
  <c r="FN255" i="59"/>
  <c r="FO255" i="59"/>
  <c r="FP255" i="59"/>
  <c r="FQ255" i="59"/>
  <c r="FR255" i="59"/>
  <c r="FS255" i="59"/>
  <c r="FT255" i="59"/>
  <c r="FU255" i="59"/>
  <c r="FV255" i="59"/>
  <c r="FW255" i="59"/>
  <c r="FX255" i="59"/>
  <c r="FY255" i="59"/>
  <c r="FZ255" i="59"/>
  <c r="GA255" i="59"/>
  <c r="GB255" i="59"/>
  <c r="GC255" i="59"/>
  <c r="GD255" i="59"/>
  <c r="GE255" i="59"/>
  <c r="GF255" i="59"/>
  <c r="GG255" i="59"/>
  <c r="GH255" i="59"/>
  <c r="GI255" i="59"/>
  <c r="GJ255" i="59"/>
  <c r="GL255" i="59"/>
  <c r="GM255" i="59"/>
  <c r="GN255" i="59"/>
  <c r="GO255" i="59"/>
  <c r="GP255" i="59"/>
  <c r="GQ255" i="59"/>
  <c r="GR255" i="59"/>
  <c r="GS255" i="59"/>
  <c r="GT255" i="59"/>
  <c r="GU255" i="59"/>
  <c r="GV255" i="59"/>
  <c r="GW255" i="59"/>
  <c r="GX255" i="59"/>
  <c r="GY255" i="59"/>
  <c r="GZ255" i="59"/>
  <c r="HA255" i="59"/>
  <c r="HB255" i="59"/>
  <c r="HC255" i="59"/>
  <c r="HD255" i="59"/>
  <c r="HE255" i="59"/>
  <c r="HF255" i="59"/>
  <c r="HG255" i="59"/>
  <c r="HH255" i="59"/>
  <c r="HI255" i="59"/>
  <c r="HJ255" i="59"/>
  <c r="HK255" i="59"/>
  <c r="HL255" i="59"/>
  <c r="HM255" i="59"/>
  <c r="HN255" i="59"/>
  <c r="HO255" i="59"/>
  <c r="HP255" i="59"/>
  <c r="HQ255" i="59"/>
  <c r="HR255" i="59"/>
  <c r="HS255" i="59"/>
  <c r="HT255" i="59"/>
  <c r="HU255" i="59"/>
  <c r="HV255" i="59"/>
  <c r="HW255" i="59"/>
  <c r="HX255" i="59"/>
  <c r="HY255" i="59"/>
  <c r="HZ255" i="59"/>
  <c r="IA255" i="59"/>
  <c r="IB255" i="59"/>
  <c r="IC255" i="59"/>
  <c r="ID255" i="59"/>
  <c r="IF255" i="59"/>
  <c r="IG255" i="59"/>
  <c r="IH255" i="59"/>
  <c r="II255" i="59"/>
  <c r="IJ255" i="59"/>
  <c r="IK255" i="59"/>
  <c r="IL255" i="59"/>
  <c r="IM255" i="59"/>
  <c r="IN255" i="59"/>
  <c r="IO255" i="59"/>
  <c r="IP255" i="59"/>
  <c r="IQ255" i="59"/>
  <c r="IR255" i="59"/>
  <c r="IS255" i="59"/>
  <c r="IT255" i="59"/>
  <c r="IU255" i="59"/>
  <c r="IV255" i="59"/>
  <c r="F256" i="59"/>
  <c r="G256" i="59"/>
  <c r="H256" i="59"/>
  <c r="I256" i="59"/>
  <c r="J256" i="59"/>
  <c r="K256" i="59"/>
  <c r="L256" i="59"/>
  <c r="M256" i="59"/>
  <c r="N256" i="59"/>
  <c r="O256" i="59"/>
  <c r="P256" i="59"/>
  <c r="Q256" i="59"/>
  <c r="R256" i="59"/>
  <c r="S256" i="59"/>
  <c r="T256" i="59"/>
  <c r="U256" i="59"/>
  <c r="V256" i="59"/>
  <c r="W256" i="59"/>
  <c r="X256" i="59"/>
  <c r="Y256" i="59"/>
  <c r="Z256" i="59"/>
  <c r="AA256" i="59"/>
  <c r="AB256" i="59"/>
  <c r="AC256" i="59"/>
  <c r="AD256" i="59"/>
  <c r="AE256" i="59"/>
  <c r="AF256" i="59"/>
  <c r="AG256" i="59"/>
  <c r="AI256" i="59"/>
  <c r="AJ256" i="59"/>
  <c r="AK256" i="59"/>
  <c r="AL256" i="59"/>
  <c r="AM256" i="59"/>
  <c r="AN256" i="59"/>
  <c r="AO256" i="59"/>
  <c r="CC256" i="59"/>
  <c r="CD256" i="59"/>
  <c r="CE256" i="59"/>
  <c r="CF256" i="59"/>
  <c r="CG256" i="59"/>
  <c r="CH256" i="59"/>
  <c r="CI256" i="59"/>
  <c r="DV256" i="59"/>
  <c r="DW256" i="59"/>
  <c r="DX256" i="59"/>
  <c r="DY256" i="59"/>
  <c r="DZ256" i="59"/>
  <c r="EA256" i="59"/>
  <c r="EC256" i="59"/>
  <c r="FP256" i="59"/>
  <c r="FQ256" i="59"/>
  <c r="FR256" i="59"/>
  <c r="FS256" i="59"/>
  <c r="FT256" i="59"/>
  <c r="FU256" i="59"/>
  <c r="FW256" i="59"/>
  <c r="HJ256" i="59"/>
  <c r="HK256" i="59"/>
  <c r="HL256" i="59"/>
  <c r="HM256" i="59"/>
  <c r="HN256" i="59"/>
  <c r="HO256" i="59"/>
  <c r="HQ256" i="59"/>
  <c r="M257" i="59"/>
  <c r="N257" i="59"/>
  <c r="O257" i="59"/>
  <c r="P257" i="59"/>
  <c r="Q257" i="59"/>
  <c r="R257" i="59"/>
  <c r="T257" i="59"/>
  <c r="BG257" i="59"/>
  <c r="BH257" i="59"/>
  <c r="BI257" i="59"/>
  <c r="BJ257" i="59"/>
  <c r="BK257" i="59"/>
  <c r="BL257" i="59"/>
  <c r="BN257" i="59"/>
  <c r="DA257" i="59"/>
  <c r="DB257" i="59"/>
  <c r="DC257" i="59"/>
  <c r="DD257" i="59"/>
  <c r="DE257" i="59"/>
  <c r="DF257" i="59"/>
  <c r="DH257" i="59"/>
  <c r="EU257" i="59"/>
  <c r="EV257" i="59"/>
  <c r="EW257" i="59"/>
  <c r="EX257" i="59"/>
  <c r="EY257" i="59"/>
  <c r="EZ257" i="59"/>
  <c r="FB257" i="59"/>
  <c r="GO257" i="59"/>
  <c r="GP257" i="59"/>
  <c r="GQ257" i="59"/>
  <c r="GR257" i="59"/>
  <c r="GS257" i="59"/>
  <c r="GT257" i="59"/>
  <c r="GV257" i="59"/>
  <c r="II257" i="59"/>
  <c r="IJ257" i="59"/>
  <c r="IK257" i="59"/>
  <c r="IL257" i="59"/>
  <c r="IM257" i="59"/>
  <c r="IN257" i="59"/>
  <c r="IP257" i="59"/>
  <c r="AL258" i="59"/>
  <c r="AM258" i="59"/>
  <c r="AN258" i="59"/>
  <c r="AO258" i="59"/>
  <c r="AP258" i="59"/>
  <c r="AQ258" i="59"/>
  <c r="AS258" i="59"/>
  <c r="CF258" i="59"/>
  <c r="CG258" i="59"/>
  <c r="CH258" i="59"/>
  <c r="CI258" i="59"/>
  <c r="CJ258" i="59"/>
  <c r="CK258" i="59"/>
  <c r="CM258" i="59"/>
  <c r="DZ258" i="59"/>
  <c r="EA258" i="59"/>
  <c r="EB258" i="59"/>
  <c r="EC258" i="59"/>
  <c r="ED258" i="59"/>
  <c r="EE258" i="59"/>
  <c r="EF258" i="59"/>
  <c r="EG258" i="59"/>
  <c r="FT258" i="59"/>
  <c r="FU258" i="59"/>
  <c r="FV258" i="59"/>
  <c r="FW258" i="59"/>
  <c r="FX258" i="59"/>
  <c r="FY258" i="59"/>
  <c r="FZ258" i="59"/>
  <c r="GA258" i="59"/>
  <c r="HN258" i="59"/>
  <c r="HO258" i="59"/>
  <c r="HP258" i="59"/>
  <c r="HQ258" i="59"/>
  <c r="HR258" i="59"/>
  <c r="HS258" i="59"/>
  <c r="HT258" i="59"/>
  <c r="HU258" i="59"/>
  <c r="Q259" i="59"/>
  <c r="R259" i="59"/>
  <c r="S259" i="59"/>
  <c r="T259" i="59"/>
  <c r="U259" i="59"/>
  <c r="V259" i="59"/>
  <c r="W259" i="59"/>
  <c r="X259" i="59"/>
  <c r="BK259" i="59"/>
  <c r="BL259" i="59"/>
  <c r="AP260" i="59"/>
  <c r="AQ260" i="59"/>
  <c r="AR260" i="59"/>
  <c r="AS260" i="59"/>
  <c r="AT260" i="59"/>
  <c r="AU260" i="59"/>
  <c r="AV260" i="59"/>
  <c r="AW260" i="59"/>
  <c r="AX260" i="59"/>
  <c r="AY260" i="59"/>
  <c r="AZ260" i="59"/>
  <c r="BA260" i="59"/>
  <c r="BB260" i="59"/>
  <c r="BC260" i="59"/>
  <c r="BD260" i="59"/>
  <c r="BE260" i="59"/>
  <c r="BF260" i="59"/>
  <c r="BG260" i="59"/>
  <c r="BH260" i="59"/>
  <c r="BI260" i="59"/>
  <c r="BJ260" i="59"/>
  <c r="BK260" i="59"/>
  <c r="BL260" i="59"/>
  <c r="BM260" i="59"/>
  <c r="BN260" i="59"/>
  <c r="BO260" i="59"/>
  <c r="BP260" i="59"/>
  <c r="BQ260" i="59"/>
  <c r="BR260" i="59"/>
  <c r="BS260" i="59"/>
  <c r="BT260" i="59"/>
  <c r="BU260" i="59"/>
  <c r="BV260" i="59"/>
  <c r="BW260" i="59"/>
  <c r="BX260" i="59"/>
  <c r="BY260" i="59"/>
  <c r="BZ260" i="59"/>
  <c r="CA260" i="59"/>
  <c r="CB260" i="59"/>
  <c r="CC260" i="59"/>
  <c r="CD260" i="59"/>
  <c r="CE260" i="59"/>
  <c r="CF260" i="59"/>
  <c r="CG260" i="59"/>
  <c r="CH260" i="59"/>
  <c r="CI260" i="59"/>
  <c r="CJ260" i="59"/>
  <c r="CK260" i="59"/>
  <c r="CL260" i="59"/>
  <c r="CM260" i="59"/>
  <c r="CN260" i="59"/>
  <c r="CO260" i="59"/>
  <c r="CP260" i="59"/>
  <c r="CQ260" i="59"/>
  <c r="CR260" i="59"/>
  <c r="CS260" i="59"/>
  <c r="CT260" i="59"/>
  <c r="CU260" i="59"/>
  <c r="CV260" i="59"/>
  <c r="CW260" i="59"/>
  <c r="CX260" i="59"/>
  <c r="CY260" i="59"/>
  <c r="CZ260" i="59"/>
  <c r="DA260" i="59"/>
  <c r="DB260" i="59"/>
  <c r="DC260" i="59"/>
  <c r="DD260" i="59"/>
  <c r="DE260" i="59"/>
  <c r="DF260" i="59"/>
  <c r="DG260" i="59"/>
  <c r="DH260" i="59"/>
  <c r="DI260" i="59"/>
  <c r="DJ260" i="59"/>
  <c r="DK260" i="59"/>
  <c r="DL260" i="59"/>
  <c r="DM260" i="59"/>
  <c r="DN260" i="59"/>
  <c r="DO260" i="59"/>
  <c r="DP260" i="59"/>
  <c r="DQ260" i="59"/>
  <c r="DR260" i="59"/>
  <c r="DS260" i="59"/>
  <c r="DT260" i="59"/>
  <c r="DU260" i="59"/>
  <c r="DV260" i="59"/>
  <c r="DW260" i="59"/>
  <c r="DX260" i="59"/>
  <c r="DY260" i="59"/>
  <c r="DZ260" i="59"/>
  <c r="EA260" i="59"/>
  <c r="EB260" i="59"/>
  <c r="EC260" i="59"/>
  <c r="ED260" i="59"/>
  <c r="EE260" i="59"/>
  <c r="EF260" i="59"/>
  <c r="EG260" i="59"/>
  <c r="EH260" i="59"/>
  <c r="EI260" i="59"/>
  <c r="EJ260" i="59"/>
  <c r="EK260" i="59"/>
  <c r="EL260" i="59"/>
  <c r="EM260" i="59"/>
  <c r="EN260" i="59"/>
  <c r="EO260" i="59"/>
  <c r="EP260" i="59"/>
  <c r="EQ260" i="59"/>
  <c r="ER260" i="59"/>
  <c r="ES260" i="59"/>
  <c r="ET260" i="59"/>
  <c r="EU260" i="59"/>
  <c r="EV260" i="59"/>
  <c r="EW260" i="59"/>
  <c r="EX260" i="59"/>
  <c r="EY260" i="59"/>
  <c r="EZ260" i="59"/>
  <c r="FA260" i="59"/>
  <c r="FB260" i="59"/>
  <c r="FC260" i="59"/>
  <c r="FD260" i="59"/>
  <c r="FE260" i="59"/>
  <c r="FF260" i="59"/>
  <c r="FG260" i="59"/>
  <c r="FH260" i="59"/>
  <c r="FI260" i="59"/>
  <c r="FJ260" i="59"/>
  <c r="FK260" i="59"/>
  <c r="FL260" i="59"/>
  <c r="FM260" i="59"/>
  <c r="FN260" i="59"/>
  <c r="FO260" i="59"/>
  <c r="FP260" i="59"/>
  <c r="FQ260" i="59"/>
  <c r="FR260" i="59"/>
  <c r="FS260" i="59"/>
  <c r="FT260" i="59"/>
  <c r="FU260" i="59"/>
  <c r="FV260" i="59"/>
  <c r="FW260" i="59"/>
  <c r="FX260" i="59"/>
  <c r="FY260" i="59"/>
  <c r="FZ260" i="59"/>
  <c r="GA260" i="59"/>
  <c r="GB260" i="59"/>
  <c r="GC260" i="59"/>
  <c r="GD260" i="59"/>
  <c r="GE260" i="59"/>
  <c r="GF260" i="59"/>
  <c r="GG260" i="59"/>
  <c r="GH260" i="59"/>
  <c r="GI260" i="59"/>
  <c r="GJ260" i="59"/>
  <c r="GK260" i="59"/>
  <c r="GL260" i="59"/>
  <c r="GM260" i="59"/>
  <c r="GN260" i="59"/>
  <c r="GO260" i="59"/>
  <c r="GP260" i="59"/>
  <c r="GQ260" i="59"/>
  <c r="GR260" i="59"/>
  <c r="GS260" i="59"/>
  <c r="GT260" i="59"/>
  <c r="GU260" i="59"/>
  <c r="GV260" i="59"/>
  <c r="GW260" i="59"/>
  <c r="GX260" i="59"/>
  <c r="GY260" i="59"/>
  <c r="GZ260" i="59"/>
  <c r="HA260" i="59"/>
  <c r="HB260" i="59"/>
  <c r="HC260" i="59"/>
  <c r="HD260" i="59"/>
  <c r="HE260" i="59"/>
  <c r="HF260" i="59"/>
  <c r="HG260" i="59"/>
  <c r="HH260" i="59"/>
  <c r="HI260" i="59"/>
  <c r="HJ260" i="59"/>
  <c r="HK260" i="59"/>
  <c r="HL260" i="59"/>
  <c r="HM260" i="59"/>
  <c r="HN260" i="59"/>
  <c r="HO260" i="59"/>
  <c r="HP260" i="59"/>
  <c r="HQ260" i="59"/>
  <c r="HR260" i="59"/>
  <c r="HS260" i="59"/>
  <c r="HT260" i="59"/>
  <c r="HU260" i="59"/>
  <c r="HV260" i="59"/>
  <c r="HW260" i="59"/>
  <c r="HX260" i="59"/>
  <c r="HY260" i="59"/>
  <c r="HZ260" i="59"/>
  <c r="IA260" i="59"/>
  <c r="IB260" i="59"/>
  <c r="IC260" i="59"/>
  <c r="ID260" i="59"/>
  <c r="IE260" i="59"/>
  <c r="IF260" i="59"/>
  <c r="IG260" i="59"/>
  <c r="IH260" i="59"/>
  <c r="II260" i="59"/>
  <c r="IJ260" i="59"/>
  <c r="IK260" i="59"/>
  <c r="IL260" i="59"/>
  <c r="IM260" i="59"/>
  <c r="IN260" i="59"/>
  <c r="IO260" i="59"/>
  <c r="IP260" i="59"/>
  <c r="IQ260" i="59"/>
  <c r="IR260" i="59"/>
  <c r="IS260" i="59"/>
  <c r="IT260" i="59"/>
  <c r="IU260" i="59"/>
  <c r="IV260" i="59"/>
  <c r="F261" i="59"/>
  <c r="G261" i="59"/>
  <c r="H261" i="59"/>
  <c r="I261" i="59"/>
  <c r="J261" i="59"/>
  <c r="K261" i="59"/>
  <c r="L261" i="59"/>
  <c r="M261" i="59"/>
  <c r="N261" i="59"/>
  <c r="O261" i="59"/>
  <c r="P261" i="59"/>
  <c r="Q261" i="59"/>
  <c r="R261" i="59"/>
  <c r="S261" i="59"/>
  <c r="T261" i="59"/>
  <c r="U261" i="59"/>
  <c r="V261" i="59"/>
  <c r="W261" i="59"/>
  <c r="X261" i="59"/>
  <c r="Y261" i="59"/>
  <c r="Z261" i="59"/>
  <c r="AA261" i="59"/>
  <c r="AB261" i="59"/>
  <c r="AC261" i="59"/>
  <c r="AD261" i="59"/>
  <c r="AE261" i="59"/>
  <c r="AF261" i="59"/>
  <c r="AG261" i="59"/>
  <c r="AH261" i="59"/>
  <c r="AI261" i="59"/>
  <c r="AJ261" i="59"/>
  <c r="AK261" i="59"/>
  <c r="AL261" i="59"/>
  <c r="AM261" i="59"/>
  <c r="AN261" i="59"/>
  <c r="AO261" i="59"/>
  <c r="AP261" i="59"/>
  <c r="AQ261" i="59"/>
  <c r="AR261" i="59"/>
  <c r="AS261" i="59"/>
  <c r="AT261" i="59"/>
  <c r="AU261" i="59"/>
  <c r="AV261" i="59"/>
  <c r="AW261" i="59"/>
  <c r="AX261" i="59"/>
  <c r="AY261" i="59"/>
  <c r="AZ261" i="59"/>
  <c r="BA261" i="59"/>
  <c r="BB261" i="59"/>
  <c r="BC261" i="59"/>
  <c r="BD261" i="59"/>
  <c r="BE261" i="59"/>
  <c r="BF261" i="59"/>
  <c r="BG261" i="59"/>
  <c r="BH261" i="59"/>
  <c r="BI261" i="59"/>
  <c r="BJ261" i="59"/>
  <c r="BK261" i="59"/>
  <c r="BL261" i="59"/>
  <c r="BM261" i="59"/>
  <c r="BN261" i="59"/>
  <c r="BO261" i="59"/>
  <c r="BP261" i="59"/>
  <c r="BQ261" i="59"/>
  <c r="BR261" i="59"/>
  <c r="BS261" i="59"/>
  <c r="BT261" i="59"/>
  <c r="BU261" i="59"/>
  <c r="BV261" i="59"/>
  <c r="BW261" i="59"/>
  <c r="BX261" i="59"/>
  <c r="BY261" i="59"/>
  <c r="BZ261" i="59"/>
  <c r="CA261" i="59"/>
  <c r="CB261" i="59"/>
  <c r="CC261" i="59"/>
  <c r="CD261" i="59"/>
  <c r="CE261" i="59"/>
  <c r="CF261" i="59"/>
  <c r="CG261" i="59"/>
  <c r="CH261" i="59"/>
  <c r="CI261" i="59"/>
  <c r="CJ261" i="59"/>
  <c r="CK261" i="59"/>
  <c r="CL261" i="59"/>
  <c r="CM261" i="59"/>
  <c r="CN261" i="59"/>
  <c r="CO261" i="59"/>
  <c r="CP261" i="59"/>
  <c r="CQ261" i="59"/>
  <c r="CR261" i="59"/>
  <c r="CS261" i="59"/>
  <c r="CT261" i="59"/>
  <c r="CU261" i="59"/>
  <c r="CV261" i="59"/>
  <c r="CW261" i="59"/>
  <c r="CX261" i="59"/>
  <c r="CY261" i="59"/>
  <c r="CZ261" i="59"/>
  <c r="DA261" i="59"/>
  <c r="DB261" i="59"/>
  <c r="DC261" i="59"/>
  <c r="DD261" i="59"/>
  <c r="DE261" i="59"/>
  <c r="DF261" i="59"/>
  <c r="DG261" i="59"/>
  <c r="DH261" i="59"/>
  <c r="DI261" i="59"/>
  <c r="DJ261" i="59"/>
  <c r="DK261" i="59"/>
  <c r="DL261" i="59"/>
  <c r="DM261" i="59"/>
  <c r="DN261" i="59"/>
  <c r="DO261" i="59"/>
  <c r="DP261" i="59"/>
  <c r="DQ261" i="59"/>
  <c r="DR261" i="59"/>
  <c r="DS261" i="59"/>
  <c r="DT261" i="59"/>
  <c r="DU261" i="59"/>
  <c r="DV261" i="59"/>
  <c r="DW261" i="59"/>
  <c r="DX261" i="59"/>
  <c r="DY261" i="59"/>
  <c r="DZ261" i="59"/>
  <c r="EA261" i="59"/>
  <c r="EB261" i="59"/>
  <c r="EC261" i="59"/>
  <c r="ED261" i="59"/>
  <c r="EE261" i="59"/>
  <c r="EF261" i="59"/>
  <c r="EG261" i="59"/>
  <c r="EH261" i="59"/>
  <c r="EI261" i="59"/>
  <c r="EJ261" i="59"/>
  <c r="EK261" i="59"/>
  <c r="EL261" i="59"/>
  <c r="EM261" i="59"/>
  <c r="EN261" i="59"/>
  <c r="EO261" i="59"/>
  <c r="EP261" i="59"/>
  <c r="EQ261" i="59"/>
  <c r="ER261" i="59"/>
  <c r="ES261" i="59"/>
  <c r="ET261" i="59"/>
  <c r="EU261" i="59"/>
  <c r="EV261" i="59"/>
  <c r="EW261" i="59"/>
  <c r="EX261" i="59"/>
  <c r="EY261" i="59"/>
  <c r="EZ261" i="59"/>
  <c r="FA261" i="59"/>
  <c r="FB261" i="59"/>
  <c r="FC261" i="59"/>
  <c r="FD261" i="59"/>
  <c r="FE261" i="59"/>
  <c r="FF261" i="59"/>
  <c r="FG261" i="59"/>
  <c r="FH261" i="59"/>
  <c r="FI261" i="59"/>
  <c r="FJ261" i="59"/>
  <c r="FK261" i="59"/>
  <c r="FL261" i="59"/>
  <c r="FM261" i="59"/>
  <c r="FN261" i="59"/>
  <c r="FO261" i="59"/>
  <c r="FP261" i="59"/>
  <c r="FQ261" i="59"/>
  <c r="FR261" i="59"/>
  <c r="FS261" i="59"/>
  <c r="FT261" i="59"/>
  <c r="FU261" i="59"/>
  <c r="FV261" i="59"/>
  <c r="FW261" i="59"/>
  <c r="FX261" i="59"/>
  <c r="FY261" i="59"/>
  <c r="FZ261" i="59"/>
  <c r="GA261" i="59"/>
  <c r="GB261" i="59"/>
  <c r="GC261" i="59"/>
  <c r="GD261" i="59"/>
  <c r="GE261" i="59"/>
  <c r="GF261" i="59"/>
  <c r="GG261" i="59"/>
  <c r="GH261" i="59"/>
  <c r="GI261" i="59"/>
  <c r="GJ261" i="59"/>
  <c r="GK261" i="59"/>
  <c r="GL261" i="59"/>
  <c r="GM261" i="59"/>
  <c r="GN261" i="59"/>
  <c r="GO261" i="59"/>
  <c r="GP261" i="59"/>
  <c r="GQ261" i="59"/>
  <c r="GR261" i="59"/>
  <c r="GS261" i="59"/>
  <c r="GT261" i="59"/>
  <c r="GU261" i="59"/>
  <c r="GV261" i="59"/>
  <c r="GW261" i="59"/>
  <c r="GX261" i="59"/>
  <c r="GY261" i="59"/>
  <c r="GZ261" i="59"/>
  <c r="HA261" i="59"/>
  <c r="HB261" i="59"/>
  <c r="HC261" i="59"/>
  <c r="HD261" i="59"/>
  <c r="HE261" i="59"/>
  <c r="HF261" i="59"/>
  <c r="HG261" i="59"/>
  <c r="HH261" i="59"/>
  <c r="HI261" i="59"/>
  <c r="HJ261" i="59"/>
  <c r="HK261" i="59"/>
  <c r="HL261" i="59"/>
  <c r="HM261" i="59"/>
  <c r="HN261" i="59"/>
  <c r="HO261" i="59"/>
  <c r="HP261" i="59"/>
  <c r="HQ261" i="59"/>
  <c r="HR261" i="59"/>
  <c r="HS261" i="59"/>
  <c r="HT261" i="59"/>
  <c r="HU261" i="59"/>
  <c r="HV261" i="59"/>
  <c r="HW261" i="59"/>
  <c r="HX261" i="59"/>
  <c r="HY261" i="59"/>
  <c r="HZ261" i="59"/>
  <c r="IA261" i="59"/>
  <c r="IB261" i="59"/>
  <c r="IC261" i="59"/>
  <c r="ID261" i="59"/>
  <c r="IE261" i="59"/>
  <c r="IF261" i="59"/>
  <c r="IG261" i="59"/>
  <c r="IH261" i="59"/>
  <c r="II261" i="59"/>
  <c r="IJ261" i="59"/>
  <c r="IK261" i="59"/>
  <c r="IL261" i="59"/>
  <c r="IM261" i="59"/>
  <c r="IN261" i="59"/>
  <c r="IO261" i="59"/>
  <c r="IP261" i="59"/>
  <c r="IQ261" i="59"/>
  <c r="IR261" i="59"/>
  <c r="IS261" i="59"/>
  <c r="IT261" i="59"/>
  <c r="IU261" i="59"/>
  <c r="IV261" i="59"/>
  <c r="F262" i="59"/>
  <c r="G262" i="59"/>
  <c r="H262" i="59"/>
  <c r="I262" i="59"/>
  <c r="J262" i="59"/>
  <c r="K262" i="59"/>
  <c r="L262" i="59"/>
  <c r="M262" i="59"/>
  <c r="N262" i="59"/>
  <c r="O262" i="59"/>
  <c r="P262" i="59"/>
  <c r="Q262" i="59"/>
  <c r="R262" i="59"/>
  <c r="S262" i="59"/>
  <c r="T262" i="59"/>
  <c r="U262" i="59"/>
  <c r="V262" i="59"/>
  <c r="W262" i="59"/>
  <c r="X262" i="59"/>
  <c r="Y262" i="59"/>
  <c r="Z262" i="59"/>
  <c r="AA262" i="59"/>
  <c r="AB262" i="59"/>
  <c r="AC262" i="59"/>
  <c r="AD262" i="59"/>
  <c r="AE262" i="59"/>
  <c r="AF262" i="59"/>
  <c r="AG262" i="59"/>
  <c r="AH262" i="59"/>
  <c r="AI262" i="59"/>
  <c r="AJ262" i="59"/>
  <c r="AK262" i="59"/>
  <c r="AL262" i="59"/>
  <c r="AM262" i="59"/>
  <c r="AN262" i="59"/>
  <c r="AO262" i="59"/>
  <c r="AP262" i="59"/>
  <c r="AQ262" i="59"/>
  <c r="AR262" i="59"/>
  <c r="AS262" i="59"/>
  <c r="AT262" i="59"/>
  <c r="AU262" i="59"/>
  <c r="AV262" i="59"/>
  <c r="AW262" i="59"/>
  <c r="AX262" i="59"/>
  <c r="AY262" i="59"/>
  <c r="AZ262" i="59"/>
  <c r="BA262" i="59"/>
  <c r="BB262" i="59"/>
  <c r="BC262" i="59"/>
  <c r="BD262" i="59"/>
  <c r="BE262" i="59"/>
  <c r="BF262" i="59"/>
  <c r="BG262" i="59"/>
  <c r="BH262" i="59"/>
  <c r="BI262" i="59"/>
  <c r="BJ262" i="59"/>
  <c r="BK262" i="59"/>
  <c r="BL262" i="59"/>
  <c r="BM262" i="59"/>
  <c r="BN262" i="59"/>
  <c r="BO262" i="59"/>
  <c r="BP262" i="59"/>
  <c r="BQ262" i="59"/>
  <c r="BR262" i="59"/>
  <c r="BS262" i="59"/>
  <c r="BT262" i="59"/>
  <c r="BU262" i="59"/>
  <c r="BV262" i="59"/>
  <c r="BW262" i="59"/>
  <c r="BX262" i="59"/>
  <c r="BY262" i="59"/>
  <c r="BZ262" i="59"/>
  <c r="CA262" i="59"/>
  <c r="CB262" i="59"/>
  <c r="CC262" i="59"/>
  <c r="CD262" i="59"/>
  <c r="CE262" i="59"/>
  <c r="CF262" i="59"/>
  <c r="CG262" i="59"/>
  <c r="CH262" i="59"/>
  <c r="CI262" i="59"/>
  <c r="CJ262" i="59"/>
  <c r="CK262" i="59"/>
  <c r="CL262" i="59"/>
  <c r="CM262" i="59"/>
  <c r="CN262" i="59"/>
  <c r="CO262" i="59"/>
  <c r="CP262" i="59"/>
  <c r="CQ262" i="59"/>
  <c r="CR262" i="59"/>
  <c r="CS262" i="59"/>
  <c r="CT262" i="59"/>
  <c r="CU262" i="59"/>
  <c r="CV262" i="59"/>
  <c r="CW262" i="59"/>
  <c r="CX262" i="59"/>
  <c r="CY262" i="59"/>
  <c r="CZ262" i="59"/>
  <c r="DA262" i="59"/>
  <c r="DB262" i="59"/>
  <c r="DC262" i="59"/>
  <c r="DD262" i="59"/>
  <c r="DE262" i="59"/>
  <c r="DF262" i="59"/>
  <c r="DG262" i="59"/>
  <c r="DH262" i="59"/>
  <c r="DI262" i="59"/>
  <c r="DJ262" i="59"/>
  <c r="DK262" i="59"/>
  <c r="DL262" i="59"/>
  <c r="DM262" i="59"/>
  <c r="DN262" i="59"/>
  <c r="DO262" i="59"/>
  <c r="DP262" i="59"/>
  <c r="DQ262" i="59"/>
  <c r="DR262" i="59"/>
  <c r="DS262" i="59"/>
  <c r="DT262" i="59"/>
  <c r="DU262" i="59"/>
  <c r="DV262" i="59"/>
  <c r="DW262" i="59"/>
  <c r="DX262" i="59"/>
  <c r="DY262" i="59"/>
  <c r="DZ262" i="59"/>
  <c r="EA262" i="59"/>
  <c r="EB262" i="59"/>
  <c r="EC262" i="59"/>
  <c r="ED262" i="59"/>
  <c r="EE262" i="59"/>
  <c r="EF262" i="59"/>
  <c r="EG262" i="59"/>
  <c r="EH262" i="59"/>
  <c r="EI262" i="59"/>
  <c r="EJ262" i="59"/>
  <c r="EK262" i="59"/>
  <c r="EM262" i="59"/>
  <c r="EN262" i="59"/>
  <c r="EO262" i="59"/>
  <c r="EP262" i="59"/>
  <c r="EQ262" i="59"/>
  <c r="ER262" i="59"/>
  <c r="ES262" i="59"/>
  <c r="ET262" i="59"/>
  <c r="EU262" i="59"/>
  <c r="EV262" i="59"/>
  <c r="EW262" i="59"/>
  <c r="EX262" i="59"/>
  <c r="EY262" i="59"/>
  <c r="EZ262" i="59"/>
  <c r="FA262" i="59"/>
  <c r="FB262" i="59"/>
  <c r="FC262" i="59"/>
  <c r="FD262" i="59"/>
  <c r="FE262" i="59"/>
  <c r="FG262" i="59"/>
  <c r="FH262" i="59"/>
  <c r="FI262" i="59"/>
  <c r="FJ262" i="59"/>
  <c r="FK262" i="59"/>
  <c r="FL262" i="59"/>
  <c r="FM262" i="59"/>
  <c r="FN262" i="59"/>
  <c r="FO262" i="59"/>
  <c r="FP262" i="59"/>
  <c r="FQ262" i="59"/>
  <c r="FR262" i="59"/>
  <c r="FS262" i="59"/>
  <c r="FT262" i="59"/>
  <c r="FU262" i="59"/>
  <c r="FV262" i="59"/>
  <c r="FW262" i="59"/>
  <c r="FX262" i="59"/>
  <c r="FY262" i="59"/>
  <c r="FZ262" i="59"/>
  <c r="GA262" i="59"/>
  <c r="GB262" i="59"/>
  <c r="GC262" i="59"/>
  <c r="GD262" i="59"/>
  <c r="GE262" i="59"/>
  <c r="GF262" i="59"/>
  <c r="GG262" i="59"/>
  <c r="GH262" i="59"/>
  <c r="GI262" i="59"/>
  <c r="GJ262" i="59"/>
  <c r="GK262" i="59"/>
  <c r="GL262" i="59"/>
  <c r="GM262" i="59"/>
  <c r="GN262" i="59"/>
  <c r="GO262" i="59"/>
  <c r="GP262" i="59"/>
  <c r="GQ262" i="59"/>
  <c r="GR262" i="59"/>
  <c r="GS262" i="59"/>
  <c r="GT262" i="59"/>
  <c r="GU262" i="59"/>
  <c r="GV262" i="59"/>
  <c r="GW262" i="59"/>
  <c r="GX262" i="59"/>
  <c r="GY262" i="59"/>
  <c r="GZ262" i="59"/>
  <c r="HA262" i="59"/>
  <c r="HB262" i="59"/>
  <c r="HC262" i="59"/>
  <c r="HD262" i="59"/>
  <c r="HE262" i="59"/>
  <c r="HF262" i="59"/>
  <c r="HG262" i="59"/>
  <c r="HH262" i="59"/>
  <c r="HI262" i="59"/>
  <c r="HJ262" i="59"/>
  <c r="HK262" i="59"/>
  <c r="HL262" i="59"/>
  <c r="HM262" i="59"/>
  <c r="HN262" i="59"/>
  <c r="HO262" i="59"/>
  <c r="HP262" i="59"/>
  <c r="HQ262" i="59"/>
  <c r="HR262" i="59"/>
  <c r="HS262" i="59"/>
  <c r="HT262" i="59"/>
  <c r="HU262" i="59"/>
  <c r="HV262" i="59"/>
  <c r="HW262" i="59"/>
  <c r="HX262" i="59"/>
  <c r="HY262" i="59"/>
  <c r="HZ262" i="59"/>
  <c r="IA262" i="59"/>
  <c r="IB262" i="59"/>
  <c r="IC262" i="59"/>
  <c r="ID262" i="59"/>
  <c r="IE262" i="59"/>
  <c r="IF262" i="59"/>
  <c r="IG262" i="59"/>
  <c r="IH262" i="59"/>
  <c r="II262" i="59"/>
  <c r="IJ262" i="59"/>
  <c r="IK262" i="59"/>
  <c r="IL262" i="59"/>
  <c r="IM262" i="59"/>
  <c r="IN262" i="59"/>
  <c r="IO262" i="59"/>
  <c r="IP262" i="59"/>
  <c r="IQ262" i="59"/>
  <c r="IR262" i="59"/>
  <c r="IS262" i="59"/>
  <c r="IT262" i="59"/>
  <c r="IU262" i="59"/>
  <c r="IV262" i="59"/>
  <c r="F263" i="59"/>
  <c r="G263" i="59"/>
  <c r="H263" i="59"/>
  <c r="I263" i="59"/>
  <c r="J263" i="59"/>
  <c r="L263" i="59"/>
  <c r="N263" i="59"/>
  <c r="O263" i="59"/>
  <c r="P263" i="59"/>
  <c r="Q263" i="59"/>
  <c r="R263" i="59"/>
  <c r="S263" i="59"/>
  <c r="T263" i="59"/>
  <c r="V263" i="59"/>
  <c r="X263" i="59"/>
  <c r="Y263" i="59"/>
  <c r="Z263" i="59"/>
  <c r="AA263" i="59"/>
  <c r="AB263" i="59"/>
  <c r="AC263" i="59"/>
  <c r="AD263" i="59"/>
  <c r="AE263" i="59"/>
  <c r="AF263" i="59"/>
  <c r="AG263" i="59"/>
  <c r="AH263" i="59"/>
  <c r="AI263" i="59"/>
  <c r="AJ263" i="59"/>
  <c r="AK263" i="59"/>
  <c r="AM263" i="59"/>
  <c r="AO263" i="59"/>
  <c r="AP263" i="59"/>
  <c r="AQ263" i="59"/>
  <c r="AR263" i="59"/>
  <c r="AS263" i="59"/>
  <c r="AT263" i="59"/>
  <c r="AU263" i="59"/>
  <c r="AW263" i="59"/>
  <c r="AY263" i="59"/>
  <c r="AZ263" i="59"/>
  <c r="BA263" i="59"/>
  <c r="BB263" i="59"/>
  <c r="BC263" i="59"/>
  <c r="BD263" i="59"/>
  <c r="BE263" i="59"/>
  <c r="BF263" i="59"/>
  <c r="BG263" i="59"/>
  <c r="BH263" i="59"/>
  <c r="BI263" i="59"/>
  <c r="BJ263" i="59"/>
  <c r="BK263" i="59"/>
  <c r="BL263" i="59"/>
  <c r="BN263" i="59"/>
  <c r="BP263" i="59"/>
  <c r="BQ263" i="59"/>
  <c r="BR263" i="59"/>
  <c r="BS263" i="59"/>
  <c r="BT263" i="59"/>
  <c r="BU263" i="59"/>
  <c r="BV263" i="59"/>
  <c r="BX263" i="59"/>
  <c r="BZ263" i="59"/>
  <c r="CA263" i="59"/>
  <c r="CB263" i="59"/>
  <c r="CC263" i="59"/>
  <c r="CD263" i="59"/>
  <c r="CE263" i="59"/>
  <c r="CF263" i="59"/>
  <c r="CG263" i="59"/>
  <c r="CH263" i="59"/>
  <c r="CI263" i="59"/>
  <c r="CJ263" i="59"/>
  <c r="CK263" i="59"/>
  <c r="CL263" i="59"/>
  <c r="CM263" i="59"/>
  <c r="CO263" i="59"/>
  <c r="CQ263" i="59"/>
  <c r="CR263" i="59"/>
  <c r="CS263" i="59"/>
  <c r="CT263" i="59"/>
  <c r="CU263" i="59"/>
  <c r="CV263" i="59"/>
  <c r="CW263" i="59"/>
  <c r="CY263" i="59"/>
  <c r="DA263" i="59"/>
  <c r="DB263" i="59"/>
  <c r="DC263" i="59"/>
  <c r="DD263" i="59"/>
  <c r="DE263" i="59"/>
  <c r="DF263" i="59"/>
  <c r="DG263" i="59"/>
  <c r="DH263" i="59"/>
  <c r="DI263" i="59"/>
  <c r="DJ263" i="59"/>
  <c r="DK263" i="59"/>
  <c r="DL263" i="59"/>
  <c r="DM263" i="59"/>
  <c r="DN263" i="59"/>
  <c r="DP263" i="59"/>
  <c r="DR263" i="59"/>
  <c r="DS263" i="59"/>
  <c r="DT263" i="59"/>
  <c r="DU263" i="59"/>
  <c r="DV263" i="59"/>
  <c r="DW263" i="59"/>
  <c r="DX263" i="59"/>
  <c r="DZ263" i="59"/>
  <c r="EB263" i="59"/>
  <c r="EC263" i="59"/>
  <c r="ED263" i="59"/>
  <c r="EE263" i="59"/>
  <c r="EF263" i="59"/>
  <c r="EG263" i="59"/>
  <c r="EH263" i="59"/>
  <c r="EI263" i="59"/>
  <c r="EJ263" i="59"/>
  <c r="EK263" i="59"/>
  <c r="EL263" i="59"/>
  <c r="EM263" i="59"/>
  <c r="EN263" i="59"/>
  <c r="EO263" i="59"/>
  <c r="EQ263" i="59"/>
  <c r="ES263" i="59"/>
  <c r="ET263" i="59"/>
  <c r="EU263" i="59"/>
  <c r="EV263" i="59"/>
  <c r="EW263" i="59"/>
  <c r="EX263" i="59"/>
  <c r="EY263" i="59"/>
  <c r="FA263" i="59"/>
  <c r="FC263" i="59"/>
  <c r="FD263" i="59"/>
  <c r="FE263" i="59"/>
  <c r="FF263" i="59"/>
  <c r="FG263" i="59"/>
  <c r="FH263" i="59"/>
  <c r="FI263" i="59"/>
  <c r="FJ263" i="59"/>
  <c r="FK263" i="59"/>
  <c r="FL263" i="59"/>
  <c r="FM263" i="59"/>
  <c r="FN263" i="59"/>
  <c r="FO263" i="59"/>
  <c r="FP263" i="59"/>
  <c r="FR263" i="59"/>
  <c r="FT263" i="59"/>
  <c r="FU263" i="59"/>
  <c r="FV263" i="59"/>
  <c r="FW263" i="59"/>
  <c r="FX263" i="59"/>
  <c r="FY263" i="59"/>
  <c r="FZ263" i="59"/>
  <c r="GB263" i="59"/>
  <c r="GD263" i="59"/>
  <c r="GE263" i="59"/>
  <c r="GF263" i="59"/>
  <c r="GG263" i="59"/>
  <c r="GH263" i="59"/>
  <c r="GI263" i="59"/>
  <c r="GJ263" i="59"/>
  <c r="GK263" i="59"/>
  <c r="GL263" i="59"/>
  <c r="GM263" i="59"/>
  <c r="GN263" i="59"/>
  <c r="GO263" i="59"/>
  <c r="GP263" i="59"/>
  <c r="GQ263" i="59"/>
  <c r="GS263" i="59"/>
  <c r="GU263" i="59"/>
  <c r="GV263" i="59"/>
  <c r="GW263" i="59"/>
  <c r="GX263" i="59"/>
  <c r="GY263" i="59"/>
  <c r="GZ263" i="59"/>
  <c r="HA263" i="59"/>
  <c r="HC263" i="59"/>
  <c r="HE263" i="59"/>
  <c r="HF263" i="59"/>
  <c r="HG263" i="59"/>
  <c r="HH263" i="59"/>
  <c r="HI263" i="59"/>
  <c r="HJ263" i="59"/>
  <c r="HK263" i="59"/>
  <c r="HL263" i="59"/>
  <c r="HM263" i="59"/>
  <c r="HN263" i="59"/>
  <c r="HO263" i="59"/>
  <c r="HP263" i="59"/>
  <c r="HQ263" i="59"/>
  <c r="HR263" i="59"/>
  <c r="HT263" i="59"/>
  <c r="HV263" i="59"/>
  <c r="HW263" i="59"/>
  <c r="HX263" i="59"/>
  <c r="HY263" i="59"/>
  <c r="HZ263" i="59"/>
  <c r="IA263" i="59"/>
  <c r="IB263" i="59"/>
  <c r="ID263" i="59"/>
  <c r="IF263" i="59"/>
  <c r="IG263" i="59"/>
  <c r="IH263" i="59"/>
  <c r="II263" i="59"/>
  <c r="IJ263" i="59"/>
  <c r="IK263" i="59"/>
  <c r="IL263" i="59"/>
  <c r="IM263" i="59"/>
  <c r="IN263" i="59"/>
  <c r="IO263" i="59"/>
  <c r="IP263" i="59"/>
  <c r="IQ263" i="59"/>
  <c r="IR263" i="59"/>
  <c r="IS263" i="59"/>
  <c r="IU263" i="59"/>
  <c r="F264" i="59"/>
  <c r="G264" i="59"/>
  <c r="H264" i="59"/>
  <c r="I264" i="59"/>
  <c r="J264" i="59"/>
  <c r="K264" i="59"/>
  <c r="L264" i="59"/>
  <c r="N264" i="59"/>
  <c r="P264" i="59"/>
  <c r="Q264" i="59"/>
  <c r="R264" i="59"/>
  <c r="S264" i="59"/>
  <c r="T264" i="59"/>
  <c r="U264" i="59"/>
  <c r="V264" i="59"/>
  <c r="W264" i="59"/>
  <c r="X264" i="59"/>
  <c r="Y264" i="59"/>
  <c r="Z264" i="59"/>
  <c r="AA264" i="59"/>
  <c r="AB264" i="59"/>
  <c r="AC264" i="59"/>
  <c r="AE264" i="59"/>
  <c r="AG264" i="59"/>
  <c r="AH264" i="59"/>
  <c r="AI264" i="59"/>
  <c r="AJ264" i="59"/>
  <c r="AK264" i="59"/>
  <c r="AL264" i="59"/>
  <c r="AM264" i="59"/>
  <c r="AO264" i="59"/>
  <c r="AQ264" i="59"/>
  <c r="AR264" i="59"/>
  <c r="AS264" i="59"/>
  <c r="AT264" i="59"/>
  <c r="AU264" i="59"/>
  <c r="AV264" i="59"/>
  <c r="AW264" i="59"/>
  <c r="AX264" i="59"/>
  <c r="AY264" i="59"/>
  <c r="AZ264" i="59"/>
  <c r="BA264" i="59"/>
  <c r="BB264" i="59"/>
  <c r="BC264" i="59"/>
  <c r="BD264" i="59"/>
  <c r="BF264" i="59"/>
  <c r="BH264" i="59"/>
  <c r="BI264" i="59"/>
  <c r="BJ264" i="59"/>
  <c r="BK264" i="59"/>
  <c r="BL264" i="59"/>
  <c r="BM264" i="59"/>
  <c r="BN264" i="59"/>
  <c r="BP264" i="59"/>
  <c r="BR264" i="59"/>
  <c r="BS264" i="59"/>
  <c r="BT264" i="59"/>
  <c r="BU264" i="59"/>
  <c r="BV264" i="59"/>
  <c r="BW264" i="59"/>
  <c r="BX264" i="59"/>
  <c r="BY264" i="59"/>
  <c r="BZ264" i="59"/>
  <c r="CA264" i="59"/>
  <c r="CB264" i="59"/>
  <c r="CC264" i="59"/>
  <c r="CD264" i="59"/>
  <c r="CE264" i="59"/>
  <c r="CG264" i="59"/>
  <c r="CI264" i="59"/>
  <c r="CJ264" i="59"/>
  <c r="CK264" i="59"/>
  <c r="CL264" i="59"/>
  <c r="CM264" i="59"/>
  <c r="CN264" i="59"/>
  <c r="CO264" i="59"/>
  <c r="CQ264" i="59"/>
  <c r="CS264" i="59"/>
  <c r="CT264" i="59"/>
  <c r="CU264" i="59"/>
  <c r="CV264" i="59"/>
  <c r="CW264" i="59"/>
  <c r="CX264" i="59"/>
  <c r="CY264" i="59"/>
  <c r="CZ264" i="59"/>
  <c r="DA264" i="59"/>
  <c r="DB264" i="59"/>
  <c r="DC264" i="59"/>
  <c r="DD264" i="59"/>
  <c r="DE264" i="59"/>
  <c r="DF264" i="59"/>
  <c r="DH264" i="59"/>
  <c r="DJ264" i="59"/>
  <c r="DK264" i="59"/>
  <c r="DL264" i="59"/>
  <c r="DM264" i="59"/>
  <c r="DN264" i="59"/>
  <c r="DO264" i="59"/>
  <c r="DP264" i="59"/>
  <c r="DR264" i="59"/>
  <c r="DT264" i="59"/>
  <c r="DU264" i="59"/>
  <c r="DV264" i="59"/>
  <c r="DW264" i="59"/>
  <c r="DX264" i="59"/>
  <c r="DY264" i="59"/>
  <c r="DZ264" i="59"/>
  <c r="EA264" i="59"/>
  <c r="EB264" i="59"/>
  <c r="EC264" i="59"/>
  <c r="ED264" i="59"/>
  <c r="EE264" i="59"/>
  <c r="EF264" i="59"/>
  <c r="EG264" i="59"/>
  <c r="EI264" i="59"/>
  <c r="EK264" i="59"/>
  <c r="EL264" i="59"/>
  <c r="EM264" i="59"/>
  <c r="EN264" i="59"/>
  <c r="EO264" i="59"/>
  <c r="EP264" i="59"/>
  <c r="EQ264" i="59"/>
  <c r="ES264" i="59"/>
  <c r="EU264" i="59"/>
  <c r="EV264" i="59"/>
  <c r="EW264" i="59"/>
  <c r="EX264" i="59"/>
  <c r="EY264" i="59"/>
  <c r="EZ264" i="59"/>
  <c r="FA264" i="59"/>
  <c r="FB264" i="59"/>
  <c r="FC264" i="59"/>
  <c r="FD264" i="59"/>
  <c r="FE264" i="59"/>
  <c r="FF264" i="59"/>
  <c r="FG264" i="59"/>
  <c r="FH264" i="59"/>
  <c r="FJ264" i="59"/>
  <c r="FL264" i="59"/>
  <c r="FM264" i="59"/>
  <c r="FN264" i="59"/>
  <c r="FO264" i="59"/>
  <c r="FP264" i="59"/>
  <c r="FQ264" i="59"/>
  <c r="FR264" i="59"/>
  <c r="FT264" i="59"/>
  <c r="FV264" i="59"/>
  <c r="FW264" i="59"/>
  <c r="FX264" i="59"/>
  <c r="FY264" i="59"/>
  <c r="FZ264" i="59"/>
  <c r="GA264" i="59"/>
  <c r="GB264" i="59"/>
  <c r="GC264" i="59"/>
  <c r="GD264" i="59"/>
  <c r="GE264" i="59"/>
  <c r="GF264" i="59"/>
  <c r="GG264" i="59"/>
  <c r="GH264" i="59"/>
  <c r="GI264" i="59"/>
  <c r="GK264" i="59"/>
  <c r="GM264" i="59"/>
  <c r="GN264" i="59"/>
  <c r="GO264" i="59"/>
  <c r="GP264" i="59"/>
  <c r="GQ264" i="59"/>
  <c r="GR264" i="59"/>
  <c r="GS264" i="59"/>
  <c r="GU264" i="59"/>
  <c r="GW264" i="59"/>
  <c r="GX264" i="59"/>
  <c r="GY264" i="59"/>
  <c r="GZ264" i="59"/>
  <c r="HA264" i="59"/>
  <c r="HB264" i="59"/>
  <c r="HC264" i="59"/>
  <c r="HD264" i="59"/>
  <c r="HE264" i="59"/>
  <c r="HF264" i="59"/>
  <c r="HG264" i="59"/>
  <c r="HH264" i="59"/>
  <c r="HI264" i="59"/>
  <c r="HJ264" i="59"/>
  <c r="HL264" i="59"/>
  <c r="HN264" i="59"/>
  <c r="HO264" i="59"/>
  <c r="HP264" i="59"/>
  <c r="HQ264" i="59"/>
  <c r="HR264" i="59"/>
  <c r="HS264" i="59"/>
  <c r="HT264" i="59"/>
  <c r="HV264" i="59"/>
  <c r="HX264" i="59"/>
  <c r="HY264" i="59"/>
  <c r="HZ264" i="59"/>
  <c r="IA264" i="59"/>
  <c r="IB264" i="59"/>
  <c r="IC264" i="59"/>
  <c r="ID264" i="59"/>
  <c r="IE264" i="59"/>
  <c r="IF264" i="59"/>
  <c r="IG264" i="59"/>
  <c r="IH264" i="59"/>
  <c r="II264" i="59"/>
  <c r="IJ264" i="59"/>
  <c r="IK264" i="59"/>
  <c r="IM264" i="59"/>
  <c r="IO264" i="59"/>
  <c r="IP264" i="59"/>
  <c r="IQ264" i="59"/>
  <c r="IR264" i="59"/>
  <c r="IS264" i="59"/>
  <c r="IT264" i="59"/>
  <c r="IU264" i="59"/>
  <c r="F265" i="59"/>
  <c r="H265" i="59"/>
  <c r="I265" i="59"/>
  <c r="J265" i="59"/>
  <c r="K265" i="59"/>
  <c r="L265" i="59"/>
  <c r="M265" i="59"/>
  <c r="N265" i="59"/>
  <c r="O265" i="59"/>
  <c r="P265" i="59"/>
  <c r="Q265" i="59"/>
  <c r="R265" i="59"/>
  <c r="S265" i="59"/>
  <c r="T265" i="59"/>
  <c r="U265" i="59"/>
  <c r="W265" i="59"/>
  <c r="Y265" i="59"/>
  <c r="Z265" i="59"/>
  <c r="AA265" i="59"/>
  <c r="AB265" i="59"/>
  <c r="AC265" i="59"/>
  <c r="AD265" i="59"/>
  <c r="AE265" i="59"/>
  <c r="AG265" i="59"/>
  <c r="AI265" i="59"/>
  <c r="AJ265" i="59"/>
  <c r="AK265" i="59"/>
  <c r="AL265" i="59"/>
  <c r="AM265" i="59"/>
  <c r="AN265" i="59"/>
  <c r="AO265" i="59"/>
  <c r="AP265" i="59"/>
  <c r="AQ265" i="59"/>
  <c r="AR265" i="59"/>
  <c r="AS265" i="59"/>
  <c r="AT265" i="59"/>
  <c r="AU265" i="59"/>
  <c r="AV265" i="59"/>
  <c r="AX265" i="59"/>
  <c r="AZ265" i="59"/>
  <c r="BA265" i="59"/>
  <c r="BB265" i="59"/>
  <c r="BC265" i="59"/>
  <c r="BD265" i="59"/>
  <c r="BE265" i="59"/>
  <c r="BF265" i="59"/>
  <c r="BH265" i="59"/>
  <c r="BJ265" i="59"/>
  <c r="BK265" i="59"/>
  <c r="BL265" i="59"/>
  <c r="BM265" i="59"/>
  <c r="BN265" i="59"/>
  <c r="BO265" i="59"/>
  <c r="BP265" i="59"/>
  <c r="BQ265" i="59"/>
  <c r="BR265" i="59"/>
  <c r="BS265" i="59"/>
  <c r="BT265" i="59"/>
  <c r="BU265" i="59"/>
  <c r="BV265" i="59"/>
  <c r="BW265" i="59"/>
  <c r="BY265" i="59"/>
  <c r="CA265" i="59"/>
  <c r="CB265" i="59"/>
  <c r="CC265" i="59"/>
  <c r="CD265" i="59"/>
  <c r="CE265" i="59"/>
  <c r="CF265" i="59"/>
  <c r="CG265" i="59"/>
  <c r="CI265" i="59"/>
  <c r="CK265" i="59"/>
  <c r="CL265" i="59"/>
  <c r="CM265" i="59"/>
  <c r="CN265" i="59"/>
  <c r="CO265" i="59"/>
  <c r="CP265" i="59"/>
  <c r="CQ265" i="59"/>
  <c r="CR265" i="59"/>
  <c r="CS265" i="59"/>
  <c r="CT265" i="59"/>
  <c r="CU265" i="59"/>
  <c r="CV265" i="59"/>
  <c r="CW265" i="59"/>
  <c r="CX265" i="59"/>
  <c r="CZ265" i="59"/>
  <c r="DB265" i="59"/>
  <c r="DC265" i="59"/>
  <c r="DD265" i="59"/>
  <c r="DE265" i="59"/>
  <c r="DF265" i="59"/>
  <c r="DG265" i="59"/>
  <c r="DH265" i="59"/>
  <c r="DJ265" i="59"/>
  <c r="DL265" i="59"/>
  <c r="DM265" i="59"/>
  <c r="DN265" i="59"/>
  <c r="DO265" i="59"/>
  <c r="DP265" i="59"/>
  <c r="DQ265" i="59"/>
  <c r="DR265" i="59"/>
  <c r="DS265" i="59"/>
  <c r="DT265" i="59"/>
  <c r="DU265" i="59"/>
  <c r="DV265" i="59"/>
  <c r="DW265" i="59"/>
  <c r="DX265" i="59"/>
  <c r="DY265" i="59"/>
  <c r="EA265" i="59"/>
  <c r="EC265" i="59"/>
  <c r="ED265" i="59"/>
  <c r="EE265" i="59"/>
  <c r="EF265" i="59"/>
  <c r="EG265" i="59"/>
  <c r="EH265" i="59"/>
  <c r="EI265" i="59"/>
  <c r="EK265" i="59"/>
  <c r="EM265" i="59"/>
  <c r="EN265" i="59"/>
  <c r="EO265" i="59"/>
  <c r="EP265" i="59"/>
  <c r="EQ265" i="59"/>
  <c r="ER265" i="59"/>
  <c r="ES265" i="59"/>
  <c r="ET265" i="59"/>
  <c r="EU265" i="59"/>
  <c r="EV265" i="59"/>
  <c r="EW265" i="59"/>
  <c r="EX265" i="59"/>
  <c r="EY265" i="59"/>
  <c r="EZ265" i="59"/>
  <c r="FB265" i="59"/>
  <c r="FD265" i="59"/>
  <c r="FE265" i="59"/>
  <c r="FF265" i="59"/>
  <c r="FG265" i="59"/>
  <c r="FH265" i="59"/>
  <c r="FI265" i="59"/>
  <c r="FJ265" i="59"/>
  <c r="FL265" i="59"/>
  <c r="FN265" i="59"/>
  <c r="FO265" i="59"/>
  <c r="FP265" i="59"/>
  <c r="FQ265" i="59"/>
  <c r="FR265" i="59"/>
  <c r="FS265" i="59"/>
  <c r="FT265" i="59"/>
  <c r="FU265" i="59"/>
  <c r="FV265" i="59"/>
  <c r="FW265" i="59"/>
  <c r="FX265" i="59"/>
  <c r="FY265" i="59"/>
  <c r="FZ265" i="59"/>
  <c r="GA265" i="59"/>
  <c r="GC265" i="59"/>
  <c r="GE265" i="59"/>
  <c r="GF265" i="59"/>
  <c r="GG265" i="59"/>
  <c r="GH265" i="59"/>
  <c r="GI265" i="59"/>
  <c r="GJ265" i="59"/>
  <c r="GK265" i="59"/>
  <c r="GM265" i="59"/>
  <c r="GO265" i="59"/>
  <c r="GP265" i="59"/>
  <c r="GQ265" i="59"/>
  <c r="GR265" i="59"/>
  <c r="GS265" i="59"/>
  <c r="GT265" i="59"/>
  <c r="GU265" i="59"/>
  <c r="GV265" i="59"/>
  <c r="GW265" i="59"/>
  <c r="GX265" i="59"/>
  <c r="GY265" i="59"/>
  <c r="GZ265" i="59"/>
  <c r="HA265" i="59"/>
  <c r="HB265" i="59"/>
  <c r="HD265" i="59"/>
  <c r="HF265" i="59"/>
  <c r="HG265" i="59"/>
  <c r="HH265" i="59"/>
  <c r="HI265" i="59"/>
  <c r="HJ265" i="59"/>
  <c r="HK265" i="59"/>
  <c r="HL265" i="59"/>
  <c r="HN265" i="59"/>
  <c r="HP265" i="59"/>
  <c r="HQ265" i="59"/>
  <c r="HR265" i="59"/>
  <c r="HS265" i="59"/>
  <c r="HT265" i="59"/>
  <c r="HU265" i="59"/>
  <c r="HV265" i="59"/>
  <c r="HW265" i="59"/>
  <c r="HX265" i="59"/>
  <c r="HY265" i="59"/>
  <c r="HZ265" i="59"/>
  <c r="IA265" i="59"/>
  <c r="IB265" i="59"/>
  <c r="IC265" i="59"/>
  <c r="IE265" i="59"/>
  <c r="IG265" i="59"/>
  <c r="IH265" i="59"/>
  <c r="II265" i="59"/>
  <c r="IJ265" i="59"/>
  <c r="IK265" i="59"/>
  <c r="IL265" i="59"/>
  <c r="IM265" i="59"/>
  <c r="IO265" i="59"/>
  <c r="IQ265" i="59"/>
  <c r="IR265" i="59"/>
  <c r="IS265" i="59"/>
  <c r="IT265" i="59"/>
  <c r="IU265" i="59"/>
  <c r="IV265" i="59"/>
  <c r="F266" i="59"/>
  <c r="G266" i="59"/>
  <c r="H266" i="59"/>
  <c r="I266" i="59"/>
  <c r="J266" i="59"/>
  <c r="K266" i="59"/>
  <c r="L266" i="59"/>
  <c r="M266" i="59"/>
  <c r="O266" i="59"/>
  <c r="Q266" i="59"/>
  <c r="R266" i="59"/>
  <c r="S266" i="59"/>
  <c r="T266" i="59"/>
  <c r="U266" i="59"/>
  <c r="V266" i="59"/>
  <c r="W266" i="59"/>
  <c r="Y266" i="59"/>
  <c r="AA266" i="59"/>
  <c r="AB266" i="59"/>
  <c r="AC266" i="59"/>
  <c r="AD266" i="59"/>
  <c r="AE266" i="59"/>
  <c r="AF266" i="59"/>
  <c r="AG266" i="59"/>
  <c r="AH266" i="59"/>
  <c r="AI266" i="59"/>
  <c r="AJ266" i="59"/>
  <c r="AK266" i="59"/>
  <c r="AL266" i="59"/>
  <c r="AM266" i="59"/>
  <c r="AN266" i="59"/>
  <c r="AP266" i="59"/>
  <c r="AR266" i="59"/>
  <c r="AS266" i="59"/>
  <c r="AT266" i="59"/>
  <c r="AU266" i="59"/>
  <c r="AV266" i="59"/>
  <c r="AW266" i="59"/>
  <c r="AX266" i="59"/>
  <c r="AZ266" i="59"/>
  <c r="BB266" i="59"/>
  <c r="BC266" i="59"/>
  <c r="BD266" i="59"/>
  <c r="BE266" i="59"/>
  <c r="BF266" i="59"/>
  <c r="BG266" i="59"/>
  <c r="BH266" i="59"/>
  <c r="BI266" i="59"/>
  <c r="BJ266" i="59"/>
  <c r="BK266" i="59"/>
  <c r="BL266" i="59"/>
  <c r="BM266" i="59"/>
  <c r="BN266" i="59"/>
  <c r="BO266" i="59"/>
  <c r="BQ266" i="59"/>
  <c r="BS266" i="59"/>
  <c r="BT266" i="59"/>
  <c r="BU266" i="59"/>
  <c r="BV266" i="59"/>
  <c r="BW266" i="59"/>
  <c r="BX266" i="59"/>
  <c r="BY266" i="59"/>
  <c r="CA266" i="59"/>
  <c r="CC266" i="59"/>
  <c r="CD266" i="59"/>
  <c r="CE266" i="59"/>
  <c r="CF266" i="59"/>
  <c r="CG266" i="59"/>
  <c r="CH266" i="59"/>
  <c r="CI266" i="59"/>
  <c r="CJ266" i="59"/>
  <c r="CK266" i="59"/>
  <c r="CL266" i="59"/>
  <c r="CM266" i="59"/>
  <c r="CN266" i="59"/>
  <c r="CO266" i="59"/>
  <c r="CP266" i="59"/>
  <c r="CR266" i="59"/>
  <c r="CT266" i="59"/>
  <c r="CU266" i="59"/>
  <c r="CV266" i="59"/>
  <c r="CW266" i="59"/>
  <c r="CX266" i="59"/>
  <c r="CY266" i="59"/>
  <c r="CZ266" i="59"/>
  <c r="DB266" i="59"/>
  <c r="DD266" i="59"/>
  <c r="DE266" i="59"/>
  <c r="DF266" i="59"/>
  <c r="DG266" i="59"/>
  <c r="DH266" i="59"/>
  <c r="DI266" i="59"/>
  <c r="DJ266" i="59"/>
  <c r="DK266" i="59"/>
  <c r="DL266" i="59"/>
  <c r="DM266" i="59"/>
  <c r="DN266" i="59"/>
  <c r="DO266" i="59"/>
  <c r="DP266" i="59"/>
  <c r="DQ266" i="59"/>
  <c r="DS266" i="59"/>
  <c r="DU266" i="59"/>
  <c r="DV266" i="59"/>
  <c r="DW266" i="59"/>
  <c r="DX266" i="59"/>
  <c r="DY266" i="59"/>
  <c r="DZ266" i="59"/>
  <c r="EA266" i="59"/>
  <c r="EC266" i="59"/>
  <c r="EE266" i="59"/>
  <c r="EF266" i="59"/>
  <c r="EG266" i="59"/>
  <c r="EH266" i="59"/>
  <c r="EI266" i="59"/>
  <c r="EJ266" i="59"/>
  <c r="EK266" i="59"/>
  <c r="EL266" i="59"/>
  <c r="EM266" i="59"/>
  <c r="EN266" i="59"/>
  <c r="EO266" i="59"/>
  <c r="EP266" i="59"/>
  <c r="EQ266" i="59"/>
  <c r="ER266" i="59"/>
  <c r="ET266" i="59"/>
  <c r="EV266" i="59"/>
  <c r="EW266" i="59"/>
  <c r="EX266" i="59"/>
  <c r="EY266" i="59"/>
  <c r="EZ266" i="59"/>
  <c r="FA266" i="59"/>
  <c r="FB266" i="59"/>
  <c r="FD266" i="59"/>
  <c r="FF266" i="59"/>
  <c r="FG266" i="59"/>
  <c r="FH266" i="59"/>
  <c r="FI266" i="59"/>
  <c r="FJ266" i="59"/>
  <c r="FK266" i="59"/>
  <c r="FL266" i="59"/>
  <c r="FM266" i="59"/>
  <c r="FN266" i="59"/>
  <c r="FO266" i="59"/>
  <c r="FP266" i="59"/>
  <c r="FQ266" i="59"/>
  <c r="FR266" i="59"/>
  <c r="FS266" i="59"/>
  <c r="FU266" i="59"/>
  <c r="FW266" i="59"/>
  <c r="FX266" i="59"/>
  <c r="FY266" i="59"/>
  <c r="FZ266" i="59"/>
  <c r="GA266" i="59"/>
  <c r="GB266" i="59"/>
  <c r="GC266" i="59"/>
  <c r="GE266" i="59"/>
  <c r="GG266" i="59"/>
  <c r="GH266" i="59"/>
  <c r="GI266" i="59"/>
  <c r="GJ266" i="59"/>
  <c r="GK266" i="59"/>
  <c r="GL266" i="59"/>
  <c r="GM266" i="59"/>
  <c r="GN266" i="59"/>
  <c r="GO266" i="59"/>
  <c r="GP266" i="59"/>
  <c r="GQ266" i="59"/>
  <c r="GR266" i="59"/>
  <c r="GS266" i="59"/>
  <c r="GT266" i="59"/>
  <c r="GV266" i="59"/>
  <c r="GX266" i="59"/>
  <c r="GY266" i="59"/>
  <c r="GZ266" i="59"/>
  <c r="HA266" i="59"/>
  <c r="HB266" i="59"/>
  <c r="HC266" i="59"/>
  <c r="HD266" i="59"/>
  <c r="HF266" i="59"/>
  <c r="HH266" i="59"/>
  <c r="HI266" i="59"/>
  <c r="HJ266" i="59"/>
  <c r="HK266" i="59"/>
  <c r="HL266" i="59"/>
  <c r="HM266" i="59"/>
  <c r="HN266" i="59"/>
  <c r="HO266" i="59"/>
  <c r="HP266" i="59"/>
  <c r="HQ266" i="59"/>
  <c r="HR266" i="59"/>
  <c r="HS266" i="59"/>
  <c r="HT266" i="59"/>
  <c r="HU266" i="59"/>
  <c r="HW266" i="59"/>
  <c r="HY266" i="59"/>
  <c r="HZ266" i="59"/>
  <c r="IA266" i="59"/>
  <c r="IB266" i="59"/>
  <c r="IC266" i="59"/>
  <c r="ID266" i="59"/>
  <c r="IE266" i="59"/>
  <c r="IG266" i="59"/>
  <c r="II266" i="59"/>
  <c r="IJ266" i="59"/>
  <c r="IK266" i="59"/>
  <c r="IL266" i="59"/>
  <c r="IM266" i="59"/>
  <c r="IN266" i="59"/>
  <c r="IO266" i="59"/>
  <c r="IP266" i="59"/>
  <c r="IQ266" i="59"/>
  <c r="IR266" i="59"/>
  <c r="IS266" i="59"/>
  <c r="IT266" i="59"/>
  <c r="IU266" i="59"/>
  <c r="IV266" i="59"/>
  <c r="G267" i="59"/>
  <c r="I267" i="59"/>
  <c r="J267" i="59"/>
  <c r="K267" i="59"/>
  <c r="L267" i="59"/>
  <c r="M267" i="59"/>
  <c r="N267" i="59"/>
  <c r="O267" i="59"/>
  <c r="Q267" i="59"/>
  <c r="S267" i="59"/>
  <c r="T267" i="59"/>
  <c r="U267" i="59"/>
  <c r="V267" i="59"/>
  <c r="W267" i="59"/>
  <c r="X267" i="59"/>
  <c r="Y267" i="59"/>
  <c r="Z267" i="59"/>
  <c r="AA267" i="59"/>
  <c r="AB267" i="59"/>
  <c r="AC267" i="59"/>
  <c r="AD267" i="59"/>
  <c r="AE267" i="59"/>
  <c r="AF267" i="59"/>
  <c r="AH267" i="59"/>
  <c r="AJ267" i="59"/>
  <c r="AK267" i="59"/>
  <c r="AL267" i="59"/>
  <c r="AM267" i="59"/>
  <c r="AN267" i="59"/>
  <c r="AO267" i="59"/>
  <c r="AP267" i="59"/>
  <c r="AR267" i="59"/>
  <c r="AT267" i="59"/>
  <c r="AU267" i="59"/>
  <c r="AV267" i="59"/>
  <c r="AW267" i="59"/>
  <c r="AX267" i="59"/>
  <c r="AY267" i="59"/>
  <c r="AZ267" i="59"/>
  <c r="BA267" i="59"/>
  <c r="BB267" i="59"/>
  <c r="BC267" i="59"/>
  <c r="BD267" i="59"/>
  <c r="BE267" i="59"/>
  <c r="BF267" i="59"/>
  <c r="BG267" i="59"/>
  <c r="BI267" i="59"/>
  <c r="BK267" i="59"/>
  <c r="BL267" i="59"/>
  <c r="BM267" i="59"/>
  <c r="BN267" i="59"/>
  <c r="BO267" i="59"/>
  <c r="BP267" i="59"/>
  <c r="BQ267" i="59"/>
  <c r="BS267" i="59"/>
  <c r="BT267" i="59"/>
  <c r="BU267" i="59"/>
  <c r="BV267" i="59"/>
  <c r="BW267" i="59"/>
  <c r="BX267" i="59"/>
  <c r="BY267" i="59"/>
  <c r="BZ267" i="59"/>
  <c r="CA267" i="59"/>
  <c r="CB267" i="59"/>
  <c r="CC267" i="59"/>
  <c r="CD267" i="59"/>
  <c r="CE267" i="59"/>
  <c r="CF267" i="59"/>
  <c r="CG267" i="59"/>
  <c r="CH267" i="59"/>
  <c r="CI267" i="59"/>
  <c r="CL267" i="59"/>
  <c r="CM267" i="59"/>
  <c r="CN267" i="59"/>
  <c r="CO267" i="59"/>
  <c r="CP267" i="59"/>
  <c r="CQ267" i="59"/>
  <c r="CR267" i="59"/>
  <c r="CS267" i="59"/>
  <c r="CT267" i="59"/>
  <c r="CU267" i="59"/>
  <c r="CV267" i="59"/>
  <c r="CW267" i="59"/>
  <c r="CX267" i="59"/>
  <c r="CY267" i="59"/>
  <c r="CZ267" i="59"/>
  <c r="DA267" i="59"/>
  <c r="DB267" i="59"/>
  <c r="DC267" i="59"/>
  <c r="DD267" i="59"/>
  <c r="DE267" i="59"/>
  <c r="DF267" i="59"/>
  <c r="DG267" i="59"/>
  <c r="DH267" i="59"/>
  <c r="DI267" i="59"/>
  <c r="DJ267" i="59"/>
  <c r="DK267" i="59"/>
  <c r="DL267" i="59"/>
  <c r="DM267" i="59"/>
  <c r="DN267" i="59"/>
  <c r="DO267" i="59"/>
  <c r="DP267" i="59"/>
  <c r="DQ267" i="59"/>
  <c r="DR267" i="59"/>
  <c r="DS267" i="59"/>
  <c r="DT267" i="59"/>
  <c r="DU267" i="59"/>
  <c r="DV267" i="59"/>
  <c r="DW267" i="59"/>
  <c r="DX267" i="59"/>
  <c r="DY267" i="59"/>
  <c r="DZ267" i="59"/>
  <c r="EA267" i="59"/>
  <c r="EB267" i="59"/>
  <c r="EC267" i="59"/>
  <c r="ED267" i="59"/>
  <c r="EE267" i="59"/>
  <c r="EF267" i="59"/>
  <c r="EG267" i="59"/>
  <c r="EH267" i="59"/>
  <c r="EI267" i="59"/>
  <c r="EJ267" i="59"/>
  <c r="EK267" i="59"/>
  <c r="EL267" i="59"/>
  <c r="EM267" i="59"/>
  <c r="EN267" i="59"/>
  <c r="EO267" i="59"/>
  <c r="EP267" i="59"/>
  <c r="EQ267" i="59"/>
  <c r="ER267" i="59"/>
  <c r="ES267" i="59"/>
  <c r="ET267" i="59"/>
  <c r="EU267" i="59"/>
  <c r="EV267" i="59"/>
  <c r="EW267" i="59"/>
  <c r="EX267" i="59"/>
  <c r="EY267" i="59"/>
  <c r="EZ267" i="59"/>
  <c r="FA267" i="59"/>
  <c r="FB267" i="59"/>
  <c r="FC267" i="59"/>
  <c r="FD267" i="59"/>
  <c r="FE267" i="59"/>
  <c r="FF267" i="59"/>
  <c r="FG267" i="59"/>
  <c r="FH267" i="59"/>
  <c r="FI267" i="59"/>
  <c r="FJ267" i="59"/>
  <c r="FK267" i="59"/>
  <c r="FL267" i="59"/>
  <c r="FM267" i="59"/>
  <c r="FN267" i="59"/>
  <c r="FO267" i="59"/>
  <c r="FP267" i="59"/>
  <c r="FQ267" i="59"/>
  <c r="FR267" i="59"/>
  <c r="FS267" i="59"/>
  <c r="FT267" i="59"/>
  <c r="FU267" i="59"/>
  <c r="FV267" i="59"/>
  <c r="FW267" i="59"/>
  <c r="FX267" i="59"/>
  <c r="FY267" i="59"/>
  <c r="FZ267" i="59"/>
  <c r="GA267" i="59"/>
  <c r="GB267" i="59"/>
  <c r="GC267" i="59"/>
  <c r="GD267" i="59"/>
  <c r="GE267" i="59"/>
  <c r="GF267" i="59"/>
  <c r="GG267" i="59"/>
  <c r="GH267" i="59"/>
  <c r="GI267" i="59"/>
  <c r="GJ267" i="59"/>
  <c r="GK267" i="59"/>
  <c r="GL267" i="59"/>
  <c r="GM267" i="59"/>
  <c r="GN267" i="59"/>
  <c r="GO267" i="59"/>
  <c r="GP267" i="59"/>
  <c r="GQ267" i="59"/>
  <c r="GR267" i="59"/>
  <c r="GS267" i="59"/>
  <c r="GT267" i="59"/>
  <c r="GU267" i="59"/>
  <c r="GV267" i="59"/>
  <c r="GW267" i="59"/>
  <c r="GX267" i="59"/>
  <c r="GY267" i="59"/>
  <c r="GZ267" i="59"/>
  <c r="HQ267" i="59"/>
  <c r="HV267" i="59"/>
  <c r="HW267" i="59"/>
  <c r="HX267" i="59"/>
  <c r="HY267" i="59"/>
  <c r="HZ267" i="59"/>
  <c r="IR267" i="59"/>
  <c r="F268" i="59"/>
  <c r="G268" i="59"/>
  <c r="H268" i="59"/>
  <c r="I268" i="59"/>
  <c r="J268" i="59"/>
  <c r="AB268" i="59"/>
  <c r="AG268" i="59"/>
  <c r="AH268" i="59"/>
  <c r="AI268" i="59"/>
  <c r="AJ268" i="59"/>
  <c r="AK268" i="59"/>
  <c r="BC268" i="59"/>
  <c r="BH268" i="59"/>
  <c r="BI268" i="59"/>
  <c r="BJ268" i="59"/>
  <c r="BK268" i="59"/>
  <c r="BL268" i="59"/>
  <c r="CD268" i="59"/>
  <c r="CI268" i="59"/>
  <c r="CJ268" i="59"/>
  <c r="CK268" i="59"/>
  <c r="CL268" i="59"/>
  <c r="CM268" i="59"/>
  <c r="CN268" i="59"/>
  <c r="CO268" i="59"/>
  <c r="CP268" i="59"/>
  <c r="CQ268" i="59"/>
  <c r="CR268" i="59"/>
  <c r="CS268" i="59"/>
  <c r="CT268" i="59"/>
  <c r="CU268" i="59"/>
  <c r="CV268" i="59"/>
  <c r="CW268" i="59"/>
  <c r="CX268" i="59"/>
  <c r="CY268" i="59"/>
  <c r="CZ268" i="59"/>
  <c r="DA268" i="59"/>
  <c r="DB268" i="59"/>
  <c r="DC268" i="59"/>
  <c r="DD268" i="59"/>
  <c r="DE268" i="59"/>
  <c r="DF268" i="59"/>
  <c r="DG268" i="59"/>
  <c r="DH268" i="59"/>
  <c r="DI268" i="59"/>
  <c r="DJ268" i="59"/>
  <c r="DK268" i="59"/>
  <c r="DL268" i="59"/>
  <c r="DM268" i="59"/>
  <c r="DN268" i="59"/>
  <c r="DO268" i="59"/>
  <c r="DP268" i="59"/>
  <c r="DQ268" i="59"/>
  <c r="DR268" i="59"/>
  <c r="DS268" i="59"/>
  <c r="DT268" i="59"/>
  <c r="DU268" i="59"/>
  <c r="DV268" i="59"/>
  <c r="DW268" i="59"/>
  <c r="DX268" i="59"/>
  <c r="DY268" i="59"/>
  <c r="DZ268" i="59"/>
  <c r="EA268" i="59"/>
  <c r="EB268" i="59"/>
  <c r="EC268" i="59"/>
  <c r="ED268" i="59"/>
  <c r="EE268" i="59"/>
  <c r="EF268" i="59"/>
  <c r="EG268" i="59"/>
  <c r="EH268" i="59"/>
  <c r="EI268" i="59"/>
  <c r="EJ268" i="59"/>
  <c r="EK268" i="59"/>
  <c r="EL268" i="59"/>
  <c r="EM268" i="59"/>
  <c r="EN268" i="59"/>
  <c r="EO268" i="59"/>
  <c r="EP268" i="59"/>
  <c r="EQ268" i="59"/>
  <c r="ER268" i="59"/>
  <c r="ES268" i="59"/>
  <c r="ET268" i="59"/>
  <c r="EU268" i="59"/>
  <c r="EV268" i="59"/>
  <c r="EW268" i="59"/>
  <c r="EX268" i="59"/>
  <c r="EY268" i="59"/>
  <c r="EZ268" i="59"/>
  <c r="FA268" i="59"/>
  <c r="FB268" i="59"/>
  <c r="FC268" i="59"/>
  <c r="FD268" i="59"/>
  <c r="FE268" i="59"/>
  <c r="FF268" i="59"/>
  <c r="FG268" i="59"/>
  <c r="FH268" i="59"/>
  <c r="FI268" i="59"/>
  <c r="FJ268" i="59"/>
  <c r="FK268" i="59"/>
  <c r="FL268" i="59"/>
  <c r="FM268" i="59"/>
  <c r="FN268" i="59"/>
  <c r="FO268" i="59"/>
  <c r="FP268" i="59"/>
  <c r="FQ268" i="59"/>
  <c r="FR268" i="59"/>
  <c r="FS268" i="59"/>
  <c r="FT268" i="59"/>
  <c r="FU268" i="59"/>
  <c r="FV268" i="59"/>
  <c r="FW268" i="59"/>
  <c r="FX268" i="59"/>
  <c r="FY268" i="59"/>
  <c r="FZ268" i="59"/>
  <c r="GA268" i="59"/>
  <c r="GB268" i="59"/>
  <c r="GC268" i="59"/>
  <c r="GD268" i="59"/>
  <c r="GE268" i="59"/>
  <c r="GF268" i="59"/>
  <c r="GG268" i="59"/>
  <c r="GH268" i="59"/>
  <c r="GI268" i="59"/>
  <c r="GJ268" i="59"/>
  <c r="GK268" i="59"/>
  <c r="GL268" i="59"/>
  <c r="GM268" i="59"/>
  <c r="GN268" i="59"/>
  <c r="GO268" i="59"/>
  <c r="GP268" i="59"/>
  <c r="GQ268" i="59"/>
  <c r="GR268" i="59"/>
  <c r="GS268" i="59"/>
  <c r="GT268" i="59"/>
  <c r="GU268" i="59"/>
  <c r="GV268" i="59"/>
  <c r="GW268" i="59"/>
  <c r="GX268" i="59"/>
  <c r="GY268" i="59"/>
  <c r="GZ268" i="59"/>
  <c r="HA268" i="59"/>
  <c r="HB268" i="59"/>
  <c r="HC268" i="59"/>
  <c r="HD268" i="59"/>
  <c r="HE268" i="59"/>
  <c r="HF268" i="59"/>
  <c r="HG268" i="59"/>
  <c r="HH268" i="59"/>
  <c r="HI268" i="59"/>
  <c r="HJ268" i="59"/>
  <c r="HK268" i="59"/>
  <c r="HL268" i="59"/>
  <c r="HM268" i="59"/>
  <c r="HN268" i="59"/>
  <c r="HO268" i="59"/>
  <c r="HP268" i="59"/>
  <c r="HQ268" i="59"/>
  <c r="HR268" i="59"/>
  <c r="HS268" i="59"/>
  <c r="IJ268" i="59"/>
  <c r="IO268" i="59"/>
  <c r="IP268" i="59"/>
  <c r="IQ268" i="59"/>
  <c r="IR268" i="59"/>
  <c r="IS268" i="59"/>
  <c r="T269" i="59"/>
  <c r="Y269" i="59"/>
  <c r="Z269" i="59"/>
  <c r="AA269" i="59"/>
  <c r="AB269" i="59"/>
  <c r="AC269" i="59"/>
  <c r="AU269" i="59"/>
  <c r="AZ269" i="59"/>
  <c r="BA269" i="59"/>
  <c r="BB269" i="59"/>
  <c r="BC269" i="59"/>
  <c r="BD269" i="59"/>
  <c r="BV269" i="59"/>
  <c r="CA269" i="59"/>
  <c r="CB269" i="59"/>
  <c r="CC269" i="59"/>
  <c r="CD269" i="59"/>
  <c r="CE269" i="59"/>
  <c r="CW269" i="59"/>
  <c r="DB269" i="59"/>
  <c r="DC269" i="59"/>
  <c r="DD269" i="59"/>
  <c r="DE269" i="59"/>
  <c r="DF269" i="59"/>
  <c r="DG269" i="59"/>
  <c r="DH269" i="59"/>
  <c r="DI269" i="59"/>
  <c r="DJ269" i="59"/>
  <c r="DK269" i="59"/>
  <c r="DL269" i="59"/>
  <c r="DM269" i="59"/>
  <c r="DN269" i="59"/>
  <c r="DO269" i="59"/>
  <c r="DP269" i="59"/>
  <c r="DQ269" i="59"/>
  <c r="DR269" i="59"/>
  <c r="DS269" i="59"/>
  <c r="DT269" i="59"/>
  <c r="DU269" i="59"/>
  <c r="DV269" i="59"/>
  <c r="DW269" i="59"/>
  <c r="DX269" i="59"/>
  <c r="DY269" i="59"/>
  <c r="DZ269" i="59"/>
  <c r="EA269" i="59"/>
  <c r="EB269" i="59"/>
  <c r="EC269" i="59"/>
  <c r="ED269" i="59"/>
  <c r="EE269" i="59"/>
  <c r="EF269" i="59"/>
  <c r="EG269" i="59"/>
  <c r="EH269" i="59"/>
  <c r="EI269" i="59"/>
  <c r="EJ269" i="59"/>
  <c r="EK269" i="59"/>
  <c r="EL269" i="59"/>
  <c r="EM269" i="59"/>
  <c r="EN269" i="59"/>
  <c r="EO269" i="59"/>
  <c r="EP269" i="59"/>
  <c r="EQ269" i="59"/>
  <c r="ER269" i="59"/>
  <c r="ES269" i="59"/>
  <c r="ET269" i="59"/>
  <c r="EU269" i="59"/>
  <c r="EV269" i="59"/>
  <c r="EW269" i="59"/>
  <c r="EX269" i="59"/>
  <c r="EY269" i="59"/>
  <c r="EZ269" i="59"/>
  <c r="FA269" i="59"/>
  <c r="FB269" i="59"/>
  <c r="FC269" i="59"/>
  <c r="FD269" i="59"/>
  <c r="FE269" i="59"/>
  <c r="FF269" i="59"/>
  <c r="FG269" i="59"/>
  <c r="FH269" i="59"/>
  <c r="FI269" i="59"/>
  <c r="FJ269" i="59"/>
  <c r="FK269" i="59"/>
  <c r="FL269" i="59"/>
  <c r="FM269" i="59"/>
  <c r="FN269" i="59"/>
  <c r="FO269" i="59"/>
  <c r="FP269" i="59"/>
  <c r="FQ269" i="59"/>
  <c r="FR269" i="59"/>
  <c r="FS269" i="59"/>
  <c r="FT269" i="59"/>
  <c r="FU269" i="59"/>
  <c r="FV269" i="59"/>
  <c r="FW269" i="59"/>
  <c r="FX269" i="59"/>
  <c r="FY269" i="59"/>
  <c r="FZ269" i="59"/>
  <c r="GA269" i="59"/>
  <c r="GB269" i="59"/>
  <c r="GC269" i="59"/>
  <c r="GD269" i="59"/>
  <c r="GE269" i="59"/>
  <c r="GF269" i="59"/>
  <c r="GG269" i="59"/>
  <c r="GH269" i="59"/>
  <c r="GI269" i="59"/>
  <c r="GJ269" i="59"/>
  <c r="GK269" i="59"/>
  <c r="GL269" i="59"/>
  <c r="GM269" i="59"/>
  <c r="GN269" i="59"/>
  <c r="GO269" i="59"/>
  <c r="GP269" i="59"/>
  <c r="GQ269" i="59"/>
  <c r="GR269" i="59"/>
  <c r="GS269" i="59"/>
  <c r="GT269" i="59"/>
  <c r="GU269" i="59"/>
  <c r="GV269" i="59"/>
  <c r="GW269" i="59"/>
  <c r="GX269" i="59"/>
  <c r="GY269" i="59"/>
  <c r="GZ269" i="59"/>
  <c r="HA269" i="59"/>
  <c r="HB269" i="59"/>
  <c r="HC269" i="59"/>
  <c r="HD269" i="59"/>
  <c r="HE269" i="59"/>
  <c r="HF269" i="59"/>
  <c r="HG269" i="59"/>
  <c r="HH269" i="59"/>
  <c r="HI269" i="59"/>
  <c r="HJ269" i="59"/>
  <c r="HK269" i="59"/>
  <c r="HL269" i="59"/>
  <c r="HM269" i="59"/>
  <c r="HN269" i="59"/>
  <c r="HO269" i="59"/>
  <c r="HP269" i="59"/>
  <c r="HQ269" i="59"/>
  <c r="HR269" i="59"/>
  <c r="HS269" i="59"/>
  <c r="HT269" i="59"/>
  <c r="HU269" i="59"/>
  <c r="HV269" i="59"/>
  <c r="HW269" i="59"/>
  <c r="HX269" i="59"/>
  <c r="HY269" i="59"/>
  <c r="HZ269" i="59"/>
  <c r="IA269" i="59"/>
  <c r="IB269" i="59"/>
  <c r="IC269" i="59"/>
  <c r="ID269" i="59"/>
  <c r="IE269" i="59"/>
  <c r="IF269" i="59"/>
  <c r="IG269" i="59"/>
  <c r="IH269" i="59"/>
  <c r="II269" i="59"/>
  <c r="IJ269" i="59"/>
  <c r="IK269" i="59"/>
  <c r="IL269" i="59"/>
  <c r="IM269" i="59"/>
  <c r="IN269" i="59"/>
  <c r="IO269" i="59"/>
  <c r="IP269" i="59"/>
  <c r="IQ269" i="59"/>
  <c r="IR269" i="59"/>
  <c r="IS269" i="59"/>
  <c r="IT269" i="59"/>
  <c r="IU269" i="59"/>
  <c r="IV269" i="59"/>
  <c r="F270" i="59"/>
  <c r="G270" i="59"/>
  <c r="H270" i="59"/>
  <c r="I270" i="59"/>
  <c r="J270" i="59"/>
  <c r="K270" i="59"/>
  <c r="L270" i="59"/>
  <c r="M270" i="59"/>
  <c r="N270" i="59"/>
  <c r="O270" i="59"/>
  <c r="P270" i="59"/>
  <c r="Q270" i="59"/>
  <c r="R270" i="59"/>
  <c r="S270" i="59"/>
  <c r="T270" i="59"/>
  <c r="U270" i="59"/>
  <c r="V270" i="59"/>
  <c r="W270" i="59"/>
  <c r="X270" i="59"/>
  <c r="Y270" i="59"/>
  <c r="Z270" i="59"/>
  <c r="AA270" i="59"/>
  <c r="AB270" i="59"/>
  <c r="AC270" i="59"/>
  <c r="AD270" i="59"/>
  <c r="AE270" i="59"/>
  <c r="AF270" i="59"/>
  <c r="AG270" i="59"/>
  <c r="AH270" i="59"/>
  <c r="AI270" i="59"/>
  <c r="AJ270" i="59"/>
  <c r="AK270" i="59"/>
  <c r="AL270" i="59"/>
  <c r="AM270" i="59"/>
  <c r="AN270" i="59"/>
  <c r="AO270" i="59"/>
  <c r="AP270" i="59"/>
  <c r="AQ270" i="59"/>
  <c r="AR270" i="59"/>
  <c r="AS270" i="59"/>
  <c r="AT270" i="59"/>
  <c r="AU270" i="59"/>
  <c r="AV270" i="59"/>
  <c r="AW270" i="59"/>
  <c r="AX270" i="59"/>
  <c r="AY270" i="59"/>
  <c r="AZ270" i="59"/>
  <c r="BA270" i="59"/>
  <c r="BB270" i="59"/>
  <c r="BC270" i="59"/>
  <c r="BD270" i="59"/>
  <c r="BE270" i="59"/>
  <c r="BF270" i="59"/>
  <c r="BG270" i="59"/>
  <c r="BH270" i="59"/>
  <c r="BI270" i="59"/>
  <c r="BJ270" i="59"/>
  <c r="BK270" i="59"/>
  <c r="BL270" i="59"/>
  <c r="BM270" i="59"/>
  <c r="BN270" i="59"/>
  <c r="BO270" i="59"/>
  <c r="BP270" i="59"/>
  <c r="BQ270" i="59"/>
  <c r="BR270" i="59"/>
  <c r="BS270" i="59"/>
  <c r="BT270" i="59"/>
  <c r="BU270" i="59"/>
  <c r="BV270" i="59"/>
  <c r="BW270" i="59"/>
  <c r="BX270" i="59"/>
  <c r="BY270" i="59"/>
  <c r="BZ270" i="59"/>
  <c r="CA270" i="59"/>
  <c r="CB270" i="59"/>
  <c r="CC270" i="59"/>
  <c r="CD270" i="59"/>
  <c r="CE270" i="59"/>
  <c r="CF270" i="59"/>
  <c r="CG270" i="59"/>
  <c r="CH270" i="59"/>
  <c r="CI270" i="59"/>
  <c r="CJ270" i="59"/>
  <c r="CK270" i="59"/>
  <c r="CL270" i="59"/>
  <c r="CM270" i="59"/>
  <c r="CN270" i="59"/>
  <c r="CO270" i="59"/>
  <c r="CP270" i="59"/>
  <c r="CQ270" i="59"/>
  <c r="CR270" i="59"/>
  <c r="CS270" i="59"/>
  <c r="CT270" i="59"/>
  <c r="CU270" i="59"/>
  <c r="CV270" i="59"/>
  <c r="CW270" i="59"/>
  <c r="CX270" i="59"/>
  <c r="CY270" i="59"/>
  <c r="CZ270" i="59"/>
  <c r="DA270" i="59"/>
  <c r="DB270" i="59"/>
  <c r="DC270" i="59"/>
  <c r="DD270" i="59"/>
  <c r="DE270" i="59"/>
  <c r="DF270" i="59"/>
  <c r="DG270" i="59"/>
  <c r="DH270" i="59"/>
  <c r="DI270" i="59"/>
  <c r="DJ270" i="59"/>
  <c r="DK270" i="59"/>
  <c r="DL270" i="59"/>
  <c r="DM270" i="59"/>
  <c r="DN270" i="59"/>
  <c r="DO270" i="59"/>
  <c r="DP270" i="59"/>
  <c r="DQ270" i="59"/>
  <c r="DR270" i="59"/>
  <c r="DS270" i="59"/>
  <c r="DT270" i="59"/>
  <c r="DU270" i="59"/>
  <c r="DV270" i="59"/>
  <c r="DW270" i="59"/>
  <c r="DX270" i="59"/>
  <c r="DY270" i="59"/>
  <c r="DZ270" i="59"/>
  <c r="EA270" i="59"/>
  <c r="EB270" i="59"/>
  <c r="EC270" i="59"/>
  <c r="ED270" i="59"/>
  <c r="EE270" i="59"/>
  <c r="EF270" i="59"/>
  <c r="EG270" i="59"/>
  <c r="EH270" i="59"/>
  <c r="EI270" i="59"/>
  <c r="EJ270" i="59"/>
  <c r="EK270" i="59"/>
  <c r="EL270" i="59"/>
  <c r="EM270" i="59"/>
  <c r="EN270" i="59"/>
  <c r="EO270" i="59"/>
  <c r="EP270" i="59"/>
  <c r="EQ270" i="59"/>
  <c r="ER270" i="59"/>
  <c r="ES270" i="59"/>
  <c r="ET270" i="59"/>
  <c r="EU270" i="59"/>
  <c r="EV270" i="59"/>
  <c r="EW270" i="59"/>
  <c r="EX270" i="59"/>
  <c r="EY270" i="59"/>
  <c r="EZ270" i="59"/>
  <c r="FA270" i="59"/>
  <c r="FB270" i="59"/>
  <c r="FC270" i="59"/>
  <c r="FD270" i="59"/>
  <c r="FE270" i="59"/>
  <c r="FF270" i="59"/>
  <c r="FG270" i="59"/>
  <c r="FH270" i="59"/>
  <c r="FI270" i="59"/>
  <c r="FJ270" i="59"/>
  <c r="FK270" i="59"/>
  <c r="FL270" i="59"/>
  <c r="FM270" i="59"/>
  <c r="FN270" i="59"/>
  <c r="FO270" i="59"/>
  <c r="FP270" i="59"/>
  <c r="FQ270" i="59"/>
  <c r="FR270" i="59"/>
  <c r="FS270" i="59"/>
  <c r="FT270" i="59"/>
  <c r="FU270" i="59"/>
  <c r="FV270" i="59"/>
  <c r="FW270" i="59"/>
  <c r="FX270" i="59"/>
  <c r="FY270" i="59"/>
  <c r="FZ270" i="59"/>
  <c r="GA270" i="59"/>
  <c r="GB270" i="59"/>
  <c r="GC270" i="59"/>
  <c r="GD270" i="59"/>
  <c r="GE270" i="59"/>
  <c r="GF270" i="59"/>
  <c r="GG270" i="59"/>
  <c r="GH270" i="59"/>
  <c r="GI270" i="59"/>
  <c r="GJ270" i="59"/>
  <c r="GK270" i="59"/>
  <c r="GL270" i="59"/>
  <c r="GM270" i="59"/>
  <c r="GN270" i="59"/>
  <c r="GO270" i="59"/>
  <c r="GP270" i="59"/>
  <c r="GQ270" i="59"/>
  <c r="GR270" i="59"/>
  <c r="GS270" i="59"/>
  <c r="GT270" i="59"/>
  <c r="GU270" i="59"/>
  <c r="GV270" i="59"/>
  <c r="GW270" i="59"/>
  <c r="GX270" i="59"/>
  <c r="GY270" i="59"/>
  <c r="GZ270" i="59"/>
  <c r="HA270" i="59"/>
  <c r="HB270" i="59"/>
  <c r="HC270" i="59"/>
  <c r="HD270" i="59"/>
  <c r="HE270" i="59"/>
  <c r="HF270" i="59"/>
  <c r="HG270" i="59"/>
  <c r="HH270" i="59"/>
  <c r="HI270" i="59"/>
  <c r="HJ270" i="59"/>
  <c r="HK270" i="59"/>
  <c r="HL270" i="59"/>
  <c r="HM270" i="59"/>
  <c r="HN270" i="59"/>
  <c r="HO270" i="59"/>
  <c r="HP270" i="59"/>
  <c r="HQ270" i="59"/>
  <c r="HR270" i="59"/>
  <c r="HS270" i="59"/>
  <c r="HT270" i="59"/>
  <c r="HU270" i="59"/>
  <c r="HV270" i="59"/>
  <c r="HW270" i="59"/>
  <c r="HX270" i="59"/>
  <c r="HY270" i="59"/>
  <c r="HZ270" i="59"/>
  <c r="IA270" i="59"/>
  <c r="IB270" i="59"/>
  <c r="IC270" i="59"/>
  <c r="ID270" i="59"/>
  <c r="IE270" i="59"/>
  <c r="IF270" i="59"/>
  <c r="IG270" i="59"/>
  <c r="IH270" i="59"/>
  <c r="II270" i="59"/>
  <c r="IJ270" i="59"/>
  <c r="IK270" i="59"/>
  <c r="IL270" i="59"/>
  <c r="IM270" i="59"/>
  <c r="IN270" i="59"/>
  <c r="IO270" i="59"/>
  <c r="IP270" i="59"/>
  <c r="IQ270" i="59"/>
  <c r="IR270" i="59"/>
  <c r="IS270" i="59"/>
  <c r="IT270" i="59"/>
  <c r="IU270" i="59"/>
  <c r="IV270" i="59"/>
  <c r="F271" i="59"/>
  <c r="G271" i="59"/>
  <c r="H271" i="59"/>
  <c r="I271" i="59"/>
  <c r="J271" i="59"/>
  <c r="K271" i="59"/>
  <c r="L271" i="59"/>
  <c r="M271" i="59"/>
  <c r="N271" i="59"/>
  <c r="O271" i="59"/>
  <c r="P271" i="59"/>
  <c r="Q271" i="59"/>
  <c r="R271" i="59"/>
  <c r="S271" i="59"/>
  <c r="T271" i="59"/>
  <c r="U271" i="59"/>
  <c r="V271" i="59"/>
  <c r="W271" i="59"/>
  <c r="X271" i="59"/>
  <c r="Y271" i="59"/>
  <c r="Z271" i="59"/>
  <c r="AA271" i="59"/>
  <c r="AB271" i="59"/>
  <c r="AC271" i="59"/>
  <c r="AD271" i="59"/>
  <c r="AE271" i="59"/>
  <c r="AF271" i="59"/>
  <c r="AG271" i="59"/>
  <c r="AH271" i="59"/>
  <c r="AI271" i="59"/>
  <c r="AJ271" i="59"/>
  <c r="AK271" i="59"/>
  <c r="AL271" i="59"/>
  <c r="AM271" i="59"/>
  <c r="AN271" i="59"/>
  <c r="AO271" i="59"/>
  <c r="AP271" i="59"/>
  <c r="AQ271" i="59"/>
  <c r="AR271" i="59"/>
  <c r="AS271" i="59"/>
  <c r="AT271" i="59"/>
  <c r="AU271" i="59"/>
  <c r="AV271" i="59"/>
  <c r="AW271" i="59"/>
  <c r="AX271" i="59"/>
  <c r="AY271" i="59"/>
  <c r="AZ271" i="59"/>
  <c r="BA271" i="59"/>
  <c r="BB271" i="59"/>
  <c r="BC271" i="59"/>
  <c r="BD271" i="59"/>
  <c r="BE271" i="59"/>
  <c r="BF271" i="59"/>
  <c r="BG271" i="59"/>
  <c r="BH271" i="59"/>
  <c r="BI271" i="59"/>
  <c r="BJ271" i="59"/>
  <c r="BK271" i="59"/>
  <c r="BL271" i="59"/>
  <c r="BM271" i="59"/>
  <c r="BN271" i="59"/>
  <c r="BO271" i="59"/>
  <c r="BP271" i="59"/>
  <c r="BQ271" i="59"/>
  <c r="BR271" i="59"/>
  <c r="BS271" i="59"/>
  <c r="BT271" i="59"/>
  <c r="BU271" i="59"/>
  <c r="BV271" i="59"/>
  <c r="BW271" i="59"/>
  <c r="BX271" i="59"/>
  <c r="BY271" i="59"/>
  <c r="BZ271" i="59"/>
  <c r="CA271" i="59"/>
  <c r="CB271" i="59"/>
  <c r="CC271" i="59"/>
  <c r="CD271" i="59"/>
  <c r="CE271" i="59"/>
  <c r="CF271" i="59"/>
  <c r="CG271" i="59"/>
  <c r="CH271" i="59"/>
  <c r="CI271" i="59"/>
  <c r="CJ271" i="59"/>
  <c r="CK271" i="59"/>
  <c r="CL271" i="59"/>
  <c r="CM271" i="59"/>
  <c r="CN271" i="59"/>
  <c r="CO271" i="59"/>
  <c r="CP271" i="59"/>
  <c r="CQ271" i="59"/>
  <c r="CR271" i="59"/>
  <c r="CS271" i="59"/>
  <c r="CT271" i="59"/>
  <c r="CU271" i="59"/>
  <c r="CV271" i="59"/>
  <c r="CW271" i="59"/>
  <c r="CX271" i="59"/>
  <c r="CY271" i="59"/>
  <c r="CZ271" i="59"/>
  <c r="DA271" i="59"/>
  <c r="DB271" i="59"/>
  <c r="DC271" i="59"/>
  <c r="DD271" i="59"/>
  <c r="DE271" i="59"/>
  <c r="DF271" i="59"/>
  <c r="DG271" i="59"/>
  <c r="DH271" i="59"/>
  <c r="DI271" i="59"/>
  <c r="DJ271" i="59"/>
  <c r="DK271" i="59"/>
  <c r="DL271" i="59"/>
  <c r="DM271" i="59"/>
  <c r="DN271" i="59"/>
  <c r="DO271" i="59"/>
  <c r="DP271" i="59"/>
  <c r="DQ271" i="59"/>
  <c r="DR271" i="59"/>
  <c r="DS271" i="59"/>
  <c r="DT271" i="59"/>
  <c r="DU271" i="59"/>
  <c r="DV271" i="59"/>
  <c r="DW271" i="59"/>
  <c r="DX271" i="59"/>
  <c r="DY271" i="59"/>
  <c r="DZ271" i="59"/>
  <c r="EA271" i="59"/>
  <c r="EB271" i="59"/>
  <c r="EC271" i="59"/>
  <c r="ED271" i="59"/>
  <c r="EE271" i="59"/>
  <c r="EF271" i="59"/>
  <c r="EG271" i="59"/>
  <c r="EH271" i="59"/>
  <c r="EI271" i="59"/>
  <c r="EJ271" i="59"/>
  <c r="EK271" i="59"/>
  <c r="EL271" i="59"/>
  <c r="EM271" i="59"/>
  <c r="EN271" i="59"/>
  <c r="EO271" i="59"/>
  <c r="EP271" i="59"/>
  <c r="EQ271" i="59"/>
  <c r="ER271" i="59"/>
  <c r="ES271" i="59"/>
  <c r="ET271" i="59"/>
  <c r="EU271" i="59"/>
  <c r="EV271" i="59"/>
  <c r="EW271" i="59"/>
  <c r="EX271" i="59"/>
  <c r="EY271" i="59"/>
  <c r="EZ271" i="59"/>
  <c r="FA271" i="59"/>
  <c r="FB271" i="59"/>
  <c r="FC271" i="59"/>
  <c r="FD271" i="59"/>
  <c r="FE271" i="59"/>
  <c r="FF271" i="59"/>
  <c r="FG271" i="59"/>
  <c r="FH271" i="59"/>
  <c r="FI271" i="59"/>
  <c r="FJ271" i="59"/>
  <c r="FK271" i="59"/>
  <c r="FL271" i="59"/>
  <c r="FM271" i="59"/>
  <c r="FN271" i="59"/>
  <c r="FO271" i="59"/>
  <c r="FP271" i="59"/>
  <c r="FQ271" i="59"/>
  <c r="FR271" i="59"/>
  <c r="FS271" i="59"/>
  <c r="FT271" i="59"/>
  <c r="FU271" i="59"/>
  <c r="FV271" i="59"/>
  <c r="FW271" i="59"/>
  <c r="FX271" i="59"/>
  <c r="FY271" i="59"/>
  <c r="FZ271" i="59"/>
  <c r="GA271" i="59"/>
  <c r="GB271" i="59"/>
  <c r="GC271" i="59"/>
  <c r="GD271" i="59"/>
  <c r="GE271" i="59"/>
  <c r="GF271" i="59"/>
  <c r="GG271" i="59"/>
  <c r="GH271" i="59"/>
  <c r="GI271" i="59"/>
  <c r="GJ271" i="59"/>
  <c r="GK271" i="59"/>
  <c r="GL271" i="59"/>
  <c r="GM271" i="59"/>
  <c r="GN271" i="59"/>
  <c r="GO271" i="59"/>
  <c r="GP271" i="59"/>
  <c r="GQ271" i="59"/>
  <c r="GR271" i="59"/>
  <c r="GS271" i="59"/>
  <c r="GT271" i="59"/>
  <c r="GU271" i="59"/>
  <c r="GV271" i="59"/>
  <c r="GW271" i="59"/>
  <c r="GX271" i="59"/>
  <c r="GY271" i="59"/>
  <c r="GZ271" i="59"/>
  <c r="HA271" i="59"/>
  <c r="HB271" i="59"/>
  <c r="HC271" i="59"/>
  <c r="HD271" i="59"/>
  <c r="HE271" i="59"/>
  <c r="HF271" i="59"/>
  <c r="HG271" i="59"/>
  <c r="HH271" i="59"/>
  <c r="HI271" i="59"/>
  <c r="HJ271" i="59"/>
  <c r="HK271" i="59"/>
  <c r="HL271" i="59"/>
  <c r="HM271" i="59"/>
  <c r="HN271" i="59"/>
  <c r="HO271" i="59"/>
  <c r="HP271" i="59"/>
  <c r="HQ271" i="59"/>
  <c r="HR271" i="59"/>
  <c r="HS271" i="59"/>
  <c r="HT271" i="59"/>
  <c r="HU271" i="59"/>
  <c r="HV271" i="59"/>
  <c r="HW271" i="59"/>
  <c r="HX271" i="59"/>
  <c r="HY271" i="59"/>
  <c r="HZ271" i="59"/>
  <c r="IA271" i="59"/>
  <c r="IB271" i="59"/>
  <c r="IC271" i="59"/>
  <c r="ID271" i="59"/>
  <c r="IE271" i="59"/>
  <c r="IF271" i="59"/>
  <c r="IG271" i="59"/>
  <c r="IH271" i="59"/>
  <c r="II271" i="59"/>
  <c r="IJ271" i="59"/>
  <c r="IK271" i="59"/>
  <c r="IL271" i="59"/>
  <c r="IM271" i="59"/>
  <c r="IN271" i="59"/>
  <c r="IO271" i="59"/>
  <c r="IP271" i="59"/>
  <c r="IQ271" i="59"/>
  <c r="IR271" i="59"/>
  <c r="IS271" i="59"/>
  <c r="IT271" i="59"/>
  <c r="IU271" i="59"/>
  <c r="IV271" i="59"/>
  <c r="F272" i="59"/>
  <c r="G272" i="59"/>
  <c r="H272" i="59"/>
  <c r="I272" i="59"/>
  <c r="J272" i="59"/>
  <c r="K272" i="59"/>
  <c r="L272" i="59"/>
  <c r="M272" i="59"/>
  <c r="N272" i="59"/>
  <c r="O272" i="59"/>
  <c r="P272" i="59"/>
  <c r="Q272" i="59"/>
  <c r="R272" i="59"/>
  <c r="S272" i="59"/>
  <c r="T272" i="59"/>
  <c r="U272" i="59"/>
  <c r="V272" i="59"/>
  <c r="W272" i="59"/>
  <c r="X272" i="59"/>
  <c r="Y272" i="59"/>
  <c r="Z272" i="59"/>
  <c r="AA272" i="59"/>
  <c r="AB272" i="59"/>
  <c r="AC272" i="59"/>
  <c r="AD272" i="59"/>
  <c r="AE272" i="59"/>
  <c r="AF272" i="59"/>
  <c r="AG272" i="59"/>
  <c r="AH272" i="59"/>
  <c r="AI272" i="59"/>
  <c r="AJ272" i="59"/>
  <c r="AK272" i="59"/>
  <c r="AL272" i="59"/>
  <c r="AM272" i="59"/>
  <c r="AN272" i="59"/>
  <c r="AO272" i="59"/>
  <c r="AP272" i="59"/>
  <c r="AQ272" i="59"/>
  <c r="AR272" i="59"/>
  <c r="AS272" i="59"/>
  <c r="AT272" i="59"/>
  <c r="AU272" i="59"/>
  <c r="AV272" i="59"/>
  <c r="AW272" i="59"/>
  <c r="AX272" i="59"/>
  <c r="AY272" i="59"/>
  <c r="AZ272" i="59"/>
  <c r="BA272" i="59"/>
  <c r="BB272" i="59"/>
  <c r="BC272" i="59"/>
  <c r="BD272" i="59"/>
  <c r="BE272" i="59"/>
  <c r="BF272" i="59"/>
  <c r="BG272" i="59"/>
  <c r="BH272" i="59"/>
  <c r="BI272" i="59"/>
  <c r="BJ272" i="59"/>
  <c r="BK272" i="59"/>
  <c r="BL272" i="59"/>
  <c r="BM272" i="59"/>
  <c r="BN272" i="59"/>
  <c r="BO272" i="59"/>
  <c r="BP272" i="59"/>
  <c r="BQ272" i="59"/>
  <c r="BR272" i="59"/>
  <c r="BS272" i="59"/>
  <c r="BT272" i="59"/>
  <c r="BU272" i="59"/>
  <c r="BV272" i="59"/>
  <c r="BW272" i="59"/>
  <c r="BX272" i="59"/>
  <c r="BY272" i="59"/>
  <c r="BZ272" i="59"/>
  <c r="CA272" i="59"/>
  <c r="CB272" i="59"/>
  <c r="CC272" i="59"/>
  <c r="CD272" i="59"/>
  <c r="CE272" i="59"/>
  <c r="CF272" i="59"/>
  <c r="CG272" i="59"/>
  <c r="CH272" i="59"/>
  <c r="CI272" i="59"/>
  <c r="CJ272" i="59"/>
  <c r="CK272" i="59"/>
  <c r="CL272" i="59"/>
  <c r="CM272" i="59"/>
  <c r="CN272" i="59"/>
  <c r="CO272" i="59"/>
  <c r="CP272" i="59"/>
  <c r="CQ272" i="59"/>
  <c r="CR272" i="59"/>
  <c r="CS272" i="59"/>
  <c r="CT272" i="59"/>
  <c r="CU272" i="59"/>
  <c r="CV272" i="59"/>
  <c r="CW272" i="59"/>
  <c r="CX272" i="59"/>
  <c r="CY272" i="59"/>
  <c r="CZ272" i="59"/>
  <c r="DA272" i="59"/>
  <c r="DB272" i="59"/>
  <c r="DC272" i="59"/>
  <c r="DD272" i="59"/>
  <c r="DE272" i="59"/>
  <c r="DF272" i="59"/>
  <c r="DG272" i="59"/>
  <c r="DH272" i="59"/>
  <c r="DI272" i="59"/>
  <c r="DJ272" i="59"/>
  <c r="DK272" i="59"/>
  <c r="DL272" i="59"/>
  <c r="DM272" i="59"/>
  <c r="DN272" i="59"/>
  <c r="DO272" i="59"/>
  <c r="DP272" i="59"/>
  <c r="DQ272" i="59"/>
  <c r="DR272" i="59"/>
  <c r="DS272" i="59"/>
  <c r="DT272" i="59"/>
  <c r="DU272" i="59"/>
  <c r="DV272" i="59"/>
  <c r="DW272" i="59"/>
  <c r="DX272" i="59"/>
  <c r="DY272" i="59"/>
  <c r="DZ272" i="59"/>
  <c r="EA272" i="59"/>
  <c r="EB272" i="59"/>
  <c r="EC272" i="59"/>
  <c r="ED272" i="59"/>
  <c r="EE272" i="59"/>
  <c r="EF272" i="59"/>
  <c r="EG272" i="59"/>
  <c r="EH272" i="59"/>
  <c r="EI272" i="59"/>
  <c r="EJ272" i="59"/>
  <c r="EK272" i="59"/>
  <c r="EL272" i="59"/>
  <c r="EM272" i="59"/>
  <c r="EN272" i="59"/>
  <c r="EO272" i="59"/>
  <c r="EP272" i="59"/>
  <c r="EQ272" i="59"/>
  <c r="ER272" i="59"/>
  <c r="ES272" i="59"/>
  <c r="ET272" i="59"/>
  <c r="EU272" i="59"/>
  <c r="EV272" i="59"/>
  <c r="EW272" i="59"/>
  <c r="EX272" i="59"/>
  <c r="EY272" i="59"/>
  <c r="EZ272" i="59"/>
  <c r="FA272" i="59"/>
  <c r="FB272" i="59"/>
  <c r="FC272" i="59"/>
  <c r="FD272" i="59"/>
  <c r="FE272" i="59"/>
  <c r="FF272" i="59"/>
  <c r="FG272" i="59"/>
  <c r="FH272" i="59"/>
  <c r="FI272" i="59"/>
  <c r="FJ272" i="59"/>
  <c r="FK272" i="59"/>
  <c r="FL272" i="59"/>
  <c r="FM272" i="59"/>
  <c r="FN272" i="59"/>
  <c r="FO272" i="59"/>
  <c r="FP272" i="59"/>
  <c r="FQ272" i="59"/>
  <c r="FR272" i="59"/>
  <c r="FS272" i="59"/>
  <c r="FT272" i="59"/>
  <c r="FU272" i="59"/>
  <c r="FV272" i="59"/>
  <c r="FW272" i="59"/>
  <c r="FX272" i="59"/>
  <c r="FY272" i="59"/>
  <c r="FZ272" i="59"/>
  <c r="GA272" i="59"/>
  <c r="GB272" i="59"/>
  <c r="GC272" i="59"/>
  <c r="GD272" i="59"/>
  <c r="GE272" i="59"/>
  <c r="GF272" i="59"/>
  <c r="GG272" i="59"/>
  <c r="GH272" i="59"/>
  <c r="GI272" i="59"/>
  <c r="GJ272" i="59"/>
  <c r="GK272" i="59"/>
  <c r="GL272" i="59"/>
  <c r="GM272" i="59"/>
  <c r="GN272" i="59"/>
  <c r="GO272" i="59"/>
  <c r="GP272" i="59"/>
  <c r="GQ272" i="59"/>
  <c r="GR272" i="59"/>
  <c r="GS272" i="59"/>
  <c r="GT272" i="59"/>
  <c r="GU272" i="59"/>
  <c r="GV272" i="59"/>
  <c r="GW272" i="59"/>
  <c r="GX272" i="59"/>
  <c r="GY272" i="59"/>
  <c r="GZ272" i="59"/>
  <c r="HA272" i="59"/>
  <c r="HB272" i="59"/>
  <c r="HC272" i="59"/>
  <c r="HD272" i="59"/>
  <c r="HE272" i="59"/>
  <c r="HF272" i="59"/>
  <c r="HG272" i="59"/>
  <c r="HH272" i="59"/>
  <c r="HI272" i="59"/>
  <c r="HJ272" i="59"/>
  <c r="HK272" i="59"/>
  <c r="HL272" i="59"/>
  <c r="HM272" i="59"/>
  <c r="HN272" i="59"/>
  <c r="HO272" i="59"/>
  <c r="HP272" i="59"/>
  <c r="HQ272" i="59"/>
  <c r="HR272" i="59"/>
  <c r="HS272" i="59"/>
  <c r="HT272" i="59"/>
  <c r="HU272" i="59"/>
  <c r="HV272" i="59"/>
  <c r="HW272" i="59"/>
  <c r="HX272" i="59"/>
  <c r="HY272" i="59"/>
  <c r="HZ272" i="59"/>
  <c r="IA272" i="59"/>
  <c r="IB272" i="59"/>
  <c r="IC272" i="59"/>
  <c r="ID272" i="59"/>
  <c r="IE272" i="59"/>
  <c r="IF272" i="59"/>
  <c r="IG272" i="59"/>
  <c r="IH272" i="59"/>
  <c r="II272" i="59"/>
  <c r="IJ272" i="59"/>
  <c r="IK272" i="59"/>
  <c r="IL272" i="59"/>
  <c r="IM272" i="59"/>
  <c r="IN272" i="59"/>
  <c r="IO272" i="59"/>
  <c r="IP272" i="59"/>
  <c r="IQ272" i="59"/>
  <c r="IR272" i="59"/>
  <c r="IS272" i="59"/>
  <c r="IT272" i="59"/>
  <c r="IU272" i="59"/>
  <c r="IV272" i="59"/>
  <c r="F273" i="59"/>
  <c r="G273" i="59"/>
  <c r="H273" i="59"/>
  <c r="I273" i="59"/>
  <c r="J273" i="59"/>
  <c r="K273" i="59"/>
  <c r="L273" i="59"/>
  <c r="M273" i="59"/>
  <c r="N273" i="59"/>
  <c r="O273" i="59"/>
  <c r="P273" i="59"/>
  <c r="Q273" i="59"/>
  <c r="R273" i="59"/>
  <c r="S273" i="59"/>
  <c r="T273" i="59"/>
  <c r="U273" i="59"/>
  <c r="V273" i="59"/>
  <c r="W273" i="59"/>
  <c r="X273" i="59"/>
  <c r="Y273" i="59"/>
  <c r="Z273" i="59"/>
  <c r="AA273" i="59"/>
  <c r="AB273" i="59"/>
  <c r="AC273" i="59"/>
  <c r="AD273" i="59"/>
  <c r="AE273" i="59"/>
  <c r="AF273" i="59"/>
  <c r="AG273" i="59"/>
  <c r="AH273" i="59"/>
  <c r="AI273" i="59"/>
  <c r="AJ273" i="59"/>
  <c r="AK273" i="59"/>
  <c r="AL273" i="59"/>
  <c r="AM273" i="59"/>
  <c r="AN273" i="59"/>
  <c r="AO273" i="59"/>
  <c r="AP273" i="59"/>
  <c r="AQ273" i="59"/>
  <c r="AR273" i="59"/>
  <c r="AS273" i="59"/>
  <c r="AT273" i="59"/>
  <c r="AU273" i="59"/>
  <c r="AV273" i="59"/>
  <c r="AW273" i="59"/>
  <c r="AX273" i="59"/>
  <c r="AY273" i="59"/>
  <c r="AZ273" i="59"/>
  <c r="BA273" i="59"/>
  <c r="BB273" i="59"/>
  <c r="BC273" i="59"/>
  <c r="BD273" i="59"/>
  <c r="BE273" i="59"/>
  <c r="BF273" i="59"/>
  <c r="BG273" i="59"/>
  <c r="BH273" i="59"/>
  <c r="BI273" i="59"/>
  <c r="BJ273" i="59"/>
  <c r="BK273" i="59"/>
  <c r="BL273" i="59"/>
  <c r="BM273" i="59"/>
  <c r="BN273" i="59"/>
  <c r="BO273" i="59"/>
  <c r="BP273" i="59"/>
  <c r="BQ273" i="59"/>
  <c r="BR273" i="59"/>
  <c r="BS273" i="59"/>
  <c r="BT273" i="59"/>
  <c r="BU273" i="59"/>
  <c r="BV273" i="59"/>
  <c r="BW273" i="59"/>
  <c r="BX273" i="59"/>
  <c r="BY273" i="59"/>
  <c r="BZ273" i="59"/>
  <c r="CA273" i="59"/>
  <c r="CB273" i="59"/>
  <c r="CC273" i="59"/>
  <c r="CD273" i="59"/>
  <c r="CE273" i="59"/>
  <c r="CF273" i="59"/>
  <c r="CG273" i="59"/>
  <c r="CH273" i="59"/>
  <c r="CI273" i="59"/>
  <c r="CJ273" i="59"/>
  <c r="CK273" i="59"/>
  <c r="CL273" i="59"/>
  <c r="CM273" i="59"/>
  <c r="CN273" i="59"/>
  <c r="CO273" i="59"/>
  <c r="CP273" i="59"/>
  <c r="CQ273" i="59"/>
  <c r="CR273" i="59"/>
  <c r="CS273" i="59"/>
  <c r="CT273" i="59"/>
  <c r="CU273" i="59"/>
  <c r="CV273" i="59"/>
  <c r="CW273" i="59"/>
  <c r="CX273" i="59"/>
  <c r="CY273" i="59"/>
  <c r="CZ273" i="59"/>
  <c r="DA273" i="59"/>
  <c r="DB273" i="59"/>
  <c r="DC273" i="59"/>
  <c r="DD273" i="59"/>
  <c r="DE273" i="59"/>
  <c r="DF273" i="59"/>
  <c r="DG273" i="59"/>
  <c r="DH273" i="59"/>
  <c r="DI273" i="59"/>
  <c r="DJ273" i="59"/>
  <c r="DK273" i="59"/>
  <c r="DL273" i="59"/>
  <c r="DM273" i="59"/>
  <c r="DN273" i="59"/>
  <c r="DO273" i="59"/>
  <c r="DP273" i="59"/>
  <c r="DQ273" i="59"/>
  <c r="DR273" i="59"/>
  <c r="DS273" i="59"/>
  <c r="DT273" i="59"/>
  <c r="DU273" i="59"/>
  <c r="DV273" i="59"/>
  <c r="DW273" i="59"/>
  <c r="DX273" i="59"/>
  <c r="DY273" i="59"/>
  <c r="DZ273" i="59"/>
  <c r="EA273" i="59"/>
  <c r="EB273" i="59"/>
  <c r="EC273" i="59"/>
  <c r="ED273" i="59"/>
  <c r="EE273" i="59"/>
  <c r="EF273" i="59"/>
  <c r="EG273" i="59"/>
  <c r="EH273" i="59"/>
  <c r="EI273" i="59"/>
  <c r="EJ273" i="59"/>
  <c r="EK273" i="59"/>
  <c r="EL273" i="59"/>
  <c r="EM273" i="59"/>
  <c r="EN273" i="59"/>
  <c r="EO273" i="59"/>
  <c r="EP273" i="59"/>
  <c r="EQ273" i="59"/>
  <c r="ER273" i="59"/>
  <c r="ES273" i="59"/>
  <c r="ET273" i="59"/>
  <c r="EU273" i="59"/>
  <c r="EV273" i="59"/>
  <c r="EW273" i="59"/>
  <c r="EX273" i="59"/>
  <c r="EY273" i="59"/>
  <c r="EZ273" i="59"/>
  <c r="FA273" i="59"/>
  <c r="FB273" i="59"/>
  <c r="FC273" i="59"/>
  <c r="FD273" i="59"/>
  <c r="FE273" i="59"/>
  <c r="FF273" i="59"/>
  <c r="FG273" i="59"/>
  <c r="FH273" i="59"/>
  <c r="FI273" i="59"/>
  <c r="FJ273" i="59"/>
  <c r="FK273" i="59"/>
  <c r="FL273" i="59"/>
  <c r="FM273" i="59"/>
  <c r="FN273" i="59"/>
  <c r="FO273" i="59"/>
  <c r="FP273" i="59"/>
  <c r="FQ273" i="59"/>
  <c r="FR273" i="59"/>
  <c r="FS273" i="59"/>
  <c r="FT273" i="59"/>
  <c r="FU273" i="59"/>
  <c r="FV273" i="59"/>
  <c r="FW273" i="59"/>
  <c r="FX273" i="59"/>
  <c r="FY273" i="59"/>
  <c r="FZ273" i="59"/>
  <c r="GA273" i="59"/>
  <c r="GB273" i="59"/>
  <c r="GC273" i="59"/>
  <c r="GD273" i="59"/>
  <c r="GE273" i="59"/>
  <c r="GF273" i="59"/>
  <c r="GG273" i="59"/>
  <c r="GH273" i="59"/>
  <c r="GI273" i="59"/>
  <c r="GJ273" i="59"/>
  <c r="GK273" i="59"/>
  <c r="GL273" i="59"/>
  <c r="GM273" i="59"/>
  <c r="GN273" i="59"/>
  <c r="GO273" i="59"/>
  <c r="GP273" i="59"/>
  <c r="GQ273" i="59"/>
  <c r="GR273" i="59"/>
  <c r="GS273" i="59"/>
  <c r="GT273" i="59"/>
  <c r="GU273" i="59"/>
  <c r="GV273" i="59"/>
  <c r="GW273" i="59"/>
  <c r="GX273" i="59"/>
  <c r="GY273" i="59"/>
  <c r="GZ273" i="59"/>
  <c r="HA273" i="59"/>
  <c r="HB273" i="59"/>
  <c r="HC273" i="59"/>
  <c r="HD273" i="59"/>
  <c r="HE273" i="59"/>
  <c r="HF273" i="59"/>
  <c r="HG273" i="59"/>
  <c r="HH273" i="59"/>
  <c r="HI273" i="59"/>
  <c r="HJ273" i="59"/>
  <c r="HK273" i="59"/>
  <c r="HL273" i="59"/>
  <c r="HM273" i="59"/>
  <c r="HN273" i="59"/>
  <c r="HO273" i="59"/>
  <c r="HP273" i="59"/>
  <c r="HQ273" i="59"/>
  <c r="HR273" i="59"/>
  <c r="HS273" i="59"/>
  <c r="HT273" i="59"/>
  <c r="HU273" i="59"/>
  <c r="HV273" i="59"/>
  <c r="HW273" i="59"/>
  <c r="HX273" i="59"/>
  <c r="HY273" i="59"/>
  <c r="HZ273" i="59"/>
  <c r="IA273" i="59"/>
  <c r="IB273" i="59"/>
  <c r="IC273" i="59"/>
  <c r="ID273" i="59"/>
  <c r="IE273" i="59"/>
  <c r="IF273" i="59"/>
  <c r="IG273" i="59"/>
  <c r="IH273" i="59"/>
  <c r="II273" i="59"/>
  <c r="IJ273" i="59"/>
  <c r="IK273" i="59"/>
  <c r="IL273" i="59"/>
  <c r="IM273" i="59"/>
  <c r="IN273" i="59"/>
  <c r="IO273" i="59"/>
  <c r="IP273" i="59"/>
  <c r="IQ273" i="59"/>
  <c r="IR273" i="59"/>
  <c r="IS273" i="59"/>
  <c r="IT273" i="59"/>
  <c r="IU273" i="59"/>
  <c r="IV273" i="59"/>
  <c r="F274" i="59"/>
  <c r="G274" i="59"/>
  <c r="H274" i="59"/>
  <c r="I274" i="59"/>
  <c r="J274" i="59"/>
  <c r="K274" i="59"/>
  <c r="L274" i="59"/>
  <c r="M274" i="59"/>
  <c r="N274" i="59"/>
  <c r="O274" i="59"/>
  <c r="P274" i="59"/>
  <c r="Q274" i="59"/>
  <c r="R274" i="59"/>
  <c r="S274" i="59"/>
  <c r="T274" i="59"/>
  <c r="U274" i="59"/>
  <c r="V274" i="59"/>
  <c r="W274" i="59"/>
  <c r="X274" i="59"/>
  <c r="Y274" i="59"/>
  <c r="Z274" i="59"/>
  <c r="AA274" i="59"/>
  <c r="AB274" i="59"/>
  <c r="AC274" i="59"/>
  <c r="AD274" i="59"/>
  <c r="AE274" i="59"/>
  <c r="AF274" i="59"/>
  <c r="AG274" i="59"/>
  <c r="AH274" i="59"/>
  <c r="AI274" i="59"/>
  <c r="AJ274" i="59"/>
  <c r="AK274" i="59"/>
  <c r="AL274" i="59"/>
  <c r="AM274" i="59"/>
  <c r="AN274" i="59"/>
  <c r="AO274" i="59"/>
  <c r="AP274" i="59"/>
  <c r="AQ274" i="59"/>
  <c r="AR274" i="59"/>
  <c r="AS274" i="59"/>
  <c r="AT274" i="59"/>
  <c r="AU274" i="59"/>
  <c r="AV274" i="59"/>
  <c r="AW274" i="59"/>
  <c r="AX274" i="59"/>
  <c r="AY274" i="59"/>
  <c r="AZ274" i="59"/>
  <c r="BA274" i="59"/>
  <c r="BB274" i="59"/>
  <c r="BC274" i="59"/>
  <c r="BD274" i="59"/>
  <c r="BE274" i="59"/>
  <c r="BF274" i="59"/>
  <c r="BG274" i="59"/>
  <c r="BH274" i="59"/>
  <c r="BI274" i="59"/>
  <c r="BJ274" i="59"/>
  <c r="BK274" i="59"/>
  <c r="BL274" i="59"/>
  <c r="BM274" i="59"/>
  <c r="BN274" i="59"/>
  <c r="BO274" i="59"/>
  <c r="BP274" i="59"/>
  <c r="BQ274" i="59"/>
  <c r="BR274" i="59"/>
  <c r="BS274" i="59"/>
  <c r="BT274" i="59"/>
  <c r="BU274" i="59"/>
  <c r="BV274" i="59"/>
  <c r="BW274" i="59"/>
  <c r="BX274" i="59"/>
  <c r="BY274" i="59"/>
  <c r="BZ274" i="59"/>
  <c r="CA274" i="59"/>
  <c r="CB274" i="59"/>
  <c r="CC274" i="59"/>
  <c r="CD274" i="59"/>
  <c r="CE274" i="59"/>
  <c r="CF274" i="59"/>
  <c r="CG274" i="59"/>
  <c r="CH274" i="59"/>
  <c r="CI274" i="59"/>
  <c r="CJ274" i="59"/>
  <c r="CK274" i="59"/>
  <c r="CL274" i="59"/>
  <c r="CM274" i="59"/>
  <c r="CN274" i="59"/>
  <c r="CO274" i="59"/>
  <c r="CP274" i="59"/>
  <c r="CQ274" i="59"/>
  <c r="CR274" i="59"/>
  <c r="CS274" i="59"/>
  <c r="CT274" i="59"/>
  <c r="CU274" i="59"/>
  <c r="CV274" i="59"/>
  <c r="CW274" i="59"/>
  <c r="CX274" i="59"/>
  <c r="CY274" i="59"/>
  <c r="CZ274" i="59"/>
  <c r="DA274" i="59"/>
  <c r="DB274" i="59"/>
  <c r="DC274" i="59"/>
  <c r="DD274" i="59"/>
  <c r="DE274" i="59"/>
  <c r="DF274" i="59"/>
  <c r="DG274" i="59"/>
  <c r="DH274" i="59"/>
  <c r="DI274" i="59"/>
  <c r="DJ274" i="59"/>
  <c r="DK274" i="59"/>
  <c r="DL274" i="59"/>
  <c r="DM274" i="59"/>
  <c r="DN274" i="59"/>
  <c r="DO274" i="59"/>
  <c r="DP274" i="59"/>
  <c r="DQ274" i="59"/>
  <c r="DR274" i="59"/>
  <c r="DS274" i="59"/>
  <c r="DT274" i="59"/>
  <c r="DU274" i="59"/>
  <c r="DV274" i="59"/>
  <c r="DW274" i="59"/>
  <c r="DX274" i="59"/>
  <c r="DY274" i="59"/>
  <c r="DZ274" i="59"/>
  <c r="EA274" i="59"/>
  <c r="EB274" i="59"/>
  <c r="EC274" i="59"/>
  <c r="ED274" i="59"/>
  <c r="EE274" i="59"/>
  <c r="EF274" i="59"/>
  <c r="EG274" i="59"/>
  <c r="EH274" i="59"/>
  <c r="EI274" i="59"/>
  <c r="EJ274" i="59"/>
  <c r="EK274" i="59"/>
  <c r="EL274" i="59"/>
  <c r="EM274" i="59"/>
  <c r="EN274" i="59"/>
  <c r="EO274" i="59"/>
  <c r="EP274" i="59"/>
  <c r="EQ274" i="59"/>
  <c r="ER274" i="59"/>
  <c r="ES274" i="59"/>
  <c r="ET274" i="59"/>
  <c r="EU274" i="59"/>
  <c r="EV274" i="59"/>
  <c r="EW274" i="59"/>
  <c r="EX274" i="59"/>
  <c r="EY274" i="59"/>
  <c r="EZ274" i="59"/>
  <c r="FA274" i="59"/>
  <c r="FB274" i="59"/>
  <c r="FC274" i="59"/>
  <c r="FD274" i="59"/>
  <c r="FE274" i="59"/>
  <c r="FF274" i="59"/>
  <c r="FG274" i="59"/>
  <c r="FH274" i="59"/>
  <c r="FI274" i="59"/>
  <c r="FJ274" i="59"/>
  <c r="FK274" i="59"/>
  <c r="FL274" i="59"/>
  <c r="FM274" i="59"/>
  <c r="FN274" i="59"/>
  <c r="FO274" i="59"/>
  <c r="FP274" i="59"/>
  <c r="FQ274" i="59"/>
  <c r="FR274" i="59"/>
  <c r="FS274" i="59"/>
  <c r="FT274" i="59"/>
  <c r="FU274" i="59"/>
  <c r="FV274" i="59"/>
  <c r="FW274" i="59"/>
  <c r="FX274" i="59"/>
  <c r="FY274" i="59"/>
  <c r="FZ274" i="59"/>
  <c r="GA274" i="59"/>
  <c r="GB274" i="59"/>
  <c r="GC274" i="59"/>
  <c r="GD274" i="59"/>
  <c r="GE274" i="59"/>
  <c r="GF274" i="59"/>
  <c r="GG274" i="59"/>
  <c r="GH274" i="59"/>
  <c r="GI274" i="59"/>
  <c r="GJ274" i="59"/>
  <c r="GK274" i="59"/>
  <c r="GL274" i="59"/>
  <c r="GM274" i="59"/>
  <c r="GN274" i="59"/>
  <c r="GO274" i="59"/>
  <c r="GP274" i="59"/>
  <c r="GQ274" i="59"/>
  <c r="GR274" i="59"/>
  <c r="GS274" i="59"/>
  <c r="GT274" i="59"/>
  <c r="GU274" i="59"/>
  <c r="GV274" i="59"/>
  <c r="GW274" i="59"/>
  <c r="GX274" i="59"/>
  <c r="GY274" i="59"/>
  <c r="GZ274" i="59"/>
  <c r="HA274" i="59"/>
  <c r="HB274" i="59"/>
  <c r="HC274" i="59"/>
  <c r="HD274" i="59"/>
  <c r="HE274" i="59"/>
  <c r="HF274" i="59"/>
  <c r="HG274" i="59"/>
  <c r="HH274" i="59"/>
  <c r="HI274" i="59"/>
  <c r="HJ274" i="59"/>
  <c r="HK274" i="59"/>
  <c r="HL274" i="59"/>
  <c r="HM274" i="59"/>
  <c r="HN274" i="59"/>
  <c r="HO274" i="59"/>
  <c r="HP274" i="59"/>
  <c r="HQ274" i="59"/>
  <c r="HR274" i="59"/>
  <c r="HS274" i="59"/>
  <c r="HT274" i="59"/>
  <c r="HU274" i="59"/>
  <c r="HV274" i="59"/>
  <c r="HW274" i="59"/>
  <c r="HX274" i="59"/>
  <c r="HY274" i="59"/>
  <c r="HZ274" i="59"/>
  <c r="IA274" i="59"/>
  <c r="IB274" i="59"/>
  <c r="IC274" i="59"/>
  <c r="ID274" i="59"/>
  <c r="IE274" i="59"/>
  <c r="IF274" i="59"/>
  <c r="IG274" i="59"/>
  <c r="IH274" i="59"/>
  <c r="II274" i="59"/>
  <c r="IJ274" i="59"/>
  <c r="IK274" i="59"/>
  <c r="IL274" i="59"/>
  <c r="IM274" i="59"/>
  <c r="IN274" i="59"/>
  <c r="IO274" i="59"/>
  <c r="IP274" i="59"/>
  <c r="IQ274" i="59"/>
  <c r="IR274" i="59"/>
  <c r="IS274" i="59"/>
  <c r="IT274" i="59"/>
  <c r="IU274" i="59"/>
  <c r="IV274" i="59"/>
  <c r="F275" i="59"/>
  <c r="G275" i="59"/>
  <c r="H275" i="59"/>
  <c r="I275" i="59"/>
  <c r="J275" i="59"/>
  <c r="K275" i="59"/>
  <c r="L275" i="59"/>
  <c r="M275" i="59"/>
  <c r="N275" i="59"/>
  <c r="O275" i="59"/>
  <c r="P275" i="59"/>
  <c r="Q275" i="59"/>
  <c r="R275" i="59"/>
  <c r="S275" i="59"/>
  <c r="T275" i="59"/>
  <c r="U275" i="59"/>
  <c r="V275" i="59"/>
  <c r="W275" i="59"/>
  <c r="X275" i="59"/>
  <c r="Y275" i="59"/>
  <c r="Z275" i="59"/>
  <c r="AA275" i="59"/>
  <c r="AB275" i="59"/>
  <c r="AC275" i="59"/>
  <c r="AD275" i="59"/>
  <c r="AE275" i="59"/>
  <c r="AF275" i="59"/>
  <c r="AG275" i="59"/>
  <c r="AH275" i="59"/>
  <c r="AI275" i="59"/>
  <c r="AJ275" i="59"/>
  <c r="AK275" i="59"/>
  <c r="AL275" i="59"/>
  <c r="AM275" i="59"/>
  <c r="AN275" i="59"/>
  <c r="AO275" i="59"/>
  <c r="AP275" i="59"/>
  <c r="AQ275" i="59"/>
  <c r="AR275" i="59"/>
  <c r="AS275" i="59"/>
  <c r="AT275" i="59"/>
  <c r="AU275" i="59"/>
  <c r="AV275" i="59"/>
  <c r="AW275" i="59"/>
  <c r="AX275" i="59"/>
  <c r="AY275" i="59"/>
  <c r="AZ275" i="59"/>
  <c r="BA275" i="59"/>
  <c r="BB275" i="59"/>
  <c r="BC275" i="59"/>
  <c r="BD275" i="59"/>
  <c r="BE275" i="59"/>
  <c r="BF275" i="59"/>
  <c r="BG275" i="59"/>
  <c r="BH275" i="59"/>
  <c r="BI275" i="59"/>
  <c r="BJ275" i="59"/>
  <c r="BK275" i="59"/>
  <c r="BL275" i="59"/>
  <c r="BM275" i="59"/>
  <c r="BN275" i="59"/>
  <c r="BO275" i="59"/>
  <c r="BP275" i="59"/>
  <c r="BQ275" i="59"/>
  <c r="BR275" i="59"/>
  <c r="BS275" i="59"/>
  <c r="BT275" i="59"/>
  <c r="BU275" i="59"/>
  <c r="BV275" i="59"/>
  <c r="BW275" i="59"/>
  <c r="BX275" i="59"/>
  <c r="BY275" i="59"/>
  <c r="BZ275" i="59"/>
  <c r="CA275" i="59"/>
  <c r="CB275" i="59"/>
  <c r="CC275" i="59"/>
  <c r="CD275" i="59"/>
  <c r="CE275" i="59"/>
  <c r="CF275" i="59"/>
  <c r="CG275" i="59"/>
  <c r="CH275" i="59"/>
  <c r="CI275" i="59"/>
  <c r="CJ275" i="59"/>
  <c r="CK275" i="59"/>
  <c r="CL275" i="59"/>
  <c r="CM275" i="59"/>
  <c r="CN275" i="59"/>
  <c r="CO275" i="59"/>
  <c r="CP275" i="59"/>
  <c r="CQ275" i="59"/>
  <c r="CR275" i="59"/>
  <c r="CS275" i="59"/>
  <c r="CT275" i="59"/>
  <c r="CU275" i="59"/>
  <c r="CV275" i="59"/>
  <c r="CW275" i="59"/>
  <c r="CX275" i="59"/>
  <c r="CY275" i="59"/>
  <c r="CZ275" i="59"/>
  <c r="DA275" i="59"/>
  <c r="DB275" i="59"/>
  <c r="DC275" i="59"/>
  <c r="DD275" i="59"/>
  <c r="DE275" i="59"/>
  <c r="DF275" i="59"/>
  <c r="DG275" i="59"/>
  <c r="DH275" i="59"/>
  <c r="DI275" i="59"/>
  <c r="DJ275" i="59"/>
  <c r="DK275" i="59"/>
  <c r="DL275" i="59"/>
  <c r="DM275" i="59"/>
  <c r="DN275" i="59"/>
  <c r="DO275" i="59"/>
  <c r="DP275" i="59"/>
  <c r="DQ275" i="59"/>
  <c r="DR275" i="59"/>
  <c r="DS275" i="59"/>
  <c r="DT275" i="59"/>
  <c r="DU275" i="59"/>
  <c r="DV275" i="59"/>
  <c r="DW275" i="59"/>
  <c r="DX275" i="59"/>
  <c r="DY275" i="59"/>
  <c r="DZ275" i="59"/>
  <c r="EA275" i="59"/>
  <c r="EB275" i="59"/>
  <c r="EC275" i="59"/>
  <c r="ED275" i="59"/>
  <c r="EE275" i="59"/>
  <c r="EF275" i="59"/>
  <c r="EG275" i="59"/>
  <c r="EH275" i="59"/>
  <c r="EI275" i="59"/>
  <c r="EJ275" i="59"/>
  <c r="EK275" i="59"/>
  <c r="EL275" i="59"/>
  <c r="EM275" i="59"/>
  <c r="EN275" i="59"/>
  <c r="EO275" i="59"/>
  <c r="EP275" i="59"/>
  <c r="EQ275" i="59"/>
  <c r="ER275" i="59"/>
  <c r="ES275" i="59"/>
  <c r="ET275" i="59"/>
  <c r="EU275" i="59"/>
  <c r="EV275" i="59"/>
  <c r="EW275" i="59"/>
  <c r="EX275" i="59"/>
  <c r="EY275" i="59"/>
  <c r="EZ275" i="59"/>
  <c r="FA275" i="59"/>
  <c r="FB275" i="59"/>
  <c r="FC275" i="59"/>
  <c r="FD275" i="59"/>
  <c r="FE275" i="59"/>
  <c r="FF275" i="59"/>
  <c r="FG275" i="59"/>
  <c r="FH275" i="59"/>
  <c r="FI275" i="59"/>
  <c r="FJ275" i="59"/>
  <c r="FK275" i="59"/>
  <c r="FL275" i="59"/>
  <c r="FM275" i="59"/>
  <c r="FN275" i="59"/>
  <c r="FO275" i="59"/>
  <c r="FP275" i="59"/>
  <c r="FQ275" i="59"/>
  <c r="FR275" i="59"/>
  <c r="FS275" i="59"/>
  <c r="FT275" i="59"/>
  <c r="FU275" i="59"/>
  <c r="FV275" i="59"/>
  <c r="FW275" i="59"/>
  <c r="FX275" i="59"/>
  <c r="FY275" i="59"/>
  <c r="FZ275" i="59"/>
  <c r="GA275" i="59"/>
  <c r="GB275" i="59"/>
  <c r="GC275" i="59"/>
  <c r="GD275" i="59"/>
  <c r="GE275" i="59"/>
  <c r="GF275" i="59"/>
  <c r="GG275" i="59"/>
  <c r="GH275" i="59"/>
  <c r="GI275" i="59"/>
  <c r="GJ275" i="59"/>
  <c r="GK275" i="59"/>
  <c r="GL275" i="59"/>
  <c r="GM275" i="59"/>
  <c r="GN275" i="59"/>
  <c r="GO275" i="59"/>
  <c r="GP275" i="59"/>
  <c r="GQ275" i="59"/>
  <c r="GR275" i="59"/>
  <c r="GS275" i="59"/>
  <c r="GT275" i="59"/>
  <c r="GU275" i="59"/>
  <c r="GV275" i="59"/>
  <c r="GW275" i="59"/>
  <c r="GX275" i="59"/>
  <c r="GY275" i="59"/>
  <c r="GZ275" i="59"/>
  <c r="HA275" i="59"/>
  <c r="HB275" i="59"/>
  <c r="HC275" i="59"/>
  <c r="HD275" i="59"/>
  <c r="HE275" i="59"/>
  <c r="HF275" i="59"/>
  <c r="HG275" i="59"/>
  <c r="HH275" i="59"/>
  <c r="HI275" i="59"/>
  <c r="HJ275" i="59"/>
  <c r="HK275" i="59"/>
  <c r="HL275" i="59"/>
  <c r="HM275" i="59"/>
  <c r="HN275" i="59"/>
  <c r="HO275" i="59"/>
  <c r="HP275" i="59"/>
  <c r="HQ275" i="59"/>
  <c r="HR275" i="59"/>
  <c r="HS275" i="59"/>
  <c r="HT275" i="59"/>
  <c r="HU275" i="59"/>
  <c r="HV275" i="59"/>
  <c r="HW275" i="59"/>
  <c r="HX275" i="59"/>
  <c r="HY275" i="59"/>
  <c r="HZ275" i="59"/>
  <c r="IA275" i="59"/>
  <c r="IB275" i="59"/>
  <c r="IC275" i="59"/>
  <c r="ID275" i="59"/>
  <c r="IE275" i="59"/>
  <c r="IF275" i="59"/>
  <c r="IG275" i="59"/>
  <c r="IH275" i="59"/>
  <c r="II275" i="59"/>
  <c r="IJ275" i="59"/>
  <c r="IK275" i="59"/>
  <c r="IL275" i="59"/>
  <c r="IM275" i="59"/>
  <c r="IN275" i="59"/>
  <c r="IO275" i="59"/>
  <c r="IP275" i="59"/>
  <c r="IQ275" i="59"/>
  <c r="IR275" i="59"/>
  <c r="IS275" i="59"/>
  <c r="IT275" i="59"/>
  <c r="IU275" i="59"/>
  <c r="IV275" i="59"/>
  <c r="F276" i="59"/>
  <c r="G276" i="59"/>
  <c r="H276" i="59"/>
  <c r="I276" i="59"/>
  <c r="J276" i="59"/>
  <c r="K276" i="59"/>
  <c r="L276" i="59"/>
  <c r="M276" i="59"/>
  <c r="N276" i="59"/>
  <c r="O276" i="59"/>
  <c r="P276" i="59"/>
  <c r="Q276" i="59"/>
  <c r="R276" i="59"/>
  <c r="S276" i="59"/>
  <c r="T276" i="59"/>
  <c r="U276" i="59"/>
  <c r="V276" i="59"/>
  <c r="W276" i="59"/>
  <c r="X276" i="59"/>
  <c r="Y276" i="59"/>
  <c r="Z276" i="59"/>
  <c r="AA276" i="59"/>
  <c r="AB276" i="59"/>
  <c r="AC276" i="59"/>
  <c r="AD276" i="59"/>
  <c r="AE276" i="59"/>
  <c r="AF276" i="59"/>
  <c r="AG276" i="59"/>
  <c r="AH276" i="59"/>
  <c r="AI276" i="59"/>
  <c r="AJ276" i="59"/>
  <c r="AK276" i="59"/>
  <c r="AL276" i="59"/>
  <c r="AM276" i="59"/>
  <c r="AN276" i="59"/>
  <c r="AO276" i="59"/>
  <c r="AP276" i="59"/>
  <c r="AQ276" i="59"/>
  <c r="AR276" i="59"/>
  <c r="AS276" i="59"/>
  <c r="AT276" i="59"/>
  <c r="AU276" i="59"/>
  <c r="AV276" i="59"/>
  <c r="AW276" i="59"/>
  <c r="AX276" i="59"/>
  <c r="AY276" i="59"/>
  <c r="AZ276" i="59"/>
  <c r="BA276" i="59"/>
  <c r="BB276" i="59"/>
  <c r="BC276" i="59"/>
  <c r="BD276" i="59"/>
  <c r="BE276" i="59"/>
  <c r="BF276" i="59"/>
  <c r="BG276" i="59"/>
  <c r="BH276" i="59"/>
  <c r="BI276" i="59"/>
  <c r="BJ276" i="59"/>
  <c r="BK276" i="59"/>
  <c r="BL276" i="59"/>
  <c r="BM276" i="59"/>
  <c r="BN276" i="59"/>
  <c r="BO276" i="59"/>
  <c r="BP276" i="59"/>
  <c r="BQ276" i="59"/>
  <c r="BR276" i="59"/>
  <c r="BS276" i="59"/>
  <c r="BT276" i="59"/>
  <c r="BU276" i="59"/>
  <c r="BV276" i="59"/>
  <c r="BW276" i="59"/>
  <c r="BX276" i="59"/>
  <c r="BY276" i="59"/>
  <c r="BZ276" i="59"/>
  <c r="CA276" i="59"/>
  <c r="CB276" i="59"/>
  <c r="CC276" i="59"/>
  <c r="CD276" i="59"/>
  <c r="CE276" i="59"/>
  <c r="CF276" i="59"/>
  <c r="CG276" i="59"/>
  <c r="CH276" i="59"/>
  <c r="CI276" i="59"/>
  <c r="CJ276" i="59"/>
  <c r="CK276" i="59"/>
  <c r="CL276" i="59"/>
  <c r="CM276" i="59"/>
  <c r="CN276" i="59"/>
  <c r="CO276" i="59"/>
  <c r="CP276" i="59"/>
  <c r="CQ276" i="59"/>
  <c r="CR276" i="59"/>
  <c r="CS276" i="59"/>
  <c r="CT276" i="59"/>
  <c r="CU276" i="59"/>
  <c r="CV276" i="59"/>
  <c r="CW276" i="59"/>
  <c r="CX276" i="59"/>
  <c r="CY276" i="59"/>
  <c r="CZ276" i="59"/>
  <c r="DA276" i="59"/>
  <c r="DB276" i="59"/>
  <c r="DC276" i="59"/>
  <c r="DD276" i="59"/>
  <c r="DE276" i="59"/>
  <c r="DF276" i="59"/>
  <c r="DG276" i="59"/>
  <c r="DH276" i="59"/>
  <c r="DI276" i="59"/>
  <c r="DJ276" i="59"/>
  <c r="DK276" i="59"/>
  <c r="DL276" i="59"/>
  <c r="DM276" i="59"/>
  <c r="DN276" i="59"/>
  <c r="DO276" i="59"/>
  <c r="DP276" i="59"/>
  <c r="DQ276" i="59"/>
  <c r="DR276" i="59"/>
  <c r="DS276" i="59"/>
  <c r="DT276" i="59"/>
  <c r="DU276" i="59"/>
  <c r="DV276" i="59"/>
  <c r="DW276" i="59"/>
  <c r="DX276" i="59"/>
  <c r="DY276" i="59"/>
  <c r="DZ276" i="59"/>
  <c r="EA276" i="59"/>
  <c r="EB276" i="59"/>
  <c r="EC276" i="59"/>
  <c r="ED276" i="59"/>
  <c r="EE276" i="59"/>
  <c r="EF276" i="59"/>
  <c r="EG276" i="59"/>
  <c r="EH276" i="59"/>
  <c r="EI276" i="59"/>
  <c r="EJ276" i="59"/>
  <c r="EK276" i="59"/>
  <c r="EL276" i="59"/>
  <c r="EM276" i="59"/>
  <c r="EN276" i="59"/>
  <c r="EO276" i="59"/>
  <c r="EP276" i="59"/>
  <c r="EQ276" i="59"/>
  <c r="ER276" i="59"/>
  <c r="ES276" i="59"/>
  <c r="ET276" i="59"/>
  <c r="EU276" i="59"/>
  <c r="EV276" i="59"/>
  <c r="EW276" i="59"/>
  <c r="EX276" i="59"/>
  <c r="EY276" i="59"/>
  <c r="EZ276" i="59"/>
  <c r="FA276" i="59"/>
  <c r="FB276" i="59"/>
  <c r="FC276" i="59"/>
  <c r="FD276" i="59"/>
  <c r="FE276" i="59"/>
  <c r="FF276" i="59"/>
  <c r="FG276" i="59"/>
  <c r="FH276" i="59"/>
  <c r="FI276" i="59"/>
  <c r="FJ276" i="59"/>
  <c r="FK276" i="59"/>
  <c r="FL276" i="59"/>
  <c r="FM276" i="59"/>
  <c r="FN276" i="59"/>
  <c r="FO276" i="59"/>
  <c r="FP276" i="59"/>
  <c r="FQ276" i="59"/>
  <c r="FR276" i="59"/>
  <c r="FS276" i="59"/>
  <c r="FT276" i="59"/>
  <c r="FU276" i="59"/>
  <c r="FV276" i="59"/>
  <c r="FW276" i="59"/>
  <c r="FX276" i="59"/>
  <c r="FY276" i="59"/>
  <c r="FZ276" i="59"/>
  <c r="GA276" i="59"/>
  <c r="GB276" i="59"/>
  <c r="GC276" i="59"/>
  <c r="GD276" i="59"/>
  <c r="GE276" i="59"/>
  <c r="GF276" i="59"/>
  <c r="GG276" i="59"/>
  <c r="GH276" i="59"/>
  <c r="GI276" i="59"/>
  <c r="GJ276" i="59"/>
  <c r="GK276" i="59"/>
  <c r="GL276" i="59"/>
  <c r="GM276" i="59"/>
  <c r="GN276" i="59"/>
  <c r="GO276" i="59"/>
  <c r="GP276" i="59"/>
  <c r="GQ276" i="59"/>
  <c r="GR276" i="59"/>
  <c r="GS276" i="59"/>
  <c r="GT276" i="59"/>
  <c r="GU276" i="59"/>
  <c r="GV276" i="59"/>
  <c r="GW276" i="59"/>
  <c r="GX276" i="59"/>
  <c r="GY276" i="59"/>
  <c r="GZ276" i="59"/>
  <c r="HA276" i="59"/>
  <c r="HB276" i="59"/>
  <c r="HC276" i="59"/>
  <c r="HD276" i="59"/>
  <c r="HE276" i="59"/>
  <c r="HF276" i="59"/>
  <c r="HG276" i="59"/>
  <c r="HH276" i="59"/>
  <c r="HI276" i="59"/>
  <c r="HJ276" i="59"/>
  <c r="HK276" i="59"/>
  <c r="HL276" i="59"/>
  <c r="HM276" i="59"/>
  <c r="HN276" i="59"/>
  <c r="HO276" i="59"/>
  <c r="HP276" i="59"/>
  <c r="HQ276" i="59"/>
  <c r="HR276" i="59"/>
  <c r="HS276" i="59"/>
  <c r="HT276" i="59"/>
  <c r="HU276" i="59"/>
  <c r="HV276" i="59"/>
  <c r="HW276" i="59"/>
  <c r="HX276" i="59"/>
  <c r="HY276" i="59"/>
  <c r="HZ276" i="59"/>
  <c r="IA276" i="59"/>
  <c r="IB276" i="59"/>
  <c r="IC276" i="59"/>
  <c r="ID276" i="59"/>
  <c r="IE276" i="59"/>
  <c r="IF276" i="59"/>
  <c r="IG276" i="59"/>
  <c r="IH276" i="59"/>
  <c r="II276" i="59"/>
  <c r="IJ276" i="59"/>
  <c r="IK276" i="59"/>
  <c r="IL276" i="59"/>
  <c r="IM276" i="59"/>
  <c r="IN276" i="59"/>
  <c r="IO276" i="59"/>
  <c r="IP276" i="59"/>
  <c r="IQ276" i="59"/>
  <c r="IR276" i="59"/>
  <c r="IS276" i="59"/>
  <c r="IT276" i="59"/>
  <c r="IU276" i="59"/>
  <c r="IV276" i="59"/>
  <c r="F277" i="59"/>
  <c r="G277" i="59"/>
  <c r="H277" i="59"/>
  <c r="I277" i="59"/>
  <c r="J277" i="59"/>
  <c r="K277" i="59"/>
  <c r="L277" i="59"/>
  <c r="M277" i="59"/>
  <c r="N277" i="59"/>
  <c r="O277" i="59"/>
  <c r="P277" i="59"/>
  <c r="Q277" i="59"/>
  <c r="R277" i="59"/>
  <c r="S277" i="59"/>
  <c r="T277" i="59"/>
  <c r="U277" i="59"/>
  <c r="V277" i="59"/>
  <c r="W277" i="59"/>
  <c r="X277" i="59"/>
  <c r="Y277" i="59"/>
  <c r="Z277" i="59"/>
  <c r="AA277" i="59"/>
  <c r="AB277" i="59"/>
  <c r="AC277" i="59"/>
  <c r="AD277" i="59"/>
  <c r="AE277" i="59"/>
  <c r="AF277" i="59"/>
  <c r="AG277" i="59"/>
  <c r="AH277" i="59"/>
  <c r="AI277" i="59"/>
  <c r="AJ277" i="59"/>
  <c r="AK277" i="59"/>
  <c r="AL277" i="59"/>
  <c r="AM277" i="59"/>
  <c r="AN277" i="59"/>
  <c r="AO277" i="59"/>
  <c r="AP277" i="59"/>
  <c r="AQ277" i="59"/>
  <c r="AR277" i="59"/>
  <c r="AS277" i="59"/>
  <c r="AT277" i="59"/>
  <c r="AU277" i="59"/>
  <c r="AV277" i="59"/>
  <c r="AW277" i="59"/>
  <c r="AX277" i="59"/>
  <c r="AY277" i="59"/>
  <c r="AZ277" i="59"/>
  <c r="BA277" i="59"/>
  <c r="BB277" i="59"/>
  <c r="BC277" i="59"/>
  <c r="BD277" i="59"/>
  <c r="BE277" i="59"/>
  <c r="BF277" i="59"/>
  <c r="BG277" i="59"/>
  <c r="BH277" i="59"/>
  <c r="BI277" i="59"/>
  <c r="BJ277" i="59"/>
  <c r="BK277" i="59"/>
  <c r="BL277" i="59"/>
  <c r="BM277" i="59"/>
  <c r="BN277" i="59"/>
  <c r="BO277" i="59"/>
  <c r="BP277" i="59"/>
  <c r="BQ277" i="59"/>
  <c r="BR277" i="59"/>
  <c r="BS277" i="59"/>
  <c r="BT277" i="59"/>
  <c r="BU277" i="59"/>
  <c r="BV277" i="59"/>
  <c r="BW277" i="59"/>
  <c r="BX277" i="59"/>
  <c r="BY277" i="59"/>
  <c r="BZ277" i="59"/>
  <c r="CA277" i="59"/>
  <c r="CB277" i="59"/>
  <c r="CC277" i="59"/>
  <c r="CD277" i="59"/>
  <c r="CE277" i="59"/>
  <c r="CF277" i="59"/>
  <c r="CG277" i="59"/>
  <c r="CH277" i="59"/>
  <c r="CI277" i="59"/>
  <c r="CJ277" i="59"/>
  <c r="CK277" i="59"/>
  <c r="CL277" i="59"/>
  <c r="CM277" i="59"/>
  <c r="CN277" i="59"/>
  <c r="CO277" i="59"/>
  <c r="CP277" i="59"/>
  <c r="CQ277" i="59"/>
  <c r="CR277" i="59"/>
  <c r="CS277" i="59"/>
  <c r="CT277" i="59"/>
  <c r="CU277" i="59"/>
  <c r="CV277" i="59"/>
  <c r="CW277" i="59"/>
  <c r="CX277" i="59"/>
  <c r="CY277" i="59"/>
  <c r="CZ277" i="59"/>
  <c r="DA277" i="59"/>
  <c r="DB277" i="59"/>
  <c r="DC277" i="59"/>
  <c r="DD277" i="59"/>
  <c r="DE277" i="59"/>
  <c r="DF277" i="59"/>
  <c r="DG277" i="59"/>
  <c r="DH277" i="59"/>
  <c r="DI277" i="59"/>
  <c r="DJ277" i="59"/>
  <c r="DK277" i="59"/>
  <c r="DL277" i="59"/>
  <c r="DM277" i="59"/>
  <c r="DN277" i="59"/>
  <c r="DO277" i="59"/>
  <c r="DP277" i="59"/>
  <c r="DQ277" i="59"/>
  <c r="DR277" i="59"/>
  <c r="DS277" i="59"/>
  <c r="DT277" i="59"/>
  <c r="DU277" i="59"/>
  <c r="DV277" i="59"/>
  <c r="DW277" i="59"/>
  <c r="DX277" i="59"/>
  <c r="DY277" i="59"/>
  <c r="DZ277" i="59"/>
  <c r="EA277" i="59"/>
  <c r="EB277" i="59"/>
  <c r="EC277" i="59"/>
  <c r="ED277" i="59"/>
  <c r="EE277" i="59"/>
  <c r="EF277" i="59"/>
  <c r="EG277" i="59"/>
  <c r="EH277" i="59"/>
  <c r="EI277" i="59"/>
  <c r="EJ277" i="59"/>
  <c r="EK277" i="59"/>
  <c r="EL277" i="59"/>
  <c r="EM277" i="59"/>
  <c r="EN277" i="59"/>
  <c r="EO277" i="59"/>
  <c r="EP277" i="59"/>
  <c r="EQ277" i="59"/>
  <c r="ER277" i="59"/>
  <c r="ES277" i="59"/>
  <c r="ET277" i="59"/>
  <c r="EU277" i="59"/>
  <c r="EV277" i="59"/>
  <c r="EW277" i="59"/>
  <c r="EX277" i="59"/>
  <c r="EY277" i="59"/>
  <c r="EZ277" i="59"/>
  <c r="FA277" i="59"/>
  <c r="FB277" i="59"/>
  <c r="FC277" i="59"/>
  <c r="FD277" i="59"/>
  <c r="FE277" i="59"/>
  <c r="FF277" i="59"/>
  <c r="FG277" i="59"/>
  <c r="FH277" i="59"/>
  <c r="FI277" i="59"/>
  <c r="FJ277" i="59"/>
  <c r="FK277" i="59"/>
  <c r="FL277" i="59"/>
  <c r="FM277" i="59"/>
  <c r="FN277" i="59"/>
  <c r="FO277" i="59"/>
  <c r="FP277" i="59"/>
  <c r="FQ277" i="59"/>
  <c r="FR277" i="59"/>
  <c r="FS277" i="59"/>
  <c r="FT277" i="59"/>
  <c r="FU277" i="59"/>
  <c r="FV277" i="59"/>
  <c r="FW277" i="59"/>
  <c r="FX277" i="59"/>
  <c r="FY277" i="59"/>
  <c r="FZ277" i="59"/>
  <c r="GA277" i="59"/>
  <c r="GB277" i="59"/>
  <c r="GC277" i="59"/>
  <c r="GD277" i="59"/>
  <c r="GE277" i="59"/>
  <c r="GF277" i="59"/>
  <c r="GG277" i="59"/>
  <c r="GH277" i="59"/>
  <c r="GI277" i="59"/>
  <c r="GJ277" i="59"/>
  <c r="GK277" i="59"/>
  <c r="GL277" i="59"/>
  <c r="GM277" i="59"/>
  <c r="GN277" i="59"/>
  <c r="GO277" i="59"/>
  <c r="GP277" i="59"/>
  <c r="GQ277" i="59"/>
  <c r="GR277" i="59"/>
  <c r="GS277" i="59"/>
  <c r="GT277" i="59"/>
  <c r="GU277" i="59"/>
  <c r="GV277" i="59"/>
  <c r="GW277" i="59"/>
  <c r="GX277" i="59"/>
  <c r="GY277" i="59"/>
  <c r="GZ277" i="59"/>
  <c r="HA277" i="59"/>
  <c r="HB277" i="59"/>
  <c r="HC277" i="59"/>
  <c r="HD277" i="59"/>
  <c r="HE277" i="59"/>
  <c r="HF277" i="59"/>
  <c r="HG277" i="59"/>
  <c r="HH277" i="59"/>
  <c r="HI277" i="59"/>
  <c r="HJ277" i="59"/>
  <c r="HK277" i="59"/>
  <c r="HL277" i="59"/>
  <c r="HM277" i="59"/>
  <c r="HN277" i="59"/>
  <c r="HO277" i="59"/>
  <c r="HP277" i="59"/>
  <c r="HQ277" i="59"/>
  <c r="HR277" i="59"/>
  <c r="HS277" i="59"/>
  <c r="HT277" i="59"/>
  <c r="HU277" i="59"/>
  <c r="HV277" i="59"/>
  <c r="HW277" i="59"/>
  <c r="HX277" i="59"/>
  <c r="HY277" i="59"/>
  <c r="HZ277" i="59"/>
  <c r="IA277" i="59"/>
  <c r="IB277" i="59"/>
  <c r="IC277" i="59"/>
  <c r="ID277" i="59"/>
  <c r="IE277" i="59"/>
  <c r="IF277" i="59"/>
  <c r="IG277" i="59"/>
  <c r="IH277" i="59"/>
  <c r="II277" i="59"/>
  <c r="IJ277" i="59"/>
  <c r="IK277" i="59"/>
  <c r="IL277" i="59"/>
  <c r="IM277" i="59"/>
  <c r="IN277" i="59"/>
  <c r="IO277" i="59"/>
  <c r="IP277" i="59"/>
  <c r="IQ277" i="59"/>
  <c r="IR277" i="59"/>
  <c r="IS277" i="59"/>
  <c r="IT277" i="59"/>
  <c r="IU277" i="59"/>
  <c r="IV277" i="59"/>
  <c r="F278" i="59"/>
  <c r="G278" i="59"/>
  <c r="H278" i="59"/>
  <c r="I278" i="59"/>
  <c r="J278" i="59"/>
  <c r="K278" i="59"/>
  <c r="L278" i="59"/>
  <c r="M278" i="59"/>
  <c r="N278" i="59"/>
  <c r="O278" i="59"/>
  <c r="P278" i="59"/>
  <c r="Q278" i="59"/>
  <c r="R278" i="59"/>
  <c r="S278" i="59"/>
  <c r="T278" i="59"/>
  <c r="U278" i="59"/>
  <c r="V278" i="59"/>
  <c r="W278" i="59"/>
  <c r="X278" i="59"/>
  <c r="Y278" i="59"/>
  <c r="Z278" i="59"/>
  <c r="AB278" i="59"/>
  <c r="AC278" i="59"/>
  <c r="AD278" i="59"/>
  <c r="AE278" i="59"/>
  <c r="AF278" i="59"/>
  <c r="AG278" i="59"/>
  <c r="AH278" i="59"/>
  <c r="AI278" i="59"/>
  <c r="AJ278" i="59"/>
  <c r="AK278" i="59"/>
  <c r="AL278" i="59"/>
  <c r="AM278" i="59"/>
  <c r="AN278" i="59"/>
  <c r="AO278" i="59"/>
  <c r="AP278" i="59"/>
  <c r="AQ278" i="59"/>
  <c r="AR278" i="59"/>
  <c r="AS278" i="59"/>
  <c r="AT278" i="59"/>
  <c r="AV278" i="59"/>
  <c r="AW278" i="59"/>
  <c r="AX278" i="59"/>
  <c r="AY278" i="59"/>
  <c r="AZ278" i="59"/>
  <c r="BA278" i="59"/>
  <c r="BB278" i="59"/>
  <c r="BC278" i="59"/>
  <c r="BD278" i="59"/>
  <c r="BE278" i="59"/>
  <c r="BF278" i="59"/>
  <c r="BG278" i="59"/>
  <c r="BH278" i="59"/>
  <c r="BI278" i="59"/>
  <c r="BJ278" i="59"/>
  <c r="BK278" i="59"/>
  <c r="BL278" i="59"/>
  <c r="BM278" i="59"/>
  <c r="BN278" i="59"/>
  <c r="BO278" i="59"/>
  <c r="BP278" i="59"/>
  <c r="BQ278" i="59"/>
  <c r="BR278" i="59"/>
  <c r="BS278" i="59"/>
  <c r="BT278" i="59"/>
  <c r="BU278" i="59"/>
  <c r="BV278" i="59"/>
  <c r="BW278" i="59"/>
  <c r="BX278" i="59"/>
  <c r="BY278" i="59"/>
  <c r="BZ278" i="59"/>
  <c r="CA278" i="59"/>
  <c r="CB278" i="59"/>
  <c r="CC278" i="59"/>
  <c r="CD278" i="59"/>
  <c r="CE278" i="59"/>
  <c r="CF278" i="59"/>
  <c r="CG278" i="59"/>
  <c r="CH278" i="59"/>
  <c r="CI278" i="59"/>
  <c r="CJ278" i="59"/>
  <c r="CK278" i="59"/>
  <c r="CL278" i="59"/>
  <c r="CM278" i="59"/>
  <c r="CN278" i="59"/>
  <c r="CO278" i="59"/>
  <c r="CP278" i="59"/>
  <c r="CQ278" i="59"/>
  <c r="CR278" i="59"/>
  <c r="CS278" i="59"/>
  <c r="CT278" i="59"/>
  <c r="CU278" i="59"/>
  <c r="CV278" i="59"/>
  <c r="CW278" i="59"/>
  <c r="CX278" i="59"/>
  <c r="CY278" i="59"/>
  <c r="CZ278" i="59"/>
  <c r="DA278" i="59"/>
  <c r="DB278" i="59"/>
  <c r="DC278" i="59"/>
  <c r="DD278" i="59"/>
  <c r="DE278" i="59"/>
  <c r="DF278" i="59"/>
  <c r="DG278" i="59"/>
  <c r="DH278" i="59"/>
  <c r="DI278" i="59"/>
  <c r="DJ278" i="59"/>
  <c r="DK278" i="59"/>
  <c r="DL278" i="59"/>
  <c r="DM278" i="59"/>
  <c r="DN278" i="59"/>
  <c r="DO278" i="59"/>
  <c r="DP278" i="59"/>
  <c r="DQ278" i="59"/>
  <c r="DR278" i="59"/>
  <c r="DS278" i="59"/>
  <c r="DT278" i="59"/>
  <c r="DU278" i="59"/>
  <c r="DV278" i="59"/>
  <c r="DW278" i="59"/>
  <c r="DX278" i="59"/>
  <c r="DY278" i="59"/>
  <c r="EA278" i="59"/>
  <c r="EB278" i="59"/>
  <c r="EC278" i="59"/>
  <c r="ED278" i="59"/>
  <c r="EE278" i="59"/>
  <c r="EF278" i="59"/>
  <c r="EG278" i="59"/>
  <c r="EH278" i="59"/>
  <c r="EI278" i="59"/>
  <c r="EJ278" i="59"/>
  <c r="EK278" i="59"/>
  <c r="EL278" i="59"/>
  <c r="EM278" i="59"/>
  <c r="EN278" i="59"/>
  <c r="EO278" i="59"/>
  <c r="EP278" i="59"/>
  <c r="EQ278" i="59"/>
  <c r="ER278" i="59"/>
  <c r="EU278" i="59"/>
  <c r="EV278" i="59"/>
  <c r="EW278" i="59"/>
  <c r="EX278" i="59"/>
  <c r="EY278" i="59"/>
  <c r="EZ278" i="59"/>
  <c r="FA278" i="59"/>
  <c r="FB278" i="59"/>
  <c r="FC278" i="59"/>
  <c r="FD278" i="59"/>
  <c r="FE278" i="59"/>
  <c r="FF278" i="59"/>
  <c r="FG278" i="59"/>
  <c r="FH278" i="59"/>
  <c r="FI278" i="59"/>
  <c r="FJ278" i="59"/>
  <c r="FK278" i="59"/>
  <c r="FL278" i="59"/>
  <c r="FM278" i="59"/>
  <c r="FN278" i="59"/>
  <c r="FO278" i="59"/>
  <c r="FP278" i="59"/>
  <c r="FQ278" i="59"/>
  <c r="FR278" i="59"/>
  <c r="FS278" i="59"/>
  <c r="FT278" i="59"/>
  <c r="FU278" i="59"/>
  <c r="FV278" i="59"/>
  <c r="FW278" i="59"/>
  <c r="FX278" i="59"/>
  <c r="FY278" i="59"/>
  <c r="FZ278" i="59"/>
  <c r="GA278" i="59"/>
  <c r="GB278" i="59"/>
  <c r="GC278" i="59"/>
  <c r="GD278" i="59"/>
  <c r="GE278" i="59"/>
  <c r="GF278" i="59"/>
  <c r="GG278" i="59"/>
  <c r="GH278" i="59"/>
  <c r="GI278" i="59"/>
  <c r="GJ278" i="59"/>
  <c r="GK278" i="59"/>
  <c r="GL278" i="59"/>
  <c r="GM278" i="59"/>
  <c r="GN278" i="59"/>
  <c r="GO278" i="59"/>
  <c r="GP278" i="59"/>
  <c r="GQ278" i="59"/>
  <c r="GR278" i="59"/>
  <c r="GS278" i="59"/>
  <c r="GT278" i="59"/>
  <c r="GU278" i="59"/>
  <c r="GV278" i="59"/>
  <c r="GW278" i="59"/>
  <c r="GX278" i="59"/>
  <c r="GY278" i="59"/>
  <c r="GZ278" i="59"/>
  <c r="HA278" i="59"/>
  <c r="HB278" i="59"/>
  <c r="HC278" i="59"/>
  <c r="HD278" i="59"/>
  <c r="HE278" i="59"/>
  <c r="HF278" i="59"/>
  <c r="HG278" i="59"/>
  <c r="HH278" i="59"/>
  <c r="HI278" i="59"/>
  <c r="HJ278" i="59"/>
  <c r="HK278" i="59"/>
  <c r="HL278" i="59"/>
  <c r="HM278" i="59"/>
  <c r="HN278" i="59"/>
  <c r="HO278" i="59"/>
  <c r="HP278" i="59"/>
  <c r="HQ278" i="59"/>
  <c r="HR278" i="59"/>
  <c r="HS278" i="59"/>
  <c r="HT278" i="59"/>
  <c r="HU278" i="59"/>
  <c r="HV278" i="59"/>
  <c r="HW278" i="59"/>
  <c r="HX278" i="59"/>
  <c r="HY278" i="59"/>
  <c r="HZ278" i="59"/>
  <c r="IA278" i="59"/>
  <c r="IB278" i="59"/>
  <c r="IC278" i="59"/>
  <c r="ID278" i="59"/>
  <c r="IE278" i="59"/>
  <c r="IF278" i="59"/>
  <c r="IG278" i="59"/>
  <c r="IH278" i="59"/>
  <c r="II278" i="59"/>
  <c r="IJ278" i="59"/>
  <c r="IK278" i="59"/>
  <c r="IL278" i="59"/>
  <c r="IM278" i="59"/>
  <c r="IN278" i="59"/>
  <c r="IO278" i="59"/>
  <c r="IP278" i="59"/>
  <c r="IQ278" i="59"/>
  <c r="IR278" i="59"/>
  <c r="IS278" i="59"/>
  <c r="IT278" i="59"/>
  <c r="IU278" i="59"/>
  <c r="IV278" i="59"/>
  <c r="F279" i="59"/>
  <c r="G279" i="59"/>
  <c r="H279" i="59"/>
  <c r="I279" i="59"/>
  <c r="J279" i="59"/>
  <c r="K279" i="59"/>
  <c r="L279" i="59"/>
  <c r="M279" i="59"/>
  <c r="N279" i="59"/>
  <c r="O279" i="59"/>
  <c r="P279" i="59"/>
  <c r="Q279" i="59"/>
  <c r="R279" i="59"/>
  <c r="S279" i="59"/>
  <c r="T279" i="59"/>
  <c r="U279" i="59"/>
  <c r="V279" i="59"/>
  <c r="W279" i="59"/>
  <c r="X279" i="59"/>
  <c r="Y279" i="59"/>
  <c r="Z279" i="59"/>
  <c r="AA279" i="59"/>
  <c r="AB279" i="59"/>
  <c r="AC279" i="59"/>
  <c r="AD279" i="59"/>
  <c r="AE279" i="59"/>
  <c r="AF279" i="59"/>
  <c r="AG279" i="59"/>
  <c r="AH279" i="59"/>
  <c r="AI279" i="59"/>
  <c r="AJ279" i="59"/>
  <c r="AK279" i="59"/>
  <c r="AL279" i="59"/>
  <c r="AM279" i="59"/>
  <c r="AN279" i="59"/>
  <c r="AO279" i="59"/>
  <c r="AP279" i="59"/>
  <c r="AQ279" i="59"/>
  <c r="AR279" i="59"/>
  <c r="AS279" i="59"/>
  <c r="AT279" i="59"/>
  <c r="AU279" i="59"/>
  <c r="AV279" i="59"/>
  <c r="AW279" i="59"/>
  <c r="AX279" i="59"/>
  <c r="AY279" i="59"/>
  <c r="AZ279" i="59"/>
  <c r="BA279" i="59"/>
  <c r="BB279" i="59"/>
  <c r="BC279" i="59"/>
  <c r="BD279" i="59"/>
  <c r="BE279" i="59"/>
  <c r="BF279" i="59"/>
  <c r="BG279" i="59"/>
  <c r="BH279" i="59"/>
  <c r="BI279" i="59"/>
  <c r="BJ279" i="59"/>
  <c r="BK279" i="59"/>
  <c r="BL279" i="59"/>
  <c r="BM279" i="59"/>
  <c r="BN279" i="59"/>
  <c r="BO279" i="59"/>
  <c r="BP279" i="59"/>
  <c r="BQ279" i="59"/>
  <c r="BR279" i="59"/>
  <c r="BS279" i="59"/>
  <c r="BT279" i="59"/>
  <c r="BU279" i="59"/>
  <c r="BV279" i="59"/>
  <c r="BW279" i="59"/>
  <c r="BX279" i="59"/>
  <c r="BY279" i="59"/>
  <c r="BZ279" i="59"/>
  <c r="CA279" i="59"/>
  <c r="CB279" i="59"/>
  <c r="CC279" i="59"/>
  <c r="CD279" i="59"/>
  <c r="CE279" i="59"/>
  <c r="CF279" i="59"/>
  <c r="CG279" i="59"/>
  <c r="CH279" i="59"/>
  <c r="CI279" i="59"/>
  <c r="CJ279" i="59"/>
  <c r="CK279" i="59"/>
  <c r="CL279" i="59"/>
  <c r="CM279" i="59"/>
  <c r="CN279" i="59"/>
  <c r="CO279" i="59"/>
  <c r="CP279" i="59"/>
  <c r="CQ279" i="59"/>
  <c r="CR279" i="59"/>
  <c r="CS279" i="59"/>
  <c r="CT279" i="59"/>
  <c r="CU279" i="59"/>
  <c r="CV279" i="59"/>
  <c r="CW279" i="59"/>
  <c r="CX279" i="59"/>
  <c r="CY279" i="59"/>
  <c r="CZ279" i="59"/>
  <c r="DA279" i="59"/>
  <c r="DB279" i="59"/>
  <c r="DC279" i="59"/>
  <c r="DD279" i="59"/>
  <c r="DE279" i="59"/>
  <c r="DF279" i="59"/>
  <c r="DG279" i="59"/>
  <c r="DH279" i="59"/>
  <c r="DI279" i="59"/>
  <c r="DJ279" i="59"/>
  <c r="DK279" i="59"/>
  <c r="DL279" i="59"/>
  <c r="DM279" i="59"/>
  <c r="DN279" i="59"/>
  <c r="DO279" i="59"/>
  <c r="DP279" i="59"/>
  <c r="DQ279" i="59"/>
  <c r="DR279" i="59"/>
  <c r="DS279" i="59"/>
  <c r="DT279" i="59"/>
  <c r="DU279" i="59"/>
  <c r="DV279" i="59"/>
  <c r="DW279" i="59"/>
  <c r="DX279" i="59"/>
  <c r="DY279" i="59"/>
  <c r="DZ279" i="59"/>
  <c r="EA279" i="59"/>
  <c r="EB279" i="59"/>
  <c r="EC279" i="59"/>
  <c r="ED279" i="59"/>
  <c r="EE279" i="59"/>
  <c r="EF279" i="59"/>
  <c r="EG279" i="59"/>
  <c r="EH279" i="59"/>
  <c r="EI279" i="59"/>
  <c r="EJ279" i="59"/>
  <c r="EK279" i="59"/>
  <c r="EL279" i="59"/>
  <c r="EM279" i="59"/>
  <c r="EN279" i="59"/>
  <c r="EO279" i="59"/>
  <c r="EP279" i="59"/>
  <c r="EQ279" i="59"/>
  <c r="ER279" i="59"/>
  <c r="ES279" i="59"/>
  <c r="ET279" i="59"/>
  <c r="EU279" i="59"/>
  <c r="EV279" i="59"/>
  <c r="EW279" i="59"/>
  <c r="EX279" i="59"/>
  <c r="EY279" i="59"/>
  <c r="EZ279" i="59"/>
  <c r="FA279" i="59"/>
  <c r="FB279" i="59"/>
  <c r="FC279" i="59"/>
  <c r="FD279" i="59"/>
  <c r="FE279" i="59"/>
  <c r="FF279" i="59"/>
  <c r="FG279" i="59"/>
  <c r="FH279" i="59"/>
  <c r="FI279" i="59"/>
  <c r="FJ279" i="59"/>
  <c r="FK279" i="59"/>
  <c r="FL279" i="59"/>
  <c r="FM279" i="59"/>
  <c r="FN279" i="59"/>
  <c r="FO279" i="59"/>
  <c r="FP279" i="59"/>
  <c r="FQ279" i="59"/>
  <c r="FR279" i="59"/>
  <c r="FS279" i="59"/>
  <c r="FT279" i="59"/>
  <c r="FU279" i="59"/>
  <c r="FV279" i="59"/>
  <c r="FW279" i="59"/>
  <c r="FX279" i="59"/>
  <c r="FY279" i="59"/>
  <c r="FZ279" i="59"/>
  <c r="GA279" i="59"/>
  <c r="GB279" i="59"/>
  <c r="GC279" i="59"/>
  <c r="GD279" i="59"/>
  <c r="GE279" i="59"/>
  <c r="GF279" i="59"/>
  <c r="GG279" i="59"/>
  <c r="GH279" i="59"/>
  <c r="GI279" i="59"/>
  <c r="GJ279" i="59"/>
  <c r="GK279" i="59"/>
  <c r="GL279" i="59"/>
  <c r="GM279" i="59"/>
  <c r="GN279" i="59"/>
  <c r="GO279" i="59"/>
  <c r="GP279" i="59"/>
  <c r="GQ279" i="59"/>
  <c r="GR279" i="59"/>
  <c r="GS279" i="59"/>
  <c r="GT279" i="59"/>
  <c r="GU279" i="59"/>
  <c r="GV279" i="59"/>
  <c r="GW279" i="59"/>
  <c r="GX279" i="59"/>
  <c r="GY279" i="59"/>
  <c r="GZ279" i="59"/>
  <c r="HA279" i="59"/>
  <c r="HB279" i="59"/>
  <c r="HC279" i="59"/>
  <c r="HD279" i="59"/>
  <c r="HE279" i="59"/>
  <c r="HF279" i="59"/>
  <c r="HG279" i="59"/>
  <c r="HH279" i="59"/>
  <c r="HI279" i="59"/>
  <c r="HJ279" i="59"/>
  <c r="HK279" i="59"/>
  <c r="HL279" i="59"/>
  <c r="HM279" i="59"/>
  <c r="HN279" i="59"/>
  <c r="HO279" i="59"/>
  <c r="HP279" i="59"/>
  <c r="HQ279" i="59"/>
  <c r="HR279" i="59"/>
  <c r="HS279" i="59"/>
  <c r="HT279" i="59"/>
  <c r="HU279" i="59"/>
  <c r="HV279" i="59"/>
  <c r="HW279" i="59"/>
  <c r="HX279" i="59"/>
  <c r="HY279" i="59"/>
  <c r="HZ279" i="59"/>
  <c r="IA279" i="59"/>
  <c r="IB279" i="59"/>
  <c r="IC279" i="59"/>
  <c r="ID279" i="59"/>
  <c r="IE279" i="59"/>
  <c r="IF279" i="59"/>
  <c r="IG279" i="59"/>
  <c r="IH279" i="59"/>
  <c r="II279" i="59"/>
  <c r="IJ279" i="59"/>
  <c r="IK279" i="59"/>
  <c r="IL279" i="59"/>
  <c r="IM279" i="59"/>
  <c r="IN279" i="59"/>
  <c r="IO279" i="59"/>
  <c r="IP279" i="59"/>
  <c r="IQ279" i="59"/>
  <c r="IR279" i="59"/>
  <c r="IS279" i="59"/>
  <c r="IT279" i="59"/>
  <c r="IU279" i="59"/>
  <c r="IV279" i="59"/>
  <c r="F280" i="59"/>
  <c r="G280" i="59"/>
  <c r="H280" i="59"/>
  <c r="I280" i="59"/>
  <c r="J280" i="59"/>
  <c r="K280" i="59"/>
  <c r="L280" i="59"/>
  <c r="M280" i="59"/>
  <c r="N280" i="59"/>
  <c r="O280" i="59"/>
  <c r="P280" i="59"/>
  <c r="Q280" i="59"/>
  <c r="R280" i="59"/>
  <c r="S280" i="59"/>
  <c r="T280" i="59"/>
  <c r="U280" i="59"/>
  <c r="V280" i="59"/>
  <c r="W280" i="59"/>
  <c r="X280" i="59"/>
  <c r="Y280" i="59"/>
  <c r="Z280" i="59"/>
  <c r="AA280" i="59"/>
  <c r="AB280" i="59"/>
  <c r="AC280" i="59"/>
  <c r="AD280" i="59"/>
  <c r="AE280" i="59"/>
  <c r="AF280" i="59"/>
  <c r="AG280" i="59"/>
  <c r="AH280" i="59"/>
  <c r="AI280" i="59"/>
  <c r="AJ280" i="59"/>
  <c r="AK280" i="59"/>
  <c r="AL280" i="59"/>
  <c r="AM280" i="59"/>
  <c r="AN280" i="59"/>
  <c r="AO280" i="59"/>
  <c r="AP280" i="59"/>
  <c r="AQ280" i="59"/>
  <c r="AR280" i="59"/>
  <c r="AS280" i="59"/>
  <c r="AT280" i="59"/>
  <c r="AU280" i="59"/>
  <c r="AV280" i="59"/>
  <c r="AW280" i="59"/>
  <c r="AX280" i="59"/>
  <c r="AY280" i="59"/>
  <c r="AZ280" i="59"/>
  <c r="BA280" i="59"/>
  <c r="BB280" i="59"/>
  <c r="BC280" i="59"/>
  <c r="BD280" i="59"/>
  <c r="BE280" i="59"/>
  <c r="BF280" i="59"/>
  <c r="BG280" i="59"/>
  <c r="BH280" i="59"/>
  <c r="BI280" i="59"/>
  <c r="BJ280" i="59"/>
  <c r="BK280" i="59"/>
  <c r="BL280" i="59"/>
  <c r="BM280" i="59"/>
  <c r="BN280" i="59"/>
  <c r="BO280" i="59"/>
  <c r="BP280" i="59"/>
  <c r="BQ280" i="59"/>
  <c r="BR280" i="59"/>
  <c r="BS280" i="59"/>
  <c r="BT280" i="59"/>
  <c r="BU280" i="59"/>
  <c r="BV280" i="59"/>
  <c r="BW280" i="59"/>
  <c r="BX280" i="59"/>
  <c r="BY280" i="59"/>
  <c r="BZ280" i="59"/>
  <c r="CA280" i="59"/>
  <c r="CB280" i="59"/>
  <c r="CC280" i="59"/>
  <c r="CD280" i="59"/>
  <c r="CE280" i="59"/>
  <c r="CF280" i="59"/>
  <c r="CG280" i="59"/>
  <c r="CH280" i="59"/>
  <c r="CI280" i="59"/>
  <c r="CJ280" i="59"/>
  <c r="CK280" i="59"/>
  <c r="CL280" i="59"/>
  <c r="CM280" i="59"/>
  <c r="CN280" i="59"/>
  <c r="CO280" i="59"/>
  <c r="CP280" i="59"/>
  <c r="CQ280" i="59"/>
  <c r="CR280" i="59"/>
  <c r="CS280" i="59"/>
  <c r="CT280" i="59"/>
  <c r="CU280" i="59"/>
  <c r="CV280" i="59"/>
  <c r="CW280" i="59"/>
  <c r="CX280" i="59"/>
  <c r="CY280" i="59"/>
  <c r="CZ280" i="59"/>
  <c r="DA280" i="59"/>
  <c r="DB280" i="59"/>
  <c r="DC280" i="59"/>
  <c r="DD280" i="59"/>
  <c r="DE280" i="59"/>
  <c r="DF280" i="59"/>
  <c r="DG280" i="59"/>
  <c r="DH280" i="59"/>
  <c r="DI280" i="59"/>
  <c r="DJ280" i="59"/>
  <c r="DK280" i="59"/>
  <c r="DL280" i="59"/>
  <c r="DM280" i="59"/>
  <c r="DN280" i="59"/>
  <c r="DO280" i="59"/>
  <c r="DP280" i="59"/>
  <c r="DQ280" i="59"/>
  <c r="DR280" i="59"/>
  <c r="DS280" i="59"/>
  <c r="DT280" i="59"/>
  <c r="DU280" i="59"/>
  <c r="DV280" i="59"/>
  <c r="DW280" i="59"/>
  <c r="DX280" i="59"/>
  <c r="DY280" i="59"/>
  <c r="DZ280" i="59"/>
  <c r="EA280" i="59"/>
  <c r="EB280" i="59"/>
  <c r="EC280" i="59"/>
  <c r="ED280" i="59"/>
  <c r="EE280" i="59"/>
  <c r="EF280" i="59"/>
  <c r="EG280" i="59"/>
  <c r="EH280" i="59"/>
  <c r="EI280" i="59"/>
  <c r="EJ280" i="59"/>
  <c r="EK280" i="59"/>
  <c r="EL280" i="59"/>
  <c r="EM280" i="59"/>
  <c r="EN280" i="59"/>
  <c r="EO280" i="59"/>
  <c r="EP280" i="59"/>
  <c r="EQ280" i="59"/>
  <c r="ER280" i="59"/>
  <c r="ES280" i="59"/>
  <c r="ET280" i="59"/>
  <c r="EU280" i="59"/>
  <c r="EV280" i="59"/>
  <c r="EW280" i="59"/>
  <c r="EX280" i="59"/>
  <c r="EY280" i="59"/>
  <c r="EZ280" i="59"/>
  <c r="FA280" i="59"/>
  <c r="FB280" i="59"/>
  <c r="FC280" i="59"/>
  <c r="FD280" i="59"/>
  <c r="FE280" i="59"/>
  <c r="FF280" i="59"/>
  <c r="FG280" i="59"/>
  <c r="FH280" i="59"/>
  <c r="FI280" i="59"/>
  <c r="FJ280" i="59"/>
  <c r="FK280" i="59"/>
  <c r="FL280" i="59"/>
  <c r="FM280" i="59"/>
  <c r="FN280" i="59"/>
  <c r="FO280" i="59"/>
  <c r="FP280" i="59"/>
  <c r="FQ280" i="59"/>
  <c r="FR280" i="59"/>
  <c r="FS280" i="59"/>
  <c r="FT280" i="59"/>
  <c r="FU280" i="59"/>
  <c r="FV280" i="59"/>
  <c r="FW280" i="59"/>
  <c r="FX280" i="59"/>
  <c r="FY280" i="59"/>
  <c r="FZ280" i="59"/>
  <c r="GA280" i="59"/>
  <c r="GB280" i="59"/>
  <c r="GC280" i="59"/>
  <c r="GD280" i="59"/>
  <c r="GE280" i="59"/>
  <c r="GF280" i="59"/>
  <c r="GG280" i="59"/>
  <c r="GH280" i="59"/>
  <c r="GI280" i="59"/>
  <c r="GJ280" i="59"/>
  <c r="GK280" i="59"/>
  <c r="GL280" i="59"/>
  <c r="GM280" i="59"/>
  <c r="GN280" i="59"/>
  <c r="GO280" i="59"/>
  <c r="GP280" i="59"/>
  <c r="GQ280" i="59"/>
  <c r="GR280" i="59"/>
  <c r="GS280" i="59"/>
  <c r="GT280" i="59"/>
  <c r="GU280" i="59"/>
  <c r="GV280" i="59"/>
  <c r="GW280" i="59"/>
  <c r="GX280" i="59"/>
  <c r="GY280" i="59"/>
  <c r="GZ280" i="59"/>
  <c r="HA280" i="59"/>
  <c r="HB280" i="59"/>
  <c r="HC280" i="59"/>
  <c r="HD280" i="59"/>
  <c r="HE280" i="59"/>
  <c r="HF280" i="59"/>
  <c r="HG280" i="59"/>
  <c r="HH280" i="59"/>
  <c r="HI280" i="59"/>
  <c r="HJ280" i="59"/>
  <c r="HK280" i="59"/>
  <c r="HL280" i="59"/>
  <c r="HM280" i="59"/>
  <c r="HN280" i="59"/>
  <c r="HO280" i="59"/>
  <c r="HP280" i="59"/>
  <c r="HQ280" i="59"/>
  <c r="HR280" i="59"/>
  <c r="HS280" i="59"/>
  <c r="HT280" i="59"/>
  <c r="HU280" i="59"/>
  <c r="HV280" i="59"/>
  <c r="HW280" i="59"/>
  <c r="HX280" i="59"/>
  <c r="HY280" i="59"/>
  <c r="HZ280" i="59"/>
  <c r="IA280" i="59"/>
  <c r="IB280" i="59"/>
  <c r="IC280" i="59"/>
  <c r="ID280" i="59"/>
  <c r="IE280" i="59"/>
  <c r="IF280" i="59"/>
  <c r="IG280" i="59"/>
  <c r="IH280" i="59"/>
  <c r="II280" i="59"/>
  <c r="IJ280" i="59"/>
  <c r="IK280" i="59"/>
  <c r="IL280" i="59"/>
  <c r="IM280" i="59"/>
  <c r="IN280" i="59"/>
  <c r="IO280" i="59"/>
  <c r="IP280" i="59"/>
  <c r="IQ280" i="59"/>
  <c r="IR280" i="59"/>
  <c r="IS280" i="59"/>
  <c r="IT280" i="59"/>
  <c r="IU280" i="59"/>
  <c r="IV280" i="59"/>
  <c r="F281" i="59"/>
  <c r="G281" i="59"/>
  <c r="H281" i="59"/>
  <c r="I281" i="59"/>
  <c r="J281" i="59"/>
  <c r="K281" i="59"/>
  <c r="L281" i="59"/>
  <c r="M281" i="59"/>
  <c r="N281" i="59"/>
  <c r="O281" i="59"/>
  <c r="P281" i="59"/>
  <c r="Q281" i="59"/>
  <c r="R281" i="59"/>
  <c r="S281" i="59"/>
  <c r="T281" i="59"/>
  <c r="U281" i="59"/>
  <c r="V281" i="59"/>
  <c r="W281" i="59"/>
  <c r="X281" i="59"/>
  <c r="Y281" i="59"/>
  <c r="Z281" i="59"/>
  <c r="AA281" i="59"/>
  <c r="AB281" i="59"/>
  <c r="AC281" i="59"/>
  <c r="AD281" i="59"/>
  <c r="AE281" i="59"/>
  <c r="AF281" i="59"/>
  <c r="AG281" i="59"/>
  <c r="AH281" i="59"/>
  <c r="AI281" i="59"/>
  <c r="AJ281" i="59"/>
  <c r="AK281" i="59"/>
  <c r="AL281" i="59"/>
  <c r="AM281" i="59"/>
  <c r="AN281" i="59"/>
  <c r="AO281" i="59"/>
  <c r="AP281" i="59"/>
  <c r="AQ281" i="59"/>
  <c r="AR281" i="59"/>
  <c r="AS281" i="59"/>
  <c r="AT281" i="59"/>
  <c r="AU281" i="59"/>
  <c r="AV281" i="59"/>
  <c r="AW281" i="59"/>
  <c r="AX281" i="59"/>
  <c r="AY281" i="59"/>
  <c r="AZ281" i="59"/>
  <c r="BA281" i="59"/>
  <c r="BB281" i="59"/>
  <c r="BC281" i="59"/>
  <c r="BD281" i="59"/>
  <c r="BE281" i="59"/>
  <c r="BF281" i="59"/>
  <c r="BG281" i="59"/>
  <c r="BH281" i="59"/>
  <c r="BI281" i="59"/>
  <c r="BJ281" i="59"/>
  <c r="BK281" i="59"/>
  <c r="BL281" i="59"/>
  <c r="BM281" i="59"/>
  <c r="BN281" i="59"/>
  <c r="BO281" i="59"/>
  <c r="BP281" i="59"/>
  <c r="BQ281" i="59"/>
  <c r="BR281" i="59"/>
  <c r="BS281" i="59"/>
  <c r="BT281" i="59"/>
  <c r="BU281" i="59"/>
  <c r="BV281" i="59"/>
  <c r="BW281" i="59"/>
  <c r="BX281" i="59"/>
  <c r="BY281" i="59"/>
  <c r="BZ281" i="59"/>
  <c r="CA281" i="59"/>
  <c r="CB281" i="59"/>
  <c r="CC281" i="59"/>
  <c r="CD281" i="59"/>
  <c r="CE281" i="59"/>
  <c r="CF281" i="59"/>
  <c r="CG281" i="59"/>
  <c r="CH281" i="59"/>
  <c r="CI281" i="59"/>
  <c r="CJ281" i="59"/>
  <c r="CK281" i="59"/>
  <c r="CL281" i="59"/>
  <c r="CM281" i="59"/>
  <c r="CN281" i="59"/>
  <c r="CO281" i="59"/>
  <c r="CP281" i="59"/>
  <c r="CQ281" i="59"/>
  <c r="CR281" i="59"/>
  <c r="CS281" i="59"/>
  <c r="CT281" i="59"/>
  <c r="CU281" i="59"/>
  <c r="CV281" i="59"/>
  <c r="CW281" i="59"/>
  <c r="CX281" i="59"/>
  <c r="CY281" i="59"/>
  <c r="CZ281" i="59"/>
  <c r="DA281" i="59"/>
  <c r="DB281" i="59"/>
  <c r="DC281" i="59"/>
  <c r="DD281" i="59"/>
  <c r="DE281" i="59"/>
  <c r="DF281" i="59"/>
  <c r="DG281" i="59"/>
  <c r="DH281" i="59"/>
  <c r="DI281" i="59"/>
  <c r="DJ281" i="59"/>
  <c r="DK281" i="59"/>
  <c r="DL281" i="59"/>
  <c r="DM281" i="59"/>
  <c r="DN281" i="59"/>
  <c r="DO281" i="59"/>
  <c r="DP281" i="59"/>
  <c r="DQ281" i="59"/>
  <c r="DR281" i="59"/>
  <c r="DS281" i="59"/>
  <c r="DT281" i="59"/>
  <c r="DU281" i="59"/>
  <c r="DV281" i="59"/>
  <c r="DW281" i="59"/>
  <c r="DX281" i="59"/>
  <c r="DY281" i="59"/>
  <c r="DZ281" i="59"/>
  <c r="EA281" i="59"/>
  <c r="EB281" i="59"/>
  <c r="EC281" i="59"/>
  <c r="ED281" i="59"/>
  <c r="EE281" i="59"/>
  <c r="EF281" i="59"/>
  <c r="EG281" i="59"/>
  <c r="EH281" i="59"/>
  <c r="EI281" i="59"/>
  <c r="EJ281" i="59"/>
  <c r="EK281" i="59"/>
  <c r="EL281" i="59"/>
  <c r="EM281" i="59"/>
  <c r="EN281" i="59"/>
  <c r="EO281" i="59"/>
  <c r="EP281" i="59"/>
  <c r="EQ281" i="59"/>
  <c r="ER281" i="59"/>
  <c r="ES281" i="59"/>
  <c r="ET281" i="59"/>
  <c r="EU281" i="59"/>
  <c r="EV281" i="59"/>
  <c r="EW281" i="59"/>
  <c r="EX281" i="59"/>
  <c r="EY281" i="59"/>
  <c r="EZ281" i="59"/>
  <c r="FA281" i="59"/>
  <c r="FB281" i="59"/>
  <c r="FC281" i="59"/>
  <c r="FD281" i="59"/>
  <c r="FE281" i="59"/>
  <c r="FF281" i="59"/>
  <c r="FG281" i="59"/>
  <c r="FH281" i="59"/>
  <c r="FI281" i="59"/>
  <c r="FJ281" i="59"/>
  <c r="FK281" i="59"/>
  <c r="FL281" i="59"/>
  <c r="FM281" i="59"/>
  <c r="FN281" i="59"/>
  <c r="FO281" i="59"/>
  <c r="FP281" i="59"/>
  <c r="FQ281" i="59"/>
  <c r="FR281" i="59"/>
  <c r="FS281" i="59"/>
  <c r="FT281" i="59"/>
  <c r="FU281" i="59"/>
  <c r="FV281" i="59"/>
  <c r="FW281" i="59"/>
  <c r="FX281" i="59"/>
  <c r="FY281" i="59"/>
  <c r="FZ281" i="59"/>
  <c r="GA281" i="59"/>
  <c r="GB281" i="59"/>
  <c r="GC281" i="59"/>
  <c r="GD281" i="59"/>
  <c r="GE281" i="59"/>
  <c r="GF281" i="59"/>
  <c r="GG281" i="59"/>
  <c r="GH281" i="59"/>
  <c r="GI281" i="59"/>
  <c r="GJ281" i="59"/>
  <c r="GK281" i="59"/>
  <c r="GL281" i="59"/>
  <c r="GM281" i="59"/>
  <c r="GN281" i="59"/>
  <c r="GO281" i="59"/>
  <c r="GP281" i="59"/>
  <c r="GQ281" i="59"/>
  <c r="GR281" i="59"/>
  <c r="GS281" i="59"/>
  <c r="GT281" i="59"/>
  <c r="GU281" i="59"/>
  <c r="GV281" i="59"/>
  <c r="GW281" i="59"/>
  <c r="GX281" i="59"/>
  <c r="GY281" i="59"/>
  <c r="GZ281" i="59"/>
  <c r="HA281" i="59"/>
  <c r="HB281" i="59"/>
  <c r="HC281" i="59"/>
  <c r="HD281" i="59"/>
  <c r="HE281" i="59"/>
  <c r="HF281" i="59"/>
  <c r="HG281" i="59"/>
  <c r="HH281" i="59"/>
  <c r="HI281" i="59"/>
  <c r="HJ281" i="59"/>
  <c r="HK281" i="59"/>
  <c r="HL281" i="59"/>
  <c r="HM281" i="59"/>
  <c r="HN281" i="59"/>
  <c r="HO281" i="59"/>
  <c r="HP281" i="59"/>
  <c r="HQ281" i="59"/>
  <c r="HR281" i="59"/>
  <c r="HS281" i="59"/>
  <c r="HT281" i="59"/>
  <c r="HU281" i="59"/>
  <c r="HV281" i="59"/>
  <c r="HW281" i="59"/>
  <c r="HX281" i="59"/>
  <c r="HY281" i="59"/>
  <c r="HZ281" i="59"/>
  <c r="IA281" i="59"/>
  <c r="IB281" i="59"/>
  <c r="IC281" i="59"/>
  <c r="ID281" i="59"/>
  <c r="IE281" i="59"/>
  <c r="IF281" i="59"/>
  <c r="IG281" i="59"/>
  <c r="IH281" i="59"/>
  <c r="II281" i="59"/>
  <c r="IJ281" i="59"/>
  <c r="IK281" i="59"/>
  <c r="IL281" i="59"/>
  <c r="IM281" i="59"/>
  <c r="IN281" i="59"/>
  <c r="IO281" i="59"/>
  <c r="IP281" i="59"/>
  <c r="IQ281" i="59"/>
  <c r="IR281" i="59"/>
  <c r="IS281" i="59"/>
  <c r="IT281" i="59"/>
  <c r="IU281" i="59"/>
  <c r="IV281" i="59"/>
  <c r="F282" i="59"/>
  <c r="G282" i="59"/>
  <c r="H282" i="59"/>
  <c r="I282" i="59"/>
  <c r="J282" i="59"/>
  <c r="K282" i="59"/>
  <c r="L282" i="59"/>
  <c r="M282" i="59"/>
  <c r="N282" i="59"/>
  <c r="O282" i="59"/>
  <c r="P282" i="59"/>
  <c r="Q282" i="59"/>
  <c r="R282" i="59"/>
  <c r="S282" i="59"/>
  <c r="T282" i="59"/>
  <c r="U282" i="59"/>
  <c r="V282" i="59"/>
  <c r="W282" i="59"/>
  <c r="X282" i="59"/>
  <c r="Y282" i="59"/>
  <c r="Z282" i="59"/>
  <c r="AA282" i="59"/>
  <c r="AB282" i="59"/>
  <c r="AC282" i="59"/>
  <c r="AD282" i="59"/>
  <c r="AE282" i="59"/>
  <c r="AF282" i="59"/>
  <c r="AG282" i="59"/>
  <c r="AH282" i="59"/>
  <c r="AI282" i="59"/>
  <c r="AJ282" i="59"/>
  <c r="AK282" i="59"/>
  <c r="AL282" i="59"/>
  <c r="AM282" i="59"/>
  <c r="AN282" i="59"/>
  <c r="AO282" i="59"/>
  <c r="AP282" i="59"/>
  <c r="AQ282" i="59"/>
  <c r="AR282" i="59"/>
  <c r="AS282" i="59"/>
  <c r="AT282" i="59"/>
  <c r="AU282" i="59"/>
  <c r="AV282" i="59"/>
  <c r="AW282" i="59"/>
  <c r="AX282" i="59"/>
  <c r="AY282" i="59"/>
  <c r="AZ282" i="59"/>
  <c r="BA282" i="59"/>
  <c r="BB282" i="59"/>
  <c r="BC282" i="59"/>
  <c r="BD282" i="59"/>
  <c r="BE282" i="59"/>
  <c r="BF282" i="59"/>
  <c r="BG282" i="59"/>
  <c r="BH282" i="59"/>
  <c r="BI282" i="59"/>
  <c r="BJ282" i="59"/>
  <c r="BK282" i="59"/>
  <c r="BL282" i="59"/>
  <c r="BM282" i="59"/>
  <c r="BN282" i="59"/>
  <c r="BO282" i="59"/>
  <c r="BP282" i="59"/>
  <c r="BQ282" i="59"/>
  <c r="BR282" i="59"/>
  <c r="BS282" i="59"/>
  <c r="BT282" i="59"/>
  <c r="BU282" i="59"/>
  <c r="BV282" i="59"/>
  <c r="BW282" i="59"/>
  <c r="BX282" i="59"/>
  <c r="BY282" i="59"/>
  <c r="BZ282" i="59"/>
  <c r="CA282" i="59"/>
  <c r="CB282" i="59"/>
  <c r="CC282" i="59"/>
  <c r="CD282" i="59"/>
  <c r="CE282" i="59"/>
  <c r="CF282" i="59"/>
  <c r="CG282" i="59"/>
  <c r="CH282" i="59"/>
  <c r="CI282" i="59"/>
  <c r="CJ282" i="59"/>
  <c r="CK282" i="59"/>
  <c r="CL282" i="59"/>
  <c r="CM282" i="59"/>
  <c r="CN282" i="59"/>
  <c r="CO282" i="59"/>
  <c r="CP282" i="59"/>
  <c r="CQ282" i="59"/>
  <c r="CR282" i="59"/>
  <c r="CS282" i="59"/>
  <c r="CT282" i="59"/>
  <c r="CU282" i="59"/>
  <c r="CV282" i="59"/>
  <c r="CW282" i="59"/>
  <c r="CX282" i="59"/>
  <c r="CY282" i="59"/>
  <c r="CZ282" i="59"/>
  <c r="DA282" i="59"/>
  <c r="DB282" i="59"/>
  <c r="DC282" i="59"/>
  <c r="DD282" i="59"/>
  <c r="DE282" i="59"/>
  <c r="DF282" i="59"/>
  <c r="DG282" i="59"/>
  <c r="DH282" i="59"/>
  <c r="DI282" i="59"/>
  <c r="DJ282" i="59"/>
  <c r="DK282" i="59"/>
  <c r="DL282" i="59"/>
  <c r="DM282" i="59"/>
  <c r="DN282" i="59"/>
  <c r="DO282" i="59"/>
  <c r="DP282" i="59"/>
  <c r="DQ282" i="59"/>
  <c r="DR282" i="59"/>
  <c r="DS282" i="59"/>
  <c r="DT282" i="59"/>
  <c r="DU282" i="59"/>
  <c r="DV282" i="59"/>
  <c r="DW282" i="59"/>
  <c r="DX282" i="59"/>
  <c r="DY282" i="59"/>
  <c r="DZ282" i="59"/>
  <c r="EA282" i="59"/>
  <c r="EB282" i="59"/>
  <c r="EC282" i="59"/>
  <c r="ED282" i="59"/>
  <c r="EE282" i="59"/>
  <c r="EF282" i="59"/>
  <c r="EG282" i="59"/>
  <c r="EH282" i="59"/>
  <c r="EI282" i="59"/>
  <c r="EJ282" i="59"/>
  <c r="EK282" i="59"/>
  <c r="EL282" i="59"/>
  <c r="EM282" i="59"/>
  <c r="EN282" i="59"/>
  <c r="EO282" i="59"/>
  <c r="EP282" i="59"/>
  <c r="EQ282" i="59"/>
  <c r="ER282" i="59"/>
  <c r="ES282" i="59"/>
  <c r="ET282" i="59"/>
  <c r="EU282" i="59"/>
  <c r="EV282" i="59"/>
  <c r="EW282" i="59"/>
  <c r="EX282" i="59"/>
  <c r="EY282" i="59"/>
  <c r="EZ282" i="59"/>
  <c r="FA282" i="59"/>
  <c r="FB282" i="59"/>
  <c r="FC282" i="59"/>
  <c r="FD282" i="59"/>
  <c r="FE282" i="59"/>
  <c r="FF282" i="59"/>
  <c r="FG282" i="59"/>
  <c r="FH282" i="59"/>
  <c r="FI282" i="59"/>
  <c r="FJ282" i="59"/>
  <c r="FK282" i="59"/>
  <c r="FL282" i="59"/>
  <c r="FM282" i="59"/>
  <c r="FN282" i="59"/>
  <c r="FO282" i="59"/>
  <c r="FP282" i="59"/>
  <c r="FQ282" i="59"/>
  <c r="FR282" i="59"/>
  <c r="FS282" i="59"/>
  <c r="FT282" i="59"/>
  <c r="FU282" i="59"/>
  <c r="FV282" i="59"/>
  <c r="FW282" i="59"/>
  <c r="FX282" i="59"/>
  <c r="FY282" i="59"/>
  <c r="FZ282" i="59"/>
  <c r="GA282" i="59"/>
  <c r="GB282" i="59"/>
  <c r="GC282" i="59"/>
  <c r="GD282" i="59"/>
  <c r="GE282" i="59"/>
  <c r="GF282" i="59"/>
  <c r="GG282" i="59"/>
  <c r="GH282" i="59"/>
  <c r="GI282" i="59"/>
  <c r="GJ282" i="59"/>
  <c r="GK282" i="59"/>
  <c r="GL282" i="59"/>
  <c r="GM282" i="59"/>
  <c r="GN282" i="59"/>
  <c r="GO282" i="59"/>
  <c r="GP282" i="59"/>
  <c r="GQ282" i="59"/>
  <c r="GR282" i="59"/>
  <c r="GS282" i="59"/>
  <c r="GT282" i="59"/>
  <c r="GU282" i="59"/>
  <c r="GV282" i="59"/>
  <c r="GW282" i="59"/>
  <c r="GX282" i="59"/>
  <c r="GY282" i="59"/>
  <c r="GZ282" i="59"/>
  <c r="HA282" i="59"/>
  <c r="HB282" i="59"/>
  <c r="HC282" i="59"/>
  <c r="HD282" i="59"/>
  <c r="HE282" i="59"/>
  <c r="HF282" i="59"/>
  <c r="HG282" i="59"/>
  <c r="HH282" i="59"/>
  <c r="HI282" i="59"/>
  <c r="HJ282" i="59"/>
  <c r="HK282" i="59"/>
  <c r="HL282" i="59"/>
  <c r="HM282" i="59"/>
  <c r="HN282" i="59"/>
  <c r="HO282" i="59"/>
  <c r="HP282" i="59"/>
  <c r="HQ282" i="59"/>
  <c r="HR282" i="59"/>
  <c r="HS282" i="59"/>
  <c r="HT282" i="59"/>
  <c r="HU282" i="59"/>
  <c r="HV282" i="59"/>
  <c r="HW282" i="59"/>
  <c r="HX282" i="59"/>
  <c r="HY282" i="59"/>
  <c r="HZ282" i="59"/>
  <c r="IA282" i="59"/>
  <c r="IB282" i="59"/>
  <c r="IC282" i="59"/>
  <c r="ID282" i="59"/>
  <c r="IE282" i="59"/>
  <c r="IF282" i="59"/>
  <c r="IG282" i="59"/>
  <c r="IH282" i="59"/>
  <c r="II282" i="59"/>
  <c r="IJ282" i="59"/>
  <c r="IK282" i="59"/>
  <c r="IL282" i="59"/>
  <c r="IM282" i="59"/>
  <c r="IN282" i="59"/>
  <c r="IO282" i="59"/>
  <c r="IP282" i="59"/>
  <c r="IQ282" i="59"/>
  <c r="IR282" i="59"/>
  <c r="IS282" i="59"/>
  <c r="IT282" i="59"/>
  <c r="IU282" i="59"/>
  <c r="IV282" i="59"/>
  <c r="F283" i="59"/>
  <c r="G283" i="59"/>
  <c r="H283" i="59"/>
  <c r="I283" i="59"/>
  <c r="J283" i="59"/>
  <c r="K283" i="59"/>
  <c r="L283" i="59"/>
  <c r="M283" i="59"/>
  <c r="N283" i="59"/>
  <c r="O283" i="59"/>
  <c r="P283" i="59"/>
  <c r="Q283" i="59"/>
  <c r="R283" i="59"/>
  <c r="S283" i="59"/>
  <c r="T283" i="59"/>
  <c r="U283" i="59"/>
  <c r="V283" i="59"/>
  <c r="W283" i="59"/>
  <c r="X283" i="59"/>
  <c r="Y283" i="59"/>
  <c r="Z283" i="59"/>
  <c r="AA283" i="59"/>
  <c r="AB283" i="59"/>
  <c r="AC283" i="59"/>
  <c r="AD283" i="59"/>
  <c r="AE283" i="59"/>
  <c r="AF283" i="59"/>
  <c r="AG283" i="59"/>
  <c r="AH283" i="59"/>
  <c r="AI283" i="59"/>
  <c r="AJ283" i="59"/>
  <c r="AK283" i="59"/>
  <c r="AL283" i="59"/>
  <c r="AM283" i="59"/>
  <c r="AN283" i="59"/>
  <c r="AO283" i="59"/>
  <c r="AP283" i="59"/>
  <c r="AQ283" i="59"/>
  <c r="AR283" i="59"/>
  <c r="AS283" i="59"/>
  <c r="AT283" i="59"/>
  <c r="AU283" i="59"/>
  <c r="AV283" i="59"/>
  <c r="AW283" i="59"/>
  <c r="AX283" i="59"/>
  <c r="AY283" i="59"/>
  <c r="AZ283" i="59"/>
  <c r="BA283" i="59"/>
  <c r="BB283" i="59"/>
  <c r="BC283" i="59"/>
  <c r="BD283" i="59"/>
  <c r="BE283" i="59"/>
  <c r="BF283" i="59"/>
  <c r="BG283" i="59"/>
  <c r="BH283" i="59"/>
  <c r="BI283" i="59"/>
  <c r="BJ283" i="59"/>
  <c r="BK283" i="59"/>
  <c r="BL283" i="59"/>
  <c r="BM283" i="59"/>
  <c r="BN283" i="59"/>
  <c r="BO283" i="59"/>
  <c r="BP283" i="59"/>
  <c r="BQ283" i="59"/>
  <c r="BR283" i="59"/>
  <c r="BS283" i="59"/>
  <c r="BT283" i="59"/>
  <c r="BU283" i="59"/>
  <c r="BV283" i="59"/>
  <c r="BW283" i="59"/>
  <c r="BX283" i="59"/>
  <c r="BY283" i="59"/>
  <c r="BZ283" i="59"/>
  <c r="CA283" i="59"/>
  <c r="CB283" i="59"/>
  <c r="CC283" i="59"/>
  <c r="CD283" i="59"/>
  <c r="CE283" i="59"/>
  <c r="CF283" i="59"/>
  <c r="CG283" i="59"/>
  <c r="CH283" i="59"/>
  <c r="CI283" i="59"/>
  <c r="CJ283" i="59"/>
  <c r="CK283" i="59"/>
  <c r="CL283" i="59"/>
  <c r="CM283" i="59"/>
  <c r="CN283" i="59"/>
  <c r="CO283" i="59"/>
  <c r="CP283" i="59"/>
  <c r="CQ283" i="59"/>
  <c r="CR283" i="59"/>
  <c r="CS283" i="59"/>
  <c r="CT283" i="59"/>
  <c r="CU283" i="59"/>
  <c r="CV283" i="59"/>
  <c r="CW283" i="59"/>
  <c r="CX283" i="59"/>
  <c r="CY283" i="59"/>
  <c r="CZ283" i="59"/>
  <c r="DA283" i="59"/>
  <c r="DB283" i="59"/>
  <c r="DC283" i="59"/>
  <c r="DD283" i="59"/>
  <c r="DE283" i="59"/>
  <c r="DF283" i="59"/>
  <c r="DG283" i="59"/>
  <c r="DH283" i="59"/>
  <c r="DI283" i="59"/>
  <c r="DJ283" i="59"/>
  <c r="DK283" i="59"/>
  <c r="DL283" i="59"/>
  <c r="DM283" i="59"/>
  <c r="DN283" i="59"/>
  <c r="DO283" i="59"/>
  <c r="DP283" i="59"/>
  <c r="DQ283" i="59"/>
  <c r="DR283" i="59"/>
  <c r="DS283" i="59"/>
  <c r="DT283" i="59"/>
  <c r="DU283" i="59"/>
  <c r="DV283" i="59"/>
  <c r="DW283" i="59"/>
  <c r="DX283" i="59"/>
  <c r="DY283" i="59"/>
  <c r="DZ283" i="59"/>
  <c r="EA283" i="59"/>
  <c r="EB283" i="59"/>
  <c r="EC283" i="59"/>
  <c r="ED283" i="59"/>
  <c r="EE283" i="59"/>
  <c r="EF283" i="59"/>
  <c r="EG283" i="59"/>
  <c r="EH283" i="59"/>
  <c r="EI283" i="59"/>
  <c r="EJ283" i="59"/>
  <c r="EK283" i="59"/>
  <c r="EL283" i="59"/>
  <c r="EM283" i="59"/>
  <c r="EN283" i="59"/>
  <c r="EO283" i="59"/>
  <c r="EP283" i="59"/>
  <c r="EQ283" i="59"/>
  <c r="ER283" i="59"/>
  <c r="ES283" i="59"/>
  <c r="ET283" i="59"/>
  <c r="EU283" i="59"/>
  <c r="EV283" i="59"/>
  <c r="EW283" i="59"/>
  <c r="EX283" i="59"/>
  <c r="EY283" i="59"/>
  <c r="EZ283" i="59"/>
  <c r="FA283" i="59"/>
  <c r="FB283" i="59"/>
  <c r="FC283" i="59"/>
  <c r="FD283" i="59"/>
  <c r="FE283" i="59"/>
  <c r="FF283" i="59"/>
  <c r="FG283" i="59"/>
  <c r="FH283" i="59"/>
  <c r="FI283" i="59"/>
  <c r="FJ283" i="59"/>
  <c r="FK283" i="59"/>
  <c r="FL283" i="59"/>
  <c r="FM283" i="59"/>
  <c r="FN283" i="59"/>
  <c r="FO283" i="59"/>
  <c r="FP283" i="59"/>
  <c r="FQ283" i="59"/>
  <c r="FR283" i="59"/>
  <c r="FS283" i="59"/>
  <c r="FT283" i="59"/>
  <c r="FU283" i="59"/>
  <c r="FV283" i="59"/>
  <c r="FW283" i="59"/>
  <c r="FX283" i="59"/>
  <c r="FY283" i="59"/>
  <c r="FZ283" i="59"/>
  <c r="GA283" i="59"/>
  <c r="GB283" i="59"/>
  <c r="GC283" i="59"/>
  <c r="GD283" i="59"/>
  <c r="GE283" i="59"/>
  <c r="GF283" i="59"/>
  <c r="GG283" i="59"/>
  <c r="GH283" i="59"/>
  <c r="GI283" i="59"/>
  <c r="GJ283" i="59"/>
  <c r="GK283" i="59"/>
  <c r="GL283" i="59"/>
  <c r="GM283" i="59"/>
  <c r="GN283" i="59"/>
  <c r="GO283" i="59"/>
  <c r="GP283" i="59"/>
  <c r="GQ283" i="59"/>
  <c r="GR283" i="59"/>
  <c r="GS283" i="59"/>
  <c r="GT283" i="59"/>
  <c r="GU283" i="59"/>
  <c r="GV283" i="59"/>
  <c r="GW283" i="59"/>
  <c r="GX283" i="59"/>
  <c r="GY283" i="59"/>
  <c r="GZ283" i="59"/>
  <c r="HA283" i="59"/>
  <c r="HB283" i="59"/>
  <c r="HC283" i="59"/>
  <c r="HD283" i="59"/>
  <c r="HE283" i="59"/>
  <c r="HF283" i="59"/>
  <c r="HG283" i="59"/>
  <c r="HH283" i="59"/>
  <c r="HI283" i="59"/>
  <c r="HJ283" i="59"/>
  <c r="HK283" i="59"/>
  <c r="HL283" i="59"/>
  <c r="HM283" i="59"/>
  <c r="HN283" i="59"/>
  <c r="HO283" i="59"/>
  <c r="HP283" i="59"/>
  <c r="HQ283" i="59"/>
  <c r="HR283" i="59"/>
  <c r="HS283" i="59"/>
  <c r="HT283" i="59"/>
  <c r="HU283" i="59"/>
  <c r="HV283" i="59"/>
  <c r="HW283" i="59"/>
  <c r="HX283" i="59"/>
  <c r="HY283" i="59"/>
  <c r="HZ283" i="59"/>
  <c r="IA283" i="59"/>
  <c r="IB283" i="59"/>
  <c r="IC283" i="59"/>
  <c r="ID283" i="59"/>
  <c r="IE283" i="59"/>
  <c r="IF283" i="59"/>
  <c r="IG283" i="59"/>
  <c r="IH283" i="59"/>
  <c r="II283" i="59"/>
  <c r="IJ283" i="59"/>
  <c r="IK283" i="59"/>
  <c r="IL283" i="59"/>
  <c r="IM283" i="59"/>
  <c r="IN283" i="59"/>
  <c r="IO283" i="59"/>
  <c r="IP283" i="59"/>
  <c r="IQ283" i="59"/>
  <c r="IR283" i="59"/>
  <c r="IS283" i="59"/>
  <c r="IT283" i="59"/>
  <c r="IU283" i="59"/>
  <c r="IV283" i="59"/>
  <c r="F284" i="59"/>
  <c r="G284" i="59"/>
  <c r="H284" i="59"/>
  <c r="I284" i="59"/>
  <c r="J284" i="59"/>
  <c r="K284" i="59"/>
  <c r="L284" i="59"/>
  <c r="M284" i="59"/>
  <c r="N284" i="59"/>
  <c r="O284" i="59"/>
  <c r="P284" i="59"/>
  <c r="Q284" i="59"/>
  <c r="R284" i="59"/>
  <c r="S284" i="59"/>
  <c r="T284" i="59"/>
  <c r="U284" i="59"/>
  <c r="V284" i="59"/>
  <c r="W284" i="59"/>
  <c r="X284" i="59"/>
  <c r="Y284" i="59"/>
  <c r="Z284" i="59"/>
  <c r="AA284" i="59"/>
  <c r="AB284" i="59"/>
  <c r="AC284" i="59"/>
  <c r="AD284" i="59"/>
  <c r="AE284" i="59"/>
  <c r="AF284" i="59"/>
  <c r="AG284" i="59"/>
  <c r="AH284" i="59"/>
  <c r="AI284" i="59"/>
  <c r="AJ284" i="59"/>
  <c r="AK284" i="59"/>
  <c r="AL284" i="59"/>
  <c r="AM284" i="59"/>
  <c r="AN284" i="59"/>
  <c r="AO284" i="59"/>
  <c r="AP284" i="59"/>
  <c r="AQ284" i="59"/>
  <c r="AR284" i="59"/>
  <c r="AS284" i="59"/>
  <c r="AT284" i="59"/>
  <c r="AU284" i="59"/>
  <c r="AV284" i="59"/>
  <c r="AW284" i="59"/>
  <c r="AX284" i="59"/>
  <c r="AY284" i="59"/>
  <c r="AZ284" i="59"/>
  <c r="BA284" i="59"/>
  <c r="BB284" i="59"/>
  <c r="BC284" i="59"/>
  <c r="BD284" i="59"/>
  <c r="BE284" i="59"/>
  <c r="BF284" i="59"/>
  <c r="BG284" i="59"/>
  <c r="BH284" i="59"/>
  <c r="BI284" i="59"/>
  <c r="BJ284" i="59"/>
  <c r="BK284" i="59"/>
  <c r="BL284" i="59"/>
  <c r="BM284" i="59"/>
  <c r="BN284" i="59"/>
  <c r="BO284" i="59"/>
  <c r="BP284" i="59"/>
  <c r="BQ284" i="59"/>
  <c r="BR284" i="59"/>
  <c r="BS284" i="59"/>
  <c r="BT284" i="59"/>
  <c r="BU284" i="59"/>
  <c r="BV284" i="59"/>
  <c r="BW284" i="59"/>
  <c r="BX284" i="59"/>
  <c r="BY284" i="59"/>
  <c r="BZ284" i="59"/>
  <c r="CA284" i="59"/>
  <c r="CB284" i="59"/>
  <c r="CC284" i="59"/>
  <c r="CD284" i="59"/>
  <c r="CE284" i="59"/>
  <c r="CF284" i="59"/>
  <c r="CG284" i="59"/>
  <c r="CH284" i="59"/>
  <c r="CI284" i="59"/>
  <c r="CJ284" i="59"/>
  <c r="CK284" i="59"/>
  <c r="CL284" i="59"/>
  <c r="CM284" i="59"/>
  <c r="CN284" i="59"/>
  <c r="CO284" i="59"/>
  <c r="CP284" i="59"/>
  <c r="CQ284" i="59"/>
  <c r="CR284" i="59"/>
  <c r="CS284" i="59"/>
  <c r="CT284" i="59"/>
  <c r="CU284" i="59"/>
  <c r="CV284" i="59"/>
  <c r="CW284" i="59"/>
  <c r="CX284" i="59"/>
  <c r="CY284" i="59"/>
  <c r="CZ284" i="59"/>
  <c r="DA284" i="59"/>
  <c r="DB284" i="59"/>
  <c r="DC284" i="59"/>
  <c r="DD284" i="59"/>
  <c r="DE284" i="59"/>
  <c r="DF284" i="59"/>
  <c r="DG284" i="59"/>
  <c r="DH284" i="59"/>
  <c r="DI284" i="59"/>
  <c r="DJ284" i="59"/>
  <c r="DK284" i="59"/>
  <c r="DL284" i="59"/>
  <c r="DM284" i="59"/>
  <c r="DN284" i="59"/>
  <c r="DO284" i="59"/>
  <c r="DP284" i="59"/>
  <c r="DQ284" i="59"/>
  <c r="DR284" i="59"/>
  <c r="DS284" i="59"/>
  <c r="DT284" i="59"/>
  <c r="DU284" i="59"/>
  <c r="DV284" i="59"/>
  <c r="DW284" i="59"/>
  <c r="DX284" i="59"/>
  <c r="DY284" i="59"/>
  <c r="DZ284" i="59"/>
  <c r="EA284" i="59"/>
  <c r="EB284" i="59"/>
  <c r="EC284" i="59"/>
  <c r="ED284" i="59"/>
  <c r="EE284" i="59"/>
  <c r="EF284" i="59"/>
  <c r="EG284" i="59"/>
  <c r="EH284" i="59"/>
  <c r="EI284" i="59"/>
  <c r="EJ284" i="59"/>
  <c r="EK284" i="59"/>
  <c r="EL284" i="59"/>
  <c r="EM284" i="59"/>
  <c r="EN284" i="59"/>
  <c r="EO284" i="59"/>
  <c r="EP284" i="59"/>
  <c r="EQ284" i="59"/>
  <c r="ER284" i="59"/>
  <c r="ES284" i="59"/>
  <c r="ET284" i="59"/>
  <c r="EU284" i="59"/>
  <c r="EV284" i="59"/>
  <c r="EW284" i="59"/>
  <c r="EX284" i="59"/>
  <c r="EY284" i="59"/>
  <c r="EZ284" i="59"/>
  <c r="FA284" i="59"/>
  <c r="FB284" i="59"/>
  <c r="FC284" i="59"/>
  <c r="FD284" i="59"/>
  <c r="FE284" i="59"/>
  <c r="FF284" i="59"/>
  <c r="FG284" i="59"/>
  <c r="FH284" i="59"/>
  <c r="FI284" i="59"/>
  <c r="FJ284" i="59"/>
  <c r="FK284" i="59"/>
  <c r="FL284" i="59"/>
  <c r="FM284" i="59"/>
  <c r="FN284" i="59"/>
  <c r="FO284" i="59"/>
  <c r="FP284" i="59"/>
  <c r="FQ284" i="59"/>
  <c r="FR284" i="59"/>
  <c r="FS284" i="59"/>
  <c r="FT284" i="59"/>
  <c r="FU284" i="59"/>
  <c r="FV284" i="59"/>
  <c r="FW284" i="59"/>
  <c r="FX284" i="59"/>
  <c r="FY284" i="59"/>
  <c r="FZ284" i="59"/>
  <c r="GA284" i="59"/>
  <c r="GB284" i="59"/>
  <c r="GC284" i="59"/>
  <c r="GD284" i="59"/>
  <c r="GE284" i="59"/>
  <c r="GF284" i="59"/>
  <c r="GG284" i="59"/>
  <c r="GH284" i="59"/>
  <c r="GI284" i="59"/>
  <c r="GJ284" i="59"/>
  <c r="GK284" i="59"/>
  <c r="GL284" i="59"/>
  <c r="GM284" i="59"/>
  <c r="GN284" i="59"/>
  <c r="GO284" i="59"/>
  <c r="GP284" i="59"/>
  <c r="GQ284" i="59"/>
  <c r="GR284" i="59"/>
  <c r="GS284" i="59"/>
  <c r="GT284" i="59"/>
  <c r="GU284" i="59"/>
  <c r="GV284" i="59"/>
  <c r="GW284" i="59"/>
  <c r="GX284" i="59"/>
  <c r="GY284" i="59"/>
  <c r="GZ284" i="59"/>
  <c r="HA284" i="59"/>
  <c r="HB284" i="59"/>
  <c r="HC284" i="59"/>
  <c r="HD284" i="59"/>
  <c r="HE284" i="59"/>
  <c r="HF284" i="59"/>
  <c r="HG284" i="59"/>
  <c r="HH284" i="59"/>
  <c r="HI284" i="59"/>
  <c r="HJ284" i="59"/>
  <c r="HK284" i="59"/>
  <c r="HL284" i="59"/>
  <c r="HM284" i="59"/>
  <c r="HN284" i="59"/>
  <c r="HO284" i="59"/>
  <c r="HP284" i="59"/>
  <c r="HQ284" i="59"/>
  <c r="HR284" i="59"/>
  <c r="HS284" i="59"/>
  <c r="HT284" i="59"/>
  <c r="HU284" i="59"/>
  <c r="HV284" i="59"/>
  <c r="HW284" i="59"/>
  <c r="HX284" i="59"/>
  <c r="HY284" i="59"/>
  <c r="HZ284" i="59"/>
  <c r="IA284" i="59"/>
  <c r="IB284" i="59"/>
  <c r="IC284" i="59"/>
  <c r="ID284" i="59"/>
  <c r="IE284" i="59"/>
  <c r="IF284" i="59"/>
  <c r="IG284" i="59"/>
  <c r="IH284" i="59"/>
  <c r="II284" i="59"/>
  <c r="IJ284" i="59"/>
  <c r="IK284" i="59"/>
  <c r="IL284" i="59"/>
  <c r="IM284" i="59"/>
  <c r="IN284" i="59"/>
  <c r="IO284" i="59"/>
  <c r="IP284" i="59"/>
  <c r="IQ284" i="59"/>
  <c r="IR284" i="59"/>
  <c r="IS284" i="59"/>
  <c r="IT284" i="59"/>
  <c r="IU284" i="59"/>
  <c r="IV284" i="59"/>
  <c r="F285" i="59"/>
  <c r="G285" i="59"/>
  <c r="H285" i="59"/>
  <c r="I285" i="59"/>
  <c r="J285" i="59"/>
  <c r="K285" i="59"/>
  <c r="L285" i="59"/>
  <c r="M285" i="59"/>
  <c r="N285" i="59"/>
  <c r="O285" i="59"/>
  <c r="P285" i="59"/>
  <c r="Q285" i="59"/>
  <c r="R285" i="59"/>
  <c r="S285" i="59"/>
  <c r="T285" i="59"/>
  <c r="U285" i="59"/>
  <c r="V285" i="59"/>
  <c r="W285" i="59"/>
  <c r="X285" i="59"/>
  <c r="Y285" i="59"/>
  <c r="Z285" i="59"/>
  <c r="AA285" i="59"/>
  <c r="AB285" i="59"/>
  <c r="AC285" i="59"/>
  <c r="AD285" i="59"/>
  <c r="AE285" i="59"/>
  <c r="AF285" i="59"/>
  <c r="AG285" i="59"/>
  <c r="AH285" i="59"/>
  <c r="AI285" i="59"/>
  <c r="AJ285" i="59"/>
  <c r="AK285" i="59"/>
  <c r="AL285" i="59"/>
  <c r="AM285" i="59"/>
  <c r="AN285" i="59"/>
  <c r="AO285" i="59"/>
  <c r="AP285" i="59"/>
  <c r="AQ285" i="59"/>
  <c r="AR285" i="59"/>
  <c r="AS285" i="59"/>
  <c r="AT285" i="59"/>
  <c r="AU285" i="59"/>
  <c r="AV285" i="59"/>
  <c r="AW285" i="59"/>
  <c r="AX285" i="59"/>
  <c r="AY285" i="59"/>
  <c r="AZ285" i="59"/>
  <c r="BA285" i="59"/>
  <c r="BB285" i="59"/>
  <c r="BC285" i="59"/>
  <c r="BD285" i="59"/>
  <c r="BE285" i="59"/>
  <c r="BF285" i="59"/>
  <c r="BG285" i="59"/>
  <c r="BH285" i="59"/>
  <c r="BI285" i="59"/>
  <c r="BJ285" i="59"/>
  <c r="BK285" i="59"/>
  <c r="BL285" i="59"/>
  <c r="BM285" i="59"/>
  <c r="BN285" i="59"/>
  <c r="BO285" i="59"/>
  <c r="BP285" i="59"/>
  <c r="BQ285" i="59"/>
  <c r="BR285" i="59"/>
  <c r="BS285" i="59"/>
  <c r="BT285" i="59"/>
  <c r="BU285" i="59"/>
  <c r="BV285" i="59"/>
  <c r="BW285" i="59"/>
  <c r="BX285" i="59"/>
  <c r="BY285" i="59"/>
  <c r="BZ285" i="59"/>
  <c r="CA285" i="59"/>
  <c r="CB285" i="59"/>
  <c r="CC285" i="59"/>
  <c r="CD285" i="59"/>
  <c r="CE285" i="59"/>
  <c r="CF285" i="59"/>
  <c r="CG285" i="59"/>
  <c r="CH285" i="59"/>
  <c r="CI285" i="59"/>
  <c r="CJ285" i="59"/>
  <c r="CK285" i="59"/>
  <c r="CL285" i="59"/>
  <c r="CM285" i="59"/>
  <c r="CN285" i="59"/>
  <c r="CO285" i="59"/>
  <c r="CP285" i="59"/>
  <c r="CQ285" i="59"/>
  <c r="CR285" i="59"/>
  <c r="CS285" i="59"/>
  <c r="CT285" i="59"/>
  <c r="CU285" i="59"/>
  <c r="CV285" i="59"/>
  <c r="CW285" i="59"/>
  <c r="CX285" i="59"/>
  <c r="CY285" i="59"/>
  <c r="CZ285" i="59"/>
  <c r="DA285" i="59"/>
  <c r="DB285" i="59"/>
  <c r="DC285" i="59"/>
  <c r="DD285" i="59"/>
  <c r="DE285" i="59"/>
  <c r="DF285" i="59"/>
  <c r="DG285" i="59"/>
  <c r="DH285" i="59"/>
  <c r="DI285" i="59"/>
  <c r="DJ285" i="59"/>
  <c r="DK285" i="59"/>
  <c r="DL285" i="59"/>
  <c r="DM285" i="59"/>
  <c r="DN285" i="59"/>
  <c r="DO285" i="59"/>
  <c r="DP285" i="59"/>
  <c r="DQ285" i="59"/>
  <c r="DR285" i="59"/>
  <c r="DS285" i="59"/>
  <c r="DT285" i="59"/>
  <c r="DU285" i="59"/>
  <c r="DV285" i="59"/>
  <c r="DW285" i="59"/>
  <c r="DX285" i="59"/>
  <c r="DY285" i="59"/>
  <c r="DZ285" i="59"/>
  <c r="EA285" i="59"/>
  <c r="EB285" i="59"/>
  <c r="EC285" i="59"/>
  <c r="ED285" i="59"/>
  <c r="EE285" i="59"/>
  <c r="EF285" i="59"/>
  <c r="EG285" i="59"/>
  <c r="EH285" i="59"/>
  <c r="EI285" i="59"/>
  <c r="EJ285" i="59"/>
  <c r="EK285" i="59"/>
  <c r="EL285" i="59"/>
  <c r="EM285" i="59"/>
  <c r="EN285" i="59"/>
  <c r="EO285" i="59"/>
  <c r="EP285" i="59"/>
  <c r="EQ285" i="59"/>
  <c r="ER285" i="59"/>
  <c r="ES285" i="59"/>
  <c r="ET285" i="59"/>
  <c r="EU285" i="59"/>
  <c r="EV285" i="59"/>
  <c r="EW285" i="59"/>
  <c r="EX285" i="59"/>
  <c r="EY285" i="59"/>
  <c r="EZ285" i="59"/>
  <c r="FA285" i="59"/>
  <c r="FB285" i="59"/>
  <c r="FC285" i="59"/>
  <c r="FD285" i="59"/>
  <c r="FE285" i="59"/>
  <c r="FF285" i="59"/>
  <c r="FG285" i="59"/>
  <c r="FH285" i="59"/>
  <c r="FI285" i="59"/>
  <c r="FJ285" i="59"/>
  <c r="FK285" i="59"/>
  <c r="FL285" i="59"/>
  <c r="FM285" i="59"/>
  <c r="FN285" i="59"/>
  <c r="FO285" i="59"/>
  <c r="FP285" i="59"/>
  <c r="FQ285" i="59"/>
  <c r="FR285" i="59"/>
  <c r="FS285" i="59"/>
  <c r="FT285" i="59"/>
  <c r="FU285" i="59"/>
  <c r="FV285" i="59"/>
  <c r="FW285" i="59"/>
  <c r="FX285" i="59"/>
  <c r="FY285" i="59"/>
  <c r="FZ285" i="59"/>
  <c r="GA285" i="59"/>
  <c r="GB285" i="59"/>
  <c r="GC285" i="59"/>
  <c r="GD285" i="59"/>
  <c r="GE285" i="59"/>
  <c r="GF285" i="59"/>
  <c r="GG285" i="59"/>
  <c r="GH285" i="59"/>
  <c r="GI285" i="59"/>
  <c r="GJ285" i="59"/>
  <c r="GK285" i="59"/>
  <c r="GL285" i="59"/>
  <c r="GM285" i="59"/>
  <c r="GN285" i="59"/>
  <c r="GO285" i="59"/>
  <c r="GP285" i="59"/>
  <c r="GQ285" i="59"/>
  <c r="GR285" i="59"/>
  <c r="GS285" i="59"/>
  <c r="GT285" i="59"/>
  <c r="GU285" i="59"/>
  <c r="GV285" i="59"/>
  <c r="GW285" i="59"/>
  <c r="GX285" i="59"/>
  <c r="GY285" i="59"/>
  <c r="GZ285" i="59"/>
  <c r="HA285" i="59"/>
  <c r="HB285" i="59"/>
  <c r="HC285" i="59"/>
  <c r="HD285" i="59"/>
  <c r="HE285" i="59"/>
  <c r="HF285" i="59"/>
  <c r="HG285" i="59"/>
  <c r="HH285" i="59"/>
  <c r="HI285" i="59"/>
  <c r="HJ285" i="59"/>
  <c r="HK285" i="59"/>
  <c r="HL285" i="59"/>
  <c r="HM285" i="59"/>
  <c r="HN285" i="59"/>
  <c r="HO285" i="59"/>
  <c r="HP285" i="59"/>
  <c r="HQ285" i="59"/>
  <c r="HR285" i="59"/>
  <c r="HS285" i="59"/>
  <c r="HT285" i="59"/>
  <c r="HU285" i="59"/>
  <c r="HV285" i="59"/>
  <c r="HW285" i="59"/>
  <c r="HX285" i="59"/>
  <c r="HY285" i="59"/>
  <c r="HZ285" i="59"/>
  <c r="IA285" i="59"/>
  <c r="IB285" i="59"/>
  <c r="IC285" i="59"/>
  <c r="ID285" i="59"/>
  <c r="IE285" i="59"/>
  <c r="IF285" i="59"/>
  <c r="IG285" i="59"/>
  <c r="IH285" i="59"/>
  <c r="II285" i="59"/>
  <c r="IJ285" i="59"/>
  <c r="IK285" i="59"/>
  <c r="IL285" i="59"/>
  <c r="IM285" i="59"/>
  <c r="IN285" i="59"/>
  <c r="IO285" i="59"/>
  <c r="IP285" i="59"/>
  <c r="IQ285" i="59"/>
  <c r="IR285" i="59"/>
  <c r="IS285" i="59"/>
  <c r="IT285" i="59"/>
  <c r="IU285" i="59"/>
  <c r="IV285" i="59"/>
  <c r="F286" i="59"/>
  <c r="G286" i="59"/>
  <c r="H286" i="59"/>
  <c r="I286" i="59"/>
  <c r="J286" i="59"/>
  <c r="K286" i="59"/>
  <c r="L286" i="59"/>
  <c r="M286" i="59"/>
  <c r="N286" i="59"/>
  <c r="O286" i="59"/>
  <c r="P286" i="59"/>
  <c r="Q286" i="59"/>
  <c r="R286" i="59"/>
  <c r="S286" i="59"/>
  <c r="T286" i="59"/>
  <c r="U286" i="59"/>
  <c r="V286" i="59"/>
  <c r="W286" i="59"/>
  <c r="X286" i="59"/>
  <c r="Y286" i="59"/>
  <c r="Z286" i="59"/>
  <c r="AA286" i="59"/>
  <c r="AB286" i="59"/>
  <c r="AC286" i="59"/>
  <c r="AD286" i="59"/>
  <c r="AE286" i="59"/>
  <c r="AF286" i="59"/>
  <c r="AG286" i="59"/>
  <c r="AH286" i="59"/>
  <c r="AI286" i="59"/>
  <c r="AJ286" i="59"/>
  <c r="AK286" i="59"/>
  <c r="AL286" i="59"/>
  <c r="AM286" i="59"/>
  <c r="AN286" i="59"/>
  <c r="AO286" i="59"/>
  <c r="AP286" i="59"/>
  <c r="AQ286" i="59"/>
  <c r="AR286" i="59"/>
  <c r="AS286" i="59"/>
  <c r="AT286" i="59"/>
  <c r="AU286" i="59"/>
  <c r="AV286" i="59"/>
  <c r="AW286" i="59"/>
  <c r="AX286" i="59"/>
  <c r="AY286" i="59"/>
  <c r="AZ286" i="59"/>
  <c r="BA286" i="59"/>
  <c r="BB286" i="59"/>
  <c r="BC286" i="59"/>
  <c r="BD286" i="59"/>
  <c r="BE286" i="59"/>
  <c r="BF286" i="59"/>
  <c r="BG286" i="59"/>
  <c r="BH286" i="59"/>
  <c r="BI286" i="59"/>
  <c r="BJ286" i="59"/>
  <c r="BK286" i="59"/>
  <c r="BL286" i="59"/>
  <c r="BM286" i="59"/>
  <c r="BN286" i="59"/>
  <c r="BO286" i="59"/>
  <c r="BP286" i="59"/>
  <c r="BQ286" i="59"/>
  <c r="BR286" i="59"/>
  <c r="BS286" i="59"/>
  <c r="BT286" i="59"/>
  <c r="BU286" i="59"/>
  <c r="BV286" i="59"/>
  <c r="BW286" i="59"/>
  <c r="BX286" i="59"/>
  <c r="BY286" i="59"/>
  <c r="BZ286" i="59"/>
  <c r="CA286" i="59"/>
  <c r="CB286" i="59"/>
  <c r="CC286" i="59"/>
  <c r="CD286" i="59"/>
  <c r="CE286" i="59"/>
  <c r="CF286" i="59"/>
  <c r="CG286" i="59"/>
  <c r="CH286" i="59"/>
  <c r="CI286" i="59"/>
  <c r="CJ286" i="59"/>
  <c r="CK286" i="59"/>
  <c r="CL286" i="59"/>
  <c r="CM286" i="59"/>
  <c r="CN286" i="59"/>
  <c r="CO286" i="59"/>
  <c r="CP286" i="59"/>
  <c r="CQ286" i="59"/>
  <c r="CR286" i="59"/>
  <c r="CS286" i="59"/>
  <c r="CT286" i="59"/>
  <c r="CU286" i="59"/>
  <c r="CV286" i="59"/>
  <c r="CW286" i="59"/>
  <c r="CX286" i="59"/>
  <c r="CY286" i="59"/>
  <c r="CZ286" i="59"/>
  <c r="DA286" i="59"/>
  <c r="DB286" i="59"/>
  <c r="DC286" i="59"/>
  <c r="DD286" i="59"/>
  <c r="DE286" i="59"/>
  <c r="DF286" i="59"/>
  <c r="DG286" i="59"/>
  <c r="DH286" i="59"/>
  <c r="DI286" i="59"/>
  <c r="DJ286" i="59"/>
  <c r="DK286" i="59"/>
  <c r="DL286" i="59"/>
  <c r="DM286" i="59"/>
  <c r="DN286" i="59"/>
  <c r="DO286" i="59"/>
  <c r="DP286" i="59"/>
  <c r="DQ286" i="59"/>
  <c r="DR286" i="59"/>
  <c r="DS286" i="59"/>
  <c r="DT286" i="59"/>
  <c r="DU286" i="59"/>
  <c r="DV286" i="59"/>
  <c r="DW286" i="59"/>
  <c r="DX286" i="59"/>
  <c r="DY286" i="59"/>
  <c r="DZ286" i="59"/>
  <c r="EA286" i="59"/>
  <c r="EB286" i="59"/>
  <c r="EC286" i="59"/>
  <c r="ED286" i="59"/>
  <c r="EE286" i="59"/>
  <c r="EF286" i="59"/>
  <c r="EG286" i="59"/>
  <c r="EH286" i="59"/>
  <c r="EI286" i="59"/>
  <c r="EJ286" i="59"/>
  <c r="EK286" i="59"/>
  <c r="EL286" i="59"/>
  <c r="EM286" i="59"/>
  <c r="EN286" i="59"/>
  <c r="EO286" i="59"/>
  <c r="EP286" i="59"/>
  <c r="EQ286" i="59"/>
  <c r="ER286" i="59"/>
  <c r="ES286" i="59"/>
  <c r="ET286" i="59"/>
  <c r="EU286" i="59"/>
  <c r="EV286" i="59"/>
  <c r="EW286" i="59"/>
  <c r="EX286" i="59"/>
  <c r="EY286" i="59"/>
  <c r="EZ286" i="59"/>
  <c r="FA286" i="59"/>
  <c r="FB286" i="59"/>
  <c r="FC286" i="59"/>
  <c r="FD286" i="59"/>
  <c r="FE286" i="59"/>
  <c r="FF286" i="59"/>
  <c r="FG286" i="59"/>
  <c r="FH286" i="59"/>
  <c r="FI286" i="59"/>
  <c r="FJ286" i="59"/>
  <c r="FK286" i="59"/>
  <c r="FL286" i="59"/>
  <c r="FM286" i="59"/>
  <c r="FN286" i="59"/>
  <c r="FO286" i="59"/>
  <c r="FP286" i="59"/>
  <c r="FQ286" i="59"/>
  <c r="FR286" i="59"/>
  <c r="FS286" i="59"/>
  <c r="FT286" i="59"/>
  <c r="FU286" i="59"/>
  <c r="FV286" i="59"/>
  <c r="FW286" i="59"/>
  <c r="FX286" i="59"/>
  <c r="FY286" i="59"/>
  <c r="FZ286" i="59"/>
  <c r="GA286" i="59"/>
  <c r="GB286" i="59"/>
  <c r="GC286" i="59"/>
  <c r="GD286" i="59"/>
  <c r="GE286" i="59"/>
  <c r="GF286" i="59"/>
  <c r="GG286" i="59"/>
  <c r="GH286" i="59"/>
  <c r="GI286" i="59"/>
  <c r="GJ286" i="59"/>
  <c r="GK286" i="59"/>
  <c r="GL286" i="59"/>
  <c r="GM286" i="59"/>
  <c r="GN286" i="59"/>
  <c r="GO286" i="59"/>
  <c r="GP286" i="59"/>
  <c r="GQ286" i="59"/>
  <c r="GR286" i="59"/>
  <c r="GS286" i="59"/>
  <c r="GT286" i="59"/>
  <c r="GU286" i="59"/>
  <c r="GV286" i="59"/>
  <c r="GW286" i="59"/>
  <c r="GX286" i="59"/>
  <c r="GY286" i="59"/>
  <c r="GZ286" i="59"/>
  <c r="HA286" i="59"/>
  <c r="HB286" i="59"/>
  <c r="HC286" i="59"/>
  <c r="HD286" i="59"/>
  <c r="HE286" i="59"/>
  <c r="HF286" i="59"/>
  <c r="HG286" i="59"/>
  <c r="HH286" i="59"/>
  <c r="HI286" i="59"/>
  <c r="HJ286" i="59"/>
  <c r="HK286" i="59"/>
  <c r="HL286" i="59"/>
  <c r="HM286" i="59"/>
  <c r="HN286" i="59"/>
  <c r="HO286" i="59"/>
  <c r="HP286" i="59"/>
  <c r="HQ286" i="59"/>
  <c r="HR286" i="59"/>
  <c r="HS286" i="59"/>
  <c r="HT286" i="59"/>
  <c r="HU286" i="59"/>
  <c r="HV286" i="59"/>
  <c r="HW286" i="59"/>
  <c r="HX286" i="59"/>
  <c r="HY286" i="59"/>
  <c r="HZ286" i="59"/>
  <c r="IA286" i="59"/>
  <c r="IB286" i="59"/>
  <c r="IC286" i="59"/>
  <c r="ID286" i="59"/>
  <c r="IE286" i="59"/>
  <c r="IF286" i="59"/>
  <c r="IG286" i="59"/>
  <c r="IH286" i="59"/>
  <c r="II286" i="59"/>
  <c r="IJ286" i="59"/>
  <c r="IK286" i="59"/>
  <c r="IL286" i="59"/>
  <c r="IM286" i="59"/>
  <c r="IN286" i="59"/>
  <c r="IO286" i="59"/>
  <c r="IP286" i="59"/>
  <c r="IQ286" i="59"/>
  <c r="IR286" i="59"/>
  <c r="IS286" i="59"/>
  <c r="IT286" i="59"/>
  <c r="IU286" i="59"/>
  <c r="IV286" i="59"/>
  <c r="F287" i="59"/>
  <c r="G287" i="59"/>
  <c r="H287" i="59"/>
  <c r="I287" i="59"/>
  <c r="J287" i="59"/>
  <c r="K287" i="59"/>
  <c r="L287" i="59"/>
  <c r="M287" i="59"/>
  <c r="N287" i="59"/>
  <c r="O287" i="59"/>
  <c r="P287" i="59"/>
  <c r="Q287" i="59"/>
  <c r="R287" i="59"/>
  <c r="S287" i="59"/>
  <c r="T287" i="59"/>
  <c r="U287" i="59"/>
  <c r="V287" i="59"/>
  <c r="W287" i="59"/>
  <c r="X287" i="59"/>
  <c r="Y287" i="59"/>
  <c r="Z287" i="59"/>
  <c r="AA287" i="59"/>
  <c r="AB287" i="59"/>
  <c r="AC287" i="59"/>
  <c r="AD287" i="59"/>
  <c r="AE287" i="59"/>
  <c r="AF287" i="59"/>
  <c r="AG287" i="59"/>
  <c r="AH287" i="59"/>
  <c r="AI287" i="59"/>
  <c r="AJ287" i="59"/>
  <c r="AK287" i="59"/>
  <c r="AL287" i="59"/>
  <c r="AM287" i="59"/>
  <c r="AN287" i="59"/>
  <c r="AO287" i="59"/>
  <c r="AP287" i="59"/>
  <c r="AQ287" i="59"/>
  <c r="AR287" i="59"/>
  <c r="AS287" i="59"/>
  <c r="AT287" i="59"/>
  <c r="AU287" i="59"/>
  <c r="AV287" i="59"/>
  <c r="AW287" i="59"/>
  <c r="AX287" i="59"/>
  <c r="AY287" i="59"/>
  <c r="AZ287" i="59"/>
  <c r="BA287" i="59"/>
  <c r="BB287" i="59"/>
  <c r="BC287" i="59"/>
  <c r="BD287" i="59"/>
  <c r="BE287" i="59"/>
  <c r="BF287" i="59"/>
  <c r="BG287" i="59"/>
  <c r="BH287" i="59"/>
  <c r="BI287" i="59"/>
  <c r="BJ287" i="59"/>
  <c r="BK287" i="59"/>
  <c r="BL287" i="59"/>
  <c r="BM287" i="59"/>
  <c r="BN287" i="59"/>
  <c r="BO287" i="59"/>
  <c r="BP287" i="59"/>
  <c r="BQ287" i="59"/>
  <c r="BR287" i="59"/>
  <c r="BS287" i="59"/>
  <c r="BT287" i="59"/>
  <c r="BU287" i="59"/>
  <c r="BV287" i="59"/>
  <c r="BW287" i="59"/>
  <c r="BX287" i="59"/>
  <c r="BY287" i="59"/>
  <c r="BZ287" i="59"/>
  <c r="CA287" i="59"/>
  <c r="CB287" i="59"/>
  <c r="CC287" i="59"/>
  <c r="CD287" i="59"/>
  <c r="CE287" i="59"/>
  <c r="CF287" i="59"/>
  <c r="CG287" i="59"/>
  <c r="CH287" i="59"/>
  <c r="CI287" i="59"/>
  <c r="CJ287" i="59"/>
  <c r="CK287" i="59"/>
  <c r="CL287" i="59"/>
  <c r="CM287" i="59"/>
  <c r="CN287" i="59"/>
  <c r="CO287" i="59"/>
  <c r="CP287" i="59"/>
  <c r="CQ287" i="59"/>
  <c r="CR287" i="59"/>
  <c r="CS287" i="59"/>
  <c r="CT287" i="59"/>
  <c r="CU287" i="59"/>
  <c r="CV287" i="59"/>
  <c r="CW287" i="59"/>
  <c r="CX287" i="59"/>
  <c r="CY287" i="59"/>
  <c r="CZ287" i="59"/>
  <c r="DA287" i="59"/>
  <c r="DB287" i="59"/>
  <c r="DC287" i="59"/>
  <c r="DD287" i="59"/>
  <c r="DE287" i="59"/>
  <c r="DF287" i="59"/>
  <c r="DG287" i="59"/>
  <c r="DH287" i="59"/>
  <c r="DI287" i="59"/>
  <c r="DJ287" i="59"/>
  <c r="DK287" i="59"/>
  <c r="DL287" i="59"/>
  <c r="DM287" i="59"/>
  <c r="DN287" i="59"/>
  <c r="DO287" i="59"/>
  <c r="DP287" i="59"/>
  <c r="DQ287" i="59"/>
  <c r="DR287" i="59"/>
  <c r="DS287" i="59"/>
  <c r="DT287" i="59"/>
  <c r="DU287" i="59"/>
  <c r="DV287" i="59"/>
  <c r="DW287" i="59"/>
  <c r="DX287" i="59"/>
  <c r="DY287" i="59"/>
  <c r="DZ287" i="59"/>
  <c r="EA287" i="59"/>
  <c r="EB287" i="59"/>
  <c r="EC287" i="59"/>
  <c r="ED287" i="59"/>
  <c r="EE287" i="59"/>
  <c r="EF287" i="59"/>
  <c r="EG287" i="59"/>
  <c r="EH287" i="59"/>
  <c r="EI287" i="59"/>
  <c r="EJ287" i="59"/>
  <c r="EK287" i="59"/>
  <c r="EL287" i="59"/>
  <c r="EM287" i="59"/>
  <c r="EN287" i="59"/>
  <c r="EO287" i="59"/>
  <c r="EP287" i="59"/>
  <c r="EQ287" i="59"/>
  <c r="ER287" i="59"/>
  <c r="ES287" i="59"/>
  <c r="ET287" i="59"/>
  <c r="EU287" i="59"/>
  <c r="EV287" i="59"/>
  <c r="EW287" i="59"/>
  <c r="EX287" i="59"/>
  <c r="EY287" i="59"/>
  <c r="EZ287" i="59"/>
  <c r="FA287" i="59"/>
  <c r="FB287" i="59"/>
  <c r="FC287" i="59"/>
  <c r="FD287" i="59"/>
  <c r="FE287" i="59"/>
  <c r="FF287" i="59"/>
  <c r="FG287" i="59"/>
  <c r="FH287" i="59"/>
  <c r="FI287" i="59"/>
  <c r="FJ287" i="59"/>
  <c r="FK287" i="59"/>
  <c r="FL287" i="59"/>
  <c r="FM287" i="59"/>
  <c r="FN287" i="59"/>
  <c r="FO287" i="59"/>
  <c r="FP287" i="59"/>
  <c r="FQ287" i="59"/>
  <c r="FR287" i="59"/>
  <c r="FS287" i="59"/>
  <c r="FT287" i="59"/>
  <c r="FU287" i="59"/>
  <c r="FV287" i="59"/>
  <c r="FW287" i="59"/>
  <c r="FX287" i="59"/>
  <c r="FY287" i="59"/>
  <c r="FZ287" i="59"/>
  <c r="GA287" i="59"/>
  <c r="GB287" i="59"/>
  <c r="GC287" i="59"/>
  <c r="GD287" i="59"/>
  <c r="GE287" i="59"/>
  <c r="GF287" i="59"/>
  <c r="GG287" i="59"/>
  <c r="GH287" i="59"/>
  <c r="GI287" i="59"/>
  <c r="GJ287" i="59"/>
  <c r="GK287" i="59"/>
  <c r="GL287" i="59"/>
  <c r="GM287" i="59"/>
  <c r="GN287" i="59"/>
  <c r="GO287" i="59"/>
  <c r="GP287" i="59"/>
  <c r="GQ287" i="59"/>
  <c r="GR287" i="59"/>
  <c r="GS287" i="59"/>
  <c r="GT287" i="59"/>
  <c r="GU287" i="59"/>
  <c r="GV287" i="59"/>
  <c r="GW287" i="59"/>
  <c r="GX287" i="59"/>
  <c r="GY287" i="59"/>
  <c r="GZ287" i="59"/>
  <c r="HA287" i="59"/>
  <c r="HB287" i="59"/>
  <c r="HC287" i="59"/>
  <c r="HD287" i="59"/>
  <c r="HE287" i="59"/>
  <c r="HF287" i="59"/>
  <c r="HG287" i="59"/>
  <c r="HH287" i="59"/>
  <c r="HI287" i="59"/>
  <c r="HJ287" i="59"/>
  <c r="HK287" i="59"/>
  <c r="HL287" i="59"/>
  <c r="HM287" i="59"/>
  <c r="HN287" i="59"/>
  <c r="HO287" i="59"/>
  <c r="HP287" i="59"/>
  <c r="HQ287" i="59"/>
  <c r="HR287" i="59"/>
  <c r="HS287" i="59"/>
  <c r="HT287" i="59"/>
  <c r="HU287" i="59"/>
  <c r="HV287" i="59"/>
  <c r="HW287" i="59"/>
  <c r="HX287" i="59"/>
  <c r="HY287" i="59"/>
  <c r="HZ287" i="59"/>
  <c r="IA287" i="59"/>
  <c r="IB287" i="59"/>
  <c r="IC287" i="59"/>
  <c r="ID287" i="59"/>
  <c r="IE287" i="59"/>
  <c r="IF287" i="59"/>
  <c r="IG287" i="59"/>
  <c r="IH287" i="59"/>
  <c r="II287" i="59"/>
  <c r="IJ287" i="59"/>
  <c r="IK287" i="59"/>
  <c r="IL287" i="59"/>
  <c r="IM287" i="59"/>
  <c r="IN287" i="59"/>
  <c r="IO287" i="59"/>
  <c r="IP287" i="59"/>
  <c r="IQ287" i="59"/>
  <c r="IR287" i="59"/>
  <c r="IS287" i="59"/>
  <c r="IT287" i="59"/>
  <c r="IU287" i="59"/>
  <c r="IV287" i="59"/>
  <c r="F288" i="59"/>
  <c r="G288" i="59"/>
  <c r="H288" i="59"/>
  <c r="I288" i="59"/>
  <c r="J288" i="59"/>
  <c r="K288" i="59"/>
  <c r="L288" i="59"/>
  <c r="M288" i="59"/>
  <c r="N288" i="59"/>
  <c r="O288" i="59"/>
  <c r="P288" i="59"/>
  <c r="Q288" i="59"/>
  <c r="R288" i="59"/>
  <c r="S288" i="59"/>
  <c r="T288" i="59"/>
  <c r="U288" i="59"/>
  <c r="V288" i="59"/>
  <c r="W288" i="59"/>
  <c r="X288" i="59"/>
  <c r="Y288" i="59"/>
  <c r="Z288" i="59"/>
  <c r="AA288" i="59"/>
  <c r="AB288" i="59"/>
  <c r="AC288" i="59"/>
  <c r="AD288" i="59"/>
  <c r="AE288" i="59"/>
  <c r="AF288" i="59"/>
  <c r="AG288" i="59"/>
  <c r="AH288" i="59"/>
  <c r="AI288" i="59"/>
  <c r="AJ288" i="59"/>
  <c r="AK288" i="59"/>
  <c r="AL288" i="59"/>
  <c r="AM288" i="59"/>
  <c r="AN288" i="59"/>
  <c r="AO288" i="59"/>
  <c r="AP288" i="59"/>
  <c r="AQ288" i="59"/>
  <c r="AR288" i="59"/>
  <c r="AS288" i="59"/>
  <c r="AT288" i="59"/>
  <c r="AU288" i="59"/>
  <c r="AV288" i="59"/>
  <c r="AW288" i="59"/>
  <c r="AX288" i="59"/>
  <c r="AY288" i="59"/>
  <c r="AZ288" i="59"/>
  <c r="BA288" i="59"/>
  <c r="BB288" i="59"/>
  <c r="BC288" i="59"/>
  <c r="BD288" i="59"/>
  <c r="BE288" i="59"/>
  <c r="BF288" i="59"/>
  <c r="BG288" i="59"/>
  <c r="BH288" i="59"/>
  <c r="BI288" i="59"/>
  <c r="BJ288" i="59"/>
  <c r="BK288" i="59"/>
  <c r="BL288" i="59"/>
  <c r="BM288" i="59"/>
  <c r="BN288" i="59"/>
  <c r="BO288" i="59"/>
  <c r="BP288" i="59"/>
  <c r="BQ288" i="59"/>
  <c r="BR288" i="59"/>
  <c r="BS288" i="59"/>
  <c r="BT288" i="59"/>
  <c r="BU288" i="59"/>
  <c r="BV288" i="59"/>
  <c r="BW288" i="59"/>
  <c r="BX288" i="59"/>
  <c r="BY288" i="59"/>
  <c r="BZ288" i="59"/>
  <c r="CA288" i="59"/>
  <c r="CB288" i="59"/>
  <c r="CC288" i="59"/>
  <c r="CD288" i="59"/>
  <c r="CE288" i="59"/>
  <c r="CF288" i="59"/>
  <c r="CG288" i="59"/>
  <c r="CH288" i="59"/>
  <c r="CI288" i="59"/>
  <c r="CJ288" i="59"/>
  <c r="CK288" i="59"/>
  <c r="CL288" i="59"/>
  <c r="CM288" i="59"/>
  <c r="CN288" i="59"/>
  <c r="CO288" i="59"/>
  <c r="CP288" i="59"/>
  <c r="CQ288" i="59"/>
  <c r="CR288" i="59"/>
  <c r="CS288" i="59"/>
  <c r="CT288" i="59"/>
  <c r="CU288" i="59"/>
  <c r="CV288" i="59"/>
  <c r="CW288" i="59"/>
  <c r="CX288" i="59"/>
  <c r="CY288" i="59"/>
  <c r="CZ288" i="59"/>
  <c r="DA288" i="59"/>
  <c r="DB288" i="59"/>
  <c r="DC288" i="59"/>
  <c r="DD288" i="59"/>
  <c r="DE288" i="59"/>
  <c r="DF288" i="59"/>
  <c r="DG288" i="59"/>
  <c r="DH288" i="59"/>
  <c r="DI288" i="59"/>
  <c r="DJ288" i="59"/>
  <c r="DK288" i="59"/>
  <c r="DL288" i="59"/>
  <c r="DM288" i="59"/>
  <c r="DN288" i="59"/>
  <c r="DO288" i="59"/>
  <c r="DP288" i="59"/>
  <c r="DQ288" i="59"/>
  <c r="DR288" i="59"/>
  <c r="DS288" i="59"/>
  <c r="DT288" i="59"/>
  <c r="DU288" i="59"/>
  <c r="DV288" i="59"/>
  <c r="DW288" i="59"/>
  <c r="DX288" i="59"/>
  <c r="DY288" i="59"/>
  <c r="DZ288" i="59"/>
  <c r="EA288" i="59"/>
  <c r="EB288" i="59"/>
  <c r="EC288" i="59"/>
  <c r="ED288" i="59"/>
  <c r="EE288" i="59"/>
  <c r="EF288" i="59"/>
  <c r="EG288" i="59"/>
  <c r="EH288" i="59"/>
  <c r="EI288" i="59"/>
  <c r="EJ288" i="59"/>
  <c r="EK288" i="59"/>
  <c r="EL288" i="59"/>
  <c r="EM288" i="59"/>
  <c r="EN288" i="59"/>
  <c r="EO288" i="59"/>
  <c r="EP288" i="59"/>
  <c r="EQ288" i="59"/>
  <c r="ER288" i="59"/>
  <c r="ES288" i="59"/>
  <c r="ET288" i="59"/>
  <c r="EU288" i="59"/>
  <c r="EV288" i="59"/>
  <c r="EW288" i="59"/>
  <c r="EX288" i="59"/>
  <c r="EY288" i="59"/>
  <c r="EZ288" i="59"/>
  <c r="FA288" i="59"/>
  <c r="FB288" i="59"/>
  <c r="FC288" i="59"/>
  <c r="FD288" i="59"/>
  <c r="FE288" i="59"/>
  <c r="FF288" i="59"/>
  <c r="FG288" i="59"/>
  <c r="FH288" i="59"/>
  <c r="FI288" i="59"/>
  <c r="FJ288" i="59"/>
  <c r="FK288" i="59"/>
  <c r="FL288" i="59"/>
  <c r="FM288" i="59"/>
  <c r="FN288" i="59"/>
  <c r="FO288" i="59"/>
  <c r="FP288" i="59"/>
  <c r="FQ288" i="59"/>
  <c r="FR288" i="59"/>
  <c r="FS288" i="59"/>
  <c r="FT288" i="59"/>
  <c r="FU288" i="59"/>
  <c r="FV288" i="59"/>
  <c r="FW288" i="59"/>
  <c r="FX288" i="59"/>
  <c r="FY288" i="59"/>
  <c r="FZ288" i="59"/>
  <c r="GA288" i="59"/>
  <c r="GB288" i="59"/>
  <c r="GC288" i="59"/>
  <c r="GD288" i="59"/>
  <c r="GE288" i="59"/>
  <c r="GF288" i="59"/>
  <c r="GG288" i="59"/>
  <c r="GH288" i="59"/>
  <c r="GI288" i="59"/>
  <c r="GJ288" i="59"/>
  <c r="GK288" i="59"/>
  <c r="GL288" i="59"/>
  <c r="GM288" i="59"/>
  <c r="GN288" i="59"/>
  <c r="GO288" i="59"/>
  <c r="GP288" i="59"/>
  <c r="GQ288" i="59"/>
  <c r="GR288" i="59"/>
  <c r="GS288" i="59"/>
  <c r="GT288" i="59"/>
  <c r="GU288" i="59"/>
  <c r="GV288" i="59"/>
  <c r="GW288" i="59"/>
  <c r="GX288" i="59"/>
  <c r="GY288" i="59"/>
  <c r="GZ288" i="59"/>
  <c r="HA288" i="59"/>
  <c r="HB288" i="59"/>
  <c r="HC288" i="59"/>
  <c r="HD288" i="59"/>
  <c r="HE288" i="59"/>
  <c r="HF288" i="59"/>
  <c r="HG288" i="59"/>
  <c r="HH288" i="59"/>
  <c r="HI288" i="59"/>
  <c r="HJ288" i="59"/>
  <c r="HK288" i="59"/>
  <c r="HL288" i="59"/>
  <c r="HM288" i="59"/>
  <c r="HN288" i="59"/>
  <c r="HO288" i="59"/>
  <c r="HP288" i="59"/>
  <c r="HQ288" i="59"/>
  <c r="HR288" i="59"/>
  <c r="HS288" i="59"/>
  <c r="HT288" i="59"/>
  <c r="HU288" i="59"/>
  <c r="HV288" i="59"/>
  <c r="HW288" i="59"/>
  <c r="HX288" i="59"/>
  <c r="HY288" i="59"/>
  <c r="HZ288" i="59"/>
  <c r="IA288" i="59"/>
  <c r="IB288" i="59"/>
  <c r="IC288" i="59"/>
  <c r="ID288" i="59"/>
  <c r="IE288" i="59"/>
  <c r="IF288" i="59"/>
  <c r="IG288" i="59"/>
  <c r="IH288" i="59"/>
  <c r="II288" i="59"/>
  <c r="IJ288" i="59"/>
  <c r="IK288" i="59"/>
  <c r="IL288" i="59"/>
  <c r="IM288" i="59"/>
  <c r="IN288" i="59"/>
  <c r="IO288" i="59"/>
  <c r="IP288" i="59"/>
  <c r="IQ288" i="59"/>
  <c r="IR288" i="59"/>
  <c r="IS288" i="59"/>
  <c r="IT288" i="59"/>
  <c r="IU288" i="59"/>
  <c r="IV288" i="59"/>
  <c r="F289" i="59"/>
  <c r="G289" i="59"/>
  <c r="H289" i="59"/>
  <c r="I289" i="59"/>
  <c r="J289" i="59"/>
  <c r="K289" i="59"/>
  <c r="L289" i="59"/>
  <c r="M289" i="59"/>
  <c r="N289" i="59"/>
  <c r="O289" i="59"/>
  <c r="P289" i="59"/>
  <c r="Q289" i="59"/>
  <c r="R289" i="59"/>
  <c r="S289" i="59"/>
  <c r="T289" i="59"/>
  <c r="U289" i="59"/>
  <c r="V289" i="59"/>
  <c r="W289" i="59"/>
  <c r="X289" i="59"/>
  <c r="Y289" i="59"/>
  <c r="Z289" i="59"/>
  <c r="AA289" i="59"/>
  <c r="AB289" i="59"/>
  <c r="AC289" i="59"/>
  <c r="AD289" i="59"/>
  <c r="AE289" i="59"/>
  <c r="AF289" i="59"/>
  <c r="AG289" i="59"/>
  <c r="AH289" i="59"/>
  <c r="AI289" i="59"/>
  <c r="AJ289" i="59"/>
  <c r="AK289" i="59"/>
  <c r="AL289" i="59"/>
  <c r="AM289" i="59"/>
  <c r="AN289" i="59"/>
  <c r="AO289" i="59"/>
  <c r="AP289" i="59"/>
  <c r="AQ289" i="59"/>
  <c r="AR289" i="59"/>
  <c r="AS289" i="59"/>
  <c r="AT289" i="59"/>
  <c r="AU289" i="59"/>
  <c r="AV289" i="59"/>
  <c r="AW289" i="59"/>
  <c r="AX289" i="59"/>
  <c r="AY289" i="59"/>
  <c r="AZ289" i="59"/>
  <c r="BA289" i="59"/>
  <c r="BB289" i="59"/>
  <c r="BC289" i="59"/>
  <c r="BD289" i="59"/>
  <c r="BE289" i="59"/>
  <c r="BF289" i="59"/>
  <c r="BG289" i="59"/>
  <c r="BH289" i="59"/>
  <c r="BI289" i="59"/>
  <c r="BJ289" i="59"/>
  <c r="BK289" i="59"/>
  <c r="BL289" i="59"/>
  <c r="BM289" i="59"/>
  <c r="BN289" i="59"/>
  <c r="BO289" i="59"/>
  <c r="BP289" i="59"/>
  <c r="BQ289" i="59"/>
  <c r="BR289" i="59"/>
  <c r="BS289" i="59"/>
  <c r="BT289" i="59"/>
  <c r="BU289" i="59"/>
  <c r="BV289" i="59"/>
  <c r="BW289" i="59"/>
  <c r="BX289" i="59"/>
  <c r="BY289" i="59"/>
  <c r="BZ289" i="59"/>
  <c r="CA289" i="59"/>
  <c r="CB289" i="59"/>
  <c r="CC289" i="59"/>
  <c r="CD289" i="59"/>
  <c r="CE289" i="59"/>
  <c r="CF289" i="59"/>
  <c r="CG289" i="59"/>
  <c r="CH289" i="59"/>
  <c r="CI289" i="59"/>
  <c r="CJ289" i="59"/>
  <c r="CK289" i="59"/>
  <c r="CL289" i="59"/>
  <c r="CM289" i="59"/>
  <c r="CN289" i="59"/>
  <c r="CO289" i="59"/>
  <c r="CP289" i="59"/>
  <c r="CQ289" i="59"/>
  <c r="CR289" i="59"/>
  <c r="CS289" i="59"/>
  <c r="CT289" i="59"/>
  <c r="CU289" i="59"/>
  <c r="CV289" i="59"/>
  <c r="CW289" i="59"/>
  <c r="CX289" i="59"/>
  <c r="CY289" i="59"/>
  <c r="CZ289" i="59"/>
  <c r="DA289" i="59"/>
  <c r="DB289" i="59"/>
  <c r="DC289" i="59"/>
  <c r="DD289" i="59"/>
  <c r="DE289" i="59"/>
  <c r="DF289" i="59"/>
  <c r="DG289" i="59"/>
  <c r="DH289" i="59"/>
  <c r="DI289" i="59"/>
  <c r="DJ289" i="59"/>
  <c r="DK289" i="59"/>
  <c r="DL289" i="59"/>
  <c r="DM289" i="59"/>
  <c r="DN289" i="59"/>
  <c r="DO289" i="59"/>
  <c r="DP289" i="59"/>
  <c r="DQ289" i="59"/>
  <c r="DR289" i="59"/>
  <c r="DS289" i="59"/>
  <c r="DT289" i="59"/>
  <c r="DU289" i="59"/>
  <c r="DV289" i="59"/>
  <c r="DW289" i="59"/>
  <c r="DX289" i="59"/>
  <c r="DY289" i="59"/>
  <c r="DZ289" i="59"/>
  <c r="EA289" i="59"/>
  <c r="EB289" i="59"/>
  <c r="EC289" i="59"/>
  <c r="ED289" i="59"/>
  <c r="EE289" i="59"/>
  <c r="EF289" i="59"/>
  <c r="EG289" i="59"/>
  <c r="EH289" i="59"/>
  <c r="EI289" i="59"/>
  <c r="EJ289" i="59"/>
  <c r="EK289" i="59"/>
  <c r="EL289" i="59"/>
  <c r="EM289" i="59"/>
  <c r="EN289" i="59"/>
  <c r="EO289" i="59"/>
  <c r="EP289" i="59"/>
  <c r="EQ289" i="59"/>
  <c r="ER289" i="59"/>
  <c r="ES289" i="59"/>
  <c r="ET289" i="59"/>
  <c r="EU289" i="59"/>
  <c r="EV289" i="59"/>
  <c r="EW289" i="59"/>
  <c r="EX289" i="59"/>
  <c r="EY289" i="59"/>
  <c r="EZ289" i="59"/>
  <c r="FA289" i="59"/>
  <c r="FB289" i="59"/>
  <c r="FC289" i="59"/>
  <c r="FD289" i="59"/>
  <c r="FE289" i="59"/>
  <c r="FF289" i="59"/>
  <c r="FG289" i="59"/>
  <c r="FH289" i="59"/>
  <c r="FI289" i="59"/>
  <c r="FJ289" i="59"/>
  <c r="FK289" i="59"/>
  <c r="FL289" i="59"/>
  <c r="FM289" i="59"/>
  <c r="FN289" i="59"/>
  <c r="FO289" i="59"/>
  <c r="FP289" i="59"/>
  <c r="FQ289" i="59"/>
  <c r="FR289" i="59"/>
  <c r="FS289" i="59"/>
  <c r="FT289" i="59"/>
  <c r="FU289" i="59"/>
  <c r="FV289" i="59"/>
  <c r="FW289" i="59"/>
  <c r="FX289" i="59"/>
  <c r="FY289" i="59"/>
  <c r="FZ289" i="59"/>
  <c r="GA289" i="59"/>
  <c r="GB289" i="59"/>
  <c r="GC289" i="59"/>
  <c r="GD289" i="59"/>
  <c r="GE289" i="59"/>
  <c r="GF289" i="59"/>
  <c r="GG289" i="59"/>
  <c r="GH289" i="59"/>
  <c r="GI289" i="59"/>
  <c r="GJ289" i="59"/>
  <c r="GK289" i="59"/>
  <c r="GL289" i="59"/>
  <c r="GM289" i="59"/>
  <c r="GN289" i="59"/>
  <c r="GO289" i="59"/>
  <c r="GP289" i="59"/>
  <c r="GQ289" i="59"/>
  <c r="GR289" i="59"/>
  <c r="GS289" i="59"/>
  <c r="GT289" i="59"/>
  <c r="GU289" i="59"/>
  <c r="GV289" i="59"/>
  <c r="GW289" i="59"/>
  <c r="GX289" i="59"/>
  <c r="GY289" i="59"/>
  <c r="GZ289" i="59"/>
  <c r="HA289" i="59"/>
  <c r="HB289" i="59"/>
  <c r="HC289" i="59"/>
  <c r="HD289" i="59"/>
  <c r="HE289" i="59"/>
  <c r="HF289" i="59"/>
  <c r="HG289" i="59"/>
  <c r="HH289" i="59"/>
  <c r="HI289" i="59"/>
  <c r="HJ289" i="59"/>
  <c r="HK289" i="59"/>
  <c r="HL289" i="59"/>
  <c r="HM289" i="59"/>
  <c r="HN289" i="59"/>
  <c r="HO289" i="59"/>
  <c r="HP289" i="59"/>
  <c r="HQ289" i="59"/>
  <c r="HR289" i="59"/>
  <c r="HS289" i="59"/>
  <c r="HT289" i="59"/>
  <c r="HU289" i="59"/>
  <c r="HV289" i="59"/>
  <c r="HW289" i="59"/>
  <c r="HX289" i="59"/>
  <c r="HY289" i="59"/>
  <c r="HZ289" i="59"/>
  <c r="IA289" i="59"/>
  <c r="IB289" i="59"/>
  <c r="IC289" i="59"/>
  <c r="ID289" i="59"/>
  <c r="IE289" i="59"/>
  <c r="IF289" i="59"/>
  <c r="IG289" i="59"/>
  <c r="IH289" i="59"/>
  <c r="II289" i="59"/>
  <c r="IJ289" i="59"/>
  <c r="IK289" i="59"/>
  <c r="IL289" i="59"/>
  <c r="IM289" i="59"/>
  <c r="IN289" i="59"/>
  <c r="IO289" i="59"/>
  <c r="IP289" i="59"/>
  <c r="IQ289" i="59"/>
  <c r="IR289" i="59"/>
  <c r="IS289" i="59"/>
  <c r="IT289" i="59"/>
  <c r="IU289" i="59"/>
  <c r="IV289" i="59"/>
  <c r="F290" i="59"/>
  <c r="G290" i="59"/>
  <c r="H290" i="59"/>
  <c r="I290" i="59"/>
  <c r="J290" i="59"/>
  <c r="K290" i="59"/>
  <c r="L290" i="59"/>
  <c r="M290" i="59"/>
  <c r="N290" i="59"/>
  <c r="O290" i="59"/>
  <c r="P290" i="59"/>
  <c r="Q290" i="59"/>
  <c r="R290" i="59"/>
  <c r="S290" i="59"/>
  <c r="T290" i="59"/>
  <c r="U290" i="59"/>
  <c r="V290" i="59"/>
  <c r="W290" i="59"/>
  <c r="X290" i="59"/>
  <c r="Y290" i="59"/>
  <c r="Z290" i="59"/>
  <c r="AA290" i="59"/>
  <c r="AB290" i="59"/>
  <c r="AC290" i="59"/>
  <c r="AD290" i="59"/>
  <c r="AE290" i="59"/>
  <c r="AF290" i="59"/>
  <c r="AG290" i="59"/>
  <c r="AH290" i="59"/>
  <c r="AI290" i="59"/>
  <c r="AJ290" i="59"/>
  <c r="AK290" i="59"/>
  <c r="AL290" i="59"/>
  <c r="AM290" i="59"/>
  <c r="AN290" i="59"/>
  <c r="AO290" i="59"/>
  <c r="AP290" i="59"/>
  <c r="AQ290" i="59"/>
  <c r="AR290" i="59"/>
  <c r="AS290" i="59"/>
  <c r="AT290" i="59"/>
  <c r="AU290" i="59"/>
  <c r="AV290" i="59"/>
  <c r="AW290" i="59"/>
  <c r="AX290" i="59"/>
  <c r="AY290" i="59"/>
  <c r="AZ290" i="59"/>
  <c r="BA290" i="59"/>
  <c r="BB290" i="59"/>
  <c r="BC290" i="59"/>
  <c r="BD290" i="59"/>
  <c r="BE290" i="59"/>
  <c r="BF290" i="59"/>
  <c r="BG290" i="59"/>
  <c r="BH290" i="59"/>
  <c r="BI290" i="59"/>
  <c r="BJ290" i="59"/>
  <c r="BK290" i="59"/>
  <c r="BL290" i="59"/>
  <c r="BM290" i="59"/>
  <c r="BN290" i="59"/>
  <c r="BO290" i="59"/>
  <c r="BP290" i="59"/>
  <c r="BQ290" i="59"/>
  <c r="BR290" i="59"/>
  <c r="BS290" i="59"/>
  <c r="BT290" i="59"/>
  <c r="BU290" i="59"/>
  <c r="BV290" i="59"/>
  <c r="BW290" i="59"/>
  <c r="BX290" i="59"/>
  <c r="BY290" i="59"/>
  <c r="BZ290" i="59"/>
  <c r="CA290" i="59"/>
  <c r="CB290" i="59"/>
  <c r="CC290" i="59"/>
  <c r="CD290" i="59"/>
  <c r="CE290" i="59"/>
  <c r="CF290" i="59"/>
  <c r="CG290" i="59"/>
  <c r="CH290" i="59"/>
  <c r="CI290" i="59"/>
  <c r="CJ290" i="59"/>
  <c r="CK290" i="59"/>
  <c r="CL290" i="59"/>
  <c r="CM290" i="59"/>
  <c r="CN290" i="59"/>
  <c r="CO290" i="59"/>
  <c r="CP290" i="59"/>
  <c r="CQ290" i="59"/>
  <c r="CR290" i="59"/>
  <c r="CS290" i="59"/>
  <c r="CT290" i="59"/>
  <c r="CU290" i="59"/>
  <c r="CV290" i="59"/>
  <c r="CW290" i="59"/>
  <c r="CX290" i="59"/>
  <c r="CY290" i="59"/>
  <c r="CZ290" i="59"/>
  <c r="DA290" i="59"/>
  <c r="DB290" i="59"/>
  <c r="DC290" i="59"/>
  <c r="DD290" i="59"/>
  <c r="DE290" i="59"/>
  <c r="DF290" i="59"/>
  <c r="DG290" i="59"/>
  <c r="DH290" i="59"/>
  <c r="DI290" i="59"/>
  <c r="DJ290" i="59"/>
  <c r="DK290" i="59"/>
  <c r="DL290" i="59"/>
  <c r="DM290" i="59"/>
  <c r="DN290" i="59"/>
  <c r="DO290" i="59"/>
  <c r="DP290" i="59"/>
  <c r="DQ290" i="59"/>
  <c r="DR290" i="59"/>
  <c r="DS290" i="59"/>
  <c r="DT290" i="59"/>
  <c r="DU290" i="59"/>
  <c r="DV290" i="59"/>
  <c r="DW290" i="59"/>
  <c r="DX290" i="59"/>
  <c r="DY290" i="59"/>
  <c r="DZ290" i="59"/>
  <c r="EA290" i="59"/>
  <c r="EB290" i="59"/>
  <c r="EC290" i="59"/>
  <c r="ED290" i="59"/>
  <c r="EE290" i="59"/>
  <c r="EF290" i="59"/>
  <c r="EG290" i="59"/>
  <c r="EH290" i="59"/>
  <c r="EI290" i="59"/>
  <c r="EJ290" i="59"/>
  <c r="EK290" i="59"/>
  <c r="EL290" i="59"/>
  <c r="EM290" i="59"/>
  <c r="EN290" i="59"/>
  <c r="EO290" i="59"/>
  <c r="EP290" i="59"/>
  <c r="EQ290" i="59"/>
  <c r="ER290" i="59"/>
  <c r="ES290" i="59"/>
  <c r="ET290" i="59"/>
  <c r="EU290" i="59"/>
  <c r="EV290" i="59"/>
  <c r="EW290" i="59"/>
  <c r="EX290" i="59"/>
  <c r="EY290" i="59"/>
  <c r="EZ290" i="59"/>
  <c r="FA290" i="59"/>
  <c r="FB290" i="59"/>
  <c r="FC290" i="59"/>
  <c r="FD290" i="59"/>
  <c r="FE290" i="59"/>
  <c r="FF290" i="59"/>
  <c r="FG290" i="59"/>
  <c r="FH290" i="59"/>
  <c r="FI290" i="59"/>
  <c r="FJ290" i="59"/>
  <c r="FK290" i="59"/>
  <c r="FL290" i="59"/>
  <c r="FM290" i="59"/>
  <c r="FN290" i="59"/>
  <c r="FO290" i="59"/>
  <c r="FP290" i="59"/>
  <c r="FQ290" i="59"/>
  <c r="FR290" i="59"/>
  <c r="FS290" i="59"/>
  <c r="FT290" i="59"/>
  <c r="FU290" i="59"/>
  <c r="FV290" i="59"/>
  <c r="FW290" i="59"/>
  <c r="FX290" i="59"/>
  <c r="FY290" i="59"/>
  <c r="FZ290" i="59"/>
  <c r="GA290" i="59"/>
  <c r="GB290" i="59"/>
  <c r="GC290" i="59"/>
  <c r="GD290" i="59"/>
  <c r="GE290" i="59"/>
  <c r="GF290" i="59"/>
  <c r="GG290" i="59"/>
  <c r="GH290" i="59"/>
  <c r="GI290" i="59"/>
  <c r="GJ290" i="59"/>
  <c r="GK290" i="59"/>
  <c r="GL290" i="59"/>
  <c r="GM290" i="59"/>
  <c r="GN290" i="59"/>
  <c r="GO290" i="59"/>
  <c r="GP290" i="59"/>
  <c r="GQ290" i="59"/>
  <c r="GR290" i="59"/>
  <c r="GS290" i="59"/>
  <c r="GT290" i="59"/>
  <c r="GU290" i="59"/>
  <c r="GV290" i="59"/>
  <c r="GW290" i="59"/>
  <c r="GX290" i="59"/>
  <c r="GY290" i="59"/>
  <c r="GZ290" i="59"/>
  <c r="HA290" i="59"/>
  <c r="HB290" i="59"/>
  <c r="HC290" i="59"/>
  <c r="HD290" i="59"/>
  <c r="HE290" i="59"/>
  <c r="HF290" i="59"/>
  <c r="HG290" i="59"/>
  <c r="HH290" i="59"/>
  <c r="HI290" i="59"/>
  <c r="HJ290" i="59"/>
  <c r="HK290" i="59"/>
  <c r="HL290" i="59"/>
  <c r="HM290" i="59"/>
  <c r="HN290" i="59"/>
  <c r="HO290" i="59"/>
  <c r="HP290" i="59"/>
  <c r="HQ290" i="59"/>
  <c r="HR290" i="59"/>
  <c r="HS290" i="59"/>
  <c r="HT290" i="59"/>
  <c r="HU290" i="59"/>
  <c r="HV290" i="59"/>
  <c r="HW290" i="59"/>
  <c r="HX290" i="59"/>
  <c r="HY290" i="59"/>
  <c r="HZ290" i="59"/>
  <c r="IA290" i="59"/>
  <c r="IB290" i="59"/>
  <c r="IC290" i="59"/>
  <c r="ID290" i="59"/>
  <c r="IE290" i="59"/>
  <c r="IF290" i="59"/>
  <c r="IG290" i="59"/>
  <c r="IH290" i="59"/>
  <c r="II290" i="59"/>
  <c r="IJ290" i="59"/>
  <c r="IK290" i="59"/>
  <c r="IL290" i="59"/>
  <c r="IM290" i="59"/>
  <c r="IN290" i="59"/>
  <c r="IO290" i="59"/>
  <c r="IP290" i="59"/>
  <c r="IQ290" i="59"/>
  <c r="IR290" i="59"/>
  <c r="IS290" i="59"/>
  <c r="IT290" i="59"/>
  <c r="IU290" i="59"/>
  <c r="IV290" i="59"/>
  <c r="F291" i="59"/>
  <c r="G291" i="59"/>
  <c r="H291" i="59"/>
  <c r="I291" i="59"/>
  <c r="J291" i="59"/>
  <c r="K291" i="59"/>
  <c r="L291" i="59"/>
  <c r="M291" i="59"/>
  <c r="N291" i="59"/>
  <c r="O291" i="59"/>
  <c r="P291" i="59"/>
  <c r="Q291" i="59"/>
  <c r="R291" i="59"/>
  <c r="S291" i="59"/>
  <c r="T291" i="59"/>
  <c r="U291" i="59"/>
  <c r="V291" i="59"/>
  <c r="W291" i="59"/>
  <c r="X291" i="59"/>
  <c r="Y291" i="59"/>
  <c r="Z291" i="59"/>
  <c r="AA291" i="59"/>
  <c r="AB291" i="59"/>
  <c r="AC291" i="59"/>
  <c r="AD291" i="59"/>
  <c r="AE291" i="59"/>
  <c r="AF291" i="59"/>
  <c r="AG291" i="59"/>
  <c r="AH291" i="59"/>
  <c r="AI291" i="59"/>
  <c r="AJ291" i="59"/>
  <c r="AK291" i="59"/>
  <c r="AL291" i="59"/>
  <c r="AM291" i="59"/>
  <c r="AN291" i="59"/>
  <c r="AO291" i="59"/>
  <c r="AP291" i="59"/>
  <c r="AQ291" i="59"/>
  <c r="AR291" i="59"/>
  <c r="AS291" i="59"/>
  <c r="AT291" i="59"/>
  <c r="AU291" i="59"/>
  <c r="AV291" i="59"/>
  <c r="AW291" i="59"/>
  <c r="AX291" i="59"/>
  <c r="AY291" i="59"/>
  <c r="AZ291" i="59"/>
  <c r="BA291" i="59"/>
  <c r="BB291" i="59"/>
  <c r="BC291" i="59"/>
  <c r="BD291" i="59"/>
  <c r="BE291" i="59"/>
  <c r="BF291" i="59"/>
  <c r="BG291" i="59"/>
  <c r="BH291" i="59"/>
  <c r="BI291" i="59"/>
  <c r="BJ291" i="59"/>
  <c r="BK291" i="59"/>
  <c r="BL291" i="59"/>
  <c r="BM291" i="59"/>
  <c r="BN291" i="59"/>
  <c r="BO291" i="59"/>
  <c r="BP291" i="59"/>
  <c r="BQ291" i="59"/>
  <c r="BR291" i="59"/>
  <c r="BS291" i="59"/>
  <c r="BT291" i="59"/>
  <c r="BU291" i="59"/>
  <c r="BV291" i="59"/>
  <c r="BW291" i="59"/>
  <c r="BX291" i="59"/>
  <c r="BY291" i="59"/>
  <c r="BZ291" i="59"/>
  <c r="CA291" i="59"/>
  <c r="CB291" i="59"/>
  <c r="CC291" i="59"/>
  <c r="CD291" i="59"/>
  <c r="CE291" i="59"/>
  <c r="CF291" i="59"/>
  <c r="CG291" i="59"/>
  <c r="CH291" i="59"/>
  <c r="CI291" i="59"/>
  <c r="CJ291" i="59"/>
  <c r="CK291" i="59"/>
  <c r="CL291" i="59"/>
  <c r="CM291" i="59"/>
  <c r="CN291" i="59"/>
  <c r="CO291" i="59"/>
  <c r="CP291" i="59"/>
  <c r="CQ291" i="59"/>
  <c r="CR291" i="59"/>
  <c r="CS291" i="59"/>
  <c r="CU291" i="59"/>
  <c r="CV291" i="59"/>
  <c r="CW291" i="59"/>
  <c r="CX291" i="59"/>
  <c r="CY291" i="59"/>
  <c r="CZ291" i="59"/>
  <c r="DA291" i="59"/>
  <c r="DB291" i="59"/>
  <c r="DC291" i="59"/>
  <c r="DD291" i="59"/>
  <c r="DE291" i="59"/>
  <c r="DF291" i="59"/>
  <c r="DG291" i="59"/>
  <c r="DI291" i="59"/>
  <c r="DJ291" i="59"/>
  <c r="DK291" i="59"/>
  <c r="DL291" i="59"/>
  <c r="DM291" i="59"/>
  <c r="DN291" i="59"/>
  <c r="DO291" i="59"/>
  <c r="DP291" i="59"/>
  <c r="DQ291" i="59"/>
  <c r="DR291" i="59"/>
  <c r="DS291" i="59"/>
  <c r="DT291" i="59"/>
  <c r="DU291" i="59"/>
  <c r="DV291" i="59"/>
  <c r="DW291" i="59"/>
  <c r="DX291" i="59"/>
  <c r="DY291" i="59"/>
  <c r="DZ291" i="59"/>
  <c r="EA291" i="59"/>
  <c r="EB291" i="59"/>
  <c r="EC291" i="59"/>
  <c r="ED291" i="59"/>
  <c r="EE291" i="59"/>
  <c r="EF291" i="59"/>
  <c r="EG291" i="59"/>
  <c r="EH291" i="59"/>
  <c r="EI291" i="59"/>
  <c r="EJ291" i="59"/>
  <c r="EK291" i="59"/>
  <c r="EL291" i="59"/>
  <c r="EM291" i="59"/>
  <c r="EN291" i="59"/>
  <c r="EO291" i="59"/>
  <c r="EP291" i="59"/>
  <c r="EQ291" i="59"/>
  <c r="ER291" i="59"/>
  <c r="ES291" i="59"/>
  <c r="ET291" i="59"/>
  <c r="EU291" i="59"/>
  <c r="EV291" i="59"/>
  <c r="EW291" i="59"/>
  <c r="EX291" i="59"/>
  <c r="EY291" i="59"/>
  <c r="EZ291" i="59"/>
  <c r="FA291" i="59"/>
  <c r="FB291" i="59"/>
  <c r="FC291" i="59"/>
  <c r="FD291" i="59"/>
  <c r="FE291" i="59"/>
  <c r="FF291" i="59"/>
  <c r="FG291" i="59"/>
  <c r="FH291" i="59"/>
  <c r="FI291" i="59"/>
  <c r="FJ291" i="59"/>
  <c r="FK291" i="59"/>
  <c r="FL291" i="59"/>
  <c r="FM291" i="59"/>
  <c r="FN291" i="59"/>
  <c r="FO291" i="59"/>
  <c r="FP291" i="59"/>
  <c r="FQ291" i="59"/>
  <c r="FR291" i="59"/>
  <c r="FS291" i="59"/>
  <c r="FT291" i="59"/>
  <c r="FU291" i="59"/>
  <c r="FV291" i="59"/>
  <c r="FW291" i="59"/>
  <c r="FX291" i="59"/>
  <c r="FY291" i="59"/>
  <c r="FZ291" i="59"/>
  <c r="GA291" i="59"/>
  <c r="GB291" i="59"/>
  <c r="GC291" i="59"/>
  <c r="GD291" i="59"/>
  <c r="GE291" i="59"/>
  <c r="GF291" i="59"/>
  <c r="GG291" i="59"/>
  <c r="GH291" i="59"/>
  <c r="GI291" i="59"/>
  <c r="GJ291" i="59"/>
  <c r="GK291" i="59"/>
  <c r="GM291" i="59"/>
  <c r="GN291" i="59"/>
  <c r="GO291" i="59"/>
  <c r="GP291" i="59"/>
  <c r="GQ291" i="59"/>
  <c r="GR291" i="59"/>
  <c r="GS291" i="59"/>
  <c r="GT291" i="59"/>
  <c r="GU291" i="59"/>
  <c r="GV291" i="59"/>
  <c r="GW291" i="59"/>
  <c r="GX291" i="59"/>
  <c r="GY291" i="59"/>
  <c r="GZ291" i="59"/>
  <c r="HA291" i="59"/>
  <c r="HB291" i="59"/>
  <c r="HC291" i="59"/>
  <c r="HD291" i="59"/>
  <c r="HE291" i="59"/>
  <c r="HF291" i="59"/>
  <c r="HG291" i="59"/>
  <c r="HH291" i="59"/>
  <c r="HI291" i="59"/>
  <c r="HJ291" i="59"/>
  <c r="HK291" i="59"/>
  <c r="HL291" i="59"/>
  <c r="HM291" i="59"/>
  <c r="HN291" i="59"/>
  <c r="HO291" i="59"/>
  <c r="HP291" i="59"/>
  <c r="HQ291" i="59"/>
  <c r="HS291" i="59"/>
  <c r="HT291" i="59"/>
  <c r="HU291" i="59"/>
  <c r="HV291" i="59"/>
  <c r="HW291" i="59"/>
  <c r="HX291" i="59"/>
  <c r="HY291" i="59"/>
  <c r="HZ291" i="59"/>
  <c r="IA291" i="59"/>
  <c r="IB291" i="59"/>
  <c r="IC291" i="59"/>
  <c r="ID291" i="59"/>
  <c r="IE291" i="59"/>
  <c r="IF291" i="59"/>
  <c r="IG291" i="59"/>
  <c r="IH291" i="59"/>
  <c r="II291" i="59"/>
  <c r="IJ291" i="59"/>
  <c r="IK291" i="59"/>
  <c r="IL291" i="59"/>
  <c r="IM291" i="59"/>
  <c r="IN291" i="59"/>
  <c r="IO291" i="59"/>
  <c r="IP291" i="59"/>
  <c r="IQ291" i="59"/>
  <c r="IR291" i="59"/>
  <c r="IS291" i="59"/>
  <c r="IT291" i="59"/>
  <c r="IU291" i="59"/>
  <c r="IV291" i="59"/>
  <c r="F292" i="59"/>
  <c r="H292" i="59"/>
  <c r="I292" i="59"/>
  <c r="J292" i="59"/>
  <c r="K292" i="59"/>
  <c r="L292" i="59"/>
  <c r="M292" i="59"/>
  <c r="N292" i="59"/>
  <c r="O292" i="59"/>
  <c r="P292" i="59"/>
  <c r="Q292" i="59"/>
  <c r="R292" i="59"/>
  <c r="S292" i="59"/>
  <c r="T292" i="59"/>
  <c r="U292" i="59"/>
  <c r="V292" i="59"/>
  <c r="W292" i="59"/>
  <c r="X292" i="59"/>
  <c r="Y292" i="59"/>
  <c r="Z292" i="59"/>
  <c r="AA292" i="59"/>
  <c r="AB292" i="59"/>
  <c r="AC292" i="59"/>
  <c r="AD292" i="59"/>
  <c r="AE292" i="59"/>
  <c r="AF292" i="59"/>
  <c r="AG292" i="59"/>
  <c r="AH292" i="59"/>
  <c r="AI292" i="59"/>
  <c r="AJ292" i="59"/>
  <c r="AK292" i="59"/>
  <c r="AL292" i="59"/>
  <c r="AN292" i="59"/>
  <c r="AO292" i="59"/>
  <c r="AP292" i="59"/>
  <c r="AQ292" i="59"/>
  <c r="AR292" i="59"/>
  <c r="AS292" i="59"/>
  <c r="AT292" i="59"/>
  <c r="AU292" i="59"/>
  <c r="AV292" i="59"/>
  <c r="AW292" i="59"/>
  <c r="AX292" i="59"/>
  <c r="AY292" i="59"/>
  <c r="AZ292" i="59"/>
  <c r="BA292" i="59"/>
  <c r="BB292" i="59"/>
  <c r="BC292" i="59"/>
  <c r="BD292" i="59"/>
  <c r="BE292" i="59"/>
  <c r="BF292" i="59"/>
  <c r="BG292" i="59"/>
  <c r="BH292" i="59"/>
  <c r="BI292" i="59"/>
  <c r="BJ292" i="59"/>
  <c r="BK292" i="59"/>
  <c r="BL292" i="59"/>
  <c r="BM292" i="59"/>
  <c r="BN292" i="59"/>
  <c r="BO292" i="59"/>
  <c r="BP292" i="59"/>
  <c r="BQ292" i="59"/>
  <c r="BR292" i="59"/>
  <c r="BT292" i="59"/>
  <c r="BU292" i="59"/>
  <c r="BV292" i="59"/>
  <c r="BW292" i="59"/>
  <c r="BX292" i="59"/>
  <c r="BY292" i="59"/>
  <c r="BZ292" i="59"/>
  <c r="CA292" i="59"/>
  <c r="CB292" i="59"/>
  <c r="CC292" i="59"/>
  <c r="CD292" i="59"/>
  <c r="CE292" i="59"/>
  <c r="CF292" i="59"/>
  <c r="CG292" i="59"/>
  <c r="CH292" i="59"/>
  <c r="CI292" i="59"/>
  <c r="CJ292" i="59"/>
  <c r="CK292" i="59"/>
  <c r="CL292" i="59"/>
  <c r="CM292" i="59"/>
  <c r="CN292" i="59"/>
  <c r="CO292" i="59"/>
  <c r="CP292" i="59"/>
  <c r="CQ292" i="59"/>
  <c r="CR292" i="59"/>
  <c r="CS292" i="59"/>
  <c r="CT292" i="59"/>
  <c r="CU292" i="59"/>
  <c r="CV292" i="59"/>
  <c r="CW292" i="59"/>
  <c r="CX292" i="59"/>
  <c r="CZ292" i="59"/>
  <c r="DA292" i="59"/>
  <c r="DB292" i="59"/>
  <c r="DC292" i="59"/>
  <c r="DD292" i="59"/>
  <c r="DE292" i="59"/>
  <c r="DF292" i="59"/>
  <c r="DG292" i="59"/>
  <c r="DH292" i="59"/>
  <c r="DI292" i="59"/>
  <c r="DJ292" i="59"/>
  <c r="DK292" i="59"/>
  <c r="DL292" i="59"/>
  <c r="DM292" i="59"/>
  <c r="DN292" i="59"/>
  <c r="DO292" i="59"/>
  <c r="DP292" i="59"/>
  <c r="DQ292" i="59"/>
  <c r="DR292" i="59"/>
  <c r="DS292" i="59"/>
  <c r="DT292" i="59"/>
  <c r="DU292" i="59"/>
  <c r="DV292" i="59"/>
  <c r="DW292" i="59"/>
  <c r="DX292" i="59"/>
  <c r="DY292" i="59"/>
  <c r="DZ292" i="59"/>
  <c r="EA292" i="59"/>
  <c r="EB292" i="59"/>
  <c r="EC292" i="59"/>
  <c r="ED292" i="59"/>
  <c r="EF292" i="59"/>
  <c r="EG292" i="59"/>
  <c r="EH292" i="59"/>
  <c r="EI292" i="59"/>
  <c r="EJ292" i="59"/>
  <c r="EK292" i="59"/>
  <c r="EL292" i="59"/>
  <c r="EM292" i="59"/>
  <c r="EN292" i="59"/>
  <c r="EO292" i="59"/>
  <c r="EP292" i="59"/>
  <c r="EQ292" i="59"/>
  <c r="ER292" i="59"/>
  <c r="ES292" i="59"/>
  <c r="ET292" i="59"/>
  <c r="EU292" i="59"/>
  <c r="EV292" i="59"/>
  <c r="EW292" i="59"/>
  <c r="EX292" i="59"/>
  <c r="EY292" i="59"/>
  <c r="EZ292" i="59"/>
  <c r="FA292" i="59"/>
  <c r="FB292" i="59"/>
  <c r="FC292" i="59"/>
  <c r="FD292" i="59"/>
  <c r="FE292" i="59"/>
  <c r="FF292" i="59"/>
  <c r="FG292" i="59"/>
  <c r="FH292" i="59"/>
  <c r="FI292" i="59"/>
  <c r="FJ292" i="59"/>
  <c r="FL292" i="59"/>
  <c r="FM292" i="59"/>
  <c r="FN292" i="59"/>
  <c r="FO292" i="59"/>
  <c r="FP292" i="59"/>
  <c r="FQ292" i="59"/>
  <c r="FR292" i="59"/>
  <c r="FS292" i="59"/>
  <c r="FT292" i="59"/>
  <c r="FU292" i="59"/>
  <c r="FV292" i="59"/>
  <c r="FW292" i="59"/>
  <c r="FX292" i="59"/>
  <c r="FY292" i="59"/>
  <c r="FZ292" i="59"/>
  <c r="GA292" i="59"/>
  <c r="GB292" i="59"/>
  <c r="GC292" i="59"/>
  <c r="GD292" i="59"/>
  <c r="GE292" i="59"/>
  <c r="GF292" i="59"/>
  <c r="GG292" i="59"/>
  <c r="GH292" i="59"/>
  <c r="GI292" i="59"/>
  <c r="GJ292" i="59"/>
  <c r="GK292" i="59"/>
  <c r="GL292" i="59"/>
  <c r="GM292" i="59"/>
  <c r="GN292" i="59"/>
  <c r="GO292" i="59"/>
  <c r="GP292" i="59"/>
  <c r="GR292" i="59"/>
  <c r="GS292" i="59"/>
  <c r="GT292" i="59"/>
  <c r="GU292" i="59"/>
  <c r="GV292" i="59"/>
  <c r="GW292" i="59"/>
  <c r="GX292" i="59"/>
  <c r="GY292" i="59"/>
  <c r="GZ292" i="59"/>
  <c r="HA292" i="59"/>
  <c r="HB292" i="59"/>
  <c r="HC292" i="59"/>
  <c r="HD292" i="59"/>
  <c r="HE292" i="59"/>
  <c r="HF292" i="59"/>
  <c r="HG292" i="59"/>
  <c r="HH292" i="59"/>
  <c r="HI292" i="59"/>
  <c r="HJ292" i="59"/>
  <c r="HK292" i="59"/>
  <c r="HL292" i="59"/>
  <c r="HM292" i="59"/>
  <c r="HN292" i="59"/>
  <c r="HO292" i="59"/>
  <c r="HP292" i="59"/>
  <c r="HQ292" i="59"/>
  <c r="HR292" i="59"/>
  <c r="HS292" i="59"/>
  <c r="HT292" i="59"/>
  <c r="HU292" i="59"/>
  <c r="HV292" i="59"/>
  <c r="HX292" i="59"/>
  <c r="HY292" i="59"/>
  <c r="HZ292" i="59"/>
  <c r="IA292" i="59"/>
  <c r="IB292" i="59"/>
  <c r="IC292" i="59"/>
  <c r="ID292" i="59"/>
  <c r="IE292" i="59"/>
  <c r="IF292" i="59"/>
  <c r="IG292" i="59"/>
  <c r="IH292" i="59"/>
  <c r="II292" i="59"/>
  <c r="IJ292" i="59"/>
  <c r="IK292" i="59"/>
  <c r="IL292" i="59"/>
  <c r="IM292" i="59"/>
  <c r="IN292" i="59"/>
  <c r="IO292" i="59"/>
  <c r="IP292" i="59"/>
  <c r="IQ292" i="59"/>
  <c r="IR292" i="59"/>
  <c r="IS292" i="59"/>
  <c r="IT292" i="59"/>
  <c r="IU292" i="59"/>
  <c r="IV292" i="59"/>
  <c r="F293" i="59"/>
  <c r="G293" i="59"/>
  <c r="H293" i="59"/>
  <c r="I293" i="59"/>
  <c r="J293" i="59"/>
  <c r="K293" i="59"/>
  <c r="M293" i="59"/>
  <c r="N293" i="59"/>
  <c r="O293" i="59"/>
  <c r="P293" i="59"/>
  <c r="Q293" i="59"/>
  <c r="R293" i="59"/>
  <c r="S293" i="59"/>
  <c r="T293" i="59"/>
  <c r="U293" i="59"/>
  <c r="V293" i="59"/>
  <c r="W293" i="59"/>
  <c r="X293" i="59"/>
  <c r="Y293" i="59"/>
  <c r="Z293" i="59"/>
  <c r="AA293" i="59"/>
  <c r="AB293" i="59"/>
  <c r="AC293" i="59"/>
  <c r="AD293" i="59"/>
  <c r="AE293" i="59"/>
  <c r="AF293" i="59"/>
  <c r="AG293" i="59"/>
  <c r="AH293" i="59"/>
  <c r="AI293" i="59"/>
  <c r="AJ293" i="59"/>
  <c r="AK293" i="59"/>
  <c r="AL293" i="59"/>
  <c r="AM293" i="59"/>
  <c r="AN293" i="59"/>
  <c r="AO293" i="59"/>
  <c r="AP293" i="59"/>
  <c r="AQ293" i="59"/>
  <c r="AS293" i="59"/>
  <c r="AT293" i="59"/>
  <c r="AU293" i="59"/>
  <c r="AV293" i="59"/>
  <c r="AW293" i="59"/>
  <c r="AX293" i="59"/>
  <c r="AY293" i="59"/>
  <c r="AZ293" i="59"/>
  <c r="BA293" i="59"/>
  <c r="BB293" i="59"/>
  <c r="BC293" i="59"/>
  <c r="BD293" i="59"/>
  <c r="BE293" i="59"/>
  <c r="BF293" i="59"/>
  <c r="BG293" i="59"/>
  <c r="BH293" i="59"/>
  <c r="BI293" i="59"/>
  <c r="BJ293" i="59"/>
  <c r="BK293" i="59"/>
  <c r="BL293" i="59"/>
  <c r="BM293" i="59"/>
  <c r="BN293" i="59"/>
  <c r="BO293" i="59"/>
  <c r="BP293" i="59"/>
  <c r="BQ293" i="59"/>
  <c r="BR293" i="59"/>
  <c r="BS293" i="59"/>
  <c r="BT293" i="59"/>
  <c r="BU293" i="59"/>
  <c r="BV293" i="59"/>
  <c r="BW293" i="59"/>
  <c r="BY293" i="59"/>
  <c r="BZ293" i="59"/>
  <c r="CA293" i="59"/>
  <c r="CB293" i="59"/>
  <c r="CC293" i="59"/>
  <c r="CD293" i="59"/>
  <c r="CE293" i="59"/>
  <c r="CF293" i="59"/>
  <c r="CG293" i="59"/>
  <c r="CH293" i="59"/>
  <c r="CI293" i="59"/>
  <c r="CJ293" i="59"/>
  <c r="CK293" i="59"/>
  <c r="CL293" i="59"/>
  <c r="CM293" i="59"/>
  <c r="CN293" i="59"/>
  <c r="CO293" i="59"/>
  <c r="CP293" i="59"/>
  <c r="CQ293" i="59"/>
  <c r="CR293" i="59"/>
  <c r="CS293" i="59"/>
  <c r="CT293" i="59"/>
  <c r="CU293" i="59"/>
  <c r="CV293" i="59"/>
  <c r="CW293" i="59"/>
  <c r="CX293" i="59"/>
  <c r="CY293" i="59"/>
  <c r="CZ293" i="59"/>
  <c r="DA293" i="59"/>
  <c r="DB293" i="59"/>
  <c r="DC293" i="59"/>
  <c r="DE293" i="59"/>
  <c r="DF293" i="59"/>
  <c r="DG293" i="59"/>
  <c r="DH293" i="59"/>
  <c r="DI293" i="59"/>
  <c r="DJ293" i="59"/>
  <c r="DK293" i="59"/>
  <c r="DL293" i="59"/>
  <c r="DM293" i="59"/>
  <c r="DN293" i="59"/>
  <c r="DO293" i="59"/>
  <c r="DP293" i="59"/>
  <c r="DQ293" i="59"/>
  <c r="DR293" i="59"/>
  <c r="DS293" i="59"/>
  <c r="DT293" i="59"/>
  <c r="DU293" i="59"/>
  <c r="DV293" i="59"/>
  <c r="DW293" i="59"/>
  <c r="DX293" i="59"/>
  <c r="DY293" i="59"/>
  <c r="DZ293" i="59"/>
  <c r="EA293" i="59"/>
  <c r="EB293" i="59"/>
  <c r="EC293" i="59"/>
  <c r="ED293" i="59"/>
  <c r="EE293" i="59"/>
  <c r="EF293" i="59"/>
  <c r="EG293" i="59"/>
  <c r="EH293" i="59"/>
  <c r="EI293" i="59"/>
  <c r="EK293" i="59"/>
  <c r="EL293" i="59"/>
  <c r="EM293" i="59"/>
  <c r="EN293" i="59"/>
  <c r="EO293" i="59"/>
  <c r="EP293" i="59"/>
  <c r="EQ293" i="59"/>
  <c r="ER293" i="59"/>
  <c r="ES293" i="59"/>
  <c r="ET293" i="59"/>
  <c r="EU293" i="59"/>
  <c r="EV293" i="59"/>
  <c r="EW293" i="59"/>
  <c r="EX293" i="59"/>
  <c r="EY293" i="59"/>
  <c r="EZ293" i="59"/>
  <c r="FA293" i="59"/>
  <c r="FB293" i="59"/>
  <c r="FC293" i="59"/>
  <c r="FD293" i="59"/>
  <c r="FE293" i="59"/>
  <c r="FF293" i="59"/>
  <c r="FG293" i="59"/>
  <c r="FH293" i="59"/>
  <c r="FI293" i="59"/>
  <c r="FJ293" i="59"/>
  <c r="FK293" i="59"/>
  <c r="FL293" i="59"/>
  <c r="FM293" i="59"/>
  <c r="FN293" i="59"/>
  <c r="FO293" i="59"/>
  <c r="FQ293" i="59"/>
  <c r="FR293" i="59"/>
  <c r="FS293" i="59"/>
  <c r="FT293" i="59"/>
  <c r="FU293" i="59"/>
  <c r="FV293" i="59"/>
  <c r="FW293" i="59"/>
  <c r="FX293" i="59"/>
  <c r="FY293" i="59"/>
  <c r="FZ293" i="59"/>
  <c r="GA293" i="59"/>
  <c r="GB293" i="59"/>
  <c r="GC293" i="59"/>
  <c r="GD293" i="59"/>
  <c r="GE293" i="59"/>
  <c r="GF293" i="59"/>
  <c r="GG293" i="59"/>
  <c r="GH293" i="59"/>
  <c r="GI293" i="59"/>
  <c r="GJ293" i="59"/>
  <c r="GK293" i="59"/>
  <c r="GL293" i="59"/>
  <c r="GM293" i="59"/>
  <c r="GN293" i="59"/>
  <c r="GO293" i="59"/>
  <c r="GP293" i="59"/>
  <c r="GQ293" i="59"/>
  <c r="GR293" i="59"/>
  <c r="GS293" i="59"/>
  <c r="GT293" i="59"/>
  <c r="GU293" i="59"/>
  <c r="GW293" i="59"/>
  <c r="GX293" i="59"/>
  <c r="GY293" i="59"/>
  <c r="GZ293" i="59"/>
  <c r="HA293" i="59"/>
  <c r="HB293" i="59"/>
  <c r="HC293" i="59"/>
  <c r="HD293" i="59"/>
  <c r="HE293" i="59"/>
  <c r="HF293" i="59"/>
  <c r="HG293" i="59"/>
  <c r="HH293" i="59"/>
  <c r="HI293" i="59"/>
  <c r="HJ293" i="59"/>
  <c r="HK293" i="59"/>
  <c r="HL293" i="59"/>
  <c r="HM293" i="59"/>
  <c r="HN293" i="59"/>
  <c r="HO293" i="59"/>
  <c r="HP293" i="59"/>
  <c r="HQ293" i="59"/>
  <c r="HR293" i="59"/>
  <c r="HS293" i="59"/>
  <c r="HT293" i="59"/>
  <c r="HU293" i="59"/>
  <c r="HV293" i="59"/>
  <c r="HW293" i="59"/>
  <c r="HX293" i="59"/>
  <c r="HY293" i="59"/>
  <c r="HZ293" i="59"/>
  <c r="IA293" i="59"/>
  <c r="IC293" i="59"/>
  <c r="ID293" i="59"/>
  <c r="IE293" i="59"/>
  <c r="IF293" i="59"/>
  <c r="IG293" i="59"/>
  <c r="IH293" i="59"/>
  <c r="II293" i="59"/>
  <c r="IJ293" i="59"/>
  <c r="IK293" i="59"/>
  <c r="IL293" i="59"/>
  <c r="IM293" i="59"/>
  <c r="IN293" i="59"/>
  <c r="IO293" i="59"/>
  <c r="IP293" i="59"/>
  <c r="IQ293" i="59"/>
  <c r="IR293" i="59"/>
  <c r="IS293" i="59"/>
  <c r="IT293" i="59"/>
  <c r="IU293" i="59"/>
  <c r="IV293" i="59"/>
  <c r="F294" i="59"/>
  <c r="G294" i="59"/>
  <c r="H294" i="59"/>
  <c r="I294" i="59"/>
  <c r="J294" i="59"/>
  <c r="K294" i="59"/>
  <c r="L294" i="59"/>
  <c r="M294" i="59"/>
  <c r="N294" i="59"/>
  <c r="O294" i="59"/>
  <c r="P294" i="59"/>
  <c r="R294" i="59"/>
  <c r="S294" i="59"/>
  <c r="T294" i="59"/>
  <c r="U294" i="59"/>
  <c r="V294" i="59"/>
  <c r="W294" i="59"/>
  <c r="X294" i="59"/>
  <c r="Y294" i="59"/>
  <c r="Z294" i="59"/>
  <c r="AA294" i="59"/>
  <c r="AB294" i="59"/>
  <c r="AC294" i="59"/>
  <c r="AD294" i="59"/>
  <c r="AE294" i="59"/>
  <c r="AF294" i="59"/>
  <c r="AG294" i="59"/>
  <c r="AH294" i="59"/>
  <c r="AI294" i="59"/>
  <c r="AJ294" i="59"/>
  <c r="AK294" i="59"/>
  <c r="AL294" i="59"/>
  <c r="AM294" i="59"/>
  <c r="AN294" i="59"/>
  <c r="AO294" i="59"/>
  <c r="AP294" i="59"/>
  <c r="AQ294" i="59"/>
  <c r="AR294" i="59"/>
  <c r="AS294" i="59"/>
  <c r="AT294" i="59"/>
  <c r="AU294" i="59"/>
  <c r="AV294" i="59"/>
  <c r="AX294" i="59"/>
  <c r="AY294" i="59"/>
  <c r="AZ294" i="59"/>
  <c r="BA294" i="59"/>
  <c r="BB294" i="59"/>
  <c r="BC294" i="59"/>
  <c r="BD294" i="59"/>
  <c r="BE294" i="59"/>
  <c r="BF294" i="59"/>
  <c r="BG294" i="59"/>
  <c r="BH294" i="59"/>
  <c r="BI294" i="59"/>
  <c r="BJ294" i="59"/>
  <c r="BK294" i="59"/>
  <c r="BL294" i="59"/>
  <c r="BM294" i="59"/>
  <c r="BN294" i="59"/>
  <c r="BO294" i="59"/>
  <c r="BP294" i="59"/>
  <c r="BQ294" i="59"/>
  <c r="BR294" i="59"/>
  <c r="BS294" i="59"/>
  <c r="BT294" i="59"/>
  <c r="BU294" i="59"/>
  <c r="BV294" i="59"/>
  <c r="BW294" i="59"/>
  <c r="BX294" i="59"/>
  <c r="BY294" i="59"/>
  <c r="BZ294" i="59"/>
  <c r="CA294" i="59"/>
  <c r="CB294" i="59"/>
  <c r="CD294" i="59"/>
  <c r="CE294" i="59"/>
  <c r="CF294" i="59"/>
  <c r="CG294" i="59"/>
  <c r="CH294" i="59"/>
  <c r="CI294" i="59"/>
  <c r="CJ294" i="59"/>
  <c r="CK294" i="59"/>
  <c r="CL294" i="59"/>
  <c r="CM294" i="59"/>
  <c r="CN294" i="59"/>
  <c r="CO294" i="59"/>
  <c r="CP294" i="59"/>
  <c r="CQ294" i="59"/>
  <c r="CR294" i="59"/>
  <c r="CS294" i="59"/>
  <c r="CT294" i="59"/>
  <c r="CU294" i="59"/>
  <c r="CV294" i="59"/>
  <c r="CW294" i="59"/>
  <c r="CX294" i="59"/>
  <c r="CY294" i="59"/>
  <c r="CZ294" i="59"/>
  <c r="DA294" i="59"/>
  <c r="DB294" i="59"/>
  <c r="DC294" i="59"/>
  <c r="DD294" i="59"/>
  <c r="DE294" i="59"/>
  <c r="DF294" i="59"/>
  <c r="DG294" i="59"/>
  <c r="DH294" i="59"/>
  <c r="DJ294" i="59"/>
  <c r="DK294" i="59"/>
  <c r="DL294" i="59"/>
  <c r="DM294" i="59"/>
  <c r="DN294" i="59"/>
  <c r="DO294" i="59"/>
  <c r="DP294" i="59"/>
  <c r="DQ294" i="59"/>
  <c r="DR294" i="59"/>
  <c r="DS294" i="59"/>
  <c r="DT294" i="59"/>
  <c r="DU294" i="59"/>
  <c r="DV294" i="59"/>
  <c r="DW294" i="59"/>
  <c r="DX294" i="59"/>
  <c r="DY294" i="59"/>
  <c r="DZ294" i="59"/>
  <c r="EA294" i="59"/>
  <c r="EB294" i="59"/>
  <c r="EC294" i="59"/>
  <c r="ED294" i="59"/>
  <c r="EE294" i="59"/>
  <c r="EF294" i="59"/>
  <c r="EG294" i="59"/>
  <c r="EH294" i="59"/>
  <c r="EI294" i="59"/>
  <c r="EJ294" i="59"/>
  <c r="EK294" i="59"/>
  <c r="EL294" i="59"/>
  <c r="EM294" i="59"/>
  <c r="EN294" i="59"/>
  <c r="EP294" i="59"/>
  <c r="EQ294" i="59"/>
  <c r="ER294" i="59"/>
  <c r="ES294" i="59"/>
  <c r="ET294" i="59"/>
  <c r="EU294" i="59"/>
  <c r="EV294" i="59"/>
  <c r="EW294" i="59"/>
  <c r="EX294" i="59"/>
  <c r="EY294" i="59"/>
  <c r="EZ294" i="59"/>
  <c r="FA294" i="59"/>
  <c r="FB294" i="59"/>
  <c r="FC294" i="59"/>
  <c r="FD294" i="59"/>
  <c r="FE294" i="59"/>
  <c r="FF294" i="59"/>
  <c r="FG294" i="59"/>
  <c r="FH294" i="59"/>
  <c r="FI294" i="59"/>
  <c r="FJ294" i="59"/>
  <c r="FK294" i="59"/>
  <c r="FL294" i="59"/>
  <c r="FM294" i="59"/>
  <c r="FN294" i="59"/>
  <c r="FO294" i="59"/>
  <c r="FP294" i="59"/>
  <c r="FQ294" i="59"/>
  <c r="FR294" i="59"/>
  <c r="FS294" i="59"/>
  <c r="FT294" i="59"/>
  <c r="FV294" i="59"/>
  <c r="FW294" i="59"/>
  <c r="FX294" i="59"/>
  <c r="FY294" i="59"/>
  <c r="FZ294" i="59"/>
  <c r="GA294" i="59"/>
  <c r="GB294" i="59"/>
  <c r="GC294" i="59"/>
  <c r="GD294" i="59"/>
  <c r="GE294" i="59"/>
  <c r="GF294" i="59"/>
  <c r="GG294" i="59"/>
  <c r="GH294" i="59"/>
  <c r="GI294" i="59"/>
  <c r="GJ294" i="59"/>
  <c r="GK294" i="59"/>
  <c r="GL294" i="59"/>
  <c r="GM294" i="59"/>
  <c r="GN294" i="59"/>
  <c r="GO294" i="59"/>
  <c r="GP294" i="59"/>
  <c r="GQ294" i="59"/>
  <c r="GR294" i="59"/>
  <c r="GS294" i="59"/>
  <c r="GT294" i="59"/>
  <c r="GU294" i="59"/>
  <c r="GV294" i="59"/>
  <c r="GW294" i="59"/>
  <c r="GX294" i="59"/>
  <c r="GY294" i="59"/>
  <c r="GZ294" i="59"/>
  <c r="HB294" i="59"/>
  <c r="HC294" i="59"/>
  <c r="HD294" i="59"/>
  <c r="HE294" i="59"/>
  <c r="HF294" i="59"/>
  <c r="HG294" i="59"/>
  <c r="HH294" i="59"/>
  <c r="HI294" i="59"/>
  <c r="HJ294" i="59"/>
  <c r="HK294" i="59"/>
  <c r="HL294" i="59"/>
  <c r="HM294" i="59"/>
  <c r="HN294" i="59"/>
  <c r="HO294" i="59"/>
  <c r="HP294" i="59"/>
  <c r="HQ294" i="59"/>
  <c r="HR294" i="59"/>
  <c r="HS294" i="59"/>
  <c r="HT294" i="59"/>
  <c r="HU294" i="59"/>
  <c r="HV294" i="59"/>
  <c r="HW294" i="59"/>
  <c r="HX294" i="59"/>
  <c r="HY294" i="59"/>
  <c r="HZ294" i="59"/>
  <c r="IA294" i="59"/>
  <c r="IB294" i="59"/>
  <c r="IC294" i="59"/>
  <c r="ID294" i="59"/>
  <c r="IE294" i="59"/>
  <c r="IF294" i="59"/>
  <c r="IH294" i="59"/>
  <c r="II294" i="59"/>
  <c r="IJ294" i="59"/>
  <c r="IK294" i="59"/>
  <c r="IL294" i="59"/>
  <c r="IM294" i="59"/>
  <c r="IN294" i="59"/>
  <c r="IO294" i="59"/>
  <c r="IP294" i="59"/>
  <c r="IQ294" i="59"/>
  <c r="IR294" i="59"/>
  <c r="IS294" i="59"/>
  <c r="IT294" i="59"/>
  <c r="IU294" i="59"/>
  <c r="IV294" i="59"/>
  <c r="F295" i="59"/>
  <c r="G295" i="59"/>
  <c r="H295" i="59"/>
  <c r="I295" i="59"/>
  <c r="J295" i="59"/>
  <c r="K295" i="59"/>
  <c r="L295" i="59"/>
  <c r="M295" i="59"/>
  <c r="N295" i="59"/>
  <c r="O295" i="59"/>
  <c r="P295" i="59"/>
  <c r="Q295" i="59"/>
  <c r="R295" i="59"/>
  <c r="S295" i="59"/>
  <c r="T295" i="59"/>
  <c r="U295" i="59"/>
  <c r="W295" i="59"/>
  <c r="X295" i="59"/>
  <c r="Y295" i="59"/>
  <c r="Z295" i="59"/>
  <c r="AA295" i="59"/>
  <c r="AB295" i="59"/>
  <c r="AC295" i="59"/>
  <c r="AD295" i="59"/>
  <c r="AE295" i="59"/>
  <c r="AF295" i="59"/>
  <c r="AG295" i="59"/>
  <c r="AH295" i="59"/>
  <c r="AI295" i="59"/>
  <c r="AJ295" i="59"/>
  <c r="AK295" i="59"/>
  <c r="AL295" i="59"/>
  <c r="AM295" i="59"/>
  <c r="AN295" i="59"/>
  <c r="AO295" i="59"/>
  <c r="AP295" i="59"/>
  <c r="AQ295" i="59"/>
  <c r="AR295" i="59"/>
  <c r="AS295" i="59"/>
  <c r="AT295" i="59"/>
  <c r="AU295" i="59"/>
  <c r="AV295" i="59"/>
  <c r="AW295" i="59"/>
  <c r="AX295" i="59"/>
  <c r="AY295" i="59"/>
  <c r="AZ295" i="59"/>
  <c r="BA295" i="59"/>
  <c r="BC295" i="59"/>
  <c r="BD295" i="59"/>
  <c r="BE295" i="59"/>
  <c r="BF295" i="59"/>
  <c r="BG295" i="59"/>
  <c r="BH295" i="59"/>
  <c r="BI295" i="59"/>
  <c r="BJ295" i="59"/>
  <c r="BK295" i="59"/>
  <c r="BL295" i="59"/>
  <c r="BM295" i="59"/>
  <c r="BN295" i="59"/>
  <c r="BO295" i="59"/>
  <c r="BP295" i="59"/>
  <c r="BQ295" i="59"/>
  <c r="BR295" i="59"/>
  <c r="BS295" i="59"/>
  <c r="BT295" i="59"/>
  <c r="BU295" i="59"/>
  <c r="BV295" i="59"/>
  <c r="BW295" i="59"/>
  <c r="BX295" i="59"/>
  <c r="BY295" i="59"/>
  <c r="BZ295" i="59"/>
  <c r="CA295" i="59"/>
  <c r="CB295" i="59"/>
  <c r="CC295" i="59"/>
  <c r="CD295" i="59"/>
  <c r="CE295" i="59"/>
  <c r="CF295" i="59"/>
  <c r="CG295" i="59"/>
  <c r="CI295" i="59"/>
  <c r="CJ295" i="59"/>
  <c r="CK295" i="59"/>
  <c r="CL295" i="59"/>
  <c r="CM295" i="59"/>
  <c r="CN295" i="59"/>
  <c r="CO295" i="59"/>
  <c r="CP295" i="59"/>
  <c r="CQ295" i="59"/>
  <c r="CR295" i="59"/>
  <c r="CS295" i="59"/>
  <c r="CT295" i="59"/>
  <c r="CU295" i="59"/>
  <c r="CV295" i="59"/>
  <c r="CW295" i="59"/>
  <c r="CX295" i="59"/>
  <c r="CY295" i="59"/>
  <c r="CZ295" i="59"/>
  <c r="DA295" i="59"/>
  <c r="DB295" i="59"/>
  <c r="DC295" i="59"/>
  <c r="DD295" i="59"/>
  <c r="DE295" i="59"/>
  <c r="DF295" i="59"/>
  <c r="DG295" i="59"/>
  <c r="DH295" i="59"/>
  <c r="DI295" i="59"/>
  <c r="DJ295" i="59"/>
  <c r="DK295" i="59"/>
  <c r="DL295" i="59"/>
  <c r="DM295" i="59"/>
  <c r="DO295" i="59"/>
  <c r="DP295" i="59"/>
  <c r="DQ295" i="59"/>
  <c r="DR295" i="59"/>
  <c r="DS295" i="59"/>
  <c r="DT295" i="59"/>
  <c r="DU295" i="59"/>
  <c r="DV295" i="59"/>
  <c r="DW295" i="59"/>
  <c r="DX295" i="59"/>
  <c r="DY295" i="59"/>
  <c r="DZ295" i="59"/>
  <c r="EA295" i="59"/>
  <c r="EB295" i="59"/>
  <c r="EC295" i="59"/>
  <c r="ED295" i="59"/>
  <c r="EE295" i="59"/>
  <c r="EF295" i="59"/>
  <c r="EG295" i="59"/>
  <c r="EH295" i="59"/>
  <c r="EI295" i="59"/>
  <c r="EJ295" i="59"/>
  <c r="EK295" i="59"/>
  <c r="EL295" i="59"/>
  <c r="EM295" i="59"/>
  <c r="EN295" i="59"/>
  <c r="EO295" i="59"/>
  <c r="EP295" i="59"/>
  <c r="EQ295" i="59"/>
  <c r="ER295" i="59"/>
  <c r="ES295" i="59"/>
  <c r="EU295" i="59"/>
  <c r="EV295" i="59"/>
  <c r="EW295" i="59"/>
  <c r="EX295" i="59"/>
  <c r="EY295" i="59"/>
  <c r="EZ295" i="59"/>
  <c r="FA295" i="59"/>
  <c r="FB295" i="59"/>
  <c r="FC295" i="59"/>
  <c r="FD295" i="59"/>
  <c r="FE295" i="59"/>
  <c r="FF295" i="59"/>
  <c r="FG295" i="59"/>
  <c r="FH295" i="59"/>
  <c r="FI295" i="59"/>
  <c r="FJ295" i="59"/>
  <c r="FK295" i="59"/>
  <c r="FL295" i="59"/>
  <c r="FM295" i="59"/>
  <c r="FN295" i="59"/>
  <c r="FO295" i="59"/>
  <c r="FP295" i="59"/>
  <c r="FQ295" i="59"/>
  <c r="FR295" i="59"/>
  <c r="FS295" i="59"/>
  <c r="FT295" i="59"/>
  <c r="FU295" i="59"/>
  <c r="FV295" i="59"/>
  <c r="FW295" i="59"/>
  <c r="FX295" i="59"/>
  <c r="FY295" i="59"/>
  <c r="GA295" i="59"/>
  <c r="GB295" i="59"/>
  <c r="GC295" i="59"/>
  <c r="GD295" i="59"/>
  <c r="GE295" i="59"/>
  <c r="GF295" i="59"/>
  <c r="GG295" i="59"/>
  <c r="GH295" i="59"/>
  <c r="GI295" i="59"/>
  <c r="GJ295" i="59"/>
  <c r="GK295" i="59"/>
  <c r="GL295" i="59"/>
  <c r="GM295" i="59"/>
  <c r="GN295" i="59"/>
  <c r="GO295" i="59"/>
  <c r="GP295" i="59"/>
  <c r="GQ295" i="59"/>
  <c r="GR295" i="59"/>
  <c r="GS295" i="59"/>
  <c r="GT295" i="59"/>
  <c r="GU295" i="59"/>
  <c r="GV295" i="59"/>
  <c r="GW295" i="59"/>
  <c r="GX295" i="59"/>
  <c r="GY295" i="59"/>
  <c r="GZ295" i="59"/>
  <c r="HA295" i="59"/>
  <c r="HB295" i="59"/>
  <c r="HC295" i="59"/>
  <c r="HD295" i="59"/>
  <c r="HE295" i="59"/>
  <c r="HG295" i="59"/>
  <c r="HH295" i="59"/>
  <c r="HI295" i="59"/>
  <c r="HJ295" i="59"/>
  <c r="HK295" i="59"/>
  <c r="HL295" i="59"/>
  <c r="HM295" i="59"/>
  <c r="HN295" i="59"/>
  <c r="HO295" i="59"/>
  <c r="HP295" i="59"/>
  <c r="HQ295" i="59"/>
  <c r="HR295" i="59"/>
  <c r="HS295" i="59"/>
  <c r="HT295" i="59"/>
  <c r="HU295" i="59"/>
  <c r="HV295" i="59"/>
  <c r="HW295" i="59"/>
  <c r="HX295" i="59"/>
  <c r="HY295" i="59"/>
  <c r="HZ295" i="59"/>
  <c r="IA295" i="59"/>
  <c r="IB295" i="59"/>
  <c r="IC295" i="59"/>
  <c r="ID295" i="59"/>
  <c r="IE295" i="59"/>
  <c r="IF295" i="59"/>
  <c r="IG295" i="59"/>
  <c r="IH295" i="59"/>
  <c r="II295" i="59"/>
  <c r="IJ295" i="59"/>
  <c r="IK295" i="59"/>
  <c r="IM295" i="59"/>
  <c r="IN295" i="59"/>
  <c r="IO295" i="59"/>
  <c r="IP295" i="59"/>
  <c r="IQ295" i="59"/>
  <c r="IR295" i="59"/>
  <c r="IS295" i="59"/>
  <c r="IT295" i="59"/>
  <c r="IU295" i="59"/>
  <c r="IV295" i="59"/>
  <c r="F296" i="59"/>
  <c r="G296" i="59"/>
  <c r="H296" i="59"/>
  <c r="I296" i="59"/>
  <c r="J296" i="59"/>
  <c r="K296" i="59"/>
  <c r="L296" i="59"/>
  <c r="M296" i="59"/>
  <c r="N296" i="59"/>
  <c r="O296" i="59"/>
  <c r="P296" i="59"/>
  <c r="Q296" i="59"/>
  <c r="R296" i="59"/>
  <c r="S296" i="59"/>
  <c r="T296" i="59"/>
  <c r="U296" i="59"/>
  <c r="V296" i="59"/>
  <c r="W296" i="59"/>
  <c r="X296" i="59"/>
  <c r="Y296" i="59"/>
  <c r="Z296" i="59"/>
  <c r="AB296" i="59"/>
  <c r="AC296" i="59"/>
  <c r="AD296" i="59"/>
  <c r="AE296" i="59"/>
  <c r="AF296" i="59"/>
  <c r="AG296" i="59"/>
  <c r="AH296" i="59"/>
  <c r="AI296" i="59"/>
  <c r="AJ296" i="59"/>
  <c r="AK296" i="59"/>
  <c r="AL296" i="59"/>
  <c r="AM296" i="59"/>
  <c r="AN296" i="59"/>
  <c r="AO296" i="59"/>
  <c r="AP296" i="59"/>
  <c r="AQ296" i="59"/>
  <c r="AR296" i="59"/>
  <c r="AS296" i="59"/>
  <c r="AT296" i="59"/>
  <c r="AU296" i="59"/>
  <c r="AV296" i="59"/>
  <c r="AW296" i="59"/>
  <c r="AX296" i="59"/>
  <c r="AY296" i="59"/>
  <c r="AZ296" i="59"/>
  <c r="BA296" i="59"/>
  <c r="BB296" i="59"/>
  <c r="BC296" i="59"/>
  <c r="BD296" i="59"/>
  <c r="BE296" i="59"/>
  <c r="BF296" i="59"/>
  <c r="BH296" i="59"/>
  <c r="BI296" i="59"/>
  <c r="BJ296" i="59"/>
  <c r="BK296" i="59"/>
  <c r="BL296" i="59"/>
  <c r="BM296" i="59"/>
  <c r="BN296" i="59"/>
  <c r="BO296" i="59"/>
  <c r="BP296" i="59"/>
  <c r="BQ296" i="59"/>
  <c r="BR296" i="59"/>
  <c r="BS296" i="59"/>
  <c r="BT296" i="59"/>
  <c r="BU296" i="59"/>
  <c r="BV296" i="59"/>
  <c r="BW296" i="59"/>
  <c r="BX296" i="59"/>
  <c r="BY296" i="59"/>
  <c r="BZ296" i="59"/>
  <c r="CA296" i="59"/>
  <c r="CB296" i="59"/>
  <c r="CC296" i="59"/>
  <c r="CD296" i="59"/>
  <c r="CE296" i="59"/>
  <c r="CF296" i="59"/>
  <c r="CG296" i="59"/>
  <c r="CH296" i="59"/>
  <c r="CI296" i="59"/>
  <c r="CJ296" i="59"/>
  <c r="CK296" i="59"/>
  <c r="CL296" i="59"/>
  <c r="CN296" i="59"/>
  <c r="CO296" i="59"/>
  <c r="CP296" i="59"/>
  <c r="CQ296" i="59"/>
  <c r="CR296" i="59"/>
  <c r="CS296" i="59"/>
  <c r="CT296" i="59"/>
  <c r="CU296" i="59"/>
  <c r="CV296" i="59"/>
  <c r="CW296" i="59"/>
  <c r="CX296" i="59"/>
  <c r="CY296" i="59"/>
  <c r="CZ296" i="59"/>
  <c r="DA296" i="59"/>
  <c r="DB296" i="59"/>
  <c r="DC296" i="59"/>
  <c r="DD296" i="59"/>
  <c r="DE296" i="59"/>
  <c r="DF296" i="59"/>
  <c r="DG296" i="59"/>
  <c r="DH296" i="59"/>
  <c r="DI296" i="59"/>
  <c r="DJ296" i="59"/>
  <c r="DK296" i="59"/>
  <c r="DL296" i="59"/>
  <c r="DM296" i="59"/>
  <c r="DN296" i="59"/>
  <c r="DO296" i="59"/>
  <c r="DP296" i="59"/>
  <c r="DQ296" i="59"/>
  <c r="DR296" i="59"/>
  <c r="DT296" i="59"/>
  <c r="DU296" i="59"/>
  <c r="DV296" i="59"/>
  <c r="DW296" i="59"/>
  <c r="DX296" i="59"/>
  <c r="DY296" i="59"/>
  <c r="DZ296" i="59"/>
  <c r="EA296" i="59"/>
  <c r="EB296" i="59"/>
  <c r="EC296" i="59"/>
  <c r="ED296" i="59"/>
  <c r="EE296" i="59"/>
  <c r="EF296" i="59"/>
  <c r="EG296" i="59"/>
  <c r="EH296" i="59"/>
  <c r="EI296" i="59"/>
  <c r="EJ296" i="59"/>
  <c r="EK296" i="59"/>
  <c r="EL296" i="59"/>
  <c r="EM296" i="59"/>
  <c r="EN296" i="59"/>
  <c r="EO296" i="59"/>
  <c r="EP296" i="59"/>
  <c r="EQ296" i="59"/>
  <c r="ER296" i="59"/>
  <c r="ES296" i="59"/>
  <c r="ET296" i="59"/>
  <c r="EU296" i="59"/>
  <c r="EV296" i="59"/>
  <c r="EW296" i="59"/>
  <c r="EX296" i="59"/>
  <c r="EY296" i="59"/>
  <c r="EZ296" i="59"/>
  <c r="FA296" i="59"/>
  <c r="FB296" i="59"/>
  <c r="FC296" i="59"/>
  <c r="FD296" i="59"/>
  <c r="FE296" i="59"/>
  <c r="FF296" i="59"/>
  <c r="FG296" i="59"/>
  <c r="FH296" i="59"/>
  <c r="FI296" i="59"/>
  <c r="FJ296" i="59"/>
  <c r="FK296" i="59"/>
  <c r="FL296" i="59"/>
  <c r="FM296" i="59"/>
  <c r="FN296" i="59"/>
  <c r="FO296" i="59"/>
  <c r="FP296" i="59"/>
  <c r="FQ296" i="59"/>
  <c r="FR296" i="59"/>
  <c r="FS296" i="59"/>
  <c r="FT296" i="59"/>
  <c r="FU296" i="59"/>
  <c r="FV296" i="59"/>
  <c r="FW296" i="59"/>
  <c r="FX296" i="59"/>
  <c r="FY296" i="59"/>
  <c r="FZ296" i="59"/>
  <c r="GA296" i="59"/>
  <c r="GB296" i="59"/>
  <c r="GC296" i="59"/>
  <c r="GD296" i="59"/>
  <c r="GE296" i="59"/>
  <c r="GF296" i="59"/>
  <c r="GG296" i="59"/>
  <c r="GH296" i="59"/>
  <c r="GI296" i="59"/>
  <c r="GJ296" i="59"/>
  <c r="GK296" i="59"/>
  <c r="GL296" i="59"/>
  <c r="GM296" i="59"/>
  <c r="GN296" i="59"/>
  <c r="GO296" i="59"/>
  <c r="GP296" i="59"/>
  <c r="GQ296" i="59"/>
  <c r="GR296" i="59"/>
  <c r="GS296" i="59"/>
  <c r="GT296" i="59"/>
  <c r="GU296" i="59"/>
  <c r="GV296" i="59"/>
  <c r="GW296" i="59"/>
  <c r="GX296" i="59"/>
  <c r="GY296" i="59"/>
  <c r="GZ296" i="59"/>
  <c r="HA296" i="59"/>
  <c r="HB296" i="59"/>
  <c r="HC296" i="59"/>
  <c r="HD296" i="59"/>
  <c r="HE296" i="59"/>
  <c r="HF296" i="59"/>
  <c r="HG296" i="59"/>
  <c r="HH296" i="59"/>
  <c r="HI296" i="59"/>
  <c r="HJ296" i="59"/>
  <c r="HK296" i="59"/>
  <c r="HM296" i="59"/>
  <c r="HO296" i="59"/>
  <c r="HQ296" i="59"/>
  <c r="HS296" i="59"/>
  <c r="HU296" i="59"/>
  <c r="HV296" i="59"/>
  <c r="HW296" i="59"/>
  <c r="HX296" i="59"/>
  <c r="HY296" i="59"/>
  <c r="HZ296" i="59"/>
  <c r="IA296" i="59"/>
  <c r="IB296" i="59"/>
  <c r="IC296" i="59"/>
  <c r="ID296" i="59"/>
  <c r="IE296" i="59"/>
  <c r="IF296" i="59"/>
  <c r="IG296" i="59"/>
  <c r="IH296" i="59"/>
  <c r="II296" i="59"/>
  <c r="IJ296" i="59"/>
  <c r="IK296" i="59"/>
  <c r="IL296" i="59"/>
  <c r="IM296" i="59"/>
  <c r="IN296" i="59"/>
  <c r="IO296" i="59"/>
  <c r="IP296" i="59"/>
  <c r="IQ296" i="59"/>
  <c r="IR296" i="59"/>
  <c r="N297" i="59"/>
  <c r="O297" i="59"/>
  <c r="P297" i="59"/>
  <c r="Q297" i="59"/>
  <c r="R297" i="59"/>
  <c r="S297" i="59"/>
  <c r="T297" i="59"/>
  <c r="U297" i="59"/>
  <c r="V297" i="59"/>
  <c r="W297" i="59"/>
  <c r="X297" i="59"/>
  <c r="Y297" i="59"/>
  <c r="Z297" i="59"/>
  <c r="AA297" i="59"/>
  <c r="AB297" i="59"/>
  <c r="AC297" i="59"/>
  <c r="AD297" i="59"/>
  <c r="AE297" i="59"/>
  <c r="AF297" i="59"/>
  <c r="AG297" i="59"/>
  <c r="AH297" i="59"/>
  <c r="AI297" i="59"/>
  <c r="AJ297" i="59"/>
  <c r="AK297" i="59"/>
  <c r="AL297" i="59"/>
  <c r="AM297" i="59"/>
  <c r="AN297" i="59"/>
  <c r="AO297" i="59"/>
  <c r="AP297" i="59"/>
  <c r="AQ297" i="59"/>
  <c r="AR297" i="59"/>
  <c r="AS297" i="59"/>
  <c r="AT297" i="59"/>
  <c r="AU297" i="59"/>
  <c r="AV297" i="59"/>
  <c r="AW297" i="59"/>
  <c r="AX297" i="59"/>
  <c r="AY297" i="59"/>
  <c r="AZ297" i="59"/>
  <c r="BA297" i="59"/>
  <c r="BB297" i="59"/>
  <c r="BC297" i="59"/>
  <c r="BD297" i="59"/>
  <c r="BE297" i="59"/>
  <c r="BF297" i="59"/>
  <c r="BG297" i="59"/>
  <c r="BH297" i="59"/>
  <c r="BI297" i="59"/>
  <c r="BJ297" i="59"/>
  <c r="BK297" i="59"/>
  <c r="BL297" i="59"/>
  <c r="BM297" i="59"/>
  <c r="BN297" i="59"/>
  <c r="BO297" i="59"/>
  <c r="BP297" i="59"/>
  <c r="BQ297" i="59"/>
  <c r="BR297" i="59"/>
  <c r="BS297" i="59"/>
  <c r="BT297" i="59"/>
  <c r="BU297" i="59"/>
  <c r="BV297" i="59"/>
  <c r="BW297" i="59"/>
  <c r="BX297" i="59"/>
  <c r="BY297" i="59"/>
  <c r="BZ297" i="59"/>
  <c r="CA297" i="59"/>
  <c r="CB297" i="59"/>
  <c r="CC297" i="59"/>
  <c r="CD297" i="59"/>
  <c r="CE297" i="59"/>
  <c r="CF297" i="59"/>
  <c r="CG297" i="59"/>
  <c r="CH297" i="59"/>
  <c r="CI297" i="59"/>
  <c r="CJ297" i="59"/>
  <c r="CK297" i="59"/>
  <c r="CL297" i="59"/>
  <c r="CM297" i="59"/>
  <c r="CN297" i="59"/>
  <c r="CO297" i="59"/>
  <c r="CP297" i="59"/>
  <c r="CQ297" i="59"/>
  <c r="CR297" i="59"/>
  <c r="CS297" i="59"/>
  <c r="CT297" i="59"/>
  <c r="CU297" i="59"/>
  <c r="CV297" i="59"/>
  <c r="CW297" i="59"/>
  <c r="CX297" i="59"/>
  <c r="CY297" i="59"/>
  <c r="CZ297" i="59"/>
  <c r="DA297" i="59"/>
  <c r="DB297" i="59"/>
  <c r="DC297" i="59"/>
  <c r="DD297" i="59"/>
  <c r="DE297" i="59"/>
  <c r="DF297" i="59"/>
  <c r="DG297" i="59"/>
  <c r="DH297" i="59"/>
  <c r="DI297" i="59"/>
  <c r="DJ297" i="59"/>
  <c r="DK297" i="59"/>
  <c r="DL297" i="59"/>
  <c r="DM297" i="59"/>
  <c r="DN297" i="59"/>
  <c r="DO297" i="59"/>
  <c r="DP297" i="59"/>
  <c r="DQ297" i="59"/>
  <c r="DR297" i="59"/>
  <c r="DS297" i="59"/>
  <c r="DT297" i="59"/>
  <c r="DU297" i="59"/>
  <c r="DV297" i="59"/>
  <c r="DW297" i="59"/>
  <c r="DX297" i="59"/>
  <c r="DY297" i="59"/>
  <c r="DZ297" i="59"/>
  <c r="EA297" i="59"/>
  <c r="EB297" i="59"/>
  <c r="EC297" i="59"/>
  <c r="ED297" i="59"/>
  <c r="EE297" i="59"/>
  <c r="EF297" i="59"/>
  <c r="EG297" i="59"/>
  <c r="EH297" i="59"/>
  <c r="EI297" i="59"/>
  <c r="EJ297" i="59"/>
  <c r="EK297" i="59"/>
  <c r="EL297" i="59"/>
  <c r="EM297" i="59"/>
  <c r="EN297" i="59"/>
  <c r="EO297" i="59"/>
  <c r="EP297" i="59"/>
  <c r="EQ297" i="59"/>
  <c r="ER297" i="59"/>
  <c r="ES297" i="59"/>
  <c r="ET297" i="59"/>
  <c r="EU297" i="59"/>
  <c r="EV297" i="59"/>
  <c r="EW297" i="59"/>
  <c r="EX297" i="59"/>
  <c r="EY297" i="59"/>
  <c r="EZ297" i="59"/>
  <c r="FA297" i="59"/>
  <c r="FB297" i="59"/>
  <c r="FC297" i="59"/>
  <c r="FD297" i="59"/>
  <c r="FE297" i="59"/>
  <c r="FF297" i="59"/>
  <c r="FG297" i="59"/>
  <c r="FH297" i="59"/>
  <c r="FI297" i="59"/>
  <c r="FJ297" i="59"/>
  <c r="FK297" i="59"/>
  <c r="FL297" i="59"/>
  <c r="FM297" i="59"/>
  <c r="FN297" i="59"/>
  <c r="FO297" i="59"/>
  <c r="FP297" i="59"/>
  <c r="FQ297" i="59"/>
  <c r="FR297" i="59"/>
  <c r="FS297" i="59"/>
  <c r="FT297" i="59"/>
  <c r="FU297" i="59"/>
  <c r="FV297" i="59"/>
  <c r="FW297" i="59"/>
  <c r="FX297" i="59"/>
  <c r="FY297" i="59"/>
  <c r="FZ297" i="59"/>
  <c r="GA297" i="59"/>
  <c r="GB297" i="59"/>
  <c r="GC297" i="59"/>
  <c r="GD297" i="59"/>
  <c r="GE297" i="59"/>
  <c r="GF297" i="59"/>
  <c r="GG297" i="59"/>
  <c r="GH297" i="59"/>
  <c r="GI297" i="59"/>
  <c r="GJ297" i="59"/>
  <c r="GK297" i="59"/>
  <c r="GL297" i="59"/>
  <c r="GM297" i="59"/>
  <c r="GN297" i="59"/>
  <c r="GO297" i="59"/>
  <c r="GP297" i="59"/>
  <c r="GQ297" i="59"/>
  <c r="GR297" i="59"/>
  <c r="GS297" i="59"/>
  <c r="GT297" i="59"/>
  <c r="GU297" i="59"/>
  <c r="GV297" i="59"/>
  <c r="GW297" i="59"/>
  <c r="GX297" i="59"/>
  <c r="GY297" i="59"/>
  <c r="GZ297" i="59"/>
  <c r="HA297" i="59"/>
  <c r="HB297" i="59"/>
  <c r="HC297" i="59"/>
  <c r="HD297" i="59"/>
  <c r="HE297" i="59"/>
  <c r="HF297" i="59"/>
  <c r="HG297" i="59"/>
  <c r="HH297" i="59"/>
  <c r="HI297" i="59"/>
  <c r="HJ297" i="59"/>
  <c r="HK297" i="59"/>
  <c r="HL297" i="59"/>
  <c r="HM297" i="59"/>
  <c r="HN297" i="59"/>
  <c r="HO297" i="59"/>
  <c r="HP297" i="59"/>
  <c r="HQ297" i="59"/>
  <c r="HR297" i="59"/>
  <c r="HS297" i="59"/>
  <c r="HT297" i="59"/>
  <c r="HU297" i="59"/>
  <c r="HV297" i="59"/>
  <c r="HW297" i="59"/>
  <c r="HX297" i="59"/>
  <c r="HY297" i="59"/>
  <c r="HZ297" i="59"/>
  <c r="IA297" i="59"/>
  <c r="IB297" i="59"/>
  <c r="IC297" i="59"/>
  <c r="ID297" i="59"/>
  <c r="IE297" i="59"/>
  <c r="IF297" i="59"/>
  <c r="IG297" i="59"/>
  <c r="IH297" i="59"/>
  <c r="II297" i="59"/>
  <c r="IJ297" i="59"/>
  <c r="IK297" i="59"/>
  <c r="IL297" i="59"/>
  <c r="IM297" i="59"/>
  <c r="IN297" i="59"/>
  <c r="IO297" i="59"/>
  <c r="IP297" i="59"/>
  <c r="IQ297" i="59"/>
  <c r="IR297" i="59"/>
  <c r="IS297" i="59"/>
  <c r="IT297" i="59"/>
  <c r="IU297" i="59"/>
  <c r="IV297" i="59"/>
  <c r="F298" i="59"/>
  <c r="G298" i="59"/>
  <c r="H298" i="59"/>
  <c r="I298" i="59"/>
  <c r="J298" i="59"/>
  <c r="K298" i="59"/>
  <c r="L298" i="59"/>
  <c r="M298" i="59"/>
  <c r="N298" i="59"/>
  <c r="O298" i="59"/>
  <c r="P298" i="59"/>
  <c r="Q298" i="59"/>
  <c r="R298" i="59"/>
  <c r="S298" i="59"/>
  <c r="T298" i="59"/>
  <c r="U298" i="59"/>
  <c r="V298" i="59"/>
  <c r="W298" i="59"/>
  <c r="X298" i="59"/>
  <c r="Y298" i="59"/>
  <c r="Z298" i="59"/>
  <c r="AA298" i="59"/>
  <c r="AB298" i="59"/>
  <c r="AC298" i="59"/>
  <c r="AD298" i="59"/>
  <c r="AE298" i="59"/>
  <c r="AF298" i="59"/>
  <c r="AG298" i="59"/>
  <c r="AH298" i="59"/>
  <c r="AI298" i="59"/>
  <c r="AJ298" i="59"/>
  <c r="AK298" i="59"/>
  <c r="AL298" i="59"/>
  <c r="AM298" i="59"/>
  <c r="AN298" i="59"/>
  <c r="AO298" i="59"/>
  <c r="AP298" i="59"/>
  <c r="AQ298" i="59"/>
  <c r="AR298" i="59"/>
  <c r="AS298" i="59"/>
  <c r="AT298" i="59"/>
  <c r="AU298" i="59"/>
  <c r="AV298" i="59"/>
  <c r="AW298" i="59"/>
  <c r="AX298" i="59"/>
  <c r="AY298" i="59"/>
  <c r="AZ298" i="59"/>
  <c r="BA298" i="59"/>
  <c r="BB298" i="59"/>
  <c r="BC298" i="59"/>
  <c r="BD298" i="59"/>
  <c r="BE298" i="59"/>
  <c r="BF298" i="59"/>
  <c r="BG298" i="59"/>
  <c r="BH298" i="59"/>
  <c r="BI298" i="59"/>
  <c r="BJ298" i="59"/>
  <c r="BK298" i="59"/>
  <c r="BL298" i="59"/>
  <c r="BM298" i="59"/>
  <c r="BN298" i="59"/>
  <c r="BO298" i="59"/>
  <c r="BP298" i="59"/>
  <c r="BQ298" i="59"/>
  <c r="BR298" i="59"/>
  <c r="BS298" i="59"/>
  <c r="BT298" i="59"/>
  <c r="BU298" i="59"/>
  <c r="BV298" i="59"/>
  <c r="BW298" i="59"/>
  <c r="BX298" i="59"/>
  <c r="BY298" i="59"/>
  <c r="BZ298" i="59"/>
  <c r="CA298" i="59"/>
  <c r="CB298" i="59"/>
  <c r="CC298" i="59"/>
  <c r="CD298" i="59"/>
  <c r="CE298" i="59"/>
  <c r="CF298" i="59"/>
  <c r="CG298" i="59"/>
  <c r="CH298" i="59"/>
  <c r="CI298" i="59"/>
  <c r="CJ298" i="59"/>
  <c r="CK298" i="59"/>
  <c r="CL298" i="59"/>
  <c r="CM298" i="59"/>
  <c r="CN298" i="59"/>
  <c r="CO298" i="59"/>
  <c r="CP298" i="59"/>
  <c r="CQ298" i="59"/>
  <c r="CR298" i="59"/>
  <c r="CS298" i="59"/>
  <c r="CT298" i="59"/>
  <c r="CU298" i="59"/>
  <c r="CV298" i="59"/>
  <c r="CW298" i="59"/>
  <c r="CX298" i="59"/>
  <c r="CY298" i="59"/>
  <c r="CZ298" i="59"/>
  <c r="DA298" i="59"/>
  <c r="DB298" i="59"/>
  <c r="DC298" i="59"/>
  <c r="DD298" i="59"/>
  <c r="DE298" i="59"/>
  <c r="DF298" i="59"/>
  <c r="DG298" i="59"/>
  <c r="DH298" i="59"/>
  <c r="DI298" i="59"/>
  <c r="DJ298" i="59"/>
  <c r="DK298" i="59"/>
  <c r="DL298" i="59"/>
  <c r="DM298" i="59"/>
  <c r="DN298" i="59"/>
  <c r="DO298" i="59"/>
  <c r="DP298" i="59"/>
  <c r="DQ298" i="59"/>
  <c r="DR298" i="59"/>
  <c r="DS298" i="59"/>
  <c r="DT298" i="59"/>
  <c r="DU298" i="59"/>
  <c r="DV298" i="59"/>
  <c r="DW298" i="59"/>
  <c r="DX298" i="59"/>
  <c r="DY298" i="59"/>
  <c r="DZ298" i="59"/>
  <c r="EA298" i="59"/>
  <c r="EB298" i="59"/>
  <c r="EC298" i="59"/>
  <c r="ED298" i="59"/>
  <c r="EE298" i="59"/>
  <c r="EF298" i="59"/>
  <c r="EG298" i="59"/>
  <c r="EH298" i="59"/>
  <c r="EI298" i="59"/>
  <c r="EJ298" i="59"/>
  <c r="EK298" i="59"/>
  <c r="EL298" i="59"/>
  <c r="EM298" i="59"/>
  <c r="EN298" i="59"/>
  <c r="EO298" i="59"/>
  <c r="EP298" i="59"/>
  <c r="EQ298" i="59"/>
  <c r="ER298" i="59"/>
  <c r="ES298" i="59"/>
  <c r="ET298" i="59"/>
  <c r="EU298" i="59"/>
  <c r="EV298" i="59"/>
  <c r="EW298" i="59"/>
  <c r="EX298" i="59"/>
  <c r="EY298" i="59"/>
  <c r="EZ298" i="59"/>
  <c r="FA298" i="59"/>
  <c r="FB298" i="59"/>
  <c r="FC298" i="59"/>
  <c r="FD298" i="59"/>
  <c r="FE298" i="59"/>
  <c r="FF298" i="59"/>
  <c r="FG298" i="59"/>
  <c r="FH298" i="59"/>
  <c r="FI298" i="59"/>
  <c r="FK298" i="59"/>
  <c r="FL298" i="59"/>
  <c r="FM298" i="59"/>
  <c r="FN298" i="59"/>
  <c r="FO298" i="59"/>
  <c r="FP298" i="59"/>
  <c r="FQ298" i="59"/>
  <c r="FR298" i="59"/>
  <c r="FS298" i="59"/>
  <c r="FT298" i="59"/>
  <c r="FU298" i="59"/>
  <c r="FV298" i="59"/>
  <c r="FW298" i="59"/>
  <c r="FX298" i="59"/>
  <c r="FY298" i="59"/>
  <c r="FZ298" i="59"/>
  <c r="GA298" i="59"/>
  <c r="GB298" i="59"/>
  <c r="GC298" i="59"/>
  <c r="GE298" i="59"/>
  <c r="GF298" i="59"/>
  <c r="GG298" i="59"/>
  <c r="GH298" i="59"/>
  <c r="GI298" i="59"/>
  <c r="GJ298" i="59"/>
  <c r="GK298" i="59"/>
  <c r="GL298" i="59"/>
  <c r="GM298" i="59"/>
  <c r="GN298" i="59"/>
  <c r="GO298" i="59"/>
  <c r="GP298" i="59"/>
  <c r="GQ298" i="59"/>
  <c r="GR298" i="59"/>
  <c r="GS298" i="59"/>
  <c r="GT298" i="59"/>
  <c r="GU298" i="59"/>
  <c r="GV298" i="59"/>
  <c r="GW298" i="59"/>
  <c r="GX298" i="59"/>
  <c r="GY298" i="59"/>
  <c r="GZ298" i="59"/>
  <c r="HA298" i="59"/>
  <c r="HB298" i="59"/>
  <c r="HC298" i="59"/>
  <c r="HD298" i="59"/>
  <c r="HE298" i="59"/>
  <c r="HF298" i="59"/>
  <c r="HG298" i="59"/>
  <c r="HH298" i="59"/>
  <c r="HI298" i="59"/>
  <c r="HJ298" i="59"/>
  <c r="HK298" i="59"/>
  <c r="HL298" i="59"/>
  <c r="HM298" i="59"/>
  <c r="HN298" i="59"/>
  <c r="HO298" i="59"/>
  <c r="HP298" i="59"/>
  <c r="HQ298" i="59"/>
  <c r="HR298" i="59"/>
  <c r="HS298" i="59"/>
  <c r="HT298" i="59"/>
  <c r="HU298" i="59"/>
  <c r="HV298" i="59"/>
  <c r="HW298" i="59"/>
  <c r="HX298" i="59"/>
  <c r="HY298" i="59"/>
  <c r="HZ298" i="59"/>
  <c r="IA298" i="59"/>
  <c r="IB298" i="59"/>
  <c r="IC298" i="59"/>
  <c r="ID298" i="59"/>
  <c r="IE298" i="59"/>
  <c r="IF298" i="59"/>
  <c r="IG298" i="59"/>
  <c r="IH298" i="59"/>
  <c r="II298" i="59"/>
  <c r="IJ298" i="59"/>
  <c r="IK298" i="59"/>
  <c r="IL298" i="59"/>
  <c r="IM298" i="59"/>
  <c r="IN298" i="59"/>
  <c r="IO298" i="59"/>
  <c r="IP298" i="59"/>
  <c r="IQ298" i="59"/>
  <c r="IR298" i="59"/>
  <c r="IS298" i="59"/>
  <c r="IT298" i="59"/>
  <c r="IU298" i="59"/>
  <c r="IV298" i="59"/>
  <c r="F299" i="59"/>
  <c r="G299" i="59"/>
  <c r="H299" i="59"/>
  <c r="I299" i="59"/>
  <c r="K299" i="59"/>
  <c r="L299" i="59"/>
  <c r="M299" i="59"/>
  <c r="N299" i="59"/>
  <c r="O299" i="59"/>
  <c r="Q299" i="59"/>
  <c r="R299" i="59"/>
  <c r="S299" i="59"/>
  <c r="T299" i="59"/>
  <c r="V299" i="59"/>
  <c r="W299" i="59"/>
  <c r="X299" i="59"/>
  <c r="Z299" i="59"/>
  <c r="AA299" i="59"/>
  <c r="AB299" i="59"/>
  <c r="AC299" i="59"/>
  <c r="AD299" i="59"/>
  <c r="AF299" i="59"/>
  <c r="AG299" i="59"/>
  <c r="AH299" i="59"/>
  <c r="AI299" i="59"/>
  <c r="AK299" i="59"/>
  <c r="AL299" i="59"/>
  <c r="AM299" i="59"/>
  <c r="AO299" i="59"/>
  <c r="AP299" i="59"/>
  <c r="AQ299" i="59"/>
  <c r="AR299" i="59"/>
  <c r="AS299" i="59"/>
  <c r="AU299" i="59"/>
  <c r="AV299" i="59"/>
  <c r="AW299" i="59"/>
  <c r="AX299" i="59"/>
  <c r="AZ299" i="59"/>
  <c r="BA299" i="59"/>
  <c r="BB299" i="59"/>
  <c r="BC299" i="59"/>
  <c r="BD299" i="59"/>
  <c r="BE299" i="59"/>
  <c r="BF299" i="59"/>
  <c r="BG299" i="59"/>
  <c r="BH299" i="59"/>
  <c r="BI299" i="59"/>
  <c r="BJ299" i="59"/>
  <c r="BK299" i="59"/>
  <c r="BL299" i="59"/>
  <c r="BM299" i="59"/>
  <c r="BN299" i="59"/>
  <c r="BO299" i="59"/>
  <c r="BP299" i="59"/>
  <c r="BQ299" i="59"/>
  <c r="BR299" i="59"/>
  <c r="BS299" i="59"/>
  <c r="BT299" i="59"/>
  <c r="BU299" i="59"/>
  <c r="BV299" i="59"/>
  <c r="BW299" i="59"/>
  <c r="BX299" i="59"/>
  <c r="BY299" i="59"/>
  <c r="BZ299" i="59"/>
  <c r="CA299" i="59"/>
  <c r="CB299" i="59"/>
  <c r="CC299" i="59"/>
  <c r="CD299" i="59"/>
  <c r="CE299" i="59"/>
  <c r="CF299" i="59"/>
  <c r="CG299" i="59"/>
  <c r="CH299" i="59"/>
  <c r="CI299" i="59"/>
  <c r="CK299" i="59"/>
  <c r="CM299" i="59"/>
  <c r="CO299" i="59"/>
  <c r="CQ299" i="59"/>
  <c r="CS299" i="59"/>
  <c r="CU299" i="59"/>
  <c r="CW299" i="59"/>
  <c r="CX299" i="59"/>
  <c r="CY299" i="59"/>
  <c r="CZ299" i="59"/>
  <c r="DA299" i="59"/>
  <c r="DB299" i="59"/>
  <c r="DC299" i="59"/>
  <c r="DD299" i="59"/>
  <c r="DE299" i="59"/>
  <c r="DF299" i="59"/>
  <c r="DG299" i="59"/>
  <c r="DH299" i="59"/>
  <c r="DI299" i="59"/>
  <c r="DJ299" i="59"/>
  <c r="DK299" i="59"/>
  <c r="DL299" i="59"/>
  <c r="DM299" i="59"/>
  <c r="DN299" i="59"/>
  <c r="DO299" i="59"/>
  <c r="DP299" i="59"/>
  <c r="DQ299" i="59"/>
  <c r="DR299" i="59"/>
  <c r="DS299" i="59"/>
  <c r="DT299" i="59"/>
  <c r="DU299" i="59"/>
  <c r="DV299" i="59"/>
  <c r="DW299" i="59"/>
  <c r="DX299" i="59"/>
  <c r="DY299" i="59"/>
  <c r="DZ299" i="59"/>
  <c r="EA299" i="59"/>
  <c r="EB299" i="59"/>
  <c r="EC299" i="59"/>
  <c r="ED299" i="59"/>
  <c r="EE299" i="59"/>
  <c r="EF299" i="59"/>
  <c r="EG299" i="59"/>
  <c r="EH299" i="59"/>
  <c r="EI299" i="59"/>
  <c r="EJ299" i="59"/>
  <c r="EK299" i="59"/>
  <c r="EL299" i="59"/>
  <c r="EM299" i="59"/>
  <c r="EN299" i="59"/>
  <c r="EO299" i="59"/>
  <c r="EP299" i="59"/>
  <c r="EQ299" i="59"/>
  <c r="ER299" i="59"/>
  <c r="ES299" i="59"/>
  <c r="ET299" i="59"/>
  <c r="EU299" i="59"/>
  <c r="EV299" i="59"/>
  <c r="EW299" i="59"/>
  <c r="EX299" i="59"/>
  <c r="EY299" i="59"/>
  <c r="FF299" i="59"/>
  <c r="FG299" i="59"/>
  <c r="FH299" i="59"/>
  <c r="FN299" i="59"/>
  <c r="FO299" i="59"/>
  <c r="FV299" i="59"/>
  <c r="FW299" i="59"/>
  <c r="FX299" i="59"/>
  <c r="GD299" i="59"/>
  <c r="GE299" i="59"/>
  <c r="GF299" i="59"/>
  <c r="GL299" i="59"/>
  <c r="GM299" i="59"/>
  <c r="GN299" i="59"/>
  <c r="GT299" i="59"/>
  <c r="GU299" i="59"/>
  <c r="GV299" i="59"/>
  <c r="HB299" i="59"/>
  <c r="HC299" i="59"/>
  <c r="HD299" i="59"/>
  <c r="HJ299" i="59"/>
  <c r="HK299" i="59"/>
  <c r="HM299" i="59"/>
  <c r="HR299" i="59"/>
  <c r="HS299" i="59"/>
  <c r="HT299" i="59"/>
  <c r="HW299" i="59"/>
  <c r="HZ299" i="59"/>
  <c r="IA299" i="59"/>
  <c r="IC299" i="59"/>
  <c r="ID299" i="59"/>
  <c r="IE299" i="59"/>
  <c r="IF299" i="59"/>
  <c r="IG299" i="59"/>
  <c r="IH299" i="59"/>
  <c r="II299" i="59"/>
  <c r="IJ299" i="59"/>
  <c r="IK299" i="59"/>
  <c r="IL299" i="59"/>
  <c r="IM299" i="59"/>
  <c r="IN299" i="59"/>
  <c r="IO299" i="59"/>
  <c r="IP299" i="59"/>
  <c r="IQ299" i="59"/>
  <c r="IS299" i="59"/>
  <c r="IT299" i="59"/>
  <c r="IU299" i="59"/>
  <c r="IV299" i="59"/>
  <c r="F300" i="59"/>
  <c r="G300" i="59"/>
  <c r="H300" i="59"/>
  <c r="I300" i="59"/>
  <c r="J300" i="59"/>
  <c r="K300" i="59"/>
  <c r="L300" i="59"/>
  <c r="M300" i="59"/>
  <c r="N300" i="59"/>
  <c r="O300" i="59"/>
  <c r="P300" i="59"/>
  <c r="W300" i="59"/>
  <c r="X300" i="59"/>
  <c r="Y300" i="59"/>
  <c r="Z300" i="59"/>
  <c r="AA300" i="59"/>
  <c r="AB300" i="59"/>
  <c r="AC300" i="59"/>
  <c r="AD300" i="59"/>
  <c r="AE300" i="59"/>
  <c r="AL300" i="59"/>
  <c r="AM300" i="59"/>
  <c r="AN300" i="59"/>
  <c r="AS300" i="59"/>
  <c r="AT300" i="59"/>
  <c r="AU300" i="59"/>
  <c r="AV300" i="59"/>
  <c r="AW300" i="59"/>
  <c r="AX300" i="59"/>
  <c r="AY300" i="59"/>
  <c r="AZ300" i="59"/>
  <c r="BA300" i="59"/>
  <c r="BB300" i="59"/>
  <c r="BC300" i="59"/>
  <c r="BD300" i="59"/>
  <c r="BE300" i="59"/>
  <c r="BF300" i="59"/>
  <c r="BG300" i="59"/>
  <c r="BH300" i="59"/>
  <c r="BI300" i="59"/>
  <c r="BJ300" i="59"/>
  <c r="BK300" i="59"/>
  <c r="BL300" i="59"/>
  <c r="BM300" i="59"/>
  <c r="BN300" i="59"/>
  <c r="BO300" i="59"/>
  <c r="BP300" i="59"/>
  <c r="BQ300" i="59"/>
  <c r="BS300" i="59"/>
  <c r="BT300" i="59"/>
  <c r="BX300" i="59"/>
  <c r="BZ300" i="59"/>
  <c r="CA300" i="59"/>
  <c r="CE300" i="59"/>
  <c r="CG300" i="59"/>
  <c r="CH300" i="59"/>
  <c r="CN300" i="59"/>
  <c r="CO300" i="59"/>
  <c r="CU300" i="59"/>
  <c r="CV300" i="59"/>
  <c r="DB300" i="59"/>
  <c r="DC300" i="59"/>
  <c r="DI300" i="59"/>
  <c r="DJ300" i="59"/>
  <c r="DP300" i="59"/>
  <c r="DQ300" i="59"/>
  <c r="DW300" i="59"/>
  <c r="DX300" i="59"/>
  <c r="ED300" i="59"/>
  <c r="EE300" i="59"/>
  <c r="EK300" i="59"/>
  <c r="EL300" i="59"/>
  <c r="ER300" i="59"/>
  <c r="ES300" i="59"/>
  <c r="EY300" i="59"/>
  <c r="EZ300" i="59"/>
  <c r="FF300" i="59"/>
  <c r="FG300" i="59"/>
  <c r="FL300" i="59"/>
  <c r="FM300" i="59"/>
  <c r="FN300" i="59"/>
  <c r="FO300" i="59"/>
  <c r="FP300" i="59"/>
  <c r="FQ300" i="59"/>
  <c r="FR300" i="59"/>
  <c r="FS300" i="59"/>
  <c r="FT300" i="59"/>
  <c r="FU300" i="59"/>
  <c r="FV300" i="59"/>
  <c r="FW300" i="59"/>
  <c r="FX300" i="59"/>
  <c r="FY300" i="59"/>
  <c r="FZ300" i="59"/>
  <c r="GA300" i="59"/>
  <c r="GB300" i="59"/>
  <c r="GC300" i="59"/>
  <c r="GD300" i="59"/>
  <c r="GE300" i="59"/>
  <c r="GF300" i="59"/>
  <c r="GG300" i="59"/>
  <c r="GH300" i="59"/>
  <c r="GI300" i="59"/>
  <c r="GJ300" i="59"/>
  <c r="GK300" i="59"/>
  <c r="GL300" i="59"/>
  <c r="GM300" i="59"/>
  <c r="GN300" i="59"/>
  <c r="GO300" i="59"/>
  <c r="GP300" i="59"/>
  <c r="GQ300" i="59"/>
  <c r="GU300" i="59"/>
  <c r="GW300" i="59"/>
  <c r="GY300" i="59"/>
  <c r="HE300" i="59"/>
  <c r="HG300" i="59"/>
  <c r="HK300" i="59"/>
  <c r="HM300" i="59"/>
  <c r="HO300" i="59"/>
  <c r="HU300" i="59"/>
  <c r="HW300" i="59"/>
  <c r="IA300" i="59"/>
  <c r="IC300" i="59"/>
  <c r="IE300" i="59"/>
  <c r="IK300" i="59"/>
  <c r="IM300" i="59"/>
  <c r="IQ300" i="59"/>
  <c r="IS300" i="59"/>
  <c r="IU300" i="59"/>
  <c r="J301" i="59"/>
  <c r="L301" i="59"/>
  <c r="P301" i="59"/>
  <c r="R301" i="59"/>
  <c r="T301" i="59"/>
  <c r="Z301" i="59"/>
  <c r="AB301" i="59"/>
  <c r="AC301" i="59"/>
  <c r="AD301" i="59"/>
  <c r="AE301" i="59"/>
  <c r="AF301" i="59"/>
  <c r="AG301" i="59"/>
  <c r="AH301" i="59"/>
  <c r="AI301" i="59"/>
  <c r="AJ301" i="59"/>
  <c r="AK301" i="59"/>
  <c r="AL301" i="59"/>
  <c r="AM301" i="59"/>
  <c r="AN301" i="59"/>
  <c r="AO301" i="59"/>
  <c r="AP301" i="59"/>
  <c r="AQ301" i="59"/>
  <c r="AR301" i="59"/>
  <c r="AS301" i="59"/>
  <c r="AV301" i="59"/>
  <c r="AW301" i="59"/>
  <c r="AX301" i="59"/>
  <c r="AY301" i="59"/>
  <c r="AZ301" i="59"/>
  <c r="BA301" i="59"/>
  <c r="BB301" i="59"/>
  <c r="BE301" i="59"/>
  <c r="BF301" i="59"/>
  <c r="BG301" i="59"/>
  <c r="BH301" i="59"/>
  <c r="BI301" i="59"/>
  <c r="BL301" i="59"/>
  <c r="BM301" i="59"/>
  <c r="BN301" i="59"/>
  <c r="BO301" i="59"/>
  <c r="BP301" i="59"/>
  <c r="BQ301" i="59"/>
  <c r="BR301" i="59"/>
  <c r="BT301" i="59"/>
  <c r="BU301" i="59"/>
  <c r="BV301" i="59"/>
  <c r="BW301" i="59"/>
  <c r="BX301" i="59"/>
  <c r="BY301" i="59"/>
  <c r="CB301" i="59"/>
  <c r="CC301" i="59"/>
  <c r="CD301" i="59"/>
  <c r="CE301" i="59"/>
  <c r="CF301" i="59"/>
  <c r="CG301" i="59"/>
  <c r="CH301" i="59"/>
  <c r="CJ301" i="59"/>
  <c r="CK301" i="59"/>
  <c r="CL301" i="59"/>
  <c r="CM301" i="59"/>
  <c r="CN301" i="59"/>
  <c r="CO301" i="59"/>
  <c r="CP301" i="59"/>
  <c r="CQ301" i="59"/>
  <c r="CR301" i="59"/>
  <c r="CS301" i="59"/>
  <c r="CT301" i="59"/>
  <c r="CU301" i="59"/>
  <c r="CV301" i="59"/>
  <c r="CW301" i="59"/>
  <c r="CX301" i="59"/>
  <c r="CY301" i="59"/>
  <c r="CZ301" i="59"/>
  <c r="DA301" i="59"/>
  <c r="DB301" i="59"/>
  <c r="DC301" i="59"/>
  <c r="DD301" i="59"/>
  <c r="DE301" i="59"/>
  <c r="DF301" i="59"/>
  <c r="DG301" i="59"/>
  <c r="DH301" i="59"/>
  <c r="DI301" i="59"/>
  <c r="DJ301" i="59"/>
  <c r="DK301" i="59"/>
  <c r="DL301" i="59"/>
  <c r="DM301" i="59"/>
  <c r="DN301" i="59"/>
  <c r="DO301" i="59"/>
  <c r="DP301" i="59"/>
  <c r="DQ301" i="59"/>
  <c r="DR301" i="59"/>
  <c r="DS301" i="59"/>
  <c r="DT301" i="59"/>
  <c r="DU301" i="59"/>
  <c r="DV301" i="59"/>
  <c r="DW301" i="59"/>
  <c r="DX301" i="59"/>
  <c r="DY301" i="59"/>
  <c r="DZ301" i="59"/>
  <c r="EA301" i="59"/>
  <c r="EB301" i="59"/>
  <c r="EC301" i="59"/>
  <c r="ED301" i="59"/>
  <c r="EE301" i="59"/>
  <c r="EF301" i="59"/>
  <c r="EG301" i="59"/>
  <c r="EH301" i="59"/>
  <c r="EI301" i="59"/>
  <c r="EJ301" i="59"/>
  <c r="EK301" i="59"/>
  <c r="EL301" i="59"/>
  <c r="EM301" i="59"/>
  <c r="EN301" i="59"/>
  <c r="EO301" i="59"/>
  <c r="EP301" i="59"/>
  <c r="EQ301" i="59"/>
  <c r="ER301" i="59"/>
  <c r="ES301" i="59"/>
  <c r="ET301" i="59"/>
  <c r="EU301" i="59"/>
  <c r="EV301" i="59"/>
  <c r="EW301" i="59"/>
  <c r="EX301" i="59"/>
  <c r="EY301" i="59"/>
  <c r="EZ301" i="59"/>
  <c r="FA301" i="59"/>
  <c r="FB301" i="59"/>
  <c r="FC301" i="59"/>
  <c r="FD301" i="59"/>
  <c r="FE301" i="59"/>
  <c r="FF301" i="59"/>
  <c r="FG301" i="59"/>
  <c r="FH301" i="59"/>
  <c r="FI301" i="59"/>
  <c r="FJ301" i="59"/>
  <c r="FK301" i="59"/>
  <c r="FL301" i="59"/>
  <c r="FM301" i="59"/>
  <c r="FN301" i="59"/>
  <c r="FO301" i="59"/>
  <c r="FP301" i="59"/>
  <c r="FQ301" i="59"/>
  <c r="FR301" i="59"/>
  <c r="FS301" i="59"/>
  <c r="FT301" i="59"/>
  <c r="FU301" i="59"/>
  <c r="FV301" i="59"/>
  <c r="FW301" i="59"/>
  <c r="FX301" i="59"/>
  <c r="FY301" i="59"/>
  <c r="FZ301" i="59"/>
  <c r="GA301" i="59"/>
  <c r="GB301" i="59"/>
  <c r="GC301" i="59"/>
  <c r="GD301" i="59"/>
  <c r="GE301" i="59"/>
  <c r="GF301" i="59"/>
  <c r="GG301" i="59"/>
  <c r="GH301" i="59"/>
  <c r="GI301" i="59"/>
  <c r="GJ301" i="59"/>
  <c r="GK301" i="59"/>
  <c r="GL301" i="59"/>
  <c r="GM301" i="59"/>
  <c r="GN301" i="59"/>
  <c r="GO301" i="59"/>
  <c r="GP301" i="59"/>
  <c r="GQ301" i="59"/>
  <c r="GR301" i="59"/>
  <c r="GS301" i="59"/>
  <c r="GT301" i="59"/>
  <c r="GU301" i="59"/>
  <c r="GV301" i="59"/>
  <c r="GW301" i="59"/>
  <c r="GX301" i="59"/>
  <c r="GY301" i="59"/>
  <c r="GZ301" i="59"/>
  <c r="HA301" i="59"/>
  <c r="HB301" i="59"/>
  <c r="HC301" i="59"/>
  <c r="HD301" i="59"/>
  <c r="HE301" i="59"/>
  <c r="HF301" i="59"/>
  <c r="HG301" i="59"/>
  <c r="HH301" i="59"/>
  <c r="HI301" i="59"/>
  <c r="HJ301" i="59"/>
  <c r="HK301" i="59"/>
  <c r="HL301" i="59"/>
  <c r="HM301" i="59"/>
  <c r="HN301" i="59"/>
  <c r="HO301" i="59"/>
  <c r="HP301" i="59"/>
  <c r="HQ301" i="59"/>
  <c r="HR301" i="59"/>
  <c r="HS301" i="59"/>
  <c r="HT301" i="59"/>
  <c r="HU301" i="59"/>
  <c r="HV301" i="59"/>
  <c r="HW301" i="59"/>
  <c r="HX301" i="59"/>
  <c r="HY301" i="59"/>
  <c r="HZ301" i="59"/>
  <c r="IA301" i="59"/>
  <c r="IB301" i="59"/>
  <c r="IC301" i="59"/>
  <c r="ID301" i="59"/>
  <c r="IE301" i="59"/>
  <c r="IF301" i="59"/>
  <c r="IG301" i="59"/>
  <c r="IH301" i="59"/>
  <c r="II301" i="59"/>
  <c r="IJ301" i="59"/>
  <c r="IK301" i="59"/>
  <c r="IL301" i="59"/>
  <c r="IM301" i="59"/>
  <c r="IN301" i="59"/>
  <c r="IO301" i="59"/>
  <c r="IP301" i="59"/>
  <c r="IQ301" i="59"/>
  <c r="IR301" i="59"/>
  <c r="IS301" i="59"/>
  <c r="IT301" i="59"/>
  <c r="IU301" i="59"/>
  <c r="IV301" i="59"/>
  <c r="F302" i="59"/>
  <c r="G302" i="59"/>
  <c r="H302" i="59"/>
  <c r="I302" i="59"/>
  <c r="J302" i="59"/>
  <c r="K302" i="59"/>
  <c r="L302" i="59"/>
  <c r="M302" i="59"/>
  <c r="N302" i="59"/>
  <c r="O302" i="59"/>
  <c r="P302" i="59"/>
  <c r="Q302" i="59"/>
  <c r="R302" i="59"/>
  <c r="S302" i="59"/>
  <c r="T302" i="59"/>
  <c r="U302" i="59"/>
  <c r="V302" i="59"/>
  <c r="W302" i="59"/>
  <c r="X302" i="59"/>
  <c r="Y302" i="59"/>
  <c r="Z302" i="59"/>
  <c r="AA302" i="59"/>
  <c r="AB302" i="59"/>
  <c r="AC302" i="59"/>
  <c r="AD302" i="59"/>
  <c r="AE302" i="59"/>
  <c r="AF302" i="59"/>
  <c r="AG302" i="59"/>
  <c r="AH302" i="59"/>
  <c r="AI302" i="59"/>
  <c r="AJ302" i="59"/>
  <c r="AK302" i="59"/>
  <c r="AL302" i="59"/>
  <c r="AM302" i="59"/>
  <c r="AN302" i="59"/>
  <c r="AO302" i="59"/>
  <c r="AP302" i="59"/>
  <c r="AQ302" i="59"/>
  <c r="AR302" i="59"/>
  <c r="AS302" i="59"/>
  <c r="AT302" i="59"/>
  <c r="AU302" i="59"/>
  <c r="AV302" i="59"/>
  <c r="AW302" i="59"/>
  <c r="AX302" i="59"/>
  <c r="AY302" i="59"/>
  <c r="AZ302" i="59"/>
  <c r="BA302" i="59"/>
  <c r="BB302" i="59"/>
  <c r="BC302" i="59"/>
  <c r="BD302" i="59"/>
  <c r="BE302" i="59"/>
  <c r="BF302" i="59"/>
  <c r="BG302" i="59"/>
  <c r="BH302" i="59"/>
  <c r="BI302" i="59"/>
  <c r="BJ302" i="59"/>
  <c r="BK302" i="59"/>
  <c r="BL302" i="59"/>
  <c r="BM302" i="59"/>
  <c r="BN302" i="59"/>
  <c r="BO302" i="59"/>
  <c r="BP302" i="59"/>
  <c r="BQ302" i="59"/>
  <c r="BR302" i="59"/>
  <c r="BS302" i="59"/>
  <c r="BT302" i="59"/>
  <c r="BU302" i="59"/>
  <c r="BV302" i="59"/>
  <c r="BW302" i="59"/>
  <c r="BX302" i="59"/>
  <c r="BY302" i="59"/>
  <c r="BZ302" i="59"/>
  <c r="CA302" i="59"/>
  <c r="CB302" i="59"/>
  <c r="CC302" i="59"/>
  <c r="CD302" i="59"/>
  <c r="CE302" i="59"/>
  <c r="CF302" i="59"/>
  <c r="CG302" i="59"/>
  <c r="CH302" i="59"/>
  <c r="CI302" i="59"/>
  <c r="CJ302" i="59"/>
  <c r="CK302" i="59"/>
  <c r="CL302" i="59"/>
  <c r="CM302" i="59"/>
  <c r="CN302" i="59"/>
  <c r="CO302" i="59"/>
  <c r="CP302" i="59"/>
  <c r="CQ302" i="59"/>
  <c r="CR302" i="59"/>
  <c r="CS302" i="59"/>
  <c r="CT302" i="59"/>
  <c r="CU302" i="59"/>
  <c r="CV302" i="59"/>
  <c r="CW302" i="59"/>
  <c r="CX302" i="59"/>
  <c r="CY302" i="59"/>
  <c r="CZ302" i="59"/>
  <c r="DA302" i="59"/>
  <c r="DB302" i="59"/>
  <c r="DC302" i="59"/>
  <c r="DD302" i="59"/>
  <c r="DE302" i="59"/>
  <c r="DF302" i="59"/>
  <c r="DG302" i="59"/>
  <c r="DH302" i="59"/>
  <c r="DI302" i="59"/>
  <c r="DJ302" i="59"/>
  <c r="DK302" i="59"/>
  <c r="DL302" i="59"/>
  <c r="DM302" i="59"/>
  <c r="DN302" i="59"/>
  <c r="DO302" i="59"/>
  <c r="DP302" i="59"/>
  <c r="DQ302" i="59"/>
  <c r="DR302" i="59"/>
  <c r="DS302" i="59"/>
  <c r="DT302" i="59"/>
  <c r="DU302" i="59"/>
  <c r="DV302" i="59"/>
  <c r="DW302" i="59"/>
  <c r="DX302" i="59"/>
  <c r="DY302" i="59"/>
  <c r="DZ302" i="59"/>
  <c r="EA302" i="59"/>
  <c r="EB302" i="59"/>
  <c r="EC302" i="59"/>
  <c r="ED302" i="59"/>
  <c r="EE302" i="59"/>
  <c r="EF302" i="59"/>
  <c r="EG302" i="59"/>
  <c r="EH302" i="59"/>
  <c r="EI302" i="59"/>
  <c r="EJ302" i="59"/>
  <c r="EK302" i="59"/>
  <c r="EL302" i="59"/>
  <c r="EM302" i="59"/>
  <c r="EN302" i="59"/>
  <c r="EO302" i="59"/>
  <c r="EP302" i="59"/>
  <c r="EQ302" i="59"/>
  <c r="ER302" i="59"/>
  <c r="ES302" i="59"/>
  <c r="ET302" i="59"/>
  <c r="EU302" i="59"/>
  <c r="EV302" i="59"/>
  <c r="EW302" i="59"/>
  <c r="EX302" i="59"/>
  <c r="EY302" i="59"/>
  <c r="EZ302" i="59"/>
  <c r="FA302" i="59"/>
  <c r="FB302" i="59"/>
  <c r="FC302" i="59"/>
  <c r="FD302" i="59"/>
  <c r="FE302" i="59"/>
  <c r="FF302" i="59"/>
  <c r="FG302" i="59"/>
  <c r="FH302" i="59"/>
  <c r="FI302" i="59"/>
  <c r="FJ302" i="59"/>
  <c r="FK302" i="59"/>
  <c r="FL302" i="59"/>
  <c r="FM302" i="59"/>
  <c r="FN302" i="59"/>
  <c r="FO302" i="59"/>
  <c r="FP302" i="59"/>
  <c r="FQ302" i="59"/>
  <c r="FR302" i="59"/>
  <c r="FS302" i="59"/>
  <c r="FT302" i="59"/>
  <c r="FU302" i="59"/>
  <c r="FV302" i="59"/>
  <c r="FX302" i="59"/>
  <c r="FY302" i="59"/>
  <c r="FZ302" i="59"/>
  <c r="GA302" i="59"/>
  <c r="GB302" i="59"/>
  <c r="GC302" i="59"/>
  <c r="GD302" i="59"/>
  <c r="GE302" i="59"/>
  <c r="GF302" i="59"/>
  <c r="GG302" i="59"/>
  <c r="GH302" i="59"/>
  <c r="GI302" i="59"/>
  <c r="GJ302" i="59"/>
  <c r="GK302" i="59"/>
  <c r="GL302" i="59"/>
  <c r="GM302" i="59"/>
  <c r="GN302" i="59"/>
  <c r="GO302" i="59"/>
  <c r="GP302" i="59"/>
  <c r="GR302" i="59"/>
  <c r="GS302" i="59"/>
  <c r="GT302" i="59"/>
  <c r="GU302" i="59"/>
  <c r="GV302" i="59"/>
  <c r="GW302" i="59"/>
  <c r="GX302" i="59"/>
  <c r="GY302" i="59"/>
  <c r="GZ302" i="59"/>
  <c r="HA302" i="59"/>
  <c r="HB302" i="59"/>
  <c r="HC302" i="59"/>
  <c r="HD302" i="59"/>
  <c r="HE302" i="59"/>
  <c r="HF302" i="59"/>
  <c r="HG302" i="59"/>
  <c r="HH302" i="59"/>
  <c r="HI302" i="59"/>
  <c r="HJ302" i="59"/>
  <c r="HK302" i="59"/>
  <c r="HL302" i="59"/>
  <c r="HM302" i="59"/>
  <c r="HN302" i="59"/>
  <c r="HO302" i="59"/>
  <c r="HP302" i="59"/>
  <c r="HQ302" i="59"/>
  <c r="HR302" i="59"/>
  <c r="HS302" i="59"/>
  <c r="HT302" i="59"/>
  <c r="HU302" i="59"/>
  <c r="HV302" i="59"/>
  <c r="HW302" i="59"/>
  <c r="HX302" i="59"/>
  <c r="HY302" i="59"/>
  <c r="HZ302" i="59"/>
  <c r="IA302" i="59"/>
  <c r="IB302" i="59"/>
  <c r="IC302" i="59"/>
  <c r="ID302" i="59"/>
  <c r="IE302" i="59"/>
  <c r="IF302" i="59"/>
  <c r="IG302" i="59"/>
  <c r="IH302" i="59"/>
  <c r="II302" i="59"/>
  <c r="IJ302" i="59"/>
  <c r="IK302" i="59"/>
  <c r="IL302" i="59"/>
  <c r="IM302" i="59"/>
  <c r="IN302" i="59"/>
  <c r="IO302" i="59"/>
  <c r="IP302" i="59"/>
  <c r="IQ302" i="59"/>
  <c r="IR302" i="59"/>
  <c r="IS302" i="59"/>
  <c r="IT302" i="59"/>
  <c r="IU302" i="59"/>
  <c r="IV302" i="59"/>
  <c r="F303" i="59"/>
  <c r="G303" i="59"/>
  <c r="H303" i="59"/>
  <c r="I303" i="59"/>
  <c r="J303" i="59"/>
  <c r="K303" i="59"/>
  <c r="L303" i="59"/>
  <c r="M303" i="59"/>
  <c r="N303" i="59"/>
  <c r="O303" i="59"/>
  <c r="P303" i="59"/>
  <c r="Q303" i="59"/>
  <c r="R303" i="59"/>
  <c r="S303" i="59"/>
  <c r="T303" i="59"/>
  <c r="U303" i="59"/>
  <c r="V303" i="59"/>
  <c r="W303" i="59"/>
  <c r="X303" i="59"/>
  <c r="Y303" i="59"/>
  <c r="Z303" i="59"/>
  <c r="AA303" i="59"/>
  <c r="AB303" i="59"/>
  <c r="AC303" i="59"/>
  <c r="AD303" i="59"/>
  <c r="AE303" i="59"/>
  <c r="AF303" i="59"/>
  <c r="AG303" i="59"/>
  <c r="AH303" i="59"/>
  <c r="AI303" i="59"/>
  <c r="AJ303" i="59"/>
  <c r="AK303" i="59"/>
  <c r="AL303" i="59"/>
  <c r="AM303" i="59"/>
  <c r="AN303" i="59"/>
  <c r="AO303" i="59"/>
  <c r="AP303" i="59"/>
  <c r="AQ303" i="59"/>
  <c r="AR303" i="59"/>
  <c r="AS303" i="59"/>
  <c r="AT303" i="59"/>
  <c r="AU303" i="59"/>
  <c r="AV303" i="59"/>
  <c r="AW303" i="59"/>
  <c r="AX303" i="59"/>
  <c r="AY303" i="59"/>
  <c r="AZ303" i="59"/>
  <c r="BA303" i="59"/>
  <c r="BB303" i="59"/>
  <c r="BC303" i="59"/>
  <c r="BD303" i="59"/>
  <c r="BE303" i="59"/>
  <c r="BF303" i="59"/>
  <c r="BG303" i="59"/>
  <c r="BH303" i="59"/>
  <c r="BI303" i="59"/>
  <c r="BJ303" i="59"/>
  <c r="BK303" i="59"/>
  <c r="BL303" i="59"/>
  <c r="BM303" i="59"/>
  <c r="BN303" i="59"/>
  <c r="BO303" i="59"/>
  <c r="BP303" i="59"/>
  <c r="BQ303" i="59"/>
  <c r="BR303" i="59"/>
  <c r="BS303" i="59"/>
  <c r="BT303" i="59"/>
  <c r="BU303" i="59"/>
  <c r="BV303" i="59"/>
  <c r="BW303" i="59"/>
  <c r="BX303" i="59"/>
  <c r="BY303" i="59"/>
  <c r="BZ303" i="59"/>
  <c r="CA303" i="59"/>
  <c r="CB303" i="59"/>
  <c r="CC303" i="59"/>
  <c r="CD303" i="59"/>
  <c r="CE303" i="59"/>
  <c r="CF303" i="59"/>
  <c r="CG303" i="59"/>
  <c r="CH303" i="59"/>
  <c r="CI303" i="59"/>
  <c r="CJ303" i="59"/>
  <c r="CK303" i="59"/>
  <c r="CL303" i="59"/>
  <c r="CM303" i="59"/>
  <c r="CN303" i="59"/>
  <c r="CO303" i="59"/>
  <c r="CP303" i="59"/>
  <c r="CQ303" i="59"/>
  <c r="CR303" i="59"/>
  <c r="CS303" i="59"/>
  <c r="CT303" i="59"/>
  <c r="CU303" i="59"/>
  <c r="CV303" i="59"/>
  <c r="CW303" i="59"/>
  <c r="CX303" i="59"/>
  <c r="CY303" i="59"/>
  <c r="CZ303" i="59"/>
  <c r="DA303" i="59"/>
  <c r="DB303" i="59"/>
  <c r="DC303" i="59"/>
  <c r="DD303" i="59"/>
  <c r="DE303" i="59"/>
  <c r="DF303" i="59"/>
  <c r="DG303" i="59"/>
  <c r="DH303" i="59"/>
  <c r="DI303" i="59"/>
  <c r="DJ303" i="59"/>
  <c r="DK303" i="59"/>
  <c r="DL303" i="59"/>
  <c r="DM303" i="59"/>
  <c r="DN303" i="59"/>
  <c r="DO303" i="59"/>
  <c r="DP303" i="59"/>
  <c r="DQ303" i="59"/>
  <c r="DR303" i="59"/>
  <c r="DS303" i="59"/>
  <c r="DT303" i="59"/>
  <c r="DU303" i="59"/>
  <c r="DV303" i="59"/>
  <c r="DW303" i="59"/>
  <c r="DX303" i="59"/>
  <c r="DY303" i="59"/>
  <c r="DZ303" i="59"/>
  <c r="EA303" i="59"/>
  <c r="EB303" i="59"/>
  <c r="EC303" i="59"/>
  <c r="ED303" i="59"/>
  <c r="EE303" i="59"/>
  <c r="EF303" i="59"/>
  <c r="EG303" i="59"/>
  <c r="EH303" i="59"/>
  <c r="EI303" i="59"/>
  <c r="EJ303" i="59"/>
  <c r="EK303" i="59"/>
  <c r="EL303" i="59"/>
  <c r="EM303" i="59"/>
  <c r="EN303" i="59"/>
  <c r="EO303" i="59"/>
  <c r="EP303" i="59"/>
  <c r="EQ303" i="59"/>
  <c r="ER303" i="59"/>
  <c r="ES303" i="59"/>
  <c r="ET303" i="59"/>
  <c r="EU303" i="59"/>
  <c r="EV303" i="59"/>
  <c r="EW303" i="59"/>
  <c r="EX303" i="59"/>
  <c r="EY303" i="59"/>
  <c r="EZ303" i="59"/>
  <c r="FA303" i="59"/>
  <c r="FB303" i="59"/>
  <c r="FC303" i="59"/>
  <c r="FD303" i="59"/>
  <c r="FE303" i="59"/>
  <c r="FF303" i="59"/>
  <c r="FG303" i="59"/>
  <c r="FH303" i="59"/>
  <c r="FI303" i="59"/>
  <c r="FJ303" i="59"/>
  <c r="FK303" i="59"/>
  <c r="FL303" i="59"/>
  <c r="FM303" i="59"/>
  <c r="FN303" i="59"/>
  <c r="FO303" i="59"/>
  <c r="FP303" i="59"/>
  <c r="FQ303" i="59"/>
  <c r="FR303" i="59"/>
  <c r="FS303" i="59"/>
  <c r="FT303" i="59"/>
  <c r="FU303" i="59"/>
  <c r="FV303" i="59"/>
  <c r="FW303" i="59"/>
  <c r="FX303" i="59"/>
  <c r="FY303" i="59"/>
  <c r="FZ303" i="59"/>
  <c r="GA303" i="59"/>
  <c r="GB303" i="59"/>
  <c r="GC303" i="59"/>
  <c r="GD303" i="59"/>
  <c r="GE303" i="59"/>
  <c r="GF303" i="59"/>
  <c r="GG303" i="59"/>
  <c r="GH303" i="59"/>
  <c r="GI303" i="59"/>
  <c r="GJ303" i="59"/>
  <c r="GK303" i="59"/>
  <c r="GL303" i="59"/>
  <c r="GM303" i="59"/>
  <c r="GN303" i="59"/>
  <c r="GO303" i="59"/>
  <c r="GP303" i="59"/>
  <c r="GQ303" i="59"/>
  <c r="GR303" i="59"/>
  <c r="GS303" i="59"/>
  <c r="GT303" i="59"/>
  <c r="GU303" i="59"/>
  <c r="GV303" i="59"/>
  <c r="GW303" i="59"/>
  <c r="GX303" i="59"/>
  <c r="GY303" i="59"/>
  <c r="GZ303" i="59"/>
  <c r="HA303" i="59"/>
  <c r="HB303" i="59"/>
  <c r="HC303" i="59"/>
  <c r="HD303" i="59"/>
  <c r="HE303" i="59"/>
  <c r="HF303" i="59"/>
  <c r="HG303" i="59"/>
  <c r="HH303" i="59"/>
  <c r="HI303" i="59"/>
  <c r="HJ303" i="59"/>
  <c r="HK303" i="59"/>
  <c r="HL303" i="59"/>
  <c r="HM303" i="59"/>
  <c r="HN303" i="59"/>
  <c r="HO303" i="59"/>
  <c r="HP303" i="59"/>
  <c r="HQ303" i="59"/>
  <c r="HR303" i="59"/>
  <c r="HS303" i="59"/>
  <c r="HT303" i="59"/>
  <c r="HU303" i="59"/>
  <c r="HV303" i="59"/>
  <c r="HW303" i="59"/>
  <c r="HX303" i="59"/>
  <c r="HY303" i="59"/>
  <c r="HZ303" i="59"/>
  <c r="IA303" i="59"/>
  <c r="IB303" i="59"/>
  <c r="IC303" i="59"/>
  <c r="ID303" i="59"/>
  <c r="IE303" i="59"/>
  <c r="IF303" i="59"/>
  <c r="IG303" i="59"/>
  <c r="IH303" i="59"/>
  <c r="II303" i="59"/>
  <c r="IJ303" i="59"/>
  <c r="IK303" i="59"/>
  <c r="IL303" i="59"/>
  <c r="IM303" i="59"/>
  <c r="IN303" i="59"/>
  <c r="IO303" i="59"/>
  <c r="IP303" i="59"/>
  <c r="IQ303" i="59"/>
  <c r="IR303" i="59"/>
  <c r="IS303" i="59"/>
  <c r="IT303" i="59"/>
  <c r="IU303" i="59"/>
  <c r="IV303" i="59"/>
  <c r="F304" i="59"/>
  <c r="G304" i="59"/>
  <c r="H304" i="59"/>
  <c r="I304" i="59"/>
  <c r="J304" i="59"/>
  <c r="K304" i="59"/>
  <c r="L304" i="59"/>
  <c r="M304" i="59"/>
  <c r="N304" i="59"/>
  <c r="O304" i="59"/>
  <c r="P304" i="59"/>
  <c r="Q304" i="59"/>
  <c r="R304" i="59"/>
  <c r="S304" i="59"/>
  <c r="T304" i="59"/>
  <c r="U304" i="59"/>
  <c r="V304" i="59"/>
  <c r="W304" i="59"/>
  <c r="X304" i="59"/>
  <c r="Y304" i="59"/>
  <c r="Z304" i="59"/>
  <c r="AA304" i="59"/>
  <c r="AB304" i="59"/>
  <c r="AC304" i="59"/>
  <c r="AD304" i="59"/>
  <c r="AE304" i="59"/>
  <c r="AF304" i="59"/>
  <c r="AG304" i="59"/>
  <c r="AH304" i="59"/>
  <c r="AI304" i="59"/>
  <c r="AJ304" i="59"/>
  <c r="AK304" i="59"/>
  <c r="AL304" i="59"/>
  <c r="AM304" i="59"/>
  <c r="AN304" i="59"/>
  <c r="AO304" i="59"/>
  <c r="AP304" i="59"/>
  <c r="AQ304" i="59"/>
  <c r="AR304" i="59"/>
  <c r="AS304" i="59"/>
  <c r="AT304" i="59"/>
  <c r="AU304" i="59"/>
  <c r="AV304" i="59"/>
  <c r="AW304" i="59"/>
  <c r="AX304" i="59"/>
  <c r="AY304" i="59"/>
  <c r="AZ304" i="59"/>
  <c r="BA304" i="59"/>
  <c r="BB304" i="59"/>
  <c r="BC304" i="59"/>
  <c r="BD304" i="59"/>
  <c r="BE304" i="59"/>
  <c r="BF304" i="59"/>
  <c r="BG304" i="59"/>
  <c r="BH304" i="59"/>
  <c r="BI304" i="59"/>
  <c r="BJ304" i="59"/>
  <c r="BK304" i="59"/>
  <c r="BL304" i="59"/>
  <c r="BM304" i="59"/>
  <c r="BN304" i="59"/>
  <c r="BO304" i="59"/>
  <c r="BP304" i="59"/>
  <c r="BQ304" i="59"/>
  <c r="BS304" i="59"/>
  <c r="BT304" i="59"/>
  <c r="BU304" i="59"/>
  <c r="BV304" i="59"/>
  <c r="BW304" i="59"/>
  <c r="BX304" i="59"/>
  <c r="BY304" i="59"/>
  <c r="BZ304" i="59"/>
  <c r="CA304" i="59"/>
  <c r="CB304" i="59"/>
  <c r="CC304" i="59"/>
  <c r="CD304" i="59"/>
  <c r="CE304" i="59"/>
  <c r="CF304" i="59"/>
  <c r="CG304" i="59"/>
  <c r="CH304" i="59"/>
  <c r="CI304" i="59"/>
  <c r="CJ304" i="59"/>
  <c r="CK304" i="59"/>
  <c r="CM304" i="59"/>
  <c r="CN304" i="59"/>
  <c r="CO304" i="59"/>
  <c r="CP304" i="59"/>
  <c r="CQ304" i="59"/>
  <c r="CR304" i="59"/>
  <c r="CS304" i="59"/>
  <c r="CT304" i="59"/>
  <c r="CU304" i="59"/>
  <c r="CV304" i="59"/>
  <c r="CW304" i="59"/>
  <c r="CX304" i="59"/>
  <c r="CY304" i="59"/>
  <c r="CZ304" i="59"/>
  <c r="DA304" i="59"/>
  <c r="DB304" i="59"/>
  <c r="DC304" i="59"/>
  <c r="DD304" i="59"/>
  <c r="DE304" i="59"/>
  <c r="DF304" i="59"/>
  <c r="DG304" i="59"/>
  <c r="DH304" i="59"/>
  <c r="DI304" i="59"/>
  <c r="DJ304" i="59"/>
  <c r="DK304" i="59"/>
  <c r="DL304" i="59"/>
  <c r="DM304" i="59"/>
  <c r="DN304" i="59"/>
  <c r="DO304" i="59"/>
  <c r="DP304" i="59"/>
  <c r="DQ304" i="59"/>
  <c r="DR304" i="59"/>
  <c r="DS304" i="59"/>
  <c r="DT304" i="59"/>
  <c r="DU304" i="59"/>
  <c r="DV304" i="59"/>
  <c r="DW304" i="59"/>
  <c r="DX304" i="59"/>
  <c r="DY304" i="59"/>
  <c r="DZ304" i="59"/>
  <c r="EA304" i="59"/>
  <c r="EB304" i="59"/>
  <c r="EC304" i="59"/>
  <c r="ED304" i="59"/>
  <c r="EE304" i="59"/>
  <c r="EF304" i="59"/>
  <c r="EG304" i="59"/>
  <c r="EH304" i="59"/>
  <c r="EI304" i="59"/>
  <c r="EJ304" i="59"/>
  <c r="EK304" i="59"/>
  <c r="EL304" i="59"/>
  <c r="EM304" i="59"/>
  <c r="EN304" i="59"/>
  <c r="EO304" i="59"/>
  <c r="EP304" i="59"/>
  <c r="EQ304" i="59"/>
  <c r="ER304" i="59"/>
  <c r="ES304" i="59"/>
  <c r="ET304" i="59"/>
  <c r="EU304" i="59"/>
  <c r="EV304" i="59"/>
  <c r="EW304" i="59"/>
  <c r="EX304" i="59"/>
  <c r="EY304" i="59"/>
  <c r="EZ304" i="59"/>
  <c r="FA304" i="59"/>
  <c r="FB304" i="59"/>
  <c r="FC304" i="59"/>
  <c r="FD304" i="59"/>
  <c r="FE304" i="59"/>
  <c r="FF304" i="59"/>
  <c r="FG304" i="59"/>
  <c r="FH304" i="59"/>
  <c r="FJ304" i="59"/>
  <c r="FK304" i="59"/>
  <c r="FL304" i="59"/>
  <c r="FM304" i="59"/>
  <c r="FN304" i="59"/>
  <c r="FP304" i="59"/>
  <c r="FQ304" i="59"/>
  <c r="FR304" i="59"/>
  <c r="FS304" i="59"/>
  <c r="FU304" i="59"/>
  <c r="FV304" i="59"/>
  <c r="FW304" i="59"/>
  <c r="FY304" i="59"/>
  <c r="FZ304" i="59"/>
  <c r="GA304" i="59"/>
  <c r="GB304" i="59"/>
  <c r="GC304" i="59"/>
  <c r="GE304" i="59"/>
  <c r="GF304" i="59"/>
  <c r="GG304" i="59"/>
  <c r="GH304" i="59"/>
  <c r="GJ304" i="59"/>
  <c r="GK304" i="59"/>
  <c r="GL304" i="59"/>
  <c r="GN304" i="59"/>
  <c r="GO304" i="59"/>
  <c r="GP304" i="59"/>
  <c r="GQ304" i="59"/>
  <c r="GR304" i="59"/>
  <c r="GT304" i="59"/>
  <c r="GU304" i="59"/>
  <c r="GV304" i="59"/>
  <c r="GW304" i="59"/>
  <c r="GY304" i="59"/>
  <c r="GZ304" i="59"/>
  <c r="HA304" i="59"/>
  <c r="HB304" i="59"/>
  <c r="HC304" i="59"/>
  <c r="HD304" i="59"/>
  <c r="HE304" i="59"/>
  <c r="HF304" i="59"/>
  <c r="HG304" i="59"/>
  <c r="HH304" i="59"/>
  <c r="HI304" i="59"/>
  <c r="HJ304" i="59"/>
  <c r="HK304" i="59"/>
  <c r="HL304" i="59"/>
  <c r="HM304" i="59"/>
  <c r="HN304" i="59"/>
  <c r="HO304" i="59"/>
  <c r="HP304" i="59"/>
  <c r="HQ304" i="59"/>
  <c r="HR304" i="59"/>
  <c r="HS304" i="59"/>
  <c r="HT304" i="59"/>
  <c r="HU304" i="59"/>
  <c r="HV304" i="59"/>
  <c r="HW304" i="59"/>
  <c r="HX304" i="59"/>
  <c r="HY304" i="59"/>
  <c r="HZ304" i="59"/>
  <c r="IA304" i="59"/>
  <c r="IB304" i="59"/>
  <c r="IC304" i="59"/>
  <c r="ID304" i="59"/>
  <c r="IE304" i="59"/>
  <c r="IF304" i="59"/>
  <c r="IG304" i="59"/>
  <c r="IH304" i="59"/>
  <c r="II304" i="59"/>
  <c r="IJ304" i="59"/>
  <c r="IK304" i="59"/>
  <c r="IL304" i="59"/>
  <c r="IM304" i="59"/>
  <c r="IN304" i="59"/>
  <c r="IO304" i="59"/>
  <c r="IP304" i="59"/>
  <c r="IQ304" i="59"/>
  <c r="IR304" i="59"/>
  <c r="IS304" i="59"/>
  <c r="IT304" i="59"/>
  <c r="IU304" i="59"/>
  <c r="IV304" i="59"/>
  <c r="F305" i="59"/>
  <c r="G305" i="59"/>
  <c r="H305" i="59"/>
  <c r="I305" i="59"/>
  <c r="J305" i="59"/>
  <c r="K305" i="59"/>
  <c r="L305" i="59"/>
  <c r="N305" i="59"/>
  <c r="T305" i="59"/>
  <c r="U305" i="59"/>
  <c r="V305" i="59"/>
  <c r="W305" i="59"/>
  <c r="X305" i="59"/>
  <c r="Y305" i="59"/>
  <c r="Z305" i="59"/>
  <c r="AA305" i="59"/>
  <c r="AB305" i="59"/>
  <c r="AD305" i="59"/>
  <c r="AT305" i="59"/>
  <c r="BJ305" i="59"/>
  <c r="BZ305" i="59"/>
  <c r="CP305" i="59"/>
  <c r="DF305" i="59"/>
  <c r="DV305" i="59"/>
  <c r="EL305" i="59"/>
  <c r="FB305" i="59"/>
  <c r="FR305" i="59"/>
  <c r="GH305" i="59"/>
  <c r="GX305" i="59"/>
  <c r="HN305" i="59"/>
  <c r="ID305" i="59"/>
  <c r="IT305" i="59"/>
  <c r="S306" i="59"/>
  <c r="AI306" i="59"/>
  <c r="AY306" i="59"/>
  <c r="BO306" i="59"/>
  <c r="CE306" i="59"/>
  <c r="CU306" i="59"/>
  <c r="DK306" i="59"/>
  <c r="EA306" i="59"/>
  <c r="EQ306" i="59"/>
  <c r="FG306" i="59"/>
  <c r="FW306" i="59"/>
  <c r="GM306" i="59"/>
  <c r="HC306" i="59"/>
  <c r="HS306" i="59"/>
  <c r="II306" i="59"/>
  <c r="G307" i="59"/>
  <c r="H307" i="59"/>
  <c r="I307" i="59"/>
  <c r="J307" i="59"/>
  <c r="K307" i="59"/>
  <c r="L307" i="59"/>
  <c r="M307" i="59"/>
  <c r="N307" i="59"/>
  <c r="O307" i="59"/>
  <c r="P307" i="59"/>
  <c r="Q307" i="59"/>
  <c r="R307" i="59"/>
  <c r="S307" i="59"/>
  <c r="T307" i="59"/>
  <c r="U307" i="59"/>
  <c r="V307" i="59"/>
  <c r="W307" i="59"/>
  <c r="X307" i="59"/>
  <c r="Y307" i="59"/>
  <c r="Z307" i="59"/>
  <c r="AA307" i="59"/>
  <c r="AB307" i="59"/>
  <c r="AC307" i="59"/>
  <c r="AD307" i="59"/>
  <c r="AE307" i="59"/>
  <c r="AF307" i="59"/>
  <c r="AG307" i="59"/>
  <c r="AH307" i="59"/>
  <c r="AI307" i="59"/>
  <c r="AJ307" i="59"/>
  <c r="AK307" i="59"/>
  <c r="AL307" i="59"/>
  <c r="AM307" i="59"/>
  <c r="AN307" i="59"/>
  <c r="AO307" i="59"/>
  <c r="AP307" i="59"/>
  <c r="AQ307" i="59"/>
  <c r="AR307" i="59"/>
  <c r="AS307" i="59"/>
  <c r="AT307" i="59"/>
  <c r="AU307" i="59"/>
  <c r="AV307" i="59"/>
  <c r="AW307" i="59"/>
  <c r="AX307" i="59"/>
  <c r="AY307" i="59"/>
  <c r="AZ307" i="59"/>
  <c r="BA307" i="59"/>
  <c r="BB307" i="59"/>
  <c r="BC307" i="59"/>
  <c r="BD307" i="59"/>
  <c r="BE307" i="59"/>
  <c r="BF307" i="59"/>
  <c r="BG307" i="59"/>
  <c r="BH307" i="59"/>
  <c r="BI307" i="59"/>
  <c r="BJ307" i="59"/>
  <c r="BK307" i="59"/>
  <c r="BL307" i="59"/>
  <c r="BM307" i="59"/>
  <c r="BN307" i="59"/>
  <c r="BO307" i="59"/>
  <c r="BP307" i="59"/>
  <c r="BQ307" i="59"/>
  <c r="BR307" i="59"/>
  <c r="BS307" i="59"/>
  <c r="BT307" i="59"/>
  <c r="BU307" i="59"/>
  <c r="BV307" i="59"/>
  <c r="BW307" i="59"/>
  <c r="BX307" i="59"/>
  <c r="BY307" i="59"/>
  <c r="BZ307" i="59"/>
  <c r="CA307" i="59"/>
  <c r="CB307" i="59"/>
  <c r="CC307" i="59"/>
  <c r="CD307" i="59"/>
  <c r="CE307" i="59"/>
  <c r="CF307" i="59"/>
  <c r="CG307" i="59"/>
  <c r="CH307" i="59"/>
  <c r="CI307" i="59"/>
  <c r="CJ307" i="59"/>
  <c r="CK307" i="59"/>
  <c r="CL307" i="59"/>
  <c r="CM307" i="59"/>
  <c r="CN307" i="59"/>
  <c r="CO307" i="59"/>
  <c r="CP307" i="59"/>
  <c r="CQ307" i="59"/>
  <c r="CR307" i="59"/>
  <c r="CS307" i="59"/>
  <c r="CT307" i="59"/>
  <c r="CU307" i="59"/>
  <c r="CV307" i="59"/>
  <c r="CW307" i="59"/>
  <c r="CX307" i="59"/>
  <c r="CY307" i="59"/>
  <c r="CZ307" i="59"/>
  <c r="DA307" i="59"/>
  <c r="DB307" i="59"/>
  <c r="DC307" i="59"/>
  <c r="DD307" i="59"/>
  <c r="DE307" i="59"/>
  <c r="DF307" i="59"/>
  <c r="DG307" i="59"/>
  <c r="DH307" i="59"/>
  <c r="DI307" i="59"/>
  <c r="DJ307" i="59"/>
  <c r="DK307" i="59"/>
  <c r="DL307" i="59"/>
  <c r="DM307" i="59"/>
  <c r="DN307" i="59"/>
  <c r="DO307" i="59"/>
  <c r="DP307" i="59"/>
  <c r="DQ307" i="59"/>
  <c r="DR307" i="59"/>
  <c r="DS307" i="59"/>
  <c r="DT307" i="59"/>
  <c r="DU307" i="59"/>
  <c r="DV307" i="59"/>
  <c r="DW307" i="59"/>
  <c r="DX307" i="59"/>
  <c r="DY307" i="59"/>
  <c r="DZ307" i="59"/>
  <c r="EA307" i="59"/>
  <c r="EB307" i="59"/>
  <c r="EC307" i="59"/>
  <c r="ED307" i="59"/>
  <c r="EE307" i="59"/>
  <c r="EF307" i="59"/>
  <c r="EG307" i="59"/>
  <c r="EH307" i="59"/>
  <c r="EI307" i="59"/>
  <c r="EJ307" i="59"/>
  <c r="EK307" i="59"/>
  <c r="EL307" i="59"/>
  <c r="EM307" i="59"/>
  <c r="EN307" i="59"/>
  <c r="EO307" i="59"/>
  <c r="EP307" i="59"/>
  <c r="EQ307" i="59"/>
  <c r="ER307" i="59"/>
  <c r="ES307" i="59"/>
  <c r="ET307" i="59"/>
  <c r="EU307" i="59"/>
  <c r="EV307" i="59"/>
  <c r="EW307" i="59"/>
  <c r="EX307" i="59"/>
  <c r="EY307" i="59"/>
  <c r="EZ307" i="59"/>
  <c r="FA307" i="59"/>
  <c r="FB307" i="59"/>
  <c r="FC307" i="59"/>
  <c r="FD307" i="59"/>
  <c r="FE307" i="59"/>
  <c r="FF307" i="59"/>
  <c r="FG307" i="59"/>
  <c r="FH307" i="59"/>
  <c r="FI307" i="59"/>
  <c r="FJ307" i="59"/>
  <c r="FK307" i="59"/>
  <c r="FL307" i="59"/>
  <c r="FM307" i="59"/>
  <c r="FN307" i="59"/>
  <c r="FO307" i="59"/>
  <c r="FP307" i="59"/>
  <c r="FQ307" i="59"/>
  <c r="FR307" i="59"/>
  <c r="FS307" i="59"/>
  <c r="FT307" i="59"/>
  <c r="FU307" i="59"/>
  <c r="FV307" i="59"/>
  <c r="FW307" i="59"/>
  <c r="FX307" i="59"/>
  <c r="FY307" i="59"/>
  <c r="FZ307" i="59"/>
  <c r="GA307" i="59"/>
  <c r="GB307" i="59"/>
  <c r="GC307" i="59"/>
  <c r="GD307" i="59"/>
  <c r="GE307" i="59"/>
  <c r="GF307" i="59"/>
  <c r="GG307" i="59"/>
  <c r="GH307" i="59"/>
  <c r="GI307" i="59"/>
  <c r="GJ307" i="59"/>
  <c r="GK307" i="59"/>
  <c r="GL307" i="59"/>
  <c r="GM307" i="59"/>
  <c r="GN307" i="59"/>
  <c r="GO307" i="59"/>
  <c r="GP307" i="59"/>
  <c r="GQ307" i="59"/>
  <c r="GR307" i="59"/>
  <c r="GS307" i="59"/>
  <c r="GT307" i="59"/>
  <c r="GU307" i="59"/>
  <c r="GV307" i="59"/>
  <c r="GW307" i="59"/>
  <c r="GX307" i="59"/>
  <c r="GY307" i="59"/>
  <c r="GZ307" i="59"/>
  <c r="HA307" i="59"/>
  <c r="HB307" i="59"/>
  <c r="HC307" i="59"/>
  <c r="HD307" i="59"/>
  <c r="HE307" i="59"/>
  <c r="HF307" i="59"/>
  <c r="HG307" i="59"/>
  <c r="HH307" i="59"/>
  <c r="HI307" i="59"/>
  <c r="HJ307" i="59"/>
  <c r="HK307" i="59"/>
  <c r="HL307" i="59"/>
  <c r="HM307" i="59"/>
  <c r="HN307" i="59"/>
  <c r="HO307" i="59"/>
  <c r="HP307" i="59"/>
  <c r="HQ307" i="59"/>
  <c r="HR307" i="59"/>
  <c r="HS307" i="59"/>
  <c r="HT307" i="59"/>
  <c r="HU307" i="59"/>
  <c r="HV307" i="59"/>
  <c r="HW307" i="59"/>
  <c r="HX307" i="59"/>
  <c r="HY307" i="59"/>
  <c r="HZ307" i="59"/>
  <c r="IA307" i="59"/>
  <c r="IB307" i="59"/>
  <c r="IC307" i="59"/>
  <c r="ID307" i="59"/>
  <c r="IE307" i="59"/>
  <c r="IF307" i="59"/>
  <c r="IG307" i="59"/>
  <c r="IH307" i="59"/>
  <c r="II307" i="59"/>
  <c r="IJ307" i="59"/>
  <c r="IK307" i="59"/>
  <c r="IL307" i="59"/>
  <c r="IM307" i="59"/>
  <c r="IN307" i="59"/>
  <c r="IO307" i="59"/>
  <c r="IP307" i="59"/>
  <c r="IQ307" i="59"/>
  <c r="IR307" i="59"/>
  <c r="IS307" i="59"/>
  <c r="IT307" i="59"/>
  <c r="IU307" i="59"/>
  <c r="IV307" i="59"/>
  <c r="F308" i="59"/>
  <c r="G308" i="59"/>
  <c r="I308" i="59"/>
  <c r="J308" i="59"/>
  <c r="K308" i="59"/>
  <c r="L308" i="59"/>
  <c r="M308" i="59"/>
  <c r="N308" i="59"/>
  <c r="O308" i="59"/>
  <c r="P308" i="59"/>
  <c r="R308" i="59"/>
  <c r="S308" i="59"/>
  <c r="T308" i="59"/>
  <c r="U308" i="59"/>
  <c r="V308" i="59"/>
  <c r="W308" i="59"/>
  <c r="X308" i="59"/>
  <c r="Y308" i="59"/>
  <c r="Z308" i="59"/>
  <c r="AA308" i="59"/>
  <c r="AB308" i="59"/>
  <c r="AC308" i="59"/>
  <c r="AD308" i="59"/>
  <c r="AE308" i="59"/>
  <c r="AF308" i="59"/>
  <c r="AG308" i="59"/>
  <c r="AH308" i="59"/>
  <c r="AI308" i="59"/>
  <c r="AJ308" i="59"/>
  <c r="AK308" i="59"/>
  <c r="AL308" i="59"/>
  <c r="AM308" i="59"/>
  <c r="AN308" i="59"/>
  <c r="AO308" i="59"/>
  <c r="AP308" i="59"/>
  <c r="AQ308" i="59"/>
  <c r="AR308" i="59"/>
  <c r="AS308" i="59"/>
  <c r="AT308" i="59"/>
  <c r="AU308" i="59"/>
  <c r="AV308" i="59"/>
  <c r="AW308" i="59"/>
  <c r="AX308" i="59"/>
  <c r="AY308" i="59"/>
  <c r="AZ308" i="59"/>
  <c r="BA308" i="59"/>
  <c r="BB308" i="59"/>
  <c r="BC308" i="59"/>
  <c r="BD308" i="59"/>
  <c r="BE308" i="59"/>
  <c r="BF308" i="59"/>
  <c r="BG308" i="59"/>
  <c r="BH308" i="59"/>
  <c r="BI308" i="59"/>
  <c r="BJ308" i="59"/>
  <c r="BK308" i="59"/>
  <c r="BL308" i="59"/>
  <c r="BM308" i="59"/>
  <c r="BN308" i="59"/>
  <c r="BO308" i="59"/>
  <c r="BP308" i="59"/>
  <c r="BQ308" i="59"/>
  <c r="BR308" i="59"/>
  <c r="BS308" i="59"/>
  <c r="BT308" i="59"/>
  <c r="BU308" i="59"/>
  <c r="BV308" i="59"/>
  <c r="BW308" i="59"/>
  <c r="BX308" i="59"/>
  <c r="BY308" i="59"/>
  <c r="BZ308" i="59"/>
  <c r="CA308" i="59"/>
  <c r="CB308" i="59"/>
  <c r="CC308" i="59"/>
  <c r="CD308" i="59"/>
  <c r="CE308" i="59"/>
  <c r="CF308" i="59"/>
  <c r="CG308" i="59"/>
  <c r="CH308" i="59"/>
  <c r="CI308" i="59"/>
  <c r="CJ308" i="59"/>
  <c r="CK308" i="59"/>
  <c r="CL308" i="59"/>
  <c r="CM308" i="59"/>
  <c r="CN308" i="59"/>
  <c r="CO308" i="59"/>
  <c r="CP308" i="59"/>
  <c r="CQ308" i="59"/>
  <c r="CR308" i="59"/>
  <c r="CS308" i="59"/>
  <c r="CT308" i="59"/>
  <c r="CU308" i="59"/>
  <c r="CV308" i="59"/>
  <c r="CW308" i="59"/>
  <c r="CX308" i="59"/>
  <c r="CY308" i="59"/>
  <c r="CZ308" i="59"/>
  <c r="DA308" i="59"/>
  <c r="DB308" i="59"/>
  <c r="DC308" i="59"/>
  <c r="DD308" i="59"/>
  <c r="DE308" i="59"/>
  <c r="DF308" i="59"/>
  <c r="DG308" i="59"/>
  <c r="DH308" i="59"/>
  <c r="DI308" i="59"/>
  <c r="DJ308" i="59"/>
  <c r="DK308" i="59"/>
  <c r="DL308" i="59"/>
  <c r="DM308" i="59"/>
  <c r="DN308" i="59"/>
  <c r="DO308" i="59"/>
  <c r="DP308" i="59"/>
  <c r="DQ308" i="59"/>
  <c r="DR308" i="59"/>
  <c r="DS308" i="59"/>
  <c r="DT308" i="59"/>
  <c r="DU308" i="59"/>
  <c r="DV308" i="59"/>
  <c r="DW308" i="59"/>
  <c r="DX308" i="59"/>
  <c r="DY308" i="59"/>
  <c r="DZ308" i="59"/>
  <c r="EA308" i="59"/>
  <c r="EB308" i="59"/>
  <c r="EC308" i="59"/>
  <c r="ED308" i="59"/>
  <c r="EE308" i="59"/>
  <c r="EF308" i="59"/>
  <c r="EG308" i="59"/>
  <c r="EH308" i="59"/>
  <c r="EI308" i="59"/>
  <c r="EJ308" i="59"/>
  <c r="EK308" i="59"/>
  <c r="EL308" i="59"/>
  <c r="EM308" i="59"/>
  <c r="EN308" i="59"/>
  <c r="EO308" i="59"/>
  <c r="EP308" i="59"/>
  <c r="EQ308" i="59"/>
  <c r="ER308" i="59"/>
  <c r="ES308" i="59"/>
  <c r="ET308" i="59"/>
  <c r="EU308" i="59"/>
  <c r="EV308" i="59"/>
  <c r="EW308" i="59"/>
  <c r="EX308" i="59"/>
  <c r="EY308" i="59"/>
  <c r="EZ308" i="59"/>
  <c r="FA308" i="59"/>
  <c r="FB308" i="59"/>
  <c r="FC308" i="59"/>
  <c r="FD308" i="59"/>
  <c r="FE308" i="59"/>
  <c r="FF308" i="59"/>
  <c r="FG308" i="59"/>
  <c r="FH308" i="59"/>
  <c r="FI308" i="59"/>
  <c r="FJ308" i="59"/>
  <c r="FK308" i="59"/>
  <c r="FL308" i="59"/>
  <c r="FM308" i="59"/>
  <c r="FN308" i="59"/>
  <c r="FO308" i="59"/>
  <c r="FP308" i="59"/>
  <c r="FQ308" i="59"/>
  <c r="FR308" i="59"/>
  <c r="FS308" i="59"/>
  <c r="FT308" i="59"/>
  <c r="FU308" i="59"/>
  <c r="FV308" i="59"/>
  <c r="FW308" i="59"/>
  <c r="FX308" i="59"/>
  <c r="FY308" i="59"/>
  <c r="FZ308" i="59"/>
  <c r="GA308" i="59"/>
  <c r="GB308" i="59"/>
  <c r="GC308" i="59"/>
  <c r="GD308" i="59"/>
  <c r="GE308" i="59"/>
  <c r="GF308" i="59"/>
  <c r="GG308" i="59"/>
  <c r="GH308" i="59"/>
  <c r="GI308" i="59"/>
  <c r="GJ308" i="59"/>
  <c r="GK308" i="59"/>
  <c r="GL308" i="59"/>
  <c r="GM308" i="59"/>
  <c r="GN308" i="59"/>
  <c r="GO308" i="59"/>
  <c r="GP308" i="59"/>
  <c r="GQ308" i="59"/>
  <c r="GR308" i="59"/>
  <c r="GS308" i="59"/>
  <c r="GT308" i="59"/>
  <c r="GU308" i="59"/>
  <c r="GV308" i="59"/>
  <c r="GW308" i="59"/>
  <c r="GX308" i="59"/>
  <c r="GY308" i="59"/>
  <c r="GZ308" i="59"/>
  <c r="HA308" i="59"/>
  <c r="HB308" i="59"/>
  <c r="HC308" i="59"/>
  <c r="HD308" i="59"/>
  <c r="HE308" i="59"/>
  <c r="HF308" i="59"/>
  <c r="HG308" i="59"/>
  <c r="HH308" i="59"/>
  <c r="HI308" i="59"/>
  <c r="HJ308" i="59"/>
  <c r="HK308" i="59"/>
  <c r="HL308" i="59"/>
  <c r="HM308" i="59"/>
  <c r="HN308" i="59"/>
  <c r="HO308" i="59"/>
  <c r="HP308" i="59"/>
  <c r="HQ308" i="59"/>
  <c r="HR308" i="59"/>
  <c r="HS308" i="59"/>
  <c r="HT308" i="59"/>
  <c r="HU308" i="59"/>
  <c r="HV308" i="59"/>
  <c r="HW308" i="59"/>
  <c r="HX308" i="59"/>
  <c r="HY308" i="59"/>
  <c r="HZ308" i="59"/>
  <c r="IA308" i="59"/>
  <c r="IB308" i="59"/>
  <c r="IC308" i="59"/>
  <c r="ID308" i="59"/>
  <c r="IE308" i="59"/>
  <c r="IF308" i="59"/>
  <c r="IG308" i="59"/>
  <c r="IH308" i="59"/>
  <c r="II308" i="59"/>
  <c r="IJ308" i="59"/>
  <c r="IK308" i="59"/>
  <c r="IL308" i="59"/>
  <c r="IM308" i="59"/>
  <c r="IN308" i="59"/>
  <c r="IO308" i="59"/>
  <c r="IP308" i="59"/>
  <c r="IQ308" i="59"/>
  <c r="IR308" i="59"/>
  <c r="IS308" i="59"/>
  <c r="IT308" i="59"/>
  <c r="IU308" i="59"/>
  <c r="IV308" i="59"/>
  <c r="F309" i="59"/>
  <c r="G309" i="59"/>
  <c r="H309" i="59"/>
  <c r="I309" i="59"/>
  <c r="J309" i="59"/>
  <c r="K309" i="59"/>
  <c r="L309" i="59"/>
  <c r="M309" i="59"/>
  <c r="N309" i="59"/>
  <c r="O309" i="59"/>
  <c r="P309" i="59"/>
  <c r="Q309" i="59"/>
  <c r="R309" i="59"/>
  <c r="S309" i="59"/>
  <c r="T309" i="59"/>
  <c r="U309" i="59"/>
  <c r="V309" i="59"/>
  <c r="W309" i="59"/>
  <c r="X309" i="59"/>
  <c r="Y309" i="59"/>
  <c r="Z309" i="59"/>
  <c r="AA309" i="59"/>
  <c r="AB309" i="59"/>
  <c r="AC309" i="59"/>
  <c r="AD309" i="59"/>
  <c r="AE309" i="59"/>
  <c r="AF309" i="59"/>
  <c r="AG309" i="59"/>
  <c r="AH309" i="59"/>
  <c r="AI309" i="59"/>
  <c r="AJ309" i="59"/>
  <c r="AK309" i="59"/>
  <c r="AL309" i="59"/>
  <c r="AM309" i="59"/>
  <c r="AN309" i="59"/>
  <c r="AO309" i="59"/>
  <c r="AP309" i="59"/>
  <c r="AQ309" i="59"/>
  <c r="AR309" i="59"/>
  <c r="AS309" i="59"/>
  <c r="AT309" i="59"/>
  <c r="AU309" i="59"/>
  <c r="AV309" i="59"/>
  <c r="AW309" i="59"/>
  <c r="AX309" i="59"/>
  <c r="AY309" i="59"/>
  <c r="AZ309" i="59"/>
  <c r="BA309" i="59"/>
  <c r="BB309" i="59"/>
  <c r="BC309" i="59"/>
  <c r="BD309" i="59"/>
  <c r="BE309" i="59"/>
  <c r="BF309" i="59"/>
  <c r="BG309" i="59"/>
  <c r="BH309" i="59"/>
  <c r="BI309" i="59"/>
  <c r="BJ309" i="59"/>
  <c r="BK309" i="59"/>
  <c r="BL309" i="59"/>
  <c r="BM309" i="59"/>
  <c r="BN309" i="59"/>
  <c r="BO309" i="59"/>
  <c r="BP309" i="59"/>
  <c r="BQ309" i="59"/>
  <c r="BS309" i="59"/>
  <c r="BT309" i="59"/>
  <c r="BU309" i="59"/>
  <c r="BV309" i="59"/>
  <c r="BW309" i="59"/>
  <c r="BX309" i="59"/>
  <c r="BY309" i="59"/>
  <c r="BZ309" i="59"/>
  <c r="CA309" i="59"/>
  <c r="CB309" i="59"/>
  <c r="CC309" i="59"/>
  <c r="CD309" i="59"/>
  <c r="CE309" i="59"/>
  <c r="CF309" i="59"/>
  <c r="CG309" i="59"/>
  <c r="CH309" i="59"/>
  <c r="CI309" i="59"/>
  <c r="CJ309" i="59"/>
  <c r="CK309" i="59"/>
  <c r="CM309" i="59"/>
  <c r="CN309" i="59"/>
  <c r="CO309" i="59"/>
  <c r="CP309" i="59"/>
  <c r="CQ309" i="59"/>
  <c r="CR309" i="59"/>
  <c r="CS309" i="59"/>
  <c r="CT309" i="59"/>
  <c r="CU309" i="59"/>
  <c r="CV309" i="59"/>
  <c r="CW309" i="59"/>
  <c r="CX309" i="59"/>
  <c r="CY309" i="59"/>
  <c r="CZ309" i="59"/>
  <c r="DA309" i="59"/>
  <c r="DB309" i="59"/>
  <c r="DC309" i="59"/>
  <c r="DD309" i="59"/>
  <c r="DE309" i="59"/>
  <c r="DF309" i="59"/>
  <c r="DG309" i="59"/>
  <c r="DH309" i="59"/>
  <c r="DI309" i="59"/>
  <c r="DJ309" i="59"/>
  <c r="DK309" i="59"/>
  <c r="DL309" i="59"/>
  <c r="DM309" i="59"/>
  <c r="DN309" i="59"/>
  <c r="DO309" i="59"/>
  <c r="DP309" i="59"/>
  <c r="DQ309" i="59"/>
  <c r="DR309" i="59"/>
  <c r="DS309" i="59"/>
  <c r="DT309" i="59"/>
  <c r="DU309" i="59"/>
  <c r="DV309" i="59"/>
  <c r="DW309" i="59"/>
  <c r="DX309" i="59"/>
  <c r="DY309" i="59"/>
  <c r="DZ309" i="59"/>
  <c r="EA309" i="59"/>
  <c r="EB309" i="59"/>
  <c r="EC309" i="59"/>
  <c r="ED309" i="59"/>
  <c r="EE309" i="59"/>
  <c r="EF309" i="59"/>
  <c r="EG309" i="59"/>
  <c r="EH309" i="59"/>
  <c r="EI309" i="59"/>
  <c r="EJ309" i="59"/>
  <c r="EK309" i="59"/>
  <c r="EL309" i="59"/>
  <c r="EM309" i="59"/>
  <c r="EN309" i="59"/>
  <c r="EO309" i="59"/>
  <c r="EP309" i="59"/>
  <c r="EQ309" i="59"/>
  <c r="ES309" i="59"/>
  <c r="ET309" i="59"/>
  <c r="EU309" i="59"/>
  <c r="EV309" i="59"/>
  <c r="EW309" i="59"/>
  <c r="EX309" i="59"/>
  <c r="EY309" i="59"/>
  <c r="EZ309" i="59"/>
  <c r="FA309" i="59"/>
  <c r="FB309" i="59"/>
  <c r="FD309" i="59"/>
  <c r="FE309" i="59"/>
  <c r="FF309" i="59"/>
  <c r="FG309" i="59"/>
  <c r="FH309" i="59"/>
  <c r="FI309" i="59"/>
  <c r="FJ309" i="59"/>
  <c r="FK309" i="59"/>
  <c r="FL309" i="59"/>
  <c r="FM309" i="59"/>
  <c r="FN309" i="59"/>
  <c r="FO309" i="59"/>
  <c r="FP309" i="59"/>
  <c r="FQ309" i="59"/>
  <c r="FR309" i="59"/>
  <c r="FS309" i="59"/>
  <c r="FT309" i="59"/>
  <c r="FU309" i="59"/>
  <c r="FV309" i="59"/>
  <c r="FW309" i="59"/>
  <c r="FX309" i="59"/>
  <c r="FY309" i="59"/>
  <c r="FZ309" i="59"/>
  <c r="GA309" i="59"/>
  <c r="GB309" i="59"/>
  <c r="GC309" i="59"/>
  <c r="GE309" i="59"/>
  <c r="GF309" i="59"/>
  <c r="GG309" i="59"/>
  <c r="GH309" i="59"/>
  <c r="GI309" i="59"/>
  <c r="GJ309" i="59"/>
  <c r="GK309" i="59"/>
  <c r="GL309" i="59"/>
  <c r="GM309" i="59"/>
  <c r="GN309" i="59"/>
  <c r="GP309" i="59"/>
  <c r="GQ309" i="59"/>
  <c r="GR309" i="59"/>
  <c r="GS309" i="59"/>
  <c r="GT309" i="59"/>
  <c r="GU309" i="59"/>
  <c r="GV309" i="59"/>
  <c r="GW309" i="59"/>
  <c r="GX309" i="59"/>
  <c r="GY309" i="59"/>
  <c r="HA309" i="59"/>
  <c r="HB309" i="59"/>
  <c r="HC309" i="59"/>
  <c r="HD309" i="59"/>
  <c r="HE309" i="59"/>
  <c r="HF309" i="59"/>
  <c r="HG309" i="59"/>
  <c r="HH309" i="59"/>
  <c r="HI309" i="59"/>
  <c r="HJ309" i="59"/>
  <c r="HL309" i="59"/>
  <c r="HM309" i="59"/>
  <c r="HN309" i="59"/>
  <c r="HO309" i="59"/>
  <c r="HP309" i="59"/>
  <c r="HQ309" i="59"/>
  <c r="HR309" i="59"/>
  <c r="HS309" i="59"/>
  <c r="HT309" i="59"/>
  <c r="HU309" i="59"/>
  <c r="HV309" i="59"/>
  <c r="HW309" i="59"/>
  <c r="HX309" i="59"/>
  <c r="HY309" i="59"/>
  <c r="HZ309" i="59"/>
  <c r="IA309" i="59"/>
  <c r="IB309" i="59"/>
  <c r="IC309" i="59"/>
  <c r="ID309" i="59"/>
  <c r="IE309" i="59"/>
  <c r="IF309" i="59"/>
  <c r="IG309" i="59"/>
  <c r="IH309" i="59"/>
  <c r="II309" i="59"/>
  <c r="IJ309" i="59"/>
  <c r="IK309" i="59"/>
  <c r="IL309" i="59"/>
  <c r="IM309" i="59"/>
  <c r="IN309" i="59"/>
  <c r="IO309" i="59"/>
  <c r="IP309" i="59"/>
  <c r="IQ309" i="59"/>
  <c r="IR309" i="59"/>
  <c r="IS309" i="59"/>
  <c r="IT309" i="59"/>
  <c r="IU309" i="59"/>
  <c r="IV309" i="59"/>
  <c r="F310" i="59"/>
  <c r="G310" i="59"/>
  <c r="H310" i="59"/>
  <c r="I310" i="59"/>
  <c r="J310" i="59"/>
  <c r="K310" i="59"/>
  <c r="M310" i="59"/>
  <c r="N310" i="59"/>
  <c r="O310" i="59"/>
  <c r="P310" i="59"/>
  <c r="Q310" i="59"/>
  <c r="R310" i="59"/>
  <c r="S310" i="59"/>
  <c r="T310" i="59"/>
  <c r="U310" i="59"/>
  <c r="V310" i="59"/>
  <c r="W310" i="59"/>
  <c r="X310" i="59"/>
  <c r="Y310" i="59"/>
  <c r="Z310" i="59"/>
  <c r="AB310" i="59"/>
  <c r="AC310" i="59"/>
  <c r="AD310" i="59"/>
  <c r="AE310" i="59"/>
  <c r="AF310" i="59"/>
  <c r="AG310" i="59"/>
  <c r="AH310" i="59"/>
  <c r="AJ310" i="59"/>
  <c r="AK310" i="59"/>
  <c r="AL310" i="59"/>
  <c r="AM310" i="59"/>
  <c r="AN310" i="59"/>
  <c r="AO310" i="59"/>
  <c r="AP310" i="59"/>
  <c r="AR310" i="59"/>
  <c r="AS310" i="59"/>
  <c r="AT310" i="59"/>
  <c r="AU310" i="59"/>
  <c r="AV310" i="59"/>
  <c r="AW310" i="59"/>
  <c r="AX310" i="59"/>
  <c r="AY310" i="59"/>
  <c r="AZ310" i="59"/>
  <c r="BA310" i="59"/>
  <c r="BB310" i="59"/>
  <c r="BC310" i="59"/>
  <c r="BD310" i="59"/>
  <c r="BG310" i="59"/>
  <c r="BH310" i="59"/>
  <c r="BI310" i="59"/>
  <c r="BJ310" i="59"/>
  <c r="BK310" i="59"/>
  <c r="BL310" i="59"/>
  <c r="BM310" i="59"/>
  <c r="BN310" i="59"/>
  <c r="BO310" i="59"/>
  <c r="BP310" i="59"/>
  <c r="BQ310" i="59"/>
  <c r="BR310" i="59"/>
  <c r="BS310" i="59"/>
  <c r="BT310" i="59"/>
  <c r="BU310" i="59"/>
  <c r="BV310" i="59"/>
  <c r="BW310" i="59"/>
  <c r="BX310" i="59"/>
  <c r="BY310" i="59"/>
  <c r="BZ310" i="59"/>
  <c r="CA310" i="59"/>
  <c r="CB310" i="59"/>
  <c r="CC310" i="59"/>
  <c r="CD310" i="59"/>
  <c r="CE310" i="59"/>
  <c r="CF310" i="59"/>
  <c r="CG310" i="59"/>
  <c r="CH310" i="59"/>
  <c r="CI310" i="59"/>
  <c r="CJ310" i="59"/>
  <c r="CK310" i="59"/>
  <c r="CL310" i="59"/>
  <c r="CM310" i="59"/>
  <c r="CN310" i="59"/>
  <c r="CO310" i="59"/>
  <c r="CP310" i="59"/>
  <c r="CQ310" i="59"/>
  <c r="CR310" i="59"/>
  <c r="CS310" i="59"/>
  <c r="CT310" i="59"/>
  <c r="CU310" i="59"/>
  <c r="CV310" i="59"/>
  <c r="CW310" i="59"/>
  <c r="CX310" i="59"/>
  <c r="CY310" i="59"/>
  <c r="CZ310" i="59"/>
  <c r="DA310" i="59"/>
  <c r="DB310" i="59"/>
  <c r="DC310" i="59"/>
  <c r="DD310" i="59"/>
  <c r="DE310" i="59"/>
  <c r="DF310" i="59"/>
  <c r="DG310" i="59"/>
  <c r="DH310" i="59"/>
  <c r="DI310" i="59"/>
  <c r="DJ310" i="59"/>
  <c r="DK310" i="59"/>
  <c r="DL310" i="59"/>
  <c r="DM310" i="59"/>
  <c r="DN310" i="59"/>
  <c r="DO310" i="59"/>
  <c r="DP310" i="59"/>
  <c r="DS310" i="59"/>
  <c r="DT310" i="59"/>
  <c r="DU310" i="59"/>
  <c r="DV310" i="59"/>
  <c r="DW310" i="59"/>
  <c r="DX310" i="59"/>
  <c r="DY310" i="59"/>
  <c r="DZ310" i="59"/>
  <c r="EA310" i="59"/>
  <c r="EB310" i="59"/>
  <c r="EC310" i="59"/>
  <c r="ED310" i="59"/>
  <c r="EE310" i="59"/>
  <c r="EF310" i="59"/>
  <c r="EG310" i="59"/>
  <c r="EH310" i="59"/>
  <c r="EI310" i="59"/>
  <c r="EJ310" i="59"/>
  <c r="EK310" i="59"/>
  <c r="EL310" i="59"/>
  <c r="EM310" i="59"/>
  <c r="EN310" i="59"/>
  <c r="EO310" i="59"/>
  <c r="EP310" i="59"/>
  <c r="EQ310" i="59"/>
  <c r="ER310" i="59"/>
  <c r="ES310" i="59"/>
  <c r="ET310" i="59"/>
  <c r="EU310" i="59"/>
  <c r="EV310" i="59"/>
  <c r="EW310" i="59"/>
  <c r="EX310" i="59"/>
  <c r="EY310" i="59"/>
  <c r="EZ310" i="59"/>
  <c r="FA310" i="59"/>
  <c r="FB310" i="59"/>
  <c r="FC310" i="59"/>
  <c r="FD310" i="59"/>
  <c r="FE310" i="59"/>
  <c r="FF310" i="59"/>
  <c r="FG310" i="59"/>
  <c r="FH310" i="59"/>
  <c r="FI310" i="59"/>
  <c r="FJ310" i="59"/>
  <c r="FK310" i="59"/>
  <c r="FL310" i="59"/>
  <c r="FM310" i="59"/>
  <c r="FN310" i="59"/>
  <c r="FO310" i="59"/>
  <c r="FP310" i="59"/>
  <c r="FQ310" i="59"/>
  <c r="FR310" i="59"/>
  <c r="FS310" i="59"/>
  <c r="FT310" i="59"/>
  <c r="FU310" i="59"/>
  <c r="FV310" i="59"/>
  <c r="FW310" i="59"/>
  <c r="FX310" i="59"/>
  <c r="FY310" i="59"/>
  <c r="FZ310" i="59"/>
  <c r="GA310" i="59"/>
  <c r="GB310" i="59"/>
  <c r="GE310" i="59"/>
  <c r="GF310" i="59"/>
  <c r="GG310" i="59"/>
  <c r="GH310" i="59"/>
  <c r="GI310" i="59"/>
  <c r="GJ310" i="59"/>
  <c r="GK310" i="59"/>
  <c r="GL310" i="59"/>
  <c r="GM310" i="59"/>
  <c r="GN310" i="59"/>
  <c r="GO310" i="59"/>
  <c r="GP310" i="59"/>
  <c r="GQ310" i="59"/>
  <c r="GR310" i="59"/>
  <c r="GS310" i="59"/>
  <c r="GT310" i="59"/>
  <c r="GU310" i="59"/>
  <c r="GV310" i="59"/>
  <c r="GW310" i="59"/>
  <c r="GX310" i="59"/>
  <c r="GY310" i="59"/>
  <c r="GZ310" i="59"/>
  <c r="HA310" i="59"/>
  <c r="HB310" i="59"/>
  <c r="HC310" i="59"/>
  <c r="HD310" i="59"/>
  <c r="HE310" i="59"/>
  <c r="HF310" i="59"/>
  <c r="HG310" i="59"/>
  <c r="HH310" i="59"/>
  <c r="HI310" i="59"/>
  <c r="HJ310" i="59"/>
  <c r="HK310" i="59"/>
  <c r="HL310" i="59"/>
  <c r="HM310" i="59"/>
  <c r="HN310" i="59"/>
  <c r="HO310" i="59"/>
  <c r="HP310" i="59"/>
  <c r="HQ310" i="59"/>
  <c r="HR310" i="59"/>
  <c r="HS310" i="59"/>
  <c r="HT310" i="59"/>
  <c r="HU310" i="59"/>
  <c r="HV310" i="59"/>
  <c r="HW310" i="59"/>
  <c r="HX310" i="59"/>
  <c r="HY310" i="59"/>
  <c r="HZ310" i="59"/>
  <c r="IA310" i="59"/>
  <c r="IB310" i="59"/>
  <c r="IC310" i="59"/>
  <c r="ID310" i="59"/>
  <c r="IE310" i="59"/>
  <c r="IF310" i="59"/>
  <c r="IG310" i="59"/>
  <c r="IH310" i="59"/>
  <c r="II310" i="59"/>
  <c r="IJ310" i="59"/>
  <c r="IK310" i="59"/>
  <c r="IL310" i="59"/>
  <c r="IM310" i="59"/>
  <c r="IN310" i="59"/>
  <c r="IO310" i="59"/>
  <c r="IP310" i="59"/>
  <c r="IQ310" i="59"/>
  <c r="IR310" i="59"/>
  <c r="IS310" i="59"/>
  <c r="IT310" i="59"/>
  <c r="IU310" i="59"/>
  <c r="IV310" i="59"/>
  <c r="G311" i="59"/>
  <c r="H311" i="59"/>
  <c r="I311" i="59"/>
  <c r="M311" i="59"/>
  <c r="O311" i="59"/>
  <c r="P311" i="59"/>
  <c r="Q311" i="59"/>
  <c r="W311" i="59"/>
  <c r="X311" i="59"/>
  <c r="Y311" i="59"/>
  <c r="AE311" i="59"/>
  <c r="AF311" i="59"/>
  <c r="AG311" i="59"/>
  <c r="AM311" i="59"/>
  <c r="AN311" i="59"/>
  <c r="AO311" i="59"/>
  <c r="AU311" i="59"/>
  <c r="AV311" i="59"/>
  <c r="AW311" i="59"/>
  <c r="BC311" i="59"/>
  <c r="BD311" i="59"/>
  <c r="BE311" i="59"/>
  <c r="BK311" i="59"/>
  <c r="BL311" i="59"/>
  <c r="BM311" i="59"/>
  <c r="BS311" i="59"/>
  <c r="BT311" i="59"/>
  <c r="BU311" i="59"/>
  <c r="CA311" i="59"/>
  <c r="CB311" i="59"/>
  <c r="CC311" i="59"/>
  <c r="CI311" i="59"/>
  <c r="CJ311" i="59"/>
  <c r="CK311" i="59"/>
  <c r="CQ311" i="59"/>
  <c r="CR311" i="59"/>
  <c r="CS311" i="59"/>
  <c r="CY311" i="59"/>
  <c r="CZ311" i="59"/>
  <c r="DA311" i="59"/>
  <c r="DF311" i="59"/>
  <c r="DG311" i="59"/>
  <c r="DH311" i="59"/>
  <c r="DI311" i="59"/>
  <c r="DJ311" i="59"/>
  <c r="DK311" i="59"/>
  <c r="DL311" i="59"/>
  <c r="DM311" i="59"/>
  <c r="DN311" i="59"/>
  <c r="DO311" i="59"/>
  <c r="DP311" i="59"/>
  <c r="DQ311" i="59"/>
  <c r="DR311" i="59"/>
  <c r="DS311" i="59"/>
  <c r="DT311" i="59"/>
  <c r="DU311" i="59"/>
  <c r="DV311" i="59"/>
  <c r="DW311" i="59"/>
  <c r="DX311" i="59"/>
  <c r="DY311" i="59"/>
  <c r="DZ311" i="59"/>
  <c r="EA311" i="59"/>
  <c r="EB311" i="59"/>
  <c r="EC311" i="59"/>
  <c r="ED311" i="59"/>
  <c r="EE311" i="59"/>
  <c r="EF311" i="59"/>
  <c r="EG311" i="59"/>
  <c r="EH311" i="59"/>
  <c r="EI311" i="59"/>
  <c r="EJ311" i="59"/>
  <c r="EK311" i="59"/>
  <c r="EM311" i="59"/>
  <c r="EO311" i="59"/>
  <c r="EQ311" i="59"/>
  <c r="ES311" i="59"/>
  <c r="ET311" i="59"/>
  <c r="EU311" i="59"/>
  <c r="EV311" i="59"/>
  <c r="EW311" i="59"/>
  <c r="EX311" i="59"/>
  <c r="EY311" i="59"/>
  <c r="EZ311" i="59"/>
  <c r="FA311" i="59"/>
  <c r="FC311" i="59"/>
  <c r="FD311" i="59"/>
  <c r="FE311" i="59"/>
  <c r="FF311" i="59"/>
  <c r="FG311" i="59"/>
  <c r="FH311" i="59"/>
  <c r="FI311" i="59"/>
  <c r="FJ311" i="59"/>
  <c r="FK311" i="59"/>
  <c r="FL311" i="59"/>
  <c r="FM311" i="59"/>
  <c r="FN311" i="59"/>
  <c r="FO311" i="59"/>
  <c r="FP311" i="59"/>
  <c r="FQ311" i="59"/>
  <c r="FS311" i="59"/>
  <c r="GA311" i="59"/>
  <c r="GI311" i="59"/>
  <c r="GQ311" i="59"/>
  <c r="GY311" i="59"/>
  <c r="HG311" i="59"/>
  <c r="HO311" i="59"/>
  <c r="HV311" i="59"/>
  <c r="HW311" i="59"/>
  <c r="HX311" i="59"/>
  <c r="HY311" i="59"/>
  <c r="HZ311" i="59"/>
  <c r="IA311" i="59"/>
  <c r="IB311" i="59"/>
  <c r="IC311" i="59"/>
  <c r="ID311" i="59"/>
  <c r="IE311" i="59"/>
  <c r="IF311" i="59"/>
  <c r="IG311" i="59"/>
  <c r="IH311" i="59"/>
  <c r="II311" i="59"/>
  <c r="IJ311" i="59"/>
  <c r="IK311" i="59"/>
  <c r="IL311" i="59"/>
  <c r="IM311" i="59"/>
  <c r="IN311" i="59"/>
  <c r="IO311" i="59"/>
  <c r="IP311" i="59"/>
  <c r="IQ311" i="59"/>
  <c r="IR311" i="59"/>
  <c r="IS311" i="59"/>
  <c r="IT311" i="59"/>
  <c r="IU311" i="59"/>
  <c r="IV311" i="59"/>
  <c r="F312" i="59"/>
  <c r="G312" i="59"/>
  <c r="H312" i="59"/>
  <c r="I312" i="59"/>
  <c r="J312" i="59"/>
  <c r="L312" i="59"/>
  <c r="M312" i="59"/>
  <c r="T312" i="59"/>
  <c r="U312" i="59"/>
  <c r="V312" i="59"/>
  <c r="W312" i="59"/>
  <c r="X312" i="59"/>
  <c r="Y312" i="59"/>
  <c r="Z312" i="59"/>
  <c r="AA312" i="59"/>
  <c r="AC312" i="59"/>
  <c r="AE312" i="59"/>
  <c r="AG312" i="59"/>
  <c r="AI312" i="59"/>
  <c r="AJ312" i="59"/>
  <c r="AK312" i="59"/>
  <c r="AL312" i="59"/>
  <c r="AM312" i="59"/>
  <c r="AN312" i="59"/>
  <c r="AO312" i="59"/>
  <c r="AP312" i="59"/>
  <c r="AQ312" i="59"/>
  <c r="AR312" i="59"/>
  <c r="AS312" i="59"/>
  <c r="AT312" i="59"/>
  <c r="AU312" i="59"/>
  <c r="AV312" i="59"/>
  <c r="AW312" i="59"/>
  <c r="AX312" i="59"/>
  <c r="AY312" i="59"/>
  <c r="AZ312" i="59"/>
  <c r="BA312" i="59"/>
  <c r="BB312" i="59"/>
  <c r="BC312" i="59"/>
  <c r="BD312" i="59"/>
  <c r="BE312" i="59"/>
  <c r="BF312" i="59"/>
  <c r="BG312" i="59"/>
  <c r="BH312" i="59"/>
  <c r="BI312" i="59"/>
  <c r="BJ312" i="59"/>
  <c r="BK312" i="59"/>
  <c r="BL312" i="59"/>
  <c r="BM312" i="59"/>
  <c r="BN312" i="59"/>
  <c r="BO312" i="59"/>
  <c r="BP312" i="59"/>
  <c r="BQ312" i="59"/>
  <c r="BR312" i="59"/>
  <c r="BS312" i="59"/>
  <c r="BT312" i="59"/>
  <c r="BU312" i="59"/>
  <c r="BV312" i="59"/>
  <c r="BW312" i="59"/>
  <c r="BX312" i="59"/>
  <c r="BY312" i="59"/>
  <c r="BZ312" i="59"/>
  <c r="CA312" i="59"/>
  <c r="CB312" i="59"/>
  <c r="CC312" i="59"/>
  <c r="CD312" i="59"/>
  <c r="CE312" i="59"/>
  <c r="CF312" i="59"/>
  <c r="CG312" i="59"/>
  <c r="CH312" i="59"/>
  <c r="CI312" i="59"/>
  <c r="CJ312" i="59"/>
  <c r="CK312" i="59"/>
  <c r="CL312" i="59"/>
  <c r="CM312" i="59"/>
  <c r="CN312" i="59"/>
  <c r="CO312" i="59"/>
  <c r="CP312" i="59"/>
  <c r="CQ312" i="59"/>
  <c r="CS312" i="59"/>
  <c r="CT312" i="59"/>
  <c r="DA312" i="59"/>
  <c r="DB312" i="59"/>
  <c r="DC312" i="59"/>
  <c r="DD312" i="59"/>
  <c r="DE312" i="59"/>
  <c r="DF312" i="59"/>
  <c r="DG312" i="59"/>
  <c r="DH312" i="59"/>
  <c r="DJ312" i="59"/>
  <c r="DL312" i="59"/>
  <c r="DN312" i="59"/>
  <c r="DP312" i="59"/>
  <c r="DQ312" i="59"/>
  <c r="DR312" i="59"/>
  <c r="DS312" i="59"/>
  <c r="DT312" i="59"/>
  <c r="DU312" i="59"/>
  <c r="DV312" i="59"/>
  <c r="DW312" i="59"/>
  <c r="DX312" i="59"/>
  <c r="DY312" i="59"/>
  <c r="DZ312" i="59"/>
  <c r="EA312" i="59"/>
  <c r="EB312" i="59"/>
  <c r="EC312" i="59"/>
  <c r="ED312" i="59"/>
  <c r="EE312" i="59"/>
  <c r="EF312" i="59"/>
  <c r="EG312" i="59"/>
  <c r="EH312" i="59"/>
  <c r="EI312" i="59"/>
  <c r="EJ312" i="59"/>
  <c r="EK312" i="59"/>
  <c r="EL312" i="59"/>
  <c r="EM312" i="59"/>
  <c r="EN312" i="59"/>
  <c r="EO312" i="59"/>
  <c r="EP312" i="59"/>
  <c r="EQ312" i="59"/>
  <c r="ER312" i="59"/>
  <c r="ES312" i="59"/>
  <c r="ET312" i="59"/>
  <c r="EU312" i="59"/>
  <c r="EV312" i="59"/>
  <c r="EW312" i="59"/>
  <c r="EX312" i="59"/>
  <c r="EY312" i="59"/>
  <c r="EZ312" i="59"/>
  <c r="FA312" i="59"/>
  <c r="FB312" i="59"/>
  <c r="FC312" i="59"/>
  <c r="FD312" i="59"/>
  <c r="FF312" i="59"/>
  <c r="FG312" i="59"/>
  <c r="FN312" i="59"/>
  <c r="FO312" i="59"/>
  <c r="FP312" i="59"/>
  <c r="FQ312" i="59"/>
  <c r="FR312" i="59"/>
  <c r="FS312" i="59"/>
  <c r="FT312" i="59"/>
  <c r="FU312" i="59"/>
  <c r="FW312" i="59"/>
  <c r="FY312" i="59"/>
  <c r="GA312" i="59"/>
  <c r="GC312" i="59"/>
  <c r="GD312" i="59"/>
  <c r="GE312" i="59"/>
  <c r="GF312" i="59"/>
  <c r="GG312" i="59"/>
  <c r="GH312" i="59"/>
  <c r="GI312" i="59"/>
  <c r="GJ312" i="59"/>
  <c r="GK312" i="59"/>
  <c r="GL312" i="59"/>
  <c r="GM312" i="59"/>
  <c r="GN312" i="59"/>
  <c r="GO312" i="59"/>
  <c r="GP312" i="59"/>
  <c r="GQ312" i="59"/>
  <c r="GR312" i="59"/>
  <c r="GS312" i="59"/>
  <c r="GT312" i="59"/>
  <c r="GU312" i="59"/>
  <c r="GV312" i="59"/>
  <c r="GW312" i="59"/>
  <c r="GX312" i="59"/>
  <c r="GY312" i="59"/>
  <c r="GZ312" i="59"/>
  <c r="HA312" i="59"/>
  <c r="HB312" i="59"/>
  <c r="HC312" i="59"/>
  <c r="HD312" i="59"/>
  <c r="HE312" i="59"/>
  <c r="HF312" i="59"/>
  <c r="HG312" i="59"/>
  <c r="HH312" i="59"/>
  <c r="HI312" i="59"/>
  <c r="HJ312" i="59"/>
  <c r="HK312" i="59"/>
  <c r="HL312" i="59"/>
  <c r="HM312" i="59"/>
  <c r="HN312" i="59"/>
  <c r="HO312" i="59"/>
  <c r="HP312" i="59"/>
  <c r="HQ312" i="59"/>
  <c r="HR312" i="59"/>
  <c r="HS312" i="59"/>
  <c r="HT312" i="59"/>
  <c r="HU312" i="59"/>
  <c r="HV312" i="59"/>
  <c r="HW312" i="59"/>
  <c r="HX312" i="59"/>
  <c r="HY312" i="59"/>
  <c r="HZ312" i="59"/>
  <c r="IA312" i="59"/>
  <c r="IB312" i="59"/>
  <c r="IC312" i="59"/>
  <c r="ID312" i="59"/>
  <c r="IE312" i="59"/>
  <c r="IF312" i="59"/>
  <c r="IG312" i="59"/>
  <c r="IH312" i="59"/>
  <c r="II312" i="59"/>
  <c r="IJ312" i="59"/>
  <c r="IK312" i="59"/>
  <c r="IL312" i="59"/>
  <c r="IM312" i="59"/>
  <c r="IN312" i="59"/>
  <c r="IO312" i="59"/>
  <c r="IP312" i="59"/>
  <c r="IQ312" i="59"/>
  <c r="IR312" i="59"/>
  <c r="IS312" i="59"/>
  <c r="IT312" i="59"/>
  <c r="IU312" i="59"/>
  <c r="IV312" i="59"/>
  <c r="F313" i="59"/>
  <c r="G313" i="59"/>
  <c r="H313" i="59"/>
  <c r="I313" i="59"/>
  <c r="J313" i="59"/>
  <c r="K313" i="59"/>
  <c r="L313" i="59"/>
  <c r="M313" i="59"/>
  <c r="N313" i="59"/>
  <c r="O313" i="59"/>
  <c r="P313" i="59"/>
  <c r="Q313" i="59"/>
  <c r="R313" i="59"/>
  <c r="S313" i="59"/>
  <c r="T313" i="59"/>
  <c r="U313" i="59"/>
  <c r="V313" i="59"/>
  <c r="W313" i="59"/>
  <c r="X313" i="59"/>
  <c r="Y313" i="59"/>
  <c r="Z313" i="59"/>
  <c r="AA313" i="59"/>
  <c r="AB313" i="59"/>
  <c r="AC313" i="59"/>
  <c r="AD313" i="59"/>
  <c r="AE313" i="59"/>
  <c r="AF313" i="59"/>
  <c r="AG313" i="59"/>
  <c r="AH313" i="59"/>
  <c r="AI313" i="59"/>
  <c r="AJ313" i="59"/>
  <c r="AK313" i="59"/>
  <c r="AL313" i="59"/>
  <c r="AM313" i="59"/>
  <c r="AN313" i="59"/>
  <c r="AO313" i="59"/>
  <c r="AP313" i="59"/>
  <c r="AQ313" i="59"/>
  <c r="AR313" i="59"/>
  <c r="AS313" i="59"/>
  <c r="AT313" i="59"/>
  <c r="AV313" i="59"/>
  <c r="AW313" i="59"/>
  <c r="BD313" i="59"/>
  <c r="BE313" i="59"/>
  <c r="BF313" i="59"/>
  <c r="BG313" i="59"/>
  <c r="BH313" i="59"/>
  <c r="BI313" i="59"/>
  <c r="BJ313" i="59"/>
  <c r="BK313" i="59"/>
  <c r="BM313" i="59"/>
  <c r="BO313" i="59"/>
  <c r="BQ313" i="59"/>
  <c r="BS313" i="59"/>
  <c r="BT313" i="59"/>
  <c r="BU313" i="59"/>
  <c r="BV313" i="59"/>
  <c r="BW313" i="59"/>
  <c r="BX313" i="59"/>
  <c r="BY313" i="59"/>
  <c r="BZ313" i="59"/>
  <c r="CA313" i="59"/>
  <c r="CB313" i="59"/>
  <c r="CC313" i="59"/>
  <c r="CD313" i="59"/>
  <c r="CE313" i="59"/>
  <c r="CF313" i="59"/>
  <c r="CG313" i="59"/>
  <c r="CH313" i="59"/>
  <c r="CI313" i="59"/>
  <c r="CJ313" i="59"/>
  <c r="CK313" i="59"/>
  <c r="CL313" i="59"/>
  <c r="CM313" i="59"/>
  <c r="CN313" i="59"/>
  <c r="CO313" i="59"/>
  <c r="CP313" i="59"/>
  <c r="CQ313" i="59"/>
  <c r="CR313" i="59"/>
  <c r="CS313" i="59"/>
  <c r="CT313" i="59"/>
  <c r="CU313" i="59"/>
  <c r="CV313" i="59"/>
  <c r="CW313" i="59"/>
  <c r="CX313" i="59"/>
  <c r="CY313" i="59"/>
  <c r="CZ313" i="59"/>
  <c r="DA313" i="59"/>
  <c r="DB313" i="59"/>
  <c r="DC313" i="59"/>
  <c r="DD313" i="59"/>
  <c r="DE313" i="59"/>
  <c r="DF313" i="59"/>
  <c r="DG313" i="59"/>
  <c r="DI313" i="59"/>
  <c r="DJ313" i="59"/>
  <c r="DQ313" i="59"/>
  <c r="DR313" i="59"/>
  <c r="DS313" i="59"/>
  <c r="DT313" i="59"/>
  <c r="DU313" i="59"/>
  <c r="DV313" i="59"/>
  <c r="DW313" i="59"/>
  <c r="DX313" i="59"/>
  <c r="DZ313" i="59"/>
  <c r="EB313" i="59"/>
  <c r="ED313" i="59"/>
  <c r="EF313" i="59"/>
  <c r="EG313" i="59"/>
  <c r="EH313" i="59"/>
  <c r="EI313" i="59"/>
  <c r="EJ313" i="59"/>
  <c r="EK313" i="59"/>
  <c r="EL313" i="59"/>
  <c r="EM313" i="59"/>
  <c r="EN313" i="59"/>
  <c r="EO313" i="59"/>
  <c r="EP313" i="59"/>
  <c r="EQ313" i="59"/>
  <c r="ER313" i="59"/>
  <c r="ES313" i="59"/>
  <c r="ET313" i="59"/>
  <c r="EU313" i="59"/>
  <c r="EV313" i="59"/>
  <c r="EW313" i="59"/>
  <c r="EX313" i="59"/>
  <c r="EY313" i="59"/>
  <c r="EZ313" i="59"/>
  <c r="FA313" i="59"/>
  <c r="FB313" i="59"/>
  <c r="FC313" i="59"/>
  <c r="FD313" i="59"/>
  <c r="FE313" i="59"/>
  <c r="FF313" i="59"/>
  <c r="FG313" i="59"/>
  <c r="FH313" i="59"/>
  <c r="FI313" i="59"/>
  <c r="FJ313" i="59"/>
  <c r="FK313" i="59"/>
  <c r="FL313" i="59"/>
  <c r="FM313" i="59"/>
  <c r="FN313" i="59"/>
  <c r="FO313" i="59"/>
  <c r="FP313" i="59"/>
  <c r="FQ313" i="59"/>
  <c r="FR313" i="59"/>
  <c r="FS313" i="59"/>
  <c r="FT313" i="59"/>
  <c r="FU313" i="59"/>
  <c r="FV313" i="59"/>
  <c r="FW313" i="59"/>
  <c r="FX313" i="59"/>
  <c r="FY313" i="59"/>
  <c r="FZ313" i="59"/>
  <c r="GA313" i="59"/>
  <c r="GB313" i="59"/>
  <c r="GC313" i="59"/>
  <c r="GD313" i="59"/>
  <c r="GE313" i="59"/>
  <c r="GF313" i="59"/>
  <c r="GG313" i="59"/>
  <c r="GH313" i="59"/>
  <c r="GI313" i="59"/>
  <c r="GJ313" i="59"/>
  <c r="GK313" i="59"/>
  <c r="GL313" i="59"/>
  <c r="GM313" i="59"/>
  <c r="GN313" i="59"/>
  <c r="GO313" i="59"/>
  <c r="GP313" i="59"/>
  <c r="GQ313" i="59"/>
  <c r="GR313" i="59"/>
  <c r="GS313" i="59"/>
  <c r="GT313" i="59"/>
  <c r="GU313" i="59"/>
  <c r="GV313" i="59"/>
  <c r="GW313" i="59"/>
  <c r="GX313" i="59"/>
  <c r="GY313" i="59"/>
  <c r="GZ313" i="59"/>
  <c r="HA313" i="59"/>
  <c r="HB313" i="59"/>
  <c r="HC313" i="59"/>
  <c r="HD313" i="59"/>
  <c r="HE313" i="59"/>
  <c r="HF313" i="59"/>
  <c r="HG313" i="59"/>
  <c r="HH313" i="59"/>
  <c r="HI313" i="59"/>
  <c r="HJ313" i="59"/>
  <c r="HK313" i="59"/>
  <c r="HL313" i="59"/>
  <c r="HM313" i="59"/>
  <c r="HN313" i="59"/>
  <c r="HO313" i="59"/>
  <c r="HP313" i="59"/>
  <c r="HQ313" i="59"/>
  <c r="HR313" i="59"/>
  <c r="HS313" i="59"/>
  <c r="HT313" i="59"/>
  <c r="HU313" i="59"/>
  <c r="HV313" i="59"/>
  <c r="HW313" i="59"/>
  <c r="HX313" i="59"/>
  <c r="HY313" i="59"/>
  <c r="HZ313" i="59"/>
  <c r="IA313" i="59"/>
  <c r="IB313" i="59"/>
  <c r="IC313" i="59"/>
  <c r="ID313" i="59"/>
  <c r="IE313" i="59"/>
  <c r="IF313" i="59"/>
  <c r="IG313" i="59"/>
  <c r="IH313" i="59"/>
  <c r="II313" i="59"/>
  <c r="IJ313" i="59"/>
  <c r="IK313" i="59"/>
  <c r="IL313" i="59"/>
  <c r="IM313" i="59"/>
  <c r="IN313" i="59"/>
  <c r="IO313" i="59"/>
  <c r="IP313" i="59"/>
  <c r="IQ313" i="59"/>
  <c r="IR313" i="59"/>
  <c r="IS313" i="59"/>
  <c r="IT313" i="59"/>
  <c r="IU313" i="59"/>
  <c r="IV313" i="59"/>
  <c r="F314" i="59"/>
  <c r="G314" i="59"/>
  <c r="H314" i="59"/>
  <c r="I314" i="59"/>
  <c r="J314" i="59"/>
  <c r="K314" i="59"/>
  <c r="L314" i="59"/>
  <c r="M314" i="59"/>
  <c r="N314" i="59"/>
  <c r="O314" i="59"/>
  <c r="P314" i="59"/>
  <c r="Q314" i="59"/>
  <c r="R314" i="59"/>
  <c r="S314" i="59"/>
  <c r="T314" i="59"/>
  <c r="U314" i="59"/>
  <c r="V314" i="59"/>
  <c r="W314" i="59"/>
  <c r="X314" i="59"/>
  <c r="Y314" i="59"/>
  <c r="Z314" i="59"/>
  <c r="AA314" i="59"/>
  <c r="AB314" i="59"/>
  <c r="AC314" i="59"/>
  <c r="AD314" i="59"/>
  <c r="AE314" i="59"/>
  <c r="AF314" i="59"/>
  <c r="AG314" i="59"/>
  <c r="AH314" i="59"/>
  <c r="AI314" i="59"/>
  <c r="AJ314" i="59"/>
  <c r="AK314" i="59"/>
  <c r="AL314" i="59"/>
  <c r="AM314" i="59"/>
  <c r="AN314" i="59"/>
  <c r="AO314" i="59"/>
  <c r="AP314" i="59"/>
  <c r="AQ314" i="59"/>
  <c r="AR314" i="59"/>
  <c r="AS314" i="59"/>
  <c r="AT314" i="59"/>
  <c r="AU314" i="59"/>
  <c r="AV314" i="59"/>
  <c r="AW314" i="59"/>
  <c r="AX314" i="59"/>
  <c r="AY314" i="59"/>
  <c r="AZ314" i="59"/>
  <c r="BA314" i="59"/>
  <c r="BB314" i="59"/>
  <c r="BC314" i="59"/>
  <c r="BD314" i="59"/>
  <c r="BE314" i="59"/>
  <c r="BF314" i="59"/>
  <c r="BG314" i="59"/>
  <c r="BH314" i="59"/>
  <c r="BI314" i="59"/>
  <c r="BJ314" i="59"/>
  <c r="BK314" i="59"/>
  <c r="BL314" i="59"/>
  <c r="BM314" i="59"/>
  <c r="BN314" i="59"/>
  <c r="BO314" i="59"/>
  <c r="BP314" i="59"/>
  <c r="BQ314" i="59"/>
  <c r="BR314" i="59"/>
  <c r="BS314" i="59"/>
  <c r="BT314" i="59"/>
  <c r="BU314" i="59"/>
  <c r="BV314" i="59"/>
  <c r="BW314" i="59"/>
  <c r="BX314" i="59"/>
  <c r="BY314" i="59"/>
  <c r="BZ314" i="59"/>
  <c r="CA314" i="59"/>
  <c r="CB314" i="59"/>
  <c r="CC314" i="59"/>
  <c r="CD314" i="59"/>
  <c r="CE314" i="59"/>
  <c r="CF314" i="59"/>
  <c r="CG314" i="59"/>
  <c r="CH314" i="59"/>
  <c r="CI314" i="59"/>
  <c r="CJ314" i="59"/>
  <c r="CK314" i="59"/>
  <c r="CL314" i="59"/>
  <c r="CM314" i="59"/>
  <c r="CN314" i="59"/>
  <c r="CO314" i="59"/>
  <c r="CP314" i="59"/>
  <c r="CQ314" i="59"/>
  <c r="CR314" i="59"/>
  <c r="CS314" i="59"/>
  <c r="CT314" i="59"/>
  <c r="CU314" i="59"/>
  <c r="CV314" i="59"/>
  <c r="CW314" i="59"/>
  <c r="CX314" i="59"/>
  <c r="CY314" i="59"/>
  <c r="CZ314" i="59"/>
  <c r="DA314" i="59"/>
  <c r="DB314" i="59"/>
  <c r="DC314" i="59"/>
  <c r="DD314" i="59"/>
  <c r="DE314" i="59"/>
  <c r="DF314" i="59"/>
  <c r="DG314" i="59"/>
  <c r="DH314" i="59"/>
  <c r="DI314" i="59"/>
  <c r="DJ314" i="59"/>
  <c r="DK314" i="59"/>
  <c r="DL314" i="59"/>
  <c r="DM314" i="59"/>
  <c r="DN314" i="59"/>
  <c r="DO314" i="59"/>
  <c r="DP314" i="59"/>
  <c r="DQ314" i="59"/>
  <c r="DR314" i="59"/>
  <c r="DS314" i="59"/>
  <c r="DT314" i="59"/>
  <c r="DU314" i="59"/>
  <c r="DV314" i="59"/>
  <c r="DW314" i="59"/>
  <c r="DX314" i="59"/>
  <c r="DY314" i="59"/>
  <c r="DZ314" i="59"/>
  <c r="EA314" i="59"/>
  <c r="EB314" i="59"/>
  <c r="EC314" i="59"/>
  <c r="ED314" i="59"/>
  <c r="EE314" i="59"/>
  <c r="EF314" i="59"/>
  <c r="EG314" i="59"/>
  <c r="EH314" i="59"/>
  <c r="EI314" i="59"/>
  <c r="EJ314" i="59"/>
  <c r="EK314" i="59"/>
  <c r="EL314" i="59"/>
  <c r="EM314" i="59"/>
  <c r="EN314" i="59"/>
  <c r="EO314" i="59"/>
  <c r="EP314" i="59"/>
  <c r="EQ314" i="59"/>
  <c r="ER314" i="59"/>
  <c r="ES314" i="59"/>
  <c r="ET314" i="59"/>
  <c r="EU314" i="59"/>
  <c r="EV314" i="59"/>
  <c r="EW314" i="59"/>
  <c r="EX314" i="59"/>
  <c r="EY314" i="59"/>
  <c r="EZ314" i="59"/>
  <c r="FA314" i="59"/>
  <c r="FE314" i="59"/>
  <c r="FF314" i="59"/>
  <c r="FG314" i="59"/>
  <c r="FH314" i="59"/>
  <c r="FI314" i="59"/>
  <c r="FJ314" i="59"/>
  <c r="FK314" i="59"/>
  <c r="FL314" i="59"/>
  <c r="FM314" i="59"/>
  <c r="FN314" i="59"/>
  <c r="FO314" i="59"/>
  <c r="FP314" i="59"/>
  <c r="FQ314" i="59"/>
  <c r="FR314" i="59"/>
  <c r="FS314" i="59"/>
  <c r="FT314" i="59"/>
  <c r="FU314" i="59"/>
  <c r="FV314" i="59"/>
  <c r="FW314" i="59"/>
  <c r="FX314" i="59"/>
  <c r="FY314" i="59"/>
  <c r="FZ314" i="59"/>
  <c r="GA314" i="59"/>
  <c r="GB314" i="59"/>
  <c r="GC314" i="59"/>
  <c r="GD314" i="59"/>
  <c r="GE314" i="59"/>
  <c r="GF314" i="59"/>
  <c r="GG314" i="59"/>
  <c r="GH314" i="59"/>
  <c r="GI314" i="59"/>
  <c r="GJ314" i="59"/>
  <c r="GK314" i="59"/>
  <c r="GL314" i="59"/>
  <c r="GM314" i="59"/>
  <c r="GN314" i="59"/>
  <c r="GO314" i="59"/>
  <c r="GP314" i="59"/>
  <c r="GQ314" i="59"/>
  <c r="GR314" i="59"/>
  <c r="GS314" i="59"/>
  <c r="GT314" i="59"/>
  <c r="GU314" i="59"/>
  <c r="GV314" i="59"/>
  <c r="GW314" i="59"/>
  <c r="HA314" i="59"/>
  <c r="HB314" i="59"/>
  <c r="HC314" i="59"/>
  <c r="HD314" i="59"/>
  <c r="HE314" i="59"/>
  <c r="HF314" i="59"/>
  <c r="HG314" i="59"/>
  <c r="HH314" i="59"/>
  <c r="HI314" i="59"/>
  <c r="HJ314" i="59"/>
  <c r="HK314" i="59"/>
  <c r="HL314" i="59"/>
  <c r="HM314" i="59"/>
  <c r="HN314" i="59"/>
  <c r="HO314" i="59"/>
  <c r="HP314" i="59"/>
  <c r="HQ314" i="59"/>
  <c r="HR314" i="59"/>
  <c r="HS314" i="59"/>
  <c r="HT314" i="59"/>
  <c r="HU314" i="59"/>
  <c r="HV314" i="59"/>
  <c r="HW314" i="59"/>
  <c r="HX314" i="59"/>
  <c r="HY314" i="59"/>
  <c r="HZ314" i="59"/>
  <c r="IA314" i="59"/>
  <c r="IB314" i="59"/>
  <c r="IC314" i="59"/>
  <c r="ID314" i="59"/>
  <c r="IE314" i="59"/>
  <c r="IF314" i="59"/>
  <c r="IG314" i="59"/>
  <c r="IH314" i="59"/>
  <c r="II314" i="59"/>
  <c r="IJ314" i="59"/>
  <c r="IK314" i="59"/>
  <c r="IL314" i="59"/>
  <c r="IM314" i="59"/>
  <c r="IN314" i="59"/>
  <c r="IO314" i="59"/>
  <c r="IP314" i="59"/>
  <c r="IQ314" i="59"/>
  <c r="IR314" i="59"/>
  <c r="IS314" i="59"/>
  <c r="F315" i="59"/>
  <c r="G315" i="59"/>
  <c r="H315" i="59"/>
  <c r="I315" i="59"/>
  <c r="J315" i="59"/>
  <c r="K315" i="59"/>
  <c r="L315" i="59"/>
  <c r="M315" i="59"/>
  <c r="N315" i="59"/>
  <c r="O315" i="59"/>
  <c r="P315" i="59"/>
  <c r="Q315" i="59"/>
  <c r="R315" i="59"/>
  <c r="S315" i="59"/>
  <c r="T315" i="59"/>
  <c r="U315" i="59"/>
  <c r="V315" i="59"/>
  <c r="W315" i="59"/>
  <c r="X315" i="59"/>
  <c r="Y315" i="59"/>
  <c r="Z315" i="59"/>
  <c r="AA315" i="59"/>
  <c r="AB315" i="59"/>
  <c r="AC315" i="59"/>
  <c r="AD315" i="59"/>
  <c r="AE315" i="59"/>
  <c r="AF315" i="59"/>
  <c r="AG315" i="59"/>
  <c r="AH315" i="59"/>
  <c r="AI315" i="59"/>
  <c r="AJ315" i="59"/>
  <c r="AK315" i="59"/>
  <c r="AL315" i="59"/>
  <c r="AM315" i="59"/>
  <c r="AN315" i="59"/>
  <c r="AO315" i="59"/>
  <c r="AP315" i="59"/>
  <c r="AQ315" i="59"/>
  <c r="AR315" i="59"/>
  <c r="AS315" i="59"/>
  <c r="AT315" i="59"/>
  <c r="AU315" i="59"/>
  <c r="AV315" i="59"/>
  <c r="AW315" i="59"/>
  <c r="AX315" i="59"/>
  <c r="BB315" i="59"/>
  <c r="BC315" i="59"/>
  <c r="BD315" i="59"/>
  <c r="BE315" i="59"/>
  <c r="BF315" i="59"/>
  <c r="BG315" i="59"/>
  <c r="BH315" i="59"/>
  <c r="BI315" i="59"/>
  <c r="BJ315" i="59"/>
  <c r="BK315" i="59"/>
  <c r="BL315" i="59"/>
  <c r="BM315" i="59"/>
  <c r="BN315" i="59"/>
  <c r="BO315" i="59"/>
  <c r="BP315" i="59"/>
  <c r="BQ315" i="59"/>
  <c r="BR315" i="59"/>
  <c r="BS315" i="59"/>
  <c r="BT315" i="59"/>
  <c r="BU315" i="59"/>
  <c r="BV315" i="59"/>
  <c r="BW315" i="59"/>
  <c r="BX315" i="59"/>
  <c r="BY315" i="59"/>
  <c r="BZ315" i="59"/>
  <c r="CA315" i="59"/>
  <c r="CB315" i="59"/>
  <c r="CC315" i="59"/>
  <c r="CD315" i="59"/>
  <c r="CE315" i="59"/>
  <c r="CF315" i="59"/>
  <c r="CG315" i="59"/>
  <c r="CH315" i="59"/>
  <c r="CI315" i="59"/>
  <c r="CJ315" i="59"/>
  <c r="CK315" i="59"/>
  <c r="CL315" i="59"/>
  <c r="CM315" i="59"/>
  <c r="CN315" i="59"/>
  <c r="CO315" i="59"/>
  <c r="CP315" i="59"/>
  <c r="CQ315" i="59"/>
  <c r="CR315" i="59"/>
  <c r="CS315" i="59"/>
  <c r="CT315" i="59"/>
  <c r="CU315" i="59"/>
  <c r="CV315" i="59"/>
  <c r="CW315" i="59"/>
  <c r="CX315" i="59"/>
  <c r="CY315" i="59"/>
  <c r="CZ315" i="59"/>
  <c r="DA315" i="59"/>
  <c r="DB315" i="59"/>
  <c r="DC315" i="59"/>
  <c r="DD315" i="59"/>
  <c r="DE315" i="59"/>
  <c r="DF315" i="59"/>
  <c r="DG315" i="59"/>
  <c r="DH315" i="59"/>
  <c r="DI315" i="59"/>
  <c r="DJ315" i="59"/>
  <c r="DK315" i="59"/>
  <c r="DL315" i="59"/>
  <c r="DM315" i="59"/>
  <c r="DN315" i="59"/>
  <c r="DO315" i="59"/>
  <c r="DP315" i="59"/>
  <c r="DQ315" i="59"/>
  <c r="DR315" i="59"/>
  <c r="DS315" i="59"/>
  <c r="DT315" i="59"/>
  <c r="DU315" i="59"/>
  <c r="DV315" i="59"/>
  <c r="DW315" i="59"/>
  <c r="DX315" i="59"/>
  <c r="DY315" i="59"/>
  <c r="DZ315" i="59"/>
  <c r="EA315" i="59"/>
  <c r="EB315" i="59"/>
  <c r="EC315" i="59"/>
  <c r="ED315" i="59"/>
  <c r="EE315" i="59"/>
  <c r="EF315" i="59"/>
  <c r="EG315" i="59"/>
  <c r="EH315" i="59"/>
  <c r="EI315" i="59"/>
  <c r="EJ315" i="59"/>
  <c r="EK315" i="59"/>
  <c r="EL315" i="59"/>
  <c r="EM315" i="59"/>
  <c r="EN315" i="59"/>
  <c r="EO315" i="59"/>
  <c r="EP315" i="59"/>
  <c r="EQ315" i="59"/>
  <c r="ER315" i="59"/>
  <c r="ES315" i="59"/>
  <c r="ET315" i="59"/>
  <c r="EU315" i="59"/>
  <c r="EV315" i="59"/>
  <c r="EW315" i="59"/>
  <c r="EX315" i="59"/>
  <c r="EY315" i="59"/>
  <c r="EZ315" i="59"/>
  <c r="FA315" i="59"/>
  <c r="FB315" i="59"/>
  <c r="FC315" i="59"/>
  <c r="FD315" i="59"/>
  <c r="FE315" i="59"/>
  <c r="FF315" i="59"/>
  <c r="FG315" i="59"/>
  <c r="FH315" i="59"/>
  <c r="FI315" i="59"/>
  <c r="FJ315" i="59"/>
  <c r="FK315" i="59"/>
  <c r="FL315" i="59"/>
  <c r="FM315" i="59"/>
  <c r="FN315" i="59"/>
  <c r="FO315" i="59"/>
  <c r="FP315" i="59"/>
  <c r="FQ315" i="59"/>
  <c r="FR315" i="59"/>
  <c r="FS315" i="59"/>
  <c r="FT315" i="59"/>
  <c r="FU315" i="59"/>
  <c r="FV315" i="59"/>
  <c r="FW315" i="59"/>
  <c r="FX315" i="59"/>
  <c r="FY315" i="59"/>
  <c r="FZ315" i="59"/>
  <c r="GA315" i="59"/>
  <c r="GB315" i="59"/>
  <c r="GC315" i="59"/>
  <c r="GD315" i="59"/>
  <c r="GE315" i="59"/>
  <c r="GF315" i="59"/>
  <c r="GG315" i="59"/>
  <c r="GH315" i="59"/>
  <c r="GI315" i="59"/>
  <c r="GJ315" i="59"/>
  <c r="GK315" i="59"/>
  <c r="GL315" i="59"/>
  <c r="GM315" i="59"/>
  <c r="GN315" i="59"/>
  <c r="GO315" i="59"/>
  <c r="GP315" i="59"/>
  <c r="GQ315" i="59"/>
  <c r="GR315" i="59"/>
  <c r="GS315" i="59"/>
  <c r="GT315" i="59"/>
  <c r="GU315" i="59"/>
  <c r="GV315" i="59"/>
  <c r="GW315" i="59"/>
  <c r="GX315" i="59"/>
  <c r="GY315" i="59"/>
  <c r="GZ315" i="59"/>
  <c r="HA315" i="59"/>
  <c r="HB315" i="59"/>
  <c r="HC315" i="59"/>
  <c r="HD315" i="59"/>
  <c r="HE315" i="59"/>
  <c r="HF315" i="59"/>
  <c r="HG315" i="59"/>
  <c r="HH315" i="59"/>
  <c r="HI315" i="59"/>
  <c r="HJ315" i="59"/>
  <c r="HK315" i="59"/>
  <c r="HL315" i="59"/>
  <c r="HM315" i="59"/>
  <c r="HN315" i="59"/>
  <c r="HO315" i="59"/>
  <c r="HP315" i="59"/>
  <c r="HQ315" i="59"/>
  <c r="HR315" i="59"/>
  <c r="HS315" i="59"/>
  <c r="HT315" i="59"/>
  <c r="HU315" i="59"/>
  <c r="HV315" i="59"/>
  <c r="HW315" i="59"/>
  <c r="HX315" i="59"/>
  <c r="HY315" i="59"/>
  <c r="HZ315" i="59"/>
  <c r="IA315" i="59"/>
  <c r="IB315" i="59"/>
  <c r="IC315" i="59"/>
  <c r="ID315" i="59"/>
  <c r="IE315" i="59"/>
  <c r="IF315" i="59"/>
  <c r="IG315" i="59"/>
  <c r="IH315" i="59"/>
  <c r="II315" i="59"/>
  <c r="IJ315" i="59"/>
  <c r="IK315" i="59"/>
  <c r="IL315" i="59"/>
  <c r="IM315" i="59"/>
  <c r="IN315" i="59"/>
  <c r="IO315" i="59"/>
  <c r="IP315" i="59"/>
  <c r="IQ315" i="59"/>
  <c r="IR315" i="59"/>
  <c r="IS315" i="59"/>
  <c r="IT315" i="59"/>
  <c r="IU315" i="59"/>
  <c r="IV315" i="59"/>
  <c r="F316" i="59"/>
  <c r="G316" i="59"/>
  <c r="H316" i="59"/>
  <c r="I316" i="59"/>
  <c r="J316" i="59"/>
  <c r="K316" i="59"/>
  <c r="L316" i="59"/>
  <c r="M316" i="59"/>
  <c r="N316" i="59"/>
  <c r="O316" i="59"/>
  <c r="P316" i="59"/>
  <c r="Q316" i="59"/>
  <c r="R316" i="59"/>
  <c r="S316" i="59"/>
  <c r="T316" i="59"/>
  <c r="U316" i="59"/>
  <c r="V316" i="59"/>
  <c r="W316" i="59"/>
  <c r="X316" i="59"/>
  <c r="Y316" i="59"/>
  <c r="Z316" i="59"/>
  <c r="AA316" i="59"/>
  <c r="AB316" i="59"/>
  <c r="AC316" i="59"/>
  <c r="AD316" i="59"/>
  <c r="AE316" i="59"/>
  <c r="AF316" i="59"/>
  <c r="AG316" i="59"/>
  <c r="AH316" i="59"/>
  <c r="AI316" i="59"/>
  <c r="AJ316" i="59"/>
  <c r="AK316" i="59"/>
  <c r="AL316" i="59"/>
  <c r="AM316" i="59"/>
  <c r="AN316" i="59"/>
  <c r="AO316" i="59"/>
  <c r="AP316" i="59"/>
  <c r="AQ316" i="59"/>
  <c r="AR316" i="59"/>
  <c r="AS316" i="59"/>
  <c r="AT316" i="59"/>
  <c r="AU316" i="59"/>
  <c r="AV316" i="59"/>
  <c r="AW316" i="59"/>
  <c r="AX316" i="59"/>
  <c r="AY316" i="59"/>
  <c r="AZ316" i="59"/>
  <c r="BA316" i="59"/>
  <c r="BB316" i="59"/>
  <c r="BC316" i="59"/>
  <c r="BD316" i="59"/>
  <c r="BE316" i="59"/>
  <c r="BF316" i="59"/>
  <c r="BG316" i="59"/>
  <c r="BH316" i="59"/>
  <c r="BI316" i="59"/>
  <c r="BJ316" i="59"/>
  <c r="BK316" i="59"/>
  <c r="BL316" i="59"/>
  <c r="BM316" i="59"/>
  <c r="BN316" i="59"/>
  <c r="BO316" i="59"/>
  <c r="BP316" i="59"/>
  <c r="BQ316" i="59"/>
  <c r="BR316" i="59"/>
  <c r="BS316" i="59"/>
  <c r="BT316" i="59"/>
  <c r="BU316" i="59"/>
  <c r="BV316" i="59"/>
  <c r="BW316" i="59"/>
  <c r="BX316" i="59"/>
  <c r="BY316" i="59"/>
  <c r="BZ316" i="59"/>
  <c r="CA316" i="59"/>
  <c r="CB316" i="59"/>
  <c r="CC316" i="59"/>
  <c r="CD316" i="59"/>
  <c r="CE316" i="59"/>
  <c r="CF316" i="59"/>
  <c r="CG316" i="59"/>
  <c r="CH316" i="59"/>
  <c r="CI316" i="59"/>
  <c r="CJ316" i="59"/>
  <c r="CK316" i="59"/>
  <c r="CL316" i="59"/>
  <c r="CM316" i="59"/>
  <c r="CN316" i="59"/>
  <c r="CO316" i="59"/>
  <c r="CP316" i="59"/>
  <c r="CQ316" i="59"/>
  <c r="CR316" i="59"/>
  <c r="CS316" i="59"/>
  <c r="CT316" i="59"/>
  <c r="CU316" i="59"/>
  <c r="CV316" i="59"/>
  <c r="CW316" i="59"/>
  <c r="CX316" i="59"/>
  <c r="CY316" i="59"/>
  <c r="CZ316" i="59"/>
  <c r="DA316" i="59"/>
  <c r="DB316" i="59"/>
  <c r="DC316" i="59"/>
  <c r="DD316" i="59"/>
  <c r="DE316" i="59"/>
  <c r="DF316" i="59"/>
  <c r="DG316" i="59"/>
  <c r="DH316" i="59"/>
  <c r="DI316" i="59"/>
  <c r="DJ316" i="59"/>
  <c r="DK316" i="59"/>
  <c r="DL316" i="59"/>
  <c r="DM316" i="59"/>
  <c r="DN316" i="59"/>
  <c r="DO316" i="59"/>
  <c r="DP316" i="59"/>
  <c r="DQ316" i="59"/>
  <c r="DR316" i="59"/>
  <c r="DS316" i="59"/>
  <c r="DT316" i="59"/>
  <c r="DU316" i="59"/>
  <c r="DV316" i="59"/>
  <c r="DW316" i="59"/>
  <c r="DX316" i="59"/>
  <c r="DY316" i="59"/>
  <c r="DZ316" i="59"/>
  <c r="EA316" i="59"/>
  <c r="EB316" i="59"/>
  <c r="EC316" i="59"/>
  <c r="ED316" i="59"/>
  <c r="EE316" i="59"/>
  <c r="EF316" i="59"/>
  <c r="EG316" i="59"/>
  <c r="EH316" i="59"/>
  <c r="EI316" i="59"/>
  <c r="EJ316" i="59"/>
  <c r="EK316" i="59"/>
  <c r="EL316" i="59"/>
  <c r="EM316" i="59"/>
  <c r="EN316" i="59"/>
  <c r="EO316" i="59"/>
  <c r="EP316" i="59"/>
  <c r="EQ316" i="59"/>
  <c r="ER316" i="59"/>
  <c r="ES316" i="59"/>
  <c r="ET316" i="59"/>
  <c r="EU316" i="59"/>
  <c r="EV316" i="59"/>
  <c r="EW316" i="59"/>
  <c r="EX316" i="59"/>
  <c r="EY316" i="59"/>
  <c r="EZ316" i="59"/>
  <c r="FA316" i="59"/>
  <c r="FB316" i="59"/>
  <c r="FC316" i="59"/>
  <c r="FD316" i="59"/>
  <c r="FE316" i="59"/>
  <c r="FF316" i="59"/>
  <c r="FG316" i="59"/>
  <c r="FH316" i="59"/>
  <c r="FI316" i="59"/>
  <c r="FJ316" i="59"/>
  <c r="FK316" i="59"/>
  <c r="FL316" i="59"/>
  <c r="FM316" i="59"/>
  <c r="FN316" i="59"/>
  <c r="FO316" i="59"/>
  <c r="FP316" i="59"/>
  <c r="FQ316" i="59"/>
  <c r="FR316" i="59"/>
  <c r="FS316" i="59"/>
  <c r="FT316" i="59"/>
  <c r="FU316" i="59"/>
  <c r="FV316" i="59"/>
  <c r="FW316" i="59"/>
  <c r="FX316" i="59"/>
  <c r="FY316" i="59"/>
  <c r="FZ316" i="59"/>
  <c r="GA316" i="59"/>
  <c r="GB316" i="59"/>
  <c r="GC316" i="59"/>
  <c r="GD316" i="59"/>
  <c r="GE316" i="59"/>
  <c r="GF316" i="59"/>
  <c r="GG316" i="59"/>
  <c r="GH316" i="59"/>
  <c r="GI316" i="59"/>
  <c r="GJ316" i="59"/>
  <c r="GK316" i="59"/>
  <c r="GL316" i="59"/>
  <c r="GM316" i="59"/>
  <c r="GN316" i="59"/>
  <c r="GO316" i="59"/>
  <c r="GP316" i="59"/>
  <c r="GQ316" i="59"/>
  <c r="GR316" i="59"/>
  <c r="GS316" i="59"/>
  <c r="GT316" i="59"/>
  <c r="GU316" i="59"/>
  <c r="GV316" i="59"/>
  <c r="GW316" i="59"/>
  <c r="GX316" i="59"/>
  <c r="GY316" i="59"/>
  <c r="GZ316" i="59"/>
  <c r="HA316" i="59"/>
  <c r="HB316" i="59"/>
  <c r="HC316" i="59"/>
  <c r="HD316" i="59"/>
  <c r="HE316" i="59"/>
  <c r="HF316" i="59"/>
  <c r="HG316" i="59"/>
  <c r="HH316" i="59"/>
  <c r="HI316" i="59"/>
  <c r="HJ316" i="59"/>
  <c r="HK316" i="59"/>
  <c r="HL316" i="59"/>
  <c r="HM316" i="59"/>
  <c r="HN316" i="59"/>
  <c r="HO316" i="59"/>
  <c r="HP316" i="59"/>
  <c r="HQ316" i="59"/>
  <c r="HR316" i="59"/>
  <c r="HS316" i="59"/>
  <c r="HT316" i="59"/>
  <c r="HU316" i="59"/>
  <c r="HV316" i="59"/>
  <c r="HW316" i="59"/>
  <c r="HX316" i="59"/>
  <c r="HY316" i="59"/>
  <c r="HZ316" i="59"/>
  <c r="IA316" i="59"/>
  <c r="IB316" i="59"/>
  <c r="IC316" i="59"/>
  <c r="ID316" i="59"/>
  <c r="IE316" i="59"/>
  <c r="IF316" i="59"/>
  <c r="IG316" i="59"/>
  <c r="IH316" i="59"/>
  <c r="II316" i="59"/>
  <c r="IJ316" i="59"/>
  <c r="IK316" i="59"/>
  <c r="IL316" i="59"/>
  <c r="IM316" i="59"/>
  <c r="IN316" i="59"/>
  <c r="IO316" i="59"/>
  <c r="IP316" i="59"/>
  <c r="IQ316" i="59"/>
  <c r="IR316" i="59"/>
  <c r="IS316" i="59"/>
  <c r="IT316" i="59"/>
  <c r="IU316" i="59"/>
  <c r="IV316" i="59"/>
  <c r="F317" i="59"/>
  <c r="G317" i="59"/>
  <c r="H317" i="59"/>
  <c r="I317" i="59"/>
  <c r="J317" i="59"/>
  <c r="K317" i="59"/>
  <c r="L317" i="59"/>
  <c r="M317" i="59"/>
  <c r="N317" i="59"/>
  <c r="O317" i="59"/>
  <c r="P317" i="59"/>
  <c r="Q317" i="59"/>
  <c r="R317" i="59"/>
  <c r="S317" i="59"/>
  <c r="T317" i="59"/>
  <c r="U317" i="59"/>
  <c r="V317" i="59"/>
  <c r="W317" i="59"/>
  <c r="X317" i="59"/>
  <c r="Y317" i="59"/>
  <c r="Z317" i="59"/>
  <c r="AA317" i="59"/>
  <c r="AB317" i="59"/>
  <c r="AC317" i="59"/>
  <c r="AD317" i="59"/>
  <c r="AE317" i="59"/>
  <c r="AF317" i="59"/>
  <c r="AG317" i="59"/>
  <c r="AH317" i="59"/>
  <c r="AI317" i="59"/>
  <c r="AJ317" i="59"/>
  <c r="AL317" i="59"/>
  <c r="AM317" i="59"/>
  <c r="AN317" i="59"/>
  <c r="AO317" i="59"/>
  <c r="AP317" i="59"/>
  <c r="AQ317" i="59"/>
  <c r="AR317" i="59"/>
  <c r="AS317" i="59"/>
  <c r="AT317" i="59"/>
  <c r="AU317" i="59"/>
  <c r="AV317" i="59"/>
  <c r="AW317" i="59"/>
  <c r="AX317" i="59"/>
  <c r="AY317" i="59"/>
  <c r="AZ317" i="59"/>
  <c r="BA317" i="59"/>
  <c r="BB317" i="59"/>
  <c r="BC317" i="59"/>
  <c r="BD317" i="59"/>
  <c r="BF317" i="59"/>
  <c r="BG317" i="59"/>
  <c r="BH317" i="59"/>
  <c r="BI317" i="59"/>
  <c r="BJ317" i="59"/>
  <c r="BK317" i="59"/>
  <c r="BL317" i="59"/>
  <c r="BM317" i="59"/>
  <c r="BN317" i="59"/>
  <c r="BO317" i="59"/>
  <c r="BP317" i="59"/>
  <c r="BQ317" i="59"/>
  <c r="BR317" i="59"/>
  <c r="BS317" i="59"/>
  <c r="BT317" i="59"/>
  <c r="BU317" i="59"/>
  <c r="BV317" i="59"/>
  <c r="BW317" i="59"/>
  <c r="BX317" i="59"/>
  <c r="BY317" i="59"/>
  <c r="BZ317" i="59"/>
  <c r="CA317" i="59"/>
  <c r="CB317" i="59"/>
  <c r="CC317" i="59"/>
  <c r="CD317" i="59"/>
  <c r="CE317" i="59"/>
  <c r="CF317" i="59"/>
  <c r="CG317" i="59"/>
  <c r="CH317" i="59"/>
  <c r="CI317" i="59"/>
  <c r="CJ317" i="59"/>
  <c r="CK317" i="59"/>
  <c r="CL317" i="59"/>
  <c r="CM317" i="59"/>
  <c r="CN317" i="59"/>
  <c r="CO317" i="59"/>
  <c r="CP317" i="59"/>
  <c r="CQ317" i="59"/>
  <c r="CR317" i="59"/>
  <c r="CS317" i="59"/>
  <c r="CT317" i="59"/>
  <c r="CU317" i="59"/>
  <c r="CV317" i="59"/>
  <c r="CW317" i="59"/>
  <c r="CX317" i="59"/>
  <c r="CY317" i="59"/>
  <c r="CZ317" i="59"/>
  <c r="DA317" i="59"/>
  <c r="DB317" i="59"/>
  <c r="DC317" i="59"/>
  <c r="DD317" i="59"/>
  <c r="DE317" i="59"/>
  <c r="DF317" i="59"/>
  <c r="DG317" i="59"/>
  <c r="DH317" i="59"/>
  <c r="DI317" i="59"/>
  <c r="DJ317" i="59"/>
  <c r="DL317" i="59"/>
  <c r="DM317" i="59"/>
  <c r="DN317" i="59"/>
  <c r="DO317" i="59"/>
  <c r="DP317" i="59"/>
  <c r="DQ317" i="59"/>
  <c r="DR317" i="59"/>
  <c r="DS317" i="59"/>
  <c r="DT317" i="59"/>
  <c r="DU317" i="59"/>
  <c r="DV317" i="59"/>
  <c r="DX317" i="59"/>
  <c r="DY317" i="59"/>
  <c r="DZ317" i="59"/>
  <c r="EA317" i="59"/>
  <c r="EB317" i="59"/>
  <c r="EC317" i="59"/>
  <c r="ED317" i="59"/>
  <c r="EE317" i="59"/>
  <c r="EF317" i="59"/>
  <c r="EG317" i="59"/>
  <c r="EH317" i="59"/>
  <c r="EI317" i="59"/>
  <c r="EJ317" i="59"/>
  <c r="EK317" i="59"/>
  <c r="EL317" i="59"/>
  <c r="EM317" i="59"/>
  <c r="EN317" i="59"/>
  <c r="EO317" i="59"/>
  <c r="EP317" i="59"/>
  <c r="EQ317" i="59"/>
  <c r="ER317" i="59"/>
  <c r="ES317" i="59"/>
  <c r="ET317" i="59"/>
  <c r="EU317" i="59"/>
  <c r="EV317" i="59"/>
  <c r="EW317" i="59"/>
  <c r="EX317" i="59"/>
  <c r="EY317" i="59"/>
  <c r="EZ317" i="59"/>
  <c r="FA317" i="59"/>
  <c r="FB317" i="59"/>
  <c r="FC317" i="59"/>
  <c r="FD317" i="59"/>
  <c r="FE317" i="59"/>
  <c r="FF317" i="59"/>
  <c r="FG317" i="59"/>
  <c r="FH317" i="59"/>
  <c r="FI317" i="59"/>
  <c r="FJ317" i="59"/>
  <c r="FK317" i="59"/>
  <c r="FM317" i="59"/>
  <c r="FN317" i="59"/>
  <c r="FO317" i="59"/>
  <c r="FP317" i="59"/>
  <c r="FQ317" i="59"/>
  <c r="FR317" i="59"/>
  <c r="FS317" i="59"/>
  <c r="FU317" i="59"/>
  <c r="FV317" i="59"/>
  <c r="FW317" i="59"/>
  <c r="FX317" i="59"/>
  <c r="FY317" i="59"/>
  <c r="FZ317" i="59"/>
  <c r="GA317" i="59"/>
  <c r="GC317" i="59"/>
  <c r="GD317" i="59"/>
  <c r="GE317" i="59"/>
  <c r="GF317" i="59"/>
  <c r="GG317" i="59"/>
  <c r="GH317" i="59"/>
  <c r="GI317" i="59"/>
  <c r="GK317" i="59"/>
  <c r="GL317" i="59"/>
  <c r="GM317" i="59"/>
  <c r="GN317" i="59"/>
  <c r="GO317" i="59"/>
  <c r="GP317" i="59"/>
  <c r="GQ317" i="59"/>
  <c r="GR317" i="59"/>
  <c r="GS317" i="59"/>
  <c r="GT317" i="59"/>
  <c r="GU317" i="59"/>
  <c r="GV317" i="59"/>
  <c r="GW317" i="59"/>
  <c r="GX317" i="59"/>
  <c r="GY317" i="59"/>
  <c r="GZ317" i="59"/>
  <c r="HA317" i="59"/>
  <c r="HB317" i="59"/>
  <c r="HC317" i="59"/>
  <c r="HD317" i="59"/>
  <c r="HE317" i="59"/>
  <c r="HF317" i="59"/>
  <c r="HG317" i="59"/>
  <c r="HH317" i="59"/>
  <c r="HI317" i="59"/>
  <c r="HJ317" i="59"/>
  <c r="HK317" i="59"/>
  <c r="HL317" i="59"/>
  <c r="HM317" i="59"/>
  <c r="HN317" i="59"/>
  <c r="HO317" i="59"/>
  <c r="HQ317" i="59"/>
  <c r="HR317" i="59"/>
  <c r="HS317" i="59"/>
  <c r="HT317" i="59"/>
  <c r="HU317" i="59"/>
  <c r="HV317" i="59"/>
  <c r="HW317" i="59"/>
  <c r="HX317" i="59"/>
  <c r="HY317" i="59"/>
  <c r="HZ317" i="59"/>
  <c r="IA317" i="59"/>
  <c r="IB317" i="59"/>
  <c r="IC317" i="59"/>
  <c r="ID317" i="59"/>
  <c r="IF317" i="59"/>
  <c r="IG317" i="59"/>
  <c r="IH317" i="59"/>
  <c r="II317" i="59"/>
  <c r="IJ317" i="59"/>
  <c r="IK317" i="59"/>
  <c r="IL317" i="59"/>
  <c r="IN317" i="59"/>
  <c r="IO317" i="59"/>
  <c r="IP317" i="59"/>
  <c r="IQ317" i="59"/>
  <c r="IR317" i="59"/>
  <c r="IS317" i="59"/>
  <c r="IT317" i="59"/>
  <c r="IV317" i="59"/>
  <c r="F318" i="59"/>
  <c r="G318" i="59"/>
  <c r="H318" i="59"/>
  <c r="I318" i="59"/>
  <c r="J318" i="59"/>
  <c r="K318" i="59"/>
  <c r="L318" i="59"/>
  <c r="M318" i="59"/>
  <c r="N318" i="59"/>
  <c r="O318" i="59"/>
  <c r="P318" i="59"/>
  <c r="Q318" i="59"/>
  <c r="T318" i="59"/>
  <c r="U318" i="59"/>
  <c r="V318" i="59"/>
  <c r="W318" i="59"/>
  <c r="X318" i="59"/>
  <c r="Y318" i="59"/>
  <c r="Z318" i="59"/>
  <c r="AA318" i="59"/>
  <c r="AB318" i="59"/>
  <c r="AC318" i="59"/>
  <c r="AD318" i="59"/>
  <c r="AE318" i="59"/>
  <c r="AF318" i="59"/>
  <c r="AG318" i="59"/>
  <c r="AH318" i="59"/>
  <c r="AI318" i="59"/>
  <c r="AJ318" i="59"/>
  <c r="AK318" i="59"/>
  <c r="AL318" i="59"/>
  <c r="AM318" i="59"/>
  <c r="AN318" i="59"/>
  <c r="AO318" i="59"/>
  <c r="AP318" i="59"/>
  <c r="AQ318" i="59"/>
  <c r="AR318" i="59"/>
  <c r="AS318" i="59"/>
  <c r="AT318" i="59"/>
  <c r="AU318" i="59"/>
  <c r="AV318" i="59"/>
  <c r="AW318" i="59"/>
  <c r="AX318" i="59"/>
  <c r="AY318" i="59"/>
  <c r="AZ318" i="59"/>
  <c r="BA318" i="59"/>
  <c r="BB318" i="59"/>
  <c r="BC318" i="59"/>
  <c r="BD318" i="59"/>
  <c r="BE318" i="59"/>
  <c r="BF318" i="59"/>
  <c r="BG318" i="59"/>
  <c r="BH318" i="59"/>
  <c r="BI318" i="59"/>
  <c r="BJ318" i="59"/>
  <c r="BK318" i="59"/>
  <c r="BL318" i="59"/>
  <c r="BM318" i="59"/>
  <c r="BN318" i="59"/>
  <c r="BO318" i="59"/>
  <c r="BP318" i="59"/>
  <c r="BQ318" i="59"/>
  <c r="BR318" i="59"/>
  <c r="BS318" i="59"/>
  <c r="BT318" i="59"/>
  <c r="BU318" i="59"/>
  <c r="BV318" i="59"/>
  <c r="BW318" i="59"/>
  <c r="BX318" i="59"/>
  <c r="BY318" i="59"/>
  <c r="BZ318" i="59"/>
  <c r="CA318" i="59"/>
  <c r="CB318" i="59"/>
  <c r="CC318" i="59"/>
  <c r="CF318" i="59"/>
  <c r="CG318" i="59"/>
  <c r="CH318" i="59"/>
  <c r="CI318" i="59"/>
  <c r="CJ318" i="59"/>
  <c r="CK318" i="59"/>
  <c r="CL318" i="59"/>
  <c r="CM318" i="59"/>
  <c r="CN318" i="59"/>
  <c r="CO318" i="59"/>
  <c r="CP318" i="59"/>
  <c r="CQ318" i="59"/>
  <c r="CR318" i="59"/>
  <c r="CS318" i="59"/>
  <c r="CT318" i="59"/>
  <c r="CU318" i="59"/>
  <c r="CV318" i="59"/>
  <c r="CW318" i="59"/>
  <c r="CX318" i="59"/>
  <c r="CY318" i="59"/>
  <c r="CZ318" i="59"/>
  <c r="DA318" i="59"/>
  <c r="DB318" i="59"/>
  <c r="DC318" i="59"/>
  <c r="DD318" i="59"/>
  <c r="DE318" i="59"/>
  <c r="DF318" i="59"/>
  <c r="DG318" i="59"/>
  <c r="DH318" i="59"/>
  <c r="DI318" i="59"/>
  <c r="DJ318" i="59"/>
  <c r="DK318" i="59"/>
  <c r="DL318" i="59"/>
  <c r="DM318" i="59"/>
  <c r="DN318" i="59"/>
  <c r="DO318" i="59"/>
  <c r="DP318" i="59"/>
  <c r="DQ318" i="59"/>
  <c r="DR318" i="59"/>
  <c r="DS318" i="59"/>
  <c r="DT318" i="59"/>
  <c r="DU318" i="59"/>
  <c r="DV318" i="59"/>
  <c r="DW318" i="59"/>
  <c r="DX318" i="59"/>
  <c r="DY318" i="59"/>
  <c r="DZ318" i="59"/>
  <c r="EA318" i="59"/>
  <c r="EB318" i="59"/>
  <c r="EC318" i="59"/>
  <c r="ED318" i="59"/>
  <c r="EE318" i="59"/>
  <c r="EF318" i="59"/>
  <c r="EG318" i="59"/>
  <c r="EH318" i="59"/>
  <c r="EI318" i="59"/>
  <c r="EJ318" i="59"/>
  <c r="EK318" i="59"/>
  <c r="EL318" i="59"/>
  <c r="EM318" i="59"/>
  <c r="EN318" i="59"/>
  <c r="EO318" i="59"/>
  <c r="ER318" i="59"/>
  <c r="ES318" i="59"/>
  <c r="ET318" i="59"/>
  <c r="EU318" i="59"/>
  <c r="EV318" i="59"/>
  <c r="EW318" i="59"/>
  <c r="EX318" i="59"/>
  <c r="EY318" i="59"/>
  <c r="EZ318" i="59"/>
  <c r="FA318" i="59"/>
  <c r="FB318" i="59"/>
  <c r="FC318" i="59"/>
  <c r="FD318" i="59"/>
  <c r="FE318" i="59"/>
  <c r="FF318" i="59"/>
  <c r="FG318" i="59"/>
  <c r="FH318" i="59"/>
  <c r="FI318" i="59"/>
  <c r="FJ318" i="59"/>
  <c r="FK318" i="59"/>
  <c r="FL318" i="59"/>
  <c r="FM318" i="59"/>
  <c r="FN318" i="59"/>
  <c r="FO318" i="59"/>
  <c r="FP318" i="59"/>
  <c r="FQ318" i="59"/>
  <c r="FR318" i="59"/>
  <c r="FS318" i="59"/>
  <c r="FT318" i="59"/>
  <c r="FU318" i="59"/>
  <c r="FV318" i="59"/>
  <c r="FW318" i="59"/>
  <c r="FX318" i="59"/>
  <c r="FY318" i="59"/>
  <c r="FZ318" i="59"/>
  <c r="GA318" i="59"/>
  <c r="GB318" i="59"/>
  <c r="GC318" i="59"/>
  <c r="GD318" i="59"/>
  <c r="GE318" i="59"/>
  <c r="GF318" i="59"/>
  <c r="GG318" i="59"/>
  <c r="GH318" i="59"/>
  <c r="GI318" i="59"/>
  <c r="GJ318" i="59"/>
  <c r="GK318" i="59"/>
  <c r="GL318" i="59"/>
  <c r="GM318" i="59"/>
  <c r="GN318" i="59"/>
  <c r="GO318" i="59"/>
  <c r="GP318" i="59"/>
  <c r="GQ318" i="59"/>
  <c r="GR318" i="59"/>
  <c r="GS318" i="59"/>
  <c r="GT318" i="59"/>
  <c r="GU318" i="59"/>
  <c r="GV318" i="59"/>
  <c r="GW318" i="59"/>
  <c r="GX318" i="59"/>
  <c r="GY318" i="59"/>
  <c r="GZ318" i="59"/>
  <c r="HA318" i="59"/>
  <c r="HB318" i="59"/>
  <c r="HC318" i="59"/>
  <c r="HD318" i="59"/>
  <c r="HE318" i="59"/>
  <c r="HF318" i="59"/>
  <c r="HG318" i="59"/>
  <c r="HH318" i="59"/>
  <c r="HI318" i="59"/>
  <c r="HK318" i="59"/>
  <c r="HL318" i="59"/>
  <c r="HM318" i="59"/>
  <c r="HQ318" i="59"/>
  <c r="HS318" i="59"/>
  <c r="HT318" i="59"/>
  <c r="HU318" i="59"/>
  <c r="IA318" i="59"/>
  <c r="IB318" i="59"/>
  <c r="IC318" i="59"/>
  <c r="II318" i="59"/>
  <c r="IJ318" i="59"/>
  <c r="IK318" i="59"/>
  <c r="IQ318" i="59"/>
  <c r="IR318" i="59"/>
  <c r="IS318" i="59"/>
  <c r="H319" i="59"/>
  <c r="I319" i="59"/>
  <c r="J319" i="59"/>
  <c r="P319" i="59"/>
  <c r="Q319" i="59"/>
  <c r="R319" i="59"/>
  <c r="X319" i="59"/>
  <c r="Y319" i="59"/>
  <c r="Z319" i="59"/>
  <c r="AF319" i="59"/>
  <c r="AG319" i="59"/>
  <c r="AH319" i="59"/>
  <c r="AN319" i="59"/>
  <c r="AO319" i="59"/>
  <c r="AP319" i="59"/>
  <c r="AV319" i="59"/>
  <c r="AW319" i="59"/>
  <c r="AX319" i="59"/>
  <c r="BD319" i="59"/>
  <c r="BE319" i="59"/>
  <c r="BF319" i="59"/>
  <c r="BL319" i="59"/>
  <c r="BM319" i="59"/>
  <c r="BN319" i="59"/>
  <c r="BS319" i="59"/>
  <c r="BT319" i="59"/>
  <c r="BU319" i="59"/>
  <c r="BV319" i="59"/>
  <c r="BW319" i="59"/>
  <c r="BX319" i="59"/>
  <c r="BY319" i="59"/>
  <c r="BZ319" i="59"/>
  <c r="CA319" i="59"/>
  <c r="CB319" i="59"/>
  <c r="CC319" i="59"/>
  <c r="CD319" i="59"/>
  <c r="CE319" i="59"/>
  <c r="CF319" i="59"/>
  <c r="CG319" i="59"/>
  <c r="CH319" i="59"/>
  <c r="CI319" i="59"/>
  <c r="CJ319" i="59"/>
  <c r="CK319" i="59"/>
  <c r="CL319" i="59"/>
  <c r="CM319" i="59"/>
  <c r="CN319" i="59"/>
  <c r="CO319" i="59"/>
  <c r="CP319" i="59"/>
  <c r="CQ319" i="59"/>
  <c r="CR319" i="59"/>
  <c r="CS319" i="59"/>
  <c r="CT319" i="59"/>
  <c r="CU319" i="59"/>
  <c r="CV319" i="59"/>
  <c r="CW319" i="59"/>
  <c r="CX319" i="59"/>
  <c r="CZ319" i="59"/>
  <c r="DA319" i="59"/>
  <c r="DG319" i="59"/>
  <c r="DH319" i="59"/>
  <c r="DI319" i="59"/>
  <c r="DJ319" i="59"/>
  <c r="DK319" i="59"/>
  <c r="DL319" i="59"/>
  <c r="DM319" i="59"/>
  <c r="DN319" i="59"/>
  <c r="DP319" i="59"/>
  <c r="DR319" i="59"/>
  <c r="DT319" i="59"/>
  <c r="DV319" i="59"/>
  <c r="DW319" i="59"/>
  <c r="DX319" i="59"/>
  <c r="DY319" i="59"/>
  <c r="DZ319" i="59"/>
  <c r="EA319" i="59"/>
  <c r="EB319" i="59"/>
  <c r="EC319" i="59"/>
  <c r="ED319" i="59"/>
  <c r="EE319" i="59"/>
  <c r="EF319" i="59"/>
  <c r="EG319" i="59"/>
  <c r="EH319" i="59"/>
  <c r="EI319" i="59"/>
  <c r="EJ319" i="59"/>
  <c r="EK319" i="59"/>
  <c r="EL319" i="59"/>
  <c r="EM319" i="59"/>
  <c r="EN319" i="59"/>
  <c r="EO319" i="59"/>
  <c r="EP319" i="59"/>
  <c r="EQ319" i="59"/>
  <c r="ER319" i="59"/>
  <c r="ES319" i="59"/>
  <c r="ET319" i="59"/>
  <c r="EU319" i="59"/>
  <c r="EV319" i="59"/>
  <c r="EW319" i="59"/>
  <c r="EX319" i="59"/>
  <c r="EY319" i="59"/>
  <c r="EZ319" i="59"/>
  <c r="FA319" i="59"/>
  <c r="FB319" i="59"/>
  <c r="FC319" i="59"/>
  <c r="FD319" i="59"/>
  <c r="FE319" i="59"/>
  <c r="FF319" i="59"/>
  <c r="FG319" i="59"/>
  <c r="FH319" i="59"/>
  <c r="FI319" i="59"/>
  <c r="FJ319" i="59"/>
  <c r="FK319" i="59"/>
  <c r="FL319" i="59"/>
  <c r="FM319" i="59"/>
  <c r="FN319" i="59"/>
  <c r="FO319" i="59"/>
  <c r="FP319" i="59"/>
  <c r="FQ319" i="59"/>
  <c r="FR319" i="59"/>
  <c r="FS319" i="59"/>
  <c r="FT319" i="59"/>
  <c r="FU319" i="59"/>
  <c r="FV319" i="59"/>
  <c r="FW319" i="59"/>
  <c r="FX319" i="59"/>
  <c r="FZ319" i="59"/>
  <c r="GA319" i="59"/>
  <c r="GG319" i="59"/>
  <c r="GH319" i="59"/>
  <c r="GI319" i="59"/>
  <c r="GJ319" i="59"/>
  <c r="GK319" i="59"/>
  <c r="GL319" i="59"/>
  <c r="GM319" i="59"/>
  <c r="GN319" i="59"/>
  <c r="GO319" i="59"/>
  <c r="GP319" i="59"/>
  <c r="GQ319" i="59"/>
  <c r="GR319" i="59"/>
  <c r="GS319" i="59"/>
  <c r="GT319" i="59"/>
  <c r="GV319" i="59"/>
  <c r="GX319" i="59"/>
  <c r="GZ319" i="59"/>
  <c r="HB319" i="59"/>
  <c r="HC319" i="59"/>
  <c r="HD319" i="59"/>
  <c r="HE319" i="59"/>
  <c r="HF319" i="59"/>
  <c r="HG319" i="59"/>
  <c r="HH319" i="59"/>
  <c r="HI319" i="59"/>
  <c r="HJ319" i="59"/>
  <c r="HK319" i="59"/>
  <c r="HL319" i="59"/>
  <c r="HM319" i="59"/>
  <c r="HN319" i="59"/>
  <c r="HO319" i="59"/>
  <c r="HP319" i="59"/>
  <c r="HQ319" i="59"/>
  <c r="HR319" i="59"/>
  <c r="HS319" i="59"/>
  <c r="HT319" i="59"/>
  <c r="HU319" i="59"/>
  <c r="HV319" i="59"/>
  <c r="HW319" i="59"/>
  <c r="HX319" i="59"/>
  <c r="HY319" i="59"/>
  <c r="HZ319" i="59"/>
  <c r="IA319" i="59"/>
  <c r="IB319" i="59"/>
  <c r="IC319" i="59"/>
  <c r="ID319" i="59"/>
  <c r="IE319" i="59"/>
  <c r="IF319" i="59"/>
  <c r="IG319" i="59"/>
  <c r="IH319" i="59"/>
  <c r="II319" i="59"/>
  <c r="IJ319" i="59"/>
  <c r="IK319" i="59"/>
  <c r="IL319" i="59"/>
  <c r="IM319" i="59"/>
  <c r="IN319" i="59"/>
  <c r="IO319" i="59"/>
  <c r="IP319" i="59"/>
  <c r="IR319" i="59"/>
  <c r="IS319" i="59"/>
  <c r="H320" i="59"/>
  <c r="I320" i="59"/>
  <c r="J320" i="59"/>
  <c r="K320" i="59"/>
  <c r="L320" i="59"/>
  <c r="M320" i="59"/>
  <c r="N320" i="59"/>
  <c r="O320" i="59"/>
  <c r="Q320" i="59"/>
  <c r="S320" i="59"/>
  <c r="U320" i="59"/>
  <c r="W320" i="59"/>
  <c r="X320" i="59"/>
  <c r="Y320" i="59"/>
  <c r="Z320" i="59"/>
  <c r="AA320" i="59"/>
  <c r="AB320" i="59"/>
  <c r="AC320" i="59"/>
  <c r="AD320" i="59"/>
  <c r="AE320" i="59"/>
  <c r="AF320" i="59"/>
  <c r="AG320" i="59"/>
  <c r="AH320" i="59"/>
  <c r="AI320" i="59"/>
  <c r="AJ320" i="59"/>
  <c r="AK320" i="59"/>
  <c r="AL320" i="59"/>
  <c r="AM320" i="59"/>
  <c r="AN320" i="59"/>
  <c r="AO320" i="59"/>
  <c r="AP320" i="59"/>
  <c r="AQ320" i="59"/>
  <c r="AR320" i="59"/>
  <c r="AS320" i="59"/>
  <c r="AT320" i="59"/>
  <c r="AU320" i="59"/>
  <c r="AV320" i="59"/>
  <c r="AW320" i="59"/>
  <c r="AX320" i="59"/>
  <c r="AY320" i="59"/>
  <c r="AZ320" i="59"/>
  <c r="BA320" i="59"/>
  <c r="BB320" i="59"/>
  <c r="BC320" i="59"/>
  <c r="BD320" i="59"/>
  <c r="BE320" i="59"/>
  <c r="BF320" i="59"/>
  <c r="BG320" i="59"/>
  <c r="BH320" i="59"/>
  <c r="BI320" i="59"/>
  <c r="BJ320" i="59"/>
  <c r="BK320" i="59"/>
  <c r="BL320" i="59"/>
  <c r="BM320" i="59"/>
  <c r="BN320" i="59"/>
  <c r="BO320" i="59"/>
  <c r="BP320" i="59"/>
  <c r="BQ320" i="59"/>
  <c r="BR320" i="59"/>
  <c r="BS320" i="59"/>
  <c r="BT320" i="59"/>
  <c r="BU320" i="59"/>
  <c r="BV320" i="59"/>
  <c r="BW320" i="59"/>
  <c r="BX320" i="59"/>
  <c r="BY320" i="59"/>
  <c r="BZ320" i="59"/>
  <c r="CA320" i="59"/>
  <c r="CB320" i="59"/>
  <c r="CC320" i="59"/>
  <c r="CD320" i="59"/>
  <c r="CE320" i="59"/>
  <c r="CF320" i="59"/>
  <c r="CG320" i="59"/>
  <c r="CH320" i="59"/>
  <c r="CI320" i="59"/>
  <c r="CJ320" i="59"/>
  <c r="CK320" i="59"/>
  <c r="CL320" i="59"/>
  <c r="CM320" i="59"/>
  <c r="CN320" i="59"/>
  <c r="CO320" i="59"/>
  <c r="CP320" i="59"/>
  <c r="CQ320" i="59"/>
  <c r="CR320" i="59"/>
  <c r="CS320" i="59"/>
  <c r="CT320" i="59"/>
  <c r="CU320" i="59"/>
  <c r="CV320" i="59"/>
  <c r="CW320" i="59"/>
  <c r="CX320" i="59"/>
  <c r="CY320" i="59"/>
  <c r="CZ320" i="59"/>
  <c r="DA320" i="59"/>
  <c r="DB320" i="59"/>
  <c r="DC320" i="59"/>
  <c r="DD320" i="59"/>
  <c r="DE320" i="59"/>
  <c r="DF320" i="59"/>
  <c r="DG320" i="59"/>
  <c r="DI320" i="59"/>
  <c r="DJ320" i="59"/>
  <c r="DP320" i="59"/>
  <c r="DQ320" i="59"/>
  <c r="DR320" i="59"/>
  <c r="DS320" i="59"/>
  <c r="DT320" i="59"/>
  <c r="DU320" i="59"/>
  <c r="DV320" i="59"/>
  <c r="DW320" i="59"/>
  <c r="DY320" i="59"/>
  <c r="EA320" i="59"/>
  <c r="EC320" i="59"/>
  <c r="EE320" i="59"/>
  <c r="EF320" i="59"/>
  <c r="EG320" i="59"/>
  <c r="EH320" i="59"/>
  <c r="EI320" i="59"/>
  <c r="EJ320" i="59"/>
  <c r="EK320" i="59"/>
  <c r="EL320" i="59"/>
  <c r="EM320" i="59"/>
  <c r="EN320" i="59"/>
  <c r="EO320" i="59"/>
  <c r="EP320" i="59"/>
  <c r="EQ320" i="59"/>
  <c r="ER320" i="59"/>
  <c r="ES320" i="59"/>
  <c r="ET320" i="59"/>
  <c r="EU320" i="59"/>
  <c r="EV320" i="59"/>
  <c r="EW320" i="59"/>
  <c r="EX320" i="59"/>
  <c r="EY320" i="59"/>
  <c r="EZ320" i="59"/>
  <c r="FA320" i="59"/>
  <c r="FB320" i="59"/>
  <c r="FC320" i="59"/>
  <c r="FD320" i="59"/>
  <c r="FE320" i="59"/>
  <c r="FF320" i="59"/>
  <c r="FG320" i="59"/>
  <c r="FH320" i="59"/>
  <c r="FI320" i="59"/>
  <c r="FJ320" i="59"/>
  <c r="FK320" i="59"/>
  <c r="FL320" i="59"/>
  <c r="FM320" i="59"/>
  <c r="FN320" i="59"/>
  <c r="FO320" i="59"/>
  <c r="FP320" i="59"/>
  <c r="FQ320" i="59"/>
  <c r="FR320" i="59"/>
  <c r="FS320" i="59"/>
  <c r="FU320" i="59"/>
  <c r="FV320" i="59"/>
  <c r="GB320" i="59"/>
  <c r="GC320" i="59"/>
  <c r="GD320" i="59"/>
  <c r="GE320" i="59"/>
  <c r="GF320" i="59"/>
  <c r="GG320" i="59"/>
  <c r="GH320" i="59"/>
  <c r="GI320" i="59"/>
  <c r="GK320" i="59"/>
  <c r="GM320" i="59"/>
  <c r="GO320" i="59"/>
  <c r="GQ320" i="59"/>
  <c r="GR320" i="59"/>
  <c r="GS320" i="59"/>
  <c r="GT320" i="59"/>
  <c r="GU320" i="59"/>
  <c r="GV320" i="59"/>
  <c r="GW320" i="59"/>
  <c r="GX320" i="59"/>
  <c r="GY320" i="59"/>
  <c r="GZ320" i="59"/>
  <c r="HA320" i="59"/>
  <c r="HB320" i="59"/>
  <c r="HC320" i="59"/>
  <c r="HD320" i="59"/>
  <c r="HE320" i="59"/>
  <c r="HF320" i="59"/>
  <c r="HG320" i="59"/>
  <c r="HH320" i="59"/>
  <c r="HI320" i="59"/>
  <c r="HJ320" i="59"/>
  <c r="HK320" i="59"/>
  <c r="HL320" i="59"/>
  <c r="HM320" i="59"/>
  <c r="HN320" i="59"/>
  <c r="HO320" i="59"/>
  <c r="HP320" i="59"/>
  <c r="HQ320" i="59"/>
  <c r="HR320" i="59"/>
  <c r="HS320" i="59"/>
  <c r="HT320" i="59"/>
  <c r="HU320" i="59"/>
  <c r="HV320" i="59"/>
  <c r="HW320" i="59"/>
  <c r="HX320" i="59"/>
  <c r="HY320" i="59"/>
  <c r="HZ320" i="59"/>
  <c r="IA320" i="59"/>
  <c r="IB320" i="59"/>
  <c r="IC320" i="59"/>
  <c r="ID320" i="59"/>
  <c r="IE320" i="59"/>
  <c r="IF320" i="59"/>
  <c r="IG320" i="59"/>
  <c r="IH320" i="59"/>
  <c r="II320" i="59"/>
  <c r="IJ320" i="59"/>
  <c r="IK320" i="59"/>
  <c r="IL320" i="59"/>
  <c r="IM320" i="59"/>
  <c r="IN320" i="59"/>
  <c r="IO320" i="59"/>
  <c r="IP320" i="59"/>
  <c r="IQ320" i="59"/>
  <c r="IR320" i="59"/>
  <c r="IS320" i="59"/>
  <c r="IT320" i="59"/>
  <c r="IU320" i="59"/>
  <c r="IV320" i="59"/>
  <c r="F321" i="59"/>
  <c r="G321" i="59"/>
  <c r="H321" i="59"/>
  <c r="I321" i="59"/>
  <c r="J321" i="59"/>
  <c r="K321" i="59"/>
  <c r="L321" i="59"/>
  <c r="M321" i="59"/>
  <c r="N321" i="59"/>
  <c r="O321" i="59"/>
  <c r="P321" i="59"/>
  <c r="Q321" i="59"/>
  <c r="R321" i="59"/>
  <c r="S321" i="59"/>
  <c r="T321" i="59"/>
  <c r="U321" i="59"/>
  <c r="V321" i="59"/>
  <c r="W321" i="59"/>
  <c r="X321" i="59"/>
  <c r="Y321" i="59"/>
  <c r="Z321" i="59"/>
  <c r="AA321" i="59"/>
  <c r="AB321" i="59"/>
  <c r="AC321" i="59"/>
  <c r="AD321" i="59"/>
  <c r="AE321" i="59"/>
  <c r="AF321" i="59"/>
  <c r="AG321" i="59"/>
  <c r="AH321" i="59"/>
  <c r="AI321" i="59"/>
  <c r="AJ321" i="59"/>
  <c r="AK321" i="59"/>
  <c r="AL321" i="59"/>
  <c r="AM321" i="59"/>
  <c r="AN321" i="59"/>
  <c r="AO321" i="59"/>
  <c r="AP321" i="59"/>
  <c r="AQ321" i="59"/>
  <c r="AR321" i="59"/>
  <c r="AS321" i="59"/>
  <c r="AT321" i="59"/>
  <c r="AU321" i="59"/>
  <c r="AV321" i="59"/>
  <c r="AW321" i="59"/>
  <c r="AX321" i="59"/>
  <c r="AY321" i="59"/>
  <c r="AZ321" i="59"/>
  <c r="BA321" i="59"/>
  <c r="BB321" i="59"/>
  <c r="BC321" i="59"/>
  <c r="BD321" i="59"/>
  <c r="BE321" i="59"/>
  <c r="BF321" i="59"/>
  <c r="BG321" i="59"/>
  <c r="BH321" i="59"/>
  <c r="BI321" i="59"/>
  <c r="BJ321" i="59"/>
  <c r="BK321" i="59"/>
  <c r="BL321" i="59"/>
  <c r="BM321" i="59"/>
  <c r="BN321" i="59"/>
  <c r="BO321" i="59"/>
  <c r="BP321" i="59"/>
  <c r="BQ321" i="59"/>
  <c r="BR321" i="59"/>
  <c r="BS321" i="59"/>
  <c r="BT321" i="59"/>
  <c r="BU321" i="59"/>
  <c r="BV321" i="59"/>
  <c r="BW321" i="59"/>
  <c r="BX321" i="59"/>
  <c r="BY321" i="59"/>
  <c r="BZ321" i="59"/>
  <c r="CA321" i="59"/>
  <c r="CB321" i="59"/>
  <c r="CC321" i="59"/>
  <c r="CD321" i="59"/>
  <c r="CE321" i="59"/>
  <c r="CF321" i="59"/>
  <c r="CG321" i="59"/>
  <c r="CH321" i="59"/>
  <c r="CI321" i="59"/>
  <c r="CJ321" i="59"/>
  <c r="CK321" i="59"/>
  <c r="CL321" i="59"/>
  <c r="CM321" i="59"/>
  <c r="CN321" i="59"/>
  <c r="CO321" i="59"/>
  <c r="CP321" i="59"/>
  <c r="CQ321" i="59"/>
  <c r="CR321" i="59"/>
  <c r="CS321" i="59"/>
  <c r="CT321" i="59"/>
  <c r="CU321" i="59"/>
  <c r="CV321" i="59"/>
  <c r="CW321" i="59"/>
  <c r="CX321" i="59"/>
  <c r="CY321" i="59"/>
  <c r="CZ321" i="59"/>
  <c r="DA321" i="59"/>
  <c r="DB321" i="59"/>
  <c r="DC321" i="59"/>
  <c r="DD321" i="59"/>
  <c r="DE321" i="59"/>
  <c r="DF321" i="59"/>
  <c r="DG321" i="59"/>
  <c r="DH321" i="59"/>
  <c r="DI321" i="59"/>
  <c r="DJ321" i="59"/>
  <c r="DK321" i="59"/>
  <c r="DL321" i="59"/>
  <c r="DM321" i="59"/>
  <c r="DN321" i="59"/>
  <c r="DO321" i="59"/>
  <c r="DP321" i="59"/>
  <c r="DQ321" i="59"/>
  <c r="DR321" i="59"/>
  <c r="DS321" i="59"/>
  <c r="DT321" i="59"/>
  <c r="DU321" i="59"/>
  <c r="DV321" i="59"/>
  <c r="DW321" i="59"/>
  <c r="DX321" i="59"/>
  <c r="DY321" i="59"/>
  <c r="DZ321" i="59"/>
  <c r="EA321" i="59"/>
  <c r="EB321" i="59"/>
  <c r="EC321" i="59"/>
  <c r="ED321" i="59"/>
  <c r="EE321" i="59"/>
  <c r="EF321" i="59"/>
  <c r="EG321" i="59"/>
  <c r="EH321" i="59"/>
  <c r="EI321" i="59"/>
  <c r="EJ321" i="59"/>
  <c r="EK321" i="59"/>
  <c r="EL321" i="59"/>
  <c r="EM321" i="59"/>
  <c r="EN321" i="59"/>
  <c r="EO321" i="59"/>
  <c r="EP321" i="59"/>
  <c r="EQ321" i="59"/>
  <c r="ER321" i="59"/>
  <c r="ES321" i="59"/>
  <c r="ET321" i="59"/>
  <c r="EU321" i="59"/>
  <c r="EV321" i="59"/>
  <c r="EW321" i="59"/>
  <c r="EX321" i="59"/>
  <c r="EY321" i="59"/>
  <c r="EZ321" i="59"/>
  <c r="FA321" i="59"/>
  <c r="FB321" i="59"/>
  <c r="FC321" i="59"/>
  <c r="FD321" i="59"/>
  <c r="FE321" i="59"/>
  <c r="FF321" i="59"/>
  <c r="FG321" i="59"/>
  <c r="FH321" i="59"/>
  <c r="FI321" i="59"/>
  <c r="FJ321" i="59"/>
  <c r="FK321" i="59"/>
  <c r="FL321" i="59"/>
  <c r="FM321" i="59"/>
  <c r="FN321" i="59"/>
  <c r="FO321" i="59"/>
  <c r="FP321" i="59"/>
  <c r="FQ321" i="59"/>
  <c r="FR321" i="59"/>
  <c r="FS321" i="59"/>
  <c r="FT321" i="59"/>
  <c r="FU321" i="59"/>
  <c r="FV321" i="59"/>
  <c r="FW321" i="59"/>
  <c r="FX321" i="59"/>
  <c r="FY321" i="59"/>
  <c r="FZ321" i="59"/>
  <c r="GA321" i="59"/>
  <c r="GB321" i="59"/>
  <c r="GC321" i="59"/>
  <c r="GD321" i="59"/>
  <c r="GE321" i="59"/>
  <c r="GF321" i="59"/>
  <c r="GG321" i="59"/>
  <c r="GH321" i="59"/>
  <c r="GI321" i="59"/>
  <c r="GJ321" i="59"/>
  <c r="GK321" i="59"/>
  <c r="GL321" i="59"/>
  <c r="GM321" i="59"/>
  <c r="GN321" i="59"/>
  <c r="GO321" i="59"/>
  <c r="GP321" i="59"/>
  <c r="GQ321" i="59"/>
  <c r="GR321" i="59"/>
  <c r="GS321" i="59"/>
  <c r="GT321" i="59"/>
  <c r="GU321" i="59"/>
  <c r="GV321" i="59"/>
  <c r="GW321" i="59"/>
  <c r="GX321" i="59"/>
  <c r="GY321" i="59"/>
  <c r="GZ321" i="59"/>
  <c r="HA321" i="59"/>
  <c r="HB321" i="59"/>
  <c r="HC321" i="59"/>
  <c r="HD321" i="59"/>
  <c r="HE321" i="59"/>
  <c r="HF321" i="59"/>
  <c r="HG321" i="59"/>
  <c r="HH321" i="59"/>
  <c r="HI321" i="59"/>
  <c r="HJ321" i="59"/>
  <c r="HK321" i="59"/>
  <c r="HL321" i="59"/>
  <c r="HM321" i="59"/>
  <c r="HN321" i="59"/>
  <c r="HO321" i="59"/>
  <c r="HP321" i="59"/>
  <c r="HQ321" i="59"/>
  <c r="HR321" i="59"/>
  <c r="HS321" i="59"/>
  <c r="HT321" i="59"/>
  <c r="HU321" i="59"/>
  <c r="HV321" i="59"/>
  <c r="HW321" i="59"/>
  <c r="HX321" i="59"/>
  <c r="HY321" i="59"/>
  <c r="HZ321" i="59"/>
  <c r="IA321" i="59"/>
  <c r="IB321" i="59"/>
  <c r="IC321" i="59"/>
  <c r="ID321" i="59"/>
  <c r="IE321" i="59"/>
  <c r="IF321" i="59"/>
  <c r="IG321" i="59"/>
  <c r="IH321" i="59"/>
  <c r="II321" i="59"/>
  <c r="IJ321" i="59"/>
  <c r="IK321" i="59"/>
  <c r="IL321" i="59"/>
  <c r="IM321" i="59"/>
  <c r="IN321" i="59"/>
  <c r="IO321" i="59"/>
  <c r="IP321" i="59"/>
  <c r="IQ321" i="59"/>
  <c r="IR321" i="59"/>
  <c r="IS321" i="59"/>
  <c r="IT321" i="59"/>
  <c r="IU321" i="59"/>
  <c r="IV321" i="59"/>
  <c r="F322" i="59"/>
  <c r="G322" i="59"/>
  <c r="H322" i="59"/>
  <c r="I322" i="59"/>
  <c r="J322" i="59"/>
  <c r="K322" i="59"/>
  <c r="L322" i="59"/>
  <c r="M322" i="59"/>
  <c r="N322" i="59"/>
  <c r="O322" i="59"/>
  <c r="P322" i="59"/>
  <c r="Q322" i="59"/>
  <c r="R322" i="59"/>
  <c r="S322" i="59"/>
  <c r="T322" i="59"/>
  <c r="U322" i="59"/>
  <c r="V322" i="59"/>
  <c r="W322" i="59"/>
  <c r="X322" i="59"/>
  <c r="Y322" i="59"/>
  <c r="Z322" i="59"/>
  <c r="AA322" i="59"/>
  <c r="AB322" i="59"/>
  <c r="AC322" i="59"/>
  <c r="AD322" i="59"/>
  <c r="AE322" i="59"/>
  <c r="AF322" i="59"/>
  <c r="AG322" i="59"/>
  <c r="AH322" i="59"/>
  <c r="AJ322" i="59"/>
  <c r="AK322" i="59"/>
  <c r="AL322" i="59"/>
  <c r="AM322" i="59"/>
  <c r="AN322" i="59"/>
  <c r="AO322" i="59"/>
  <c r="AP322" i="59"/>
  <c r="AQ322" i="59"/>
  <c r="AR322" i="59"/>
  <c r="AS322" i="59"/>
  <c r="AT322" i="59"/>
  <c r="AU322" i="59"/>
  <c r="AV322" i="59"/>
  <c r="AW322" i="59"/>
  <c r="AX322" i="59"/>
  <c r="AY322" i="59"/>
  <c r="AZ322" i="59"/>
  <c r="BA322" i="59"/>
  <c r="BB322" i="59"/>
  <c r="BD322" i="59"/>
  <c r="BE322" i="59"/>
  <c r="BF322" i="59"/>
  <c r="BG322" i="59"/>
  <c r="BH322" i="59"/>
  <c r="BI322" i="59"/>
  <c r="BJ322" i="59"/>
  <c r="BK322" i="59"/>
  <c r="BL322" i="59"/>
  <c r="BM322" i="59"/>
  <c r="BN322" i="59"/>
  <c r="BO322" i="59"/>
  <c r="BP322" i="59"/>
  <c r="BQ322" i="59"/>
  <c r="BR322" i="59"/>
  <c r="BS322" i="59"/>
  <c r="BT322" i="59"/>
  <c r="BU322" i="59"/>
  <c r="BV322" i="59"/>
  <c r="BW322" i="59"/>
  <c r="BX322" i="59"/>
  <c r="BY322" i="59"/>
  <c r="BZ322" i="59"/>
  <c r="CA322" i="59"/>
  <c r="CB322" i="59"/>
  <c r="CC322" i="59"/>
  <c r="CD322" i="59"/>
  <c r="CE322" i="59"/>
  <c r="CF322" i="59"/>
  <c r="CG322" i="59"/>
  <c r="CH322" i="59"/>
  <c r="CI322" i="59"/>
  <c r="CJ322" i="59"/>
  <c r="CK322" i="59"/>
  <c r="CL322" i="59"/>
  <c r="CM322" i="59"/>
  <c r="CN322" i="59"/>
  <c r="CO322" i="59"/>
  <c r="CP322" i="59"/>
  <c r="CQ322" i="59"/>
  <c r="CR322" i="59"/>
  <c r="CS322" i="59"/>
  <c r="CT322" i="59"/>
  <c r="CU322" i="59"/>
  <c r="CV322" i="59"/>
  <c r="CW322" i="59"/>
  <c r="CX322" i="59"/>
  <c r="CY322" i="59"/>
  <c r="CZ322" i="59"/>
  <c r="DA322" i="59"/>
  <c r="DB322" i="59"/>
  <c r="DC322" i="59"/>
  <c r="DD322" i="59"/>
  <c r="DE322" i="59"/>
  <c r="DF322" i="59"/>
  <c r="DG322" i="59"/>
  <c r="DH322" i="59"/>
  <c r="DI322" i="59"/>
  <c r="DJ322" i="59"/>
  <c r="DK322" i="59"/>
  <c r="DL322" i="59"/>
  <c r="DM322" i="59"/>
  <c r="DN322" i="59"/>
  <c r="DO322" i="59"/>
  <c r="DP322" i="59"/>
  <c r="DQ322" i="59"/>
  <c r="DR322" i="59"/>
  <c r="DS322" i="59"/>
  <c r="DU322" i="59"/>
  <c r="DW322" i="59"/>
  <c r="DY322" i="59"/>
  <c r="EA322" i="59"/>
  <c r="EB322" i="59"/>
  <c r="ED322" i="59"/>
  <c r="EF322" i="59"/>
  <c r="EH322" i="59"/>
  <c r="EJ322" i="59"/>
  <c r="EK322" i="59"/>
  <c r="EM322" i="59"/>
  <c r="EO322" i="59"/>
  <c r="EQ322" i="59"/>
  <c r="ES322" i="59"/>
  <c r="ET322" i="59"/>
  <c r="EV322" i="59"/>
  <c r="EX322" i="59"/>
  <c r="EZ322" i="59"/>
  <c r="FB322" i="59"/>
  <c r="FC322" i="59"/>
  <c r="FE322" i="59"/>
  <c r="FG322" i="59"/>
  <c r="FI322" i="59"/>
  <c r="FK322" i="59"/>
  <c r="FL322" i="59"/>
  <c r="FN322" i="59"/>
  <c r="FP322" i="59"/>
  <c r="FR322" i="59"/>
  <c r="FT322" i="59"/>
  <c r="FU322" i="59"/>
  <c r="FW322" i="59"/>
  <c r="FY322" i="59"/>
  <c r="GA322" i="59"/>
  <c r="GC322" i="59"/>
  <c r="GD322" i="59"/>
  <c r="GF322" i="59"/>
  <c r="GH322" i="59"/>
  <c r="GJ322" i="59"/>
  <c r="GL322" i="59"/>
  <c r="GM322" i="59"/>
  <c r="GO322" i="59"/>
  <c r="GQ322" i="59"/>
  <c r="GS322" i="59"/>
  <c r="GU322" i="59"/>
  <c r="GV322" i="59"/>
  <c r="GX322" i="59"/>
  <c r="GZ322" i="59"/>
  <c r="HB322" i="59"/>
  <c r="HD322" i="59"/>
  <c r="HE322" i="59"/>
  <c r="HG322" i="59"/>
  <c r="HI322" i="59"/>
  <c r="HK322" i="59"/>
  <c r="HM322" i="59"/>
  <c r="HN322" i="59"/>
  <c r="HP322" i="59"/>
  <c r="HR322" i="59"/>
  <c r="HT322" i="59"/>
  <c r="HV322" i="59"/>
  <c r="HW322" i="59"/>
  <c r="HY322" i="59"/>
  <c r="IA322" i="59"/>
  <c r="IC322" i="59"/>
  <c r="IE322" i="59"/>
  <c r="IF322" i="59"/>
  <c r="IH322" i="59"/>
  <c r="IJ322" i="59"/>
  <c r="IL322" i="59"/>
  <c r="IN322" i="59"/>
  <c r="IO322" i="59"/>
  <c r="IQ322" i="59"/>
  <c r="IS322" i="59"/>
  <c r="IU322" i="59"/>
  <c r="F323" i="59"/>
  <c r="G323" i="59"/>
  <c r="I323" i="59"/>
  <c r="K323" i="59"/>
  <c r="M323" i="59"/>
  <c r="O323" i="59"/>
  <c r="P323" i="59"/>
  <c r="R323" i="59"/>
  <c r="T323" i="59"/>
  <c r="V323" i="59"/>
  <c r="X323" i="59"/>
  <c r="Y323" i="59"/>
  <c r="AA323" i="59"/>
  <c r="AC323" i="59"/>
  <c r="AE323" i="59"/>
  <c r="AG323" i="59"/>
  <c r="AH323" i="59"/>
  <c r="AJ323" i="59"/>
  <c r="AL323" i="59"/>
  <c r="AN323" i="59"/>
  <c r="AP323" i="59"/>
  <c r="AQ323" i="59"/>
  <c r="AS323" i="59"/>
  <c r="AU323" i="59"/>
  <c r="AW323" i="59"/>
  <c r="AY323" i="59"/>
  <c r="AZ323" i="59"/>
  <c r="BB323" i="59"/>
  <c r="BD323" i="59"/>
  <c r="BF323" i="59"/>
  <c r="BH323" i="59"/>
  <c r="BI323" i="59"/>
  <c r="BK323" i="59"/>
  <c r="BM323" i="59"/>
  <c r="BO323" i="59"/>
  <c r="BQ323" i="59"/>
  <c r="BR323" i="59"/>
  <c r="BT323" i="59"/>
  <c r="BV323" i="59"/>
  <c r="BX323" i="59"/>
  <c r="BZ323" i="59"/>
  <c r="CA323" i="59"/>
  <c r="CC323" i="59"/>
  <c r="CE323" i="59"/>
  <c r="CG323" i="59"/>
  <c r="CI323" i="59"/>
  <c r="CJ323" i="59"/>
  <c r="CL323" i="59"/>
  <c r="CN323" i="59"/>
  <c r="CP323" i="59"/>
  <c r="CR323" i="59"/>
  <c r="CS323" i="59"/>
  <c r="CU323" i="59"/>
  <c r="CW323" i="59"/>
  <c r="CY323" i="59"/>
  <c r="DA323" i="59"/>
  <c r="DB323" i="59"/>
  <c r="DD323" i="59"/>
  <c r="DF323" i="59"/>
  <c r="DH323" i="59"/>
  <c r="DJ323" i="59"/>
  <c r="DK323" i="59"/>
  <c r="DM323" i="59"/>
  <c r="DO323" i="59"/>
  <c r="DQ323" i="59"/>
  <c r="DS323" i="59"/>
  <c r="DT323" i="59"/>
  <c r="DV323" i="59"/>
  <c r="DX323" i="59"/>
  <c r="DZ323" i="59"/>
  <c r="EB323" i="59"/>
  <c r="EC323" i="59"/>
  <c r="EE323" i="59"/>
  <c r="EG323" i="59"/>
  <c r="EI323" i="59"/>
  <c r="EK323" i="59"/>
  <c r="EL323" i="59"/>
  <c r="EM323" i="59"/>
  <c r="EN323" i="59"/>
  <c r="EO323" i="59"/>
  <c r="EP323" i="59"/>
  <c r="EQ323" i="59"/>
  <c r="ER323" i="59"/>
  <c r="ES323" i="59"/>
  <c r="ET323" i="59"/>
  <c r="EU323" i="59"/>
  <c r="EV323" i="59"/>
  <c r="EW323" i="59"/>
  <c r="EX323" i="59"/>
  <c r="EY323" i="59"/>
  <c r="EZ323" i="59"/>
  <c r="FA323" i="59"/>
  <c r="FB323" i="59"/>
  <c r="FC323" i="59"/>
  <c r="FD323" i="59"/>
  <c r="FE323" i="59"/>
  <c r="FF323" i="59"/>
  <c r="FG323" i="59"/>
  <c r="FH323" i="59"/>
  <c r="FI323" i="59"/>
  <c r="FJ323" i="59"/>
  <c r="FK323" i="59"/>
  <c r="FL323" i="59"/>
  <c r="FM323" i="59"/>
  <c r="FN323" i="59"/>
  <c r="FO323" i="59"/>
  <c r="FP323" i="59"/>
  <c r="FQ323" i="59"/>
  <c r="FR323" i="59"/>
  <c r="FS323" i="59"/>
  <c r="FT323" i="59"/>
  <c r="FU323" i="59"/>
  <c r="FV323" i="59"/>
  <c r="FW323" i="59"/>
  <c r="FX323" i="59"/>
  <c r="FY323" i="59"/>
  <c r="FZ323" i="59"/>
  <c r="GA323" i="59"/>
  <c r="GB323" i="59"/>
  <c r="GC323" i="59"/>
  <c r="GD323" i="59"/>
  <c r="GE323" i="59"/>
  <c r="GF323" i="59"/>
  <c r="GG323" i="59"/>
  <c r="GH323" i="59"/>
  <c r="GI323" i="59"/>
  <c r="GJ323" i="59"/>
  <c r="GK323" i="59"/>
  <c r="GL323" i="59"/>
  <c r="GM323" i="59"/>
  <c r="GN323" i="59"/>
  <c r="GO323" i="59"/>
  <c r="GP323" i="59"/>
  <c r="GQ323" i="59"/>
  <c r="GR323" i="59"/>
  <c r="GS323" i="59"/>
  <c r="GT323" i="59"/>
  <c r="GU323" i="59"/>
  <c r="GV323" i="59"/>
  <c r="GW323" i="59"/>
  <c r="GX323" i="59"/>
  <c r="GY323" i="59"/>
  <c r="GZ323" i="59"/>
  <c r="HA323" i="59"/>
  <c r="HB323" i="59"/>
  <c r="HC323" i="59"/>
  <c r="HD323" i="59"/>
  <c r="HE323" i="59"/>
  <c r="HF323" i="59"/>
  <c r="HG323" i="59"/>
  <c r="HH323" i="59"/>
  <c r="HI323" i="59"/>
  <c r="HJ323" i="59"/>
  <c r="HK323" i="59"/>
  <c r="HL323" i="59"/>
  <c r="HM323" i="59"/>
  <c r="HN323" i="59"/>
  <c r="HO323" i="59"/>
  <c r="HP323" i="59"/>
  <c r="HQ323" i="59"/>
  <c r="HR323" i="59"/>
  <c r="HS323" i="59"/>
  <c r="HT323" i="59"/>
  <c r="HU323" i="59"/>
  <c r="HV323" i="59"/>
  <c r="HW323" i="59"/>
  <c r="HX323" i="59"/>
  <c r="HY323" i="59"/>
  <c r="HZ323" i="59"/>
  <c r="IA323" i="59"/>
  <c r="IB323" i="59"/>
  <c r="IC323" i="59"/>
  <c r="ID323" i="59"/>
  <c r="IE323" i="59"/>
  <c r="IF323" i="59"/>
  <c r="IG323" i="59"/>
  <c r="IH323" i="59"/>
  <c r="II323" i="59"/>
  <c r="IJ323" i="59"/>
  <c r="IK323" i="59"/>
  <c r="IL323" i="59"/>
  <c r="IM323" i="59"/>
  <c r="IN323" i="59"/>
  <c r="IO323" i="59"/>
  <c r="IP323" i="59"/>
  <c r="IQ323" i="59"/>
  <c r="IR323" i="59"/>
  <c r="IS323" i="59"/>
  <c r="IT323" i="59"/>
  <c r="IU323" i="59"/>
  <c r="IV323" i="59"/>
  <c r="F324" i="59"/>
  <c r="G324" i="59"/>
  <c r="H324" i="59"/>
  <c r="I324" i="59"/>
  <c r="J324" i="59"/>
  <c r="K324" i="59"/>
  <c r="L324" i="59"/>
  <c r="M324" i="59"/>
  <c r="N324" i="59"/>
  <c r="O324" i="59"/>
  <c r="P324" i="59"/>
  <c r="Q324" i="59"/>
  <c r="R324" i="59"/>
  <c r="S324" i="59"/>
  <c r="T324" i="59"/>
  <c r="U324" i="59"/>
  <c r="V324" i="59"/>
  <c r="W324" i="59"/>
  <c r="X324" i="59"/>
  <c r="Y324" i="59"/>
  <c r="Z324" i="59"/>
  <c r="AA324" i="59"/>
  <c r="AB324" i="59"/>
  <c r="AC324" i="59"/>
  <c r="AD324" i="59"/>
  <c r="AE324" i="59"/>
  <c r="AF324" i="59"/>
  <c r="AG324" i="59"/>
  <c r="AH324" i="59"/>
  <c r="AI324" i="59"/>
  <c r="AJ324" i="59"/>
  <c r="AK324" i="59"/>
  <c r="AL324" i="59"/>
  <c r="AM324" i="59"/>
  <c r="AN324" i="59"/>
  <c r="AO324" i="59"/>
  <c r="AP324" i="59"/>
  <c r="AQ324" i="59"/>
  <c r="AR324" i="59"/>
  <c r="AS324" i="59"/>
  <c r="AT324" i="59"/>
  <c r="AU324" i="59"/>
  <c r="AV324" i="59"/>
  <c r="AW324" i="59"/>
  <c r="AX324" i="59"/>
  <c r="AY324" i="59"/>
  <c r="AZ324" i="59"/>
  <c r="BA324" i="59"/>
  <c r="BB324" i="59"/>
  <c r="BC324" i="59"/>
  <c r="BD324" i="59"/>
  <c r="BE324" i="59"/>
  <c r="BF324" i="59"/>
  <c r="BG324" i="59"/>
  <c r="BH324" i="59"/>
  <c r="BI324" i="59"/>
  <c r="BJ324" i="59"/>
  <c r="BK324" i="59"/>
  <c r="BL324" i="59"/>
  <c r="BM324" i="59"/>
  <c r="BN324" i="59"/>
  <c r="BO324" i="59"/>
  <c r="BP324" i="59"/>
  <c r="BQ324" i="59"/>
  <c r="BR324" i="59"/>
  <c r="BS324" i="59"/>
  <c r="BT324" i="59"/>
  <c r="BU324" i="59"/>
  <c r="BV324" i="59"/>
  <c r="BW324" i="59"/>
  <c r="BX324" i="59"/>
  <c r="BY324" i="59"/>
  <c r="BZ324" i="59"/>
  <c r="CA324" i="59"/>
  <c r="CB324" i="59"/>
  <c r="CC324" i="59"/>
  <c r="CD324" i="59"/>
  <c r="CE324" i="59"/>
  <c r="CF324" i="59"/>
  <c r="CG324" i="59"/>
  <c r="CH324" i="59"/>
  <c r="CI324" i="59"/>
  <c r="CJ324" i="59"/>
  <c r="CK324" i="59"/>
  <c r="CL324" i="59"/>
  <c r="CM324" i="59"/>
  <c r="CN324" i="59"/>
  <c r="CO324" i="59"/>
  <c r="CP324" i="59"/>
  <c r="CQ324" i="59"/>
  <c r="CR324" i="59"/>
  <c r="CS324" i="59"/>
  <c r="CT324" i="59"/>
  <c r="CU324" i="59"/>
  <c r="CV324" i="59"/>
  <c r="CW324" i="59"/>
  <c r="CX324" i="59"/>
  <c r="CY324" i="59"/>
  <c r="CZ324" i="59"/>
  <c r="DA324" i="59"/>
  <c r="DB324" i="59"/>
  <c r="DC324" i="59"/>
  <c r="DD324" i="59"/>
  <c r="DE324" i="59"/>
  <c r="DF324" i="59"/>
  <c r="DG324" i="59"/>
  <c r="DH324" i="59"/>
  <c r="DI324" i="59"/>
  <c r="DJ324" i="59"/>
  <c r="DK324" i="59"/>
  <c r="DL324" i="59"/>
  <c r="DM324" i="59"/>
  <c r="DN324" i="59"/>
  <c r="DO324" i="59"/>
  <c r="DP324" i="59"/>
  <c r="DQ324" i="59"/>
  <c r="DR324" i="59"/>
  <c r="DS324" i="59"/>
  <c r="DT324" i="59"/>
  <c r="DU324" i="59"/>
  <c r="DV324" i="59"/>
  <c r="DW324" i="59"/>
  <c r="DX324" i="59"/>
  <c r="DY324" i="59"/>
  <c r="DZ324" i="59"/>
  <c r="EA324" i="59"/>
  <c r="EB324" i="59"/>
  <c r="EC324" i="59"/>
  <c r="ED324" i="59"/>
  <c r="EE324" i="59"/>
  <c r="EF324" i="59"/>
  <c r="EG324" i="59"/>
  <c r="EH324" i="59"/>
  <c r="EI324" i="59"/>
  <c r="EJ324" i="59"/>
  <c r="EK324" i="59"/>
  <c r="EL324" i="59"/>
  <c r="EM324" i="59"/>
  <c r="EN324" i="59"/>
  <c r="EO324" i="59"/>
  <c r="EP324" i="59"/>
  <c r="EQ324" i="59"/>
  <c r="ER324" i="59"/>
  <c r="ES324" i="59"/>
  <c r="ET324" i="59"/>
  <c r="EU324" i="59"/>
  <c r="EV324" i="59"/>
  <c r="EW324" i="59"/>
  <c r="EX324" i="59"/>
  <c r="EY324" i="59"/>
  <c r="EZ324" i="59"/>
  <c r="FA324" i="59"/>
  <c r="FB324" i="59"/>
  <c r="FC324" i="59"/>
  <c r="FD324" i="59"/>
  <c r="FE324" i="59"/>
  <c r="FF324" i="59"/>
  <c r="FG324" i="59"/>
  <c r="FH324" i="59"/>
  <c r="FI324" i="59"/>
  <c r="FJ324" i="59"/>
  <c r="FK324" i="59"/>
  <c r="FL324" i="59"/>
  <c r="FM324" i="59"/>
  <c r="FN324" i="59"/>
  <c r="FO324" i="59"/>
  <c r="FP324" i="59"/>
  <c r="FQ324" i="59"/>
  <c r="FR324" i="59"/>
  <c r="FS324" i="59"/>
  <c r="FT324" i="59"/>
  <c r="FU324" i="59"/>
  <c r="FV324" i="59"/>
  <c r="FW324" i="59"/>
  <c r="FX324" i="59"/>
  <c r="FY324" i="59"/>
  <c r="FZ324" i="59"/>
  <c r="GA324" i="59"/>
  <c r="GB324" i="59"/>
  <c r="GC324" i="59"/>
  <c r="GD324" i="59"/>
  <c r="GE324" i="59"/>
  <c r="GF324" i="59"/>
  <c r="GG324" i="59"/>
  <c r="GH324" i="59"/>
  <c r="GI324" i="59"/>
  <c r="GJ324" i="59"/>
  <c r="GK324" i="59"/>
  <c r="GL324" i="59"/>
  <c r="GM324" i="59"/>
  <c r="GN324" i="59"/>
  <c r="GO324" i="59"/>
  <c r="GP324" i="59"/>
  <c r="GQ324" i="59"/>
  <c r="GR324" i="59"/>
  <c r="GS324" i="59"/>
  <c r="GT324" i="59"/>
  <c r="GU324" i="59"/>
  <c r="GV324" i="59"/>
  <c r="GW324" i="59"/>
  <c r="GX324" i="59"/>
  <c r="GY324" i="59"/>
  <c r="GZ324" i="59"/>
  <c r="HA324" i="59"/>
  <c r="HB324" i="59"/>
  <c r="HC324" i="59"/>
  <c r="HD324" i="59"/>
  <c r="HE324" i="59"/>
  <c r="HF324" i="59"/>
  <c r="HG324" i="59"/>
  <c r="HH324" i="59"/>
  <c r="HI324" i="59"/>
  <c r="HJ324" i="59"/>
  <c r="HK324" i="59"/>
  <c r="HL324" i="59"/>
  <c r="HM324" i="59"/>
  <c r="HN324" i="59"/>
  <c r="HO324" i="59"/>
  <c r="HP324" i="59"/>
  <c r="HQ324" i="59"/>
  <c r="HR324" i="59"/>
  <c r="HS324" i="59"/>
  <c r="HT324" i="59"/>
  <c r="HU324" i="59"/>
  <c r="HV324" i="59"/>
  <c r="HW324" i="59"/>
  <c r="HX324" i="59"/>
  <c r="HY324" i="59"/>
  <c r="HZ324" i="59"/>
  <c r="IA324" i="59"/>
  <c r="IB324" i="59"/>
  <c r="IC324" i="59"/>
  <c r="ID324" i="59"/>
  <c r="IE324" i="59"/>
  <c r="IF324" i="59"/>
  <c r="IG324" i="59"/>
  <c r="IH324" i="59"/>
  <c r="II324" i="59"/>
  <c r="IJ324" i="59"/>
  <c r="IK324" i="59"/>
  <c r="IL324" i="59"/>
  <c r="IM324" i="59"/>
  <c r="IN324" i="59"/>
  <c r="IO324" i="59"/>
  <c r="IP324" i="59"/>
  <c r="IQ324" i="59"/>
  <c r="IR324" i="59"/>
  <c r="IS324" i="59"/>
  <c r="IT324" i="59"/>
  <c r="IU324" i="59"/>
  <c r="IV324" i="59"/>
  <c r="F325" i="59"/>
  <c r="G325" i="59"/>
  <c r="H325" i="59"/>
  <c r="I325" i="59"/>
  <c r="J325" i="59"/>
  <c r="K325" i="59"/>
  <c r="L325" i="59"/>
  <c r="M325" i="59"/>
  <c r="N325" i="59"/>
  <c r="O325" i="59"/>
  <c r="P325" i="59"/>
  <c r="Q325" i="59"/>
  <c r="R325" i="59"/>
  <c r="S325" i="59"/>
  <c r="T325" i="59"/>
  <c r="U325" i="59"/>
  <c r="V325" i="59"/>
  <c r="W325" i="59"/>
  <c r="X325" i="59"/>
  <c r="Y325" i="59"/>
  <c r="Z325" i="59"/>
  <c r="AA325" i="59"/>
  <c r="AB325" i="59"/>
  <c r="AC325" i="59"/>
  <c r="AD325" i="59"/>
  <c r="AE325" i="59"/>
  <c r="AF325" i="59"/>
  <c r="AG325" i="59"/>
  <c r="AH325" i="59"/>
  <c r="AI325" i="59"/>
  <c r="AJ325" i="59"/>
  <c r="AK325" i="59"/>
  <c r="AL325" i="59"/>
  <c r="AM325" i="59"/>
  <c r="AN325" i="59"/>
  <c r="AO325" i="59"/>
  <c r="AP325" i="59"/>
  <c r="AQ325" i="59"/>
  <c r="AR325" i="59"/>
  <c r="AS325" i="59"/>
  <c r="AT325" i="59"/>
  <c r="AU325" i="59"/>
  <c r="AV325" i="59"/>
  <c r="AW325" i="59"/>
  <c r="AX325" i="59"/>
  <c r="AY325" i="59"/>
  <c r="AZ325" i="59"/>
  <c r="BA325" i="59"/>
  <c r="BB325" i="59"/>
  <c r="BC325" i="59"/>
  <c r="BD325" i="59"/>
  <c r="BE325" i="59"/>
  <c r="BF325" i="59"/>
  <c r="BG325" i="59"/>
  <c r="BH325" i="59"/>
  <c r="BI325" i="59"/>
  <c r="BJ325" i="59"/>
  <c r="BK325" i="59"/>
  <c r="BL325" i="59"/>
  <c r="BM325" i="59"/>
  <c r="BN325" i="59"/>
  <c r="BO325" i="59"/>
  <c r="BP325" i="59"/>
  <c r="BQ325" i="59"/>
  <c r="BR325" i="59"/>
  <c r="BS325" i="59"/>
  <c r="BT325" i="59"/>
  <c r="BU325" i="59"/>
  <c r="BV325" i="59"/>
  <c r="BW325" i="59"/>
  <c r="BX325" i="59"/>
  <c r="BY325" i="59"/>
  <c r="BZ325" i="59"/>
  <c r="CA325" i="59"/>
  <c r="CB325" i="59"/>
  <c r="CC325" i="59"/>
  <c r="CD325" i="59"/>
  <c r="CE325" i="59"/>
  <c r="CF325" i="59"/>
  <c r="CG325" i="59"/>
  <c r="CH325" i="59"/>
  <c r="CI325" i="59"/>
  <c r="CJ325" i="59"/>
  <c r="CK325" i="59"/>
  <c r="CL325" i="59"/>
  <c r="CM325" i="59"/>
  <c r="CN325" i="59"/>
  <c r="CO325" i="59"/>
  <c r="CP325" i="59"/>
  <c r="CQ325" i="59"/>
  <c r="CR325" i="59"/>
  <c r="CS325" i="59"/>
  <c r="CT325" i="59"/>
  <c r="CU325" i="59"/>
  <c r="CV325" i="59"/>
  <c r="CW325" i="59"/>
  <c r="CX325" i="59"/>
  <c r="CY325" i="59"/>
  <c r="CZ325" i="59"/>
  <c r="DA325" i="59"/>
  <c r="DB325" i="59"/>
  <c r="DC325" i="59"/>
  <c r="DD325" i="59"/>
  <c r="DE325" i="59"/>
  <c r="DF325" i="59"/>
  <c r="DG325" i="59"/>
  <c r="DH325" i="59"/>
  <c r="DI325" i="59"/>
  <c r="DJ325" i="59"/>
  <c r="DK325" i="59"/>
  <c r="DL325" i="59"/>
  <c r="DM325" i="59"/>
  <c r="DN325" i="59"/>
  <c r="DO325" i="59"/>
  <c r="DP325" i="59"/>
  <c r="DQ325" i="59"/>
  <c r="DR325" i="59"/>
  <c r="DT325" i="59"/>
  <c r="DU325" i="59"/>
  <c r="DV325" i="59"/>
  <c r="DW325" i="59"/>
  <c r="DX325" i="59"/>
  <c r="DY325" i="59"/>
  <c r="DZ325" i="59"/>
  <c r="EA325" i="59"/>
  <c r="EB325" i="59"/>
  <c r="EC325" i="59"/>
  <c r="ED325" i="59"/>
  <c r="EE325" i="59"/>
  <c r="EF325" i="59"/>
  <c r="EG325" i="59"/>
  <c r="EH325" i="59"/>
  <c r="EI325" i="59"/>
  <c r="EJ325" i="59"/>
  <c r="EK325" i="59"/>
  <c r="EL325" i="59"/>
  <c r="EN325" i="59"/>
  <c r="EO325" i="59"/>
  <c r="EP325" i="59"/>
  <c r="EQ325" i="59"/>
  <c r="ER325" i="59"/>
  <c r="ES325" i="59"/>
  <c r="ET325" i="59"/>
  <c r="EU325" i="59"/>
  <c r="EV325" i="59"/>
  <c r="EW325" i="59"/>
  <c r="EX325" i="59"/>
  <c r="EY325" i="59"/>
  <c r="EZ325" i="59"/>
  <c r="FA325" i="59"/>
  <c r="FB325" i="59"/>
  <c r="FC325" i="59"/>
  <c r="FD325" i="59"/>
  <c r="FE325" i="59"/>
  <c r="FF325" i="59"/>
  <c r="FG325" i="59"/>
  <c r="FH325" i="59"/>
  <c r="FI325" i="59"/>
  <c r="FJ325" i="59"/>
  <c r="FK325" i="59"/>
  <c r="FL325" i="59"/>
  <c r="FM325" i="59"/>
  <c r="FN325" i="59"/>
  <c r="FO325" i="59"/>
  <c r="FP325" i="59"/>
  <c r="FQ325" i="59"/>
  <c r="FR325" i="59"/>
  <c r="FS325" i="59"/>
  <c r="FT325" i="59"/>
  <c r="FU325" i="59"/>
  <c r="FV325" i="59"/>
  <c r="FW325" i="59"/>
  <c r="FX325" i="59"/>
  <c r="FY325" i="59"/>
  <c r="FZ325" i="59"/>
  <c r="GA325" i="59"/>
  <c r="GB325" i="59"/>
  <c r="GC325" i="59"/>
  <c r="GD325" i="59"/>
  <c r="GE325" i="59"/>
  <c r="GF325" i="59"/>
  <c r="GG325" i="59"/>
  <c r="GH325" i="59"/>
  <c r="GI325" i="59"/>
  <c r="GJ325" i="59"/>
  <c r="GK325" i="59"/>
  <c r="GL325" i="59"/>
  <c r="GM325" i="59"/>
  <c r="GN325" i="59"/>
  <c r="GO325" i="59"/>
  <c r="GP325" i="59"/>
  <c r="GQ325" i="59"/>
  <c r="GR325" i="59"/>
  <c r="GS325" i="59"/>
  <c r="GT325" i="59"/>
  <c r="GU325" i="59"/>
  <c r="GV325" i="59"/>
  <c r="GW325" i="59"/>
  <c r="GX325" i="59"/>
  <c r="GY325" i="59"/>
  <c r="GZ325" i="59"/>
  <c r="HA325" i="59"/>
  <c r="HB325" i="59"/>
  <c r="HC325" i="59"/>
  <c r="HD325" i="59"/>
  <c r="HE325" i="59"/>
  <c r="HF325" i="59"/>
  <c r="HG325" i="59"/>
  <c r="HH325" i="59"/>
  <c r="HI325" i="59"/>
  <c r="HJ325" i="59"/>
  <c r="HK325" i="59"/>
  <c r="HL325" i="59"/>
  <c r="HM325" i="59"/>
  <c r="HN325" i="59"/>
  <c r="HO325" i="59"/>
  <c r="HP325" i="59"/>
  <c r="HQ325" i="59"/>
  <c r="HR325" i="59"/>
  <c r="HS325" i="59"/>
  <c r="HT325" i="59"/>
  <c r="HU325" i="59"/>
  <c r="HV325" i="59"/>
  <c r="HW325" i="59"/>
  <c r="HX325" i="59"/>
  <c r="HY325" i="59"/>
  <c r="HZ325" i="59"/>
  <c r="IA325" i="59"/>
  <c r="IB325" i="59"/>
  <c r="IC325" i="59"/>
  <c r="ID325" i="59"/>
  <c r="IE325" i="59"/>
  <c r="IF325" i="59"/>
  <c r="IG325" i="59"/>
  <c r="IH325" i="59"/>
  <c r="II325" i="59"/>
  <c r="IJ325" i="59"/>
  <c r="IK325" i="59"/>
  <c r="IL325" i="59"/>
  <c r="IM325" i="59"/>
  <c r="IN325" i="59"/>
  <c r="IO325" i="59"/>
  <c r="IP325" i="59"/>
  <c r="IQ325" i="59"/>
  <c r="IR325" i="59"/>
  <c r="IS325" i="59"/>
  <c r="IT325" i="59"/>
  <c r="IU325" i="59"/>
  <c r="IV325" i="59"/>
  <c r="F326" i="59"/>
  <c r="G326" i="59"/>
  <c r="H326" i="59"/>
  <c r="I326" i="59"/>
  <c r="J326" i="59"/>
  <c r="K326" i="59"/>
  <c r="L326" i="59"/>
  <c r="M326" i="59"/>
  <c r="N326" i="59"/>
  <c r="O326" i="59"/>
  <c r="P326" i="59"/>
  <c r="Q326" i="59"/>
  <c r="R326" i="59"/>
  <c r="S326" i="59"/>
  <c r="T326" i="59"/>
  <c r="U326" i="59"/>
  <c r="V326" i="59"/>
  <c r="W326" i="59"/>
  <c r="X326" i="59"/>
  <c r="Y326" i="59"/>
  <c r="Z326" i="59"/>
  <c r="AA326" i="59"/>
  <c r="AB326" i="59"/>
  <c r="AC326" i="59"/>
  <c r="AD326" i="59"/>
  <c r="AE326" i="59"/>
  <c r="AF326" i="59"/>
  <c r="AG326" i="59"/>
  <c r="AH326" i="59"/>
  <c r="AI326" i="59"/>
  <c r="AJ326" i="59"/>
  <c r="AK326" i="59"/>
  <c r="AL326" i="59"/>
  <c r="AM326" i="59"/>
  <c r="AN326" i="59"/>
  <c r="AO326" i="59"/>
  <c r="AP326" i="59"/>
  <c r="AQ326" i="59"/>
  <c r="AR326" i="59"/>
  <c r="AS326" i="59"/>
  <c r="AT326" i="59"/>
  <c r="AU326" i="59"/>
  <c r="AV326" i="59"/>
  <c r="AW326" i="59"/>
  <c r="AX326" i="59"/>
  <c r="AY326" i="59"/>
  <c r="AZ326" i="59"/>
  <c r="BA326" i="59"/>
  <c r="BB326" i="59"/>
  <c r="BC326" i="59"/>
  <c r="BD326" i="59"/>
  <c r="BE326" i="59"/>
  <c r="BF326" i="59"/>
  <c r="BG326" i="59"/>
  <c r="BH326" i="59"/>
  <c r="BI326" i="59"/>
  <c r="BJ326" i="59"/>
  <c r="BK326" i="59"/>
  <c r="BL326" i="59"/>
  <c r="BM326" i="59"/>
  <c r="BN326" i="59"/>
  <c r="BO326" i="59"/>
  <c r="BP326" i="59"/>
  <c r="BQ326" i="59"/>
  <c r="BR326" i="59"/>
  <c r="BS326" i="59"/>
  <c r="BT326" i="59"/>
  <c r="BU326" i="59"/>
  <c r="BV326" i="59"/>
  <c r="BW326" i="59"/>
  <c r="BX326" i="59"/>
  <c r="BY326" i="59"/>
  <c r="BZ326" i="59"/>
  <c r="CA326" i="59"/>
  <c r="CB326" i="59"/>
  <c r="CC326" i="59"/>
  <c r="CD326" i="59"/>
  <c r="CE326" i="59"/>
  <c r="CF326" i="59"/>
  <c r="CG326" i="59"/>
  <c r="CH326" i="59"/>
  <c r="CI326" i="59"/>
  <c r="CJ326" i="59"/>
  <c r="CK326" i="59"/>
  <c r="CL326" i="59"/>
  <c r="CM326" i="59"/>
  <c r="CN326" i="59"/>
  <c r="CO326" i="59"/>
  <c r="CP326" i="59"/>
  <c r="CQ326" i="59"/>
  <c r="CR326" i="59"/>
  <c r="CS326" i="59"/>
  <c r="CT326" i="59"/>
  <c r="CU326" i="59"/>
  <c r="CV326" i="59"/>
  <c r="CW326" i="59"/>
  <c r="CX326" i="59"/>
  <c r="CY326" i="59"/>
  <c r="CZ326" i="59"/>
  <c r="DA326" i="59"/>
  <c r="DB326" i="59"/>
  <c r="DC326" i="59"/>
  <c r="DD326" i="59"/>
  <c r="DE326" i="59"/>
  <c r="DF326" i="59"/>
  <c r="DG326" i="59"/>
  <c r="DH326" i="59"/>
  <c r="DI326" i="59"/>
  <c r="DJ326" i="59"/>
  <c r="DK326" i="59"/>
  <c r="DL326" i="59"/>
  <c r="DM326" i="59"/>
  <c r="DN326" i="59"/>
  <c r="DO326" i="59"/>
  <c r="DP326" i="59"/>
  <c r="DQ326" i="59"/>
  <c r="DR326" i="59"/>
  <c r="DS326" i="59"/>
  <c r="DT326" i="59"/>
  <c r="DU326" i="59"/>
  <c r="DV326" i="59"/>
  <c r="DW326" i="59"/>
  <c r="DX326" i="59"/>
  <c r="DY326" i="59"/>
  <c r="DZ326" i="59"/>
  <c r="EA326" i="59"/>
  <c r="EB326" i="59"/>
  <c r="EC326" i="59"/>
  <c r="ED326" i="59"/>
  <c r="EE326" i="59"/>
  <c r="EF326" i="59"/>
  <c r="EG326" i="59"/>
  <c r="EH326" i="59"/>
  <c r="EI326" i="59"/>
  <c r="EJ326" i="59"/>
  <c r="EK326" i="59"/>
  <c r="EL326" i="59"/>
  <c r="EM326" i="59"/>
  <c r="EN326" i="59"/>
  <c r="EO326" i="59"/>
  <c r="EP326" i="59"/>
  <c r="EQ326" i="59"/>
  <c r="ER326" i="59"/>
  <c r="ES326" i="59"/>
  <c r="ET326" i="59"/>
  <c r="EU326" i="59"/>
  <c r="EV326" i="59"/>
  <c r="EW326" i="59"/>
  <c r="EX326" i="59"/>
  <c r="EY326" i="59"/>
  <c r="EZ326" i="59"/>
  <c r="FA326" i="59"/>
  <c r="FB326" i="59"/>
  <c r="FC326" i="59"/>
  <c r="FD326" i="59"/>
  <c r="FE326" i="59"/>
  <c r="FF326" i="59"/>
  <c r="FG326" i="59"/>
  <c r="FH326" i="59"/>
  <c r="FI326" i="59"/>
  <c r="FJ326" i="59"/>
  <c r="FK326" i="59"/>
  <c r="FL326" i="59"/>
  <c r="FM326" i="59"/>
  <c r="FN326" i="59"/>
  <c r="FO326" i="59"/>
  <c r="FP326" i="59"/>
  <c r="FQ326" i="59"/>
  <c r="FR326" i="59"/>
  <c r="FS326" i="59"/>
  <c r="FT326" i="59"/>
  <c r="FU326" i="59"/>
  <c r="FV326" i="59"/>
  <c r="FW326" i="59"/>
  <c r="FX326" i="59"/>
  <c r="FY326" i="59"/>
  <c r="FZ326" i="59"/>
  <c r="GA326" i="59"/>
  <c r="GB326" i="59"/>
  <c r="GC326" i="59"/>
  <c r="GD326" i="59"/>
  <c r="GE326" i="59"/>
  <c r="GF326" i="59"/>
  <c r="GG326" i="59"/>
  <c r="GH326" i="59"/>
  <c r="GI326" i="59"/>
  <c r="GJ326" i="59"/>
  <c r="GK326" i="59"/>
  <c r="GL326" i="59"/>
  <c r="GM326" i="59"/>
  <c r="GN326" i="59"/>
  <c r="GO326" i="59"/>
  <c r="GP326" i="59"/>
  <c r="GQ326" i="59"/>
  <c r="GR326" i="59"/>
  <c r="GS326" i="59"/>
  <c r="GT326" i="59"/>
  <c r="GU326" i="59"/>
  <c r="GV326" i="59"/>
  <c r="GW326" i="59"/>
  <c r="GX326" i="59"/>
  <c r="GY326" i="59"/>
  <c r="GZ326" i="59"/>
  <c r="HA326" i="59"/>
  <c r="HB326" i="59"/>
  <c r="HC326" i="59"/>
  <c r="HD326" i="59"/>
  <c r="HE326" i="59"/>
  <c r="HF326" i="59"/>
  <c r="HG326" i="59"/>
  <c r="HH326" i="59"/>
  <c r="HI326" i="59"/>
  <c r="HJ326" i="59"/>
  <c r="HK326" i="59"/>
  <c r="HL326" i="59"/>
  <c r="HM326" i="59"/>
  <c r="HN326" i="59"/>
  <c r="HO326" i="59"/>
  <c r="HP326" i="59"/>
  <c r="HQ326" i="59"/>
  <c r="HR326" i="59"/>
  <c r="HS326" i="59"/>
  <c r="HT326" i="59"/>
  <c r="HU326" i="59"/>
  <c r="HV326" i="59"/>
  <c r="HW326" i="59"/>
  <c r="HX326" i="59"/>
  <c r="HY326" i="59"/>
  <c r="HZ326" i="59"/>
  <c r="IA326" i="59"/>
  <c r="IB326" i="59"/>
  <c r="IC326" i="59"/>
  <c r="ID326" i="59"/>
  <c r="IE326" i="59"/>
  <c r="IF326" i="59"/>
  <c r="IG326" i="59"/>
  <c r="IH326" i="59"/>
  <c r="II326" i="59"/>
  <c r="IJ326" i="59"/>
  <c r="IK326" i="59"/>
  <c r="IL326" i="59"/>
  <c r="IM326" i="59"/>
  <c r="IN326" i="59"/>
  <c r="IO326" i="59"/>
  <c r="IP326" i="59"/>
  <c r="IQ326" i="59"/>
  <c r="IR326" i="59"/>
  <c r="IS326" i="59"/>
  <c r="IT326" i="59"/>
  <c r="IU326" i="59"/>
  <c r="IV326" i="59"/>
  <c r="F327" i="59"/>
  <c r="G327" i="59"/>
  <c r="H327" i="59"/>
  <c r="I327" i="59"/>
  <c r="J327" i="59"/>
  <c r="K327" i="59"/>
  <c r="L327" i="59"/>
  <c r="M327" i="59"/>
  <c r="N327" i="59"/>
  <c r="O327" i="59"/>
  <c r="P327" i="59"/>
  <c r="Q327" i="59"/>
  <c r="R327" i="59"/>
  <c r="S327" i="59"/>
  <c r="T327" i="59"/>
  <c r="U327" i="59"/>
  <c r="V327" i="59"/>
  <c r="W327" i="59"/>
  <c r="X327" i="59"/>
  <c r="Y327" i="59"/>
  <c r="Z327" i="59"/>
  <c r="AA327" i="59"/>
  <c r="AB327" i="59"/>
  <c r="AC327" i="59"/>
  <c r="AD327" i="59"/>
  <c r="AE327" i="59"/>
  <c r="AF327" i="59"/>
  <c r="AG327" i="59"/>
  <c r="AH327" i="59"/>
  <c r="AI327" i="59"/>
  <c r="AJ327" i="59"/>
  <c r="AK327" i="59"/>
  <c r="AL327" i="59"/>
  <c r="AM327" i="59"/>
  <c r="AN327" i="59"/>
  <c r="AO327" i="59"/>
  <c r="AP327" i="59"/>
  <c r="AQ327" i="59"/>
  <c r="AR327" i="59"/>
  <c r="AS327" i="59"/>
  <c r="AT327" i="59"/>
  <c r="AU327" i="59"/>
  <c r="AV327" i="59"/>
  <c r="AW327" i="59"/>
  <c r="AX327" i="59"/>
  <c r="AY327" i="59"/>
  <c r="AZ327" i="59"/>
  <c r="BA327" i="59"/>
  <c r="BB327" i="59"/>
  <c r="BC327" i="59"/>
  <c r="BD327" i="59"/>
  <c r="BE327" i="59"/>
  <c r="BF327" i="59"/>
  <c r="BG327" i="59"/>
  <c r="BH327" i="59"/>
  <c r="BI327" i="59"/>
  <c r="BJ327" i="59"/>
  <c r="BK327" i="59"/>
  <c r="BL327" i="59"/>
  <c r="BM327" i="59"/>
  <c r="BN327" i="59"/>
  <c r="BO327" i="59"/>
  <c r="BP327" i="59"/>
  <c r="BQ327" i="59"/>
  <c r="BR327" i="59"/>
  <c r="BS327" i="59"/>
  <c r="BT327" i="59"/>
  <c r="BU327" i="59"/>
  <c r="BV327" i="59"/>
  <c r="BW327" i="59"/>
  <c r="BX327" i="59"/>
  <c r="BY327" i="59"/>
  <c r="BZ327" i="59"/>
  <c r="CA327" i="59"/>
  <c r="CB327" i="59"/>
  <c r="CC327" i="59"/>
  <c r="CD327" i="59"/>
  <c r="CE327" i="59"/>
  <c r="CF327" i="59"/>
  <c r="CG327" i="59"/>
  <c r="CH327" i="59"/>
  <c r="CI327" i="59"/>
  <c r="CJ327" i="59"/>
  <c r="CK327" i="59"/>
  <c r="CL327" i="59"/>
  <c r="CM327" i="59"/>
  <c r="CN327" i="59"/>
  <c r="CO327" i="59"/>
  <c r="CP327" i="59"/>
  <c r="CQ327" i="59"/>
  <c r="CR327" i="59"/>
  <c r="CS327" i="59"/>
  <c r="CT327" i="59"/>
  <c r="CU327" i="59"/>
  <c r="CV327" i="59"/>
  <c r="CW327" i="59"/>
  <c r="CX327" i="59"/>
  <c r="CY327" i="59"/>
  <c r="CZ327" i="59"/>
  <c r="DA327" i="59"/>
  <c r="DB327" i="59"/>
  <c r="DC327" i="59"/>
  <c r="DD327" i="59"/>
  <c r="DE327" i="59"/>
  <c r="DF327" i="59"/>
  <c r="DG327" i="59"/>
  <c r="DH327" i="59"/>
  <c r="DI327" i="59"/>
  <c r="DJ327" i="59"/>
  <c r="DK327" i="59"/>
  <c r="DL327" i="59"/>
  <c r="DM327" i="59"/>
  <c r="DN327" i="59"/>
  <c r="DO327" i="59"/>
  <c r="DP327" i="59"/>
  <c r="DQ327" i="59"/>
  <c r="DR327" i="59"/>
  <c r="DS327" i="59"/>
  <c r="DT327" i="59"/>
  <c r="DU327" i="59"/>
  <c r="DV327" i="59"/>
  <c r="DW327" i="59"/>
  <c r="DX327" i="59"/>
  <c r="DY327" i="59"/>
  <c r="DZ327" i="59"/>
  <c r="EA327" i="59"/>
  <c r="EB327" i="59"/>
  <c r="EC327" i="59"/>
  <c r="ED327" i="59"/>
  <c r="EE327" i="59"/>
  <c r="EF327" i="59"/>
  <c r="EG327" i="59"/>
  <c r="EH327" i="59"/>
  <c r="EI327" i="59"/>
  <c r="EJ327" i="59"/>
  <c r="EK327" i="59"/>
  <c r="EL327" i="59"/>
  <c r="EM327" i="59"/>
  <c r="EN327" i="59"/>
  <c r="EO327" i="59"/>
  <c r="EP327" i="59"/>
  <c r="EQ327" i="59"/>
  <c r="ER327" i="59"/>
  <c r="ES327" i="59"/>
  <c r="ET327" i="59"/>
  <c r="EU327" i="59"/>
  <c r="EV327" i="59"/>
  <c r="EW327" i="59"/>
  <c r="EX327" i="59"/>
  <c r="EY327" i="59"/>
  <c r="EZ327" i="59"/>
  <c r="FA327" i="59"/>
  <c r="FB327" i="59"/>
  <c r="FC327" i="59"/>
  <c r="FD327" i="59"/>
  <c r="FE327" i="59"/>
  <c r="FF327" i="59"/>
  <c r="FG327" i="59"/>
  <c r="FH327" i="59"/>
  <c r="FI327" i="59"/>
  <c r="FJ327" i="59"/>
  <c r="FK327" i="59"/>
  <c r="FL327" i="59"/>
  <c r="FM327" i="59"/>
  <c r="FN327" i="59"/>
  <c r="FO327" i="59"/>
  <c r="FP327" i="59"/>
  <c r="FQ327" i="59"/>
  <c r="FR327" i="59"/>
  <c r="FS327" i="59"/>
  <c r="FT327" i="59"/>
  <c r="FU327" i="59"/>
  <c r="FV327" i="59"/>
  <c r="FW327" i="59"/>
  <c r="FX327" i="59"/>
  <c r="FY327" i="59"/>
  <c r="FZ327" i="59"/>
  <c r="GA327" i="59"/>
  <c r="GB327" i="59"/>
  <c r="GC327" i="59"/>
  <c r="GD327" i="59"/>
  <c r="GE327" i="59"/>
  <c r="GF327" i="59"/>
  <c r="GG327" i="59"/>
  <c r="GH327" i="59"/>
  <c r="GI327" i="59"/>
  <c r="GJ327" i="59"/>
  <c r="GK327" i="59"/>
  <c r="GL327" i="59"/>
  <c r="GM327" i="59"/>
  <c r="GN327" i="59"/>
  <c r="GO327" i="59"/>
  <c r="GP327" i="59"/>
  <c r="GQ327" i="59"/>
  <c r="GR327" i="59"/>
  <c r="GS327" i="59"/>
  <c r="GT327" i="59"/>
  <c r="GU327" i="59"/>
  <c r="GV327" i="59"/>
  <c r="GW327" i="59"/>
  <c r="GX327" i="59"/>
  <c r="GY327" i="59"/>
  <c r="GZ327" i="59"/>
  <c r="HA327" i="59"/>
  <c r="HB327" i="59"/>
  <c r="HC327" i="59"/>
  <c r="HD327" i="59"/>
  <c r="HE327" i="59"/>
  <c r="HF327" i="59"/>
  <c r="HG327" i="59"/>
  <c r="HH327" i="59"/>
  <c r="HI327" i="59"/>
  <c r="HJ327" i="59"/>
  <c r="HK327" i="59"/>
  <c r="HL327" i="59"/>
  <c r="HM327" i="59"/>
  <c r="HN327" i="59"/>
  <c r="HO327" i="59"/>
  <c r="HP327" i="59"/>
  <c r="HQ327" i="59"/>
  <c r="HR327" i="59"/>
  <c r="HS327" i="59"/>
  <c r="HT327" i="59"/>
  <c r="HU327" i="59"/>
  <c r="HV327" i="59"/>
  <c r="HW327" i="59"/>
  <c r="HX327" i="59"/>
  <c r="HY327" i="59"/>
  <c r="HZ327" i="59"/>
  <c r="IA327" i="59"/>
  <c r="IB327" i="59"/>
  <c r="IC327" i="59"/>
  <c r="ID327" i="59"/>
  <c r="IE327" i="59"/>
  <c r="IF327" i="59"/>
  <c r="IG327" i="59"/>
  <c r="IH327" i="59"/>
  <c r="II327" i="59"/>
  <c r="IJ327" i="59"/>
  <c r="IK327" i="59"/>
  <c r="IL327" i="59"/>
  <c r="IM327" i="59"/>
  <c r="IN327" i="59"/>
  <c r="IO327" i="59"/>
  <c r="IP327" i="59"/>
  <c r="IQ327" i="59"/>
  <c r="IR327" i="59"/>
  <c r="IS327" i="59"/>
  <c r="IT327" i="59"/>
  <c r="IU327" i="59"/>
  <c r="IV327" i="59"/>
  <c r="F328" i="59"/>
  <c r="G328" i="59"/>
  <c r="H328" i="59"/>
  <c r="I328" i="59"/>
  <c r="J328" i="59"/>
  <c r="K328" i="59"/>
  <c r="L328" i="59"/>
  <c r="M328" i="59"/>
  <c r="N328" i="59"/>
  <c r="O328" i="59"/>
  <c r="P328" i="59"/>
  <c r="Q328" i="59"/>
  <c r="R328" i="59"/>
  <c r="S328" i="59"/>
  <c r="T328" i="59"/>
  <c r="U328" i="59"/>
  <c r="V328" i="59"/>
  <c r="W328" i="59"/>
  <c r="X328" i="59"/>
  <c r="Y328" i="59"/>
  <c r="Z328" i="59"/>
  <c r="AA328" i="59"/>
  <c r="AB328" i="59"/>
  <c r="AC328" i="59"/>
  <c r="AD328" i="59"/>
  <c r="AE328" i="59"/>
  <c r="AF328" i="59"/>
  <c r="AG328" i="59"/>
  <c r="AH328" i="59"/>
  <c r="AI328" i="59"/>
  <c r="AJ328" i="59"/>
  <c r="AK328" i="59"/>
  <c r="AL328" i="59"/>
  <c r="AM328" i="59"/>
  <c r="AN328" i="59"/>
  <c r="AO328" i="59"/>
  <c r="AP328" i="59"/>
  <c r="AQ328" i="59"/>
  <c r="AR328" i="59"/>
  <c r="AS328" i="59"/>
  <c r="AT328" i="59"/>
  <c r="AU328" i="59"/>
  <c r="AV328" i="59"/>
  <c r="AW328" i="59"/>
  <c r="AX328" i="59"/>
  <c r="AY328" i="59"/>
  <c r="AZ328" i="59"/>
  <c r="BA328" i="59"/>
  <c r="BB328" i="59"/>
  <c r="BC328" i="59"/>
  <c r="BD328" i="59"/>
  <c r="BE328" i="59"/>
  <c r="BF328" i="59"/>
  <c r="BG328" i="59"/>
  <c r="BH328" i="59"/>
  <c r="BI328" i="59"/>
  <c r="BJ328" i="59"/>
  <c r="BK328" i="59"/>
  <c r="BL328" i="59"/>
  <c r="BM328" i="59"/>
  <c r="BN328" i="59"/>
  <c r="BO328" i="59"/>
  <c r="BP328" i="59"/>
  <c r="BQ328" i="59"/>
  <c r="BR328" i="59"/>
  <c r="BS328" i="59"/>
  <c r="BT328" i="59"/>
  <c r="BU328" i="59"/>
  <c r="BV328" i="59"/>
  <c r="BW328" i="59"/>
  <c r="BX328" i="59"/>
  <c r="BY328" i="59"/>
  <c r="BZ328" i="59"/>
  <c r="CA328" i="59"/>
  <c r="CB328" i="59"/>
  <c r="CC328" i="59"/>
  <c r="CD328" i="59"/>
  <c r="CE328" i="59"/>
  <c r="CF328" i="59"/>
  <c r="CG328" i="59"/>
  <c r="CH328" i="59"/>
  <c r="CI328" i="59"/>
  <c r="CJ328" i="59"/>
  <c r="CK328" i="59"/>
  <c r="CL328" i="59"/>
  <c r="CM328" i="59"/>
  <c r="CN328" i="59"/>
  <c r="CO328" i="59"/>
  <c r="CP328" i="59"/>
  <c r="CQ328" i="59"/>
  <c r="CR328" i="59"/>
  <c r="CS328" i="59"/>
  <c r="CT328" i="59"/>
  <c r="CU328" i="59"/>
  <c r="CV328" i="59"/>
  <c r="CW328" i="59"/>
  <c r="CX328" i="59"/>
  <c r="CY328" i="59"/>
  <c r="CZ328" i="59"/>
  <c r="DA328" i="59"/>
  <c r="DB328" i="59"/>
  <c r="DC328" i="59"/>
  <c r="DD328" i="59"/>
  <c r="DE328" i="59"/>
  <c r="DF328" i="59"/>
  <c r="DG328" i="59"/>
  <c r="DH328" i="59"/>
  <c r="DI328" i="59"/>
  <c r="DJ328" i="59"/>
  <c r="DK328" i="59"/>
  <c r="DL328" i="59"/>
  <c r="DM328" i="59"/>
  <c r="DN328" i="59"/>
  <c r="DO328" i="59"/>
  <c r="DP328" i="59"/>
  <c r="DQ328" i="59"/>
  <c r="DR328" i="59"/>
  <c r="DS328" i="59"/>
  <c r="DT328" i="59"/>
  <c r="DU328" i="59"/>
  <c r="DV328" i="59"/>
  <c r="DW328" i="59"/>
  <c r="DX328" i="59"/>
  <c r="DY328" i="59"/>
  <c r="DZ328" i="59"/>
  <c r="EA328" i="59"/>
  <c r="EB328" i="59"/>
  <c r="EC328" i="59"/>
  <c r="ED328" i="59"/>
  <c r="EE328" i="59"/>
  <c r="EF328" i="59"/>
  <c r="EG328" i="59"/>
  <c r="EH328" i="59"/>
  <c r="EI328" i="59"/>
  <c r="EJ328" i="59"/>
  <c r="EK328" i="59"/>
  <c r="EL328" i="59"/>
  <c r="EM328" i="59"/>
  <c r="EN328" i="59"/>
  <c r="EO328" i="59"/>
  <c r="EP328" i="59"/>
  <c r="EQ328" i="59"/>
  <c r="ER328" i="59"/>
  <c r="ES328" i="59"/>
  <c r="ET328" i="59"/>
  <c r="EU328" i="59"/>
  <c r="EV328" i="59"/>
  <c r="EW328" i="59"/>
  <c r="EX328" i="59"/>
  <c r="EY328" i="59"/>
  <c r="EZ328" i="59"/>
  <c r="FA328" i="59"/>
  <c r="FB328" i="59"/>
  <c r="FC328" i="59"/>
  <c r="FD328" i="59"/>
  <c r="FE328" i="59"/>
  <c r="FF328" i="59"/>
  <c r="FG328" i="59"/>
  <c r="FH328" i="59"/>
  <c r="FI328" i="59"/>
  <c r="FJ328" i="59"/>
  <c r="FK328" i="59"/>
  <c r="FL328" i="59"/>
  <c r="FM328" i="59"/>
  <c r="FN328" i="59"/>
  <c r="FO328" i="59"/>
  <c r="FP328" i="59"/>
  <c r="FQ328" i="59"/>
  <c r="FR328" i="59"/>
  <c r="FS328" i="59"/>
  <c r="FT328" i="59"/>
  <c r="FU328" i="59"/>
  <c r="FV328" i="59"/>
  <c r="FW328" i="59"/>
  <c r="FX328" i="59"/>
  <c r="FY328" i="59"/>
  <c r="FZ328" i="59"/>
  <c r="GA328" i="59"/>
  <c r="GB328" i="59"/>
  <c r="GC328" i="59"/>
  <c r="GD328" i="59"/>
  <c r="GE328" i="59"/>
  <c r="GF328" i="59"/>
  <c r="GG328" i="59"/>
  <c r="GH328" i="59"/>
  <c r="GI328" i="59"/>
  <c r="GJ328" i="59"/>
  <c r="GK328" i="59"/>
  <c r="GL328" i="59"/>
  <c r="GM328" i="59"/>
  <c r="GN328" i="59"/>
  <c r="GO328" i="59"/>
  <c r="GP328" i="59"/>
  <c r="GQ328" i="59"/>
  <c r="GR328" i="59"/>
  <c r="GS328" i="59"/>
  <c r="GT328" i="59"/>
  <c r="GU328" i="59"/>
  <c r="GV328" i="59"/>
  <c r="GW328" i="59"/>
  <c r="GX328" i="59"/>
  <c r="GY328" i="59"/>
  <c r="GZ328" i="59"/>
  <c r="HA328" i="59"/>
  <c r="HB328" i="59"/>
  <c r="HC328" i="59"/>
  <c r="HD328" i="59"/>
  <c r="HE328" i="59"/>
  <c r="HF328" i="59"/>
  <c r="HG328" i="59"/>
  <c r="HH328" i="59"/>
  <c r="HI328" i="59"/>
  <c r="HJ328" i="59"/>
  <c r="HK328" i="59"/>
  <c r="HL328" i="59"/>
  <c r="HM328" i="59"/>
  <c r="HN328" i="59"/>
  <c r="HO328" i="59"/>
  <c r="HP328" i="59"/>
  <c r="HQ328" i="59"/>
  <c r="HR328" i="59"/>
  <c r="HS328" i="59"/>
  <c r="HT328" i="59"/>
  <c r="HU328" i="59"/>
  <c r="HV328" i="59"/>
  <c r="HW328" i="59"/>
  <c r="HX328" i="59"/>
  <c r="HY328" i="59"/>
  <c r="HZ328" i="59"/>
  <c r="IA328" i="59"/>
  <c r="IB328" i="59"/>
  <c r="IC328" i="59"/>
  <c r="ID328" i="59"/>
  <c r="IE328" i="59"/>
  <c r="IF328" i="59"/>
  <c r="IG328" i="59"/>
  <c r="IH328" i="59"/>
  <c r="II328" i="59"/>
  <c r="IJ328" i="59"/>
  <c r="IK328" i="59"/>
  <c r="IL328" i="59"/>
  <c r="IM328" i="59"/>
  <c r="IN328" i="59"/>
  <c r="IO328" i="59"/>
  <c r="IP328" i="59"/>
  <c r="IQ328" i="59"/>
  <c r="IR328" i="59"/>
  <c r="IS328" i="59"/>
  <c r="IT328" i="59"/>
  <c r="IU328" i="59"/>
  <c r="IV328" i="59"/>
  <c r="F329" i="59"/>
  <c r="G329" i="59"/>
  <c r="H329" i="59"/>
  <c r="I329" i="59"/>
  <c r="J329" i="59"/>
  <c r="K329" i="59"/>
  <c r="L329" i="59"/>
  <c r="M329" i="59"/>
  <c r="N329" i="59"/>
  <c r="O329" i="59"/>
  <c r="P329" i="59"/>
  <c r="Q329" i="59"/>
  <c r="R329" i="59"/>
  <c r="S329" i="59"/>
  <c r="T329" i="59"/>
  <c r="U329" i="59"/>
  <c r="V329" i="59"/>
  <c r="W329" i="59"/>
  <c r="X329" i="59"/>
  <c r="Y329" i="59"/>
  <c r="Z329" i="59"/>
  <c r="AA329" i="59"/>
  <c r="AB329" i="59"/>
  <c r="AC329" i="59"/>
  <c r="AD329" i="59"/>
  <c r="AE329" i="59"/>
  <c r="AF329" i="59"/>
  <c r="AG329" i="59"/>
  <c r="AH329" i="59"/>
  <c r="AI329" i="59"/>
  <c r="AJ329" i="59"/>
  <c r="AK329" i="59"/>
  <c r="AL329" i="59"/>
  <c r="AM329" i="59"/>
  <c r="AN329" i="59"/>
  <c r="AO329" i="59"/>
  <c r="AP329" i="59"/>
  <c r="AQ329" i="59"/>
  <c r="AR329" i="59"/>
  <c r="AS329" i="59"/>
  <c r="AT329" i="59"/>
  <c r="AU329" i="59"/>
  <c r="AV329" i="59"/>
  <c r="AW329" i="59"/>
  <c r="AX329" i="59"/>
  <c r="AY329" i="59"/>
  <c r="AZ329" i="59"/>
  <c r="BA329" i="59"/>
  <c r="BB329" i="59"/>
  <c r="BC329" i="59"/>
  <c r="BD329" i="59"/>
  <c r="BE329" i="59"/>
  <c r="BF329" i="59"/>
  <c r="BG329" i="59"/>
  <c r="BH329" i="59"/>
  <c r="BI329" i="59"/>
  <c r="BJ329" i="59"/>
  <c r="BK329" i="59"/>
  <c r="BL329" i="59"/>
  <c r="BM329" i="59"/>
  <c r="BN329" i="59"/>
  <c r="BO329" i="59"/>
  <c r="BP329" i="59"/>
  <c r="BQ329" i="59"/>
  <c r="BR329" i="59"/>
  <c r="BS329" i="59"/>
  <c r="BT329" i="59"/>
  <c r="BU329" i="59"/>
  <c r="BV329" i="59"/>
  <c r="BW329" i="59"/>
  <c r="BX329" i="59"/>
  <c r="BY329" i="59"/>
  <c r="BZ329" i="59"/>
  <c r="CA329" i="59"/>
  <c r="CB329" i="59"/>
  <c r="CC329" i="59"/>
  <c r="CD329" i="59"/>
  <c r="CE329" i="59"/>
  <c r="CF329" i="59"/>
  <c r="CG329" i="59"/>
  <c r="CH329" i="59"/>
  <c r="CI329" i="59"/>
  <c r="CJ329" i="59"/>
  <c r="CK329" i="59"/>
  <c r="CL329" i="59"/>
  <c r="CM329" i="59"/>
  <c r="CN329" i="59"/>
  <c r="CO329" i="59"/>
  <c r="CP329" i="59"/>
  <c r="CQ329" i="59"/>
  <c r="CR329" i="59"/>
  <c r="CS329" i="59"/>
  <c r="CT329" i="59"/>
  <c r="CU329" i="59"/>
  <c r="CV329" i="59"/>
  <c r="CW329" i="59"/>
  <c r="CX329" i="59"/>
  <c r="CY329" i="59"/>
  <c r="CZ329" i="59"/>
  <c r="DA329" i="59"/>
  <c r="DB329" i="59"/>
  <c r="DC329" i="59"/>
  <c r="DD329" i="59"/>
  <c r="DE329" i="59"/>
  <c r="DF329" i="59"/>
  <c r="DG329" i="59"/>
  <c r="DH329" i="59"/>
  <c r="DI329" i="59"/>
  <c r="DJ329" i="59"/>
  <c r="DK329" i="59"/>
  <c r="DL329" i="59"/>
  <c r="DM329" i="59"/>
  <c r="DN329" i="59"/>
  <c r="DO329" i="59"/>
  <c r="DP329" i="59"/>
  <c r="DQ329" i="59"/>
  <c r="DR329" i="59"/>
  <c r="DS329" i="59"/>
  <c r="DT329" i="59"/>
  <c r="DU329" i="59"/>
  <c r="DV329" i="59"/>
  <c r="DW329" i="59"/>
  <c r="DX329" i="59"/>
  <c r="DY329" i="59"/>
  <c r="DZ329" i="59"/>
  <c r="EA329" i="59"/>
  <c r="EB329" i="59"/>
  <c r="EC329" i="59"/>
  <c r="ED329" i="59"/>
  <c r="EE329" i="59"/>
  <c r="EF329" i="59"/>
  <c r="EG329" i="59"/>
  <c r="EH329" i="59"/>
  <c r="EI329" i="59"/>
  <c r="EJ329" i="59"/>
  <c r="EK329" i="59"/>
  <c r="EL329" i="59"/>
  <c r="EM329" i="59"/>
  <c r="EN329" i="59"/>
  <c r="EO329" i="59"/>
  <c r="EP329" i="59"/>
  <c r="EQ329" i="59"/>
  <c r="ER329" i="59"/>
  <c r="ES329" i="59"/>
  <c r="ET329" i="59"/>
  <c r="EU329" i="59"/>
  <c r="EV329" i="59"/>
  <c r="EW329" i="59"/>
  <c r="EX329" i="59"/>
  <c r="EY329" i="59"/>
  <c r="EZ329" i="59"/>
  <c r="FA329" i="59"/>
  <c r="FB329" i="59"/>
  <c r="FC329" i="59"/>
  <c r="FD329" i="59"/>
  <c r="FE329" i="59"/>
  <c r="FF329" i="59"/>
  <c r="FG329" i="59"/>
  <c r="FH329" i="59"/>
  <c r="FI329" i="59"/>
  <c r="FJ329" i="59"/>
  <c r="FK329" i="59"/>
  <c r="FL329" i="59"/>
  <c r="FM329" i="59"/>
  <c r="FN329" i="59"/>
  <c r="FO329" i="59"/>
  <c r="FP329" i="59"/>
  <c r="FQ329" i="59"/>
  <c r="FR329" i="59"/>
  <c r="FS329" i="59"/>
  <c r="FT329" i="59"/>
  <c r="FU329" i="59"/>
  <c r="FV329" i="59"/>
  <c r="FW329" i="59"/>
  <c r="FX329" i="59"/>
  <c r="FY329" i="59"/>
  <c r="FZ329" i="59"/>
  <c r="GA329" i="59"/>
  <c r="GB329" i="59"/>
  <c r="GC329" i="59"/>
  <c r="GD329" i="59"/>
  <c r="GE329" i="59"/>
  <c r="GF329" i="59"/>
  <c r="GG329" i="59"/>
  <c r="GH329" i="59"/>
  <c r="GI329" i="59"/>
  <c r="GJ329" i="59"/>
  <c r="GK329" i="59"/>
  <c r="GL329" i="59"/>
  <c r="GM329" i="59"/>
  <c r="GO329" i="59"/>
  <c r="GP329" i="59"/>
  <c r="GQ329" i="59"/>
  <c r="GR329" i="59"/>
  <c r="GS329" i="59"/>
  <c r="GT329" i="59"/>
  <c r="GU329" i="59"/>
  <c r="GV329" i="59"/>
  <c r="GW329" i="59"/>
  <c r="GX329" i="59"/>
  <c r="GY329" i="59"/>
  <c r="GZ329" i="59"/>
  <c r="HA329" i="59"/>
  <c r="HB329" i="59"/>
  <c r="HC329" i="59"/>
  <c r="HD329" i="59"/>
  <c r="HE329" i="59"/>
  <c r="HF329" i="59"/>
  <c r="HG329" i="59"/>
  <c r="HI329" i="59"/>
  <c r="HJ329" i="59"/>
  <c r="HK329" i="59"/>
  <c r="HL329" i="59"/>
  <c r="HM329" i="59"/>
  <c r="HN329" i="59"/>
  <c r="HO329" i="59"/>
  <c r="HP329" i="59"/>
  <c r="HQ329" i="59"/>
  <c r="HR329" i="59"/>
  <c r="HS329" i="59"/>
  <c r="HT329" i="59"/>
  <c r="HU329" i="59"/>
  <c r="HV329" i="59"/>
  <c r="HW329" i="59"/>
  <c r="HX329" i="59"/>
  <c r="HY329" i="59"/>
  <c r="HZ329" i="59"/>
  <c r="IA329" i="59"/>
  <c r="IB329" i="59"/>
  <c r="IC329" i="59"/>
  <c r="ID329" i="59"/>
  <c r="IE329" i="59"/>
  <c r="IF329" i="59"/>
  <c r="IG329" i="59"/>
  <c r="IH329" i="59"/>
  <c r="II329" i="59"/>
  <c r="IJ329" i="59"/>
  <c r="IK329" i="59"/>
  <c r="IL329" i="59"/>
  <c r="IM329" i="59"/>
  <c r="IN329" i="59"/>
  <c r="IO329" i="59"/>
  <c r="IP329" i="59"/>
  <c r="IQ329" i="59"/>
  <c r="IR329" i="59"/>
  <c r="IS329" i="59"/>
  <c r="IT329" i="59"/>
  <c r="IU329" i="59"/>
  <c r="IV329" i="59"/>
  <c r="F330" i="59"/>
  <c r="G330" i="59"/>
  <c r="H330" i="59"/>
  <c r="I330" i="59"/>
  <c r="J330" i="59"/>
  <c r="K330" i="59"/>
  <c r="L330" i="59"/>
  <c r="M330" i="59"/>
  <c r="N330" i="59"/>
  <c r="O330" i="59"/>
  <c r="P330" i="59"/>
  <c r="Q330" i="59"/>
  <c r="R330" i="59"/>
  <c r="S330" i="59"/>
  <c r="T330" i="59"/>
  <c r="U330" i="59"/>
  <c r="V330" i="59"/>
  <c r="W330" i="59"/>
  <c r="X330" i="59"/>
  <c r="Y330" i="59"/>
  <c r="Z330" i="59"/>
  <c r="AA330" i="59"/>
  <c r="AB330" i="59"/>
  <c r="AC330" i="59"/>
  <c r="AD330" i="59"/>
  <c r="AE330" i="59"/>
  <c r="AF330" i="59"/>
  <c r="AG330" i="59"/>
  <c r="AH330" i="59"/>
  <c r="AI330" i="59"/>
  <c r="AJ330" i="59"/>
  <c r="AK330" i="59"/>
  <c r="AL330" i="59"/>
  <c r="AM330" i="59"/>
  <c r="AN330" i="59"/>
  <c r="AO330" i="59"/>
  <c r="AP330" i="59"/>
  <c r="AQ330" i="59"/>
  <c r="AR330" i="59"/>
  <c r="AS330" i="59"/>
  <c r="AT330" i="59"/>
  <c r="AU330" i="59"/>
  <c r="AV330" i="59"/>
  <c r="AW330" i="59"/>
  <c r="AX330" i="59"/>
  <c r="AY330" i="59"/>
  <c r="AZ330" i="59"/>
  <c r="BA330" i="59"/>
  <c r="BB330" i="59"/>
  <c r="BC330" i="59"/>
  <c r="BD330" i="59"/>
  <c r="BE330" i="59"/>
  <c r="BF330" i="59"/>
  <c r="BG330" i="59"/>
  <c r="BH330" i="59"/>
  <c r="BI330" i="59"/>
  <c r="BJ330" i="59"/>
  <c r="BK330" i="59"/>
  <c r="BL330" i="59"/>
  <c r="BM330" i="59"/>
  <c r="BN330" i="59"/>
  <c r="BO330" i="59"/>
  <c r="BP330" i="59"/>
  <c r="BQ330" i="59"/>
  <c r="BR330" i="59"/>
  <c r="BS330" i="59"/>
  <c r="BT330" i="59"/>
  <c r="BU330" i="59"/>
  <c r="BV330" i="59"/>
  <c r="BW330" i="59"/>
  <c r="BX330" i="59"/>
  <c r="BY330" i="59"/>
  <c r="BZ330" i="59"/>
  <c r="CA330" i="59"/>
  <c r="CB330" i="59"/>
  <c r="CC330" i="59"/>
  <c r="CD330" i="59"/>
  <c r="CE330" i="59"/>
  <c r="CF330" i="59"/>
  <c r="CG330" i="59"/>
  <c r="CH330" i="59"/>
  <c r="CI330" i="59"/>
  <c r="CJ330" i="59"/>
  <c r="CK330" i="59"/>
  <c r="CL330" i="59"/>
  <c r="CM330" i="59"/>
  <c r="CN330" i="59"/>
  <c r="CO330" i="59"/>
  <c r="CP330" i="59"/>
  <c r="CQ330" i="59"/>
  <c r="CR330" i="59"/>
  <c r="CS330" i="59"/>
  <c r="CT330" i="59"/>
  <c r="CU330" i="59"/>
  <c r="CV330" i="59"/>
  <c r="CW330" i="59"/>
  <c r="CX330" i="59"/>
  <c r="CY330" i="59"/>
  <c r="CZ330" i="59"/>
  <c r="DA330" i="59"/>
  <c r="DB330" i="59"/>
  <c r="DC330" i="59"/>
  <c r="DD330" i="59"/>
  <c r="DE330" i="59"/>
  <c r="DF330" i="59"/>
  <c r="DG330" i="59"/>
  <c r="DH330" i="59"/>
  <c r="DI330" i="59"/>
  <c r="DJ330" i="59"/>
  <c r="DK330" i="59"/>
  <c r="DL330" i="59"/>
  <c r="DM330" i="59"/>
  <c r="DN330" i="59"/>
  <c r="DO330" i="59"/>
  <c r="DP330" i="59"/>
  <c r="DQ330" i="59"/>
  <c r="DR330" i="59"/>
  <c r="DS330" i="59"/>
  <c r="DT330" i="59"/>
  <c r="DU330" i="59"/>
  <c r="DV330" i="59"/>
  <c r="DW330" i="59"/>
  <c r="DX330" i="59"/>
  <c r="DY330" i="59"/>
  <c r="DZ330" i="59"/>
  <c r="EA330" i="59"/>
  <c r="EB330" i="59"/>
  <c r="EC330" i="59"/>
  <c r="ED330" i="59"/>
  <c r="EE330" i="59"/>
  <c r="EF330" i="59"/>
  <c r="EG330" i="59"/>
  <c r="EH330" i="59"/>
  <c r="EI330" i="59"/>
  <c r="EJ330" i="59"/>
  <c r="EK330" i="59"/>
  <c r="EL330" i="59"/>
  <c r="EM330" i="59"/>
  <c r="EN330" i="59"/>
  <c r="EO330" i="59"/>
  <c r="EP330" i="59"/>
  <c r="EQ330" i="59"/>
  <c r="ER330" i="59"/>
  <c r="ES330" i="59"/>
  <c r="ET330" i="59"/>
  <c r="EU330" i="59"/>
  <c r="EV330" i="59"/>
  <c r="EW330" i="59"/>
  <c r="EX330" i="59"/>
  <c r="EY330" i="59"/>
  <c r="EZ330" i="59"/>
  <c r="FA330" i="59"/>
  <c r="FB330" i="59"/>
  <c r="FC330" i="59"/>
  <c r="FD330" i="59"/>
  <c r="FE330" i="59"/>
  <c r="FF330" i="59"/>
  <c r="FG330" i="59"/>
  <c r="FH330" i="59"/>
  <c r="FI330" i="59"/>
  <c r="FJ330" i="59"/>
  <c r="FK330" i="59"/>
  <c r="FL330" i="59"/>
  <c r="FM330" i="59"/>
  <c r="FN330" i="59"/>
  <c r="FO330" i="59"/>
  <c r="FP330" i="59"/>
  <c r="FQ330" i="59"/>
  <c r="FR330" i="59"/>
  <c r="FS330" i="59"/>
  <c r="FT330" i="59"/>
  <c r="FU330" i="59"/>
  <c r="FV330" i="59"/>
  <c r="FW330" i="59"/>
  <c r="FX330" i="59"/>
  <c r="FY330" i="59"/>
  <c r="FZ330" i="59"/>
  <c r="GA330" i="59"/>
  <c r="GB330" i="59"/>
  <c r="GC330" i="59"/>
  <c r="GD330" i="59"/>
  <c r="GE330" i="59"/>
  <c r="GF330" i="59"/>
  <c r="GG330" i="59"/>
  <c r="GH330" i="59"/>
  <c r="GI330" i="59"/>
  <c r="GJ330" i="59"/>
  <c r="GK330" i="59"/>
  <c r="GL330" i="59"/>
  <c r="GM330" i="59"/>
  <c r="GN330" i="59"/>
  <c r="GO330" i="59"/>
  <c r="GP330" i="59"/>
  <c r="GQ330" i="59"/>
  <c r="GR330" i="59"/>
  <c r="GS330" i="59"/>
  <c r="GT330" i="59"/>
  <c r="GU330" i="59"/>
  <c r="GV330" i="59"/>
  <c r="GW330" i="59"/>
  <c r="GX330" i="59"/>
  <c r="GY330" i="59"/>
  <c r="GZ330" i="59"/>
  <c r="HA330" i="59"/>
  <c r="HB330" i="59"/>
  <c r="HC330" i="59"/>
  <c r="HD330" i="59"/>
  <c r="HE330" i="59"/>
  <c r="HF330" i="59"/>
  <c r="HG330" i="59"/>
  <c r="HH330" i="59"/>
  <c r="HI330" i="59"/>
  <c r="HJ330" i="59"/>
  <c r="HK330" i="59"/>
  <c r="HL330" i="59"/>
  <c r="HM330" i="59"/>
  <c r="HN330" i="59"/>
  <c r="HO330" i="59"/>
  <c r="HP330" i="59"/>
  <c r="HQ330" i="59"/>
  <c r="HR330" i="59"/>
  <c r="HS330" i="59"/>
  <c r="HT330" i="59"/>
  <c r="HU330" i="59"/>
  <c r="HV330" i="59"/>
  <c r="HW330" i="59"/>
  <c r="HX330" i="59"/>
  <c r="HY330" i="59"/>
  <c r="HZ330" i="59"/>
  <c r="IA330" i="59"/>
  <c r="IB330" i="59"/>
  <c r="IC330" i="59"/>
  <c r="ID330" i="59"/>
  <c r="IE330" i="59"/>
  <c r="IF330" i="59"/>
  <c r="IG330" i="59"/>
  <c r="IH330" i="59"/>
  <c r="II330" i="59"/>
  <c r="IJ330" i="59"/>
  <c r="IK330" i="59"/>
  <c r="IL330" i="59"/>
  <c r="IM330" i="59"/>
  <c r="IN330" i="59"/>
  <c r="IO330" i="59"/>
  <c r="IP330" i="59"/>
  <c r="IQ330" i="59"/>
  <c r="IR330" i="59"/>
  <c r="IS330" i="59"/>
  <c r="IT330" i="59"/>
  <c r="IU330" i="59"/>
  <c r="IV330" i="59"/>
  <c r="F331" i="59"/>
  <c r="G331" i="59"/>
  <c r="H331" i="59"/>
  <c r="I331" i="59"/>
  <c r="J331" i="59"/>
  <c r="K331" i="59"/>
  <c r="L331" i="59"/>
  <c r="M331" i="59"/>
  <c r="N331" i="59"/>
  <c r="O331" i="59"/>
  <c r="P331" i="59"/>
  <c r="Q331" i="59"/>
  <c r="R331" i="59"/>
  <c r="S331" i="59"/>
  <c r="T331" i="59"/>
  <c r="U331" i="59"/>
  <c r="V331" i="59"/>
  <c r="W331" i="59"/>
  <c r="X331" i="59"/>
  <c r="Y331" i="59"/>
  <c r="Z331" i="59"/>
  <c r="AA331" i="59"/>
  <c r="AB331" i="59"/>
  <c r="AC331" i="59"/>
  <c r="AD331" i="59"/>
  <c r="AE331" i="59"/>
  <c r="AF331" i="59"/>
  <c r="AG331" i="59"/>
  <c r="AH331" i="59"/>
  <c r="AI331" i="59"/>
  <c r="AJ331" i="59"/>
  <c r="AK331" i="59"/>
  <c r="AL331" i="59"/>
  <c r="AM331" i="59"/>
  <c r="AN331" i="59"/>
  <c r="AO331" i="59"/>
  <c r="AP331" i="59"/>
  <c r="AQ331" i="59"/>
  <c r="AR331" i="59"/>
  <c r="AS331" i="59"/>
  <c r="AT331" i="59"/>
  <c r="AU331" i="59"/>
  <c r="AV331" i="59"/>
  <c r="AW331" i="59"/>
  <c r="AX331" i="59"/>
  <c r="AY331" i="59"/>
  <c r="AZ331" i="59"/>
  <c r="BA331" i="59"/>
  <c r="BB331" i="59"/>
  <c r="BC331" i="59"/>
  <c r="BD331" i="59"/>
  <c r="BE331" i="59"/>
  <c r="BF331" i="59"/>
  <c r="BG331" i="59"/>
  <c r="BH331" i="59"/>
  <c r="BI331" i="59"/>
  <c r="BJ331" i="59"/>
  <c r="BK331" i="59"/>
  <c r="BL331" i="59"/>
  <c r="BM331" i="59"/>
  <c r="BN331" i="59"/>
  <c r="BO331" i="59"/>
  <c r="BP331" i="59"/>
  <c r="BQ331" i="59"/>
  <c r="BR331" i="59"/>
  <c r="BS331" i="59"/>
  <c r="BT331" i="59"/>
  <c r="BU331" i="59"/>
  <c r="BV331" i="59"/>
  <c r="BW331" i="59"/>
  <c r="BX331" i="59"/>
  <c r="BY331" i="59"/>
  <c r="BZ331" i="59"/>
  <c r="CA331" i="59"/>
  <c r="CB331" i="59"/>
  <c r="CC331" i="59"/>
  <c r="CD331" i="59"/>
  <c r="CE331" i="59"/>
  <c r="CF331" i="59"/>
  <c r="CG331" i="59"/>
  <c r="CH331" i="59"/>
  <c r="CI331" i="59"/>
  <c r="CJ331" i="59"/>
  <c r="CK331" i="59"/>
  <c r="CL331" i="59"/>
  <c r="CM331" i="59"/>
  <c r="CN331" i="59"/>
  <c r="CO331" i="59"/>
  <c r="CP331" i="59"/>
  <c r="CQ331" i="59"/>
  <c r="CR331" i="59"/>
  <c r="CS331" i="59"/>
  <c r="CT331" i="59"/>
  <c r="CU331" i="59"/>
  <c r="CV331" i="59"/>
  <c r="CW331" i="59"/>
  <c r="CX331" i="59"/>
  <c r="CY331" i="59"/>
  <c r="CZ331" i="59"/>
  <c r="DA331" i="59"/>
  <c r="DB331" i="59"/>
  <c r="DC331" i="59"/>
  <c r="DD331" i="59"/>
  <c r="DE331" i="59"/>
  <c r="DF331" i="59"/>
  <c r="DG331" i="59"/>
  <c r="DH331" i="59"/>
  <c r="DI331" i="59"/>
  <c r="DJ331" i="59"/>
  <c r="DK331" i="59"/>
  <c r="DL331" i="59"/>
  <c r="DM331" i="59"/>
  <c r="DN331" i="59"/>
  <c r="DO331" i="59"/>
  <c r="DP331" i="59"/>
  <c r="DQ331" i="59"/>
  <c r="DR331" i="59"/>
  <c r="DS331" i="59"/>
  <c r="DT331" i="59"/>
  <c r="DU331" i="59"/>
  <c r="DV331" i="59"/>
  <c r="DW331" i="59"/>
  <c r="DX331" i="59"/>
  <c r="DY331" i="59"/>
  <c r="DZ331" i="59"/>
  <c r="EA331" i="59"/>
  <c r="EB331" i="59"/>
  <c r="EC331" i="59"/>
  <c r="ED331" i="59"/>
  <c r="EE331" i="59"/>
  <c r="EF331" i="59"/>
  <c r="EG331" i="59"/>
  <c r="EH331" i="59"/>
  <c r="EI331" i="59"/>
  <c r="EJ331" i="59"/>
  <c r="EK331" i="59"/>
  <c r="EL331" i="59"/>
  <c r="EM331" i="59"/>
  <c r="EN331" i="59"/>
  <c r="EO331" i="59"/>
  <c r="EP331" i="59"/>
  <c r="EQ331" i="59"/>
  <c r="ER331" i="59"/>
  <c r="ES331" i="59"/>
  <c r="ET331" i="59"/>
  <c r="EU331" i="59"/>
  <c r="EV331" i="59"/>
  <c r="EW331" i="59"/>
  <c r="EX331" i="59"/>
  <c r="EY331" i="59"/>
  <c r="EZ331" i="59"/>
  <c r="FA331" i="59"/>
  <c r="FB331" i="59"/>
  <c r="FC331" i="59"/>
  <c r="FD331" i="59"/>
  <c r="FE331" i="59"/>
  <c r="FF331" i="59"/>
  <c r="FG331" i="59"/>
  <c r="FH331" i="59"/>
  <c r="FI331" i="59"/>
  <c r="FJ331" i="59"/>
  <c r="FK331" i="59"/>
  <c r="FL331" i="59"/>
  <c r="FM331" i="59"/>
  <c r="FN331" i="59"/>
  <c r="FO331" i="59"/>
  <c r="FP331" i="59"/>
  <c r="FQ331" i="59"/>
  <c r="FR331" i="59"/>
  <c r="FS331" i="59"/>
  <c r="FT331" i="59"/>
  <c r="FU331" i="59"/>
  <c r="FV331" i="59"/>
  <c r="FW331" i="59"/>
  <c r="FX331" i="59"/>
  <c r="FY331" i="59"/>
  <c r="FZ331" i="59"/>
  <c r="GA331" i="59"/>
  <c r="GB331" i="59"/>
  <c r="GC331" i="59"/>
  <c r="GD331" i="59"/>
  <c r="GE331" i="59"/>
  <c r="GF331" i="59"/>
  <c r="GG331" i="59"/>
  <c r="GH331" i="59"/>
  <c r="GI331" i="59"/>
  <c r="GJ331" i="59"/>
  <c r="GK331" i="59"/>
  <c r="GL331" i="59"/>
  <c r="GM331" i="59"/>
  <c r="GN331" i="59"/>
  <c r="GO331" i="59"/>
  <c r="GP331" i="59"/>
  <c r="GQ331" i="59"/>
  <c r="GR331" i="59"/>
  <c r="GS331" i="59"/>
  <c r="GT331" i="59"/>
  <c r="GU331" i="59"/>
  <c r="GV331" i="59"/>
  <c r="GW331" i="59"/>
  <c r="GX331" i="59"/>
  <c r="GY331" i="59"/>
  <c r="GZ331" i="59"/>
  <c r="HA331" i="59"/>
  <c r="HB331" i="59"/>
  <c r="HC331" i="59"/>
  <c r="HD331" i="59"/>
  <c r="HE331" i="59"/>
  <c r="HF331" i="59"/>
  <c r="HG331" i="59"/>
  <c r="HH331" i="59"/>
  <c r="HI331" i="59"/>
  <c r="HJ331" i="59"/>
  <c r="HK331" i="59"/>
  <c r="HL331" i="59"/>
  <c r="HM331" i="59"/>
  <c r="HN331" i="59"/>
  <c r="HO331" i="59"/>
  <c r="HP331" i="59"/>
  <c r="HQ331" i="59"/>
  <c r="HR331" i="59"/>
  <c r="HS331" i="59"/>
  <c r="HT331" i="59"/>
  <c r="HU331" i="59"/>
  <c r="HV331" i="59"/>
  <c r="HW331" i="59"/>
  <c r="HX331" i="59"/>
  <c r="HY331" i="59"/>
  <c r="HZ331" i="59"/>
  <c r="IA331" i="59"/>
  <c r="IB331" i="59"/>
  <c r="IC331" i="59"/>
  <c r="ID331" i="59"/>
  <c r="IE331" i="59"/>
  <c r="IF331" i="59"/>
  <c r="IG331" i="59"/>
  <c r="IH331" i="59"/>
  <c r="II331" i="59"/>
  <c r="IJ331" i="59"/>
  <c r="IK331" i="59"/>
  <c r="IL331" i="59"/>
  <c r="IM331" i="59"/>
  <c r="IN331" i="59"/>
  <c r="IO331" i="59"/>
  <c r="IP331" i="59"/>
  <c r="IQ331" i="59"/>
  <c r="IR331" i="59"/>
  <c r="IS331" i="59"/>
  <c r="IT331" i="59"/>
  <c r="IU331" i="59"/>
  <c r="IV331" i="59"/>
  <c r="F332" i="59"/>
  <c r="G332" i="59"/>
  <c r="H332" i="59"/>
  <c r="I332" i="59"/>
  <c r="J332" i="59"/>
  <c r="K332" i="59"/>
  <c r="L332" i="59"/>
  <c r="M332" i="59"/>
  <c r="N332" i="59"/>
  <c r="O332" i="59"/>
  <c r="P332" i="59"/>
  <c r="Q332" i="59"/>
  <c r="R332" i="59"/>
  <c r="S332" i="59"/>
  <c r="T332" i="59"/>
  <c r="U332" i="59"/>
  <c r="V332" i="59"/>
  <c r="W332" i="59"/>
  <c r="X332" i="59"/>
  <c r="Y332" i="59"/>
  <c r="Z332" i="59"/>
  <c r="AA332" i="59"/>
  <c r="AB332" i="59"/>
  <c r="AC332" i="59"/>
  <c r="AD332" i="59"/>
  <c r="AE332" i="59"/>
  <c r="AF332" i="59"/>
  <c r="AG332" i="59"/>
  <c r="AH332" i="59"/>
  <c r="AI332" i="59"/>
  <c r="AJ332" i="59"/>
  <c r="AK332" i="59"/>
  <c r="AL332" i="59"/>
  <c r="AM332" i="59"/>
  <c r="AN332" i="59"/>
  <c r="AO332" i="59"/>
  <c r="AP332" i="59"/>
  <c r="AQ332" i="59"/>
  <c r="AR332" i="59"/>
  <c r="AS332" i="59"/>
  <c r="AT332" i="59"/>
  <c r="AU332" i="59"/>
  <c r="AV332" i="59"/>
  <c r="AW332" i="59"/>
  <c r="AX332" i="59"/>
  <c r="AY332" i="59"/>
  <c r="AZ332" i="59"/>
  <c r="BA332" i="59"/>
  <c r="BB332" i="59"/>
  <c r="BC332" i="59"/>
  <c r="BD332" i="59"/>
  <c r="BE332" i="59"/>
  <c r="BF332" i="59"/>
  <c r="BG332" i="59"/>
  <c r="BH332" i="59"/>
  <c r="BI332" i="59"/>
  <c r="BJ332" i="59"/>
  <c r="BK332" i="59"/>
  <c r="BL332" i="59"/>
  <c r="BM332" i="59"/>
  <c r="BN332" i="59"/>
  <c r="BO332" i="59"/>
  <c r="BP332" i="59"/>
  <c r="BQ332" i="59"/>
  <c r="BR332" i="59"/>
  <c r="BS332" i="59"/>
  <c r="BT332" i="59"/>
  <c r="BU332" i="59"/>
  <c r="BV332" i="59"/>
  <c r="BW332" i="59"/>
  <c r="BX332" i="59"/>
  <c r="BY332" i="59"/>
  <c r="BZ332" i="59"/>
  <c r="CA332" i="59"/>
  <c r="CB332" i="59"/>
  <c r="CC332" i="59"/>
  <c r="CD332" i="59"/>
  <c r="CE332" i="59"/>
  <c r="CF332" i="59"/>
  <c r="CG332" i="59"/>
  <c r="CH332" i="59"/>
  <c r="CI332" i="59"/>
  <c r="CJ332" i="59"/>
  <c r="CK332" i="59"/>
  <c r="CL332" i="59"/>
  <c r="CM332" i="59"/>
  <c r="CN332" i="59"/>
  <c r="CO332" i="59"/>
  <c r="CP332" i="59"/>
  <c r="CQ332" i="59"/>
  <c r="CR332" i="59"/>
  <c r="CS332" i="59"/>
  <c r="CT332" i="59"/>
  <c r="CU332" i="59"/>
  <c r="CV332" i="59"/>
  <c r="CW332" i="59"/>
  <c r="CX332" i="59"/>
  <c r="CY332" i="59"/>
  <c r="CZ332" i="59"/>
  <c r="DA332" i="59"/>
  <c r="DB332" i="59"/>
  <c r="DC332" i="59"/>
  <c r="DD332" i="59"/>
  <c r="DE332" i="59"/>
  <c r="DF332" i="59"/>
  <c r="DG332" i="59"/>
  <c r="DH332" i="59"/>
  <c r="DI332" i="59"/>
  <c r="DJ332" i="59"/>
  <c r="DK332" i="59"/>
  <c r="DL332" i="59"/>
  <c r="DM332" i="59"/>
  <c r="DN332" i="59"/>
  <c r="DO332" i="59"/>
  <c r="DP332" i="59"/>
  <c r="DQ332" i="59"/>
  <c r="DR332" i="59"/>
  <c r="DS332" i="59"/>
  <c r="DT332" i="59"/>
  <c r="DU332" i="59"/>
  <c r="DV332" i="59"/>
  <c r="DW332" i="59"/>
  <c r="DX332" i="59"/>
  <c r="DY332" i="59"/>
  <c r="DZ332" i="59"/>
  <c r="EA332" i="59"/>
  <c r="EB332" i="59"/>
  <c r="EC332" i="59"/>
  <c r="ED332" i="59"/>
  <c r="EE332" i="59"/>
  <c r="EF332" i="59"/>
  <c r="EG332" i="59"/>
  <c r="EH332" i="59"/>
  <c r="EI332" i="59"/>
  <c r="EJ332" i="59"/>
  <c r="EK332" i="59"/>
  <c r="EL332" i="59"/>
  <c r="EM332" i="59"/>
  <c r="EN332" i="59"/>
  <c r="EO332" i="59"/>
  <c r="EP332" i="59"/>
  <c r="EQ332" i="59"/>
  <c r="ER332" i="59"/>
  <c r="ES332" i="59"/>
  <c r="ET332" i="59"/>
  <c r="EU332" i="59"/>
  <c r="EV332" i="59"/>
  <c r="EW332" i="59"/>
  <c r="EX332" i="59"/>
  <c r="EY332" i="59"/>
  <c r="EZ332" i="59"/>
  <c r="FA332" i="59"/>
  <c r="FB332" i="59"/>
  <c r="FC332" i="59"/>
  <c r="FD332" i="59"/>
  <c r="FE332" i="59"/>
  <c r="FF332" i="59"/>
  <c r="FG332" i="59"/>
  <c r="FH332" i="59"/>
  <c r="FI332" i="59"/>
  <c r="FJ332" i="59"/>
  <c r="FK332" i="59"/>
  <c r="FL332" i="59"/>
  <c r="FM332" i="59"/>
  <c r="FN332" i="59"/>
  <c r="FO332" i="59"/>
  <c r="FP332" i="59"/>
  <c r="FQ332" i="59"/>
  <c r="FR332" i="59"/>
  <c r="FS332" i="59"/>
  <c r="FT332" i="59"/>
  <c r="FU332" i="59"/>
  <c r="FV332" i="59"/>
  <c r="FW332" i="59"/>
  <c r="FX332" i="59"/>
  <c r="FY332" i="59"/>
  <c r="FZ332" i="59"/>
  <c r="GA332" i="59"/>
  <c r="GB332" i="59"/>
  <c r="GC332" i="59"/>
  <c r="GD332" i="59"/>
  <c r="GE332" i="59"/>
  <c r="GF332" i="59"/>
  <c r="GG332" i="59"/>
  <c r="GH332" i="59"/>
  <c r="GI332" i="59"/>
  <c r="GJ332" i="59"/>
  <c r="GK332" i="59"/>
  <c r="GL332" i="59"/>
  <c r="GM332" i="59"/>
  <c r="GN332" i="59"/>
  <c r="GO332" i="59"/>
  <c r="GP332" i="59"/>
  <c r="GQ332" i="59"/>
  <c r="GR332" i="59"/>
  <c r="GS332" i="59"/>
  <c r="GT332" i="59"/>
  <c r="GU332" i="59"/>
  <c r="GV332" i="59"/>
  <c r="GW332" i="59"/>
  <c r="GX332" i="59"/>
  <c r="GY332" i="59"/>
  <c r="GZ332" i="59"/>
  <c r="HA332" i="59"/>
  <c r="HB332" i="59"/>
  <c r="HC332" i="59"/>
  <c r="HD332" i="59"/>
  <c r="HE332" i="59"/>
  <c r="HF332" i="59"/>
  <c r="HG332" i="59"/>
  <c r="HH332" i="59"/>
  <c r="HI332" i="59"/>
  <c r="HJ332" i="59"/>
  <c r="HK332" i="59"/>
  <c r="HL332" i="59"/>
  <c r="HM332" i="59"/>
  <c r="HN332" i="59"/>
  <c r="HO332" i="59"/>
  <c r="HP332" i="59"/>
  <c r="HQ332" i="59"/>
  <c r="HR332" i="59"/>
  <c r="HS332" i="59"/>
  <c r="HT332" i="59"/>
  <c r="HU332" i="59"/>
  <c r="HV332" i="59"/>
  <c r="HW332" i="59"/>
  <c r="HX332" i="59"/>
  <c r="HY332" i="59"/>
  <c r="HZ332" i="59"/>
  <c r="IA332" i="59"/>
  <c r="IB332" i="59"/>
  <c r="IC332" i="59"/>
  <c r="ID332" i="59"/>
  <c r="IE332" i="59"/>
  <c r="IF332" i="59"/>
  <c r="IG332" i="59"/>
  <c r="IH332" i="59"/>
  <c r="II332" i="59"/>
  <c r="IJ332" i="59"/>
  <c r="IK332" i="59"/>
  <c r="IL332" i="59"/>
  <c r="IM332" i="59"/>
  <c r="IN332" i="59"/>
  <c r="IO332" i="59"/>
  <c r="IP332" i="59"/>
  <c r="IQ332" i="59"/>
  <c r="IR332" i="59"/>
  <c r="IS332" i="59"/>
  <c r="IT332" i="59"/>
  <c r="IU332" i="59"/>
  <c r="IV332" i="59"/>
  <c r="F333" i="59"/>
  <c r="G333" i="59"/>
  <c r="H333" i="59"/>
  <c r="I333" i="59"/>
  <c r="J333" i="59"/>
  <c r="K333" i="59"/>
  <c r="L333" i="59"/>
  <c r="M333" i="59"/>
  <c r="N333" i="59"/>
  <c r="O333" i="59"/>
  <c r="P333" i="59"/>
  <c r="Q333" i="59"/>
  <c r="R333" i="59"/>
  <c r="S333" i="59"/>
  <c r="T333" i="59"/>
  <c r="U333" i="59"/>
  <c r="V333" i="59"/>
  <c r="W333" i="59"/>
  <c r="X333" i="59"/>
  <c r="Y333" i="59"/>
  <c r="Z333" i="59"/>
  <c r="AA333" i="59"/>
  <c r="AB333" i="59"/>
  <c r="AC333" i="59"/>
  <c r="AD333" i="59"/>
  <c r="AE333" i="59"/>
  <c r="AF333" i="59"/>
  <c r="AG333" i="59"/>
  <c r="AH333" i="59"/>
  <c r="AI333" i="59"/>
  <c r="AJ333" i="59"/>
  <c r="AK333" i="59"/>
  <c r="AL333" i="59"/>
  <c r="AM333" i="59"/>
  <c r="AN333" i="59"/>
  <c r="AO333" i="59"/>
  <c r="AP333" i="59"/>
  <c r="AQ333" i="59"/>
  <c r="AR333" i="59"/>
  <c r="AS333" i="59"/>
  <c r="AT333" i="59"/>
  <c r="AU333" i="59"/>
  <c r="AV333" i="59"/>
  <c r="AW333" i="59"/>
  <c r="AX333" i="59"/>
  <c r="AY333" i="59"/>
  <c r="AZ333" i="59"/>
  <c r="BA333" i="59"/>
  <c r="BB333" i="59"/>
  <c r="BC333" i="59"/>
  <c r="BD333" i="59"/>
  <c r="BE333" i="59"/>
  <c r="BF333" i="59"/>
  <c r="BG333" i="59"/>
  <c r="BH333" i="59"/>
  <c r="BI333" i="59"/>
  <c r="BJ333" i="59"/>
  <c r="BK333" i="59"/>
  <c r="BL333" i="59"/>
  <c r="BM333" i="59"/>
  <c r="BN333" i="59"/>
  <c r="BO333" i="59"/>
  <c r="BP333" i="59"/>
  <c r="BQ333" i="59"/>
  <c r="BR333" i="59"/>
  <c r="BS333" i="59"/>
  <c r="BT333" i="59"/>
  <c r="BU333" i="59"/>
  <c r="BV333" i="59"/>
  <c r="BW333" i="59"/>
  <c r="BX333" i="59"/>
  <c r="BY333" i="59"/>
  <c r="BZ333" i="59"/>
  <c r="CA333" i="59"/>
  <c r="CB333" i="59"/>
  <c r="CC333" i="59"/>
  <c r="CD333" i="59"/>
  <c r="CE333" i="59"/>
  <c r="CF333" i="59"/>
  <c r="CG333" i="59"/>
  <c r="CH333" i="59"/>
  <c r="CI333" i="59"/>
  <c r="CJ333" i="59"/>
  <c r="CK333" i="59"/>
  <c r="CL333" i="59"/>
  <c r="CM333" i="59"/>
  <c r="CN333" i="59"/>
  <c r="CO333" i="59"/>
  <c r="CP333" i="59"/>
  <c r="CQ333" i="59"/>
  <c r="CR333" i="59"/>
  <c r="CS333" i="59"/>
  <c r="CT333" i="59"/>
  <c r="CU333" i="59"/>
  <c r="CV333" i="59"/>
  <c r="CW333" i="59"/>
  <c r="CX333" i="59"/>
  <c r="CY333" i="59"/>
  <c r="CZ333" i="59"/>
  <c r="DA333" i="59"/>
  <c r="DB333" i="59"/>
  <c r="DC333" i="59"/>
  <c r="DD333" i="59"/>
  <c r="DE333" i="59"/>
  <c r="DF333" i="59"/>
  <c r="DG333" i="59"/>
  <c r="DH333" i="59"/>
  <c r="DI333" i="59"/>
  <c r="DJ333" i="59"/>
  <c r="DK333" i="59"/>
  <c r="DL333" i="59"/>
  <c r="DM333" i="59"/>
  <c r="DN333" i="59"/>
  <c r="DO333" i="59"/>
  <c r="DP333" i="59"/>
  <c r="DQ333" i="59"/>
  <c r="DR333" i="59"/>
  <c r="DS333" i="59"/>
  <c r="DT333" i="59"/>
  <c r="DU333" i="59"/>
  <c r="DV333" i="59"/>
  <c r="DW333" i="59"/>
  <c r="DX333" i="59"/>
  <c r="DY333" i="59"/>
  <c r="DZ333" i="59"/>
  <c r="EA333" i="59"/>
  <c r="EB333" i="59"/>
  <c r="EC333" i="59"/>
  <c r="ED333" i="59"/>
  <c r="EE333" i="59"/>
  <c r="EF333" i="59"/>
  <c r="EG333" i="59"/>
  <c r="EH333" i="59"/>
  <c r="EI333" i="59"/>
  <c r="EJ333" i="59"/>
  <c r="EK333" i="59"/>
  <c r="EL333" i="59"/>
  <c r="EM333" i="59"/>
  <c r="EN333" i="59"/>
  <c r="EO333" i="59"/>
  <c r="EP333" i="59"/>
  <c r="EQ333" i="59"/>
  <c r="ER333" i="59"/>
  <c r="ES333" i="59"/>
  <c r="ET333" i="59"/>
  <c r="EU333" i="59"/>
  <c r="EV333" i="59"/>
  <c r="EW333" i="59"/>
  <c r="EX333" i="59"/>
  <c r="EY333" i="59"/>
  <c r="EZ333" i="59"/>
  <c r="FA333" i="59"/>
  <c r="FB333" i="59"/>
  <c r="FC333" i="59"/>
  <c r="FD333" i="59"/>
  <c r="FE333" i="59"/>
  <c r="FF333" i="59"/>
  <c r="FG333" i="59"/>
  <c r="FH333" i="59"/>
  <c r="FI333" i="59"/>
  <c r="FJ333" i="59"/>
  <c r="FK333" i="59"/>
  <c r="FL333" i="59"/>
  <c r="FM333" i="59"/>
  <c r="FN333" i="59"/>
  <c r="FO333" i="59"/>
  <c r="FP333" i="59"/>
  <c r="FQ333" i="59"/>
  <c r="FR333" i="59"/>
  <c r="FS333" i="59"/>
  <c r="FT333" i="59"/>
  <c r="FU333" i="59"/>
  <c r="FV333" i="59"/>
  <c r="FW333" i="59"/>
  <c r="FX333" i="59"/>
  <c r="FY333" i="59"/>
  <c r="FZ333" i="59"/>
  <c r="GA333" i="59"/>
  <c r="GB333" i="59"/>
  <c r="GC333" i="59"/>
  <c r="GD333" i="59"/>
  <c r="GE333" i="59"/>
  <c r="GF333" i="59"/>
  <c r="GG333" i="59"/>
  <c r="GH333" i="59"/>
  <c r="GI333" i="59"/>
  <c r="GJ333" i="59"/>
  <c r="GK333" i="59"/>
  <c r="GL333" i="59"/>
  <c r="GM333" i="59"/>
  <c r="GN333" i="59"/>
  <c r="GO333" i="59"/>
  <c r="GP333" i="59"/>
  <c r="GQ333" i="59"/>
  <c r="GR333" i="59"/>
  <c r="GS333" i="59"/>
  <c r="GT333" i="59"/>
  <c r="GU333" i="59"/>
  <c r="GV333" i="59"/>
  <c r="GW333" i="59"/>
  <c r="GX333" i="59"/>
  <c r="GY333" i="59"/>
  <c r="GZ333" i="59"/>
  <c r="HA333" i="59"/>
  <c r="HB333" i="59"/>
  <c r="HC333" i="59"/>
  <c r="HD333" i="59"/>
  <c r="HE333" i="59"/>
  <c r="HF333" i="59"/>
  <c r="HG333" i="59"/>
  <c r="HH333" i="59"/>
  <c r="HI333" i="59"/>
  <c r="HJ333" i="59"/>
  <c r="HK333" i="59"/>
  <c r="HL333" i="59"/>
  <c r="HM333" i="59"/>
  <c r="HN333" i="59"/>
  <c r="HO333" i="59"/>
  <c r="HP333" i="59"/>
  <c r="HQ333" i="59"/>
  <c r="HR333" i="59"/>
  <c r="HS333" i="59"/>
  <c r="HT333" i="59"/>
  <c r="HU333" i="59"/>
  <c r="HV333" i="59"/>
  <c r="HW333" i="59"/>
  <c r="HX333" i="59"/>
  <c r="HY333" i="59"/>
  <c r="HZ333" i="59"/>
  <c r="IA333" i="59"/>
  <c r="IB333" i="59"/>
  <c r="IC333" i="59"/>
  <c r="ID333" i="59"/>
  <c r="IE333" i="59"/>
  <c r="IF333" i="59"/>
  <c r="IG333" i="59"/>
  <c r="IH333" i="59"/>
  <c r="II333" i="59"/>
  <c r="IJ333" i="59"/>
  <c r="IK333" i="59"/>
  <c r="IL333" i="59"/>
  <c r="IM333" i="59"/>
  <c r="IN333" i="59"/>
  <c r="IO333" i="59"/>
  <c r="IP333" i="59"/>
  <c r="IQ333" i="59"/>
  <c r="IR333" i="59"/>
  <c r="IS333" i="59"/>
  <c r="IT333" i="59"/>
  <c r="IU333" i="59"/>
  <c r="IV333" i="59"/>
  <c r="F334" i="59"/>
  <c r="G334" i="59"/>
  <c r="H334" i="59"/>
  <c r="I334" i="59"/>
  <c r="J334" i="59"/>
  <c r="K334" i="59"/>
  <c r="L334" i="59"/>
  <c r="M334" i="59"/>
  <c r="N334" i="59"/>
  <c r="O334" i="59"/>
  <c r="P334" i="59"/>
  <c r="Q334" i="59"/>
  <c r="R334" i="59"/>
  <c r="S334" i="59"/>
  <c r="T334" i="59"/>
  <c r="U334" i="59"/>
  <c r="V334" i="59"/>
  <c r="X334" i="59"/>
  <c r="Y334" i="59"/>
  <c r="Z334" i="59"/>
  <c r="AA334" i="59"/>
  <c r="AB334" i="59"/>
  <c r="AC334" i="59"/>
  <c r="AD334" i="59"/>
  <c r="AE334" i="59"/>
  <c r="AF334" i="59"/>
  <c r="AG334" i="59"/>
  <c r="AH334" i="59"/>
  <c r="AI334" i="59"/>
  <c r="AJ334" i="59"/>
  <c r="AK334" i="59"/>
  <c r="AL334" i="59"/>
  <c r="AM334" i="59"/>
  <c r="AN334" i="59"/>
  <c r="AO334" i="59"/>
  <c r="AP334" i="59"/>
  <c r="AR334" i="59"/>
  <c r="AS334" i="59"/>
  <c r="AT334" i="59"/>
  <c r="AU334" i="59"/>
  <c r="AV334" i="59"/>
  <c r="AW334" i="59"/>
  <c r="AX334" i="59"/>
  <c r="AY334" i="59"/>
  <c r="AZ334" i="59"/>
  <c r="BA334" i="59"/>
  <c r="BB334" i="59"/>
  <c r="BC334" i="59"/>
  <c r="BD334" i="59"/>
  <c r="BE334" i="59"/>
  <c r="BF334" i="59"/>
  <c r="BG334" i="59"/>
  <c r="BH334" i="59"/>
  <c r="BI334" i="59"/>
  <c r="BJ334" i="59"/>
  <c r="BK334" i="59"/>
  <c r="BL334" i="59"/>
  <c r="BM334" i="59"/>
  <c r="BN334" i="59"/>
  <c r="BO334" i="59"/>
  <c r="BP334" i="59"/>
  <c r="BQ334" i="59"/>
  <c r="BR334" i="59"/>
  <c r="BS334" i="59"/>
  <c r="BT334" i="59"/>
  <c r="BU334" i="59"/>
  <c r="BV334" i="59"/>
  <c r="BW334" i="59"/>
  <c r="BX334" i="59"/>
  <c r="BY334" i="59"/>
  <c r="BZ334" i="59"/>
  <c r="CA334" i="59"/>
  <c r="CB334" i="59"/>
  <c r="CC334" i="59"/>
  <c r="CD334" i="59"/>
  <c r="CE334" i="59"/>
  <c r="CF334" i="59"/>
  <c r="CG334" i="59"/>
  <c r="CH334" i="59"/>
  <c r="CI334" i="59"/>
  <c r="CJ334" i="59"/>
  <c r="CK334" i="59"/>
  <c r="CL334" i="59"/>
  <c r="CM334" i="59"/>
  <c r="CN334" i="59"/>
  <c r="CO334" i="59"/>
  <c r="CP334" i="59"/>
  <c r="CQ334" i="59"/>
  <c r="CR334" i="59"/>
  <c r="CS334" i="59"/>
  <c r="CT334" i="59"/>
  <c r="CU334" i="59"/>
  <c r="CV334" i="59"/>
  <c r="CW334" i="59"/>
  <c r="CX334" i="59"/>
  <c r="CY334" i="59"/>
  <c r="CZ334" i="59"/>
  <c r="DA334" i="59"/>
  <c r="DB334" i="59"/>
  <c r="DC334" i="59"/>
  <c r="DD334" i="59"/>
  <c r="DE334" i="59"/>
  <c r="DF334" i="59"/>
  <c r="DG334" i="59"/>
  <c r="DH334" i="59"/>
  <c r="DI334" i="59"/>
  <c r="DJ334" i="59"/>
  <c r="DK334" i="59"/>
  <c r="DL334" i="59"/>
  <c r="DM334" i="59"/>
  <c r="DN334" i="59"/>
  <c r="DO334" i="59"/>
  <c r="DP334" i="59"/>
  <c r="DQ334" i="59"/>
  <c r="DR334" i="59"/>
  <c r="DS334" i="59"/>
  <c r="DT334" i="59"/>
  <c r="DU334" i="59"/>
  <c r="DV334" i="59"/>
  <c r="DW334" i="59"/>
  <c r="DX334" i="59"/>
  <c r="DY334" i="59"/>
  <c r="DZ334" i="59"/>
  <c r="EA334" i="59"/>
  <c r="EB334" i="59"/>
  <c r="EC334" i="59"/>
  <c r="ED334" i="59"/>
  <c r="EE334" i="59"/>
  <c r="EF334" i="59"/>
  <c r="EG334" i="59"/>
  <c r="EH334" i="59"/>
  <c r="EI334" i="59"/>
  <c r="EJ334" i="59"/>
  <c r="EK334" i="59"/>
  <c r="EL334" i="59"/>
  <c r="EM334" i="59"/>
  <c r="EN334" i="59"/>
  <c r="EO334" i="59"/>
  <c r="EP334" i="59"/>
  <c r="EQ334" i="59"/>
  <c r="ER334" i="59"/>
  <c r="ES334" i="59"/>
  <c r="ET334" i="59"/>
  <c r="EU334" i="59"/>
  <c r="EV334" i="59"/>
  <c r="EW334" i="59"/>
  <c r="EX334" i="59"/>
  <c r="EY334" i="59"/>
  <c r="EZ334" i="59"/>
  <c r="FA334" i="59"/>
  <c r="FB334" i="59"/>
  <c r="FC334" i="59"/>
  <c r="FD334" i="59"/>
  <c r="FE334" i="59"/>
  <c r="FF334" i="59"/>
  <c r="FG334" i="59"/>
  <c r="FH334" i="59"/>
  <c r="FI334" i="59"/>
  <c r="FJ334" i="59"/>
  <c r="FK334" i="59"/>
  <c r="FL334" i="59"/>
  <c r="FM334" i="59"/>
  <c r="FN334" i="59"/>
  <c r="FO334" i="59"/>
  <c r="FP334" i="59"/>
  <c r="FQ334" i="59"/>
  <c r="FR334" i="59"/>
  <c r="FS334" i="59"/>
  <c r="FT334" i="59"/>
  <c r="FU334" i="59"/>
  <c r="FV334" i="59"/>
  <c r="FW334" i="59"/>
  <c r="FX334" i="59"/>
  <c r="FY334" i="59"/>
  <c r="FZ334" i="59"/>
  <c r="GA334" i="59"/>
  <c r="GB334" i="59"/>
  <c r="GC334" i="59"/>
  <c r="GD334" i="59"/>
  <c r="GE334" i="59"/>
  <c r="GF334" i="59"/>
  <c r="GG334" i="59"/>
  <c r="GH334" i="59"/>
  <c r="GI334" i="59"/>
  <c r="GJ334" i="59"/>
  <c r="GK334" i="59"/>
  <c r="GL334" i="59"/>
  <c r="GM334" i="59"/>
  <c r="GN334" i="59"/>
  <c r="GO334" i="59"/>
  <c r="GP334" i="59"/>
  <c r="GQ334" i="59"/>
  <c r="GR334" i="59"/>
  <c r="GS334" i="59"/>
  <c r="GT334" i="59"/>
  <c r="GU334" i="59"/>
  <c r="GV334" i="59"/>
  <c r="GW334" i="59"/>
  <c r="GX334" i="59"/>
  <c r="GY334" i="59"/>
  <c r="GZ334" i="59"/>
  <c r="HA334" i="59"/>
  <c r="HB334" i="59"/>
  <c r="HC334" i="59"/>
  <c r="HD334" i="59"/>
  <c r="HE334" i="59"/>
  <c r="HF334" i="59"/>
  <c r="HG334" i="59"/>
  <c r="HH334" i="59"/>
  <c r="HI334" i="59"/>
  <c r="HJ334" i="59"/>
  <c r="HK334" i="59"/>
  <c r="HL334" i="59"/>
  <c r="HM334" i="59"/>
  <c r="HN334" i="59"/>
  <c r="HO334" i="59"/>
  <c r="HP334" i="59"/>
  <c r="HQ334" i="59"/>
  <c r="HR334" i="59"/>
  <c r="HS334" i="59"/>
  <c r="HT334" i="59"/>
  <c r="HU334" i="59"/>
  <c r="HV334" i="59"/>
  <c r="HW334" i="59"/>
  <c r="HX334" i="59"/>
  <c r="HY334" i="59"/>
  <c r="HZ334" i="59"/>
  <c r="IA334" i="59"/>
  <c r="IB334" i="59"/>
  <c r="IC334" i="59"/>
  <c r="ID334" i="59"/>
  <c r="IE334" i="59"/>
  <c r="IF334" i="59"/>
  <c r="IG334" i="59"/>
  <c r="IH334" i="59"/>
  <c r="II334" i="59"/>
  <c r="IJ334" i="59"/>
  <c r="IK334" i="59"/>
  <c r="IL334" i="59"/>
  <c r="IM334" i="59"/>
  <c r="IN334" i="59"/>
  <c r="IO334" i="59"/>
  <c r="IP334" i="59"/>
  <c r="IQ334" i="59"/>
  <c r="IR334" i="59"/>
  <c r="IS334" i="59"/>
  <c r="IT334" i="59"/>
  <c r="IU334" i="59"/>
  <c r="IV334" i="59"/>
  <c r="F335" i="59"/>
  <c r="G335" i="59"/>
  <c r="H335" i="59"/>
  <c r="I335" i="59"/>
  <c r="J335" i="59"/>
  <c r="K335" i="59"/>
  <c r="L335" i="59"/>
  <c r="M335" i="59"/>
  <c r="N335" i="59"/>
  <c r="O335" i="59"/>
  <c r="P335" i="59"/>
  <c r="Q335" i="59"/>
  <c r="R335" i="59"/>
  <c r="S335" i="59"/>
  <c r="T335" i="59"/>
  <c r="U335" i="59"/>
  <c r="V335" i="59"/>
  <c r="W335" i="59"/>
  <c r="X335" i="59"/>
  <c r="Y335" i="59"/>
  <c r="Z335" i="59"/>
  <c r="AA335" i="59"/>
  <c r="AB335" i="59"/>
  <c r="AC335" i="59"/>
  <c r="AD335" i="59"/>
  <c r="AE335" i="59"/>
  <c r="AF335" i="59"/>
  <c r="AG335" i="59"/>
  <c r="AH335" i="59"/>
  <c r="AI335" i="59"/>
  <c r="AJ335" i="59"/>
  <c r="AK335" i="59"/>
  <c r="AL335" i="59"/>
  <c r="AM335" i="59"/>
  <c r="AN335" i="59"/>
  <c r="AO335" i="59"/>
  <c r="AP335" i="59"/>
  <c r="AQ335" i="59"/>
  <c r="AR335" i="59"/>
  <c r="AS335" i="59"/>
  <c r="AT335" i="59"/>
  <c r="AU335" i="59"/>
  <c r="AV335" i="59"/>
  <c r="AW335" i="59"/>
  <c r="AX335" i="59"/>
  <c r="AY335" i="59"/>
  <c r="AZ335" i="59"/>
  <c r="BA335" i="59"/>
  <c r="BB335" i="59"/>
  <c r="BC335" i="59"/>
  <c r="BD335" i="59"/>
  <c r="BE335" i="59"/>
  <c r="BF335" i="59"/>
  <c r="BG335" i="59"/>
  <c r="BH335" i="59"/>
  <c r="BI335" i="59"/>
  <c r="BJ335" i="59"/>
  <c r="BK335" i="59"/>
  <c r="BL335" i="59"/>
  <c r="BM335" i="59"/>
  <c r="BN335" i="59"/>
  <c r="BO335" i="59"/>
  <c r="BP335" i="59"/>
  <c r="BQ335" i="59"/>
  <c r="BR335" i="59"/>
  <c r="BS335" i="59"/>
  <c r="BT335" i="59"/>
  <c r="BU335" i="59"/>
  <c r="BV335" i="59"/>
  <c r="BW335" i="59"/>
  <c r="BX335" i="59"/>
  <c r="BY335" i="59"/>
  <c r="BZ335" i="59"/>
  <c r="CA335" i="59"/>
  <c r="CB335" i="59"/>
  <c r="CC335" i="59"/>
  <c r="CD335" i="59"/>
  <c r="CE335" i="59"/>
  <c r="CF335" i="59"/>
  <c r="CG335" i="59"/>
  <c r="CH335" i="59"/>
  <c r="CI335" i="59"/>
  <c r="CJ335" i="59"/>
  <c r="CK335" i="59"/>
  <c r="CL335" i="59"/>
  <c r="CM335" i="59"/>
  <c r="CN335" i="59"/>
  <c r="CO335" i="59"/>
  <c r="CP335" i="59"/>
  <c r="CQ335" i="59"/>
  <c r="CR335" i="59"/>
  <c r="CS335" i="59"/>
  <c r="CT335" i="59"/>
  <c r="CU335" i="59"/>
  <c r="CV335" i="59"/>
  <c r="CW335" i="59"/>
  <c r="CX335" i="59"/>
  <c r="CY335" i="59"/>
  <c r="CZ335" i="59"/>
  <c r="DA335" i="59"/>
  <c r="DB335" i="59"/>
  <c r="DC335" i="59"/>
  <c r="DD335" i="59"/>
  <c r="DE335" i="59"/>
  <c r="DF335" i="59"/>
  <c r="DG335" i="59"/>
  <c r="DH335" i="59"/>
  <c r="DI335" i="59"/>
  <c r="DJ335" i="59"/>
  <c r="DK335" i="59"/>
  <c r="DL335" i="59"/>
  <c r="DM335" i="59"/>
  <c r="DN335" i="59"/>
  <c r="DO335" i="59"/>
  <c r="DP335" i="59"/>
  <c r="DQ335" i="59"/>
  <c r="DR335" i="59"/>
  <c r="DS335" i="59"/>
  <c r="DT335" i="59"/>
  <c r="DU335" i="59"/>
  <c r="DV335" i="59"/>
  <c r="DW335" i="59"/>
  <c r="DX335" i="59"/>
  <c r="DY335" i="59"/>
  <c r="DZ335" i="59"/>
  <c r="EA335" i="59"/>
  <c r="EB335" i="59"/>
  <c r="EC335" i="59"/>
  <c r="ED335" i="59"/>
  <c r="EE335" i="59"/>
  <c r="EF335" i="59"/>
  <c r="EG335" i="59"/>
  <c r="EH335" i="59"/>
  <c r="EI335" i="59"/>
  <c r="EJ335" i="59"/>
  <c r="EK335" i="59"/>
  <c r="EL335" i="59"/>
  <c r="EM335" i="59"/>
  <c r="EN335" i="59"/>
  <c r="EO335" i="59"/>
  <c r="EP335" i="59"/>
  <c r="EQ335" i="59"/>
  <c r="ER335" i="59"/>
  <c r="ES335" i="59"/>
  <c r="ET335" i="59"/>
  <c r="EU335" i="59"/>
  <c r="EV335" i="59"/>
  <c r="EW335" i="59"/>
  <c r="EX335" i="59"/>
  <c r="EY335" i="59"/>
  <c r="EZ335" i="59"/>
  <c r="FA335" i="59"/>
  <c r="FB335" i="59"/>
  <c r="FC335" i="59"/>
  <c r="FD335" i="59"/>
  <c r="FE335" i="59"/>
  <c r="FF335" i="59"/>
  <c r="FG335" i="59"/>
  <c r="FH335" i="59"/>
  <c r="FI335" i="59"/>
  <c r="FJ335" i="59"/>
  <c r="FK335" i="59"/>
  <c r="FL335" i="59"/>
  <c r="FM335" i="59"/>
  <c r="FN335" i="59"/>
  <c r="FO335" i="59"/>
  <c r="FP335" i="59"/>
  <c r="FQ335" i="59"/>
  <c r="FR335" i="59"/>
  <c r="FS335" i="59"/>
  <c r="FT335" i="59"/>
  <c r="FU335" i="59"/>
  <c r="FV335" i="59"/>
  <c r="FW335" i="59"/>
  <c r="FX335" i="59"/>
  <c r="FY335" i="59"/>
  <c r="FZ335" i="59"/>
  <c r="GA335" i="59"/>
  <c r="GB335" i="59"/>
  <c r="GC335" i="59"/>
  <c r="GD335" i="59"/>
  <c r="GE335" i="59"/>
  <c r="GF335" i="59"/>
  <c r="GG335" i="59"/>
  <c r="GH335" i="59"/>
  <c r="GI335" i="59"/>
  <c r="GJ335" i="59"/>
  <c r="GK335" i="59"/>
  <c r="GL335" i="59"/>
  <c r="GM335" i="59"/>
  <c r="GN335" i="59"/>
  <c r="GO335" i="59"/>
  <c r="GP335" i="59"/>
  <c r="GQ335" i="59"/>
  <c r="GR335" i="59"/>
  <c r="GS335" i="59"/>
  <c r="GT335" i="59"/>
  <c r="GU335" i="59"/>
  <c r="GV335" i="59"/>
  <c r="GW335" i="59"/>
  <c r="GX335" i="59"/>
  <c r="GY335" i="59"/>
  <c r="GZ335" i="59"/>
  <c r="HA335" i="59"/>
  <c r="HB335" i="59"/>
  <c r="HC335" i="59"/>
  <c r="HD335" i="59"/>
  <c r="HE335" i="59"/>
  <c r="HF335" i="59"/>
  <c r="HG335" i="59"/>
  <c r="HH335" i="59"/>
  <c r="HI335" i="59"/>
  <c r="HJ335" i="59"/>
  <c r="HK335" i="59"/>
  <c r="HL335" i="59"/>
  <c r="HM335" i="59"/>
  <c r="HN335" i="59"/>
  <c r="HO335" i="59"/>
  <c r="HP335" i="59"/>
  <c r="HQ335" i="59"/>
  <c r="HR335" i="59"/>
  <c r="HS335" i="59"/>
  <c r="HT335" i="59"/>
  <c r="HU335" i="59"/>
  <c r="HV335" i="59"/>
  <c r="HW335" i="59"/>
  <c r="HX335" i="59"/>
  <c r="HY335" i="59"/>
  <c r="HZ335" i="59"/>
  <c r="IA335" i="59"/>
  <c r="IB335" i="59"/>
  <c r="IC335" i="59"/>
  <c r="ID335" i="59"/>
  <c r="IE335" i="59"/>
  <c r="IF335" i="59"/>
  <c r="IG335" i="59"/>
  <c r="IH335" i="59"/>
  <c r="II335" i="59"/>
  <c r="IJ335" i="59"/>
  <c r="IK335" i="59"/>
  <c r="IL335" i="59"/>
  <c r="IM335" i="59"/>
  <c r="IN335" i="59"/>
  <c r="IO335" i="59"/>
  <c r="IP335" i="59"/>
  <c r="IQ335" i="59"/>
  <c r="IR335" i="59"/>
  <c r="IS335" i="59"/>
  <c r="IT335" i="59"/>
  <c r="IU335" i="59"/>
  <c r="IV335" i="59"/>
  <c r="F336" i="59"/>
  <c r="G336" i="59"/>
  <c r="H336" i="59"/>
  <c r="I336" i="59"/>
  <c r="J336" i="59"/>
  <c r="K336" i="59"/>
  <c r="L336" i="59"/>
  <c r="M336" i="59"/>
  <c r="N336" i="59"/>
  <c r="O336" i="59"/>
  <c r="P336" i="59"/>
  <c r="Q336" i="59"/>
  <c r="R336" i="59"/>
  <c r="S336" i="59"/>
  <c r="T336" i="59"/>
  <c r="U336" i="59"/>
  <c r="V336" i="59"/>
  <c r="W336" i="59"/>
  <c r="X336" i="59"/>
  <c r="Y336" i="59"/>
  <c r="Z336" i="59"/>
  <c r="AA336" i="59"/>
  <c r="AB336" i="59"/>
  <c r="AC336" i="59"/>
  <c r="AD336" i="59"/>
  <c r="AE336" i="59"/>
  <c r="AF336" i="59"/>
  <c r="AG336" i="59"/>
  <c r="AH336" i="59"/>
  <c r="AI336" i="59"/>
  <c r="AJ336" i="59"/>
  <c r="AK336" i="59"/>
  <c r="AL336" i="59"/>
  <c r="AM336" i="59"/>
  <c r="AN336" i="59"/>
  <c r="AO336" i="59"/>
  <c r="AP336" i="59"/>
  <c r="AQ336" i="59"/>
  <c r="AR336" i="59"/>
  <c r="AS336" i="59"/>
  <c r="AT336" i="59"/>
  <c r="AU336" i="59"/>
  <c r="AV336" i="59"/>
  <c r="AW336" i="59"/>
  <c r="AX336" i="59"/>
  <c r="AY336" i="59"/>
  <c r="AZ336" i="59"/>
  <c r="BA336" i="59"/>
  <c r="BB336" i="59"/>
  <c r="BC336" i="59"/>
  <c r="BD336" i="59"/>
  <c r="BE336" i="59"/>
  <c r="BF336" i="59"/>
  <c r="BG336" i="59"/>
  <c r="BH336" i="59"/>
  <c r="BI336" i="59"/>
  <c r="BJ336" i="59"/>
  <c r="BK336" i="59"/>
  <c r="BL336" i="59"/>
  <c r="BM336" i="59"/>
  <c r="BN336" i="59"/>
  <c r="BO336" i="59"/>
  <c r="BP336" i="59"/>
  <c r="BQ336" i="59"/>
  <c r="BR336" i="59"/>
  <c r="BS336" i="59"/>
  <c r="BT336" i="59"/>
  <c r="BU336" i="59"/>
  <c r="BV336" i="59"/>
  <c r="BW336" i="59"/>
  <c r="BX336" i="59"/>
  <c r="BY336" i="59"/>
  <c r="BZ336" i="59"/>
  <c r="CA336" i="59"/>
  <c r="CB336" i="59"/>
  <c r="CC336" i="59"/>
  <c r="CD336" i="59"/>
  <c r="CE336" i="59"/>
  <c r="CF336" i="59"/>
  <c r="CG336" i="59"/>
  <c r="CH336" i="59"/>
  <c r="CI336" i="59"/>
  <c r="CJ336" i="59"/>
  <c r="CK336" i="59"/>
  <c r="CL336" i="59"/>
  <c r="CM336" i="59"/>
  <c r="CN336" i="59"/>
  <c r="CO336" i="59"/>
  <c r="CP336" i="59"/>
  <c r="CQ336" i="59"/>
  <c r="CR336" i="59"/>
  <c r="CS336" i="59"/>
  <c r="CT336" i="59"/>
  <c r="CU336" i="59"/>
  <c r="CV336" i="59"/>
  <c r="CW336" i="59"/>
  <c r="CX336" i="59"/>
  <c r="CY336" i="59"/>
  <c r="CZ336" i="59"/>
  <c r="DA336" i="59"/>
  <c r="DB336" i="59"/>
  <c r="DC336" i="59"/>
  <c r="DD336" i="59"/>
  <c r="DE336" i="59"/>
  <c r="DF336" i="59"/>
  <c r="DG336" i="59"/>
  <c r="DH336" i="59"/>
  <c r="DI336" i="59"/>
  <c r="DJ336" i="59"/>
  <c r="DK336" i="59"/>
  <c r="DL336" i="59"/>
  <c r="DM336" i="59"/>
  <c r="DN336" i="59"/>
  <c r="DO336" i="59"/>
  <c r="DP336" i="59"/>
  <c r="DQ336" i="59"/>
  <c r="DR336" i="59"/>
  <c r="DS336" i="59"/>
  <c r="DT336" i="59"/>
  <c r="DU336" i="59"/>
  <c r="DV336" i="59"/>
  <c r="DW336" i="59"/>
  <c r="DX336" i="59"/>
  <c r="DY336" i="59"/>
  <c r="DZ336" i="59"/>
  <c r="EA336" i="59"/>
  <c r="EB336" i="59"/>
  <c r="EC336" i="59"/>
  <c r="ED336" i="59"/>
  <c r="EE336" i="59"/>
  <c r="EF336" i="59"/>
  <c r="EG336" i="59"/>
  <c r="EH336" i="59"/>
  <c r="EI336" i="59"/>
  <c r="EJ336" i="59"/>
  <c r="EK336" i="59"/>
  <c r="EL336" i="59"/>
  <c r="EM336" i="59"/>
  <c r="EN336" i="59"/>
  <c r="EO336" i="59"/>
  <c r="EP336" i="59"/>
  <c r="EQ336" i="59"/>
  <c r="ER336" i="59"/>
  <c r="ES336" i="59"/>
  <c r="ET336" i="59"/>
  <c r="EU336" i="59"/>
  <c r="EV336" i="59"/>
  <c r="EW336" i="59"/>
  <c r="EX336" i="59"/>
  <c r="EY336" i="59"/>
  <c r="EZ336" i="59"/>
  <c r="FA336" i="59"/>
  <c r="FB336" i="59"/>
  <c r="FC336" i="59"/>
  <c r="FD336" i="59"/>
  <c r="FE336" i="59"/>
  <c r="FF336" i="59"/>
  <c r="FG336" i="59"/>
  <c r="FH336" i="59"/>
  <c r="FI336" i="59"/>
  <c r="FJ336" i="59"/>
  <c r="FK336" i="59"/>
  <c r="FL336" i="59"/>
  <c r="FM336" i="59"/>
  <c r="FN336" i="59"/>
  <c r="FO336" i="59"/>
  <c r="FP336" i="59"/>
  <c r="FQ336" i="59"/>
  <c r="FR336" i="59"/>
  <c r="FS336" i="59"/>
  <c r="FT336" i="59"/>
  <c r="FU336" i="59"/>
  <c r="FV336" i="59"/>
  <c r="FW336" i="59"/>
  <c r="FX336" i="59"/>
  <c r="FY336" i="59"/>
  <c r="FZ336" i="59"/>
  <c r="GA336" i="59"/>
  <c r="GB336" i="59"/>
  <c r="GC336" i="59"/>
  <c r="GD336" i="59"/>
  <c r="GE336" i="59"/>
  <c r="GF336" i="59"/>
  <c r="GG336" i="59"/>
  <c r="GH336" i="59"/>
  <c r="GI336" i="59"/>
  <c r="GJ336" i="59"/>
  <c r="GK336" i="59"/>
  <c r="GL336" i="59"/>
  <c r="GM336" i="59"/>
  <c r="GN336" i="59"/>
  <c r="GO336" i="59"/>
  <c r="GP336" i="59"/>
  <c r="GQ336" i="59"/>
  <c r="GR336" i="59"/>
  <c r="GS336" i="59"/>
  <c r="GT336" i="59"/>
  <c r="GU336" i="59"/>
  <c r="GV336" i="59"/>
  <c r="GW336" i="59"/>
  <c r="GX336" i="59"/>
  <c r="GY336" i="59"/>
  <c r="GZ336" i="59"/>
  <c r="HA336" i="59"/>
  <c r="HB336" i="59"/>
  <c r="HC336" i="59"/>
  <c r="HD336" i="59"/>
  <c r="HE336" i="59"/>
  <c r="HF336" i="59"/>
  <c r="HG336" i="59"/>
  <c r="HH336" i="59"/>
  <c r="HI336" i="59"/>
  <c r="HJ336" i="59"/>
  <c r="HK336" i="59"/>
  <c r="HL336" i="59"/>
  <c r="HM336" i="59"/>
  <c r="HN336" i="59"/>
  <c r="HO336" i="59"/>
  <c r="HP336" i="59"/>
  <c r="HQ336" i="59"/>
  <c r="HR336" i="59"/>
  <c r="HS336" i="59"/>
  <c r="HT336" i="59"/>
  <c r="HU336" i="59"/>
  <c r="HV336" i="59"/>
  <c r="HW336" i="59"/>
  <c r="HX336" i="59"/>
  <c r="HY336" i="59"/>
  <c r="HZ336" i="59"/>
  <c r="IA336" i="59"/>
  <c r="IB336" i="59"/>
  <c r="IC336" i="59"/>
  <c r="ID336" i="59"/>
  <c r="IE336" i="59"/>
  <c r="IF336" i="59"/>
  <c r="IG336" i="59"/>
  <c r="IH336" i="59"/>
  <c r="II336" i="59"/>
  <c r="IJ336" i="59"/>
  <c r="IK336" i="59"/>
  <c r="IL336" i="59"/>
  <c r="IM336" i="59"/>
  <c r="IN336" i="59"/>
  <c r="IO336" i="59"/>
  <c r="IP336" i="59"/>
  <c r="IQ336" i="59"/>
  <c r="IR336" i="59"/>
  <c r="IS336" i="59"/>
  <c r="IT336" i="59"/>
  <c r="IU336" i="59"/>
  <c r="IV336" i="59"/>
  <c r="F337" i="59"/>
  <c r="G337" i="59"/>
  <c r="H337" i="59"/>
  <c r="I337" i="59"/>
  <c r="J337" i="59"/>
  <c r="K337" i="59"/>
  <c r="L337" i="59"/>
  <c r="M337" i="59"/>
  <c r="N337" i="59"/>
  <c r="O337" i="59"/>
  <c r="P337" i="59"/>
  <c r="Q337" i="59"/>
  <c r="R337" i="59"/>
  <c r="S337" i="59"/>
  <c r="T337" i="59"/>
  <c r="U337" i="59"/>
  <c r="V337" i="59"/>
  <c r="W337" i="59"/>
  <c r="X337" i="59"/>
  <c r="Y337" i="59"/>
  <c r="Z337" i="59"/>
  <c r="AA337" i="59"/>
  <c r="AB337" i="59"/>
  <c r="AC337" i="59"/>
  <c r="AD337" i="59"/>
  <c r="AE337" i="59"/>
  <c r="AF337" i="59"/>
  <c r="AG337" i="59"/>
  <c r="AH337" i="59"/>
  <c r="AI337" i="59"/>
  <c r="AJ337" i="59"/>
  <c r="AK337" i="59"/>
  <c r="AL337" i="59"/>
  <c r="AM337" i="59"/>
  <c r="AN337" i="59"/>
  <c r="AO337" i="59"/>
  <c r="AP337" i="59"/>
  <c r="AQ337" i="59"/>
  <c r="AR337" i="59"/>
  <c r="AS337" i="59"/>
  <c r="AT337" i="59"/>
  <c r="AU337" i="59"/>
  <c r="AV337" i="59"/>
  <c r="AW337" i="59"/>
  <c r="AX337" i="59"/>
  <c r="AY337" i="59"/>
  <c r="AZ337" i="59"/>
  <c r="BA337" i="59"/>
  <c r="BB337" i="59"/>
  <c r="BC337" i="59"/>
  <c r="BD337" i="59"/>
  <c r="BE337" i="59"/>
  <c r="BF337" i="59"/>
  <c r="BG337" i="59"/>
  <c r="BH337" i="59"/>
  <c r="BI337" i="59"/>
  <c r="BJ337" i="59"/>
  <c r="BK337" i="59"/>
  <c r="BL337" i="59"/>
  <c r="BM337" i="59"/>
  <c r="BN337" i="59"/>
  <c r="BO337" i="59"/>
  <c r="BP337" i="59"/>
  <c r="BQ337" i="59"/>
  <c r="BR337" i="59"/>
  <c r="BS337" i="59"/>
  <c r="BT337" i="59"/>
  <c r="BU337" i="59"/>
  <c r="BV337" i="59"/>
  <c r="BW337" i="59"/>
  <c r="BX337" i="59"/>
  <c r="BY337" i="59"/>
  <c r="BZ337" i="59"/>
  <c r="CA337" i="59"/>
  <c r="CB337" i="59"/>
  <c r="CC337" i="59"/>
  <c r="CD337" i="59"/>
  <c r="CE337" i="59"/>
  <c r="CF337" i="59"/>
  <c r="CG337" i="59"/>
  <c r="CH337" i="59"/>
  <c r="CI337" i="59"/>
  <c r="CJ337" i="59"/>
  <c r="CK337" i="59"/>
  <c r="CL337" i="59"/>
  <c r="CM337" i="59"/>
  <c r="CN337" i="59"/>
  <c r="CO337" i="59"/>
  <c r="CP337" i="59"/>
  <c r="CQ337" i="59"/>
  <c r="CR337" i="59"/>
  <c r="CS337" i="59"/>
  <c r="CT337" i="59"/>
  <c r="CU337" i="59"/>
  <c r="CV337" i="59"/>
  <c r="CW337" i="59"/>
  <c r="CX337" i="59"/>
  <c r="CY337" i="59"/>
  <c r="CZ337" i="59"/>
  <c r="DA337" i="59"/>
  <c r="DB337" i="59"/>
  <c r="DC337" i="59"/>
  <c r="DD337" i="59"/>
  <c r="DE337" i="59"/>
  <c r="DF337" i="59"/>
  <c r="DG337" i="59"/>
  <c r="DH337" i="59"/>
  <c r="DI337" i="59"/>
  <c r="DJ337" i="59"/>
  <c r="DK337" i="59"/>
  <c r="DL337" i="59"/>
  <c r="DM337" i="59"/>
  <c r="DN337" i="59"/>
  <c r="DO337" i="59"/>
  <c r="DP337" i="59"/>
  <c r="DQ337" i="59"/>
  <c r="DR337" i="59"/>
  <c r="DS337" i="59"/>
  <c r="DT337" i="59"/>
  <c r="DU337" i="59"/>
  <c r="DV337" i="59"/>
  <c r="DW337" i="59"/>
  <c r="DX337" i="59"/>
  <c r="DY337" i="59"/>
  <c r="DZ337" i="59"/>
  <c r="EA337" i="59"/>
  <c r="EB337" i="59"/>
  <c r="EC337" i="59"/>
  <c r="ED337" i="59"/>
  <c r="EE337" i="59"/>
  <c r="EF337" i="59"/>
  <c r="EG337" i="59"/>
  <c r="EH337" i="59"/>
  <c r="EI337" i="59"/>
  <c r="EJ337" i="59"/>
  <c r="EK337" i="59"/>
  <c r="EL337" i="59"/>
  <c r="EM337" i="59"/>
  <c r="EN337" i="59"/>
  <c r="EO337" i="59"/>
  <c r="EP337" i="59"/>
  <c r="EQ337" i="59"/>
  <c r="ER337" i="59"/>
  <c r="ES337" i="59"/>
  <c r="ET337" i="59"/>
  <c r="EU337" i="59"/>
  <c r="EV337" i="59"/>
  <c r="EW337" i="59"/>
  <c r="EX337" i="59"/>
  <c r="EY337" i="59"/>
  <c r="EZ337" i="59"/>
  <c r="FA337" i="59"/>
  <c r="FB337" i="59"/>
  <c r="FC337" i="59"/>
  <c r="FD337" i="59"/>
  <c r="FE337" i="59"/>
  <c r="FF337" i="59"/>
  <c r="FG337" i="59"/>
  <c r="FH337" i="59"/>
  <c r="FI337" i="59"/>
  <c r="FJ337" i="59"/>
  <c r="FK337" i="59"/>
  <c r="FL337" i="59"/>
  <c r="FM337" i="59"/>
  <c r="FN337" i="59"/>
  <c r="FO337" i="59"/>
  <c r="FP337" i="59"/>
  <c r="FQ337" i="59"/>
  <c r="FR337" i="59"/>
  <c r="FS337" i="59"/>
  <c r="FT337" i="59"/>
  <c r="FU337" i="59"/>
  <c r="FV337" i="59"/>
  <c r="FW337" i="59"/>
  <c r="FX337" i="59"/>
  <c r="FY337" i="59"/>
  <c r="FZ337" i="59"/>
  <c r="GA337" i="59"/>
  <c r="GB337" i="59"/>
  <c r="GC337" i="59"/>
  <c r="GD337" i="59"/>
  <c r="GE337" i="59"/>
  <c r="GF337" i="59"/>
  <c r="GG337" i="59"/>
  <c r="GH337" i="59"/>
  <c r="GI337" i="59"/>
  <c r="GJ337" i="59"/>
  <c r="GK337" i="59"/>
  <c r="GL337" i="59"/>
  <c r="GM337" i="59"/>
  <c r="GN337" i="59"/>
  <c r="GO337" i="59"/>
  <c r="GP337" i="59"/>
  <c r="GQ337" i="59"/>
  <c r="GR337" i="59"/>
  <c r="GS337" i="59"/>
  <c r="GT337" i="59"/>
  <c r="GU337" i="59"/>
  <c r="GV337" i="59"/>
  <c r="GW337" i="59"/>
  <c r="GX337" i="59"/>
  <c r="GY337" i="59"/>
  <c r="GZ337" i="59"/>
  <c r="HA337" i="59"/>
  <c r="HB337" i="59"/>
  <c r="HC337" i="59"/>
  <c r="HD337" i="59"/>
  <c r="HE337" i="59"/>
  <c r="HF337" i="59"/>
  <c r="HG337" i="59"/>
  <c r="HH337" i="59"/>
  <c r="HI337" i="59"/>
  <c r="HJ337" i="59"/>
  <c r="HK337" i="59"/>
  <c r="HL337" i="59"/>
  <c r="HM337" i="59"/>
  <c r="HN337" i="59"/>
  <c r="HO337" i="59"/>
  <c r="HP337" i="59"/>
  <c r="HQ337" i="59"/>
  <c r="HR337" i="59"/>
  <c r="HS337" i="59"/>
  <c r="HT337" i="59"/>
  <c r="HU337" i="59"/>
  <c r="HV337" i="59"/>
  <c r="HW337" i="59"/>
  <c r="HX337" i="59"/>
  <c r="HY337" i="59"/>
  <c r="HZ337" i="59"/>
  <c r="IA337" i="59"/>
  <c r="IB337" i="59"/>
  <c r="IC337" i="59"/>
  <c r="ID337" i="59"/>
  <c r="IE337" i="59"/>
  <c r="IF337" i="59"/>
  <c r="IG337" i="59"/>
  <c r="IH337" i="59"/>
  <c r="II337" i="59"/>
  <c r="IJ337" i="59"/>
  <c r="IK337" i="59"/>
  <c r="IL337" i="59"/>
  <c r="IM337" i="59"/>
  <c r="IN337" i="59"/>
  <c r="IO337" i="59"/>
  <c r="IP337" i="59"/>
  <c r="IQ337" i="59"/>
  <c r="IR337" i="59"/>
  <c r="IS337" i="59"/>
  <c r="IT337" i="59"/>
  <c r="IU337" i="59"/>
  <c r="IV337" i="59"/>
  <c r="F338" i="59"/>
  <c r="G338" i="59"/>
  <c r="H338" i="59"/>
  <c r="I338" i="59"/>
  <c r="J338" i="59"/>
  <c r="K338" i="59"/>
  <c r="L338" i="59"/>
  <c r="M338" i="59"/>
  <c r="N338" i="59"/>
  <c r="O338" i="59"/>
  <c r="P338" i="59"/>
  <c r="Q338" i="59"/>
  <c r="R338" i="59"/>
  <c r="S338" i="59"/>
  <c r="T338" i="59"/>
  <c r="U338" i="59"/>
  <c r="V338" i="59"/>
  <c r="W338" i="59"/>
  <c r="X338" i="59"/>
  <c r="Y338" i="59"/>
  <c r="Z338" i="59"/>
  <c r="AA338" i="59"/>
  <c r="AB338" i="59"/>
  <c r="AC338" i="59"/>
  <c r="AD338" i="59"/>
  <c r="AE338" i="59"/>
  <c r="AF338" i="59"/>
  <c r="AG338" i="59"/>
  <c r="AH338" i="59"/>
  <c r="AI338" i="59"/>
  <c r="AJ338" i="59"/>
  <c r="AK338" i="59"/>
  <c r="AL338" i="59"/>
  <c r="AM338" i="59"/>
  <c r="AN338" i="59"/>
  <c r="AO338" i="59"/>
  <c r="AP338" i="59"/>
  <c r="AQ338" i="59"/>
  <c r="AR338" i="59"/>
  <c r="AS338" i="59"/>
  <c r="AT338" i="59"/>
  <c r="AU338" i="59"/>
  <c r="AV338" i="59"/>
  <c r="AW338" i="59"/>
  <c r="AX338" i="59"/>
  <c r="AY338" i="59"/>
  <c r="AZ338" i="59"/>
  <c r="BA338" i="59"/>
  <c r="BB338" i="59"/>
  <c r="BC338" i="59"/>
  <c r="BD338" i="59"/>
  <c r="BE338" i="59"/>
  <c r="BF338" i="59"/>
  <c r="BG338" i="59"/>
  <c r="BH338" i="59"/>
  <c r="BI338" i="59"/>
  <c r="BJ338" i="59"/>
  <c r="BK338" i="59"/>
  <c r="BL338" i="59"/>
  <c r="BM338" i="59"/>
  <c r="BN338" i="59"/>
  <c r="BO338" i="59"/>
  <c r="BP338" i="59"/>
  <c r="BQ338" i="59"/>
  <c r="BR338" i="59"/>
  <c r="BS338" i="59"/>
  <c r="BT338" i="59"/>
  <c r="BU338" i="59"/>
  <c r="BV338" i="59"/>
  <c r="BW338" i="59"/>
  <c r="BX338" i="59"/>
  <c r="BY338" i="59"/>
  <c r="BZ338" i="59"/>
  <c r="CA338" i="59"/>
  <c r="CB338" i="59"/>
  <c r="CC338" i="59"/>
  <c r="CD338" i="59"/>
  <c r="CE338" i="59"/>
  <c r="CF338" i="59"/>
  <c r="CG338" i="59"/>
  <c r="CH338" i="59"/>
  <c r="CI338" i="59"/>
  <c r="CJ338" i="59"/>
  <c r="CK338" i="59"/>
  <c r="CL338" i="59"/>
  <c r="CM338" i="59"/>
  <c r="CN338" i="59"/>
  <c r="CO338" i="59"/>
  <c r="CP338" i="59"/>
  <c r="CQ338" i="59"/>
  <c r="CR338" i="59"/>
  <c r="CS338" i="59"/>
  <c r="CT338" i="59"/>
  <c r="CU338" i="59"/>
  <c r="CV338" i="59"/>
  <c r="CW338" i="59"/>
  <c r="CX338" i="59"/>
  <c r="CY338" i="59"/>
  <c r="CZ338" i="59"/>
  <c r="DA338" i="59"/>
  <c r="DB338" i="59"/>
  <c r="DC338" i="59"/>
  <c r="DD338" i="59"/>
  <c r="DE338" i="59"/>
  <c r="DF338" i="59"/>
  <c r="DG338" i="59"/>
  <c r="DH338" i="59"/>
  <c r="DI338" i="59"/>
  <c r="DJ338" i="59"/>
  <c r="DK338" i="59"/>
  <c r="DL338" i="59"/>
  <c r="DM338" i="59"/>
  <c r="DN338" i="59"/>
  <c r="DO338" i="59"/>
  <c r="DP338" i="59"/>
  <c r="DQ338" i="59"/>
  <c r="DR338" i="59"/>
  <c r="DS338" i="59"/>
  <c r="DT338" i="59"/>
  <c r="DU338" i="59"/>
  <c r="DV338" i="59"/>
  <c r="DW338" i="59"/>
  <c r="DX338" i="59"/>
  <c r="DY338" i="59"/>
  <c r="DZ338" i="59"/>
  <c r="EA338" i="59"/>
  <c r="EB338" i="59"/>
  <c r="EC338" i="59"/>
  <c r="ED338" i="59"/>
  <c r="EE338" i="59"/>
  <c r="EF338" i="59"/>
  <c r="EG338" i="59"/>
  <c r="EH338" i="59"/>
  <c r="EI338" i="59"/>
  <c r="EJ338" i="59"/>
  <c r="EK338" i="59"/>
  <c r="EL338" i="59"/>
  <c r="EM338" i="59"/>
  <c r="EN338" i="59"/>
  <c r="EO338" i="59"/>
  <c r="EP338" i="59"/>
  <c r="EQ338" i="59"/>
  <c r="ER338" i="59"/>
  <c r="ES338" i="59"/>
  <c r="ET338" i="59"/>
  <c r="EU338" i="59"/>
  <c r="EV338" i="59"/>
  <c r="EW338" i="59"/>
  <c r="EX338" i="59"/>
  <c r="EY338" i="59"/>
  <c r="EZ338" i="59"/>
  <c r="FA338" i="59"/>
  <c r="FB338" i="59"/>
  <c r="FC338" i="59"/>
  <c r="FD338" i="59"/>
  <c r="FE338" i="59"/>
  <c r="FF338" i="59"/>
  <c r="FG338" i="59"/>
  <c r="FH338" i="59"/>
  <c r="FI338" i="59"/>
  <c r="FJ338" i="59"/>
  <c r="FK338" i="59"/>
  <c r="FL338" i="59"/>
  <c r="FM338" i="59"/>
  <c r="FN338" i="59"/>
  <c r="FO338" i="59"/>
  <c r="FP338" i="59"/>
  <c r="FQ338" i="59"/>
  <c r="FR338" i="59"/>
  <c r="FS338" i="59"/>
  <c r="FT338" i="59"/>
  <c r="FU338" i="59"/>
  <c r="FV338" i="59"/>
  <c r="FW338" i="59"/>
  <c r="FX338" i="59"/>
  <c r="FY338" i="59"/>
  <c r="FZ338" i="59"/>
  <c r="GA338" i="59"/>
  <c r="GB338" i="59"/>
  <c r="GC338" i="59"/>
  <c r="GD338" i="59"/>
  <c r="GE338" i="59"/>
  <c r="GF338" i="59"/>
  <c r="GG338" i="59"/>
  <c r="GH338" i="59"/>
  <c r="GI338" i="59"/>
  <c r="GJ338" i="59"/>
  <c r="GK338" i="59"/>
  <c r="GL338" i="59"/>
  <c r="GM338" i="59"/>
  <c r="GN338" i="59"/>
  <c r="GO338" i="59"/>
  <c r="GP338" i="59"/>
  <c r="GQ338" i="59"/>
  <c r="GR338" i="59"/>
  <c r="GS338" i="59"/>
  <c r="GT338" i="59"/>
  <c r="GU338" i="59"/>
  <c r="GV338" i="59"/>
  <c r="HB338" i="59"/>
  <c r="HC338" i="59"/>
  <c r="HD338" i="59"/>
  <c r="HE338" i="59"/>
  <c r="HF338" i="59"/>
  <c r="HG338" i="59"/>
  <c r="HH338" i="59"/>
  <c r="HI338" i="59"/>
  <c r="HJ338" i="59"/>
  <c r="HK338" i="59"/>
  <c r="HL338" i="59"/>
  <c r="HM338" i="59"/>
  <c r="HN338" i="59"/>
  <c r="HO338" i="59"/>
  <c r="HU338" i="59"/>
  <c r="HV338" i="59"/>
  <c r="HW338" i="59"/>
  <c r="HX338" i="59"/>
  <c r="HY338" i="59"/>
  <c r="HZ338" i="59"/>
  <c r="IA338" i="59"/>
  <c r="IB338" i="59"/>
  <c r="IC338" i="59"/>
  <c r="ID338" i="59"/>
  <c r="IE338" i="59"/>
  <c r="IF338" i="59"/>
  <c r="IG338" i="59"/>
  <c r="IH338" i="59"/>
  <c r="IN338" i="59"/>
  <c r="IO338" i="59"/>
  <c r="IP338" i="59"/>
  <c r="IQ338" i="59"/>
  <c r="IR338" i="59"/>
  <c r="IS338" i="59"/>
  <c r="IT338" i="59"/>
  <c r="IU338" i="59"/>
  <c r="IV338" i="59"/>
  <c r="F339" i="59"/>
  <c r="G339" i="59"/>
  <c r="H339" i="59"/>
  <c r="I339" i="59"/>
  <c r="J339" i="59"/>
  <c r="P339" i="59"/>
  <c r="Q339" i="59"/>
  <c r="R339" i="59"/>
  <c r="S339" i="59"/>
  <c r="T339" i="59"/>
  <c r="U339" i="59"/>
  <c r="V339" i="59"/>
  <c r="W339" i="59"/>
  <c r="X339" i="59"/>
  <c r="Y339" i="59"/>
  <c r="Z339" i="59"/>
  <c r="AA339" i="59"/>
  <c r="AB339" i="59"/>
  <c r="AC339" i="59"/>
  <c r="AI339" i="59"/>
  <c r="AJ339" i="59"/>
  <c r="AK339" i="59"/>
  <c r="AL339" i="59"/>
  <c r="AM339" i="59"/>
  <c r="AN339" i="59"/>
  <c r="AO339" i="59"/>
  <c r="AP339" i="59"/>
  <c r="AQ339" i="59"/>
  <c r="AR339" i="59"/>
  <c r="AS339" i="59"/>
  <c r="AT339" i="59"/>
  <c r="AU339" i="59"/>
  <c r="AV339" i="59"/>
  <c r="AW339" i="59"/>
  <c r="AX339" i="59"/>
  <c r="AY339" i="59"/>
  <c r="AZ339" i="59"/>
  <c r="BA339" i="59"/>
  <c r="BB339" i="59"/>
  <c r="BC339" i="59"/>
  <c r="BD339" i="59"/>
  <c r="BE339" i="59"/>
  <c r="BF339" i="59"/>
  <c r="BG339" i="59"/>
  <c r="BH339" i="59"/>
  <c r="BI339" i="59"/>
  <c r="BJ339" i="59"/>
  <c r="BK339" i="59"/>
  <c r="BL339" i="59"/>
  <c r="BM339" i="59"/>
  <c r="BN339" i="59"/>
  <c r="BO339" i="59"/>
  <c r="BP339" i="59"/>
  <c r="BQ339" i="59"/>
  <c r="BR339" i="59"/>
  <c r="BS339" i="59"/>
  <c r="BT339" i="59"/>
  <c r="BU339" i="59"/>
  <c r="BV339" i="59"/>
  <c r="BW339" i="59"/>
  <c r="BX339" i="59"/>
  <c r="BY339" i="59"/>
  <c r="BZ339" i="59"/>
  <c r="CA339" i="59"/>
  <c r="CB339" i="59"/>
  <c r="CC339" i="59"/>
  <c r="CD339" i="59"/>
  <c r="CE339" i="59"/>
  <c r="CF339" i="59"/>
  <c r="CG339" i="59"/>
  <c r="CH339" i="59"/>
  <c r="CI339" i="59"/>
  <c r="CJ339" i="59"/>
  <c r="CK339" i="59"/>
  <c r="CL339" i="59"/>
  <c r="CM339" i="59"/>
  <c r="CN339" i="59"/>
  <c r="CO339" i="59"/>
  <c r="CP339" i="59"/>
  <c r="CQ339" i="59"/>
  <c r="CR339" i="59"/>
  <c r="CS339" i="59"/>
  <c r="CT339" i="59"/>
  <c r="CU339" i="59"/>
  <c r="CV339" i="59"/>
  <c r="CW339" i="59"/>
  <c r="CX339" i="59"/>
  <c r="CY339" i="59"/>
  <c r="CZ339" i="59"/>
  <c r="DA339" i="59"/>
  <c r="DB339" i="59"/>
  <c r="DC339" i="59"/>
  <c r="DD339" i="59"/>
  <c r="DE339" i="59"/>
  <c r="DF339" i="59"/>
  <c r="DG339" i="59"/>
  <c r="DH339" i="59"/>
  <c r="DI339" i="59"/>
  <c r="DJ339" i="59"/>
  <c r="DK339" i="59"/>
  <c r="DL339" i="59"/>
  <c r="DM339" i="59"/>
  <c r="DN339" i="59"/>
  <c r="DO339" i="59"/>
  <c r="DP339" i="59"/>
  <c r="DQ339" i="59"/>
  <c r="DR339" i="59"/>
  <c r="DS339" i="59"/>
  <c r="DT339" i="59"/>
  <c r="DU339" i="59"/>
  <c r="DV339" i="59"/>
  <c r="DW339" i="59"/>
  <c r="DX339" i="59"/>
  <c r="DY339" i="59"/>
  <c r="DZ339" i="59"/>
  <c r="EA339" i="59"/>
  <c r="EB339" i="59"/>
  <c r="EC339" i="59"/>
  <c r="ED339" i="59"/>
  <c r="EE339" i="59"/>
  <c r="EF339" i="59"/>
  <c r="EG339" i="59"/>
  <c r="EH339" i="59"/>
  <c r="EI339" i="59"/>
  <c r="EJ339" i="59"/>
  <c r="EK339" i="59"/>
  <c r="EL339" i="59"/>
  <c r="EM339" i="59"/>
  <c r="EN339" i="59"/>
  <c r="EO339" i="59"/>
  <c r="EP339" i="59"/>
  <c r="EQ339" i="59"/>
  <c r="ER339" i="59"/>
  <c r="ES339" i="59"/>
  <c r="ET339" i="59"/>
  <c r="EU339" i="59"/>
  <c r="EV339" i="59"/>
  <c r="EW339" i="59"/>
  <c r="EX339" i="59"/>
  <c r="EY339" i="59"/>
  <c r="EZ339" i="59"/>
  <c r="FA339" i="59"/>
  <c r="FB339" i="59"/>
  <c r="FC339" i="59"/>
  <c r="FD339" i="59"/>
  <c r="FE339" i="59"/>
  <c r="FF339" i="59"/>
  <c r="FG339" i="59"/>
  <c r="FH339" i="59"/>
  <c r="FI339" i="59"/>
  <c r="FJ339" i="59"/>
  <c r="FK339" i="59"/>
  <c r="FL339" i="59"/>
  <c r="FM339" i="59"/>
  <c r="FN339" i="59"/>
  <c r="FO339" i="59"/>
  <c r="FP339" i="59"/>
  <c r="FQ339" i="59"/>
  <c r="FR339" i="59"/>
  <c r="FS339" i="59"/>
  <c r="FT339" i="59"/>
  <c r="FU339" i="59"/>
  <c r="FV339" i="59"/>
  <c r="FW339" i="59"/>
  <c r="FX339" i="59"/>
  <c r="FY339" i="59"/>
  <c r="FZ339" i="59"/>
  <c r="GA339" i="59"/>
  <c r="GB339" i="59"/>
  <c r="GC339" i="59"/>
  <c r="GD339" i="59"/>
  <c r="GE339" i="59"/>
  <c r="GF339" i="59"/>
  <c r="GG339" i="59"/>
  <c r="GH339" i="59"/>
  <c r="GI339" i="59"/>
  <c r="GJ339" i="59"/>
  <c r="GK339" i="59"/>
  <c r="GL339" i="59"/>
  <c r="GM339" i="59"/>
  <c r="GN339" i="59"/>
  <c r="GO339" i="59"/>
  <c r="GP339" i="59"/>
  <c r="GQ339" i="59"/>
  <c r="GR339" i="59"/>
  <c r="GS339" i="59"/>
  <c r="GT339" i="59"/>
  <c r="GU339" i="59"/>
  <c r="GV339" i="59"/>
  <c r="GW339" i="59"/>
  <c r="GX339" i="59"/>
  <c r="GY339" i="59"/>
  <c r="GZ339" i="59"/>
  <c r="HA339" i="59"/>
  <c r="HB339" i="59"/>
  <c r="HC339" i="59"/>
  <c r="HD339" i="59"/>
  <c r="HE339" i="59"/>
  <c r="HF339" i="59"/>
  <c r="HG339" i="59"/>
  <c r="HH339" i="59"/>
  <c r="HI339" i="59"/>
  <c r="HJ339" i="59"/>
  <c r="HK339" i="59"/>
  <c r="HL339" i="59"/>
  <c r="HM339" i="59"/>
  <c r="HN339" i="59"/>
  <c r="HO339" i="59"/>
  <c r="HP339" i="59"/>
  <c r="HQ339" i="59"/>
  <c r="HR339" i="59"/>
  <c r="HS339" i="59"/>
  <c r="HT339" i="59"/>
  <c r="HU339" i="59"/>
  <c r="HV339" i="59"/>
  <c r="HW339" i="59"/>
  <c r="HX339" i="59"/>
  <c r="HY339" i="59"/>
  <c r="HZ339" i="59"/>
  <c r="IA339" i="59"/>
  <c r="IB339" i="59"/>
  <c r="IC339" i="59"/>
  <c r="ID339" i="59"/>
  <c r="IE339" i="59"/>
  <c r="IF339" i="59"/>
  <c r="IG339" i="59"/>
  <c r="IH339" i="59"/>
  <c r="II339" i="59"/>
  <c r="IJ339" i="59"/>
  <c r="IK339" i="59"/>
  <c r="IL339" i="59"/>
  <c r="IM339" i="59"/>
  <c r="IN339" i="59"/>
  <c r="IO339" i="59"/>
  <c r="IP339" i="59"/>
  <c r="IQ339" i="59"/>
  <c r="IR339" i="59"/>
  <c r="IS339" i="59"/>
  <c r="IT339" i="59"/>
  <c r="IU339" i="59"/>
  <c r="IV339" i="59"/>
  <c r="F340" i="59"/>
  <c r="G340" i="59"/>
  <c r="H340" i="59"/>
  <c r="I340" i="59"/>
  <c r="J340" i="59"/>
  <c r="K340" i="59"/>
  <c r="L340" i="59"/>
  <c r="M340" i="59"/>
  <c r="N340" i="59"/>
  <c r="O340" i="59"/>
  <c r="P340" i="59"/>
  <c r="Q340" i="59"/>
  <c r="R340" i="59"/>
  <c r="S340" i="59"/>
  <c r="T340" i="59"/>
  <c r="U340" i="59"/>
  <c r="V340" i="59"/>
  <c r="W340" i="59"/>
  <c r="X340" i="59"/>
  <c r="Y340" i="59"/>
  <c r="Z340" i="59"/>
  <c r="AA340" i="59"/>
  <c r="AB340" i="59"/>
  <c r="AC340" i="59"/>
  <c r="AD340" i="59"/>
  <c r="AE340" i="59"/>
  <c r="AF340" i="59"/>
  <c r="AG340" i="59"/>
  <c r="AH340" i="59"/>
  <c r="AI340" i="59"/>
  <c r="AJ340" i="59"/>
  <c r="AK340" i="59"/>
  <c r="AL340" i="59"/>
  <c r="AM340" i="59"/>
  <c r="AN340" i="59"/>
  <c r="AO340" i="59"/>
  <c r="AP340" i="59"/>
  <c r="AQ340" i="59"/>
  <c r="AR340" i="59"/>
  <c r="AS340" i="59"/>
  <c r="AT340" i="59"/>
  <c r="AU340" i="59"/>
  <c r="AV340" i="59"/>
  <c r="AW340" i="59"/>
  <c r="AX340" i="59"/>
  <c r="AY340" i="59"/>
  <c r="AZ340" i="59"/>
  <c r="BA340" i="59"/>
  <c r="BB340" i="59"/>
  <c r="BC340" i="59"/>
  <c r="BD340" i="59"/>
  <c r="BE340" i="59"/>
  <c r="BF340" i="59"/>
  <c r="BG340" i="59"/>
  <c r="BH340" i="59"/>
  <c r="BI340" i="59"/>
  <c r="BJ340" i="59"/>
  <c r="BK340" i="59"/>
  <c r="BL340" i="59"/>
  <c r="BM340" i="59"/>
  <c r="BN340" i="59"/>
  <c r="BO340" i="59"/>
  <c r="BP340" i="59"/>
  <c r="BQ340" i="59"/>
  <c r="BR340" i="59"/>
  <c r="BS340" i="59"/>
  <c r="BT340" i="59"/>
  <c r="BU340" i="59"/>
  <c r="BV340" i="59"/>
  <c r="BW340" i="59"/>
  <c r="BX340" i="59"/>
  <c r="BY340" i="59"/>
  <c r="BZ340" i="59"/>
  <c r="CA340" i="59"/>
  <c r="CB340" i="59"/>
  <c r="CC340" i="59"/>
  <c r="CD340" i="59"/>
  <c r="CE340" i="59"/>
  <c r="CF340" i="59"/>
  <c r="CG340" i="59"/>
  <c r="CH340" i="59"/>
  <c r="CI340" i="59"/>
  <c r="CJ340" i="59"/>
  <c r="CK340" i="59"/>
  <c r="CL340" i="59"/>
  <c r="CM340" i="59"/>
  <c r="CN340" i="59"/>
  <c r="CO340" i="59"/>
  <c r="CP340" i="59"/>
  <c r="CQ340" i="59"/>
  <c r="CR340" i="59"/>
  <c r="CS340" i="59"/>
  <c r="CT340" i="59"/>
  <c r="CU340" i="59"/>
  <c r="CV340" i="59"/>
  <c r="CW340" i="59"/>
  <c r="CX340" i="59"/>
  <c r="CY340" i="59"/>
  <c r="CZ340" i="59"/>
  <c r="DA340" i="59"/>
  <c r="DB340" i="59"/>
  <c r="DC340" i="59"/>
  <c r="DD340" i="59"/>
  <c r="DE340" i="59"/>
  <c r="DF340" i="59"/>
  <c r="DG340" i="59"/>
  <c r="DH340" i="59"/>
  <c r="DI340" i="59"/>
  <c r="DJ340" i="59"/>
  <c r="DK340" i="59"/>
  <c r="DL340" i="59"/>
  <c r="DM340" i="59"/>
  <c r="DN340" i="59"/>
  <c r="DO340" i="59"/>
  <c r="DP340" i="59"/>
  <c r="DQ340" i="59"/>
  <c r="DR340" i="59"/>
  <c r="DS340" i="59"/>
  <c r="DT340" i="59"/>
  <c r="DU340" i="59"/>
  <c r="DV340" i="59"/>
  <c r="DW340" i="59"/>
  <c r="DX340" i="59"/>
  <c r="DY340" i="59"/>
  <c r="DZ340" i="59"/>
  <c r="EA340" i="59"/>
  <c r="EB340" i="59"/>
  <c r="EC340" i="59"/>
  <c r="ED340" i="59"/>
  <c r="EE340" i="59"/>
  <c r="EF340" i="59"/>
  <c r="EG340" i="59"/>
  <c r="EH340" i="59"/>
  <c r="EI340" i="59"/>
  <c r="EJ340" i="59"/>
  <c r="EK340" i="59"/>
  <c r="EL340" i="59"/>
  <c r="EM340" i="59"/>
  <c r="EN340" i="59"/>
  <c r="EO340" i="59"/>
  <c r="EP340" i="59"/>
  <c r="EQ340" i="59"/>
  <c r="ER340" i="59"/>
  <c r="ES340" i="59"/>
  <c r="ET340" i="59"/>
  <c r="EU340" i="59"/>
  <c r="EV340" i="59"/>
  <c r="EW340" i="59"/>
  <c r="EX340" i="59"/>
  <c r="EY340" i="59"/>
  <c r="EZ340" i="59"/>
  <c r="FA340" i="59"/>
  <c r="FB340" i="59"/>
  <c r="FC340" i="59"/>
  <c r="FD340" i="59"/>
  <c r="FE340" i="59"/>
  <c r="FF340" i="59"/>
  <c r="FG340" i="59"/>
  <c r="FH340" i="59"/>
  <c r="FI340" i="59"/>
  <c r="FJ340" i="59"/>
  <c r="FK340" i="59"/>
  <c r="FL340" i="59"/>
  <c r="FM340" i="59"/>
  <c r="FN340" i="59"/>
  <c r="FO340" i="59"/>
  <c r="FP340" i="59"/>
  <c r="FQ340" i="59"/>
  <c r="FR340" i="59"/>
  <c r="FS340" i="59"/>
  <c r="FT340" i="59"/>
  <c r="FU340" i="59"/>
  <c r="FV340" i="59"/>
  <c r="FW340" i="59"/>
  <c r="FX340" i="59"/>
  <c r="FY340" i="59"/>
  <c r="FZ340" i="59"/>
  <c r="GA340" i="59"/>
  <c r="GB340" i="59"/>
  <c r="GC340" i="59"/>
  <c r="GD340" i="59"/>
  <c r="GE340" i="59"/>
  <c r="GF340" i="59"/>
  <c r="GG340" i="59"/>
  <c r="GH340" i="59"/>
  <c r="GI340" i="59"/>
  <c r="GJ340" i="59"/>
  <c r="GK340" i="59"/>
  <c r="GL340" i="59"/>
  <c r="GM340" i="59"/>
  <c r="GN340" i="59"/>
  <c r="GO340" i="59"/>
  <c r="GP340" i="59"/>
  <c r="GQ340" i="59"/>
  <c r="GR340" i="59"/>
  <c r="GS340" i="59"/>
  <c r="GT340" i="59"/>
  <c r="GU340" i="59"/>
  <c r="GV340" i="59"/>
  <c r="GW340" i="59"/>
  <c r="GX340" i="59"/>
  <c r="GY340" i="59"/>
  <c r="GZ340" i="59"/>
  <c r="HA340" i="59"/>
  <c r="HB340" i="59"/>
  <c r="HC340" i="59"/>
  <c r="HD340" i="59"/>
  <c r="HE340" i="59"/>
  <c r="HF340" i="59"/>
  <c r="HG340" i="59"/>
  <c r="HH340" i="59"/>
  <c r="HI340" i="59"/>
  <c r="HJ340" i="59"/>
  <c r="HK340" i="59"/>
  <c r="HL340" i="59"/>
  <c r="HM340" i="59"/>
  <c r="HN340" i="59"/>
  <c r="HO340" i="59"/>
  <c r="HP340" i="59"/>
  <c r="HQ340" i="59"/>
  <c r="HR340" i="59"/>
  <c r="HS340" i="59"/>
  <c r="HT340" i="59"/>
  <c r="HU340" i="59"/>
  <c r="HV340" i="59"/>
  <c r="HW340" i="59"/>
  <c r="HX340" i="59"/>
  <c r="HY340" i="59"/>
  <c r="HZ340" i="59"/>
  <c r="IA340" i="59"/>
  <c r="IB340" i="59"/>
  <c r="IC340" i="59"/>
  <c r="ID340" i="59"/>
  <c r="IE340" i="59"/>
  <c r="IF340" i="59"/>
  <c r="IG340" i="59"/>
  <c r="IH340" i="59"/>
  <c r="II340" i="59"/>
  <c r="IJ340" i="59"/>
  <c r="IK340" i="59"/>
  <c r="IL340" i="59"/>
  <c r="IM340" i="59"/>
  <c r="IN340" i="59"/>
  <c r="IO340" i="59"/>
  <c r="IP340" i="59"/>
  <c r="IQ340" i="59"/>
  <c r="IR340" i="59"/>
  <c r="IS340" i="59"/>
  <c r="IT340" i="59"/>
  <c r="IU340" i="59"/>
  <c r="IV340" i="59"/>
  <c r="F341" i="59"/>
  <c r="G341" i="59"/>
  <c r="H341" i="59"/>
  <c r="I341" i="59"/>
  <c r="J341" i="59"/>
  <c r="K341" i="59"/>
  <c r="L341" i="59"/>
  <c r="M341" i="59"/>
  <c r="N341" i="59"/>
  <c r="O341" i="59"/>
  <c r="P341" i="59"/>
  <c r="Q341" i="59"/>
  <c r="R341" i="59"/>
  <c r="S341" i="59"/>
  <c r="T341" i="59"/>
  <c r="U341" i="59"/>
  <c r="V341" i="59"/>
  <c r="W341" i="59"/>
  <c r="X341" i="59"/>
  <c r="Y341" i="59"/>
  <c r="Z341" i="59"/>
  <c r="AA341" i="59"/>
  <c r="AB341" i="59"/>
  <c r="AC341" i="59"/>
  <c r="AD341" i="59"/>
  <c r="AE341" i="59"/>
  <c r="AF341" i="59"/>
  <c r="AG341" i="59"/>
  <c r="AH341" i="59"/>
  <c r="AI341" i="59"/>
  <c r="AJ341" i="59"/>
  <c r="AK341" i="59"/>
  <c r="AL341" i="59"/>
  <c r="AM341" i="59"/>
  <c r="AN341" i="59"/>
  <c r="AO341" i="59"/>
  <c r="AP341" i="59"/>
  <c r="AQ341" i="59"/>
  <c r="AR341" i="59"/>
  <c r="AS341" i="59"/>
  <c r="AT341" i="59"/>
  <c r="AU341" i="59"/>
  <c r="AV341" i="59"/>
  <c r="AW341" i="59"/>
  <c r="AX341" i="59"/>
  <c r="AY341" i="59"/>
  <c r="AZ341" i="59"/>
  <c r="BA341" i="59"/>
  <c r="BB341" i="59"/>
  <c r="BC341" i="59"/>
  <c r="BD341" i="59"/>
  <c r="BE341" i="59"/>
  <c r="BF341" i="59"/>
  <c r="BG341" i="59"/>
  <c r="BH341" i="59"/>
  <c r="BI341" i="59"/>
  <c r="BJ341" i="59"/>
  <c r="BK341" i="59"/>
  <c r="BL341" i="59"/>
  <c r="BM341" i="59"/>
  <c r="BN341" i="59"/>
  <c r="BO341" i="59"/>
  <c r="BP341" i="59"/>
  <c r="BQ341" i="59"/>
  <c r="BR341" i="59"/>
  <c r="BS341" i="59"/>
  <c r="BT341" i="59"/>
  <c r="BU341" i="59"/>
  <c r="BV341" i="59"/>
  <c r="BW341" i="59"/>
  <c r="BX341" i="59"/>
  <c r="BY341" i="59"/>
  <c r="BZ341" i="59"/>
  <c r="CA341" i="59"/>
  <c r="CB341" i="59"/>
  <c r="CC341" i="59"/>
  <c r="CD341" i="59"/>
  <c r="CE341" i="59"/>
  <c r="CF341" i="59"/>
  <c r="CG341" i="59"/>
  <c r="CH341" i="59"/>
  <c r="CI341" i="59"/>
  <c r="CJ341" i="59"/>
  <c r="CK341" i="59"/>
  <c r="CL341" i="59"/>
  <c r="CM341" i="59"/>
  <c r="CN341" i="59"/>
  <c r="CO341" i="59"/>
  <c r="CP341" i="59"/>
  <c r="CQ341" i="59"/>
  <c r="CR341" i="59"/>
  <c r="CS341" i="59"/>
  <c r="CT341" i="59"/>
  <c r="CU341" i="59"/>
  <c r="CV341" i="59"/>
  <c r="CW341" i="59"/>
  <c r="CX341" i="59"/>
  <c r="CY341" i="59"/>
  <c r="CZ341" i="59"/>
  <c r="DA341" i="59"/>
  <c r="DB341" i="59"/>
  <c r="DC341" i="59"/>
  <c r="DD341" i="59"/>
  <c r="DE341" i="59"/>
  <c r="DF341" i="59"/>
  <c r="DG341" i="59"/>
  <c r="DH341" i="59"/>
  <c r="DI341" i="59"/>
  <c r="DJ341" i="59"/>
  <c r="DK341" i="59"/>
  <c r="DL341" i="59"/>
  <c r="DM341" i="59"/>
  <c r="DN341" i="59"/>
  <c r="DO341" i="59"/>
  <c r="DP341" i="59"/>
  <c r="DQ341" i="59"/>
  <c r="DR341" i="59"/>
  <c r="DS341" i="59"/>
  <c r="DT341" i="59"/>
  <c r="DU341" i="59"/>
  <c r="DV341" i="59"/>
  <c r="DW341" i="59"/>
  <c r="DX341" i="59"/>
  <c r="DY341" i="59"/>
  <c r="DZ341" i="59"/>
  <c r="EA341" i="59"/>
  <c r="EB341" i="59"/>
  <c r="EC341" i="59"/>
  <c r="ED341" i="59"/>
  <c r="EE341" i="59"/>
  <c r="EF341" i="59"/>
  <c r="EG341" i="59"/>
  <c r="EH341" i="59"/>
  <c r="EI341" i="59"/>
  <c r="EJ341" i="59"/>
  <c r="EK341" i="59"/>
  <c r="EL341" i="59"/>
  <c r="EM341" i="59"/>
  <c r="EN341" i="59"/>
  <c r="EO341" i="59"/>
  <c r="EP341" i="59"/>
  <c r="EQ341" i="59"/>
  <c r="ER341" i="59"/>
  <c r="ES341" i="59"/>
  <c r="ET341" i="59"/>
  <c r="EU341" i="59"/>
  <c r="EV341" i="59"/>
  <c r="EW341" i="59"/>
  <c r="EX341" i="59"/>
  <c r="EY341" i="59"/>
  <c r="EZ341" i="59"/>
  <c r="FA341" i="59"/>
  <c r="FB341" i="59"/>
  <c r="FC341" i="59"/>
  <c r="FD341" i="59"/>
  <c r="FE341" i="59"/>
  <c r="FF341" i="59"/>
  <c r="FG341" i="59"/>
  <c r="FH341" i="59"/>
  <c r="FI341" i="59"/>
  <c r="FJ341" i="59"/>
  <c r="FK341" i="59"/>
  <c r="FL341" i="59"/>
  <c r="FM341" i="59"/>
  <c r="FN341" i="59"/>
  <c r="FO341" i="59"/>
  <c r="FP341" i="59"/>
  <c r="FQ341" i="59"/>
  <c r="FR341" i="59"/>
  <c r="FS341" i="59"/>
  <c r="FT341" i="59"/>
  <c r="FU341" i="59"/>
  <c r="FV341" i="59"/>
  <c r="FW341" i="59"/>
  <c r="FX341" i="59"/>
  <c r="FY341" i="59"/>
  <c r="FZ341" i="59"/>
  <c r="GA341" i="59"/>
  <c r="GB341" i="59"/>
  <c r="GC341" i="59"/>
  <c r="GD341" i="59"/>
  <c r="GE341" i="59"/>
  <c r="GF341" i="59"/>
  <c r="GG341" i="59"/>
  <c r="GH341" i="59"/>
  <c r="GI341" i="59"/>
  <c r="GJ341" i="59"/>
  <c r="GK341" i="59"/>
  <c r="GL341" i="59"/>
  <c r="GM341" i="59"/>
  <c r="GN341" i="59"/>
  <c r="GO341" i="59"/>
  <c r="GP341" i="59"/>
  <c r="GQ341" i="59"/>
  <c r="GR341" i="59"/>
  <c r="GS341" i="59"/>
  <c r="GT341" i="59"/>
  <c r="GU341" i="59"/>
  <c r="GV341" i="59"/>
  <c r="GW341" i="59"/>
  <c r="GX341" i="59"/>
  <c r="GY341" i="59"/>
  <c r="GZ341" i="59"/>
  <c r="HA341" i="59"/>
  <c r="HB341" i="59"/>
  <c r="HC341" i="59"/>
  <c r="HD341" i="59"/>
  <c r="HE341" i="59"/>
  <c r="HF341" i="59"/>
  <c r="HG341" i="59"/>
  <c r="HH341" i="59"/>
  <c r="HI341" i="59"/>
  <c r="HJ341" i="59"/>
  <c r="HK341" i="59"/>
  <c r="HL341" i="59"/>
  <c r="HM341" i="59"/>
  <c r="HN341" i="59"/>
  <c r="HO341" i="59"/>
  <c r="HP341" i="59"/>
  <c r="HQ341" i="59"/>
  <c r="HR341" i="59"/>
  <c r="HS341" i="59"/>
  <c r="HT341" i="59"/>
  <c r="HU341" i="59"/>
  <c r="HV341" i="59"/>
  <c r="HW341" i="59"/>
  <c r="HX341" i="59"/>
  <c r="HY341" i="59"/>
  <c r="HZ341" i="59"/>
  <c r="IA341" i="59"/>
  <c r="IB341" i="59"/>
  <c r="IC341" i="59"/>
  <c r="ID341" i="59"/>
  <c r="IE341" i="59"/>
  <c r="IF341" i="59"/>
  <c r="IG341" i="59"/>
  <c r="IH341" i="59"/>
  <c r="II341" i="59"/>
  <c r="IJ341" i="59"/>
  <c r="IK341" i="59"/>
  <c r="IL341" i="59"/>
  <c r="IM341" i="59"/>
  <c r="IN341" i="59"/>
  <c r="IO341" i="59"/>
  <c r="IP341" i="59"/>
  <c r="IQ341" i="59"/>
  <c r="IR341" i="59"/>
  <c r="IS341" i="59"/>
  <c r="IT341" i="59"/>
  <c r="IU341" i="59"/>
  <c r="IV341" i="59"/>
  <c r="F342" i="59"/>
  <c r="G342" i="59"/>
  <c r="H342" i="59"/>
  <c r="I342" i="59"/>
  <c r="J342" i="59"/>
  <c r="K342" i="59"/>
  <c r="L342" i="59"/>
  <c r="M342" i="59"/>
  <c r="N342" i="59"/>
  <c r="O342" i="59"/>
  <c r="P342" i="59"/>
  <c r="Q342" i="59"/>
  <c r="R342" i="59"/>
  <c r="S342" i="59"/>
  <c r="T342" i="59"/>
  <c r="U342" i="59"/>
  <c r="V342" i="59"/>
  <c r="W342" i="59"/>
  <c r="X342" i="59"/>
  <c r="Y342" i="59"/>
  <c r="Z342" i="59"/>
  <c r="AA342" i="59"/>
  <c r="AB342" i="59"/>
  <c r="AC342" i="59"/>
  <c r="AD342" i="59"/>
  <c r="AE342" i="59"/>
  <c r="AF342" i="59"/>
  <c r="AG342" i="59"/>
  <c r="AH342" i="59"/>
  <c r="AI342" i="59"/>
  <c r="AJ342" i="59"/>
  <c r="AK342" i="59"/>
  <c r="AL342" i="59"/>
  <c r="AM342" i="59"/>
  <c r="AN342" i="59"/>
  <c r="AO342" i="59"/>
  <c r="AP342" i="59"/>
  <c r="AQ342" i="59"/>
  <c r="AR342" i="59"/>
  <c r="AS342" i="59"/>
  <c r="AT342" i="59"/>
  <c r="AU342" i="59"/>
  <c r="AV342" i="59"/>
  <c r="AW342" i="59"/>
  <c r="AX342" i="59"/>
  <c r="AY342" i="59"/>
  <c r="AZ342" i="59"/>
  <c r="BA342" i="59"/>
  <c r="BB342" i="59"/>
  <c r="BC342" i="59"/>
  <c r="BD342" i="59"/>
  <c r="BE342" i="59"/>
  <c r="BF342" i="59"/>
  <c r="BG342" i="59"/>
  <c r="BH342" i="59"/>
  <c r="BI342" i="59"/>
  <c r="BJ342" i="59"/>
  <c r="BK342" i="59"/>
  <c r="BL342" i="59"/>
  <c r="BM342" i="59"/>
  <c r="BN342" i="59"/>
  <c r="BO342" i="59"/>
  <c r="BP342" i="59"/>
  <c r="BQ342" i="59"/>
  <c r="BR342" i="59"/>
  <c r="BS342" i="59"/>
  <c r="BT342" i="59"/>
  <c r="BU342" i="59"/>
  <c r="BV342" i="59"/>
  <c r="BW342" i="59"/>
  <c r="BX342" i="59"/>
  <c r="BY342" i="59"/>
  <c r="BZ342" i="59"/>
  <c r="CA342" i="59"/>
  <c r="CB342" i="59"/>
  <c r="CC342" i="59"/>
  <c r="CD342" i="59"/>
  <c r="CE342" i="59"/>
  <c r="CF342" i="59"/>
  <c r="CG342" i="59"/>
  <c r="CH342" i="59"/>
  <c r="CI342" i="59"/>
  <c r="CJ342" i="59"/>
  <c r="CK342" i="59"/>
  <c r="CL342" i="59"/>
  <c r="CM342" i="59"/>
  <c r="CN342" i="59"/>
  <c r="CO342" i="59"/>
  <c r="CP342" i="59"/>
  <c r="CQ342" i="59"/>
  <c r="CR342" i="59"/>
  <c r="CS342" i="59"/>
  <c r="CT342" i="59"/>
  <c r="CU342" i="59"/>
  <c r="CV342" i="59"/>
  <c r="CW342" i="59"/>
  <c r="CX342" i="59"/>
  <c r="CY342" i="59"/>
  <c r="CZ342" i="59"/>
  <c r="DA342" i="59"/>
  <c r="DB342" i="59"/>
  <c r="DC342" i="59"/>
  <c r="DD342" i="59"/>
  <c r="DE342" i="59"/>
  <c r="DF342" i="59"/>
  <c r="DG342" i="59"/>
  <c r="DH342" i="59"/>
  <c r="DI342" i="59"/>
  <c r="DJ342" i="59"/>
  <c r="DK342" i="59"/>
  <c r="DL342" i="59"/>
  <c r="DM342" i="59"/>
  <c r="DN342" i="59"/>
  <c r="DO342" i="59"/>
  <c r="DP342" i="59"/>
  <c r="DQ342" i="59"/>
  <c r="DR342" i="59"/>
  <c r="DS342" i="59"/>
  <c r="DT342" i="59"/>
  <c r="DU342" i="59"/>
  <c r="DV342" i="59"/>
  <c r="DW342" i="59"/>
  <c r="DX342" i="59"/>
  <c r="DY342" i="59"/>
  <c r="DZ342" i="59"/>
  <c r="EA342" i="59"/>
  <c r="EB342" i="59"/>
  <c r="EC342" i="59"/>
  <c r="ED342" i="59"/>
  <c r="EE342" i="59"/>
  <c r="EF342" i="59"/>
  <c r="EG342" i="59"/>
  <c r="EH342" i="59"/>
  <c r="EI342" i="59"/>
  <c r="EJ342" i="59"/>
  <c r="EK342" i="59"/>
  <c r="EL342" i="59"/>
  <c r="EM342" i="59"/>
  <c r="EN342" i="59"/>
  <c r="EO342" i="59"/>
  <c r="EP342" i="59"/>
  <c r="EQ342" i="59"/>
  <c r="ER342" i="59"/>
  <c r="ES342" i="59"/>
  <c r="ET342" i="59"/>
  <c r="EU342" i="59"/>
  <c r="EV342" i="59"/>
  <c r="EW342" i="59"/>
  <c r="EX342" i="59"/>
  <c r="EY342" i="59"/>
  <c r="EZ342" i="59"/>
  <c r="FA342" i="59"/>
  <c r="FB342" i="59"/>
  <c r="FC342" i="59"/>
  <c r="FD342" i="59"/>
  <c r="FE342" i="59"/>
  <c r="FF342" i="59"/>
  <c r="FG342" i="59"/>
  <c r="FH342" i="59"/>
  <c r="FI342" i="59"/>
  <c r="FJ342" i="59"/>
  <c r="FK342" i="59"/>
  <c r="FL342" i="59"/>
  <c r="FM342" i="59"/>
  <c r="FN342" i="59"/>
  <c r="FO342" i="59"/>
  <c r="FP342" i="59"/>
  <c r="FQ342" i="59"/>
  <c r="FR342" i="59"/>
  <c r="FS342" i="59"/>
  <c r="FT342" i="59"/>
  <c r="FU342" i="59"/>
  <c r="FV342" i="59"/>
  <c r="FW342" i="59"/>
  <c r="FX342" i="59"/>
  <c r="FY342" i="59"/>
  <c r="FZ342" i="59"/>
  <c r="GA342" i="59"/>
  <c r="GB342" i="59"/>
  <c r="GC342" i="59"/>
  <c r="GD342" i="59"/>
  <c r="GE342" i="59"/>
  <c r="GF342" i="59"/>
  <c r="GG342" i="59"/>
  <c r="GH342" i="59"/>
  <c r="GI342" i="59"/>
  <c r="GJ342" i="59"/>
  <c r="GK342" i="59"/>
  <c r="GL342" i="59"/>
  <c r="GM342" i="59"/>
  <c r="GN342" i="59"/>
  <c r="GO342" i="59"/>
  <c r="GP342" i="59"/>
  <c r="GQ342" i="59"/>
  <c r="GR342" i="59"/>
  <c r="GS342" i="59"/>
  <c r="GT342" i="59"/>
  <c r="GU342" i="59"/>
  <c r="GV342" i="59"/>
  <c r="GW342" i="59"/>
  <c r="GX342" i="59"/>
  <c r="GY342" i="59"/>
  <c r="GZ342" i="59"/>
  <c r="HA342" i="59"/>
  <c r="HB342" i="59"/>
  <c r="HC342" i="59"/>
  <c r="HD342" i="59"/>
  <c r="HE342" i="59"/>
  <c r="HF342" i="59"/>
  <c r="HG342" i="59"/>
  <c r="HH342" i="59"/>
  <c r="HI342" i="59"/>
  <c r="HJ342" i="59"/>
  <c r="HK342" i="59"/>
  <c r="HL342" i="59"/>
  <c r="HM342" i="59"/>
  <c r="HN342" i="59"/>
  <c r="HO342" i="59"/>
  <c r="HP342" i="59"/>
  <c r="HQ342" i="59"/>
  <c r="HR342" i="59"/>
  <c r="HS342" i="59"/>
  <c r="HT342" i="59"/>
  <c r="HU342" i="59"/>
  <c r="HV342" i="59"/>
  <c r="HW342" i="59"/>
  <c r="HX342" i="59"/>
  <c r="HY342" i="59"/>
  <c r="HZ342" i="59"/>
  <c r="IA342" i="59"/>
  <c r="IB342" i="59"/>
  <c r="IC342" i="59"/>
  <c r="ID342" i="59"/>
  <c r="IE342" i="59"/>
  <c r="IF342" i="59"/>
  <c r="IG342" i="59"/>
  <c r="IH342" i="59"/>
  <c r="II342" i="59"/>
  <c r="IJ342" i="59"/>
  <c r="IK342" i="59"/>
  <c r="IL342" i="59"/>
  <c r="IM342" i="59"/>
  <c r="IN342" i="59"/>
  <c r="IO342" i="59"/>
  <c r="IP342" i="59"/>
  <c r="IQ342" i="59"/>
  <c r="IR342" i="59"/>
  <c r="IS342" i="59"/>
  <c r="IT342" i="59"/>
  <c r="IU342" i="59"/>
  <c r="IV342" i="59"/>
  <c r="F343" i="59"/>
  <c r="G343" i="59"/>
  <c r="H343" i="59"/>
  <c r="I343" i="59"/>
  <c r="J343" i="59"/>
  <c r="K343" i="59"/>
  <c r="L343" i="59"/>
  <c r="M343" i="59"/>
  <c r="N343" i="59"/>
  <c r="O343" i="59"/>
  <c r="P343" i="59"/>
  <c r="Q343" i="59"/>
  <c r="R343" i="59"/>
  <c r="S343" i="59"/>
  <c r="T343" i="59"/>
  <c r="U343" i="59"/>
  <c r="V343" i="59"/>
  <c r="W343" i="59"/>
  <c r="X343" i="59"/>
  <c r="Y343" i="59"/>
  <c r="Z343" i="59"/>
  <c r="AA343" i="59"/>
  <c r="AB343" i="59"/>
  <c r="AC343" i="59"/>
  <c r="AD343" i="59"/>
  <c r="AE343" i="59"/>
  <c r="AF343" i="59"/>
  <c r="AG343" i="59"/>
  <c r="AH343" i="59"/>
  <c r="AI343" i="59"/>
  <c r="AJ343" i="59"/>
  <c r="AK343" i="59"/>
  <c r="AL343" i="59"/>
  <c r="AM343" i="59"/>
  <c r="AN343" i="59"/>
  <c r="AO343" i="59"/>
  <c r="AP343" i="59"/>
  <c r="AQ343" i="59"/>
  <c r="AR343" i="59"/>
  <c r="AS343" i="59"/>
  <c r="AT343" i="59"/>
  <c r="AU343" i="59"/>
  <c r="AV343" i="59"/>
  <c r="AW343" i="59"/>
  <c r="AX343" i="59"/>
  <c r="AY343" i="59"/>
  <c r="AZ343" i="59"/>
  <c r="BA343" i="59"/>
  <c r="BB343" i="59"/>
  <c r="BC343" i="59"/>
  <c r="BD343" i="59"/>
  <c r="BE343" i="59"/>
  <c r="BF343" i="59"/>
  <c r="BG343" i="59"/>
  <c r="BH343" i="59"/>
  <c r="BI343" i="59"/>
  <c r="BJ343" i="59"/>
  <c r="BK343" i="59"/>
  <c r="BL343" i="59"/>
  <c r="BM343" i="59"/>
  <c r="BN343" i="59"/>
  <c r="BO343" i="59"/>
  <c r="BP343" i="59"/>
  <c r="BQ343" i="59"/>
  <c r="BR343" i="59"/>
  <c r="BS343" i="59"/>
  <c r="BT343" i="59"/>
  <c r="BU343" i="59"/>
  <c r="BV343" i="59"/>
  <c r="BW343" i="59"/>
  <c r="BX343" i="59"/>
  <c r="BY343" i="59"/>
  <c r="BZ343" i="59"/>
  <c r="CA343" i="59"/>
  <c r="CB343" i="59"/>
  <c r="CC343" i="59"/>
  <c r="CD343" i="59"/>
  <c r="CE343" i="59"/>
  <c r="CF343" i="59"/>
  <c r="CG343" i="59"/>
  <c r="CH343" i="59"/>
  <c r="CI343" i="59"/>
  <c r="CJ343" i="59"/>
  <c r="CK343" i="59"/>
  <c r="CL343" i="59"/>
  <c r="CM343" i="59"/>
  <c r="CN343" i="59"/>
  <c r="CO343" i="59"/>
  <c r="CP343" i="59"/>
  <c r="CQ343" i="59"/>
  <c r="CR343" i="59"/>
  <c r="CS343" i="59"/>
  <c r="CT343" i="59"/>
  <c r="CU343" i="59"/>
  <c r="CV343" i="59"/>
  <c r="CW343" i="59"/>
  <c r="CX343" i="59"/>
  <c r="CY343" i="59"/>
  <c r="CZ343" i="59"/>
  <c r="DA343" i="59"/>
  <c r="DB343" i="59"/>
  <c r="DC343" i="59"/>
  <c r="DD343" i="59"/>
  <c r="DE343" i="59"/>
  <c r="DF343" i="59"/>
  <c r="DG343" i="59"/>
  <c r="DH343" i="59"/>
  <c r="DI343" i="59"/>
  <c r="DJ343" i="59"/>
  <c r="DK343" i="59"/>
  <c r="DL343" i="59"/>
  <c r="DM343" i="59"/>
  <c r="DN343" i="59"/>
  <c r="DO343" i="59"/>
  <c r="DP343" i="59"/>
  <c r="DQ343" i="59"/>
  <c r="DR343" i="59"/>
  <c r="DS343" i="59"/>
  <c r="DT343" i="59"/>
  <c r="DU343" i="59"/>
  <c r="DV343" i="59"/>
  <c r="DW343" i="59"/>
  <c r="DX343" i="59"/>
  <c r="DY343" i="59"/>
  <c r="DZ343" i="59"/>
  <c r="EA343" i="59"/>
  <c r="EB343" i="59"/>
  <c r="EC343" i="59"/>
  <c r="ED343" i="59"/>
  <c r="EE343" i="59"/>
  <c r="EF343" i="59"/>
  <c r="EG343" i="59"/>
  <c r="EH343" i="59"/>
  <c r="EI343" i="59"/>
  <c r="EJ343" i="59"/>
  <c r="EK343" i="59"/>
  <c r="EL343" i="59"/>
  <c r="EM343" i="59"/>
  <c r="EN343" i="59"/>
  <c r="EO343" i="59"/>
  <c r="EP343" i="59"/>
  <c r="EQ343" i="59"/>
  <c r="ER343" i="59"/>
  <c r="ES343" i="59"/>
  <c r="ET343" i="59"/>
  <c r="EU343" i="59"/>
  <c r="EV343" i="59"/>
  <c r="EW343" i="59"/>
  <c r="EX343" i="59"/>
  <c r="EY343" i="59"/>
  <c r="EZ343" i="59"/>
  <c r="FA343" i="59"/>
  <c r="FB343" i="59"/>
  <c r="FC343" i="59"/>
  <c r="FD343" i="59"/>
  <c r="FE343" i="59"/>
  <c r="FF343" i="59"/>
  <c r="FG343" i="59"/>
  <c r="FH343" i="59"/>
  <c r="FI343" i="59"/>
  <c r="FJ343" i="59"/>
  <c r="FK343" i="59"/>
  <c r="FL343" i="59"/>
  <c r="FM343" i="59"/>
  <c r="FN343" i="59"/>
  <c r="FO343" i="59"/>
  <c r="FP343" i="59"/>
  <c r="FQ343" i="59"/>
  <c r="FR343" i="59"/>
  <c r="FS343" i="59"/>
  <c r="FT343" i="59"/>
  <c r="FU343" i="59"/>
  <c r="FV343" i="59"/>
  <c r="FW343" i="59"/>
  <c r="FX343" i="59"/>
  <c r="FY343" i="59"/>
  <c r="FZ343" i="59"/>
  <c r="GA343" i="59"/>
  <c r="GB343" i="59"/>
  <c r="GC343" i="59"/>
  <c r="GD343" i="59"/>
  <c r="GE343" i="59"/>
  <c r="GF343" i="59"/>
  <c r="GG343" i="59"/>
  <c r="GH343" i="59"/>
  <c r="GI343" i="59"/>
  <c r="GJ343" i="59"/>
  <c r="GK343" i="59"/>
  <c r="GL343" i="59"/>
  <c r="GM343" i="59"/>
  <c r="GN343" i="59"/>
  <c r="GO343" i="59"/>
  <c r="GP343" i="59"/>
  <c r="GQ343" i="59"/>
  <c r="GR343" i="59"/>
  <c r="GS343" i="59"/>
  <c r="GT343" i="59"/>
  <c r="GU343" i="59"/>
  <c r="GV343" i="59"/>
  <c r="GW343" i="59"/>
  <c r="GX343" i="59"/>
  <c r="GY343" i="59"/>
  <c r="GZ343" i="59"/>
  <c r="HA343" i="59"/>
  <c r="HB343" i="59"/>
  <c r="HC343" i="59"/>
  <c r="HD343" i="59"/>
  <c r="HE343" i="59"/>
  <c r="HF343" i="59"/>
  <c r="HG343" i="59"/>
  <c r="HH343" i="59"/>
  <c r="HI343" i="59"/>
  <c r="HJ343" i="59"/>
  <c r="HK343" i="59"/>
  <c r="HL343" i="59"/>
  <c r="HM343" i="59"/>
  <c r="HN343" i="59"/>
  <c r="HO343" i="59"/>
  <c r="HP343" i="59"/>
  <c r="HQ343" i="59"/>
  <c r="HR343" i="59"/>
  <c r="HS343" i="59"/>
  <c r="HT343" i="59"/>
  <c r="HU343" i="59"/>
  <c r="HV343" i="59"/>
  <c r="HW343" i="59"/>
  <c r="HX343" i="59"/>
  <c r="HY343" i="59"/>
  <c r="HZ343" i="59"/>
  <c r="IA343" i="59"/>
  <c r="IB343" i="59"/>
  <c r="IC343" i="59"/>
  <c r="ID343" i="59"/>
  <c r="IE343" i="59"/>
  <c r="IF343" i="59"/>
  <c r="IG343" i="59"/>
  <c r="IH343" i="59"/>
  <c r="II343" i="59"/>
  <c r="IJ343" i="59"/>
  <c r="IK343" i="59"/>
  <c r="IL343" i="59"/>
  <c r="IM343" i="59"/>
  <c r="IN343" i="59"/>
  <c r="IO343" i="59"/>
  <c r="IP343" i="59"/>
  <c r="IQ343" i="59"/>
  <c r="IR343" i="59"/>
  <c r="IS343" i="59"/>
  <c r="IT343" i="59"/>
  <c r="IU343" i="59"/>
  <c r="IV343" i="59"/>
  <c r="F344" i="59"/>
  <c r="G344" i="59"/>
  <c r="H344" i="59"/>
  <c r="I344" i="59"/>
  <c r="J344" i="59"/>
  <c r="K344" i="59"/>
  <c r="L344" i="59"/>
  <c r="M344" i="59"/>
  <c r="N344" i="59"/>
  <c r="O344" i="59"/>
  <c r="P344" i="59"/>
  <c r="Q344" i="59"/>
  <c r="R344" i="59"/>
  <c r="S344" i="59"/>
  <c r="T344" i="59"/>
  <c r="U344" i="59"/>
  <c r="V344" i="59"/>
  <c r="W344" i="59"/>
  <c r="X344" i="59"/>
  <c r="Y344" i="59"/>
  <c r="Z344" i="59"/>
  <c r="AA344" i="59"/>
  <c r="AB344" i="59"/>
  <c r="AC344" i="59"/>
  <c r="AD344" i="59"/>
  <c r="AE344" i="59"/>
  <c r="AF344" i="59"/>
  <c r="AG344" i="59"/>
  <c r="AH344" i="59"/>
  <c r="AI344" i="59"/>
  <c r="AJ344" i="59"/>
  <c r="AK344" i="59"/>
  <c r="AL344" i="59"/>
  <c r="AM344" i="59"/>
  <c r="AN344" i="59"/>
  <c r="AO344" i="59"/>
  <c r="AP344" i="59"/>
  <c r="AQ344" i="59"/>
  <c r="AR344" i="59"/>
  <c r="AS344" i="59"/>
  <c r="AT344" i="59"/>
  <c r="AU344" i="59"/>
  <c r="AV344" i="59"/>
  <c r="AW344" i="59"/>
  <c r="AX344" i="59"/>
  <c r="AY344" i="59"/>
  <c r="AZ344" i="59"/>
  <c r="BA344" i="59"/>
  <c r="BB344" i="59"/>
  <c r="BC344" i="59"/>
  <c r="BD344" i="59"/>
  <c r="BE344" i="59"/>
  <c r="BF344" i="59"/>
  <c r="BG344" i="59"/>
  <c r="BH344" i="59"/>
  <c r="BI344" i="59"/>
  <c r="BJ344" i="59"/>
  <c r="BK344" i="59"/>
  <c r="BL344" i="59"/>
  <c r="BM344" i="59"/>
  <c r="BN344" i="59"/>
  <c r="BO344" i="59"/>
  <c r="BP344" i="59"/>
  <c r="BQ344" i="59"/>
  <c r="BR344" i="59"/>
  <c r="BS344" i="59"/>
  <c r="BT344" i="59"/>
  <c r="BU344" i="59"/>
  <c r="BV344" i="59"/>
  <c r="BW344" i="59"/>
  <c r="BX344" i="59"/>
  <c r="BY344" i="59"/>
  <c r="BZ344" i="59"/>
  <c r="CA344" i="59"/>
  <c r="CB344" i="59"/>
  <c r="CC344" i="59"/>
  <c r="CD344" i="59"/>
  <c r="CE344" i="59"/>
  <c r="CF344" i="59"/>
  <c r="CG344" i="59"/>
  <c r="CH344" i="59"/>
  <c r="CI344" i="59"/>
  <c r="CJ344" i="59"/>
  <c r="CK344" i="59"/>
  <c r="CL344" i="59"/>
  <c r="CM344" i="59"/>
  <c r="CN344" i="59"/>
  <c r="CO344" i="59"/>
  <c r="CP344" i="59"/>
  <c r="CQ344" i="59"/>
  <c r="CR344" i="59"/>
  <c r="CS344" i="59"/>
  <c r="CT344" i="59"/>
  <c r="CU344" i="59"/>
  <c r="CV344" i="59"/>
  <c r="CW344" i="59"/>
  <c r="CX344" i="59"/>
  <c r="CY344" i="59"/>
  <c r="CZ344" i="59"/>
  <c r="DA344" i="59"/>
  <c r="DB344" i="59"/>
  <c r="DC344" i="59"/>
  <c r="DD344" i="59"/>
  <c r="DE344" i="59"/>
  <c r="DF344" i="59"/>
  <c r="DG344" i="59"/>
  <c r="DH344" i="59"/>
  <c r="DI344" i="59"/>
  <c r="DJ344" i="59"/>
  <c r="DK344" i="59"/>
  <c r="DL344" i="59"/>
  <c r="DM344" i="59"/>
  <c r="DN344" i="59"/>
  <c r="DO344" i="59"/>
  <c r="DP344" i="59"/>
  <c r="DQ344" i="59"/>
  <c r="DR344" i="59"/>
  <c r="DS344" i="59"/>
  <c r="DT344" i="59"/>
  <c r="DU344" i="59"/>
  <c r="DV344" i="59"/>
  <c r="DW344" i="59"/>
  <c r="DX344" i="59"/>
  <c r="DY344" i="59"/>
  <c r="DZ344" i="59"/>
  <c r="EA344" i="59"/>
  <c r="EB344" i="59"/>
  <c r="EC344" i="59"/>
  <c r="ED344" i="59"/>
  <c r="EE344" i="59"/>
  <c r="EF344" i="59"/>
  <c r="EG344" i="59"/>
  <c r="EH344" i="59"/>
  <c r="EI344" i="59"/>
  <c r="EJ344" i="59"/>
  <c r="EK344" i="59"/>
  <c r="EL344" i="59"/>
  <c r="EM344" i="59"/>
  <c r="EN344" i="59"/>
  <c r="EO344" i="59"/>
  <c r="EP344" i="59"/>
  <c r="EQ344" i="59"/>
  <c r="ER344" i="59"/>
  <c r="ES344" i="59"/>
  <c r="ET344" i="59"/>
  <c r="EU344" i="59"/>
  <c r="EV344" i="59"/>
  <c r="EW344" i="59"/>
  <c r="EX344" i="59"/>
  <c r="EY344" i="59"/>
  <c r="EZ344" i="59"/>
  <c r="FA344" i="59"/>
  <c r="FB344" i="59"/>
  <c r="FC344" i="59"/>
  <c r="FD344" i="59"/>
  <c r="FE344" i="59"/>
  <c r="FF344" i="59"/>
  <c r="FG344" i="59"/>
  <c r="FH344" i="59"/>
  <c r="FI344" i="59"/>
  <c r="FJ344" i="59"/>
  <c r="FK344" i="59"/>
  <c r="FL344" i="59"/>
  <c r="FM344" i="59"/>
  <c r="FN344" i="59"/>
  <c r="FO344" i="59"/>
  <c r="FP344" i="59"/>
  <c r="FQ344" i="59"/>
  <c r="FR344" i="59"/>
  <c r="FS344" i="59"/>
  <c r="FT344" i="59"/>
  <c r="FU344" i="59"/>
  <c r="FV344" i="59"/>
  <c r="FW344" i="59"/>
  <c r="FX344" i="59"/>
  <c r="FY344" i="59"/>
  <c r="FZ344" i="59"/>
  <c r="GA344" i="59"/>
  <c r="GB344" i="59"/>
  <c r="GC344" i="59"/>
  <c r="GD344" i="59"/>
  <c r="GE344" i="59"/>
  <c r="GF344" i="59"/>
  <c r="GG344" i="59"/>
  <c r="GH344" i="59"/>
  <c r="GI344" i="59"/>
  <c r="GJ344" i="59"/>
  <c r="GK344" i="59"/>
  <c r="GL344" i="59"/>
  <c r="GM344" i="59"/>
  <c r="GN344" i="59"/>
  <c r="GO344" i="59"/>
  <c r="GP344" i="59"/>
  <c r="GQ344" i="59"/>
  <c r="GR344" i="59"/>
  <c r="GS344" i="59"/>
  <c r="GT344" i="59"/>
  <c r="GU344" i="59"/>
  <c r="GV344" i="59"/>
  <c r="GW344" i="59"/>
  <c r="GX344" i="59"/>
  <c r="GY344" i="59"/>
  <c r="GZ344" i="59"/>
  <c r="HA344" i="59"/>
  <c r="HB344" i="59"/>
  <c r="HC344" i="59"/>
  <c r="HD344" i="59"/>
  <c r="HE344" i="59"/>
  <c r="HF344" i="59"/>
  <c r="HG344" i="59"/>
  <c r="HH344" i="59"/>
  <c r="HI344" i="59"/>
  <c r="HJ344" i="59"/>
  <c r="HK344" i="59"/>
  <c r="HL344" i="59"/>
  <c r="HM344" i="59"/>
  <c r="HN344" i="59"/>
  <c r="HO344" i="59"/>
  <c r="HP344" i="59"/>
  <c r="HQ344" i="59"/>
  <c r="HR344" i="59"/>
  <c r="HS344" i="59"/>
  <c r="HT344" i="59"/>
  <c r="HU344" i="59"/>
  <c r="HV344" i="59"/>
  <c r="HW344" i="59"/>
  <c r="HX344" i="59"/>
  <c r="HY344" i="59"/>
  <c r="HZ344" i="59"/>
  <c r="IA344" i="59"/>
  <c r="IB344" i="59"/>
  <c r="IC344" i="59"/>
  <c r="ID344" i="59"/>
  <c r="IE344" i="59"/>
  <c r="IF344" i="59"/>
  <c r="IG344" i="59"/>
  <c r="IH344" i="59"/>
  <c r="II344" i="59"/>
  <c r="IJ344" i="59"/>
  <c r="IK344" i="59"/>
  <c r="IL344" i="59"/>
  <c r="IM344" i="59"/>
  <c r="IN344" i="59"/>
  <c r="IO344" i="59"/>
  <c r="IP344" i="59"/>
  <c r="IQ344" i="59"/>
  <c r="IR344" i="59"/>
  <c r="IS344" i="59"/>
  <c r="IT344" i="59"/>
  <c r="IU344" i="59"/>
  <c r="IV344" i="59"/>
  <c r="F345" i="59"/>
  <c r="G345" i="59"/>
  <c r="H345" i="59"/>
  <c r="I345" i="59"/>
  <c r="J345" i="59"/>
  <c r="K345" i="59"/>
  <c r="L345" i="59"/>
  <c r="M345" i="59"/>
  <c r="N345" i="59"/>
  <c r="O345" i="59"/>
  <c r="P345" i="59"/>
  <c r="Q345" i="59"/>
  <c r="R345" i="59"/>
  <c r="S345" i="59"/>
  <c r="T345" i="59"/>
  <c r="U345" i="59"/>
  <c r="V345" i="59"/>
  <c r="W345" i="59"/>
  <c r="X345" i="59"/>
  <c r="Y345" i="59"/>
  <c r="Z345" i="59"/>
  <c r="AA345" i="59"/>
  <c r="AB345" i="59"/>
  <c r="AC345" i="59"/>
  <c r="AD345" i="59"/>
  <c r="AE345" i="59"/>
  <c r="AF345" i="59"/>
  <c r="AG345" i="59"/>
  <c r="AH345" i="59"/>
  <c r="AI345" i="59"/>
  <c r="AJ345" i="59"/>
  <c r="AK345" i="59"/>
  <c r="AL345" i="59"/>
  <c r="AM345" i="59"/>
  <c r="AN345" i="59"/>
  <c r="AO345" i="59"/>
  <c r="AP345" i="59"/>
  <c r="AQ345" i="59"/>
  <c r="AR345" i="59"/>
  <c r="AS345" i="59"/>
  <c r="AT345" i="59"/>
  <c r="AU345" i="59"/>
  <c r="AV345" i="59"/>
  <c r="AW345" i="59"/>
  <c r="AX345" i="59"/>
  <c r="AY345" i="59"/>
  <c r="AZ345" i="59"/>
  <c r="BA345" i="59"/>
  <c r="BB345" i="59"/>
  <c r="BC345" i="59"/>
  <c r="BD345" i="59"/>
  <c r="BE345" i="59"/>
  <c r="BF345" i="59"/>
  <c r="BG345" i="59"/>
  <c r="BH345" i="59"/>
  <c r="BI345" i="59"/>
  <c r="BJ345" i="59"/>
  <c r="BK345" i="59"/>
  <c r="BL345" i="59"/>
  <c r="BM345" i="59"/>
  <c r="BN345" i="59"/>
  <c r="BO345" i="59"/>
  <c r="BP345" i="59"/>
  <c r="BQ345" i="59"/>
  <c r="BR345" i="59"/>
  <c r="BS345" i="59"/>
  <c r="BT345" i="59"/>
  <c r="BU345" i="59"/>
  <c r="BV345" i="59"/>
  <c r="BW345" i="59"/>
  <c r="BX345" i="59"/>
  <c r="BY345" i="59"/>
  <c r="BZ345" i="59"/>
  <c r="CA345" i="59"/>
  <c r="CB345" i="59"/>
  <c r="CC345" i="59"/>
  <c r="CD345" i="59"/>
  <c r="CE345" i="59"/>
  <c r="CF345" i="59"/>
  <c r="CG345" i="59"/>
  <c r="CH345" i="59"/>
  <c r="CI345" i="59"/>
  <c r="CJ345" i="59"/>
  <c r="CK345" i="59"/>
  <c r="CL345" i="59"/>
  <c r="CM345" i="59"/>
  <c r="CN345" i="59"/>
  <c r="CO345" i="59"/>
  <c r="CP345" i="59"/>
  <c r="CQ345" i="59"/>
  <c r="CR345" i="59"/>
  <c r="CS345" i="59"/>
  <c r="CT345" i="59"/>
  <c r="CU345" i="59"/>
  <c r="CV345" i="59"/>
  <c r="CW345" i="59"/>
  <c r="CX345" i="59"/>
  <c r="CY345" i="59"/>
  <c r="CZ345" i="59"/>
  <c r="DA345" i="59"/>
  <c r="DB345" i="59"/>
  <c r="DC345" i="59"/>
  <c r="DD345" i="59"/>
  <c r="DE345" i="59"/>
  <c r="DF345" i="59"/>
  <c r="DG345" i="59"/>
  <c r="DH345" i="59"/>
  <c r="DI345" i="59"/>
  <c r="DJ345" i="59"/>
  <c r="DK345" i="59"/>
  <c r="DL345" i="59"/>
  <c r="DM345" i="59"/>
  <c r="DN345" i="59"/>
  <c r="DO345" i="59"/>
  <c r="DP345" i="59"/>
  <c r="DQ345" i="59"/>
  <c r="DR345" i="59"/>
  <c r="DS345" i="59"/>
  <c r="DT345" i="59"/>
  <c r="DU345" i="59"/>
  <c r="DV345" i="59"/>
  <c r="DW345" i="59"/>
  <c r="DX345" i="59"/>
  <c r="DY345" i="59"/>
  <c r="DZ345" i="59"/>
  <c r="EA345" i="59"/>
  <c r="EB345" i="59"/>
  <c r="EC345" i="59"/>
  <c r="ED345" i="59"/>
  <c r="EE345" i="59"/>
  <c r="EF345" i="59"/>
  <c r="EG345" i="59"/>
  <c r="EH345" i="59"/>
  <c r="EI345" i="59"/>
  <c r="EJ345" i="59"/>
  <c r="EK345" i="59"/>
  <c r="EL345" i="59"/>
  <c r="EM345" i="59"/>
  <c r="EN345" i="59"/>
  <c r="EO345" i="59"/>
  <c r="EP345" i="59"/>
  <c r="EQ345" i="59"/>
  <c r="ER345" i="59"/>
  <c r="ES345" i="59"/>
  <c r="ET345" i="59"/>
  <c r="EU345" i="59"/>
  <c r="EV345" i="59"/>
  <c r="EW345" i="59"/>
  <c r="EX345" i="59"/>
  <c r="EY345" i="59"/>
  <c r="EZ345" i="59"/>
  <c r="FA345" i="59"/>
  <c r="FB345" i="59"/>
  <c r="FC345" i="59"/>
  <c r="FD345" i="59"/>
  <c r="FE345" i="59"/>
  <c r="FF345" i="59"/>
  <c r="FG345" i="59"/>
  <c r="FH345" i="59"/>
  <c r="FI345" i="59"/>
  <c r="FJ345" i="59"/>
  <c r="FK345" i="59"/>
  <c r="FL345" i="59"/>
  <c r="FM345" i="59"/>
  <c r="FN345" i="59"/>
  <c r="FO345" i="59"/>
  <c r="FP345" i="59"/>
  <c r="FQ345" i="59"/>
  <c r="FR345" i="59"/>
  <c r="FS345" i="59"/>
  <c r="FT345" i="59"/>
  <c r="FU345" i="59"/>
  <c r="FV345" i="59"/>
  <c r="FW345" i="59"/>
  <c r="FX345" i="59"/>
  <c r="FY345" i="59"/>
  <c r="FZ345" i="59"/>
  <c r="GA345" i="59"/>
  <c r="GB345" i="59"/>
  <c r="GC345" i="59"/>
  <c r="GD345" i="59"/>
  <c r="GE345" i="59"/>
  <c r="GF345" i="59"/>
  <c r="GG345" i="59"/>
  <c r="GH345" i="59"/>
  <c r="GI345" i="59"/>
  <c r="GJ345" i="59"/>
  <c r="GK345" i="59"/>
  <c r="GL345" i="59"/>
  <c r="GM345" i="59"/>
  <c r="GN345" i="59"/>
  <c r="GO345" i="59"/>
  <c r="GP345" i="59"/>
  <c r="GQ345" i="59"/>
  <c r="GR345" i="59"/>
  <c r="GS345" i="59"/>
  <c r="GT345" i="59"/>
  <c r="GU345" i="59"/>
  <c r="GV345" i="59"/>
  <c r="GW345" i="59"/>
  <c r="GX345" i="59"/>
  <c r="GY345" i="59"/>
  <c r="GZ345" i="59"/>
  <c r="HA345" i="59"/>
  <c r="HB345" i="59"/>
  <c r="HC345" i="59"/>
  <c r="HD345" i="59"/>
  <c r="HE345" i="59"/>
  <c r="HF345" i="59"/>
  <c r="HG345" i="59"/>
  <c r="HH345" i="59"/>
  <c r="HI345" i="59"/>
  <c r="HJ345" i="59"/>
  <c r="HK345" i="59"/>
  <c r="HL345" i="59"/>
  <c r="HM345" i="59"/>
  <c r="HN345" i="59"/>
  <c r="HO345" i="59"/>
  <c r="HP345" i="59"/>
  <c r="HQ345" i="59"/>
  <c r="HR345" i="59"/>
  <c r="HS345" i="59"/>
  <c r="HT345" i="59"/>
  <c r="HU345" i="59"/>
  <c r="HV345" i="59"/>
  <c r="HW345" i="59"/>
  <c r="HX345" i="59"/>
  <c r="HY345" i="59"/>
  <c r="HZ345" i="59"/>
  <c r="IA345" i="59"/>
  <c r="IB345" i="59"/>
  <c r="IC345" i="59"/>
  <c r="ID345" i="59"/>
  <c r="IE345" i="59"/>
  <c r="IF345" i="59"/>
  <c r="IG345" i="59"/>
  <c r="IH345" i="59"/>
  <c r="II345" i="59"/>
  <c r="IJ345" i="59"/>
  <c r="IK345" i="59"/>
  <c r="IL345" i="59"/>
  <c r="IM345" i="59"/>
  <c r="IN345" i="59"/>
  <c r="IO345" i="59"/>
  <c r="IP345" i="59"/>
  <c r="IQ345" i="59"/>
  <c r="IR345" i="59"/>
  <c r="IS345" i="59"/>
  <c r="IT345" i="59"/>
  <c r="IU345" i="59"/>
  <c r="IV345" i="59"/>
  <c r="F346" i="59"/>
  <c r="G346" i="59"/>
  <c r="H346" i="59"/>
  <c r="I346" i="59"/>
  <c r="J346" i="59"/>
  <c r="K346" i="59"/>
  <c r="L346" i="59"/>
  <c r="M346" i="59"/>
  <c r="N346" i="59"/>
  <c r="O346" i="59"/>
  <c r="P346" i="59"/>
  <c r="Q346" i="59"/>
  <c r="R346" i="59"/>
  <c r="S346" i="59"/>
  <c r="T346" i="59"/>
  <c r="U346" i="59"/>
  <c r="V346" i="59"/>
  <c r="W346" i="59"/>
  <c r="X346" i="59"/>
  <c r="Y346" i="59"/>
  <c r="Z346" i="59"/>
  <c r="AA346" i="59"/>
  <c r="AB346" i="59"/>
  <c r="AC346" i="59"/>
  <c r="AD346" i="59"/>
  <c r="AE346" i="59"/>
  <c r="AF346" i="59"/>
  <c r="AG346" i="59"/>
  <c r="AH346" i="59"/>
  <c r="AI346" i="59"/>
  <c r="AJ346" i="59"/>
  <c r="AK346" i="59"/>
  <c r="AL346" i="59"/>
  <c r="AM346" i="59"/>
  <c r="AN346" i="59"/>
  <c r="AO346" i="59"/>
  <c r="AP346" i="59"/>
  <c r="AQ346" i="59"/>
  <c r="AR346" i="59"/>
  <c r="AS346" i="59"/>
  <c r="AT346" i="59"/>
  <c r="AU346" i="59"/>
  <c r="AV346" i="59"/>
  <c r="AW346" i="59"/>
  <c r="AX346" i="59"/>
  <c r="AY346" i="59"/>
  <c r="AZ346" i="59"/>
  <c r="BA346" i="59"/>
  <c r="BB346" i="59"/>
  <c r="BC346" i="59"/>
  <c r="BD346" i="59"/>
  <c r="BE346" i="59"/>
  <c r="BF346" i="59"/>
  <c r="BG346" i="59"/>
  <c r="BH346" i="59"/>
  <c r="BI346" i="59"/>
  <c r="BJ346" i="59"/>
  <c r="BK346" i="59"/>
  <c r="BL346" i="59"/>
  <c r="BM346" i="59"/>
  <c r="BN346" i="59"/>
  <c r="BO346" i="59"/>
  <c r="BP346" i="59"/>
  <c r="BQ346" i="59"/>
  <c r="BR346" i="59"/>
  <c r="BS346" i="59"/>
  <c r="BT346" i="59"/>
  <c r="BU346" i="59"/>
  <c r="BV346" i="59"/>
  <c r="BW346" i="59"/>
  <c r="BX346" i="59"/>
  <c r="BY346" i="59"/>
  <c r="BZ346" i="59"/>
  <c r="CA346" i="59"/>
  <c r="CB346" i="59"/>
  <c r="CC346" i="59"/>
  <c r="CD346" i="59"/>
  <c r="CE346" i="59"/>
  <c r="CF346" i="59"/>
  <c r="CG346" i="59"/>
  <c r="CH346" i="59"/>
  <c r="CI346" i="59"/>
  <c r="CJ346" i="59"/>
  <c r="CK346" i="59"/>
  <c r="CL346" i="59"/>
  <c r="CM346" i="59"/>
  <c r="CN346" i="59"/>
  <c r="CO346" i="59"/>
  <c r="CP346" i="59"/>
  <c r="CQ346" i="59"/>
  <c r="CR346" i="59"/>
  <c r="CS346" i="59"/>
  <c r="CT346" i="59"/>
  <c r="CU346" i="59"/>
  <c r="CV346" i="59"/>
  <c r="CW346" i="59"/>
  <c r="CX346" i="59"/>
  <c r="CY346" i="59"/>
  <c r="CZ346" i="59"/>
  <c r="DA346" i="59"/>
  <c r="DB346" i="59"/>
  <c r="DC346" i="59"/>
  <c r="DD346" i="59"/>
  <c r="DE346" i="59"/>
  <c r="DF346" i="59"/>
  <c r="DG346" i="59"/>
  <c r="DH346" i="59"/>
  <c r="DI346" i="59"/>
  <c r="DJ346" i="59"/>
  <c r="DK346" i="59"/>
  <c r="DL346" i="59"/>
  <c r="DM346" i="59"/>
  <c r="DN346" i="59"/>
  <c r="DO346" i="59"/>
  <c r="DP346" i="59"/>
  <c r="DQ346" i="59"/>
  <c r="DR346" i="59"/>
  <c r="DS346" i="59"/>
  <c r="DT346" i="59"/>
  <c r="DU346" i="59"/>
  <c r="DV346" i="59"/>
  <c r="DW346" i="59"/>
  <c r="DX346" i="59"/>
  <c r="DY346" i="59"/>
  <c r="DZ346" i="59"/>
  <c r="EA346" i="59"/>
  <c r="EB346" i="59"/>
  <c r="EC346" i="59"/>
  <c r="ED346" i="59"/>
  <c r="EE346" i="59"/>
  <c r="EF346" i="59"/>
  <c r="EG346" i="59"/>
  <c r="EH346" i="59"/>
  <c r="EI346" i="59"/>
  <c r="EJ346" i="59"/>
  <c r="EK346" i="59"/>
  <c r="EL346" i="59"/>
  <c r="EM346" i="59"/>
  <c r="EN346" i="59"/>
  <c r="EO346" i="59"/>
  <c r="EP346" i="59"/>
  <c r="EQ346" i="59"/>
  <c r="ER346" i="59"/>
  <c r="ES346" i="59"/>
  <c r="ET346" i="59"/>
  <c r="EU346" i="59"/>
  <c r="EV346" i="59"/>
  <c r="EW346" i="59"/>
  <c r="EX346" i="59"/>
  <c r="EY346" i="59"/>
  <c r="EZ346" i="59"/>
  <c r="FA346" i="59"/>
  <c r="FB346" i="59"/>
  <c r="FC346" i="59"/>
  <c r="FD346" i="59"/>
  <c r="FE346" i="59"/>
  <c r="FF346" i="59"/>
  <c r="FG346" i="59"/>
  <c r="FH346" i="59"/>
  <c r="FI346" i="59"/>
  <c r="FJ346" i="59"/>
  <c r="FK346" i="59"/>
  <c r="FL346" i="59"/>
  <c r="FM346" i="59"/>
  <c r="FN346" i="59"/>
  <c r="FO346" i="59"/>
  <c r="FP346" i="59"/>
  <c r="FQ346" i="59"/>
  <c r="FR346" i="59"/>
  <c r="FS346" i="59"/>
  <c r="FT346" i="59"/>
  <c r="FU346" i="59"/>
  <c r="FV346" i="59"/>
  <c r="FW346" i="59"/>
  <c r="FX346" i="59"/>
  <c r="FY346" i="59"/>
  <c r="FZ346" i="59"/>
  <c r="GA346" i="59"/>
  <c r="GB346" i="59"/>
  <c r="GC346" i="59"/>
  <c r="GD346" i="59"/>
  <c r="GE346" i="59"/>
  <c r="GF346" i="59"/>
  <c r="GG346" i="59"/>
  <c r="GH346" i="59"/>
  <c r="GI346" i="59"/>
  <c r="GJ346" i="59"/>
  <c r="GK346" i="59"/>
  <c r="GL346" i="59"/>
  <c r="GM346" i="59"/>
  <c r="GN346" i="59"/>
  <c r="GO346" i="59"/>
  <c r="GP346" i="59"/>
  <c r="GQ346" i="59"/>
  <c r="GR346" i="59"/>
  <c r="GS346" i="59"/>
  <c r="GT346" i="59"/>
  <c r="GU346" i="59"/>
  <c r="GV346" i="59"/>
  <c r="GW346" i="59"/>
  <c r="GX346" i="59"/>
  <c r="GY346" i="59"/>
  <c r="GZ346" i="59"/>
  <c r="HA346" i="59"/>
  <c r="HB346" i="59"/>
  <c r="HC346" i="59"/>
  <c r="HD346" i="59"/>
  <c r="HE346" i="59"/>
  <c r="HF346" i="59"/>
  <c r="HG346" i="59"/>
  <c r="HH346" i="59"/>
  <c r="HI346" i="59"/>
  <c r="HJ346" i="59"/>
  <c r="HK346" i="59"/>
  <c r="HL346" i="59"/>
  <c r="HM346" i="59"/>
  <c r="HN346" i="59"/>
  <c r="HO346" i="59"/>
  <c r="HP346" i="59"/>
  <c r="HQ346" i="59"/>
  <c r="HR346" i="59"/>
  <c r="HS346" i="59"/>
  <c r="HT346" i="59"/>
  <c r="HU346" i="59"/>
  <c r="HV346" i="59"/>
  <c r="HW346" i="59"/>
  <c r="HX346" i="59"/>
  <c r="HY346" i="59"/>
  <c r="HZ346" i="59"/>
  <c r="IA346" i="59"/>
  <c r="IB346" i="59"/>
  <c r="IC346" i="59"/>
  <c r="ID346" i="59"/>
  <c r="IE346" i="59"/>
  <c r="IF346" i="59"/>
  <c r="IG346" i="59"/>
  <c r="IH346" i="59"/>
  <c r="II346" i="59"/>
  <c r="IJ346" i="59"/>
  <c r="IK346" i="59"/>
  <c r="IL346" i="59"/>
  <c r="IM346" i="59"/>
  <c r="IN346" i="59"/>
  <c r="IO346" i="59"/>
  <c r="IP346" i="59"/>
  <c r="IQ346" i="59"/>
  <c r="IR346" i="59"/>
  <c r="IS346" i="59"/>
  <c r="IT346" i="59"/>
  <c r="IU346" i="59"/>
  <c r="IV346" i="59"/>
  <c r="F347" i="59"/>
  <c r="G347" i="59"/>
  <c r="H347" i="59"/>
  <c r="I347" i="59"/>
  <c r="J347" i="59"/>
  <c r="K347" i="59"/>
  <c r="L347" i="59"/>
  <c r="M347" i="59"/>
  <c r="N347" i="59"/>
  <c r="O347" i="59"/>
  <c r="P347" i="59"/>
  <c r="Q347" i="59"/>
  <c r="R347" i="59"/>
  <c r="S347" i="59"/>
  <c r="T347" i="59"/>
  <c r="U347" i="59"/>
  <c r="V347" i="59"/>
  <c r="W347" i="59"/>
  <c r="X347" i="59"/>
  <c r="Y347" i="59"/>
  <c r="Z347" i="59"/>
  <c r="AA347" i="59"/>
  <c r="AB347" i="59"/>
  <c r="AC347" i="59"/>
  <c r="AD347" i="59"/>
  <c r="AE347" i="59"/>
  <c r="AF347" i="59"/>
  <c r="AG347" i="59"/>
  <c r="AH347" i="59"/>
  <c r="AI347" i="59"/>
  <c r="AJ347" i="59"/>
  <c r="AK347" i="59"/>
  <c r="AL347" i="59"/>
  <c r="AM347" i="59"/>
  <c r="AN347" i="59"/>
  <c r="AO347" i="59"/>
  <c r="AP347" i="59"/>
  <c r="AQ347" i="59"/>
  <c r="AR347" i="59"/>
  <c r="AS347" i="59"/>
  <c r="AT347" i="59"/>
  <c r="AU347" i="59"/>
  <c r="AV347" i="59"/>
  <c r="AW347" i="59"/>
  <c r="AX347" i="59"/>
  <c r="AY347" i="59"/>
  <c r="AZ347" i="59"/>
  <c r="BA347" i="59"/>
  <c r="BB347" i="59"/>
  <c r="BC347" i="59"/>
  <c r="BD347" i="59"/>
  <c r="BE347" i="59"/>
  <c r="BF347" i="59"/>
  <c r="BG347" i="59"/>
  <c r="BH347" i="59"/>
  <c r="BI347" i="59"/>
  <c r="BJ347" i="59"/>
  <c r="BK347" i="59"/>
  <c r="BL347" i="59"/>
  <c r="BM347" i="59"/>
  <c r="BN347" i="59"/>
  <c r="BO347" i="59"/>
  <c r="BP347" i="59"/>
  <c r="BQ347" i="59"/>
  <c r="BR347" i="59"/>
  <c r="BS347" i="59"/>
  <c r="BT347" i="59"/>
  <c r="BU347" i="59"/>
  <c r="BV347" i="59"/>
  <c r="BW347" i="59"/>
  <c r="BX347" i="59"/>
  <c r="BY347" i="59"/>
  <c r="BZ347" i="59"/>
  <c r="CA347" i="59"/>
  <c r="CB347" i="59"/>
  <c r="CC347" i="59"/>
  <c r="CD347" i="59"/>
  <c r="CE347" i="59"/>
  <c r="CF347" i="59"/>
  <c r="CG347" i="59"/>
  <c r="CH347" i="59"/>
  <c r="CI347" i="59"/>
  <c r="CJ347" i="59"/>
  <c r="CK347" i="59"/>
  <c r="CL347" i="59"/>
  <c r="CM347" i="59"/>
  <c r="CN347" i="59"/>
  <c r="CO347" i="59"/>
  <c r="CP347" i="59"/>
  <c r="CQ347" i="59"/>
  <c r="CR347" i="59"/>
  <c r="CS347" i="59"/>
  <c r="CT347" i="59"/>
  <c r="CU347" i="59"/>
  <c r="CV347" i="59"/>
  <c r="CW347" i="59"/>
  <c r="CX347" i="59"/>
  <c r="CY347" i="59"/>
  <c r="CZ347" i="59"/>
  <c r="DA347" i="59"/>
  <c r="DB347" i="59"/>
  <c r="DC347" i="59"/>
  <c r="DD347" i="59"/>
  <c r="DE347" i="59"/>
  <c r="DF347" i="59"/>
  <c r="DG347" i="59"/>
  <c r="DH347" i="59"/>
  <c r="DI347" i="59"/>
  <c r="DJ347" i="59"/>
  <c r="DK347" i="59"/>
  <c r="DL347" i="59"/>
  <c r="DM347" i="59"/>
  <c r="DN347" i="59"/>
  <c r="DO347" i="59"/>
  <c r="DP347" i="59"/>
  <c r="DQ347" i="59"/>
  <c r="DR347" i="59"/>
  <c r="DS347" i="59"/>
  <c r="DT347" i="59"/>
  <c r="DU347" i="59"/>
  <c r="DV347" i="59"/>
  <c r="DW347" i="59"/>
  <c r="DX347" i="59"/>
  <c r="DY347" i="59"/>
  <c r="DZ347" i="59"/>
  <c r="EA347" i="59"/>
  <c r="EB347" i="59"/>
  <c r="EC347" i="59"/>
  <c r="ED347" i="59"/>
  <c r="EE347" i="59"/>
  <c r="EF347" i="59"/>
  <c r="EG347" i="59"/>
  <c r="EH347" i="59"/>
  <c r="EI347" i="59"/>
  <c r="EJ347" i="59"/>
  <c r="EK347" i="59"/>
  <c r="EL347" i="59"/>
  <c r="EM347" i="59"/>
  <c r="EN347" i="59"/>
  <c r="EO347" i="59"/>
  <c r="EP347" i="59"/>
  <c r="EQ347" i="59"/>
  <c r="ER347" i="59"/>
  <c r="ES347" i="59"/>
  <c r="ET347" i="59"/>
  <c r="EU347" i="59"/>
  <c r="EV347" i="59"/>
  <c r="EW347" i="59"/>
  <c r="EX347" i="59"/>
  <c r="EY347" i="59"/>
  <c r="EZ347" i="59"/>
  <c r="FA347" i="59"/>
  <c r="FB347" i="59"/>
  <c r="FC347" i="59"/>
  <c r="FD347" i="59"/>
  <c r="FE347" i="59"/>
  <c r="FF347" i="59"/>
  <c r="FG347" i="59"/>
  <c r="FH347" i="59"/>
  <c r="FI347" i="59"/>
  <c r="FJ347" i="59"/>
  <c r="FK347" i="59"/>
  <c r="FL347" i="59"/>
  <c r="FM347" i="59"/>
  <c r="FN347" i="59"/>
  <c r="FO347" i="59"/>
  <c r="FP347" i="59"/>
  <c r="FQ347" i="59"/>
  <c r="FR347" i="59"/>
  <c r="FS347" i="59"/>
  <c r="FT347" i="59"/>
  <c r="FU347" i="59"/>
  <c r="FV347" i="59"/>
  <c r="FW347" i="59"/>
  <c r="FX347" i="59"/>
  <c r="FY347" i="59"/>
  <c r="FZ347" i="59"/>
  <c r="GA347" i="59"/>
  <c r="GB347" i="59"/>
  <c r="GC347" i="59"/>
  <c r="GD347" i="59"/>
  <c r="GE347" i="59"/>
  <c r="GF347" i="59"/>
  <c r="GG347" i="59"/>
  <c r="GH347" i="59"/>
  <c r="GI347" i="59"/>
  <c r="GJ347" i="59"/>
  <c r="GK347" i="59"/>
  <c r="GL347" i="59"/>
  <c r="GM347" i="59"/>
  <c r="GN347" i="59"/>
  <c r="GO347" i="59"/>
  <c r="GP347" i="59"/>
  <c r="GQ347" i="59"/>
  <c r="GR347" i="59"/>
  <c r="GS347" i="59"/>
  <c r="GT347" i="59"/>
  <c r="GU347" i="59"/>
  <c r="GV347" i="59"/>
  <c r="GW347" i="59"/>
  <c r="GX347" i="59"/>
  <c r="GY347" i="59"/>
  <c r="GZ347" i="59"/>
  <c r="HA347" i="59"/>
  <c r="HB347" i="59"/>
  <c r="HC347" i="59"/>
  <c r="HD347" i="59"/>
  <c r="HE347" i="59"/>
  <c r="HF347" i="59"/>
  <c r="HG347" i="59"/>
  <c r="HH347" i="59"/>
  <c r="HI347" i="59"/>
  <c r="HJ347" i="59"/>
  <c r="HK347" i="59"/>
  <c r="HL347" i="59"/>
  <c r="HM347" i="59"/>
  <c r="HN347" i="59"/>
  <c r="HO347" i="59"/>
  <c r="HP347" i="59"/>
  <c r="HQ347" i="59"/>
  <c r="HR347" i="59"/>
  <c r="HS347" i="59"/>
  <c r="HT347" i="59"/>
  <c r="HU347" i="59"/>
  <c r="HV347" i="59"/>
  <c r="HW347" i="59"/>
  <c r="HX347" i="59"/>
  <c r="HY347" i="59"/>
  <c r="HZ347" i="59"/>
  <c r="IA347" i="59"/>
  <c r="IB347" i="59"/>
  <c r="IC347" i="59"/>
  <c r="ID347" i="59"/>
  <c r="IE347" i="59"/>
  <c r="IF347" i="59"/>
  <c r="IG347" i="59"/>
  <c r="IH347" i="59"/>
  <c r="II347" i="59"/>
  <c r="IJ347" i="59"/>
  <c r="IK347" i="59"/>
  <c r="IL347" i="59"/>
  <c r="IM347" i="59"/>
  <c r="IN347" i="59"/>
  <c r="IO347" i="59"/>
  <c r="IP347" i="59"/>
  <c r="IQ347" i="59"/>
  <c r="IR347" i="59"/>
  <c r="IS347" i="59"/>
  <c r="IT347" i="59"/>
  <c r="IU347" i="59"/>
  <c r="IV347" i="59"/>
  <c r="F348" i="59"/>
  <c r="G348" i="59"/>
  <c r="H348" i="59"/>
  <c r="I348" i="59"/>
  <c r="J348" i="59"/>
  <c r="K348" i="59"/>
  <c r="L348" i="59"/>
  <c r="M348" i="59"/>
  <c r="N348" i="59"/>
  <c r="O348" i="59"/>
  <c r="P348" i="59"/>
  <c r="Q348" i="59"/>
  <c r="R348" i="59"/>
  <c r="S348" i="59"/>
  <c r="T348" i="59"/>
  <c r="U348" i="59"/>
  <c r="V348" i="59"/>
  <c r="W348" i="59"/>
  <c r="X348" i="59"/>
  <c r="Y348" i="59"/>
  <c r="Z348" i="59"/>
  <c r="AA348" i="59"/>
  <c r="AB348" i="59"/>
  <c r="AC348" i="59"/>
  <c r="AD348" i="59"/>
  <c r="AE348" i="59"/>
  <c r="AF348" i="59"/>
  <c r="AG348" i="59"/>
  <c r="AH348" i="59"/>
  <c r="AI348" i="59"/>
  <c r="AJ348" i="59"/>
  <c r="AK348" i="59"/>
  <c r="AL348" i="59"/>
  <c r="AM348" i="59"/>
  <c r="AN348" i="59"/>
  <c r="AO348" i="59"/>
  <c r="AP348" i="59"/>
  <c r="AQ348" i="59"/>
  <c r="AR348" i="59"/>
  <c r="AS348" i="59"/>
  <c r="AT348" i="59"/>
  <c r="AU348" i="59"/>
  <c r="AV348" i="59"/>
  <c r="AW348" i="59"/>
  <c r="AX348" i="59"/>
  <c r="AY348" i="59"/>
  <c r="AZ348" i="59"/>
  <c r="BA348" i="59"/>
  <c r="BB348" i="59"/>
  <c r="BC348" i="59"/>
  <c r="BD348" i="59"/>
  <c r="BE348" i="59"/>
  <c r="BF348" i="59"/>
  <c r="BG348" i="59"/>
  <c r="BH348" i="59"/>
  <c r="BI348" i="59"/>
  <c r="BJ348" i="59"/>
  <c r="BK348" i="59"/>
  <c r="BL348" i="59"/>
  <c r="BM348" i="59"/>
  <c r="BN348" i="59"/>
  <c r="BO348" i="59"/>
  <c r="BP348" i="59"/>
  <c r="BQ348" i="59"/>
  <c r="BR348" i="59"/>
  <c r="BS348" i="59"/>
  <c r="BT348" i="59"/>
  <c r="BU348" i="59"/>
  <c r="BV348" i="59"/>
  <c r="BW348" i="59"/>
  <c r="BX348" i="59"/>
  <c r="BY348" i="59"/>
  <c r="BZ348" i="59"/>
  <c r="CA348" i="59"/>
  <c r="CB348" i="59"/>
  <c r="CC348" i="59"/>
  <c r="CD348" i="59"/>
  <c r="CE348" i="59"/>
  <c r="CF348" i="59"/>
  <c r="CG348" i="59"/>
  <c r="CH348" i="59"/>
  <c r="CI348" i="59"/>
  <c r="CJ348" i="59"/>
  <c r="CK348" i="59"/>
  <c r="CL348" i="59"/>
  <c r="CM348" i="59"/>
  <c r="CN348" i="59"/>
  <c r="CO348" i="59"/>
  <c r="CP348" i="59"/>
  <c r="CQ348" i="59"/>
  <c r="CR348" i="59"/>
  <c r="CS348" i="59"/>
  <c r="CT348" i="59"/>
  <c r="CU348" i="59"/>
  <c r="CV348" i="59"/>
  <c r="CW348" i="59"/>
  <c r="CX348" i="59"/>
  <c r="CY348" i="59"/>
  <c r="CZ348" i="59"/>
  <c r="DA348" i="59"/>
  <c r="DB348" i="59"/>
  <c r="DC348" i="59"/>
  <c r="DD348" i="59"/>
  <c r="DE348" i="59"/>
  <c r="DF348" i="59"/>
  <c r="DG348" i="59"/>
  <c r="DH348" i="59"/>
  <c r="DI348" i="59"/>
  <c r="DJ348" i="59"/>
  <c r="DK348" i="59"/>
  <c r="DL348" i="59"/>
  <c r="DM348" i="59"/>
  <c r="DN348" i="59"/>
  <c r="DO348" i="59"/>
  <c r="DP348" i="59"/>
  <c r="DQ348" i="59"/>
  <c r="DR348" i="59"/>
  <c r="DS348" i="59"/>
  <c r="DT348" i="59"/>
  <c r="DU348" i="59"/>
  <c r="DV348" i="59"/>
  <c r="DW348" i="59"/>
  <c r="DX348" i="59"/>
  <c r="DY348" i="59"/>
  <c r="DZ348" i="59"/>
  <c r="EA348" i="59"/>
  <c r="EB348" i="59"/>
  <c r="EC348" i="59"/>
  <c r="ED348" i="59"/>
  <c r="EE348" i="59"/>
  <c r="EF348" i="59"/>
  <c r="EG348" i="59"/>
  <c r="EH348" i="59"/>
  <c r="EI348" i="59"/>
  <c r="EJ348" i="59"/>
  <c r="EK348" i="59"/>
  <c r="EL348" i="59"/>
  <c r="EM348" i="59"/>
  <c r="EN348" i="59"/>
  <c r="EO348" i="59"/>
  <c r="EP348" i="59"/>
  <c r="EQ348" i="59"/>
  <c r="ER348" i="59"/>
  <c r="ES348" i="59"/>
  <c r="ET348" i="59"/>
  <c r="EU348" i="59"/>
  <c r="EV348" i="59"/>
  <c r="EW348" i="59"/>
  <c r="EX348" i="59"/>
  <c r="EY348" i="59"/>
  <c r="EZ348" i="59"/>
  <c r="FA348" i="59"/>
  <c r="FB348" i="59"/>
  <c r="FC348" i="59"/>
  <c r="FD348" i="59"/>
  <c r="FE348" i="59"/>
  <c r="FF348" i="59"/>
  <c r="FG348" i="59"/>
  <c r="FH348" i="59"/>
  <c r="FI348" i="59"/>
  <c r="FJ348" i="59"/>
  <c r="FK348" i="59"/>
  <c r="FL348" i="59"/>
  <c r="FM348" i="59"/>
  <c r="FN348" i="59"/>
  <c r="FO348" i="59"/>
  <c r="FP348" i="59"/>
  <c r="FQ348" i="59"/>
  <c r="FR348" i="59"/>
  <c r="FS348" i="59"/>
  <c r="FT348" i="59"/>
  <c r="FU348" i="59"/>
  <c r="FV348" i="59"/>
  <c r="FW348" i="59"/>
  <c r="FX348" i="59"/>
  <c r="FY348" i="59"/>
  <c r="FZ348" i="59"/>
  <c r="GA348" i="59"/>
  <c r="GB348" i="59"/>
  <c r="GC348" i="59"/>
  <c r="GD348" i="59"/>
  <c r="GE348" i="59"/>
  <c r="GF348" i="59"/>
  <c r="GG348" i="59"/>
  <c r="GH348" i="59"/>
  <c r="GI348" i="59"/>
  <c r="GJ348" i="59"/>
  <c r="GK348" i="59"/>
  <c r="GL348" i="59"/>
  <c r="GM348" i="59"/>
  <c r="GN348" i="59"/>
  <c r="GO348" i="59"/>
  <c r="GP348" i="59"/>
  <c r="GQ348" i="59"/>
  <c r="GR348" i="59"/>
  <c r="GS348" i="59"/>
  <c r="GT348" i="59"/>
  <c r="GU348" i="59"/>
  <c r="GV348" i="59"/>
  <c r="GW348" i="59"/>
  <c r="GX348" i="59"/>
  <c r="GY348" i="59"/>
  <c r="GZ348" i="59"/>
  <c r="HA348" i="59"/>
  <c r="HB348" i="59"/>
  <c r="HC348" i="59"/>
  <c r="HD348" i="59"/>
  <c r="HE348" i="59"/>
  <c r="HF348" i="59"/>
  <c r="HG348" i="59"/>
  <c r="HH348" i="59"/>
  <c r="HI348" i="59"/>
  <c r="HJ348" i="59"/>
  <c r="HK348" i="59"/>
  <c r="HL348" i="59"/>
  <c r="HM348" i="59"/>
  <c r="HN348" i="59"/>
  <c r="HO348" i="59"/>
  <c r="HP348" i="59"/>
  <c r="HQ348" i="59"/>
  <c r="HR348" i="59"/>
  <c r="HS348" i="59"/>
  <c r="HT348" i="59"/>
  <c r="HU348" i="59"/>
  <c r="HV348" i="59"/>
  <c r="HW348" i="59"/>
  <c r="HX348" i="59"/>
  <c r="HY348" i="59"/>
  <c r="HZ348" i="59"/>
  <c r="IA348" i="59"/>
  <c r="IB348" i="59"/>
  <c r="IC348" i="59"/>
  <c r="ID348" i="59"/>
  <c r="IE348" i="59"/>
  <c r="IF348" i="59"/>
  <c r="IG348" i="59"/>
  <c r="IH348" i="59"/>
  <c r="II348" i="59"/>
  <c r="IJ348" i="59"/>
  <c r="IK348" i="59"/>
  <c r="IL348" i="59"/>
  <c r="IM348" i="59"/>
  <c r="IN348" i="59"/>
  <c r="IO348" i="59"/>
  <c r="IP348" i="59"/>
  <c r="IQ348" i="59"/>
  <c r="IR348" i="59"/>
  <c r="IS348" i="59"/>
  <c r="IT348" i="59"/>
  <c r="IU348" i="59"/>
  <c r="IV348" i="59"/>
  <c r="F349" i="59"/>
  <c r="G349" i="59"/>
  <c r="H349" i="59"/>
  <c r="I349" i="59"/>
  <c r="J349" i="59"/>
  <c r="K349" i="59"/>
  <c r="L349" i="59"/>
  <c r="M349" i="59"/>
  <c r="N349" i="59"/>
  <c r="O349" i="59"/>
  <c r="P349" i="59"/>
  <c r="Q349" i="59"/>
  <c r="R349" i="59"/>
  <c r="S349" i="59"/>
  <c r="T349" i="59"/>
  <c r="U349" i="59"/>
  <c r="V349" i="59"/>
  <c r="W349" i="59"/>
  <c r="X349" i="59"/>
  <c r="Y349" i="59"/>
  <c r="Z349" i="59"/>
  <c r="AA349" i="59"/>
  <c r="AB349" i="59"/>
  <c r="AC349" i="59"/>
  <c r="AD349" i="59"/>
  <c r="AE349" i="59"/>
  <c r="AF349" i="59"/>
  <c r="AG349" i="59"/>
  <c r="AH349" i="59"/>
  <c r="AI349" i="59"/>
  <c r="AJ349" i="59"/>
  <c r="AK349" i="59"/>
  <c r="AL349" i="59"/>
  <c r="AM349" i="59"/>
  <c r="AN349" i="59"/>
  <c r="AO349" i="59"/>
  <c r="AP349" i="59"/>
  <c r="AQ349" i="59"/>
  <c r="AR349" i="59"/>
  <c r="AS349" i="59"/>
  <c r="AT349" i="59"/>
  <c r="AU349" i="59"/>
  <c r="AV349" i="59"/>
  <c r="AW349" i="59"/>
  <c r="AX349" i="59"/>
  <c r="AY349" i="59"/>
  <c r="AZ349" i="59"/>
  <c r="BA349" i="59"/>
  <c r="BB349" i="59"/>
  <c r="BC349" i="59"/>
  <c r="BD349" i="59"/>
  <c r="BE349" i="59"/>
  <c r="BF349" i="59"/>
  <c r="BG349" i="59"/>
  <c r="BH349" i="59"/>
  <c r="BI349" i="59"/>
  <c r="BJ349" i="59"/>
  <c r="BK349" i="59"/>
  <c r="BL349" i="59"/>
  <c r="BM349" i="59"/>
  <c r="BN349" i="59"/>
  <c r="BO349" i="59"/>
  <c r="BP349" i="59"/>
  <c r="BQ349" i="59"/>
  <c r="BR349" i="59"/>
  <c r="BS349" i="59"/>
  <c r="BT349" i="59"/>
  <c r="BU349" i="59"/>
  <c r="BV349" i="59"/>
  <c r="BW349" i="59"/>
  <c r="BX349" i="59"/>
  <c r="BY349" i="59"/>
  <c r="BZ349" i="59"/>
  <c r="CA349" i="59"/>
  <c r="CB349" i="59"/>
  <c r="CC349" i="59"/>
  <c r="CD349" i="59"/>
  <c r="CE349" i="59"/>
  <c r="CF349" i="59"/>
  <c r="CG349" i="59"/>
  <c r="CH349" i="59"/>
  <c r="CI349" i="59"/>
  <c r="CJ349" i="59"/>
  <c r="CK349" i="59"/>
  <c r="CL349" i="59"/>
  <c r="CM349" i="59"/>
  <c r="CN349" i="59"/>
  <c r="CO349" i="59"/>
  <c r="CP349" i="59"/>
  <c r="CQ349" i="59"/>
  <c r="CR349" i="59"/>
  <c r="CS349" i="59"/>
  <c r="CT349" i="59"/>
  <c r="CU349" i="59"/>
  <c r="CV349" i="59"/>
  <c r="CW349" i="59"/>
  <c r="CX349" i="59"/>
  <c r="CY349" i="59"/>
  <c r="CZ349" i="59"/>
  <c r="DA349" i="59"/>
  <c r="DB349" i="59"/>
  <c r="DC349" i="59"/>
  <c r="DD349" i="59"/>
  <c r="DE349" i="59"/>
  <c r="DF349" i="59"/>
  <c r="DG349" i="59"/>
  <c r="DH349" i="59"/>
  <c r="DI349" i="59"/>
  <c r="DJ349" i="59"/>
  <c r="DK349" i="59"/>
  <c r="DL349" i="59"/>
  <c r="DM349" i="59"/>
  <c r="DN349" i="59"/>
  <c r="DO349" i="59"/>
  <c r="DP349" i="59"/>
  <c r="DQ349" i="59"/>
  <c r="DR349" i="59"/>
  <c r="DS349" i="59"/>
  <c r="DT349" i="59"/>
  <c r="DU349" i="59"/>
  <c r="DV349" i="59"/>
  <c r="DW349" i="59"/>
  <c r="DX349" i="59"/>
  <c r="DY349" i="59"/>
  <c r="DZ349" i="59"/>
  <c r="EA349" i="59"/>
  <c r="EB349" i="59"/>
  <c r="EC349" i="59"/>
  <c r="ED349" i="59"/>
  <c r="EE349" i="59"/>
  <c r="EF349" i="59"/>
  <c r="EG349" i="59"/>
  <c r="EH349" i="59"/>
  <c r="EI349" i="59"/>
  <c r="EJ349" i="59"/>
  <c r="EK349" i="59"/>
  <c r="EL349" i="59"/>
  <c r="EM349" i="59"/>
  <c r="EN349" i="59"/>
  <c r="EO349" i="59"/>
  <c r="EP349" i="59"/>
  <c r="EQ349" i="59"/>
  <c r="ER349" i="59"/>
  <c r="ES349" i="59"/>
  <c r="ET349" i="59"/>
  <c r="EU349" i="59"/>
  <c r="EV349" i="59"/>
  <c r="EW349" i="59"/>
  <c r="EX349" i="59"/>
  <c r="EY349" i="59"/>
  <c r="EZ349" i="59"/>
  <c r="FA349" i="59"/>
  <c r="FB349" i="59"/>
  <c r="FC349" i="59"/>
  <c r="FD349" i="59"/>
  <c r="FE349" i="59"/>
  <c r="FF349" i="59"/>
  <c r="FG349" i="59"/>
  <c r="FH349" i="59"/>
  <c r="FI349" i="59"/>
  <c r="FJ349" i="59"/>
  <c r="FK349" i="59"/>
  <c r="FL349" i="59"/>
  <c r="FM349" i="59"/>
  <c r="FN349" i="59"/>
  <c r="FO349" i="59"/>
  <c r="FP349" i="59"/>
  <c r="FQ349" i="59"/>
  <c r="FR349" i="59"/>
  <c r="FS349" i="59"/>
  <c r="FT349" i="59"/>
  <c r="FU349" i="59"/>
  <c r="FV349" i="59"/>
  <c r="FW349" i="59"/>
  <c r="FX349" i="59"/>
  <c r="FY349" i="59"/>
  <c r="FZ349" i="59"/>
  <c r="GA349" i="59"/>
  <c r="GB349" i="59"/>
  <c r="GC349" i="59"/>
  <c r="GD349" i="59"/>
  <c r="GE349" i="59"/>
  <c r="GF349" i="59"/>
  <c r="GG349" i="59"/>
  <c r="GH349" i="59"/>
  <c r="GI349" i="59"/>
  <c r="GJ349" i="59"/>
  <c r="GK349" i="59"/>
  <c r="GL349" i="59"/>
  <c r="GM349" i="59"/>
  <c r="GN349" i="59"/>
  <c r="GO349" i="59"/>
  <c r="GP349" i="59"/>
  <c r="GQ349" i="59"/>
  <c r="GR349" i="59"/>
  <c r="GS349" i="59"/>
  <c r="GT349" i="59"/>
  <c r="GU349" i="59"/>
  <c r="GV349" i="59"/>
  <c r="GW349" i="59"/>
  <c r="GX349" i="59"/>
  <c r="GY349" i="59"/>
  <c r="GZ349" i="59"/>
  <c r="HA349" i="59"/>
  <c r="HB349" i="59"/>
  <c r="HC349" i="59"/>
  <c r="HD349" i="59"/>
  <c r="HE349" i="59"/>
  <c r="HF349" i="59"/>
  <c r="HG349" i="59"/>
  <c r="HH349" i="59"/>
  <c r="HI349" i="59"/>
  <c r="HJ349" i="59"/>
  <c r="HK349" i="59"/>
  <c r="HL349" i="59"/>
  <c r="HM349" i="59"/>
  <c r="HN349" i="59"/>
  <c r="HO349" i="59"/>
  <c r="HP349" i="59"/>
  <c r="HQ349" i="59"/>
  <c r="HR349" i="59"/>
  <c r="HS349" i="59"/>
  <c r="HT349" i="59"/>
  <c r="HU349" i="59"/>
  <c r="HV349" i="59"/>
  <c r="HW349" i="59"/>
  <c r="HX349" i="59"/>
  <c r="HY349" i="59"/>
  <c r="HZ349" i="59"/>
  <c r="IA349" i="59"/>
  <c r="IB349" i="59"/>
  <c r="IC349" i="59"/>
  <c r="ID349" i="59"/>
  <c r="IE349" i="59"/>
  <c r="IF349" i="59"/>
  <c r="IG349" i="59"/>
  <c r="IH349" i="59"/>
  <c r="II349" i="59"/>
  <c r="IJ349" i="59"/>
  <c r="IK349" i="59"/>
  <c r="IL349" i="59"/>
  <c r="IM349" i="59"/>
  <c r="IN349" i="59"/>
  <c r="IO349" i="59"/>
  <c r="IP349" i="59"/>
  <c r="IQ349" i="59"/>
  <c r="IR349" i="59"/>
  <c r="IS349" i="59"/>
  <c r="IT349" i="59"/>
  <c r="IU349" i="59"/>
  <c r="IV349" i="59"/>
  <c r="F350" i="59"/>
  <c r="G350" i="59"/>
  <c r="H350" i="59"/>
  <c r="I350" i="59"/>
  <c r="J350" i="59"/>
  <c r="K350" i="59"/>
  <c r="L350" i="59"/>
  <c r="M350" i="59"/>
  <c r="N350" i="59"/>
  <c r="O350" i="59"/>
  <c r="P350" i="59"/>
  <c r="Q350" i="59"/>
  <c r="R350" i="59"/>
  <c r="S350" i="59"/>
  <c r="T350" i="59"/>
  <c r="U350" i="59"/>
  <c r="V350" i="59"/>
  <c r="W350" i="59"/>
  <c r="X350" i="59"/>
  <c r="Y350" i="59"/>
  <c r="Z350" i="59"/>
  <c r="AA350" i="59"/>
  <c r="AB350" i="59"/>
  <c r="AC350" i="59"/>
  <c r="AD350" i="59"/>
  <c r="AE350" i="59"/>
  <c r="AF350" i="59"/>
  <c r="AG350" i="59"/>
  <c r="AH350" i="59"/>
  <c r="AI350" i="59"/>
  <c r="AJ350" i="59"/>
  <c r="AK350" i="59"/>
  <c r="AL350" i="59"/>
  <c r="AM350" i="59"/>
  <c r="AN350" i="59"/>
  <c r="AO350" i="59"/>
  <c r="AP350" i="59"/>
  <c r="AQ350" i="59"/>
  <c r="AR350" i="59"/>
  <c r="AS350" i="59"/>
  <c r="AT350" i="59"/>
  <c r="AU350" i="59"/>
  <c r="AV350" i="59"/>
  <c r="AW350" i="59"/>
  <c r="AX350" i="59"/>
  <c r="AY350" i="59"/>
  <c r="AZ350" i="59"/>
  <c r="BA350" i="59"/>
  <c r="BB350" i="59"/>
  <c r="BC350" i="59"/>
  <c r="BD350" i="59"/>
  <c r="BE350" i="59"/>
  <c r="BF350" i="59"/>
  <c r="BG350" i="59"/>
  <c r="BH350" i="59"/>
  <c r="BI350" i="59"/>
  <c r="BJ350" i="59"/>
  <c r="BK350" i="59"/>
  <c r="BL350" i="59"/>
  <c r="BM350" i="59"/>
  <c r="BN350" i="59"/>
  <c r="BO350" i="59"/>
  <c r="BP350" i="59"/>
  <c r="BQ350" i="59"/>
  <c r="BR350" i="59"/>
  <c r="BS350" i="59"/>
  <c r="BT350" i="59"/>
  <c r="BU350" i="59"/>
  <c r="BV350" i="59"/>
  <c r="BW350" i="59"/>
  <c r="BX350" i="59"/>
  <c r="BY350" i="59"/>
  <c r="BZ350" i="59"/>
  <c r="CA350" i="59"/>
  <c r="CB350" i="59"/>
  <c r="CC350" i="59"/>
  <c r="CD350" i="59"/>
  <c r="CE350" i="59"/>
  <c r="CF350" i="59"/>
  <c r="CG350" i="59"/>
  <c r="CH350" i="59"/>
  <c r="CI350" i="59"/>
  <c r="CJ350" i="59"/>
  <c r="CK350" i="59"/>
  <c r="CL350" i="59"/>
  <c r="CM350" i="59"/>
  <c r="CN350" i="59"/>
  <c r="CO350" i="59"/>
  <c r="CP350" i="59"/>
  <c r="CQ350" i="59"/>
  <c r="CR350" i="59"/>
  <c r="CS350" i="59"/>
  <c r="CT350" i="59"/>
  <c r="CU350" i="59"/>
  <c r="CV350" i="59"/>
  <c r="CW350" i="59"/>
  <c r="CX350" i="59"/>
  <c r="CY350" i="59"/>
  <c r="CZ350" i="59"/>
  <c r="DA350" i="59"/>
  <c r="DB350" i="59"/>
  <c r="DC350" i="59"/>
  <c r="DD350" i="59"/>
  <c r="DE350" i="59"/>
  <c r="DF350" i="59"/>
  <c r="DG350" i="59"/>
  <c r="DH350" i="59"/>
  <c r="DI350" i="59"/>
  <c r="DJ350" i="59"/>
  <c r="DK350" i="59"/>
  <c r="DL350" i="59"/>
  <c r="DM350" i="59"/>
  <c r="DN350" i="59"/>
  <c r="DO350" i="59"/>
  <c r="DP350" i="59"/>
  <c r="DQ350" i="59"/>
  <c r="DR350" i="59"/>
  <c r="DS350" i="59"/>
  <c r="DT350" i="59"/>
  <c r="DU350" i="59"/>
  <c r="DV350" i="59"/>
  <c r="DW350" i="59"/>
  <c r="DX350" i="59"/>
  <c r="DY350" i="59"/>
  <c r="DZ350" i="59"/>
  <c r="EA350" i="59"/>
  <c r="EB350" i="59"/>
  <c r="EC350" i="59"/>
  <c r="ED350" i="59"/>
  <c r="EE350" i="59"/>
  <c r="EF350" i="59"/>
  <c r="EG350" i="59"/>
  <c r="EH350" i="59"/>
  <c r="EI350" i="59"/>
  <c r="EJ350" i="59"/>
  <c r="EK350" i="59"/>
  <c r="EL350" i="59"/>
  <c r="EM350" i="59"/>
  <c r="EN350" i="59"/>
  <c r="EO350" i="59"/>
  <c r="EP350" i="59"/>
  <c r="EQ350" i="59"/>
  <c r="ER350" i="59"/>
  <c r="ES350" i="59"/>
  <c r="ET350" i="59"/>
  <c r="EU350" i="59"/>
  <c r="EV350" i="59"/>
  <c r="EW350" i="59"/>
  <c r="EX350" i="59"/>
  <c r="EY350" i="59"/>
  <c r="EZ350" i="59"/>
  <c r="FA350" i="59"/>
  <c r="FB350" i="59"/>
  <c r="FC350" i="59"/>
  <c r="FD350" i="59"/>
  <c r="FE350" i="59"/>
  <c r="FF350" i="59"/>
  <c r="FG350" i="59"/>
  <c r="FH350" i="59"/>
  <c r="FI350" i="59"/>
  <c r="FJ350" i="59"/>
  <c r="FK350" i="59"/>
  <c r="FL350" i="59"/>
  <c r="FM350" i="59"/>
  <c r="FN350" i="59"/>
  <c r="FO350" i="59"/>
  <c r="FP350" i="59"/>
  <c r="FQ350" i="59"/>
  <c r="FR350" i="59"/>
  <c r="FS350" i="59"/>
  <c r="FT350" i="59"/>
  <c r="FU350" i="59"/>
  <c r="FV350" i="59"/>
  <c r="FW350" i="59"/>
  <c r="FX350" i="59"/>
  <c r="FY350" i="59"/>
  <c r="FZ350" i="59"/>
  <c r="GA350" i="59"/>
  <c r="GB350" i="59"/>
  <c r="GC350" i="59"/>
  <c r="GD350" i="59"/>
  <c r="GE350" i="59"/>
  <c r="GF350" i="59"/>
  <c r="GG350" i="59"/>
  <c r="GH350" i="59"/>
  <c r="GI350" i="59"/>
  <c r="GJ350" i="59"/>
  <c r="GK350" i="59"/>
  <c r="GL350" i="59"/>
  <c r="GM350" i="59"/>
  <c r="GN350" i="59"/>
  <c r="GO350" i="59"/>
  <c r="GP350" i="59"/>
  <c r="GQ350" i="59"/>
  <c r="GR350" i="59"/>
  <c r="GS350" i="59"/>
  <c r="GT350" i="59"/>
  <c r="GU350" i="59"/>
  <c r="GV350" i="59"/>
  <c r="GW350" i="59"/>
  <c r="GX350" i="59"/>
  <c r="GY350" i="59"/>
  <c r="GZ350" i="59"/>
  <c r="HA350" i="59"/>
  <c r="HB350" i="59"/>
  <c r="HC350" i="59"/>
  <c r="HD350" i="59"/>
  <c r="HE350" i="59"/>
  <c r="HF350" i="59"/>
  <c r="HG350" i="59"/>
  <c r="HH350" i="59"/>
  <c r="HI350" i="59"/>
  <c r="HJ350" i="59"/>
  <c r="HK350" i="59"/>
  <c r="HL350" i="59"/>
  <c r="HM350" i="59"/>
  <c r="HN350" i="59"/>
  <c r="HO350" i="59"/>
  <c r="HP350" i="59"/>
  <c r="HQ350" i="59"/>
  <c r="HR350" i="59"/>
  <c r="HS350" i="59"/>
  <c r="HT350" i="59"/>
  <c r="HU350" i="59"/>
  <c r="HV350" i="59"/>
  <c r="HW350" i="59"/>
  <c r="HX350" i="59"/>
  <c r="HY350" i="59"/>
  <c r="HZ350" i="59"/>
  <c r="IA350" i="59"/>
  <c r="IB350" i="59"/>
  <c r="IC350" i="59"/>
  <c r="ID350" i="59"/>
  <c r="IE350" i="59"/>
  <c r="IF350" i="59"/>
  <c r="IG350" i="59"/>
  <c r="IH350" i="59"/>
  <c r="II350" i="59"/>
  <c r="IJ350" i="59"/>
  <c r="IK350" i="59"/>
  <c r="IL350" i="59"/>
  <c r="IM350" i="59"/>
  <c r="IN350" i="59"/>
  <c r="IO350" i="59"/>
  <c r="IP350" i="59"/>
  <c r="IQ350" i="59"/>
  <c r="IR350" i="59"/>
  <c r="IS350" i="59"/>
  <c r="IT350" i="59"/>
  <c r="IU350" i="59"/>
  <c r="IV350" i="59"/>
  <c r="F351" i="59"/>
  <c r="G351" i="59"/>
  <c r="H351" i="59"/>
  <c r="I351" i="59"/>
  <c r="J351" i="59"/>
  <c r="K351" i="59"/>
  <c r="L351" i="59"/>
  <c r="M351" i="59"/>
  <c r="N351" i="59"/>
  <c r="O351" i="59"/>
  <c r="P351" i="59"/>
  <c r="Q351" i="59"/>
  <c r="R351" i="59"/>
  <c r="S351" i="59"/>
  <c r="T351" i="59"/>
  <c r="U351" i="59"/>
  <c r="V351" i="59"/>
  <c r="W351" i="59"/>
  <c r="X351" i="59"/>
  <c r="Y351" i="59"/>
  <c r="Z351" i="59"/>
  <c r="AA351" i="59"/>
  <c r="AB351" i="59"/>
  <c r="AC351" i="59"/>
  <c r="AD351" i="59"/>
  <c r="AE351" i="59"/>
  <c r="AF351" i="59"/>
  <c r="AG351" i="59"/>
  <c r="AH351" i="59"/>
  <c r="AI351" i="59"/>
  <c r="AJ351" i="59"/>
  <c r="AK351" i="59"/>
  <c r="AL351" i="59"/>
  <c r="AM351" i="59"/>
  <c r="AN351" i="59"/>
  <c r="AO351" i="59"/>
  <c r="AP351" i="59"/>
  <c r="AQ351" i="59"/>
  <c r="AR351" i="59"/>
  <c r="AS351" i="59"/>
  <c r="AT351" i="59"/>
  <c r="AU351" i="59"/>
  <c r="AV351" i="59"/>
  <c r="AW351" i="59"/>
  <c r="AX351" i="59"/>
  <c r="AY351" i="59"/>
  <c r="AZ351" i="59"/>
  <c r="BA351" i="59"/>
  <c r="BB351" i="59"/>
  <c r="BC351" i="59"/>
  <c r="BD351" i="59"/>
  <c r="BE351" i="59"/>
  <c r="BF351" i="59"/>
  <c r="BG351" i="59"/>
  <c r="BH351" i="59"/>
  <c r="BI351" i="59"/>
  <c r="BJ351" i="59"/>
  <c r="BK351" i="59"/>
  <c r="BL351" i="59"/>
  <c r="BM351" i="59"/>
  <c r="BN351" i="59"/>
  <c r="BO351" i="59"/>
  <c r="BP351" i="59"/>
  <c r="BQ351" i="59"/>
  <c r="BR351" i="59"/>
  <c r="BS351" i="59"/>
  <c r="BT351" i="59"/>
  <c r="BU351" i="59"/>
  <c r="BV351" i="59"/>
  <c r="BW351" i="59"/>
  <c r="BX351" i="59"/>
  <c r="BY351" i="59"/>
  <c r="BZ351" i="59"/>
  <c r="CA351" i="59"/>
  <c r="CB351" i="59"/>
  <c r="CC351" i="59"/>
  <c r="CD351" i="59"/>
  <c r="CE351" i="59"/>
  <c r="CF351" i="59"/>
  <c r="CG351" i="59"/>
  <c r="CH351" i="59"/>
  <c r="CI351" i="59"/>
  <c r="CJ351" i="59"/>
  <c r="CK351" i="59"/>
  <c r="CL351" i="59"/>
  <c r="CM351" i="59"/>
  <c r="CN351" i="59"/>
  <c r="CO351" i="59"/>
  <c r="CP351" i="59"/>
  <c r="CQ351" i="59"/>
  <c r="CR351" i="59"/>
  <c r="CS351" i="59"/>
  <c r="CT351" i="59"/>
  <c r="CU351" i="59"/>
  <c r="CV351" i="59"/>
  <c r="CW351" i="59"/>
  <c r="CX351" i="59"/>
  <c r="CY351" i="59"/>
  <c r="CZ351" i="59"/>
  <c r="DA351" i="59"/>
  <c r="DB351" i="59"/>
  <c r="DC351" i="59"/>
  <c r="DD351" i="59"/>
  <c r="DE351" i="59"/>
  <c r="DF351" i="59"/>
  <c r="DG351" i="59"/>
  <c r="DH351" i="59"/>
  <c r="DI351" i="59"/>
  <c r="DJ351" i="59"/>
  <c r="DK351" i="59"/>
  <c r="DL351" i="59"/>
  <c r="DM351" i="59"/>
  <c r="DN351" i="59"/>
  <c r="DO351" i="59"/>
  <c r="DP351" i="59"/>
  <c r="DQ351" i="59"/>
  <c r="DR351" i="59"/>
  <c r="DS351" i="59"/>
  <c r="DT351" i="59"/>
  <c r="DU351" i="59"/>
  <c r="DV351" i="59"/>
  <c r="DW351" i="59"/>
  <c r="DX351" i="59"/>
  <c r="DY351" i="59"/>
  <c r="DZ351" i="59"/>
  <c r="EA351" i="59"/>
  <c r="EB351" i="59"/>
  <c r="EC351" i="59"/>
  <c r="ED351" i="59"/>
  <c r="EE351" i="59"/>
  <c r="EF351" i="59"/>
  <c r="EG351" i="59"/>
  <c r="EH351" i="59"/>
  <c r="EI351" i="59"/>
  <c r="EJ351" i="59"/>
  <c r="EK351" i="59"/>
  <c r="EL351" i="59"/>
  <c r="EM351" i="59"/>
  <c r="EN351" i="59"/>
  <c r="EO351" i="59"/>
  <c r="EP351" i="59"/>
  <c r="EQ351" i="59"/>
  <c r="ER351" i="59"/>
  <c r="ES351" i="59"/>
  <c r="ET351" i="59"/>
  <c r="EU351" i="59"/>
  <c r="EV351" i="59"/>
  <c r="EW351" i="59"/>
  <c r="EX351" i="59"/>
  <c r="EY351" i="59"/>
  <c r="EZ351" i="59"/>
  <c r="FA351" i="59"/>
  <c r="FB351" i="59"/>
  <c r="FC351" i="59"/>
  <c r="FD351" i="59"/>
  <c r="FE351" i="59"/>
  <c r="FF351" i="59"/>
  <c r="FG351" i="59"/>
  <c r="FH351" i="59"/>
  <c r="FI351" i="59"/>
  <c r="FJ351" i="59"/>
  <c r="FK351" i="59"/>
  <c r="FL351" i="59"/>
  <c r="FM351" i="59"/>
  <c r="FN351" i="59"/>
  <c r="FO351" i="59"/>
  <c r="FP351" i="59"/>
  <c r="FQ351" i="59"/>
  <c r="FR351" i="59"/>
  <c r="FS351" i="59"/>
  <c r="FT351" i="59"/>
  <c r="FU351" i="59"/>
  <c r="FV351" i="59"/>
  <c r="FW351" i="59"/>
  <c r="FX351" i="59"/>
  <c r="FY351" i="59"/>
  <c r="FZ351" i="59"/>
  <c r="GA351" i="59"/>
  <c r="GB351" i="59"/>
  <c r="GC351" i="59"/>
  <c r="GD351" i="59"/>
  <c r="GE351" i="59"/>
  <c r="GF351" i="59"/>
  <c r="GG351" i="59"/>
  <c r="GH351" i="59"/>
  <c r="GI351" i="59"/>
  <c r="GJ351" i="59"/>
  <c r="GK351" i="59"/>
  <c r="GL351" i="59"/>
  <c r="GM351" i="59"/>
  <c r="GN351" i="59"/>
  <c r="GO351" i="59"/>
  <c r="GP351" i="59"/>
  <c r="GQ351" i="59"/>
  <c r="GR351" i="59"/>
  <c r="GS351" i="59"/>
  <c r="GT351" i="59"/>
  <c r="GU351" i="59"/>
  <c r="GV351" i="59"/>
  <c r="GW351" i="59"/>
  <c r="GX351" i="59"/>
  <c r="GY351" i="59"/>
  <c r="GZ351" i="59"/>
  <c r="HA351" i="59"/>
  <c r="HB351" i="59"/>
  <c r="HC351" i="59"/>
  <c r="HD351" i="59"/>
  <c r="HE351" i="59"/>
  <c r="HF351" i="59"/>
  <c r="HG351" i="59"/>
  <c r="HH351" i="59"/>
  <c r="HI351" i="59"/>
  <c r="HJ351" i="59"/>
  <c r="HK351" i="59"/>
  <c r="HL351" i="59"/>
  <c r="HM351" i="59"/>
  <c r="HN351" i="59"/>
  <c r="HO351" i="59"/>
  <c r="HP351" i="59"/>
  <c r="HQ351" i="59"/>
  <c r="HR351" i="59"/>
  <c r="HS351" i="59"/>
  <c r="HT351" i="59"/>
  <c r="HU351" i="59"/>
  <c r="HV351" i="59"/>
  <c r="HW351" i="59"/>
  <c r="HX351" i="59"/>
  <c r="HY351" i="59"/>
  <c r="HZ351" i="59"/>
  <c r="IA351" i="59"/>
  <c r="IB351" i="59"/>
  <c r="IC351" i="59"/>
  <c r="ID351" i="59"/>
  <c r="IE351" i="59"/>
  <c r="IF351" i="59"/>
  <c r="IG351" i="59"/>
  <c r="IH351" i="59"/>
  <c r="II351" i="59"/>
  <c r="IJ351" i="59"/>
  <c r="IK351" i="59"/>
  <c r="IL351" i="59"/>
  <c r="IM351" i="59"/>
  <c r="IN351" i="59"/>
  <c r="IO351" i="59"/>
  <c r="IP351" i="59"/>
  <c r="IQ351" i="59"/>
  <c r="IR351" i="59"/>
  <c r="IS351" i="59"/>
  <c r="IT351" i="59"/>
  <c r="IU351" i="59"/>
  <c r="IV351" i="59"/>
  <c r="F352" i="59"/>
  <c r="G352" i="59"/>
  <c r="H352" i="59"/>
  <c r="I352" i="59"/>
  <c r="J352" i="59"/>
  <c r="K352" i="59"/>
  <c r="L352" i="59"/>
  <c r="M352" i="59"/>
  <c r="N352" i="59"/>
  <c r="O352" i="59"/>
  <c r="P352" i="59"/>
  <c r="Q352" i="59"/>
  <c r="R352" i="59"/>
  <c r="S352" i="59"/>
  <c r="T352" i="59"/>
  <c r="U352" i="59"/>
  <c r="V352" i="59"/>
  <c r="W352" i="59"/>
  <c r="X352" i="59"/>
  <c r="Y352" i="59"/>
  <c r="Z352" i="59"/>
  <c r="AA352" i="59"/>
  <c r="AB352" i="59"/>
  <c r="AC352" i="59"/>
  <c r="AD352" i="59"/>
  <c r="AE352" i="59"/>
  <c r="AF352" i="59"/>
  <c r="AG352" i="59"/>
  <c r="AH352" i="59"/>
  <c r="AI352" i="59"/>
  <c r="AJ352" i="59"/>
  <c r="AK352" i="59"/>
  <c r="AL352" i="59"/>
  <c r="AM352" i="59"/>
  <c r="AN352" i="59"/>
  <c r="AO352" i="59"/>
  <c r="AP352" i="59"/>
  <c r="AQ352" i="59"/>
  <c r="AR352" i="59"/>
  <c r="AS352" i="59"/>
  <c r="AT352" i="59"/>
  <c r="AU352" i="59"/>
  <c r="AV352" i="59"/>
  <c r="AW352" i="59"/>
  <c r="AX352" i="59"/>
  <c r="AY352" i="59"/>
  <c r="AZ352" i="59"/>
  <c r="BA352" i="59"/>
  <c r="BB352" i="59"/>
  <c r="BC352" i="59"/>
  <c r="BD352" i="59"/>
  <c r="BE352" i="59"/>
  <c r="BF352" i="59"/>
  <c r="BG352" i="59"/>
  <c r="BH352" i="59"/>
  <c r="BI352" i="59"/>
  <c r="BJ352" i="59"/>
  <c r="BK352" i="59"/>
  <c r="BL352" i="59"/>
  <c r="BM352" i="59"/>
  <c r="BN352" i="59"/>
  <c r="BO352" i="59"/>
  <c r="BP352" i="59"/>
  <c r="BQ352" i="59"/>
  <c r="BR352" i="59"/>
  <c r="BS352" i="59"/>
  <c r="BT352" i="59"/>
  <c r="BU352" i="59"/>
  <c r="BV352" i="59"/>
  <c r="BW352" i="59"/>
  <c r="BX352" i="59"/>
  <c r="BY352" i="59"/>
  <c r="BZ352" i="59"/>
  <c r="CA352" i="59"/>
  <c r="CB352" i="59"/>
  <c r="CC352" i="59"/>
  <c r="CD352" i="59"/>
  <c r="CE352" i="59"/>
  <c r="CF352" i="59"/>
  <c r="CG352" i="59"/>
  <c r="CH352" i="59"/>
  <c r="CI352" i="59"/>
  <c r="CJ352" i="59"/>
  <c r="CK352" i="59"/>
  <c r="CL352" i="59"/>
  <c r="CM352" i="59"/>
  <c r="CN352" i="59"/>
  <c r="CO352" i="59"/>
  <c r="CP352" i="59"/>
  <c r="CQ352" i="59"/>
  <c r="CR352" i="59"/>
  <c r="CS352" i="59"/>
  <c r="CT352" i="59"/>
  <c r="CU352" i="59"/>
  <c r="CV352" i="59"/>
  <c r="CW352" i="59"/>
  <c r="CX352" i="59"/>
  <c r="CY352" i="59"/>
  <c r="CZ352" i="59"/>
  <c r="DA352" i="59"/>
  <c r="DB352" i="59"/>
  <c r="DC352" i="59"/>
  <c r="DD352" i="59"/>
  <c r="DE352" i="59"/>
  <c r="DF352" i="59"/>
  <c r="DG352" i="59"/>
  <c r="DH352" i="59"/>
  <c r="DI352" i="59"/>
  <c r="DJ352" i="59"/>
  <c r="DK352" i="59"/>
  <c r="DL352" i="59"/>
  <c r="DM352" i="59"/>
  <c r="DN352" i="59"/>
  <c r="DO352" i="59"/>
  <c r="DP352" i="59"/>
  <c r="DQ352" i="59"/>
  <c r="DR352" i="59"/>
  <c r="DS352" i="59"/>
  <c r="DT352" i="59"/>
  <c r="DU352" i="59"/>
  <c r="DV352" i="59"/>
  <c r="DW352" i="59"/>
  <c r="DX352" i="59"/>
  <c r="DY352" i="59"/>
  <c r="DZ352" i="59"/>
  <c r="EA352" i="59"/>
  <c r="EB352" i="59"/>
  <c r="EC352" i="59"/>
  <c r="ED352" i="59"/>
  <c r="EE352" i="59"/>
  <c r="EF352" i="59"/>
  <c r="EG352" i="59"/>
  <c r="EH352" i="59"/>
  <c r="EI352" i="59"/>
  <c r="EJ352" i="59"/>
  <c r="EK352" i="59"/>
  <c r="EL352" i="59"/>
  <c r="EM352" i="59"/>
  <c r="EN352" i="59"/>
  <c r="EO352" i="59"/>
  <c r="EP352" i="59"/>
  <c r="EQ352" i="59"/>
  <c r="ER352" i="59"/>
  <c r="ES352" i="59"/>
  <c r="ET352" i="59"/>
  <c r="EU352" i="59"/>
  <c r="EV352" i="59"/>
  <c r="EW352" i="59"/>
  <c r="EX352" i="59"/>
  <c r="EY352" i="59"/>
  <c r="EZ352" i="59"/>
  <c r="FA352" i="59"/>
  <c r="FB352" i="59"/>
  <c r="FC352" i="59"/>
  <c r="FD352" i="59"/>
  <c r="FE352" i="59"/>
  <c r="FF352" i="59"/>
  <c r="FG352" i="59"/>
  <c r="FH352" i="59"/>
  <c r="FI352" i="59"/>
  <c r="FJ352" i="59"/>
  <c r="FK352" i="59"/>
  <c r="FL352" i="59"/>
  <c r="FM352" i="59"/>
  <c r="FN352" i="59"/>
  <c r="FO352" i="59"/>
  <c r="FP352" i="59"/>
  <c r="FQ352" i="59"/>
  <c r="FR352" i="59"/>
  <c r="FS352" i="59"/>
  <c r="FT352" i="59"/>
  <c r="FU352" i="59"/>
  <c r="FV352" i="59"/>
  <c r="FW352" i="59"/>
  <c r="FX352" i="59"/>
  <c r="FY352" i="59"/>
  <c r="FZ352" i="59"/>
  <c r="GA352" i="59"/>
  <c r="GB352" i="59"/>
  <c r="GC352" i="59"/>
  <c r="GD352" i="59"/>
  <c r="GE352" i="59"/>
  <c r="GF352" i="59"/>
  <c r="GG352" i="59"/>
  <c r="GH352" i="59"/>
  <c r="GI352" i="59"/>
  <c r="GJ352" i="59"/>
  <c r="GK352" i="59"/>
  <c r="GL352" i="59"/>
  <c r="GM352" i="59"/>
  <c r="GN352" i="59"/>
  <c r="GO352" i="59"/>
  <c r="GP352" i="59"/>
  <c r="GQ352" i="59"/>
  <c r="GR352" i="59"/>
  <c r="GS352" i="59"/>
  <c r="GT352" i="59"/>
  <c r="GU352" i="59"/>
  <c r="GV352" i="59"/>
  <c r="GW352" i="59"/>
  <c r="GX352" i="59"/>
  <c r="GY352" i="59"/>
  <c r="GZ352" i="59"/>
  <c r="HA352" i="59"/>
  <c r="HB352" i="59"/>
  <c r="HC352" i="59"/>
  <c r="HD352" i="59"/>
  <c r="HE352" i="59"/>
  <c r="HF352" i="59"/>
  <c r="HG352" i="59"/>
  <c r="HH352" i="59"/>
  <c r="HI352" i="59"/>
  <c r="HJ352" i="59"/>
  <c r="HK352" i="59"/>
  <c r="HL352" i="59"/>
  <c r="HM352" i="59"/>
  <c r="HN352" i="59"/>
  <c r="HO352" i="59"/>
  <c r="HP352" i="59"/>
  <c r="HQ352" i="59"/>
  <c r="HR352" i="59"/>
  <c r="HS352" i="59"/>
  <c r="HT352" i="59"/>
  <c r="HU352" i="59"/>
  <c r="HV352" i="59"/>
  <c r="HW352" i="59"/>
  <c r="HX352" i="59"/>
  <c r="HY352" i="59"/>
  <c r="HZ352" i="59"/>
  <c r="IA352" i="59"/>
  <c r="IB352" i="59"/>
  <c r="IC352" i="59"/>
  <c r="ID352" i="59"/>
  <c r="IE352" i="59"/>
  <c r="IF352" i="59"/>
  <c r="IG352" i="59"/>
  <c r="IH352" i="59"/>
  <c r="II352" i="59"/>
  <c r="IJ352" i="59"/>
  <c r="IK352" i="59"/>
  <c r="IL352" i="59"/>
  <c r="IM352" i="59"/>
  <c r="IN352" i="59"/>
  <c r="IO352" i="59"/>
  <c r="IP352" i="59"/>
  <c r="IQ352" i="59"/>
  <c r="IR352" i="59"/>
  <c r="IS352" i="59"/>
  <c r="IT352" i="59"/>
  <c r="IU352" i="59"/>
  <c r="IV352" i="59"/>
  <c r="F353" i="59"/>
  <c r="G353" i="59"/>
  <c r="H353" i="59"/>
  <c r="I353" i="59"/>
  <c r="J353" i="59"/>
  <c r="K353" i="59"/>
  <c r="L353" i="59"/>
  <c r="M353" i="59"/>
  <c r="N353" i="59"/>
  <c r="O353" i="59"/>
  <c r="P353" i="59"/>
  <c r="Q353" i="59"/>
  <c r="R353" i="59"/>
  <c r="S353" i="59"/>
  <c r="T353" i="59"/>
  <c r="U353" i="59"/>
  <c r="V353" i="59"/>
  <c r="W353" i="59"/>
  <c r="X353" i="59"/>
  <c r="Y353" i="59"/>
  <c r="Z353" i="59"/>
  <c r="AA353" i="59"/>
  <c r="AB353" i="59"/>
  <c r="AC353" i="59"/>
  <c r="AD353" i="59"/>
  <c r="AE353" i="59"/>
  <c r="AF353" i="59"/>
  <c r="AG353" i="59"/>
  <c r="AH353" i="59"/>
  <c r="AI353" i="59"/>
  <c r="AJ353" i="59"/>
  <c r="AK353" i="59"/>
  <c r="AL353" i="59"/>
  <c r="AM353" i="59"/>
  <c r="AN353" i="59"/>
  <c r="AO353" i="59"/>
  <c r="AP353" i="59"/>
  <c r="AQ353" i="59"/>
  <c r="AR353" i="59"/>
  <c r="AS353" i="59"/>
  <c r="AT353" i="59"/>
  <c r="AU353" i="59"/>
  <c r="AV353" i="59"/>
  <c r="AW353" i="59"/>
  <c r="AX353" i="59"/>
  <c r="AY353" i="59"/>
  <c r="AZ353" i="59"/>
  <c r="BA353" i="59"/>
  <c r="BB353" i="59"/>
  <c r="BC353" i="59"/>
  <c r="BD353" i="59"/>
  <c r="BE353" i="59"/>
  <c r="BF353" i="59"/>
  <c r="BG353" i="59"/>
  <c r="BH353" i="59"/>
  <c r="BI353" i="59"/>
  <c r="BJ353" i="59"/>
  <c r="BK353" i="59"/>
  <c r="BL353" i="59"/>
  <c r="BM353" i="59"/>
  <c r="BN353" i="59"/>
  <c r="BO353" i="59"/>
  <c r="BP353" i="59"/>
  <c r="BQ353" i="59"/>
  <c r="BR353" i="59"/>
  <c r="BS353" i="59"/>
  <c r="BT353" i="59"/>
  <c r="BU353" i="59"/>
  <c r="BV353" i="59"/>
  <c r="BW353" i="59"/>
  <c r="BX353" i="59"/>
  <c r="BY353" i="59"/>
  <c r="BZ353" i="59"/>
  <c r="CA353" i="59"/>
  <c r="CB353" i="59"/>
  <c r="CC353" i="59"/>
  <c r="CD353" i="59"/>
  <c r="CE353" i="59"/>
  <c r="CF353" i="59"/>
  <c r="CG353" i="59"/>
  <c r="CH353" i="59"/>
  <c r="CI353" i="59"/>
  <c r="CJ353" i="59"/>
  <c r="CK353" i="59"/>
  <c r="CL353" i="59"/>
  <c r="CM353" i="59"/>
  <c r="CN353" i="59"/>
  <c r="CO353" i="59"/>
  <c r="CP353" i="59"/>
  <c r="CQ353" i="59"/>
  <c r="CR353" i="59"/>
  <c r="CS353" i="59"/>
  <c r="CT353" i="59"/>
  <c r="CU353" i="59"/>
  <c r="CV353" i="59"/>
  <c r="CW353" i="59"/>
  <c r="CX353" i="59"/>
  <c r="CY353" i="59"/>
  <c r="CZ353" i="59"/>
  <c r="DA353" i="59"/>
  <c r="DB353" i="59"/>
  <c r="DC353" i="59"/>
  <c r="DD353" i="59"/>
  <c r="DE353" i="59"/>
  <c r="DF353" i="59"/>
  <c r="DG353" i="59"/>
  <c r="DH353" i="59"/>
  <c r="DI353" i="59"/>
  <c r="DJ353" i="59"/>
  <c r="DK353" i="59"/>
  <c r="DL353" i="59"/>
  <c r="DM353" i="59"/>
  <c r="DN353" i="59"/>
  <c r="DO353" i="59"/>
  <c r="DP353" i="59"/>
  <c r="DQ353" i="59"/>
  <c r="DR353" i="59"/>
  <c r="DS353" i="59"/>
  <c r="DT353" i="59"/>
  <c r="DU353" i="59"/>
  <c r="DV353" i="59"/>
  <c r="DW353" i="59"/>
  <c r="DX353" i="59"/>
  <c r="DY353" i="59"/>
  <c r="DZ353" i="59"/>
  <c r="EA353" i="59"/>
  <c r="EB353" i="59"/>
  <c r="EC353" i="59"/>
  <c r="ED353" i="59"/>
  <c r="EE353" i="59"/>
  <c r="EF353" i="59"/>
  <c r="EG353" i="59"/>
  <c r="EH353" i="59"/>
  <c r="EI353" i="59"/>
  <c r="EJ353" i="59"/>
  <c r="EK353" i="59"/>
  <c r="EL353" i="59"/>
  <c r="EM353" i="59"/>
  <c r="EN353" i="59"/>
  <c r="EO353" i="59"/>
  <c r="EP353" i="59"/>
  <c r="EQ353" i="59"/>
  <c r="ER353" i="59"/>
  <c r="ES353" i="59"/>
  <c r="ET353" i="59"/>
  <c r="EU353" i="59"/>
  <c r="EV353" i="59"/>
  <c r="EW353" i="59"/>
  <c r="EX353" i="59"/>
  <c r="EY353" i="59"/>
  <c r="EZ353" i="59"/>
  <c r="FA353" i="59"/>
  <c r="FB353" i="59"/>
  <c r="FC353" i="59"/>
  <c r="FD353" i="59"/>
  <c r="FE353" i="59"/>
  <c r="FF353" i="59"/>
  <c r="FG353" i="59"/>
  <c r="FH353" i="59"/>
  <c r="FI353" i="59"/>
  <c r="FJ353" i="59"/>
  <c r="FK353" i="59"/>
  <c r="FL353" i="59"/>
  <c r="FM353" i="59"/>
  <c r="FN353" i="59"/>
  <c r="FO353" i="59"/>
  <c r="FP353" i="59"/>
  <c r="FQ353" i="59"/>
  <c r="FR353" i="59"/>
  <c r="FS353" i="59"/>
  <c r="FT353" i="59"/>
  <c r="FU353" i="59"/>
  <c r="FV353" i="59"/>
  <c r="FW353" i="59"/>
  <c r="FX353" i="59"/>
  <c r="FY353" i="59"/>
  <c r="FZ353" i="59"/>
  <c r="GA353" i="59"/>
  <c r="GB353" i="59"/>
  <c r="GC353" i="59"/>
  <c r="GD353" i="59"/>
  <c r="GE353" i="59"/>
  <c r="GF353" i="59"/>
  <c r="GG353" i="59"/>
  <c r="GH353" i="59"/>
  <c r="GI353" i="59"/>
  <c r="GJ353" i="59"/>
  <c r="GK353" i="59"/>
  <c r="GL353" i="59"/>
  <c r="GM353" i="59"/>
  <c r="GN353" i="59"/>
  <c r="GO353" i="59"/>
  <c r="GP353" i="59"/>
  <c r="GQ353" i="59"/>
  <c r="GR353" i="59"/>
  <c r="GS353" i="59"/>
  <c r="GT353" i="59"/>
  <c r="GU353" i="59"/>
  <c r="GV353" i="59"/>
  <c r="GW353" i="59"/>
  <c r="GX353" i="59"/>
  <c r="GY353" i="59"/>
  <c r="GZ353" i="59"/>
  <c r="HA353" i="59"/>
  <c r="HB353" i="59"/>
  <c r="HC353" i="59"/>
  <c r="HD353" i="59"/>
  <c r="HE353" i="59"/>
  <c r="HF353" i="59"/>
  <c r="HG353" i="59"/>
  <c r="HH353" i="59"/>
  <c r="HI353" i="59"/>
  <c r="HJ353" i="59"/>
  <c r="HK353" i="59"/>
  <c r="HL353" i="59"/>
  <c r="HM353" i="59"/>
  <c r="HN353" i="59"/>
  <c r="HO353" i="59"/>
  <c r="HP353" i="59"/>
  <c r="HQ353" i="59"/>
  <c r="HR353" i="59"/>
  <c r="HS353" i="59"/>
  <c r="HT353" i="59"/>
  <c r="HU353" i="59"/>
  <c r="HV353" i="59"/>
  <c r="HW353" i="59"/>
  <c r="HX353" i="59"/>
  <c r="HY353" i="59"/>
  <c r="HZ353" i="59"/>
  <c r="IA353" i="59"/>
  <c r="IB353" i="59"/>
  <c r="IC353" i="59"/>
  <c r="ID353" i="59"/>
  <c r="IE353" i="59"/>
  <c r="IF353" i="59"/>
  <c r="IG353" i="59"/>
  <c r="IH353" i="59"/>
  <c r="II353" i="59"/>
  <c r="IJ353" i="59"/>
  <c r="IK353" i="59"/>
  <c r="IL353" i="59"/>
  <c r="IM353" i="59"/>
  <c r="IN353" i="59"/>
  <c r="IO353" i="59"/>
  <c r="IP353" i="59"/>
  <c r="IQ353" i="59"/>
  <c r="IR353" i="59"/>
  <c r="IS353" i="59"/>
  <c r="IT353" i="59"/>
  <c r="IU353" i="59"/>
  <c r="IV353" i="59"/>
  <c r="F354" i="59"/>
  <c r="G354" i="59"/>
  <c r="H354" i="59"/>
  <c r="I354" i="59"/>
  <c r="J354" i="59"/>
  <c r="K354" i="59"/>
  <c r="L354" i="59"/>
  <c r="M354" i="59"/>
  <c r="N354" i="59"/>
  <c r="O354" i="59"/>
  <c r="P354" i="59"/>
  <c r="Q354" i="59"/>
  <c r="R354" i="59"/>
  <c r="S354" i="59"/>
  <c r="T354" i="59"/>
  <c r="U354" i="59"/>
  <c r="V354" i="59"/>
  <c r="W354" i="59"/>
  <c r="X354" i="59"/>
  <c r="Y354" i="59"/>
  <c r="Z354" i="59"/>
  <c r="AA354" i="59"/>
  <c r="AB354" i="59"/>
  <c r="AC354" i="59"/>
  <c r="AD354" i="59"/>
  <c r="AE354" i="59"/>
  <c r="AF354" i="59"/>
  <c r="AG354" i="59"/>
  <c r="AH354" i="59"/>
  <c r="AI354" i="59"/>
  <c r="AJ354" i="59"/>
  <c r="AK354" i="59"/>
  <c r="AL354" i="59"/>
  <c r="AM354" i="59"/>
  <c r="AN354" i="59"/>
  <c r="AO354" i="59"/>
  <c r="AP354" i="59"/>
  <c r="AQ354" i="59"/>
  <c r="AR354" i="59"/>
  <c r="AS354" i="59"/>
  <c r="AT354" i="59"/>
  <c r="AU354" i="59"/>
  <c r="AV354" i="59"/>
  <c r="AW354" i="59"/>
  <c r="AX354" i="59"/>
  <c r="AY354" i="59"/>
  <c r="AZ354" i="59"/>
  <c r="BA354" i="59"/>
  <c r="BB354" i="59"/>
  <c r="BC354" i="59"/>
  <c r="BD354" i="59"/>
  <c r="BE354" i="59"/>
  <c r="BF354" i="59"/>
  <c r="BG354" i="59"/>
  <c r="BH354" i="59"/>
  <c r="BI354" i="59"/>
  <c r="BJ354" i="59"/>
  <c r="BK354" i="59"/>
  <c r="BL354" i="59"/>
  <c r="BM354" i="59"/>
  <c r="BN354" i="59"/>
  <c r="BO354" i="59"/>
  <c r="BP354" i="59"/>
  <c r="BQ354" i="59"/>
  <c r="BR354" i="59"/>
  <c r="BS354" i="59"/>
  <c r="BT354" i="59"/>
  <c r="BU354" i="59"/>
  <c r="BV354" i="59"/>
  <c r="BW354" i="59"/>
  <c r="BX354" i="59"/>
  <c r="BY354" i="59"/>
  <c r="BZ354" i="59"/>
  <c r="CA354" i="59"/>
  <c r="CB354" i="59"/>
  <c r="CC354" i="59"/>
  <c r="CD354" i="59"/>
  <c r="CE354" i="59"/>
  <c r="CF354" i="59"/>
  <c r="CG354" i="59"/>
  <c r="CH354" i="59"/>
  <c r="CI354" i="59"/>
  <c r="CJ354" i="59"/>
  <c r="CK354" i="59"/>
  <c r="CL354" i="59"/>
  <c r="CM354" i="59"/>
  <c r="CN354" i="59"/>
  <c r="CO354" i="59"/>
  <c r="CP354" i="59"/>
  <c r="CQ354" i="59"/>
  <c r="CR354" i="59"/>
  <c r="CS354" i="59"/>
  <c r="CT354" i="59"/>
  <c r="CU354" i="59"/>
  <c r="CV354" i="59"/>
  <c r="CW354" i="59"/>
  <c r="CX354" i="59"/>
  <c r="CY354" i="59"/>
  <c r="CZ354" i="59"/>
  <c r="DA354" i="59"/>
  <c r="DB354" i="59"/>
  <c r="DC354" i="59"/>
  <c r="DD354" i="59"/>
  <c r="DE354" i="59"/>
  <c r="DF354" i="59"/>
  <c r="DG354" i="59"/>
  <c r="DH354" i="59"/>
  <c r="DI354" i="59"/>
  <c r="DJ354" i="59"/>
  <c r="DK354" i="59"/>
  <c r="DL354" i="59"/>
  <c r="DM354" i="59"/>
  <c r="DN354" i="59"/>
  <c r="DO354" i="59"/>
  <c r="DP354" i="59"/>
  <c r="DQ354" i="59"/>
  <c r="DR354" i="59"/>
  <c r="DS354" i="59"/>
  <c r="DT354" i="59"/>
  <c r="DU354" i="59"/>
  <c r="DV354" i="59"/>
  <c r="DW354" i="59"/>
  <c r="DX354" i="59"/>
  <c r="DY354" i="59"/>
  <c r="DZ354" i="59"/>
  <c r="EA354" i="59"/>
  <c r="EB354" i="59"/>
  <c r="EC354" i="59"/>
  <c r="ED354" i="59"/>
  <c r="EE354" i="59"/>
  <c r="EF354" i="59"/>
  <c r="EG354" i="59"/>
  <c r="EH354" i="59"/>
  <c r="EI354" i="59"/>
  <c r="EJ354" i="59"/>
  <c r="EK354" i="59"/>
  <c r="EL354" i="59"/>
  <c r="EM354" i="59"/>
  <c r="EN354" i="59"/>
  <c r="EO354" i="59"/>
  <c r="EP354" i="59"/>
  <c r="EQ354" i="59"/>
  <c r="ER354" i="59"/>
  <c r="ES354" i="59"/>
  <c r="ET354" i="59"/>
  <c r="EU354" i="59"/>
  <c r="EV354" i="59"/>
  <c r="EW354" i="59"/>
  <c r="EX354" i="59"/>
  <c r="EY354" i="59"/>
  <c r="EZ354" i="59"/>
  <c r="FA354" i="59"/>
  <c r="FB354" i="59"/>
  <c r="FC354" i="59"/>
  <c r="FD354" i="59"/>
  <c r="FE354" i="59"/>
  <c r="FF354" i="59"/>
  <c r="FG354" i="59"/>
  <c r="FH354" i="59"/>
  <c r="FI354" i="59"/>
  <c r="FJ354" i="59"/>
  <c r="FK354" i="59"/>
  <c r="FL354" i="59"/>
  <c r="FM354" i="59"/>
  <c r="FN354" i="59"/>
  <c r="FO354" i="59"/>
  <c r="FP354" i="59"/>
  <c r="FQ354" i="59"/>
  <c r="FR354" i="59"/>
  <c r="FS354" i="59"/>
  <c r="FT354" i="59"/>
  <c r="FU354" i="59"/>
  <c r="FV354" i="59"/>
  <c r="FW354" i="59"/>
  <c r="FX354" i="59"/>
  <c r="FY354" i="59"/>
  <c r="FZ354" i="59"/>
  <c r="GA354" i="59"/>
  <c r="GB354" i="59"/>
  <c r="GC354" i="59"/>
  <c r="GD354" i="59"/>
  <c r="GE354" i="59"/>
  <c r="GF354" i="59"/>
  <c r="GG354" i="59"/>
  <c r="GH354" i="59"/>
  <c r="GI354" i="59"/>
  <c r="GJ354" i="59"/>
  <c r="GK354" i="59"/>
  <c r="GL354" i="59"/>
  <c r="GM354" i="59"/>
  <c r="GN354" i="59"/>
  <c r="GO354" i="59"/>
  <c r="GP354" i="59"/>
  <c r="GQ354" i="59"/>
  <c r="GR354" i="59"/>
  <c r="GS354" i="59"/>
  <c r="GT354" i="59"/>
  <c r="GU354" i="59"/>
  <c r="GV354" i="59"/>
  <c r="GW354" i="59"/>
  <c r="GX354" i="59"/>
  <c r="GY354" i="59"/>
  <c r="GZ354" i="59"/>
  <c r="HA354" i="59"/>
  <c r="HB354" i="59"/>
  <c r="HC354" i="59"/>
  <c r="HD354" i="59"/>
  <c r="HE354" i="59"/>
  <c r="HF354" i="59"/>
  <c r="HG354" i="59"/>
  <c r="HH354" i="59"/>
  <c r="HI354" i="59"/>
  <c r="HJ354" i="59"/>
  <c r="HK354" i="59"/>
  <c r="HL354" i="59"/>
  <c r="HM354" i="59"/>
  <c r="HN354" i="59"/>
  <c r="HO354" i="59"/>
  <c r="HP354" i="59"/>
  <c r="HQ354" i="59"/>
  <c r="HR354" i="59"/>
  <c r="HS354" i="59"/>
  <c r="HT354" i="59"/>
  <c r="HU354" i="59"/>
  <c r="HV354" i="59"/>
  <c r="HW354" i="59"/>
  <c r="HX354" i="59"/>
  <c r="HY354" i="59"/>
  <c r="HZ354" i="59"/>
  <c r="IA354" i="59"/>
  <c r="IB354" i="59"/>
  <c r="IC354" i="59"/>
  <c r="ID354" i="59"/>
  <c r="IE354" i="59"/>
  <c r="IF354" i="59"/>
  <c r="IG354" i="59"/>
  <c r="IH354" i="59"/>
  <c r="II354" i="59"/>
  <c r="IJ354" i="59"/>
  <c r="IK354" i="59"/>
  <c r="IL354" i="59"/>
  <c r="IM354" i="59"/>
  <c r="IN354" i="59"/>
  <c r="IO354" i="59"/>
  <c r="IP354" i="59"/>
  <c r="IQ354" i="59"/>
  <c r="IR354" i="59"/>
  <c r="IS354" i="59"/>
  <c r="IT354" i="59"/>
  <c r="IU354" i="59"/>
  <c r="IV354" i="59"/>
  <c r="F355" i="59"/>
  <c r="G355" i="59"/>
  <c r="H355" i="59"/>
  <c r="I355" i="59"/>
  <c r="J355" i="59"/>
  <c r="K355" i="59"/>
  <c r="L355" i="59"/>
  <c r="M355" i="59"/>
  <c r="N355" i="59"/>
  <c r="O355" i="59"/>
  <c r="P355" i="59"/>
  <c r="Q355" i="59"/>
  <c r="R355" i="59"/>
  <c r="S355" i="59"/>
  <c r="T355" i="59"/>
  <c r="U355" i="59"/>
  <c r="V355" i="59"/>
  <c r="W355" i="59"/>
  <c r="X355" i="59"/>
  <c r="Y355" i="59"/>
  <c r="Z355" i="59"/>
  <c r="AA355" i="59"/>
  <c r="AB355" i="59"/>
  <c r="AC355" i="59"/>
  <c r="AD355" i="59"/>
  <c r="AE355" i="59"/>
  <c r="AF355" i="59"/>
  <c r="AG355" i="59"/>
  <c r="AH355" i="59"/>
  <c r="AI355" i="59"/>
  <c r="AJ355" i="59"/>
  <c r="AK355" i="59"/>
  <c r="AL355" i="59"/>
  <c r="AM355" i="59"/>
  <c r="AN355" i="59"/>
  <c r="AO355" i="59"/>
  <c r="AP355" i="59"/>
  <c r="AQ355" i="59"/>
  <c r="AR355" i="59"/>
  <c r="AS355" i="59"/>
  <c r="AT355" i="59"/>
  <c r="AU355" i="59"/>
  <c r="AV355" i="59"/>
  <c r="AW355" i="59"/>
  <c r="AX355" i="59"/>
  <c r="AY355" i="59"/>
  <c r="AZ355" i="59"/>
  <c r="BA355" i="59"/>
  <c r="BB355" i="59"/>
  <c r="BC355" i="59"/>
  <c r="BD355" i="59"/>
  <c r="BE355" i="59"/>
  <c r="BF355" i="59"/>
  <c r="BG355" i="59"/>
  <c r="BH355" i="59"/>
  <c r="BI355" i="59"/>
  <c r="BJ355" i="59"/>
  <c r="BK355" i="59"/>
  <c r="BL355" i="59"/>
  <c r="BM355" i="59"/>
  <c r="BN355" i="59"/>
  <c r="BO355" i="59"/>
  <c r="BP355" i="59"/>
  <c r="BQ355" i="59"/>
  <c r="BR355" i="59"/>
  <c r="BS355" i="59"/>
  <c r="BT355" i="59"/>
  <c r="BU355" i="59"/>
  <c r="BV355" i="59"/>
  <c r="BW355" i="59"/>
  <c r="BX355" i="59"/>
  <c r="BY355" i="59"/>
  <c r="BZ355" i="59"/>
  <c r="CA355" i="59"/>
  <c r="CB355" i="59"/>
  <c r="CC355" i="59"/>
  <c r="CD355" i="59"/>
  <c r="CE355" i="59"/>
  <c r="CF355" i="59"/>
  <c r="CG355" i="59"/>
  <c r="CH355" i="59"/>
  <c r="CI355" i="59"/>
  <c r="CJ355" i="59"/>
  <c r="CK355" i="59"/>
  <c r="CL355" i="59"/>
  <c r="CM355" i="59"/>
  <c r="CN355" i="59"/>
  <c r="CO355" i="59"/>
  <c r="CP355" i="59"/>
  <c r="CQ355" i="59"/>
  <c r="CR355" i="59"/>
  <c r="CS355" i="59"/>
  <c r="CT355" i="59"/>
  <c r="CU355" i="59"/>
  <c r="CV355" i="59"/>
  <c r="CW355" i="59"/>
  <c r="CX355" i="59"/>
  <c r="CY355" i="59"/>
  <c r="CZ355" i="59"/>
  <c r="DA355" i="59"/>
  <c r="DB355" i="59"/>
  <c r="DC355" i="59"/>
  <c r="DD355" i="59"/>
  <c r="DE355" i="59"/>
  <c r="DF355" i="59"/>
  <c r="DG355" i="59"/>
  <c r="DH355" i="59"/>
  <c r="DI355" i="59"/>
  <c r="DJ355" i="59"/>
  <c r="DK355" i="59"/>
  <c r="DL355" i="59"/>
  <c r="DM355" i="59"/>
  <c r="DN355" i="59"/>
  <c r="DO355" i="59"/>
  <c r="DP355" i="59"/>
  <c r="DQ355" i="59"/>
  <c r="DR355" i="59"/>
  <c r="DS355" i="59"/>
  <c r="DT355" i="59"/>
  <c r="DU355" i="59"/>
  <c r="DV355" i="59"/>
  <c r="DW355" i="59"/>
  <c r="DX355" i="59"/>
  <c r="DY355" i="59"/>
  <c r="DZ355" i="59"/>
  <c r="EA355" i="59"/>
  <c r="EB355" i="59"/>
  <c r="EC355" i="59"/>
  <c r="ED355" i="59"/>
  <c r="EE355" i="59"/>
  <c r="EF355" i="59"/>
  <c r="EG355" i="59"/>
  <c r="EH355" i="59"/>
  <c r="EI355" i="59"/>
  <c r="EJ355" i="59"/>
  <c r="EK355" i="59"/>
  <c r="EL355" i="59"/>
  <c r="EM355" i="59"/>
  <c r="EN355" i="59"/>
  <c r="EO355" i="59"/>
  <c r="EP355" i="59"/>
  <c r="EQ355" i="59"/>
  <c r="ER355" i="59"/>
  <c r="ES355" i="59"/>
  <c r="ET355" i="59"/>
  <c r="EU355" i="59"/>
  <c r="EV355" i="59"/>
  <c r="EW355" i="59"/>
  <c r="EX355" i="59"/>
  <c r="EY355" i="59"/>
  <c r="EZ355" i="59"/>
  <c r="FA355" i="59"/>
  <c r="FB355" i="59"/>
  <c r="FC355" i="59"/>
  <c r="FD355" i="59"/>
  <c r="FE355" i="59"/>
  <c r="FF355" i="59"/>
  <c r="FG355" i="59"/>
  <c r="FH355" i="59"/>
  <c r="FI355" i="59"/>
  <c r="FJ355" i="59"/>
  <c r="FK355" i="59"/>
  <c r="FL355" i="59"/>
  <c r="FM355" i="59"/>
  <c r="FN355" i="59"/>
  <c r="FO355" i="59"/>
  <c r="FP355" i="59"/>
  <c r="FQ355" i="59"/>
  <c r="FR355" i="59"/>
  <c r="FS355" i="59"/>
  <c r="FT355" i="59"/>
  <c r="FU355" i="59"/>
  <c r="FV355" i="59"/>
  <c r="FW355" i="59"/>
  <c r="FX355" i="59"/>
  <c r="FY355" i="59"/>
  <c r="FZ355" i="59"/>
  <c r="GA355" i="59"/>
  <c r="GB355" i="59"/>
  <c r="GC355" i="59"/>
  <c r="GD355" i="59"/>
  <c r="GE355" i="59"/>
  <c r="GF355" i="59"/>
  <c r="GG355" i="59"/>
  <c r="GH355" i="59"/>
  <c r="GI355" i="59"/>
  <c r="GJ355" i="59"/>
  <c r="GK355" i="59"/>
  <c r="GL355" i="59"/>
  <c r="GM355" i="59"/>
  <c r="GN355" i="59"/>
  <c r="GO355" i="59"/>
  <c r="GP355" i="59"/>
  <c r="GQ355" i="59"/>
  <c r="GR355" i="59"/>
  <c r="GS355" i="59"/>
  <c r="GT355" i="59"/>
  <c r="GU355" i="59"/>
  <c r="GV355" i="59"/>
  <c r="GW355" i="59"/>
  <c r="GX355" i="59"/>
  <c r="GY355" i="59"/>
  <c r="GZ355" i="59"/>
  <c r="HA355" i="59"/>
  <c r="HB355" i="59"/>
  <c r="HC355" i="59"/>
  <c r="HD355" i="59"/>
  <c r="HE355" i="59"/>
  <c r="HF355" i="59"/>
  <c r="HG355" i="59"/>
  <c r="HH355" i="59"/>
  <c r="HI355" i="59"/>
  <c r="HJ355" i="59"/>
  <c r="HK355" i="59"/>
  <c r="HL355" i="59"/>
  <c r="HM355" i="59"/>
  <c r="HN355" i="59"/>
  <c r="HO355" i="59"/>
  <c r="HP355" i="59"/>
  <c r="HQ355" i="59"/>
  <c r="HR355" i="59"/>
  <c r="HS355" i="59"/>
  <c r="HT355" i="59"/>
  <c r="HU355" i="59"/>
  <c r="HV355" i="59"/>
  <c r="HW355" i="59"/>
  <c r="HX355" i="59"/>
  <c r="HY355" i="59"/>
  <c r="HZ355" i="59"/>
  <c r="IA355" i="59"/>
  <c r="IB355" i="59"/>
  <c r="IC355" i="59"/>
  <c r="ID355" i="59"/>
  <c r="IE355" i="59"/>
  <c r="IF355" i="59"/>
  <c r="IG355" i="59"/>
  <c r="IH355" i="59"/>
  <c r="II355" i="59"/>
  <c r="IJ355" i="59"/>
  <c r="IK355" i="59"/>
  <c r="IL355" i="59"/>
  <c r="IM355" i="59"/>
  <c r="IN355" i="59"/>
  <c r="IO355" i="59"/>
  <c r="IP355" i="59"/>
  <c r="IQ355" i="59"/>
  <c r="IR355" i="59"/>
  <c r="IS355" i="59"/>
  <c r="IT355" i="59"/>
  <c r="IU355" i="59"/>
  <c r="IV355" i="59"/>
  <c r="F356" i="59"/>
  <c r="G356" i="59"/>
  <c r="H356" i="59"/>
  <c r="I356" i="59"/>
  <c r="J356" i="59"/>
  <c r="K356" i="59"/>
  <c r="L356" i="59"/>
  <c r="M356" i="59"/>
  <c r="N356" i="59"/>
  <c r="O356" i="59"/>
  <c r="P356" i="59"/>
  <c r="Q356" i="59"/>
  <c r="R356" i="59"/>
  <c r="S356" i="59"/>
  <c r="T356" i="59"/>
  <c r="U356" i="59"/>
  <c r="V356" i="59"/>
  <c r="W356" i="59"/>
  <c r="X356" i="59"/>
  <c r="Y356" i="59"/>
  <c r="Z356" i="59"/>
  <c r="AA356" i="59"/>
  <c r="AB356" i="59"/>
  <c r="AC356" i="59"/>
  <c r="AD356" i="59"/>
  <c r="AE356" i="59"/>
  <c r="AF356" i="59"/>
  <c r="AG356" i="59"/>
  <c r="AH356" i="59"/>
  <c r="AI356" i="59"/>
  <c r="AJ356" i="59"/>
  <c r="AK356" i="59"/>
  <c r="AL356" i="59"/>
  <c r="AM356" i="59"/>
  <c r="AN356" i="59"/>
  <c r="AO356" i="59"/>
  <c r="AP356" i="59"/>
  <c r="AQ356" i="59"/>
  <c r="AR356" i="59"/>
  <c r="AS356" i="59"/>
  <c r="AT356" i="59"/>
  <c r="AU356" i="59"/>
  <c r="AV356" i="59"/>
  <c r="AW356" i="59"/>
  <c r="AX356" i="59"/>
  <c r="AY356" i="59"/>
  <c r="AZ356" i="59"/>
  <c r="BA356" i="59"/>
  <c r="BB356" i="59"/>
  <c r="BC356" i="59"/>
  <c r="BD356" i="59"/>
  <c r="BE356" i="59"/>
  <c r="BF356" i="59"/>
  <c r="BG356" i="59"/>
  <c r="BH356" i="59"/>
  <c r="BI356" i="59"/>
  <c r="BJ356" i="59"/>
  <c r="BK356" i="59"/>
  <c r="BL356" i="59"/>
  <c r="BM356" i="59"/>
  <c r="BN356" i="59"/>
  <c r="BO356" i="59"/>
  <c r="BP356" i="59"/>
  <c r="BQ356" i="59"/>
  <c r="BR356" i="59"/>
  <c r="BS356" i="59"/>
  <c r="BT356" i="59"/>
  <c r="BU356" i="59"/>
  <c r="BV356" i="59"/>
  <c r="BW356" i="59"/>
  <c r="BX356" i="59"/>
  <c r="BY356" i="59"/>
  <c r="BZ356" i="59"/>
  <c r="CA356" i="59"/>
  <c r="CB356" i="59"/>
  <c r="CC356" i="59"/>
  <c r="CD356" i="59"/>
  <c r="CE356" i="59"/>
  <c r="CF356" i="59"/>
  <c r="CG356" i="59"/>
  <c r="CH356" i="59"/>
  <c r="CI356" i="59"/>
  <c r="CJ356" i="59"/>
  <c r="CK356" i="59"/>
  <c r="CL356" i="59"/>
  <c r="CM356" i="59"/>
  <c r="CN356" i="59"/>
  <c r="CO356" i="59"/>
  <c r="CP356" i="59"/>
  <c r="CQ356" i="59"/>
  <c r="CR356" i="59"/>
  <c r="CS356" i="59"/>
  <c r="CT356" i="59"/>
  <c r="CU356" i="59"/>
  <c r="CV356" i="59"/>
  <c r="CW356" i="59"/>
  <c r="CX356" i="59"/>
  <c r="CY356" i="59"/>
  <c r="CZ356" i="59"/>
  <c r="DA356" i="59"/>
  <c r="DB356" i="59"/>
  <c r="DC356" i="59"/>
  <c r="DD356" i="59"/>
  <c r="DE356" i="59"/>
  <c r="DF356" i="59"/>
  <c r="DG356" i="59"/>
  <c r="DH356" i="59"/>
  <c r="DI356" i="59"/>
  <c r="DJ356" i="59"/>
  <c r="DK356" i="59"/>
  <c r="DL356" i="59"/>
  <c r="DM356" i="59"/>
  <c r="DN356" i="59"/>
  <c r="DO356" i="59"/>
  <c r="DP356" i="59"/>
  <c r="DQ356" i="59"/>
  <c r="DR356" i="59"/>
  <c r="DS356" i="59"/>
  <c r="DT356" i="59"/>
  <c r="DU356" i="59"/>
  <c r="DV356" i="59"/>
  <c r="DW356" i="59"/>
  <c r="DX356" i="59"/>
  <c r="DY356" i="59"/>
  <c r="DZ356" i="59"/>
  <c r="EA356" i="59"/>
  <c r="EB356" i="59"/>
  <c r="EC356" i="59"/>
  <c r="ED356" i="59"/>
  <c r="EE356" i="59"/>
  <c r="EF356" i="59"/>
  <c r="EG356" i="59"/>
  <c r="EH356" i="59"/>
  <c r="EI356" i="59"/>
  <c r="EJ356" i="59"/>
  <c r="EK356" i="59"/>
  <c r="EL356" i="59"/>
  <c r="EM356" i="59"/>
  <c r="EN356" i="59"/>
  <c r="EO356" i="59"/>
  <c r="EP356" i="59"/>
  <c r="EQ356" i="59"/>
  <c r="ER356" i="59"/>
  <c r="ES356" i="59"/>
  <c r="ET356" i="59"/>
  <c r="EU356" i="59"/>
  <c r="EV356" i="59"/>
  <c r="EW356" i="59"/>
  <c r="EX356" i="59"/>
  <c r="EY356" i="59"/>
  <c r="EZ356" i="59"/>
  <c r="FA356" i="59"/>
  <c r="FB356" i="59"/>
  <c r="FC356" i="59"/>
  <c r="FD356" i="59"/>
  <c r="FE356" i="59"/>
  <c r="FF356" i="59"/>
  <c r="FG356" i="59"/>
  <c r="FH356" i="59"/>
  <c r="FI356" i="59"/>
  <c r="FJ356" i="59"/>
  <c r="FK356" i="59"/>
  <c r="FL356" i="59"/>
  <c r="FM356" i="59"/>
  <c r="FN356" i="59"/>
  <c r="FO356" i="59"/>
  <c r="FP356" i="59"/>
  <c r="FQ356" i="59"/>
  <c r="FR356" i="59"/>
  <c r="FS356" i="59"/>
  <c r="FT356" i="59"/>
  <c r="FU356" i="59"/>
  <c r="FV356" i="59"/>
  <c r="FW356" i="59"/>
  <c r="FX356" i="59"/>
  <c r="FY356" i="59"/>
  <c r="FZ356" i="59"/>
  <c r="GA356" i="59"/>
  <c r="GB356" i="59"/>
  <c r="GC356" i="59"/>
  <c r="GD356" i="59"/>
  <c r="GE356" i="59"/>
  <c r="GF356" i="59"/>
  <c r="GG356" i="59"/>
  <c r="GH356" i="59"/>
  <c r="GI356" i="59"/>
  <c r="GJ356" i="59"/>
  <c r="GK356" i="59"/>
  <c r="GL356" i="59"/>
  <c r="GM356" i="59"/>
  <c r="GN356" i="59"/>
  <c r="GO356" i="59"/>
  <c r="GP356" i="59"/>
  <c r="GQ356" i="59"/>
  <c r="GR356" i="59"/>
  <c r="GS356" i="59"/>
  <c r="GT356" i="59"/>
  <c r="GU356" i="59"/>
  <c r="GV356" i="59"/>
  <c r="GW356" i="59"/>
  <c r="GX356" i="59"/>
  <c r="GY356" i="59"/>
  <c r="GZ356" i="59"/>
  <c r="HA356" i="59"/>
  <c r="HB356" i="59"/>
  <c r="HC356" i="59"/>
  <c r="HD356" i="59"/>
  <c r="HE356" i="59"/>
  <c r="HF356" i="59"/>
  <c r="HG356" i="59"/>
  <c r="HH356" i="59"/>
  <c r="HI356" i="59"/>
  <c r="HJ356" i="59"/>
  <c r="HK356" i="59"/>
  <c r="HL356" i="59"/>
  <c r="HM356" i="59"/>
  <c r="HN356" i="59"/>
  <c r="HO356" i="59"/>
  <c r="HP356" i="59"/>
  <c r="HQ356" i="59"/>
  <c r="HR356" i="59"/>
  <c r="HS356" i="59"/>
  <c r="HT356" i="59"/>
  <c r="HU356" i="59"/>
  <c r="HV356" i="59"/>
  <c r="HW356" i="59"/>
  <c r="HX356" i="59"/>
  <c r="HY356" i="59"/>
  <c r="HZ356" i="59"/>
  <c r="IA356" i="59"/>
  <c r="IB356" i="59"/>
  <c r="IC356" i="59"/>
  <c r="ID356" i="59"/>
  <c r="IE356" i="59"/>
  <c r="IF356" i="59"/>
  <c r="IG356" i="59"/>
  <c r="IH356" i="59"/>
  <c r="II356" i="59"/>
  <c r="IJ356" i="59"/>
  <c r="IK356" i="59"/>
  <c r="IL356" i="59"/>
  <c r="IM356" i="59"/>
  <c r="IN356" i="59"/>
  <c r="IO356" i="59"/>
  <c r="IP356" i="59"/>
  <c r="IQ356" i="59"/>
  <c r="IR356" i="59"/>
  <c r="IS356" i="59"/>
  <c r="IT356" i="59"/>
  <c r="IU356" i="59"/>
  <c r="IV356" i="59"/>
  <c r="F357" i="59"/>
  <c r="G357" i="59"/>
  <c r="H357" i="59"/>
  <c r="I357" i="59"/>
  <c r="J357" i="59"/>
  <c r="K357" i="59"/>
  <c r="L357" i="59"/>
  <c r="M357" i="59"/>
  <c r="N357" i="59"/>
  <c r="O357" i="59"/>
  <c r="P357" i="59"/>
  <c r="Q357" i="59"/>
  <c r="R357" i="59"/>
  <c r="S357" i="59"/>
  <c r="T357" i="59"/>
  <c r="U357" i="59"/>
  <c r="V357" i="59"/>
  <c r="W357" i="59"/>
  <c r="X357" i="59"/>
  <c r="Y357" i="59"/>
  <c r="Z357" i="59"/>
  <c r="AA357" i="59"/>
  <c r="AB357" i="59"/>
  <c r="AC357" i="59"/>
  <c r="AD357" i="59"/>
  <c r="AE357" i="59"/>
  <c r="AF357" i="59"/>
  <c r="AG357" i="59"/>
  <c r="AH357" i="59"/>
  <c r="AI357" i="59"/>
  <c r="AJ357" i="59"/>
  <c r="AK357" i="59"/>
  <c r="AL357" i="59"/>
  <c r="AM357" i="59"/>
  <c r="AN357" i="59"/>
  <c r="AO357" i="59"/>
  <c r="AP357" i="59"/>
  <c r="AQ357" i="59"/>
  <c r="AR357" i="59"/>
  <c r="AS357" i="59"/>
  <c r="AT357" i="59"/>
  <c r="AU357" i="59"/>
  <c r="AV357" i="59"/>
  <c r="AW357" i="59"/>
  <c r="AX357" i="59"/>
  <c r="AY357" i="59"/>
  <c r="AZ357" i="59"/>
  <c r="BA357" i="59"/>
  <c r="BB357" i="59"/>
  <c r="BC357" i="59"/>
  <c r="BD357" i="59"/>
  <c r="BE357" i="59"/>
  <c r="BF357" i="59"/>
  <c r="BG357" i="59"/>
  <c r="BH357" i="59"/>
  <c r="BI357" i="59"/>
  <c r="BJ357" i="59"/>
  <c r="BK357" i="59"/>
  <c r="BL357" i="59"/>
  <c r="BM357" i="59"/>
  <c r="BN357" i="59"/>
  <c r="BO357" i="59"/>
  <c r="BP357" i="59"/>
  <c r="BQ357" i="59"/>
  <c r="BR357" i="59"/>
  <c r="BS357" i="59"/>
  <c r="BT357" i="59"/>
  <c r="BU357" i="59"/>
  <c r="BV357" i="59"/>
  <c r="BW357" i="59"/>
  <c r="BX357" i="59"/>
  <c r="BY357" i="59"/>
  <c r="BZ357" i="59"/>
  <c r="CA357" i="59"/>
  <c r="CB357" i="59"/>
  <c r="CC357" i="59"/>
  <c r="CD357" i="59"/>
  <c r="CE357" i="59"/>
  <c r="CF357" i="59"/>
  <c r="CG357" i="59"/>
  <c r="CH357" i="59"/>
  <c r="CI357" i="59"/>
  <c r="CJ357" i="59"/>
  <c r="CK357" i="59"/>
  <c r="CL357" i="59"/>
  <c r="CM357" i="59"/>
  <c r="CN357" i="59"/>
  <c r="CO357" i="59"/>
  <c r="CP357" i="59"/>
  <c r="CQ357" i="59"/>
  <c r="CR357" i="59"/>
  <c r="CS357" i="59"/>
  <c r="CT357" i="59"/>
  <c r="CU357" i="59"/>
  <c r="CV357" i="59"/>
  <c r="CW357" i="59"/>
  <c r="CX357" i="59"/>
  <c r="CY357" i="59"/>
  <c r="CZ357" i="59"/>
  <c r="DA357" i="59"/>
  <c r="DB357" i="59"/>
  <c r="DC357" i="59"/>
  <c r="DD357" i="59"/>
  <c r="DE357" i="59"/>
  <c r="DF357" i="59"/>
  <c r="DG357" i="59"/>
  <c r="DH357" i="59"/>
  <c r="DI357" i="59"/>
  <c r="DJ357" i="59"/>
  <c r="DK357" i="59"/>
  <c r="DL357" i="59"/>
  <c r="DM357" i="59"/>
  <c r="DN357" i="59"/>
  <c r="DO357" i="59"/>
  <c r="DP357" i="59"/>
  <c r="DQ357" i="59"/>
  <c r="DR357" i="59"/>
  <c r="DS357" i="59"/>
  <c r="DT357" i="59"/>
  <c r="DU357" i="59"/>
  <c r="DV357" i="59"/>
  <c r="DW357" i="59"/>
  <c r="DX357" i="59"/>
  <c r="DY357" i="59"/>
  <c r="DZ357" i="59"/>
  <c r="EA357" i="59"/>
  <c r="EB357" i="59"/>
  <c r="EC357" i="59"/>
  <c r="ED357" i="59"/>
  <c r="EE357" i="59"/>
  <c r="EF357" i="59"/>
  <c r="EG357" i="59"/>
  <c r="EH357" i="59"/>
  <c r="EI357" i="59"/>
  <c r="EJ357" i="59"/>
  <c r="EK357" i="59"/>
  <c r="EL357" i="59"/>
  <c r="EM357" i="59"/>
  <c r="EN357" i="59"/>
  <c r="EO357" i="59"/>
  <c r="EP357" i="59"/>
  <c r="EQ357" i="59"/>
  <c r="ER357" i="59"/>
  <c r="ES357" i="59"/>
  <c r="ET357" i="59"/>
  <c r="EU357" i="59"/>
  <c r="EV357" i="59"/>
  <c r="EW357" i="59"/>
  <c r="EX357" i="59"/>
  <c r="EY357" i="59"/>
  <c r="EZ357" i="59"/>
  <c r="FA357" i="59"/>
  <c r="FB357" i="59"/>
  <c r="FC357" i="59"/>
  <c r="FD357" i="59"/>
  <c r="FE357" i="59"/>
  <c r="FF357" i="59"/>
  <c r="FG357" i="59"/>
  <c r="FH357" i="59"/>
  <c r="FI357" i="59"/>
  <c r="FJ357" i="59"/>
  <c r="FK357" i="59"/>
  <c r="FL357" i="59"/>
  <c r="FM357" i="59"/>
  <c r="FN357" i="59"/>
  <c r="FO357" i="59"/>
  <c r="FP357" i="59"/>
  <c r="FQ357" i="59"/>
  <c r="FR357" i="59"/>
  <c r="FS357" i="59"/>
  <c r="FT357" i="59"/>
  <c r="FU357" i="59"/>
  <c r="FV357" i="59"/>
  <c r="FW357" i="59"/>
  <c r="FX357" i="59"/>
  <c r="FY357" i="59"/>
  <c r="FZ357" i="59"/>
  <c r="GA357" i="59"/>
  <c r="GB357" i="59"/>
  <c r="GC357" i="59"/>
  <c r="GD357" i="59"/>
  <c r="GE357" i="59"/>
  <c r="GF357" i="59"/>
  <c r="GG357" i="59"/>
  <c r="GH357" i="59"/>
  <c r="GI357" i="59"/>
  <c r="GJ357" i="59"/>
  <c r="GK357" i="59"/>
  <c r="GL357" i="59"/>
  <c r="GM357" i="59"/>
  <c r="GN357" i="59"/>
  <c r="GO357" i="59"/>
  <c r="GP357" i="59"/>
  <c r="GQ357" i="59"/>
  <c r="GR357" i="59"/>
  <c r="GS357" i="59"/>
  <c r="GT357" i="59"/>
  <c r="GU357" i="59"/>
  <c r="GV357" i="59"/>
  <c r="GW357" i="59"/>
  <c r="GX357" i="59"/>
  <c r="GY357" i="59"/>
  <c r="GZ357" i="59"/>
  <c r="HA357" i="59"/>
  <c r="HB357" i="59"/>
  <c r="HC357" i="59"/>
  <c r="HD357" i="59"/>
  <c r="HE357" i="59"/>
  <c r="HF357" i="59"/>
  <c r="HG357" i="59"/>
  <c r="HH357" i="59"/>
  <c r="HI357" i="59"/>
  <c r="HJ357" i="59"/>
  <c r="HK357" i="59"/>
  <c r="HL357" i="59"/>
  <c r="HM357" i="59"/>
  <c r="HN357" i="59"/>
  <c r="HO357" i="59"/>
  <c r="HP357" i="59"/>
  <c r="HQ357" i="59"/>
  <c r="HR357" i="59"/>
  <c r="HS357" i="59"/>
  <c r="HT357" i="59"/>
  <c r="HU357" i="59"/>
  <c r="HV357" i="59"/>
  <c r="HW357" i="59"/>
  <c r="HX357" i="59"/>
  <c r="HY357" i="59"/>
  <c r="HZ357" i="59"/>
  <c r="IA357" i="59"/>
  <c r="IB357" i="59"/>
  <c r="IC357" i="59"/>
  <c r="ID357" i="59"/>
  <c r="IE357" i="59"/>
  <c r="IF357" i="59"/>
  <c r="IG357" i="59"/>
  <c r="IH357" i="59"/>
  <c r="II357" i="59"/>
  <c r="IJ357" i="59"/>
  <c r="IK357" i="59"/>
  <c r="IL357" i="59"/>
  <c r="IM357" i="59"/>
  <c r="IN357" i="59"/>
  <c r="IO357" i="59"/>
  <c r="IP357" i="59"/>
  <c r="IQ357" i="59"/>
  <c r="IR357" i="59"/>
  <c r="IS357" i="59"/>
  <c r="IT357" i="59"/>
  <c r="IU357" i="59"/>
  <c r="IV357" i="59"/>
  <c r="F358" i="59"/>
  <c r="G358" i="59"/>
  <c r="H358" i="59"/>
  <c r="I358" i="59"/>
  <c r="J358" i="59"/>
  <c r="K358" i="59"/>
  <c r="L358" i="59"/>
  <c r="M358" i="59"/>
  <c r="N358" i="59"/>
  <c r="O358" i="59"/>
  <c r="P358" i="59"/>
  <c r="Q358" i="59"/>
  <c r="R358" i="59"/>
  <c r="S358" i="59"/>
  <c r="T358" i="59"/>
  <c r="U358" i="59"/>
  <c r="V358" i="59"/>
  <c r="W358" i="59"/>
  <c r="X358" i="59"/>
  <c r="Y358" i="59"/>
  <c r="Z358" i="59"/>
  <c r="AA358" i="59"/>
  <c r="AB358" i="59"/>
  <c r="AC358" i="59"/>
  <c r="AD358" i="59"/>
  <c r="AE358" i="59"/>
  <c r="AF358" i="59"/>
  <c r="AG358" i="59"/>
  <c r="AH358" i="59"/>
  <c r="AI358" i="59"/>
  <c r="AJ358" i="59"/>
  <c r="AK358" i="59"/>
  <c r="AL358" i="59"/>
  <c r="AM358" i="59"/>
  <c r="AN358" i="59"/>
  <c r="AO358" i="59"/>
  <c r="AP358" i="59"/>
  <c r="AQ358" i="59"/>
  <c r="AR358" i="59"/>
  <c r="AS358" i="59"/>
  <c r="AT358" i="59"/>
  <c r="AU358" i="59"/>
  <c r="AV358" i="59"/>
  <c r="AW358" i="59"/>
  <c r="AX358" i="59"/>
  <c r="AY358" i="59"/>
  <c r="AZ358" i="59"/>
  <c r="BA358" i="59"/>
  <c r="BB358" i="59"/>
  <c r="BC358" i="59"/>
  <c r="BD358" i="59"/>
  <c r="BE358" i="59"/>
  <c r="BF358" i="59"/>
  <c r="BG358" i="59"/>
  <c r="BH358" i="59"/>
  <c r="BI358" i="59"/>
  <c r="BJ358" i="59"/>
  <c r="BK358" i="59"/>
  <c r="BL358" i="59"/>
  <c r="BM358" i="59"/>
  <c r="BN358" i="59"/>
  <c r="BO358" i="59"/>
  <c r="BP358" i="59"/>
  <c r="BQ358" i="59"/>
  <c r="BR358" i="59"/>
  <c r="BS358" i="59"/>
  <c r="BT358" i="59"/>
  <c r="BU358" i="59"/>
  <c r="BV358" i="59"/>
  <c r="BW358" i="59"/>
  <c r="BX358" i="59"/>
  <c r="BY358" i="59"/>
  <c r="BZ358" i="59"/>
  <c r="CA358" i="59"/>
  <c r="CB358" i="59"/>
  <c r="CC358" i="59"/>
  <c r="CD358" i="59"/>
  <c r="CE358" i="59"/>
  <c r="CF358" i="59"/>
  <c r="CG358" i="59"/>
  <c r="CH358" i="59"/>
  <c r="CI358" i="59"/>
  <c r="CJ358" i="59"/>
  <c r="CK358" i="59"/>
  <c r="CL358" i="59"/>
  <c r="CM358" i="59"/>
  <c r="CN358" i="59"/>
  <c r="CO358" i="59"/>
  <c r="CP358" i="59"/>
  <c r="CQ358" i="59"/>
  <c r="CR358" i="59"/>
  <c r="CS358" i="59"/>
  <c r="CT358" i="59"/>
  <c r="CU358" i="59"/>
  <c r="CV358" i="59"/>
  <c r="CW358" i="59"/>
  <c r="CX358" i="59"/>
  <c r="CY358" i="59"/>
  <c r="CZ358" i="59"/>
  <c r="DA358" i="59"/>
  <c r="DB358" i="59"/>
  <c r="DC358" i="59"/>
  <c r="DD358" i="59"/>
  <c r="DE358" i="59"/>
  <c r="DF358" i="59"/>
  <c r="DG358" i="59"/>
  <c r="DH358" i="59"/>
  <c r="DI358" i="59"/>
  <c r="DJ358" i="59"/>
  <c r="DK358" i="59"/>
  <c r="DL358" i="59"/>
  <c r="DM358" i="59"/>
  <c r="DN358" i="59"/>
  <c r="DO358" i="59"/>
  <c r="DP358" i="59"/>
  <c r="DQ358" i="59"/>
  <c r="DR358" i="59"/>
  <c r="DS358" i="59"/>
  <c r="DT358" i="59"/>
  <c r="DU358" i="59"/>
  <c r="DV358" i="59"/>
  <c r="DW358" i="59"/>
  <c r="DX358" i="59"/>
  <c r="DY358" i="59"/>
  <c r="DZ358" i="59"/>
  <c r="EA358" i="59"/>
  <c r="EB358" i="59"/>
  <c r="EC358" i="59"/>
  <c r="ED358" i="59"/>
  <c r="EE358" i="59"/>
  <c r="EF358" i="59"/>
  <c r="EG358" i="59"/>
  <c r="EH358" i="59"/>
  <c r="EI358" i="59"/>
  <c r="EJ358" i="59"/>
  <c r="EK358" i="59"/>
  <c r="EL358" i="59"/>
  <c r="EM358" i="59"/>
  <c r="EN358" i="59"/>
  <c r="EO358" i="59"/>
  <c r="EP358" i="59"/>
  <c r="EQ358" i="59"/>
  <c r="ER358" i="59"/>
  <c r="ES358" i="59"/>
  <c r="ET358" i="59"/>
  <c r="EU358" i="59"/>
  <c r="EV358" i="59"/>
  <c r="EW358" i="59"/>
  <c r="EX358" i="59"/>
  <c r="EY358" i="59"/>
  <c r="EZ358" i="59"/>
  <c r="FA358" i="59"/>
  <c r="FB358" i="59"/>
  <c r="FC358" i="59"/>
  <c r="FD358" i="59"/>
  <c r="FE358" i="59"/>
  <c r="FF358" i="59"/>
  <c r="FG358" i="59"/>
  <c r="FH358" i="59"/>
  <c r="FI358" i="59"/>
  <c r="FJ358" i="59"/>
  <c r="FK358" i="59"/>
  <c r="FL358" i="59"/>
  <c r="FM358" i="59"/>
  <c r="FN358" i="59"/>
  <c r="FO358" i="59"/>
  <c r="FP358" i="59"/>
  <c r="FQ358" i="59"/>
  <c r="FR358" i="59"/>
  <c r="FS358" i="59"/>
  <c r="FT358" i="59"/>
  <c r="FU358" i="59"/>
  <c r="FV358" i="59"/>
  <c r="FW358" i="59"/>
  <c r="FX358" i="59"/>
  <c r="FY358" i="59"/>
  <c r="FZ358" i="59"/>
  <c r="GA358" i="59"/>
  <c r="GB358" i="59"/>
  <c r="GC358" i="59"/>
  <c r="GD358" i="59"/>
  <c r="GE358" i="59"/>
  <c r="GF358" i="59"/>
  <c r="GG358" i="59"/>
  <c r="GH358" i="59"/>
  <c r="GI358" i="59"/>
  <c r="GJ358" i="59"/>
  <c r="GK358" i="59"/>
  <c r="GL358" i="59"/>
  <c r="GM358" i="59"/>
  <c r="GN358" i="59"/>
  <c r="GO358" i="59"/>
  <c r="GP358" i="59"/>
  <c r="GQ358" i="59"/>
  <c r="GR358" i="59"/>
  <c r="GS358" i="59"/>
  <c r="GT358" i="59"/>
  <c r="GU358" i="59"/>
  <c r="GV358" i="59"/>
  <c r="GW358" i="59"/>
  <c r="GX358" i="59"/>
  <c r="GY358" i="59"/>
  <c r="GZ358" i="59"/>
  <c r="HA358" i="59"/>
  <c r="HB358" i="59"/>
  <c r="HC358" i="59"/>
  <c r="HD358" i="59"/>
  <c r="HE358" i="59"/>
  <c r="HF358" i="59"/>
  <c r="HG358" i="59"/>
  <c r="HH358" i="59"/>
  <c r="HI358" i="59"/>
  <c r="HJ358" i="59"/>
  <c r="HK358" i="59"/>
  <c r="HL358" i="59"/>
  <c r="HM358" i="59"/>
  <c r="HN358" i="59"/>
  <c r="HO358" i="59"/>
  <c r="HP358" i="59"/>
  <c r="HQ358" i="59"/>
  <c r="HR358" i="59"/>
  <c r="HS358" i="59"/>
  <c r="HT358" i="59"/>
  <c r="HU358" i="59"/>
  <c r="HV358" i="59"/>
  <c r="HW358" i="59"/>
  <c r="HX358" i="59"/>
  <c r="HY358" i="59"/>
  <c r="HZ358" i="59"/>
  <c r="IA358" i="59"/>
  <c r="IB358" i="59"/>
  <c r="IC358" i="59"/>
  <c r="ID358" i="59"/>
  <c r="IE358" i="59"/>
  <c r="IF358" i="59"/>
  <c r="IG358" i="59"/>
  <c r="IH358" i="59"/>
  <c r="II358" i="59"/>
  <c r="IJ358" i="59"/>
  <c r="IK358" i="59"/>
  <c r="IL358" i="59"/>
  <c r="IM358" i="59"/>
  <c r="IN358" i="59"/>
  <c r="IO358" i="59"/>
  <c r="IP358" i="59"/>
  <c r="IQ358" i="59"/>
  <c r="IR358" i="59"/>
  <c r="IS358" i="59"/>
  <c r="IT358" i="59"/>
  <c r="IU358" i="59"/>
  <c r="IV358" i="59"/>
  <c r="F359" i="59"/>
  <c r="G359" i="59"/>
  <c r="H359" i="59"/>
  <c r="I359" i="59"/>
  <c r="J359" i="59"/>
  <c r="K359" i="59"/>
  <c r="L359" i="59"/>
  <c r="M359" i="59"/>
  <c r="N359" i="59"/>
  <c r="O359" i="59"/>
  <c r="P359" i="59"/>
  <c r="Q359" i="59"/>
  <c r="R359" i="59"/>
  <c r="S359" i="59"/>
  <c r="T359" i="59"/>
  <c r="U359" i="59"/>
  <c r="V359" i="59"/>
  <c r="W359" i="59"/>
  <c r="X359" i="59"/>
  <c r="Y359" i="59"/>
  <c r="Z359" i="59"/>
  <c r="AA359" i="59"/>
  <c r="AB359" i="59"/>
  <c r="AC359" i="59"/>
  <c r="AD359" i="59"/>
  <c r="AE359" i="59"/>
  <c r="AF359" i="59"/>
  <c r="AG359" i="59"/>
  <c r="AH359" i="59"/>
  <c r="AI359" i="59"/>
  <c r="AJ359" i="59"/>
  <c r="AK359" i="59"/>
  <c r="AL359" i="59"/>
  <c r="AM359" i="59"/>
  <c r="AN359" i="59"/>
  <c r="AO359" i="59"/>
  <c r="AP359" i="59"/>
  <c r="AQ359" i="59"/>
  <c r="AR359" i="59"/>
  <c r="AS359" i="59"/>
  <c r="AT359" i="59"/>
  <c r="AU359" i="59"/>
  <c r="AV359" i="59"/>
  <c r="AW359" i="59"/>
  <c r="AX359" i="59"/>
  <c r="AY359" i="59"/>
  <c r="AZ359" i="59"/>
  <c r="BA359" i="59"/>
  <c r="BB359" i="59"/>
  <c r="BC359" i="59"/>
  <c r="BD359" i="59"/>
  <c r="BE359" i="59"/>
  <c r="BF359" i="59"/>
  <c r="BG359" i="59"/>
  <c r="BH359" i="59"/>
  <c r="BI359" i="59"/>
  <c r="BJ359" i="59"/>
  <c r="BK359" i="59"/>
  <c r="BL359" i="59"/>
  <c r="BM359" i="59"/>
  <c r="BN359" i="59"/>
  <c r="BO359" i="59"/>
  <c r="BP359" i="59"/>
  <c r="BQ359" i="59"/>
  <c r="BR359" i="59"/>
  <c r="BS359" i="59"/>
  <c r="BT359" i="59"/>
  <c r="BU359" i="59"/>
  <c r="BV359" i="59"/>
  <c r="BW359" i="59"/>
  <c r="BX359" i="59"/>
  <c r="BY359" i="59"/>
  <c r="BZ359" i="59"/>
  <c r="CA359" i="59"/>
  <c r="CB359" i="59"/>
  <c r="CC359" i="59"/>
  <c r="CD359" i="59"/>
  <c r="CE359" i="59"/>
  <c r="CF359" i="59"/>
  <c r="CG359" i="59"/>
  <c r="CH359" i="59"/>
  <c r="CI359" i="59"/>
  <c r="CJ359" i="59"/>
  <c r="CK359" i="59"/>
  <c r="CL359" i="59"/>
  <c r="CM359" i="59"/>
  <c r="CN359" i="59"/>
  <c r="CO359" i="59"/>
  <c r="CP359" i="59"/>
  <c r="CQ359" i="59"/>
  <c r="CR359" i="59"/>
  <c r="CS359" i="59"/>
  <c r="CT359" i="59"/>
  <c r="CU359" i="59"/>
  <c r="CV359" i="59"/>
  <c r="CW359" i="59"/>
  <c r="CX359" i="59"/>
  <c r="CY359" i="59"/>
  <c r="CZ359" i="59"/>
  <c r="DA359" i="59"/>
  <c r="DB359" i="59"/>
  <c r="DC359" i="59"/>
  <c r="DD359" i="59"/>
  <c r="DE359" i="59"/>
  <c r="DF359" i="59"/>
  <c r="DG359" i="59"/>
  <c r="DH359" i="59"/>
  <c r="DI359" i="59"/>
  <c r="DJ359" i="59"/>
  <c r="DK359" i="59"/>
  <c r="DL359" i="59"/>
  <c r="DM359" i="59"/>
  <c r="DN359" i="59"/>
  <c r="DO359" i="59"/>
  <c r="DP359" i="59"/>
  <c r="DQ359" i="59"/>
  <c r="DR359" i="59"/>
  <c r="DS359" i="59"/>
  <c r="DT359" i="59"/>
  <c r="DU359" i="59"/>
  <c r="DV359" i="59"/>
  <c r="DW359" i="59"/>
  <c r="DX359" i="59"/>
  <c r="DY359" i="59"/>
  <c r="DZ359" i="59"/>
  <c r="EA359" i="59"/>
  <c r="EB359" i="59"/>
  <c r="EC359" i="59"/>
  <c r="ED359" i="59"/>
  <c r="EE359" i="59"/>
  <c r="EF359" i="59"/>
  <c r="EG359" i="59"/>
  <c r="EH359" i="59"/>
  <c r="EI359" i="59"/>
  <c r="EJ359" i="59"/>
  <c r="EK359" i="59"/>
  <c r="EL359" i="59"/>
  <c r="EM359" i="59"/>
  <c r="EN359" i="59"/>
  <c r="EO359" i="59"/>
  <c r="EP359" i="59"/>
  <c r="EQ359" i="59"/>
  <c r="ER359" i="59"/>
  <c r="ES359" i="59"/>
  <c r="ET359" i="59"/>
  <c r="EU359" i="59"/>
  <c r="EV359" i="59"/>
  <c r="EW359" i="59"/>
  <c r="EX359" i="59"/>
  <c r="EY359" i="59"/>
  <c r="EZ359" i="59"/>
  <c r="FA359" i="59"/>
  <c r="FB359" i="59"/>
  <c r="FC359" i="59"/>
  <c r="FD359" i="59"/>
  <c r="FE359" i="59"/>
  <c r="FF359" i="59"/>
  <c r="FG359" i="59"/>
  <c r="FH359" i="59"/>
  <c r="FI359" i="59"/>
  <c r="FJ359" i="59"/>
  <c r="FK359" i="59"/>
  <c r="FL359" i="59"/>
  <c r="FM359" i="59"/>
  <c r="FN359" i="59"/>
  <c r="FO359" i="59"/>
  <c r="FP359" i="59"/>
  <c r="FQ359" i="59"/>
  <c r="FR359" i="59"/>
  <c r="FS359" i="59"/>
  <c r="FT359" i="59"/>
  <c r="FU359" i="59"/>
  <c r="FV359" i="59"/>
  <c r="FW359" i="59"/>
  <c r="FX359" i="59"/>
  <c r="FY359" i="59"/>
  <c r="FZ359" i="59"/>
  <c r="GA359" i="59"/>
  <c r="GB359" i="59"/>
  <c r="GC359" i="59"/>
  <c r="GD359" i="59"/>
  <c r="GE359" i="59"/>
  <c r="GF359" i="59"/>
  <c r="GG359" i="59"/>
  <c r="GH359" i="59"/>
  <c r="GI359" i="59"/>
  <c r="GJ359" i="59"/>
  <c r="GK359" i="59"/>
  <c r="GL359" i="59"/>
  <c r="GM359" i="59"/>
  <c r="GN359" i="59"/>
  <c r="GO359" i="59"/>
  <c r="GP359" i="59"/>
  <c r="GQ359" i="59"/>
  <c r="GR359" i="59"/>
  <c r="GS359" i="59"/>
  <c r="GT359" i="59"/>
  <c r="GU359" i="59"/>
  <c r="GV359" i="59"/>
  <c r="GW359" i="59"/>
  <c r="GX359" i="59"/>
  <c r="GY359" i="59"/>
  <c r="GZ359" i="59"/>
  <c r="HA359" i="59"/>
  <c r="HB359" i="59"/>
  <c r="HC359" i="59"/>
  <c r="HD359" i="59"/>
  <c r="HE359" i="59"/>
  <c r="HF359" i="59"/>
  <c r="HG359" i="59"/>
  <c r="HH359" i="59"/>
  <c r="HI359" i="59"/>
  <c r="HJ359" i="59"/>
  <c r="HK359" i="59"/>
  <c r="HL359" i="59"/>
  <c r="HM359" i="59"/>
  <c r="HN359" i="59"/>
  <c r="HO359" i="59"/>
  <c r="HP359" i="59"/>
  <c r="HQ359" i="59"/>
  <c r="HR359" i="59"/>
  <c r="HS359" i="59"/>
  <c r="HT359" i="59"/>
  <c r="HU359" i="59"/>
  <c r="HV359" i="59"/>
  <c r="HW359" i="59"/>
  <c r="HX359" i="59"/>
  <c r="HY359" i="59"/>
  <c r="HZ359" i="59"/>
  <c r="IA359" i="59"/>
  <c r="IB359" i="59"/>
  <c r="IC359" i="59"/>
  <c r="ID359" i="59"/>
  <c r="IE359" i="59"/>
  <c r="IF359" i="59"/>
  <c r="IG359" i="59"/>
  <c r="IH359" i="59"/>
  <c r="II359" i="59"/>
  <c r="IJ359" i="59"/>
  <c r="IK359" i="59"/>
  <c r="IL359" i="59"/>
  <c r="IM359" i="59"/>
  <c r="IN359" i="59"/>
  <c r="IO359" i="59"/>
  <c r="IP359" i="59"/>
  <c r="IQ359" i="59"/>
  <c r="IR359" i="59"/>
  <c r="IS359" i="59"/>
  <c r="IT359" i="59"/>
  <c r="IU359" i="59"/>
  <c r="IV359" i="59"/>
  <c r="F360" i="59"/>
  <c r="G360" i="59"/>
  <c r="H360" i="59"/>
  <c r="I360" i="59"/>
  <c r="J360" i="59"/>
  <c r="K360" i="59"/>
  <c r="L360" i="59"/>
  <c r="M360" i="59"/>
  <c r="N360" i="59"/>
  <c r="O360" i="59"/>
  <c r="P360" i="59"/>
  <c r="Q360" i="59"/>
  <c r="R360" i="59"/>
  <c r="S360" i="59"/>
  <c r="T360" i="59"/>
  <c r="U360" i="59"/>
  <c r="V360" i="59"/>
  <c r="W360" i="59"/>
  <c r="X360" i="59"/>
  <c r="Y360" i="59"/>
  <c r="Z360" i="59"/>
  <c r="AA360" i="59"/>
  <c r="AB360" i="59"/>
  <c r="AC360" i="59"/>
  <c r="AD360" i="59"/>
  <c r="AE360" i="59"/>
  <c r="AF360" i="59"/>
  <c r="AG360" i="59"/>
  <c r="AH360" i="59"/>
  <c r="AI360" i="59"/>
  <c r="AJ360" i="59"/>
  <c r="AK360" i="59"/>
  <c r="AL360" i="59"/>
  <c r="AM360" i="59"/>
  <c r="AN360" i="59"/>
  <c r="AO360" i="59"/>
  <c r="AP360" i="59"/>
  <c r="AQ360" i="59"/>
  <c r="AR360" i="59"/>
  <c r="AS360" i="59"/>
  <c r="AT360" i="59"/>
  <c r="AU360" i="59"/>
  <c r="AV360" i="59"/>
  <c r="AW360" i="59"/>
  <c r="AX360" i="59"/>
  <c r="AY360" i="59"/>
  <c r="AZ360" i="59"/>
  <c r="BA360" i="59"/>
  <c r="BB360" i="59"/>
  <c r="BC360" i="59"/>
  <c r="BD360" i="59"/>
  <c r="BE360" i="59"/>
  <c r="BF360" i="59"/>
  <c r="BG360" i="59"/>
  <c r="BH360" i="59"/>
  <c r="BI360" i="59"/>
  <c r="BJ360" i="59"/>
  <c r="BK360" i="59"/>
  <c r="BL360" i="59"/>
  <c r="BM360" i="59"/>
  <c r="BN360" i="59"/>
  <c r="BO360" i="59"/>
  <c r="BP360" i="59"/>
  <c r="BQ360" i="59"/>
  <c r="BR360" i="59"/>
  <c r="BS360" i="59"/>
  <c r="BT360" i="59"/>
  <c r="BU360" i="59"/>
  <c r="BV360" i="59"/>
  <c r="BW360" i="59"/>
  <c r="BX360" i="59"/>
  <c r="BY360" i="59"/>
  <c r="BZ360" i="59"/>
  <c r="CA360" i="59"/>
  <c r="CB360" i="59"/>
  <c r="CC360" i="59"/>
  <c r="CD360" i="59"/>
  <c r="CE360" i="59"/>
  <c r="CF360" i="59"/>
  <c r="CG360" i="59"/>
  <c r="CH360" i="59"/>
  <c r="CI360" i="59"/>
  <c r="CJ360" i="59"/>
  <c r="CK360" i="59"/>
  <c r="CL360" i="59"/>
  <c r="CM360" i="59"/>
  <c r="CN360" i="59"/>
  <c r="CO360" i="59"/>
  <c r="CP360" i="59"/>
  <c r="CQ360" i="59"/>
  <c r="CR360" i="59"/>
  <c r="CS360" i="59"/>
  <c r="CT360" i="59"/>
  <c r="CU360" i="59"/>
  <c r="CV360" i="59"/>
  <c r="CW360" i="59"/>
  <c r="CX360" i="59"/>
  <c r="CY360" i="59"/>
  <c r="CZ360" i="59"/>
  <c r="DA360" i="59"/>
  <c r="DB360" i="59"/>
  <c r="DC360" i="59"/>
  <c r="DD360" i="59"/>
  <c r="DE360" i="59"/>
  <c r="DF360" i="59"/>
  <c r="DG360" i="59"/>
  <c r="DH360" i="59"/>
  <c r="DI360" i="59"/>
  <c r="DJ360" i="59"/>
  <c r="DK360" i="59"/>
  <c r="DL360" i="59"/>
  <c r="DM360" i="59"/>
  <c r="DN360" i="59"/>
  <c r="DO360" i="59"/>
  <c r="DP360" i="59"/>
  <c r="DQ360" i="59"/>
  <c r="DR360" i="59"/>
  <c r="DS360" i="59"/>
  <c r="DT360" i="59"/>
  <c r="DU360" i="59"/>
  <c r="DV360" i="59"/>
  <c r="DW360" i="59"/>
  <c r="DX360" i="59"/>
  <c r="DY360" i="59"/>
  <c r="DZ360" i="59"/>
  <c r="EA360" i="59"/>
  <c r="EB360" i="59"/>
  <c r="EC360" i="59"/>
  <c r="ED360" i="59"/>
  <c r="EE360" i="59"/>
  <c r="EF360" i="59"/>
  <c r="EG360" i="59"/>
  <c r="EH360" i="59"/>
  <c r="EI360" i="59"/>
  <c r="EJ360" i="59"/>
  <c r="EK360" i="59"/>
  <c r="EL360" i="59"/>
  <c r="EM360" i="59"/>
  <c r="EN360" i="59"/>
  <c r="EO360" i="59"/>
  <c r="EP360" i="59"/>
  <c r="EQ360" i="59"/>
  <c r="ER360" i="59"/>
  <c r="ES360" i="59"/>
  <c r="ET360" i="59"/>
  <c r="EU360" i="59"/>
  <c r="EV360" i="59"/>
  <c r="EW360" i="59"/>
  <c r="EX360" i="59"/>
  <c r="EY360" i="59"/>
  <c r="EZ360" i="59"/>
  <c r="FA360" i="59"/>
  <c r="FB360" i="59"/>
  <c r="FC360" i="59"/>
  <c r="FD360" i="59"/>
  <c r="FE360" i="59"/>
  <c r="FF360" i="59"/>
  <c r="FG360" i="59"/>
  <c r="FH360" i="59"/>
  <c r="FI360" i="59"/>
  <c r="FJ360" i="59"/>
  <c r="FK360" i="59"/>
  <c r="FL360" i="59"/>
  <c r="FM360" i="59"/>
  <c r="FN360" i="59"/>
  <c r="FO360" i="59"/>
  <c r="FP360" i="59"/>
  <c r="FQ360" i="59"/>
  <c r="FR360" i="59"/>
  <c r="FS360" i="59"/>
  <c r="FT360" i="59"/>
  <c r="FU360" i="59"/>
  <c r="FV360" i="59"/>
  <c r="FW360" i="59"/>
  <c r="FX360" i="59"/>
  <c r="FY360" i="59"/>
  <c r="FZ360" i="59"/>
  <c r="GA360" i="59"/>
  <c r="GB360" i="59"/>
  <c r="GC360" i="59"/>
  <c r="GD360" i="59"/>
  <c r="GE360" i="59"/>
  <c r="GF360" i="59"/>
  <c r="GG360" i="59"/>
  <c r="GH360" i="59"/>
  <c r="GI360" i="59"/>
  <c r="GJ360" i="59"/>
  <c r="GK360" i="59"/>
  <c r="GL360" i="59"/>
  <c r="GM360" i="59"/>
  <c r="GN360" i="59"/>
  <c r="GO360" i="59"/>
  <c r="GP360" i="59"/>
  <c r="GQ360" i="59"/>
  <c r="GR360" i="59"/>
  <c r="GS360" i="59"/>
  <c r="GT360" i="59"/>
  <c r="GU360" i="59"/>
  <c r="GV360" i="59"/>
  <c r="GW360" i="59"/>
  <c r="GX360" i="59"/>
  <c r="GY360" i="59"/>
  <c r="GZ360" i="59"/>
  <c r="HA360" i="59"/>
  <c r="HB360" i="59"/>
  <c r="HC360" i="59"/>
  <c r="HD360" i="59"/>
  <c r="HE360" i="59"/>
  <c r="HF360" i="59"/>
  <c r="HG360" i="59"/>
  <c r="HH360" i="59"/>
  <c r="HI360" i="59"/>
  <c r="HJ360" i="59"/>
  <c r="HK360" i="59"/>
  <c r="HL360" i="59"/>
  <c r="HM360" i="59"/>
  <c r="HN360" i="59"/>
  <c r="HO360" i="59"/>
  <c r="HP360" i="59"/>
  <c r="HQ360" i="59"/>
  <c r="HR360" i="59"/>
  <c r="HS360" i="59"/>
  <c r="HT360" i="59"/>
  <c r="HU360" i="59"/>
  <c r="HV360" i="59"/>
  <c r="HW360" i="59"/>
  <c r="HX360" i="59"/>
  <c r="HY360" i="59"/>
  <c r="HZ360" i="59"/>
  <c r="IA360" i="59"/>
  <c r="IB360" i="59"/>
  <c r="IC360" i="59"/>
  <c r="ID360" i="59"/>
  <c r="IE360" i="59"/>
  <c r="IF360" i="59"/>
  <c r="IG360" i="59"/>
  <c r="IH360" i="59"/>
  <c r="II360" i="59"/>
  <c r="IJ360" i="59"/>
  <c r="IK360" i="59"/>
  <c r="IL360" i="59"/>
  <c r="IM360" i="59"/>
  <c r="IN360" i="59"/>
  <c r="IO360" i="59"/>
  <c r="IP360" i="59"/>
  <c r="IQ360" i="59"/>
  <c r="IR360" i="59"/>
  <c r="IS360" i="59"/>
  <c r="IT360" i="59"/>
  <c r="IU360" i="59"/>
  <c r="IV360" i="59"/>
  <c r="F361" i="59"/>
  <c r="G361" i="59"/>
  <c r="H361" i="59"/>
  <c r="I361" i="59"/>
  <c r="J361" i="59"/>
  <c r="K361" i="59"/>
  <c r="L361" i="59"/>
  <c r="M361" i="59"/>
  <c r="N361" i="59"/>
  <c r="O361" i="59"/>
  <c r="P361" i="59"/>
  <c r="Q361" i="59"/>
  <c r="R361" i="59"/>
  <c r="S361" i="59"/>
  <c r="T361" i="59"/>
  <c r="U361" i="59"/>
  <c r="V361" i="59"/>
  <c r="W361" i="59"/>
  <c r="X361" i="59"/>
  <c r="Y361" i="59"/>
  <c r="Z361" i="59"/>
  <c r="AA361" i="59"/>
  <c r="AB361" i="59"/>
  <c r="AC361" i="59"/>
  <c r="AD361" i="59"/>
  <c r="AE361" i="59"/>
  <c r="AF361" i="59"/>
  <c r="AG361" i="59"/>
  <c r="AH361" i="59"/>
  <c r="AI361" i="59"/>
  <c r="AJ361" i="59"/>
  <c r="AK361" i="59"/>
  <c r="AL361" i="59"/>
  <c r="AM361" i="59"/>
  <c r="AN361" i="59"/>
  <c r="AO361" i="59"/>
  <c r="AP361" i="59"/>
  <c r="AQ361" i="59"/>
  <c r="AR361" i="59"/>
  <c r="AS361" i="59"/>
  <c r="AT361" i="59"/>
  <c r="AU361" i="59"/>
  <c r="AV361" i="59"/>
  <c r="AW361" i="59"/>
  <c r="AX361" i="59"/>
  <c r="AY361" i="59"/>
  <c r="AZ361" i="59"/>
  <c r="BA361" i="59"/>
  <c r="BB361" i="59"/>
  <c r="BC361" i="59"/>
  <c r="BD361" i="59"/>
  <c r="BE361" i="59"/>
  <c r="BF361" i="59"/>
  <c r="BG361" i="59"/>
  <c r="BH361" i="59"/>
  <c r="BI361" i="59"/>
  <c r="BJ361" i="59"/>
  <c r="BK361" i="59"/>
  <c r="BL361" i="59"/>
  <c r="BM361" i="59"/>
  <c r="BN361" i="59"/>
  <c r="BO361" i="59"/>
  <c r="BP361" i="59"/>
  <c r="BQ361" i="59"/>
  <c r="BR361" i="59"/>
  <c r="BS361" i="59"/>
  <c r="BT361" i="59"/>
  <c r="BU361" i="59"/>
  <c r="BV361" i="59"/>
  <c r="BW361" i="59"/>
  <c r="BX361" i="59"/>
  <c r="BY361" i="59"/>
  <c r="BZ361" i="59"/>
  <c r="CA361" i="59"/>
  <c r="CB361" i="59"/>
  <c r="CC361" i="59"/>
  <c r="CD361" i="59"/>
  <c r="CE361" i="59"/>
  <c r="CF361" i="59"/>
  <c r="CG361" i="59"/>
  <c r="CH361" i="59"/>
  <c r="CI361" i="59"/>
  <c r="CJ361" i="59"/>
  <c r="CK361" i="59"/>
  <c r="CL361" i="59"/>
  <c r="CM361" i="59"/>
  <c r="CN361" i="59"/>
  <c r="CO361" i="59"/>
  <c r="CP361" i="59"/>
  <c r="CQ361" i="59"/>
  <c r="CR361" i="59"/>
  <c r="CS361" i="59"/>
  <c r="CT361" i="59"/>
  <c r="CU361" i="59"/>
  <c r="CV361" i="59"/>
  <c r="CW361" i="59"/>
  <c r="CX361" i="59"/>
  <c r="CY361" i="59"/>
  <c r="CZ361" i="59"/>
  <c r="DA361" i="59"/>
  <c r="DB361" i="59"/>
  <c r="DC361" i="59"/>
  <c r="DD361" i="59"/>
  <c r="DE361" i="59"/>
  <c r="DF361" i="59"/>
  <c r="DG361" i="59"/>
  <c r="DH361" i="59"/>
  <c r="DI361" i="59"/>
  <c r="DJ361" i="59"/>
  <c r="DK361" i="59"/>
  <c r="DL361" i="59"/>
  <c r="DM361" i="59"/>
  <c r="DN361" i="59"/>
  <c r="DO361" i="59"/>
  <c r="DP361" i="59"/>
  <c r="DQ361" i="59"/>
  <c r="DR361" i="59"/>
  <c r="DS361" i="59"/>
  <c r="DT361" i="59"/>
  <c r="DU361" i="59"/>
  <c r="DV361" i="59"/>
  <c r="DW361" i="59"/>
  <c r="DX361" i="59"/>
  <c r="DY361" i="59"/>
  <c r="DZ361" i="59"/>
  <c r="EA361" i="59"/>
  <c r="EB361" i="59"/>
  <c r="EC361" i="59"/>
  <c r="ED361" i="59"/>
  <c r="EE361" i="59"/>
  <c r="EF361" i="59"/>
  <c r="EG361" i="59"/>
  <c r="EH361" i="59"/>
  <c r="EI361" i="59"/>
  <c r="EJ361" i="59"/>
  <c r="EK361" i="59"/>
  <c r="EL361" i="59"/>
  <c r="EM361" i="59"/>
  <c r="EN361" i="59"/>
  <c r="EO361" i="59"/>
  <c r="EP361" i="59"/>
  <c r="EQ361" i="59"/>
  <c r="ER361" i="59"/>
  <c r="ES361" i="59"/>
  <c r="ET361" i="59"/>
  <c r="EU361" i="59"/>
  <c r="EV361" i="59"/>
  <c r="EW361" i="59"/>
  <c r="EX361" i="59"/>
  <c r="EY361" i="59"/>
  <c r="EZ361" i="59"/>
  <c r="FA361" i="59"/>
  <c r="FB361" i="59"/>
  <c r="FC361" i="59"/>
  <c r="FD361" i="59"/>
  <c r="FE361" i="59"/>
  <c r="FF361" i="59"/>
  <c r="FG361" i="59"/>
  <c r="FH361" i="59"/>
  <c r="FI361" i="59"/>
  <c r="FJ361" i="59"/>
  <c r="FK361" i="59"/>
  <c r="FL361" i="59"/>
  <c r="FM361" i="59"/>
  <c r="FN361" i="59"/>
  <c r="FO361" i="59"/>
  <c r="FP361" i="59"/>
  <c r="FQ361" i="59"/>
  <c r="FR361" i="59"/>
  <c r="FS361" i="59"/>
  <c r="FT361" i="59"/>
  <c r="FU361" i="59"/>
  <c r="FV361" i="59"/>
  <c r="FW361" i="59"/>
  <c r="FX361" i="59"/>
  <c r="FY361" i="59"/>
  <c r="FZ361" i="59"/>
  <c r="GA361" i="59"/>
  <c r="GB361" i="59"/>
  <c r="GC361" i="59"/>
  <c r="GD361" i="59"/>
  <c r="GE361" i="59"/>
  <c r="GF361" i="59"/>
  <c r="GG361" i="59"/>
  <c r="GH361" i="59"/>
  <c r="GI361" i="59"/>
  <c r="GJ361" i="59"/>
  <c r="GK361" i="59"/>
  <c r="GL361" i="59"/>
  <c r="GM361" i="59"/>
  <c r="GN361" i="59"/>
  <c r="GO361" i="59"/>
  <c r="GP361" i="59"/>
  <c r="GQ361" i="59"/>
  <c r="GR361" i="59"/>
  <c r="GS361" i="59"/>
  <c r="GT361" i="59"/>
  <c r="GU361" i="59"/>
  <c r="GV361" i="59"/>
  <c r="GW361" i="59"/>
  <c r="GX361" i="59"/>
  <c r="GY361" i="59"/>
  <c r="GZ361" i="59"/>
  <c r="HA361" i="59"/>
  <c r="HB361" i="59"/>
  <c r="HC361" i="59"/>
  <c r="HD361" i="59"/>
  <c r="HE361" i="59"/>
  <c r="HF361" i="59"/>
  <c r="HG361" i="59"/>
  <c r="HH361" i="59"/>
  <c r="HI361" i="59"/>
  <c r="HJ361" i="59"/>
  <c r="HK361" i="59"/>
  <c r="HL361" i="59"/>
  <c r="HM361" i="59"/>
  <c r="HN361" i="59"/>
  <c r="HO361" i="59"/>
  <c r="HP361" i="59"/>
  <c r="HQ361" i="59"/>
  <c r="HR361" i="59"/>
  <c r="HS361" i="59"/>
  <c r="HT361" i="59"/>
  <c r="HU361" i="59"/>
  <c r="HV361" i="59"/>
  <c r="HW361" i="59"/>
  <c r="HX361" i="59"/>
  <c r="HY361" i="59"/>
  <c r="HZ361" i="59"/>
  <c r="IA361" i="59"/>
  <c r="IB361" i="59"/>
  <c r="IC361" i="59"/>
  <c r="ID361" i="59"/>
  <c r="IE361" i="59"/>
  <c r="IF361" i="59"/>
  <c r="IG361" i="59"/>
  <c r="IH361" i="59"/>
  <c r="II361" i="59"/>
  <c r="IJ361" i="59"/>
  <c r="IK361" i="59"/>
  <c r="IL361" i="59"/>
  <c r="IM361" i="59"/>
  <c r="IN361" i="59"/>
  <c r="IO361" i="59"/>
  <c r="IP361" i="59"/>
  <c r="IQ361" i="59"/>
  <c r="IR361" i="59"/>
  <c r="IS361" i="59"/>
  <c r="IT361" i="59"/>
  <c r="IU361" i="59"/>
  <c r="IV361" i="59"/>
  <c r="F362" i="59"/>
  <c r="G362" i="59"/>
  <c r="H362" i="59"/>
  <c r="I362" i="59"/>
  <c r="J362" i="59"/>
  <c r="K362" i="59"/>
  <c r="L362" i="59"/>
  <c r="M362" i="59"/>
  <c r="N362" i="59"/>
  <c r="O362" i="59"/>
  <c r="P362" i="59"/>
  <c r="Q362" i="59"/>
  <c r="R362" i="59"/>
  <c r="S362" i="59"/>
  <c r="T362" i="59"/>
  <c r="U362" i="59"/>
  <c r="V362" i="59"/>
  <c r="W362" i="59"/>
  <c r="X362" i="59"/>
  <c r="Y362" i="59"/>
  <c r="Z362" i="59"/>
  <c r="AA362" i="59"/>
  <c r="AB362" i="59"/>
  <c r="AC362" i="59"/>
  <c r="AD362" i="59"/>
  <c r="AE362" i="59"/>
  <c r="AF362" i="59"/>
  <c r="AG362" i="59"/>
  <c r="AH362" i="59"/>
  <c r="AI362" i="59"/>
  <c r="AJ362" i="59"/>
  <c r="AK362" i="59"/>
  <c r="AL362" i="59"/>
  <c r="AM362" i="59"/>
  <c r="AN362" i="59"/>
  <c r="AO362" i="59"/>
  <c r="AP362" i="59"/>
  <c r="AQ362" i="59"/>
  <c r="AR362" i="59"/>
  <c r="AS362" i="59"/>
  <c r="AT362" i="59"/>
  <c r="AU362" i="59"/>
  <c r="AV362" i="59"/>
  <c r="AW362" i="59"/>
  <c r="AX362" i="59"/>
  <c r="AY362" i="59"/>
  <c r="AZ362" i="59"/>
  <c r="BA362" i="59"/>
  <c r="BB362" i="59"/>
  <c r="BC362" i="59"/>
  <c r="BD362" i="59"/>
  <c r="BE362" i="59"/>
  <c r="BF362" i="59"/>
  <c r="BG362" i="59"/>
  <c r="BH362" i="59"/>
  <c r="BI362" i="59"/>
  <c r="BJ362" i="59"/>
  <c r="BK362" i="59"/>
  <c r="BL362" i="59"/>
  <c r="BM362" i="59"/>
  <c r="BN362" i="59"/>
  <c r="BO362" i="59"/>
  <c r="BP362" i="59"/>
  <c r="BQ362" i="59"/>
  <c r="BR362" i="59"/>
  <c r="BS362" i="59"/>
  <c r="BT362" i="59"/>
  <c r="BU362" i="59"/>
  <c r="BV362" i="59"/>
  <c r="BW362" i="59"/>
  <c r="BX362" i="59"/>
  <c r="BY362" i="59"/>
  <c r="BZ362" i="59"/>
  <c r="CA362" i="59"/>
  <c r="CB362" i="59"/>
  <c r="CC362" i="59"/>
  <c r="CD362" i="59"/>
  <c r="CE362" i="59"/>
  <c r="CF362" i="59"/>
  <c r="CG362" i="59"/>
  <c r="CH362" i="59"/>
  <c r="CI362" i="59"/>
  <c r="CJ362" i="59"/>
  <c r="CK362" i="59"/>
  <c r="CL362" i="59"/>
  <c r="CM362" i="59"/>
  <c r="CN362" i="59"/>
  <c r="CO362" i="59"/>
  <c r="CP362" i="59"/>
  <c r="CQ362" i="59"/>
  <c r="CR362" i="59"/>
  <c r="CS362" i="59"/>
  <c r="CT362" i="59"/>
  <c r="CU362" i="59"/>
  <c r="CV362" i="59"/>
  <c r="CW362" i="59"/>
  <c r="CX362" i="59"/>
  <c r="CY362" i="59"/>
  <c r="CZ362" i="59"/>
  <c r="DA362" i="59"/>
  <c r="DB362" i="59"/>
  <c r="DC362" i="59"/>
  <c r="DD362" i="59"/>
  <c r="DE362" i="59"/>
  <c r="DF362" i="59"/>
  <c r="DG362" i="59"/>
  <c r="DH362" i="59"/>
  <c r="DI362" i="59"/>
  <c r="DJ362" i="59"/>
  <c r="DK362" i="59"/>
  <c r="DL362" i="59"/>
  <c r="DM362" i="59"/>
  <c r="DN362" i="59"/>
  <c r="DO362" i="59"/>
  <c r="DP362" i="59"/>
  <c r="DQ362" i="59"/>
  <c r="DR362" i="59"/>
  <c r="DS362" i="59"/>
  <c r="DT362" i="59"/>
  <c r="DU362" i="59"/>
  <c r="DV362" i="59"/>
  <c r="DW362" i="59"/>
  <c r="DX362" i="59"/>
  <c r="DY362" i="59"/>
  <c r="DZ362" i="59"/>
  <c r="EA362" i="59"/>
  <c r="EB362" i="59"/>
  <c r="EC362" i="59"/>
  <c r="ED362" i="59"/>
  <c r="EE362" i="59"/>
  <c r="EF362" i="59"/>
  <c r="EG362" i="59"/>
  <c r="EH362" i="59"/>
  <c r="EI362" i="59"/>
  <c r="EJ362" i="59"/>
  <c r="EK362" i="59"/>
  <c r="EL362" i="59"/>
  <c r="EM362" i="59"/>
  <c r="EN362" i="59"/>
  <c r="EO362" i="59"/>
  <c r="EP362" i="59"/>
  <c r="EQ362" i="59"/>
  <c r="ER362" i="59"/>
  <c r="ES362" i="59"/>
  <c r="ET362" i="59"/>
  <c r="EU362" i="59"/>
  <c r="EV362" i="59"/>
  <c r="EW362" i="59"/>
  <c r="EX362" i="59"/>
  <c r="EY362" i="59"/>
  <c r="EZ362" i="59"/>
  <c r="FA362" i="59"/>
  <c r="FB362" i="59"/>
  <c r="FC362" i="59"/>
  <c r="FD362" i="59"/>
  <c r="FE362" i="59"/>
  <c r="FF362" i="59"/>
  <c r="FG362" i="59"/>
  <c r="FH362" i="59"/>
  <c r="FI362" i="59"/>
  <c r="FJ362" i="59"/>
  <c r="FK362" i="59"/>
  <c r="FL362" i="59"/>
  <c r="FM362" i="59"/>
  <c r="FN362" i="59"/>
  <c r="FO362" i="59"/>
  <c r="FP362" i="59"/>
  <c r="FQ362" i="59"/>
  <c r="FR362" i="59"/>
  <c r="FS362" i="59"/>
  <c r="FT362" i="59"/>
  <c r="FU362" i="59"/>
  <c r="FV362" i="59"/>
  <c r="FW362" i="59"/>
  <c r="FX362" i="59"/>
  <c r="FY362" i="59"/>
  <c r="FZ362" i="59"/>
  <c r="GA362" i="59"/>
  <c r="GB362" i="59"/>
  <c r="GC362" i="59"/>
  <c r="GD362" i="59"/>
  <c r="GE362" i="59"/>
  <c r="GF362" i="59"/>
  <c r="GG362" i="59"/>
  <c r="GH362" i="59"/>
  <c r="GI362" i="59"/>
  <c r="GJ362" i="59"/>
  <c r="GK362" i="59"/>
  <c r="GL362" i="59"/>
  <c r="GM362" i="59"/>
  <c r="GN362" i="59"/>
  <c r="GO362" i="59"/>
  <c r="GP362" i="59"/>
  <c r="GQ362" i="59"/>
  <c r="GR362" i="59"/>
  <c r="GS362" i="59"/>
  <c r="GT362" i="59"/>
  <c r="GU362" i="59"/>
  <c r="GV362" i="59"/>
  <c r="GW362" i="59"/>
  <c r="GX362" i="59"/>
  <c r="GY362" i="59"/>
  <c r="GZ362" i="59"/>
  <c r="HA362" i="59"/>
  <c r="HB362" i="59"/>
  <c r="HC362" i="59"/>
  <c r="HD362" i="59"/>
  <c r="HE362" i="59"/>
  <c r="HF362" i="59"/>
  <c r="HG362" i="59"/>
  <c r="HH362" i="59"/>
  <c r="HI362" i="59"/>
  <c r="HJ362" i="59"/>
  <c r="HK362" i="59"/>
  <c r="HL362" i="59"/>
  <c r="HM362" i="59"/>
  <c r="HN362" i="59"/>
  <c r="HO362" i="59"/>
  <c r="HP362" i="59"/>
  <c r="HQ362" i="59"/>
  <c r="HR362" i="59"/>
  <c r="HS362" i="59"/>
  <c r="HT362" i="59"/>
  <c r="HU362" i="59"/>
  <c r="HV362" i="59"/>
  <c r="HW362" i="59"/>
  <c r="HX362" i="59"/>
  <c r="HY362" i="59"/>
  <c r="HZ362" i="59"/>
  <c r="IA362" i="59"/>
  <c r="IB362" i="59"/>
  <c r="IC362" i="59"/>
  <c r="ID362" i="59"/>
  <c r="IE362" i="59"/>
  <c r="IF362" i="59"/>
  <c r="IG362" i="59"/>
  <c r="IH362" i="59"/>
  <c r="II362" i="59"/>
  <c r="IJ362" i="59"/>
  <c r="IK362" i="59"/>
  <c r="IL362" i="59"/>
  <c r="IM362" i="59"/>
  <c r="IN362" i="59"/>
  <c r="IO362" i="59"/>
  <c r="IP362" i="59"/>
  <c r="IQ362" i="59"/>
  <c r="IR362" i="59"/>
  <c r="IS362" i="59"/>
  <c r="IT362" i="59"/>
  <c r="IU362" i="59"/>
  <c r="IV362" i="59"/>
  <c r="F363" i="59"/>
  <c r="G363" i="59"/>
  <c r="H363" i="59"/>
  <c r="I363" i="59"/>
  <c r="J363" i="59"/>
  <c r="K363" i="59"/>
  <c r="L363" i="59"/>
  <c r="M363" i="59"/>
  <c r="N363" i="59"/>
  <c r="O363" i="59"/>
  <c r="P363" i="59"/>
  <c r="Q363" i="59"/>
  <c r="R363" i="59"/>
  <c r="S363" i="59"/>
  <c r="T363" i="59"/>
  <c r="U363" i="59"/>
  <c r="V363" i="59"/>
  <c r="W363" i="59"/>
  <c r="X363" i="59"/>
  <c r="Y363" i="59"/>
  <c r="Z363" i="59"/>
  <c r="AA363" i="59"/>
  <c r="AB363" i="59"/>
  <c r="AC363" i="59"/>
  <c r="AD363" i="59"/>
  <c r="AE363" i="59"/>
  <c r="AF363" i="59"/>
  <c r="AG363" i="59"/>
  <c r="AH363" i="59"/>
  <c r="AI363" i="59"/>
  <c r="AJ363" i="59"/>
  <c r="AK363" i="59"/>
  <c r="AL363" i="59"/>
  <c r="AM363" i="59"/>
  <c r="AN363" i="59"/>
  <c r="AO363" i="59"/>
  <c r="AP363" i="59"/>
  <c r="AQ363" i="59"/>
  <c r="AR363" i="59"/>
  <c r="AS363" i="59"/>
  <c r="AT363" i="59"/>
  <c r="AU363" i="59"/>
  <c r="AV363" i="59"/>
  <c r="AW363" i="59"/>
  <c r="AX363" i="59"/>
  <c r="AY363" i="59"/>
  <c r="AZ363" i="59"/>
  <c r="BA363" i="59"/>
  <c r="BB363" i="59"/>
  <c r="BC363" i="59"/>
  <c r="BD363" i="59"/>
  <c r="BE363" i="59"/>
  <c r="BF363" i="59"/>
  <c r="BG363" i="59"/>
  <c r="BH363" i="59"/>
  <c r="BI363" i="59"/>
  <c r="BJ363" i="59"/>
  <c r="BK363" i="59"/>
  <c r="BL363" i="59"/>
  <c r="BM363" i="59"/>
  <c r="BN363" i="59"/>
  <c r="BO363" i="59"/>
  <c r="BP363" i="59"/>
  <c r="BQ363" i="59"/>
  <c r="BR363" i="59"/>
  <c r="BS363" i="59"/>
  <c r="BT363" i="59"/>
  <c r="BU363" i="59"/>
  <c r="BV363" i="59"/>
  <c r="BW363" i="59"/>
  <c r="BX363" i="59"/>
  <c r="BY363" i="59"/>
  <c r="BZ363" i="59"/>
  <c r="CA363" i="59"/>
  <c r="CB363" i="59"/>
  <c r="CC363" i="59"/>
  <c r="CD363" i="59"/>
  <c r="CE363" i="59"/>
  <c r="CF363" i="59"/>
  <c r="CG363" i="59"/>
  <c r="CH363" i="59"/>
  <c r="CI363" i="59"/>
  <c r="CJ363" i="59"/>
  <c r="CK363" i="59"/>
  <c r="CL363" i="59"/>
  <c r="CM363" i="59"/>
  <c r="CN363" i="59"/>
  <c r="CO363" i="59"/>
  <c r="CP363" i="59"/>
  <c r="CQ363" i="59"/>
  <c r="CR363" i="59"/>
  <c r="CS363" i="59"/>
  <c r="CT363" i="59"/>
  <c r="CU363" i="59"/>
  <c r="CV363" i="59"/>
  <c r="CW363" i="59"/>
  <c r="CX363" i="59"/>
  <c r="CY363" i="59"/>
  <c r="CZ363" i="59"/>
  <c r="DA363" i="59"/>
  <c r="DB363" i="59"/>
  <c r="DC363" i="59"/>
  <c r="DD363" i="59"/>
  <c r="DE363" i="59"/>
  <c r="DF363" i="59"/>
  <c r="DG363" i="59"/>
  <c r="DH363" i="59"/>
  <c r="DI363" i="59"/>
  <c r="DJ363" i="59"/>
  <c r="DK363" i="59"/>
  <c r="DL363" i="59"/>
  <c r="DM363" i="59"/>
  <c r="DN363" i="59"/>
  <c r="DO363" i="59"/>
  <c r="DP363" i="59"/>
  <c r="DQ363" i="59"/>
  <c r="DR363" i="59"/>
  <c r="DS363" i="59"/>
  <c r="DT363" i="59"/>
  <c r="DU363" i="59"/>
  <c r="DV363" i="59"/>
  <c r="DW363" i="59"/>
  <c r="DX363" i="59"/>
  <c r="DY363" i="59"/>
  <c r="DZ363" i="59"/>
  <c r="EA363" i="59"/>
  <c r="EB363" i="59"/>
  <c r="EC363" i="59"/>
  <c r="ED363" i="59"/>
  <c r="EE363" i="59"/>
  <c r="EF363" i="59"/>
  <c r="EG363" i="59"/>
  <c r="EH363" i="59"/>
  <c r="EI363" i="59"/>
  <c r="EJ363" i="59"/>
  <c r="EK363" i="59"/>
  <c r="EL363" i="59"/>
  <c r="EM363" i="59"/>
  <c r="EN363" i="59"/>
  <c r="EO363" i="59"/>
  <c r="EP363" i="59"/>
  <c r="EQ363" i="59"/>
  <c r="ER363" i="59"/>
  <c r="ES363" i="59"/>
  <c r="ET363" i="59"/>
  <c r="EU363" i="59"/>
  <c r="EV363" i="59"/>
  <c r="EW363" i="59"/>
  <c r="EX363" i="59"/>
  <c r="EY363" i="59"/>
  <c r="EZ363" i="59"/>
  <c r="FA363" i="59"/>
  <c r="FB363" i="59"/>
  <c r="FC363" i="59"/>
  <c r="FD363" i="59"/>
  <c r="FE363" i="59"/>
  <c r="FF363" i="59"/>
  <c r="FG363" i="59"/>
  <c r="FH363" i="59"/>
  <c r="FI363" i="59"/>
  <c r="FJ363" i="59"/>
  <c r="FK363" i="59"/>
  <c r="FL363" i="59"/>
  <c r="FM363" i="59"/>
  <c r="FN363" i="59"/>
  <c r="FO363" i="59"/>
  <c r="FP363" i="59"/>
  <c r="FQ363" i="59"/>
  <c r="FR363" i="59"/>
  <c r="FS363" i="59"/>
  <c r="FT363" i="59"/>
  <c r="FU363" i="59"/>
  <c r="FV363" i="59"/>
  <c r="FW363" i="59"/>
  <c r="FX363" i="59"/>
  <c r="FY363" i="59"/>
  <c r="FZ363" i="59"/>
  <c r="GA363" i="59"/>
  <c r="GB363" i="59"/>
  <c r="GC363" i="59"/>
  <c r="GD363" i="59"/>
  <c r="GE363" i="59"/>
  <c r="GF363" i="59"/>
  <c r="GG363" i="59"/>
  <c r="GH363" i="59"/>
  <c r="GI363" i="59"/>
  <c r="GJ363" i="59"/>
  <c r="GK363" i="59"/>
  <c r="GL363" i="59"/>
  <c r="GM363" i="59"/>
  <c r="GN363" i="59"/>
  <c r="GO363" i="59"/>
  <c r="GP363" i="59"/>
  <c r="GQ363" i="59"/>
  <c r="GR363" i="59"/>
  <c r="GS363" i="59"/>
  <c r="GT363" i="59"/>
  <c r="GU363" i="59"/>
  <c r="GV363" i="59"/>
  <c r="GW363" i="59"/>
  <c r="GX363" i="59"/>
  <c r="GY363" i="59"/>
  <c r="GZ363" i="59"/>
  <c r="HA363" i="59"/>
  <c r="HB363" i="59"/>
  <c r="HC363" i="59"/>
  <c r="HD363" i="59"/>
  <c r="HE363" i="59"/>
  <c r="HF363" i="59"/>
  <c r="HG363" i="59"/>
  <c r="HH363" i="59"/>
  <c r="HI363" i="59"/>
  <c r="HJ363" i="59"/>
  <c r="HK363" i="59"/>
  <c r="HL363" i="59"/>
  <c r="HM363" i="59"/>
  <c r="HN363" i="59"/>
  <c r="HO363" i="59"/>
  <c r="HP363" i="59"/>
  <c r="HQ363" i="59"/>
  <c r="HR363" i="59"/>
  <c r="HS363" i="59"/>
  <c r="HT363" i="59"/>
  <c r="HU363" i="59"/>
  <c r="HV363" i="59"/>
  <c r="HW363" i="59"/>
  <c r="HX363" i="59"/>
  <c r="HY363" i="59"/>
  <c r="HZ363" i="59"/>
  <c r="IA363" i="59"/>
  <c r="IB363" i="59"/>
  <c r="IC363" i="59"/>
  <c r="ID363" i="59"/>
  <c r="IE363" i="59"/>
  <c r="IF363" i="59"/>
  <c r="IG363" i="59"/>
  <c r="IH363" i="59"/>
  <c r="II363" i="59"/>
  <c r="IJ363" i="59"/>
  <c r="IK363" i="59"/>
  <c r="IL363" i="59"/>
  <c r="IM363" i="59"/>
  <c r="IN363" i="59"/>
  <c r="IO363" i="59"/>
  <c r="IP363" i="59"/>
  <c r="IQ363" i="59"/>
  <c r="IR363" i="59"/>
  <c r="IS363" i="59"/>
  <c r="IT363" i="59"/>
  <c r="IU363" i="59"/>
  <c r="IV363" i="59"/>
  <c r="F364" i="59"/>
  <c r="G364" i="59"/>
  <c r="H364" i="59"/>
  <c r="I364" i="59"/>
  <c r="J364" i="59"/>
  <c r="K364" i="59"/>
  <c r="L364" i="59"/>
  <c r="M364" i="59"/>
  <c r="N364" i="59"/>
  <c r="O364" i="59"/>
  <c r="P364" i="59"/>
  <c r="Q364" i="59"/>
  <c r="R364" i="59"/>
  <c r="S364" i="59"/>
  <c r="T364" i="59"/>
  <c r="U364" i="59"/>
  <c r="V364" i="59"/>
  <c r="W364" i="59"/>
  <c r="X364" i="59"/>
  <c r="Y364" i="59"/>
  <c r="Z364" i="59"/>
  <c r="AA364" i="59"/>
  <c r="AB364" i="59"/>
  <c r="AC364" i="59"/>
  <c r="AD364" i="59"/>
  <c r="AE364" i="59"/>
  <c r="AF364" i="59"/>
  <c r="AG364" i="59"/>
  <c r="AH364" i="59"/>
  <c r="AI364" i="59"/>
  <c r="AJ364" i="59"/>
  <c r="AK364" i="59"/>
  <c r="AL364" i="59"/>
  <c r="AM364" i="59"/>
  <c r="AN364" i="59"/>
  <c r="AO364" i="59"/>
  <c r="AP364" i="59"/>
  <c r="AQ364" i="59"/>
  <c r="AR364" i="59"/>
  <c r="AS364" i="59"/>
  <c r="AT364" i="59"/>
  <c r="AU364" i="59"/>
  <c r="AV364" i="59"/>
  <c r="AW364" i="59"/>
  <c r="AX364" i="59"/>
  <c r="AY364" i="59"/>
  <c r="AZ364" i="59"/>
  <c r="BA364" i="59"/>
  <c r="BB364" i="59"/>
  <c r="BC364" i="59"/>
  <c r="BD364" i="59"/>
  <c r="BE364" i="59"/>
  <c r="BF364" i="59"/>
  <c r="BG364" i="59"/>
  <c r="BH364" i="59"/>
  <c r="BI364" i="59"/>
  <c r="BJ364" i="59"/>
  <c r="BK364" i="59"/>
  <c r="BL364" i="59"/>
  <c r="BM364" i="59"/>
  <c r="BN364" i="59"/>
  <c r="BO364" i="59"/>
  <c r="BP364" i="59"/>
  <c r="BQ364" i="59"/>
  <c r="BR364" i="59"/>
  <c r="BS364" i="59"/>
  <c r="BT364" i="59"/>
  <c r="BU364" i="59"/>
  <c r="BV364" i="59"/>
  <c r="BW364" i="59"/>
  <c r="BX364" i="59"/>
  <c r="BY364" i="59"/>
  <c r="BZ364" i="59"/>
  <c r="CA364" i="59"/>
  <c r="CB364" i="59"/>
  <c r="CC364" i="59"/>
  <c r="CD364" i="59"/>
  <c r="CE364" i="59"/>
  <c r="CF364" i="59"/>
  <c r="CG364" i="59"/>
  <c r="CH364" i="59"/>
  <c r="CI364" i="59"/>
  <c r="CJ364" i="59"/>
  <c r="CK364" i="59"/>
  <c r="CL364" i="59"/>
  <c r="CM364" i="59"/>
  <c r="CN364" i="59"/>
  <c r="CO364" i="59"/>
  <c r="CP364" i="59"/>
  <c r="CQ364" i="59"/>
  <c r="CR364" i="59"/>
  <c r="CS364" i="59"/>
  <c r="CT364" i="59"/>
  <c r="CU364" i="59"/>
  <c r="CV364" i="59"/>
  <c r="CW364" i="59"/>
  <c r="CX364" i="59"/>
  <c r="CY364" i="59"/>
  <c r="CZ364" i="59"/>
  <c r="DA364" i="59"/>
  <c r="DB364" i="59"/>
  <c r="DC364" i="59"/>
  <c r="DD364" i="59"/>
  <c r="DE364" i="59"/>
  <c r="DF364" i="59"/>
  <c r="DG364" i="59"/>
  <c r="DH364" i="59"/>
  <c r="DI364" i="59"/>
  <c r="DJ364" i="59"/>
  <c r="DK364" i="59"/>
  <c r="DL364" i="59"/>
  <c r="DM364" i="59"/>
  <c r="DN364" i="59"/>
  <c r="DO364" i="59"/>
  <c r="DP364" i="59"/>
  <c r="DQ364" i="59"/>
  <c r="DR364" i="59"/>
  <c r="DS364" i="59"/>
  <c r="DT364" i="59"/>
  <c r="DU364" i="59"/>
  <c r="DV364" i="59"/>
  <c r="DW364" i="59"/>
  <c r="DX364" i="59"/>
  <c r="DY364" i="59"/>
  <c r="DZ364" i="59"/>
  <c r="EA364" i="59"/>
  <c r="EB364" i="59"/>
  <c r="EC364" i="59"/>
  <c r="ED364" i="59"/>
  <c r="EE364" i="59"/>
  <c r="EF364" i="59"/>
  <c r="EG364" i="59"/>
  <c r="EH364" i="59"/>
  <c r="EI364" i="59"/>
  <c r="EJ364" i="59"/>
  <c r="EK364" i="59"/>
  <c r="EL364" i="59"/>
  <c r="EM364" i="59"/>
  <c r="EN364" i="59"/>
  <c r="EO364" i="59"/>
  <c r="EP364" i="59"/>
  <c r="EQ364" i="59"/>
  <c r="ER364" i="59"/>
  <c r="ES364" i="59"/>
  <c r="ET364" i="59"/>
  <c r="EU364" i="59"/>
  <c r="EV364" i="59"/>
  <c r="EW364" i="59"/>
  <c r="EX364" i="59"/>
  <c r="EY364" i="59"/>
  <c r="EZ364" i="59"/>
  <c r="FA364" i="59"/>
  <c r="FB364" i="59"/>
  <c r="FC364" i="59"/>
  <c r="FD364" i="59"/>
  <c r="FE364" i="59"/>
  <c r="FF364" i="59"/>
  <c r="FG364" i="59"/>
  <c r="FH364" i="59"/>
  <c r="FI364" i="59"/>
  <c r="FJ364" i="59"/>
  <c r="FK364" i="59"/>
  <c r="FL364" i="59"/>
  <c r="FM364" i="59"/>
  <c r="FN364" i="59"/>
  <c r="FO364" i="59"/>
  <c r="FP364" i="59"/>
  <c r="FQ364" i="59"/>
  <c r="FR364" i="59"/>
  <c r="FS364" i="59"/>
  <c r="FT364" i="59"/>
  <c r="FU364" i="59"/>
  <c r="FV364" i="59"/>
  <c r="FW364" i="59"/>
  <c r="FX364" i="59"/>
  <c r="FY364" i="59"/>
  <c r="FZ364" i="59"/>
  <c r="GA364" i="59"/>
  <c r="GB364" i="59"/>
  <c r="GC364" i="59"/>
  <c r="GD364" i="59"/>
  <c r="GE364" i="59"/>
  <c r="GF364" i="59"/>
  <c r="GG364" i="59"/>
  <c r="GH364" i="59"/>
  <c r="GI364" i="59"/>
  <c r="GJ364" i="59"/>
  <c r="GK364" i="59"/>
  <c r="GL364" i="59"/>
  <c r="GM364" i="59"/>
  <c r="GN364" i="59"/>
  <c r="GO364" i="59"/>
  <c r="GP364" i="59"/>
  <c r="GQ364" i="59"/>
  <c r="GR364" i="59"/>
  <c r="GS364" i="59"/>
  <c r="GT364" i="59"/>
  <c r="GU364" i="59"/>
  <c r="GV364" i="59"/>
  <c r="GW364" i="59"/>
  <c r="GX364" i="59"/>
  <c r="GY364" i="59"/>
  <c r="GZ364" i="59"/>
  <c r="HA364" i="59"/>
  <c r="HB364" i="59"/>
  <c r="HC364" i="59"/>
  <c r="HD364" i="59"/>
  <c r="HE364" i="59"/>
  <c r="HF364" i="59"/>
  <c r="HG364" i="59"/>
  <c r="HH364" i="59"/>
  <c r="HI364" i="59"/>
  <c r="HJ364" i="59"/>
  <c r="HK364" i="59"/>
  <c r="HL364" i="59"/>
  <c r="HM364" i="59"/>
  <c r="HN364" i="59"/>
  <c r="HO364" i="59"/>
  <c r="HP364" i="59"/>
  <c r="HQ364" i="59"/>
  <c r="HR364" i="59"/>
  <c r="HS364" i="59"/>
  <c r="HT364" i="59"/>
  <c r="HU364" i="59"/>
  <c r="HV364" i="59"/>
  <c r="HW364" i="59"/>
  <c r="HX364" i="59"/>
  <c r="HY364" i="59"/>
  <c r="HZ364" i="59"/>
  <c r="IA364" i="59"/>
  <c r="IB364" i="59"/>
  <c r="IC364" i="59"/>
  <c r="ID364" i="59"/>
  <c r="IE364" i="59"/>
  <c r="IF364" i="59"/>
  <c r="IG364" i="59"/>
  <c r="IH364" i="59"/>
  <c r="II364" i="59"/>
  <c r="IJ364" i="59"/>
  <c r="IK364" i="59"/>
  <c r="IL364" i="59"/>
  <c r="IM364" i="59"/>
  <c r="IN364" i="59"/>
  <c r="IO364" i="59"/>
  <c r="IP364" i="59"/>
  <c r="IQ364" i="59"/>
  <c r="IR364" i="59"/>
  <c r="IS364" i="59"/>
  <c r="IT364" i="59"/>
  <c r="IU364" i="59"/>
  <c r="IV364" i="59"/>
  <c r="F365" i="59"/>
  <c r="G365" i="59"/>
  <c r="H365" i="59"/>
  <c r="I365" i="59"/>
  <c r="J365" i="59"/>
  <c r="K365" i="59"/>
  <c r="L365" i="59"/>
  <c r="M365" i="59"/>
  <c r="N365" i="59"/>
  <c r="O365" i="59"/>
  <c r="P365" i="59"/>
  <c r="Q365" i="59"/>
  <c r="R365" i="59"/>
  <c r="S365" i="59"/>
  <c r="T365" i="59"/>
  <c r="U365" i="59"/>
  <c r="V365" i="59"/>
  <c r="W365" i="59"/>
  <c r="X365" i="59"/>
  <c r="Y365" i="59"/>
  <c r="Z365" i="59"/>
  <c r="AA365" i="59"/>
  <c r="AB365" i="59"/>
  <c r="AC365" i="59"/>
  <c r="AD365" i="59"/>
  <c r="AE365" i="59"/>
  <c r="AF365" i="59"/>
  <c r="AG365" i="59"/>
  <c r="AH365" i="59"/>
  <c r="AI365" i="59"/>
  <c r="AJ365" i="59"/>
  <c r="AK365" i="59"/>
  <c r="AL365" i="59"/>
  <c r="AM365" i="59"/>
  <c r="AN365" i="59"/>
  <c r="AO365" i="59"/>
  <c r="AP365" i="59"/>
  <c r="AQ365" i="59"/>
  <c r="AR365" i="59"/>
  <c r="AS365" i="59"/>
  <c r="AT365" i="59"/>
  <c r="AU365" i="59"/>
  <c r="AV365" i="59"/>
  <c r="AW365" i="59"/>
  <c r="AX365" i="59"/>
  <c r="AY365" i="59"/>
  <c r="AZ365" i="59"/>
  <c r="BA365" i="59"/>
  <c r="BB365" i="59"/>
  <c r="BC365" i="59"/>
  <c r="BD365" i="59"/>
  <c r="BE365" i="59"/>
  <c r="BF365" i="59"/>
  <c r="BG365" i="59"/>
  <c r="BH365" i="59"/>
  <c r="BI365" i="59"/>
  <c r="BJ365" i="59"/>
  <c r="BK365" i="59"/>
  <c r="BL365" i="59"/>
  <c r="BM365" i="59"/>
  <c r="BN365" i="59"/>
  <c r="BO365" i="59"/>
  <c r="BP365" i="59"/>
  <c r="BQ365" i="59"/>
  <c r="BR365" i="59"/>
  <c r="BS365" i="59"/>
  <c r="BT365" i="59"/>
  <c r="BU365" i="59"/>
  <c r="BV365" i="59"/>
  <c r="BW365" i="59"/>
  <c r="BX365" i="59"/>
  <c r="BY365" i="59"/>
  <c r="BZ365" i="59"/>
  <c r="CA365" i="59"/>
  <c r="CB365" i="59"/>
  <c r="CC365" i="59"/>
  <c r="CD365" i="59"/>
  <c r="CE365" i="59"/>
  <c r="CF365" i="59"/>
  <c r="CG365" i="59"/>
  <c r="CH365" i="59"/>
  <c r="CI365" i="59"/>
  <c r="CJ365" i="59"/>
  <c r="CK365" i="59"/>
  <c r="CL365" i="59"/>
  <c r="CM365" i="59"/>
  <c r="CN365" i="59"/>
  <c r="CO365" i="59"/>
  <c r="CP365" i="59"/>
  <c r="CQ365" i="59"/>
  <c r="CR365" i="59"/>
  <c r="CS365" i="59"/>
  <c r="CT365" i="59"/>
  <c r="CU365" i="59"/>
  <c r="CV365" i="59"/>
  <c r="CW365" i="59"/>
  <c r="CX365" i="59"/>
  <c r="CY365" i="59"/>
  <c r="CZ365" i="59"/>
  <c r="DA365" i="59"/>
  <c r="DB365" i="59"/>
  <c r="DC365" i="59"/>
  <c r="DD365" i="59"/>
  <c r="DE365" i="59"/>
  <c r="DF365" i="59"/>
  <c r="DG365" i="59"/>
  <c r="DH365" i="59"/>
  <c r="DI365" i="59"/>
  <c r="DJ365" i="59"/>
  <c r="DK365" i="59"/>
  <c r="DL365" i="59"/>
  <c r="DM365" i="59"/>
  <c r="DN365" i="59"/>
  <c r="DO365" i="59"/>
  <c r="DP365" i="59"/>
  <c r="DQ365" i="59"/>
  <c r="DR365" i="59"/>
  <c r="DS365" i="59"/>
  <c r="DT365" i="59"/>
  <c r="DU365" i="59"/>
  <c r="DV365" i="59"/>
  <c r="DW365" i="59"/>
  <c r="DX365" i="59"/>
  <c r="DY365" i="59"/>
  <c r="DZ365" i="59"/>
  <c r="EA365" i="59"/>
  <c r="EB365" i="59"/>
  <c r="EC365" i="59"/>
  <c r="ED365" i="59"/>
  <c r="EE365" i="59"/>
  <c r="EF365" i="59"/>
  <c r="EG365" i="59"/>
  <c r="EH365" i="59"/>
  <c r="EI365" i="59"/>
  <c r="EJ365" i="59"/>
  <c r="EK365" i="59"/>
  <c r="EL365" i="59"/>
  <c r="EM365" i="59"/>
  <c r="EN365" i="59"/>
  <c r="EO365" i="59"/>
  <c r="EP365" i="59"/>
  <c r="EQ365" i="59"/>
  <c r="ER365" i="59"/>
  <c r="ES365" i="59"/>
  <c r="ET365" i="59"/>
  <c r="EU365" i="59"/>
  <c r="EV365" i="59"/>
  <c r="EW365" i="59"/>
  <c r="EX365" i="59"/>
  <c r="EY365" i="59"/>
  <c r="EZ365" i="59"/>
  <c r="FA365" i="59"/>
  <c r="FB365" i="59"/>
  <c r="FC365" i="59"/>
  <c r="FD365" i="59"/>
  <c r="FE365" i="59"/>
  <c r="FF365" i="59"/>
  <c r="FG365" i="59"/>
  <c r="FH365" i="59"/>
  <c r="FI365" i="59"/>
  <c r="FJ365" i="59"/>
  <c r="FK365" i="59"/>
  <c r="FL365" i="59"/>
  <c r="FM365" i="59"/>
  <c r="FN365" i="59"/>
  <c r="FO365" i="59"/>
  <c r="FP365" i="59"/>
  <c r="FQ365" i="59"/>
  <c r="FR365" i="59"/>
  <c r="FS365" i="59"/>
  <c r="FT365" i="59"/>
  <c r="FU365" i="59"/>
  <c r="FV365" i="59"/>
  <c r="FW365" i="59"/>
  <c r="FX365" i="59"/>
  <c r="FY365" i="59"/>
  <c r="FZ365" i="59"/>
  <c r="GA365" i="59"/>
  <c r="GB365" i="59"/>
  <c r="GC365" i="59"/>
  <c r="GD365" i="59"/>
  <c r="GE365" i="59"/>
  <c r="GF365" i="59"/>
  <c r="GG365" i="59"/>
  <c r="GH365" i="59"/>
  <c r="GI365" i="59"/>
  <c r="GJ365" i="59"/>
  <c r="GK365" i="59"/>
  <c r="GL365" i="59"/>
  <c r="GM365" i="59"/>
  <c r="GN365" i="59"/>
  <c r="GO365" i="59"/>
  <c r="GP365" i="59"/>
  <c r="GQ365" i="59"/>
  <c r="GR365" i="59"/>
  <c r="GS365" i="59"/>
  <c r="GT365" i="59"/>
  <c r="GU365" i="59"/>
  <c r="GV365" i="59"/>
  <c r="GW365" i="59"/>
  <c r="GX365" i="59"/>
  <c r="GY365" i="59"/>
  <c r="GZ365" i="59"/>
  <c r="HA365" i="59"/>
  <c r="HB365" i="59"/>
  <c r="HC365" i="59"/>
  <c r="HD365" i="59"/>
  <c r="HE365" i="59"/>
  <c r="HF365" i="59"/>
  <c r="HG365" i="59"/>
  <c r="HH365" i="59"/>
  <c r="HI365" i="59"/>
  <c r="HJ365" i="59"/>
  <c r="HK365" i="59"/>
  <c r="HL365" i="59"/>
  <c r="HM365" i="59"/>
  <c r="HN365" i="59"/>
  <c r="HO365" i="59"/>
  <c r="HP365" i="59"/>
  <c r="HQ365" i="59"/>
  <c r="HR365" i="59"/>
  <c r="HS365" i="59"/>
  <c r="HT365" i="59"/>
  <c r="HU365" i="59"/>
  <c r="HV365" i="59"/>
  <c r="HW365" i="59"/>
  <c r="HX365" i="59"/>
  <c r="HY365" i="59"/>
  <c r="HZ365" i="59"/>
  <c r="IA365" i="59"/>
  <c r="IB365" i="59"/>
  <c r="IC365" i="59"/>
  <c r="ID365" i="59"/>
  <c r="IE365" i="59"/>
  <c r="IF365" i="59"/>
  <c r="IG365" i="59"/>
  <c r="IH365" i="59"/>
  <c r="II365" i="59"/>
  <c r="IJ365" i="59"/>
  <c r="IK365" i="59"/>
  <c r="IL365" i="59"/>
  <c r="IM365" i="59"/>
  <c r="IN365" i="59"/>
  <c r="IO365" i="59"/>
  <c r="IP365" i="59"/>
  <c r="IQ365" i="59"/>
  <c r="IR365" i="59"/>
  <c r="IS365" i="59"/>
  <c r="IT365" i="59"/>
  <c r="IU365" i="59"/>
  <c r="IV365" i="59"/>
  <c r="F366" i="59"/>
  <c r="G366" i="59"/>
  <c r="H366" i="59"/>
  <c r="I366" i="59"/>
  <c r="J366" i="59"/>
  <c r="K366" i="59"/>
  <c r="L366" i="59"/>
  <c r="M366" i="59"/>
  <c r="N366" i="59"/>
  <c r="O366" i="59"/>
  <c r="P366" i="59"/>
  <c r="Q366" i="59"/>
  <c r="R366" i="59"/>
  <c r="S366" i="59"/>
  <c r="T366" i="59"/>
  <c r="U366" i="59"/>
  <c r="V366" i="59"/>
  <c r="W366" i="59"/>
  <c r="X366" i="59"/>
  <c r="Y366" i="59"/>
  <c r="Z366" i="59"/>
  <c r="AA366" i="59"/>
  <c r="AB366" i="59"/>
  <c r="AC366" i="59"/>
  <c r="AD366" i="59"/>
  <c r="AE366" i="59"/>
  <c r="AF366" i="59"/>
  <c r="AG366" i="59"/>
  <c r="AH366" i="59"/>
  <c r="AI366" i="59"/>
  <c r="AJ366" i="59"/>
  <c r="AK366" i="59"/>
  <c r="AL366" i="59"/>
  <c r="AM366" i="59"/>
  <c r="AN366" i="59"/>
  <c r="AO366" i="59"/>
  <c r="AP366" i="59"/>
  <c r="AQ366" i="59"/>
  <c r="AR366" i="59"/>
  <c r="AS366" i="59"/>
  <c r="AT366" i="59"/>
  <c r="AU366" i="59"/>
  <c r="AV366" i="59"/>
  <c r="AW366" i="59"/>
  <c r="AX366" i="59"/>
  <c r="AY366" i="59"/>
  <c r="AZ366" i="59"/>
  <c r="BA366" i="59"/>
  <c r="BB366" i="59"/>
  <c r="BC366" i="59"/>
  <c r="BD366" i="59"/>
  <c r="BE366" i="59"/>
  <c r="BF366" i="59"/>
  <c r="BG366" i="59"/>
  <c r="BH366" i="59"/>
  <c r="BI366" i="59"/>
  <c r="BJ366" i="59"/>
  <c r="BK366" i="59"/>
  <c r="BL366" i="59"/>
  <c r="BM366" i="59"/>
  <c r="BN366" i="59"/>
  <c r="BO366" i="59"/>
  <c r="BP366" i="59"/>
  <c r="BQ366" i="59"/>
  <c r="BR366" i="59"/>
  <c r="BS366" i="59"/>
  <c r="BT366" i="59"/>
  <c r="BU366" i="59"/>
  <c r="BV366" i="59"/>
  <c r="BW366" i="59"/>
  <c r="BX366" i="59"/>
  <c r="BY366" i="59"/>
  <c r="BZ366" i="59"/>
  <c r="CA366" i="59"/>
  <c r="CB366" i="59"/>
  <c r="CC366" i="59"/>
  <c r="CD366" i="59"/>
  <c r="CE366" i="59"/>
  <c r="CF366" i="59"/>
  <c r="CG366" i="59"/>
  <c r="CH366" i="59"/>
  <c r="CI366" i="59"/>
  <c r="CJ366" i="59"/>
  <c r="CK366" i="59"/>
  <c r="CL366" i="59"/>
  <c r="CM366" i="59"/>
  <c r="CN366" i="59"/>
  <c r="CO366" i="59"/>
  <c r="CP366" i="59"/>
  <c r="CQ366" i="59"/>
  <c r="CR366" i="59"/>
  <c r="CS366" i="59"/>
  <c r="CT366" i="59"/>
  <c r="CU366" i="59"/>
  <c r="CV366" i="59"/>
  <c r="CW366" i="59"/>
  <c r="CX366" i="59"/>
  <c r="CY366" i="59"/>
  <c r="CZ366" i="59"/>
  <c r="DA366" i="59"/>
  <c r="DB366" i="59"/>
  <c r="DC366" i="59"/>
  <c r="DD366" i="59"/>
  <c r="DE366" i="59"/>
  <c r="DF366" i="59"/>
  <c r="DG366" i="59"/>
  <c r="DH366" i="59"/>
  <c r="DI366" i="59"/>
  <c r="DJ366" i="59"/>
  <c r="DK366" i="59"/>
  <c r="DL366" i="59"/>
  <c r="DM366" i="59"/>
  <c r="DN366" i="59"/>
  <c r="DO366" i="59"/>
  <c r="DP366" i="59"/>
  <c r="DQ366" i="59"/>
  <c r="DR366" i="59"/>
  <c r="DS366" i="59"/>
  <c r="DT366" i="59"/>
  <c r="DU366" i="59"/>
  <c r="DV366" i="59"/>
  <c r="DW366" i="59"/>
  <c r="DX366" i="59"/>
  <c r="DY366" i="59"/>
  <c r="DZ366" i="59"/>
  <c r="EA366" i="59"/>
  <c r="EB366" i="59"/>
  <c r="EC366" i="59"/>
  <c r="ED366" i="59"/>
  <c r="EE366" i="59"/>
  <c r="EF366" i="59"/>
  <c r="EG366" i="59"/>
  <c r="EH366" i="59"/>
  <c r="EI366" i="59"/>
  <c r="EJ366" i="59"/>
  <c r="EK366" i="59"/>
  <c r="EL366" i="59"/>
  <c r="EM366" i="59"/>
  <c r="EN366" i="59"/>
  <c r="EO366" i="59"/>
  <c r="EP366" i="59"/>
  <c r="EQ366" i="59"/>
  <c r="ER366" i="59"/>
  <c r="ES366" i="59"/>
  <c r="ET366" i="59"/>
  <c r="EU366" i="59"/>
  <c r="EV366" i="59"/>
  <c r="EW366" i="59"/>
  <c r="EX366" i="59"/>
  <c r="EY366" i="59"/>
  <c r="EZ366" i="59"/>
  <c r="FA366" i="59"/>
  <c r="FB366" i="59"/>
  <c r="FC366" i="59"/>
  <c r="FD366" i="59"/>
  <c r="FE366" i="59"/>
  <c r="FF366" i="59"/>
  <c r="FG366" i="59"/>
  <c r="FH366" i="59"/>
  <c r="FI366" i="59"/>
  <c r="FJ366" i="59"/>
  <c r="FK366" i="59"/>
  <c r="FL366" i="59"/>
  <c r="FM366" i="59"/>
  <c r="FN366" i="59"/>
  <c r="FO366" i="59"/>
  <c r="FP366" i="59"/>
  <c r="FQ366" i="59"/>
  <c r="FR366" i="59"/>
  <c r="FS366" i="59"/>
  <c r="FT366" i="59"/>
  <c r="FU366" i="59"/>
  <c r="FV366" i="59"/>
  <c r="FW366" i="59"/>
  <c r="FX366" i="59"/>
  <c r="FY366" i="59"/>
  <c r="FZ366" i="59"/>
  <c r="GA366" i="59"/>
  <c r="GB366" i="59"/>
  <c r="GC366" i="59"/>
  <c r="GD366" i="59"/>
  <c r="GE366" i="59"/>
  <c r="GF366" i="59"/>
  <c r="GG366" i="59"/>
  <c r="GH366" i="59"/>
  <c r="GI366" i="59"/>
  <c r="GJ366" i="59"/>
  <c r="GK366" i="59"/>
  <c r="GL366" i="59"/>
  <c r="GM366" i="59"/>
  <c r="GN366" i="59"/>
  <c r="GO366" i="59"/>
  <c r="GP366" i="59"/>
  <c r="GQ366" i="59"/>
  <c r="GR366" i="59"/>
  <c r="GS366" i="59"/>
  <c r="GT366" i="59"/>
  <c r="GU366" i="59"/>
  <c r="GV366" i="59"/>
  <c r="GW366" i="59"/>
  <c r="GX366" i="59"/>
  <c r="GY366" i="59"/>
  <c r="GZ366" i="59"/>
  <c r="HA366" i="59"/>
  <c r="HB366" i="59"/>
  <c r="HC366" i="59"/>
  <c r="HD366" i="59"/>
  <c r="HE366" i="59"/>
  <c r="HF366" i="59"/>
  <c r="HG366" i="59"/>
  <c r="HH366" i="59"/>
  <c r="HI366" i="59"/>
  <c r="HJ366" i="59"/>
  <c r="HK366" i="59"/>
  <c r="HL366" i="59"/>
  <c r="HM366" i="59"/>
  <c r="HN366" i="59"/>
  <c r="HO366" i="59"/>
  <c r="HP366" i="59"/>
  <c r="HQ366" i="59"/>
  <c r="HR366" i="59"/>
  <c r="HS366" i="59"/>
  <c r="HT366" i="59"/>
  <c r="HU366" i="59"/>
  <c r="HV366" i="59"/>
  <c r="HW366" i="59"/>
  <c r="HX366" i="59"/>
  <c r="HY366" i="59"/>
  <c r="HZ366" i="59"/>
  <c r="IA366" i="59"/>
  <c r="IB366" i="59"/>
  <c r="IC366" i="59"/>
  <c r="ID366" i="59"/>
  <c r="IE366" i="59"/>
  <c r="IF366" i="59"/>
  <c r="IG366" i="59"/>
  <c r="IH366" i="59"/>
  <c r="II366" i="59"/>
  <c r="IJ366" i="59"/>
  <c r="IK366" i="59"/>
  <c r="IL366" i="59"/>
  <c r="IM366" i="59"/>
  <c r="IN366" i="59"/>
  <c r="IO366" i="59"/>
  <c r="IP366" i="59"/>
  <c r="IQ366" i="59"/>
  <c r="IR366" i="59"/>
  <c r="IS366" i="59"/>
  <c r="IT366" i="59"/>
  <c r="IU366" i="59"/>
  <c r="IV366" i="59"/>
  <c r="F367" i="59"/>
  <c r="G367" i="59"/>
  <c r="H367" i="59"/>
  <c r="I367" i="59"/>
  <c r="J367" i="59"/>
  <c r="K367" i="59"/>
  <c r="L367" i="59"/>
  <c r="M367" i="59"/>
  <c r="N367" i="59"/>
  <c r="O367" i="59"/>
  <c r="P367" i="59"/>
  <c r="Q367" i="59"/>
  <c r="R367" i="59"/>
  <c r="S367" i="59"/>
  <c r="T367" i="59"/>
  <c r="U367" i="59"/>
  <c r="V367" i="59"/>
  <c r="W367" i="59"/>
  <c r="X367" i="59"/>
  <c r="Y367" i="59"/>
  <c r="Z367" i="59"/>
  <c r="AA367" i="59"/>
  <c r="AB367" i="59"/>
  <c r="AC367" i="59"/>
  <c r="AD367" i="59"/>
  <c r="AE367" i="59"/>
  <c r="AF367" i="59"/>
  <c r="AG367" i="59"/>
  <c r="AH367" i="59"/>
  <c r="AI367" i="59"/>
  <c r="AJ367" i="59"/>
  <c r="AK367" i="59"/>
  <c r="AL367" i="59"/>
  <c r="AM367" i="59"/>
  <c r="AN367" i="59"/>
  <c r="AO367" i="59"/>
  <c r="AP367" i="59"/>
  <c r="AQ367" i="59"/>
  <c r="AR367" i="59"/>
  <c r="AS367" i="59"/>
  <c r="AT367" i="59"/>
  <c r="AU367" i="59"/>
  <c r="AV367" i="59"/>
  <c r="AW367" i="59"/>
  <c r="AX367" i="59"/>
  <c r="AY367" i="59"/>
  <c r="AZ367" i="59"/>
  <c r="BA367" i="59"/>
  <c r="BB367" i="59"/>
  <c r="BC367" i="59"/>
  <c r="BD367" i="59"/>
  <c r="BE367" i="59"/>
  <c r="BF367" i="59"/>
  <c r="BG367" i="59"/>
  <c r="BH367" i="59"/>
  <c r="BI367" i="59"/>
  <c r="BJ367" i="59"/>
  <c r="BK367" i="59"/>
  <c r="BL367" i="59"/>
  <c r="BM367" i="59"/>
  <c r="BN367" i="59"/>
  <c r="BO367" i="59"/>
  <c r="BP367" i="59"/>
  <c r="BQ367" i="59"/>
  <c r="BR367" i="59"/>
  <c r="BS367" i="59"/>
  <c r="BT367" i="59"/>
  <c r="BU367" i="59"/>
  <c r="BV367" i="59"/>
  <c r="BW367" i="59"/>
  <c r="BX367" i="59"/>
  <c r="BY367" i="59"/>
  <c r="BZ367" i="59"/>
  <c r="CA367" i="59"/>
  <c r="CB367" i="59"/>
  <c r="CC367" i="59"/>
  <c r="CD367" i="59"/>
  <c r="CE367" i="59"/>
  <c r="CF367" i="59"/>
  <c r="CG367" i="59"/>
  <c r="CH367" i="59"/>
  <c r="CI367" i="59"/>
  <c r="CJ367" i="59"/>
  <c r="CK367" i="59"/>
  <c r="CL367" i="59"/>
  <c r="CM367" i="59"/>
  <c r="CN367" i="59"/>
  <c r="CO367" i="59"/>
  <c r="CP367" i="59"/>
  <c r="CQ367" i="59"/>
  <c r="CR367" i="59"/>
  <c r="CS367" i="59"/>
  <c r="CT367" i="59"/>
  <c r="CU367" i="59"/>
  <c r="CV367" i="59"/>
  <c r="CW367" i="59"/>
  <c r="CX367" i="59"/>
  <c r="CY367" i="59"/>
  <c r="CZ367" i="59"/>
  <c r="DA367" i="59"/>
  <c r="DB367" i="59"/>
  <c r="DC367" i="59"/>
  <c r="DD367" i="59"/>
  <c r="DE367" i="59"/>
  <c r="DF367" i="59"/>
  <c r="DG367" i="59"/>
  <c r="DH367" i="59"/>
  <c r="DI367" i="59"/>
  <c r="DJ367" i="59"/>
  <c r="DK367" i="59"/>
  <c r="DL367" i="59"/>
  <c r="DM367" i="59"/>
  <c r="DN367" i="59"/>
  <c r="DO367" i="59"/>
  <c r="DP367" i="59"/>
  <c r="DQ367" i="59"/>
  <c r="DR367" i="59"/>
  <c r="DS367" i="59"/>
  <c r="DT367" i="59"/>
  <c r="DU367" i="59"/>
  <c r="DV367" i="59"/>
  <c r="DW367" i="59"/>
  <c r="DX367" i="59"/>
  <c r="DY367" i="59"/>
  <c r="DZ367" i="59"/>
  <c r="EA367" i="59"/>
  <c r="EB367" i="59"/>
  <c r="EC367" i="59"/>
  <c r="ED367" i="59"/>
  <c r="EE367" i="59"/>
  <c r="EF367" i="59"/>
  <c r="EG367" i="59"/>
  <c r="EH367" i="59"/>
  <c r="EI367" i="59"/>
  <c r="EJ367" i="59"/>
  <c r="EK367" i="59"/>
  <c r="EL367" i="59"/>
  <c r="EM367" i="59"/>
  <c r="EN367" i="59"/>
  <c r="EO367" i="59"/>
  <c r="EP367" i="59"/>
  <c r="EQ367" i="59"/>
  <c r="ER367" i="59"/>
  <c r="ES367" i="59"/>
  <c r="ET367" i="59"/>
  <c r="EU367" i="59"/>
  <c r="EV367" i="59"/>
  <c r="EW367" i="59"/>
  <c r="EX367" i="59"/>
  <c r="EY367" i="59"/>
  <c r="EZ367" i="59"/>
  <c r="FA367" i="59"/>
  <c r="FB367" i="59"/>
  <c r="FC367" i="59"/>
  <c r="FD367" i="59"/>
  <c r="FE367" i="59"/>
  <c r="FF367" i="59"/>
  <c r="FG367" i="59"/>
  <c r="FH367" i="59"/>
  <c r="FI367" i="59"/>
  <c r="FJ367" i="59"/>
  <c r="FK367" i="59"/>
  <c r="FL367" i="59"/>
  <c r="FM367" i="59"/>
  <c r="FN367" i="59"/>
  <c r="FO367" i="59"/>
  <c r="FP367" i="59"/>
  <c r="FQ367" i="59"/>
  <c r="FR367" i="59"/>
  <c r="FS367" i="59"/>
  <c r="FT367" i="59"/>
  <c r="FU367" i="59"/>
  <c r="FV367" i="59"/>
  <c r="FW367" i="59"/>
  <c r="FX367" i="59"/>
  <c r="FY367" i="59"/>
  <c r="FZ367" i="59"/>
  <c r="GA367" i="59"/>
  <c r="GB367" i="59"/>
  <c r="GC367" i="59"/>
  <c r="GD367" i="59"/>
  <c r="GE367" i="59"/>
  <c r="GF367" i="59"/>
  <c r="GG367" i="59"/>
  <c r="GH367" i="59"/>
  <c r="GI367" i="59"/>
  <c r="GJ367" i="59"/>
  <c r="GK367" i="59"/>
  <c r="GL367" i="59"/>
  <c r="GM367" i="59"/>
  <c r="GN367" i="59"/>
  <c r="GO367" i="59"/>
  <c r="GP367" i="59"/>
  <c r="GQ367" i="59"/>
  <c r="GR367" i="59"/>
  <c r="GS367" i="59"/>
  <c r="GT367" i="59"/>
  <c r="GU367" i="59"/>
  <c r="GV367" i="59"/>
  <c r="GW367" i="59"/>
  <c r="GX367" i="59"/>
  <c r="GY367" i="59"/>
  <c r="GZ367" i="59"/>
  <c r="HA367" i="59"/>
  <c r="HB367" i="59"/>
  <c r="HC367" i="59"/>
  <c r="HD367" i="59"/>
  <c r="HE367" i="59"/>
  <c r="HF367" i="59"/>
  <c r="HG367" i="59"/>
  <c r="HH367" i="59"/>
  <c r="HI367" i="59"/>
  <c r="HJ367" i="59"/>
  <c r="HK367" i="59"/>
  <c r="HL367" i="59"/>
  <c r="HM367" i="59"/>
  <c r="HN367" i="59"/>
  <c r="HO367" i="59"/>
  <c r="HP367" i="59"/>
  <c r="HQ367" i="59"/>
  <c r="HR367" i="59"/>
  <c r="HS367" i="59"/>
  <c r="HT367" i="59"/>
  <c r="HU367" i="59"/>
  <c r="HV367" i="59"/>
  <c r="HW367" i="59"/>
  <c r="HX367" i="59"/>
  <c r="HY367" i="59"/>
  <c r="HZ367" i="59"/>
  <c r="IA367" i="59"/>
  <c r="IB367" i="59"/>
  <c r="IC367" i="59"/>
  <c r="ID367" i="59"/>
  <c r="IE367" i="59"/>
  <c r="IF367" i="59"/>
  <c r="IG367" i="59"/>
  <c r="IH367" i="59"/>
  <c r="II367" i="59"/>
  <c r="IJ367" i="59"/>
  <c r="IK367" i="59"/>
  <c r="IL367" i="59"/>
  <c r="IM367" i="59"/>
  <c r="IN367" i="59"/>
  <c r="IO367" i="59"/>
  <c r="IP367" i="59"/>
  <c r="IQ367" i="59"/>
  <c r="IR367" i="59"/>
  <c r="IS367" i="59"/>
  <c r="IT367" i="59"/>
  <c r="IU367" i="59"/>
  <c r="IV367" i="59"/>
  <c r="F368" i="59"/>
  <c r="G368" i="59"/>
  <c r="H368" i="59"/>
  <c r="I368" i="59"/>
  <c r="J368" i="59"/>
  <c r="K368" i="59"/>
  <c r="L368" i="59"/>
  <c r="M368" i="59"/>
  <c r="N368" i="59"/>
  <c r="O368" i="59"/>
  <c r="P368" i="59"/>
  <c r="Q368" i="59"/>
  <c r="R368" i="59"/>
  <c r="S368" i="59"/>
  <c r="T368" i="59"/>
  <c r="U368" i="59"/>
  <c r="V368" i="59"/>
  <c r="W368" i="59"/>
  <c r="X368" i="59"/>
  <c r="Y368" i="59"/>
  <c r="Z368" i="59"/>
  <c r="AA368" i="59"/>
  <c r="AB368" i="59"/>
  <c r="AC368" i="59"/>
  <c r="AD368" i="59"/>
  <c r="AE368" i="59"/>
  <c r="AF368" i="59"/>
  <c r="AG368" i="59"/>
  <c r="AH368" i="59"/>
  <c r="AI368" i="59"/>
  <c r="AJ368" i="59"/>
  <c r="AK368" i="59"/>
  <c r="AL368" i="59"/>
  <c r="AM368" i="59"/>
  <c r="AN368" i="59"/>
  <c r="AO368" i="59"/>
  <c r="AP368" i="59"/>
  <c r="AQ368" i="59"/>
  <c r="AR368" i="59"/>
  <c r="AS368" i="59"/>
  <c r="AT368" i="59"/>
  <c r="AU368" i="59"/>
  <c r="AV368" i="59"/>
  <c r="AW368" i="59"/>
  <c r="AX368" i="59"/>
  <c r="AY368" i="59"/>
  <c r="AZ368" i="59"/>
  <c r="BA368" i="59"/>
  <c r="BB368" i="59"/>
  <c r="BC368" i="59"/>
  <c r="BD368" i="59"/>
  <c r="BE368" i="59"/>
  <c r="BF368" i="59"/>
  <c r="BG368" i="59"/>
  <c r="BH368" i="59"/>
  <c r="BI368" i="59"/>
  <c r="BJ368" i="59"/>
  <c r="BK368" i="59"/>
  <c r="BL368" i="59"/>
  <c r="BM368" i="59"/>
  <c r="BN368" i="59"/>
  <c r="BO368" i="59"/>
  <c r="BP368" i="59"/>
  <c r="BQ368" i="59"/>
  <c r="BR368" i="59"/>
  <c r="BS368" i="59"/>
  <c r="BT368" i="59"/>
  <c r="BU368" i="59"/>
  <c r="BV368" i="59"/>
  <c r="BW368" i="59"/>
  <c r="BX368" i="59"/>
  <c r="BY368" i="59"/>
  <c r="BZ368" i="59"/>
  <c r="CA368" i="59"/>
  <c r="CB368" i="59"/>
  <c r="CC368" i="59"/>
  <c r="CD368" i="59"/>
  <c r="CE368" i="59"/>
  <c r="CF368" i="59"/>
  <c r="CG368" i="59"/>
  <c r="CH368" i="59"/>
  <c r="CI368" i="59"/>
  <c r="CJ368" i="59"/>
  <c r="CK368" i="59"/>
  <c r="CL368" i="59"/>
  <c r="CM368" i="59"/>
  <c r="CN368" i="59"/>
  <c r="CO368" i="59"/>
  <c r="CP368" i="59"/>
  <c r="CQ368" i="59"/>
  <c r="CR368" i="59"/>
  <c r="CS368" i="59"/>
  <c r="CT368" i="59"/>
  <c r="CU368" i="59"/>
  <c r="CV368" i="59"/>
  <c r="CW368" i="59"/>
  <c r="CX368" i="59"/>
  <c r="CY368" i="59"/>
  <c r="CZ368" i="59"/>
  <c r="DA368" i="59"/>
  <c r="DB368" i="59"/>
  <c r="DC368" i="59"/>
  <c r="DD368" i="59"/>
  <c r="DE368" i="59"/>
  <c r="DF368" i="59"/>
  <c r="DG368" i="59"/>
  <c r="DH368" i="59"/>
  <c r="DI368" i="59"/>
  <c r="DJ368" i="59"/>
  <c r="DK368" i="59"/>
  <c r="DL368" i="59"/>
  <c r="DM368" i="59"/>
  <c r="DN368" i="59"/>
  <c r="DO368" i="59"/>
  <c r="DP368" i="59"/>
  <c r="DQ368" i="59"/>
  <c r="DR368" i="59"/>
  <c r="DS368" i="59"/>
  <c r="DT368" i="59"/>
  <c r="DU368" i="59"/>
  <c r="DV368" i="59"/>
  <c r="DW368" i="59"/>
  <c r="DX368" i="59"/>
  <c r="DY368" i="59"/>
  <c r="DZ368" i="59"/>
  <c r="EA368" i="59"/>
  <c r="EB368" i="59"/>
  <c r="EC368" i="59"/>
  <c r="ED368" i="59"/>
  <c r="EE368" i="59"/>
  <c r="EF368" i="59"/>
  <c r="EG368" i="59"/>
  <c r="EH368" i="59"/>
  <c r="EI368" i="59"/>
  <c r="EJ368" i="59"/>
  <c r="EK368" i="59"/>
  <c r="EL368" i="59"/>
  <c r="EM368" i="59"/>
  <c r="EN368" i="59"/>
  <c r="EO368" i="59"/>
  <c r="EP368" i="59"/>
  <c r="EQ368" i="59"/>
  <c r="ER368" i="59"/>
  <c r="ES368" i="59"/>
  <c r="ET368" i="59"/>
  <c r="EU368" i="59"/>
  <c r="EV368" i="59"/>
  <c r="EW368" i="59"/>
  <c r="EX368" i="59"/>
  <c r="EY368" i="59"/>
  <c r="EZ368" i="59"/>
  <c r="FA368" i="59"/>
  <c r="FB368" i="59"/>
  <c r="FC368" i="59"/>
  <c r="FD368" i="59"/>
  <c r="FE368" i="59"/>
  <c r="FF368" i="59"/>
  <c r="FG368" i="59"/>
  <c r="FH368" i="59"/>
  <c r="FI368" i="59"/>
  <c r="FJ368" i="59"/>
  <c r="FK368" i="59"/>
  <c r="FL368" i="59"/>
  <c r="FM368" i="59"/>
  <c r="FN368" i="59"/>
  <c r="FO368" i="59"/>
  <c r="FP368" i="59"/>
  <c r="FQ368" i="59"/>
  <c r="FR368" i="59"/>
  <c r="FS368" i="59"/>
  <c r="FT368" i="59"/>
  <c r="FU368" i="59"/>
  <c r="FV368" i="59"/>
  <c r="FW368" i="59"/>
  <c r="FX368" i="59"/>
  <c r="FY368" i="59"/>
  <c r="FZ368" i="59"/>
  <c r="GA368" i="59"/>
  <c r="GB368" i="59"/>
  <c r="GC368" i="59"/>
  <c r="GD368" i="59"/>
  <c r="GE368" i="59"/>
  <c r="GF368" i="59"/>
  <c r="GG368" i="59"/>
  <c r="GH368" i="59"/>
  <c r="GI368" i="59"/>
  <c r="GJ368" i="59"/>
  <c r="GK368" i="59"/>
  <c r="GL368" i="59"/>
  <c r="GM368" i="59"/>
  <c r="GN368" i="59"/>
  <c r="GO368" i="59"/>
  <c r="GP368" i="59"/>
  <c r="GQ368" i="59"/>
  <c r="GR368" i="59"/>
  <c r="GS368" i="59"/>
  <c r="GT368" i="59"/>
  <c r="GU368" i="59"/>
  <c r="GV368" i="59"/>
  <c r="GW368" i="59"/>
  <c r="GX368" i="59"/>
  <c r="GY368" i="59"/>
  <c r="GZ368" i="59"/>
  <c r="HA368" i="59"/>
  <c r="HB368" i="59"/>
  <c r="HC368" i="59"/>
  <c r="HD368" i="59"/>
  <c r="HE368" i="59"/>
  <c r="HF368" i="59"/>
  <c r="HG368" i="59"/>
  <c r="HH368" i="59"/>
  <c r="HI368" i="59"/>
  <c r="HJ368" i="59"/>
  <c r="HK368" i="59"/>
  <c r="HL368" i="59"/>
  <c r="HM368" i="59"/>
  <c r="HN368" i="59"/>
  <c r="HO368" i="59"/>
  <c r="HP368" i="59"/>
  <c r="HQ368" i="59"/>
  <c r="HR368" i="59"/>
  <c r="HS368" i="59"/>
  <c r="HT368" i="59"/>
  <c r="HU368" i="59"/>
  <c r="HV368" i="59"/>
  <c r="HW368" i="59"/>
  <c r="HX368" i="59"/>
  <c r="HY368" i="59"/>
  <c r="HZ368" i="59"/>
  <c r="IA368" i="59"/>
  <c r="IB368" i="59"/>
  <c r="IC368" i="59"/>
  <c r="ID368" i="59"/>
  <c r="IE368" i="59"/>
  <c r="IF368" i="59"/>
  <c r="IG368" i="59"/>
  <c r="IH368" i="59"/>
  <c r="II368" i="59"/>
  <c r="IJ368" i="59"/>
  <c r="IK368" i="59"/>
  <c r="IL368" i="59"/>
  <c r="IM368" i="59"/>
  <c r="IN368" i="59"/>
  <c r="IO368" i="59"/>
  <c r="IP368" i="59"/>
  <c r="IQ368" i="59"/>
  <c r="IR368" i="59"/>
  <c r="IS368" i="59"/>
  <c r="IT368" i="59"/>
  <c r="IU368" i="59"/>
  <c r="IV368" i="59"/>
  <c r="F369" i="59"/>
  <c r="G369" i="59"/>
  <c r="H369" i="59"/>
  <c r="I369" i="59"/>
  <c r="J369" i="59"/>
  <c r="K369" i="59"/>
  <c r="L369" i="59"/>
  <c r="M369" i="59"/>
  <c r="N369" i="59"/>
  <c r="O369" i="59"/>
  <c r="P369" i="59"/>
  <c r="Q369" i="59"/>
  <c r="R369" i="59"/>
  <c r="S369" i="59"/>
  <c r="T369" i="59"/>
  <c r="U369" i="59"/>
  <c r="V369" i="59"/>
  <c r="W369" i="59"/>
  <c r="X369" i="59"/>
  <c r="Y369" i="59"/>
  <c r="Z369" i="59"/>
  <c r="AA369" i="59"/>
  <c r="AB369" i="59"/>
  <c r="AC369" i="59"/>
  <c r="AD369" i="59"/>
  <c r="AE369" i="59"/>
  <c r="AF369" i="59"/>
  <c r="AG369" i="59"/>
  <c r="AH369" i="59"/>
  <c r="AI369" i="59"/>
  <c r="AJ369" i="59"/>
  <c r="AK369" i="59"/>
  <c r="AL369" i="59"/>
  <c r="AM369" i="59"/>
  <c r="AN369" i="59"/>
  <c r="AO369" i="59"/>
  <c r="AP369" i="59"/>
  <c r="AQ369" i="59"/>
  <c r="AR369" i="59"/>
  <c r="AS369" i="59"/>
  <c r="AT369" i="59"/>
  <c r="AU369" i="59"/>
  <c r="AV369" i="59"/>
  <c r="AW369" i="59"/>
  <c r="AX369" i="59"/>
  <c r="AY369" i="59"/>
  <c r="AZ369" i="59"/>
  <c r="BA369" i="59"/>
  <c r="BB369" i="59"/>
  <c r="BC369" i="59"/>
  <c r="BD369" i="59"/>
  <c r="BE369" i="59"/>
  <c r="BF369" i="59"/>
  <c r="BG369" i="59"/>
  <c r="BH369" i="59"/>
  <c r="BI369" i="59"/>
  <c r="BJ369" i="59"/>
  <c r="BK369" i="59"/>
  <c r="BL369" i="59"/>
  <c r="BM369" i="59"/>
  <c r="BN369" i="59"/>
  <c r="BO369" i="59"/>
  <c r="BP369" i="59"/>
  <c r="BQ369" i="59"/>
  <c r="BR369" i="59"/>
  <c r="BS369" i="59"/>
  <c r="BT369" i="59"/>
  <c r="BU369" i="59"/>
  <c r="BV369" i="59"/>
  <c r="BW369" i="59"/>
  <c r="BX369" i="59"/>
  <c r="BY369" i="59"/>
  <c r="BZ369" i="59"/>
  <c r="CA369" i="59"/>
  <c r="CB369" i="59"/>
  <c r="CC369" i="59"/>
  <c r="CD369" i="59"/>
  <c r="CE369" i="59"/>
  <c r="CF369" i="59"/>
  <c r="CG369" i="59"/>
  <c r="CH369" i="59"/>
  <c r="CI369" i="59"/>
  <c r="CJ369" i="59"/>
  <c r="CK369" i="59"/>
  <c r="CL369" i="59"/>
  <c r="CM369" i="59"/>
  <c r="CN369" i="59"/>
  <c r="CO369" i="59"/>
  <c r="CP369" i="59"/>
  <c r="CQ369" i="59"/>
  <c r="CR369" i="59"/>
  <c r="CS369" i="59"/>
  <c r="CT369" i="59"/>
  <c r="CU369" i="59"/>
  <c r="CV369" i="59"/>
  <c r="CW369" i="59"/>
  <c r="CX369" i="59"/>
  <c r="CY369" i="59"/>
  <c r="CZ369" i="59"/>
  <c r="DA369" i="59"/>
  <c r="DB369" i="59"/>
  <c r="DC369" i="59"/>
  <c r="DD369" i="59"/>
  <c r="DE369" i="59"/>
  <c r="DF369" i="59"/>
  <c r="DG369" i="59"/>
  <c r="DH369" i="59"/>
  <c r="DI369" i="59"/>
  <c r="DJ369" i="59"/>
  <c r="DK369" i="59"/>
  <c r="DL369" i="59"/>
  <c r="DM369" i="59"/>
  <c r="DN369" i="59"/>
  <c r="DO369" i="59"/>
  <c r="DP369" i="59"/>
  <c r="DQ369" i="59"/>
  <c r="DR369" i="59"/>
  <c r="DS369" i="59"/>
  <c r="DT369" i="59"/>
  <c r="DU369" i="59"/>
  <c r="DV369" i="59"/>
  <c r="DW369" i="59"/>
  <c r="DX369" i="59"/>
  <c r="DY369" i="59"/>
  <c r="DZ369" i="59"/>
  <c r="EA369" i="59"/>
  <c r="EB369" i="59"/>
  <c r="EC369" i="59"/>
  <c r="ED369" i="59"/>
  <c r="EE369" i="59"/>
  <c r="EF369" i="59"/>
  <c r="EG369" i="59"/>
  <c r="EH369" i="59"/>
  <c r="EI369" i="59"/>
  <c r="EJ369" i="59"/>
  <c r="EK369" i="59"/>
  <c r="EL369" i="59"/>
  <c r="EM369" i="59"/>
  <c r="EN369" i="59"/>
  <c r="EO369" i="59"/>
  <c r="EP369" i="59"/>
  <c r="EQ369" i="59"/>
  <c r="ER369" i="59"/>
  <c r="ES369" i="59"/>
  <c r="ET369" i="59"/>
  <c r="EU369" i="59"/>
  <c r="EV369" i="59"/>
  <c r="EW369" i="59"/>
  <c r="EX369" i="59"/>
  <c r="EY369" i="59"/>
  <c r="EZ369" i="59"/>
  <c r="FA369" i="59"/>
  <c r="FB369" i="59"/>
  <c r="FC369" i="59"/>
  <c r="FD369" i="59"/>
  <c r="FE369" i="59"/>
  <c r="FF369" i="59"/>
  <c r="FG369" i="59"/>
  <c r="FH369" i="59"/>
  <c r="FI369" i="59"/>
  <c r="FJ369" i="59"/>
  <c r="FK369" i="59"/>
  <c r="FL369" i="59"/>
  <c r="FM369" i="59"/>
  <c r="FN369" i="59"/>
  <c r="FO369" i="59"/>
  <c r="FP369" i="59"/>
  <c r="FQ369" i="59"/>
  <c r="FR369" i="59"/>
  <c r="FS369" i="59"/>
  <c r="FT369" i="59"/>
  <c r="FU369" i="59"/>
  <c r="FV369" i="59"/>
  <c r="FW369" i="59"/>
  <c r="FX369" i="59"/>
  <c r="FY369" i="59"/>
  <c r="FZ369" i="59"/>
  <c r="GA369" i="59"/>
  <c r="GB369" i="59"/>
  <c r="GC369" i="59"/>
  <c r="GD369" i="59"/>
  <c r="GE369" i="59"/>
  <c r="GF369" i="59"/>
  <c r="GG369" i="59"/>
  <c r="GH369" i="59"/>
  <c r="GI369" i="59"/>
  <c r="GJ369" i="59"/>
  <c r="GK369" i="59"/>
  <c r="GL369" i="59"/>
  <c r="GM369" i="59"/>
  <c r="GN369" i="59"/>
  <c r="GO369" i="59"/>
  <c r="GP369" i="59"/>
  <c r="GQ369" i="59"/>
  <c r="GR369" i="59"/>
  <c r="GS369" i="59"/>
  <c r="GT369" i="59"/>
  <c r="GU369" i="59"/>
  <c r="GV369" i="59"/>
  <c r="GW369" i="59"/>
  <c r="GX369" i="59"/>
  <c r="GY369" i="59"/>
  <c r="GZ369" i="59"/>
  <c r="HA369" i="59"/>
  <c r="HB369" i="59"/>
  <c r="HC369" i="59"/>
  <c r="HD369" i="59"/>
  <c r="HE369" i="59"/>
  <c r="HF369" i="59"/>
  <c r="HG369" i="59"/>
  <c r="HH369" i="59"/>
  <c r="HI369" i="59"/>
  <c r="HJ369" i="59"/>
  <c r="HK369" i="59"/>
  <c r="HL369" i="59"/>
  <c r="HM369" i="59"/>
  <c r="HN369" i="59"/>
  <c r="HO369" i="59"/>
  <c r="HP369" i="59"/>
  <c r="HQ369" i="59"/>
  <c r="HR369" i="59"/>
  <c r="HS369" i="59"/>
  <c r="HT369" i="59"/>
  <c r="HU369" i="59"/>
  <c r="HV369" i="59"/>
  <c r="HW369" i="59"/>
  <c r="HX369" i="59"/>
  <c r="HY369" i="59"/>
  <c r="HZ369" i="59"/>
  <c r="IA369" i="59"/>
  <c r="IB369" i="59"/>
  <c r="IC369" i="59"/>
  <c r="ID369" i="59"/>
  <c r="IE369" i="59"/>
  <c r="IF369" i="59"/>
  <c r="IG369" i="59"/>
  <c r="IH369" i="59"/>
  <c r="II369" i="59"/>
  <c r="IJ369" i="59"/>
  <c r="IK369" i="59"/>
  <c r="IL369" i="59"/>
  <c r="IM369" i="59"/>
  <c r="IN369" i="59"/>
  <c r="IO369" i="59"/>
  <c r="IP369" i="59"/>
  <c r="IQ369" i="59"/>
  <c r="IR369" i="59"/>
  <c r="IS369" i="59"/>
  <c r="IT369" i="59"/>
  <c r="IU369" i="59"/>
  <c r="IV369" i="59"/>
  <c r="F370" i="59"/>
  <c r="G370" i="59"/>
  <c r="H370" i="59"/>
  <c r="I370" i="59"/>
  <c r="J370" i="59"/>
  <c r="K370" i="59"/>
  <c r="L370" i="59"/>
  <c r="M370" i="59"/>
  <c r="N370" i="59"/>
  <c r="O370" i="59"/>
  <c r="P370" i="59"/>
  <c r="Q370" i="59"/>
  <c r="R370" i="59"/>
  <c r="S370" i="59"/>
  <c r="T370" i="59"/>
  <c r="U370" i="59"/>
  <c r="V370" i="59"/>
  <c r="W370" i="59"/>
  <c r="X370" i="59"/>
  <c r="Y370" i="59"/>
  <c r="Z370" i="59"/>
  <c r="AA370" i="59"/>
  <c r="AB370" i="59"/>
  <c r="AC370" i="59"/>
  <c r="AD370" i="59"/>
  <c r="AE370" i="59"/>
  <c r="AF370" i="59"/>
  <c r="AG370" i="59"/>
  <c r="AH370" i="59"/>
  <c r="AI370" i="59"/>
  <c r="AJ370" i="59"/>
  <c r="AK370" i="59"/>
  <c r="AL370" i="59"/>
  <c r="AM370" i="59"/>
  <c r="AN370" i="59"/>
  <c r="AO370" i="59"/>
  <c r="AP370" i="59"/>
  <c r="AQ370" i="59"/>
  <c r="AR370" i="59"/>
  <c r="AS370" i="59"/>
  <c r="AT370" i="59"/>
  <c r="AU370" i="59"/>
  <c r="AV370" i="59"/>
  <c r="AW370" i="59"/>
  <c r="AX370" i="59"/>
  <c r="AY370" i="59"/>
  <c r="AZ370" i="59"/>
  <c r="BA370" i="59"/>
  <c r="BB370" i="59"/>
  <c r="BC370" i="59"/>
  <c r="BD370" i="59"/>
  <c r="BE370" i="59"/>
  <c r="BF370" i="59"/>
  <c r="BG370" i="59"/>
  <c r="BH370" i="59"/>
  <c r="BI370" i="59"/>
  <c r="BJ370" i="59"/>
  <c r="BK370" i="59"/>
  <c r="BL370" i="59"/>
  <c r="BM370" i="59"/>
  <c r="BN370" i="59"/>
  <c r="BO370" i="59"/>
  <c r="BP370" i="59"/>
  <c r="BQ370" i="59"/>
  <c r="BR370" i="59"/>
  <c r="BS370" i="59"/>
  <c r="BT370" i="59"/>
  <c r="BU370" i="59"/>
  <c r="BV370" i="59"/>
  <c r="BW370" i="59"/>
  <c r="BX370" i="59"/>
  <c r="BY370" i="59"/>
  <c r="BZ370" i="59"/>
  <c r="CA370" i="59"/>
  <c r="CB370" i="59"/>
  <c r="CC370" i="59"/>
  <c r="CD370" i="59"/>
  <c r="CE370" i="59"/>
  <c r="CF370" i="59"/>
  <c r="CG370" i="59"/>
  <c r="CH370" i="59"/>
  <c r="CI370" i="59"/>
  <c r="CJ370" i="59"/>
  <c r="CK370" i="59"/>
  <c r="CL370" i="59"/>
  <c r="CM370" i="59"/>
  <c r="CN370" i="59"/>
  <c r="CO370" i="59"/>
  <c r="CP370" i="59"/>
  <c r="CQ370" i="59"/>
  <c r="CR370" i="59"/>
  <c r="CS370" i="59"/>
  <c r="CT370" i="59"/>
  <c r="CU370" i="59"/>
  <c r="CV370" i="59"/>
  <c r="CW370" i="59"/>
  <c r="CX370" i="59"/>
  <c r="CY370" i="59"/>
  <c r="CZ370" i="59"/>
  <c r="DA370" i="59"/>
  <c r="DB370" i="59"/>
  <c r="DC370" i="59"/>
  <c r="DD370" i="59"/>
  <c r="DE370" i="59"/>
  <c r="DF370" i="59"/>
  <c r="DG370" i="59"/>
  <c r="DH370" i="59"/>
  <c r="DI370" i="59"/>
  <c r="DJ370" i="59"/>
  <c r="DK370" i="59"/>
  <c r="DL370" i="59"/>
  <c r="DM370" i="59"/>
  <c r="DN370" i="59"/>
  <c r="DO370" i="59"/>
  <c r="DP370" i="59"/>
  <c r="DQ370" i="59"/>
  <c r="DR370" i="59"/>
  <c r="DS370" i="59"/>
  <c r="DT370" i="59"/>
  <c r="DU370" i="59"/>
  <c r="DV370" i="59"/>
  <c r="DW370" i="59"/>
  <c r="DX370" i="59"/>
  <c r="DY370" i="59"/>
  <c r="DZ370" i="59"/>
  <c r="EA370" i="59"/>
  <c r="EB370" i="59"/>
  <c r="EC370" i="59"/>
  <c r="ED370" i="59"/>
  <c r="EE370" i="59"/>
  <c r="EF370" i="59"/>
  <c r="EG370" i="59"/>
  <c r="EH370" i="59"/>
  <c r="EI370" i="59"/>
  <c r="EJ370" i="59"/>
  <c r="EK370" i="59"/>
  <c r="EL370" i="59"/>
  <c r="EM370" i="59"/>
  <c r="EN370" i="59"/>
  <c r="EO370" i="59"/>
  <c r="EP370" i="59"/>
  <c r="EQ370" i="59"/>
  <c r="ER370" i="59"/>
  <c r="ES370" i="59"/>
  <c r="ET370" i="59"/>
  <c r="EU370" i="59"/>
  <c r="EV370" i="59"/>
  <c r="EW370" i="59"/>
  <c r="EX370" i="59"/>
  <c r="EY370" i="59"/>
  <c r="EZ370" i="59"/>
  <c r="FA370" i="59"/>
  <c r="FB370" i="59"/>
  <c r="FC370" i="59"/>
  <c r="FD370" i="59"/>
  <c r="FE370" i="59"/>
  <c r="FF370" i="59"/>
  <c r="FG370" i="59"/>
  <c r="FH370" i="59"/>
  <c r="FI370" i="59"/>
  <c r="FJ370" i="59"/>
  <c r="FK370" i="59"/>
  <c r="FL370" i="59"/>
  <c r="FM370" i="59"/>
  <c r="FN370" i="59"/>
  <c r="FO370" i="59"/>
  <c r="FP370" i="59"/>
  <c r="FQ370" i="59"/>
  <c r="FR370" i="59"/>
  <c r="FS370" i="59"/>
  <c r="FT370" i="59"/>
  <c r="FU370" i="59"/>
  <c r="FV370" i="59"/>
  <c r="FW370" i="59"/>
  <c r="FX370" i="59"/>
  <c r="FY370" i="59"/>
  <c r="FZ370" i="59"/>
  <c r="GA370" i="59"/>
  <c r="GB370" i="59"/>
  <c r="GC370" i="59"/>
  <c r="GD370" i="59"/>
  <c r="GE370" i="59"/>
  <c r="GF370" i="59"/>
  <c r="GG370" i="59"/>
  <c r="GH370" i="59"/>
  <c r="GI370" i="59"/>
  <c r="GJ370" i="59"/>
  <c r="GK370" i="59"/>
  <c r="GL370" i="59"/>
  <c r="GM370" i="59"/>
  <c r="GN370" i="59"/>
  <c r="GO370" i="59"/>
  <c r="GP370" i="59"/>
  <c r="GQ370" i="59"/>
  <c r="GR370" i="59"/>
  <c r="GS370" i="59"/>
  <c r="GT370" i="59"/>
  <c r="GU370" i="59"/>
  <c r="GV370" i="59"/>
  <c r="GW370" i="59"/>
  <c r="GX370" i="59"/>
  <c r="GY370" i="59"/>
  <c r="GZ370" i="59"/>
  <c r="HA370" i="59"/>
  <c r="HB370" i="59"/>
  <c r="HC370" i="59"/>
  <c r="HD370" i="59"/>
  <c r="HE370" i="59"/>
  <c r="HF370" i="59"/>
  <c r="HG370" i="59"/>
  <c r="HH370" i="59"/>
  <c r="HI370" i="59"/>
  <c r="HJ370" i="59"/>
  <c r="HK370" i="59"/>
  <c r="HL370" i="59"/>
  <c r="HM370" i="59"/>
  <c r="HN370" i="59"/>
  <c r="HO370" i="59"/>
  <c r="HP370" i="59"/>
  <c r="HQ370" i="59"/>
  <c r="HR370" i="59"/>
  <c r="HS370" i="59"/>
  <c r="HT370" i="59"/>
  <c r="HU370" i="59"/>
  <c r="HV370" i="59"/>
  <c r="HW370" i="59"/>
  <c r="HX370" i="59"/>
  <c r="HY370" i="59"/>
  <c r="HZ370" i="59"/>
  <c r="IA370" i="59"/>
  <c r="IB370" i="59"/>
  <c r="IC370" i="59"/>
  <c r="ID370" i="59"/>
  <c r="IE370" i="59"/>
  <c r="IF370" i="59"/>
  <c r="IG370" i="59"/>
  <c r="IH370" i="59"/>
  <c r="II370" i="59"/>
  <c r="IJ370" i="59"/>
  <c r="IK370" i="59"/>
  <c r="IL370" i="59"/>
  <c r="IM370" i="59"/>
  <c r="IN370" i="59"/>
  <c r="IO370" i="59"/>
  <c r="IP370" i="59"/>
  <c r="IQ370" i="59"/>
  <c r="IR370" i="59"/>
  <c r="IS370" i="59"/>
  <c r="IT370" i="59"/>
  <c r="IU370" i="59"/>
  <c r="IV370" i="59"/>
  <c r="F371" i="59"/>
  <c r="G371" i="59"/>
  <c r="H371" i="59"/>
  <c r="I371" i="59"/>
  <c r="J371" i="59"/>
  <c r="K371" i="59"/>
  <c r="L371" i="59"/>
  <c r="M371" i="59"/>
  <c r="N371" i="59"/>
  <c r="O371" i="59"/>
  <c r="P371" i="59"/>
  <c r="Q371" i="59"/>
  <c r="R371" i="59"/>
  <c r="S371" i="59"/>
  <c r="T371" i="59"/>
  <c r="U371" i="59"/>
  <c r="V371" i="59"/>
  <c r="W371" i="59"/>
  <c r="X371" i="59"/>
  <c r="Y371" i="59"/>
  <c r="Z371" i="59"/>
  <c r="AA371" i="59"/>
  <c r="AB371" i="59"/>
  <c r="AC371" i="59"/>
  <c r="AD371" i="59"/>
  <c r="AE371" i="59"/>
  <c r="AF371" i="59"/>
  <c r="AG371" i="59"/>
  <c r="AH371" i="59"/>
  <c r="AI371" i="59"/>
  <c r="AJ371" i="59"/>
  <c r="AK371" i="59"/>
  <c r="AL371" i="59"/>
  <c r="AM371" i="59"/>
  <c r="AN371" i="59"/>
  <c r="AO371" i="59"/>
  <c r="AP371" i="59"/>
  <c r="AQ371" i="59"/>
  <c r="AR371" i="59"/>
  <c r="AS371" i="59"/>
  <c r="AT371" i="59"/>
  <c r="AU371" i="59"/>
  <c r="AV371" i="59"/>
  <c r="AW371" i="59"/>
  <c r="AX371" i="59"/>
  <c r="AY371" i="59"/>
  <c r="AZ371" i="59"/>
  <c r="BA371" i="59"/>
  <c r="BB371" i="59"/>
  <c r="BC371" i="59"/>
  <c r="BD371" i="59"/>
  <c r="BE371" i="59"/>
  <c r="BF371" i="59"/>
  <c r="BG371" i="59"/>
  <c r="BH371" i="59"/>
  <c r="BI371" i="59"/>
  <c r="BJ371" i="59"/>
  <c r="BK371" i="59"/>
  <c r="BL371" i="59"/>
  <c r="BM371" i="59"/>
  <c r="BN371" i="59"/>
  <c r="BO371" i="59"/>
  <c r="BP371" i="59"/>
  <c r="BQ371" i="59"/>
  <c r="BR371" i="59"/>
  <c r="BS371" i="59"/>
  <c r="BT371" i="59"/>
  <c r="BU371" i="59"/>
  <c r="BV371" i="59"/>
  <c r="BW371" i="59"/>
  <c r="BX371" i="59"/>
  <c r="BY371" i="59"/>
  <c r="BZ371" i="59"/>
  <c r="CA371" i="59"/>
  <c r="CB371" i="59"/>
  <c r="CC371" i="59"/>
  <c r="CD371" i="59"/>
  <c r="CE371" i="59"/>
  <c r="CF371" i="59"/>
  <c r="CG371" i="59"/>
  <c r="CH371" i="59"/>
  <c r="CI371" i="59"/>
  <c r="CJ371" i="59"/>
  <c r="CK371" i="59"/>
  <c r="CL371" i="59"/>
  <c r="CM371" i="59"/>
  <c r="CN371" i="59"/>
  <c r="CO371" i="59"/>
  <c r="CP371" i="59"/>
  <c r="CQ371" i="59"/>
  <c r="CR371" i="59"/>
  <c r="CS371" i="59"/>
  <c r="CT371" i="59"/>
  <c r="CU371" i="59"/>
  <c r="CV371" i="59"/>
  <c r="CW371" i="59"/>
  <c r="CX371" i="59"/>
  <c r="CY371" i="59"/>
  <c r="CZ371" i="59"/>
  <c r="DA371" i="59"/>
  <c r="DB371" i="59"/>
  <c r="DC371" i="59"/>
  <c r="DD371" i="59"/>
  <c r="DE371" i="59"/>
  <c r="DF371" i="59"/>
  <c r="DG371" i="59"/>
  <c r="DH371" i="59"/>
  <c r="DI371" i="59"/>
  <c r="DJ371" i="59"/>
  <c r="DK371" i="59"/>
  <c r="DL371" i="59"/>
  <c r="DM371" i="59"/>
  <c r="DN371" i="59"/>
  <c r="DO371" i="59"/>
  <c r="DP371" i="59"/>
  <c r="DQ371" i="59"/>
  <c r="DR371" i="59"/>
  <c r="DS371" i="59"/>
  <c r="DT371" i="59"/>
  <c r="DU371" i="59"/>
  <c r="DV371" i="59"/>
  <c r="DW371" i="59"/>
  <c r="DX371" i="59"/>
  <c r="DY371" i="59"/>
  <c r="DZ371" i="59"/>
  <c r="EA371" i="59"/>
  <c r="EB371" i="59"/>
  <c r="EC371" i="59"/>
  <c r="ED371" i="59"/>
  <c r="EE371" i="59"/>
  <c r="EF371" i="59"/>
  <c r="EG371" i="59"/>
  <c r="EH371" i="59"/>
  <c r="EI371" i="59"/>
  <c r="EJ371" i="59"/>
  <c r="EK371" i="59"/>
  <c r="EL371" i="59"/>
  <c r="EM371" i="59"/>
  <c r="EN371" i="59"/>
  <c r="EO371" i="59"/>
  <c r="EP371" i="59"/>
  <c r="EQ371" i="59"/>
  <c r="ER371" i="59"/>
  <c r="ES371" i="59"/>
  <c r="ET371" i="59"/>
  <c r="EU371" i="59"/>
  <c r="EV371" i="59"/>
  <c r="EW371" i="59"/>
  <c r="EX371" i="59"/>
  <c r="EY371" i="59"/>
  <c r="EZ371" i="59"/>
  <c r="FA371" i="59"/>
  <c r="FB371" i="59"/>
  <c r="FC371" i="59"/>
  <c r="FD371" i="59"/>
  <c r="FE371" i="59"/>
  <c r="FF371" i="59"/>
  <c r="FG371" i="59"/>
  <c r="FH371" i="59"/>
  <c r="FI371" i="59"/>
  <c r="FJ371" i="59"/>
  <c r="FK371" i="59"/>
  <c r="FL371" i="59"/>
  <c r="FM371" i="59"/>
  <c r="FN371" i="59"/>
  <c r="FO371" i="59"/>
  <c r="FP371" i="59"/>
  <c r="FQ371" i="59"/>
  <c r="FR371" i="59"/>
  <c r="FS371" i="59"/>
  <c r="FT371" i="59"/>
  <c r="FU371" i="59"/>
  <c r="FV371" i="59"/>
  <c r="FW371" i="59"/>
  <c r="FX371" i="59"/>
  <c r="FY371" i="59"/>
  <c r="FZ371" i="59"/>
  <c r="GA371" i="59"/>
  <c r="GB371" i="59"/>
  <c r="GC371" i="59"/>
  <c r="GD371" i="59"/>
  <c r="GE371" i="59"/>
  <c r="GF371" i="59"/>
  <c r="GG371" i="59"/>
  <c r="GH371" i="59"/>
  <c r="GI371" i="59"/>
  <c r="GJ371" i="59"/>
  <c r="GK371" i="59"/>
  <c r="GL371" i="59"/>
  <c r="GM371" i="59"/>
  <c r="GN371" i="59"/>
  <c r="GO371" i="59"/>
  <c r="GP371" i="59"/>
  <c r="GQ371" i="59"/>
  <c r="GR371" i="59"/>
  <c r="GS371" i="59"/>
  <c r="GT371" i="59"/>
  <c r="GU371" i="59"/>
  <c r="GV371" i="59"/>
  <c r="GW371" i="59"/>
  <c r="GX371" i="59"/>
  <c r="GY371" i="59"/>
  <c r="GZ371" i="59"/>
  <c r="HA371" i="59"/>
  <c r="HB371" i="59"/>
  <c r="HC371" i="59"/>
  <c r="HD371" i="59"/>
  <c r="HE371" i="59"/>
  <c r="HF371" i="59"/>
  <c r="HG371" i="59"/>
  <c r="HH371" i="59"/>
  <c r="HI371" i="59"/>
  <c r="HJ371" i="59"/>
  <c r="HK371" i="59"/>
  <c r="HL371" i="59"/>
  <c r="HM371" i="59"/>
  <c r="HN371" i="59"/>
  <c r="HO371" i="59"/>
  <c r="HP371" i="59"/>
  <c r="HQ371" i="59"/>
  <c r="HR371" i="59"/>
  <c r="HS371" i="59"/>
  <c r="HT371" i="59"/>
  <c r="HU371" i="59"/>
  <c r="HV371" i="59"/>
  <c r="HW371" i="59"/>
  <c r="HX371" i="59"/>
  <c r="HY371" i="59"/>
  <c r="HZ371" i="59"/>
  <c r="IA371" i="59"/>
  <c r="IB371" i="59"/>
  <c r="IC371" i="59"/>
  <c r="ID371" i="59"/>
  <c r="IE371" i="59"/>
  <c r="IF371" i="59"/>
  <c r="IG371" i="59"/>
  <c r="IH371" i="59"/>
  <c r="II371" i="59"/>
  <c r="IJ371" i="59"/>
  <c r="IK371" i="59"/>
  <c r="IL371" i="59"/>
  <c r="IM371" i="59"/>
  <c r="IN371" i="59"/>
  <c r="IO371" i="59"/>
  <c r="IP371" i="59"/>
  <c r="IQ371" i="59"/>
  <c r="IR371" i="59"/>
  <c r="IS371" i="59"/>
  <c r="IT371" i="59"/>
  <c r="IU371" i="59"/>
  <c r="IV371" i="59"/>
  <c r="F372" i="59"/>
  <c r="G372" i="59"/>
  <c r="H372" i="59"/>
  <c r="I372" i="59"/>
  <c r="J372" i="59"/>
  <c r="K372" i="59"/>
  <c r="L372" i="59"/>
  <c r="M372" i="59"/>
  <c r="N372" i="59"/>
  <c r="O372" i="59"/>
  <c r="P372" i="59"/>
  <c r="Q372" i="59"/>
  <c r="R372" i="59"/>
  <c r="S372" i="59"/>
  <c r="T372" i="59"/>
  <c r="U372" i="59"/>
  <c r="V372" i="59"/>
  <c r="W372" i="59"/>
  <c r="X372" i="59"/>
  <c r="Y372" i="59"/>
  <c r="Z372" i="59"/>
  <c r="AA372" i="59"/>
  <c r="AB372" i="59"/>
  <c r="AC372" i="59"/>
  <c r="AD372" i="59"/>
  <c r="AE372" i="59"/>
  <c r="AF372" i="59"/>
  <c r="AG372" i="59"/>
  <c r="AH372" i="59"/>
  <c r="AI372" i="59"/>
  <c r="AJ372" i="59"/>
  <c r="AK372" i="59"/>
  <c r="AL372" i="59"/>
  <c r="AM372" i="59"/>
  <c r="AN372" i="59"/>
  <c r="AO372" i="59"/>
  <c r="AP372" i="59"/>
  <c r="AQ372" i="59"/>
  <c r="AR372" i="59"/>
  <c r="AS372" i="59"/>
  <c r="AT372" i="59"/>
  <c r="AU372" i="59"/>
  <c r="AV372" i="59"/>
  <c r="AW372" i="59"/>
  <c r="AX372" i="59"/>
  <c r="AY372" i="59"/>
  <c r="AZ372" i="59"/>
  <c r="BA372" i="59"/>
  <c r="BB372" i="59"/>
  <c r="BC372" i="59"/>
  <c r="BD372" i="59"/>
  <c r="BE372" i="59"/>
  <c r="BF372" i="59"/>
  <c r="BG372" i="59"/>
  <c r="BH372" i="59"/>
  <c r="BI372" i="59"/>
  <c r="BJ372" i="59"/>
  <c r="BK372" i="59"/>
  <c r="BL372" i="59"/>
  <c r="BM372" i="59"/>
  <c r="BN372" i="59"/>
  <c r="BO372" i="59"/>
  <c r="BP372" i="59"/>
  <c r="BQ372" i="59"/>
  <c r="BR372" i="59"/>
  <c r="BS372" i="59"/>
  <c r="BT372" i="59"/>
  <c r="BU372" i="59"/>
  <c r="BV372" i="59"/>
  <c r="BW372" i="59"/>
  <c r="BX372" i="59"/>
  <c r="BY372" i="59"/>
  <c r="BZ372" i="59"/>
  <c r="CA372" i="59"/>
  <c r="CB372" i="59"/>
  <c r="CC372" i="59"/>
  <c r="CD372" i="59"/>
  <c r="CE372" i="59"/>
  <c r="CF372" i="59"/>
  <c r="CG372" i="59"/>
  <c r="CH372" i="59"/>
  <c r="CI372" i="59"/>
  <c r="CJ372" i="59"/>
  <c r="CK372" i="59"/>
  <c r="CL372" i="59"/>
  <c r="CM372" i="59"/>
  <c r="CN372" i="59"/>
  <c r="CO372" i="59"/>
  <c r="CP372" i="59"/>
  <c r="CQ372" i="59"/>
  <c r="CR372" i="59"/>
  <c r="CS372" i="59"/>
  <c r="CT372" i="59"/>
  <c r="CU372" i="59"/>
  <c r="CV372" i="59"/>
  <c r="CW372" i="59"/>
  <c r="CX372" i="59"/>
  <c r="CY372" i="59"/>
  <c r="CZ372" i="59"/>
  <c r="DA372" i="59"/>
  <c r="DB372" i="59"/>
  <c r="DC372" i="59"/>
  <c r="DD372" i="59"/>
  <c r="DE372" i="59"/>
  <c r="DF372" i="59"/>
  <c r="DG372" i="59"/>
  <c r="DH372" i="59"/>
  <c r="DI372" i="59"/>
  <c r="DJ372" i="59"/>
  <c r="DK372" i="59"/>
  <c r="DL372" i="59"/>
  <c r="DM372" i="59"/>
  <c r="DN372" i="59"/>
  <c r="DO372" i="59"/>
  <c r="DP372" i="59"/>
  <c r="DQ372" i="59"/>
  <c r="DR372" i="59"/>
  <c r="DS372" i="59"/>
  <c r="DT372" i="59"/>
  <c r="DU372" i="59"/>
  <c r="DV372" i="59"/>
  <c r="DW372" i="59"/>
  <c r="DX372" i="59"/>
  <c r="DY372" i="59"/>
  <c r="DZ372" i="59"/>
  <c r="EA372" i="59"/>
  <c r="EB372" i="59"/>
  <c r="EC372" i="59"/>
  <c r="ED372" i="59"/>
  <c r="EE372" i="59"/>
  <c r="EF372" i="59"/>
  <c r="EG372" i="59"/>
  <c r="EH372" i="59"/>
  <c r="EI372" i="59"/>
  <c r="EJ372" i="59"/>
  <c r="EK372" i="59"/>
  <c r="EL372" i="59"/>
  <c r="EM372" i="59"/>
  <c r="EN372" i="59"/>
  <c r="EO372" i="59"/>
  <c r="EP372" i="59"/>
  <c r="EQ372" i="59"/>
  <c r="ER372" i="59"/>
  <c r="ES372" i="59"/>
  <c r="ET372" i="59"/>
  <c r="EU372" i="59"/>
  <c r="EV372" i="59"/>
  <c r="EW372" i="59"/>
  <c r="EX372" i="59"/>
  <c r="EY372" i="59"/>
  <c r="EZ372" i="59"/>
  <c r="FA372" i="59"/>
  <c r="FB372" i="59"/>
  <c r="FC372" i="59"/>
  <c r="FD372" i="59"/>
  <c r="FE372" i="59"/>
  <c r="FF372" i="59"/>
  <c r="FG372" i="59"/>
  <c r="FH372" i="59"/>
  <c r="FI372" i="59"/>
  <c r="FJ372" i="59"/>
  <c r="FK372" i="59"/>
  <c r="FL372" i="59"/>
  <c r="FM372" i="59"/>
  <c r="FN372" i="59"/>
  <c r="FO372" i="59"/>
  <c r="FP372" i="59"/>
  <c r="FQ372" i="59"/>
  <c r="FR372" i="59"/>
  <c r="FS372" i="59"/>
  <c r="FT372" i="59"/>
  <c r="FU372" i="59"/>
  <c r="FV372" i="59"/>
  <c r="FW372" i="59"/>
  <c r="FX372" i="59"/>
  <c r="FY372" i="59"/>
  <c r="FZ372" i="59"/>
  <c r="GA372" i="59"/>
  <c r="GB372" i="59"/>
  <c r="GC372" i="59"/>
  <c r="GD372" i="59"/>
  <c r="GE372" i="59"/>
  <c r="GF372" i="59"/>
  <c r="GG372" i="59"/>
  <c r="GH372" i="59"/>
  <c r="GI372" i="59"/>
  <c r="GJ372" i="59"/>
  <c r="GK372" i="59"/>
  <c r="GL372" i="59"/>
  <c r="GM372" i="59"/>
  <c r="GN372" i="59"/>
  <c r="GO372" i="59"/>
  <c r="GP372" i="59"/>
  <c r="GQ372" i="59"/>
  <c r="GR372" i="59"/>
  <c r="GS372" i="59"/>
  <c r="GT372" i="59"/>
  <c r="GU372" i="59"/>
  <c r="GV372" i="59"/>
  <c r="GW372" i="59"/>
  <c r="GX372" i="59"/>
  <c r="GY372" i="59"/>
  <c r="GZ372" i="59"/>
  <c r="HA372" i="59"/>
  <c r="HB372" i="59"/>
  <c r="HC372" i="59"/>
  <c r="HD372" i="59"/>
  <c r="HE372" i="59"/>
  <c r="HF372" i="59"/>
  <c r="HG372" i="59"/>
  <c r="HH372" i="59"/>
  <c r="HI372" i="59"/>
  <c r="HJ372" i="59"/>
  <c r="HK372" i="59"/>
  <c r="HL372" i="59"/>
  <c r="HM372" i="59"/>
  <c r="HN372" i="59"/>
  <c r="HO372" i="59"/>
  <c r="HP372" i="59"/>
  <c r="HQ372" i="59"/>
  <c r="HR372" i="59"/>
  <c r="HS372" i="59"/>
  <c r="HT372" i="59"/>
  <c r="HU372" i="59"/>
  <c r="HV372" i="59"/>
  <c r="HW372" i="59"/>
  <c r="HX372" i="59"/>
  <c r="HY372" i="59"/>
  <c r="HZ372" i="59"/>
  <c r="IA372" i="59"/>
  <c r="IB372" i="59"/>
  <c r="IC372" i="59"/>
  <c r="ID372" i="59"/>
  <c r="IE372" i="59"/>
  <c r="IF372" i="59"/>
  <c r="IG372" i="59"/>
  <c r="IH372" i="59"/>
  <c r="II372" i="59"/>
  <c r="IJ372" i="59"/>
  <c r="IK372" i="59"/>
  <c r="IL372" i="59"/>
  <c r="IM372" i="59"/>
  <c r="IN372" i="59"/>
  <c r="IO372" i="59"/>
  <c r="IP372" i="59"/>
  <c r="IQ372" i="59"/>
  <c r="IR372" i="59"/>
  <c r="IS372" i="59"/>
  <c r="IT372" i="59"/>
  <c r="IU372" i="59"/>
  <c r="IV372" i="59"/>
  <c r="F373" i="59"/>
  <c r="G373" i="59"/>
  <c r="H373" i="59"/>
  <c r="I373" i="59"/>
  <c r="J373" i="59"/>
  <c r="K373" i="59"/>
  <c r="L373" i="59"/>
  <c r="M373" i="59"/>
  <c r="N373" i="59"/>
  <c r="O373" i="59"/>
  <c r="P373" i="59"/>
  <c r="Q373" i="59"/>
  <c r="R373" i="59"/>
  <c r="S373" i="59"/>
  <c r="T373" i="59"/>
  <c r="U373" i="59"/>
  <c r="V373" i="59"/>
  <c r="W373" i="59"/>
  <c r="X373" i="59"/>
  <c r="Y373" i="59"/>
  <c r="Z373" i="59"/>
  <c r="AA373" i="59"/>
  <c r="AB373" i="59"/>
  <c r="AC373" i="59"/>
  <c r="AD373" i="59"/>
  <c r="AE373" i="59"/>
  <c r="AF373" i="59"/>
  <c r="AG373" i="59"/>
  <c r="AH373" i="59"/>
  <c r="AI373" i="59"/>
  <c r="AJ373" i="59"/>
  <c r="AK373" i="59"/>
  <c r="AL373" i="59"/>
  <c r="AM373" i="59"/>
  <c r="AN373" i="59"/>
  <c r="AO373" i="59"/>
  <c r="AP373" i="59"/>
  <c r="AQ373" i="59"/>
  <c r="AR373" i="59"/>
  <c r="AS373" i="59"/>
  <c r="AT373" i="59"/>
  <c r="AU373" i="59"/>
  <c r="AV373" i="59"/>
  <c r="AW373" i="59"/>
  <c r="AX373" i="59"/>
  <c r="AY373" i="59"/>
  <c r="AZ373" i="59"/>
  <c r="BA373" i="59"/>
  <c r="BB373" i="59"/>
  <c r="BC373" i="59"/>
  <c r="BD373" i="59"/>
  <c r="BE373" i="59"/>
  <c r="BF373" i="59"/>
  <c r="BG373" i="59"/>
  <c r="BH373" i="59"/>
  <c r="BI373" i="59"/>
  <c r="BJ373" i="59"/>
  <c r="BK373" i="59"/>
  <c r="BL373" i="59"/>
  <c r="BM373" i="59"/>
  <c r="BN373" i="59"/>
  <c r="BO373" i="59"/>
  <c r="BP373" i="59"/>
  <c r="BQ373" i="59"/>
  <c r="BR373" i="59"/>
  <c r="BS373" i="59"/>
  <c r="BT373" i="59"/>
  <c r="BU373" i="59"/>
  <c r="BV373" i="59"/>
  <c r="BW373" i="59"/>
  <c r="BX373" i="59"/>
  <c r="BY373" i="59"/>
  <c r="BZ373" i="59"/>
  <c r="CA373" i="59"/>
  <c r="CB373" i="59"/>
  <c r="CC373" i="59"/>
  <c r="CD373" i="59"/>
  <c r="CE373" i="59"/>
  <c r="CF373" i="59"/>
  <c r="CG373" i="59"/>
  <c r="CH373" i="59"/>
  <c r="CI373" i="59"/>
  <c r="CJ373" i="59"/>
  <c r="CK373" i="59"/>
  <c r="CL373" i="59"/>
  <c r="CM373" i="59"/>
  <c r="CN373" i="59"/>
  <c r="CO373" i="59"/>
  <c r="CP373" i="59"/>
  <c r="CQ373" i="59"/>
  <c r="CR373" i="59"/>
  <c r="CS373" i="59"/>
  <c r="CT373" i="59"/>
  <c r="CU373" i="59"/>
  <c r="CV373" i="59"/>
  <c r="CW373" i="59"/>
  <c r="CX373" i="59"/>
  <c r="CY373" i="59"/>
  <c r="CZ373" i="59"/>
  <c r="DA373" i="59"/>
  <c r="DB373" i="59"/>
  <c r="DC373" i="59"/>
  <c r="DD373" i="59"/>
  <c r="DE373" i="59"/>
  <c r="DF373" i="59"/>
  <c r="DG373" i="59"/>
  <c r="DH373" i="59"/>
  <c r="DI373" i="59"/>
  <c r="DJ373" i="59"/>
  <c r="DK373" i="59"/>
  <c r="DL373" i="59"/>
  <c r="DM373" i="59"/>
  <c r="DN373" i="59"/>
  <c r="DO373" i="59"/>
  <c r="DP373" i="59"/>
  <c r="DQ373" i="59"/>
  <c r="DR373" i="59"/>
  <c r="DS373" i="59"/>
  <c r="DT373" i="59"/>
  <c r="DU373" i="59"/>
  <c r="DV373" i="59"/>
  <c r="DW373" i="59"/>
  <c r="DX373" i="59"/>
  <c r="DY373" i="59"/>
  <c r="DZ373" i="59"/>
  <c r="EA373" i="59"/>
  <c r="EB373" i="59"/>
  <c r="EC373" i="59"/>
  <c r="ED373" i="59"/>
  <c r="EE373" i="59"/>
  <c r="EF373" i="59"/>
  <c r="EG373" i="59"/>
  <c r="EH373" i="59"/>
  <c r="EI373" i="59"/>
  <c r="EJ373" i="59"/>
  <c r="EK373" i="59"/>
  <c r="EL373" i="59"/>
  <c r="EM373" i="59"/>
  <c r="EN373" i="59"/>
  <c r="EO373" i="59"/>
  <c r="EP373" i="59"/>
  <c r="EQ373" i="59"/>
  <c r="ER373" i="59"/>
  <c r="ES373" i="59"/>
  <c r="ET373" i="59"/>
  <c r="EU373" i="59"/>
  <c r="EV373" i="59"/>
  <c r="EW373" i="59"/>
  <c r="EX373" i="59"/>
  <c r="EY373" i="59"/>
  <c r="EZ373" i="59"/>
  <c r="FA373" i="59"/>
  <c r="FB373" i="59"/>
  <c r="FC373" i="59"/>
  <c r="FD373" i="59"/>
  <c r="FE373" i="59"/>
  <c r="FF373" i="59"/>
  <c r="FG373" i="59"/>
  <c r="FH373" i="59"/>
  <c r="FI373" i="59"/>
  <c r="FJ373" i="59"/>
  <c r="FK373" i="59"/>
  <c r="FL373" i="59"/>
  <c r="FM373" i="59"/>
  <c r="FN373" i="59"/>
  <c r="FO373" i="59"/>
  <c r="FP373" i="59"/>
  <c r="FQ373" i="59"/>
  <c r="FR373" i="59"/>
  <c r="FS373" i="59"/>
  <c r="FT373" i="59"/>
  <c r="FU373" i="59"/>
  <c r="FV373" i="59"/>
  <c r="FW373" i="59"/>
  <c r="FX373" i="59"/>
  <c r="FY373" i="59"/>
  <c r="FZ373" i="59"/>
  <c r="GA373" i="59"/>
  <c r="GB373" i="59"/>
  <c r="GC373" i="59"/>
  <c r="GD373" i="59"/>
  <c r="GE373" i="59"/>
  <c r="GF373" i="59"/>
  <c r="GG373" i="59"/>
  <c r="GH373" i="59"/>
  <c r="GI373" i="59"/>
  <c r="GJ373" i="59"/>
  <c r="GK373" i="59"/>
  <c r="GL373" i="59"/>
  <c r="GM373" i="59"/>
  <c r="GN373" i="59"/>
  <c r="GO373" i="59"/>
  <c r="GP373" i="59"/>
  <c r="GQ373" i="59"/>
  <c r="GR373" i="59"/>
  <c r="GS373" i="59"/>
  <c r="GT373" i="59"/>
  <c r="GU373" i="59"/>
  <c r="GV373" i="59"/>
  <c r="GW373" i="59"/>
  <c r="GX373" i="59"/>
  <c r="GY373" i="59"/>
  <c r="GZ373" i="59"/>
  <c r="HA373" i="59"/>
  <c r="HB373" i="59"/>
  <c r="HC373" i="59"/>
  <c r="HD373" i="59"/>
  <c r="HE373" i="59"/>
  <c r="HF373" i="59"/>
  <c r="HG373" i="59"/>
  <c r="HH373" i="59"/>
  <c r="HI373" i="59"/>
  <c r="HJ373" i="59"/>
  <c r="HK373" i="59"/>
  <c r="HL373" i="59"/>
  <c r="HM373" i="59"/>
  <c r="HN373" i="59"/>
  <c r="HO373" i="59"/>
  <c r="HP373" i="59"/>
  <c r="HQ373" i="59"/>
  <c r="HR373" i="59"/>
  <c r="HS373" i="59"/>
  <c r="HT373" i="59"/>
  <c r="HU373" i="59"/>
  <c r="HV373" i="59"/>
  <c r="HW373" i="59"/>
  <c r="HX373" i="59"/>
  <c r="HY373" i="59"/>
  <c r="HZ373" i="59"/>
  <c r="IA373" i="59"/>
  <c r="IB373" i="59"/>
  <c r="IC373" i="59"/>
  <c r="ID373" i="59"/>
  <c r="IE373" i="59"/>
  <c r="IF373" i="59"/>
  <c r="IG373" i="59"/>
  <c r="IH373" i="59"/>
  <c r="II373" i="59"/>
  <c r="IJ373" i="59"/>
  <c r="IK373" i="59"/>
  <c r="IL373" i="59"/>
  <c r="IM373" i="59"/>
  <c r="IN373" i="59"/>
  <c r="IO373" i="59"/>
  <c r="IP373" i="59"/>
  <c r="IQ373" i="59"/>
  <c r="IR373" i="59"/>
  <c r="IS373" i="59"/>
  <c r="IT373" i="59"/>
  <c r="IU373" i="59"/>
  <c r="IV373" i="59"/>
  <c r="F374" i="59"/>
  <c r="G374" i="59"/>
  <c r="H374" i="59"/>
  <c r="I374" i="59"/>
  <c r="J374" i="59"/>
  <c r="K374" i="59"/>
  <c r="L374" i="59"/>
  <c r="M374" i="59"/>
  <c r="N374" i="59"/>
  <c r="O374" i="59"/>
  <c r="P374" i="59"/>
  <c r="Q374" i="59"/>
  <c r="R374" i="59"/>
  <c r="S374" i="59"/>
  <c r="T374" i="59"/>
  <c r="U374" i="59"/>
  <c r="V374" i="59"/>
  <c r="W374" i="59"/>
  <c r="X374" i="59"/>
  <c r="Y374" i="59"/>
  <c r="Z374" i="59"/>
  <c r="AA374" i="59"/>
  <c r="AB374" i="59"/>
  <c r="AC374" i="59"/>
  <c r="AD374" i="59"/>
  <c r="AE374" i="59"/>
  <c r="AF374" i="59"/>
  <c r="AG374" i="59"/>
  <c r="AH374" i="59"/>
  <c r="AI374" i="59"/>
  <c r="AJ374" i="59"/>
  <c r="AK374" i="59"/>
  <c r="AL374" i="59"/>
  <c r="AM374" i="59"/>
  <c r="AN374" i="59"/>
  <c r="AO374" i="59"/>
  <c r="AP374" i="59"/>
  <c r="AQ374" i="59"/>
  <c r="AR374" i="59"/>
  <c r="AS374" i="59"/>
  <c r="AT374" i="59"/>
  <c r="AU374" i="59"/>
  <c r="AV374" i="59"/>
  <c r="AW374" i="59"/>
  <c r="AX374" i="59"/>
  <c r="AY374" i="59"/>
  <c r="AZ374" i="59"/>
  <c r="BA374" i="59"/>
  <c r="BB374" i="59"/>
  <c r="BC374" i="59"/>
  <c r="BD374" i="59"/>
  <c r="BE374" i="59"/>
  <c r="BF374" i="59"/>
  <c r="BG374" i="59"/>
  <c r="BH374" i="59"/>
  <c r="BI374" i="59"/>
  <c r="BJ374" i="59"/>
  <c r="BK374" i="59"/>
  <c r="BL374" i="59"/>
  <c r="BM374" i="59"/>
  <c r="BN374" i="59"/>
  <c r="BO374" i="59"/>
  <c r="BP374" i="59"/>
  <c r="BQ374" i="59"/>
  <c r="BR374" i="59"/>
  <c r="BS374" i="59"/>
  <c r="BT374" i="59"/>
  <c r="BU374" i="59"/>
  <c r="BV374" i="59"/>
  <c r="BW374" i="59"/>
  <c r="BX374" i="59"/>
  <c r="BY374" i="59"/>
  <c r="BZ374" i="59"/>
  <c r="CA374" i="59"/>
  <c r="CB374" i="59"/>
  <c r="CC374" i="59"/>
  <c r="CD374" i="59"/>
  <c r="CE374" i="59"/>
  <c r="CF374" i="59"/>
  <c r="CG374" i="59"/>
  <c r="CH374" i="59"/>
  <c r="CI374" i="59"/>
  <c r="CJ374" i="59"/>
  <c r="CK374" i="59"/>
  <c r="CL374" i="59"/>
  <c r="CM374" i="59"/>
  <c r="CN374" i="59"/>
  <c r="CO374" i="59"/>
  <c r="CP374" i="59"/>
  <c r="CQ374" i="59"/>
  <c r="CR374" i="59"/>
  <c r="CS374" i="59"/>
  <c r="CT374" i="59"/>
  <c r="CU374" i="59"/>
  <c r="CV374" i="59"/>
  <c r="CW374" i="59"/>
  <c r="CX374" i="59"/>
  <c r="CY374" i="59"/>
  <c r="CZ374" i="59"/>
  <c r="DA374" i="59"/>
  <c r="DB374" i="59"/>
  <c r="DC374" i="59"/>
  <c r="DD374" i="59"/>
  <c r="DE374" i="59"/>
  <c r="DF374" i="59"/>
  <c r="DG374" i="59"/>
  <c r="DH374" i="59"/>
  <c r="DI374" i="59"/>
  <c r="DJ374" i="59"/>
  <c r="DK374" i="59"/>
  <c r="DL374" i="59"/>
  <c r="DM374" i="59"/>
  <c r="DN374" i="59"/>
  <c r="DO374" i="59"/>
  <c r="DP374" i="59"/>
  <c r="DQ374" i="59"/>
  <c r="DR374" i="59"/>
  <c r="DS374" i="59"/>
  <c r="DT374" i="59"/>
  <c r="DU374" i="59"/>
  <c r="DV374" i="59"/>
  <c r="DW374" i="59"/>
  <c r="DX374" i="59"/>
  <c r="DY374" i="59"/>
  <c r="DZ374" i="59"/>
  <c r="EA374" i="59"/>
  <c r="EB374" i="59"/>
  <c r="EC374" i="59"/>
  <c r="ED374" i="59"/>
  <c r="EE374" i="59"/>
  <c r="EF374" i="59"/>
  <c r="EG374" i="59"/>
  <c r="EH374" i="59"/>
  <c r="EI374" i="59"/>
  <c r="EJ374" i="59"/>
  <c r="EK374" i="59"/>
  <c r="EL374" i="59"/>
  <c r="EM374" i="59"/>
  <c r="EN374" i="59"/>
  <c r="EO374" i="59"/>
  <c r="EP374" i="59"/>
  <c r="EQ374" i="59"/>
  <c r="ER374" i="59"/>
  <c r="ES374" i="59"/>
  <c r="ET374" i="59"/>
  <c r="EU374" i="59"/>
  <c r="EV374" i="59"/>
  <c r="EW374" i="59"/>
  <c r="EX374" i="59"/>
  <c r="EY374" i="59"/>
  <c r="EZ374" i="59"/>
  <c r="FA374" i="59"/>
  <c r="FB374" i="59"/>
  <c r="FC374" i="59"/>
  <c r="FD374" i="59"/>
  <c r="FE374" i="59"/>
  <c r="FF374" i="59"/>
  <c r="FG374" i="59"/>
  <c r="FH374" i="59"/>
  <c r="FI374" i="59"/>
  <c r="FJ374" i="59"/>
  <c r="FK374" i="59"/>
  <c r="FL374" i="59"/>
  <c r="FM374" i="59"/>
  <c r="FN374" i="59"/>
  <c r="FO374" i="59"/>
  <c r="FP374" i="59"/>
  <c r="FQ374" i="59"/>
  <c r="FR374" i="59"/>
  <c r="FS374" i="59"/>
  <c r="FT374" i="59"/>
  <c r="FU374" i="59"/>
  <c r="FV374" i="59"/>
  <c r="FW374" i="59"/>
  <c r="FX374" i="59"/>
  <c r="FY374" i="59"/>
  <c r="FZ374" i="59"/>
  <c r="GA374" i="59"/>
  <c r="GB374" i="59"/>
  <c r="GC374" i="59"/>
  <c r="GD374" i="59"/>
  <c r="GE374" i="59"/>
  <c r="GF374" i="59"/>
  <c r="GG374" i="59"/>
  <c r="GH374" i="59"/>
  <c r="GI374" i="59"/>
  <c r="GJ374" i="59"/>
  <c r="GK374" i="59"/>
  <c r="GL374" i="59"/>
  <c r="GM374" i="59"/>
  <c r="GN374" i="59"/>
  <c r="GO374" i="59"/>
  <c r="GP374" i="59"/>
  <c r="GQ374" i="59"/>
  <c r="GR374" i="59"/>
  <c r="GS374" i="59"/>
  <c r="GT374" i="59"/>
  <c r="GU374" i="59"/>
  <c r="GV374" i="59"/>
  <c r="GW374" i="59"/>
  <c r="GX374" i="59"/>
  <c r="GY374" i="59"/>
  <c r="GZ374" i="59"/>
  <c r="HA374" i="59"/>
  <c r="HB374" i="59"/>
  <c r="HC374" i="59"/>
  <c r="HD374" i="59"/>
  <c r="HE374" i="59"/>
  <c r="HF374" i="59"/>
  <c r="HG374" i="59"/>
  <c r="HH374" i="59"/>
  <c r="HI374" i="59"/>
  <c r="HJ374" i="59"/>
  <c r="HK374" i="59"/>
  <c r="HL374" i="59"/>
  <c r="HM374" i="59"/>
  <c r="HN374" i="59"/>
  <c r="HO374" i="59"/>
  <c r="HP374" i="59"/>
  <c r="HQ374" i="59"/>
  <c r="HR374" i="59"/>
  <c r="HS374" i="59"/>
  <c r="HT374" i="59"/>
  <c r="HU374" i="59"/>
  <c r="HV374" i="59"/>
  <c r="HW374" i="59"/>
  <c r="HX374" i="59"/>
  <c r="HY374" i="59"/>
  <c r="HZ374" i="59"/>
  <c r="IA374" i="59"/>
  <c r="IB374" i="59"/>
  <c r="IC374" i="59"/>
  <c r="ID374" i="59"/>
  <c r="IE374" i="59"/>
  <c r="IF374" i="59"/>
  <c r="IG374" i="59"/>
  <c r="IH374" i="59"/>
  <c r="II374" i="59"/>
  <c r="IJ374" i="59"/>
  <c r="IK374" i="59"/>
  <c r="IL374" i="59"/>
  <c r="IM374" i="59"/>
  <c r="IN374" i="59"/>
  <c r="IO374" i="59"/>
  <c r="IP374" i="59"/>
  <c r="IQ374" i="59"/>
  <c r="IR374" i="59"/>
  <c r="IS374" i="59"/>
  <c r="IT374" i="59"/>
  <c r="IU374" i="59"/>
  <c r="IV374" i="59"/>
  <c r="F375" i="59"/>
  <c r="G375" i="59"/>
  <c r="H375" i="59"/>
  <c r="I375" i="59"/>
  <c r="J375" i="59"/>
  <c r="K375" i="59"/>
  <c r="L375" i="59"/>
  <c r="M375" i="59"/>
  <c r="N375" i="59"/>
  <c r="O375" i="59"/>
  <c r="P375" i="59"/>
  <c r="Q375" i="59"/>
  <c r="R375" i="59"/>
  <c r="S375" i="59"/>
  <c r="T375" i="59"/>
  <c r="U375" i="59"/>
  <c r="V375" i="59"/>
  <c r="W375" i="59"/>
  <c r="X375" i="59"/>
  <c r="Y375" i="59"/>
  <c r="Z375" i="59"/>
  <c r="AA375" i="59"/>
  <c r="AB375" i="59"/>
  <c r="AC375" i="59"/>
  <c r="AD375" i="59"/>
  <c r="AE375" i="59"/>
  <c r="AF375" i="59"/>
  <c r="AG375" i="59"/>
  <c r="AH375" i="59"/>
  <c r="AI375" i="59"/>
  <c r="AJ375" i="59"/>
  <c r="AK375" i="59"/>
  <c r="AL375" i="59"/>
  <c r="AM375" i="59"/>
  <c r="AN375" i="59"/>
  <c r="AO375" i="59"/>
  <c r="AP375" i="59"/>
  <c r="AQ375" i="59"/>
  <c r="AR375" i="59"/>
  <c r="AS375" i="59"/>
  <c r="AT375" i="59"/>
  <c r="AU375" i="59"/>
  <c r="AV375" i="59"/>
  <c r="AW375" i="59"/>
  <c r="AX375" i="59"/>
  <c r="AY375" i="59"/>
  <c r="AZ375" i="59"/>
  <c r="BA375" i="59"/>
  <c r="BB375" i="59"/>
  <c r="BC375" i="59"/>
  <c r="BD375" i="59"/>
  <c r="BE375" i="59"/>
  <c r="BF375" i="59"/>
  <c r="BG375" i="59"/>
  <c r="BH375" i="59"/>
  <c r="BI375" i="59"/>
  <c r="BJ375" i="59"/>
  <c r="BK375" i="59"/>
  <c r="BL375" i="59"/>
  <c r="BM375" i="59"/>
  <c r="BN375" i="59"/>
  <c r="BO375" i="59"/>
  <c r="BP375" i="59"/>
  <c r="BQ375" i="59"/>
  <c r="BR375" i="59"/>
  <c r="BS375" i="59"/>
  <c r="BT375" i="59"/>
  <c r="BU375" i="59"/>
  <c r="BV375" i="59"/>
  <c r="BW375" i="59"/>
  <c r="BX375" i="59"/>
  <c r="BY375" i="59"/>
  <c r="BZ375" i="59"/>
  <c r="CA375" i="59"/>
  <c r="CB375" i="59"/>
  <c r="CC375" i="59"/>
  <c r="CD375" i="59"/>
  <c r="CE375" i="59"/>
  <c r="CF375" i="59"/>
  <c r="CG375" i="59"/>
  <c r="CH375" i="59"/>
  <c r="CI375" i="59"/>
  <c r="CJ375" i="59"/>
  <c r="CK375" i="59"/>
  <c r="CL375" i="59"/>
  <c r="CM375" i="59"/>
  <c r="CN375" i="59"/>
  <c r="CO375" i="59"/>
  <c r="CP375" i="59"/>
  <c r="CQ375" i="59"/>
  <c r="CR375" i="59"/>
  <c r="CS375" i="59"/>
  <c r="CT375" i="59"/>
  <c r="CU375" i="59"/>
  <c r="CV375" i="59"/>
  <c r="CW375" i="59"/>
  <c r="CX375" i="59"/>
  <c r="CY375" i="59"/>
  <c r="CZ375" i="59"/>
  <c r="DA375" i="59"/>
  <c r="DB375" i="59"/>
  <c r="DC375" i="59"/>
  <c r="DD375" i="59"/>
  <c r="DE375" i="59"/>
  <c r="DF375" i="59"/>
  <c r="DG375" i="59"/>
  <c r="DH375" i="59"/>
  <c r="DI375" i="59"/>
  <c r="DJ375" i="59"/>
  <c r="DK375" i="59"/>
  <c r="DL375" i="59"/>
  <c r="DM375" i="59"/>
  <c r="DN375" i="59"/>
  <c r="DO375" i="59"/>
  <c r="DP375" i="59"/>
  <c r="DQ375" i="59"/>
  <c r="DR375" i="59"/>
  <c r="DS375" i="59"/>
  <c r="DT375" i="59"/>
  <c r="DU375" i="59"/>
  <c r="DV375" i="59"/>
  <c r="DW375" i="59"/>
  <c r="DX375" i="59"/>
  <c r="DY375" i="59"/>
  <c r="DZ375" i="59"/>
  <c r="EA375" i="59"/>
  <c r="EB375" i="59"/>
  <c r="EC375" i="59"/>
  <c r="ED375" i="59"/>
  <c r="EE375" i="59"/>
  <c r="EF375" i="59"/>
  <c r="EG375" i="59"/>
  <c r="EH375" i="59"/>
  <c r="EI375" i="59"/>
  <c r="EJ375" i="59"/>
  <c r="EK375" i="59"/>
  <c r="EL375" i="59"/>
  <c r="EM375" i="59"/>
  <c r="EN375" i="59"/>
  <c r="EO375" i="59"/>
  <c r="EP375" i="59"/>
  <c r="EQ375" i="59"/>
  <c r="ER375" i="59"/>
  <c r="ES375" i="59"/>
  <c r="ET375" i="59"/>
  <c r="EU375" i="59"/>
  <c r="EV375" i="59"/>
  <c r="EW375" i="59"/>
  <c r="EX375" i="59"/>
  <c r="EY375" i="59"/>
  <c r="EZ375" i="59"/>
  <c r="FA375" i="59"/>
  <c r="FB375" i="59"/>
  <c r="FC375" i="59"/>
  <c r="FD375" i="59"/>
  <c r="FE375" i="59"/>
  <c r="FF375" i="59"/>
  <c r="FG375" i="59"/>
  <c r="FH375" i="59"/>
  <c r="FI375" i="59"/>
  <c r="FJ375" i="59"/>
  <c r="FK375" i="59"/>
  <c r="FL375" i="59"/>
  <c r="FM375" i="59"/>
  <c r="FN375" i="59"/>
  <c r="FO375" i="59"/>
  <c r="FP375" i="59"/>
  <c r="FQ375" i="59"/>
  <c r="FR375" i="59"/>
  <c r="FS375" i="59"/>
  <c r="FT375" i="59"/>
  <c r="FU375" i="59"/>
  <c r="FV375" i="59"/>
  <c r="FW375" i="59"/>
  <c r="FX375" i="59"/>
  <c r="FY375" i="59"/>
  <c r="FZ375" i="59"/>
  <c r="GA375" i="59"/>
  <c r="GB375" i="59"/>
  <c r="GC375" i="59"/>
  <c r="GD375" i="59"/>
  <c r="GE375" i="59"/>
  <c r="GF375" i="59"/>
  <c r="GG375" i="59"/>
  <c r="GH375" i="59"/>
  <c r="GI375" i="59"/>
  <c r="GJ375" i="59"/>
  <c r="GK375" i="59"/>
  <c r="GL375" i="59"/>
  <c r="GM375" i="59"/>
  <c r="GN375" i="59"/>
  <c r="GO375" i="59"/>
  <c r="GP375" i="59"/>
  <c r="GQ375" i="59"/>
  <c r="GR375" i="59"/>
  <c r="GS375" i="59"/>
  <c r="GT375" i="59"/>
  <c r="GU375" i="59"/>
  <c r="GV375" i="59"/>
  <c r="GW375" i="59"/>
  <c r="GX375" i="59"/>
  <c r="GY375" i="59"/>
  <c r="GZ375" i="59"/>
  <c r="HA375" i="59"/>
  <c r="HB375" i="59"/>
  <c r="HC375" i="59"/>
  <c r="HD375" i="59"/>
  <c r="HE375" i="59"/>
  <c r="HF375" i="59"/>
  <c r="HG375" i="59"/>
  <c r="HH375" i="59"/>
  <c r="HI375" i="59"/>
  <c r="HJ375" i="59"/>
  <c r="HK375" i="59"/>
  <c r="HL375" i="59"/>
  <c r="HM375" i="59"/>
  <c r="HN375" i="59"/>
  <c r="HO375" i="59"/>
  <c r="HP375" i="59"/>
  <c r="HQ375" i="59"/>
  <c r="HR375" i="59"/>
  <c r="HS375" i="59"/>
  <c r="HT375" i="59"/>
  <c r="HU375" i="59"/>
  <c r="HV375" i="59"/>
  <c r="HW375" i="59"/>
  <c r="HX375" i="59"/>
  <c r="HY375" i="59"/>
  <c r="HZ375" i="59"/>
  <c r="IA375" i="59"/>
  <c r="IB375" i="59"/>
  <c r="IC375" i="59"/>
  <c r="ID375" i="59"/>
  <c r="IE375" i="59"/>
  <c r="IF375" i="59"/>
  <c r="IG375" i="59"/>
  <c r="IH375" i="59"/>
  <c r="II375" i="59"/>
  <c r="IJ375" i="59"/>
  <c r="IK375" i="59"/>
  <c r="IL375" i="59"/>
  <c r="IM375" i="59"/>
  <c r="IN375" i="59"/>
  <c r="IO375" i="59"/>
  <c r="IP375" i="59"/>
  <c r="IQ375" i="59"/>
  <c r="IR375" i="59"/>
  <c r="IS375" i="59"/>
  <c r="IT375" i="59"/>
  <c r="IU375" i="59"/>
  <c r="IV375" i="59"/>
  <c r="F376" i="59"/>
  <c r="G376" i="59"/>
  <c r="H376" i="59"/>
  <c r="I376" i="59"/>
  <c r="J376" i="59"/>
  <c r="K376" i="59"/>
  <c r="L376" i="59"/>
  <c r="M376" i="59"/>
  <c r="N376" i="59"/>
  <c r="O376" i="59"/>
  <c r="P376" i="59"/>
  <c r="Q376" i="59"/>
  <c r="R376" i="59"/>
  <c r="S376" i="59"/>
  <c r="T376" i="59"/>
  <c r="U376" i="59"/>
  <c r="V376" i="59"/>
  <c r="W376" i="59"/>
  <c r="X376" i="59"/>
  <c r="Y376" i="59"/>
  <c r="Z376" i="59"/>
  <c r="AA376" i="59"/>
  <c r="AB376" i="59"/>
  <c r="AC376" i="59"/>
  <c r="AD376" i="59"/>
  <c r="AE376" i="59"/>
  <c r="AF376" i="59"/>
  <c r="AG376" i="59"/>
  <c r="AH376" i="59"/>
  <c r="AI376" i="59"/>
  <c r="AJ376" i="59"/>
  <c r="AK376" i="59"/>
  <c r="AL376" i="59"/>
  <c r="AM376" i="59"/>
  <c r="AN376" i="59"/>
  <c r="AO376" i="59"/>
  <c r="AP376" i="59"/>
  <c r="AQ376" i="59"/>
  <c r="AR376" i="59"/>
  <c r="AS376" i="59"/>
  <c r="AT376" i="59"/>
  <c r="AU376" i="59"/>
  <c r="AV376" i="59"/>
  <c r="AW376" i="59"/>
  <c r="AX376" i="59"/>
  <c r="AY376" i="59"/>
  <c r="AZ376" i="59"/>
  <c r="BA376" i="59"/>
  <c r="BB376" i="59"/>
  <c r="BC376" i="59"/>
  <c r="BD376" i="59"/>
  <c r="BE376" i="59"/>
  <c r="BF376" i="59"/>
  <c r="BG376" i="59"/>
  <c r="BH376" i="59"/>
  <c r="BI376" i="59"/>
  <c r="BJ376" i="59"/>
  <c r="BK376" i="59"/>
  <c r="BL376" i="59"/>
  <c r="BM376" i="59"/>
  <c r="BN376" i="59"/>
  <c r="BO376" i="59"/>
  <c r="BP376" i="59"/>
  <c r="BQ376" i="59"/>
  <c r="BR376" i="59"/>
  <c r="BS376" i="59"/>
  <c r="BT376" i="59"/>
  <c r="BU376" i="59"/>
  <c r="BV376" i="59"/>
  <c r="BW376" i="59"/>
  <c r="BX376" i="59"/>
  <c r="BY376" i="59"/>
  <c r="BZ376" i="59"/>
  <c r="CA376" i="59"/>
  <c r="CB376" i="59"/>
  <c r="CC376" i="59"/>
  <c r="CD376" i="59"/>
  <c r="CE376" i="59"/>
  <c r="CF376" i="59"/>
  <c r="CG376" i="59"/>
  <c r="CH376" i="59"/>
  <c r="CI376" i="59"/>
  <c r="CJ376" i="59"/>
  <c r="CK376" i="59"/>
  <c r="CL376" i="59"/>
  <c r="CM376" i="59"/>
  <c r="CN376" i="59"/>
  <c r="CO376" i="59"/>
  <c r="CP376" i="59"/>
  <c r="CQ376" i="59"/>
  <c r="CR376" i="59"/>
  <c r="CS376" i="59"/>
  <c r="CT376" i="59"/>
  <c r="CU376" i="59"/>
  <c r="CV376" i="59"/>
  <c r="CW376" i="59"/>
  <c r="CX376" i="59"/>
  <c r="CY376" i="59"/>
  <c r="CZ376" i="59"/>
  <c r="DA376" i="59"/>
  <c r="DB376" i="59"/>
  <c r="DC376" i="59"/>
  <c r="DD376" i="59"/>
  <c r="DE376" i="59"/>
  <c r="DF376" i="59"/>
  <c r="DG376" i="59"/>
  <c r="DH376" i="59"/>
  <c r="DI376" i="59"/>
  <c r="DJ376" i="59"/>
  <c r="DK376" i="59"/>
  <c r="DL376" i="59"/>
  <c r="DM376" i="59"/>
  <c r="DN376" i="59"/>
  <c r="DO376" i="59"/>
  <c r="DP376" i="59"/>
  <c r="DQ376" i="59"/>
  <c r="DR376" i="59"/>
  <c r="DS376" i="59"/>
  <c r="DT376" i="59"/>
  <c r="DU376" i="59"/>
  <c r="DV376" i="59"/>
  <c r="DW376" i="59"/>
  <c r="DX376" i="59"/>
  <c r="DY376" i="59"/>
  <c r="DZ376" i="59"/>
  <c r="EA376" i="59"/>
  <c r="EB376" i="59"/>
  <c r="EC376" i="59"/>
  <c r="ED376" i="59"/>
  <c r="EE376" i="59"/>
  <c r="EF376" i="59"/>
  <c r="EG376" i="59"/>
  <c r="EH376" i="59"/>
  <c r="EI376" i="59"/>
  <c r="EJ376" i="59"/>
  <c r="EK376" i="59"/>
  <c r="EL376" i="59"/>
  <c r="EM376" i="59"/>
  <c r="EN376" i="59"/>
  <c r="EO376" i="59"/>
  <c r="EP376" i="59"/>
  <c r="EQ376" i="59"/>
  <c r="ER376" i="59"/>
  <c r="ES376" i="59"/>
  <c r="ET376" i="59"/>
  <c r="EU376" i="59"/>
  <c r="EV376" i="59"/>
  <c r="EW376" i="59"/>
  <c r="EX376" i="59"/>
  <c r="EY376" i="59"/>
  <c r="EZ376" i="59"/>
  <c r="FA376" i="59"/>
  <c r="FB376" i="59"/>
  <c r="FC376" i="59"/>
  <c r="FD376" i="59"/>
  <c r="FE376" i="59"/>
  <c r="FF376" i="59"/>
  <c r="FG376" i="59"/>
  <c r="FH376" i="59"/>
  <c r="FI376" i="59"/>
  <c r="FJ376" i="59"/>
  <c r="FK376" i="59"/>
  <c r="FL376" i="59"/>
  <c r="FM376" i="59"/>
  <c r="FN376" i="59"/>
  <c r="FO376" i="59"/>
  <c r="FP376" i="59"/>
  <c r="FQ376" i="59"/>
  <c r="FR376" i="59"/>
  <c r="FS376" i="59"/>
  <c r="FT376" i="59"/>
  <c r="FU376" i="59"/>
  <c r="FV376" i="59"/>
  <c r="FW376" i="59"/>
  <c r="FX376" i="59"/>
  <c r="FY376" i="59"/>
  <c r="FZ376" i="59"/>
  <c r="GA376" i="59"/>
  <c r="GB376" i="59"/>
  <c r="GC376" i="59"/>
  <c r="GD376" i="59"/>
  <c r="GE376" i="59"/>
  <c r="GF376" i="59"/>
  <c r="GG376" i="59"/>
  <c r="GH376" i="59"/>
  <c r="GI376" i="59"/>
  <c r="GJ376" i="59"/>
  <c r="GK376" i="59"/>
  <c r="GL376" i="59"/>
  <c r="GM376" i="59"/>
  <c r="GN376" i="59"/>
  <c r="GO376" i="59"/>
  <c r="GP376" i="59"/>
  <c r="GQ376" i="59"/>
  <c r="GR376" i="59"/>
  <c r="GS376" i="59"/>
  <c r="GT376" i="59"/>
  <c r="GU376" i="59"/>
  <c r="GV376" i="59"/>
  <c r="GW376" i="59"/>
  <c r="GX376" i="59"/>
  <c r="GY376" i="59"/>
  <c r="GZ376" i="59"/>
  <c r="HA376" i="59"/>
  <c r="HB376" i="59"/>
  <c r="HC376" i="59"/>
  <c r="HD376" i="59"/>
  <c r="HE376" i="59"/>
  <c r="HF376" i="59"/>
  <c r="HG376" i="59"/>
  <c r="HH376" i="59"/>
  <c r="HI376" i="59"/>
  <c r="HJ376" i="59"/>
  <c r="HK376" i="59"/>
  <c r="HL376" i="59"/>
  <c r="HM376" i="59"/>
  <c r="HN376" i="59"/>
  <c r="HO376" i="59"/>
  <c r="HP376" i="59"/>
  <c r="HQ376" i="59"/>
  <c r="HR376" i="59"/>
  <c r="HS376" i="59"/>
  <c r="HT376" i="59"/>
  <c r="HU376" i="59"/>
  <c r="HV376" i="59"/>
  <c r="HW376" i="59"/>
  <c r="HX376" i="59"/>
  <c r="HY376" i="59"/>
  <c r="HZ376" i="59"/>
  <c r="IA376" i="59"/>
  <c r="IB376" i="59"/>
  <c r="IC376" i="59"/>
  <c r="ID376" i="59"/>
  <c r="IE376" i="59"/>
  <c r="IF376" i="59"/>
  <c r="IG376" i="59"/>
  <c r="IH376" i="59"/>
  <c r="II376" i="59"/>
  <c r="IJ376" i="59"/>
  <c r="IK376" i="59"/>
  <c r="IL376" i="59"/>
  <c r="IM376" i="59"/>
  <c r="IN376" i="59"/>
  <c r="IO376" i="59"/>
  <c r="IP376" i="59"/>
  <c r="IQ376" i="59"/>
  <c r="IR376" i="59"/>
  <c r="IS376" i="59"/>
  <c r="IT376" i="59"/>
  <c r="IU376" i="59"/>
  <c r="IV376" i="59"/>
  <c r="F377" i="59"/>
  <c r="G377" i="59"/>
  <c r="H377" i="59"/>
  <c r="I377" i="59"/>
  <c r="J377" i="59"/>
  <c r="K377" i="59"/>
  <c r="L377" i="59"/>
  <c r="M377" i="59"/>
  <c r="N377" i="59"/>
  <c r="O377" i="59"/>
  <c r="P377" i="59"/>
  <c r="Q377" i="59"/>
  <c r="R377" i="59"/>
  <c r="S377" i="59"/>
  <c r="T377" i="59"/>
  <c r="U377" i="59"/>
  <c r="V377" i="59"/>
  <c r="W377" i="59"/>
  <c r="X377" i="59"/>
  <c r="Y377" i="59"/>
  <c r="Z377" i="59"/>
  <c r="AA377" i="59"/>
  <c r="AB377" i="59"/>
  <c r="AC377" i="59"/>
  <c r="AD377" i="59"/>
  <c r="AE377" i="59"/>
  <c r="AF377" i="59"/>
  <c r="AG377" i="59"/>
  <c r="AH377" i="59"/>
  <c r="AI377" i="59"/>
  <c r="AJ377" i="59"/>
  <c r="AK377" i="59"/>
  <c r="AL377" i="59"/>
  <c r="AM377" i="59"/>
  <c r="AN377" i="59"/>
  <c r="AO377" i="59"/>
  <c r="AP377" i="59"/>
  <c r="AQ377" i="59"/>
  <c r="AR377" i="59"/>
  <c r="AS377" i="59"/>
  <c r="AT377" i="59"/>
  <c r="AU377" i="59"/>
  <c r="AV377" i="59"/>
  <c r="AW377" i="59"/>
  <c r="AX377" i="59"/>
  <c r="AY377" i="59"/>
  <c r="AZ377" i="59"/>
  <c r="BA377" i="59"/>
  <c r="BB377" i="59"/>
  <c r="BC377" i="59"/>
  <c r="BD377" i="59"/>
  <c r="BE377" i="59"/>
  <c r="BF377" i="59"/>
  <c r="BG377" i="59"/>
  <c r="BH377" i="59"/>
  <c r="BI377" i="59"/>
  <c r="BJ377" i="59"/>
  <c r="BK377" i="59"/>
  <c r="BL377" i="59"/>
  <c r="BM377" i="59"/>
  <c r="BN377" i="59"/>
  <c r="BO377" i="59"/>
  <c r="BP377" i="59"/>
  <c r="BQ377" i="59"/>
  <c r="BR377" i="59"/>
  <c r="BS377" i="59"/>
  <c r="BT377" i="59"/>
  <c r="BU377" i="59"/>
  <c r="BV377" i="59"/>
  <c r="BW377" i="59"/>
  <c r="BX377" i="59"/>
  <c r="BY377" i="59"/>
  <c r="BZ377" i="59"/>
  <c r="CA377" i="59"/>
  <c r="CB377" i="59"/>
  <c r="CC377" i="59"/>
  <c r="CD377" i="59"/>
  <c r="CE377" i="59"/>
  <c r="CF377" i="59"/>
  <c r="CG377" i="59"/>
  <c r="CH377" i="59"/>
  <c r="CI377" i="59"/>
  <c r="CJ377" i="59"/>
  <c r="CK377" i="59"/>
  <c r="CL377" i="59"/>
  <c r="CM377" i="59"/>
  <c r="CN377" i="59"/>
  <c r="CO377" i="59"/>
  <c r="CP377" i="59"/>
  <c r="CQ377" i="59"/>
  <c r="CR377" i="59"/>
  <c r="CS377" i="59"/>
  <c r="CT377" i="59"/>
  <c r="CU377" i="59"/>
  <c r="CV377" i="59"/>
  <c r="CW377" i="59"/>
  <c r="CX377" i="59"/>
  <c r="CY377" i="59"/>
  <c r="CZ377" i="59"/>
  <c r="DA377" i="59"/>
  <c r="DB377" i="59"/>
  <c r="DC377" i="59"/>
  <c r="DD377" i="59"/>
  <c r="DE377" i="59"/>
  <c r="DF377" i="59"/>
  <c r="DG377" i="59"/>
  <c r="DH377" i="59"/>
  <c r="DI377" i="59"/>
  <c r="DJ377" i="59"/>
  <c r="DK377" i="59"/>
  <c r="DL377" i="59"/>
  <c r="DM377" i="59"/>
  <c r="DN377" i="59"/>
  <c r="DO377" i="59"/>
  <c r="DP377" i="59"/>
  <c r="DQ377" i="59"/>
  <c r="DR377" i="59"/>
  <c r="DS377" i="59"/>
  <c r="DT377" i="59"/>
  <c r="DU377" i="59"/>
  <c r="DV377" i="59"/>
  <c r="DW377" i="59"/>
  <c r="DX377" i="59"/>
  <c r="DY377" i="59"/>
  <c r="DZ377" i="59"/>
  <c r="EA377" i="59"/>
  <c r="EB377" i="59"/>
  <c r="EC377" i="59"/>
  <c r="ED377" i="59"/>
  <c r="EE377" i="59"/>
  <c r="EF377" i="59"/>
  <c r="EG377" i="59"/>
  <c r="EH377" i="59"/>
  <c r="EI377" i="59"/>
  <c r="EJ377" i="59"/>
  <c r="EK377" i="59"/>
  <c r="EL377" i="59"/>
  <c r="EM377" i="59"/>
  <c r="EN377" i="59"/>
  <c r="EO377" i="59"/>
  <c r="EP377" i="59"/>
  <c r="EQ377" i="59"/>
  <c r="ER377" i="59"/>
  <c r="ES377" i="59"/>
  <c r="ET377" i="59"/>
  <c r="EU377" i="59"/>
  <c r="EV377" i="59"/>
  <c r="EW377" i="59"/>
  <c r="EX377" i="59"/>
  <c r="EY377" i="59"/>
  <c r="EZ377" i="59"/>
  <c r="FA377" i="59"/>
  <c r="FB377" i="59"/>
  <c r="FC377" i="59"/>
  <c r="FD377" i="59"/>
  <c r="FE377" i="59"/>
  <c r="FF377" i="59"/>
  <c r="FG377" i="59"/>
  <c r="FH377" i="59"/>
  <c r="FI377" i="59"/>
  <c r="FJ377" i="59"/>
  <c r="FK377" i="59"/>
  <c r="FL377" i="59"/>
  <c r="FM377" i="59"/>
  <c r="FN377" i="59"/>
  <c r="FO377" i="59"/>
  <c r="FP377" i="59"/>
  <c r="FQ377" i="59"/>
  <c r="FR377" i="59"/>
  <c r="FS377" i="59"/>
  <c r="FT377" i="59"/>
  <c r="FU377" i="59"/>
  <c r="FV377" i="59"/>
  <c r="FW377" i="59"/>
  <c r="FX377" i="59"/>
  <c r="FY377" i="59"/>
  <c r="FZ377" i="59"/>
  <c r="GA377" i="59"/>
  <c r="GB377" i="59"/>
  <c r="GC377" i="59"/>
  <c r="GD377" i="59"/>
  <c r="GE377" i="59"/>
  <c r="GF377" i="59"/>
  <c r="GG377" i="59"/>
  <c r="GH377" i="59"/>
  <c r="GI377" i="59"/>
  <c r="GJ377" i="59"/>
  <c r="GK377" i="59"/>
  <c r="GL377" i="59"/>
  <c r="GM377" i="59"/>
  <c r="GN377" i="59"/>
  <c r="GO377" i="59"/>
  <c r="GP377" i="59"/>
  <c r="GQ377" i="59"/>
  <c r="GR377" i="59"/>
  <c r="GS377" i="59"/>
  <c r="GT377" i="59"/>
  <c r="GU377" i="59"/>
  <c r="GV377" i="59"/>
  <c r="GW377" i="59"/>
  <c r="GX377" i="59"/>
  <c r="GY377" i="59"/>
  <c r="GZ377" i="59"/>
  <c r="HA377" i="59"/>
  <c r="HB377" i="59"/>
  <c r="HC377" i="59"/>
  <c r="HD377" i="59"/>
  <c r="HE377" i="59"/>
  <c r="HF377" i="59"/>
  <c r="HG377" i="59"/>
  <c r="HH377" i="59"/>
  <c r="HI377" i="59"/>
  <c r="HJ377" i="59"/>
  <c r="HK377" i="59"/>
  <c r="HL377" i="59"/>
  <c r="HM377" i="59"/>
  <c r="HN377" i="59"/>
  <c r="HO377" i="59"/>
  <c r="HP377" i="59"/>
  <c r="HQ377" i="59"/>
  <c r="HR377" i="59"/>
  <c r="HS377" i="59"/>
  <c r="HT377" i="59"/>
  <c r="HU377" i="59"/>
  <c r="HV377" i="59"/>
  <c r="HW377" i="59"/>
  <c r="HX377" i="59"/>
  <c r="HY377" i="59"/>
  <c r="HZ377" i="59"/>
  <c r="IA377" i="59"/>
  <c r="IB377" i="59"/>
  <c r="IC377" i="59"/>
  <c r="ID377" i="59"/>
  <c r="IE377" i="59"/>
  <c r="IF377" i="59"/>
  <c r="IG377" i="59"/>
  <c r="IH377" i="59"/>
  <c r="II377" i="59"/>
  <c r="IJ377" i="59"/>
  <c r="IK377" i="59"/>
  <c r="IL377" i="59"/>
  <c r="IM377" i="59"/>
  <c r="IN377" i="59"/>
  <c r="IO377" i="59"/>
  <c r="IP377" i="59"/>
  <c r="IQ377" i="59"/>
  <c r="IR377" i="59"/>
  <c r="IS377" i="59"/>
  <c r="IT377" i="59"/>
  <c r="IU377" i="59"/>
  <c r="IV377" i="59"/>
  <c r="F378" i="59"/>
  <c r="G378" i="59"/>
  <c r="H378" i="59"/>
  <c r="I378" i="59"/>
  <c r="J378" i="59"/>
  <c r="K378" i="59"/>
  <c r="L378" i="59"/>
  <c r="M378" i="59"/>
  <c r="N378" i="59"/>
  <c r="O378" i="59"/>
  <c r="P378" i="59"/>
  <c r="Q378" i="59"/>
  <c r="R378" i="59"/>
  <c r="S378" i="59"/>
  <c r="T378" i="59"/>
  <c r="U378" i="59"/>
  <c r="V378" i="59"/>
  <c r="W378" i="59"/>
  <c r="X378" i="59"/>
  <c r="Y378" i="59"/>
  <c r="Z378" i="59"/>
  <c r="AA378" i="59"/>
  <c r="AB378" i="59"/>
  <c r="AC378" i="59"/>
  <c r="AD378" i="59"/>
  <c r="AE378" i="59"/>
  <c r="AF378" i="59"/>
  <c r="AG378" i="59"/>
  <c r="AH378" i="59"/>
  <c r="AI378" i="59"/>
  <c r="AJ378" i="59"/>
  <c r="AK378" i="59"/>
  <c r="AL378" i="59"/>
  <c r="AM378" i="59"/>
  <c r="AN378" i="59"/>
  <c r="AO378" i="59"/>
  <c r="AP378" i="59"/>
  <c r="AQ378" i="59"/>
  <c r="AR378" i="59"/>
  <c r="AS378" i="59"/>
  <c r="AT378" i="59"/>
  <c r="AU378" i="59"/>
  <c r="AV378" i="59"/>
  <c r="AW378" i="59"/>
  <c r="AX378" i="59"/>
  <c r="AY378" i="59"/>
  <c r="AZ378" i="59"/>
  <c r="BA378" i="59"/>
  <c r="BB378" i="59"/>
  <c r="BC378" i="59"/>
  <c r="BD378" i="59"/>
  <c r="BE378" i="59"/>
  <c r="BF378" i="59"/>
  <c r="BG378" i="59"/>
  <c r="BH378" i="59"/>
  <c r="BI378" i="59"/>
  <c r="BJ378" i="59"/>
  <c r="BK378" i="59"/>
  <c r="BL378" i="59"/>
  <c r="BM378" i="59"/>
  <c r="BN378" i="59"/>
  <c r="BO378" i="59"/>
  <c r="BP378" i="59"/>
  <c r="BQ378" i="59"/>
  <c r="BR378" i="59"/>
  <c r="BS378" i="59"/>
  <c r="BT378" i="59"/>
  <c r="BU378" i="59"/>
  <c r="BV378" i="59"/>
  <c r="BW378" i="59"/>
  <c r="BX378" i="59"/>
  <c r="BY378" i="59"/>
  <c r="BZ378" i="59"/>
  <c r="CA378" i="59"/>
  <c r="CB378" i="59"/>
  <c r="CC378" i="59"/>
  <c r="CD378" i="59"/>
  <c r="CE378" i="59"/>
  <c r="CF378" i="59"/>
  <c r="CG378" i="59"/>
  <c r="CH378" i="59"/>
  <c r="CI378" i="59"/>
  <c r="CJ378" i="59"/>
  <c r="CK378" i="59"/>
  <c r="CL378" i="59"/>
  <c r="CM378" i="59"/>
  <c r="CN378" i="59"/>
  <c r="CO378" i="59"/>
  <c r="CP378" i="59"/>
  <c r="CQ378" i="59"/>
  <c r="CR378" i="59"/>
  <c r="CS378" i="59"/>
  <c r="CT378" i="59"/>
  <c r="CU378" i="59"/>
  <c r="CV378" i="59"/>
  <c r="CW378" i="59"/>
  <c r="CX378" i="59"/>
  <c r="CY378" i="59"/>
  <c r="CZ378" i="59"/>
  <c r="DA378" i="59"/>
  <c r="DB378" i="59"/>
  <c r="DC378" i="59"/>
  <c r="G1" i="59"/>
  <c r="H1" i="59"/>
  <c r="I1" i="59"/>
  <c r="J1" i="59"/>
  <c r="K1" i="59"/>
  <c r="L1" i="59"/>
  <c r="M1" i="59"/>
  <c r="N1" i="59"/>
  <c r="O1" i="59"/>
  <c r="P1" i="59"/>
  <c r="Q1" i="59"/>
  <c r="R1" i="59"/>
  <c r="S1" i="59"/>
  <c r="T1" i="59"/>
  <c r="U1" i="59"/>
  <c r="V1" i="59"/>
  <c r="W1" i="59"/>
  <c r="X1" i="59"/>
  <c r="Y1" i="59"/>
  <c r="Z1" i="59"/>
  <c r="AA1" i="59"/>
  <c r="AB1" i="59"/>
  <c r="AC1" i="59"/>
  <c r="AD1" i="59"/>
  <c r="AE1" i="59"/>
  <c r="AF1" i="59"/>
  <c r="AG1" i="59"/>
  <c r="AH1" i="59"/>
  <c r="AI1" i="59"/>
  <c r="AJ1" i="59"/>
  <c r="AK1" i="59"/>
  <c r="AL1" i="59"/>
  <c r="AM1" i="59"/>
  <c r="AN1" i="59"/>
  <c r="AO1" i="59"/>
  <c r="AP1" i="59"/>
  <c r="AQ1" i="59"/>
  <c r="AR1" i="59"/>
  <c r="AS1" i="59"/>
  <c r="AT1" i="59"/>
  <c r="AU1" i="59"/>
  <c r="AV1" i="59"/>
  <c r="AW1" i="59"/>
  <c r="AX1" i="59"/>
  <c r="AY1" i="59"/>
  <c r="AZ1" i="59"/>
  <c r="BA1" i="59"/>
  <c r="BB1" i="59"/>
  <c r="BC1" i="59"/>
  <c r="BD1" i="59"/>
  <c r="BE1" i="59"/>
  <c r="BF1" i="59"/>
  <c r="BG1" i="59"/>
  <c r="BH1" i="59"/>
  <c r="BI1" i="59"/>
  <c r="BJ1" i="59"/>
  <c r="BK1" i="59"/>
  <c r="BL1" i="59"/>
  <c r="BM1" i="59"/>
  <c r="BN1" i="59"/>
  <c r="BO1" i="59"/>
  <c r="BP1" i="59"/>
  <c r="BQ1" i="59"/>
  <c r="BR1" i="59"/>
  <c r="BS1" i="59"/>
  <c r="BT1" i="59"/>
  <c r="BU1" i="59"/>
  <c r="BV1" i="59"/>
  <c r="BW1" i="59"/>
  <c r="BX1" i="59"/>
  <c r="BY1" i="59"/>
  <c r="BZ1" i="59"/>
  <c r="CA1" i="59"/>
  <c r="CB1" i="59"/>
  <c r="CC1" i="59"/>
  <c r="CD1" i="59"/>
  <c r="CE1" i="59"/>
  <c r="CF1" i="59"/>
  <c r="CG1" i="59"/>
  <c r="CH1" i="59"/>
  <c r="CI1" i="59"/>
  <c r="CJ1" i="59"/>
  <c r="CK1" i="59"/>
  <c r="CL1" i="59"/>
  <c r="CM1" i="59"/>
  <c r="CN1" i="59"/>
  <c r="CO1" i="59"/>
  <c r="CP1" i="59"/>
  <c r="CQ1" i="59"/>
  <c r="CR1" i="59"/>
  <c r="CS1" i="59"/>
  <c r="CT1" i="59"/>
  <c r="CU1" i="59"/>
  <c r="CV1" i="59"/>
  <c r="CW1" i="59"/>
  <c r="CX1" i="59"/>
  <c r="CY1" i="59"/>
  <c r="CZ1" i="59"/>
  <c r="DA1" i="59"/>
  <c r="DB1" i="59"/>
  <c r="DC1" i="59"/>
  <c r="DD1" i="59"/>
  <c r="DE1" i="59"/>
  <c r="DF1" i="59"/>
  <c r="DG1" i="59"/>
  <c r="DH1" i="59"/>
  <c r="DI1" i="59"/>
  <c r="DJ1" i="59"/>
  <c r="DK1" i="59"/>
  <c r="DL1" i="59"/>
  <c r="DM1" i="59"/>
  <c r="DN1" i="59"/>
  <c r="DO1" i="59"/>
  <c r="DP1" i="59"/>
  <c r="DQ1" i="59"/>
  <c r="DR1" i="59"/>
  <c r="DS1" i="59"/>
  <c r="DT1" i="59"/>
  <c r="DU1" i="59"/>
  <c r="DV1" i="59"/>
  <c r="DW1" i="59"/>
  <c r="DX1" i="59"/>
  <c r="DY1" i="59"/>
  <c r="DZ1" i="59"/>
  <c r="EA1" i="59"/>
  <c r="EB1" i="59"/>
  <c r="EC1" i="59"/>
  <c r="ED1" i="59"/>
  <c r="EE1" i="59"/>
  <c r="EF1" i="59"/>
  <c r="EG1" i="59"/>
  <c r="EH1" i="59"/>
  <c r="EI1" i="59"/>
  <c r="EJ1" i="59"/>
  <c r="EK1" i="59"/>
  <c r="EL1" i="59"/>
  <c r="EM1" i="59"/>
  <c r="EN1" i="59"/>
  <c r="EO1" i="59"/>
  <c r="EP1" i="59"/>
  <c r="EQ1" i="59"/>
  <c r="ER1" i="59"/>
  <c r="ES1" i="59"/>
  <c r="ET1" i="59"/>
  <c r="EU1" i="59"/>
  <c r="EV1" i="59"/>
  <c r="EW1" i="59"/>
  <c r="EX1" i="59"/>
  <c r="EY1" i="59"/>
  <c r="EZ1" i="59"/>
  <c r="FA1" i="59"/>
  <c r="FB1" i="59"/>
  <c r="FC1" i="59"/>
  <c r="FD1" i="59"/>
  <c r="FE1" i="59"/>
  <c r="FF1" i="59"/>
  <c r="FG1" i="59"/>
  <c r="FH1" i="59"/>
  <c r="FI1" i="59"/>
  <c r="FJ1" i="59"/>
  <c r="FK1" i="59"/>
  <c r="FL1" i="59"/>
  <c r="FM1" i="59"/>
  <c r="FN1" i="59"/>
  <c r="FO1" i="59"/>
  <c r="FP1" i="59"/>
  <c r="FQ1" i="59"/>
  <c r="FR1" i="59"/>
  <c r="FS1" i="59"/>
  <c r="FT1" i="59"/>
  <c r="FU1" i="59"/>
  <c r="FV1" i="59"/>
  <c r="FW1" i="59"/>
  <c r="FX1" i="59"/>
  <c r="FY1" i="59"/>
  <c r="FZ1" i="59"/>
  <c r="GA1" i="59"/>
  <c r="GB1" i="59"/>
  <c r="GC1" i="59"/>
  <c r="GD1" i="59"/>
  <c r="GE1" i="59"/>
  <c r="GF1" i="59"/>
  <c r="GG1" i="59"/>
  <c r="GH1" i="59"/>
  <c r="GI1" i="59"/>
  <c r="GJ1" i="59"/>
  <c r="GK1" i="59"/>
  <c r="GL1" i="59"/>
  <c r="GM1" i="59"/>
  <c r="GN1" i="59"/>
  <c r="GO1" i="59"/>
  <c r="GP1" i="59"/>
  <c r="GQ1" i="59"/>
  <c r="GR1" i="59"/>
  <c r="GS1" i="59"/>
  <c r="GT1" i="59"/>
  <c r="GU1" i="59"/>
  <c r="GV1" i="59"/>
  <c r="GW1" i="59"/>
  <c r="GX1" i="59"/>
  <c r="GY1" i="59"/>
  <c r="GZ1" i="59"/>
  <c r="HA1" i="59"/>
  <c r="HB1" i="59"/>
  <c r="HC1" i="59"/>
  <c r="HD1" i="59"/>
  <c r="HE1" i="59"/>
  <c r="HF1" i="59"/>
  <c r="HG1" i="59"/>
  <c r="HH1" i="59"/>
  <c r="HI1" i="59"/>
  <c r="HJ1" i="59"/>
  <c r="HK1" i="59"/>
  <c r="HL1" i="59"/>
  <c r="HM1" i="59"/>
  <c r="HN1" i="59"/>
  <c r="HO1" i="59"/>
  <c r="HP1" i="59"/>
  <c r="HQ1" i="59"/>
  <c r="HR1" i="59"/>
  <c r="HS1" i="59"/>
  <c r="HT1" i="59"/>
  <c r="HU1" i="59"/>
  <c r="HV1" i="59"/>
  <c r="HW1" i="59"/>
  <c r="HX1" i="59"/>
  <c r="HY1" i="59"/>
  <c r="HZ1" i="59"/>
  <c r="IA1" i="59"/>
  <c r="IB1" i="59"/>
  <c r="IC1" i="59"/>
  <c r="ID1" i="59"/>
  <c r="IE1" i="59"/>
  <c r="IF1" i="59"/>
  <c r="IG1" i="59"/>
  <c r="IH1" i="59"/>
  <c r="II1" i="59"/>
  <c r="IJ1" i="59"/>
  <c r="IK1" i="59"/>
  <c r="IL1" i="59"/>
  <c r="IM1" i="59"/>
  <c r="IN1" i="59"/>
  <c r="IO1" i="59"/>
  <c r="IP1" i="59"/>
  <c r="IQ1" i="59"/>
  <c r="IR1" i="59"/>
  <c r="IS1" i="59"/>
  <c r="IT1" i="59"/>
  <c r="IU1" i="59"/>
  <c r="IV1" i="59"/>
  <c r="I43" i="27"/>
  <c r="I44" i="27"/>
  <c r="I45" i="27"/>
  <c r="I46" i="27"/>
  <c r="FP80" i="59"/>
  <c r="I47" i="27"/>
  <c r="GJ80" i="59"/>
  <c r="I48" i="27"/>
  <c r="HD80" i="59"/>
  <c r="F43" i="27"/>
  <c r="DE80" i="59"/>
  <c r="F44" i="27"/>
  <c r="DY80" i="59"/>
  <c r="F45" i="27"/>
  <c r="ES80" i="59"/>
  <c r="EH81" i="59"/>
  <c r="EU81" i="59"/>
  <c r="EZ81" i="59"/>
  <c r="FE81" i="59"/>
  <c r="FJ81" i="59"/>
  <c r="DU81" i="59"/>
  <c r="F56" i="27"/>
  <c r="BX81" i="59"/>
  <c r="G56" i="27"/>
  <c r="CL81" i="59"/>
  <c r="CM81" i="59"/>
  <c r="BK81" i="59"/>
  <c r="BJ81" i="59"/>
  <c r="A47" i="27"/>
  <c r="GB80" i="59"/>
  <c r="A48" i="27"/>
  <c r="GV80" i="59"/>
  <c r="A46" i="27"/>
  <c r="FH80" i="59"/>
  <c r="CR81" i="59"/>
  <c r="CQ81" i="59"/>
  <c r="CP81" i="59"/>
  <c r="CD81" i="59"/>
  <c r="CC81" i="59"/>
  <c r="CB81" i="59"/>
  <c r="BY81" i="59"/>
  <c r="M56" i="27"/>
  <c r="G44" i="27"/>
  <c r="DZ80" i="59"/>
  <c r="EB80" i="59"/>
  <c r="G43" i="27"/>
  <c r="DF80" i="59"/>
  <c r="DH80" i="59"/>
  <c r="G45" i="27"/>
  <c r="ET80" i="59"/>
  <c r="EV80" i="59"/>
  <c r="BZ81" i="59"/>
  <c r="BN81" i="59"/>
  <c r="BO81" i="59"/>
  <c r="CN81" i="59"/>
  <c r="BP81" i="59"/>
  <c r="CO81" i="59"/>
  <c r="CA81" i="59"/>
  <c r="BL81" i="59"/>
  <c r="BM81" i="59"/>
  <c r="D47" i="27"/>
  <c r="CS81" i="59"/>
  <c r="D46" i="27"/>
  <c r="HT250" i="59"/>
  <c r="IQ250" i="59"/>
  <c r="W251" i="59"/>
  <c r="AT251" i="59"/>
  <c r="BQ251" i="59"/>
  <c r="CN251" i="59"/>
  <c r="DK251" i="59"/>
  <c r="DZ251" i="59"/>
  <c r="EB251" i="59"/>
  <c r="ED251" i="59"/>
  <c r="EF251" i="59"/>
  <c r="EH251" i="59"/>
  <c r="EJ251" i="59"/>
  <c r="EL251" i="59"/>
  <c r="EN251" i="59"/>
  <c r="GW250" i="59"/>
  <c r="CE81" i="59"/>
  <c r="BQ81" i="59"/>
  <c r="D48" i="27"/>
  <c r="GY80" i="59"/>
  <c r="GE80" i="59"/>
  <c r="F47" i="27"/>
  <c r="FK80" i="59"/>
  <c r="F46" i="27"/>
  <c r="H119" i="42"/>
  <c r="HM311" i="59"/>
  <c r="F48" i="27"/>
  <c r="G48" i="27"/>
  <c r="HB80" i="59"/>
  <c r="FM80" i="59"/>
  <c r="G46" i="27"/>
  <c r="FN80" i="59"/>
  <c r="GG80" i="59"/>
  <c r="G47" i="27"/>
  <c r="GH80" i="59"/>
  <c r="A23" i="56"/>
  <c r="A22" i="56"/>
  <c r="A21" i="56"/>
  <c r="FX250" i="59"/>
  <c r="F49" i="56"/>
  <c r="E26" i="2"/>
  <c r="DG257" i="59"/>
  <c r="E27" i="2"/>
  <c r="FA257" i="59"/>
  <c r="E28" i="2"/>
  <c r="GU257" i="59"/>
  <c r="E29" i="2"/>
  <c r="IO257" i="59"/>
  <c r="E30" i="2"/>
  <c r="AR258" i="59"/>
  <c r="E31" i="2"/>
  <c r="CL258" i="59"/>
  <c r="A1" i="58"/>
  <c r="DS325" i="59"/>
  <c r="AS250" i="59"/>
  <c r="AU250" i="59"/>
  <c r="ED249" i="59"/>
  <c r="EF249" i="59"/>
  <c r="HG249" i="59"/>
  <c r="HI249" i="59"/>
  <c r="HA80" i="59"/>
  <c r="F6" i="56"/>
  <c r="FW244" i="59"/>
  <c r="EU251" i="59"/>
  <c r="H49" i="56"/>
  <c r="EW251" i="59"/>
  <c r="H6" i="56"/>
  <c r="FY244" i="59"/>
  <c r="J49" i="56"/>
  <c r="L49" i="56"/>
  <c r="EY251" i="59"/>
  <c r="FA251" i="59"/>
  <c r="J6" i="56"/>
  <c r="GA244" i="59"/>
  <c r="A2" i="58"/>
  <c r="EM325" i="59"/>
  <c r="N49" i="56"/>
  <c r="FC251" i="59"/>
  <c r="L6" i="56"/>
  <c r="GC244" i="59"/>
  <c r="A2" i="57"/>
  <c r="AQ334" i="59"/>
  <c r="A1" i="57"/>
  <c r="W334" i="59"/>
  <c r="P49" i="56"/>
  <c r="FE251" i="59"/>
  <c r="N6" i="56"/>
  <c r="GE244" i="59"/>
  <c r="E21" i="2"/>
  <c r="EB256" i="59"/>
  <c r="R49" i="56"/>
  <c r="FG251" i="59"/>
  <c r="P6" i="56"/>
  <c r="GG244" i="59"/>
  <c r="I334" i="36"/>
  <c r="EO102" i="59"/>
  <c r="G334" i="36"/>
  <c r="EM102" i="59"/>
  <c r="F334" i="36"/>
  <c r="EL102" i="59"/>
  <c r="I324" i="36"/>
  <c r="Y102" i="59"/>
  <c r="G324" i="36"/>
  <c r="W102" i="59"/>
  <c r="F324" i="36"/>
  <c r="V102" i="59"/>
  <c r="I314" i="36"/>
  <c r="EZ101" i="59"/>
  <c r="G314" i="36"/>
  <c r="EX101" i="59"/>
  <c r="F314" i="36"/>
  <c r="EW101" i="59"/>
  <c r="I304" i="36"/>
  <c r="AI101" i="59"/>
  <c r="G304" i="36"/>
  <c r="AG101" i="59"/>
  <c r="F304" i="36"/>
  <c r="AF101" i="59"/>
  <c r="I294" i="36"/>
  <c r="FJ100" i="59"/>
  <c r="G294" i="36"/>
  <c r="FH100" i="59"/>
  <c r="F294" i="36"/>
  <c r="FG100" i="59"/>
  <c r="I284" i="36"/>
  <c r="AT100" i="59"/>
  <c r="G284" i="36"/>
  <c r="AR100" i="59"/>
  <c r="F284" i="36"/>
  <c r="AQ100" i="59"/>
  <c r="I274" i="36"/>
  <c r="FU99" i="59"/>
  <c r="G274" i="36"/>
  <c r="FS99" i="59"/>
  <c r="F274" i="36"/>
  <c r="FR99" i="59"/>
  <c r="I264" i="36"/>
  <c r="BE99" i="59"/>
  <c r="G264" i="36"/>
  <c r="BC99" i="59"/>
  <c r="F264" i="36"/>
  <c r="BB99" i="59"/>
  <c r="I254" i="36"/>
  <c r="GE98" i="59"/>
  <c r="G254" i="36"/>
  <c r="GC98" i="59"/>
  <c r="F254" i="36"/>
  <c r="GB98" i="59"/>
  <c r="I244" i="36"/>
  <c r="BO98" i="59"/>
  <c r="G244" i="36"/>
  <c r="BM98" i="59"/>
  <c r="F244" i="36"/>
  <c r="BL98" i="59"/>
  <c r="I234" i="36"/>
  <c r="GP97" i="59"/>
  <c r="G234" i="36"/>
  <c r="GN97" i="59"/>
  <c r="F234" i="36"/>
  <c r="GM97" i="59"/>
  <c r="I224" i="36"/>
  <c r="BU97" i="59"/>
  <c r="G224" i="36"/>
  <c r="BS97" i="59"/>
  <c r="F224" i="36"/>
  <c r="BR97" i="59"/>
  <c r="I214" i="36"/>
  <c r="GM96" i="59"/>
  <c r="G214" i="36"/>
  <c r="GK96" i="59"/>
  <c r="F214" i="36"/>
  <c r="I204" i="36"/>
  <c r="BM96" i="59"/>
  <c r="G204" i="36"/>
  <c r="BK96" i="59"/>
  <c r="F204" i="36"/>
  <c r="BJ96" i="59"/>
  <c r="I194" i="36"/>
  <c r="GM95" i="59"/>
  <c r="G194" i="36"/>
  <c r="GK95" i="59"/>
  <c r="F194" i="36"/>
  <c r="GJ95" i="59"/>
  <c r="I184" i="36"/>
  <c r="BW95" i="59"/>
  <c r="G184" i="36"/>
  <c r="BU95" i="59"/>
  <c r="F184" i="36"/>
  <c r="BT95" i="59"/>
  <c r="I174" i="36"/>
  <c r="GX94" i="59"/>
  <c r="G174" i="36"/>
  <c r="GV94" i="59"/>
  <c r="F174" i="36"/>
  <c r="GU94" i="59"/>
  <c r="I164" i="36"/>
  <c r="CH94" i="59"/>
  <c r="G164" i="36"/>
  <c r="CF94" i="59"/>
  <c r="F164" i="36"/>
  <c r="CE94" i="59"/>
  <c r="I154" i="36"/>
  <c r="HI93" i="59"/>
  <c r="G154" i="36"/>
  <c r="HG93" i="59"/>
  <c r="F154" i="36"/>
  <c r="HF93" i="59"/>
  <c r="I144" i="36"/>
  <c r="CS93" i="59"/>
  <c r="G144" i="36"/>
  <c r="CQ93" i="59"/>
  <c r="F144" i="36"/>
  <c r="CP93" i="59"/>
  <c r="I134" i="36"/>
  <c r="HT92" i="59"/>
  <c r="G134" i="36"/>
  <c r="HR92" i="59"/>
  <c r="F134" i="36"/>
  <c r="HQ92" i="59"/>
  <c r="I124" i="36"/>
  <c r="DD92" i="59"/>
  <c r="G124" i="36"/>
  <c r="DB92" i="59"/>
  <c r="F124" i="36"/>
  <c r="DA92" i="59"/>
  <c r="I114" i="36"/>
  <c r="ID91" i="59"/>
  <c r="G114" i="36"/>
  <c r="IB91" i="59"/>
  <c r="F114" i="36"/>
  <c r="IA91" i="59"/>
  <c r="I104" i="36"/>
  <c r="DD91" i="59"/>
  <c r="G104" i="36"/>
  <c r="DB91" i="59"/>
  <c r="F104" i="36"/>
  <c r="DA91" i="59"/>
  <c r="I94" i="36"/>
  <c r="HV90" i="59"/>
  <c r="G94" i="36"/>
  <c r="HT90" i="59"/>
  <c r="F94" i="36"/>
  <c r="HS90" i="59"/>
  <c r="I84" i="36"/>
  <c r="CV90" i="59"/>
  <c r="G84" i="36"/>
  <c r="CT90" i="59"/>
  <c r="F84" i="36"/>
  <c r="CS90" i="59"/>
  <c r="I74" i="36"/>
  <c r="HV89" i="59"/>
  <c r="G74" i="36"/>
  <c r="HT89" i="59"/>
  <c r="F74" i="36"/>
  <c r="HS89" i="59"/>
  <c r="I64" i="36"/>
  <c r="DF89" i="59"/>
  <c r="G64" i="36"/>
  <c r="DD89" i="59"/>
  <c r="F64" i="36"/>
  <c r="DC89" i="59"/>
  <c r="I54" i="36"/>
  <c r="IG88" i="59"/>
  <c r="G54" i="36"/>
  <c r="IE88" i="59"/>
  <c r="F54" i="36"/>
  <c r="ID88" i="59"/>
  <c r="I44" i="36"/>
  <c r="DQ88" i="59"/>
  <c r="G44" i="36"/>
  <c r="DO88" i="59"/>
  <c r="F44" i="36"/>
  <c r="DN88" i="59"/>
  <c r="B35" i="36"/>
  <c r="F88" i="59"/>
  <c r="B34" i="36"/>
  <c r="IK87" i="59"/>
  <c r="B33" i="36"/>
  <c r="HY87" i="59"/>
  <c r="B32" i="36"/>
  <c r="HM87" i="59"/>
  <c r="F31" i="36"/>
  <c r="HE87" i="59"/>
  <c r="F30" i="36"/>
  <c r="GS87" i="59"/>
  <c r="B30" i="36"/>
  <c r="GO87" i="59"/>
  <c r="F25" i="36"/>
  <c r="EK87" i="59"/>
  <c r="F24" i="36"/>
  <c r="DY87" i="59"/>
  <c r="F23" i="36"/>
  <c r="DM87" i="59"/>
  <c r="B22" i="36"/>
  <c r="B21" i="36"/>
  <c r="B20" i="36"/>
  <c r="B19" i="36"/>
  <c r="F18" i="36"/>
  <c r="BE87" i="59"/>
  <c r="B17" i="36"/>
  <c r="B7" i="36"/>
  <c r="F20" i="36"/>
  <c r="CC87" i="59"/>
  <c r="BY87" i="59"/>
  <c r="F17" i="36"/>
  <c r="AS87" i="59"/>
  <c r="AO87" i="59"/>
  <c r="F21" i="36"/>
  <c r="CO87" i="59"/>
  <c r="CK87" i="59"/>
  <c r="F85" i="59"/>
  <c r="GJ96" i="59"/>
  <c r="F22" i="36"/>
  <c r="DA87" i="59"/>
  <c r="CW87" i="59"/>
  <c r="F19" i="36"/>
  <c r="BQ87" i="59"/>
  <c r="BM87" i="59"/>
  <c r="B16" i="36"/>
  <c r="FJ86" i="59"/>
  <c r="J29" i="36"/>
  <c r="GK87" i="59"/>
  <c r="T49" i="56"/>
  <c r="FI251" i="59"/>
  <c r="R6" i="56"/>
  <c r="GI244" i="59"/>
  <c r="F16" i="36"/>
  <c r="AG87" i="59"/>
  <c r="AC87" i="59"/>
  <c r="V49" i="56"/>
  <c r="FK251" i="59"/>
  <c r="T6" i="56"/>
  <c r="GK244" i="59"/>
  <c r="L47" i="11"/>
  <c r="K50" i="7"/>
  <c r="A45" i="49"/>
  <c r="EP318" i="59"/>
  <c r="A36" i="49"/>
  <c r="CD318" i="59"/>
  <c r="A27" i="49"/>
  <c r="R318" i="59"/>
  <c r="A43" i="42"/>
  <c r="GC310" i="59"/>
  <c r="A34" i="42"/>
  <c r="DQ310" i="59"/>
  <c r="A25" i="42"/>
  <c r="BE310" i="59"/>
  <c r="I47" i="11"/>
  <c r="L48" i="7"/>
  <c r="BD301" i="59"/>
  <c r="J47" i="11"/>
  <c r="K297" i="59"/>
  <c r="J46" i="11"/>
  <c r="HT296" i="59"/>
  <c r="H46" i="11"/>
  <c r="HR296" i="59"/>
  <c r="F46" i="11"/>
  <c r="HP296" i="59"/>
  <c r="D47" i="11"/>
  <c r="D46" i="11"/>
  <c r="HN296" i="59"/>
  <c r="C47" i="11"/>
  <c r="B46" i="11"/>
  <c r="HL296" i="59"/>
  <c r="A246" i="42"/>
  <c r="GX314" i="59"/>
  <c r="A239" i="42"/>
  <c r="FB314" i="59"/>
  <c r="A253" i="42"/>
  <c r="IT314" i="59"/>
  <c r="A260" i="42"/>
  <c r="AY315" i="59"/>
  <c r="C260" i="42"/>
  <c r="BA315" i="59"/>
  <c r="J297" i="59"/>
  <c r="C239" i="42"/>
  <c r="FD314" i="59"/>
  <c r="IU296" i="59"/>
  <c r="B246" i="42"/>
  <c r="GY314" i="59"/>
  <c r="IV296" i="59"/>
  <c r="B45" i="49"/>
  <c r="EQ318" i="59"/>
  <c r="M297" i="59"/>
  <c r="X49" i="56"/>
  <c r="FM251" i="59"/>
  <c r="V6" i="56"/>
  <c r="GM244" i="59"/>
  <c r="B25" i="42"/>
  <c r="BF310" i="59"/>
  <c r="B27" i="49"/>
  <c r="S318" i="59"/>
  <c r="B43" i="42"/>
  <c r="GD310" i="59"/>
  <c r="FK245" i="59"/>
  <c r="IN245" i="59"/>
  <c r="BZ246" i="59"/>
  <c r="FC246" i="59"/>
  <c r="IF246" i="59"/>
  <c r="BR247" i="59"/>
  <c r="EU247" i="59"/>
  <c r="HX247" i="59"/>
  <c r="BJ248" i="59"/>
  <c r="CH245" i="59"/>
  <c r="FA250" i="59"/>
  <c r="AS7" i="2"/>
  <c r="AD254" i="59"/>
  <c r="Z49" i="56"/>
  <c r="FO251" i="59"/>
  <c r="X6" i="56"/>
  <c r="A2" i="49"/>
  <c r="BE317" i="59"/>
  <c r="A1" i="49"/>
  <c r="AK317" i="59"/>
  <c r="A5" i="42"/>
  <c r="ER309" i="59"/>
  <c r="A2" i="42"/>
  <c r="CL309" i="59"/>
  <c r="A1" i="42"/>
  <c r="BR309" i="59"/>
  <c r="X243" i="59"/>
  <c r="GO244" i="59"/>
  <c r="AB49" i="56"/>
  <c r="FQ251" i="59"/>
  <c r="Z6" i="56"/>
  <c r="GQ244" i="59"/>
  <c r="AD49" i="56"/>
  <c r="FS251" i="59"/>
  <c r="AB6" i="56"/>
  <c r="GS244" i="59"/>
  <c r="AF49" i="56"/>
  <c r="FU251" i="59"/>
  <c r="AD6" i="56"/>
  <c r="GU244" i="59"/>
  <c r="A2" i="53"/>
  <c r="HH329" i="59"/>
  <c r="A1" i="53"/>
  <c r="GN329" i="59"/>
  <c r="B2" i="11"/>
  <c r="DH291" i="59"/>
  <c r="B1" i="11"/>
  <c r="CT291" i="59"/>
  <c r="Q5" i="13"/>
  <c r="CJ267" i="59"/>
  <c r="BR267" i="59"/>
  <c r="P46" i="13"/>
  <c r="BH267" i="59"/>
  <c r="AQ267" i="59"/>
  <c r="P45" i="13"/>
  <c r="AG267" i="59"/>
  <c r="P267" i="59"/>
  <c r="P44" i="13"/>
  <c r="F267" i="59"/>
  <c r="IF266" i="59"/>
  <c r="HV266" i="59"/>
  <c r="HE266" i="59"/>
  <c r="GU266" i="59"/>
  <c r="GD266" i="59"/>
  <c r="FT266" i="59"/>
  <c r="FC266" i="59"/>
  <c r="ES266" i="59"/>
  <c r="EB266" i="59"/>
  <c r="DR266" i="59"/>
  <c r="DA266" i="59"/>
  <c r="CQ266" i="59"/>
  <c r="BZ266" i="59"/>
  <c r="BP266" i="59"/>
  <c r="AY266" i="59"/>
  <c r="AO266" i="59"/>
  <c r="X266" i="59"/>
  <c r="N266" i="59"/>
  <c r="IN265" i="59"/>
  <c r="ID265" i="59"/>
  <c r="HM265" i="59"/>
  <c r="HC265" i="59"/>
  <c r="GL265" i="59"/>
  <c r="GB265" i="59"/>
  <c r="FK265" i="59"/>
  <c r="FA265" i="59"/>
  <c r="EJ265" i="59"/>
  <c r="DZ265" i="59"/>
  <c r="DI265" i="59"/>
  <c r="CY265" i="59"/>
  <c r="CH265" i="59"/>
  <c r="BX265" i="59"/>
  <c r="BG265" i="59"/>
  <c r="AW265" i="59"/>
  <c r="A2" i="13"/>
  <c r="FF262" i="59"/>
  <c r="A1" i="13"/>
  <c r="EL262" i="59"/>
  <c r="A2" i="2"/>
  <c r="CI253" i="59"/>
  <c r="A1" i="2"/>
  <c r="BO253" i="59"/>
  <c r="A2" i="5"/>
  <c r="CL161" i="59"/>
  <c r="A1" i="5"/>
  <c r="BK161" i="59"/>
  <c r="A2" i="40"/>
  <c r="CU105" i="59"/>
  <c r="A1" i="40"/>
  <c r="CA105" i="59"/>
  <c r="AH49" i="56"/>
  <c r="FW251" i="59"/>
  <c r="AF6" i="56"/>
  <c r="GW244" i="59"/>
  <c r="R33" i="13"/>
  <c r="HE265" i="59"/>
  <c r="R37" i="13"/>
  <c r="BR266" i="59"/>
  <c r="R30" i="13"/>
  <c r="EB265" i="59"/>
  <c r="R41" i="13"/>
  <c r="FV266" i="59"/>
  <c r="R34" i="13"/>
  <c r="IF265" i="59"/>
  <c r="R38" i="13"/>
  <c r="CS266" i="59"/>
  <c r="R45" i="13"/>
  <c r="AI267" i="59"/>
  <c r="R27" i="13"/>
  <c r="AY265" i="59"/>
  <c r="R31" i="13"/>
  <c r="FC265" i="59"/>
  <c r="R42" i="13"/>
  <c r="GW266" i="59"/>
  <c r="R35" i="13"/>
  <c r="P266" i="59"/>
  <c r="R39" i="13"/>
  <c r="DT266" i="59"/>
  <c r="R46" i="13"/>
  <c r="BJ267" i="59"/>
  <c r="R28" i="13"/>
  <c r="BZ265" i="59"/>
  <c r="R32" i="13"/>
  <c r="GD265" i="59"/>
  <c r="R43" i="13"/>
  <c r="HX266" i="59"/>
  <c r="R36" i="13"/>
  <c r="AQ266" i="59"/>
  <c r="R40" i="13"/>
  <c r="EU266" i="59"/>
  <c r="R29" i="13"/>
  <c r="DA265" i="59"/>
  <c r="R44" i="13"/>
  <c r="H267" i="59"/>
  <c r="A2" i="36"/>
  <c r="CT86" i="59"/>
  <c r="A1" i="36"/>
  <c r="CG86" i="59"/>
  <c r="A2" i="46"/>
  <c r="IG82" i="59"/>
  <c r="A1" i="46"/>
  <c r="HN82" i="59"/>
  <c r="A2" i="27"/>
  <c r="AM77" i="59"/>
  <c r="A1" i="27"/>
  <c r="S77" i="59"/>
  <c r="A2" i="48"/>
  <c r="I71" i="59"/>
  <c r="A1" i="48"/>
  <c r="IF70" i="59"/>
  <c r="A2" i="24"/>
  <c r="HM18" i="59"/>
  <c r="A1" i="24"/>
  <c r="GS18" i="59"/>
  <c r="A2" i="45"/>
  <c r="Y13" i="59"/>
  <c r="A1" i="45"/>
  <c r="IV12" i="59"/>
  <c r="A2" i="43"/>
  <c r="EO4" i="59"/>
  <c r="A1" i="43"/>
  <c r="DU4" i="59"/>
  <c r="A2" i="37"/>
  <c r="BC322" i="59"/>
  <c r="A1" i="37"/>
  <c r="AI322" i="59"/>
  <c r="A2" i="41"/>
  <c r="CL304" i="59"/>
  <c r="A1" i="41"/>
  <c r="BR304" i="59"/>
  <c r="A2" i="18"/>
  <c r="GQ302" i="59"/>
  <c r="A1" i="18"/>
  <c r="FW302" i="59"/>
  <c r="A2" i="56"/>
  <c r="AI244" i="59"/>
  <c r="A1" i="56"/>
  <c r="O244" i="59"/>
  <c r="A8" i="56"/>
  <c r="A9" i="56"/>
  <c r="A10" i="56"/>
  <c r="A11" i="56"/>
  <c r="A12" i="56"/>
  <c r="A13" i="56"/>
  <c r="IE246" i="59"/>
  <c r="A14" i="56"/>
  <c r="BQ247" i="59"/>
  <c r="A15" i="56"/>
  <c r="ET247" i="59"/>
  <c r="A16" i="56"/>
  <c r="HW247" i="59"/>
  <c r="A17" i="56"/>
  <c r="BI248" i="59"/>
  <c r="A18" i="56"/>
  <c r="A19" i="56"/>
  <c r="A20" i="56"/>
  <c r="FB246" i="59"/>
  <c r="C12" i="56"/>
  <c r="FD246" i="59"/>
  <c r="BY246" i="59"/>
  <c r="M14" i="24"/>
  <c r="O14" i="24"/>
  <c r="M15" i="24"/>
  <c r="N15" i="24"/>
  <c r="O15" i="24"/>
  <c r="C11" i="56"/>
  <c r="IM245" i="59"/>
  <c r="M13" i="24"/>
  <c r="O13" i="24"/>
  <c r="C10" i="56"/>
  <c r="IO245" i="59"/>
  <c r="FJ245" i="59"/>
  <c r="M9" i="24"/>
  <c r="N9" i="24"/>
  <c r="O9" i="24"/>
  <c r="M10" i="24"/>
  <c r="N10" i="24"/>
  <c r="O10" i="24"/>
  <c r="M11" i="24"/>
  <c r="N11" i="24"/>
  <c r="O11" i="24"/>
  <c r="O12" i="24"/>
  <c r="C9" i="56"/>
  <c r="CG245" i="59"/>
  <c r="M16" i="24"/>
  <c r="N16" i="24"/>
  <c r="O16" i="24"/>
  <c r="C8" i="56"/>
  <c r="HO248" i="59"/>
  <c r="HQ248" i="59"/>
  <c r="EL248" i="59"/>
  <c r="EN248" i="59"/>
  <c r="BA249" i="59"/>
  <c r="BC249" i="59"/>
  <c r="AJ49" i="56"/>
  <c r="FY251" i="59"/>
  <c r="AH6" i="56"/>
  <c r="GY244" i="59"/>
  <c r="BK248" i="59"/>
  <c r="HY247" i="59"/>
  <c r="EV247" i="59"/>
  <c r="BS247" i="59"/>
  <c r="GX250" i="59"/>
  <c r="DL251" i="59"/>
  <c r="CO251" i="59"/>
  <c r="BR251" i="59"/>
  <c r="EG251" i="59"/>
  <c r="EE251" i="59"/>
  <c r="IR250" i="59"/>
  <c r="EC251" i="59"/>
  <c r="EO251" i="59"/>
  <c r="EM251" i="59"/>
  <c r="AU251" i="59"/>
  <c r="X251" i="59"/>
  <c r="EA251" i="59"/>
  <c r="EK251" i="59"/>
  <c r="EI251" i="59"/>
  <c r="HU250" i="59"/>
  <c r="A2" i="50"/>
  <c r="BF2" i="59"/>
  <c r="A1" i="50"/>
  <c r="A2" i="7"/>
  <c r="GD298" i="59"/>
  <c r="A1" i="7"/>
  <c r="FJ298" i="59"/>
  <c r="A2" i="55"/>
  <c r="AU278" i="59"/>
  <c r="A1" i="55"/>
  <c r="AA278" i="59"/>
  <c r="C27" i="56"/>
  <c r="EU250" i="59"/>
  <c r="AZ2" i="59"/>
  <c r="F1" i="59"/>
  <c r="AL49" i="56"/>
  <c r="GA251" i="59"/>
  <c r="AJ6" i="56"/>
  <c r="HA244" i="59"/>
  <c r="F7" i="55"/>
  <c r="E7" i="55"/>
  <c r="F6" i="55"/>
  <c r="DZ278" i="59"/>
  <c r="ES278" i="59"/>
  <c r="J10" i="5"/>
  <c r="HJ378" i="59"/>
  <c r="E10" i="5"/>
  <c r="HE378" i="59"/>
  <c r="ET278" i="59"/>
  <c r="I10" i="5"/>
  <c r="HI378" i="59"/>
  <c r="D10" i="5"/>
  <c r="HD378" i="59"/>
  <c r="AN49" i="56"/>
  <c r="GC251" i="59"/>
  <c r="AL6" i="56"/>
  <c r="HC244" i="59"/>
  <c r="K617" i="24"/>
  <c r="GW67" i="59"/>
  <c r="L617" i="24"/>
  <c r="GX67" i="59"/>
  <c r="J617" i="24"/>
  <c r="GV67" i="59"/>
  <c r="K596" i="24"/>
  <c r="AJ66" i="59"/>
  <c r="L596" i="24"/>
  <c r="AK66" i="59"/>
  <c r="J596" i="24"/>
  <c r="AI66" i="59"/>
  <c r="K575" i="24"/>
  <c r="DN64" i="59"/>
  <c r="L575" i="24"/>
  <c r="DO64" i="59"/>
  <c r="J575" i="24"/>
  <c r="DM64" i="59"/>
  <c r="K554" i="24"/>
  <c r="GR62" i="59"/>
  <c r="L554" i="24"/>
  <c r="GS62" i="59"/>
  <c r="J554" i="24"/>
  <c r="GQ62" i="59"/>
  <c r="K533" i="24"/>
  <c r="AE61" i="59"/>
  <c r="L533" i="24"/>
  <c r="AF61" i="59"/>
  <c r="J533" i="24"/>
  <c r="AD61" i="59"/>
  <c r="K512" i="24"/>
  <c r="DI59" i="59"/>
  <c r="L512" i="24"/>
  <c r="DJ59" i="59"/>
  <c r="J512" i="24"/>
  <c r="DH59" i="59"/>
  <c r="K491" i="24"/>
  <c r="GM57" i="59"/>
  <c r="L491" i="24"/>
  <c r="GN57" i="59"/>
  <c r="J491" i="24"/>
  <c r="GL57" i="59"/>
  <c r="K470" i="24"/>
  <c r="Z56" i="59"/>
  <c r="L470" i="24"/>
  <c r="AA56" i="59"/>
  <c r="J470" i="24"/>
  <c r="Y56" i="59"/>
  <c r="K449" i="24"/>
  <c r="DD54" i="59"/>
  <c r="L449" i="24"/>
  <c r="DE54" i="59"/>
  <c r="J449" i="24"/>
  <c r="DC54" i="59"/>
  <c r="K428" i="24"/>
  <c r="GH52" i="59"/>
  <c r="L428" i="24"/>
  <c r="GI52" i="59"/>
  <c r="J428" i="24"/>
  <c r="GG52" i="59"/>
  <c r="Q637" i="24"/>
  <c r="DE69" i="59"/>
  <c r="P637" i="24"/>
  <c r="DD69" i="59"/>
  <c r="M637" i="24"/>
  <c r="A637" i="24"/>
  <c r="CO69" i="59"/>
  <c r="Q636" i="24"/>
  <c r="CK69" i="59"/>
  <c r="P636" i="24"/>
  <c r="CJ69" i="59"/>
  <c r="M636" i="24"/>
  <c r="A636" i="24"/>
  <c r="BU69" i="59"/>
  <c r="Q635" i="24"/>
  <c r="BQ69" i="59"/>
  <c r="P635" i="24"/>
  <c r="BP69" i="59"/>
  <c r="M635" i="24"/>
  <c r="BM69" i="59"/>
  <c r="A635" i="24"/>
  <c r="BA69" i="59"/>
  <c r="Q634" i="24"/>
  <c r="AW69" i="59"/>
  <c r="P634" i="24"/>
  <c r="AV69" i="59"/>
  <c r="M634" i="24"/>
  <c r="A634" i="24"/>
  <c r="AG69" i="59"/>
  <c r="Q633" i="24"/>
  <c r="AC69" i="59"/>
  <c r="P633" i="24"/>
  <c r="AB69" i="59"/>
  <c r="M633" i="24"/>
  <c r="A633" i="24"/>
  <c r="M69" i="59"/>
  <c r="Q632" i="24"/>
  <c r="I69" i="59"/>
  <c r="P632" i="24"/>
  <c r="H69" i="59"/>
  <c r="M632" i="24"/>
  <c r="A632" i="24"/>
  <c r="IJ68" i="59"/>
  <c r="Q631" i="24"/>
  <c r="IF68" i="59"/>
  <c r="P631" i="24"/>
  <c r="IE68" i="59"/>
  <c r="M631" i="24"/>
  <c r="A631" i="24"/>
  <c r="HP68" i="59"/>
  <c r="Q630" i="24"/>
  <c r="HL68" i="59"/>
  <c r="P630" i="24"/>
  <c r="HK68" i="59"/>
  <c r="M630" i="24"/>
  <c r="A630" i="24"/>
  <c r="GV68" i="59"/>
  <c r="Q629" i="24"/>
  <c r="GR68" i="59"/>
  <c r="P629" i="24"/>
  <c r="GQ68" i="59"/>
  <c r="M629" i="24"/>
  <c r="A629" i="24"/>
  <c r="GB68" i="59"/>
  <c r="Q628" i="24"/>
  <c r="FX68" i="59"/>
  <c r="P628" i="24"/>
  <c r="FW68" i="59"/>
  <c r="M628" i="24"/>
  <c r="A628" i="24"/>
  <c r="FH68" i="59"/>
  <c r="Q616" i="24"/>
  <c r="GI67" i="59"/>
  <c r="P616" i="24"/>
  <c r="GH67" i="59"/>
  <c r="M616" i="24"/>
  <c r="A616" i="24"/>
  <c r="FS67" i="59"/>
  <c r="Q615" i="24"/>
  <c r="FO67" i="59"/>
  <c r="P615" i="24"/>
  <c r="FN67" i="59"/>
  <c r="M615" i="24"/>
  <c r="A615" i="24"/>
  <c r="EY67" i="59"/>
  <c r="Q614" i="24"/>
  <c r="EU67" i="59"/>
  <c r="P614" i="24"/>
  <c r="ET67" i="59"/>
  <c r="M614" i="24"/>
  <c r="EQ67" i="59"/>
  <c r="A614" i="24"/>
  <c r="EE67" i="59"/>
  <c r="Q613" i="24"/>
  <c r="EA67" i="59"/>
  <c r="P613" i="24"/>
  <c r="DZ67" i="59"/>
  <c r="M613" i="24"/>
  <c r="A613" i="24"/>
  <c r="DK67" i="59"/>
  <c r="Q612" i="24"/>
  <c r="DG67" i="59"/>
  <c r="P612" i="24"/>
  <c r="DF67" i="59"/>
  <c r="M612" i="24"/>
  <c r="A612" i="24"/>
  <c r="CQ67" i="59"/>
  <c r="Q611" i="24"/>
  <c r="CM67" i="59"/>
  <c r="P611" i="24"/>
  <c r="CL67" i="59"/>
  <c r="M611" i="24"/>
  <c r="A611" i="24"/>
  <c r="BW67" i="59"/>
  <c r="Q610" i="24"/>
  <c r="BS67" i="59"/>
  <c r="P610" i="24"/>
  <c r="BR67" i="59"/>
  <c r="M610" i="24"/>
  <c r="A610" i="24"/>
  <c r="BC67" i="59"/>
  <c r="Q609" i="24"/>
  <c r="AY67" i="59"/>
  <c r="P609" i="24"/>
  <c r="AX67" i="59"/>
  <c r="M609" i="24"/>
  <c r="A609" i="24"/>
  <c r="AI67" i="59"/>
  <c r="Q608" i="24"/>
  <c r="AE67" i="59"/>
  <c r="P608" i="24"/>
  <c r="AD67" i="59"/>
  <c r="M608" i="24"/>
  <c r="A608" i="24"/>
  <c r="O67" i="59"/>
  <c r="Q607" i="24"/>
  <c r="K67" i="59"/>
  <c r="P607" i="24"/>
  <c r="J67" i="59"/>
  <c r="M607" i="24"/>
  <c r="A607" i="24"/>
  <c r="IL66" i="59"/>
  <c r="Q595" i="24"/>
  <c r="V66" i="59"/>
  <c r="P595" i="24"/>
  <c r="U66" i="59"/>
  <c r="M595" i="24"/>
  <c r="A595" i="24"/>
  <c r="F66" i="59"/>
  <c r="Q594" i="24"/>
  <c r="IS65" i="59"/>
  <c r="P594" i="24"/>
  <c r="IR65" i="59"/>
  <c r="M594" i="24"/>
  <c r="A594" i="24"/>
  <c r="IC65" i="59"/>
  <c r="Q593" i="24"/>
  <c r="HY65" i="59"/>
  <c r="P593" i="24"/>
  <c r="HX65" i="59"/>
  <c r="M593" i="24"/>
  <c r="A593" i="24"/>
  <c r="HI65" i="59"/>
  <c r="Q592" i="24"/>
  <c r="HE65" i="59"/>
  <c r="P592" i="24"/>
  <c r="HD65" i="59"/>
  <c r="M592" i="24"/>
  <c r="A592" i="24"/>
  <c r="GO65" i="59"/>
  <c r="Q591" i="24"/>
  <c r="GK65" i="59"/>
  <c r="P591" i="24"/>
  <c r="GJ65" i="59"/>
  <c r="M591" i="24"/>
  <c r="A591" i="24"/>
  <c r="FU65" i="59"/>
  <c r="Q590" i="24"/>
  <c r="FQ65" i="59"/>
  <c r="P590" i="24"/>
  <c r="FP65" i="59"/>
  <c r="M590" i="24"/>
  <c r="A590" i="24"/>
  <c r="FA65" i="59"/>
  <c r="Q589" i="24"/>
  <c r="EW65" i="59"/>
  <c r="P589" i="24"/>
  <c r="EV65" i="59"/>
  <c r="M589" i="24"/>
  <c r="A589" i="24"/>
  <c r="EG65" i="59"/>
  <c r="Q588" i="24"/>
  <c r="EC65" i="59"/>
  <c r="P588" i="24"/>
  <c r="EB65" i="59"/>
  <c r="M588" i="24"/>
  <c r="A588" i="24"/>
  <c r="DM65" i="59"/>
  <c r="Q587" i="24"/>
  <c r="DI65" i="59"/>
  <c r="P587" i="24"/>
  <c r="DH65" i="59"/>
  <c r="M587" i="24"/>
  <c r="A587" i="24"/>
  <c r="CS65" i="59"/>
  <c r="Q586" i="24"/>
  <c r="CO65" i="59"/>
  <c r="P586" i="24"/>
  <c r="CN65" i="59"/>
  <c r="M586" i="24"/>
  <c r="A586" i="24"/>
  <c r="BY65" i="59"/>
  <c r="Q574" i="24"/>
  <c r="CZ64" i="59"/>
  <c r="P574" i="24"/>
  <c r="CY64" i="59"/>
  <c r="M574" i="24"/>
  <c r="A574" i="24"/>
  <c r="CJ64" i="59"/>
  <c r="Q573" i="24"/>
  <c r="CF64" i="59"/>
  <c r="P573" i="24"/>
  <c r="CE64" i="59"/>
  <c r="M573" i="24"/>
  <c r="A573" i="24"/>
  <c r="BP64" i="59"/>
  <c r="Q572" i="24"/>
  <c r="BL64" i="59"/>
  <c r="P572" i="24"/>
  <c r="BK64" i="59"/>
  <c r="M572" i="24"/>
  <c r="A572" i="24"/>
  <c r="AV64" i="59"/>
  <c r="Q571" i="24"/>
  <c r="AR64" i="59"/>
  <c r="P571" i="24"/>
  <c r="AQ64" i="59"/>
  <c r="M571" i="24"/>
  <c r="A571" i="24"/>
  <c r="AB64" i="59"/>
  <c r="Q570" i="24"/>
  <c r="X64" i="59"/>
  <c r="P570" i="24"/>
  <c r="W64" i="59"/>
  <c r="M570" i="24"/>
  <c r="A570" i="24"/>
  <c r="H64" i="59"/>
  <c r="Q569" i="24"/>
  <c r="IU63" i="59"/>
  <c r="P569" i="24"/>
  <c r="IT63" i="59"/>
  <c r="M569" i="24"/>
  <c r="A569" i="24"/>
  <c r="IE63" i="59"/>
  <c r="Q568" i="24"/>
  <c r="IA63" i="59"/>
  <c r="P568" i="24"/>
  <c r="HZ63" i="59"/>
  <c r="M568" i="24"/>
  <c r="A568" i="24"/>
  <c r="HK63" i="59"/>
  <c r="Q567" i="24"/>
  <c r="HG63" i="59"/>
  <c r="P567" i="24"/>
  <c r="HF63" i="59"/>
  <c r="M567" i="24"/>
  <c r="A567" i="24"/>
  <c r="GQ63" i="59"/>
  <c r="Q566" i="24"/>
  <c r="GM63" i="59"/>
  <c r="P566" i="24"/>
  <c r="GL63" i="59"/>
  <c r="M566" i="24"/>
  <c r="A566" i="24"/>
  <c r="FW63" i="59"/>
  <c r="Q565" i="24"/>
  <c r="FS63" i="59"/>
  <c r="P565" i="24"/>
  <c r="FR63" i="59"/>
  <c r="M565" i="24"/>
  <c r="A565" i="24"/>
  <c r="FC63" i="59"/>
  <c r="Q553" i="24"/>
  <c r="GD62" i="59"/>
  <c r="P553" i="24"/>
  <c r="GC62" i="59"/>
  <c r="M553" i="24"/>
  <c r="A553" i="24"/>
  <c r="FN62" i="59"/>
  <c r="Q552" i="24"/>
  <c r="FJ62" i="59"/>
  <c r="P552" i="24"/>
  <c r="FI62" i="59"/>
  <c r="M552" i="24"/>
  <c r="A552" i="24"/>
  <c r="ET62" i="59"/>
  <c r="Q551" i="24"/>
  <c r="EP62" i="59"/>
  <c r="P551" i="24"/>
  <c r="EO62" i="59"/>
  <c r="M551" i="24"/>
  <c r="A551" i="24"/>
  <c r="DZ62" i="59"/>
  <c r="Q550" i="24"/>
  <c r="DV62" i="59"/>
  <c r="P550" i="24"/>
  <c r="DU62" i="59"/>
  <c r="M550" i="24"/>
  <c r="A550" i="24"/>
  <c r="DF62" i="59"/>
  <c r="Q549" i="24"/>
  <c r="DB62" i="59"/>
  <c r="P549" i="24"/>
  <c r="DA62" i="59"/>
  <c r="M549" i="24"/>
  <c r="A549" i="24"/>
  <c r="CL62" i="59"/>
  <c r="Q548" i="24"/>
  <c r="CH62" i="59"/>
  <c r="P548" i="24"/>
  <c r="CG62" i="59"/>
  <c r="M548" i="24"/>
  <c r="A548" i="24"/>
  <c r="BR62" i="59"/>
  <c r="Q547" i="24"/>
  <c r="BN62" i="59"/>
  <c r="P547" i="24"/>
  <c r="BM62" i="59"/>
  <c r="M547" i="24"/>
  <c r="A547" i="24"/>
  <c r="AX62" i="59"/>
  <c r="Q546" i="24"/>
  <c r="AT62" i="59"/>
  <c r="P546" i="24"/>
  <c r="AS62" i="59"/>
  <c r="M546" i="24"/>
  <c r="A546" i="24"/>
  <c r="AD62" i="59"/>
  <c r="Q545" i="24"/>
  <c r="Z62" i="59"/>
  <c r="P545" i="24"/>
  <c r="Y62" i="59"/>
  <c r="M545" i="24"/>
  <c r="A545" i="24"/>
  <c r="J62" i="59"/>
  <c r="Q544" i="24"/>
  <c r="F62" i="59"/>
  <c r="P544" i="24"/>
  <c r="IV61" i="59"/>
  <c r="M544" i="24"/>
  <c r="IS61" i="59"/>
  <c r="A544" i="24"/>
  <c r="IG61" i="59"/>
  <c r="Q532" i="24"/>
  <c r="Q61" i="59"/>
  <c r="P532" i="24"/>
  <c r="P61" i="59"/>
  <c r="M532" i="24"/>
  <c r="Q531" i="24"/>
  <c r="IN60" i="59"/>
  <c r="P531" i="24"/>
  <c r="IM60" i="59"/>
  <c r="M531" i="24"/>
  <c r="A531" i="24"/>
  <c r="HX60" i="59"/>
  <c r="Q530" i="24"/>
  <c r="HT60" i="59"/>
  <c r="P530" i="24"/>
  <c r="HS60" i="59"/>
  <c r="M530" i="24"/>
  <c r="A530" i="24"/>
  <c r="HD60" i="59"/>
  <c r="Q529" i="24"/>
  <c r="GZ60" i="59"/>
  <c r="P529" i="24"/>
  <c r="GY60" i="59"/>
  <c r="M529" i="24"/>
  <c r="A529" i="24"/>
  <c r="GJ60" i="59"/>
  <c r="Q528" i="24"/>
  <c r="GF60" i="59"/>
  <c r="P528" i="24"/>
  <c r="GE60" i="59"/>
  <c r="M528" i="24"/>
  <c r="A528" i="24"/>
  <c r="FP60" i="59"/>
  <c r="Q527" i="24"/>
  <c r="FL60" i="59"/>
  <c r="P527" i="24"/>
  <c r="FK60" i="59"/>
  <c r="M527" i="24"/>
  <c r="A527" i="24"/>
  <c r="EV60" i="59"/>
  <c r="Q526" i="24"/>
  <c r="ER60" i="59"/>
  <c r="P526" i="24"/>
  <c r="EQ60" i="59"/>
  <c r="M526" i="24"/>
  <c r="A526" i="24"/>
  <c r="EB60" i="59"/>
  <c r="Q525" i="24"/>
  <c r="DX60" i="59"/>
  <c r="P525" i="24"/>
  <c r="DW60" i="59"/>
  <c r="M525" i="24"/>
  <c r="A525" i="24"/>
  <c r="DH60" i="59"/>
  <c r="Q524" i="24"/>
  <c r="DD60" i="59"/>
  <c r="P524" i="24"/>
  <c r="DC60" i="59"/>
  <c r="M524" i="24"/>
  <c r="A524" i="24"/>
  <c r="CN60" i="59"/>
  <c r="Q523" i="24"/>
  <c r="CJ60" i="59"/>
  <c r="P523" i="24"/>
  <c r="CI60" i="59"/>
  <c r="M523" i="24"/>
  <c r="A523" i="24"/>
  <c r="BT60" i="59"/>
  <c r="Q511" i="24"/>
  <c r="CU59" i="59"/>
  <c r="P511" i="24"/>
  <c r="CT59" i="59"/>
  <c r="M511" i="24"/>
  <c r="A511" i="24"/>
  <c r="CE59" i="59"/>
  <c r="Q510" i="24"/>
  <c r="CA59" i="59"/>
  <c r="P510" i="24"/>
  <c r="BZ59" i="59"/>
  <c r="M510" i="24"/>
  <c r="A510" i="24"/>
  <c r="BK59" i="59"/>
  <c r="Q509" i="24"/>
  <c r="BG59" i="59"/>
  <c r="P509" i="24"/>
  <c r="BF59" i="59"/>
  <c r="M509" i="24"/>
  <c r="A509" i="24"/>
  <c r="AQ59" i="59"/>
  <c r="Q508" i="24"/>
  <c r="AM59" i="59"/>
  <c r="P508" i="24"/>
  <c r="AL59" i="59"/>
  <c r="M508" i="24"/>
  <c r="A508" i="24"/>
  <c r="W59" i="59"/>
  <c r="Q507" i="24"/>
  <c r="S59" i="59"/>
  <c r="P507" i="24"/>
  <c r="R59" i="59"/>
  <c r="M507" i="24"/>
  <c r="A507" i="24"/>
  <c r="IT58" i="59"/>
  <c r="Q506" i="24"/>
  <c r="IP58" i="59"/>
  <c r="P506" i="24"/>
  <c r="IO58" i="59"/>
  <c r="M506" i="24"/>
  <c r="A506" i="24"/>
  <c r="HZ58" i="59"/>
  <c r="Q505" i="24"/>
  <c r="HV58" i="59"/>
  <c r="P505" i="24"/>
  <c r="HU58" i="59"/>
  <c r="M505" i="24"/>
  <c r="A505" i="24"/>
  <c r="HF58" i="59"/>
  <c r="Q504" i="24"/>
  <c r="HB58" i="59"/>
  <c r="P504" i="24"/>
  <c r="HA58" i="59"/>
  <c r="M504" i="24"/>
  <c r="A504" i="24"/>
  <c r="GL58" i="59"/>
  <c r="Q503" i="24"/>
  <c r="GH58" i="59"/>
  <c r="P503" i="24"/>
  <c r="GG58" i="59"/>
  <c r="M503" i="24"/>
  <c r="A503" i="24"/>
  <c r="FR58" i="59"/>
  <c r="Q502" i="24"/>
  <c r="FN58" i="59"/>
  <c r="P502" i="24"/>
  <c r="FM58" i="59"/>
  <c r="M502" i="24"/>
  <c r="FJ58" i="59"/>
  <c r="A502" i="24"/>
  <c r="EX58" i="59"/>
  <c r="Q490" i="24"/>
  <c r="FY57" i="59"/>
  <c r="P490" i="24"/>
  <c r="FX57" i="59"/>
  <c r="M490" i="24"/>
  <c r="A490" i="24"/>
  <c r="FI57" i="59"/>
  <c r="Q489" i="24"/>
  <c r="FE57" i="59"/>
  <c r="P489" i="24"/>
  <c r="FD57" i="59"/>
  <c r="M489" i="24"/>
  <c r="A489" i="24"/>
  <c r="EO57" i="59"/>
  <c r="Q488" i="24"/>
  <c r="EK57" i="59"/>
  <c r="P488" i="24"/>
  <c r="EJ57" i="59"/>
  <c r="M488" i="24"/>
  <c r="A488" i="24"/>
  <c r="DU57" i="59"/>
  <c r="Q487" i="24"/>
  <c r="DQ57" i="59"/>
  <c r="P487" i="24"/>
  <c r="DP57" i="59"/>
  <c r="M487" i="24"/>
  <c r="A487" i="24"/>
  <c r="DA57" i="59"/>
  <c r="Q486" i="24"/>
  <c r="CW57" i="59"/>
  <c r="P486" i="24"/>
  <c r="CV57" i="59"/>
  <c r="M486" i="24"/>
  <c r="A486" i="24"/>
  <c r="CG57" i="59"/>
  <c r="Q485" i="24"/>
  <c r="CC57" i="59"/>
  <c r="P485" i="24"/>
  <c r="CB57" i="59"/>
  <c r="M485" i="24"/>
  <c r="A485" i="24"/>
  <c r="BM57" i="59"/>
  <c r="Q484" i="24"/>
  <c r="BI57" i="59"/>
  <c r="P484" i="24"/>
  <c r="BH57" i="59"/>
  <c r="M484" i="24"/>
  <c r="A484" i="24"/>
  <c r="AS57" i="59"/>
  <c r="Q483" i="24"/>
  <c r="AO57" i="59"/>
  <c r="P483" i="24"/>
  <c r="AN57" i="59"/>
  <c r="M483" i="24"/>
  <c r="A483" i="24"/>
  <c r="Y57" i="59"/>
  <c r="Q482" i="24"/>
  <c r="U57" i="59"/>
  <c r="P482" i="24"/>
  <c r="T57" i="59"/>
  <c r="M482" i="24"/>
  <c r="A482" i="24"/>
  <c r="IV56" i="59"/>
  <c r="Q481" i="24"/>
  <c r="IR56" i="59"/>
  <c r="P481" i="24"/>
  <c r="IQ56" i="59"/>
  <c r="M481" i="24"/>
  <c r="IN56" i="59"/>
  <c r="A481" i="24"/>
  <c r="IB56" i="59"/>
  <c r="Q469" i="24"/>
  <c r="L56" i="59"/>
  <c r="P469" i="24"/>
  <c r="K56" i="59"/>
  <c r="M469" i="24"/>
  <c r="A469" i="24"/>
  <c r="IM55" i="59"/>
  <c r="Q468" i="24"/>
  <c r="II55" i="59"/>
  <c r="P468" i="24"/>
  <c r="IH55" i="59"/>
  <c r="M468" i="24"/>
  <c r="A468" i="24"/>
  <c r="HS55" i="59"/>
  <c r="Q467" i="24"/>
  <c r="HO55" i="59"/>
  <c r="P467" i="24"/>
  <c r="HN55" i="59"/>
  <c r="M467" i="24"/>
  <c r="A467" i="24"/>
  <c r="GY55" i="59"/>
  <c r="Q466" i="24"/>
  <c r="GU55" i="59"/>
  <c r="P466" i="24"/>
  <c r="GT55" i="59"/>
  <c r="M466" i="24"/>
  <c r="A466" i="24"/>
  <c r="GE55" i="59"/>
  <c r="Q465" i="24"/>
  <c r="GA55" i="59"/>
  <c r="P465" i="24"/>
  <c r="FZ55" i="59"/>
  <c r="M465" i="24"/>
  <c r="A465" i="24"/>
  <c r="FK55" i="59"/>
  <c r="Q464" i="24"/>
  <c r="FG55" i="59"/>
  <c r="P464" i="24"/>
  <c r="FF55" i="59"/>
  <c r="M464" i="24"/>
  <c r="A464" i="24"/>
  <c r="EQ55" i="59"/>
  <c r="Q463" i="24"/>
  <c r="EM55" i="59"/>
  <c r="P463" i="24"/>
  <c r="EL55" i="59"/>
  <c r="M463" i="24"/>
  <c r="A463" i="24"/>
  <c r="DW55" i="59"/>
  <c r="Q462" i="24"/>
  <c r="DS55" i="59"/>
  <c r="P462" i="24"/>
  <c r="DR55" i="59"/>
  <c r="M462" i="24"/>
  <c r="A462" i="24"/>
  <c r="DC55" i="59"/>
  <c r="Q461" i="24"/>
  <c r="CY55" i="59"/>
  <c r="P461" i="24"/>
  <c r="CX55" i="59"/>
  <c r="M461" i="24"/>
  <c r="A461" i="24"/>
  <c r="CI55" i="59"/>
  <c r="Q460" i="24"/>
  <c r="CE55" i="59"/>
  <c r="P460" i="24"/>
  <c r="CD55" i="59"/>
  <c r="M460" i="24"/>
  <c r="A460" i="24"/>
  <c r="BO55" i="59"/>
  <c r="Q448" i="24"/>
  <c r="CP54" i="59"/>
  <c r="P448" i="24"/>
  <c r="CO54" i="59"/>
  <c r="M448" i="24"/>
  <c r="A448" i="24"/>
  <c r="BZ54" i="59"/>
  <c r="Q447" i="24"/>
  <c r="BV54" i="59"/>
  <c r="P447" i="24"/>
  <c r="BU54" i="59"/>
  <c r="M447" i="24"/>
  <c r="A447" i="24"/>
  <c r="BF54" i="59"/>
  <c r="Q446" i="24"/>
  <c r="BB54" i="59"/>
  <c r="P446" i="24"/>
  <c r="BA54" i="59"/>
  <c r="M446" i="24"/>
  <c r="A446" i="24"/>
  <c r="AL54" i="59"/>
  <c r="Q445" i="24"/>
  <c r="AH54" i="59"/>
  <c r="P445" i="24"/>
  <c r="AG54" i="59"/>
  <c r="M445" i="24"/>
  <c r="A445" i="24"/>
  <c r="R54" i="59"/>
  <c r="Q444" i="24"/>
  <c r="N54" i="59"/>
  <c r="P444" i="24"/>
  <c r="M54" i="59"/>
  <c r="M444" i="24"/>
  <c r="A444" i="24"/>
  <c r="IO53" i="59"/>
  <c r="Q443" i="24"/>
  <c r="IK53" i="59"/>
  <c r="P443" i="24"/>
  <c r="IJ53" i="59"/>
  <c r="M443" i="24"/>
  <c r="A443" i="24"/>
  <c r="HU53" i="59"/>
  <c r="Q442" i="24"/>
  <c r="HQ53" i="59"/>
  <c r="P442" i="24"/>
  <c r="HP53" i="59"/>
  <c r="M442" i="24"/>
  <c r="A442" i="24"/>
  <c r="HA53" i="59"/>
  <c r="Q441" i="24"/>
  <c r="GW53" i="59"/>
  <c r="P441" i="24"/>
  <c r="GV53" i="59"/>
  <c r="M441" i="24"/>
  <c r="A441" i="24"/>
  <c r="GG53" i="59"/>
  <c r="Q440" i="24"/>
  <c r="GC53" i="59"/>
  <c r="P440" i="24"/>
  <c r="GB53" i="59"/>
  <c r="M440" i="24"/>
  <c r="A440" i="24"/>
  <c r="FM53" i="59"/>
  <c r="Q439" i="24"/>
  <c r="FI53" i="59"/>
  <c r="P439" i="24"/>
  <c r="FH53" i="59"/>
  <c r="M439" i="24"/>
  <c r="A439" i="24"/>
  <c r="ES53" i="59"/>
  <c r="A627" i="24"/>
  <c r="EN68" i="59"/>
  <c r="A626" i="24"/>
  <c r="DT68" i="59"/>
  <c r="A625" i="24"/>
  <c r="CZ68" i="59"/>
  <c r="A624" i="24"/>
  <c r="CF68" i="59"/>
  <c r="A623" i="24"/>
  <c r="BL68" i="59"/>
  <c r="A622" i="24"/>
  <c r="AR68" i="59"/>
  <c r="A621" i="24"/>
  <c r="X68" i="59"/>
  <c r="A620" i="24"/>
  <c r="IU67" i="59"/>
  <c r="A619" i="24"/>
  <c r="IA67" i="59"/>
  <c r="A618" i="24"/>
  <c r="HG67" i="59"/>
  <c r="A606" i="24"/>
  <c r="HR66" i="59"/>
  <c r="A605" i="24"/>
  <c r="GX66" i="59"/>
  <c r="A604" i="24"/>
  <c r="GD66" i="59"/>
  <c r="A603" i="24"/>
  <c r="FJ66" i="59"/>
  <c r="A602" i="24"/>
  <c r="EP66" i="59"/>
  <c r="A601" i="24"/>
  <c r="DV66" i="59"/>
  <c r="A600" i="24"/>
  <c r="DB66" i="59"/>
  <c r="A599" i="24"/>
  <c r="CH66" i="59"/>
  <c r="A598" i="24"/>
  <c r="BN66" i="59"/>
  <c r="A597" i="24"/>
  <c r="AT66" i="59"/>
  <c r="A585" i="24"/>
  <c r="BE65" i="59"/>
  <c r="A584" i="24"/>
  <c r="AK65" i="59"/>
  <c r="A583" i="24"/>
  <c r="Q65" i="59"/>
  <c r="A582" i="24"/>
  <c r="IN64" i="59"/>
  <c r="A581" i="24"/>
  <c r="HT64" i="59"/>
  <c r="A580" i="24"/>
  <c r="GZ64" i="59"/>
  <c r="A579" i="24"/>
  <c r="GF64" i="59"/>
  <c r="A578" i="24"/>
  <c r="FL64" i="59"/>
  <c r="A577" i="24"/>
  <c r="ER64" i="59"/>
  <c r="A576" i="24"/>
  <c r="DX64" i="59"/>
  <c r="A564" i="24"/>
  <c r="EI63" i="59"/>
  <c r="A563" i="24"/>
  <c r="DO63" i="59"/>
  <c r="A562" i="24"/>
  <c r="CU63" i="59"/>
  <c r="A561" i="24"/>
  <c r="CA63" i="59"/>
  <c r="A560" i="24"/>
  <c r="BG63" i="59"/>
  <c r="A559" i="24"/>
  <c r="AM63" i="59"/>
  <c r="A558" i="24"/>
  <c r="S63" i="59"/>
  <c r="A557" i="24"/>
  <c r="IP62" i="59"/>
  <c r="A556" i="24"/>
  <c r="HV62" i="59"/>
  <c r="A555" i="24"/>
  <c r="HB62" i="59"/>
  <c r="A543" i="24"/>
  <c r="HM61" i="59"/>
  <c r="A542" i="24"/>
  <c r="GS61" i="59"/>
  <c r="A541" i="24"/>
  <c r="FY61" i="59"/>
  <c r="A540" i="24"/>
  <c r="FE61" i="59"/>
  <c r="A539" i="24"/>
  <c r="EK61" i="59"/>
  <c r="A538" i="24"/>
  <c r="DQ61" i="59"/>
  <c r="A537" i="24"/>
  <c r="CW61" i="59"/>
  <c r="A536" i="24"/>
  <c r="CC61" i="59"/>
  <c r="A535" i="24"/>
  <c r="BI61" i="59"/>
  <c r="A534" i="24"/>
  <c r="AO61" i="59"/>
  <c r="A521" i="24"/>
  <c r="AF60" i="59"/>
  <c r="A520" i="24"/>
  <c r="L60" i="59"/>
  <c r="A519" i="24"/>
  <c r="II59" i="59"/>
  <c r="A518" i="24"/>
  <c r="HO59" i="59"/>
  <c r="A517" i="24"/>
  <c r="GU59" i="59"/>
  <c r="A516" i="24"/>
  <c r="GA59" i="59"/>
  <c r="A515" i="24"/>
  <c r="FG59" i="59"/>
  <c r="A514" i="24"/>
  <c r="EM59" i="59"/>
  <c r="A513" i="24"/>
  <c r="DS59" i="59"/>
  <c r="A501" i="24"/>
  <c r="ED58" i="59"/>
  <c r="A500" i="24"/>
  <c r="DJ58" i="59"/>
  <c r="A499" i="24"/>
  <c r="CP58" i="59"/>
  <c r="A498" i="24"/>
  <c r="BV58" i="59"/>
  <c r="A497" i="24"/>
  <c r="BB58" i="59"/>
  <c r="A496" i="24"/>
  <c r="AH58" i="59"/>
  <c r="A495" i="24"/>
  <c r="N58" i="59"/>
  <c r="A494" i="24"/>
  <c r="IK57" i="59"/>
  <c r="A493" i="24"/>
  <c r="HQ57" i="59"/>
  <c r="A492" i="24"/>
  <c r="GW57" i="59"/>
  <c r="A480" i="24"/>
  <c r="HH56" i="59"/>
  <c r="A479" i="24"/>
  <c r="GN56" i="59"/>
  <c r="A478" i="24"/>
  <c r="FT56" i="59"/>
  <c r="A477" i="24"/>
  <c r="EZ56" i="59"/>
  <c r="A476" i="24"/>
  <c r="EF56" i="59"/>
  <c r="A475" i="24"/>
  <c r="DL56" i="59"/>
  <c r="A474" i="24"/>
  <c r="CR56" i="59"/>
  <c r="A473" i="24"/>
  <c r="BX56" i="59"/>
  <c r="A472" i="24"/>
  <c r="BD56" i="59"/>
  <c r="A471" i="24"/>
  <c r="AJ56" i="59"/>
  <c r="A459" i="24"/>
  <c r="AU55" i="59"/>
  <c r="A458" i="24"/>
  <c r="AA55" i="59"/>
  <c r="A457" i="24"/>
  <c r="G55" i="59"/>
  <c r="A456" i="24"/>
  <c r="ID54" i="59"/>
  <c r="A455" i="24"/>
  <c r="HJ54" i="59"/>
  <c r="A454" i="24"/>
  <c r="GP54" i="59"/>
  <c r="A453" i="24"/>
  <c r="FV54" i="59"/>
  <c r="A452" i="24"/>
  <c r="FB54" i="59"/>
  <c r="A451" i="24"/>
  <c r="EH54" i="59"/>
  <c r="A450" i="24"/>
  <c r="DN54" i="59"/>
  <c r="A438" i="24"/>
  <c r="DY53" i="59"/>
  <c r="A437" i="24"/>
  <c r="DE53" i="59"/>
  <c r="A436" i="24"/>
  <c r="CK53" i="59"/>
  <c r="A435" i="24"/>
  <c r="BQ53" i="59"/>
  <c r="A434" i="24"/>
  <c r="AW53" i="59"/>
  <c r="A433" i="24"/>
  <c r="AC53" i="59"/>
  <c r="A432" i="24"/>
  <c r="I53" i="59"/>
  <c r="A431" i="24"/>
  <c r="IF52" i="59"/>
  <c r="A430" i="24"/>
  <c r="HL52" i="59"/>
  <c r="A429" i="24"/>
  <c r="GR52" i="59"/>
  <c r="K407" i="24"/>
  <c r="U51" i="59"/>
  <c r="L407" i="24"/>
  <c r="V51" i="59"/>
  <c r="J407" i="24"/>
  <c r="T51" i="59"/>
  <c r="A427" i="24"/>
  <c r="FD52" i="59"/>
  <c r="A426" i="24"/>
  <c r="EJ52" i="59"/>
  <c r="A425" i="24"/>
  <c r="DP52" i="59"/>
  <c r="A424" i="24"/>
  <c r="CV52" i="59"/>
  <c r="A423" i="24"/>
  <c r="CB52" i="59"/>
  <c r="A422" i="24"/>
  <c r="BH52" i="59"/>
  <c r="A421" i="24"/>
  <c r="AN52" i="59"/>
  <c r="A420" i="24"/>
  <c r="T52" i="59"/>
  <c r="A419" i="24"/>
  <c r="IQ51" i="59"/>
  <c r="A418" i="24"/>
  <c r="HW51" i="59"/>
  <c r="Q427" i="24"/>
  <c r="FT52" i="59"/>
  <c r="P427" i="24"/>
  <c r="FS52" i="59"/>
  <c r="M427" i="24"/>
  <c r="Q426" i="24"/>
  <c r="EZ52" i="59"/>
  <c r="P426" i="24"/>
  <c r="EY52" i="59"/>
  <c r="M426" i="24"/>
  <c r="Q425" i="24"/>
  <c r="EF52" i="59"/>
  <c r="P425" i="24"/>
  <c r="EE52" i="59"/>
  <c r="M425" i="24"/>
  <c r="Q424" i="24"/>
  <c r="DL52" i="59"/>
  <c r="P424" i="24"/>
  <c r="DK52" i="59"/>
  <c r="M424" i="24"/>
  <c r="Q423" i="24"/>
  <c r="CR52" i="59"/>
  <c r="P423" i="24"/>
  <c r="CQ52" i="59"/>
  <c r="M423" i="24"/>
  <c r="Q422" i="24"/>
  <c r="BX52" i="59"/>
  <c r="P422" i="24"/>
  <c r="BW52" i="59"/>
  <c r="M422" i="24"/>
  <c r="Q421" i="24"/>
  <c r="BD52" i="59"/>
  <c r="P421" i="24"/>
  <c r="BC52" i="59"/>
  <c r="M421" i="24"/>
  <c r="Q420" i="24"/>
  <c r="AJ52" i="59"/>
  <c r="P420" i="24"/>
  <c r="AI52" i="59"/>
  <c r="M420" i="24"/>
  <c r="Q419" i="24"/>
  <c r="P52" i="59"/>
  <c r="P419" i="24"/>
  <c r="O52" i="59"/>
  <c r="M419" i="24"/>
  <c r="Q418" i="24"/>
  <c r="IM51" i="59"/>
  <c r="P418" i="24"/>
  <c r="IL51" i="59"/>
  <c r="M418" i="24"/>
  <c r="A417" i="24"/>
  <c r="HC51" i="59"/>
  <c r="A416" i="24"/>
  <c r="GI51" i="59"/>
  <c r="A415" i="24"/>
  <c r="FO51" i="59"/>
  <c r="A414" i="24"/>
  <c r="EU51" i="59"/>
  <c r="A413" i="24"/>
  <c r="EA51" i="59"/>
  <c r="A412" i="24"/>
  <c r="DG51" i="59"/>
  <c r="A411" i="24"/>
  <c r="CM51" i="59"/>
  <c r="A410" i="24"/>
  <c r="BS51" i="59"/>
  <c r="A409" i="24"/>
  <c r="AY51" i="59"/>
  <c r="A408" i="24"/>
  <c r="AE51" i="59"/>
  <c r="A406" i="24"/>
  <c r="IH50" i="59"/>
  <c r="A405" i="24"/>
  <c r="HN50" i="59"/>
  <c r="A404" i="24"/>
  <c r="GT50" i="59"/>
  <c r="A403" i="24"/>
  <c r="FZ50" i="59"/>
  <c r="A402" i="24"/>
  <c r="FF50" i="59"/>
  <c r="A401" i="24"/>
  <c r="EL50" i="59"/>
  <c r="A400" i="24"/>
  <c r="DR50" i="59"/>
  <c r="A399" i="24"/>
  <c r="CX50" i="59"/>
  <c r="A398" i="24"/>
  <c r="CD50" i="59"/>
  <c r="A397" i="24"/>
  <c r="BJ50" i="59"/>
  <c r="K386" i="24"/>
  <c r="CY49" i="59"/>
  <c r="L386" i="24"/>
  <c r="CZ49" i="59"/>
  <c r="J386" i="24"/>
  <c r="CX49" i="59"/>
  <c r="Q406" i="24"/>
  <c r="G51" i="59"/>
  <c r="P406" i="24"/>
  <c r="F51" i="59"/>
  <c r="M406" i="24"/>
  <c r="Q405" i="24"/>
  <c r="P405" i="24"/>
  <c r="IC50" i="59"/>
  <c r="M405" i="24"/>
  <c r="Q404" i="24"/>
  <c r="HJ50" i="59"/>
  <c r="P404" i="24"/>
  <c r="M404" i="24"/>
  <c r="Q403" i="24"/>
  <c r="GP50" i="59"/>
  <c r="P403" i="24"/>
  <c r="GO50" i="59"/>
  <c r="M403" i="24"/>
  <c r="Q402" i="24"/>
  <c r="FV50" i="59"/>
  <c r="P402" i="24"/>
  <c r="FU50" i="59"/>
  <c r="M402" i="24"/>
  <c r="Q401" i="24"/>
  <c r="FB50" i="59"/>
  <c r="P401" i="24"/>
  <c r="FA50" i="59"/>
  <c r="M401" i="24"/>
  <c r="Q400" i="24"/>
  <c r="EH50" i="59"/>
  <c r="P400" i="24"/>
  <c r="EG50" i="59"/>
  <c r="M400" i="24"/>
  <c r="Q399" i="24"/>
  <c r="DN50" i="59"/>
  <c r="P399" i="24"/>
  <c r="DM50" i="59"/>
  <c r="M399" i="24"/>
  <c r="Q398" i="24"/>
  <c r="CT50" i="59"/>
  <c r="P398" i="24"/>
  <c r="CS50" i="59"/>
  <c r="M398" i="24"/>
  <c r="Q397" i="24"/>
  <c r="BZ50" i="59"/>
  <c r="P397" i="24"/>
  <c r="BY50" i="59"/>
  <c r="M397" i="24"/>
  <c r="A396" i="24"/>
  <c r="AP50" i="59"/>
  <c r="A395" i="24"/>
  <c r="V50" i="59"/>
  <c r="A394" i="24"/>
  <c r="IS49" i="59"/>
  <c r="A393" i="24"/>
  <c r="HY49" i="59"/>
  <c r="A392" i="24"/>
  <c r="HE49" i="59"/>
  <c r="A391" i="24"/>
  <c r="GK49" i="59"/>
  <c r="A390" i="24"/>
  <c r="FQ49" i="59"/>
  <c r="A389" i="24"/>
  <c r="EW49" i="59"/>
  <c r="A388" i="24"/>
  <c r="EC49" i="59"/>
  <c r="A387" i="24"/>
  <c r="DI49" i="59"/>
  <c r="A385" i="24"/>
  <c r="BU49" i="59"/>
  <c r="A384" i="24"/>
  <c r="BA49" i="59"/>
  <c r="A383" i="24"/>
  <c r="AG49" i="59"/>
  <c r="A382" i="24"/>
  <c r="M49" i="59"/>
  <c r="A381" i="24"/>
  <c r="IJ48" i="59"/>
  <c r="A380" i="24"/>
  <c r="HP48" i="59"/>
  <c r="A379" i="24"/>
  <c r="GV48" i="59"/>
  <c r="A378" i="24"/>
  <c r="GB48" i="59"/>
  <c r="A377" i="24"/>
  <c r="FH48" i="59"/>
  <c r="A376" i="24"/>
  <c r="EN48" i="59"/>
  <c r="K365" i="24"/>
  <c r="GC47" i="59"/>
  <c r="L365" i="24"/>
  <c r="GD47" i="59"/>
  <c r="J365" i="24"/>
  <c r="GB47" i="59"/>
  <c r="Q385" i="24"/>
  <c r="CK49" i="59"/>
  <c r="P385" i="24"/>
  <c r="CJ49" i="59"/>
  <c r="M385" i="24"/>
  <c r="Q384" i="24"/>
  <c r="BQ49" i="59"/>
  <c r="P384" i="24"/>
  <c r="BP49" i="59"/>
  <c r="M384" i="24"/>
  <c r="Q383" i="24"/>
  <c r="AW49" i="59"/>
  <c r="P383" i="24"/>
  <c r="AV49" i="59"/>
  <c r="M383" i="24"/>
  <c r="Q382" i="24"/>
  <c r="AC49" i="59"/>
  <c r="P382" i="24"/>
  <c r="AB49" i="59"/>
  <c r="M382" i="24"/>
  <c r="Q381" i="24"/>
  <c r="I49" i="59"/>
  <c r="P381" i="24"/>
  <c r="H49" i="59"/>
  <c r="M381" i="24"/>
  <c r="Q380" i="24"/>
  <c r="IF48" i="59"/>
  <c r="P380" i="24"/>
  <c r="IE48" i="59"/>
  <c r="M380" i="24"/>
  <c r="Q379" i="24"/>
  <c r="HL48" i="59"/>
  <c r="P379" i="24"/>
  <c r="HK48" i="59"/>
  <c r="M379" i="24"/>
  <c r="Q378" i="24"/>
  <c r="GR48" i="59"/>
  <c r="P378" i="24"/>
  <c r="GQ48" i="59"/>
  <c r="M378" i="24"/>
  <c r="Q377" i="24"/>
  <c r="FX48" i="59"/>
  <c r="P377" i="24"/>
  <c r="FW48" i="59"/>
  <c r="M377" i="24"/>
  <c r="Q376" i="24"/>
  <c r="FD48" i="59"/>
  <c r="P376" i="24"/>
  <c r="FC48" i="59"/>
  <c r="M376" i="24"/>
  <c r="A375" i="24"/>
  <c r="DT48" i="59"/>
  <c r="A374" i="24"/>
  <c r="CZ48" i="59"/>
  <c r="A373" i="24"/>
  <c r="CF48" i="59"/>
  <c r="A372" i="24"/>
  <c r="BL48" i="59"/>
  <c r="A371" i="24"/>
  <c r="AR48" i="59"/>
  <c r="A370" i="24"/>
  <c r="X48" i="59"/>
  <c r="A369" i="24"/>
  <c r="IU47" i="59"/>
  <c r="A368" i="24"/>
  <c r="IA47" i="59"/>
  <c r="A367" i="24"/>
  <c r="HG47" i="59"/>
  <c r="A366" i="24"/>
  <c r="GM47" i="59"/>
  <c r="A364" i="24"/>
  <c r="EY47" i="59"/>
  <c r="A363" i="24"/>
  <c r="EE47" i="59"/>
  <c r="A362" i="24"/>
  <c r="DK47" i="59"/>
  <c r="A361" i="24"/>
  <c r="CQ47" i="59"/>
  <c r="A360" i="24"/>
  <c r="BW47" i="59"/>
  <c r="A359" i="24"/>
  <c r="BC47" i="59"/>
  <c r="A358" i="24"/>
  <c r="AI47" i="59"/>
  <c r="A357" i="24"/>
  <c r="O47" i="59"/>
  <c r="A356" i="24"/>
  <c r="IL46" i="59"/>
  <c r="A355" i="24"/>
  <c r="HR46" i="59"/>
  <c r="K344" i="24"/>
  <c r="P46" i="59"/>
  <c r="L344" i="24"/>
  <c r="Q46" i="59"/>
  <c r="J344" i="24"/>
  <c r="O46" i="59"/>
  <c r="Q354" i="24"/>
  <c r="HN46" i="59"/>
  <c r="P354" i="24"/>
  <c r="HM46" i="59"/>
  <c r="M354" i="24"/>
  <c r="A354" i="24"/>
  <c r="GX46" i="59"/>
  <c r="Q353" i="24"/>
  <c r="GT46" i="59"/>
  <c r="P353" i="24"/>
  <c r="GS46" i="59"/>
  <c r="M353" i="24"/>
  <c r="A353" i="24"/>
  <c r="GD46" i="59"/>
  <c r="Q352" i="24"/>
  <c r="FZ46" i="59"/>
  <c r="P352" i="24"/>
  <c r="FY46" i="59"/>
  <c r="M352" i="24"/>
  <c r="A352" i="24"/>
  <c r="FJ46" i="59"/>
  <c r="Q351" i="24"/>
  <c r="FF46" i="59"/>
  <c r="P351" i="24"/>
  <c r="FE46" i="59"/>
  <c r="M351" i="24"/>
  <c r="A351" i="24"/>
  <c r="EP46" i="59"/>
  <c r="Q350" i="24"/>
  <c r="EL46" i="59"/>
  <c r="P350" i="24"/>
  <c r="EK46" i="59"/>
  <c r="M350" i="24"/>
  <c r="A350" i="24"/>
  <c r="DV46" i="59"/>
  <c r="Q349" i="24"/>
  <c r="DR46" i="59"/>
  <c r="P349" i="24"/>
  <c r="DQ46" i="59"/>
  <c r="M349" i="24"/>
  <c r="A349" i="24"/>
  <c r="DB46" i="59"/>
  <c r="Q348" i="24"/>
  <c r="CX46" i="59"/>
  <c r="P348" i="24"/>
  <c r="CW46" i="59"/>
  <c r="M348" i="24"/>
  <c r="A348" i="24"/>
  <c r="CH46" i="59"/>
  <c r="Q347" i="24"/>
  <c r="CD46" i="59"/>
  <c r="P347" i="24"/>
  <c r="CC46" i="59"/>
  <c r="M347" i="24"/>
  <c r="A347" i="24"/>
  <c r="BN46" i="59"/>
  <c r="Q346" i="24"/>
  <c r="BJ46" i="59"/>
  <c r="P346" i="24"/>
  <c r="BI46" i="59"/>
  <c r="M346" i="24"/>
  <c r="A346" i="24"/>
  <c r="AT46" i="59"/>
  <c r="Q345" i="24"/>
  <c r="AP46" i="59"/>
  <c r="P345" i="24"/>
  <c r="AO46" i="59"/>
  <c r="M345" i="24"/>
  <c r="A345" i="24"/>
  <c r="Z46" i="59"/>
  <c r="L323" i="24"/>
  <c r="CU44" i="59"/>
  <c r="K323" i="24"/>
  <c r="CT44" i="59"/>
  <c r="J323" i="24"/>
  <c r="CS44" i="59"/>
  <c r="K302" i="24"/>
  <c r="FX42" i="59"/>
  <c r="L302" i="24"/>
  <c r="FY42" i="59"/>
  <c r="J302" i="24"/>
  <c r="FW42" i="59"/>
  <c r="K281" i="24"/>
  <c r="K41" i="59"/>
  <c r="L281" i="24"/>
  <c r="L41" i="59"/>
  <c r="J281" i="24"/>
  <c r="J41" i="59"/>
  <c r="K260" i="24"/>
  <c r="CO39" i="59"/>
  <c r="L260" i="24"/>
  <c r="CP39" i="59"/>
  <c r="J260" i="24"/>
  <c r="CN39" i="59"/>
  <c r="K239" i="24"/>
  <c r="FS37" i="59"/>
  <c r="L239" i="24"/>
  <c r="FT37" i="59"/>
  <c r="J239" i="24"/>
  <c r="FR37" i="59"/>
  <c r="K218" i="24"/>
  <c r="F36" i="59"/>
  <c r="L218" i="24"/>
  <c r="G36" i="59"/>
  <c r="J218" i="24"/>
  <c r="IV35" i="59"/>
  <c r="K197" i="24"/>
  <c r="CJ34" i="59"/>
  <c r="L197" i="24"/>
  <c r="CK34" i="59"/>
  <c r="J197" i="24"/>
  <c r="CI34" i="59"/>
  <c r="K176" i="24"/>
  <c r="FN32" i="59"/>
  <c r="L176" i="24"/>
  <c r="FO32" i="59"/>
  <c r="J176" i="24"/>
  <c r="FM32" i="59"/>
  <c r="K155" i="24"/>
  <c r="IR30" i="59"/>
  <c r="L155" i="24"/>
  <c r="IS30" i="59"/>
  <c r="J155" i="24"/>
  <c r="IQ30" i="59"/>
  <c r="K134" i="24"/>
  <c r="CE29" i="59"/>
  <c r="L134" i="24"/>
  <c r="CF29" i="59"/>
  <c r="J134" i="24"/>
  <c r="CD29" i="59"/>
  <c r="K113" i="24"/>
  <c r="FI27" i="59"/>
  <c r="L113" i="24"/>
  <c r="FJ27" i="59"/>
  <c r="J113" i="24"/>
  <c r="FH27" i="59"/>
  <c r="L92" i="24"/>
  <c r="IN25" i="59"/>
  <c r="K92" i="24"/>
  <c r="IM25" i="59"/>
  <c r="J92" i="24"/>
  <c r="IL25" i="59"/>
  <c r="K71" i="24"/>
  <c r="BZ24" i="59"/>
  <c r="L71" i="24"/>
  <c r="CA24" i="59"/>
  <c r="J71" i="24"/>
  <c r="BY24" i="59"/>
  <c r="K50" i="24"/>
  <c r="FD22" i="59"/>
  <c r="L50" i="24"/>
  <c r="FE22" i="59"/>
  <c r="J50" i="24"/>
  <c r="FC22" i="59"/>
  <c r="K29" i="24"/>
  <c r="IH20" i="59"/>
  <c r="L29" i="24"/>
  <c r="II20" i="59"/>
  <c r="J29" i="24"/>
  <c r="IG20" i="59"/>
  <c r="K8" i="24"/>
  <c r="BU19" i="59"/>
  <c r="L8" i="24"/>
  <c r="BV19" i="59"/>
  <c r="J8" i="24"/>
  <c r="BT19" i="59"/>
  <c r="A343" i="24"/>
  <c r="IC45" i="59"/>
  <c r="A342" i="24"/>
  <c r="HI45" i="59"/>
  <c r="A341" i="24"/>
  <c r="GO45" i="59"/>
  <c r="A340" i="24"/>
  <c r="FU45" i="59"/>
  <c r="A339" i="24"/>
  <c r="FA45" i="59"/>
  <c r="A338" i="24"/>
  <c r="EG45" i="59"/>
  <c r="A337" i="24"/>
  <c r="DM45" i="59"/>
  <c r="A336" i="24"/>
  <c r="CS45" i="59"/>
  <c r="A335" i="24"/>
  <c r="BY45" i="59"/>
  <c r="A334" i="24"/>
  <c r="BE45" i="59"/>
  <c r="Q343" i="24"/>
  <c r="IS45" i="59"/>
  <c r="P343" i="24"/>
  <c r="IR45" i="59"/>
  <c r="M343" i="24"/>
  <c r="Q342" i="24"/>
  <c r="HY45" i="59"/>
  <c r="P342" i="24"/>
  <c r="HX45" i="59"/>
  <c r="M342" i="24"/>
  <c r="Q341" i="24"/>
  <c r="HE45" i="59"/>
  <c r="P341" i="24"/>
  <c r="HD45" i="59"/>
  <c r="M341" i="24"/>
  <c r="Q340" i="24"/>
  <c r="GK45" i="59"/>
  <c r="P340" i="24"/>
  <c r="GJ45" i="59"/>
  <c r="M340" i="24"/>
  <c r="Q339" i="24"/>
  <c r="FQ45" i="59"/>
  <c r="P339" i="24"/>
  <c r="FP45" i="59"/>
  <c r="M339" i="24"/>
  <c r="Q338" i="24"/>
  <c r="EW45" i="59"/>
  <c r="P338" i="24"/>
  <c r="EV45" i="59"/>
  <c r="M338" i="24"/>
  <c r="Q337" i="24"/>
  <c r="EC45" i="59"/>
  <c r="P337" i="24"/>
  <c r="EB45" i="59"/>
  <c r="M337" i="24"/>
  <c r="Q336" i="24"/>
  <c r="DI45" i="59"/>
  <c r="P336" i="24"/>
  <c r="DH45" i="59"/>
  <c r="M336" i="24"/>
  <c r="Q335" i="24"/>
  <c r="CO45" i="59"/>
  <c r="P335" i="24"/>
  <c r="CN45" i="59"/>
  <c r="M335" i="24"/>
  <c r="Q334" i="24"/>
  <c r="BU45" i="59"/>
  <c r="P334" i="24"/>
  <c r="BT45" i="59"/>
  <c r="M334" i="24"/>
  <c r="A333" i="24"/>
  <c r="AK45" i="59"/>
  <c r="A332" i="24"/>
  <c r="Q45" i="59"/>
  <c r="A331" i="24"/>
  <c r="IN44" i="59"/>
  <c r="A330" i="24"/>
  <c r="HT44" i="59"/>
  <c r="A329" i="24"/>
  <c r="GZ44" i="59"/>
  <c r="A328" i="24"/>
  <c r="GF44" i="59"/>
  <c r="A327" i="24"/>
  <c r="FL44" i="59"/>
  <c r="A326" i="24"/>
  <c r="ER44" i="59"/>
  <c r="A325" i="24"/>
  <c r="DX44" i="59"/>
  <c r="A324" i="24"/>
  <c r="DD44" i="59"/>
  <c r="A322" i="24"/>
  <c r="BP44" i="59"/>
  <c r="A321" i="24"/>
  <c r="AV44" i="59"/>
  <c r="A320" i="24"/>
  <c r="AB44" i="59"/>
  <c r="A319" i="24"/>
  <c r="H44" i="59"/>
  <c r="A318" i="24"/>
  <c r="IE43" i="59"/>
  <c r="A317" i="24"/>
  <c r="HK43" i="59"/>
  <c r="A316" i="24"/>
  <c r="GQ43" i="59"/>
  <c r="A315" i="24"/>
  <c r="FW43" i="59"/>
  <c r="A314" i="24"/>
  <c r="FC43" i="59"/>
  <c r="A313" i="24"/>
  <c r="EI43" i="59"/>
  <c r="Q322" i="24"/>
  <c r="CF44" i="59"/>
  <c r="P322" i="24"/>
  <c r="CE44" i="59"/>
  <c r="M322" i="24"/>
  <c r="Q321" i="24"/>
  <c r="BL44" i="59"/>
  <c r="P321" i="24"/>
  <c r="BK44" i="59"/>
  <c r="M321" i="24"/>
  <c r="Q320" i="24"/>
  <c r="AR44" i="59"/>
  <c r="P320" i="24"/>
  <c r="AQ44" i="59"/>
  <c r="M320" i="24"/>
  <c r="Q319" i="24"/>
  <c r="X44" i="59"/>
  <c r="P319" i="24"/>
  <c r="W44" i="59"/>
  <c r="M319" i="24"/>
  <c r="Q318" i="24"/>
  <c r="IU43" i="59"/>
  <c r="P318" i="24"/>
  <c r="IT43" i="59"/>
  <c r="M318" i="24"/>
  <c r="Q317" i="24"/>
  <c r="IA43" i="59"/>
  <c r="P317" i="24"/>
  <c r="HZ43" i="59"/>
  <c r="M317" i="24"/>
  <c r="Q316" i="24"/>
  <c r="HG43" i="59"/>
  <c r="P316" i="24"/>
  <c r="HF43" i="59"/>
  <c r="M316" i="24"/>
  <c r="Q315" i="24"/>
  <c r="GM43" i="59"/>
  <c r="P315" i="24"/>
  <c r="GL43" i="59"/>
  <c r="M315" i="24"/>
  <c r="Q314" i="24"/>
  <c r="FS43" i="59"/>
  <c r="P314" i="24"/>
  <c r="FR43" i="59"/>
  <c r="M314" i="24"/>
  <c r="Q313" i="24"/>
  <c r="EY43" i="59"/>
  <c r="P313" i="24"/>
  <c r="EX43" i="59"/>
  <c r="M313" i="24"/>
  <c r="A312" i="24"/>
  <c r="DO43" i="59"/>
  <c r="A311" i="24"/>
  <c r="CU43" i="59"/>
  <c r="A310" i="24"/>
  <c r="CA43" i="59"/>
  <c r="A309" i="24"/>
  <c r="BG43" i="59"/>
  <c r="A308" i="24"/>
  <c r="AM43" i="59"/>
  <c r="A307" i="24"/>
  <c r="S43" i="59"/>
  <c r="A306" i="24"/>
  <c r="IP42" i="59"/>
  <c r="A305" i="24"/>
  <c r="HV42" i="59"/>
  <c r="A304" i="24"/>
  <c r="HB42" i="59"/>
  <c r="A303" i="24"/>
  <c r="GH42" i="59"/>
  <c r="A301" i="24"/>
  <c r="ET42" i="59"/>
  <c r="A300" i="24"/>
  <c r="DZ42" i="59"/>
  <c r="A299" i="24"/>
  <c r="DF42" i="59"/>
  <c r="A298" i="24"/>
  <c r="CL42" i="59"/>
  <c r="A297" i="24"/>
  <c r="BR42" i="59"/>
  <c r="A296" i="24"/>
  <c r="AX42" i="59"/>
  <c r="A295" i="24"/>
  <c r="AD42" i="59"/>
  <c r="A294" i="24"/>
  <c r="J42" i="59"/>
  <c r="A293" i="24"/>
  <c r="IG41" i="59"/>
  <c r="A292" i="24"/>
  <c r="HM41" i="59"/>
  <c r="Q301" i="24"/>
  <c r="FJ42" i="59"/>
  <c r="P301" i="24"/>
  <c r="FI42" i="59"/>
  <c r="M301" i="24"/>
  <c r="Q300" i="24"/>
  <c r="EP42" i="59"/>
  <c r="P300" i="24"/>
  <c r="EO42" i="59"/>
  <c r="M300" i="24"/>
  <c r="Q299" i="24"/>
  <c r="DV42" i="59"/>
  <c r="P299" i="24"/>
  <c r="DU42" i="59"/>
  <c r="M299" i="24"/>
  <c r="Q298" i="24"/>
  <c r="DB42" i="59"/>
  <c r="P298" i="24"/>
  <c r="DA42" i="59"/>
  <c r="M298" i="24"/>
  <c r="Q297" i="24"/>
  <c r="CH42" i="59"/>
  <c r="P297" i="24"/>
  <c r="CG42" i="59"/>
  <c r="M297" i="24"/>
  <c r="Q296" i="24"/>
  <c r="BN42" i="59"/>
  <c r="P296" i="24"/>
  <c r="BM42" i="59"/>
  <c r="M296" i="24"/>
  <c r="Q295" i="24"/>
  <c r="AT42" i="59"/>
  <c r="P295" i="24"/>
  <c r="AS42" i="59"/>
  <c r="M295" i="24"/>
  <c r="Q294" i="24"/>
  <c r="Z42" i="59"/>
  <c r="P294" i="24"/>
  <c r="Y42" i="59"/>
  <c r="M294" i="24"/>
  <c r="Q293" i="24"/>
  <c r="F42" i="59"/>
  <c r="P293" i="24"/>
  <c r="IV41" i="59"/>
  <c r="M293" i="24"/>
  <c r="Q292" i="24"/>
  <c r="IC41" i="59"/>
  <c r="P292" i="24"/>
  <c r="IB41" i="59"/>
  <c r="M292" i="24"/>
  <c r="A291" i="24"/>
  <c r="GS41" i="59"/>
  <c r="A290" i="24"/>
  <c r="FY41" i="59"/>
  <c r="A289" i="24"/>
  <c r="FE41" i="59"/>
  <c r="A288" i="24"/>
  <c r="EK41" i="59"/>
  <c r="A287" i="24"/>
  <c r="DQ41" i="59"/>
  <c r="A286" i="24"/>
  <c r="CW41" i="59"/>
  <c r="A285" i="24"/>
  <c r="CC41" i="59"/>
  <c r="A284" i="24"/>
  <c r="BI41" i="59"/>
  <c r="A283" i="24"/>
  <c r="AO41" i="59"/>
  <c r="A282" i="24"/>
  <c r="U41" i="59"/>
  <c r="A280" i="24"/>
  <c r="HX40" i="59"/>
  <c r="A279" i="24"/>
  <c r="HD40" i="59"/>
  <c r="A278" i="24"/>
  <c r="GJ40" i="59"/>
  <c r="A277" i="24"/>
  <c r="FP40" i="59"/>
  <c r="A276" i="24"/>
  <c r="EV40" i="59"/>
  <c r="A275" i="24"/>
  <c r="EB40" i="59"/>
  <c r="A274" i="24"/>
  <c r="DH40" i="59"/>
  <c r="A273" i="24"/>
  <c r="CN40" i="59"/>
  <c r="A272" i="24"/>
  <c r="BT40" i="59"/>
  <c r="A271" i="24"/>
  <c r="AZ40" i="59"/>
  <c r="Q280" i="24"/>
  <c r="IN40" i="59"/>
  <c r="P280" i="24"/>
  <c r="IM40" i="59"/>
  <c r="M280" i="24"/>
  <c r="Q279" i="24"/>
  <c r="HT40" i="59"/>
  <c r="P279" i="24"/>
  <c r="HS40" i="59"/>
  <c r="M279" i="24"/>
  <c r="Q278" i="24"/>
  <c r="GZ40" i="59"/>
  <c r="P278" i="24"/>
  <c r="GY40" i="59"/>
  <c r="M278" i="24"/>
  <c r="Q277" i="24"/>
  <c r="GF40" i="59"/>
  <c r="P277" i="24"/>
  <c r="GE40" i="59"/>
  <c r="M277" i="24"/>
  <c r="Q276" i="24"/>
  <c r="FL40" i="59"/>
  <c r="P276" i="24"/>
  <c r="FK40" i="59"/>
  <c r="M276" i="24"/>
  <c r="Q275" i="24"/>
  <c r="ER40" i="59"/>
  <c r="P275" i="24"/>
  <c r="EQ40" i="59"/>
  <c r="M275" i="24"/>
  <c r="Q274" i="24"/>
  <c r="DX40" i="59"/>
  <c r="P274" i="24"/>
  <c r="DW40" i="59"/>
  <c r="M274" i="24"/>
  <c r="Q273" i="24"/>
  <c r="DD40" i="59"/>
  <c r="P273" i="24"/>
  <c r="DC40" i="59"/>
  <c r="M273" i="24"/>
  <c r="Q272" i="24"/>
  <c r="CJ40" i="59"/>
  <c r="P272" i="24"/>
  <c r="CI40" i="59"/>
  <c r="M272" i="24"/>
  <c r="Q271" i="24"/>
  <c r="BP40" i="59"/>
  <c r="P271" i="24"/>
  <c r="BO40" i="59"/>
  <c r="M271" i="24"/>
  <c r="A270" i="24"/>
  <c r="AF40" i="59"/>
  <c r="A269" i="24"/>
  <c r="L40" i="59"/>
  <c r="A268" i="24"/>
  <c r="II39" i="59"/>
  <c r="A267" i="24"/>
  <c r="HO39" i="59"/>
  <c r="A266" i="24"/>
  <c r="GU39" i="59"/>
  <c r="A265" i="24"/>
  <c r="GA39" i="59"/>
  <c r="A264" i="24"/>
  <c r="FG39" i="59"/>
  <c r="A263" i="24"/>
  <c r="EM39" i="59"/>
  <c r="A262" i="24"/>
  <c r="DS39" i="59"/>
  <c r="A261" i="24"/>
  <c r="CY39" i="59"/>
  <c r="A259" i="24"/>
  <c r="BK39" i="59"/>
  <c r="A258" i="24"/>
  <c r="AQ39" i="59"/>
  <c r="A257" i="24"/>
  <c r="W39" i="59"/>
  <c r="A256" i="24"/>
  <c r="IT38" i="59"/>
  <c r="A255" i="24"/>
  <c r="HZ38" i="59"/>
  <c r="A254" i="24"/>
  <c r="HF38" i="59"/>
  <c r="A253" i="24"/>
  <c r="GL38" i="59"/>
  <c r="A252" i="24"/>
  <c r="FR38" i="59"/>
  <c r="A251" i="24"/>
  <c r="EX38" i="59"/>
  <c r="A250" i="24"/>
  <c r="ED38" i="59"/>
  <c r="Q259" i="24"/>
  <c r="CA39" i="59"/>
  <c r="P259" i="24"/>
  <c r="BZ39" i="59"/>
  <c r="M259" i="24"/>
  <c r="Q258" i="24"/>
  <c r="BG39" i="59"/>
  <c r="P258" i="24"/>
  <c r="BF39" i="59"/>
  <c r="M258" i="24"/>
  <c r="Q257" i="24"/>
  <c r="AM39" i="59"/>
  <c r="P257" i="24"/>
  <c r="AL39" i="59"/>
  <c r="M257" i="24"/>
  <c r="Q256" i="24"/>
  <c r="S39" i="59"/>
  <c r="P256" i="24"/>
  <c r="R39" i="59"/>
  <c r="M256" i="24"/>
  <c r="Q255" i="24"/>
  <c r="IP38" i="59"/>
  <c r="P255" i="24"/>
  <c r="IO38" i="59"/>
  <c r="M255" i="24"/>
  <c r="Q254" i="24"/>
  <c r="HV38" i="59"/>
  <c r="P254" i="24"/>
  <c r="HU38" i="59"/>
  <c r="M254" i="24"/>
  <c r="Q253" i="24"/>
  <c r="HB38" i="59"/>
  <c r="P253" i="24"/>
  <c r="HA38" i="59"/>
  <c r="M253" i="24"/>
  <c r="Q252" i="24"/>
  <c r="GH38" i="59"/>
  <c r="P252" i="24"/>
  <c r="GG38" i="59"/>
  <c r="M252" i="24"/>
  <c r="Q251" i="24"/>
  <c r="FN38" i="59"/>
  <c r="P251" i="24"/>
  <c r="FM38" i="59"/>
  <c r="M251" i="24"/>
  <c r="Q250" i="24"/>
  <c r="ET38" i="59"/>
  <c r="P250" i="24"/>
  <c r="ES38" i="59"/>
  <c r="M250" i="24"/>
  <c r="A249" i="24"/>
  <c r="DJ38" i="59"/>
  <c r="A248" i="24"/>
  <c r="CP38" i="59"/>
  <c r="A247" i="24"/>
  <c r="BV38" i="59"/>
  <c r="A246" i="24"/>
  <c r="BB38" i="59"/>
  <c r="A245" i="24"/>
  <c r="AH38" i="59"/>
  <c r="A244" i="24"/>
  <c r="N38" i="59"/>
  <c r="A243" i="24"/>
  <c r="IK37" i="59"/>
  <c r="A242" i="24"/>
  <c r="HQ37" i="59"/>
  <c r="A241" i="24"/>
  <c r="GW37" i="59"/>
  <c r="A240" i="24"/>
  <c r="GC37" i="59"/>
  <c r="A238" i="24"/>
  <c r="EO37" i="59"/>
  <c r="A237" i="24"/>
  <c r="DU37" i="59"/>
  <c r="A236" i="24"/>
  <c r="DA37" i="59"/>
  <c r="A235" i="24"/>
  <c r="CG37" i="59"/>
  <c r="A234" i="24"/>
  <c r="BM37" i="59"/>
  <c r="A233" i="24"/>
  <c r="AS37" i="59"/>
  <c r="A232" i="24"/>
  <c r="Y37" i="59"/>
  <c r="A231" i="24"/>
  <c r="IV36" i="59"/>
  <c r="A230" i="24"/>
  <c r="IB36" i="59"/>
  <c r="A229" i="24"/>
  <c r="HH36" i="59"/>
  <c r="Q238" i="24"/>
  <c r="FE37" i="59"/>
  <c r="P238" i="24"/>
  <c r="FD37" i="59"/>
  <c r="M238" i="24"/>
  <c r="Q237" i="24"/>
  <c r="EK37" i="59"/>
  <c r="P237" i="24"/>
  <c r="EJ37" i="59"/>
  <c r="M237" i="24"/>
  <c r="Q236" i="24"/>
  <c r="DQ37" i="59"/>
  <c r="P236" i="24"/>
  <c r="DP37" i="59"/>
  <c r="M236" i="24"/>
  <c r="Q235" i="24"/>
  <c r="CW37" i="59"/>
  <c r="P235" i="24"/>
  <c r="CV37" i="59"/>
  <c r="M235" i="24"/>
  <c r="Q234" i="24"/>
  <c r="CC37" i="59"/>
  <c r="P234" i="24"/>
  <c r="CB37" i="59"/>
  <c r="M234" i="24"/>
  <c r="Q233" i="24"/>
  <c r="BI37" i="59"/>
  <c r="P233" i="24"/>
  <c r="BH37" i="59"/>
  <c r="M233" i="24"/>
  <c r="Q232" i="24"/>
  <c r="AO37" i="59"/>
  <c r="P232" i="24"/>
  <c r="AN37" i="59"/>
  <c r="M232" i="24"/>
  <c r="Q231" i="24"/>
  <c r="U37" i="59"/>
  <c r="P231" i="24"/>
  <c r="T37" i="59"/>
  <c r="M231" i="24"/>
  <c r="Q230" i="24"/>
  <c r="IR36" i="59"/>
  <c r="P230" i="24"/>
  <c r="IQ36" i="59"/>
  <c r="M230" i="24"/>
  <c r="Q229" i="24"/>
  <c r="HX36" i="59"/>
  <c r="P229" i="24"/>
  <c r="HW36" i="59"/>
  <c r="M229" i="24"/>
  <c r="A228" i="24"/>
  <c r="GN36" i="59"/>
  <c r="A227" i="24"/>
  <c r="FT36" i="59"/>
  <c r="A226" i="24"/>
  <c r="EZ36" i="59"/>
  <c r="A225" i="24"/>
  <c r="EF36" i="59"/>
  <c r="A224" i="24"/>
  <c r="DL36" i="59"/>
  <c r="A223" i="24"/>
  <c r="CR36" i="59"/>
  <c r="A222" i="24"/>
  <c r="BX36" i="59"/>
  <c r="A221" i="24"/>
  <c r="BD36" i="59"/>
  <c r="A220" i="24"/>
  <c r="AJ36" i="59"/>
  <c r="A219" i="24"/>
  <c r="P36" i="59"/>
  <c r="A217" i="24"/>
  <c r="HS35" i="59"/>
  <c r="A216" i="24"/>
  <c r="GY35" i="59"/>
  <c r="A215" i="24"/>
  <c r="GE35" i="59"/>
  <c r="A214" i="24"/>
  <c r="FK35" i="59"/>
  <c r="A213" i="24"/>
  <c r="EQ35" i="59"/>
  <c r="A212" i="24"/>
  <c r="DW35" i="59"/>
  <c r="A211" i="24"/>
  <c r="DC35" i="59"/>
  <c r="A210" i="24"/>
  <c r="CI35" i="59"/>
  <c r="A209" i="24"/>
  <c r="BO35" i="59"/>
  <c r="A208" i="24"/>
  <c r="AU35" i="59"/>
  <c r="Q217" i="24"/>
  <c r="II35" i="59"/>
  <c r="P217" i="24"/>
  <c r="IH35" i="59"/>
  <c r="M217" i="24"/>
  <c r="Q216" i="24"/>
  <c r="HO35" i="59"/>
  <c r="P216" i="24"/>
  <c r="HN35" i="59"/>
  <c r="M216" i="24"/>
  <c r="Q215" i="24"/>
  <c r="GU35" i="59"/>
  <c r="P215" i="24"/>
  <c r="GT35" i="59"/>
  <c r="M215" i="24"/>
  <c r="Q214" i="24"/>
  <c r="GA35" i="59"/>
  <c r="P214" i="24"/>
  <c r="FZ35" i="59"/>
  <c r="M214" i="24"/>
  <c r="Q213" i="24"/>
  <c r="FG35" i="59"/>
  <c r="P213" i="24"/>
  <c r="FF35" i="59"/>
  <c r="M213" i="24"/>
  <c r="Q212" i="24"/>
  <c r="EM35" i="59"/>
  <c r="P212" i="24"/>
  <c r="EL35" i="59"/>
  <c r="M212" i="24"/>
  <c r="Q211" i="24"/>
  <c r="DS35" i="59"/>
  <c r="P211" i="24"/>
  <c r="DR35" i="59"/>
  <c r="M211" i="24"/>
  <c r="Q210" i="24"/>
  <c r="CY35" i="59"/>
  <c r="P210" i="24"/>
  <c r="CX35" i="59"/>
  <c r="M210" i="24"/>
  <c r="Q209" i="24"/>
  <c r="CE35" i="59"/>
  <c r="P209" i="24"/>
  <c r="CD35" i="59"/>
  <c r="M209" i="24"/>
  <c r="Q208" i="24"/>
  <c r="BK35" i="59"/>
  <c r="P208" i="24"/>
  <c r="BJ35" i="59"/>
  <c r="M208" i="24"/>
  <c r="A207" i="24"/>
  <c r="AA35" i="59"/>
  <c r="A206" i="24"/>
  <c r="G35" i="59"/>
  <c r="A205" i="24"/>
  <c r="ID34" i="59"/>
  <c r="A204" i="24"/>
  <c r="HJ34" i="59"/>
  <c r="A203" i="24"/>
  <c r="GP34" i="59"/>
  <c r="A202" i="24"/>
  <c r="FV34" i="59"/>
  <c r="A201" i="24"/>
  <c r="FB34" i="59"/>
  <c r="A200" i="24"/>
  <c r="EH34" i="59"/>
  <c r="A199" i="24"/>
  <c r="DN34" i="59"/>
  <c r="A198" i="24"/>
  <c r="CT34" i="59"/>
  <c r="A196" i="24"/>
  <c r="BF34" i="59"/>
  <c r="A195" i="24"/>
  <c r="AL34" i="59"/>
  <c r="A194" i="24"/>
  <c r="R34" i="59"/>
  <c r="A193" i="24"/>
  <c r="IO33" i="59"/>
  <c r="A192" i="24"/>
  <c r="HU33" i="59"/>
  <c r="A191" i="24"/>
  <c r="HA33" i="59"/>
  <c r="A190" i="24"/>
  <c r="GG33" i="59"/>
  <c r="A189" i="24"/>
  <c r="FM33" i="59"/>
  <c r="A188" i="24"/>
  <c r="ES33" i="59"/>
  <c r="A187" i="24"/>
  <c r="DY33" i="59"/>
  <c r="Q196" i="24"/>
  <c r="BV34" i="59"/>
  <c r="P196" i="24"/>
  <c r="BU34" i="59"/>
  <c r="M196" i="24"/>
  <c r="Q195" i="24"/>
  <c r="BB34" i="59"/>
  <c r="P195" i="24"/>
  <c r="BA34" i="59"/>
  <c r="M195" i="24"/>
  <c r="Q194" i="24"/>
  <c r="AH34" i="59"/>
  <c r="P194" i="24"/>
  <c r="AG34" i="59"/>
  <c r="M194" i="24"/>
  <c r="Q193" i="24"/>
  <c r="N34" i="59"/>
  <c r="P193" i="24"/>
  <c r="M34" i="59"/>
  <c r="M193" i="24"/>
  <c r="Q192" i="24"/>
  <c r="IK33" i="59"/>
  <c r="P192" i="24"/>
  <c r="IJ33" i="59"/>
  <c r="M192" i="24"/>
  <c r="Q191" i="24"/>
  <c r="HQ33" i="59"/>
  <c r="P191" i="24"/>
  <c r="HP33" i="59"/>
  <c r="M191" i="24"/>
  <c r="Q190" i="24"/>
  <c r="GW33" i="59"/>
  <c r="P190" i="24"/>
  <c r="GV33" i="59"/>
  <c r="M190" i="24"/>
  <c r="Q189" i="24"/>
  <c r="GC33" i="59"/>
  <c r="P189" i="24"/>
  <c r="GB33" i="59"/>
  <c r="M189" i="24"/>
  <c r="Q188" i="24"/>
  <c r="FI33" i="59"/>
  <c r="P188" i="24"/>
  <c r="FH33" i="59"/>
  <c r="M188" i="24"/>
  <c r="Q187" i="24"/>
  <c r="EO33" i="59"/>
  <c r="P187" i="24"/>
  <c r="EN33" i="59"/>
  <c r="M187" i="24"/>
  <c r="A186" i="24"/>
  <c r="DE33" i="59"/>
  <c r="A185" i="24"/>
  <c r="CK33" i="59"/>
  <c r="A184" i="24"/>
  <c r="BQ33" i="59"/>
  <c r="A183" i="24"/>
  <c r="AW33" i="59"/>
  <c r="A182" i="24"/>
  <c r="AC33" i="59"/>
  <c r="A181" i="24"/>
  <c r="I33" i="59"/>
  <c r="A180" i="24"/>
  <c r="IF32" i="59"/>
  <c r="A179" i="24"/>
  <c r="HL32" i="59"/>
  <c r="A178" i="24"/>
  <c r="GR32" i="59"/>
  <c r="A177" i="24"/>
  <c r="FX32" i="59"/>
  <c r="A175" i="24"/>
  <c r="EJ32" i="59"/>
  <c r="A174" i="24"/>
  <c r="DP32" i="59"/>
  <c r="A173" i="24"/>
  <c r="CV32" i="59"/>
  <c r="A172" i="24"/>
  <c r="CB32" i="59"/>
  <c r="A171" i="24"/>
  <c r="BH32" i="59"/>
  <c r="A170" i="24"/>
  <c r="AN32" i="59"/>
  <c r="A169" i="24"/>
  <c r="T32" i="59"/>
  <c r="A168" i="24"/>
  <c r="IQ31" i="59"/>
  <c r="A167" i="24"/>
  <c r="HW31" i="59"/>
  <c r="A166" i="24"/>
  <c r="HC31" i="59"/>
  <c r="Q175" i="24"/>
  <c r="EZ32" i="59"/>
  <c r="P175" i="24"/>
  <c r="EY32" i="59"/>
  <c r="M175" i="24"/>
  <c r="Q174" i="24"/>
  <c r="EF32" i="59"/>
  <c r="P174" i="24"/>
  <c r="EE32" i="59"/>
  <c r="M174" i="24"/>
  <c r="Q173" i="24"/>
  <c r="DL32" i="59"/>
  <c r="P173" i="24"/>
  <c r="DK32" i="59"/>
  <c r="M173" i="24"/>
  <c r="Q172" i="24"/>
  <c r="CR32" i="59"/>
  <c r="P172" i="24"/>
  <c r="CQ32" i="59"/>
  <c r="M172" i="24"/>
  <c r="Q171" i="24"/>
  <c r="BX32" i="59"/>
  <c r="P171" i="24"/>
  <c r="BW32" i="59"/>
  <c r="M171" i="24"/>
  <c r="Q170" i="24"/>
  <c r="BD32" i="59"/>
  <c r="P170" i="24"/>
  <c r="BC32" i="59"/>
  <c r="M170" i="24"/>
  <c r="Q169" i="24"/>
  <c r="AJ32" i="59"/>
  <c r="P169" i="24"/>
  <c r="AI32" i="59"/>
  <c r="M169" i="24"/>
  <c r="Q168" i="24"/>
  <c r="P32" i="59"/>
  <c r="P168" i="24"/>
  <c r="O32" i="59"/>
  <c r="M168" i="24"/>
  <c r="Q167" i="24"/>
  <c r="IM31" i="59"/>
  <c r="P167" i="24"/>
  <c r="IL31" i="59"/>
  <c r="M167" i="24"/>
  <c r="Q166" i="24"/>
  <c r="HS31" i="59"/>
  <c r="P166" i="24"/>
  <c r="HR31" i="59"/>
  <c r="M166" i="24"/>
  <c r="A165" i="24"/>
  <c r="GI31" i="59"/>
  <c r="A164" i="24"/>
  <c r="FO31" i="59"/>
  <c r="A163" i="24"/>
  <c r="EU31" i="59"/>
  <c r="A162" i="24"/>
  <c r="EA31" i="59"/>
  <c r="A161" i="24"/>
  <c r="DG31" i="59"/>
  <c r="A160" i="24"/>
  <c r="CM31" i="59"/>
  <c r="A159" i="24"/>
  <c r="BS31" i="59"/>
  <c r="A158" i="24"/>
  <c r="AY31" i="59"/>
  <c r="A157" i="24"/>
  <c r="AE31" i="59"/>
  <c r="A156" i="24"/>
  <c r="K31" i="59"/>
  <c r="A154" i="24"/>
  <c r="HN30" i="59"/>
  <c r="A153" i="24"/>
  <c r="GT30" i="59"/>
  <c r="A152" i="24"/>
  <c r="FZ30" i="59"/>
  <c r="A151" i="24"/>
  <c r="FF30" i="59"/>
  <c r="A150" i="24"/>
  <c r="EL30" i="59"/>
  <c r="A149" i="24"/>
  <c r="DR30" i="59"/>
  <c r="A148" i="24"/>
  <c r="CX30" i="59"/>
  <c r="A147" i="24"/>
  <c r="CD30" i="59"/>
  <c r="A146" i="24"/>
  <c r="BJ30" i="59"/>
  <c r="A145" i="24"/>
  <c r="AP30" i="59"/>
  <c r="Q154" i="24"/>
  <c r="P154" i="24"/>
  <c r="IC30" i="59"/>
  <c r="M154" i="24"/>
  <c r="Q153" i="24"/>
  <c r="HJ30" i="59"/>
  <c r="P153" i="24"/>
  <c r="M153" i="24"/>
  <c r="Q152" i="24"/>
  <c r="GP30" i="59"/>
  <c r="P152" i="24"/>
  <c r="GO30" i="59"/>
  <c r="M152" i="24"/>
  <c r="Q151" i="24"/>
  <c r="FV30" i="59"/>
  <c r="P151" i="24"/>
  <c r="FU30" i="59"/>
  <c r="M151" i="24"/>
  <c r="Q150" i="24"/>
  <c r="FB30" i="59"/>
  <c r="P150" i="24"/>
  <c r="FA30" i="59"/>
  <c r="M150" i="24"/>
  <c r="Q149" i="24"/>
  <c r="EH30" i="59"/>
  <c r="P149" i="24"/>
  <c r="EG30" i="59"/>
  <c r="M149" i="24"/>
  <c r="Q148" i="24"/>
  <c r="DN30" i="59"/>
  <c r="P148" i="24"/>
  <c r="DM30" i="59"/>
  <c r="M148" i="24"/>
  <c r="Q147" i="24"/>
  <c r="CT30" i="59"/>
  <c r="P147" i="24"/>
  <c r="CS30" i="59"/>
  <c r="M147" i="24"/>
  <c r="Q146" i="24"/>
  <c r="BZ30" i="59"/>
  <c r="P146" i="24"/>
  <c r="BY30" i="59"/>
  <c r="M146" i="24"/>
  <c r="Q145" i="24"/>
  <c r="BF30" i="59"/>
  <c r="P145" i="24"/>
  <c r="BE30" i="59"/>
  <c r="M145" i="24"/>
  <c r="A144" i="24"/>
  <c r="V30" i="59"/>
  <c r="A143" i="24"/>
  <c r="IS29" i="59"/>
  <c r="A142" i="24"/>
  <c r="HY29" i="59"/>
  <c r="A141" i="24"/>
  <c r="HE29" i="59"/>
  <c r="A140" i="24"/>
  <c r="GK29" i="59"/>
  <c r="A139" i="24"/>
  <c r="FQ29" i="59"/>
  <c r="A138" i="24"/>
  <c r="EW29" i="59"/>
  <c r="A137" i="24"/>
  <c r="EC29" i="59"/>
  <c r="A136" i="24"/>
  <c r="DI29" i="59"/>
  <c r="A135" i="24"/>
  <c r="CO29" i="59"/>
  <c r="A133" i="24"/>
  <c r="BA29" i="59"/>
  <c r="A132" i="24"/>
  <c r="AG29" i="59"/>
  <c r="A131" i="24"/>
  <c r="M29" i="59"/>
  <c r="A130" i="24"/>
  <c r="IJ28" i="59"/>
  <c r="A129" i="24"/>
  <c r="HP28" i="59"/>
  <c r="A128" i="24"/>
  <c r="GV28" i="59"/>
  <c r="A127" i="24"/>
  <c r="GB28" i="59"/>
  <c r="A126" i="24"/>
  <c r="FH28" i="59"/>
  <c r="A125" i="24"/>
  <c r="EN28" i="59"/>
  <c r="A124" i="24"/>
  <c r="DT28" i="59"/>
  <c r="Q133" i="24"/>
  <c r="BQ29" i="59"/>
  <c r="P133" i="24"/>
  <c r="BP29" i="59"/>
  <c r="M133" i="24"/>
  <c r="Q132" i="24"/>
  <c r="AW29" i="59"/>
  <c r="P132" i="24"/>
  <c r="AV29" i="59"/>
  <c r="M132" i="24"/>
  <c r="Q131" i="24"/>
  <c r="AC29" i="59"/>
  <c r="P131" i="24"/>
  <c r="AB29" i="59"/>
  <c r="M131" i="24"/>
  <c r="Q130" i="24"/>
  <c r="I29" i="59"/>
  <c r="P130" i="24"/>
  <c r="H29" i="59"/>
  <c r="M130" i="24"/>
  <c r="Q129" i="24"/>
  <c r="IF28" i="59"/>
  <c r="P129" i="24"/>
  <c r="IE28" i="59"/>
  <c r="M129" i="24"/>
  <c r="Q128" i="24"/>
  <c r="HL28" i="59"/>
  <c r="P128" i="24"/>
  <c r="HK28" i="59"/>
  <c r="M128" i="24"/>
  <c r="Q127" i="24"/>
  <c r="GR28" i="59"/>
  <c r="P127" i="24"/>
  <c r="GQ28" i="59"/>
  <c r="M127" i="24"/>
  <c r="Q126" i="24"/>
  <c r="FX28" i="59"/>
  <c r="P126" i="24"/>
  <c r="FW28" i="59"/>
  <c r="M126" i="24"/>
  <c r="Q125" i="24"/>
  <c r="FD28" i="59"/>
  <c r="P125" i="24"/>
  <c r="FC28" i="59"/>
  <c r="M125" i="24"/>
  <c r="Q124" i="24"/>
  <c r="EJ28" i="59"/>
  <c r="P124" i="24"/>
  <c r="EI28" i="59"/>
  <c r="M124" i="24"/>
  <c r="A123" i="24"/>
  <c r="CZ28" i="59"/>
  <c r="A122" i="24"/>
  <c r="CF28" i="59"/>
  <c r="A121" i="24"/>
  <c r="BL28" i="59"/>
  <c r="A120" i="24"/>
  <c r="AR28" i="59"/>
  <c r="A119" i="24"/>
  <c r="X28" i="59"/>
  <c r="A118" i="24"/>
  <c r="IU27" i="59"/>
  <c r="A117" i="24"/>
  <c r="IA27" i="59"/>
  <c r="A116" i="24"/>
  <c r="HG27" i="59"/>
  <c r="A115" i="24"/>
  <c r="GM27" i="59"/>
  <c r="A114" i="24"/>
  <c r="FS27" i="59"/>
  <c r="A112" i="24"/>
  <c r="EE27" i="59"/>
  <c r="A111" i="24"/>
  <c r="DK27" i="59"/>
  <c r="A110" i="24"/>
  <c r="CQ27" i="59"/>
  <c r="A109" i="24"/>
  <c r="BW27" i="59"/>
  <c r="A108" i="24"/>
  <c r="BC27" i="59"/>
  <c r="A107" i="24"/>
  <c r="AI27" i="59"/>
  <c r="A106" i="24"/>
  <c r="O27" i="59"/>
  <c r="A105" i="24"/>
  <c r="IL26" i="59"/>
  <c r="A104" i="24"/>
  <c r="HR26" i="59"/>
  <c r="A103" i="24"/>
  <c r="GX26" i="59"/>
  <c r="Q112" i="24"/>
  <c r="EU27" i="59"/>
  <c r="P112" i="24"/>
  <c r="ET27" i="59"/>
  <c r="M112" i="24"/>
  <c r="Q111" i="24"/>
  <c r="EA27" i="59"/>
  <c r="P111" i="24"/>
  <c r="DZ27" i="59"/>
  <c r="M111" i="24"/>
  <c r="Q110" i="24"/>
  <c r="DG27" i="59"/>
  <c r="P110" i="24"/>
  <c r="DF27" i="59"/>
  <c r="M110" i="24"/>
  <c r="Q109" i="24"/>
  <c r="CM27" i="59"/>
  <c r="P109" i="24"/>
  <c r="CL27" i="59"/>
  <c r="M109" i="24"/>
  <c r="Q108" i="24"/>
  <c r="BS27" i="59"/>
  <c r="P108" i="24"/>
  <c r="BR27" i="59"/>
  <c r="M108" i="24"/>
  <c r="Q107" i="24"/>
  <c r="AY27" i="59"/>
  <c r="P107" i="24"/>
  <c r="AX27" i="59"/>
  <c r="M107" i="24"/>
  <c r="Q106" i="24"/>
  <c r="AE27" i="59"/>
  <c r="P106" i="24"/>
  <c r="AD27" i="59"/>
  <c r="M106" i="24"/>
  <c r="Q105" i="24"/>
  <c r="K27" i="59"/>
  <c r="P105" i="24"/>
  <c r="J27" i="59"/>
  <c r="M105" i="24"/>
  <c r="Q104" i="24"/>
  <c r="IH26" i="59"/>
  <c r="P104" i="24"/>
  <c r="IG26" i="59"/>
  <c r="M104" i="24"/>
  <c r="Q103" i="24"/>
  <c r="HN26" i="59"/>
  <c r="P103" i="24"/>
  <c r="HM26" i="59"/>
  <c r="M103" i="24"/>
  <c r="A102" i="24"/>
  <c r="GD26" i="59"/>
  <c r="A101" i="24"/>
  <c r="FJ26" i="59"/>
  <c r="A100" i="24"/>
  <c r="EP26" i="59"/>
  <c r="A99" i="24"/>
  <c r="DV26" i="59"/>
  <c r="A98" i="24"/>
  <c r="DB26" i="59"/>
  <c r="A97" i="24"/>
  <c r="CH26" i="59"/>
  <c r="A96" i="24"/>
  <c r="BN26" i="59"/>
  <c r="A95" i="24"/>
  <c r="AT26" i="59"/>
  <c r="A94" i="24"/>
  <c r="Z26" i="59"/>
  <c r="A93" i="24"/>
  <c r="F26" i="59"/>
  <c r="A91" i="24"/>
  <c r="HI25" i="59"/>
  <c r="A90" i="24"/>
  <c r="GO25" i="59"/>
  <c r="A89" i="24"/>
  <c r="FU25" i="59"/>
  <c r="A88" i="24"/>
  <c r="FA25" i="59"/>
  <c r="A87" i="24"/>
  <c r="EG25" i="59"/>
  <c r="A86" i="24"/>
  <c r="DM25" i="59"/>
  <c r="A85" i="24"/>
  <c r="CS25" i="59"/>
  <c r="A84" i="24"/>
  <c r="BY25" i="59"/>
  <c r="A83" i="24"/>
  <c r="BE25" i="59"/>
  <c r="A82" i="24"/>
  <c r="AK25" i="59"/>
  <c r="Q91" i="24"/>
  <c r="HY25" i="59"/>
  <c r="P91" i="24"/>
  <c r="HX25" i="59"/>
  <c r="M91" i="24"/>
  <c r="Q90" i="24"/>
  <c r="HE25" i="59"/>
  <c r="P90" i="24"/>
  <c r="HD25" i="59"/>
  <c r="M90" i="24"/>
  <c r="Q89" i="24"/>
  <c r="GK25" i="59"/>
  <c r="P89" i="24"/>
  <c r="GJ25" i="59"/>
  <c r="M89" i="24"/>
  <c r="Q88" i="24"/>
  <c r="FQ25" i="59"/>
  <c r="P88" i="24"/>
  <c r="FP25" i="59"/>
  <c r="M88" i="24"/>
  <c r="Q87" i="24"/>
  <c r="EW25" i="59"/>
  <c r="P87" i="24"/>
  <c r="EV25" i="59"/>
  <c r="M87" i="24"/>
  <c r="Q86" i="24"/>
  <c r="EC25" i="59"/>
  <c r="P86" i="24"/>
  <c r="EB25" i="59"/>
  <c r="M86" i="24"/>
  <c r="Q85" i="24"/>
  <c r="DI25" i="59"/>
  <c r="P85" i="24"/>
  <c r="DH25" i="59"/>
  <c r="M85" i="24"/>
  <c r="Q84" i="24"/>
  <c r="CO25" i="59"/>
  <c r="P84" i="24"/>
  <c r="CN25" i="59"/>
  <c r="M84" i="24"/>
  <c r="Q83" i="24"/>
  <c r="BU25" i="59"/>
  <c r="P83" i="24"/>
  <c r="BT25" i="59"/>
  <c r="M83" i="24"/>
  <c r="Q82" i="24"/>
  <c r="BA25" i="59"/>
  <c r="P82" i="24"/>
  <c r="AZ25" i="59"/>
  <c r="M82" i="24"/>
  <c r="A81" i="24"/>
  <c r="Q25" i="59"/>
  <c r="A80" i="24"/>
  <c r="IN24" i="59"/>
  <c r="A79" i="24"/>
  <c r="HT24" i="59"/>
  <c r="A78" i="24"/>
  <c r="GZ24" i="59"/>
  <c r="A77" i="24"/>
  <c r="GF24" i="59"/>
  <c r="A76" i="24"/>
  <c r="FL24" i="59"/>
  <c r="A75" i="24"/>
  <c r="ER24" i="59"/>
  <c r="A74" i="24"/>
  <c r="DX24" i="59"/>
  <c r="A73" i="24"/>
  <c r="DD24" i="59"/>
  <c r="A72" i="24"/>
  <c r="CJ24" i="59"/>
  <c r="A70" i="24"/>
  <c r="AV24" i="59"/>
  <c r="A69" i="24"/>
  <c r="AB24" i="59"/>
  <c r="A68" i="24"/>
  <c r="H24" i="59"/>
  <c r="A67" i="24"/>
  <c r="IE23" i="59"/>
  <c r="A66" i="24"/>
  <c r="HK23" i="59"/>
  <c r="A65" i="24"/>
  <c r="GQ23" i="59"/>
  <c r="A64" i="24"/>
  <c r="FW23" i="59"/>
  <c r="A63" i="24"/>
  <c r="FC23" i="59"/>
  <c r="A62" i="24"/>
  <c r="EI23" i="59"/>
  <c r="A61" i="24"/>
  <c r="DO23" i="59"/>
  <c r="Q70" i="24"/>
  <c r="BL24" i="59"/>
  <c r="P70" i="24"/>
  <c r="BK24" i="59"/>
  <c r="M70" i="24"/>
  <c r="Q69" i="24"/>
  <c r="AR24" i="59"/>
  <c r="P69" i="24"/>
  <c r="AQ24" i="59"/>
  <c r="M69" i="24"/>
  <c r="Q68" i="24"/>
  <c r="X24" i="59"/>
  <c r="P68" i="24"/>
  <c r="W24" i="59"/>
  <c r="M68" i="24"/>
  <c r="Q67" i="24"/>
  <c r="IU23" i="59"/>
  <c r="P67" i="24"/>
  <c r="IT23" i="59"/>
  <c r="M67" i="24"/>
  <c r="Q66" i="24"/>
  <c r="IA23" i="59"/>
  <c r="P66" i="24"/>
  <c r="HZ23" i="59"/>
  <c r="M66" i="24"/>
  <c r="Q65" i="24"/>
  <c r="HG23" i="59"/>
  <c r="P65" i="24"/>
  <c r="HF23" i="59"/>
  <c r="M65" i="24"/>
  <c r="Q64" i="24"/>
  <c r="GM23" i="59"/>
  <c r="P64" i="24"/>
  <c r="GL23" i="59"/>
  <c r="M64" i="24"/>
  <c r="Q63" i="24"/>
  <c r="FS23" i="59"/>
  <c r="P63" i="24"/>
  <c r="FR23" i="59"/>
  <c r="M63" i="24"/>
  <c r="Q62" i="24"/>
  <c r="EY23" i="59"/>
  <c r="P62" i="24"/>
  <c r="EX23" i="59"/>
  <c r="M62" i="24"/>
  <c r="Q61" i="24"/>
  <c r="EE23" i="59"/>
  <c r="P61" i="24"/>
  <c r="ED23" i="59"/>
  <c r="M61" i="24"/>
  <c r="A60" i="24"/>
  <c r="CU23" i="59"/>
  <c r="A59" i="24"/>
  <c r="CA23" i="59"/>
  <c r="A58" i="24"/>
  <c r="BG23" i="59"/>
  <c r="A57" i="24"/>
  <c r="AM23" i="59"/>
  <c r="A56" i="24"/>
  <c r="S23" i="59"/>
  <c r="A55" i="24"/>
  <c r="IP22" i="59"/>
  <c r="A54" i="24"/>
  <c r="HV22" i="59"/>
  <c r="A53" i="24"/>
  <c r="HB22" i="59"/>
  <c r="A52" i="24"/>
  <c r="GH22" i="59"/>
  <c r="A51" i="24"/>
  <c r="FN22" i="59"/>
  <c r="A30" i="24"/>
  <c r="IR20" i="59"/>
  <c r="A31" i="24"/>
  <c r="U21" i="59"/>
  <c r="A32" i="24"/>
  <c r="AO21" i="59"/>
  <c r="A33" i="24"/>
  <c r="BI21" i="59"/>
  <c r="A34" i="24"/>
  <c r="CC21" i="59"/>
  <c r="A35" i="24"/>
  <c r="CW21" i="59"/>
  <c r="A36" i="24"/>
  <c r="DQ21" i="59"/>
  <c r="A37" i="24"/>
  <c r="EK21" i="59"/>
  <c r="A38" i="24"/>
  <c r="FE21" i="59"/>
  <c r="A39" i="24"/>
  <c r="FY21" i="59"/>
  <c r="A40" i="24"/>
  <c r="GS21" i="59"/>
  <c r="A41" i="24"/>
  <c r="HM21" i="59"/>
  <c r="A42" i="24"/>
  <c r="IG21" i="59"/>
  <c r="A43" i="24"/>
  <c r="J22" i="59"/>
  <c r="A44" i="24"/>
  <c r="AD22" i="59"/>
  <c r="A45" i="24"/>
  <c r="AX22" i="59"/>
  <c r="A46" i="24"/>
  <c r="BR22" i="59"/>
  <c r="A47" i="24"/>
  <c r="CL22" i="59"/>
  <c r="A48" i="24"/>
  <c r="DF22" i="59"/>
  <c r="A49" i="24"/>
  <c r="DZ22" i="59"/>
  <c r="Q49" i="24"/>
  <c r="EP22" i="59"/>
  <c r="P49" i="24"/>
  <c r="EO22" i="59"/>
  <c r="M49" i="24"/>
  <c r="Q48" i="24"/>
  <c r="DV22" i="59"/>
  <c r="P48" i="24"/>
  <c r="DU22" i="59"/>
  <c r="M48" i="24"/>
  <c r="Q47" i="24"/>
  <c r="DB22" i="59"/>
  <c r="P47" i="24"/>
  <c r="DA22" i="59"/>
  <c r="M47" i="24"/>
  <c r="Q46" i="24"/>
  <c r="CH22" i="59"/>
  <c r="P46" i="24"/>
  <c r="CG22" i="59"/>
  <c r="M46" i="24"/>
  <c r="Q45" i="24"/>
  <c r="BN22" i="59"/>
  <c r="P45" i="24"/>
  <c r="BM22" i="59"/>
  <c r="M45" i="24"/>
  <c r="Q44" i="24"/>
  <c r="AT22" i="59"/>
  <c r="P44" i="24"/>
  <c r="AS22" i="59"/>
  <c r="M44" i="24"/>
  <c r="Q43" i="24"/>
  <c r="Z22" i="59"/>
  <c r="P43" i="24"/>
  <c r="Y22" i="59"/>
  <c r="M43" i="24"/>
  <c r="Q42" i="24"/>
  <c r="F22" i="59"/>
  <c r="P42" i="24"/>
  <c r="IV21" i="59"/>
  <c r="M42" i="24"/>
  <c r="Q41" i="24"/>
  <c r="IC21" i="59"/>
  <c r="P41" i="24"/>
  <c r="IB21" i="59"/>
  <c r="M41" i="24"/>
  <c r="Q40" i="24"/>
  <c r="HI21" i="59"/>
  <c r="P40" i="24"/>
  <c r="HH21" i="59"/>
  <c r="M40" i="24"/>
  <c r="P25" i="24"/>
  <c r="FK20" i="59"/>
  <c r="Q25" i="24"/>
  <c r="FL20" i="59"/>
  <c r="P26" i="24"/>
  <c r="GE20" i="59"/>
  <c r="Q26" i="24"/>
  <c r="GF20" i="59"/>
  <c r="P27" i="24"/>
  <c r="GY20" i="59"/>
  <c r="Q27" i="24"/>
  <c r="GZ20" i="59"/>
  <c r="P28" i="24"/>
  <c r="HS20" i="59"/>
  <c r="Q28" i="24"/>
  <c r="HT20" i="59"/>
  <c r="M19" i="24"/>
  <c r="M20" i="24"/>
  <c r="M21" i="24"/>
  <c r="M22" i="24"/>
  <c r="CZ20" i="59"/>
  <c r="M23" i="24"/>
  <c r="M24" i="24"/>
  <c r="M25" i="24"/>
  <c r="M26" i="24"/>
  <c r="M27" i="24"/>
  <c r="M28" i="24"/>
  <c r="A28" i="24"/>
  <c r="HD20" i="59"/>
  <c r="A27" i="24"/>
  <c r="GJ20" i="59"/>
  <c r="A26" i="24"/>
  <c r="FP20" i="59"/>
  <c r="A25" i="24"/>
  <c r="EV20" i="59"/>
  <c r="A24" i="24"/>
  <c r="EB20" i="59"/>
  <c r="A23" i="24"/>
  <c r="DH20" i="59"/>
  <c r="A22" i="24"/>
  <c r="CN20" i="59"/>
  <c r="A21" i="24"/>
  <c r="BT20" i="59"/>
  <c r="A20" i="24"/>
  <c r="AZ20" i="59"/>
  <c r="A19" i="24"/>
  <c r="AF20" i="59"/>
  <c r="A18" i="24"/>
  <c r="L20" i="59"/>
  <c r="A17" i="24"/>
  <c r="II19" i="59"/>
  <c r="A16" i="24"/>
  <c r="HO19" i="59"/>
  <c r="A15" i="24"/>
  <c r="A14" i="24"/>
  <c r="GA19" i="59"/>
  <c r="A13" i="24"/>
  <c r="FG19" i="59"/>
  <c r="A12" i="24"/>
  <c r="EM19" i="59"/>
  <c r="A11" i="24"/>
  <c r="DS19" i="59"/>
  <c r="A10" i="24"/>
  <c r="CY19" i="59"/>
  <c r="A9" i="24"/>
  <c r="CE19" i="59"/>
  <c r="N61" i="24"/>
  <c r="EA23" i="59"/>
  <c r="N103" i="24"/>
  <c r="HJ26" i="59"/>
  <c r="N168" i="24"/>
  <c r="L32" i="59"/>
  <c r="N191" i="24"/>
  <c r="HM33" i="59"/>
  <c r="N214" i="24"/>
  <c r="FW35" i="59"/>
  <c r="N233" i="24"/>
  <c r="BE37" i="59"/>
  <c r="N237" i="24"/>
  <c r="EG37" i="59"/>
  <c r="N252" i="24"/>
  <c r="GD38" i="59"/>
  <c r="N256" i="24"/>
  <c r="O39" i="59"/>
  <c r="N271" i="24"/>
  <c r="BL40" i="59"/>
  <c r="N275" i="24"/>
  <c r="EN40" i="59"/>
  <c r="N279" i="24"/>
  <c r="HP40" i="59"/>
  <c r="N294" i="24"/>
  <c r="V42" i="59"/>
  <c r="N298" i="24"/>
  <c r="CX42" i="59"/>
  <c r="N313" i="24"/>
  <c r="EU43" i="59"/>
  <c r="N317" i="24"/>
  <c r="HW43" i="59"/>
  <c r="N321" i="24"/>
  <c r="BH44" i="59"/>
  <c r="N340" i="24"/>
  <c r="GG45" i="59"/>
  <c r="N381" i="24"/>
  <c r="IV48" i="59"/>
  <c r="N25" i="24"/>
  <c r="FH20" i="59"/>
  <c r="N83" i="24"/>
  <c r="BQ25" i="59"/>
  <c r="N110" i="24"/>
  <c r="DC27" i="59"/>
  <c r="N148" i="24"/>
  <c r="DJ30" i="59"/>
  <c r="N152" i="24"/>
  <c r="GL30" i="59"/>
  <c r="N167" i="24"/>
  <c r="II31" i="59"/>
  <c r="N171" i="24"/>
  <c r="BT32" i="59"/>
  <c r="N175" i="24"/>
  <c r="EV32" i="59"/>
  <c r="N190" i="24"/>
  <c r="GS33" i="59"/>
  <c r="N194" i="24"/>
  <c r="AD34" i="59"/>
  <c r="N209" i="24"/>
  <c r="CA35" i="59"/>
  <c r="N213" i="24"/>
  <c r="FC35" i="59"/>
  <c r="N217" i="24"/>
  <c r="IE35" i="59"/>
  <c r="N232" i="24"/>
  <c r="AK37" i="59"/>
  <c r="N236" i="24"/>
  <c r="DM37" i="59"/>
  <c r="N278" i="24"/>
  <c r="GV40" i="59"/>
  <c r="N297" i="24"/>
  <c r="CD42" i="59"/>
  <c r="N384" i="24"/>
  <c r="BM49" i="59"/>
  <c r="N420" i="24"/>
  <c r="AF52" i="59"/>
  <c r="N532" i="24"/>
  <c r="M61" i="59"/>
  <c r="N546" i="24"/>
  <c r="AP62" i="59"/>
  <c r="N549" i="24"/>
  <c r="CX62" i="59"/>
  <c r="N551" i="24"/>
  <c r="EL62" i="59"/>
  <c r="N553" i="24"/>
  <c r="FZ62" i="59"/>
  <c r="N567" i="24"/>
  <c r="HC63" i="59"/>
  <c r="N570" i="24"/>
  <c r="T64" i="59"/>
  <c r="N572" i="24"/>
  <c r="BH64" i="59"/>
  <c r="N586" i="24"/>
  <c r="CK65" i="59"/>
  <c r="N588" i="24"/>
  <c r="DY65" i="59"/>
  <c r="N591" i="24"/>
  <c r="GG65" i="59"/>
  <c r="N593" i="24"/>
  <c r="HU65" i="59"/>
  <c r="N607" i="24"/>
  <c r="G67" i="59"/>
  <c r="N628" i="24"/>
  <c r="FT68" i="59"/>
  <c r="N630" i="24"/>
  <c r="HI68" i="59"/>
  <c r="HH68" i="59"/>
  <c r="N632" i="24"/>
  <c r="IV68" i="59"/>
  <c r="N634" i="24"/>
  <c r="AS69" i="59"/>
  <c r="N636" i="24"/>
  <c r="CG69" i="59"/>
  <c r="N46" i="24"/>
  <c r="CD22" i="59"/>
  <c r="N63" i="24"/>
  <c r="FO23" i="59"/>
  <c r="N67" i="24"/>
  <c r="IQ23" i="59"/>
  <c r="N82" i="24"/>
  <c r="AW25" i="59"/>
  <c r="N86" i="24"/>
  <c r="DY25" i="59"/>
  <c r="N90" i="24"/>
  <c r="HA25" i="59"/>
  <c r="N105" i="24"/>
  <c r="G27" i="59"/>
  <c r="N109" i="24"/>
  <c r="CI27" i="59"/>
  <c r="N124" i="24"/>
  <c r="EF28" i="59"/>
  <c r="N128" i="24"/>
  <c r="HH28" i="59"/>
  <c r="N132" i="24"/>
  <c r="AS29" i="59"/>
  <c r="N147" i="24"/>
  <c r="CP30" i="59"/>
  <c r="N151" i="24"/>
  <c r="FR30" i="59"/>
  <c r="N166" i="24"/>
  <c r="HO31" i="59"/>
  <c r="N174" i="24"/>
  <c r="EB32" i="59"/>
  <c r="N189" i="24"/>
  <c r="FY33" i="59"/>
  <c r="N193" i="24"/>
  <c r="J34" i="59"/>
  <c r="N208" i="24"/>
  <c r="BG35" i="59"/>
  <c r="N212" i="24"/>
  <c r="EI35" i="59"/>
  <c r="N216" i="24"/>
  <c r="HK35" i="59"/>
  <c r="N231" i="24"/>
  <c r="Q37" i="59"/>
  <c r="N235" i="24"/>
  <c r="CS37" i="59"/>
  <c r="N250" i="24"/>
  <c r="EP38" i="59"/>
  <c r="N254" i="24"/>
  <c r="HR38" i="59"/>
  <c r="N258" i="24"/>
  <c r="BC39" i="59"/>
  <c r="N273" i="24"/>
  <c r="CZ40" i="59"/>
  <c r="N277" i="24"/>
  <c r="GB40" i="59"/>
  <c r="N292" i="24"/>
  <c r="HY41" i="59"/>
  <c r="N296" i="24"/>
  <c r="BJ42" i="59"/>
  <c r="N300" i="24"/>
  <c r="EL42" i="59"/>
  <c r="N315" i="24"/>
  <c r="GI43" i="59"/>
  <c r="N319" i="24"/>
  <c r="T44" i="59"/>
  <c r="N334" i="24"/>
  <c r="BQ45" i="59"/>
  <c r="N338" i="24"/>
  <c r="ES45" i="59"/>
  <c r="N342" i="24"/>
  <c r="HU45" i="59"/>
  <c r="N379" i="24"/>
  <c r="HH48" i="59"/>
  <c r="N383" i="24"/>
  <c r="AS49" i="59"/>
  <c r="N397" i="24"/>
  <c r="BV50" i="59"/>
  <c r="N401" i="24"/>
  <c r="M17" i="59"/>
  <c r="EX50" i="59"/>
  <c r="N405" i="24"/>
  <c r="HZ50" i="59"/>
  <c r="N419" i="24"/>
  <c r="L52" i="59"/>
  <c r="N423" i="24"/>
  <c r="CN52" i="59"/>
  <c r="N427" i="24"/>
  <c r="FP52" i="59"/>
  <c r="N439" i="24"/>
  <c r="FF53" i="59"/>
  <c r="FE53" i="59"/>
  <c r="N440" i="24"/>
  <c r="FY53" i="59"/>
  <c r="N441" i="24"/>
  <c r="GS53" i="59"/>
  <c r="N442" i="24"/>
  <c r="HM53" i="59"/>
  <c r="N443" i="24"/>
  <c r="IG53" i="59"/>
  <c r="N444" i="24"/>
  <c r="J54" i="59"/>
  <c r="N445" i="24"/>
  <c r="AD54" i="59"/>
  <c r="N446" i="24"/>
  <c r="AX54" i="59"/>
  <c r="N447" i="24"/>
  <c r="BR54" i="59"/>
  <c r="N448" i="24"/>
  <c r="CL54" i="59"/>
  <c r="N460" i="24"/>
  <c r="CB55" i="59"/>
  <c r="CA55" i="59"/>
  <c r="N461" i="24"/>
  <c r="CU55" i="59"/>
  <c r="N462" i="24"/>
  <c r="DO55" i="59"/>
  <c r="N463" i="24"/>
  <c r="EI55" i="59"/>
  <c r="N464" i="24"/>
  <c r="FC55" i="59"/>
  <c r="N465" i="24"/>
  <c r="FW55" i="59"/>
  <c r="N466" i="24"/>
  <c r="GQ55" i="59"/>
  <c r="N467" i="24"/>
  <c r="HK55" i="59"/>
  <c r="N468" i="24"/>
  <c r="IE55" i="59"/>
  <c r="N469" i="24"/>
  <c r="H56" i="59"/>
  <c r="N482" i="24"/>
  <c r="Q57" i="59"/>
  <c r="N483" i="24"/>
  <c r="AK57" i="59"/>
  <c r="N484" i="24"/>
  <c r="BE57" i="59"/>
  <c r="N485" i="24"/>
  <c r="BY57" i="59"/>
  <c r="N486" i="24"/>
  <c r="CS57" i="59"/>
  <c r="N487" i="24"/>
  <c r="DM57" i="59"/>
  <c r="N488" i="24"/>
  <c r="EG57" i="59"/>
  <c r="N489" i="24"/>
  <c r="FA57" i="59"/>
  <c r="N490" i="24"/>
  <c r="FU57" i="59"/>
  <c r="N503" i="24"/>
  <c r="GD58" i="59"/>
  <c r="N504" i="24"/>
  <c r="GX58" i="59"/>
  <c r="N505" i="24"/>
  <c r="HR58" i="59"/>
  <c r="N506" i="24"/>
  <c r="IL58" i="59"/>
  <c r="N507" i="24"/>
  <c r="O59" i="59"/>
  <c r="N508" i="24"/>
  <c r="AI59" i="59"/>
  <c r="N509" i="24"/>
  <c r="BC59" i="59"/>
  <c r="N510" i="24"/>
  <c r="BW59" i="59"/>
  <c r="N511" i="24"/>
  <c r="CQ59" i="59"/>
  <c r="N523" i="24"/>
  <c r="CF60" i="59"/>
  <c r="N524" i="24"/>
  <c r="CZ60" i="59"/>
  <c r="N525" i="24"/>
  <c r="DT60" i="59"/>
  <c r="N526" i="24"/>
  <c r="EN60" i="59"/>
  <c r="N527" i="24"/>
  <c r="FH60" i="59"/>
  <c r="N528" i="24"/>
  <c r="GB60" i="59"/>
  <c r="N529" i="24"/>
  <c r="GV60" i="59"/>
  <c r="N530" i="24"/>
  <c r="HP60" i="59"/>
  <c r="N531" i="24"/>
  <c r="IJ60" i="59"/>
  <c r="AS15" i="59"/>
  <c r="GU19" i="59"/>
  <c r="N26" i="24"/>
  <c r="GB20" i="59"/>
  <c r="N40" i="24"/>
  <c r="HE21" i="59"/>
  <c r="N44" i="24"/>
  <c r="AP22" i="59"/>
  <c r="N48" i="24"/>
  <c r="DR22" i="59"/>
  <c r="N65" i="24"/>
  <c r="HC23" i="59"/>
  <c r="N69" i="24"/>
  <c r="AN24" i="59"/>
  <c r="N84" i="24"/>
  <c r="CK25" i="59"/>
  <c r="N88" i="24"/>
  <c r="FM25" i="59"/>
  <c r="N107" i="24"/>
  <c r="AU27" i="59"/>
  <c r="N111" i="24"/>
  <c r="DW27" i="59"/>
  <c r="N126" i="24"/>
  <c r="FT28" i="59"/>
  <c r="N130" i="24"/>
  <c r="IV28" i="59"/>
  <c r="N145" i="24"/>
  <c r="BB30" i="59"/>
  <c r="N149" i="24"/>
  <c r="ED30" i="59"/>
  <c r="N153" i="24"/>
  <c r="HF30" i="59"/>
  <c r="N172" i="24"/>
  <c r="CN32" i="59"/>
  <c r="N187" i="24"/>
  <c r="EK33" i="59"/>
  <c r="N195" i="24"/>
  <c r="AX34" i="59"/>
  <c r="N210" i="24"/>
  <c r="CU35" i="59"/>
  <c r="N229" i="24"/>
  <c r="HT36" i="59"/>
  <c r="N336" i="24"/>
  <c r="DE45" i="59"/>
  <c r="N377" i="24"/>
  <c r="FT48" i="59"/>
  <c r="N385" i="24"/>
  <c r="CG49" i="59"/>
  <c r="N399" i="24"/>
  <c r="DJ50" i="59"/>
  <c r="N403" i="24"/>
  <c r="GL50" i="59"/>
  <c r="N421" i="24"/>
  <c r="AZ52" i="59"/>
  <c r="N425" i="24"/>
  <c r="EB52" i="59"/>
  <c r="N21" i="24"/>
  <c r="CF20" i="59"/>
  <c r="N43" i="24"/>
  <c r="V22" i="59"/>
  <c r="N47" i="24"/>
  <c r="CX22" i="59"/>
  <c r="N64" i="24"/>
  <c r="GI23" i="59"/>
  <c r="N68" i="24"/>
  <c r="T24" i="59"/>
  <c r="N87" i="24"/>
  <c r="ES25" i="59"/>
  <c r="N91" i="24"/>
  <c r="HU25" i="59"/>
  <c r="N106" i="24"/>
  <c r="AA27" i="59"/>
  <c r="N125" i="24"/>
  <c r="EZ28" i="59"/>
  <c r="N129" i="24"/>
  <c r="IB28" i="59"/>
  <c r="N133" i="24"/>
  <c r="BM29" i="59"/>
  <c r="N251" i="24"/>
  <c r="FJ38" i="59"/>
  <c r="N255" i="24"/>
  <c r="IL38" i="59"/>
  <c r="N259" i="24"/>
  <c r="BW39" i="59"/>
  <c r="N274" i="24"/>
  <c r="DT40" i="59"/>
  <c r="N293" i="24"/>
  <c r="IS41" i="59"/>
  <c r="N301" i="24"/>
  <c r="FF42" i="59"/>
  <c r="N316" i="24"/>
  <c r="HC43" i="59"/>
  <c r="N320" i="24"/>
  <c r="AN44" i="59"/>
  <c r="N335" i="24"/>
  <c r="CK45" i="59"/>
  <c r="N339" i="24"/>
  <c r="FM45" i="59"/>
  <c r="N343" i="24"/>
  <c r="IO45" i="59"/>
  <c r="N376" i="24"/>
  <c r="EZ48" i="59"/>
  <c r="N380" i="24"/>
  <c r="IB48" i="59"/>
  <c r="N398" i="24"/>
  <c r="CP50" i="59"/>
  <c r="N402" i="24"/>
  <c r="FR50" i="59"/>
  <c r="N406" i="24"/>
  <c r="IT50" i="59"/>
  <c r="N424" i="24"/>
  <c r="DH52" i="59"/>
  <c r="N545" i="24"/>
  <c r="V62" i="59"/>
  <c r="N547" i="24"/>
  <c r="BJ62" i="59"/>
  <c r="N548" i="24"/>
  <c r="CD62" i="59"/>
  <c r="N550" i="24"/>
  <c r="DR62" i="59"/>
  <c r="N552" i="24"/>
  <c r="FF62" i="59"/>
  <c r="N565" i="24"/>
  <c r="FP63" i="59"/>
  <c r="FO63" i="59"/>
  <c r="N566" i="24"/>
  <c r="GI63" i="59"/>
  <c r="N568" i="24"/>
  <c r="HW63" i="59"/>
  <c r="N569" i="24"/>
  <c r="IQ63" i="59"/>
  <c r="N571" i="24"/>
  <c r="AN64" i="59"/>
  <c r="N573" i="24"/>
  <c r="CB64" i="59"/>
  <c r="N574" i="24"/>
  <c r="CV64" i="59"/>
  <c r="N587" i="24"/>
  <c r="DE65" i="59"/>
  <c r="N589" i="24"/>
  <c r="ES65" i="59"/>
  <c r="N590" i="24"/>
  <c r="FM65" i="59"/>
  <c r="N592" i="24"/>
  <c r="HA65" i="59"/>
  <c r="N594" i="24"/>
  <c r="IO65" i="59"/>
  <c r="N595" i="24"/>
  <c r="R66" i="59"/>
  <c r="N608" i="24"/>
  <c r="AA67" i="59"/>
  <c r="N609" i="24"/>
  <c r="AU67" i="59"/>
  <c r="N610" i="24"/>
  <c r="BO67" i="59"/>
  <c r="N611" i="24"/>
  <c r="CI67" i="59"/>
  <c r="N612" i="24"/>
  <c r="DC67" i="59"/>
  <c r="N613" i="24"/>
  <c r="DX67" i="59"/>
  <c r="DW67" i="59"/>
  <c r="N615" i="24"/>
  <c r="FK67" i="59"/>
  <c r="N616" i="24"/>
  <c r="GE67" i="59"/>
  <c r="N629" i="24"/>
  <c r="GN68" i="59"/>
  <c r="N631" i="24"/>
  <c r="IB68" i="59"/>
  <c r="N633" i="24"/>
  <c r="Y69" i="59"/>
  <c r="N637" i="24"/>
  <c r="DA69" i="59"/>
  <c r="N28" i="24"/>
  <c r="HP20" i="59"/>
  <c r="N24" i="24"/>
  <c r="EN20" i="59"/>
  <c r="N20" i="24"/>
  <c r="BL20" i="59"/>
  <c r="N42" i="24"/>
  <c r="IS21" i="59"/>
  <c r="N170" i="24"/>
  <c r="AZ32" i="59"/>
  <c r="N27" i="24"/>
  <c r="GV20" i="59"/>
  <c r="N23" i="24"/>
  <c r="DT20" i="59"/>
  <c r="N19" i="24"/>
  <c r="AR20" i="59"/>
  <c r="N41" i="24"/>
  <c r="HY21" i="59"/>
  <c r="N45" i="24"/>
  <c r="BJ22" i="59"/>
  <c r="N49" i="24"/>
  <c r="EL22" i="59"/>
  <c r="N62" i="24"/>
  <c r="EU23" i="59"/>
  <c r="N66" i="24"/>
  <c r="HW23" i="59"/>
  <c r="N70" i="24"/>
  <c r="BH24" i="59"/>
  <c r="N85" i="24"/>
  <c r="DE25" i="59"/>
  <c r="N89" i="24"/>
  <c r="GG25" i="59"/>
  <c r="N104" i="24"/>
  <c r="ID26" i="59"/>
  <c r="N108" i="24"/>
  <c r="BO27" i="59"/>
  <c r="N112" i="24"/>
  <c r="EQ27" i="59"/>
  <c r="N127" i="24"/>
  <c r="GN28" i="59"/>
  <c r="N131" i="24"/>
  <c r="Y29" i="59"/>
  <c r="N146" i="24"/>
  <c r="BV30" i="59"/>
  <c r="N150" i="24"/>
  <c r="M16" i="59"/>
  <c r="EX30" i="59"/>
  <c r="N154" i="24"/>
  <c r="HZ30" i="59"/>
  <c r="N169" i="24"/>
  <c r="AF32" i="59"/>
  <c r="N173" i="24"/>
  <c r="DH32" i="59"/>
  <c r="N188" i="24"/>
  <c r="FE33" i="59"/>
  <c r="N192" i="24"/>
  <c r="IG33" i="59"/>
  <c r="N196" i="24"/>
  <c r="BR34" i="59"/>
  <c r="N211" i="24"/>
  <c r="DO35" i="59"/>
  <c r="N215" i="24"/>
  <c r="GQ35" i="59"/>
  <c r="N230" i="24"/>
  <c r="IN36" i="59"/>
  <c r="N234" i="24"/>
  <c r="BY37" i="59"/>
  <c r="N238" i="24"/>
  <c r="FA37" i="59"/>
  <c r="N253" i="24"/>
  <c r="GX38" i="59"/>
  <c r="N257" i="24"/>
  <c r="AI39" i="59"/>
  <c r="N272" i="24"/>
  <c r="CF40" i="59"/>
  <c r="N276" i="24"/>
  <c r="FH40" i="59"/>
  <c r="N280" i="24"/>
  <c r="IJ40" i="59"/>
  <c r="N295" i="24"/>
  <c r="AP42" i="59"/>
  <c r="N299" i="24"/>
  <c r="DR42" i="59"/>
  <c r="N314" i="24"/>
  <c r="FO43" i="59"/>
  <c r="N318" i="24"/>
  <c r="IQ43" i="59"/>
  <c r="N322" i="24"/>
  <c r="CB44" i="59"/>
  <c r="N337" i="24"/>
  <c r="DY45" i="59"/>
  <c r="N341" i="24"/>
  <c r="HA45" i="59"/>
  <c r="N345" i="24"/>
  <c r="AL46" i="59"/>
  <c r="N346" i="24"/>
  <c r="BF46" i="59"/>
  <c r="N347" i="24"/>
  <c r="BZ46" i="59"/>
  <c r="N348" i="24"/>
  <c r="CT46" i="59"/>
  <c r="N349" i="24"/>
  <c r="DN46" i="59"/>
  <c r="N350" i="24"/>
  <c r="EH46" i="59"/>
  <c r="N351" i="24"/>
  <c r="FB46" i="59"/>
  <c r="N352" i="24"/>
  <c r="FV46" i="59"/>
  <c r="N353" i="24"/>
  <c r="GP46" i="59"/>
  <c r="N354" i="24"/>
  <c r="HJ46" i="59"/>
  <c r="N378" i="24"/>
  <c r="GN48" i="59"/>
  <c r="N382" i="24"/>
  <c r="Y49" i="59"/>
  <c r="N400" i="24"/>
  <c r="ED50" i="59"/>
  <c r="N404" i="24"/>
  <c r="HF50" i="59"/>
  <c r="N418" i="24"/>
  <c r="II51" i="59"/>
  <c r="N422" i="24"/>
  <c r="BT52" i="59"/>
  <c r="N426" i="24"/>
  <c r="EV52" i="59"/>
  <c r="Q17" i="59"/>
  <c r="ID50" i="59"/>
  <c r="HI30" i="59"/>
  <c r="P16" i="59"/>
  <c r="ID30" i="59"/>
  <c r="Q16" i="59"/>
  <c r="P17" i="59"/>
  <c r="HI50" i="59"/>
  <c r="N22" i="24"/>
  <c r="AP49" i="56"/>
  <c r="GE251" i="59"/>
  <c r="AN6" i="56"/>
  <c r="HE244" i="59"/>
  <c r="P19" i="24"/>
  <c r="AU20" i="59"/>
  <c r="Q24" i="24"/>
  <c r="ER20" i="59"/>
  <c r="P24" i="24"/>
  <c r="EQ20" i="59"/>
  <c r="Q23" i="24"/>
  <c r="DX20" i="59"/>
  <c r="P23" i="24"/>
  <c r="DW20" i="59"/>
  <c r="Q22" i="24"/>
  <c r="DD20" i="59"/>
  <c r="P22" i="24"/>
  <c r="DC20" i="59"/>
  <c r="Q21" i="24"/>
  <c r="CJ20" i="59"/>
  <c r="P21" i="24"/>
  <c r="CI20" i="59"/>
  <c r="Q20" i="24"/>
  <c r="BP20" i="59"/>
  <c r="P20" i="24"/>
  <c r="BO20" i="59"/>
  <c r="Q19" i="24"/>
  <c r="AV20" i="59"/>
  <c r="N635" i="24"/>
  <c r="BN69" i="59"/>
  <c r="N614" i="24"/>
  <c r="ER67" i="59"/>
  <c r="N544" i="24"/>
  <c r="IT61" i="59"/>
  <c r="N502" i="24"/>
  <c r="FK58" i="59"/>
  <c r="N481" i="24"/>
  <c r="IO56" i="59"/>
  <c r="O630" i="24"/>
  <c r="HJ68" i="59"/>
  <c r="O460" i="24"/>
  <c r="CC55" i="59"/>
  <c r="O565" i="24"/>
  <c r="FQ63" i="59"/>
  <c r="O146" i="24"/>
  <c r="BX30" i="59"/>
  <c r="BW30" i="59"/>
  <c r="O127" i="24"/>
  <c r="GP28" i="59"/>
  <c r="GO28" i="59"/>
  <c r="O108" i="24"/>
  <c r="BQ27" i="59"/>
  <c r="BP27" i="59"/>
  <c r="O89" i="24"/>
  <c r="GI25" i="59"/>
  <c r="GH25" i="59"/>
  <c r="O70" i="24"/>
  <c r="BJ24" i="59"/>
  <c r="BI24" i="59"/>
  <c r="O62" i="24"/>
  <c r="EW23" i="59"/>
  <c r="EV23" i="59"/>
  <c r="O45" i="24"/>
  <c r="BL22" i="59"/>
  <c r="BK22" i="59"/>
  <c r="O19" i="24"/>
  <c r="AT20" i="59"/>
  <c r="AS20" i="59"/>
  <c r="O27" i="24"/>
  <c r="GX20" i="59"/>
  <c r="GW20" i="59"/>
  <c r="O42" i="24"/>
  <c r="IU21" i="59"/>
  <c r="IT21" i="59"/>
  <c r="O24" i="24"/>
  <c r="EP20" i="59"/>
  <c r="EO20" i="59"/>
  <c r="O637" i="24"/>
  <c r="DC69" i="59"/>
  <c r="DB69" i="59"/>
  <c r="O631" i="24"/>
  <c r="ID68" i="59"/>
  <c r="IC68" i="59"/>
  <c r="O616" i="24"/>
  <c r="GG67" i="59"/>
  <c r="GF67" i="59"/>
  <c r="O611" i="24"/>
  <c r="CK67" i="59"/>
  <c r="CJ67" i="59"/>
  <c r="O609" i="24"/>
  <c r="AW67" i="59"/>
  <c r="AV67" i="59"/>
  <c r="O595" i="24"/>
  <c r="T66" i="59"/>
  <c r="S66" i="59"/>
  <c r="O592" i="24"/>
  <c r="HC65" i="59"/>
  <c r="HB65" i="59"/>
  <c r="O589" i="24"/>
  <c r="EU65" i="59"/>
  <c r="ET65" i="59"/>
  <c r="O574" i="24"/>
  <c r="CX64" i="59"/>
  <c r="CW64" i="59"/>
  <c r="O571" i="24"/>
  <c r="AP64" i="59"/>
  <c r="AO64" i="59"/>
  <c r="O568" i="24"/>
  <c r="HY63" i="59"/>
  <c r="HX63" i="59"/>
  <c r="O550" i="24"/>
  <c r="DT62" i="59"/>
  <c r="DS62" i="59"/>
  <c r="O547" i="24"/>
  <c r="BL62" i="59"/>
  <c r="BK62" i="59"/>
  <c r="O424" i="24"/>
  <c r="DJ52" i="59"/>
  <c r="DI52" i="59"/>
  <c r="O402" i="24"/>
  <c r="FT50" i="59"/>
  <c r="N17" i="59"/>
  <c r="FS50" i="59"/>
  <c r="O380" i="24"/>
  <c r="ID48" i="59"/>
  <c r="IC48" i="59"/>
  <c r="O343" i="24"/>
  <c r="IQ45" i="59"/>
  <c r="IP45" i="59"/>
  <c r="O335" i="24"/>
  <c r="CM45" i="59"/>
  <c r="CL45" i="59"/>
  <c r="O316" i="24"/>
  <c r="HE43" i="59"/>
  <c r="HD43" i="59"/>
  <c r="O293" i="24"/>
  <c r="IU41" i="59"/>
  <c r="IT41" i="59"/>
  <c r="O259" i="24"/>
  <c r="BY39" i="59"/>
  <c r="BX39" i="59"/>
  <c r="O251" i="24"/>
  <c r="FL38" i="59"/>
  <c r="FK38" i="59"/>
  <c r="O129" i="24"/>
  <c r="ID28" i="59"/>
  <c r="IC28" i="59"/>
  <c r="O106" i="24"/>
  <c r="AC27" i="59"/>
  <c r="AB27" i="59"/>
  <c r="O87" i="24"/>
  <c r="EU25" i="59"/>
  <c r="ET25" i="59"/>
  <c r="O64" i="24"/>
  <c r="GK23" i="59"/>
  <c r="GJ23" i="59"/>
  <c r="O43" i="24"/>
  <c r="X22" i="59"/>
  <c r="W22" i="59"/>
  <c r="O425" i="24"/>
  <c r="ED52" i="59"/>
  <c r="EC52" i="59"/>
  <c r="O403" i="24"/>
  <c r="GM50" i="59"/>
  <c r="O385" i="24"/>
  <c r="CI49" i="59"/>
  <c r="CH49" i="59"/>
  <c r="O336" i="24"/>
  <c r="DG45" i="59"/>
  <c r="DF45" i="59"/>
  <c r="O210" i="24"/>
  <c r="CW35" i="59"/>
  <c r="CV35" i="59"/>
  <c r="O187" i="24"/>
  <c r="EM33" i="59"/>
  <c r="EL33" i="59"/>
  <c r="O153" i="24"/>
  <c r="HH30" i="59"/>
  <c r="HG30" i="59"/>
  <c r="O145" i="24"/>
  <c r="BD30" i="59"/>
  <c r="BC30" i="59"/>
  <c r="O126" i="24"/>
  <c r="FV28" i="59"/>
  <c r="FU28" i="59"/>
  <c r="O107" i="24"/>
  <c r="AW27" i="59"/>
  <c r="AV27" i="59"/>
  <c r="O84" i="24"/>
  <c r="CM25" i="59"/>
  <c r="CL25" i="59"/>
  <c r="O65" i="24"/>
  <c r="HE23" i="59"/>
  <c r="HD23" i="59"/>
  <c r="O44" i="24"/>
  <c r="AR22" i="59"/>
  <c r="AQ22" i="59"/>
  <c r="O26" i="24"/>
  <c r="GD20" i="59"/>
  <c r="GC20" i="59"/>
  <c r="O531" i="24"/>
  <c r="IL60" i="59"/>
  <c r="IK60" i="59"/>
  <c r="O529" i="24"/>
  <c r="GX60" i="59"/>
  <c r="GW60" i="59"/>
  <c r="O527" i="24"/>
  <c r="FJ60" i="59"/>
  <c r="FI60" i="59"/>
  <c r="O525" i="24"/>
  <c r="DV60" i="59"/>
  <c r="DU60" i="59"/>
  <c r="O523" i="24"/>
  <c r="CH60" i="59"/>
  <c r="CG60" i="59"/>
  <c r="O510" i="24"/>
  <c r="BY59" i="59"/>
  <c r="BX59" i="59"/>
  <c r="O508" i="24"/>
  <c r="AK59" i="59"/>
  <c r="AJ59" i="59"/>
  <c r="O506" i="24"/>
  <c r="IN58" i="59"/>
  <c r="IM58" i="59"/>
  <c r="O504" i="24"/>
  <c r="GZ58" i="59"/>
  <c r="GY58" i="59"/>
  <c r="O490" i="24"/>
  <c r="FW57" i="59"/>
  <c r="FV57" i="59"/>
  <c r="O488" i="24"/>
  <c r="EI57" i="59"/>
  <c r="EH57" i="59"/>
  <c r="O486" i="24"/>
  <c r="CU57" i="59"/>
  <c r="CT57" i="59"/>
  <c r="O484" i="24"/>
  <c r="BG57" i="59"/>
  <c r="BF57" i="59"/>
  <c r="O482" i="24"/>
  <c r="S57" i="59"/>
  <c r="R57" i="59"/>
  <c r="O468" i="24"/>
  <c r="IG55" i="59"/>
  <c r="IF55" i="59"/>
  <c r="O466" i="24"/>
  <c r="GS55" i="59"/>
  <c r="GR55" i="59"/>
  <c r="O464" i="24"/>
  <c r="FE55" i="59"/>
  <c r="FD55" i="59"/>
  <c r="O462" i="24"/>
  <c r="DQ55" i="59"/>
  <c r="DP55" i="59"/>
  <c r="O447" i="24"/>
  <c r="BT54" i="59"/>
  <c r="BS54" i="59"/>
  <c r="O445" i="24"/>
  <c r="AF54" i="59"/>
  <c r="AE54" i="59"/>
  <c r="O443" i="24"/>
  <c r="II53" i="59"/>
  <c r="IH53" i="59"/>
  <c r="O441" i="24"/>
  <c r="GU53" i="59"/>
  <c r="GT53" i="59"/>
  <c r="O423" i="24"/>
  <c r="CP52" i="59"/>
  <c r="CO52" i="59"/>
  <c r="O405" i="24"/>
  <c r="IB50" i="59"/>
  <c r="IA50" i="59"/>
  <c r="O426" i="24"/>
  <c r="EX52" i="59"/>
  <c r="EW52" i="59"/>
  <c r="O400" i="24"/>
  <c r="EF50" i="59"/>
  <c r="EE50" i="59"/>
  <c r="O349" i="24"/>
  <c r="DP46" i="59"/>
  <c r="DO46" i="59"/>
  <c r="O337" i="24"/>
  <c r="EA45" i="59"/>
  <c r="DZ45" i="59"/>
  <c r="O253" i="24"/>
  <c r="GZ38" i="59"/>
  <c r="GY38" i="59"/>
  <c r="O397" i="24"/>
  <c r="BX50" i="59"/>
  <c r="BW50" i="59"/>
  <c r="O319" i="24"/>
  <c r="V44" i="59"/>
  <c r="U44" i="59"/>
  <c r="O292" i="24"/>
  <c r="IA41" i="59"/>
  <c r="HZ41" i="59"/>
  <c r="O235" i="24"/>
  <c r="CU37" i="59"/>
  <c r="CT37" i="59"/>
  <c r="O208" i="24"/>
  <c r="BI35" i="59"/>
  <c r="BH35" i="59"/>
  <c r="O147" i="24"/>
  <c r="CR30" i="59"/>
  <c r="CQ30" i="59"/>
  <c r="O90" i="24"/>
  <c r="HC25" i="59"/>
  <c r="HB25" i="59"/>
  <c r="O632" i="24"/>
  <c r="G69" i="59"/>
  <c r="F69" i="59"/>
  <c r="O593" i="24"/>
  <c r="HW65" i="59"/>
  <c r="HV65" i="59"/>
  <c r="O588" i="24"/>
  <c r="EA65" i="59"/>
  <c r="DZ65" i="59"/>
  <c r="O572" i="24"/>
  <c r="BJ64" i="59"/>
  <c r="BI64" i="59"/>
  <c r="O551" i="24"/>
  <c r="EN62" i="59"/>
  <c r="EM62" i="59"/>
  <c r="O546" i="24"/>
  <c r="AR62" i="59"/>
  <c r="AQ62" i="59"/>
  <c r="O420" i="24"/>
  <c r="AH52" i="59"/>
  <c r="AG52" i="59"/>
  <c r="O297" i="24"/>
  <c r="CF42" i="59"/>
  <c r="CE42" i="59"/>
  <c r="O236" i="24"/>
  <c r="DO37" i="59"/>
  <c r="DN37" i="59"/>
  <c r="O217" i="24"/>
  <c r="IG35" i="59"/>
  <c r="IF35" i="59"/>
  <c r="O209" i="24"/>
  <c r="CC35" i="59"/>
  <c r="CB35" i="59"/>
  <c r="O190" i="24"/>
  <c r="GU33" i="59"/>
  <c r="GT33" i="59"/>
  <c r="O171" i="24"/>
  <c r="BV32" i="59"/>
  <c r="BU32" i="59"/>
  <c r="O152" i="24"/>
  <c r="GM30" i="59"/>
  <c r="O110" i="24"/>
  <c r="DE27" i="59"/>
  <c r="DD27" i="59"/>
  <c r="O25" i="24"/>
  <c r="FJ20" i="59"/>
  <c r="FI20" i="59"/>
  <c r="O340" i="24"/>
  <c r="GI45" i="59"/>
  <c r="GH45" i="59"/>
  <c r="O317" i="24"/>
  <c r="HY43" i="59"/>
  <c r="HX43" i="59"/>
  <c r="O298" i="24"/>
  <c r="CZ42" i="59"/>
  <c r="CY42" i="59"/>
  <c r="O279" i="24"/>
  <c r="HR40" i="59"/>
  <c r="HQ40" i="59"/>
  <c r="O271" i="24"/>
  <c r="BN40" i="59"/>
  <c r="BM40" i="59"/>
  <c r="O252" i="24"/>
  <c r="GF38" i="59"/>
  <c r="GE38" i="59"/>
  <c r="O233" i="24"/>
  <c r="BG37" i="59"/>
  <c r="BF37" i="59"/>
  <c r="O103" i="24"/>
  <c r="HL26" i="59"/>
  <c r="HK26" i="59"/>
  <c r="O613" i="24"/>
  <c r="DY67" i="59"/>
  <c r="O112" i="24"/>
  <c r="ES27" i="59"/>
  <c r="ER27" i="59"/>
  <c r="O49" i="24"/>
  <c r="EN22" i="59"/>
  <c r="EM22" i="59"/>
  <c r="O170" i="24"/>
  <c r="BB32" i="59"/>
  <c r="BA32" i="59"/>
  <c r="O28" i="24"/>
  <c r="HR20" i="59"/>
  <c r="HQ20" i="59"/>
  <c r="O633" i="24"/>
  <c r="AA69" i="59"/>
  <c r="Z69" i="59"/>
  <c r="O629" i="24"/>
  <c r="GP68" i="59"/>
  <c r="GO68" i="59"/>
  <c r="O615" i="24"/>
  <c r="FM67" i="59"/>
  <c r="FL67" i="59"/>
  <c r="O612" i="24"/>
  <c r="DE67" i="59"/>
  <c r="DD67" i="59"/>
  <c r="O608" i="24"/>
  <c r="AC67" i="59"/>
  <c r="AB67" i="59"/>
  <c r="O594" i="24"/>
  <c r="IQ65" i="59"/>
  <c r="IP65" i="59"/>
  <c r="O590" i="24"/>
  <c r="FO65" i="59"/>
  <c r="FN65" i="59"/>
  <c r="O587" i="24"/>
  <c r="DG65" i="59"/>
  <c r="DF65" i="59"/>
  <c r="O573" i="24"/>
  <c r="CD64" i="59"/>
  <c r="CC64" i="59"/>
  <c r="O569" i="24"/>
  <c r="IS63" i="59"/>
  <c r="IR63" i="59"/>
  <c r="O566" i="24"/>
  <c r="GK63" i="59"/>
  <c r="GJ63" i="59"/>
  <c r="O552" i="24"/>
  <c r="FH62" i="59"/>
  <c r="FG62" i="59"/>
  <c r="O548" i="24"/>
  <c r="CF62" i="59"/>
  <c r="CE62" i="59"/>
  <c r="O545" i="24"/>
  <c r="X62" i="59"/>
  <c r="W62" i="59"/>
  <c r="O406" i="24"/>
  <c r="IV50" i="59"/>
  <c r="IU50" i="59"/>
  <c r="O398" i="24"/>
  <c r="CR50" i="59"/>
  <c r="CQ50" i="59"/>
  <c r="O376" i="24"/>
  <c r="FB48" i="59"/>
  <c r="FA48" i="59"/>
  <c r="O339" i="24"/>
  <c r="FO45" i="59"/>
  <c r="FN45" i="59"/>
  <c r="O320" i="24"/>
  <c r="AP44" i="59"/>
  <c r="AO44" i="59"/>
  <c r="O301" i="24"/>
  <c r="FH42" i="59"/>
  <c r="FG42" i="59"/>
  <c r="O274" i="24"/>
  <c r="DV40" i="59"/>
  <c r="DU40" i="59"/>
  <c r="O255" i="24"/>
  <c r="IN38" i="59"/>
  <c r="IM38" i="59"/>
  <c r="O133" i="24"/>
  <c r="BO29" i="59"/>
  <c r="BN29" i="59"/>
  <c r="O125" i="24"/>
  <c r="FB28" i="59"/>
  <c r="FA28" i="59"/>
  <c r="O91" i="24"/>
  <c r="HW25" i="59"/>
  <c r="HV25" i="59"/>
  <c r="O68" i="24"/>
  <c r="V24" i="59"/>
  <c r="U24" i="59"/>
  <c r="O47" i="24"/>
  <c r="CZ22" i="59"/>
  <c r="CY22" i="59"/>
  <c r="O21" i="24"/>
  <c r="CH20" i="59"/>
  <c r="CG20" i="59"/>
  <c r="O421" i="24"/>
  <c r="BB52" i="59"/>
  <c r="BA52" i="59"/>
  <c r="O399" i="24"/>
  <c r="DL50" i="59"/>
  <c r="DK50" i="59"/>
  <c r="O377" i="24"/>
  <c r="FV48" i="59"/>
  <c r="FU48" i="59"/>
  <c r="O229" i="24"/>
  <c r="HV36" i="59"/>
  <c r="HU36" i="59"/>
  <c r="O195" i="24"/>
  <c r="AZ34" i="59"/>
  <c r="AY34" i="59"/>
  <c r="O172" i="24"/>
  <c r="CP32" i="59"/>
  <c r="CO32" i="59"/>
  <c r="O149" i="24"/>
  <c r="EF30" i="59"/>
  <c r="EE30" i="59"/>
  <c r="O130" i="24"/>
  <c r="G29" i="59"/>
  <c r="F29" i="59"/>
  <c r="O111" i="24"/>
  <c r="DY27" i="59"/>
  <c r="DX27" i="59"/>
  <c r="O88" i="24"/>
  <c r="FO25" i="59"/>
  <c r="FN25" i="59"/>
  <c r="O69" i="24"/>
  <c r="AP24" i="59"/>
  <c r="AO24" i="59"/>
  <c r="O48" i="24"/>
  <c r="DT22" i="59"/>
  <c r="DS22" i="59"/>
  <c r="O40" i="24"/>
  <c r="HG21" i="59"/>
  <c r="HF21" i="59"/>
  <c r="O530" i="24"/>
  <c r="HR60" i="59"/>
  <c r="HQ60" i="59"/>
  <c r="O528" i="24"/>
  <c r="GD60" i="59"/>
  <c r="GC60" i="59"/>
  <c r="O526" i="24"/>
  <c r="EP60" i="59"/>
  <c r="EO60" i="59"/>
  <c r="O524" i="24"/>
  <c r="DB60" i="59"/>
  <c r="DA60" i="59"/>
  <c r="O511" i="24"/>
  <c r="CS59" i="59"/>
  <c r="CR59" i="59"/>
  <c r="O509" i="24"/>
  <c r="BE59" i="59"/>
  <c r="BD59" i="59"/>
  <c r="O507" i="24"/>
  <c r="Q59" i="59"/>
  <c r="P59" i="59"/>
  <c r="O505" i="24"/>
  <c r="HT58" i="59"/>
  <c r="HS58" i="59"/>
  <c r="O503" i="24"/>
  <c r="GF58" i="59"/>
  <c r="GE58" i="59"/>
  <c r="O489" i="24"/>
  <c r="FC57" i="59"/>
  <c r="FB57" i="59"/>
  <c r="O487" i="24"/>
  <c r="DO57" i="59"/>
  <c r="DN57" i="59"/>
  <c r="O485" i="24"/>
  <c r="CA57" i="59"/>
  <c r="BZ57" i="59"/>
  <c r="O483" i="24"/>
  <c r="AM57" i="59"/>
  <c r="AL57" i="59"/>
  <c r="O469" i="24"/>
  <c r="J56" i="59"/>
  <c r="I56" i="59"/>
  <c r="O467" i="24"/>
  <c r="HM55" i="59"/>
  <c r="HL55" i="59"/>
  <c r="O465" i="24"/>
  <c r="FY55" i="59"/>
  <c r="FX55" i="59"/>
  <c r="O463" i="24"/>
  <c r="EK55" i="59"/>
  <c r="EJ55" i="59"/>
  <c r="O461" i="24"/>
  <c r="CW55" i="59"/>
  <c r="CV55" i="59"/>
  <c r="O448" i="24"/>
  <c r="CN54" i="59"/>
  <c r="CM54" i="59"/>
  <c r="O446" i="24"/>
  <c r="AZ54" i="59"/>
  <c r="AY54" i="59"/>
  <c r="O444" i="24"/>
  <c r="L54" i="59"/>
  <c r="K54" i="59"/>
  <c r="O442" i="24"/>
  <c r="HO53" i="59"/>
  <c r="HN53" i="59"/>
  <c r="O440" i="24"/>
  <c r="GA53" i="59"/>
  <c r="FZ53" i="59"/>
  <c r="O427" i="24"/>
  <c r="FR52" i="59"/>
  <c r="FQ52" i="59"/>
  <c r="O419" i="24"/>
  <c r="N52" i="59"/>
  <c r="M52" i="59"/>
  <c r="O418" i="24"/>
  <c r="IK51" i="59"/>
  <c r="IJ51" i="59"/>
  <c r="O378" i="24"/>
  <c r="GP48" i="59"/>
  <c r="GO48" i="59"/>
  <c r="O353" i="24"/>
  <c r="GR46" i="59"/>
  <c r="GQ46" i="59"/>
  <c r="O351" i="24"/>
  <c r="FD46" i="59"/>
  <c r="FC46" i="59"/>
  <c r="O347" i="24"/>
  <c r="CB46" i="59"/>
  <c r="CA46" i="59"/>
  <c r="O345" i="24"/>
  <c r="AN46" i="59"/>
  <c r="AM46" i="59"/>
  <c r="O318" i="24"/>
  <c r="IS43" i="59"/>
  <c r="IR43" i="59"/>
  <c r="O299" i="24"/>
  <c r="DT42" i="59"/>
  <c r="DS42" i="59"/>
  <c r="O280" i="24"/>
  <c r="IL40" i="59"/>
  <c r="IK40" i="59"/>
  <c r="O272" i="24"/>
  <c r="CH40" i="59"/>
  <c r="CG40" i="59"/>
  <c r="O234" i="24"/>
  <c r="CA37" i="59"/>
  <c r="BZ37" i="59"/>
  <c r="O215" i="24"/>
  <c r="GS35" i="59"/>
  <c r="GR35" i="59"/>
  <c r="O196" i="24"/>
  <c r="BT34" i="59"/>
  <c r="BS34" i="59"/>
  <c r="O188" i="24"/>
  <c r="FG33" i="59"/>
  <c r="FF33" i="59"/>
  <c r="O169" i="24"/>
  <c r="AH32" i="59"/>
  <c r="AG32" i="59"/>
  <c r="O379" i="24"/>
  <c r="HJ48" i="59"/>
  <c r="HI48" i="59"/>
  <c r="O338" i="24"/>
  <c r="EU45" i="59"/>
  <c r="ET45" i="59"/>
  <c r="O300" i="24"/>
  <c r="EN42" i="59"/>
  <c r="EM42" i="59"/>
  <c r="O273" i="24"/>
  <c r="DB40" i="59"/>
  <c r="DA40" i="59"/>
  <c r="O254" i="24"/>
  <c r="HT38" i="59"/>
  <c r="HS38" i="59"/>
  <c r="O216" i="24"/>
  <c r="HM35" i="59"/>
  <c r="HL35" i="59"/>
  <c r="O189" i="24"/>
  <c r="GA33" i="59"/>
  <c r="FZ33" i="59"/>
  <c r="O166" i="24"/>
  <c r="HQ31" i="59"/>
  <c r="HP31" i="59"/>
  <c r="O128" i="24"/>
  <c r="HJ28" i="59"/>
  <c r="HI28" i="59"/>
  <c r="O109" i="24"/>
  <c r="CK27" i="59"/>
  <c r="CJ27" i="59"/>
  <c r="O82" i="24"/>
  <c r="AY25" i="59"/>
  <c r="AX25" i="59"/>
  <c r="O63" i="24"/>
  <c r="FQ23" i="59"/>
  <c r="FP23" i="59"/>
  <c r="O636" i="24"/>
  <c r="CI69" i="59"/>
  <c r="CH69" i="59"/>
  <c r="O628" i="24"/>
  <c r="FV68" i="59"/>
  <c r="FU68" i="59"/>
  <c r="O567" i="24"/>
  <c r="HE63" i="59"/>
  <c r="HD63" i="59"/>
  <c r="O191" i="24"/>
  <c r="HO33" i="59"/>
  <c r="HN33" i="59"/>
  <c r="O150" i="24"/>
  <c r="EZ30" i="59"/>
  <c r="EY30" i="59"/>
  <c r="O131" i="24"/>
  <c r="AA29" i="59"/>
  <c r="Z29" i="59"/>
  <c r="O104" i="24"/>
  <c r="IF26" i="59"/>
  <c r="IE26" i="59"/>
  <c r="O85" i="24"/>
  <c r="DG25" i="59"/>
  <c r="DF25" i="59"/>
  <c r="O66" i="24"/>
  <c r="HY23" i="59"/>
  <c r="HX23" i="59"/>
  <c r="O41" i="24"/>
  <c r="IA21" i="59"/>
  <c r="HZ21" i="59"/>
  <c r="O23" i="24"/>
  <c r="DV20" i="59"/>
  <c r="DU20" i="59"/>
  <c r="O20" i="24"/>
  <c r="BN20" i="59"/>
  <c r="BM20" i="59"/>
  <c r="O610" i="24"/>
  <c r="BQ67" i="59"/>
  <c r="BP67" i="59"/>
  <c r="O439" i="24"/>
  <c r="FG53" i="59"/>
  <c r="O22" i="24"/>
  <c r="DB20" i="59"/>
  <c r="DA20" i="59"/>
  <c r="O422" i="24"/>
  <c r="BV52" i="59"/>
  <c r="BU52" i="59"/>
  <c r="O404" i="24"/>
  <c r="HH50" i="59"/>
  <c r="HG50" i="59"/>
  <c r="O382" i="24"/>
  <c r="AA49" i="59"/>
  <c r="Z49" i="59"/>
  <c r="O354" i="24"/>
  <c r="HL46" i="59"/>
  <c r="HK46" i="59"/>
  <c r="O352" i="24"/>
  <c r="FX46" i="59"/>
  <c r="FW46" i="59"/>
  <c r="O350" i="24"/>
  <c r="EJ46" i="59"/>
  <c r="EI46" i="59"/>
  <c r="O348" i="24"/>
  <c r="CV46" i="59"/>
  <c r="CU46" i="59"/>
  <c r="O346" i="24"/>
  <c r="BH46" i="59"/>
  <c r="BG46" i="59"/>
  <c r="O341" i="24"/>
  <c r="HC45" i="59"/>
  <c r="HB45" i="59"/>
  <c r="O322" i="24"/>
  <c r="CD44" i="59"/>
  <c r="CC44" i="59"/>
  <c r="O314" i="24"/>
  <c r="FQ43" i="59"/>
  <c r="FP43" i="59"/>
  <c r="O295" i="24"/>
  <c r="AR42" i="59"/>
  <c r="AQ42" i="59"/>
  <c r="O276" i="24"/>
  <c r="FJ40" i="59"/>
  <c r="FI40" i="59"/>
  <c r="O257" i="24"/>
  <c r="AK39" i="59"/>
  <c r="AJ39" i="59"/>
  <c r="O238" i="24"/>
  <c r="FC37" i="59"/>
  <c r="FB37" i="59"/>
  <c r="O230" i="24"/>
  <c r="IP36" i="59"/>
  <c r="IO36" i="59"/>
  <c r="O211" i="24"/>
  <c r="DQ35" i="59"/>
  <c r="DP35" i="59"/>
  <c r="O192" i="24"/>
  <c r="II33" i="59"/>
  <c r="IH33" i="59"/>
  <c r="O173" i="24"/>
  <c r="DJ32" i="59"/>
  <c r="DI32" i="59"/>
  <c r="O154" i="24"/>
  <c r="IB30" i="59"/>
  <c r="IA30" i="59"/>
  <c r="O401" i="24"/>
  <c r="EZ50" i="59"/>
  <c r="EY50" i="59"/>
  <c r="O383" i="24"/>
  <c r="AU49" i="59"/>
  <c r="AT49" i="59"/>
  <c r="O342" i="24"/>
  <c r="HW45" i="59"/>
  <c r="HV45" i="59"/>
  <c r="O334" i="24"/>
  <c r="BS45" i="59"/>
  <c r="BR45" i="59"/>
  <c r="O315" i="24"/>
  <c r="GK43" i="59"/>
  <c r="GJ43" i="59"/>
  <c r="O296" i="24"/>
  <c r="BL42" i="59"/>
  <c r="BK42" i="59"/>
  <c r="O277" i="24"/>
  <c r="GD40" i="59"/>
  <c r="GC40" i="59"/>
  <c r="O258" i="24"/>
  <c r="BE39" i="59"/>
  <c r="BD39" i="59"/>
  <c r="O250" i="24"/>
  <c r="ER38" i="59"/>
  <c r="EQ38" i="59"/>
  <c r="O231" i="24"/>
  <c r="S37" i="59"/>
  <c r="R37" i="59"/>
  <c r="O212" i="24"/>
  <c r="EK35" i="59"/>
  <c r="EJ35" i="59"/>
  <c r="O193" i="24"/>
  <c r="L34" i="59"/>
  <c r="K34" i="59"/>
  <c r="O174" i="24"/>
  <c r="ED32" i="59"/>
  <c r="EC32" i="59"/>
  <c r="O151" i="24"/>
  <c r="FT30" i="59"/>
  <c r="N16" i="59"/>
  <c r="FS30" i="59"/>
  <c r="O132" i="24"/>
  <c r="AU29" i="59"/>
  <c r="AT29" i="59"/>
  <c r="O124" i="24"/>
  <c r="EH28" i="59"/>
  <c r="EG28" i="59"/>
  <c r="O105" i="24"/>
  <c r="I27" i="59"/>
  <c r="H27" i="59"/>
  <c r="O86" i="24"/>
  <c r="EA25" i="59"/>
  <c r="DZ25" i="59"/>
  <c r="O67" i="24"/>
  <c r="IS23" i="59"/>
  <c r="IR23" i="59"/>
  <c r="O46" i="24"/>
  <c r="CF22" i="59"/>
  <c r="CE22" i="59"/>
  <c r="O634" i="24"/>
  <c r="AU69" i="59"/>
  <c r="AT69" i="59"/>
  <c r="O607" i="24"/>
  <c r="I67" i="59"/>
  <c r="H67" i="59"/>
  <c r="O591" i="24"/>
  <c r="GI65" i="59"/>
  <c r="GH65" i="59"/>
  <c r="O586" i="24"/>
  <c r="CM65" i="59"/>
  <c r="CL65" i="59"/>
  <c r="O570" i="24"/>
  <c r="V64" i="59"/>
  <c r="U64" i="59"/>
  <c r="O553" i="24"/>
  <c r="GB62" i="59"/>
  <c r="GA62" i="59"/>
  <c r="O549" i="24"/>
  <c r="CZ62" i="59"/>
  <c r="CY62" i="59"/>
  <c r="O532" i="24"/>
  <c r="O61" i="59"/>
  <c r="N61" i="59"/>
  <c r="O384" i="24"/>
  <c r="BO49" i="59"/>
  <c r="BN49" i="59"/>
  <c r="O278" i="24"/>
  <c r="GX40" i="59"/>
  <c r="GW40" i="59"/>
  <c r="O232" i="24"/>
  <c r="AM37" i="59"/>
  <c r="AL37" i="59"/>
  <c r="O213" i="24"/>
  <c r="FE35" i="59"/>
  <c r="FD35" i="59"/>
  <c r="O194" i="24"/>
  <c r="AF34" i="59"/>
  <c r="AE34" i="59"/>
  <c r="O175" i="24"/>
  <c r="EX32" i="59"/>
  <c r="EW32" i="59"/>
  <c r="O167" i="24"/>
  <c r="IK31" i="59"/>
  <c r="IJ31" i="59"/>
  <c r="O148" i="24"/>
  <c r="DL30" i="59"/>
  <c r="DK30" i="59"/>
  <c r="O83" i="24"/>
  <c r="BS25" i="59"/>
  <c r="BR25" i="59"/>
  <c r="O381" i="24"/>
  <c r="G49" i="59"/>
  <c r="F49" i="59"/>
  <c r="O321" i="24"/>
  <c r="BJ44" i="59"/>
  <c r="BI44" i="59"/>
  <c r="O313" i="24"/>
  <c r="EW43" i="59"/>
  <c r="EV43" i="59"/>
  <c r="O294" i="24"/>
  <c r="X42" i="59"/>
  <c r="W42" i="59"/>
  <c r="O275" i="24"/>
  <c r="EP40" i="59"/>
  <c r="EO40" i="59"/>
  <c r="O256" i="24"/>
  <c r="Q39" i="59"/>
  <c r="P39" i="59"/>
  <c r="O237" i="24"/>
  <c r="EI37" i="59"/>
  <c r="EH37" i="59"/>
  <c r="O214" i="24"/>
  <c r="FY35" i="59"/>
  <c r="FX35" i="59"/>
  <c r="O168" i="24"/>
  <c r="N32" i="59"/>
  <c r="M32" i="59"/>
  <c r="O61" i="24"/>
  <c r="EC23" i="59"/>
  <c r="EB23" i="59"/>
  <c r="AR49" i="56"/>
  <c r="GG251" i="59"/>
  <c r="AP6" i="56"/>
  <c r="HG244" i="59"/>
  <c r="O635" i="24"/>
  <c r="BO69" i="59"/>
  <c r="O614" i="24"/>
  <c r="ES67" i="59"/>
  <c r="O544" i="24"/>
  <c r="IU61" i="59"/>
  <c r="O502" i="24"/>
  <c r="FL58" i="59"/>
  <c r="O481" i="24"/>
  <c r="IP56" i="59"/>
  <c r="O16" i="59"/>
  <c r="GN30" i="59"/>
  <c r="O17" i="59"/>
  <c r="GN50" i="59"/>
  <c r="AT49" i="56"/>
  <c r="GI251" i="59"/>
  <c r="AR6" i="56"/>
  <c r="HI244" i="59"/>
  <c r="K12" i="50"/>
  <c r="FZ2" i="59"/>
  <c r="K5" i="50"/>
  <c r="CJ2" i="59"/>
  <c r="G26" i="43"/>
  <c r="IV7" i="59"/>
  <c r="G27" i="43"/>
  <c r="AQ8" i="59"/>
  <c r="G28" i="43"/>
  <c r="CC8" i="59"/>
  <c r="G29" i="43"/>
  <c r="DO8" i="59"/>
  <c r="G30" i="43"/>
  <c r="FA8" i="59"/>
  <c r="G31" i="43"/>
  <c r="GM8" i="59"/>
  <c r="G32" i="43"/>
  <c r="HY8" i="59"/>
  <c r="G33" i="43"/>
  <c r="T9" i="59"/>
  <c r="G34" i="43"/>
  <c r="BF9" i="59"/>
  <c r="IT7" i="59"/>
  <c r="AO8" i="59"/>
  <c r="CA8" i="59"/>
  <c r="DM8" i="59"/>
  <c r="EY8" i="59"/>
  <c r="GK8" i="59"/>
  <c r="HW8" i="59"/>
  <c r="R9" i="59"/>
  <c r="BD9" i="59"/>
  <c r="CK11" i="59"/>
  <c r="M627" i="24"/>
  <c r="EZ68" i="59"/>
  <c r="M626" i="24"/>
  <c r="EF68" i="59"/>
  <c r="M625" i="24"/>
  <c r="DL68" i="59"/>
  <c r="M624" i="24"/>
  <c r="CR68" i="59"/>
  <c r="M623" i="24"/>
  <c r="BX68" i="59"/>
  <c r="M622" i="24"/>
  <c r="BD68" i="59"/>
  <c r="M621" i="24"/>
  <c r="AJ68" i="59"/>
  <c r="M620" i="24"/>
  <c r="P68" i="59"/>
  <c r="M619" i="24"/>
  <c r="IM67" i="59"/>
  <c r="M618" i="24"/>
  <c r="HS67" i="59"/>
  <c r="M606" i="24"/>
  <c r="ID66" i="59"/>
  <c r="M605" i="24"/>
  <c r="HJ66" i="59"/>
  <c r="M604" i="24"/>
  <c r="GP66" i="59"/>
  <c r="M603" i="24"/>
  <c r="FV66" i="59"/>
  <c r="M602" i="24"/>
  <c r="FB66" i="59"/>
  <c r="M601" i="24"/>
  <c r="EH66" i="59"/>
  <c r="M600" i="24"/>
  <c r="DN66" i="59"/>
  <c r="M599" i="24"/>
  <c r="CT66" i="59"/>
  <c r="M598" i="24"/>
  <c r="BZ66" i="59"/>
  <c r="M597" i="24"/>
  <c r="BF66" i="59"/>
  <c r="M585" i="24"/>
  <c r="BQ65" i="59"/>
  <c r="M584" i="24"/>
  <c r="AW65" i="59"/>
  <c r="M583" i="24"/>
  <c r="AC65" i="59"/>
  <c r="M582" i="24"/>
  <c r="I65" i="59"/>
  <c r="M581" i="24"/>
  <c r="IF64" i="59"/>
  <c r="M580" i="24"/>
  <c r="HL64" i="59"/>
  <c r="M579" i="24"/>
  <c r="GR64" i="59"/>
  <c r="M578" i="24"/>
  <c r="FX64" i="59"/>
  <c r="M577" i="24"/>
  <c r="FD64" i="59"/>
  <c r="M576" i="24"/>
  <c r="EJ64" i="59"/>
  <c r="M564" i="24"/>
  <c r="EU63" i="59"/>
  <c r="M563" i="24"/>
  <c r="EA63" i="59"/>
  <c r="M562" i="24"/>
  <c r="DG63" i="59"/>
  <c r="M561" i="24"/>
  <c r="CM63" i="59"/>
  <c r="M560" i="24"/>
  <c r="BS63" i="59"/>
  <c r="M559" i="24"/>
  <c r="AY63" i="59"/>
  <c r="M558" i="24"/>
  <c r="AE63" i="59"/>
  <c r="M557" i="24"/>
  <c r="K63" i="59"/>
  <c r="M556" i="24"/>
  <c r="IH62" i="59"/>
  <c r="M555" i="24"/>
  <c r="HN62" i="59"/>
  <c r="M543" i="24"/>
  <c r="HY61" i="59"/>
  <c r="M542" i="24"/>
  <c r="HE61" i="59"/>
  <c r="M541" i="24"/>
  <c r="GK61" i="59"/>
  <c r="M540" i="24"/>
  <c r="FQ61" i="59"/>
  <c r="M539" i="24"/>
  <c r="EW61" i="59"/>
  <c r="M538" i="24"/>
  <c r="EC61" i="59"/>
  <c r="M537" i="24"/>
  <c r="DI61" i="59"/>
  <c r="M536" i="24"/>
  <c r="CO61" i="59"/>
  <c r="M535" i="24"/>
  <c r="BU61" i="59"/>
  <c r="M534" i="24"/>
  <c r="BA61" i="59"/>
  <c r="M522" i="24"/>
  <c r="BL60" i="59"/>
  <c r="M521" i="24"/>
  <c r="AR60" i="59"/>
  <c r="M520" i="24"/>
  <c r="X60" i="59"/>
  <c r="M519" i="24"/>
  <c r="IU59" i="59"/>
  <c r="M518" i="24"/>
  <c r="IA59" i="59"/>
  <c r="M517" i="24"/>
  <c r="HG59" i="59"/>
  <c r="M516" i="24"/>
  <c r="GM59" i="59"/>
  <c r="M515" i="24"/>
  <c r="FS59" i="59"/>
  <c r="M514" i="24"/>
  <c r="EY59" i="59"/>
  <c r="M513" i="24"/>
  <c r="EE59" i="59"/>
  <c r="M501" i="24"/>
  <c r="EP58" i="59"/>
  <c r="M500" i="24"/>
  <c r="DV58" i="59"/>
  <c r="M499" i="24"/>
  <c r="DB58" i="59"/>
  <c r="M498" i="24"/>
  <c r="CH58" i="59"/>
  <c r="M497" i="24"/>
  <c r="BN58" i="59"/>
  <c r="M496" i="24"/>
  <c r="AT58" i="59"/>
  <c r="M495" i="24"/>
  <c r="Z58" i="59"/>
  <c r="M494" i="24"/>
  <c r="F58" i="59"/>
  <c r="M493" i="24"/>
  <c r="IC57" i="59"/>
  <c r="M492" i="24"/>
  <c r="HI57" i="59"/>
  <c r="M480" i="24"/>
  <c r="HT56" i="59"/>
  <c r="M479" i="24"/>
  <c r="GZ56" i="59"/>
  <c r="M478" i="24"/>
  <c r="GF56" i="59"/>
  <c r="M477" i="24"/>
  <c r="FL56" i="59"/>
  <c r="M476" i="24"/>
  <c r="ER56" i="59"/>
  <c r="M475" i="24"/>
  <c r="DX56" i="59"/>
  <c r="M474" i="24"/>
  <c r="DD56" i="59"/>
  <c r="M473" i="24"/>
  <c r="CJ56" i="59"/>
  <c r="M472" i="24"/>
  <c r="BP56" i="59"/>
  <c r="M471" i="24"/>
  <c r="AV56" i="59"/>
  <c r="M459" i="24"/>
  <c r="BG55" i="59"/>
  <c r="M458" i="24"/>
  <c r="AM55" i="59"/>
  <c r="M457" i="24"/>
  <c r="S55" i="59"/>
  <c r="M456" i="24"/>
  <c r="IP54" i="59"/>
  <c r="M455" i="24"/>
  <c r="HV54" i="59"/>
  <c r="M454" i="24"/>
  <c r="HB54" i="59"/>
  <c r="M453" i="24"/>
  <c r="GH54" i="59"/>
  <c r="M452" i="24"/>
  <c r="FN54" i="59"/>
  <c r="M451" i="24"/>
  <c r="ET54" i="59"/>
  <c r="M450" i="24"/>
  <c r="DZ54" i="59"/>
  <c r="M438" i="24"/>
  <c r="EK53" i="59"/>
  <c r="M437" i="24"/>
  <c r="DQ53" i="59"/>
  <c r="M436" i="24"/>
  <c r="CW53" i="59"/>
  <c r="M435" i="24"/>
  <c r="CC53" i="59"/>
  <c r="M434" i="24"/>
  <c r="BI53" i="59"/>
  <c r="M433" i="24"/>
  <c r="AO53" i="59"/>
  <c r="M432" i="24"/>
  <c r="U53" i="59"/>
  <c r="M431" i="24"/>
  <c r="IR52" i="59"/>
  <c r="M430" i="24"/>
  <c r="HX52" i="59"/>
  <c r="M429" i="24"/>
  <c r="HD52" i="59"/>
  <c r="M417" i="24"/>
  <c r="HO51" i="59"/>
  <c r="M416" i="24"/>
  <c r="GU51" i="59"/>
  <c r="M415" i="24"/>
  <c r="GA51" i="59"/>
  <c r="M414" i="24"/>
  <c r="FG51" i="59"/>
  <c r="M413" i="24"/>
  <c r="EM51" i="59"/>
  <c r="M412" i="24"/>
  <c r="DS51" i="59"/>
  <c r="M411" i="24"/>
  <c r="CY51" i="59"/>
  <c r="M410" i="24"/>
  <c r="CE51" i="59"/>
  <c r="M409" i="24"/>
  <c r="BK51" i="59"/>
  <c r="M408" i="24"/>
  <c r="AQ51" i="59"/>
  <c r="M396" i="24"/>
  <c r="BB50" i="59"/>
  <c r="M395" i="24"/>
  <c r="AH50" i="59"/>
  <c r="M394" i="24"/>
  <c r="N50" i="59"/>
  <c r="M393" i="24"/>
  <c r="IK49" i="59"/>
  <c r="M392" i="24"/>
  <c r="HQ49" i="59"/>
  <c r="M391" i="24"/>
  <c r="GW49" i="59"/>
  <c r="M390" i="24"/>
  <c r="GC49" i="59"/>
  <c r="M389" i="24"/>
  <c r="FI49" i="59"/>
  <c r="M388" i="24"/>
  <c r="EO49" i="59"/>
  <c r="M387" i="24"/>
  <c r="DU49" i="59"/>
  <c r="M375" i="24"/>
  <c r="EF48" i="59"/>
  <c r="M374" i="24"/>
  <c r="DL48" i="59"/>
  <c r="M373" i="24"/>
  <c r="CR48" i="59"/>
  <c r="M372" i="24"/>
  <c r="BX48" i="59"/>
  <c r="M371" i="24"/>
  <c r="BD48" i="59"/>
  <c r="M370" i="24"/>
  <c r="AJ48" i="59"/>
  <c r="M369" i="24"/>
  <c r="P48" i="59"/>
  <c r="M368" i="24"/>
  <c r="IM47" i="59"/>
  <c r="M367" i="24"/>
  <c r="HS47" i="59"/>
  <c r="M366" i="24"/>
  <c r="GY47" i="59"/>
  <c r="M364" i="24"/>
  <c r="FK47" i="59"/>
  <c r="M363" i="24"/>
  <c r="EQ47" i="59"/>
  <c r="M362" i="24"/>
  <c r="DW47" i="59"/>
  <c r="M361" i="24"/>
  <c r="DC47" i="59"/>
  <c r="M360" i="24"/>
  <c r="CI47" i="59"/>
  <c r="M359" i="24"/>
  <c r="BO47" i="59"/>
  <c r="M358" i="24"/>
  <c r="AU47" i="59"/>
  <c r="M357" i="24"/>
  <c r="AA47" i="59"/>
  <c r="M356" i="24"/>
  <c r="G47" i="59"/>
  <c r="M355" i="24"/>
  <c r="ID46" i="59"/>
  <c r="M333" i="24"/>
  <c r="AW45" i="59"/>
  <c r="M332" i="24"/>
  <c r="AC45" i="59"/>
  <c r="M331" i="24"/>
  <c r="I45" i="59"/>
  <c r="M330" i="24"/>
  <c r="IF44" i="59"/>
  <c r="M329" i="24"/>
  <c r="HL44" i="59"/>
  <c r="M328" i="24"/>
  <c r="GR44" i="59"/>
  <c r="M327" i="24"/>
  <c r="FX44" i="59"/>
  <c r="M326" i="24"/>
  <c r="FD44" i="59"/>
  <c r="M325" i="24"/>
  <c r="EJ44" i="59"/>
  <c r="M324" i="24"/>
  <c r="DP44" i="59"/>
  <c r="M312" i="24"/>
  <c r="EA43" i="59"/>
  <c r="M311" i="24"/>
  <c r="DG43" i="59"/>
  <c r="M310" i="24"/>
  <c r="CM43" i="59"/>
  <c r="M309" i="24"/>
  <c r="BS43" i="59"/>
  <c r="M308" i="24"/>
  <c r="AY43" i="59"/>
  <c r="M307" i="24"/>
  <c r="AE43" i="59"/>
  <c r="M306" i="24"/>
  <c r="K43" i="59"/>
  <c r="M305" i="24"/>
  <c r="IH42" i="59"/>
  <c r="M304" i="24"/>
  <c r="HN42" i="59"/>
  <c r="M303" i="24"/>
  <c r="GT42" i="59"/>
  <c r="M291" i="24"/>
  <c r="HE41" i="59"/>
  <c r="M290" i="24"/>
  <c r="GK41" i="59"/>
  <c r="M289" i="24"/>
  <c r="FQ41" i="59"/>
  <c r="M288" i="24"/>
  <c r="EW41" i="59"/>
  <c r="M287" i="24"/>
  <c r="EC41" i="59"/>
  <c r="M286" i="24"/>
  <c r="DI41" i="59"/>
  <c r="M285" i="24"/>
  <c r="CO41" i="59"/>
  <c r="M284" i="24"/>
  <c r="BU41" i="59"/>
  <c r="M283" i="24"/>
  <c r="BA41" i="59"/>
  <c r="M282" i="24"/>
  <c r="AG41" i="59"/>
  <c r="M270" i="24"/>
  <c r="AR40" i="59"/>
  <c r="M269" i="24"/>
  <c r="X40" i="59"/>
  <c r="M268" i="24"/>
  <c r="IU39" i="59"/>
  <c r="M267" i="24"/>
  <c r="IA39" i="59"/>
  <c r="M266" i="24"/>
  <c r="HG39" i="59"/>
  <c r="M265" i="24"/>
  <c r="GM39" i="59"/>
  <c r="M264" i="24"/>
  <c r="FS39" i="59"/>
  <c r="M263" i="24"/>
  <c r="EY39" i="59"/>
  <c r="M262" i="24"/>
  <c r="EE39" i="59"/>
  <c r="M261" i="24"/>
  <c r="DK39" i="59"/>
  <c r="M249" i="24"/>
  <c r="DV38" i="59"/>
  <c r="M248" i="24"/>
  <c r="DB38" i="59"/>
  <c r="M247" i="24"/>
  <c r="CH38" i="59"/>
  <c r="M246" i="24"/>
  <c r="BN38" i="59"/>
  <c r="M245" i="24"/>
  <c r="AT38" i="59"/>
  <c r="M244" i="24"/>
  <c r="Z38" i="59"/>
  <c r="M243" i="24"/>
  <c r="F38" i="59"/>
  <c r="M242" i="24"/>
  <c r="IC37" i="59"/>
  <c r="M241" i="24"/>
  <c r="HI37" i="59"/>
  <c r="M240" i="24"/>
  <c r="GO37" i="59"/>
  <c r="M228" i="24"/>
  <c r="GZ36" i="59"/>
  <c r="M227" i="24"/>
  <c r="GF36" i="59"/>
  <c r="M226" i="24"/>
  <c r="FL36" i="59"/>
  <c r="M225" i="24"/>
  <c r="ER36" i="59"/>
  <c r="M224" i="24"/>
  <c r="DX36" i="59"/>
  <c r="M223" i="24"/>
  <c r="DD36" i="59"/>
  <c r="M222" i="24"/>
  <c r="CJ36" i="59"/>
  <c r="M221" i="24"/>
  <c r="BP36" i="59"/>
  <c r="M220" i="24"/>
  <c r="AV36" i="59"/>
  <c r="M219" i="24"/>
  <c r="AB36" i="59"/>
  <c r="M207" i="24"/>
  <c r="AM35" i="59"/>
  <c r="M206" i="24"/>
  <c r="S35" i="59"/>
  <c r="M205" i="24"/>
  <c r="IP34" i="59"/>
  <c r="M204" i="24"/>
  <c r="HV34" i="59"/>
  <c r="M203" i="24"/>
  <c r="HB34" i="59"/>
  <c r="M202" i="24"/>
  <c r="GH34" i="59"/>
  <c r="M201" i="24"/>
  <c r="FN34" i="59"/>
  <c r="M200" i="24"/>
  <c r="ET34" i="59"/>
  <c r="M199" i="24"/>
  <c r="DZ34" i="59"/>
  <c r="M198" i="24"/>
  <c r="DF34" i="59"/>
  <c r="M186" i="24"/>
  <c r="DQ33" i="59"/>
  <c r="M185" i="24"/>
  <c r="CW33" i="59"/>
  <c r="M184" i="24"/>
  <c r="CC33" i="59"/>
  <c r="M183" i="24"/>
  <c r="BI33" i="59"/>
  <c r="M182" i="24"/>
  <c r="AO33" i="59"/>
  <c r="M181" i="24"/>
  <c r="U33" i="59"/>
  <c r="M180" i="24"/>
  <c r="IR32" i="59"/>
  <c r="M179" i="24"/>
  <c r="HX32" i="59"/>
  <c r="M178" i="24"/>
  <c r="HD32" i="59"/>
  <c r="M177" i="24"/>
  <c r="GJ32" i="59"/>
  <c r="M165" i="24"/>
  <c r="GU31" i="59"/>
  <c r="M164" i="24"/>
  <c r="GA31" i="59"/>
  <c r="M163" i="24"/>
  <c r="FG31" i="59"/>
  <c r="M162" i="24"/>
  <c r="EM31" i="59"/>
  <c r="M161" i="24"/>
  <c r="DS31" i="59"/>
  <c r="M160" i="24"/>
  <c r="CY31" i="59"/>
  <c r="M159" i="24"/>
  <c r="CE31" i="59"/>
  <c r="M158" i="24"/>
  <c r="BK31" i="59"/>
  <c r="M157" i="24"/>
  <c r="AQ31" i="59"/>
  <c r="M156" i="24"/>
  <c r="W31" i="59"/>
  <c r="M144" i="24"/>
  <c r="AH30" i="59"/>
  <c r="M143" i="24"/>
  <c r="N30" i="59"/>
  <c r="M142" i="24"/>
  <c r="IK29" i="59"/>
  <c r="M141" i="24"/>
  <c r="HQ29" i="59"/>
  <c r="M140" i="24"/>
  <c r="GW29" i="59"/>
  <c r="M139" i="24"/>
  <c r="GC29" i="59"/>
  <c r="M138" i="24"/>
  <c r="FI29" i="59"/>
  <c r="M137" i="24"/>
  <c r="EO29" i="59"/>
  <c r="M136" i="24"/>
  <c r="DU29" i="59"/>
  <c r="M135" i="24"/>
  <c r="DA29" i="59"/>
  <c r="M123" i="24"/>
  <c r="DL28" i="59"/>
  <c r="M122" i="24"/>
  <c r="CR28" i="59"/>
  <c r="M121" i="24"/>
  <c r="BX28" i="59"/>
  <c r="M120" i="24"/>
  <c r="BD28" i="59"/>
  <c r="M119" i="24"/>
  <c r="AJ28" i="59"/>
  <c r="M118" i="24"/>
  <c r="P28" i="59"/>
  <c r="M117" i="24"/>
  <c r="IM27" i="59"/>
  <c r="M116" i="24"/>
  <c r="HS27" i="59"/>
  <c r="M115" i="24"/>
  <c r="GY27" i="59"/>
  <c r="M114" i="24"/>
  <c r="GE27" i="59"/>
  <c r="M102" i="24"/>
  <c r="GP26" i="59"/>
  <c r="M101" i="24"/>
  <c r="FV26" i="59"/>
  <c r="M100" i="24"/>
  <c r="FB26" i="59"/>
  <c r="M99" i="24"/>
  <c r="EH26" i="59"/>
  <c r="M98" i="24"/>
  <c r="DN26" i="59"/>
  <c r="M97" i="24"/>
  <c r="CT26" i="59"/>
  <c r="M96" i="24"/>
  <c r="BZ26" i="59"/>
  <c r="M95" i="24"/>
  <c r="BF26" i="59"/>
  <c r="M94" i="24"/>
  <c r="AL26" i="59"/>
  <c r="M93" i="24"/>
  <c r="R26" i="59"/>
  <c r="M81" i="24"/>
  <c r="AC25" i="59"/>
  <c r="M80" i="24"/>
  <c r="I25" i="59"/>
  <c r="M79" i="24"/>
  <c r="IF24" i="59"/>
  <c r="M78" i="24"/>
  <c r="HL24" i="59"/>
  <c r="M77" i="24"/>
  <c r="GR24" i="59"/>
  <c r="M76" i="24"/>
  <c r="FX24" i="59"/>
  <c r="M75" i="24"/>
  <c r="FD24" i="59"/>
  <c r="M74" i="24"/>
  <c r="EJ24" i="59"/>
  <c r="M73" i="24"/>
  <c r="DP24" i="59"/>
  <c r="M72" i="24"/>
  <c r="CV24" i="59"/>
  <c r="M60" i="24"/>
  <c r="DG23" i="59"/>
  <c r="M59" i="24"/>
  <c r="CM23" i="59"/>
  <c r="M58" i="24"/>
  <c r="BS23" i="59"/>
  <c r="M57" i="24"/>
  <c r="AY23" i="59"/>
  <c r="M56" i="24"/>
  <c r="AE23" i="59"/>
  <c r="M55" i="24"/>
  <c r="K23" i="59"/>
  <c r="M54" i="24"/>
  <c r="IH22" i="59"/>
  <c r="M53" i="24"/>
  <c r="HN22" i="59"/>
  <c r="M52" i="24"/>
  <c r="GT22" i="59"/>
  <c r="M51" i="24"/>
  <c r="FZ22" i="59"/>
  <c r="M39" i="24"/>
  <c r="GK21" i="59"/>
  <c r="M38" i="24"/>
  <c r="FQ21" i="59"/>
  <c r="M37" i="24"/>
  <c r="EW21" i="59"/>
  <c r="M36" i="24"/>
  <c r="EC21" i="59"/>
  <c r="M35" i="24"/>
  <c r="DI21" i="59"/>
  <c r="M34" i="24"/>
  <c r="CO21" i="59"/>
  <c r="M33" i="24"/>
  <c r="BU21" i="59"/>
  <c r="M32" i="24"/>
  <c r="BA21" i="59"/>
  <c r="M31" i="24"/>
  <c r="AG21" i="59"/>
  <c r="M30" i="24"/>
  <c r="M21" i="59"/>
  <c r="M18" i="24"/>
  <c r="X20" i="59"/>
  <c r="M17" i="24"/>
  <c r="IU19" i="59"/>
  <c r="IA19" i="59"/>
  <c r="GM19" i="59"/>
  <c r="FS19" i="59"/>
  <c r="M12" i="24"/>
  <c r="EY19" i="59"/>
  <c r="EE19" i="59"/>
  <c r="DK19" i="59"/>
  <c r="CQ19" i="59"/>
  <c r="U263" i="59"/>
  <c r="BW263" i="59"/>
  <c r="CX263" i="59"/>
  <c r="DY263" i="59"/>
  <c r="EZ263" i="59"/>
  <c r="GA263" i="59"/>
  <c r="HB263" i="59"/>
  <c r="IC263" i="59"/>
  <c r="M264" i="59"/>
  <c r="AN264" i="59"/>
  <c r="BO264" i="59"/>
  <c r="CP264" i="59"/>
  <c r="DQ264" i="59"/>
  <c r="ER264" i="59"/>
  <c r="FS264" i="59"/>
  <c r="GT264" i="59"/>
  <c r="HU264" i="59"/>
  <c r="IV264" i="59"/>
  <c r="AF265" i="59"/>
  <c r="H8" i="50"/>
  <c r="DW2" i="59"/>
  <c r="H7" i="50"/>
  <c r="DI2" i="59"/>
  <c r="C7" i="50"/>
  <c r="DD2" i="59"/>
  <c r="H6" i="50"/>
  <c r="CU2" i="59"/>
  <c r="C6" i="50"/>
  <c r="CP2" i="59"/>
  <c r="H5" i="50"/>
  <c r="CG2" i="59"/>
  <c r="C5" i="50"/>
  <c r="CB2" i="59"/>
  <c r="AV263" i="59"/>
  <c r="IV268" i="59"/>
  <c r="BE15" i="59"/>
  <c r="HG19" i="59"/>
  <c r="CA246" i="59"/>
  <c r="AV49" i="56"/>
  <c r="GK251" i="59"/>
  <c r="AT6" i="56"/>
  <c r="HK244" i="59"/>
  <c r="FL245" i="59"/>
  <c r="CI245" i="59"/>
  <c r="IG246" i="59"/>
  <c r="M470" i="24"/>
  <c r="AB56" i="59"/>
  <c r="C18" i="49"/>
  <c r="HP317" i="59"/>
  <c r="M617" i="24"/>
  <c r="GY67" i="59"/>
  <c r="M596" i="24"/>
  <c r="AL66" i="59"/>
  <c r="M575" i="24"/>
  <c r="DP64" i="59"/>
  <c r="M554" i="24"/>
  <c r="GT62" i="59"/>
  <c r="M533" i="24"/>
  <c r="AG61" i="59"/>
  <c r="M512" i="24"/>
  <c r="DK59" i="59"/>
  <c r="M491" i="24"/>
  <c r="GO57" i="59"/>
  <c r="M449" i="24"/>
  <c r="DF54" i="59"/>
  <c r="M428" i="24"/>
  <c r="GJ52" i="59"/>
  <c r="M386" i="24"/>
  <c r="DA49" i="59"/>
  <c r="M407" i="24"/>
  <c r="W51" i="59"/>
  <c r="M365" i="24"/>
  <c r="GE47" i="59"/>
  <c r="M344" i="24"/>
  <c r="R46" i="59"/>
  <c r="N409" i="24"/>
  <c r="M71" i="24"/>
  <c r="CB24" i="59"/>
  <c r="M323" i="24"/>
  <c r="CV44" i="59"/>
  <c r="M302" i="24"/>
  <c r="FZ42" i="59"/>
  <c r="M281" i="24"/>
  <c r="M41" i="59"/>
  <c r="M260" i="24"/>
  <c r="CQ39" i="59"/>
  <c r="M239" i="24"/>
  <c r="FU37" i="59"/>
  <c r="M218" i="24"/>
  <c r="H36" i="59"/>
  <c r="M197" i="24"/>
  <c r="CL34" i="59"/>
  <c r="M176" i="24"/>
  <c r="FP32" i="59"/>
  <c r="M155" i="24"/>
  <c r="IT30" i="59"/>
  <c r="M134" i="24"/>
  <c r="CG29" i="59"/>
  <c r="M113" i="24"/>
  <c r="FK27" i="59"/>
  <c r="M92" i="24"/>
  <c r="IO25" i="59"/>
  <c r="M50" i="24"/>
  <c r="FF22" i="59"/>
  <c r="M29" i="24"/>
  <c r="IJ20" i="59"/>
  <c r="M8" i="24"/>
  <c r="BW19" i="59"/>
  <c r="N202" i="24"/>
  <c r="GI34" i="59"/>
  <c r="N203" i="24"/>
  <c r="HC34" i="59"/>
  <c r="N201" i="24"/>
  <c r="FO34" i="59"/>
  <c r="N204" i="24"/>
  <c r="HW34" i="59"/>
  <c r="N205" i="24"/>
  <c r="IQ34" i="59"/>
  <c r="N539" i="24"/>
  <c r="EX61" i="59"/>
  <c r="N198" i="24"/>
  <c r="DG34" i="59"/>
  <c r="N206" i="24"/>
  <c r="T35" i="59"/>
  <c r="N200" i="24"/>
  <c r="EU34" i="59"/>
  <c r="N199" i="24"/>
  <c r="EA34" i="59"/>
  <c r="N207" i="24"/>
  <c r="AN35" i="59"/>
  <c r="N620" i="24"/>
  <c r="Q68" i="59"/>
  <c r="N618" i="24"/>
  <c r="HT67" i="59"/>
  <c r="N626" i="24"/>
  <c r="EG68" i="59"/>
  <c r="N619" i="24"/>
  <c r="IN67" i="59"/>
  <c r="N627" i="24"/>
  <c r="FA68" i="59"/>
  <c r="N623" i="24"/>
  <c r="BY68" i="59"/>
  <c r="N621" i="24"/>
  <c r="AK68" i="59"/>
  <c r="N624" i="24"/>
  <c r="CS68" i="59"/>
  <c r="N622" i="24"/>
  <c r="BE68" i="59"/>
  <c r="N625" i="24"/>
  <c r="DM68" i="59"/>
  <c r="N600" i="24"/>
  <c r="DO66" i="59"/>
  <c r="N601" i="24"/>
  <c r="EI66" i="59"/>
  <c r="N602" i="24"/>
  <c r="FC66" i="59"/>
  <c r="N597" i="24"/>
  <c r="BG66" i="59"/>
  <c r="N604" i="24"/>
  <c r="GQ66" i="59"/>
  <c r="N598" i="24"/>
  <c r="CA66" i="59"/>
  <c r="N605" i="24"/>
  <c r="HK66" i="59"/>
  <c r="N603" i="24"/>
  <c r="FW66" i="59"/>
  <c r="N599" i="24"/>
  <c r="CU66" i="59"/>
  <c r="N606" i="24"/>
  <c r="IE66" i="59"/>
  <c r="N578" i="24"/>
  <c r="FY64" i="59"/>
  <c r="N581" i="24"/>
  <c r="IG64" i="59"/>
  <c r="N582" i="24"/>
  <c r="J65" i="59"/>
  <c r="N583" i="24"/>
  <c r="AD65" i="59"/>
  <c r="N576" i="24"/>
  <c r="EK64" i="59"/>
  <c r="N584" i="24"/>
  <c r="AX65" i="59"/>
  <c r="N577" i="24"/>
  <c r="FE64" i="59"/>
  <c r="N585" i="24"/>
  <c r="BR65" i="59"/>
  <c r="N579" i="24"/>
  <c r="GS64" i="59"/>
  <c r="N580" i="24"/>
  <c r="HM64" i="59"/>
  <c r="N564" i="24"/>
  <c r="EV63" i="59"/>
  <c r="N555" i="24"/>
  <c r="HO62" i="59"/>
  <c r="N562" i="24"/>
  <c r="DH63" i="59"/>
  <c r="N556" i="24"/>
  <c r="II62" i="59"/>
  <c r="N563" i="24"/>
  <c r="EB63" i="59"/>
  <c r="N559" i="24"/>
  <c r="AZ63" i="59"/>
  <c r="N558" i="24"/>
  <c r="AF63" i="59"/>
  <c r="N560" i="24"/>
  <c r="BT63" i="59"/>
  <c r="N557" i="24"/>
  <c r="L63" i="59"/>
  <c r="N561" i="24"/>
  <c r="CN63" i="59"/>
  <c r="N540" i="24"/>
  <c r="FR61" i="59"/>
  <c r="N541" i="24"/>
  <c r="GL61" i="59"/>
  <c r="N538" i="24"/>
  <c r="ED61" i="59"/>
  <c r="N535" i="24"/>
  <c r="BV61" i="59"/>
  <c r="N542" i="24"/>
  <c r="HF61" i="59"/>
  <c r="N534" i="24"/>
  <c r="BB61" i="59"/>
  <c r="N536" i="24"/>
  <c r="CP61" i="59"/>
  <c r="N537" i="24"/>
  <c r="DJ61" i="59"/>
  <c r="N543" i="24"/>
  <c r="HZ61" i="59"/>
  <c r="N513" i="24"/>
  <c r="N519" i="24"/>
  <c r="IV59" i="59"/>
  <c r="N520" i="24"/>
  <c r="Y60" i="59"/>
  <c r="N514" i="24"/>
  <c r="EZ59" i="59"/>
  <c r="N516" i="24"/>
  <c r="GN59" i="59"/>
  <c r="N521" i="24"/>
  <c r="AS60" i="59"/>
  <c r="N515" i="24"/>
  <c r="FT59" i="59"/>
  <c r="N517" i="24"/>
  <c r="HH59" i="59"/>
  <c r="N522" i="24"/>
  <c r="BM60" i="59"/>
  <c r="N518" i="24"/>
  <c r="IB59" i="59"/>
  <c r="N492" i="24"/>
  <c r="HJ57" i="59"/>
  <c r="N500" i="24"/>
  <c r="DW58" i="59"/>
  <c r="N493" i="24"/>
  <c r="ID57" i="59"/>
  <c r="N501" i="24"/>
  <c r="EQ58" i="59"/>
  <c r="N494" i="24"/>
  <c r="G58" i="59"/>
  <c r="N495" i="24"/>
  <c r="AA58" i="59"/>
  <c r="N496" i="24"/>
  <c r="AU58" i="59"/>
  <c r="N498" i="24"/>
  <c r="CI58" i="59"/>
  <c r="N497" i="24"/>
  <c r="BO58" i="59"/>
  <c r="N499" i="24"/>
  <c r="DC58" i="59"/>
  <c r="N474" i="24"/>
  <c r="DE56" i="59"/>
  <c r="N477" i="24"/>
  <c r="FM56" i="59"/>
  <c r="N473" i="24"/>
  <c r="CK56" i="59"/>
  <c r="N475" i="24"/>
  <c r="DY56" i="59"/>
  <c r="N476" i="24"/>
  <c r="ES56" i="59"/>
  <c r="N479" i="24"/>
  <c r="HA56" i="59"/>
  <c r="N478" i="24"/>
  <c r="GG56" i="59"/>
  <c r="N471" i="24"/>
  <c r="AW56" i="59"/>
  <c r="N472" i="24"/>
  <c r="BQ56" i="59"/>
  <c r="N480" i="24"/>
  <c r="HU56" i="59"/>
  <c r="N456" i="24"/>
  <c r="IQ54" i="59"/>
  <c r="N457" i="24"/>
  <c r="T55" i="59"/>
  <c r="N458" i="24"/>
  <c r="AN55" i="59"/>
  <c r="N454" i="24"/>
  <c r="HC54" i="59"/>
  <c r="N455" i="24"/>
  <c r="HW54" i="59"/>
  <c r="N450" i="24"/>
  <c r="EA54" i="59"/>
  <c r="N451" i="24"/>
  <c r="EU54" i="59"/>
  <c r="N459" i="24"/>
  <c r="BH55" i="59"/>
  <c r="N452" i="24"/>
  <c r="FO54" i="59"/>
  <c r="N453" i="24"/>
  <c r="GI54" i="59"/>
  <c r="N437" i="24"/>
  <c r="DR53" i="59"/>
  <c r="N430" i="24"/>
  <c r="HY52" i="59"/>
  <c r="N435" i="24"/>
  <c r="CD53" i="59"/>
  <c r="N436" i="24"/>
  <c r="CX53" i="59"/>
  <c r="N431" i="24"/>
  <c r="IS52" i="59"/>
  <c r="N432" i="24"/>
  <c r="V53" i="59"/>
  <c r="N429" i="24"/>
  <c r="HE52" i="59"/>
  <c r="N433" i="24"/>
  <c r="AP53" i="59"/>
  <c r="N438" i="24"/>
  <c r="EL53" i="59"/>
  <c r="N434" i="24"/>
  <c r="BJ53" i="59"/>
  <c r="N411" i="24"/>
  <c r="CZ51" i="59"/>
  <c r="N410" i="24"/>
  <c r="CF51" i="59"/>
  <c r="N417" i="24"/>
  <c r="HP51" i="59"/>
  <c r="N414" i="24"/>
  <c r="FH51" i="59"/>
  <c r="N413" i="24"/>
  <c r="EN51" i="59"/>
  <c r="N408" i="24"/>
  <c r="AR51" i="59"/>
  <c r="N415" i="24"/>
  <c r="GB51" i="59"/>
  <c r="N412" i="24"/>
  <c r="DT51" i="59"/>
  <c r="N416" i="24"/>
  <c r="GV51" i="59"/>
  <c r="N387" i="24"/>
  <c r="DV49" i="59"/>
  <c r="N391" i="24"/>
  <c r="GX49" i="59"/>
  <c r="N392" i="24"/>
  <c r="HR49" i="59"/>
  <c r="N395" i="24"/>
  <c r="AI50" i="59"/>
  <c r="N396" i="24"/>
  <c r="BC50" i="59"/>
  <c r="N393" i="24"/>
  <c r="IL49" i="59"/>
  <c r="N394" i="24"/>
  <c r="O50" i="59"/>
  <c r="N388" i="24"/>
  <c r="EP49" i="59"/>
  <c r="N389" i="24"/>
  <c r="FJ49" i="59"/>
  <c r="N390" i="24"/>
  <c r="GD49" i="59"/>
  <c r="N372" i="24"/>
  <c r="BY48" i="59"/>
  <c r="N373" i="24"/>
  <c r="CS48" i="59"/>
  <c r="N366" i="24"/>
  <c r="GZ47" i="59"/>
  <c r="N375" i="24"/>
  <c r="EG48" i="59"/>
  <c r="N368" i="24"/>
  <c r="IN47" i="59"/>
  <c r="N370" i="24"/>
  <c r="AK48" i="59"/>
  <c r="N374" i="24"/>
  <c r="DM48" i="59"/>
  <c r="N367" i="24"/>
  <c r="HT47" i="59"/>
  <c r="N369" i="24"/>
  <c r="Q48" i="59"/>
  <c r="N371" i="24"/>
  <c r="BE48" i="59"/>
  <c r="N364" i="24"/>
  <c r="FL47" i="59"/>
  <c r="N359" i="24"/>
  <c r="BP47" i="59"/>
  <c r="N360" i="24"/>
  <c r="CJ47" i="59"/>
  <c r="N362" i="24"/>
  <c r="DX47" i="59"/>
  <c r="N356" i="24"/>
  <c r="H47" i="59"/>
  <c r="N363" i="24"/>
  <c r="ER47" i="59"/>
  <c r="N357" i="24"/>
  <c r="AB47" i="59"/>
  <c r="N361" i="24"/>
  <c r="DD47" i="59"/>
  <c r="N358" i="24"/>
  <c r="AV47" i="59"/>
  <c r="N355" i="24"/>
  <c r="IE46" i="59"/>
  <c r="N327" i="24"/>
  <c r="FY44" i="59"/>
  <c r="N328" i="24"/>
  <c r="GS44" i="59"/>
  <c r="N329" i="24"/>
  <c r="HM44" i="59"/>
  <c r="N324" i="24"/>
  <c r="DQ44" i="59"/>
  <c r="N332" i="24"/>
  <c r="AD45" i="59"/>
  <c r="N330" i="24"/>
  <c r="IG44" i="59"/>
  <c r="N331" i="24"/>
  <c r="J45" i="59"/>
  <c r="N325" i="24"/>
  <c r="EK44" i="59"/>
  <c r="N333" i="24"/>
  <c r="AX45" i="59"/>
  <c r="N326" i="24"/>
  <c r="FE44" i="59"/>
  <c r="N308" i="24"/>
  <c r="AZ43" i="59"/>
  <c r="N309" i="24"/>
  <c r="BT43" i="59"/>
  <c r="N310" i="24"/>
  <c r="CN43" i="59"/>
  <c r="N303" i="24"/>
  <c r="GU42" i="59"/>
  <c r="N305" i="24"/>
  <c r="II42" i="59"/>
  <c r="N311" i="24"/>
  <c r="DH43" i="59"/>
  <c r="N312" i="24"/>
  <c r="EB43" i="59"/>
  <c r="N306" i="24"/>
  <c r="L43" i="59"/>
  <c r="N304" i="24"/>
  <c r="HO42" i="59"/>
  <c r="N307" i="24"/>
  <c r="AF43" i="59"/>
  <c r="N289" i="24"/>
  <c r="FR41" i="59"/>
  <c r="N283" i="24"/>
  <c r="BB41" i="59"/>
  <c r="N290" i="24"/>
  <c r="GL41" i="59"/>
  <c r="N284" i="24"/>
  <c r="BV41" i="59"/>
  <c r="N291" i="24"/>
  <c r="HF41" i="59"/>
  <c r="N285" i="24"/>
  <c r="CP41" i="59"/>
  <c r="N282" i="24"/>
  <c r="AH41" i="59"/>
  <c r="N286" i="24"/>
  <c r="DJ41" i="59"/>
  <c r="N287" i="24"/>
  <c r="ED41" i="59"/>
  <c r="N288" i="24"/>
  <c r="EX41" i="59"/>
  <c r="N264" i="24"/>
  <c r="FT39" i="59"/>
  <c r="N265" i="24"/>
  <c r="GN39" i="59"/>
  <c r="N261" i="24"/>
  <c r="DL39" i="59"/>
  <c r="N268" i="24"/>
  <c r="IV39" i="59"/>
  <c r="N262" i="24"/>
  <c r="EF39" i="59"/>
  <c r="N269" i="24"/>
  <c r="Y40" i="59"/>
  <c r="N266" i="24"/>
  <c r="HH39" i="59"/>
  <c r="N267" i="24"/>
  <c r="IB39" i="59"/>
  <c r="N263" i="24"/>
  <c r="EZ39" i="59"/>
  <c r="N270" i="24"/>
  <c r="AS40" i="59"/>
  <c r="N245" i="24"/>
  <c r="AU38" i="59"/>
  <c r="N246" i="24"/>
  <c r="BO38" i="59"/>
  <c r="N247" i="24"/>
  <c r="CI38" i="59"/>
  <c r="N240" i="24"/>
  <c r="GP37" i="59"/>
  <c r="N242" i="24"/>
  <c r="ID37" i="59"/>
  <c r="N249" i="24"/>
  <c r="DW38" i="59"/>
  <c r="N243" i="24"/>
  <c r="G38" i="59"/>
  <c r="N248" i="24"/>
  <c r="DC38" i="59"/>
  <c r="N241" i="24"/>
  <c r="HJ37" i="59"/>
  <c r="N244" i="24"/>
  <c r="AA38" i="59"/>
  <c r="N220" i="24"/>
  <c r="AW36" i="59"/>
  <c r="N226" i="24"/>
  <c r="FM36" i="59"/>
  <c r="N219" i="24"/>
  <c r="AC36" i="59"/>
  <c r="N227" i="24"/>
  <c r="GG36" i="59"/>
  <c r="N221" i="24"/>
  <c r="BQ36" i="59"/>
  <c r="N223" i="24"/>
  <c r="DE36" i="59"/>
  <c r="N228" i="24"/>
  <c r="HA36" i="59"/>
  <c r="N224" i="24"/>
  <c r="DY36" i="59"/>
  <c r="N222" i="24"/>
  <c r="CK36" i="59"/>
  <c r="N225" i="24"/>
  <c r="ES36" i="59"/>
  <c r="N39" i="24"/>
  <c r="GL21" i="59"/>
  <c r="N33" i="24"/>
  <c r="BV21" i="59"/>
  <c r="N34" i="24"/>
  <c r="CP21" i="59"/>
  <c r="N35" i="24"/>
  <c r="DJ21" i="59"/>
  <c r="N36" i="24"/>
  <c r="ED21" i="59"/>
  <c r="N37" i="24"/>
  <c r="EX21" i="59"/>
  <c r="N31" i="24"/>
  <c r="AH21" i="59"/>
  <c r="N32" i="24"/>
  <c r="BB21" i="59"/>
  <c r="N30" i="24"/>
  <c r="N21" i="59"/>
  <c r="N38" i="24"/>
  <c r="FR21" i="59"/>
  <c r="IB19" i="59"/>
  <c r="CR19" i="59"/>
  <c r="N17" i="24"/>
  <c r="IV19" i="59"/>
  <c r="FA19" i="59"/>
  <c r="GN19" i="59"/>
  <c r="N18" i="24"/>
  <c r="Y20" i="59"/>
  <c r="FT19" i="59"/>
  <c r="N180" i="24"/>
  <c r="IS32" i="59"/>
  <c r="N181" i="24"/>
  <c r="V33" i="59"/>
  <c r="N184" i="24"/>
  <c r="CD33" i="59"/>
  <c r="N177" i="24"/>
  <c r="N185" i="24"/>
  <c r="CX33" i="59"/>
  <c r="N182" i="24"/>
  <c r="AP33" i="59"/>
  <c r="N186" i="24"/>
  <c r="DR33" i="59"/>
  <c r="N183" i="24"/>
  <c r="BJ33" i="59"/>
  <c r="N178" i="24"/>
  <c r="HE32" i="59"/>
  <c r="N179" i="24"/>
  <c r="HY32" i="59"/>
  <c r="N164" i="24"/>
  <c r="GB31" i="59"/>
  <c r="N157" i="24"/>
  <c r="AR31" i="59"/>
  <c r="N161" i="24"/>
  <c r="DT31" i="59"/>
  <c r="N162" i="24"/>
  <c r="EN31" i="59"/>
  <c r="N156" i="24"/>
  <c r="X31" i="59"/>
  <c r="N158" i="24"/>
  <c r="BL31" i="59"/>
  <c r="N159" i="24"/>
  <c r="CF31" i="59"/>
  <c r="N163" i="24"/>
  <c r="FH31" i="59"/>
  <c r="N165" i="24"/>
  <c r="GV31" i="59"/>
  <c r="N160" i="24"/>
  <c r="CZ31" i="59"/>
  <c r="N137" i="24"/>
  <c r="EP29" i="59"/>
  <c r="N138" i="24"/>
  <c r="FJ29" i="59"/>
  <c r="N142" i="24"/>
  <c r="IL29" i="59"/>
  <c r="N135" i="24"/>
  <c r="DB29" i="59"/>
  <c r="N143" i="24"/>
  <c r="O30" i="59"/>
  <c r="N136" i="24"/>
  <c r="DV29" i="59"/>
  <c r="N139" i="24"/>
  <c r="GD29" i="59"/>
  <c r="N140" i="24"/>
  <c r="GX29" i="59"/>
  <c r="N144" i="24"/>
  <c r="AI30" i="59"/>
  <c r="N141" i="24"/>
  <c r="HR29" i="59"/>
  <c r="N115" i="24"/>
  <c r="GZ27" i="59"/>
  <c r="N123" i="24"/>
  <c r="DM28" i="59"/>
  <c r="N116" i="24"/>
  <c r="HT27" i="59"/>
  <c r="N119" i="24"/>
  <c r="AK28" i="59"/>
  <c r="N120" i="24"/>
  <c r="BE28" i="59"/>
  <c r="N117" i="24"/>
  <c r="IN27" i="59"/>
  <c r="N118" i="24"/>
  <c r="Q28" i="59"/>
  <c r="N121" i="24"/>
  <c r="BY28" i="59"/>
  <c r="N114" i="24"/>
  <c r="GF27" i="59"/>
  <c r="N122" i="24"/>
  <c r="CS28" i="59"/>
  <c r="N96" i="24"/>
  <c r="CA26" i="59"/>
  <c r="N97" i="24"/>
  <c r="CU26" i="59"/>
  <c r="N98" i="24"/>
  <c r="DO26" i="59"/>
  <c r="N99" i="24"/>
  <c r="EI26" i="59"/>
  <c r="N100" i="24"/>
  <c r="FC26" i="59"/>
  <c r="N93" i="24"/>
  <c r="S26" i="59"/>
  <c r="N101" i="24"/>
  <c r="FW26" i="59"/>
  <c r="N102" i="24"/>
  <c r="GQ26" i="59"/>
  <c r="N95" i="24"/>
  <c r="BG26" i="59"/>
  <c r="N80" i="24"/>
  <c r="J25" i="59"/>
  <c r="N73" i="24"/>
  <c r="DQ24" i="59"/>
  <c r="N77" i="24"/>
  <c r="GS24" i="59"/>
  <c r="N78" i="24"/>
  <c r="HM24" i="59"/>
  <c r="N81" i="24"/>
  <c r="AD25" i="59"/>
  <c r="N74" i="24"/>
  <c r="EK24" i="59"/>
  <c r="N75" i="24"/>
  <c r="FE24" i="59"/>
  <c r="N79" i="24"/>
  <c r="IG24" i="59"/>
  <c r="N72" i="24"/>
  <c r="CW24" i="59"/>
  <c r="N76" i="24"/>
  <c r="FY24" i="59"/>
  <c r="N60" i="24"/>
  <c r="DH23" i="59"/>
  <c r="N58" i="24"/>
  <c r="BT23" i="59"/>
  <c r="N51" i="24"/>
  <c r="GA22" i="59"/>
  <c r="N59" i="24"/>
  <c r="CN23" i="59"/>
  <c r="N55" i="24"/>
  <c r="L23" i="59"/>
  <c r="N54" i="24"/>
  <c r="II22" i="59"/>
  <c r="N56" i="24"/>
  <c r="AF23" i="59"/>
  <c r="N52" i="24"/>
  <c r="GU22" i="59"/>
  <c r="N57" i="24"/>
  <c r="AZ23" i="59"/>
  <c r="N6" i="7"/>
  <c r="U299" i="59"/>
  <c r="C16" i="42"/>
  <c r="L310" i="59"/>
  <c r="C8" i="50"/>
  <c r="DR2" i="59"/>
  <c r="N6" i="41"/>
  <c r="FT304" i="59"/>
  <c r="DL19" i="59"/>
  <c r="N53" i="24"/>
  <c r="HO22" i="59"/>
  <c r="EF19" i="59"/>
  <c r="N94" i="24"/>
  <c r="AM26" i="59"/>
  <c r="HU268" i="59"/>
  <c r="AF269" i="59"/>
  <c r="CH269" i="59"/>
  <c r="BG269" i="59"/>
  <c r="B65" i="13"/>
  <c r="F128" i="49"/>
  <c r="D128" i="49"/>
  <c r="G128" i="49"/>
  <c r="A130" i="49"/>
  <c r="C130" i="49"/>
  <c r="G130" i="49"/>
  <c r="V64" i="13"/>
  <c r="E130" i="49"/>
  <c r="T64" i="13"/>
  <c r="H128" i="49"/>
  <c r="U64" i="13"/>
  <c r="H110" i="49"/>
  <c r="A112" i="49"/>
  <c r="G110" i="49"/>
  <c r="V62" i="13"/>
  <c r="C112" i="49"/>
  <c r="T62" i="13"/>
  <c r="G112" i="49"/>
  <c r="F110" i="49"/>
  <c r="U62" i="13"/>
  <c r="E112" i="49"/>
  <c r="D110" i="49"/>
  <c r="F146" i="49"/>
  <c r="E148" i="49"/>
  <c r="H146" i="49"/>
  <c r="V66" i="13"/>
  <c r="U66" i="13"/>
  <c r="T66" i="13"/>
  <c r="A148" i="49"/>
  <c r="D146" i="49"/>
  <c r="C148" i="49"/>
  <c r="G146" i="49"/>
  <c r="G148" i="49"/>
  <c r="B63" i="13"/>
  <c r="IU268" i="59"/>
  <c r="B66" i="13"/>
  <c r="G137" i="49"/>
  <c r="E139" i="49"/>
  <c r="D137" i="49"/>
  <c r="V65" i="13"/>
  <c r="C139" i="49"/>
  <c r="T65" i="13"/>
  <c r="G139" i="49"/>
  <c r="F137" i="49"/>
  <c r="H137" i="49"/>
  <c r="A139" i="49"/>
  <c r="U65" i="13"/>
  <c r="BF15" i="59"/>
  <c r="HH19" i="59"/>
  <c r="O409" i="24"/>
  <c r="BM51" i="59"/>
  <c r="BL51" i="59"/>
  <c r="O177" i="24"/>
  <c r="GL32" i="59"/>
  <c r="GK32" i="59"/>
  <c r="O513" i="24"/>
  <c r="EG59" i="59"/>
  <c r="EF59" i="59"/>
  <c r="AX49" i="56"/>
  <c r="GM251" i="59"/>
  <c r="AV6" i="56"/>
  <c r="HM244" i="59"/>
  <c r="CG269" i="59"/>
  <c r="AE269" i="59"/>
  <c r="BF269" i="59"/>
  <c r="N617" i="24"/>
  <c r="GZ67" i="59"/>
  <c r="N596" i="24"/>
  <c r="AM66" i="59"/>
  <c r="N575" i="24"/>
  <c r="DQ64" i="59"/>
  <c r="N554" i="24"/>
  <c r="GU62" i="59"/>
  <c r="N533" i="24"/>
  <c r="AH61" i="59"/>
  <c r="N512" i="24"/>
  <c r="DL59" i="59"/>
  <c r="N491" i="24"/>
  <c r="GP57" i="59"/>
  <c r="N470" i="24"/>
  <c r="AC56" i="59"/>
  <c r="N449" i="24"/>
  <c r="DG54" i="59"/>
  <c r="N428" i="24"/>
  <c r="GK52" i="59"/>
  <c r="O539" i="24"/>
  <c r="EY61" i="59"/>
  <c r="O597" i="24"/>
  <c r="BH66" i="59"/>
  <c r="N407" i="24"/>
  <c r="X51" i="59"/>
  <c r="N386" i="24"/>
  <c r="DB49" i="59"/>
  <c r="N365" i="24"/>
  <c r="GF47" i="59"/>
  <c r="N344" i="24"/>
  <c r="S46" i="59"/>
  <c r="O576" i="24"/>
  <c r="EL64" i="59"/>
  <c r="O366" i="24"/>
  <c r="HA47" i="59"/>
  <c r="O450" i="24"/>
  <c r="EB54" i="59"/>
  <c r="O555" i="24"/>
  <c r="HP62" i="59"/>
  <c r="O471" i="24"/>
  <c r="AX56" i="59"/>
  <c r="N302" i="24"/>
  <c r="GA42" i="59"/>
  <c r="N281" i="24"/>
  <c r="N41" i="59"/>
  <c r="N260" i="24"/>
  <c r="CR39" i="59"/>
  <c r="N239" i="24"/>
  <c r="FV37" i="59"/>
  <c r="N218" i="24"/>
  <c r="I36" i="59"/>
  <c r="N197" i="24"/>
  <c r="CM34" i="59"/>
  <c r="N176" i="24"/>
  <c r="FQ32" i="59"/>
  <c r="N155" i="24"/>
  <c r="IU30" i="59"/>
  <c r="N134" i="24"/>
  <c r="CH29" i="59"/>
  <c r="N113" i="24"/>
  <c r="FL27" i="59"/>
  <c r="N92" i="24"/>
  <c r="IP25" i="59"/>
  <c r="N71" i="24"/>
  <c r="CC24" i="59"/>
  <c r="N50" i="24"/>
  <c r="FG22" i="59"/>
  <c r="N29" i="24"/>
  <c r="IK20" i="59"/>
  <c r="N8" i="24"/>
  <c r="BX19" i="59"/>
  <c r="N323" i="24"/>
  <c r="CW44" i="59"/>
  <c r="O135" i="24"/>
  <c r="DC29" i="59"/>
  <c r="O93" i="24"/>
  <c r="T26" i="59"/>
  <c r="O200" i="24"/>
  <c r="EV34" i="59"/>
  <c r="O204" i="24"/>
  <c r="HX34" i="59"/>
  <c r="O355" i="24"/>
  <c r="IF46" i="59"/>
  <c r="O618" i="24"/>
  <c r="HU67" i="59"/>
  <c r="O206" i="24"/>
  <c r="U35" i="59"/>
  <c r="O198" i="24"/>
  <c r="DH34" i="59"/>
  <c r="O201" i="24"/>
  <c r="FP34" i="59"/>
  <c r="G49" i="48"/>
  <c r="BP74" i="59"/>
  <c r="O30" i="24"/>
  <c r="O21" i="59"/>
  <c r="O207" i="24"/>
  <c r="AO35" i="59"/>
  <c r="O303" i="24"/>
  <c r="GV42" i="59"/>
  <c r="O203" i="24"/>
  <c r="HD34" i="59"/>
  <c r="O51" i="24"/>
  <c r="GB22" i="59"/>
  <c r="O387" i="24"/>
  <c r="DW49" i="59"/>
  <c r="O492" i="24"/>
  <c r="HK57" i="59"/>
  <c r="O199" i="24"/>
  <c r="EB34" i="59"/>
  <c r="M5" i="24"/>
  <c r="DU69" i="59"/>
  <c r="O240" i="24"/>
  <c r="GQ37" i="59"/>
  <c r="O324" i="24"/>
  <c r="DR44" i="59"/>
  <c r="O205" i="24"/>
  <c r="IR34" i="59"/>
  <c r="O202" i="24"/>
  <c r="GJ34" i="59"/>
  <c r="O621" i="24"/>
  <c r="AL68" i="59"/>
  <c r="O626" i="24"/>
  <c r="EH68" i="59"/>
  <c r="G69" i="48"/>
  <c r="O624" i="24"/>
  <c r="CT68" i="59"/>
  <c r="O619" i="24"/>
  <c r="IO67" i="59"/>
  <c r="O625" i="24"/>
  <c r="DN68" i="59"/>
  <c r="O623" i="24"/>
  <c r="BZ68" i="59"/>
  <c r="O622" i="24"/>
  <c r="BF68" i="59"/>
  <c r="O627" i="24"/>
  <c r="FB68" i="59"/>
  <c r="O620" i="24"/>
  <c r="R68" i="59"/>
  <c r="O603" i="24"/>
  <c r="FX66" i="59"/>
  <c r="O602" i="24"/>
  <c r="FD66" i="59"/>
  <c r="G68" i="48"/>
  <c r="EJ75" i="59"/>
  <c r="O599" i="24"/>
  <c r="CV66" i="59"/>
  <c r="O601" i="24"/>
  <c r="EJ66" i="59"/>
  <c r="O605" i="24"/>
  <c r="HL66" i="59"/>
  <c r="O606" i="24"/>
  <c r="IF66" i="59"/>
  <c r="O598" i="24"/>
  <c r="CB66" i="59"/>
  <c r="O604" i="24"/>
  <c r="GR66" i="59"/>
  <c r="O600" i="24"/>
  <c r="DP66" i="59"/>
  <c r="O584" i="24"/>
  <c r="AY65" i="59"/>
  <c r="O585" i="24"/>
  <c r="BS65" i="59"/>
  <c r="O583" i="24"/>
  <c r="AE65" i="59"/>
  <c r="O580" i="24"/>
  <c r="HN64" i="59"/>
  <c r="O577" i="24"/>
  <c r="FF64" i="59"/>
  <c r="O582" i="24"/>
  <c r="K65" i="59"/>
  <c r="G67" i="48"/>
  <c r="DS75" i="59"/>
  <c r="O581" i="24"/>
  <c r="IH64" i="59"/>
  <c r="O579" i="24"/>
  <c r="GT64" i="59"/>
  <c r="O578" i="24"/>
  <c r="FZ64" i="59"/>
  <c r="O558" i="24"/>
  <c r="AG63" i="59"/>
  <c r="O557" i="24"/>
  <c r="M63" i="59"/>
  <c r="O556" i="24"/>
  <c r="IJ62" i="59"/>
  <c r="O560" i="24"/>
  <c r="BU63" i="59"/>
  <c r="O562" i="24"/>
  <c r="DI63" i="59"/>
  <c r="O559" i="24"/>
  <c r="BA63" i="59"/>
  <c r="O561" i="24"/>
  <c r="CO63" i="59"/>
  <c r="G66" i="48"/>
  <c r="DB75" i="59"/>
  <c r="O563" i="24"/>
  <c r="EC63" i="59"/>
  <c r="O564" i="24"/>
  <c r="EW63" i="59"/>
  <c r="O541" i="24"/>
  <c r="GM61" i="59"/>
  <c r="G65" i="48"/>
  <c r="CK75" i="59"/>
  <c r="O534" i="24"/>
  <c r="BC61" i="59"/>
  <c r="O536" i="24"/>
  <c r="CQ61" i="59"/>
  <c r="O538" i="24"/>
  <c r="EE61" i="59"/>
  <c r="O543" i="24"/>
  <c r="IA61" i="59"/>
  <c r="O542" i="24"/>
  <c r="HG61" i="59"/>
  <c r="O540" i="24"/>
  <c r="FS61" i="59"/>
  <c r="O537" i="24"/>
  <c r="DK61" i="59"/>
  <c r="O535" i="24"/>
  <c r="BW61" i="59"/>
  <c r="O515" i="24"/>
  <c r="FU59" i="59"/>
  <c r="O520" i="24"/>
  <c r="Z60" i="59"/>
  <c r="O518" i="24"/>
  <c r="IC59" i="59"/>
  <c r="O521" i="24"/>
  <c r="AT60" i="59"/>
  <c r="O519" i="24"/>
  <c r="F60" i="59"/>
  <c r="O517" i="24"/>
  <c r="HI59" i="59"/>
  <c r="O514" i="24"/>
  <c r="FA59" i="59"/>
  <c r="G64" i="48"/>
  <c r="BT75" i="59"/>
  <c r="O522" i="24"/>
  <c r="BN60" i="59"/>
  <c r="O516" i="24"/>
  <c r="GO59" i="59"/>
  <c r="O498" i="24"/>
  <c r="CJ58" i="59"/>
  <c r="O496" i="24"/>
  <c r="AV58" i="59"/>
  <c r="O493" i="24"/>
  <c r="IE57" i="59"/>
  <c r="G63" i="48"/>
  <c r="BC75" i="59"/>
  <c r="O501" i="24"/>
  <c r="ER58" i="59"/>
  <c r="O500" i="24"/>
  <c r="DX58" i="59"/>
  <c r="O499" i="24"/>
  <c r="DD58" i="59"/>
  <c r="O495" i="24"/>
  <c r="AB58" i="59"/>
  <c r="O497" i="24"/>
  <c r="BP58" i="59"/>
  <c r="O494" i="24"/>
  <c r="H58" i="59"/>
  <c r="O478" i="24"/>
  <c r="GH56" i="59"/>
  <c r="O475" i="24"/>
  <c r="DZ56" i="59"/>
  <c r="G62" i="48"/>
  <c r="AL75" i="59"/>
  <c r="O480" i="24"/>
  <c r="HV56" i="59"/>
  <c r="O479" i="24"/>
  <c r="HB56" i="59"/>
  <c r="O477" i="24"/>
  <c r="FN56" i="59"/>
  <c r="O473" i="24"/>
  <c r="CL56" i="59"/>
  <c r="O472" i="24"/>
  <c r="BR56" i="59"/>
  <c r="O476" i="24"/>
  <c r="ET56" i="59"/>
  <c r="O474" i="24"/>
  <c r="DF56" i="59"/>
  <c r="G61" i="48"/>
  <c r="U75" i="59"/>
  <c r="O458" i="24"/>
  <c r="AO55" i="59"/>
  <c r="O459" i="24"/>
  <c r="BI55" i="59"/>
  <c r="O454" i="24"/>
  <c r="HD54" i="59"/>
  <c r="O451" i="24"/>
  <c r="EV54" i="59"/>
  <c r="O453" i="24"/>
  <c r="GJ54" i="59"/>
  <c r="O457" i="24"/>
  <c r="U55" i="59"/>
  <c r="O452" i="24"/>
  <c r="FP54" i="59"/>
  <c r="O455" i="24"/>
  <c r="HX54" i="59"/>
  <c r="O456" i="24"/>
  <c r="IR54" i="59"/>
  <c r="G60" i="48"/>
  <c r="IU74" i="59"/>
  <c r="O429" i="24"/>
  <c r="HF52" i="59"/>
  <c r="O433" i="24"/>
  <c r="AQ53" i="59"/>
  <c r="O436" i="24"/>
  <c r="CY53" i="59"/>
  <c r="O435" i="24"/>
  <c r="CE53" i="59"/>
  <c r="O434" i="24"/>
  <c r="BK53" i="59"/>
  <c r="O432" i="24"/>
  <c r="W53" i="59"/>
  <c r="O430" i="24"/>
  <c r="HZ52" i="59"/>
  <c r="O438" i="24"/>
  <c r="EM53" i="59"/>
  <c r="O431" i="24"/>
  <c r="IT52" i="59"/>
  <c r="O437" i="24"/>
  <c r="DS53" i="59"/>
  <c r="O410" i="24"/>
  <c r="CG51" i="59"/>
  <c r="O408" i="24"/>
  <c r="AS51" i="59"/>
  <c r="O412" i="24"/>
  <c r="DU51" i="59"/>
  <c r="O414" i="24"/>
  <c r="FI51" i="59"/>
  <c r="O417" i="24"/>
  <c r="HQ51" i="59"/>
  <c r="G59" i="48"/>
  <c r="ID74" i="59"/>
  <c r="O416" i="24"/>
  <c r="GW51" i="59"/>
  <c r="O413" i="24"/>
  <c r="EO51" i="59"/>
  <c r="O415" i="24"/>
  <c r="GC51" i="59"/>
  <c r="O411" i="24"/>
  <c r="DA51" i="59"/>
  <c r="G58" i="48"/>
  <c r="HM74" i="59"/>
  <c r="O388" i="24"/>
  <c r="EQ49" i="59"/>
  <c r="O395" i="24"/>
  <c r="AJ50" i="59"/>
  <c r="O394" i="24"/>
  <c r="P50" i="59"/>
  <c r="O392" i="24"/>
  <c r="HS49" i="59"/>
  <c r="O393" i="24"/>
  <c r="IM49" i="59"/>
  <c r="O390" i="24"/>
  <c r="GE49" i="59"/>
  <c r="O391" i="24"/>
  <c r="GY49" i="59"/>
  <c r="O389" i="24"/>
  <c r="FK49" i="59"/>
  <c r="O396" i="24"/>
  <c r="BD50" i="59"/>
  <c r="O373" i="24"/>
  <c r="CT48" i="59"/>
  <c r="O367" i="24"/>
  <c r="HU47" i="59"/>
  <c r="O375" i="24"/>
  <c r="EH48" i="59"/>
  <c r="O374" i="24"/>
  <c r="DN48" i="59"/>
  <c r="O371" i="24"/>
  <c r="BF48" i="59"/>
  <c r="G57" i="48"/>
  <c r="GV74" i="59"/>
  <c r="O369" i="24"/>
  <c r="R48" i="59"/>
  <c r="O370" i="24"/>
  <c r="AL48" i="59"/>
  <c r="O368" i="24"/>
  <c r="IO47" i="59"/>
  <c r="O372" i="24"/>
  <c r="BZ48" i="59"/>
  <c r="O362" i="24"/>
  <c r="DY47" i="59"/>
  <c r="O360" i="24"/>
  <c r="CK47" i="59"/>
  <c r="O364" i="24"/>
  <c r="FM47" i="59"/>
  <c r="G56" i="48"/>
  <c r="GE74" i="59"/>
  <c r="O358" i="24"/>
  <c r="AW47" i="59"/>
  <c r="O356" i="24"/>
  <c r="I47" i="59"/>
  <c r="O361" i="24"/>
  <c r="DE47" i="59"/>
  <c r="O357" i="24"/>
  <c r="AC47" i="59"/>
  <c r="O359" i="24"/>
  <c r="BQ47" i="59"/>
  <c r="O363" i="24"/>
  <c r="ES47" i="59"/>
  <c r="G55" i="48"/>
  <c r="FN74" i="59"/>
  <c r="O325" i="24"/>
  <c r="EL44" i="59"/>
  <c r="O329" i="24"/>
  <c r="HN44" i="59"/>
  <c r="O326" i="24"/>
  <c r="FF44" i="59"/>
  <c r="O330" i="24"/>
  <c r="IH44" i="59"/>
  <c r="O328" i="24"/>
  <c r="GT44" i="59"/>
  <c r="O331" i="24"/>
  <c r="K45" i="59"/>
  <c r="O333" i="24"/>
  <c r="AY45" i="59"/>
  <c r="O332" i="24"/>
  <c r="AE45" i="59"/>
  <c r="O327" i="24"/>
  <c r="FZ44" i="59"/>
  <c r="O310" i="24"/>
  <c r="CO43" i="59"/>
  <c r="G54" i="48"/>
  <c r="EW74" i="59"/>
  <c r="O306" i="24"/>
  <c r="M43" i="59"/>
  <c r="O307" i="24"/>
  <c r="AG43" i="59"/>
  <c r="O311" i="24"/>
  <c r="DI43" i="59"/>
  <c r="O309" i="24"/>
  <c r="BU43" i="59"/>
  <c r="O312" i="24"/>
  <c r="EC43" i="59"/>
  <c r="O304" i="24"/>
  <c r="HP42" i="59"/>
  <c r="O305" i="24"/>
  <c r="IJ42" i="59"/>
  <c r="O308" i="24"/>
  <c r="BA43" i="59"/>
  <c r="O290" i="24"/>
  <c r="GM41" i="59"/>
  <c r="O286" i="24"/>
  <c r="DK41" i="59"/>
  <c r="O284" i="24"/>
  <c r="BW41" i="59"/>
  <c r="O285" i="24"/>
  <c r="CQ41" i="59"/>
  <c r="O283" i="24"/>
  <c r="BC41" i="59"/>
  <c r="O282" i="24"/>
  <c r="AI41" i="59"/>
  <c r="O288" i="24"/>
  <c r="EY41" i="59"/>
  <c r="G53" i="48"/>
  <c r="EF74" i="59"/>
  <c r="O287" i="24"/>
  <c r="EE41" i="59"/>
  <c r="O291" i="24"/>
  <c r="HG41" i="59"/>
  <c r="O289" i="24"/>
  <c r="FS41" i="59"/>
  <c r="G52" i="48"/>
  <c r="DO74" i="59"/>
  <c r="O263" i="24"/>
  <c r="FA39" i="59"/>
  <c r="O262" i="24"/>
  <c r="EG39" i="59"/>
  <c r="O268" i="24"/>
  <c r="F40" i="59"/>
  <c r="O261" i="24"/>
  <c r="DM39" i="59"/>
  <c r="O266" i="24"/>
  <c r="HI39" i="59"/>
  <c r="O265" i="24"/>
  <c r="GO39" i="59"/>
  <c r="O267" i="24"/>
  <c r="IC39" i="59"/>
  <c r="O270" i="24"/>
  <c r="AT40" i="59"/>
  <c r="O269" i="24"/>
  <c r="Z40" i="59"/>
  <c r="O264" i="24"/>
  <c r="FU39" i="59"/>
  <c r="O248" i="24"/>
  <c r="DD38" i="59"/>
  <c r="O243" i="24"/>
  <c r="H38" i="59"/>
  <c r="O244" i="24"/>
  <c r="AB38" i="59"/>
  <c r="O249" i="24"/>
  <c r="DX38" i="59"/>
  <c r="O246" i="24"/>
  <c r="BP38" i="59"/>
  <c r="G51" i="48"/>
  <c r="CX74" i="59"/>
  <c r="O247" i="24"/>
  <c r="CJ38" i="59"/>
  <c r="O241" i="24"/>
  <c r="HK37" i="59"/>
  <c r="O242" i="24"/>
  <c r="IE37" i="59"/>
  <c r="O245" i="24"/>
  <c r="AV38" i="59"/>
  <c r="O224" i="24"/>
  <c r="DZ36" i="59"/>
  <c r="O227" i="24"/>
  <c r="GH36" i="59"/>
  <c r="O219" i="24"/>
  <c r="AD36" i="59"/>
  <c r="O225" i="24"/>
  <c r="ET36" i="59"/>
  <c r="O223" i="24"/>
  <c r="DF36" i="59"/>
  <c r="O226" i="24"/>
  <c r="FN36" i="59"/>
  <c r="O228" i="24"/>
  <c r="HB36" i="59"/>
  <c r="G50" i="48"/>
  <c r="CG74" i="59"/>
  <c r="O222" i="24"/>
  <c r="CL36" i="59"/>
  <c r="O221" i="24"/>
  <c r="BR36" i="59"/>
  <c r="O220" i="24"/>
  <c r="AX36" i="59"/>
  <c r="O156" i="24"/>
  <c r="Y31" i="59"/>
  <c r="G41" i="48"/>
  <c r="GA73" i="59"/>
  <c r="O34" i="24"/>
  <c r="CQ21" i="59"/>
  <c r="O32" i="24"/>
  <c r="BC21" i="59"/>
  <c r="O35" i="24"/>
  <c r="DK21" i="59"/>
  <c r="O38" i="24"/>
  <c r="FS21" i="59"/>
  <c r="O37" i="24"/>
  <c r="EY21" i="59"/>
  <c r="O33" i="24"/>
  <c r="BW21" i="59"/>
  <c r="O31" i="24"/>
  <c r="AI21" i="59"/>
  <c r="O36" i="24"/>
  <c r="EE21" i="59"/>
  <c r="O39" i="24"/>
  <c r="GM21" i="59"/>
  <c r="O18" i="24"/>
  <c r="Z20" i="59"/>
  <c r="CS19" i="59"/>
  <c r="DM19" i="59"/>
  <c r="FU19" i="59"/>
  <c r="O17" i="24"/>
  <c r="F20" i="59"/>
  <c r="GO19" i="59"/>
  <c r="IC19" i="59"/>
  <c r="G40" i="48"/>
  <c r="FJ73" i="59"/>
  <c r="O186" i="24"/>
  <c r="DS33" i="59"/>
  <c r="G48" i="48"/>
  <c r="AY74" i="59"/>
  <c r="O183" i="24"/>
  <c r="BK33" i="59"/>
  <c r="O179" i="24"/>
  <c r="HZ32" i="59"/>
  <c r="O182" i="24"/>
  <c r="AQ33" i="59"/>
  <c r="O181" i="24"/>
  <c r="W33" i="59"/>
  <c r="O184" i="24"/>
  <c r="CE33" i="59"/>
  <c r="O178" i="24"/>
  <c r="HF32" i="59"/>
  <c r="O185" i="24"/>
  <c r="CY33" i="59"/>
  <c r="O180" i="24"/>
  <c r="IT32" i="59"/>
  <c r="O160" i="24"/>
  <c r="DA31" i="59"/>
  <c r="O163" i="24"/>
  <c r="FI31" i="59"/>
  <c r="O162" i="24"/>
  <c r="EO31" i="59"/>
  <c r="O159" i="24"/>
  <c r="CG31" i="59"/>
  <c r="O161" i="24"/>
  <c r="DU31" i="59"/>
  <c r="O158" i="24"/>
  <c r="BM31" i="59"/>
  <c r="G47" i="48"/>
  <c r="AH74" i="59"/>
  <c r="O157" i="24"/>
  <c r="AS31" i="59"/>
  <c r="O165" i="24"/>
  <c r="GW31" i="59"/>
  <c r="O164" i="24"/>
  <c r="GC31" i="59"/>
  <c r="O139" i="24"/>
  <c r="GE29" i="59"/>
  <c r="G46" i="48"/>
  <c r="Q74" i="59"/>
  <c r="O140" i="24"/>
  <c r="GY29" i="59"/>
  <c r="O141" i="24"/>
  <c r="HS29" i="59"/>
  <c r="O136" i="24"/>
  <c r="DW29" i="59"/>
  <c r="O138" i="24"/>
  <c r="FK29" i="59"/>
  <c r="O142" i="24"/>
  <c r="IM29" i="59"/>
  <c r="O144" i="24"/>
  <c r="AJ30" i="59"/>
  <c r="O143" i="24"/>
  <c r="P30" i="59"/>
  <c r="O137" i="24"/>
  <c r="EQ29" i="59"/>
  <c r="G45" i="48"/>
  <c r="IQ73" i="59"/>
  <c r="O114" i="24"/>
  <c r="GG27" i="59"/>
  <c r="O121" i="24"/>
  <c r="BZ28" i="59"/>
  <c r="O119" i="24"/>
  <c r="AL28" i="59"/>
  <c r="O118" i="24"/>
  <c r="R28" i="59"/>
  <c r="O116" i="24"/>
  <c r="HU27" i="59"/>
  <c r="O122" i="24"/>
  <c r="CT28" i="59"/>
  <c r="O117" i="24"/>
  <c r="IO27" i="59"/>
  <c r="O123" i="24"/>
  <c r="DN28" i="59"/>
  <c r="O120" i="24"/>
  <c r="BF28" i="59"/>
  <c r="O115" i="24"/>
  <c r="HA27" i="59"/>
  <c r="O99" i="24"/>
  <c r="EJ26" i="59"/>
  <c r="O94" i="24"/>
  <c r="AN26" i="59"/>
  <c r="O101" i="24"/>
  <c r="FX26" i="59"/>
  <c r="O98" i="24"/>
  <c r="DP26" i="59"/>
  <c r="G44" i="48"/>
  <c r="HZ73" i="59"/>
  <c r="O102" i="24"/>
  <c r="GR26" i="59"/>
  <c r="O97" i="24"/>
  <c r="CV26" i="59"/>
  <c r="O95" i="24"/>
  <c r="BH26" i="59"/>
  <c r="O100" i="24"/>
  <c r="FD26" i="59"/>
  <c r="O96" i="24"/>
  <c r="CB26" i="59"/>
  <c r="O75" i="24"/>
  <c r="FF24" i="59"/>
  <c r="O74" i="24"/>
  <c r="EL24" i="59"/>
  <c r="G43" i="48"/>
  <c r="HI73" i="59"/>
  <c r="O79" i="24"/>
  <c r="IH24" i="59"/>
  <c r="O78" i="24"/>
  <c r="HN24" i="59"/>
  <c r="O72" i="24"/>
  <c r="CX24" i="59"/>
  <c r="O77" i="24"/>
  <c r="GT24" i="59"/>
  <c r="O76" i="24"/>
  <c r="FZ24" i="59"/>
  <c r="O73" i="24"/>
  <c r="DR24" i="59"/>
  <c r="O81" i="24"/>
  <c r="AE25" i="59"/>
  <c r="O80" i="24"/>
  <c r="K25" i="59"/>
  <c r="G42" i="48"/>
  <c r="GR73" i="59"/>
  <c r="O52" i="24"/>
  <c r="GV22" i="59"/>
  <c r="O59" i="24"/>
  <c r="CO23" i="59"/>
  <c r="O54" i="24"/>
  <c r="IJ22" i="59"/>
  <c r="O58" i="24"/>
  <c r="BU23" i="59"/>
  <c r="O56" i="24"/>
  <c r="AG23" i="59"/>
  <c r="O53" i="24"/>
  <c r="HP22" i="59"/>
  <c r="O57" i="24"/>
  <c r="BA23" i="59"/>
  <c r="O55" i="24"/>
  <c r="M23" i="59"/>
  <c r="O60" i="24"/>
  <c r="DI23" i="59"/>
  <c r="EG19" i="59"/>
  <c r="P69" i="48"/>
  <c r="P68" i="48"/>
  <c r="P67" i="48"/>
  <c r="P66" i="48"/>
  <c r="P65" i="48"/>
  <c r="P64" i="48"/>
  <c r="P63" i="48"/>
  <c r="P62" i="48"/>
  <c r="P61" i="48"/>
  <c r="P60" i="48"/>
  <c r="P59" i="48"/>
  <c r="P58" i="48"/>
  <c r="P57" i="48"/>
  <c r="P56" i="48"/>
  <c r="P55" i="48"/>
  <c r="P54" i="48"/>
  <c r="P53" i="48"/>
  <c r="P52" i="48"/>
  <c r="P51" i="48"/>
  <c r="P50" i="48"/>
  <c r="P49" i="48"/>
  <c r="P48" i="48"/>
  <c r="P47" i="48"/>
  <c r="P46" i="48"/>
  <c r="P45" i="48"/>
  <c r="P44" i="48"/>
  <c r="P43" i="48"/>
  <c r="P42" i="48"/>
  <c r="P41" i="48"/>
  <c r="P40" i="48"/>
  <c r="H9" i="45"/>
  <c r="DR13" i="59"/>
  <c r="D9" i="45"/>
  <c r="DN13" i="59"/>
  <c r="H8" i="45"/>
  <c r="DJ13" i="59"/>
  <c r="D8" i="45"/>
  <c r="DF13" i="59"/>
  <c r="H7" i="45"/>
  <c r="DB13" i="59"/>
  <c r="D7" i="45"/>
  <c r="CX13" i="59"/>
  <c r="H6" i="45"/>
  <c r="CT13" i="59"/>
  <c r="D6" i="45"/>
  <c r="CP13" i="59"/>
  <c r="H9" i="46"/>
  <c r="CG83" i="59"/>
  <c r="D9" i="46"/>
  <c r="CC83" i="59"/>
  <c r="H8" i="46"/>
  <c r="BY83" i="59"/>
  <c r="D8" i="46"/>
  <c r="BU83" i="59"/>
  <c r="H7" i="46"/>
  <c r="BQ83" i="59"/>
  <c r="D7" i="46"/>
  <c r="BM83" i="59"/>
  <c r="H6" i="46"/>
  <c r="BI83" i="59"/>
  <c r="D6" i="46"/>
  <c r="BE83" i="59"/>
  <c r="C116" i="42"/>
  <c r="GJ311" i="59"/>
  <c r="C117" i="42"/>
  <c r="GR311" i="59"/>
  <c r="G119" i="42"/>
  <c r="HL311" i="59"/>
  <c r="F119" i="42"/>
  <c r="HK311" i="59"/>
  <c r="E119" i="42"/>
  <c r="HJ311" i="59"/>
  <c r="D119" i="42"/>
  <c r="HI311" i="59"/>
  <c r="D118" i="42"/>
  <c r="HA311" i="59"/>
  <c r="A114" i="42"/>
  <c r="FR311" i="59"/>
  <c r="A115" i="42"/>
  <c r="FZ311" i="59"/>
  <c r="A116" i="42"/>
  <c r="GH311" i="59"/>
  <c r="A117" i="42"/>
  <c r="GP311" i="59"/>
  <c r="A118" i="42"/>
  <c r="GX311" i="59"/>
  <c r="A119" i="42"/>
  <c r="HF311" i="59"/>
  <c r="A120" i="42"/>
  <c r="HN311" i="59"/>
  <c r="A112" i="42"/>
  <c r="FB311" i="59"/>
  <c r="D406" i="5"/>
  <c r="FR240" i="59"/>
  <c r="C23" i="7"/>
  <c r="IR299" i="59"/>
  <c r="F72" i="49"/>
  <c r="BP319" i="59"/>
  <c r="E72" i="49"/>
  <c r="BO319" i="59"/>
  <c r="A72" i="49"/>
  <c r="BK319" i="59"/>
  <c r="F71" i="49"/>
  <c r="BH319" i="59"/>
  <c r="E71" i="49"/>
  <c r="BG319" i="59"/>
  <c r="A71" i="49"/>
  <c r="BC319" i="59"/>
  <c r="F70" i="49"/>
  <c r="AZ319" i="59"/>
  <c r="E70" i="49"/>
  <c r="AY319" i="59"/>
  <c r="A70" i="49"/>
  <c r="AU319" i="59"/>
  <c r="F69" i="49"/>
  <c r="AR319" i="59"/>
  <c r="E69" i="49"/>
  <c r="AQ319" i="59"/>
  <c r="A69" i="49"/>
  <c r="AM319" i="59"/>
  <c r="F68" i="49"/>
  <c r="AJ319" i="59"/>
  <c r="E68" i="49"/>
  <c r="AI319" i="59"/>
  <c r="A68" i="49"/>
  <c r="AE319" i="59"/>
  <c r="F67" i="49"/>
  <c r="AB319" i="59"/>
  <c r="E67" i="49"/>
  <c r="AA319" i="59"/>
  <c r="A67" i="49"/>
  <c r="W319" i="59"/>
  <c r="F66" i="49"/>
  <c r="T319" i="59"/>
  <c r="E66" i="49"/>
  <c r="S319" i="59"/>
  <c r="A66" i="49"/>
  <c r="O319" i="59"/>
  <c r="F65" i="49"/>
  <c r="L319" i="59"/>
  <c r="E65" i="49"/>
  <c r="K319" i="59"/>
  <c r="A65" i="49"/>
  <c r="G319" i="59"/>
  <c r="F64" i="49"/>
  <c r="IU318" i="59"/>
  <c r="E64" i="49"/>
  <c r="IT318" i="59"/>
  <c r="A64" i="49"/>
  <c r="IP318" i="59"/>
  <c r="F63" i="49"/>
  <c r="IM318" i="59"/>
  <c r="E63" i="49"/>
  <c r="IL318" i="59"/>
  <c r="A63" i="49"/>
  <c r="IH318" i="59"/>
  <c r="F62" i="49"/>
  <c r="IE318" i="59"/>
  <c r="E62" i="49"/>
  <c r="ID318" i="59"/>
  <c r="A62" i="49"/>
  <c r="HZ318" i="59"/>
  <c r="F61" i="49"/>
  <c r="HW318" i="59"/>
  <c r="E61" i="49"/>
  <c r="HV318" i="59"/>
  <c r="A61" i="49"/>
  <c r="HR318" i="59"/>
  <c r="G60" i="49"/>
  <c r="HP318" i="59"/>
  <c r="F60" i="49"/>
  <c r="HO318" i="59"/>
  <c r="E60" i="49"/>
  <c r="HN318" i="59"/>
  <c r="A60" i="49"/>
  <c r="HJ318" i="59"/>
  <c r="C22" i="49"/>
  <c r="IU317" i="59"/>
  <c r="C21" i="49"/>
  <c r="IM317" i="59"/>
  <c r="C20" i="49"/>
  <c r="IE317" i="59"/>
  <c r="C14" i="49"/>
  <c r="GJ317" i="59"/>
  <c r="C13" i="49"/>
  <c r="GB317" i="59"/>
  <c r="C12" i="49"/>
  <c r="FT317" i="59"/>
  <c r="C11" i="49"/>
  <c r="FL317" i="59"/>
  <c r="A6" i="49"/>
  <c r="DK317" i="59"/>
  <c r="O31" i="7"/>
  <c r="CD300" i="59"/>
  <c r="N31" i="7"/>
  <c r="CC300" i="59"/>
  <c r="M31" i="7"/>
  <c r="CB300" i="59"/>
  <c r="J31" i="7"/>
  <c r="BY300" i="59"/>
  <c r="GU67" i="59"/>
  <c r="AH66" i="59"/>
  <c r="DL64" i="59"/>
  <c r="GP62" i="59"/>
  <c r="AC61" i="59"/>
  <c r="DG59" i="59"/>
  <c r="GK57" i="59"/>
  <c r="X56" i="59"/>
  <c r="DB54" i="59"/>
  <c r="GF52" i="59"/>
  <c r="S51" i="59"/>
  <c r="CW49" i="59"/>
  <c r="GA47" i="59"/>
  <c r="N46" i="59"/>
  <c r="CR44" i="59"/>
  <c r="FV42" i="59"/>
  <c r="I41" i="59"/>
  <c r="CM39" i="59"/>
  <c r="FQ37" i="59"/>
  <c r="IU35" i="59"/>
  <c r="CH34" i="59"/>
  <c r="FL32" i="59"/>
  <c r="IP30" i="59"/>
  <c r="CC29" i="59"/>
  <c r="FG27" i="59"/>
  <c r="IK25" i="59"/>
  <c r="BX24" i="59"/>
  <c r="FB22" i="59"/>
  <c r="IF20" i="59"/>
  <c r="BS19" i="59"/>
  <c r="A33" i="48"/>
  <c r="AO73" i="59"/>
  <c r="A32" i="48"/>
  <c r="X73" i="59"/>
  <c r="A31" i="48"/>
  <c r="G73" i="59"/>
  <c r="A30" i="48"/>
  <c r="IG72" i="59"/>
  <c r="G25" i="43"/>
  <c r="HJ7" i="59"/>
  <c r="HH7" i="59"/>
  <c r="F15" i="48"/>
  <c r="IH71" i="59"/>
  <c r="F13" i="48"/>
  <c r="GZ71" i="59"/>
  <c r="F11" i="48"/>
  <c r="FR71" i="59"/>
  <c r="F10" i="48"/>
  <c r="FA71" i="59"/>
  <c r="F9" i="48"/>
  <c r="EJ71" i="59"/>
  <c r="E16" i="48"/>
  <c r="G72" i="59"/>
  <c r="E14" i="48"/>
  <c r="HP71" i="59"/>
  <c r="E12" i="48"/>
  <c r="GH71" i="59"/>
  <c r="E10" i="48"/>
  <c r="EZ71" i="59"/>
  <c r="F17" i="48"/>
  <c r="Y72" i="59"/>
  <c r="E17" i="48"/>
  <c r="X72" i="59"/>
  <c r="F16" i="48"/>
  <c r="H72" i="59"/>
  <c r="E15" i="48"/>
  <c r="IG71" i="59"/>
  <c r="F14" i="48"/>
  <c r="HQ71" i="59"/>
  <c r="E13" i="48"/>
  <c r="GY71" i="59"/>
  <c r="F12" i="48"/>
  <c r="GI71" i="59"/>
  <c r="E11" i="48"/>
  <c r="FQ71" i="59"/>
  <c r="E9" i="48"/>
  <c r="EI71" i="59"/>
  <c r="Q627" i="24"/>
  <c r="FD68" i="59"/>
  <c r="P627" i="24"/>
  <c r="FC68" i="59"/>
  <c r="Q626" i="24"/>
  <c r="EJ68" i="59"/>
  <c r="P626" i="24"/>
  <c r="EI68" i="59"/>
  <c r="Q625" i="24"/>
  <c r="DP68" i="59"/>
  <c r="P625" i="24"/>
  <c r="DO68" i="59"/>
  <c r="Q624" i="24"/>
  <c r="CV68" i="59"/>
  <c r="P624" i="24"/>
  <c r="CU68" i="59"/>
  <c r="Q623" i="24"/>
  <c r="CB68" i="59"/>
  <c r="P623" i="24"/>
  <c r="CA68" i="59"/>
  <c r="Q622" i="24"/>
  <c r="BH68" i="59"/>
  <c r="P622" i="24"/>
  <c r="BG68" i="59"/>
  <c r="Q621" i="24"/>
  <c r="AN68" i="59"/>
  <c r="P621" i="24"/>
  <c r="AM68" i="59"/>
  <c r="Q620" i="24"/>
  <c r="T68" i="59"/>
  <c r="P620" i="24"/>
  <c r="S68" i="59"/>
  <c r="Q619" i="24"/>
  <c r="IQ67" i="59"/>
  <c r="P619" i="24"/>
  <c r="IP67" i="59"/>
  <c r="Q618" i="24"/>
  <c r="HW67" i="59"/>
  <c r="P618" i="24"/>
  <c r="HV67" i="59"/>
  <c r="Q606" i="24"/>
  <c r="IH66" i="59"/>
  <c r="P606" i="24"/>
  <c r="IG66" i="59"/>
  <c r="Q605" i="24"/>
  <c r="HN66" i="59"/>
  <c r="P605" i="24"/>
  <c r="HM66" i="59"/>
  <c r="Q604" i="24"/>
  <c r="GT66" i="59"/>
  <c r="P604" i="24"/>
  <c r="GS66" i="59"/>
  <c r="Q603" i="24"/>
  <c r="FZ66" i="59"/>
  <c r="P603" i="24"/>
  <c r="FY66" i="59"/>
  <c r="Q602" i="24"/>
  <c r="FF66" i="59"/>
  <c r="P602" i="24"/>
  <c r="FE66" i="59"/>
  <c r="Q601" i="24"/>
  <c r="EL66" i="59"/>
  <c r="P601" i="24"/>
  <c r="EK66" i="59"/>
  <c r="Q600" i="24"/>
  <c r="DR66" i="59"/>
  <c r="P600" i="24"/>
  <c r="DQ66" i="59"/>
  <c r="Q599" i="24"/>
  <c r="CX66" i="59"/>
  <c r="P599" i="24"/>
  <c r="CW66" i="59"/>
  <c r="Q598" i="24"/>
  <c r="CD66" i="59"/>
  <c r="P598" i="24"/>
  <c r="CC66" i="59"/>
  <c r="Q597" i="24"/>
  <c r="BJ66" i="59"/>
  <c r="P597" i="24"/>
  <c r="BI66" i="59"/>
  <c r="Q585" i="24"/>
  <c r="BU65" i="59"/>
  <c r="P585" i="24"/>
  <c r="BT65" i="59"/>
  <c r="Q584" i="24"/>
  <c r="BA65" i="59"/>
  <c r="P584" i="24"/>
  <c r="AZ65" i="59"/>
  <c r="Q583" i="24"/>
  <c r="AG65" i="59"/>
  <c r="P583" i="24"/>
  <c r="AF65" i="59"/>
  <c r="Q582" i="24"/>
  <c r="M65" i="59"/>
  <c r="P582" i="24"/>
  <c r="L65" i="59"/>
  <c r="Q581" i="24"/>
  <c r="IJ64" i="59"/>
  <c r="P581" i="24"/>
  <c r="II64" i="59"/>
  <c r="Q580" i="24"/>
  <c r="HP64" i="59"/>
  <c r="P580" i="24"/>
  <c r="HO64" i="59"/>
  <c r="Q579" i="24"/>
  <c r="GV64" i="59"/>
  <c r="P579" i="24"/>
  <c r="GU64" i="59"/>
  <c r="Q578" i="24"/>
  <c r="GB64" i="59"/>
  <c r="P578" i="24"/>
  <c r="GA64" i="59"/>
  <c r="Q577" i="24"/>
  <c r="FH64" i="59"/>
  <c r="P577" i="24"/>
  <c r="FG64" i="59"/>
  <c r="Q576" i="24"/>
  <c r="EN64" i="59"/>
  <c r="P576" i="24"/>
  <c r="EM64" i="59"/>
  <c r="Q564" i="24"/>
  <c r="EY63" i="59"/>
  <c r="P564" i="24"/>
  <c r="EX63" i="59"/>
  <c r="Q563" i="24"/>
  <c r="EE63" i="59"/>
  <c r="P563" i="24"/>
  <c r="ED63" i="59"/>
  <c r="Q562" i="24"/>
  <c r="DK63" i="59"/>
  <c r="P562" i="24"/>
  <c r="DJ63" i="59"/>
  <c r="Q561" i="24"/>
  <c r="CQ63" i="59"/>
  <c r="P561" i="24"/>
  <c r="CP63" i="59"/>
  <c r="Q560" i="24"/>
  <c r="BW63" i="59"/>
  <c r="P560" i="24"/>
  <c r="BV63" i="59"/>
  <c r="Q559" i="24"/>
  <c r="BC63" i="59"/>
  <c r="P559" i="24"/>
  <c r="BB63" i="59"/>
  <c r="Q558" i="24"/>
  <c r="AI63" i="59"/>
  <c r="P558" i="24"/>
  <c r="AH63" i="59"/>
  <c r="Q557" i="24"/>
  <c r="O63" i="59"/>
  <c r="P557" i="24"/>
  <c r="N63" i="59"/>
  <c r="Q556" i="24"/>
  <c r="IL62" i="59"/>
  <c r="P556" i="24"/>
  <c r="IK62" i="59"/>
  <c r="Q555" i="24"/>
  <c r="HR62" i="59"/>
  <c r="P555" i="24"/>
  <c r="HQ62" i="59"/>
  <c r="Q543" i="24"/>
  <c r="IC61" i="59"/>
  <c r="P543" i="24"/>
  <c r="IB61" i="59"/>
  <c r="Q542" i="24"/>
  <c r="HI61" i="59"/>
  <c r="P542" i="24"/>
  <c r="HH61" i="59"/>
  <c r="Q541" i="24"/>
  <c r="GO61" i="59"/>
  <c r="P541" i="24"/>
  <c r="GN61" i="59"/>
  <c r="Q540" i="24"/>
  <c r="FU61" i="59"/>
  <c r="P540" i="24"/>
  <c r="FT61" i="59"/>
  <c r="Q539" i="24"/>
  <c r="FA61" i="59"/>
  <c r="P539" i="24"/>
  <c r="EZ61" i="59"/>
  <c r="Q538" i="24"/>
  <c r="EG61" i="59"/>
  <c r="P538" i="24"/>
  <c r="EF61" i="59"/>
  <c r="Q537" i="24"/>
  <c r="DM61" i="59"/>
  <c r="P537" i="24"/>
  <c r="DL61" i="59"/>
  <c r="Q536" i="24"/>
  <c r="CS61" i="59"/>
  <c r="P536" i="24"/>
  <c r="CR61" i="59"/>
  <c r="Q535" i="24"/>
  <c r="BY61" i="59"/>
  <c r="P535" i="24"/>
  <c r="BX61" i="59"/>
  <c r="Q534" i="24"/>
  <c r="BE61" i="59"/>
  <c r="P534" i="24"/>
  <c r="BD61" i="59"/>
  <c r="Q522" i="24"/>
  <c r="BP60" i="59"/>
  <c r="P522" i="24"/>
  <c r="BO60" i="59"/>
  <c r="Q521" i="24"/>
  <c r="AV60" i="59"/>
  <c r="P521" i="24"/>
  <c r="AU60" i="59"/>
  <c r="Q520" i="24"/>
  <c r="AB60" i="59"/>
  <c r="P520" i="24"/>
  <c r="AA60" i="59"/>
  <c r="Q519" i="24"/>
  <c r="H60" i="59"/>
  <c r="P519" i="24"/>
  <c r="G60" i="59"/>
  <c r="Q518" i="24"/>
  <c r="IE59" i="59"/>
  <c r="P518" i="24"/>
  <c r="ID59" i="59"/>
  <c r="Q517" i="24"/>
  <c r="HK59" i="59"/>
  <c r="P517" i="24"/>
  <c r="HJ59" i="59"/>
  <c r="Q516" i="24"/>
  <c r="GQ59" i="59"/>
  <c r="P516" i="24"/>
  <c r="GP59" i="59"/>
  <c r="Q515" i="24"/>
  <c r="FW59" i="59"/>
  <c r="P515" i="24"/>
  <c r="FV59" i="59"/>
  <c r="Q514" i="24"/>
  <c r="FC59" i="59"/>
  <c r="P514" i="24"/>
  <c r="FB59" i="59"/>
  <c r="Q513" i="24"/>
  <c r="EI59" i="59"/>
  <c r="P513" i="24"/>
  <c r="EH59" i="59"/>
  <c r="Q501" i="24"/>
  <c r="ET58" i="59"/>
  <c r="P501" i="24"/>
  <c r="ES58" i="59"/>
  <c r="Q500" i="24"/>
  <c r="DZ58" i="59"/>
  <c r="P500" i="24"/>
  <c r="DY58" i="59"/>
  <c r="Q499" i="24"/>
  <c r="DF58" i="59"/>
  <c r="P499" i="24"/>
  <c r="DE58" i="59"/>
  <c r="Q498" i="24"/>
  <c r="CL58" i="59"/>
  <c r="P498" i="24"/>
  <c r="CK58" i="59"/>
  <c r="Q497" i="24"/>
  <c r="BR58" i="59"/>
  <c r="P497" i="24"/>
  <c r="BQ58" i="59"/>
  <c r="Q496" i="24"/>
  <c r="AX58" i="59"/>
  <c r="P496" i="24"/>
  <c r="AW58" i="59"/>
  <c r="Q495" i="24"/>
  <c r="AD58" i="59"/>
  <c r="P495" i="24"/>
  <c r="AC58" i="59"/>
  <c r="Q494" i="24"/>
  <c r="J58" i="59"/>
  <c r="P494" i="24"/>
  <c r="I58" i="59"/>
  <c r="Q493" i="24"/>
  <c r="IG57" i="59"/>
  <c r="P493" i="24"/>
  <c r="IF57" i="59"/>
  <c r="Q492" i="24"/>
  <c r="HM57" i="59"/>
  <c r="P492" i="24"/>
  <c r="HL57" i="59"/>
  <c r="Q480" i="24"/>
  <c r="HX56" i="59"/>
  <c r="P480" i="24"/>
  <c r="HW56" i="59"/>
  <c r="Q479" i="24"/>
  <c r="HD56" i="59"/>
  <c r="P479" i="24"/>
  <c r="HC56" i="59"/>
  <c r="Q478" i="24"/>
  <c r="GJ56" i="59"/>
  <c r="P478" i="24"/>
  <c r="GI56" i="59"/>
  <c r="Q477" i="24"/>
  <c r="FP56" i="59"/>
  <c r="P477" i="24"/>
  <c r="FO56" i="59"/>
  <c r="Q476" i="24"/>
  <c r="EV56" i="59"/>
  <c r="P476" i="24"/>
  <c r="EU56" i="59"/>
  <c r="Q475" i="24"/>
  <c r="EB56" i="59"/>
  <c r="P475" i="24"/>
  <c r="EA56" i="59"/>
  <c r="Q474" i="24"/>
  <c r="DH56" i="59"/>
  <c r="P474" i="24"/>
  <c r="DG56" i="59"/>
  <c r="Q473" i="24"/>
  <c r="CN56" i="59"/>
  <c r="P473" i="24"/>
  <c r="CM56" i="59"/>
  <c r="Q472" i="24"/>
  <c r="BT56" i="59"/>
  <c r="P472" i="24"/>
  <c r="BS56" i="59"/>
  <c r="Q471" i="24"/>
  <c r="AZ56" i="59"/>
  <c r="P471" i="24"/>
  <c r="AY56" i="59"/>
  <c r="Q459" i="24"/>
  <c r="BK55" i="59"/>
  <c r="P459" i="24"/>
  <c r="BJ55" i="59"/>
  <c r="Q458" i="24"/>
  <c r="AQ55" i="59"/>
  <c r="P458" i="24"/>
  <c r="AP55" i="59"/>
  <c r="Q457" i="24"/>
  <c r="W55" i="59"/>
  <c r="P457" i="24"/>
  <c r="V55" i="59"/>
  <c r="Q456" i="24"/>
  <c r="IT54" i="59"/>
  <c r="P456" i="24"/>
  <c r="IS54" i="59"/>
  <c r="Q455" i="24"/>
  <c r="HZ54" i="59"/>
  <c r="P455" i="24"/>
  <c r="HY54" i="59"/>
  <c r="Q454" i="24"/>
  <c r="HF54" i="59"/>
  <c r="P454" i="24"/>
  <c r="HE54" i="59"/>
  <c r="Q453" i="24"/>
  <c r="GL54" i="59"/>
  <c r="P453" i="24"/>
  <c r="GK54" i="59"/>
  <c r="Q452" i="24"/>
  <c r="FR54" i="59"/>
  <c r="P452" i="24"/>
  <c r="FQ54" i="59"/>
  <c r="Q451" i="24"/>
  <c r="EX54" i="59"/>
  <c r="P451" i="24"/>
  <c r="EW54" i="59"/>
  <c r="Q450" i="24"/>
  <c r="ED54" i="59"/>
  <c r="P450" i="24"/>
  <c r="EC54" i="59"/>
  <c r="Q438" i="24"/>
  <c r="EO53" i="59"/>
  <c r="P438" i="24"/>
  <c r="EN53" i="59"/>
  <c r="Q437" i="24"/>
  <c r="DU53" i="59"/>
  <c r="P437" i="24"/>
  <c r="DT53" i="59"/>
  <c r="Q436" i="24"/>
  <c r="DA53" i="59"/>
  <c r="P436" i="24"/>
  <c r="CZ53" i="59"/>
  <c r="Q435" i="24"/>
  <c r="CG53" i="59"/>
  <c r="P435" i="24"/>
  <c r="CF53" i="59"/>
  <c r="Q434" i="24"/>
  <c r="BM53" i="59"/>
  <c r="P434" i="24"/>
  <c r="BL53" i="59"/>
  <c r="Q433" i="24"/>
  <c r="AS53" i="59"/>
  <c r="P433" i="24"/>
  <c r="AR53" i="59"/>
  <c r="Q432" i="24"/>
  <c r="Y53" i="59"/>
  <c r="P432" i="24"/>
  <c r="X53" i="59"/>
  <c r="Q431" i="24"/>
  <c r="IV52" i="59"/>
  <c r="P431" i="24"/>
  <c r="IU52" i="59"/>
  <c r="Q430" i="24"/>
  <c r="IB52" i="59"/>
  <c r="P430" i="24"/>
  <c r="IA52" i="59"/>
  <c r="Q429" i="24"/>
  <c r="HH52" i="59"/>
  <c r="P429" i="24"/>
  <c r="HG52" i="59"/>
  <c r="Q417" i="24"/>
  <c r="HS51" i="59"/>
  <c r="P417" i="24"/>
  <c r="HR51" i="59"/>
  <c r="Q416" i="24"/>
  <c r="GY51" i="59"/>
  <c r="P416" i="24"/>
  <c r="GX51" i="59"/>
  <c r="Q415" i="24"/>
  <c r="GE51" i="59"/>
  <c r="P415" i="24"/>
  <c r="GD51" i="59"/>
  <c r="Q414" i="24"/>
  <c r="FK51" i="59"/>
  <c r="P414" i="24"/>
  <c r="FJ51" i="59"/>
  <c r="Q413" i="24"/>
  <c r="EQ51" i="59"/>
  <c r="P413" i="24"/>
  <c r="EP51" i="59"/>
  <c r="Q412" i="24"/>
  <c r="DW51" i="59"/>
  <c r="P412" i="24"/>
  <c r="DV51" i="59"/>
  <c r="Q411" i="24"/>
  <c r="DC51" i="59"/>
  <c r="P411" i="24"/>
  <c r="DB51" i="59"/>
  <c r="Q410" i="24"/>
  <c r="CI51" i="59"/>
  <c r="P410" i="24"/>
  <c r="CH51" i="59"/>
  <c r="Q409" i="24"/>
  <c r="BO51" i="59"/>
  <c r="P409" i="24"/>
  <c r="BN51" i="59"/>
  <c r="Q408" i="24"/>
  <c r="AU51" i="59"/>
  <c r="P408" i="24"/>
  <c r="AT51" i="59"/>
  <c r="Q396" i="24"/>
  <c r="BF50" i="59"/>
  <c r="P396" i="24"/>
  <c r="BE50" i="59"/>
  <c r="Q395" i="24"/>
  <c r="AL50" i="59"/>
  <c r="P395" i="24"/>
  <c r="AK50" i="59"/>
  <c r="Q394" i="24"/>
  <c r="R50" i="59"/>
  <c r="P394" i="24"/>
  <c r="Q50" i="59"/>
  <c r="Q393" i="24"/>
  <c r="IO49" i="59"/>
  <c r="P393" i="24"/>
  <c r="IN49" i="59"/>
  <c r="Q392" i="24"/>
  <c r="HU49" i="59"/>
  <c r="P392" i="24"/>
  <c r="HT49" i="59"/>
  <c r="Q391" i="24"/>
  <c r="HA49" i="59"/>
  <c r="P391" i="24"/>
  <c r="GZ49" i="59"/>
  <c r="Q390" i="24"/>
  <c r="GG49" i="59"/>
  <c r="P390" i="24"/>
  <c r="GF49" i="59"/>
  <c r="Q389" i="24"/>
  <c r="FM49" i="59"/>
  <c r="P389" i="24"/>
  <c r="FL49" i="59"/>
  <c r="Q388" i="24"/>
  <c r="ES49" i="59"/>
  <c r="P388" i="24"/>
  <c r="ER49" i="59"/>
  <c r="Q387" i="24"/>
  <c r="DY49" i="59"/>
  <c r="P387" i="24"/>
  <c r="DX49" i="59"/>
  <c r="Q375" i="24"/>
  <c r="EJ48" i="59"/>
  <c r="P375" i="24"/>
  <c r="EI48" i="59"/>
  <c r="Q374" i="24"/>
  <c r="DP48" i="59"/>
  <c r="P374" i="24"/>
  <c r="DO48" i="59"/>
  <c r="Q373" i="24"/>
  <c r="CV48" i="59"/>
  <c r="P373" i="24"/>
  <c r="CU48" i="59"/>
  <c r="Q372" i="24"/>
  <c r="CB48" i="59"/>
  <c r="P372" i="24"/>
  <c r="CA48" i="59"/>
  <c r="Q371" i="24"/>
  <c r="BH48" i="59"/>
  <c r="P371" i="24"/>
  <c r="BG48" i="59"/>
  <c r="Q370" i="24"/>
  <c r="AN48" i="59"/>
  <c r="P370" i="24"/>
  <c r="AM48" i="59"/>
  <c r="Q369" i="24"/>
  <c r="T48" i="59"/>
  <c r="P369" i="24"/>
  <c r="S48" i="59"/>
  <c r="Q368" i="24"/>
  <c r="IQ47" i="59"/>
  <c r="P368" i="24"/>
  <c r="IP47" i="59"/>
  <c r="Q367" i="24"/>
  <c r="HW47" i="59"/>
  <c r="P367" i="24"/>
  <c r="HV47" i="59"/>
  <c r="Q366" i="24"/>
  <c r="HC47" i="59"/>
  <c r="P366" i="24"/>
  <c r="HB47" i="59"/>
  <c r="Q364" i="24"/>
  <c r="FO47" i="59"/>
  <c r="P364" i="24"/>
  <c r="FN47" i="59"/>
  <c r="Q363" i="24"/>
  <c r="EU47" i="59"/>
  <c r="P363" i="24"/>
  <c r="ET47" i="59"/>
  <c r="Q362" i="24"/>
  <c r="EA47" i="59"/>
  <c r="P362" i="24"/>
  <c r="DZ47" i="59"/>
  <c r="Q361" i="24"/>
  <c r="DG47" i="59"/>
  <c r="P361" i="24"/>
  <c r="DF47" i="59"/>
  <c r="Q360" i="24"/>
  <c r="CM47" i="59"/>
  <c r="P360" i="24"/>
  <c r="CL47" i="59"/>
  <c r="Q359" i="24"/>
  <c r="BS47" i="59"/>
  <c r="P359" i="24"/>
  <c r="BR47" i="59"/>
  <c r="Q358" i="24"/>
  <c r="AY47" i="59"/>
  <c r="P358" i="24"/>
  <c r="AX47" i="59"/>
  <c r="Q357" i="24"/>
  <c r="AE47" i="59"/>
  <c r="P357" i="24"/>
  <c r="AD47" i="59"/>
  <c r="Q356" i="24"/>
  <c r="K47" i="59"/>
  <c r="P356" i="24"/>
  <c r="J47" i="59"/>
  <c r="Q355" i="24"/>
  <c r="IH46" i="59"/>
  <c r="P355" i="24"/>
  <c r="IG46" i="59"/>
  <c r="Q333" i="24"/>
  <c r="BA45" i="59"/>
  <c r="P333" i="24"/>
  <c r="AZ45" i="59"/>
  <c r="Q332" i="24"/>
  <c r="AG45" i="59"/>
  <c r="P332" i="24"/>
  <c r="AF45" i="59"/>
  <c r="Q331" i="24"/>
  <c r="M45" i="59"/>
  <c r="P331" i="24"/>
  <c r="L45" i="59"/>
  <c r="Q330" i="24"/>
  <c r="IJ44" i="59"/>
  <c r="P330" i="24"/>
  <c r="II44" i="59"/>
  <c r="Q329" i="24"/>
  <c r="HP44" i="59"/>
  <c r="P329" i="24"/>
  <c r="HO44" i="59"/>
  <c r="Q328" i="24"/>
  <c r="GV44" i="59"/>
  <c r="P328" i="24"/>
  <c r="GU44" i="59"/>
  <c r="Q327" i="24"/>
  <c r="GB44" i="59"/>
  <c r="P327" i="24"/>
  <c r="GA44" i="59"/>
  <c r="Q326" i="24"/>
  <c r="FH44" i="59"/>
  <c r="P326" i="24"/>
  <c r="FG44" i="59"/>
  <c r="Q325" i="24"/>
  <c r="EN44" i="59"/>
  <c r="P325" i="24"/>
  <c r="EM44" i="59"/>
  <c r="Q324" i="24"/>
  <c r="DT44" i="59"/>
  <c r="P324" i="24"/>
  <c r="DS44" i="59"/>
  <c r="Q312" i="24"/>
  <c r="EE43" i="59"/>
  <c r="P312" i="24"/>
  <c r="ED43" i="59"/>
  <c r="Q311" i="24"/>
  <c r="DK43" i="59"/>
  <c r="P311" i="24"/>
  <c r="DJ43" i="59"/>
  <c r="Q310" i="24"/>
  <c r="CQ43" i="59"/>
  <c r="P310" i="24"/>
  <c r="CP43" i="59"/>
  <c r="Q309" i="24"/>
  <c r="BW43" i="59"/>
  <c r="P309" i="24"/>
  <c r="BV43" i="59"/>
  <c r="Q308" i="24"/>
  <c r="BC43" i="59"/>
  <c r="P308" i="24"/>
  <c r="BB43" i="59"/>
  <c r="Q307" i="24"/>
  <c r="AI43" i="59"/>
  <c r="P307" i="24"/>
  <c r="AH43" i="59"/>
  <c r="Q306" i="24"/>
  <c r="O43" i="59"/>
  <c r="P306" i="24"/>
  <c r="N43" i="59"/>
  <c r="Q305" i="24"/>
  <c r="IL42" i="59"/>
  <c r="P305" i="24"/>
  <c r="IK42" i="59"/>
  <c r="Q304" i="24"/>
  <c r="HR42" i="59"/>
  <c r="P304" i="24"/>
  <c r="HQ42" i="59"/>
  <c r="Q303" i="24"/>
  <c r="GX42" i="59"/>
  <c r="P303" i="24"/>
  <c r="GW42" i="59"/>
  <c r="Q291" i="24"/>
  <c r="HI41" i="59"/>
  <c r="P291" i="24"/>
  <c r="HH41" i="59"/>
  <c r="Q290" i="24"/>
  <c r="GO41" i="59"/>
  <c r="P290" i="24"/>
  <c r="GN41" i="59"/>
  <c r="Q289" i="24"/>
  <c r="FU41" i="59"/>
  <c r="P289" i="24"/>
  <c r="FT41" i="59"/>
  <c r="Q288" i="24"/>
  <c r="FA41" i="59"/>
  <c r="P288" i="24"/>
  <c r="EZ41" i="59"/>
  <c r="Q287" i="24"/>
  <c r="EG41" i="59"/>
  <c r="P287" i="24"/>
  <c r="EF41" i="59"/>
  <c r="Q286" i="24"/>
  <c r="DM41" i="59"/>
  <c r="P286" i="24"/>
  <c r="DL41" i="59"/>
  <c r="Q285" i="24"/>
  <c r="CS41" i="59"/>
  <c r="P285" i="24"/>
  <c r="CR41" i="59"/>
  <c r="Q284" i="24"/>
  <c r="BY41" i="59"/>
  <c r="P284" i="24"/>
  <c r="BX41" i="59"/>
  <c r="Q283" i="24"/>
  <c r="BE41" i="59"/>
  <c r="P283" i="24"/>
  <c r="BD41" i="59"/>
  <c r="Q282" i="24"/>
  <c r="AK41" i="59"/>
  <c r="P282" i="24"/>
  <c r="AJ41" i="59"/>
  <c r="Q270" i="24"/>
  <c r="AV40" i="59"/>
  <c r="P270" i="24"/>
  <c r="AU40" i="59"/>
  <c r="Q269" i="24"/>
  <c r="AB40" i="59"/>
  <c r="P269" i="24"/>
  <c r="AA40" i="59"/>
  <c r="Q268" i="24"/>
  <c r="H40" i="59"/>
  <c r="P268" i="24"/>
  <c r="G40" i="59"/>
  <c r="Q267" i="24"/>
  <c r="IE39" i="59"/>
  <c r="P267" i="24"/>
  <c r="ID39" i="59"/>
  <c r="Q266" i="24"/>
  <c r="HK39" i="59"/>
  <c r="P266" i="24"/>
  <c r="HJ39" i="59"/>
  <c r="Q265" i="24"/>
  <c r="GQ39" i="59"/>
  <c r="P265" i="24"/>
  <c r="GP39" i="59"/>
  <c r="Q264" i="24"/>
  <c r="FW39" i="59"/>
  <c r="P264" i="24"/>
  <c r="FV39" i="59"/>
  <c r="Q263" i="24"/>
  <c r="FC39" i="59"/>
  <c r="P263" i="24"/>
  <c r="FB39" i="59"/>
  <c r="Q262" i="24"/>
  <c r="EI39" i="59"/>
  <c r="P262" i="24"/>
  <c r="EH39" i="59"/>
  <c r="Q261" i="24"/>
  <c r="DO39" i="59"/>
  <c r="P261" i="24"/>
  <c r="DN39" i="59"/>
  <c r="Q249" i="24"/>
  <c r="DZ38" i="59"/>
  <c r="P249" i="24"/>
  <c r="DY38" i="59"/>
  <c r="Q248" i="24"/>
  <c r="DF38" i="59"/>
  <c r="P248" i="24"/>
  <c r="DE38" i="59"/>
  <c r="Q247" i="24"/>
  <c r="CL38" i="59"/>
  <c r="P247" i="24"/>
  <c r="CK38" i="59"/>
  <c r="Q246" i="24"/>
  <c r="BR38" i="59"/>
  <c r="P246" i="24"/>
  <c r="BQ38" i="59"/>
  <c r="Q245" i="24"/>
  <c r="AX38" i="59"/>
  <c r="P245" i="24"/>
  <c r="AW38" i="59"/>
  <c r="Q244" i="24"/>
  <c r="AD38" i="59"/>
  <c r="P244" i="24"/>
  <c r="AC38" i="59"/>
  <c r="Q243" i="24"/>
  <c r="J38" i="59"/>
  <c r="P243" i="24"/>
  <c r="I38" i="59"/>
  <c r="Q242" i="24"/>
  <c r="IG37" i="59"/>
  <c r="P242" i="24"/>
  <c r="IF37" i="59"/>
  <c r="Q241" i="24"/>
  <c r="HM37" i="59"/>
  <c r="P241" i="24"/>
  <c r="HL37" i="59"/>
  <c r="Q240" i="24"/>
  <c r="GS37" i="59"/>
  <c r="P240" i="24"/>
  <c r="GR37" i="59"/>
  <c r="Q228" i="24"/>
  <c r="HD36" i="59"/>
  <c r="P228" i="24"/>
  <c r="HC36" i="59"/>
  <c r="Q227" i="24"/>
  <c r="GJ36" i="59"/>
  <c r="P227" i="24"/>
  <c r="GI36" i="59"/>
  <c r="Q226" i="24"/>
  <c r="FP36" i="59"/>
  <c r="P226" i="24"/>
  <c r="FO36" i="59"/>
  <c r="Q225" i="24"/>
  <c r="EV36" i="59"/>
  <c r="P225" i="24"/>
  <c r="EU36" i="59"/>
  <c r="Q224" i="24"/>
  <c r="EB36" i="59"/>
  <c r="P224" i="24"/>
  <c r="EA36" i="59"/>
  <c r="Q223" i="24"/>
  <c r="DH36" i="59"/>
  <c r="P223" i="24"/>
  <c r="DG36" i="59"/>
  <c r="Q222" i="24"/>
  <c r="CN36" i="59"/>
  <c r="P222" i="24"/>
  <c r="CM36" i="59"/>
  <c r="Q221" i="24"/>
  <c r="BT36" i="59"/>
  <c r="P221" i="24"/>
  <c r="BS36" i="59"/>
  <c r="Q220" i="24"/>
  <c r="AZ36" i="59"/>
  <c r="P220" i="24"/>
  <c r="AY36" i="59"/>
  <c r="Q219" i="24"/>
  <c r="AF36" i="59"/>
  <c r="P219" i="24"/>
  <c r="AE36" i="59"/>
  <c r="Q207" i="24"/>
  <c r="AQ35" i="59"/>
  <c r="P207" i="24"/>
  <c r="AP35" i="59"/>
  <c r="Q206" i="24"/>
  <c r="W35" i="59"/>
  <c r="P206" i="24"/>
  <c r="V35" i="59"/>
  <c r="Q205" i="24"/>
  <c r="IT34" i="59"/>
  <c r="P205" i="24"/>
  <c r="IS34" i="59"/>
  <c r="Q204" i="24"/>
  <c r="HZ34" i="59"/>
  <c r="P204" i="24"/>
  <c r="HY34" i="59"/>
  <c r="Q203" i="24"/>
  <c r="HF34" i="59"/>
  <c r="P203" i="24"/>
  <c r="HE34" i="59"/>
  <c r="Q202" i="24"/>
  <c r="GL34" i="59"/>
  <c r="P202" i="24"/>
  <c r="GK34" i="59"/>
  <c r="Q201" i="24"/>
  <c r="FR34" i="59"/>
  <c r="P201" i="24"/>
  <c r="FQ34" i="59"/>
  <c r="Q200" i="24"/>
  <c r="EX34" i="59"/>
  <c r="P200" i="24"/>
  <c r="EW34" i="59"/>
  <c r="Q199" i="24"/>
  <c r="ED34" i="59"/>
  <c r="P199" i="24"/>
  <c r="EC34" i="59"/>
  <c r="Q198" i="24"/>
  <c r="DJ34" i="59"/>
  <c r="P198" i="24"/>
  <c r="DI34" i="59"/>
  <c r="Q186" i="24"/>
  <c r="DU33" i="59"/>
  <c r="P186" i="24"/>
  <c r="DT33" i="59"/>
  <c r="Q185" i="24"/>
  <c r="DA33" i="59"/>
  <c r="P185" i="24"/>
  <c r="CZ33" i="59"/>
  <c r="Q184" i="24"/>
  <c r="CG33" i="59"/>
  <c r="P184" i="24"/>
  <c r="CF33" i="59"/>
  <c r="Q183" i="24"/>
  <c r="BM33" i="59"/>
  <c r="P183" i="24"/>
  <c r="BL33" i="59"/>
  <c r="Q182" i="24"/>
  <c r="AS33" i="59"/>
  <c r="P182" i="24"/>
  <c r="AR33" i="59"/>
  <c r="Q181" i="24"/>
  <c r="Y33" i="59"/>
  <c r="P181" i="24"/>
  <c r="X33" i="59"/>
  <c r="Q165" i="24"/>
  <c r="GY31" i="59"/>
  <c r="P165" i="24"/>
  <c r="GX31" i="59"/>
  <c r="Q164" i="24"/>
  <c r="GE31" i="59"/>
  <c r="P164" i="24"/>
  <c r="GD31" i="59"/>
  <c r="Q161" i="24"/>
  <c r="DW31" i="59"/>
  <c r="P161" i="24"/>
  <c r="DV31" i="59"/>
  <c r="Q160" i="24"/>
  <c r="DC31" i="59"/>
  <c r="P160" i="24"/>
  <c r="DB31" i="59"/>
  <c r="Q159" i="24"/>
  <c r="CI31" i="59"/>
  <c r="P159" i="24"/>
  <c r="CH31" i="59"/>
  <c r="Q144" i="24"/>
  <c r="AL30" i="59"/>
  <c r="P144" i="24"/>
  <c r="AK30" i="59"/>
  <c r="Q143" i="24"/>
  <c r="R30" i="59"/>
  <c r="P143" i="24"/>
  <c r="Q30" i="59"/>
  <c r="Q142" i="24"/>
  <c r="IO29" i="59"/>
  <c r="P142" i="24"/>
  <c r="IN29" i="59"/>
  <c r="Q141" i="24"/>
  <c r="HU29" i="59"/>
  <c r="P141" i="24"/>
  <c r="HT29" i="59"/>
  <c r="Q140" i="24"/>
  <c r="HA29" i="59"/>
  <c r="P140" i="24"/>
  <c r="GZ29" i="59"/>
  <c r="Q139" i="24"/>
  <c r="GG29" i="59"/>
  <c r="P139" i="24"/>
  <c r="GF29" i="59"/>
  <c r="Q138" i="24"/>
  <c r="FM29" i="59"/>
  <c r="P138" i="24"/>
  <c r="FL29" i="59"/>
  <c r="Q137" i="24"/>
  <c r="ES29" i="59"/>
  <c r="P137" i="24"/>
  <c r="ER29" i="59"/>
  <c r="Q123" i="24"/>
  <c r="DP28" i="59"/>
  <c r="P123" i="24"/>
  <c r="DO28" i="59"/>
  <c r="Q122" i="24"/>
  <c r="CV28" i="59"/>
  <c r="P122" i="24"/>
  <c r="CU28" i="59"/>
  <c r="Q121" i="24"/>
  <c r="CB28" i="59"/>
  <c r="P121" i="24"/>
  <c r="CA28" i="59"/>
  <c r="Q120" i="24"/>
  <c r="BH28" i="59"/>
  <c r="P120" i="24"/>
  <c r="BG28" i="59"/>
  <c r="Q119" i="24"/>
  <c r="AN28" i="59"/>
  <c r="P119" i="24"/>
  <c r="AM28" i="59"/>
  <c r="Q118" i="24"/>
  <c r="T28" i="59"/>
  <c r="P118" i="24"/>
  <c r="S28" i="59"/>
  <c r="Q117" i="24"/>
  <c r="IQ27" i="59"/>
  <c r="P117" i="24"/>
  <c r="IP27" i="59"/>
  <c r="Q116" i="24"/>
  <c r="HW27" i="59"/>
  <c r="P116" i="24"/>
  <c r="HV27" i="59"/>
  <c r="Q102" i="24"/>
  <c r="GT26" i="59"/>
  <c r="P102" i="24"/>
  <c r="GS26" i="59"/>
  <c r="Q101" i="24"/>
  <c r="FZ26" i="59"/>
  <c r="P101" i="24"/>
  <c r="FY26" i="59"/>
  <c r="Q100" i="24"/>
  <c r="FF26" i="59"/>
  <c r="P100" i="24"/>
  <c r="FE26" i="59"/>
  <c r="Q99" i="24"/>
  <c r="EL26" i="59"/>
  <c r="P99" i="24"/>
  <c r="EK26" i="59"/>
  <c r="Q98" i="24"/>
  <c r="DR26" i="59"/>
  <c r="P98" i="24"/>
  <c r="DQ26" i="59"/>
  <c r="Q81" i="24"/>
  <c r="AG25" i="59"/>
  <c r="P81" i="24"/>
  <c r="AF25" i="59"/>
  <c r="Q80" i="24"/>
  <c r="M25" i="59"/>
  <c r="P80" i="24"/>
  <c r="L25" i="59"/>
  <c r="Q79" i="24"/>
  <c r="IJ24" i="59"/>
  <c r="P79" i="24"/>
  <c r="II24" i="59"/>
  <c r="Q78" i="24"/>
  <c r="HP24" i="59"/>
  <c r="P78" i="24"/>
  <c r="HO24" i="59"/>
  <c r="Q77" i="24"/>
  <c r="GV24" i="59"/>
  <c r="P77" i="24"/>
  <c r="GU24" i="59"/>
  <c r="Q75" i="24"/>
  <c r="FH24" i="59"/>
  <c r="P75" i="24"/>
  <c r="FG24" i="59"/>
  <c r="Q60" i="24"/>
  <c r="DK23" i="59"/>
  <c r="P60" i="24"/>
  <c r="DJ23" i="59"/>
  <c r="Q59" i="24"/>
  <c r="CQ23" i="59"/>
  <c r="P59" i="24"/>
  <c r="CP23" i="59"/>
  <c r="Q58" i="24"/>
  <c r="BW23" i="59"/>
  <c r="P58" i="24"/>
  <c r="BV23" i="59"/>
  <c r="Q57" i="24"/>
  <c r="BC23" i="59"/>
  <c r="P57" i="24"/>
  <c r="BB23" i="59"/>
  <c r="Q56" i="24"/>
  <c r="AI23" i="59"/>
  <c r="P56" i="24"/>
  <c r="AH23" i="59"/>
  <c r="Q55" i="24"/>
  <c r="O23" i="59"/>
  <c r="P55" i="24"/>
  <c r="N23" i="59"/>
  <c r="Q39" i="24"/>
  <c r="GO21" i="59"/>
  <c r="P39" i="24"/>
  <c r="GN21" i="59"/>
  <c r="Q38" i="24"/>
  <c r="FU21" i="59"/>
  <c r="P38" i="24"/>
  <c r="FT21" i="59"/>
  <c r="Q37" i="24"/>
  <c r="FA21" i="59"/>
  <c r="P37" i="24"/>
  <c r="EZ21" i="59"/>
  <c r="Q36" i="24"/>
  <c r="EG21" i="59"/>
  <c r="P36" i="24"/>
  <c r="EF21" i="59"/>
  <c r="Q35" i="24"/>
  <c r="DM21" i="59"/>
  <c r="P35" i="24"/>
  <c r="DL21" i="59"/>
  <c r="Q18" i="24"/>
  <c r="AB20" i="59"/>
  <c r="P18" i="24"/>
  <c r="AA20" i="59"/>
  <c r="Q17" i="24"/>
  <c r="H20" i="59"/>
  <c r="E69" i="48"/>
  <c r="D69" i="48"/>
  <c r="B69" i="48"/>
  <c r="A69" i="48"/>
  <c r="E68" i="48"/>
  <c r="D68" i="48"/>
  <c r="B68" i="48"/>
  <c r="A68" i="48"/>
  <c r="E67" i="48"/>
  <c r="D67" i="48"/>
  <c r="B67" i="48"/>
  <c r="A67" i="48"/>
  <c r="E66" i="48"/>
  <c r="D66" i="48"/>
  <c r="B66" i="48"/>
  <c r="A66" i="48"/>
  <c r="E65" i="48"/>
  <c r="D65" i="48"/>
  <c r="B65" i="48"/>
  <c r="A65" i="48"/>
  <c r="E64" i="48"/>
  <c r="D64" i="48"/>
  <c r="B64" i="48"/>
  <c r="A64" i="48"/>
  <c r="E63" i="48"/>
  <c r="D63" i="48"/>
  <c r="B63" i="48"/>
  <c r="A63" i="48"/>
  <c r="E62" i="48"/>
  <c r="D62" i="48"/>
  <c r="B62" i="48"/>
  <c r="A62" i="48"/>
  <c r="E61" i="48"/>
  <c r="D61" i="48"/>
  <c r="B61" i="48"/>
  <c r="A61" i="48"/>
  <c r="E60" i="48"/>
  <c r="D60" i="48"/>
  <c r="B60" i="48"/>
  <c r="A60" i="48"/>
  <c r="E59" i="48"/>
  <c r="D59" i="48"/>
  <c r="B59" i="48"/>
  <c r="A59" i="48"/>
  <c r="E58" i="48"/>
  <c r="D58" i="48"/>
  <c r="B58" i="48"/>
  <c r="A58" i="48"/>
  <c r="E57" i="48"/>
  <c r="D57" i="48"/>
  <c r="B57" i="48"/>
  <c r="A57" i="48"/>
  <c r="E56" i="48"/>
  <c r="D56" i="48"/>
  <c r="B56" i="48"/>
  <c r="A56" i="48"/>
  <c r="E55" i="48"/>
  <c r="D55" i="48"/>
  <c r="B55" i="48"/>
  <c r="A55" i="48"/>
  <c r="E54" i="48"/>
  <c r="D54" i="48"/>
  <c r="B54" i="48"/>
  <c r="A54" i="48"/>
  <c r="E53" i="48"/>
  <c r="D53" i="48"/>
  <c r="B53" i="48"/>
  <c r="A53" i="48"/>
  <c r="E52" i="48"/>
  <c r="D52" i="48"/>
  <c r="B52" i="48"/>
  <c r="A52" i="48"/>
  <c r="E51" i="48"/>
  <c r="D51" i="48"/>
  <c r="B51" i="48"/>
  <c r="A51" i="48"/>
  <c r="E50" i="48"/>
  <c r="D50" i="48"/>
  <c r="B50" i="48"/>
  <c r="A50" i="48"/>
  <c r="E49" i="48"/>
  <c r="D49" i="48"/>
  <c r="B49" i="48"/>
  <c r="A49" i="48"/>
  <c r="E48" i="48"/>
  <c r="D48" i="48"/>
  <c r="B48" i="48"/>
  <c r="A48" i="48"/>
  <c r="E47" i="48"/>
  <c r="D47" i="48"/>
  <c r="B47" i="48"/>
  <c r="A47" i="48"/>
  <c r="E46" i="48"/>
  <c r="D46" i="48"/>
  <c r="B46" i="48"/>
  <c r="A46" i="48"/>
  <c r="E45" i="48"/>
  <c r="D45" i="48"/>
  <c r="B45" i="48"/>
  <c r="A45" i="48"/>
  <c r="E44" i="48"/>
  <c r="D44" i="48"/>
  <c r="B44" i="48"/>
  <c r="A44" i="48"/>
  <c r="E43" i="48"/>
  <c r="D43" i="48"/>
  <c r="B43" i="48"/>
  <c r="A43" i="48"/>
  <c r="E42" i="48"/>
  <c r="D42" i="48"/>
  <c r="B42" i="48"/>
  <c r="A42" i="48"/>
  <c r="E41" i="48"/>
  <c r="D41" i="48"/>
  <c r="B41" i="48"/>
  <c r="A41" i="48"/>
  <c r="E40" i="48"/>
  <c r="FH73" i="59"/>
  <c r="D40" i="48"/>
  <c r="B40" i="48"/>
  <c r="A40" i="48"/>
  <c r="B17" i="48"/>
  <c r="U72" i="59"/>
  <c r="A17" i="48"/>
  <c r="B16" i="48"/>
  <c r="IU71" i="59"/>
  <c r="A16" i="48"/>
  <c r="B15" i="48"/>
  <c r="ID71" i="59"/>
  <c r="A15" i="48"/>
  <c r="B14" i="48"/>
  <c r="HM71" i="59"/>
  <c r="A14" i="48"/>
  <c r="HL71" i="59"/>
  <c r="A29" i="48"/>
  <c r="HP72" i="59"/>
  <c r="B13" i="48"/>
  <c r="GV71" i="59"/>
  <c r="A13" i="48"/>
  <c r="GU71" i="59"/>
  <c r="A28" i="48"/>
  <c r="GY72" i="59"/>
  <c r="B12" i="48"/>
  <c r="GE71" i="59"/>
  <c r="A12" i="48"/>
  <c r="A27" i="48"/>
  <c r="GH72" i="59"/>
  <c r="B11" i="48"/>
  <c r="FN71" i="59"/>
  <c r="A11" i="48"/>
  <c r="FM71" i="59"/>
  <c r="A26" i="48"/>
  <c r="FQ72" i="59"/>
  <c r="B10" i="48"/>
  <c r="EW71" i="59"/>
  <c r="A10" i="48"/>
  <c r="EV71" i="59"/>
  <c r="A25" i="48"/>
  <c r="EZ72" i="59"/>
  <c r="B9" i="48"/>
  <c r="EF71" i="59"/>
  <c r="A9" i="48"/>
  <c r="EE71" i="59"/>
  <c r="A24" i="48"/>
  <c r="EI72" i="59"/>
  <c r="B8" i="48"/>
  <c r="DO71" i="59"/>
  <c r="A8" i="48"/>
  <c r="DN71" i="59"/>
  <c r="A522" i="24"/>
  <c r="AZ60" i="59"/>
  <c r="P180" i="24"/>
  <c r="IU32" i="59"/>
  <c r="P179" i="24"/>
  <c r="IA32" i="59"/>
  <c r="P163" i="24"/>
  <c r="FJ31" i="59"/>
  <c r="P162" i="24"/>
  <c r="EP31" i="59"/>
  <c r="P158" i="24"/>
  <c r="BN31" i="59"/>
  <c r="P97" i="24"/>
  <c r="CW26" i="59"/>
  <c r="P96" i="24"/>
  <c r="CC26" i="59"/>
  <c r="P95" i="24"/>
  <c r="BI26" i="59"/>
  <c r="P76" i="24"/>
  <c r="GA24" i="59"/>
  <c r="P74" i="24"/>
  <c r="EM24" i="59"/>
  <c r="P54" i="24"/>
  <c r="IK22" i="59"/>
  <c r="P53" i="24"/>
  <c r="HQ22" i="59"/>
  <c r="P34" i="24"/>
  <c r="CR21" i="59"/>
  <c r="P33" i="24"/>
  <c r="BX21" i="59"/>
  <c r="P32" i="24"/>
  <c r="BD21" i="59"/>
  <c r="P12" i="24"/>
  <c r="FB19" i="59"/>
  <c r="B6" i="41"/>
  <c r="FI304" i="59"/>
  <c r="B6" i="7"/>
  <c r="J299" i="59"/>
  <c r="P178" i="24"/>
  <c r="HG32" i="59"/>
  <c r="P177" i="24"/>
  <c r="GM32" i="59"/>
  <c r="P157" i="24"/>
  <c r="AT31" i="59"/>
  <c r="P156" i="24"/>
  <c r="Z31" i="59"/>
  <c r="P136" i="24"/>
  <c r="DX29" i="59"/>
  <c r="P135" i="24"/>
  <c r="DD29" i="59"/>
  <c r="P115" i="24"/>
  <c r="HB27" i="59"/>
  <c r="P114" i="24"/>
  <c r="GH27" i="59"/>
  <c r="Q94" i="24"/>
  <c r="AP26" i="59"/>
  <c r="P93" i="24"/>
  <c r="U26" i="59"/>
  <c r="P73" i="24"/>
  <c r="DS24" i="59"/>
  <c r="P72" i="24"/>
  <c r="CY24" i="59"/>
  <c r="P52" i="24"/>
  <c r="GW22" i="59"/>
  <c r="P51" i="24"/>
  <c r="GC22" i="59"/>
  <c r="P31" i="24"/>
  <c r="AJ21" i="59"/>
  <c r="P30" i="24"/>
  <c r="P21" i="59"/>
  <c r="A110" i="49"/>
  <c r="A137" i="49"/>
  <c r="W62" i="13"/>
  <c r="E110" i="49"/>
  <c r="W66" i="13"/>
  <c r="E146" i="49"/>
  <c r="A146" i="49"/>
  <c r="W65" i="13"/>
  <c r="E137" i="49"/>
  <c r="W64" i="13"/>
  <c r="E128" i="49"/>
  <c r="A128" i="49"/>
  <c r="B64" i="13"/>
  <c r="AD269" i="59"/>
  <c r="H269" i="59"/>
  <c r="T63" i="13"/>
  <c r="F119" i="49"/>
  <c r="U63" i="13"/>
  <c r="V63" i="13"/>
  <c r="IC268" i="59"/>
  <c r="IF268" i="59"/>
  <c r="GP73" i="59"/>
  <c r="E66" i="36"/>
  <c r="DZ89" i="59"/>
  <c r="IO73" i="59"/>
  <c r="E96" i="36"/>
  <c r="IR90" i="59"/>
  <c r="AF74" i="59"/>
  <c r="E116" i="36"/>
  <c r="H92" i="59"/>
  <c r="BN74" i="59"/>
  <c r="E136" i="36"/>
  <c r="IN92" i="59"/>
  <c r="CV74" i="59"/>
  <c r="E156" i="36"/>
  <c r="IC93" i="59"/>
  <c r="ED74" i="59"/>
  <c r="E176" i="36"/>
  <c r="HR94" i="59"/>
  <c r="GC74" i="59"/>
  <c r="E206" i="36"/>
  <c r="CI96" i="59"/>
  <c r="HK74" i="59"/>
  <c r="E226" i="36"/>
  <c r="CQ97" i="59"/>
  <c r="S75" i="59"/>
  <c r="E256" i="36"/>
  <c r="GY98" i="59"/>
  <c r="BR75" i="59"/>
  <c r="E286" i="36"/>
  <c r="BN100" i="59"/>
  <c r="EH75" i="59"/>
  <c r="E326" i="36"/>
  <c r="AS102" i="59"/>
  <c r="FD73" i="59"/>
  <c r="A44" i="36"/>
  <c r="DI88" i="59"/>
  <c r="GL73" i="59"/>
  <c r="A64" i="36"/>
  <c r="IK73" i="59"/>
  <c r="A94" i="36"/>
  <c r="AB74" i="59"/>
  <c r="A114" i="36"/>
  <c r="BJ74" i="59"/>
  <c r="A134" i="36"/>
  <c r="DI74" i="59"/>
  <c r="A164" i="36"/>
  <c r="FH74" i="59"/>
  <c r="A194" i="36"/>
  <c r="HG74" i="59"/>
  <c r="A224" i="36"/>
  <c r="O75" i="59"/>
  <c r="A254" i="36"/>
  <c r="CV75" i="59"/>
  <c r="A304" i="36"/>
  <c r="FS73" i="59"/>
  <c r="G48" i="36"/>
  <c r="FK88" i="59"/>
  <c r="II73" i="59"/>
  <c r="G88" i="36"/>
  <c r="ET90" i="59"/>
  <c r="BH74" i="59"/>
  <c r="G128" i="36"/>
  <c r="EX92" i="59"/>
  <c r="DX74" i="59"/>
  <c r="G168" i="36"/>
  <c r="EB94" i="59"/>
  <c r="GN74" i="59"/>
  <c r="G208" i="36"/>
  <c r="DK96" i="59"/>
  <c r="M75" i="59"/>
  <c r="G248" i="36"/>
  <c r="DI98" i="59"/>
  <c r="CC75" i="59"/>
  <c r="G288" i="36"/>
  <c r="CN100" i="59"/>
  <c r="ES75" i="59"/>
  <c r="G328" i="36"/>
  <c r="BS102" i="59"/>
  <c r="BG15" i="59"/>
  <c r="HI19" i="59"/>
  <c r="HX268" i="59"/>
  <c r="HT268" i="59"/>
  <c r="HU73" i="59"/>
  <c r="B84" i="36"/>
  <c r="CO90" i="59"/>
  <c r="AC74" i="59"/>
  <c r="B114" i="36"/>
  <c r="HW91" i="59"/>
  <c r="CB74" i="59"/>
  <c r="B144" i="36"/>
  <c r="CL93" i="59"/>
  <c r="EA74" i="59"/>
  <c r="B174" i="36"/>
  <c r="GQ94" i="59"/>
  <c r="FZ74" i="59"/>
  <c r="B204" i="36"/>
  <c r="BF96" i="59"/>
  <c r="IP74" i="59"/>
  <c r="B244" i="36"/>
  <c r="BH98" i="59"/>
  <c r="BO75" i="59"/>
  <c r="B284" i="36"/>
  <c r="AM100" i="59"/>
  <c r="EE75" i="59"/>
  <c r="B324" i="36"/>
  <c r="R102" i="59"/>
  <c r="GJ73" i="59"/>
  <c r="G58" i="36"/>
  <c r="AJ89" i="59"/>
  <c r="I74" i="59"/>
  <c r="G98" i="36"/>
  <c r="AC91" i="59"/>
  <c r="BY74" i="59"/>
  <c r="G138" i="36"/>
  <c r="W93" i="59"/>
  <c r="EO74" i="59"/>
  <c r="G178" i="36"/>
  <c r="IR94" i="59"/>
  <c r="HE74" i="59"/>
  <c r="G218" i="36"/>
  <c r="IK96" i="59"/>
  <c r="AD75" i="59"/>
  <c r="G258" i="36"/>
  <c r="HY98" i="59"/>
  <c r="CT75" i="59"/>
  <c r="G298" i="36"/>
  <c r="HD100" i="59"/>
  <c r="FJ75" i="59"/>
  <c r="FJ69" i="59"/>
  <c r="G338" i="36"/>
  <c r="GI102" i="59"/>
  <c r="HW268" i="59"/>
  <c r="FA75" i="59"/>
  <c r="FA69" i="59"/>
  <c r="FY73" i="59"/>
  <c r="E56" i="36"/>
  <c r="J89" i="59"/>
  <c r="HG73" i="59"/>
  <c r="E76" i="36"/>
  <c r="IP89" i="59"/>
  <c r="HX73" i="59"/>
  <c r="E86" i="36"/>
  <c r="DR90" i="59"/>
  <c r="O74" i="59"/>
  <c r="E106" i="36"/>
  <c r="DZ91" i="59"/>
  <c r="AW74" i="59"/>
  <c r="E126" i="36"/>
  <c r="DX92" i="59"/>
  <c r="CE74" i="59"/>
  <c r="E146" i="36"/>
  <c r="DM93" i="59"/>
  <c r="DM74" i="59"/>
  <c r="E166" i="36"/>
  <c r="DB94" i="59"/>
  <c r="EU74" i="59"/>
  <c r="E186" i="36"/>
  <c r="CQ95" i="59"/>
  <c r="FL74" i="59"/>
  <c r="E196" i="36"/>
  <c r="HG95" i="59"/>
  <c r="GT74" i="59"/>
  <c r="E216" i="36"/>
  <c r="HI96" i="59"/>
  <c r="IB74" i="59"/>
  <c r="E236" i="36"/>
  <c r="HJ97" i="59"/>
  <c r="IS74" i="59"/>
  <c r="E246" i="36"/>
  <c r="CI98" i="59"/>
  <c r="AJ75" i="59"/>
  <c r="E266" i="36"/>
  <c r="BY99" i="59"/>
  <c r="BA75" i="59"/>
  <c r="E276" i="36"/>
  <c r="GO99" i="59"/>
  <c r="CI75" i="59"/>
  <c r="E296" i="36"/>
  <c r="GD100" i="59"/>
  <c r="CZ75" i="59"/>
  <c r="E306" i="36"/>
  <c r="BC101" i="59"/>
  <c r="DQ75" i="59"/>
  <c r="E316" i="36"/>
  <c r="FT101" i="59"/>
  <c r="EY69" i="59"/>
  <c r="EY75" i="59"/>
  <c r="E336" i="36"/>
  <c r="FI102" i="59"/>
  <c r="HR73" i="59"/>
  <c r="G78" i="36"/>
  <c r="Y90" i="59"/>
  <c r="AQ74" i="59"/>
  <c r="P70" i="59"/>
  <c r="G118" i="36"/>
  <c r="AH92" i="59"/>
  <c r="DG74" i="59"/>
  <c r="G158" i="36"/>
  <c r="L94" i="59"/>
  <c r="FW74" i="59"/>
  <c r="G198" i="36"/>
  <c r="IG95" i="59"/>
  <c r="IM74" i="59"/>
  <c r="G238" i="36"/>
  <c r="IJ97" i="59"/>
  <c r="BL75" i="59"/>
  <c r="G278" i="36"/>
  <c r="HO99" i="59"/>
  <c r="EB75" i="59"/>
  <c r="G318" i="36"/>
  <c r="GT101" i="59"/>
  <c r="FU73" i="59"/>
  <c r="A54" i="36"/>
  <c r="HC73" i="59"/>
  <c r="A74" i="36"/>
  <c r="HT73" i="59"/>
  <c r="A84" i="36"/>
  <c r="K74" i="59"/>
  <c r="A104" i="36"/>
  <c r="AS74" i="59"/>
  <c r="A124" i="36"/>
  <c r="CA74" i="59"/>
  <c r="A144" i="36"/>
  <c r="CR74" i="59"/>
  <c r="A154" i="36"/>
  <c r="DZ74" i="59"/>
  <c r="A174" i="36"/>
  <c r="EQ74" i="59"/>
  <c r="A184" i="36"/>
  <c r="FY74" i="59"/>
  <c r="A204" i="36"/>
  <c r="GP74" i="59"/>
  <c r="A214" i="36"/>
  <c r="HX74" i="59"/>
  <c r="A234" i="36"/>
  <c r="IO74" i="59"/>
  <c r="A244" i="36"/>
  <c r="AF75" i="59"/>
  <c r="A264" i="36"/>
  <c r="AW75" i="59"/>
  <c r="A274" i="36"/>
  <c r="BN75" i="59"/>
  <c r="A284" i="36"/>
  <c r="CE75" i="59"/>
  <c r="A294" i="36"/>
  <c r="DM75" i="59"/>
  <c r="A314" i="36"/>
  <c r="ED75" i="59"/>
  <c r="A324" i="36"/>
  <c r="EU69" i="59"/>
  <c r="EU75" i="59"/>
  <c r="A334" i="36"/>
  <c r="FE73" i="59"/>
  <c r="B44" i="36"/>
  <c r="DJ88" i="59"/>
  <c r="FV73" i="59"/>
  <c r="B54" i="36"/>
  <c r="HZ88" i="59"/>
  <c r="GM73" i="59"/>
  <c r="B64" i="36"/>
  <c r="CY89" i="59"/>
  <c r="HD73" i="59"/>
  <c r="B74" i="36"/>
  <c r="HO89" i="59"/>
  <c r="IL73" i="59"/>
  <c r="B94" i="36"/>
  <c r="HO90" i="59"/>
  <c r="L74" i="59"/>
  <c r="B104" i="36"/>
  <c r="CW91" i="59"/>
  <c r="AT74" i="59"/>
  <c r="B124" i="36"/>
  <c r="CW92" i="59"/>
  <c r="BK74" i="59"/>
  <c r="B134" i="36"/>
  <c r="HM92" i="59"/>
  <c r="CS74" i="59"/>
  <c r="B154" i="36"/>
  <c r="HB93" i="59"/>
  <c r="DJ74" i="59"/>
  <c r="B164" i="36"/>
  <c r="CA94" i="59"/>
  <c r="ER74" i="59"/>
  <c r="B184" i="36"/>
  <c r="BP95" i="59"/>
  <c r="FI74" i="59"/>
  <c r="B194" i="36"/>
  <c r="GF95" i="59"/>
  <c r="GQ74" i="59"/>
  <c r="B214" i="36"/>
  <c r="GF96" i="59"/>
  <c r="HH74" i="59"/>
  <c r="B224" i="36"/>
  <c r="BN97" i="59"/>
  <c r="HY74" i="59"/>
  <c r="B234" i="36"/>
  <c r="GI97" i="59"/>
  <c r="P75" i="59"/>
  <c r="B254" i="36"/>
  <c r="FX98" i="59"/>
  <c r="AG75" i="59"/>
  <c r="B264" i="36"/>
  <c r="AX99" i="59"/>
  <c r="AX75" i="59"/>
  <c r="B274" i="36"/>
  <c r="FN99" i="59"/>
  <c r="CF75" i="59"/>
  <c r="B294" i="36"/>
  <c r="FC100" i="59"/>
  <c r="CW75" i="59"/>
  <c r="B304" i="36"/>
  <c r="AB101" i="59"/>
  <c r="DN75" i="59"/>
  <c r="B314" i="36"/>
  <c r="ES101" i="59"/>
  <c r="EV75" i="59"/>
  <c r="EV69" i="59"/>
  <c r="B334" i="36"/>
  <c r="EH102" i="59"/>
  <c r="FG73" i="59"/>
  <c r="D46" i="36"/>
  <c r="EJ88" i="59"/>
  <c r="FX73" i="59"/>
  <c r="D56" i="36"/>
  <c r="I89" i="59"/>
  <c r="GO73" i="59"/>
  <c r="D66" i="36"/>
  <c r="DY89" i="59"/>
  <c r="HF73" i="59"/>
  <c r="D76" i="36"/>
  <c r="IO89" i="59"/>
  <c r="HW73" i="59"/>
  <c r="D86" i="36"/>
  <c r="DQ90" i="59"/>
  <c r="IN73" i="59"/>
  <c r="D96" i="36"/>
  <c r="IQ90" i="59"/>
  <c r="N74" i="59"/>
  <c r="D106" i="36"/>
  <c r="DY91" i="59"/>
  <c r="AE74" i="59"/>
  <c r="D116" i="36"/>
  <c r="G92" i="59"/>
  <c r="AV74" i="59"/>
  <c r="D126" i="36"/>
  <c r="DW92" i="59"/>
  <c r="BM74" i="59"/>
  <c r="D136" i="36"/>
  <c r="IM92" i="59"/>
  <c r="CD74" i="59"/>
  <c r="D146" i="36"/>
  <c r="DL93" i="59"/>
  <c r="CU74" i="59"/>
  <c r="D156" i="36"/>
  <c r="IB93" i="59"/>
  <c r="DL74" i="59"/>
  <c r="D166" i="36"/>
  <c r="DA94" i="59"/>
  <c r="EC74" i="59"/>
  <c r="D176" i="36"/>
  <c r="HQ94" i="59"/>
  <c r="ET74" i="59"/>
  <c r="D186" i="36"/>
  <c r="CP95" i="59"/>
  <c r="FK74" i="59"/>
  <c r="D196" i="36"/>
  <c r="HF95" i="59"/>
  <c r="GB74" i="59"/>
  <c r="D206" i="36"/>
  <c r="CH96" i="59"/>
  <c r="GS74" i="59"/>
  <c r="D216" i="36"/>
  <c r="HH96" i="59"/>
  <c r="HJ74" i="59"/>
  <c r="D226" i="36"/>
  <c r="CP97" i="59"/>
  <c r="IA74" i="59"/>
  <c r="D236" i="36"/>
  <c r="HI97" i="59"/>
  <c r="IR74" i="59"/>
  <c r="D246" i="36"/>
  <c r="CH98" i="59"/>
  <c r="R75" i="59"/>
  <c r="D256" i="36"/>
  <c r="GX98" i="59"/>
  <c r="AI75" i="59"/>
  <c r="D266" i="36"/>
  <c r="BX99" i="59"/>
  <c r="AZ75" i="59"/>
  <c r="D276" i="36"/>
  <c r="GN99" i="59"/>
  <c r="BQ75" i="59"/>
  <c r="D286" i="36"/>
  <c r="BM100" i="59"/>
  <c r="CH75" i="59"/>
  <c r="D296" i="36"/>
  <c r="GC100" i="59"/>
  <c r="CY75" i="59"/>
  <c r="D306" i="36"/>
  <c r="BB101" i="59"/>
  <c r="DP75" i="59"/>
  <c r="D316" i="36"/>
  <c r="FS101" i="59"/>
  <c r="EG75" i="59"/>
  <c r="D326" i="36"/>
  <c r="AR102" i="59"/>
  <c r="EX69" i="59"/>
  <c r="EX75" i="59"/>
  <c r="D336" i="36"/>
  <c r="FH102" i="59"/>
  <c r="HA73" i="59"/>
  <c r="G68" i="36"/>
  <c r="EZ89" i="59"/>
  <c r="Z74" i="59"/>
  <c r="G108" i="36"/>
  <c r="FB91" i="59"/>
  <c r="CP74" i="59"/>
  <c r="G148" i="36"/>
  <c r="EM93" i="59"/>
  <c r="FF74" i="59"/>
  <c r="G188" i="36"/>
  <c r="DQ95" i="59"/>
  <c r="HV74" i="59"/>
  <c r="G228" i="36"/>
  <c r="DS97" i="59"/>
  <c r="AU75" i="59"/>
  <c r="G268" i="36"/>
  <c r="CY99" i="59"/>
  <c r="DK75" i="59"/>
  <c r="G308" i="36"/>
  <c r="CC101" i="59"/>
  <c r="HZ268" i="59"/>
  <c r="ID268" i="59"/>
  <c r="G16" i="48"/>
  <c r="I72" i="59"/>
  <c r="IT71" i="59"/>
  <c r="G17" i="48"/>
  <c r="Z72" i="59"/>
  <c r="T72" i="59"/>
  <c r="G12" i="48"/>
  <c r="GJ71" i="59"/>
  <c r="GD71" i="59"/>
  <c r="G15" i="48"/>
  <c r="II71" i="59"/>
  <c r="IC71" i="59"/>
  <c r="E46" i="36"/>
  <c r="EK88" i="59"/>
  <c r="AZ49" i="56"/>
  <c r="GO251" i="59"/>
  <c r="AX6" i="56"/>
  <c r="HO244" i="59"/>
  <c r="HY268" i="59"/>
  <c r="IT268" i="59"/>
  <c r="IA268" i="59"/>
  <c r="IH268" i="59"/>
  <c r="II268" i="59"/>
  <c r="IG268" i="59"/>
  <c r="P15" i="24"/>
  <c r="Q15" i="24"/>
  <c r="P17" i="24"/>
  <c r="G20" i="59"/>
  <c r="I26" i="48"/>
  <c r="FY72" i="59"/>
  <c r="K26" i="48"/>
  <c r="GA72" i="59"/>
  <c r="I29" i="48"/>
  <c r="HX72" i="59"/>
  <c r="K29" i="48"/>
  <c r="HZ72" i="59"/>
  <c r="I30" i="48"/>
  <c r="IO72" i="59"/>
  <c r="K30" i="48"/>
  <c r="IQ72" i="59"/>
  <c r="I27" i="48"/>
  <c r="GP72" i="59"/>
  <c r="K27" i="48"/>
  <c r="GR72" i="59"/>
  <c r="I31" i="48"/>
  <c r="O73" i="59"/>
  <c r="K31" i="48"/>
  <c r="Q73" i="59"/>
  <c r="I32" i="48"/>
  <c r="AF73" i="59"/>
  <c r="K32" i="48"/>
  <c r="AH73" i="59"/>
  <c r="I25" i="48"/>
  <c r="FH72" i="59"/>
  <c r="K25" i="48"/>
  <c r="FJ72" i="59"/>
  <c r="I28" i="48"/>
  <c r="HG72" i="59"/>
  <c r="K28" i="48"/>
  <c r="HI72" i="59"/>
  <c r="G26" i="48"/>
  <c r="FW72" i="59"/>
  <c r="G30" i="48"/>
  <c r="IM72" i="59"/>
  <c r="G27" i="48"/>
  <c r="GN72" i="59"/>
  <c r="G31" i="48"/>
  <c r="M73" i="59"/>
  <c r="G32" i="48"/>
  <c r="AD73" i="59"/>
  <c r="G29" i="48"/>
  <c r="HV72" i="59"/>
  <c r="G25" i="48"/>
  <c r="FF72" i="59"/>
  <c r="G28" i="48"/>
  <c r="HE72" i="59"/>
  <c r="G24" i="48"/>
  <c r="EO72" i="59"/>
  <c r="G14" i="48"/>
  <c r="HR71" i="59"/>
  <c r="G13" i="48"/>
  <c r="HA71" i="59"/>
  <c r="G11" i="48"/>
  <c r="FS71" i="59"/>
  <c r="G10" i="48"/>
  <c r="FB71" i="59"/>
  <c r="G9" i="48"/>
  <c r="EK71" i="59"/>
  <c r="G8" i="48"/>
  <c r="DT71" i="59"/>
  <c r="P16" i="24"/>
  <c r="ID19" i="59"/>
  <c r="Q16" i="24"/>
  <c r="IE19" i="59"/>
  <c r="P14" i="24"/>
  <c r="GP19" i="59"/>
  <c r="P13" i="24"/>
  <c r="FV19" i="59"/>
  <c r="CJ269" i="59"/>
  <c r="CP269" i="59"/>
  <c r="CK269" i="59"/>
  <c r="CM269" i="59"/>
  <c r="CS269" i="59"/>
  <c r="CN269" i="59"/>
  <c r="IL268" i="59"/>
  <c r="CR269" i="59"/>
  <c r="CL269" i="59"/>
  <c r="CV269" i="59"/>
  <c r="CI269" i="59"/>
  <c r="CT269" i="59"/>
  <c r="CO269" i="59"/>
  <c r="CU269" i="59"/>
  <c r="IM268" i="59"/>
  <c r="HV268" i="59"/>
  <c r="BR319" i="59"/>
  <c r="BB319" i="59"/>
  <c r="BJ319" i="59"/>
  <c r="C119" i="42"/>
  <c r="HH311" i="59"/>
  <c r="E8" i="48"/>
  <c r="DR71" i="59"/>
  <c r="F8" i="48"/>
  <c r="DS71" i="59"/>
  <c r="A532" i="24"/>
  <c r="IR60" i="59"/>
  <c r="P617" i="24"/>
  <c r="HB67" i="59"/>
  <c r="Q617" i="24"/>
  <c r="HC67" i="59"/>
  <c r="O617" i="24"/>
  <c r="HA67" i="59"/>
  <c r="Q596" i="24"/>
  <c r="AP66" i="59"/>
  <c r="O596" i="24"/>
  <c r="AN66" i="59"/>
  <c r="P596" i="24"/>
  <c r="AO66" i="59"/>
  <c r="P575" i="24"/>
  <c r="DS64" i="59"/>
  <c r="O575" i="24"/>
  <c r="DR64" i="59"/>
  <c r="Q575" i="24"/>
  <c r="DT64" i="59"/>
  <c r="P554" i="24"/>
  <c r="GW62" i="59"/>
  <c r="O554" i="24"/>
  <c r="GV62" i="59"/>
  <c r="Q554" i="24"/>
  <c r="GX62" i="59"/>
  <c r="Q533" i="24"/>
  <c r="AK61" i="59"/>
  <c r="O533" i="24"/>
  <c r="AI61" i="59"/>
  <c r="P533" i="24"/>
  <c r="AJ61" i="59"/>
  <c r="P512" i="24"/>
  <c r="DN59" i="59"/>
  <c r="Q512" i="24"/>
  <c r="DO59" i="59"/>
  <c r="O512" i="24"/>
  <c r="DM59" i="59"/>
  <c r="P491" i="24"/>
  <c r="GR57" i="59"/>
  <c r="Q491" i="24"/>
  <c r="GS57" i="59"/>
  <c r="O491" i="24"/>
  <c r="GQ57" i="59"/>
  <c r="O470" i="24"/>
  <c r="AD56" i="59"/>
  <c r="P470" i="24"/>
  <c r="AE56" i="59"/>
  <c r="Q470" i="24"/>
  <c r="AF56" i="59"/>
  <c r="O449" i="24"/>
  <c r="DH54" i="59"/>
  <c r="P449" i="24"/>
  <c r="DI54" i="59"/>
  <c r="Q449" i="24"/>
  <c r="DJ54" i="59"/>
  <c r="P428" i="24"/>
  <c r="GM52" i="59"/>
  <c r="Q428" i="24"/>
  <c r="GN52" i="59"/>
  <c r="O428" i="24"/>
  <c r="GL52" i="59"/>
  <c r="Q407" i="24"/>
  <c r="AA51" i="59"/>
  <c r="P407" i="24"/>
  <c r="Z51" i="59"/>
  <c r="O407" i="24"/>
  <c r="P386" i="24"/>
  <c r="DD49" i="59"/>
  <c r="Q386" i="24"/>
  <c r="DE49" i="59"/>
  <c r="O386" i="24"/>
  <c r="DC49" i="59"/>
  <c r="O365" i="24"/>
  <c r="GG47" i="59"/>
  <c r="P365" i="24"/>
  <c r="GH47" i="59"/>
  <c r="Q365" i="24"/>
  <c r="GI47" i="59"/>
  <c r="P344" i="24"/>
  <c r="U46" i="59"/>
  <c r="Q344" i="24"/>
  <c r="V46" i="59"/>
  <c r="O344" i="24"/>
  <c r="T46" i="59"/>
  <c r="Q302" i="24"/>
  <c r="GD42" i="59"/>
  <c r="P302" i="24"/>
  <c r="GC42" i="59"/>
  <c r="O302" i="24"/>
  <c r="GB42" i="59"/>
  <c r="P281" i="24"/>
  <c r="P41" i="59"/>
  <c r="O281" i="24"/>
  <c r="O41" i="59"/>
  <c r="Q281" i="24"/>
  <c r="Q41" i="59"/>
  <c r="Q260" i="24"/>
  <c r="CU39" i="59"/>
  <c r="O260" i="24"/>
  <c r="CS39" i="59"/>
  <c r="P260" i="24"/>
  <c r="CT39" i="59"/>
  <c r="Q239" i="24"/>
  <c r="FY37" i="59"/>
  <c r="O239" i="24"/>
  <c r="FW37" i="59"/>
  <c r="P239" i="24"/>
  <c r="FX37" i="59"/>
  <c r="O218" i="24"/>
  <c r="J36" i="59"/>
  <c r="P218" i="24"/>
  <c r="K36" i="59"/>
  <c r="Q218" i="24"/>
  <c r="L36" i="59"/>
  <c r="P197" i="24"/>
  <c r="CO34" i="59"/>
  <c r="Q197" i="24"/>
  <c r="CP34" i="59"/>
  <c r="O197" i="24"/>
  <c r="CN34" i="59"/>
  <c r="P176" i="24"/>
  <c r="FS32" i="59"/>
  <c r="O176" i="24"/>
  <c r="FR32" i="59"/>
  <c r="O155" i="24"/>
  <c r="IV30" i="59"/>
  <c r="P155" i="24"/>
  <c r="F31" i="59"/>
  <c r="O134" i="24"/>
  <c r="CI29" i="59"/>
  <c r="P134" i="24"/>
  <c r="CJ29" i="59"/>
  <c r="P113" i="24"/>
  <c r="FN27" i="59"/>
  <c r="O113" i="24"/>
  <c r="FM27" i="59"/>
  <c r="O92" i="24"/>
  <c r="O71" i="24"/>
  <c r="CD24" i="59"/>
  <c r="P71" i="24"/>
  <c r="CE24" i="59"/>
  <c r="O50" i="24"/>
  <c r="FH22" i="59"/>
  <c r="P50" i="24"/>
  <c r="FI22" i="59"/>
  <c r="P29" i="24"/>
  <c r="IM20" i="59"/>
  <c r="O29" i="24"/>
  <c r="IL20" i="59"/>
  <c r="O8" i="24"/>
  <c r="BY19" i="59"/>
  <c r="P323" i="24"/>
  <c r="CY44" i="59"/>
  <c r="Q323" i="24"/>
  <c r="CZ44" i="59"/>
  <c r="O323" i="24"/>
  <c r="P11" i="24"/>
  <c r="EH19" i="59"/>
  <c r="P9" i="24"/>
  <c r="CT19" i="59"/>
  <c r="P10" i="24"/>
  <c r="DN19" i="59"/>
  <c r="K5" i="24"/>
  <c r="DS69" i="59"/>
  <c r="L5" i="24"/>
  <c r="DT69" i="59"/>
  <c r="N5" i="24"/>
  <c r="DV69" i="59"/>
  <c r="G70" i="48"/>
  <c r="FR75" i="59"/>
  <c r="A7" i="27" a="1"/>
  <c r="A7" i="27"/>
  <c r="EG77" i="59"/>
  <c r="Q162" i="24"/>
  <c r="EQ31" i="59"/>
  <c r="Q163" i="24"/>
  <c r="FK31" i="59"/>
  <c r="Q96" i="24"/>
  <c r="CD26" i="59"/>
  <c r="Q95" i="24"/>
  <c r="BJ26" i="59"/>
  <c r="Q97" i="24"/>
  <c r="CX26" i="59"/>
  <c r="Q74" i="24"/>
  <c r="EN24" i="59"/>
  <c r="Q76" i="24"/>
  <c r="GB24" i="59"/>
  <c r="Q33" i="24"/>
  <c r="BY21" i="59"/>
  <c r="Q34" i="24"/>
  <c r="CS21" i="59"/>
  <c r="Q13" i="24"/>
  <c r="FW19" i="59"/>
  <c r="Q12" i="24"/>
  <c r="FC19" i="59"/>
  <c r="Q14" i="24"/>
  <c r="GQ19" i="59"/>
  <c r="Q54" i="24"/>
  <c r="IL22" i="59"/>
  <c r="Q53" i="24"/>
  <c r="HR22" i="59"/>
  <c r="Q11" i="24"/>
  <c r="EI19" i="59"/>
  <c r="Q10" i="24"/>
  <c r="DO19" i="59"/>
  <c r="Q180" i="24"/>
  <c r="IV32" i="59"/>
  <c r="Q179" i="24"/>
  <c r="IB32" i="59"/>
  <c r="Q178" i="24"/>
  <c r="HH32" i="59"/>
  <c r="Q177" i="24"/>
  <c r="GN32" i="59"/>
  <c r="Q158" i="24"/>
  <c r="BO31" i="59"/>
  <c r="Q157" i="24"/>
  <c r="AU31" i="59"/>
  <c r="Q156" i="24"/>
  <c r="AA31" i="59"/>
  <c r="Q32" i="24"/>
  <c r="BE21" i="59"/>
  <c r="Q114" i="24"/>
  <c r="GI27" i="59"/>
  <c r="Q31" i="24"/>
  <c r="AK21" i="59"/>
  <c r="P94" i="24"/>
  <c r="Q115" i="24"/>
  <c r="HC27" i="59"/>
  <c r="Q136" i="24"/>
  <c r="DY29" i="59"/>
  <c r="Q52" i="24"/>
  <c r="GX22" i="59"/>
  <c r="Q73" i="24"/>
  <c r="DT24" i="59"/>
  <c r="Q135" i="24"/>
  <c r="DE29" i="59"/>
  <c r="Q9" i="24"/>
  <c r="CU19" i="59"/>
  <c r="Q30" i="24"/>
  <c r="Q21" i="59"/>
  <c r="Q51" i="24"/>
  <c r="GD22" i="59"/>
  <c r="Q72" i="24"/>
  <c r="CZ24" i="59"/>
  <c r="Q93" i="24"/>
  <c r="V26" i="59"/>
  <c r="F40" i="48"/>
  <c r="FI73" i="59"/>
  <c r="F41" i="48"/>
  <c r="FZ73" i="59"/>
  <c r="F42" i="48"/>
  <c r="GQ73" i="59"/>
  <c r="F43" i="48"/>
  <c r="HH73" i="59"/>
  <c r="F44" i="48"/>
  <c r="HY73" i="59"/>
  <c r="F45" i="48"/>
  <c r="IP73" i="59"/>
  <c r="F46" i="48"/>
  <c r="P74" i="59"/>
  <c r="F47" i="48"/>
  <c r="AG74" i="59"/>
  <c r="F48" i="48"/>
  <c r="AX74" i="59"/>
  <c r="F49" i="48"/>
  <c r="BO74" i="59"/>
  <c r="F50" i="48"/>
  <c r="CF74" i="59"/>
  <c r="F51" i="48"/>
  <c r="CW74" i="59"/>
  <c r="F52" i="48"/>
  <c r="DN74" i="59"/>
  <c r="F53" i="48"/>
  <c r="EE74" i="59"/>
  <c r="F54" i="48"/>
  <c r="EV74" i="59"/>
  <c r="F55" i="48"/>
  <c r="FM74" i="59"/>
  <c r="F56" i="48"/>
  <c r="GD74" i="59"/>
  <c r="F57" i="48"/>
  <c r="GU74" i="59"/>
  <c r="F58" i="48"/>
  <c r="HL74" i="59"/>
  <c r="F59" i="48"/>
  <c r="IC74" i="59"/>
  <c r="F60" i="48"/>
  <c r="IT74" i="59"/>
  <c r="F61" i="48"/>
  <c r="T75" i="59"/>
  <c r="F62" i="48"/>
  <c r="AK75" i="59"/>
  <c r="F63" i="48"/>
  <c r="BB75" i="59"/>
  <c r="F64" i="48"/>
  <c r="BS75" i="59"/>
  <c r="F65" i="48"/>
  <c r="CJ75" i="59"/>
  <c r="F66" i="48"/>
  <c r="DA75" i="59"/>
  <c r="F67" i="48"/>
  <c r="DR75" i="59"/>
  <c r="F68" i="48"/>
  <c r="EI75" i="59"/>
  <c r="F69" i="48"/>
  <c r="AS18" i="2"/>
  <c r="AH256" i="59"/>
  <c r="AS17" i="2"/>
  <c r="IE255" i="59"/>
  <c r="AS16" i="2"/>
  <c r="GK255" i="59"/>
  <c r="AS15" i="2"/>
  <c r="EQ255" i="59"/>
  <c r="AS14" i="2"/>
  <c r="CW255" i="59"/>
  <c r="AS13" i="2"/>
  <c r="BC255" i="59"/>
  <c r="AS12" i="2"/>
  <c r="I255" i="59"/>
  <c r="AS11" i="2"/>
  <c r="HF254" i="59"/>
  <c r="AS10" i="2"/>
  <c r="FL254" i="59"/>
  <c r="AS9" i="2"/>
  <c r="DR254" i="59"/>
  <c r="AS8" i="2"/>
  <c r="K47" i="11"/>
  <c r="H47" i="11"/>
  <c r="G47" i="11"/>
  <c r="F47" i="11"/>
  <c r="E47" i="11"/>
  <c r="B47" i="11"/>
  <c r="F17" i="50"/>
  <c r="EP379" i="59"/>
  <c r="L297" i="59"/>
  <c r="K49" i="7"/>
  <c r="G33" i="48"/>
  <c r="AU73" i="59"/>
  <c r="R269" i="59"/>
  <c r="G121" i="49"/>
  <c r="K269" i="59"/>
  <c r="E121" i="49"/>
  <c r="J269" i="59"/>
  <c r="C121" i="49"/>
  <c r="I269" i="59"/>
  <c r="A121" i="49"/>
  <c r="A119" i="49"/>
  <c r="S269" i="59"/>
  <c r="H119" i="49"/>
  <c r="Q269" i="59"/>
  <c r="G119" i="49"/>
  <c r="W63" i="13"/>
  <c r="E119" i="49"/>
  <c r="P269" i="59"/>
  <c r="D119" i="49"/>
  <c r="F269" i="59"/>
  <c r="M269" i="59"/>
  <c r="G269" i="59"/>
  <c r="N269" i="59"/>
  <c r="BX254" i="59"/>
  <c r="AS19" i="2"/>
  <c r="B51" i="50"/>
  <c r="HJ379" i="59"/>
  <c r="E324" i="36"/>
  <c r="U102" i="59"/>
  <c r="Q102" i="59"/>
  <c r="FB100" i="59"/>
  <c r="E294" i="36"/>
  <c r="FF100" i="59"/>
  <c r="E274" i="36"/>
  <c r="FQ99" i="59"/>
  <c r="FM99" i="59"/>
  <c r="E244" i="36"/>
  <c r="BK98" i="59"/>
  <c r="BG98" i="59"/>
  <c r="GE96" i="59"/>
  <c r="E214" i="36"/>
  <c r="GI96" i="59"/>
  <c r="BO95" i="59"/>
  <c r="E184" i="36"/>
  <c r="BS95" i="59"/>
  <c r="E154" i="36"/>
  <c r="HE93" i="59"/>
  <c r="HA93" i="59"/>
  <c r="CV92" i="59"/>
  <c r="E124" i="36"/>
  <c r="CZ92" i="59"/>
  <c r="E84" i="36"/>
  <c r="CR90" i="59"/>
  <c r="CN90" i="59"/>
  <c r="HY88" i="59"/>
  <c r="E54" i="36"/>
  <c r="IC88" i="59"/>
  <c r="E254" i="36"/>
  <c r="GA98" i="59"/>
  <c r="FW98" i="59"/>
  <c r="E194" i="36"/>
  <c r="GI95" i="59"/>
  <c r="GE95" i="59"/>
  <c r="HL92" i="59"/>
  <c r="E134" i="36"/>
  <c r="HP92" i="59"/>
  <c r="E94" i="36"/>
  <c r="HR90" i="59"/>
  <c r="HN90" i="59"/>
  <c r="H60" i="48"/>
  <c r="IV74" i="59"/>
  <c r="E314" i="36"/>
  <c r="EV101" i="59"/>
  <c r="ER101" i="59"/>
  <c r="AL100" i="59"/>
  <c r="E284" i="36"/>
  <c r="AP100" i="59"/>
  <c r="AW99" i="59"/>
  <c r="E264" i="36"/>
  <c r="BA99" i="59"/>
  <c r="E234" i="36"/>
  <c r="GL97" i="59"/>
  <c r="GH97" i="59"/>
  <c r="BE96" i="59"/>
  <c r="E204" i="36"/>
  <c r="BI96" i="59"/>
  <c r="E174" i="36"/>
  <c r="GT94" i="59"/>
  <c r="GP94" i="59"/>
  <c r="E144" i="36"/>
  <c r="CO93" i="59"/>
  <c r="CK93" i="59"/>
  <c r="CV91" i="59"/>
  <c r="E104" i="36"/>
  <c r="CZ91" i="59"/>
  <c r="E74" i="36"/>
  <c r="HR89" i="59"/>
  <c r="HN89" i="59"/>
  <c r="E304" i="36"/>
  <c r="AE101" i="59"/>
  <c r="AA101" i="59"/>
  <c r="E224" i="36"/>
  <c r="BQ97" i="59"/>
  <c r="BM97" i="59"/>
  <c r="E164" i="36"/>
  <c r="CD94" i="59"/>
  <c r="BZ94" i="59"/>
  <c r="E114" i="36"/>
  <c r="HZ91" i="59"/>
  <c r="HV91" i="59"/>
  <c r="E64" i="36"/>
  <c r="DB89" i="59"/>
  <c r="CX89" i="59"/>
  <c r="H62" i="48"/>
  <c r="AM75" i="59"/>
  <c r="H44" i="48"/>
  <c r="IQ25" i="59"/>
  <c r="H59" i="48"/>
  <c r="IE74" i="59"/>
  <c r="Y51" i="59"/>
  <c r="E334" i="36"/>
  <c r="EK102" i="59"/>
  <c r="EG102" i="59"/>
  <c r="EZ69" i="59"/>
  <c r="EZ75" i="59"/>
  <c r="IK268" i="59"/>
  <c r="H55" i="48"/>
  <c r="Q55" i="48"/>
  <c r="FX74" i="59"/>
  <c r="CX44" i="59"/>
  <c r="B260" i="42"/>
  <c r="AZ315" i="59"/>
  <c r="I297" i="59"/>
  <c r="BI15" i="59"/>
  <c r="HK19" i="59"/>
  <c r="C253" i="42"/>
  <c r="IV314" i="59"/>
  <c r="H297" i="59"/>
  <c r="P92" i="24"/>
  <c r="IR25" i="59"/>
  <c r="AO26" i="59"/>
  <c r="B239" i="42"/>
  <c r="FC314" i="59"/>
  <c r="IT296" i="59"/>
  <c r="C246" i="42"/>
  <c r="GZ314" i="59"/>
  <c r="F297" i="59"/>
  <c r="BH15" i="59"/>
  <c r="HJ19" i="59"/>
  <c r="B253" i="42"/>
  <c r="IU314" i="59"/>
  <c r="G297" i="59"/>
  <c r="CZ269" i="59"/>
  <c r="CQ269" i="59"/>
  <c r="BB49" i="56"/>
  <c r="GQ251" i="59"/>
  <c r="AZ6" i="56"/>
  <c r="HQ244" i="59"/>
  <c r="K24" i="48"/>
  <c r="ES72" i="59"/>
  <c r="I24" i="48"/>
  <c r="EQ72" i="59"/>
  <c r="I33" i="48"/>
  <c r="AW73" i="59"/>
  <c r="H68" i="48"/>
  <c r="EK75" i="59"/>
  <c r="C266" i="36"/>
  <c r="BW99" i="59"/>
  <c r="H61" i="48"/>
  <c r="B36" i="49"/>
  <c r="CE318" i="59"/>
  <c r="B34" i="42"/>
  <c r="DR310" i="59"/>
  <c r="CY269" i="59"/>
  <c r="G66" i="49"/>
  <c r="U319" i="59"/>
  <c r="G68" i="49"/>
  <c r="AK319" i="59"/>
  <c r="G61" i="49"/>
  <c r="HX318" i="59"/>
  <c r="G69" i="49"/>
  <c r="AS319" i="59"/>
  <c r="G62" i="49"/>
  <c r="IF318" i="59"/>
  <c r="G70" i="49"/>
  <c r="BA319" i="59"/>
  <c r="G63" i="49"/>
  <c r="IN318" i="59"/>
  <c r="G71" i="49"/>
  <c r="BI319" i="59"/>
  <c r="G64" i="49"/>
  <c r="IV318" i="59"/>
  <c r="G72" i="49"/>
  <c r="BQ319" i="59"/>
  <c r="G65" i="49"/>
  <c r="M319" i="59"/>
  <c r="G67" i="49"/>
  <c r="AC319" i="59"/>
  <c r="K12" i="48"/>
  <c r="GN71" i="59"/>
  <c r="I15" i="48"/>
  <c r="IK71" i="59"/>
  <c r="I12" i="48"/>
  <c r="GL71" i="59"/>
  <c r="H69" i="48"/>
  <c r="I16" i="48"/>
  <c r="K72" i="59"/>
  <c r="K16" i="48"/>
  <c r="M72" i="59"/>
  <c r="K17" i="48"/>
  <c r="AD72" i="59"/>
  <c r="I17" i="48"/>
  <c r="AB72" i="59"/>
  <c r="K15" i="48"/>
  <c r="IM71" i="59"/>
  <c r="H66" i="48"/>
  <c r="H63" i="48"/>
  <c r="BD75" i="59"/>
  <c r="H57" i="48"/>
  <c r="GW74" i="59"/>
  <c r="H42" i="48"/>
  <c r="GS73" i="59"/>
  <c r="H67" i="48"/>
  <c r="DT75" i="59"/>
  <c r="H58" i="48"/>
  <c r="HN74" i="59"/>
  <c r="H64" i="48"/>
  <c r="BU75" i="59"/>
  <c r="H56" i="48"/>
  <c r="GF74" i="59"/>
  <c r="H54" i="48"/>
  <c r="EX74" i="59"/>
  <c r="Q176" i="24"/>
  <c r="FT32" i="59"/>
  <c r="Q155" i="24"/>
  <c r="G31" i="59"/>
  <c r="Q134" i="24"/>
  <c r="CK29" i="59"/>
  <c r="Q113" i="24"/>
  <c r="FO27" i="59"/>
  <c r="Q92" i="24"/>
  <c r="IS25" i="59"/>
  <c r="Q71" i="24"/>
  <c r="CF24" i="59"/>
  <c r="Q50" i="24"/>
  <c r="FJ22" i="59"/>
  <c r="Q29" i="24"/>
  <c r="IN20" i="59"/>
  <c r="Q8" i="24"/>
  <c r="CA19" i="59"/>
  <c r="P8" i="24"/>
  <c r="BZ19" i="59"/>
  <c r="H53" i="48"/>
  <c r="EG74" i="59"/>
  <c r="H51" i="48"/>
  <c r="CY74" i="59"/>
  <c r="H50" i="48"/>
  <c r="CH74" i="59"/>
  <c r="H49" i="48"/>
  <c r="BQ74" i="59"/>
  <c r="H48" i="48"/>
  <c r="AZ74" i="59"/>
  <c r="H41" i="48"/>
  <c r="GB73" i="59"/>
  <c r="H52" i="48"/>
  <c r="DP74" i="59"/>
  <c r="H65" i="48"/>
  <c r="CL75" i="59"/>
  <c r="H47" i="48"/>
  <c r="AI74" i="59"/>
  <c r="H46" i="48"/>
  <c r="R74" i="59"/>
  <c r="H45" i="48"/>
  <c r="IR73" i="59"/>
  <c r="H43" i="48"/>
  <c r="HJ73" i="59"/>
  <c r="H40" i="48"/>
  <c r="FK73" i="59"/>
  <c r="K10" i="48"/>
  <c r="FF71" i="59"/>
  <c r="I14" i="48"/>
  <c r="HT71" i="59"/>
  <c r="W269" i="59"/>
  <c r="AG269" i="59"/>
  <c r="V269" i="59"/>
  <c r="H7" i="27" a="1"/>
  <c r="H7" i="27"/>
  <c r="EN77" i="59"/>
  <c r="A8" i="27"/>
  <c r="FA77" i="59"/>
  <c r="A11" i="27"/>
  <c r="HI77" i="59"/>
  <c r="A19" i="27"/>
  <c r="DV78" i="59"/>
  <c r="A27" i="27"/>
  <c r="AI79" i="59"/>
  <c r="A35" i="27"/>
  <c r="GM79" i="59"/>
  <c r="A15" i="27"/>
  <c r="AT78" i="59"/>
  <c r="A23" i="27"/>
  <c r="GX78" i="59"/>
  <c r="A31" i="27"/>
  <c r="DK79" i="59"/>
  <c r="A29" i="27"/>
  <c r="BW79" i="59"/>
  <c r="A21" i="27"/>
  <c r="FJ78" i="59"/>
  <c r="A13" i="27"/>
  <c r="F78" i="59"/>
  <c r="A34" i="27"/>
  <c r="FS79" i="59"/>
  <c r="A30" i="27"/>
  <c r="CQ79" i="59"/>
  <c r="A26" i="27"/>
  <c r="O79" i="59"/>
  <c r="A22" i="27"/>
  <c r="GD78" i="59"/>
  <c r="A18" i="27"/>
  <c r="DB78" i="59"/>
  <c r="A14" i="27"/>
  <c r="Z78" i="59"/>
  <c r="A10" i="27"/>
  <c r="GO77" i="59"/>
  <c r="A33" i="27"/>
  <c r="EY79" i="59"/>
  <c r="A25" i="27"/>
  <c r="IL78" i="59"/>
  <c r="A17" i="27"/>
  <c r="CH78" i="59"/>
  <c r="A9" i="27"/>
  <c r="FU77" i="59"/>
  <c r="A36" i="27"/>
  <c r="HG79" i="59"/>
  <c r="A32" i="27"/>
  <c r="EE79" i="59"/>
  <c r="A28" i="27"/>
  <c r="BC79" i="59"/>
  <c r="A24" i="27"/>
  <c r="HR78" i="59"/>
  <c r="A20" i="27"/>
  <c r="EP78" i="59"/>
  <c r="A16" i="27"/>
  <c r="BN78" i="59"/>
  <c r="A12" i="27"/>
  <c r="IC77" i="59"/>
  <c r="Q62" i="48"/>
  <c r="AV75" i="59"/>
  <c r="K14" i="48"/>
  <c r="HV71" i="59"/>
  <c r="I10" i="48"/>
  <c r="FD71" i="59"/>
  <c r="AH269" i="59"/>
  <c r="AS269" i="59"/>
  <c r="AQ269" i="59"/>
  <c r="AO269" i="59"/>
  <c r="AK269" i="59"/>
  <c r="AI269" i="59"/>
  <c r="AT269" i="59"/>
  <c r="AR269" i="59"/>
  <c r="AN269" i="59"/>
  <c r="AL269" i="59"/>
  <c r="AJ269" i="59"/>
  <c r="BE269" i="59"/>
  <c r="U269" i="59"/>
  <c r="B48" i="7"/>
  <c r="AT301" i="59"/>
  <c r="I8" i="48"/>
  <c r="DV71" i="59"/>
  <c r="K8" i="48"/>
  <c r="DX71" i="59"/>
  <c r="K13" i="48"/>
  <c r="HE71" i="59"/>
  <c r="I13" i="48"/>
  <c r="HC71" i="59"/>
  <c r="K11" i="48"/>
  <c r="FW71" i="59"/>
  <c r="I11" i="48"/>
  <c r="FU71" i="59"/>
  <c r="K9" i="48"/>
  <c r="EO71" i="59"/>
  <c r="I9" i="48"/>
  <c r="EM71" i="59"/>
  <c r="G18" i="48"/>
  <c r="AQ72" i="59"/>
  <c r="G11" i="59"/>
  <c r="L6" i="20"/>
  <c r="GW338" i="59"/>
  <c r="M6" i="20"/>
  <c r="GX338" i="59"/>
  <c r="N6" i="20"/>
  <c r="GY338" i="59"/>
  <c r="O6" i="20"/>
  <c r="GZ338" i="59"/>
  <c r="P6" i="20"/>
  <c r="HA338" i="59"/>
  <c r="L7" i="20"/>
  <c r="HP338" i="59"/>
  <c r="M7" i="20"/>
  <c r="HQ338" i="59"/>
  <c r="N7" i="20"/>
  <c r="HR338" i="59"/>
  <c r="O7" i="20"/>
  <c r="HS338" i="59"/>
  <c r="P7" i="20"/>
  <c r="HT338" i="59"/>
  <c r="L8" i="20"/>
  <c r="II338" i="59"/>
  <c r="M8" i="20"/>
  <c r="IJ338" i="59"/>
  <c r="N8" i="20"/>
  <c r="IK338" i="59"/>
  <c r="O8" i="20"/>
  <c r="IL338" i="59"/>
  <c r="P8" i="20"/>
  <c r="IM338" i="59"/>
  <c r="L9" i="20"/>
  <c r="K339" i="59"/>
  <c r="M9" i="20"/>
  <c r="L339" i="59"/>
  <c r="N9" i="20"/>
  <c r="M339" i="59"/>
  <c r="O9" i="20"/>
  <c r="N339" i="59"/>
  <c r="P9" i="20"/>
  <c r="O339" i="59"/>
  <c r="L10" i="20"/>
  <c r="AD339" i="59"/>
  <c r="M10" i="20"/>
  <c r="AE339" i="59"/>
  <c r="N10" i="20"/>
  <c r="AF339" i="59"/>
  <c r="O10" i="20"/>
  <c r="AG339" i="59"/>
  <c r="P10" i="20"/>
  <c r="AH339" i="59"/>
  <c r="V265" i="59"/>
  <c r="IL264" i="59"/>
  <c r="GJ264" i="59"/>
  <c r="EH264" i="59"/>
  <c r="HS263" i="59"/>
  <c r="GR263" i="59"/>
  <c r="A8" i="13"/>
  <c r="W263" i="59"/>
  <c r="K263" i="59"/>
  <c r="G34" i="48"/>
  <c r="BL73" i="59"/>
  <c r="K33" i="48"/>
  <c r="AY73" i="59"/>
  <c r="EO379" i="59"/>
  <c r="CB256" i="59"/>
  <c r="Q68" i="48"/>
  <c r="ET75" i="59"/>
  <c r="Q59" i="48"/>
  <c r="IN74" i="59"/>
  <c r="Q60" i="48"/>
  <c r="N75" i="59"/>
  <c r="C236" i="36"/>
  <c r="HH97" i="59"/>
  <c r="C246" i="36"/>
  <c r="CG98" i="59"/>
  <c r="C256" i="36"/>
  <c r="GW98" i="59"/>
  <c r="V75" i="59"/>
  <c r="C196" i="36"/>
  <c r="HE95" i="59"/>
  <c r="FO74" i="59"/>
  <c r="Q66" i="48"/>
  <c r="DL75" i="59"/>
  <c r="DC75" i="59"/>
  <c r="C86" i="36"/>
  <c r="DP90" i="59"/>
  <c r="IA73" i="59"/>
  <c r="Q61" i="48"/>
  <c r="AE75" i="59"/>
  <c r="Q44" i="48"/>
  <c r="IJ73" i="59"/>
  <c r="FB69" i="59"/>
  <c r="FB75" i="59"/>
  <c r="BD49" i="56"/>
  <c r="GS251" i="59"/>
  <c r="BB6" i="56"/>
  <c r="HS244" i="59"/>
  <c r="C66" i="36"/>
  <c r="DX89" i="59"/>
  <c r="C336" i="36"/>
  <c r="FG102" i="59"/>
  <c r="C326" i="36"/>
  <c r="AQ102" i="59"/>
  <c r="Q67" i="48"/>
  <c r="EC75" i="59"/>
  <c r="C316" i="36"/>
  <c r="FR101" i="59"/>
  <c r="C306" i="36"/>
  <c r="BA101" i="59"/>
  <c r="C296" i="36"/>
  <c r="GB100" i="59"/>
  <c r="C286" i="36"/>
  <c r="BL100" i="59"/>
  <c r="C276" i="36"/>
  <c r="GM99" i="59"/>
  <c r="C226" i="36"/>
  <c r="CO97" i="59"/>
  <c r="C216" i="36"/>
  <c r="HG96" i="59"/>
  <c r="Q56" i="48"/>
  <c r="GO74" i="59"/>
  <c r="C206" i="36"/>
  <c r="CG96" i="59"/>
  <c r="Q54" i="48"/>
  <c r="FG74" i="59"/>
  <c r="C186" i="36"/>
  <c r="CO95" i="59"/>
  <c r="C176" i="36"/>
  <c r="HP94" i="59"/>
  <c r="C166" i="36"/>
  <c r="CZ94" i="59"/>
  <c r="Q51" i="48"/>
  <c r="DH74" i="59"/>
  <c r="C156" i="36"/>
  <c r="IA93" i="59"/>
  <c r="C146" i="36"/>
  <c r="DK93" i="59"/>
  <c r="Q49" i="48"/>
  <c r="BZ74" i="59"/>
  <c r="C136" i="36"/>
  <c r="IL92" i="59"/>
  <c r="C126" i="36"/>
  <c r="DV92" i="59"/>
  <c r="C116" i="36"/>
  <c r="F92" i="59"/>
  <c r="C106" i="36"/>
  <c r="DX91" i="59"/>
  <c r="C96" i="36"/>
  <c r="IP90" i="59"/>
  <c r="C76" i="36"/>
  <c r="IN89" i="59"/>
  <c r="C56" i="36"/>
  <c r="H89" i="59"/>
  <c r="C46" i="36"/>
  <c r="EI88" i="59"/>
  <c r="CN263" i="59"/>
  <c r="AT319" i="59"/>
  <c r="AD319" i="59"/>
  <c r="V319" i="59"/>
  <c r="M12" i="48"/>
  <c r="GP71" i="59"/>
  <c r="N319" i="59"/>
  <c r="IO318" i="59"/>
  <c r="HY318" i="59"/>
  <c r="AL319" i="59"/>
  <c r="F319" i="59"/>
  <c r="IG318" i="59"/>
  <c r="Q57" i="48"/>
  <c r="HF74" i="59"/>
  <c r="D7" i="27" a="1"/>
  <c r="D9" i="27"/>
  <c r="FX77" i="59"/>
  <c r="Q63" i="48"/>
  <c r="BM75" i="59"/>
  <c r="M16" i="48"/>
  <c r="O72" i="59"/>
  <c r="Q69" i="48"/>
  <c r="M15" i="48"/>
  <c r="IO71" i="59"/>
  <c r="M17" i="48"/>
  <c r="AF72" i="59"/>
  <c r="R25" i="13"/>
  <c r="IN264" i="59"/>
  <c r="AD264" i="59"/>
  <c r="CF264" i="59"/>
  <c r="R26" i="13"/>
  <c r="X265" i="59"/>
  <c r="EP263" i="59"/>
  <c r="R14" i="13"/>
  <c r="GT263" i="59"/>
  <c r="HK264" i="59"/>
  <c r="FQ263" i="59"/>
  <c r="R15" i="13"/>
  <c r="HU263" i="59"/>
  <c r="R21" i="13"/>
  <c r="EJ264" i="59"/>
  <c r="AL263" i="59"/>
  <c r="R23" i="13"/>
  <c r="GL264" i="59"/>
  <c r="D46" i="43"/>
  <c r="Q42" i="48"/>
  <c r="HB73" i="59"/>
  <c r="Q58" i="48"/>
  <c r="HW74" i="59"/>
  <c r="Q64" i="48"/>
  <c r="CD75" i="59"/>
  <c r="Q53" i="48"/>
  <c r="EP74" i="59"/>
  <c r="Q50" i="48"/>
  <c r="CQ74" i="59"/>
  <c r="Q48" i="48"/>
  <c r="Q52" i="48"/>
  <c r="DY74" i="59"/>
  <c r="Q65" i="48"/>
  <c r="CU75" i="59"/>
  <c r="Q41" i="48"/>
  <c r="GK73" i="59"/>
  <c r="Q45" i="48"/>
  <c r="J74" i="59"/>
  <c r="H70" i="48"/>
  <c r="FS75" i="59"/>
  <c r="Q47" i="48"/>
  <c r="AR74" i="59"/>
  <c r="Q46" i="48"/>
  <c r="AA74" i="59"/>
  <c r="Q43" i="48"/>
  <c r="HS73" i="59"/>
  <c r="Q40" i="48"/>
  <c r="FT73" i="59"/>
  <c r="L69" i="48"/>
  <c r="L68" i="48"/>
  <c r="L67" i="48"/>
  <c r="L66" i="48"/>
  <c r="L65" i="48"/>
  <c r="L64" i="48"/>
  <c r="J64" i="48"/>
  <c r="BW75" i="59"/>
  <c r="L63" i="48"/>
  <c r="J63" i="48"/>
  <c r="BF75" i="59"/>
  <c r="L62" i="48"/>
  <c r="L61" i="48"/>
  <c r="L60" i="48"/>
  <c r="L59" i="48"/>
  <c r="L58" i="48"/>
  <c r="L57" i="48"/>
  <c r="L56" i="48"/>
  <c r="L55" i="48"/>
  <c r="L54" i="48"/>
  <c r="L53" i="48"/>
  <c r="L52" i="48"/>
  <c r="L51" i="48"/>
  <c r="L50" i="48"/>
  <c r="M24" i="48"/>
  <c r="EU72" i="59"/>
  <c r="L41" i="48"/>
  <c r="L40" i="48"/>
  <c r="L48" i="48"/>
  <c r="L47" i="48"/>
  <c r="M31" i="48"/>
  <c r="S73" i="59"/>
  <c r="J45" i="48"/>
  <c r="IT73" i="59"/>
  <c r="L45" i="48"/>
  <c r="L44" i="48"/>
  <c r="L43" i="48"/>
  <c r="M27" i="48"/>
  <c r="GT72" i="59"/>
  <c r="H17" i="48"/>
  <c r="AA72" i="59"/>
  <c r="M30" i="48"/>
  <c r="IS72" i="59"/>
  <c r="M29" i="48"/>
  <c r="IB72" i="59"/>
  <c r="M25" i="48"/>
  <c r="FL72" i="59"/>
  <c r="M14" i="48"/>
  <c r="HX71" i="59"/>
  <c r="M26" i="48"/>
  <c r="GC72" i="59"/>
  <c r="M10" i="48"/>
  <c r="FH71" i="59"/>
  <c r="L42" i="48"/>
  <c r="M28" i="48"/>
  <c r="HK72" i="59"/>
  <c r="BH269" i="59"/>
  <c r="AW269" i="59"/>
  <c r="AV269" i="59"/>
  <c r="AX269" i="59"/>
  <c r="G14" i="40"/>
  <c r="DM107" i="59"/>
  <c r="G243" i="40"/>
  <c r="FQ151" i="59"/>
  <c r="G15" i="40"/>
  <c r="FI107" i="59"/>
  <c r="G244" i="40"/>
  <c r="HS151" i="59"/>
  <c r="G17" i="40"/>
  <c r="J108" i="59"/>
  <c r="G246" i="40"/>
  <c r="CF152" i="59"/>
  <c r="G18" i="40"/>
  <c r="BF108" i="59"/>
  <c r="G247" i="40"/>
  <c r="EH152" i="59"/>
  <c r="G20" i="40"/>
  <c r="EX108" i="59"/>
  <c r="G249" i="40"/>
  <c r="IL152" i="59"/>
  <c r="G22" i="40"/>
  <c r="IP108" i="59"/>
  <c r="G251" i="40"/>
  <c r="CY153" i="59"/>
  <c r="G13" i="40"/>
  <c r="BQ107" i="59"/>
  <c r="G242" i="40"/>
  <c r="DO151" i="59"/>
  <c r="G16" i="40"/>
  <c r="HE107" i="59"/>
  <c r="G245" i="40"/>
  <c r="AD152" i="59"/>
  <c r="G19" i="40"/>
  <c r="DB108" i="59"/>
  <c r="G248" i="40"/>
  <c r="GJ152" i="59"/>
  <c r="G21" i="40"/>
  <c r="GT108" i="59"/>
  <c r="G250" i="40"/>
  <c r="AW153" i="59"/>
  <c r="G23" i="40"/>
  <c r="AU109" i="59"/>
  <c r="G252" i="40"/>
  <c r="FA153" i="59"/>
  <c r="G24" i="40"/>
  <c r="CQ109" i="59"/>
  <c r="G253" i="40"/>
  <c r="HC153" i="59"/>
  <c r="G25" i="40"/>
  <c r="EM109" i="59"/>
  <c r="G254" i="40"/>
  <c r="N154" i="59"/>
  <c r="G26" i="40"/>
  <c r="GI109" i="59"/>
  <c r="G255" i="40"/>
  <c r="BP154" i="59"/>
  <c r="G27" i="40"/>
  <c r="IE109" i="59"/>
  <c r="G256" i="40"/>
  <c r="DR154" i="59"/>
  <c r="G28" i="40"/>
  <c r="AJ110" i="59"/>
  <c r="G257" i="40"/>
  <c r="FT154" i="59"/>
  <c r="G29" i="40"/>
  <c r="CF110" i="59"/>
  <c r="G258" i="40"/>
  <c r="HV154" i="59"/>
  <c r="G30" i="40"/>
  <c r="EB110" i="59"/>
  <c r="G259" i="40"/>
  <c r="AG155" i="59"/>
  <c r="G31" i="40"/>
  <c r="FX110" i="59"/>
  <c r="G260" i="40"/>
  <c r="CI155" i="59"/>
  <c r="G32" i="40"/>
  <c r="HT110" i="59"/>
  <c r="G261" i="40"/>
  <c r="EK155" i="59"/>
  <c r="G33" i="40"/>
  <c r="Y111" i="59"/>
  <c r="G262" i="40"/>
  <c r="GM155" i="59"/>
  <c r="G34" i="40"/>
  <c r="BU111" i="59"/>
  <c r="G263" i="40"/>
  <c r="IO155" i="59"/>
  <c r="G35" i="40"/>
  <c r="DQ111" i="59"/>
  <c r="G264" i="40"/>
  <c r="AZ156" i="59"/>
  <c r="G36" i="40"/>
  <c r="FM111" i="59"/>
  <c r="G265" i="40"/>
  <c r="DB156" i="59"/>
  <c r="G37" i="40"/>
  <c r="HI111" i="59"/>
  <c r="G266" i="40"/>
  <c r="FD156" i="59"/>
  <c r="G38" i="40"/>
  <c r="N112" i="59"/>
  <c r="G267" i="40"/>
  <c r="HF156" i="59"/>
  <c r="G39" i="40"/>
  <c r="BJ112" i="59"/>
  <c r="G268" i="40"/>
  <c r="Q157" i="59"/>
  <c r="G40" i="40"/>
  <c r="DF112" i="59"/>
  <c r="G269" i="40"/>
  <c r="BS157" i="59"/>
  <c r="G41" i="40"/>
  <c r="FB112" i="59"/>
  <c r="G270" i="40"/>
  <c r="DU157" i="59"/>
  <c r="G42" i="40"/>
  <c r="GX112" i="59"/>
  <c r="G271" i="40"/>
  <c r="FW157" i="59"/>
  <c r="F14" i="40"/>
  <c r="DL107" i="59"/>
  <c r="F243" i="40"/>
  <c r="FP151" i="59"/>
  <c r="F15" i="40"/>
  <c r="FH107" i="59"/>
  <c r="F244" i="40"/>
  <c r="HR151" i="59"/>
  <c r="F18" i="40"/>
  <c r="BE108" i="59"/>
  <c r="F247" i="40"/>
  <c r="EG152" i="59"/>
  <c r="F21" i="40"/>
  <c r="GS108" i="59"/>
  <c r="F250" i="40"/>
  <c r="AV153" i="59"/>
  <c r="F22" i="40"/>
  <c r="IO108" i="59"/>
  <c r="F251" i="40"/>
  <c r="CX153" i="59"/>
  <c r="F25" i="40"/>
  <c r="EL109" i="59"/>
  <c r="F254" i="40"/>
  <c r="M154" i="59"/>
  <c r="F28" i="40"/>
  <c r="AI110" i="59"/>
  <c r="F257" i="40"/>
  <c r="FS154" i="59"/>
  <c r="F31" i="40"/>
  <c r="FW110" i="59"/>
  <c r="F260" i="40"/>
  <c r="CH155" i="59"/>
  <c r="F34" i="40"/>
  <c r="BT111" i="59"/>
  <c r="F263" i="40"/>
  <c r="IN155" i="59"/>
  <c r="F36" i="40"/>
  <c r="FL111" i="59"/>
  <c r="F265" i="40"/>
  <c r="DA156" i="59"/>
  <c r="F39" i="40"/>
  <c r="BI112" i="59"/>
  <c r="F268" i="40"/>
  <c r="P157" i="59"/>
  <c r="F40" i="40"/>
  <c r="DE112" i="59"/>
  <c r="F269" i="40"/>
  <c r="BR157" i="59"/>
  <c r="F16" i="40"/>
  <c r="HD107" i="59"/>
  <c r="F245" i="40"/>
  <c r="AC152" i="59"/>
  <c r="F19" i="40"/>
  <c r="DA108" i="59"/>
  <c r="F248" i="40"/>
  <c r="GI152" i="59"/>
  <c r="F23" i="40"/>
  <c r="AT109" i="59"/>
  <c r="F252" i="40"/>
  <c r="EZ153" i="59"/>
  <c r="F27" i="40"/>
  <c r="ID109" i="59"/>
  <c r="F256" i="40"/>
  <c r="DQ154" i="59"/>
  <c r="F30" i="40"/>
  <c r="EA110" i="59"/>
  <c r="F259" i="40"/>
  <c r="AF155" i="59"/>
  <c r="F32" i="40"/>
  <c r="HS110" i="59"/>
  <c r="F261" i="40"/>
  <c r="EJ155" i="59"/>
  <c r="F35" i="40"/>
  <c r="DP111" i="59"/>
  <c r="F264" i="40"/>
  <c r="AY156" i="59"/>
  <c r="F38" i="40"/>
  <c r="M112" i="59"/>
  <c r="F267" i="40"/>
  <c r="HE156" i="59"/>
  <c r="F41" i="40"/>
  <c r="FA112" i="59"/>
  <c r="F270" i="40"/>
  <c r="DT157" i="59"/>
  <c r="F17" i="40"/>
  <c r="I108" i="59"/>
  <c r="F246" i="40"/>
  <c r="CE152" i="59"/>
  <c r="F20" i="40"/>
  <c r="EW108" i="59"/>
  <c r="F249" i="40"/>
  <c r="IK152" i="59"/>
  <c r="F24" i="40"/>
  <c r="CP109" i="59"/>
  <c r="F253" i="40"/>
  <c r="HB153" i="59"/>
  <c r="F26" i="40"/>
  <c r="GH109" i="59"/>
  <c r="F255" i="40"/>
  <c r="BO154" i="59"/>
  <c r="F29" i="40"/>
  <c r="CE110" i="59"/>
  <c r="F258" i="40"/>
  <c r="HU154" i="59"/>
  <c r="F33" i="40"/>
  <c r="X111" i="59"/>
  <c r="F262" i="40"/>
  <c r="GL155" i="59"/>
  <c r="F37" i="40"/>
  <c r="HH111" i="59"/>
  <c r="F266" i="40"/>
  <c r="FC156" i="59"/>
  <c r="F42" i="40"/>
  <c r="GW112" i="59"/>
  <c r="F271" i="40"/>
  <c r="FV157" i="59"/>
  <c r="H9" i="27"/>
  <c r="GB77" i="59"/>
  <c r="H8" i="27"/>
  <c r="FH77" i="59"/>
  <c r="H22" i="27"/>
  <c r="GK78" i="59"/>
  <c r="H14" i="27"/>
  <c r="AG78" i="59"/>
  <c r="H30" i="27"/>
  <c r="CX79" i="59"/>
  <c r="H34" i="27"/>
  <c r="FZ79" i="59"/>
  <c r="H18" i="27"/>
  <c r="DI78" i="59"/>
  <c r="H32" i="27"/>
  <c r="EL79" i="59"/>
  <c r="H24" i="27"/>
  <c r="HY78" i="59"/>
  <c r="H16" i="27"/>
  <c r="BU78" i="59"/>
  <c r="H33" i="27"/>
  <c r="FF79" i="59"/>
  <c r="H29" i="27"/>
  <c r="CD79" i="59"/>
  <c r="H25" i="27"/>
  <c r="IS78" i="59"/>
  <c r="H21" i="27"/>
  <c r="FQ78" i="59"/>
  <c r="H17" i="27"/>
  <c r="CO78" i="59"/>
  <c r="H13" i="27"/>
  <c r="M78" i="59"/>
  <c r="H26" i="27"/>
  <c r="V79" i="59"/>
  <c r="H10" i="27"/>
  <c r="GV77" i="59"/>
  <c r="H36" i="27"/>
  <c r="HN79" i="59"/>
  <c r="H28" i="27"/>
  <c r="BJ79" i="59"/>
  <c r="H20" i="27"/>
  <c r="EW78" i="59"/>
  <c r="H12" i="27"/>
  <c r="IJ77" i="59"/>
  <c r="H35" i="27"/>
  <c r="GT79" i="59"/>
  <c r="H31" i="27"/>
  <c r="DR79" i="59"/>
  <c r="H27" i="27"/>
  <c r="AP79" i="59"/>
  <c r="H23" i="27"/>
  <c r="HE78" i="59"/>
  <c r="H19" i="27"/>
  <c r="EC78" i="59"/>
  <c r="H15" i="27"/>
  <c r="BA78" i="59"/>
  <c r="H11" i="27"/>
  <c r="HP77" i="59"/>
  <c r="CF269" i="59"/>
  <c r="BI269" i="59"/>
  <c r="BK269" i="59"/>
  <c r="BO269" i="59"/>
  <c r="BS269" i="59"/>
  <c r="BJ269" i="59"/>
  <c r="BN269" i="59"/>
  <c r="BR269" i="59"/>
  <c r="BM269" i="59"/>
  <c r="BQ269" i="59"/>
  <c r="BU269" i="59"/>
  <c r="BL269" i="59"/>
  <c r="BP269" i="59"/>
  <c r="BT269" i="59"/>
  <c r="AM269" i="59"/>
  <c r="AP269" i="59"/>
  <c r="IT263" i="59"/>
  <c r="BE264" i="59"/>
  <c r="DO263" i="59"/>
  <c r="L49" i="48"/>
  <c r="L46" i="48"/>
  <c r="M9" i="48"/>
  <c r="EQ71" i="59"/>
  <c r="M13" i="48"/>
  <c r="HG71" i="59"/>
  <c r="I18" i="48"/>
  <c r="AS72" i="59"/>
  <c r="M8" i="48"/>
  <c r="DZ71" i="59"/>
  <c r="K18" i="48"/>
  <c r="AU72" i="59"/>
  <c r="M11" i="48"/>
  <c r="FY71" i="59"/>
  <c r="H9" i="48"/>
  <c r="EL71" i="59"/>
  <c r="H14" i="48"/>
  <c r="HS71" i="59"/>
  <c r="H12" i="48"/>
  <c r="GK71" i="59"/>
  <c r="H15" i="48"/>
  <c r="IJ71" i="59"/>
  <c r="H8" i="48"/>
  <c r="DU71" i="59"/>
  <c r="H11" i="48"/>
  <c r="FT71" i="59"/>
  <c r="H13" i="48"/>
  <c r="HB71" i="59"/>
  <c r="H10" i="48"/>
  <c r="FC71" i="59"/>
  <c r="H16" i="48"/>
  <c r="J72" i="59"/>
  <c r="J56" i="48"/>
  <c r="GH74" i="59"/>
  <c r="J52" i="48"/>
  <c r="DR74" i="59"/>
  <c r="J48" i="48"/>
  <c r="BB74" i="59"/>
  <c r="J43" i="48"/>
  <c r="HL73" i="59"/>
  <c r="J67" i="48"/>
  <c r="DV75" i="59"/>
  <c r="J59" i="48"/>
  <c r="IG74" i="59"/>
  <c r="J57" i="48"/>
  <c r="GY74" i="59"/>
  <c r="J40" i="48"/>
  <c r="FM73" i="59"/>
  <c r="J53" i="48"/>
  <c r="EI74" i="59"/>
  <c r="J49" i="48"/>
  <c r="BS74" i="59"/>
  <c r="J44" i="48"/>
  <c r="IC73" i="59"/>
  <c r="J68" i="48"/>
  <c r="EM75" i="59"/>
  <c r="J60" i="48"/>
  <c r="G75" i="59"/>
  <c r="J58" i="48"/>
  <c r="HP74" i="59"/>
  <c r="J69" i="48"/>
  <c r="J54" i="48"/>
  <c r="EZ74" i="59"/>
  <c r="J50" i="48"/>
  <c r="CJ74" i="59"/>
  <c r="J46" i="48"/>
  <c r="T74" i="59"/>
  <c r="J41" i="48"/>
  <c r="J65" i="48"/>
  <c r="CN75" i="59"/>
  <c r="J61" i="48"/>
  <c r="X75" i="59"/>
  <c r="J55" i="48"/>
  <c r="FQ74" i="59"/>
  <c r="J51" i="48"/>
  <c r="DA74" i="59"/>
  <c r="J47" i="48"/>
  <c r="AK74" i="59"/>
  <c r="J42" i="48"/>
  <c r="GU73" i="59"/>
  <c r="J66" i="48"/>
  <c r="DE75" i="59"/>
  <c r="J62" i="48"/>
  <c r="AO75" i="59"/>
  <c r="P9" i="13"/>
  <c r="BM263" i="59"/>
  <c r="DG264" i="59"/>
  <c r="FI264" i="59"/>
  <c r="AV11" i="59"/>
  <c r="A9" i="13"/>
  <c r="AX263" i="59"/>
  <c r="H31" i="48"/>
  <c r="N73" i="59"/>
  <c r="H29" i="48"/>
  <c r="HW72" i="59"/>
  <c r="H27" i="48"/>
  <c r="GO72" i="59"/>
  <c r="H26" i="48"/>
  <c r="FX72" i="59"/>
  <c r="H33" i="48"/>
  <c r="AV73" i="59"/>
  <c r="H32" i="48"/>
  <c r="AE73" i="59"/>
  <c r="H24" i="48"/>
  <c r="EP72" i="59"/>
  <c r="H28" i="48"/>
  <c r="HF72" i="59"/>
  <c r="H25" i="48"/>
  <c r="FG72" i="59"/>
  <c r="H30" i="48"/>
  <c r="IN72" i="59"/>
  <c r="M263" i="59"/>
  <c r="FK69" i="59"/>
  <c r="FK75" i="59"/>
  <c r="Q70" i="59"/>
  <c r="BI74" i="59"/>
  <c r="J70" i="59"/>
  <c r="GD73" i="59"/>
  <c r="B126" i="36"/>
  <c r="DU92" i="59"/>
  <c r="BD74" i="59"/>
  <c r="B186" i="36"/>
  <c r="CN95" i="59"/>
  <c r="FB74" i="59"/>
  <c r="B266" i="36"/>
  <c r="BV99" i="59"/>
  <c r="AQ75" i="59"/>
  <c r="B326" i="36"/>
  <c r="AP102" i="59"/>
  <c r="EO75" i="59"/>
  <c r="B66" i="36"/>
  <c r="DW89" i="59"/>
  <c r="GW73" i="59"/>
  <c r="B196" i="36"/>
  <c r="HD95" i="59"/>
  <c r="FS74" i="59"/>
  <c r="B336" i="36"/>
  <c r="FF102" i="59"/>
  <c r="FF75" i="59"/>
  <c r="FF69" i="59"/>
  <c r="E46" i="43"/>
  <c r="F46" i="43"/>
  <c r="J11" i="59"/>
  <c r="H11" i="59"/>
  <c r="B76" i="36"/>
  <c r="IM89" i="59"/>
  <c r="L70" i="59"/>
  <c r="HN73" i="59"/>
  <c r="B206" i="36"/>
  <c r="CF96" i="59"/>
  <c r="GJ74" i="59"/>
  <c r="B276" i="36"/>
  <c r="GL99" i="59"/>
  <c r="BH75" i="59"/>
  <c r="B86" i="36"/>
  <c r="DO90" i="59"/>
  <c r="IE73" i="59"/>
  <c r="B96" i="36"/>
  <c r="IO90" i="59"/>
  <c r="IV73" i="59"/>
  <c r="B146" i="36"/>
  <c r="DJ93" i="59"/>
  <c r="CL74" i="59"/>
  <c r="B226" i="36"/>
  <c r="CN97" i="59"/>
  <c r="HR74" i="59"/>
  <c r="B286" i="36"/>
  <c r="BK100" i="59"/>
  <c r="BY75" i="59"/>
  <c r="B136" i="36"/>
  <c r="IK92" i="59"/>
  <c r="BU74" i="59"/>
  <c r="B156" i="36"/>
  <c r="HZ93" i="59"/>
  <c r="DC74" i="59"/>
  <c r="B236" i="36"/>
  <c r="HG97" i="59"/>
  <c r="II74" i="59"/>
  <c r="B296" i="36"/>
  <c r="GA100" i="59"/>
  <c r="CP75" i="59"/>
  <c r="B216" i="36"/>
  <c r="HF96" i="59"/>
  <c r="HA74" i="59"/>
  <c r="B106" i="36"/>
  <c r="DW91" i="59"/>
  <c r="V74" i="59"/>
  <c r="B166" i="36"/>
  <c r="CY94" i="59"/>
  <c r="DT74" i="59"/>
  <c r="B246" i="36"/>
  <c r="CF98" i="59"/>
  <c r="I75" i="59"/>
  <c r="B306" i="36"/>
  <c r="AZ101" i="59"/>
  <c r="DG75" i="59"/>
  <c r="B56" i="36"/>
  <c r="G89" i="59"/>
  <c r="GF73" i="59"/>
  <c r="FD69" i="59"/>
  <c r="FD75" i="59"/>
  <c r="B116" i="36"/>
  <c r="IV91" i="59"/>
  <c r="AM74" i="59"/>
  <c r="B176" i="36"/>
  <c r="HO94" i="59"/>
  <c r="EK74" i="59"/>
  <c r="B256" i="36"/>
  <c r="GV98" i="59"/>
  <c r="Z75" i="59"/>
  <c r="B316" i="36"/>
  <c r="FQ101" i="59"/>
  <c r="DX75" i="59"/>
  <c r="B46" i="36"/>
  <c r="EH88" i="59"/>
  <c r="FO73" i="59"/>
  <c r="D31" i="27"/>
  <c r="DN79" i="59"/>
  <c r="D20" i="27"/>
  <c r="ES78" i="59"/>
  <c r="D14" i="27"/>
  <c r="AC78" i="59"/>
  <c r="BF49" i="56"/>
  <c r="GU251" i="59"/>
  <c r="BD6" i="56"/>
  <c r="HU244" i="59"/>
  <c r="D7" i="27"/>
  <c r="EJ77" i="59"/>
  <c r="D24" i="27"/>
  <c r="HU78" i="59"/>
  <c r="R10" i="13"/>
  <c r="CP263" i="59"/>
  <c r="D16" i="27"/>
  <c r="BQ78" i="59"/>
  <c r="D25" i="27"/>
  <c r="IO78" i="59"/>
  <c r="D12" i="27"/>
  <c r="IF77" i="59"/>
  <c r="D35" i="27"/>
  <c r="GP79" i="59"/>
  <c r="D29" i="27"/>
  <c r="BZ79" i="59"/>
  <c r="D8" i="27"/>
  <c r="FD77" i="59"/>
  <c r="D26" i="27"/>
  <c r="R79" i="59"/>
  <c r="D18" i="27"/>
  <c r="DE78" i="59"/>
  <c r="D10" i="27"/>
  <c r="GR77" i="59"/>
  <c r="D36" i="27"/>
  <c r="HJ79" i="59"/>
  <c r="D11" i="27"/>
  <c r="HL77" i="59"/>
  <c r="D19" i="27"/>
  <c r="DY78" i="59"/>
  <c r="D17" i="27"/>
  <c r="CK78" i="59"/>
  <c r="D34" i="27"/>
  <c r="FV79" i="59"/>
  <c r="D23" i="27"/>
  <c r="HA78" i="59"/>
  <c r="D21" i="27"/>
  <c r="FM78" i="59"/>
  <c r="D22" i="27"/>
  <c r="GG78" i="59"/>
  <c r="A10" i="13"/>
  <c r="BY263" i="59"/>
  <c r="D15" i="27"/>
  <c r="AW78" i="59"/>
  <c r="D32" i="27"/>
  <c r="EH79" i="59"/>
  <c r="D33" i="27"/>
  <c r="FB79" i="59"/>
  <c r="D30" i="27"/>
  <c r="CT79" i="59"/>
  <c r="D27" i="27"/>
  <c r="AL79" i="59"/>
  <c r="D13" i="27"/>
  <c r="I78" i="59"/>
  <c r="D28" i="27"/>
  <c r="BF79" i="59"/>
  <c r="E7" i="27" a="1"/>
  <c r="E9" i="27"/>
  <c r="FY77" i="59"/>
  <c r="R22" i="13"/>
  <c r="FK264" i="59"/>
  <c r="R9" i="13"/>
  <c r="R19" i="13"/>
  <c r="CH264" i="59"/>
  <c r="R11" i="13"/>
  <c r="DQ263" i="59"/>
  <c r="R18" i="13"/>
  <c r="BG264" i="59"/>
  <c r="R16" i="13"/>
  <c r="IV263" i="59"/>
  <c r="R13" i="13"/>
  <c r="FS263" i="59"/>
  <c r="R12" i="13"/>
  <c r="ER263" i="59"/>
  <c r="R20" i="13"/>
  <c r="DI264" i="59"/>
  <c r="R17" i="13"/>
  <c r="AF264" i="59"/>
  <c r="D47" i="43"/>
  <c r="AW11" i="59"/>
  <c r="AN263" i="59"/>
  <c r="R24" i="13"/>
  <c r="HM264" i="59"/>
  <c r="I64" i="48"/>
  <c r="BV75" i="59"/>
  <c r="I55" i="48"/>
  <c r="FP74" i="59"/>
  <c r="H162" i="40"/>
  <c r="EZ137" i="59"/>
  <c r="I59" i="48"/>
  <c r="IF74" i="59"/>
  <c r="H35" i="40"/>
  <c r="DR111" i="59"/>
  <c r="I61" i="48"/>
  <c r="W75" i="59"/>
  <c r="I48" i="48"/>
  <c r="BA74" i="59"/>
  <c r="H178" i="40"/>
  <c r="H181" i="40"/>
  <c r="H29" i="40"/>
  <c r="CG110" i="59"/>
  <c r="H18" i="40"/>
  <c r="BG108" i="59"/>
  <c r="H159" i="40"/>
  <c r="H26" i="40"/>
  <c r="GJ109" i="59"/>
  <c r="H42" i="40"/>
  <c r="GY112" i="59"/>
  <c r="H23" i="40"/>
  <c r="AV109" i="59"/>
  <c r="H182" i="40"/>
  <c r="H184" i="40"/>
  <c r="H169" i="40"/>
  <c r="K139" i="59"/>
  <c r="H33" i="40"/>
  <c r="Z111" i="59"/>
  <c r="H168" i="40"/>
  <c r="HC138" i="59"/>
  <c r="H14" i="40"/>
  <c r="DN107" i="59"/>
  <c r="H13" i="40"/>
  <c r="BR107" i="59"/>
  <c r="H185" i="40"/>
  <c r="BV142" i="59"/>
  <c r="H173" i="40"/>
  <c r="H177" i="40"/>
  <c r="FL140" i="59"/>
  <c r="H39" i="40"/>
  <c r="BK112" i="59"/>
  <c r="H179" i="40"/>
  <c r="H27" i="40"/>
  <c r="IF109" i="59"/>
  <c r="H31" i="40"/>
  <c r="FY110" i="59"/>
  <c r="H160" i="40"/>
  <c r="I52" i="48"/>
  <c r="DQ74" i="59"/>
  <c r="H36" i="40"/>
  <c r="FN111" i="59"/>
  <c r="H38" i="40"/>
  <c r="O112" i="59"/>
  <c r="H176" i="40"/>
  <c r="DM140" i="59"/>
  <c r="H22" i="40"/>
  <c r="IQ108" i="59"/>
  <c r="H20" i="40"/>
  <c r="EY108" i="59"/>
  <c r="H17" i="40"/>
  <c r="K108" i="59"/>
  <c r="I60" i="48"/>
  <c r="F75" i="59"/>
  <c r="N64" i="48"/>
  <c r="CA75" i="59"/>
  <c r="H30" i="40"/>
  <c r="EC110" i="59"/>
  <c r="H165" i="40"/>
  <c r="BF138" i="59"/>
  <c r="H166" i="40"/>
  <c r="H19" i="40"/>
  <c r="DC108" i="59"/>
  <c r="H174" i="40"/>
  <c r="O140" i="59"/>
  <c r="H186" i="40"/>
  <c r="H28" i="40"/>
  <c r="AK110" i="59"/>
  <c r="H163" i="40"/>
  <c r="I46" i="48"/>
  <c r="S74" i="59"/>
  <c r="H180" i="40"/>
  <c r="BR141" i="59"/>
  <c r="H175" i="40"/>
  <c r="H161" i="40"/>
  <c r="DA137" i="59"/>
  <c r="H34" i="40"/>
  <c r="BV111" i="59"/>
  <c r="H21" i="40"/>
  <c r="GU108" i="59"/>
  <c r="H15" i="40"/>
  <c r="FJ107" i="59"/>
  <c r="H167" i="40"/>
  <c r="H188" i="40"/>
  <c r="HS142" i="59"/>
  <c r="H172" i="40"/>
  <c r="H164" i="40"/>
  <c r="P38" i="40"/>
  <c r="W112" i="59"/>
  <c r="Q42" i="40"/>
  <c r="HH112" i="59"/>
  <c r="Q21" i="40"/>
  <c r="HD108" i="59"/>
  <c r="H252" i="40"/>
  <c r="FB153" i="59"/>
  <c r="I62" i="48"/>
  <c r="AN75" i="59"/>
  <c r="I68" i="48"/>
  <c r="EL75" i="59"/>
  <c r="I43" i="48"/>
  <c r="HK73" i="59"/>
  <c r="P23" i="40"/>
  <c r="BD109" i="59"/>
  <c r="P28" i="40"/>
  <c r="AS110" i="59"/>
  <c r="Q33" i="40"/>
  <c r="AI111" i="59"/>
  <c r="Q20" i="40"/>
  <c r="FH108" i="59"/>
  <c r="H187" i="40"/>
  <c r="FT142" i="59"/>
  <c r="H183" i="40"/>
  <c r="HO141" i="59"/>
  <c r="H170" i="40"/>
  <c r="BJ139" i="59"/>
  <c r="I42" i="48"/>
  <c r="GT73" i="59"/>
  <c r="I40" i="48"/>
  <c r="I67" i="48"/>
  <c r="DU75" i="59"/>
  <c r="P42" i="40"/>
  <c r="HG112" i="59"/>
  <c r="P26" i="40"/>
  <c r="GR109" i="59"/>
  <c r="P41" i="40"/>
  <c r="FK112" i="59"/>
  <c r="P30" i="40"/>
  <c r="EK110" i="59"/>
  <c r="P16" i="40"/>
  <c r="HN107" i="59"/>
  <c r="P34" i="40"/>
  <c r="CD111" i="59"/>
  <c r="P22" i="40"/>
  <c r="H109" i="59"/>
  <c r="P14" i="40"/>
  <c r="DV107" i="59"/>
  <c r="Q39" i="40"/>
  <c r="BT112" i="59"/>
  <c r="Q35" i="40"/>
  <c r="EA111" i="59"/>
  <c r="Q31" i="40"/>
  <c r="GH110" i="59"/>
  <c r="Q27" i="40"/>
  <c r="IO109" i="59"/>
  <c r="Q23" i="40"/>
  <c r="BE109" i="59"/>
  <c r="Q13" i="40"/>
  <c r="CA107" i="59"/>
  <c r="Q17" i="40"/>
  <c r="T108" i="59"/>
  <c r="H40" i="40"/>
  <c r="DG112" i="59"/>
  <c r="H32" i="40"/>
  <c r="HU110" i="59"/>
  <c r="H16" i="40"/>
  <c r="HF107" i="59"/>
  <c r="I45" i="48"/>
  <c r="IS73" i="59"/>
  <c r="I58" i="48"/>
  <c r="HO74" i="59"/>
  <c r="I51" i="48"/>
  <c r="CZ74" i="59"/>
  <c r="N63" i="48"/>
  <c r="BJ75" i="59"/>
  <c r="H253" i="40"/>
  <c r="HD153" i="59"/>
  <c r="H267" i="40"/>
  <c r="HG156" i="59"/>
  <c r="H269" i="40"/>
  <c r="BT157" i="59"/>
  <c r="P31" i="40"/>
  <c r="GG110" i="59"/>
  <c r="Q30" i="40"/>
  <c r="EL110" i="59"/>
  <c r="H262" i="40"/>
  <c r="GN155" i="59"/>
  <c r="P20" i="40"/>
  <c r="FG108" i="59"/>
  <c r="P39" i="40"/>
  <c r="BS112" i="59"/>
  <c r="Q37" i="40"/>
  <c r="HS111" i="59"/>
  <c r="Q29" i="40"/>
  <c r="CP110" i="59"/>
  <c r="Q14" i="40"/>
  <c r="DW107" i="59"/>
  <c r="H25" i="40"/>
  <c r="EN109" i="59"/>
  <c r="I49" i="48"/>
  <c r="BR74" i="59"/>
  <c r="I54" i="48"/>
  <c r="EY74" i="59"/>
  <c r="I66" i="48"/>
  <c r="DD75" i="59"/>
  <c r="I63" i="48"/>
  <c r="BE75" i="59"/>
  <c r="H261" i="40"/>
  <c r="EL155" i="59"/>
  <c r="H265" i="40"/>
  <c r="DC156" i="59"/>
  <c r="P37" i="40"/>
  <c r="HR111" i="59"/>
  <c r="P27" i="40"/>
  <c r="IN109" i="59"/>
  <c r="P21" i="40"/>
  <c r="HC108" i="59"/>
  <c r="Q34" i="40"/>
  <c r="CE111" i="59"/>
  <c r="Q22" i="40"/>
  <c r="I109" i="59"/>
  <c r="H249" i="40"/>
  <c r="IM152" i="59"/>
  <c r="H268" i="40"/>
  <c r="R157" i="59"/>
  <c r="P33" i="40"/>
  <c r="AH111" i="59"/>
  <c r="P18" i="40"/>
  <c r="BO108" i="59"/>
  <c r="Q25" i="40"/>
  <c r="EW109" i="59"/>
  <c r="H171" i="40"/>
  <c r="I65" i="48"/>
  <c r="CM75" i="59"/>
  <c r="I41" i="48"/>
  <c r="GC73" i="59"/>
  <c r="I53" i="48"/>
  <c r="EH74" i="59"/>
  <c r="I47" i="48"/>
  <c r="AJ74" i="59"/>
  <c r="P29" i="40"/>
  <c r="CO110" i="59"/>
  <c r="P17" i="40"/>
  <c r="S108" i="59"/>
  <c r="P32" i="40"/>
  <c r="IC110" i="59"/>
  <c r="P19" i="40"/>
  <c r="DK108" i="59"/>
  <c r="P36" i="40"/>
  <c r="FV111" i="59"/>
  <c r="P25" i="40"/>
  <c r="EV109" i="59"/>
  <c r="P15" i="40"/>
  <c r="FR107" i="59"/>
  <c r="Q40" i="40"/>
  <c r="DP112" i="59"/>
  <c r="Q36" i="40"/>
  <c r="FW111" i="59"/>
  <c r="Q32" i="40"/>
  <c r="ID110" i="59"/>
  <c r="Q28" i="40"/>
  <c r="AT110" i="59"/>
  <c r="Q24" i="40"/>
  <c r="DA109" i="59"/>
  <c r="Q16" i="40"/>
  <c r="HO107" i="59"/>
  <c r="Q18" i="40"/>
  <c r="BP108" i="59"/>
  <c r="P24" i="40"/>
  <c r="CZ109" i="59"/>
  <c r="P40" i="40"/>
  <c r="DO112" i="59"/>
  <c r="Q38" i="40"/>
  <c r="X112" i="59"/>
  <c r="Q26" i="40"/>
  <c r="GS109" i="59"/>
  <c r="Q15" i="40"/>
  <c r="FS107" i="59"/>
  <c r="H264" i="40"/>
  <c r="BA156" i="59"/>
  <c r="H257" i="40"/>
  <c r="FU154" i="59"/>
  <c r="I50" i="48"/>
  <c r="CI74" i="59"/>
  <c r="P35" i="40"/>
  <c r="DZ111" i="59"/>
  <c r="Q41" i="40"/>
  <c r="FL112" i="59"/>
  <c r="Q19" i="40"/>
  <c r="DL108" i="59"/>
  <c r="H41" i="40"/>
  <c r="FC112" i="59"/>
  <c r="H37" i="40"/>
  <c r="HJ111" i="59"/>
  <c r="H24" i="40"/>
  <c r="CR109" i="59"/>
  <c r="I56" i="48"/>
  <c r="GG74" i="59"/>
  <c r="I57" i="48"/>
  <c r="GX74" i="59"/>
  <c r="I69" i="48"/>
  <c r="I44" i="48"/>
  <c r="IB73" i="59"/>
  <c r="H245" i="40"/>
  <c r="AE152" i="59"/>
  <c r="N45" i="48"/>
  <c r="I34" i="48"/>
  <c r="BN73" i="59"/>
  <c r="BW269" i="59"/>
  <c r="BY269" i="59"/>
  <c r="BX269" i="59"/>
  <c r="AY269" i="59"/>
  <c r="BZ269" i="59"/>
  <c r="H250" i="40"/>
  <c r="AX153" i="59"/>
  <c r="H271" i="40"/>
  <c r="FX157" i="59"/>
  <c r="H255" i="40"/>
  <c r="BQ154" i="59"/>
  <c r="H270" i="40"/>
  <c r="DV157" i="59"/>
  <c r="H259" i="40"/>
  <c r="AH155" i="59"/>
  <c r="H251" i="40"/>
  <c r="CZ153" i="59"/>
  <c r="H244" i="40"/>
  <c r="HT151" i="59"/>
  <c r="H247" i="40"/>
  <c r="EI152" i="59"/>
  <c r="H243" i="40"/>
  <c r="FR151" i="59"/>
  <c r="M33" i="48"/>
  <c r="BA73" i="59"/>
  <c r="H263" i="40"/>
  <c r="IP155" i="59"/>
  <c r="H266" i="40"/>
  <c r="FE156" i="59"/>
  <c r="H258" i="40"/>
  <c r="HW154" i="59"/>
  <c r="H246" i="40"/>
  <c r="CG152" i="59"/>
  <c r="H256" i="40"/>
  <c r="DS154" i="59"/>
  <c r="H248" i="40"/>
  <c r="GK152" i="59"/>
  <c r="H260" i="40"/>
  <c r="CJ155" i="59"/>
  <c r="H254" i="40"/>
  <c r="O154" i="59"/>
  <c r="H6" i="27"/>
  <c r="DT77" i="59"/>
  <c r="I7" i="27" a="1"/>
  <c r="I16" i="27"/>
  <c r="BV78" i="59"/>
  <c r="F7" i="27" a="1"/>
  <c r="F15" i="27"/>
  <c r="AY78" i="59"/>
  <c r="IE268" i="59"/>
  <c r="IB268" i="59"/>
  <c r="O269" i="59"/>
  <c r="DA269" i="59"/>
  <c r="CX269" i="59"/>
  <c r="L10" i="48"/>
  <c r="FG71" i="59"/>
  <c r="L12" i="48"/>
  <c r="GO71" i="59"/>
  <c r="L14" i="48"/>
  <c r="HW71" i="59"/>
  <c r="L16" i="48"/>
  <c r="N72" i="59"/>
  <c r="L8" i="48"/>
  <c r="DY71" i="59"/>
  <c r="L9" i="48"/>
  <c r="EP71" i="59"/>
  <c r="L11" i="48"/>
  <c r="FX71" i="59"/>
  <c r="L13" i="48"/>
  <c r="HF71" i="59"/>
  <c r="L15" i="48"/>
  <c r="IN71" i="59"/>
  <c r="L17" i="48"/>
  <c r="AE72" i="59"/>
  <c r="J10" i="48"/>
  <c r="FE71" i="59"/>
  <c r="J12" i="48"/>
  <c r="GM71" i="59"/>
  <c r="J14" i="48"/>
  <c r="HU71" i="59"/>
  <c r="J16" i="48"/>
  <c r="L72" i="59"/>
  <c r="J8" i="48"/>
  <c r="DW71" i="59"/>
  <c r="J9" i="48"/>
  <c r="EN71" i="59"/>
  <c r="J11" i="48"/>
  <c r="FV71" i="59"/>
  <c r="J13" i="48"/>
  <c r="HD71" i="59"/>
  <c r="J15" i="48"/>
  <c r="IL71" i="59"/>
  <c r="J17" i="48"/>
  <c r="AC72" i="59"/>
  <c r="L70" i="48"/>
  <c r="FW75" i="59"/>
  <c r="M32" i="48"/>
  <c r="AJ73" i="59"/>
  <c r="K34" i="48"/>
  <c r="BP73" i="59"/>
  <c r="N62" i="48"/>
  <c r="AS75" i="59"/>
  <c r="N52" i="48"/>
  <c r="DV74" i="59"/>
  <c r="N58" i="48"/>
  <c r="HT74" i="59"/>
  <c r="N55" i="48"/>
  <c r="FU74" i="59"/>
  <c r="N57" i="48"/>
  <c r="HC74" i="59"/>
  <c r="N53" i="48"/>
  <c r="EM74" i="59"/>
  <c r="N48" i="48"/>
  <c r="BF74" i="59"/>
  <c r="N69" i="48"/>
  <c r="N51" i="48"/>
  <c r="DE74" i="59"/>
  <c r="N66" i="48"/>
  <c r="DI75" i="59"/>
  <c r="N54" i="48"/>
  <c r="FD74" i="59"/>
  <c r="N41" i="48"/>
  <c r="GH73" i="59"/>
  <c r="J70" i="48"/>
  <c r="FU75" i="59"/>
  <c r="N49" i="48"/>
  <c r="BW74" i="59"/>
  <c r="N43" i="48"/>
  <c r="HP73" i="59"/>
  <c r="N67" i="48"/>
  <c r="DZ75" i="59"/>
  <c r="N47" i="48"/>
  <c r="AO74" i="59"/>
  <c r="N60" i="48"/>
  <c r="K75" i="59"/>
  <c r="N50" i="48"/>
  <c r="CN74" i="59"/>
  <c r="N65" i="48"/>
  <c r="CR75" i="59"/>
  <c r="N44" i="48"/>
  <c r="IG73" i="59"/>
  <c r="N68" i="48"/>
  <c r="EQ75" i="59"/>
  <c r="N56" i="48"/>
  <c r="GL74" i="59"/>
  <c r="N42" i="48"/>
  <c r="GY73" i="59"/>
  <c r="N61" i="48"/>
  <c r="AB75" i="59"/>
  <c r="N46" i="48"/>
  <c r="X74" i="59"/>
  <c r="N59" i="48"/>
  <c r="IK74" i="59"/>
  <c r="N40" i="48"/>
  <c r="FQ73" i="59"/>
  <c r="M18" i="48"/>
  <c r="AW72" i="59"/>
  <c r="H18" i="48"/>
  <c r="AR72" i="59"/>
  <c r="A6" i="11"/>
  <c r="GL291" i="59"/>
  <c r="BO263" i="59"/>
  <c r="D56" i="13"/>
  <c r="C56" i="13"/>
  <c r="D54" i="13"/>
  <c r="C54" i="13"/>
  <c r="D53" i="13"/>
  <c r="C53" i="13"/>
  <c r="D52" i="13"/>
  <c r="C52" i="13"/>
  <c r="D55" i="13"/>
  <c r="C55" i="13"/>
  <c r="H34" i="48"/>
  <c r="BM73" i="59"/>
  <c r="FC69" i="59"/>
  <c r="FC75" i="59"/>
  <c r="H207" i="40"/>
  <c r="GM146" i="59"/>
  <c r="FH139" i="59"/>
  <c r="H221" i="40"/>
  <c r="EZ149" i="59"/>
  <c r="DU142" i="59"/>
  <c r="H219" i="40"/>
  <c r="BB149" i="59"/>
  <c r="W142" i="59"/>
  <c r="H216" i="40"/>
  <c r="EV148" i="59"/>
  <c r="DQ141" i="59"/>
  <c r="H208" i="40"/>
  <c r="IL146" i="59"/>
  <c r="HG139" i="59"/>
  <c r="H217" i="40"/>
  <c r="GU148" i="59"/>
  <c r="FP141" i="59"/>
  <c r="H202" i="40"/>
  <c r="GI145" i="59"/>
  <c r="FD138" i="59"/>
  <c r="H198" i="40"/>
  <c r="ID144" i="59"/>
  <c r="GY137" i="59"/>
  <c r="H194" i="40"/>
  <c r="AH144" i="59"/>
  <c r="IT136" i="59"/>
  <c r="H213" i="40"/>
  <c r="IP147" i="59"/>
  <c r="HK140" i="59"/>
  <c r="H214" i="40"/>
  <c r="AX148" i="59"/>
  <c r="S141" i="59"/>
  <c r="A8" i="11"/>
  <c r="G292" i="59"/>
  <c r="H206" i="40"/>
  <c r="EN146" i="59"/>
  <c r="DI139" i="59"/>
  <c r="I70" i="59"/>
  <c r="FL73" i="59"/>
  <c r="H199" i="40"/>
  <c r="AL145" i="59"/>
  <c r="G138" i="59"/>
  <c r="H210" i="40"/>
  <c r="CS147" i="59"/>
  <c r="BN140" i="59"/>
  <c r="H201" i="40"/>
  <c r="EJ145" i="59"/>
  <c r="DE138" i="59"/>
  <c r="H195" i="40"/>
  <c r="CG144" i="59"/>
  <c r="BB137" i="59"/>
  <c r="FH69" i="59"/>
  <c r="FH75" i="59"/>
  <c r="N70" i="59"/>
  <c r="G74" i="59"/>
  <c r="E47" i="43"/>
  <c r="AX11" i="59"/>
  <c r="I11" i="59"/>
  <c r="F32" i="27"/>
  <c r="EJ79" i="59"/>
  <c r="BH49" i="56"/>
  <c r="GW251" i="59"/>
  <c r="BF6" i="56"/>
  <c r="HW244" i="59"/>
  <c r="E25" i="27"/>
  <c r="IP78" i="59"/>
  <c r="E32" i="27"/>
  <c r="EI79" i="59"/>
  <c r="E23" i="27"/>
  <c r="HB78" i="59"/>
  <c r="E36" i="27"/>
  <c r="HK79" i="59"/>
  <c r="E18" i="27"/>
  <c r="DF78" i="59"/>
  <c r="R5" i="13"/>
  <c r="A11" i="13"/>
  <c r="CZ263" i="59"/>
  <c r="E29" i="27"/>
  <c r="CA79" i="59"/>
  <c r="E31" i="27"/>
  <c r="DO79" i="59"/>
  <c r="E10" i="27"/>
  <c r="GS77" i="59"/>
  <c r="F24" i="27"/>
  <c r="HW78" i="59"/>
  <c r="E33" i="27"/>
  <c r="FC79" i="59"/>
  <c r="E28" i="27"/>
  <c r="BG79" i="59"/>
  <c r="E20" i="27"/>
  <c r="ET78" i="59"/>
  <c r="E22" i="27"/>
  <c r="GH78" i="59"/>
  <c r="E8" i="27"/>
  <c r="FE77" i="59"/>
  <c r="E7" i="27"/>
  <c r="EK77" i="59"/>
  <c r="E11" i="27"/>
  <c r="HM77" i="59"/>
  <c r="E16" i="27"/>
  <c r="BR78" i="59"/>
  <c r="D37" i="27"/>
  <c r="ID79" i="59"/>
  <c r="E17" i="27"/>
  <c r="CL78" i="59"/>
  <c r="E15" i="27"/>
  <c r="AX78" i="59"/>
  <c r="E30" i="27"/>
  <c r="CU79" i="59"/>
  <c r="E21" i="27"/>
  <c r="FN78" i="59"/>
  <c r="E19" i="27"/>
  <c r="DZ78" i="59"/>
  <c r="E14" i="27"/>
  <c r="AD78" i="59"/>
  <c r="E24" i="27"/>
  <c r="HV78" i="59"/>
  <c r="E27" i="27"/>
  <c r="AM79" i="59"/>
  <c r="E26" i="27"/>
  <c r="S79" i="59"/>
  <c r="E13" i="27"/>
  <c r="J78" i="59"/>
  <c r="E12" i="27"/>
  <c r="IG77" i="59"/>
  <c r="E35" i="27"/>
  <c r="GQ79" i="59"/>
  <c r="E34" i="27"/>
  <c r="FW79" i="59"/>
  <c r="A7" i="11"/>
  <c r="HR291" i="59"/>
  <c r="IN268" i="59"/>
  <c r="IS296" i="59"/>
  <c r="G46" i="43"/>
  <c r="K11" i="59"/>
  <c r="F47" i="43"/>
  <c r="AY11" i="59"/>
  <c r="H197" i="40"/>
  <c r="GE144" i="59"/>
  <c r="H204" i="40"/>
  <c r="AP146" i="59"/>
  <c r="H196" i="40"/>
  <c r="EF144" i="59"/>
  <c r="H211" i="40"/>
  <c r="ER147" i="59"/>
  <c r="H220" i="40"/>
  <c r="DA149" i="59"/>
  <c r="H200" i="40"/>
  <c r="CK145" i="59"/>
  <c r="H212" i="40"/>
  <c r="GQ147" i="59"/>
  <c r="H215" i="40"/>
  <c r="CW148" i="59"/>
  <c r="H218" i="40"/>
  <c r="IT148" i="59"/>
  <c r="H203" i="40"/>
  <c r="IH145" i="59"/>
  <c r="H223" i="40"/>
  <c r="G150" i="59"/>
  <c r="H209" i="40"/>
  <c r="AT147" i="59"/>
  <c r="J29" i="48"/>
  <c r="HY72" i="59"/>
  <c r="H222" i="40"/>
  <c r="GY149" i="59"/>
  <c r="J251" i="40"/>
  <c r="DB153" i="59"/>
  <c r="H205" i="40"/>
  <c r="CO146" i="59"/>
  <c r="J25" i="48"/>
  <c r="FI72" i="59"/>
  <c r="J258" i="40"/>
  <c r="HY154" i="59"/>
  <c r="J264" i="40"/>
  <c r="BC156" i="59"/>
  <c r="J253" i="40"/>
  <c r="HF153" i="59"/>
  <c r="J252" i="40"/>
  <c r="FD153" i="59"/>
  <c r="J266" i="40"/>
  <c r="FG156" i="59"/>
  <c r="I70" i="48"/>
  <c r="FT75" i="59"/>
  <c r="J260" i="40"/>
  <c r="CL155" i="59"/>
  <c r="J263" i="40"/>
  <c r="IR155" i="59"/>
  <c r="J270" i="40"/>
  <c r="DX157" i="59"/>
  <c r="J268" i="40"/>
  <c r="T157" i="59"/>
  <c r="J269" i="40"/>
  <c r="BV157" i="59"/>
  <c r="J259" i="40"/>
  <c r="AJ155" i="59"/>
  <c r="J265" i="40"/>
  <c r="DE156" i="59"/>
  <c r="J30" i="48"/>
  <c r="IP72" i="59"/>
  <c r="J255" i="40"/>
  <c r="BS154" i="59"/>
  <c r="J261" i="40"/>
  <c r="EN155" i="59"/>
  <c r="J254" i="40"/>
  <c r="Q154" i="59"/>
  <c r="J24" i="48"/>
  <c r="ER72" i="59"/>
  <c r="J256" i="40"/>
  <c r="DU154" i="59"/>
  <c r="J271" i="40"/>
  <c r="FZ157" i="59"/>
  <c r="J257" i="40"/>
  <c r="FW154" i="59"/>
  <c r="J262" i="40"/>
  <c r="GP155" i="59"/>
  <c r="J267" i="40"/>
  <c r="HI156" i="59"/>
  <c r="J33" i="48"/>
  <c r="AX73" i="59"/>
  <c r="J28" i="48"/>
  <c r="HH72" i="59"/>
  <c r="J32" i="48"/>
  <c r="AG73" i="59"/>
  <c r="J26" i="48"/>
  <c r="FZ72" i="59"/>
  <c r="J31" i="48"/>
  <c r="P73" i="59"/>
  <c r="J27" i="48"/>
  <c r="GQ72" i="59"/>
  <c r="M63" i="48"/>
  <c r="BI75" i="59"/>
  <c r="F33" i="27"/>
  <c r="FD79" i="59"/>
  <c r="F35" i="27"/>
  <c r="GR79" i="59"/>
  <c r="F29" i="27"/>
  <c r="CB79" i="59"/>
  <c r="F34" i="27"/>
  <c r="FX79" i="59"/>
  <c r="F25" i="27"/>
  <c r="IQ78" i="59"/>
  <c r="F18" i="27"/>
  <c r="DG78" i="59"/>
  <c r="F27" i="27"/>
  <c r="AN79" i="59"/>
  <c r="F19" i="27"/>
  <c r="EA78" i="59"/>
  <c r="F36" i="27"/>
  <c r="HL79" i="59"/>
  <c r="F8" i="27"/>
  <c r="FF77" i="59"/>
  <c r="F23" i="27"/>
  <c r="HC78" i="59"/>
  <c r="F21" i="27"/>
  <c r="FO78" i="59"/>
  <c r="F26" i="27"/>
  <c r="T79" i="59"/>
  <c r="F28" i="27"/>
  <c r="BH79" i="59"/>
  <c r="F9" i="27"/>
  <c r="FZ77" i="59"/>
  <c r="M34" i="48"/>
  <c r="BR73" i="59"/>
  <c r="F20" i="27"/>
  <c r="EU78" i="59"/>
  <c r="F22" i="27"/>
  <c r="GI78" i="59"/>
  <c r="F16" i="27"/>
  <c r="BS78" i="59"/>
  <c r="F17" i="27"/>
  <c r="CM78" i="59"/>
  <c r="F10" i="27"/>
  <c r="GT77" i="59"/>
  <c r="F7" i="27"/>
  <c r="EL77" i="59"/>
  <c r="F13" i="27"/>
  <c r="K78" i="59"/>
  <c r="F12" i="27"/>
  <c r="IH77" i="59"/>
  <c r="F31" i="27"/>
  <c r="DP79" i="59"/>
  <c r="F30" i="27"/>
  <c r="CV79" i="59"/>
  <c r="I7" i="27"/>
  <c r="EO77" i="59"/>
  <c r="I36" i="27"/>
  <c r="HO79" i="59"/>
  <c r="I34" i="27"/>
  <c r="GA79" i="59"/>
  <c r="I26" i="27"/>
  <c r="W79" i="59"/>
  <c r="I23" i="27"/>
  <c r="HF78" i="59"/>
  <c r="I19" i="27"/>
  <c r="ED78" i="59"/>
  <c r="I15" i="27"/>
  <c r="BB78" i="59"/>
  <c r="I33" i="27"/>
  <c r="FG79" i="59"/>
  <c r="I27" i="27"/>
  <c r="AQ79" i="59"/>
  <c r="I28" i="27"/>
  <c r="BK79" i="59"/>
  <c r="I20" i="27"/>
  <c r="EX78" i="59"/>
  <c r="I14" i="27"/>
  <c r="AH78" i="59"/>
  <c r="I9" i="27"/>
  <c r="GC77" i="59"/>
  <c r="I12" i="27"/>
  <c r="IK77" i="59"/>
  <c r="I8" i="27"/>
  <c r="FI77" i="59"/>
  <c r="I32" i="27"/>
  <c r="EM79" i="59"/>
  <c r="I31" i="27"/>
  <c r="DS79" i="59"/>
  <c r="I21" i="27"/>
  <c r="FR78" i="59"/>
  <c r="I17" i="27"/>
  <c r="CP78" i="59"/>
  <c r="I10" i="27"/>
  <c r="GW77" i="59"/>
  <c r="I24" i="27"/>
  <c r="HZ78" i="59"/>
  <c r="I35" i="27"/>
  <c r="GU79" i="59"/>
  <c r="I29" i="27"/>
  <c r="CE79" i="59"/>
  <c r="I30" i="27"/>
  <c r="CY79" i="59"/>
  <c r="I22" i="27"/>
  <c r="GL78" i="59"/>
  <c r="I18" i="27"/>
  <c r="DJ78" i="59"/>
  <c r="I11" i="27"/>
  <c r="HQ77" i="59"/>
  <c r="I25" i="27"/>
  <c r="IT78" i="59"/>
  <c r="I13" i="27"/>
  <c r="N78" i="59"/>
  <c r="F11" i="27"/>
  <c r="HN77" i="59"/>
  <c r="F14" i="27"/>
  <c r="AE78" i="59"/>
  <c r="L269" i="59"/>
  <c r="M42" i="48"/>
  <c r="GX73" i="59"/>
  <c r="M59" i="48"/>
  <c r="IJ74" i="59"/>
  <c r="M53" i="48"/>
  <c r="EL74" i="59"/>
  <c r="M65" i="48"/>
  <c r="CQ75" i="59"/>
  <c r="M52" i="48"/>
  <c r="DU74" i="59"/>
  <c r="M58" i="48"/>
  <c r="HS74" i="59"/>
  <c r="M64" i="48"/>
  <c r="BZ75" i="59"/>
  <c r="M40" i="48"/>
  <c r="FP73" i="59"/>
  <c r="M68" i="48"/>
  <c r="EP75" i="59"/>
  <c r="M69" i="48"/>
  <c r="M43" i="48"/>
  <c r="HO73" i="59"/>
  <c r="M48" i="48"/>
  <c r="BE74" i="59"/>
  <c r="M49" i="48"/>
  <c r="BV74" i="59"/>
  <c r="M54" i="48"/>
  <c r="FC74" i="59"/>
  <c r="M55" i="48"/>
  <c r="FT74" i="59"/>
  <c r="M44" i="48"/>
  <c r="M60" i="48"/>
  <c r="J75" i="59"/>
  <c r="M45" i="48"/>
  <c r="F74" i="59"/>
  <c r="M61" i="48"/>
  <c r="AA75" i="59"/>
  <c r="M50" i="48"/>
  <c r="CM74" i="59"/>
  <c r="M66" i="48"/>
  <c r="DH75" i="59"/>
  <c r="M51" i="48"/>
  <c r="DD74" i="59"/>
  <c r="M67" i="48"/>
  <c r="DY75" i="59"/>
  <c r="M56" i="48"/>
  <c r="GK74" i="59"/>
  <c r="M41" i="48"/>
  <c r="GG73" i="59"/>
  <c r="M57" i="48"/>
  <c r="HB74" i="59"/>
  <c r="M46" i="48"/>
  <c r="W74" i="59"/>
  <c r="M62" i="48"/>
  <c r="AR75" i="59"/>
  <c r="M47" i="48"/>
  <c r="AN74" i="59"/>
  <c r="N10" i="48"/>
  <c r="FI71" i="59"/>
  <c r="N12" i="48"/>
  <c r="GQ71" i="59"/>
  <c r="N14" i="48"/>
  <c r="HY71" i="59"/>
  <c r="N16" i="48"/>
  <c r="P72" i="59"/>
  <c r="N8" i="48"/>
  <c r="EA71" i="59"/>
  <c r="N9" i="48"/>
  <c r="ER71" i="59"/>
  <c r="N11" i="48"/>
  <c r="FZ71" i="59"/>
  <c r="N13" i="48"/>
  <c r="HH71" i="59"/>
  <c r="N15" i="48"/>
  <c r="IP71" i="59"/>
  <c r="N17" i="48"/>
  <c r="AG72" i="59"/>
  <c r="L32" i="48"/>
  <c r="AI73" i="59"/>
  <c r="L29" i="48"/>
  <c r="IA72" i="59"/>
  <c r="L24" i="48"/>
  <c r="ET72" i="59"/>
  <c r="L30" i="48"/>
  <c r="IR72" i="59"/>
  <c r="L26" i="48"/>
  <c r="GB72" i="59"/>
  <c r="L33" i="48"/>
  <c r="AZ73" i="59"/>
  <c r="L31" i="48"/>
  <c r="R73" i="59"/>
  <c r="L27" i="48"/>
  <c r="GS72" i="59"/>
  <c r="L25" i="48"/>
  <c r="FK72" i="59"/>
  <c r="L28" i="48"/>
  <c r="HJ72" i="59"/>
  <c r="N70" i="48"/>
  <c r="FY75" i="59"/>
  <c r="K41" i="48"/>
  <c r="GE73" i="59"/>
  <c r="K58" i="48"/>
  <c r="HQ74" i="59"/>
  <c r="K42" i="48"/>
  <c r="K55" i="48"/>
  <c r="FR74" i="59"/>
  <c r="K68" i="48"/>
  <c r="EN75" i="59"/>
  <c r="K52" i="48"/>
  <c r="DS74" i="59"/>
  <c r="K69" i="48"/>
  <c r="K53" i="48"/>
  <c r="EJ74" i="59"/>
  <c r="K62" i="48"/>
  <c r="AP75" i="59"/>
  <c r="K46" i="48"/>
  <c r="U74" i="59"/>
  <c r="K59" i="48"/>
  <c r="IH74" i="59"/>
  <c r="K43" i="48"/>
  <c r="HM73" i="59"/>
  <c r="K56" i="48"/>
  <c r="GI74" i="59"/>
  <c r="K40" i="48"/>
  <c r="FN73" i="59"/>
  <c r="K57" i="48"/>
  <c r="GZ74" i="59"/>
  <c r="K66" i="48"/>
  <c r="DF75" i="59"/>
  <c r="K50" i="48"/>
  <c r="CK74" i="59"/>
  <c r="K63" i="48"/>
  <c r="BG75" i="59"/>
  <c r="K47" i="48"/>
  <c r="AL74" i="59"/>
  <c r="K60" i="48"/>
  <c r="H75" i="59"/>
  <c r="K44" i="48"/>
  <c r="ID73" i="59"/>
  <c r="K61" i="48"/>
  <c r="Y75" i="59"/>
  <c r="K45" i="48"/>
  <c r="IU73" i="59"/>
  <c r="K54" i="48"/>
  <c r="FA74" i="59"/>
  <c r="K67" i="48"/>
  <c r="DW75" i="59"/>
  <c r="K51" i="48"/>
  <c r="DB74" i="59"/>
  <c r="K64" i="48"/>
  <c r="BX75" i="59"/>
  <c r="K48" i="48"/>
  <c r="BC74" i="59"/>
  <c r="K65" i="48"/>
  <c r="CO75" i="59"/>
  <c r="K49" i="48"/>
  <c r="BT74" i="59"/>
  <c r="J18" i="48"/>
  <c r="AT72" i="59"/>
  <c r="L18" i="48"/>
  <c r="AV72" i="59"/>
  <c r="IC267" i="59"/>
  <c r="M55" i="13"/>
  <c r="N55" i="13"/>
  <c r="G55" i="13"/>
  <c r="K55" i="13"/>
  <c r="W55" i="13"/>
  <c r="Q55" i="13"/>
  <c r="O55" i="13"/>
  <c r="H55" i="13"/>
  <c r="I55" i="13"/>
  <c r="F55" i="13"/>
  <c r="T55" i="13"/>
  <c r="E55" i="13"/>
  <c r="P55" i="13"/>
  <c r="R55" i="13"/>
  <c r="L55" i="13"/>
  <c r="U55" i="13"/>
  <c r="J55" i="13"/>
  <c r="N52" i="13"/>
  <c r="O52" i="13"/>
  <c r="J52" i="13"/>
  <c r="M52" i="13"/>
  <c r="Q52" i="13"/>
  <c r="I52" i="13"/>
  <c r="H52" i="13"/>
  <c r="P52" i="13"/>
  <c r="L52" i="13"/>
  <c r="U52" i="13"/>
  <c r="E52" i="13"/>
  <c r="K52" i="13"/>
  <c r="F52" i="13"/>
  <c r="R52" i="13"/>
  <c r="G52" i="13"/>
  <c r="N53" i="13"/>
  <c r="J53" i="13"/>
  <c r="M53" i="13"/>
  <c r="I53" i="13"/>
  <c r="K53" i="13"/>
  <c r="O53" i="13"/>
  <c r="P53" i="13"/>
  <c r="R53" i="13"/>
  <c r="F53" i="13"/>
  <c r="G53" i="13"/>
  <c r="H53" i="13"/>
  <c r="Q53" i="13"/>
  <c r="E53" i="13"/>
  <c r="L53" i="13"/>
  <c r="H54" i="13"/>
  <c r="M54" i="13"/>
  <c r="V54" i="13"/>
  <c r="K54" i="13"/>
  <c r="W54" i="13"/>
  <c r="F54" i="13"/>
  <c r="T54" i="13"/>
  <c r="J54" i="13"/>
  <c r="O54" i="13"/>
  <c r="Q54" i="13"/>
  <c r="L54" i="13"/>
  <c r="U54" i="13"/>
  <c r="G54" i="13"/>
  <c r="E54" i="13"/>
  <c r="P54" i="13"/>
  <c r="I54" i="13"/>
  <c r="R54" i="13"/>
  <c r="N54" i="13"/>
  <c r="E56" i="13"/>
  <c r="M56" i="13"/>
  <c r="V56" i="13"/>
  <c r="N56" i="13"/>
  <c r="O56" i="13"/>
  <c r="G56" i="13"/>
  <c r="H56" i="13"/>
  <c r="P56" i="13"/>
  <c r="F56" i="13"/>
  <c r="K56" i="13"/>
  <c r="W56" i="13"/>
  <c r="L56" i="13"/>
  <c r="U56" i="13"/>
  <c r="J56" i="13"/>
  <c r="Q56" i="13"/>
  <c r="I56" i="13"/>
  <c r="R56" i="13"/>
  <c r="AN268" i="59"/>
  <c r="M268" i="59"/>
  <c r="BO268" i="59"/>
  <c r="B53" i="13"/>
  <c r="B55" i="13"/>
  <c r="W52" i="13"/>
  <c r="V52" i="13"/>
  <c r="T52" i="13"/>
  <c r="HB267" i="59"/>
  <c r="B56" i="13"/>
  <c r="V55" i="13"/>
  <c r="M10" i="27"/>
  <c r="D405" i="5"/>
  <c r="DS240" i="59"/>
  <c r="CK267" i="59"/>
  <c r="G32" i="27"/>
  <c r="EK79" i="59"/>
  <c r="K70" i="59"/>
  <c r="GV73" i="59"/>
  <c r="FG75" i="59"/>
  <c r="FG69" i="59"/>
  <c r="IF73" i="59"/>
  <c r="M70" i="59"/>
  <c r="FE75" i="59"/>
  <c r="FE69" i="59"/>
  <c r="BJ49" i="56"/>
  <c r="GY251" i="59"/>
  <c r="BH6" i="56"/>
  <c r="HY244" i="59"/>
  <c r="G24" i="27"/>
  <c r="HX78" i="59"/>
  <c r="E21" i="7"/>
  <c r="A12" i="13"/>
  <c r="EA263" i="59"/>
  <c r="HA267" i="59"/>
  <c r="BN268" i="59"/>
  <c r="A9" i="11"/>
  <c r="AM292" i="59"/>
  <c r="H46" i="43"/>
  <c r="L11" i="59"/>
  <c r="G47" i="43"/>
  <c r="AZ11" i="59"/>
  <c r="J34" i="48"/>
  <c r="BO73" i="59"/>
  <c r="G23" i="27"/>
  <c r="HD78" i="59"/>
  <c r="G18" i="27"/>
  <c r="DH78" i="59"/>
  <c r="G30" i="27"/>
  <c r="CW79" i="59"/>
  <c r="G17" i="27"/>
  <c r="CN78" i="59"/>
  <c r="G36" i="27"/>
  <c r="HM79" i="59"/>
  <c r="G14" i="27"/>
  <c r="AF78" i="59"/>
  <c r="G15" i="27"/>
  <c r="AZ78" i="59"/>
  <c r="G31" i="27"/>
  <c r="DQ79" i="59"/>
  <c r="G16" i="27"/>
  <c r="BT78" i="59"/>
  <c r="G19" i="27"/>
  <c r="EB78" i="59"/>
  <c r="G25" i="27"/>
  <c r="IR78" i="59"/>
  <c r="G34" i="27"/>
  <c r="FY79" i="59"/>
  <c r="G22" i="27"/>
  <c r="GJ78" i="59"/>
  <c r="G28" i="27"/>
  <c r="BI79" i="59"/>
  <c r="G27" i="27"/>
  <c r="AO79" i="59"/>
  <c r="G29" i="27"/>
  <c r="CC79" i="59"/>
  <c r="G20" i="27"/>
  <c r="EV78" i="59"/>
  <c r="G26" i="27"/>
  <c r="U79" i="59"/>
  <c r="G35" i="27"/>
  <c r="GS79" i="59"/>
  <c r="O67" i="48"/>
  <c r="EA75" i="59"/>
  <c r="N31" i="48"/>
  <c r="T73" i="59"/>
  <c r="G21" i="27"/>
  <c r="FP78" i="59"/>
  <c r="G33" i="27"/>
  <c r="FE79" i="59"/>
  <c r="N29" i="48"/>
  <c r="IC72" i="59"/>
  <c r="G8" i="27"/>
  <c r="FG77" i="59"/>
  <c r="G9" i="27"/>
  <c r="GA77" i="59"/>
  <c r="N30" i="48"/>
  <c r="IT72" i="59"/>
  <c r="N32" i="48"/>
  <c r="AK73" i="59"/>
  <c r="N33" i="48"/>
  <c r="BB73" i="59"/>
  <c r="N27" i="48"/>
  <c r="GU72" i="59"/>
  <c r="N25" i="48"/>
  <c r="FM72" i="59"/>
  <c r="N28" i="48"/>
  <c r="HL72" i="59"/>
  <c r="N24" i="48"/>
  <c r="EV72" i="59"/>
  <c r="N26" i="48"/>
  <c r="GD72" i="59"/>
  <c r="G11" i="27"/>
  <c r="HO77" i="59"/>
  <c r="G13" i="27"/>
  <c r="L78" i="59"/>
  <c r="G12" i="27"/>
  <c r="II77" i="59"/>
  <c r="G10" i="27"/>
  <c r="GU77" i="59"/>
  <c r="G7" i="27"/>
  <c r="EM77" i="59"/>
  <c r="I37" i="27"/>
  <c r="II79" i="59"/>
  <c r="F37" i="27"/>
  <c r="IF79" i="59"/>
  <c r="X269" i="59"/>
  <c r="O44" i="48"/>
  <c r="IH73" i="59"/>
  <c r="M70" i="48"/>
  <c r="FX75" i="59"/>
  <c r="L34" i="48"/>
  <c r="BQ73" i="59"/>
  <c r="O42" i="48"/>
  <c r="GZ73" i="59"/>
  <c r="O68" i="48"/>
  <c r="ER75" i="59"/>
  <c r="O57" i="48"/>
  <c r="HD74" i="59"/>
  <c r="O52" i="48"/>
  <c r="DW74" i="59"/>
  <c r="O40" i="48"/>
  <c r="FR73" i="59"/>
  <c r="O56" i="48"/>
  <c r="GM74" i="59"/>
  <c r="O63" i="48"/>
  <c r="BK75" i="59"/>
  <c r="O43" i="48"/>
  <c r="HQ73" i="59"/>
  <c r="O58" i="48"/>
  <c r="HU74" i="59"/>
  <c r="O54" i="48"/>
  <c r="FE74" i="59"/>
  <c r="O48" i="48"/>
  <c r="BG74" i="59"/>
  <c r="O55" i="48"/>
  <c r="FV74" i="59"/>
  <c r="O65" i="48"/>
  <c r="CS75" i="59"/>
  <c r="O45" i="48"/>
  <c r="H74" i="59"/>
  <c r="O41" i="48"/>
  <c r="GI73" i="59"/>
  <c r="O47" i="48"/>
  <c r="AP74" i="59"/>
  <c r="O69" i="48"/>
  <c r="O64" i="48"/>
  <c r="CB75" i="59"/>
  <c r="O46" i="48"/>
  <c r="O53" i="48"/>
  <c r="EN74" i="59"/>
  <c r="O59" i="48"/>
  <c r="IL74" i="59"/>
  <c r="O50" i="48"/>
  <c r="CO74" i="59"/>
  <c r="O62" i="48"/>
  <c r="AT75" i="59"/>
  <c r="O49" i="48"/>
  <c r="BX74" i="59"/>
  <c r="O60" i="48"/>
  <c r="L75" i="59"/>
  <c r="O51" i="48"/>
  <c r="DF74" i="59"/>
  <c r="O66" i="48"/>
  <c r="DJ75" i="59"/>
  <c r="O61" i="48"/>
  <c r="AC75" i="59"/>
  <c r="K70" i="48"/>
  <c r="FV75" i="59"/>
  <c r="N18" i="48"/>
  <c r="AX72" i="59"/>
  <c r="T56" i="13"/>
  <c r="B54" i="13"/>
  <c r="U53" i="13"/>
  <c r="V53" i="13"/>
  <c r="W53" i="13"/>
  <c r="C21" i="7"/>
  <c r="HL299" i="59"/>
  <c r="E118" i="42"/>
  <c r="HB311" i="59"/>
  <c r="HN299" i="59"/>
  <c r="HA77" i="59"/>
  <c r="M76" i="59"/>
  <c r="FI69" i="59"/>
  <c r="FI75" i="59"/>
  <c r="O70" i="59"/>
  <c r="Y74" i="59"/>
  <c r="BL49" i="56"/>
  <c r="HA251" i="59"/>
  <c r="BJ6" i="56"/>
  <c r="IA244" i="59"/>
  <c r="HP267" i="59"/>
  <c r="HC267" i="59"/>
  <c r="HE267" i="59"/>
  <c r="HH267" i="59"/>
  <c r="HJ267" i="59"/>
  <c r="HM267" i="59"/>
  <c r="HO267" i="59"/>
  <c r="HN267" i="59"/>
  <c r="IA267" i="59"/>
  <c r="HG267" i="59"/>
  <c r="A13" i="13"/>
  <c r="FB263" i="59"/>
  <c r="A10" i="11"/>
  <c r="BS292" i="59"/>
  <c r="I46" i="43"/>
  <c r="M11" i="59"/>
  <c r="H47" i="43"/>
  <c r="BA11" i="59"/>
  <c r="HU77" i="59"/>
  <c r="N34" i="48"/>
  <c r="BS73" i="59"/>
  <c r="G37" i="27"/>
  <c r="IG79" i="59"/>
  <c r="T53" i="13"/>
  <c r="F21" i="7"/>
  <c r="HO299" i="59"/>
  <c r="C118" i="42"/>
  <c r="GZ311" i="59"/>
  <c r="E157" i="42"/>
  <c r="O312" i="59"/>
  <c r="HI267" i="59"/>
  <c r="HR267" i="59"/>
  <c r="HD267" i="59"/>
  <c r="F157" i="42"/>
  <c r="P312" i="59"/>
  <c r="HL267" i="59"/>
  <c r="HT267" i="59"/>
  <c r="HK267" i="59"/>
  <c r="A159" i="42"/>
  <c r="AB312" i="59"/>
  <c r="HF267" i="59"/>
  <c r="BN49" i="56"/>
  <c r="HC251" i="59"/>
  <c r="BL6" i="56"/>
  <c r="IC244" i="59"/>
  <c r="A157" i="42"/>
  <c r="DE319" i="59"/>
  <c r="DQ319" i="59"/>
  <c r="DS319" i="59"/>
  <c r="DO319" i="59"/>
  <c r="DU319" i="59"/>
  <c r="DD319" i="59"/>
  <c r="CY319" i="59"/>
  <c r="DB319" i="59"/>
  <c r="HU267" i="59"/>
  <c r="DC319" i="59"/>
  <c r="DF319" i="59"/>
  <c r="HS267" i="59"/>
  <c r="A14" i="13"/>
  <c r="GC263" i="59"/>
  <c r="A11" i="11"/>
  <c r="CY292" i="59"/>
  <c r="J46" i="43"/>
  <c r="N11" i="59"/>
  <c r="I47" i="43"/>
  <c r="BB11" i="59"/>
  <c r="F118" i="42"/>
  <c r="HC311" i="59"/>
  <c r="G21" i="7"/>
  <c r="HP299" i="59"/>
  <c r="Q157" i="42"/>
  <c r="S312" i="59"/>
  <c r="K312" i="59"/>
  <c r="IB267" i="59"/>
  <c r="BP49" i="56"/>
  <c r="HE251" i="59"/>
  <c r="BN6" i="56"/>
  <c r="IE244" i="59"/>
  <c r="ID267" i="59"/>
  <c r="IL267" i="59"/>
  <c r="IK267" i="59"/>
  <c r="IO267" i="59"/>
  <c r="IP267" i="59"/>
  <c r="IH267" i="59"/>
  <c r="IQ267" i="59"/>
  <c r="II267" i="59"/>
  <c r="IF267" i="59"/>
  <c r="IJ267" i="59"/>
  <c r="IN267" i="59"/>
  <c r="IE267" i="59"/>
  <c r="A15" i="13"/>
  <c r="HD263" i="59"/>
  <c r="A12" i="11"/>
  <c r="EE292" i="59"/>
  <c r="K46" i="43"/>
  <c r="O11" i="59"/>
  <c r="J47" i="43"/>
  <c r="BC11" i="59"/>
  <c r="AO387" i="5"/>
  <c r="IA236" i="59"/>
  <c r="AN387" i="5"/>
  <c r="HZ236" i="59"/>
  <c r="AM387" i="5"/>
  <c r="HY236" i="59"/>
  <c r="AL387" i="5"/>
  <c r="HX236" i="59"/>
  <c r="AK387" i="5"/>
  <c r="HW236" i="59"/>
  <c r="AJ387" i="5"/>
  <c r="HV236" i="59"/>
  <c r="AI387" i="5"/>
  <c r="HU236" i="59"/>
  <c r="AH387" i="5"/>
  <c r="HT236" i="59"/>
  <c r="AG387" i="5"/>
  <c r="HS236" i="59"/>
  <c r="AF387" i="5"/>
  <c r="HR236" i="59"/>
  <c r="AE387" i="5"/>
  <c r="HQ236" i="59"/>
  <c r="AD387" i="5"/>
  <c r="HP236" i="59"/>
  <c r="AC387" i="5"/>
  <c r="HO236" i="59"/>
  <c r="AB387" i="5"/>
  <c r="HN236" i="59"/>
  <c r="AA387" i="5"/>
  <c r="HM236" i="59"/>
  <c r="Z387" i="5"/>
  <c r="HL236" i="59"/>
  <c r="Y387" i="5"/>
  <c r="HK236" i="59"/>
  <c r="X387" i="5"/>
  <c r="HJ236" i="59"/>
  <c r="W387" i="5"/>
  <c r="HI236" i="59"/>
  <c r="V387" i="5"/>
  <c r="HH236" i="59"/>
  <c r="U387" i="5"/>
  <c r="HG236" i="59"/>
  <c r="T387" i="5"/>
  <c r="HF236" i="59"/>
  <c r="S387" i="5"/>
  <c r="HE236" i="59"/>
  <c r="R387" i="5"/>
  <c r="HD236" i="59"/>
  <c r="Q387" i="5"/>
  <c r="HC236" i="59"/>
  <c r="AO386" i="5"/>
  <c r="GA236" i="59"/>
  <c r="AN386" i="5"/>
  <c r="FZ236" i="59"/>
  <c r="AM386" i="5"/>
  <c r="FY236" i="59"/>
  <c r="AL386" i="5"/>
  <c r="FX236" i="59"/>
  <c r="AK386" i="5"/>
  <c r="FW236" i="59"/>
  <c r="AJ386" i="5"/>
  <c r="FV236" i="59"/>
  <c r="AI386" i="5"/>
  <c r="FU236" i="59"/>
  <c r="AH386" i="5"/>
  <c r="FT236" i="59"/>
  <c r="AG386" i="5"/>
  <c r="FS236" i="59"/>
  <c r="AF386" i="5"/>
  <c r="FR236" i="59"/>
  <c r="AE386" i="5"/>
  <c r="FQ236" i="59"/>
  <c r="AD386" i="5"/>
  <c r="FP236" i="59"/>
  <c r="AC386" i="5"/>
  <c r="FO236" i="59"/>
  <c r="AB386" i="5"/>
  <c r="FN236" i="59"/>
  <c r="AA386" i="5"/>
  <c r="FM236" i="59"/>
  <c r="Z386" i="5"/>
  <c r="FL236" i="59"/>
  <c r="Y386" i="5"/>
  <c r="FK236" i="59"/>
  <c r="X386" i="5"/>
  <c r="FJ236" i="59"/>
  <c r="W386" i="5"/>
  <c r="FI236" i="59"/>
  <c r="V386" i="5"/>
  <c r="FH236" i="59"/>
  <c r="U386" i="5"/>
  <c r="FG236" i="59"/>
  <c r="T386" i="5"/>
  <c r="FF236" i="59"/>
  <c r="S386" i="5"/>
  <c r="FE236" i="59"/>
  <c r="R386" i="5"/>
  <c r="FD236" i="59"/>
  <c r="Q386" i="5"/>
  <c r="FC236" i="59"/>
  <c r="AO385" i="5"/>
  <c r="EA236" i="59"/>
  <c r="AN385" i="5"/>
  <c r="DZ236" i="59"/>
  <c r="AM385" i="5"/>
  <c r="DY236" i="59"/>
  <c r="AL385" i="5"/>
  <c r="DX236" i="59"/>
  <c r="AK385" i="5"/>
  <c r="DW236" i="59"/>
  <c r="AJ385" i="5"/>
  <c r="DV236" i="59"/>
  <c r="AI385" i="5"/>
  <c r="DU236" i="59"/>
  <c r="AH385" i="5"/>
  <c r="DT236" i="59"/>
  <c r="AG385" i="5"/>
  <c r="DS236" i="59"/>
  <c r="AF385" i="5"/>
  <c r="DR236" i="59"/>
  <c r="AE385" i="5"/>
  <c r="DQ236" i="59"/>
  <c r="AD385" i="5"/>
  <c r="DP236" i="59"/>
  <c r="DO236" i="59"/>
  <c r="AB385" i="5"/>
  <c r="DN236" i="59"/>
  <c r="AA385" i="5"/>
  <c r="DM236" i="59"/>
  <c r="Z385" i="5"/>
  <c r="DL236" i="59"/>
  <c r="Y385" i="5"/>
  <c r="DK236" i="59"/>
  <c r="X385" i="5"/>
  <c r="DJ236" i="59"/>
  <c r="W385" i="5"/>
  <c r="DI236" i="59"/>
  <c r="V385" i="5"/>
  <c r="DH236" i="59"/>
  <c r="U385" i="5"/>
  <c r="DG236" i="59"/>
  <c r="T385" i="5"/>
  <c r="DF236" i="59"/>
  <c r="S385" i="5"/>
  <c r="DE236" i="59"/>
  <c r="R385" i="5"/>
  <c r="DD236" i="59"/>
  <c r="Q385" i="5"/>
  <c r="DC236" i="59"/>
  <c r="AO384" i="5"/>
  <c r="CA236" i="59"/>
  <c r="AN384" i="5"/>
  <c r="BZ236" i="59"/>
  <c r="AM384" i="5"/>
  <c r="BY236" i="59"/>
  <c r="AL384" i="5"/>
  <c r="BX236" i="59"/>
  <c r="AK384" i="5"/>
  <c r="BW236" i="59"/>
  <c r="AJ384" i="5"/>
  <c r="BV236" i="59"/>
  <c r="AI384" i="5"/>
  <c r="BU236" i="59"/>
  <c r="AH384" i="5"/>
  <c r="BT236" i="59"/>
  <c r="AG384" i="5"/>
  <c r="BS236" i="59"/>
  <c r="AF384" i="5"/>
  <c r="BR236" i="59"/>
  <c r="AE384" i="5"/>
  <c r="BQ236" i="59"/>
  <c r="AD384" i="5"/>
  <c r="BP236" i="59"/>
  <c r="AC384" i="5"/>
  <c r="BO236" i="59"/>
  <c r="AB384" i="5"/>
  <c r="BN236" i="59"/>
  <c r="AA384" i="5"/>
  <c r="BM236" i="59"/>
  <c r="Z384" i="5"/>
  <c r="BL236" i="59"/>
  <c r="Y384" i="5"/>
  <c r="BK236" i="59"/>
  <c r="X384" i="5"/>
  <c r="BJ236" i="59"/>
  <c r="W384" i="5"/>
  <c r="BI236" i="59"/>
  <c r="V384" i="5"/>
  <c r="BH236" i="59"/>
  <c r="U384" i="5"/>
  <c r="BG236" i="59"/>
  <c r="T384" i="5"/>
  <c r="BF236" i="59"/>
  <c r="S384" i="5"/>
  <c r="BE236" i="59"/>
  <c r="R384" i="5"/>
  <c r="BD236" i="59"/>
  <c r="Q384" i="5"/>
  <c r="BC236" i="59"/>
  <c r="P384" i="5"/>
  <c r="BB236" i="59"/>
  <c r="O384" i="5"/>
  <c r="BA236" i="59"/>
  <c r="N384" i="5"/>
  <c r="AZ236" i="59"/>
  <c r="M384" i="5"/>
  <c r="AY236" i="59"/>
  <c r="L384" i="5"/>
  <c r="AX236" i="59"/>
  <c r="K384" i="5"/>
  <c r="AW236" i="59"/>
  <c r="J384" i="5"/>
  <c r="AV236" i="59"/>
  <c r="H21" i="7"/>
  <c r="HQ299" i="59"/>
  <c r="G118" i="42"/>
  <c r="HD311" i="59"/>
  <c r="K268" i="59"/>
  <c r="A168" i="42"/>
  <c r="DI312" i="59"/>
  <c r="IG267" i="59"/>
  <c r="F166" i="42"/>
  <c r="CW312" i="59"/>
  <c r="IM267" i="59"/>
  <c r="BR49" i="56"/>
  <c r="HG251" i="59"/>
  <c r="BP6" i="56"/>
  <c r="IG244" i="59"/>
  <c r="GC319" i="59"/>
  <c r="E166" i="42"/>
  <c r="CV312" i="59"/>
  <c r="A166" i="42"/>
  <c r="CR312" i="59"/>
  <c r="HA319" i="59"/>
  <c r="GY319" i="59"/>
  <c r="GW319" i="59"/>
  <c r="GU319" i="59"/>
  <c r="GF319" i="59"/>
  <c r="GE319" i="59"/>
  <c r="GD319" i="59"/>
  <c r="GB319" i="59"/>
  <c r="FY319" i="59"/>
  <c r="IS267" i="59"/>
  <c r="IV267" i="59"/>
  <c r="IT267" i="59"/>
  <c r="IU267" i="59"/>
  <c r="A16" i="13"/>
  <c r="IE263" i="59"/>
  <c r="A13" i="11"/>
  <c r="FK292" i="59"/>
  <c r="L46" i="43"/>
  <c r="P11" i="59"/>
  <c r="K47" i="43"/>
  <c r="BD11" i="59"/>
  <c r="BP268" i="59"/>
  <c r="BR268" i="59"/>
  <c r="BT268" i="59"/>
  <c r="BU268" i="59"/>
  <c r="BW268" i="59"/>
  <c r="CC268" i="59"/>
  <c r="BX268" i="59"/>
  <c r="BZ268" i="59"/>
  <c r="CA268" i="59"/>
  <c r="BV268" i="59"/>
  <c r="BQ268" i="59"/>
  <c r="CB268" i="59"/>
  <c r="AO374" i="5"/>
  <c r="BS234" i="59"/>
  <c r="AN374" i="5"/>
  <c r="BR234" i="59"/>
  <c r="AM374" i="5"/>
  <c r="BQ234" i="59"/>
  <c r="AL374" i="5"/>
  <c r="BP234" i="59"/>
  <c r="AK374" i="5"/>
  <c r="BO234" i="59"/>
  <c r="AJ374" i="5"/>
  <c r="BN234" i="59"/>
  <c r="AI374" i="5"/>
  <c r="BM234" i="59"/>
  <c r="AH374" i="5"/>
  <c r="BL234" i="59"/>
  <c r="AG374" i="5"/>
  <c r="BK234" i="59"/>
  <c r="AF374" i="5"/>
  <c r="BJ234" i="59"/>
  <c r="AE374" i="5"/>
  <c r="BI234" i="59"/>
  <c r="AD374" i="5"/>
  <c r="BH234" i="59"/>
  <c r="AC374" i="5"/>
  <c r="BG234" i="59"/>
  <c r="AB374" i="5"/>
  <c r="BF234" i="59"/>
  <c r="AA374" i="5"/>
  <c r="BE234" i="59"/>
  <c r="Z374" i="5"/>
  <c r="BD234" i="59"/>
  <c r="Y374" i="5"/>
  <c r="BC234" i="59"/>
  <c r="X374" i="5"/>
  <c r="BB234" i="59"/>
  <c r="W374" i="5"/>
  <c r="BA234" i="59"/>
  <c r="V374" i="5"/>
  <c r="AZ234" i="59"/>
  <c r="U374" i="5"/>
  <c r="AY234" i="59"/>
  <c r="T374" i="5"/>
  <c r="AX234" i="59"/>
  <c r="S374" i="5"/>
  <c r="AW234" i="59"/>
  <c r="R374" i="5"/>
  <c r="AV234" i="59"/>
  <c r="Q374" i="5"/>
  <c r="AU234" i="59"/>
  <c r="P374" i="5"/>
  <c r="AT234" i="59"/>
  <c r="O374" i="5"/>
  <c r="AS234" i="59"/>
  <c r="N374" i="5"/>
  <c r="AR234" i="59"/>
  <c r="M374" i="5"/>
  <c r="AQ234" i="59"/>
  <c r="L374" i="5"/>
  <c r="AP234" i="59"/>
  <c r="K374" i="5"/>
  <c r="AO234" i="59"/>
  <c r="J374" i="5"/>
  <c r="AN234" i="59"/>
  <c r="I374" i="5"/>
  <c r="AM234" i="59"/>
  <c r="H374" i="5"/>
  <c r="AL234" i="59"/>
  <c r="G374" i="5"/>
  <c r="AK234" i="59"/>
  <c r="F374" i="5"/>
  <c r="AJ234" i="59"/>
  <c r="E374" i="5"/>
  <c r="AI234" i="59"/>
  <c r="D374" i="5"/>
  <c r="AH234" i="59"/>
  <c r="AO373" i="5"/>
  <c r="U234" i="59"/>
  <c r="AN373" i="5"/>
  <c r="T234" i="59"/>
  <c r="AM373" i="5"/>
  <c r="S234" i="59"/>
  <c r="AL373" i="5"/>
  <c r="R234" i="59"/>
  <c r="AK373" i="5"/>
  <c r="Q234" i="59"/>
  <c r="AJ373" i="5"/>
  <c r="P234" i="59"/>
  <c r="AI373" i="5"/>
  <c r="O234" i="59"/>
  <c r="AH373" i="5"/>
  <c r="N234" i="59"/>
  <c r="AG373" i="5"/>
  <c r="M234" i="59"/>
  <c r="AF373" i="5"/>
  <c r="L234" i="59"/>
  <c r="AE373" i="5"/>
  <c r="K234" i="59"/>
  <c r="AD373" i="5"/>
  <c r="J234" i="59"/>
  <c r="AC373" i="5"/>
  <c r="I234" i="59"/>
  <c r="AB373" i="5"/>
  <c r="H234" i="59"/>
  <c r="AA373" i="5"/>
  <c r="G234" i="59"/>
  <c r="Z373" i="5"/>
  <c r="F234" i="59"/>
  <c r="Y373" i="5"/>
  <c r="IV233" i="59"/>
  <c r="X373" i="5"/>
  <c r="IU233" i="59"/>
  <c r="W373" i="5"/>
  <c r="IT233" i="59"/>
  <c r="V373" i="5"/>
  <c r="IS233" i="59"/>
  <c r="U373" i="5"/>
  <c r="IR233" i="59"/>
  <c r="T373" i="5"/>
  <c r="IQ233" i="59"/>
  <c r="S373" i="5"/>
  <c r="IP233" i="59"/>
  <c r="R373" i="5"/>
  <c r="IO233" i="59"/>
  <c r="Q373" i="5"/>
  <c r="IN233" i="59"/>
  <c r="P373" i="5"/>
  <c r="IM233" i="59"/>
  <c r="O373" i="5"/>
  <c r="IL233" i="59"/>
  <c r="N373" i="5"/>
  <c r="IK233" i="59"/>
  <c r="M373" i="5"/>
  <c r="IJ233" i="59"/>
  <c r="L373" i="5"/>
  <c r="II233" i="59"/>
  <c r="K373" i="5"/>
  <c r="IH233" i="59"/>
  <c r="J373" i="5"/>
  <c r="IG233" i="59"/>
  <c r="I373" i="5"/>
  <c r="IF233" i="59"/>
  <c r="H373" i="5"/>
  <c r="IE233" i="59"/>
  <c r="G373" i="5"/>
  <c r="ID233" i="59"/>
  <c r="F373" i="5"/>
  <c r="IC233" i="59"/>
  <c r="E373" i="5"/>
  <c r="IB233" i="59"/>
  <c r="D373" i="5"/>
  <c r="IA233" i="59"/>
  <c r="AO365" i="5"/>
  <c r="DS232" i="59"/>
  <c r="AN365" i="5"/>
  <c r="DR232" i="59"/>
  <c r="AM365" i="5"/>
  <c r="DQ232" i="59"/>
  <c r="AL365" i="5"/>
  <c r="DP232" i="59"/>
  <c r="AK365" i="5"/>
  <c r="DO232" i="59"/>
  <c r="AJ365" i="5"/>
  <c r="DN232" i="59"/>
  <c r="AI365" i="5"/>
  <c r="DM232" i="59"/>
  <c r="AH365" i="5"/>
  <c r="DL232" i="59"/>
  <c r="AG365" i="5"/>
  <c r="DK232" i="59"/>
  <c r="AF365" i="5"/>
  <c r="DJ232" i="59"/>
  <c r="AE365" i="5"/>
  <c r="DI232" i="59"/>
  <c r="AD365" i="5"/>
  <c r="DH232" i="59"/>
  <c r="AC365" i="5"/>
  <c r="DG232" i="59"/>
  <c r="AB365" i="5"/>
  <c r="DF232" i="59"/>
  <c r="AA365" i="5"/>
  <c r="DE232" i="59"/>
  <c r="Z365" i="5"/>
  <c r="DD232" i="59"/>
  <c r="Y365" i="5"/>
  <c r="DC232" i="59"/>
  <c r="X365" i="5"/>
  <c r="DB232" i="59"/>
  <c r="W365" i="5"/>
  <c r="DA232" i="59"/>
  <c r="V365" i="5"/>
  <c r="CZ232" i="59"/>
  <c r="U365" i="5"/>
  <c r="CY232" i="59"/>
  <c r="T365" i="5"/>
  <c r="CX232" i="59"/>
  <c r="S365" i="5"/>
  <c r="CW232" i="59"/>
  <c r="R365" i="5"/>
  <c r="CV232" i="59"/>
  <c r="Q365" i="5"/>
  <c r="CU232" i="59"/>
  <c r="O365" i="5"/>
  <c r="CS232" i="59"/>
  <c r="M365" i="5"/>
  <c r="CQ232" i="59"/>
  <c r="K365" i="5"/>
  <c r="CO232" i="59"/>
  <c r="J365" i="5"/>
  <c r="CN232" i="59"/>
  <c r="I365" i="5"/>
  <c r="CM232" i="59"/>
  <c r="H365" i="5"/>
  <c r="CL232" i="59"/>
  <c r="G365" i="5"/>
  <c r="CK232" i="59"/>
  <c r="AO364" i="5"/>
  <c r="BU232" i="59"/>
  <c r="AN364" i="5"/>
  <c r="BT232" i="59"/>
  <c r="AM364" i="5"/>
  <c r="BS232" i="59"/>
  <c r="AL364" i="5"/>
  <c r="BR232" i="59"/>
  <c r="AK364" i="5"/>
  <c r="BQ232" i="59"/>
  <c r="AJ364" i="5"/>
  <c r="BP232" i="59"/>
  <c r="AI364" i="5"/>
  <c r="BO232" i="59"/>
  <c r="AH364" i="5"/>
  <c r="BN232" i="59"/>
  <c r="AG364" i="5"/>
  <c r="BM232" i="59"/>
  <c r="AF364" i="5"/>
  <c r="BL232" i="59"/>
  <c r="AE364" i="5"/>
  <c r="BK232" i="59"/>
  <c r="AD364" i="5"/>
  <c r="BJ232" i="59"/>
  <c r="AC364" i="5"/>
  <c r="BI232" i="59"/>
  <c r="AB364" i="5"/>
  <c r="BH232" i="59"/>
  <c r="AA364" i="5"/>
  <c r="BG232" i="59"/>
  <c r="Z364" i="5"/>
  <c r="BF232" i="59"/>
  <c r="Y364" i="5"/>
  <c r="BE232" i="59"/>
  <c r="X364" i="5"/>
  <c r="BD232" i="59"/>
  <c r="W364" i="5"/>
  <c r="BC232" i="59"/>
  <c r="V364" i="5"/>
  <c r="BB232" i="59"/>
  <c r="U364" i="5"/>
  <c r="BA232" i="59"/>
  <c r="T364" i="5"/>
  <c r="AZ232" i="59"/>
  <c r="S364" i="5"/>
  <c r="AY232" i="59"/>
  <c r="R364" i="5"/>
  <c r="AX232" i="59"/>
  <c r="Q364" i="5"/>
  <c r="AW232" i="59"/>
  <c r="AO363" i="5"/>
  <c r="W232" i="59"/>
  <c r="AN363" i="5"/>
  <c r="V232" i="59"/>
  <c r="AM363" i="5"/>
  <c r="U232" i="59"/>
  <c r="AL363" i="5"/>
  <c r="T232" i="59"/>
  <c r="AK363" i="5"/>
  <c r="S232" i="59"/>
  <c r="AJ363" i="5"/>
  <c r="R232" i="59"/>
  <c r="AI363" i="5"/>
  <c r="Q232" i="59"/>
  <c r="AH363" i="5"/>
  <c r="P232" i="59"/>
  <c r="AG363" i="5"/>
  <c r="O232" i="59"/>
  <c r="AF363" i="5"/>
  <c r="N232" i="59"/>
  <c r="AE363" i="5"/>
  <c r="M232" i="59"/>
  <c r="AD363" i="5"/>
  <c r="L232" i="59"/>
  <c r="AC363" i="5"/>
  <c r="K232" i="59"/>
  <c r="AB363" i="5"/>
  <c r="J232" i="59"/>
  <c r="AA363" i="5"/>
  <c r="I232" i="59"/>
  <c r="Z363" i="5"/>
  <c r="H232" i="59"/>
  <c r="Y363" i="5"/>
  <c r="G232" i="59"/>
  <c r="X363" i="5"/>
  <c r="F232" i="59"/>
  <c r="W363" i="5"/>
  <c r="IV231" i="59"/>
  <c r="V363" i="5"/>
  <c r="IU231" i="59"/>
  <c r="U363" i="5"/>
  <c r="IT231" i="59"/>
  <c r="T363" i="5"/>
  <c r="IS231" i="59"/>
  <c r="S363" i="5"/>
  <c r="IR231" i="59"/>
  <c r="R363" i="5"/>
  <c r="IQ231" i="59"/>
  <c r="Q363" i="5"/>
  <c r="IP231" i="59"/>
  <c r="AO359" i="5"/>
  <c r="BV231" i="59"/>
  <c r="AN359" i="5"/>
  <c r="BU231" i="59"/>
  <c r="AM359" i="5"/>
  <c r="BT231" i="59"/>
  <c r="AL359" i="5"/>
  <c r="BS231" i="59"/>
  <c r="AK359" i="5"/>
  <c r="BR231" i="59"/>
  <c r="AJ359" i="5"/>
  <c r="BQ231" i="59"/>
  <c r="AI359" i="5"/>
  <c r="BP231" i="59"/>
  <c r="AH359" i="5"/>
  <c r="BO231" i="59"/>
  <c r="AG359" i="5"/>
  <c r="BN231" i="59"/>
  <c r="AF359" i="5"/>
  <c r="BM231" i="59"/>
  <c r="AE359" i="5"/>
  <c r="BL231" i="59"/>
  <c r="AD359" i="5"/>
  <c r="BK231" i="59"/>
  <c r="AC359" i="5"/>
  <c r="BJ231" i="59"/>
  <c r="AB359" i="5"/>
  <c r="BI231" i="59"/>
  <c r="AA359" i="5"/>
  <c r="BH231" i="59"/>
  <c r="Z359" i="5"/>
  <c r="BG231" i="59"/>
  <c r="Y359" i="5"/>
  <c r="BF231" i="59"/>
  <c r="X359" i="5"/>
  <c r="BE231" i="59"/>
  <c r="W359" i="5"/>
  <c r="BD231" i="59"/>
  <c r="V359" i="5"/>
  <c r="BC231" i="59"/>
  <c r="U359" i="5"/>
  <c r="BB231" i="59"/>
  <c r="T359" i="5"/>
  <c r="BA231" i="59"/>
  <c r="S359" i="5"/>
  <c r="AZ231" i="59"/>
  <c r="R359" i="5"/>
  <c r="AY231" i="59"/>
  <c r="Q359" i="5"/>
  <c r="AX231" i="59"/>
  <c r="P359" i="5"/>
  <c r="AW231" i="59"/>
  <c r="O359" i="5"/>
  <c r="AV231" i="59"/>
  <c r="N359" i="5"/>
  <c r="AU231" i="59"/>
  <c r="M359" i="5"/>
  <c r="AT231" i="59"/>
  <c r="L359" i="5"/>
  <c r="AS231" i="59"/>
  <c r="K359" i="5"/>
  <c r="AR231" i="59"/>
  <c r="J359" i="5"/>
  <c r="AQ231" i="59"/>
  <c r="I359" i="5"/>
  <c r="AP231" i="59"/>
  <c r="H359" i="5"/>
  <c r="AO231" i="59"/>
  <c r="G359" i="5"/>
  <c r="AN231" i="59"/>
  <c r="F359" i="5"/>
  <c r="AM231" i="59"/>
  <c r="E359" i="5"/>
  <c r="AL231" i="59"/>
  <c r="D359" i="5"/>
  <c r="AK231" i="59"/>
  <c r="AO358" i="5"/>
  <c r="X231" i="59"/>
  <c r="AN358" i="5"/>
  <c r="W231" i="59"/>
  <c r="AM358" i="5"/>
  <c r="V231" i="59"/>
  <c r="AL358" i="5"/>
  <c r="U231" i="59"/>
  <c r="AK358" i="5"/>
  <c r="T231" i="59"/>
  <c r="AJ358" i="5"/>
  <c r="S231" i="59"/>
  <c r="AI358" i="5"/>
  <c r="R231" i="59"/>
  <c r="AH358" i="5"/>
  <c r="Q231" i="59"/>
  <c r="AG358" i="5"/>
  <c r="P231" i="59"/>
  <c r="AF358" i="5"/>
  <c r="O231" i="59"/>
  <c r="AE358" i="5"/>
  <c r="N231" i="59"/>
  <c r="AD358" i="5"/>
  <c r="M231" i="59"/>
  <c r="AC358" i="5"/>
  <c r="L231" i="59"/>
  <c r="AB358" i="5"/>
  <c r="K231" i="59"/>
  <c r="AA358" i="5"/>
  <c r="J231" i="59"/>
  <c r="Z358" i="5"/>
  <c r="I231" i="59"/>
  <c r="Y358" i="5"/>
  <c r="H231" i="59"/>
  <c r="X358" i="5"/>
  <c r="G231" i="59"/>
  <c r="W358" i="5"/>
  <c r="F231" i="59"/>
  <c r="V358" i="5"/>
  <c r="IV230" i="59"/>
  <c r="U358" i="5"/>
  <c r="IU230" i="59"/>
  <c r="T358" i="5"/>
  <c r="IT230" i="59"/>
  <c r="S358" i="5"/>
  <c r="IS230" i="59"/>
  <c r="R358" i="5"/>
  <c r="IR230" i="59"/>
  <c r="Q358" i="5"/>
  <c r="IQ230" i="59"/>
  <c r="P358" i="5"/>
  <c r="IP230" i="59"/>
  <c r="O358" i="5"/>
  <c r="IO230" i="59"/>
  <c r="N358" i="5"/>
  <c r="IN230" i="59"/>
  <c r="M358" i="5"/>
  <c r="IM230" i="59"/>
  <c r="L358" i="5"/>
  <c r="IL230" i="59"/>
  <c r="K358" i="5"/>
  <c r="IK230" i="59"/>
  <c r="J358" i="5"/>
  <c r="IJ230" i="59"/>
  <c r="I358" i="5"/>
  <c r="II230" i="59"/>
  <c r="H358" i="5"/>
  <c r="IH230" i="59"/>
  <c r="G358" i="5"/>
  <c r="IG230" i="59"/>
  <c r="F358" i="5"/>
  <c r="IF230" i="59"/>
  <c r="E358" i="5"/>
  <c r="IE230" i="59"/>
  <c r="D358" i="5"/>
  <c r="ID230" i="59"/>
  <c r="AO355" i="5"/>
  <c r="AN355" i="5"/>
  <c r="DU230" i="59"/>
  <c r="AM355" i="5"/>
  <c r="DT230" i="59"/>
  <c r="AL355" i="5"/>
  <c r="DS230" i="59"/>
  <c r="AK355" i="5"/>
  <c r="DR230" i="59"/>
  <c r="AJ355" i="5"/>
  <c r="DQ230" i="59"/>
  <c r="AI355" i="5"/>
  <c r="DP230" i="59"/>
  <c r="AH355" i="5"/>
  <c r="DO230" i="59"/>
  <c r="AG355" i="5"/>
  <c r="DN230" i="59"/>
  <c r="AF355" i="5"/>
  <c r="DM230" i="59"/>
  <c r="AE355" i="5"/>
  <c r="DL230" i="59"/>
  <c r="AD355" i="5"/>
  <c r="DK230" i="59"/>
  <c r="AC355" i="5"/>
  <c r="DJ230" i="59"/>
  <c r="AB355" i="5"/>
  <c r="DI230" i="59"/>
  <c r="AA355" i="5"/>
  <c r="DH230" i="59"/>
  <c r="Z355" i="5"/>
  <c r="DG230" i="59"/>
  <c r="Y355" i="5"/>
  <c r="DF230" i="59"/>
  <c r="X355" i="5"/>
  <c r="DE230" i="59"/>
  <c r="W355" i="5"/>
  <c r="DD230" i="59"/>
  <c r="V355" i="5"/>
  <c r="DC230" i="59"/>
  <c r="U355" i="5"/>
  <c r="DB230" i="59"/>
  <c r="T355" i="5"/>
  <c r="DA230" i="59"/>
  <c r="S355" i="5"/>
  <c r="CZ230" i="59"/>
  <c r="R355" i="5"/>
  <c r="CY230" i="59"/>
  <c r="Q355" i="5"/>
  <c r="CX230" i="59"/>
  <c r="AO354" i="5"/>
  <c r="BX230" i="59"/>
  <c r="AN354" i="5"/>
  <c r="AM354" i="5"/>
  <c r="BV230" i="59"/>
  <c r="AL354" i="5"/>
  <c r="BU230" i="59"/>
  <c r="AK354" i="5"/>
  <c r="BT230" i="59"/>
  <c r="AJ354" i="5"/>
  <c r="BS230" i="59"/>
  <c r="AI354" i="5"/>
  <c r="BR230" i="59"/>
  <c r="AH354" i="5"/>
  <c r="BQ230" i="59"/>
  <c r="AG354" i="5"/>
  <c r="BP230" i="59"/>
  <c r="AF354" i="5"/>
  <c r="BO230" i="59"/>
  <c r="AE354" i="5"/>
  <c r="BN230" i="59"/>
  <c r="AD354" i="5"/>
  <c r="BM230" i="59"/>
  <c r="AC354" i="5"/>
  <c r="BL230" i="59"/>
  <c r="AB354" i="5"/>
  <c r="BK230" i="59"/>
  <c r="AA354" i="5"/>
  <c r="BJ230" i="59"/>
  <c r="Z354" i="5"/>
  <c r="BI230" i="59"/>
  <c r="Y354" i="5"/>
  <c r="BH230" i="59"/>
  <c r="X354" i="5"/>
  <c r="BG230" i="59"/>
  <c r="W354" i="5"/>
  <c r="BF230" i="59"/>
  <c r="V354" i="5"/>
  <c r="BE230" i="59"/>
  <c r="U354" i="5"/>
  <c r="BD230" i="59"/>
  <c r="T354" i="5"/>
  <c r="BC230" i="59"/>
  <c r="S354" i="5"/>
  <c r="BB230" i="59"/>
  <c r="R354" i="5"/>
  <c r="BA230" i="59"/>
  <c r="Q354" i="5"/>
  <c r="AZ230" i="59"/>
  <c r="P354" i="5"/>
  <c r="AY230" i="59"/>
  <c r="O354" i="5"/>
  <c r="AX230" i="59"/>
  <c r="N354" i="5"/>
  <c r="AW230" i="59"/>
  <c r="M354" i="5"/>
  <c r="AV230" i="59"/>
  <c r="L354" i="5"/>
  <c r="AU230" i="59"/>
  <c r="K354" i="5"/>
  <c r="AT230" i="59"/>
  <c r="J354" i="5"/>
  <c r="AS230" i="59"/>
  <c r="AR350" i="5"/>
  <c r="EA229" i="59"/>
  <c r="AQ350" i="5"/>
  <c r="DZ229" i="59"/>
  <c r="AR339" i="5"/>
  <c r="CJ227" i="59"/>
  <c r="AQ339" i="5"/>
  <c r="CI227" i="59"/>
  <c r="AR328" i="5"/>
  <c r="AS225" i="59"/>
  <c r="AQ328" i="5"/>
  <c r="AR225" i="59"/>
  <c r="AR317" i="5"/>
  <c r="IS222" i="59"/>
  <c r="AQ317" i="5"/>
  <c r="IR222" i="59"/>
  <c r="AR306" i="5"/>
  <c r="HB220" i="59"/>
  <c r="AQ306" i="5"/>
  <c r="HA220" i="59"/>
  <c r="AR295" i="5"/>
  <c r="FK218" i="59"/>
  <c r="AQ295" i="5"/>
  <c r="FJ218" i="59"/>
  <c r="G12" i="7"/>
  <c r="CP299" i="59"/>
  <c r="H118" i="42"/>
  <c r="HE311" i="59"/>
  <c r="AN160" i="59"/>
  <c r="BW230" i="59"/>
  <c r="AO160" i="59"/>
  <c r="DV230" i="59"/>
  <c r="A204" i="42"/>
  <c r="DY313" i="59"/>
  <c r="BS268" i="59"/>
  <c r="L268" i="59"/>
  <c r="P268" i="59"/>
  <c r="F202" i="42"/>
  <c r="DM313" i="59"/>
  <c r="BY268" i="59"/>
  <c r="BT49" i="56"/>
  <c r="HI251" i="59"/>
  <c r="BR6" i="56"/>
  <c r="II244" i="59"/>
  <c r="Q166" i="42"/>
  <c r="FX320" i="59"/>
  <c r="E202" i="42"/>
  <c r="DL313" i="59"/>
  <c r="A202" i="42"/>
  <c r="DH313" i="59"/>
  <c r="GP320" i="59"/>
  <c r="GN320" i="59"/>
  <c r="GL320" i="59"/>
  <c r="GJ320" i="59"/>
  <c r="GA320" i="59"/>
  <c r="FZ320" i="59"/>
  <c r="FY320" i="59"/>
  <c r="FW320" i="59"/>
  <c r="FT320" i="59"/>
  <c r="A17" i="13"/>
  <c r="O264" i="59"/>
  <c r="A14" i="11"/>
  <c r="GQ292" i="59"/>
  <c r="M46" i="43"/>
  <c r="Q11" i="59"/>
  <c r="L47" i="43"/>
  <c r="BE11" i="59"/>
  <c r="CH268" i="59"/>
  <c r="CG268" i="59"/>
  <c r="CE268" i="59"/>
  <c r="CF268" i="59"/>
  <c r="K375" i="5"/>
  <c r="CM234" i="59"/>
  <c r="O375" i="5"/>
  <c r="CQ234" i="59"/>
  <c r="S375" i="5"/>
  <c r="CU234" i="59"/>
  <c r="W375" i="5"/>
  <c r="CY234" i="59"/>
  <c r="AA375" i="5"/>
  <c r="DC234" i="59"/>
  <c r="AE375" i="5"/>
  <c r="DG234" i="59"/>
  <c r="AI375" i="5"/>
  <c r="DK234" i="59"/>
  <c r="AM375" i="5"/>
  <c r="DO234" i="59"/>
  <c r="Z375" i="5"/>
  <c r="DB234" i="59"/>
  <c r="AD375" i="5"/>
  <c r="DF234" i="59"/>
  <c r="AH375" i="5"/>
  <c r="DJ234" i="59"/>
  <c r="AL375" i="5"/>
  <c r="DN234" i="59"/>
  <c r="H375" i="5"/>
  <c r="CJ234" i="59"/>
  <c r="L375" i="5"/>
  <c r="CN234" i="59"/>
  <c r="P375" i="5"/>
  <c r="CR234" i="59"/>
  <c r="T375" i="5"/>
  <c r="CV234" i="59"/>
  <c r="X375" i="5"/>
  <c r="CZ234" i="59"/>
  <c r="AB375" i="5"/>
  <c r="DD234" i="59"/>
  <c r="AF375" i="5"/>
  <c r="DH234" i="59"/>
  <c r="AJ375" i="5"/>
  <c r="DL234" i="59"/>
  <c r="AN375" i="5"/>
  <c r="DP234" i="59"/>
  <c r="D375" i="5"/>
  <c r="CF234" i="59"/>
  <c r="J360" i="5"/>
  <c r="CO231" i="59"/>
  <c r="N360" i="5"/>
  <c r="CS231" i="59"/>
  <c r="R360" i="5"/>
  <c r="CW231" i="59"/>
  <c r="V360" i="5"/>
  <c r="DA231" i="59"/>
  <c r="Z360" i="5"/>
  <c r="DE231" i="59"/>
  <c r="AD360" i="5"/>
  <c r="DI231" i="59"/>
  <c r="AH360" i="5"/>
  <c r="DM231" i="59"/>
  <c r="AL360" i="5"/>
  <c r="DQ231" i="59"/>
  <c r="G375" i="5"/>
  <c r="CI234" i="59"/>
  <c r="F360" i="5"/>
  <c r="CK231" i="59"/>
  <c r="I360" i="5"/>
  <c r="CN231" i="59"/>
  <c r="M360" i="5"/>
  <c r="CR231" i="59"/>
  <c r="Q360" i="5"/>
  <c r="CV231" i="59"/>
  <c r="U360" i="5"/>
  <c r="CZ231" i="59"/>
  <c r="Y360" i="5"/>
  <c r="DD231" i="59"/>
  <c r="AC360" i="5"/>
  <c r="DH231" i="59"/>
  <c r="AG360" i="5"/>
  <c r="DL231" i="59"/>
  <c r="AK360" i="5"/>
  <c r="DP231" i="59"/>
  <c r="AO360" i="5"/>
  <c r="DT231" i="59"/>
  <c r="AT350" i="5"/>
  <c r="EC229" i="59"/>
  <c r="G360" i="5"/>
  <c r="CL231" i="59"/>
  <c r="K360" i="5"/>
  <c r="CP231" i="59"/>
  <c r="O360" i="5"/>
  <c r="CT231" i="59"/>
  <c r="S360" i="5"/>
  <c r="CX231" i="59"/>
  <c r="W360" i="5"/>
  <c r="DB231" i="59"/>
  <c r="AA360" i="5"/>
  <c r="DF231" i="59"/>
  <c r="AE360" i="5"/>
  <c r="DJ231" i="59"/>
  <c r="AI360" i="5"/>
  <c r="DN231" i="59"/>
  <c r="AM360" i="5"/>
  <c r="DR231" i="59"/>
  <c r="F375" i="5"/>
  <c r="CH234" i="59"/>
  <c r="J375" i="5"/>
  <c r="CL234" i="59"/>
  <c r="N375" i="5"/>
  <c r="CP234" i="59"/>
  <c r="R375" i="5"/>
  <c r="CT234" i="59"/>
  <c r="V375" i="5"/>
  <c r="CX234" i="59"/>
  <c r="AT306" i="5"/>
  <c r="HD220" i="59"/>
  <c r="AT295" i="5"/>
  <c r="FM218" i="59"/>
  <c r="AQ358" i="5"/>
  <c r="Z231" i="59"/>
  <c r="AR359" i="5"/>
  <c r="BY231" i="59"/>
  <c r="AT317" i="5"/>
  <c r="IU222" i="59"/>
  <c r="AT339" i="5"/>
  <c r="CL227" i="59"/>
  <c r="AR358" i="5"/>
  <c r="AQ359" i="5"/>
  <c r="BX231" i="59"/>
  <c r="AT328" i="5"/>
  <c r="AU225" i="59"/>
  <c r="D360" i="5"/>
  <c r="CI231" i="59"/>
  <c r="H360" i="5"/>
  <c r="CM231" i="59"/>
  <c r="L360" i="5"/>
  <c r="CQ231" i="59"/>
  <c r="P360" i="5"/>
  <c r="CU231" i="59"/>
  <c r="T360" i="5"/>
  <c r="CY231" i="59"/>
  <c r="X360" i="5"/>
  <c r="DC231" i="59"/>
  <c r="AB360" i="5"/>
  <c r="DG231" i="59"/>
  <c r="AF360" i="5"/>
  <c r="DK231" i="59"/>
  <c r="AJ360" i="5"/>
  <c r="DO231" i="59"/>
  <c r="AN360" i="5"/>
  <c r="DS231" i="59"/>
  <c r="E360" i="5"/>
  <c r="CJ231" i="59"/>
  <c r="E375" i="5"/>
  <c r="CG234" i="59"/>
  <c r="I375" i="5"/>
  <c r="CK234" i="59"/>
  <c r="M375" i="5"/>
  <c r="CO234" i="59"/>
  <c r="Q375" i="5"/>
  <c r="CS234" i="59"/>
  <c r="U375" i="5"/>
  <c r="CW234" i="59"/>
  <c r="Y375" i="5"/>
  <c r="DA234" i="59"/>
  <c r="AC375" i="5"/>
  <c r="DE234" i="59"/>
  <c r="AG375" i="5"/>
  <c r="DI234" i="59"/>
  <c r="AK375" i="5"/>
  <c r="DM234" i="59"/>
  <c r="AO375" i="5"/>
  <c r="DQ234" i="59"/>
  <c r="S356" i="5"/>
  <c r="EW230" i="59"/>
  <c r="W356" i="5"/>
  <c r="FA230" i="59"/>
  <c r="AA356" i="5"/>
  <c r="FE230" i="59"/>
  <c r="AE356" i="5"/>
  <c r="FI230" i="59"/>
  <c r="AI356" i="5"/>
  <c r="FM230" i="59"/>
  <c r="AM356" i="5"/>
  <c r="FQ230" i="59"/>
  <c r="T356" i="5"/>
  <c r="EX230" i="59"/>
  <c r="X356" i="5"/>
  <c r="FB230" i="59"/>
  <c r="AB356" i="5"/>
  <c r="FF230" i="59"/>
  <c r="AF356" i="5"/>
  <c r="FJ230" i="59"/>
  <c r="AJ356" i="5"/>
  <c r="FN230" i="59"/>
  <c r="AN356" i="5"/>
  <c r="FR230" i="59"/>
  <c r="Q356" i="5"/>
  <c r="EU230" i="59"/>
  <c r="U356" i="5"/>
  <c r="EY230" i="59"/>
  <c r="Y356" i="5"/>
  <c r="FC230" i="59"/>
  <c r="AC356" i="5"/>
  <c r="FG230" i="59"/>
  <c r="AG356" i="5"/>
  <c r="FK230" i="59"/>
  <c r="AK356" i="5"/>
  <c r="FO230" i="59"/>
  <c r="AO356" i="5"/>
  <c r="FS230" i="59"/>
  <c r="R356" i="5"/>
  <c r="EV230" i="59"/>
  <c r="V356" i="5"/>
  <c r="EZ230" i="59"/>
  <c r="Z356" i="5"/>
  <c r="FD230" i="59"/>
  <c r="AD356" i="5"/>
  <c r="FH230" i="59"/>
  <c r="AH356" i="5"/>
  <c r="FL230" i="59"/>
  <c r="AL356" i="5"/>
  <c r="FP230" i="59"/>
  <c r="AR284" i="5"/>
  <c r="DT216" i="59"/>
  <c r="AQ284" i="5"/>
  <c r="DS216" i="59"/>
  <c r="AR273" i="5"/>
  <c r="CC214" i="59"/>
  <c r="AQ273" i="5"/>
  <c r="CB214" i="59"/>
  <c r="AR262" i="5"/>
  <c r="AL212" i="59"/>
  <c r="AQ262" i="5"/>
  <c r="AK212" i="59"/>
  <c r="AR251" i="5"/>
  <c r="IL209" i="59"/>
  <c r="AQ251" i="5"/>
  <c r="IK209" i="59"/>
  <c r="AR240" i="5"/>
  <c r="GU207" i="59"/>
  <c r="AQ240" i="5"/>
  <c r="GT207" i="59"/>
  <c r="AR229" i="5"/>
  <c r="FD205" i="59"/>
  <c r="AQ229" i="5"/>
  <c r="FC205" i="59"/>
  <c r="AR218" i="5"/>
  <c r="DM203" i="59"/>
  <c r="AQ218" i="5"/>
  <c r="DL203" i="59"/>
  <c r="AR207" i="5"/>
  <c r="BV201" i="59"/>
  <c r="AQ207" i="5"/>
  <c r="BU201" i="59"/>
  <c r="AR196" i="5"/>
  <c r="AE199" i="59"/>
  <c r="AQ196" i="5"/>
  <c r="AD199" i="59"/>
  <c r="AR185" i="5"/>
  <c r="IE196" i="59"/>
  <c r="AQ185" i="5"/>
  <c r="ID196" i="59"/>
  <c r="AR174" i="5"/>
  <c r="GN194" i="59"/>
  <c r="AQ174" i="5"/>
  <c r="GM194" i="59"/>
  <c r="AR163" i="5"/>
  <c r="EW192" i="59"/>
  <c r="AQ163" i="5"/>
  <c r="EV192" i="59"/>
  <c r="AR152" i="5"/>
  <c r="DF190" i="59"/>
  <c r="AQ152" i="5"/>
  <c r="DE190" i="59"/>
  <c r="AR141" i="5"/>
  <c r="BO188" i="59"/>
  <c r="AQ141" i="5"/>
  <c r="BN188" i="59"/>
  <c r="AR130" i="5"/>
  <c r="X186" i="59"/>
  <c r="AQ130" i="5"/>
  <c r="W186" i="59"/>
  <c r="AR119" i="5"/>
  <c r="HX183" i="59"/>
  <c r="AQ119" i="5"/>
  <c r="HW183" i="59"/>
  <c r="AR108" i="5"/>
  <c r="GG181" i="59"/>
  <c r="AQ108" i="5"/>
  <c r="GF181" i="59"/>
  <c r="AR97" i="5"/>
  <c r="EP179" i="59"/>
  <c r="AQ97" i="5"/>
  <c r="EO179" i="59"/>
  <c r="AR86" i="5"/>
  <c r="CY177" i="59"/>
  <c r="AQ86" i="5"/>
  <c r="CX177" i="59"/>
  <c r="AR75" i="5"/>
  <c r="BH175" i="59"/>
  <c r="AQ75" i="5"/>
  <c r="BG175" i="59"/>
  <c r="AR64" i="5"/>
  <c r="Q173" i="59"/>
  <c r="AQ64" i="5"/>
  <c r="P173" i="59"/>
  <c r="AR53" i="5"/>
  <c r="HQ170" i="59"/>
  <c r="AQ53" i="5"/>
  <c r="HP170" i="59"/>
  <c r="AR42" i="5"/>
  <c r="FZ168" i="59"/>
  <c r="AQ42" i="5"/>
  <c r="FY168" i="59"/>
  <c r="AR31" i="5"/>
  <c r="EI166" i="59"/>
  <c r="AQ31" i="5"/>
  <c r="EH166" i="59"/>
  <c r="AR20" i="5"/>
  <c r="CR164" i="59"/>
  <c r="AQ20" i="5"/>
  <c r="CQ164" i="59"/>
  <c r="A19" i="5"/>
  <c r="IU163" i="59"/>
  <c r="C8" i="5"/>
  <c r="BO162" i="59"/>
  <c r="C7" i="5"/>
  <c r="R162" i="59"/>
  <c r="AR160" i="59"/>
  <c r="AA231" i="59"/>
  <c r="Y268" i="59"/>
  <c r="F320" i="59"/>
  <c r="R268" i="59"/>
  <c r="R320" i="59"/>
  <c r="AC268" i="59"/>
  <c r="O268" i="59"/>
  <c r="V268" i="59"/>
  <c r="AE268" i="59"/>
  <c r="Z268" i="59"/>
  <c r="V320" i="59"/>
  <c r="CZ312" i="59"/>
  <c r="Q308" i="59"/>
  <c r="IT319" i="59"/>
  <c r="X268" i="59"/>
  <c r="S268" i="59"/>
  <c r="T320" i="59"/>
  <c r="U268" i="59"/>
  <c r="AD268" i="59"/>
  <c r="F175" i="42"/>
  <c r="FJ312" i="59"/>
  <c r="W268" i="59"/>
  <c r="IV319" i="59"/>
  <c r="A177" i="42"/>
  <c r="FV312" i="59"/>
  <c r="Q268" i="59"/>
  <c r="P320" i="59"/>
  <c r="N268" i="59"/>
  <c r="IQ319" i="59"/>
  <c r="A175" i="42"/>
  <c r="E175" i="42"/>
  <c r="FI312" i="59"/>
  <c r="T268" i="59"/>
  <c r="AF268" i="59"/>
  <c r="IU319" i="59"/>
  <c r="AA268" i="59"/>
  <c r="G320" i="59"/>
  <c r="AL268" i="59"/>
  <c r="BV49" i="56"/>
  <c r="HK251" i="59"/>
  <c r="BT6" i="56"/>
  <c r="IK244" i="59"/>
  <c r="Q202" i="42"/>
  <c r="DP313" i="59"/>
  <c r="A18" i="13"/>
  <c r="AP264" i="59"/>
  <c r="N46" i="43"/>
  <c r="R11" i="59"/>
  <c r="M47" i="43"/>
  <c r="BF11" i="59"/>
  <c r="A15" i="11"/>
  <c r="HW292" i="59"/>
  <c r="Y362" i="5"/>
  <c r="GZ231" i="59"/>
  <c r="Z362" i="5"/>
  <c r="HA231" i="59"/>
  <c r="U362" i="5"/>
  <c r="GV231" i="59"/>
  <c r="AM362" i="5"/>
  <c r="HN231" i="59"/>
  <c r="Q362" i="5"/>
  <c r="GR231" i="59"/>
  <c r="AO362" i="5"/>
  <c r="HP231" i="59"/>
  <c r="R362" i="5"/>
  <c r="GS231" i="59"/>
  <c r="AE362" i="5"/>
  <c r="HF231" i="59"/>
  <c r="AI362" i="5"/>
  <c r="HJ231" i="59"/>
  <c r="AG362" i="5"/>
  <c r="HH231" i="59"/>
  <c r="S362" i="5"/>
  <c r="GT231" i="59"/>
  <c r="AH362" i="5"/>
  <c r="HI231" i="59"/>
  <c r="AC362" i="5"/>
  <c r="HD231" i="59"/>
  <c r="AK362" i="5"/>
  <c r="HL231" i="59"/>
  <c r="W362" i="5"/>
  <c r="GX231" i="59"/>
  <c r="AD362" i="5"/>
  <c r="HE231" i="59"/>
  <c r="AL362" i="5"/>
  <c r="HM231" i="59"/>
  <c r="V362" i="5"/>
  <c r="GW231" i="59"/>
  <c r="M7" i="5"/>
  <c r="AB162" i="59"/>
  <c r="L8" i="5"/>
  <c r="BX162" i="59"/>
  <c r="L7" i="5"/>
  <c r="AA162" i="59"/>
  <c r="M8" i="5"/>
  <c r="BY162" i="59"/>
  <c r="E400" i="5"/>
  <c r="DP239" i="59"/>
  <c r="AQ360" i="5"/>
  <c r="DV231" i="59"/>
  <c r="AJ362" i="5"/>
  <c r="HK231" i="59"/>
  <c r="T362" i="5"/>
  <c r="GU231" i="59"/>
  <c r="AR360" i="5"/>
  <c r="DW231" i="59"/>
  <c r="E402" i="5"/>
  <c r="HN239" i="59"/>
  <c r="AT42" i="5"/>
  <c r="GB168" i="59"/>
  <c r="AT86" i="5"/>
  <c r="DA177" i="59"/>
  <c r="AT196" i="5"/>
  <c r="AG199" i="59"/>
  <c r="AN362" i="5"/>
  <c r="HO231" i="59"/>
  <c r="X362" i="5"/>
  <c r="GY231" i="59"/>
  <c r="AA362" i="5"/>
  <c r="HB231" i="59"/>
  <c r="AB362" i="5"/>
  <c r="HC231" i="59"/>
  <c r="AT163" i="5"/>
  <c r="EY192" i="59"/>
  <c r="AT207" i="5"/>
  <c r="BX201" i="59"/>
  <c r="AT251" i="5"/>
  <c r="IN209" i="59"/>
  <c r="AT174" i="5"/>
  <c r="GP194" i="59"/>
  <c r="AT152" i="5"/>
  <c r="DH190" i="59"/>
  <c r="AT262" i="5"/>
  <c r="AN212" i="59"/>
  <c r="AT284" i="5"/>
  <c r="DV216" i="59"/>
  <c r="AT31" i="5"/>
  <c r="EK166" i="59"/>
  <c r="AT75" i="5"/>
  <c r="BJ175" i="59"/>
  <c r="AT141" i="5"/>
  <c r="BQ188" i="59"/>
  <c r="AT218" i="5"/>
  <c r="DO203" i="59"/>
  <c r="AT53" i="5"/>
  <c r="HS170" i="59"/>
  <c r="AT273" i="5"/>
  <c r="CE214" i="59"/>
  <c r="AT64" i="5"/>
  <c r="S173" i="59"/>
  <c r="AT229" i="5"/>
  <c r="FF205" i="59"/>
  <c r="AF362" i="5"/>
  <c r="HG231" i="59"/>
  <c r="AT240" i="5"/>
  <c r="GW207" i="59"/>
  <c r="AT185" i="5"/>
  <c r="IG196" i="59"/>
  <c r="AT97" i="5"/>
  <c r="ER179" i="59"/>
  <c r="AT108" i="5"/>
  <c r="GI181" i="59"/>
  <c r="AT119" i="5"/>
  <c r="HZ183" i="59"/>
  <c r="AT130" i="5"/>
  <c r="Z186" i="59"/>
  <c r="Q175" i="42"/>
  <c r="FM312" i="59"/>
  <c r="FE312" i="59"/>
  <c r="AM268" i="59"/>
  <c r="BM268" i="59"/>
  <c r="AQ268" i="59"/>
  <c r="BX49" i="56"/>
  <c r="HM251" i="59"/>
  <c r="BV6" i="56"/>
  <c r="IM244" i="59"/>
  <c r="A19" i="13"/>
  <c r="BQ264" i="59"/>
  <c r="A16" i="11"/>
  <c r="L293" i="59"/>
  <c r="O46" i="43"/>
  <c r="S11" i="59"/>
  <c r="N47" i="43"/>
  <c r="BG11" i="59"/>
  <c r="N7" i="5"/>
  <c r="AC162" i="59"/>
  <c r="L11" i="5"/>
  <c r="FR162" i="59"/>
  <c r="M11" i="5"/>
  <c r="FS162" i="59"/>
  <c r="G188" i="40"/>
  <c r="HR142" i="59"/>
  <c r="F188" i="40"/>
  <c r="HQ142" i="59"/>
  <c r="A195" i="42"/>
  <c r="BL313" i="59"/>
  <c r="AR268" i="59"/>
  <c r="DX320" i="59"/>
  <c r="AO268" i="59"/>
  <c r="DH320" i="59"/>
  <c r="A193" i="42"/>
  <c r="BE268" i="59"/>
  <c r="AV268" i="59"/>
  <c r="AW268" i="59"/>
  <c r="BF268" i="59"/>
  <c r="AZ268" i="59"/>
  <c r="DN320" i="59"/>
  <c r="ED320" i="59"/>
  <c r="BA268" i="59"/>
  <c r="BB268" i="59"/>
  <c r="DO320" i="59"/>
  <c r="AP268" i="59"/>
  <c r="BD268" i="59"/>
  <c r="AS268" i="59"/>
  <c r="DZ320" i="59"/>
  <c r="BG268" i="59"/>
  <c r="AU268" i="59"/>
  <c r="E193" i="42"/>
  <c r="AY313" i="59"/>
  <c r="DL320" i="59"/>
  <c r="AY268" i="59"/>
  <c r="DK320" i="59"/>
  <c r="F193" i="42"/>
  <c r="AZ313" i="59"/>
  <c r="AX268" i="59"/>
  <c r="DM320" i="59"/>
  <c r="EB320" i="59"/>
  <c r="AT268" i="59"/>
  <c r="BZ49" i="56"/>
  <c r="HO251" i="59"/>
  <c r="BX6" i="56"/>
  <c r="IO244" i="59"/>
  <c r="A20" i="13"/>
  <c r="CR264" i="59"/>
  <c r="A17" i="11"/>
  <c r="AR293" i="59"/>
  <c r="P46" i="43"/>
  <c r="T11" i="59"/>
  <c r="O47" i="43"/>
  <c r="BH11" i="59"/>
  <c r="F223" i="40"/>
  <c r="IV149" i="59"/>
  <c r="G223" i="40"/>
  <c r="F150" i="59"/>
  <c r="N11" i="5"/>
  <c r="FT162" i="59"/>
  <c r="G187" i="40"/>
  <c r="FS142" i="59"/>
  <c r="F187" i="40"/>
  <c r="FR142" i="59"/>
  <c r="G186" i="40"/>
  <c r="DT142" i="59"/>
  <c r="F186" i="40"/>
  <c r="DS142" i="59"/>
  <c r="G185" i="40"/>
  <c r="BU142" i="59"/>
  <c r="F185" i="40"/>
  <c r="BT142" i="59"/>
  <c r="AU313" i="59"/>
  <c r="Q193" i="42"/>
  <c r="BC313" i="59"/>
  <c r="CB49" i="56"/>
  <c r="BZ6" i="56"/>
  <c r="IQ244" i="59"/>
  <c r="A21" i="13"/>
  <c r="DS264" i="59"/>
  <c r="A18" i="11"/>
  <c r="BX293" i="59"/>
  <c r="Q46" i="43"/>
  <c r="U11" i="59"/>
  <c r="P47" i="43"/>
  <c r="BI11" i="59"/>
  <c r="G222" i="40"/>
  <c r="GX149" i="59"/>
  <c r="F220" i="40"/>
  <c r="CY149" i="59"/>
  <c r="G220" i="40"/>
  <c r="CZ149" i="59"/>
  <c r="F221" i="40"/>
  <c r="EX149" i="59"/>
  <c r="G221" i="40"/>
  <c r="EY149" i="59"/>
  <c r="F222" i="40"/>
  <c r="GW149" i="59"/>
  <c r="G184" i="40"/>
  <c r="V142" i="59"/>
  <c r="F184" i="40"/>
  <c r="U142" i="59"/>
  <c r="CB6" i="56"/>
  <c r="IS244" i="59"/>
  <c r="HQ251" i="59"/>
  <c r="A22" i="13"/>
  <c r="ET264" i="59"/>
  <c r="A19" i="11"/>
  <c r="DD293" i="59"/>
  <c r="R46" i="43"/>
  <c r="V11" i="59"/>
  <c r="Q47" i="43"/>
  <c r="BJ11" i="59"/>
  <c r="F219" i="40"/>
  <c r="AZ149" i="59"/>
  <c r="G219" i="40"/>
  <c r="BA149" i="59"/>
  <c r="G183" i="40"/>
  <c r="HN141" i="59"/>
  <c r="F183" i="40"/>
  <c r="HM141" i="59"/>
  <c r="G182" i="40"/>
  <c r="FO141" i="59"/>
  <c r="F182" i="40"/>
  <c r="FN141" i="59"/>
  <c r="G181" i="40"/>
  <c r="DP141" i="59"/>
  <c r="F181" i="40"/>
  <c r="DO141" i="59"/>
  <c r="G180" i="40"/>
  <c r="BQ141" i="59"/>
  <c r="F180" i="40"/>
  <c r="BP141" i="59"/>
  <c r="G179" i="40"/>
  <c r="R141" i="59"/>
  <c r="F179" i="40"/>
  <c r="Q141" i="59"/>
  <c r="G178" i="40"/>
  <c r="HJ140" i="59"/>
  <c r="F178" i="40"/>
  <c r="HI140" i="59"/>
  <c r="G177" i="40"/>
  <c r="FK140" i="59"/>
  <c r="F177" i="40"/>
  <c r="FJ140" i="59"/>
  <c r="G176" i="40"/>
  <c r="DL140" i="59"/>
  <c r="F176" i="40"/>
  <c r="DK140" i="59"/>
  <c r="G175" i="40"/>
  <c r="BM140" i="59"/>
  <c r="F175" i="40"/>
  <c r="BL140" i="59"/>
  <c r="G174" i="40"/>
  <c r="N140" i="59"/>
  <c r="F174" i="40"/>
  <c r="M140" i="59"/>
  <c r="G173" i="40"/>
  <c r="HF139" i="59"/>
  <c r="F173" i="40"/>
  <c r="HE139" i="59"/>
  <c r="G172" i="40"/>
  <c r="FG139" i="59"/>
  <c r="F172" i="40"/>
  <c r="FF139" i="59"/>
  <c r="G171" i="40"/>
  <c r="DH139" i="59"/>
  <c r="F171" i="40"/>
  <c r="DG139" i="59"/>
  <c r="G170" i="40"/>
  <c r="BI139" i="59"/>
  <c r="F170" i="40"/>
  <c r="BH139" i="59"/>
  <c r="G169" i="40"/>
  <c r="J139" i="59"/>
  <c r="F169" i="40"/>
  <c r="I139" i="59"/>
  <c r="G168" i="40"/>
  <c r="HB138" i="59"/>
  <c r="F168" i="40"/>
  <c r="HA138" i="59"/>
  <c r="G167" i="40"/>
  <c r="FC138" i="59"/>
  <c r="F167" i="40"/>
  <c r="FB138" i="59"/>
  <c r="G166" i="40"/>
  <c r="DD138" i="59"/>
  <c r="F166" i="40"/>
  <c r="DC138" i="59"/>
  <c r="G165" i="40"/>
  <c r="BE138" i="59"/>
  <c r="F165" i="40"/>
  <c r="BD138" i="59"/>
  <c r="G164" i="40"/>
  <c r="F138" i="59"/>
  <c r="F164" i="40"/>
  <c r="IV137" i="59"/>
  <c r="G163" i="40"/>
  <c r="GX137" i="59"/>
  <c r="F163" i="40"/>
  <c r="GW137" i="59"/>
  <c r="G162" i="40"/>
  <c r="EY137" i="59"/>
  <c r="F162" i="40"/>
  <c r="EX137" i="59"/>
  <c r="G161" i="40"/>
  <c r="CZ137" i="59"/>
  <c r="F161" i="40"/>
  <c r="CY137" i="59"/>
  <c r="G160" i="40"/>
  <c r="BA137" i="59"/>
  <c r="F160" i="40"/>
  <c r="AZ137" i="59"/>
  <c r="G159" i="40"/>
  <c r="IS136" i="59"/>
  <c r="G152" i="40"/>
  <c r="EK135" i="59"/>
  <c r="F152" i="40"/>
  <c r="EJ135" i="59"/>
  <c r="G151" i="40"/>
  <c r="F151" i="40"/>
  <c r="CJ135" i="59"/>
  <c r="G150" i="40"/>
  <c r="AK135" i="59"/>
  <c r="F150" i="40"/>
  <c r="G149" i="40"/>
  <c r="IB134" i="59"/>
  <c r="F149" i="40"/>
  <c r="IA134" i="59"/>
  <c r="G148" i="40"/>
  <c r="GB134" i="59"/>
  <c r="F148" i="40"/>
  <c r="GA134" i="59"/>
  <c r="G147" i="40"/>
  <c r="EB134" i="59"/>
  <c r="F147" i="40"/>
  <c r="EA134" i="59"/>
  <c r="G146" i="40"/>
  <c r="CB134" i="59"/>
  <c r="F146" i="40"/>
  <c r="CA134" i="59"/>
  <c r="G145" i="40"/>
  <c r="AB134" i="59"/>
  <c r="F145" i="40"/>
  <c r="AA134" i="59"/>
  <c r="G144" i="40"/>
  <c r="HS133" i="59"/>
  <c r="F144" i="40"/>
  <c r="HR133" i="59"/>
  <c r="G143" i="40"/>
  <c r="FS133" i="59"/>
  <c r="F143" i="40"/>
  <c r="FR133" i="59"/>
  <c r="G142" i="40"/>
  <c r="DS133" i="59"/>
  <c r="F142" i="40"/>
  <c r="DR133" i="59"/>
  <c r="G141" i="40"/>
  <c r="BS133" i="59"/>
  <c r="F141" i="40"/>
  <c r="BR133" i="59"/>
  <c r="G140" i="40"/>
  <c r="S133" i="59"/>
  <c r="F140" i="40"/>
  <c r="R133" i="59"/>
  <c r="G139" i="40"/>
  <c r="HJ132" i="59"/>
  <c r="F139" i="40"/>
  <c r="HI132" i="59"/>
  <c r="G138" i="40"/>
  <c r="FJ132" i="59"/>
  <c r="F138" i="40"/>
  <c r="FI132" i="59"/>
  <c r="G137" i="40"/>
  <c r="DJ132" i="59"/>
  <c r="F137" i="40"/>
  <c r="DI132" i="59"/>
  <c r="G136" i="40"/>
  <c r="BJ132" i="59"/>
  <c r="F136" i="40"/>
  <c r="BI132" i="59"/>
  <c r="G135" i="40"/>
  <c r="J132" i="59"/>
  <c r="F135" i="40"/>
  <c r="I132" i="59"/>
  <c r="G134" i="40"/>
  <c r="HA131" i="59"/>
  <c r="F134" i="40"/>
  <c r="GZ131" i="59"/>
  <c r="G133" i="40"/>
  <c r="FA131" i="59"/>
  <c r="F133" i="40"/>
  <c r="EZ131" i="59"/>
  <c r="G132" i="40"/>
  <c r="DA131" i="59"/>
  <c r="F132" i="40"/>
  <c r="CZ131" i="59"/>
  <c r="G131" i="40"/>
  <c r="BA131" i="59"/>
  <c r="F131" i="40"/>
  <c r="AZ131" i="59"/>
  <c r="G130" i="40"/>
  <c r="IR130" i="59"/>
  <c r="F130" i="40"/>
  <c r="IQ130" i="59"/>
  <c r="G129" i="40"/>
  <c r="GR130" i="59"/>
  <c r="F129" i="40"/>
  <c r="GQ130" i="59"/>
  <c r="G128" i="40"/>
  <c r="ER130" i="59"/>
  <c r="F128" i="40"/>
  <c r="EQ130" i="59"/>
  <c r="G127" i="40"/>
  <c r="CR130" i="59"/>
  <c r="F127" i="40"/>
  <c r="CQ130" i="59"/>
  <c r="G126" i="40"/>
  <c r="AR130" i="59"/>
  <c r="F126" i="40"/>
  <c r="AQ130" i="59"/>
  <c r="G125" i="40"/>
  <c r="II129" i="59"/>
  <c r="F125" i="40"/>
  <c r="IH129" i="59"/>
  <c r="F104" i="59"/>
  <c r="AJ135" i="59"/>
  <c r="CK135" i="59"/>
  <c r="G104" i="59"/>
  <c r="A23" i="13"/>
  <c r="FU264" i="59"/>
  <c r="S46" i="43"/>
  <c r="W11" i="59"/>
  <c r="R47" i="43"/>
  <c r="BK11" i="59"/>
  <c r="A20" i="11"/>
  <c r="EJ293" i="59"/>
  <c r="F198" i="40"/>
  <c r="IB144" i="59"/>
  <c r="F210" i="40"/>
  <c r="CQ147" i="59"/>
  <c r="F218" i="40"/>
  <c r="IR148" i="59"/>
  <c r="G194" i="40"/>
  <c r="AG144" i="59"/>
  <c r="G214" i="40"/>
  <c r="AW148" i="59"/>
  <c r="F195" i="40"/>
  <c r="CE144" i="59"/>
  <c r="F203" i="40"/>
  <c r="IF145" i="59"/>
  <c r="F215" i="40"/>
  <c r="CU148" i="59"/>
  <c r="G196" i="40"/>
  <c r="EE144" i="59"/>
  <c r="G200" i="40"/>
  <c r="CJ145" i="59"/>
  <c r="G204" i="40"/>
  <c r="AO146" i="59"/>
  <c r="G212" i="40"/>
  <c r="GP147" i="59"/>
  <c r="F197" i="40"/>
  <c r="GC144" i="59"/>
  <c r="F201" i="40"/>
  <c r="EH145" i="59"/>
  <c r="F205" i="40"/>
  <c r="CM146" i="59"/>
  <c r="F209" i="40"/>
  <c r="AR147" i="59"/>
  <c r="F213" i="40"/>
  <c r="IN147" i="59"/>
  <c r="F217" i="40"/>
  <c r="GS148" i="59"/>
  <c r="G197" i="40"/>
  <c r="GD144" i="59"/>
  <c r="G201" i="40"/>
  <c r="EI145" i="59"/>
  <c r="G205" i="40"/>
  <c r="CN146" i="59"/>
  <c r="G209" i="40"/>
  <c r="AS147" i="59"/>
  <c r="G213" i="40"/>
  <c r="IO147" i="59"/>
  <c r="G217" i="40"/>
  <c r="GT148" i="59"/>
  <c r="F206" i="40"/>
  <c r="EL146" i="59"/>
  <c r="G210" i="40"/>
  <c r="CR147" i="59"/>
  <c r="F207" i="40"/>
  <c r="GK146" i="59"/>
  <c r="G195" i="40"/>
  <c r="CF144" i="59"/>
  <c r="G199" i="40"/>
  <c r="AK145" i="59"/>
  <c r="G203" i="40"/>
  <c r="IG145" i="59"/>
  <c r="G207" i="40"/>
  <c r="GL146" i="59"/>
  <c r="G211" i="40"/>
  <c r="EQ147" i="59"/>
  <c r="G215" i="40"/>
  <c r="CV148" i="59"/>
  <c r="F202" i="40"/>
  <c r="GG145" i="59"/>
  <c r="G198" i="40"/>
  <c r="IC144" i="59"/>
  <c r="G206" i="40"/>
  <c r="EM146" i="59"/>
  <c r="G218" i="40"/>
  <c r="IS148" i="59"/>
  <c r="F199" i="40"/>
  <c r="AJ145" i="59"/>
  <c r="F211" i="40"/>
  <c r="EP147" i="59"/>
  <c r="F196" i="40"/>
  <c r="ED144" i="59"/>
  <c r="F200" i="40"/>
  <c r="CI145" i="59"/>
  <c r="F204" i="40"/>
  <c r="AN146" i="59"/>
  <c r="F208" i="40"/>
  <c r="IJ146" i="59"/>
  <c r="F212" i="40"/>
  <c r="GO147" i="59"/>
  <c r="F216" i="40"/>
  <c r="ET148" i="59"/>
  <c r="F214" i="40"/>
  <c r="AV148" i="59"/>
  <c r="G202" i="40"/>
  <c r="GH145" i="59"/>
  <c r="G208" i="40"/>
  <c r="IK146" i="59"/>
  <c r="G216" i="40"/>
  <c r="EU148" i="59"/>
  <c r="I126" i="40"/>
  <c r="AT130" i="59"/>
  <c r="I128" i="40"/>
  <c r="ET130" i="59"/>
  <c r="I130" i="40"/>
  <c r="IT130" i="59"/>
  <c r="I132" i="40"/>
  <c r="DC131" i="59"/>
  <c r="I134" i="40"/>
  <c r="HC131" i="59"/>
  <c r="I136" i="40"/>
  <c r="BL132" i="59"/>
  <c r="I138" i="40"/>
  <c r="FL132" i="59"/>
  <c r="I140" i="40"/>
  <c r="U133" i="59"/>
  <c r="I142" i="40"/>
  <c r="DU133" i="59"/>
  <c r="I144" i="40"/>
  <c r="HU133" i="59"/>
  <c r="I146" i="40"/>
  <c r="CD134" i="59"/>
  <c r="I148" i="40"/>
  <c r="GD134" i="59"/>
  <c r="I150" i="40"/>
  <c r="AM135" i="59"/>
  <c r="I152" i="40"/>
  <c r="EM135" i="59"/>
  <c r="I125" i="40"/>
  <c r="IK129" i="59"/>
  <c r="I127" i="40"/>
  <c r="CT130" i="59"/>
  <c r="I129" i="40"/>
  <c r="GT130" i="59"/>
  <c r="I131" i="40"/>
  <c r="BC131" i="59"/>
  <c r="I133" i="40"/>
  <c r="FC131" i="59"/>
  <c r="I135" i="40"/>
  <c r="L132" i="59"/>
  <c r="I137" i="40"/>
  <c r="DL132" i="59"/>
  <c r="I139" i="40"/>
  <c r="HL132" i="59"/>
  <c r="I141" i="40"/>
  <c r="BU133" i="59"/>
  <c r="I143" i="40"/>
  <c r="FU133" i="59"/>
  <c r="I145" i="40"/>
  <c r="AD134" i="59"/>
  <c r="I147" i="40"/>
  <c r="ED134" i="59"/>
  <c r="I149" i="40"/>
  <c r="ID134" i="59"/>
  <c r="I151" i="40"/>
  <c r="CM135" i="59"/>
  <c r="G124" i="40"/>
  <c r="GI129" i="59"/>
  <c r="F124" i="40"/>
  <c r="GH129" i="59"/>
  <c r="G123" i="40"/>
  <c r="EI129" i="59"/>
  <c r="G116" i="40"/>
  <c r="Z128" i="59"/>
  <c r="F116" i="40"/>
  <c r="Y128" i="59"/>
  <c r="G115" i="40"/>
  <c r="HQ127" i="59"/>
  <c r="F115" i="40"/>
  <c r="HP127" i="59"/>
  <c r="G114" i="40"/>
  <c r="FQ127" i="59"/>
  <c r="F114" i="40"/>
  <c r="FP127" i="59"/>
  <c r="G113" i="40"/>
  <c r="DQ127" i="59"/>
  <c r="F113" i="40"/>
  <c r="DP127" i="59"/>
  <c r="G112" i="40"/>
  <c r="BQ127" i="59"/>
  <c r="F112" i="40"/>
  <c r="BP127" i="59"/>
  <c r="G111" i="40"/>
  <c r="Q127" i="59"/>
  <c r="F111" i="40"/>
  <c r="P127" i="59"/>
  <c r="G110" i="40"/>
  <c r="HH126" i="59"/>
  <c r="F110" i="40"/>
  <c r="HG126" i="59"/>
  <c r="G109" i="40"/>
  <c r="FH126" i="59"/>
  <c r="F109" i="40"/>
  <c r="FG126" i="59"/>
  <c r="G108" i="40"/>
  <c r="DH126" i="59"/>
  <c r="F108" i="40"/>
  <c r="DG126" i="59"/>
  <c r="G107" i="40"/>
  <c r="BH126" i="59"/>
  <c r="F107" i="40"/>
  <c r="BG126" i="59"/>
  <c r="G106" i="40"/>
  <c r="H126" i="59"/>
  <c r="F106" i="40"/>
  <c r="G126" i="59"/>
  <c r="A24" i="13"/>
  <c r="GV264" i="59"/>
  <c r="A21" i="11"/>
  <c r="FP293" i="59"/>
  <c r="T46" i="43"/>
  <c r="X11" i="59"/>
  <c r="S47" i="43"/>
  <c r="BL11" i="59"/>
  <c r="I106" i="40"/>
  <c r="J126" i="59"/>
  <c r="I108" i="40"/>
  <c r="DJ126" i="59"/>
  <c r="I110" i="40"/>
  <c r="HJ126" i="59"/>
  <c r="I112" i="40"/>
  <c r="BS127" i="59"/>
  <c r="I114" i="40"/>
  <c r="FS127" i="59"/>
  <c r="I116" i="40"/>
  <c r="AB128" i="59"/>
  <c r="I107" i="40"/>
  <c r="BJ126" i="59"/>
  <c r="I109" i="40"/>
  <c r="FJ126" i="59"/>
  <c r="I111" i="40"/>
  <c r="S127" i="59"/>
  <c r="I113" i="40"/>
  <c r="DS127" i="59"/>
  <c r="I115" i="40"/>
  <c r="HS127" i="59"/>
  <c r="I124" i="40"/>
  <c r="GK129" i="59"/>
  <c r="G105" i="40"/>
  <c r="GY125" i="59"/>
  <c r="F105" i="40"/>
  <c r="GX125" i="59"/>
  <c r="G104" i="40"/>
  <c r="EY125" i="59"/>
  <c r="F104" i="40"/>
  <c r="EX125" i="59"/>
  <c r="G103" i="40"/>
  <c r="F103" i="40"/>
  <c r="G102" i="40"/>
  <c r="AY125" i="59"/>
  <c r="F102" i="40"/>
  <c r="AX125" i="59"/>
  <c r="G101" i="40"/>
  <c r="IP124" i="59"/>
  <c r="F101" i="40"/>
  <c r="IO124" i="59"/>
  <c r="G100" i="40"/>
  <c r="GP124" i="59"/>
  <c r="F100" i="40"/>
  <c r="GO124" i="59"/>
  <c r="G99" i="40"/>
  <c r="EP124" i="59"/>
  <c r="F99" i="40"/>
  <c r="EO124" i="59"/>
  <c r="G98" i="40"/>
  <c r="CP124" i="59"/>
  <c r="F98" i="40"/>
  <c r="CO124" i="59"/>
  <c r="G97" i="40"/>
  <c r="AP124" i="59"/>
  <c r="F97" i="40"/>
  <c r="AO124" i="59"/>
  <c r="G96" i="40"/>
  <c r="IG123" i="59"/>
  <c r="F96" i="40"/>
  <c r="IF123" i="59"/>
  <c r="G95" i="40"/>
  <c r="GG123" i="59"/>
  <c r="F95" i="40"/>
  <c r="GF123" i="59"/>
  <c r="G94" i="40"/>
  <c r="EG123" i="59"/>
  <c r="F94" i="40"/>
  <c r="EF123" i="59"/>
  <c r="G93" i="40"/>
  <c r="CG123" i="59"/>
  <c r="F93" i="40"/>
  <c r="CF123" i="59"/>
  <c r="G92" i="40"/>
  <c r="AG123" i="59"/>
  <c r="F92" i="40"/>
  <c r="AF123" i="59"/>
  <c r="G91" i="40"/>
  <c r="HX122" i="59"/>
  <c r="F91" i="40"/>
  <c r="HW122" i="59"/>
  <c r="G90" i="40"/>
  <c r="FX122" i="59"/>
  <c r="F90" i="40"/>
  <c r="FW122" i="59"/>
  <c r="G89" i="40"/>
  <c r="DX122" i="59"/>
  <c r="F89" i="40"/>
  <c r="DW122" i="59"/>
  <c r="G88" i="40"/>
  <c r="BX122" i="59"/>
  <c r="F88" i="40"/>
  <c r="BW122" i="59"/>
  <c r="G87" i="40"/>
  <c r="X122" i="59"/>
  <c r="G80" i="40"/>
  <c r="FF120" i="59"/>
  <c r="F80" i="40"/>
  <c r="FE120" i="59"/>
  <c r="G79" i="40"/>
  <c r="DF120" i="59"/>
  <c r="F79" i="40"/>
  <c r="DE120" i="59"/>
  <c r="G78" i="40"/>
  <c r="BF120" i="59"/>
  <c r="F78" i="40"/>
  <c r="BE120" i="59"/>
  <c r="G77" i="40"/>
  <c r="F120" i="59"/>
  <c r="F77" i="40"/>
  <c r="IV119" i="59"/>
  <c r="G76" i="40"/>
  <c r="GW119" i="59"/>
  <c r="F76" i="40"/>
  <c r="GV119" i="59"/>
  <c r="G75" i="40"/>
  <c r="EW119" i="59"/>
  <c r="F75" i="40"/>
  <c r="EV119" i="59"/>
  <c r="G74" i="40"/>
  <c r="CW119" i="59"/>
  <c r="F74" i="40"/>
  <c r="CV119" i="59"/>
  <c r="G73" i="40"/>
  <c r="AW119" i="59"/>
  <c r="F73" i="40"/>
  <c r="AV119" i="59"/>
  <c r="G72" i="40"/>
  <c r="IN118" i="59"/>
  <c r="F72" i="40"/>
  <c r="IM118" i="59"/>
  <c r="G71" i="40"/>
  <c r="GN118" i="59"/>
  <c r="F71" i="40"/>
  <c r="GM118" i="59"/>
  <c r="G70" i="40"/>
  <c r="EN118" i="59"/>
  <c r="F70" i="40"/>
  <c r="EM118" i="59"/>
  <c r="G69" i="40"/>
  <c r="CN118" i="59"/>
  <c r="F69" i="40"/>
  <c r="CM118" i="59"/>
  <c r="G68" i="40"/>
  <c r="AN118" i="59"/>
  <c r="F68" i="40"/>
  <c r="AM118" i="59"/>
  <c r="G67" i="40"/>
  <c r="IE117" i="59"/>
  <c r="F67" i="40"/>
  <c r="ID117" i="59"/>
  <c r="G66" i="40"/>
  <c r="GE117" i="59"/>
  <c r="F66" i="40"/>
  <c r="GD117" i="59"/>
  <c r="G65" i="40"/>
  <c r="EE117" i="59"/>
  <c r="F65" i="40"/>
  <c r="ED117" i="59"/>
  <c r="G64" i="40"/>
  <c r="CE117" i="59"/>
  <c r="F64" i="40"/>
  <c r="CD117" i="59"/>
  <c r="G63" i="40"/>
  <c r="AE117" i="59"/>
  <c r="F63" i="40"/>
  <c r="AD117" i="59"/>
  <c r="G62" i="40"/>
  <c r="HV116" i="59"/>
  <c r="F62" i="40"/>
  <c r="HU116" i="59"/>
  <c r="G61" i="40"/>
  <c r="FV116" i="59"/>
  <c r="F61" i="40"/>
  <c r="FU116" i="59"/>
  <c r="G60" i="40"/>
  <c r="DV116" i="59"/>
  <c r="F60" i="40"/>
  <c r="DU116" i="59"/>
  <c r="G59" i="40"/>
  <c r="BV116" i="59"/>
  <c r="F59" i="40"/>
  <c r="BU116" i="59"/>
  <c r="G58" i="40"/>
  <c r="V116" i="59"/>
  <c r="F58" i="40"/>
  <c r="U116" i="59"/>
  <c r="G57" i="40"/>
  <c r="HM115" i="59"/>
  <c r="F57" i="40"/>
  <c r="HL115" i="59"/>
  <c r="G56" i="40"/>
  <c r="FM115" i="59"/>
  <c r="F56" i="40"/>
  <c r="FL115" i="59"/>
  <c r="G55" i="40"/>
  <c r="DM115" i="59"/>
  <c r="F55" i="40"/>
  <c r="DL115" i="59"/>
  <c r="G54" i="40"/>
  <c r="BM115" i="59"/>
  <c r="F54" i="40"/>
  <c r="BL115" i="59"/>
  <c r="G53" i="40"/>
  <c r="M115" i="59"/>
  <c r="F53" i="40"/>
  <c r="L115" i="59"/>
  <c r="G52" i="40"/>
  <c r="HD114" i="59"/>
  <c r="F52" i="40"/>
  <c r="HC114" i="59"/>
  <c r="G51" i="40"/>
  <c r="FD114" i="59"/>
  <c r="L42" i="40"/>
  <c r="HC112" i="59"/>
  <c r="K42" i="40"/>
  <c r="HB112" i="59"/>
  <c r="A42" i="40"/>
  <c r="GR112" i="59"/>
  <c r="B42" i="40"/>
  <c r="GS112" i="59"/>
  <c r="L41" i="40"/>
  <c r="FG112" i="59"/>
  <c r="K41" i="40"/>
  <c r="FF112" i="59"/>
  <c r="A41" i="40"/>
  <c r="EV112" i="59"/>
  <c r="B41" i="40"/>
  <c r="EW112" i="59"/>
  <c r="L40" i="40"/>
  <c r="DK112" i="59"/>
  <c r="K40" i="40"/>
  <c r="DJ112" i="59"/>
  <c r="A40" i="40"/>
  <c r="CZ112" i="59"/>
  <c r="B40" i="40"/>
  <c r="DA112" i="59"/>
  <c r="L39" i="40"/>
  <c r="BO112" i="59"/>
  <c r="K39" i="40"/>
  <c r="BN112" i="59"/>
  <c r="A39" i="40"/>
  <c r="BD112" i="59"/>
  <c r="B39" i="40"/>
  <c r="BE112" i="59"/>
  <c r="L38" i="40"/>
  <c r="S112" i="59"/>
  <c r="K38" i="40"/>
  <c r="R112" i="59"/>
  <c r="A38" i="40"/>
  <c r="H112" i="59"/>
  <c r="B38" i="40"/>
  <c r="I112" i="59"/>
  <c r="L37" i="40"/>
  <c r="HN111" i="59"/>
  <c r="K37" i="40"/>
  <c r="HM111" i="59"/>
  <c r="A37" i="40"/>
  <c r="HC111" i="59"/>
  <c r="B37" i="40"/>
  <c r="HD111" i="59"/>
  <c r="L36" i="40"/>
  <c r="FR111" i="59"/>
  <c r="K36" i="40"/>
  <c r="FQ111" i="59"/>
  <c r="A36" i="40"/>
  <c r="FG111" i="59"/>
  <c r="B36" i="40"/>
  <c r="FH111" i="59"/>
  <c r="L35" i="40"/>
  <c r="DV111" i="59"/>
  <c r="K35" i="40"/>
  <c r="DU111" i="59"/>
  <c r="A35" i="40"/>
  <c r="DK111" i="59"/>
  <c r="B35" i="40"/>
  <c r="DL111" i="59"/>
  <c r="L34" i="40"/>
  <c r="BZ111" i="59"/>
  <c r="K34" i="40"/>
  <c r="BY111" i="59"/>
  <c r="A34" i="40"/>
  <c r="BO111" i="59"/>
  <c r="B34" i="40"/>
  <c r="BP111" i="59"/>
  <c r="L33" i="40"/>
  <c r="AD111" i="59"/>
  <c r="K33" i="40"/>
  <c r="AC111" i="59"/>
  <c r="A33" i="40"/>
  <c r="S111" i="59"/>
  <c r="B33" i="40"/>
  <c r="T111" i="59"/>
  <c r="L32" i="40"/>
  <c r="HY110" i="59"/>
  <c r="K32" i="40"/>
  <c r="HX110" i="59"/>
  <c r="A32" i="40"/>
  <c r="HN110" i="59"/>
  <c r="B32" i="40"/>
  <c r="HO110" i="59"/>
  <c r="L31" i="40"/>
  <c r="GC110" i="59"/>
  <c r="K31" i="40"/>
  <c r="GB110" i="59"/>
  <c r="A31" i="40"/>
  <c r="FR110" i="59"/>
  <c r="B31" i="40"/>
  <c r="FS110" i="59"/>
  <c r="L30" i="40"/>
  <c r="EG110" i="59"/>
  <c r="K30" i="40"/>
  <c r="EF110" i="59"/>
  <c r="A30" i="40"/>
  <c r="DV110" i="59"/>
  <c r="B30" i="40"/>
  <c r="DW110" i="59"/>
  <c r="L29" i="40"/>
  <c r="CK110" i="59"/>
  <c r="K29" i="40"/>
  <c r="CJ110" i="59"/>
  <c r="A29" i="40"/>
  <c r="BZ110" i="59"/>
  <c r="B29" i="40"/>
  <c r="CA110" i="59"/>
  <c r="L28" i="40"/>
  <c r="AO110" i="59"/>
  <c r="K28" i="40"/>
  <c r="AN110" i="59"/>
  <c r="A28" i="40"/>
  <c r="AD110" i="59"/>
  <c r="B28" i="40"/>
  <c r="AE110" i="59"/>
  <c r="L27" i="40"/>
  <c r="IJ109" i="59"/>
  <c r="K27" i="40"/>
  <c r="II109" i="59"/>
  <c r="A27" i="40"/>
  <c r="HY109" i="59"/>
  <c r="B27" i="40"/>
  <c r="HZ109" i="59"/>
  <c r="L26" i="40"/>
  <c r="GN109" i="59"/>
  <c r="K26" i="40"/>
  <c r="GM109" i="59"/>
  <c r="A26" i="40"/>
  <c r="GC109" i="59"/>
  <c r="B26" i="40"/>
  <c r="GD109" i="59"/>
  <c r="L25" i="40"/>
  <c r="ER109" i="59"/>
  <c r="K25" i="40"/>
  <c r="EQ109" i="59"/>
  <c r="A25" i="40"/>
  <c r="EG109" i="59"/>
  <c r="B25" i="40"/>
  <c r="EH109" i="59"/>
  <c r="L24" i="40"/>
  <c r="CV109" i="59"/>
  <c r="K24" i="40"/>
  <c r="CU109" i="59"/>
  <c r="A24" i="40"/>
  <c r="CK109" i="59"/>
  <c r="B24" i="40"/>
  <c r="CL109" i="59"/>
  <c r="L23" i="40"/>
  <c r="AZ109" i="59"/>
  <c r="K23" i="40"/>
  <c r="AY109" i="59"/>
  <c r="A23" i="40"/>
  <c r="AO109" i="59"/>
  <c r="B23" i="40"/>
  <c r="AP109" i="59"/>
  <c r="L22" i="40"/>
  <c r="IU108" i="59"/>
  <c r="K22" i="40"/>
  <c r="IT108" i="59"/>
  <c r="A22" i="40"/>
  <c r="IJ108" i="59"/>
  <c r="B22" i="40"/>
  <c r="IK108" i="59"/>
  <c r="L21" i="40"/>
  <c r="GY108" i="59"/>
  <c r="K21" i="40"/>
  <c r="GX108" i="59"/>
  <c r="A21" i="40"/>
  <c r="GN108" i="59"/>
  <c r="B21" i="40"/>
  <c r="GO108" i="59"/>
  <c r="L20" i="40"/>
  <c r="FC108" i="59"/>
  <c r="K20" i="40"/>
  <c r="FB108" i="59"/>
  <c r="A20" i="40"/>
  <c r="ER108" i="59"/>
  <c r="B20" i="40"/>
  <c r="ES108" i="59"/>
  <c r="L19" i="40"/>
  <c r="DG108" i="59"/>
  <c r="K19" i="40"/>
  <c r="DF108" i="59"/>
  <c r="A19" i="40"/>
  <c r="CV108" i="59"/>
  <c r="B19" i="40"/>
  <c r="CW108" i="59"/>
  <c r="L18" i="40"/>
  <c r="BK108" i="59"/>
  <c r="K18" i="40"/>
  <c r="BJ108" i="59"/>
  <c r="A18" i="40"/>
  <c r="AZ108" i="59"/>
  <c r="B18" i="40"/>
  <c r="BA108" i="59"/>
  <c r="L17" i="40"/>
  <c r="O108" i="59"/>
  <c r="K17" i="40"/>
  <c r="N108" i="59"/>
  <c r="A17" i="40"/>
  <c r="IU107" i="59"/>
  <c r="B17" i="40"/>
  <c r="IV107" i="59"/>
  <c r="L16" i="40"/>
  <c r="HJ107" i="59"/>
  <c r="K16" i="40"/>
  <c r="HI107" i="59"/>
  <c r="A16" i="40"/>
  <c r="GY107" i="59"/>
  <c r="B16" i="40"/>
  <c r="GZ107" i="59"/>
  <c r="L15" i="40"/>
  <c r="FN107" i="59"/>
  <c r="K15" i="40"/>
  <c r="FM107" i="59"/>
  <c r="A15" i="40"/>
  <c r="FC107" i="59"/>
  <c r="B15" i="40"/>
  <c r="FD107" i="59"/>
  <c r="L14" i="40"/>
  <c r="DR107" i="59"/>
  <c r="K14" i="40"/>
  <c r="DQ107" i="59"/>
  <c r="A14" i="40"/>
  <c r="DG107" i="59"/>
  <c r="B14" i="40"/>
  <c r="DH107" i="59"/>
  <c r="L13" i="40"/>
  <c r="BV107" i="59"/>
  <c r="K13" i="40"/>
  <c r="BU107" i="59"/>
  <c r="A13" i="40"/>
  <c r="BK107" i="59"/>
  <c r="B13" i="40"/>
  <c r="BL107" i="59"/>
  <c r="H49" i="27"/>
  <c r="HW80" i="59"/>
  <c r="I103" i="59"/>
  <c r="CX125" i="59"/>
  <c r="CY125" i="59"/>
  <c r="J103" i="59"/>
  <c r="B292" i="5"/>
  <c r="HU217" i="59"/>
  <c r="A25" i="13"/>
  <c r="HW264" i="59"/>
  <c r="A22" i="11"/>
  <c r="GV293" i="59"/>
  <c r="U46" i="43"/>
  <c r="Y11" i="59"/>
  <c r="T47" i="43"/>
  <c r="BM11" i="59"/>
  <c r="A242" i="40"/>
  <c r="DI151" i="59"/>
  <c r="J112" i="40"/>
  <c r="BT127" i="59"/>
  <c r="J115" i="40"/>
  <c r="HT127" i="59"/>
  <c r="J110" i="40"/>
  <c r="HK126" i="59"/>
  <c r="J108" i="40"/>
  <c r="DK126" i="59"/>
  <c r="B347" i="5"/>
  <c r="GK228" i="59"/>
  <c r="J107" i="40"/>
  <c r="BK126" i="59"/>
  <c r="J106" i="40"/>
  <c r="K126" i="59"/>
  <c r="J109" i="40"/>
  <c r="FK126" i="59"/>
  <c r="J116" i="40"/>
  <c r="AC128" i="59"/>
  <c r="J113" i="40"/>
  <c r="DT127" i="59"/>
  <c r="J111" i="40"/>
  <c r="T127" i="59"/>
  <c r="J114" i="40"/>
  <c r="FT127" i="59"/>
  <c r="I89" i="40"/>
  <c r="DZ122" i="59"/>
  <c r="I91" i="40"/>
  <c r="HZ122" i="59"/>
  <c r="I93" i="40"/>
  <c r="CI123" i="59"/>
  <c r="I95" i="40"/>
  <c r="GI123" i="59"/>
  <c r="I97" i="40"/>
  <c r="AR124" i="59"/>
  <c r="I99" i="40"/>
  <c r="ER124" i="59"/>
  <c r="I101" i="40"/>
  <c r="IR124" i="59"/>
  <c r="I103" i="40"/>
  <c r="I105" i="40"/>
  <c r="HA125" i="59"/>
  <c r="I52" i="40"/>
  <c r="HF114" i="59"/>
  <c r="I54" i="40"/>
  <c r="BO115" i="59"/>
  <c r="I56" i="40"/>
  <c r="FO115" i="59"/>
  <c r="I58" i="40"/>
  <c r="X116" i="59"/>
  <c r="I60" i="40"/>
  <c r="DX116" i="59"/>
  <c r="I62" i="40"/>
  <c r="HX116" i="59"/>
  <c r="I64" i="40"/>
  <c r="CG117" i="59"/>
  <c r="I66" i="40"/>
  <c r="GG117" i="59"/>
  <c r="I68" i="40"/>
  <c r="AP118" i="59"/>
  <c r="I70" i="40"/>
  <c r="EP118" i="59"/>
  <c r="I72" i="40"/>
  <c r="IP118" i="59"/>
  <c r="I74" i="40"/>
  <c r="CY119" i="59"/>
  <c r="I76" i="40"/>
  <c r="GY119" i="59"/>
  <c r="I78" i="40"/>
  <c r="BH120" i="59"/>
  <c r="I80" i="40"/>
  <c r="FH120" i="59"/>
  <c r="I53" i="40"/>
  <c r="O115" i="59"/>
  <c r="I55" i="40"/>
  <c r="DO115" i="59"/>
  <c r="I57" i="40"/>
  <c r="HO115" i="59"/>
  <c r="I59" i="40"/>
  <c r="BX116" i="59"/>
  <c r="I61" i="40"/>
  <c r="FX116" i="59"/>
  <c r="I63" i="40"/>
  <c r="AG117" i="59"/>
  <c r="I65" i="40"/>
  <c r="EG117" i="59"/>
  <c r="I67" i="40"/>
  <c r="IG117" i="59"/>
  <c r="I69" i="40"/>
  <c r="CP118" i="59"/>
  <c r="I71" i="40"/>
  <c r="GP118" i="59"/>
  <c r="I73" i="40"/>
  <c r="AY119" i="59"/>
  <c r="I75" i="40"/>
  <c r="EY119" i="59"/>
  <c r="I77" i="40"/>
  <c r="H120" i="59"/>
  <c r="I79" i="40"/>
  <c r="DH120" i="59"/>
  <c r="I88" i="40"/>
  <c r="BZ122" i="59"/>
  <c r="I90" i="40"/>
  <c r="FZ122" i="59"/>
  <c r="I92" i="40"/>
  <c r="AI123" i="59"/>
  <c r="I94" i="40"/>
  <c r="EI123" i="59"/>
  <c r="I96" i="40"/>
  <c r="II123" i="59"/>
  <c r="I98" i="40"/>
  <c r="CR124" i="59"/>
  <c r="I100" i="40"/>
  <c r="GR124" i="59"/>
  <c r="I102" i="40"/>
  <c r="BA125" i="59"/>
  <c r="I104" i="40"/>
  <c r="FA125" i="59"/>
  <c r="A72" i="5"/>
  <c r="DQ174" i="59"/>
  <c r="A246" i="40"/>
  <c r="BZ152" i="59"/>
  <c r="A138" i="5"/>
  <c r="DX187" i="59"/>
  <c r="A252" i="40"/>
  <c r="EU153" i="59"/>
  <c r="A237" i="5"/>
  <c r="M207" i="59"/>
  <c r="A261" i="40"/>
  <c r="EE155" i="59"/>
  <c r="A50" i="5"/>
  <c r="AI170" i="59"/>
  <c r="A244" i="40"/>
  <c r="HM151" i="59"/>
  <c r="A83" i="5"/>
  <c r="FH176" i="59"/>
  <c r="A247" i="40"/>
  <c r="EB152" i="59"/>
  <c r="A105" i="5"/>
  <c r="IP180" i="59"/>
  <c r="A249" i="40"/>
  <c r="IF152" i="59"/>
  <c r="A116" i="5"/>
  <c r="AP183" i="59"/>
  <c r="A250" i="40"/>
  <c r="AQ153" i="59"/>
  <c r="A149" i="5"/>
  <c r="FO189" i="59"/>
  <c r="A253" i="40"/>
  <c r="GW153" i="59"/>
  <c r="A160" i="5"/>
  <c r="A254" i="40"/>
  <c r="H154" i="59"/>
  <c r="A182" i="5"/>
  <c r="AW196" i="59"/>
  <c r="A256" i="40"/>
  <c r="DL154" i="59"/>
  <c r="A193" i="5"/>
  <c r="CN198" i="59"/>
  <c r="A257" i="40"/>
  <c r="FN154" i="59"/>
  <c r="A215" i="5"/>
  <c r="FV202" i="59"/>
  <c r="A259" i="40"/>
  <c r="AA155" i="59"/>
  <c r="A248" i="5"/>
  <c r="BD209" i="59"/>
  <c r="A262" i="40"/>
  <c r="GG155" i="59"/>
  <c r="A270" i="5"/>
  <c r="EL213" i="59"/>
  <c r="A264" i="40"/>
  <c r="AT156" i="59"/>
  <c r="A292" i="5"/>
  <c r="HT217" i="59"/>
  <c r="A266" i="40"/>
  <c r="EX156" i="59"/>
  <c r="A325" i="5"/>
  <c r="DB224" i="59"/>
  <c r="A269" i="40"/>
  <c r="BM157" i="59"/>
  <c r="A336" i="5"/>
  <c r="ES226" i="59"/>
  <c r="A270" i="40"/>
  <c r="DO157" i="59"/>
  <c r="A39" i="5"/>
  <c r="II167" i="59"/>
  <c r="A243" i="40"/>
  <c r="FK151" i="59"/>
  <c r="A61" i="5"/>
  <c r="BZ172" i="59"/>
  <c r="A245" i="40"/>
  <c r="X152" i="59"/>
  <c r="A94" i="5"/>
  <c r="GY178" i="59"/>
  <c r="A248" i="40"/>
  <c r="GD152" i="59"/>
  <c r="A127" i="5"/>
  <c r="CG185" i="59"/>
  <c r="A251" i="40"/>
  <c r="CS153" i="59"/>
  <c r="A171" i="5"/>
  <c r="F194" i="59"/>
  <c r="A255" i="40"/>
  <c r="BJ154" i="59"/>
  <c r="A204" i="5"/>
  <c r="EE200" i="59"/>
  <c r="A258" i="40"/>
  <c r="HP154" i="59"/>
  <c r="A226" i="5"/>
  <c r="HM204" i="59"/>
  <c r="A260" i="40"/>
  <c r="CC155" i="59"/>
  <c r="A259" i="5"/>
  <c r="CU211" i="59"/>
  <c r="A263" i="40"/>
  <c r="II155" i="59"/>
  <c r="A281" i="5"/>
  <c r="GC215" i="59"/>
  <c r="A265" i="40"/>
  <c r="CV156" i="59"/>
  <c r="A303" i="5"/>
  <c r="T220" i="59"/>
  <c r="A267" i="40"/>
  <c r="GZ156" i="59"/>
  <c r="A314" i="5"/>
  <c r="BK222" i="59"/>
  <c r="A268" i="40"/>
  <c r="K157" i="59"/>
  <c r="A347" i="5"/>
  <c r="GJ228" i="59"/>
  <c r="A271" i="40"/>
  <c r="FQ157" i="59"/>
  <c r="H51" i="40"/>
  <c r="FE114" i="59"/>
  <c r="H52" i="40"/>
  <c r="HE114" i="59"/>
  <c r="H53" i="40"/>
  <c r="N115" i="59"/>
  <c r="H54" i="40"/>
  <c r="BN115" i="59"/>
  <c r="H55" i="40"/>
  <c r="DN115" i="59"/>
  <c r="H56" i="40"/>
  <c r="FN115" i="59"/>
  <c r="H57" i="40"/>
  <c r="HN115" i="59"/>
  <c r="H58" i="40"/>
  <c r="W116" i="59"/>
  <c r="H59" i="40"/>
  <c r="BW116" i="59"/>
  <c r="H60" i="40"/>
  <c r="DW116" i="59"/>
  <c r="H61" i="40"/>
  <c r="FW116" i="59"/>
  <c r="H62" i="40"/>
  <c r="HW116" i="59"/>
  <c r="H63" i="40"/>
  <c r="AF117" i="59"/>
  <c r="H64" i="40"/>
  <c r="CF117" i="59"/>
  <c r="H65" i="40"/>
  <c r="EF117" i="59"/>
  <c r="H66" i="40"/>
  <c r="GF117" i="59"/>
  <c r="H67" i="40"/>
  <c r="IF117" i="59"/>
  <c r="H68" i="40"/>
  <c r="AO118" i="59"/>
  <c r="H69" i="40"/>
  <c r="CO118" i="59"/>
  <c r="H70" i="40"/>
  <c r="EO118" i="59"/>
  <c r="H71" i="40"/>
  <c r="GO118" i="59"/>
  <c r="H72" i="40"/>
  <c r="IO118" i="59"/>
  <c r="H73" i="40"/>
  <c r="AX119" i="59"/>
  <c r="H74" i="40"/>
  <c r="CX119" i="59"/>
  <c r="H75" i="40"/>
  <c r="EX119" i="59"/>
  <c r="H76" i="40"/>
  <c r="GX119" i="59"/>
  <c r="H77" i="40"/>
  <c r="G120" i="59"/>
  <c r="H78" i="40"/>
  <c r="BG120" i="59"/>
  <c r="H79" i="40"/>
  <c r="DG120" i="59"/>
  <c r="H80" i="40"/>
  <c r="FG120" i="59"/>
  <c r="A94" i="40"/>
  <c r="EA123" i="59"/>
  <c r="A98" i="40"/>
  <c r="CJ124" i="59"/>
  <c r="A65" i="40"/>
  <c r="DY117" i="59"/>
  <c r="A68" i="40"/>
  <c r="AH118" i="59"/>
  <c r="A72" i="40"/>
  <c r="IH118" i="59"/>
  <c r="A53" i="40"/>
  <c r="G115" i="59"/>
  <c r="A56" i="40"/>
  <c r="FG115" i="59"/>
  <c r="A60" i="40"/>
  <c r="DP116" i="59"/>
  <c r="L44" i="40"/>
  <c r="BD113" i="59"/>
  <c r="D7" i="40"/>
  <c r="M106" i="59"/>
  <c r="E7" i="40"/>
  <c r="N106" i="59"/>
  <c r="K44" i="40"/>
  <c r="BC113" i="59"/>
  <c r="A163" i="40"/>
  <c r="GR137" i="59"/>
  <c r="A127" i="40"/>
  <c r="CL130" i="59"/>
  <c r="A55" i="40"/>
  <c r="DG115" i="59"/>
  <c r="A91" i="40"/>
  <c r="HR122" i="59"/>
  <c r="A175" i="40"/>
  <c r="BG140" i="59"/>
  <c r="A139" i="40"/>
  <c r="HD132" i="59"/>
  <c r="A103" i="40"/>
  <c r="CS125" i="59"/>
  <c r="A67" i="40"/>
  <c r="HY117" i="59"/>
  <c r="A147" i="40"/>
  <c r="DV134" i="59"/>
  <c r="A183" i="40"/>
  <c r="HH141" i="59"/>
  <c r="A111" i="40"/>
  <c r="K127" i="59"/>
  <c r="A75" i="40"/>
  <c r="EQ119" i="59"/>
  <c r="A165" i="40"/>
  <c r="AY138" i="59"/>
  <c r="A129" i="40"/>
  <c r="GL130" i="59"/>
  <c r="A169" i="40"/>
  <c r="IU138" i="59"/>
  <c r="A133" i="40"/>
  <c r="EU131" i="59"/>
  <c r="A173" i="40"/>
  <c r="GZ139" i="59"/>
  <c r="A137" i="40"/>
  <c r="DD132" i="59"/>
  <c r="A101" i="40"/>
  <c r="IJ124" i="59"/>
  <c r="A177" i="40"/>
  <c r="FE140" i="59"/>
  <c r="A141" i="40"/>
  <c r="BM133" i="59"/>
  <c r="A69" i="40"/>
  <c r="CH118" i="59"/>
  <c r="A105" i="40"/>
  <c r="GS125" i="59"/>
  <c r="A181" i="40"/>
  <c r="DJ141" i="59"/>
  <c r="A145" i="40"/>
  <c r="V134" i="59"/>
  <c r="A109" i="40"/>
  <c r="FB126" i="59"/>
  <c r="A73" i="40"/>
  <c r="AQ119" i="59"/>
  <c r="A162" i="40"/>
  <c r="ES137" i="59"/>
  <c r="A126" i="40"/>
  <c r="AL130" i="59"/>
  <c r="A54" i="40"/>
  <c r="BG115" i="59"/>
  <c r="A166" i="40"/>
  <c r="CX138" i="59"/>
  <c r="A130" i="40"/>
  <c r="IL130" i="59"/>
  <c r="A58" i="40"/>
  <c r="P116" i="59"/>
  <c r="A170" i="40"/>
  <c r="BC139" i="59"/>
  <c r="A134" i="40"/>
  <c r="GU131" i="59"/>
  <c r="A62" i="40"/>
  <c r="HP116" i="59"/>
  <c r="A174" i="40"/>
  <c r="H140" i="59"/>
  <c r="A138" i="40"/>
  <c r="FD132" i="59"/>
  <c r="A66" i="40"/>
  <c r="FY117" i="59"/>
  <c r="A102" i="40"/>
  <c r="A178" i="40"/>
  <c r="HD140" i="59"/>
  <c r="A142" i="40"/>
  <c r="DM133" i="59"/>
  <c r="A106" i="40"/>
  <c r="IS125" i="59"/>
  <c r="A70" i="40"/>
  <c r="EH118" i="59"/>
  <c r="A182" i="40"/>
  <c r="FI141" i="59"/>
  <c r="A146" i="40"/>
  <c r="BV134" i="59"/>
  <c r="A110" i="40"/>
  <c r="HB126" i="59"/>
  <c r="A74" i="40"/>
  <c r="CQ119" i="59"/>
  <c r="A186" i="40"/>
  <c r="DN142" i="59"/>
  <c r="A150" i="40"/>
  <c r="AE135" i="59"/>
  <c r="A114" i="40"/>
  <c r="FK127" i="59"/>
  <c r="A78" i="40"/>
  <c r="AZ120" i="59"/>
  <c r="A57" i="40"/>
  <c r="HG115" i="59"/>
  <c r="A167" i="40"/>
  <c r="EW138" i="59"/>
  <c r="A131" i="40"/>
  <c r="AU131" i="59"/>
  <c r="A95" i="40"/>
  <c r="GA123" i="59"/>
  <c r="A59" i="40"/>
  <c r="BP116" i="59"/>
  <c r="A179" i="40"/>
  <c r="L141" i="59"/>
  <c r="A143" i="40"/>
  <c r="FM133" i="59"/>
  <c r="A107" i="40"/>
  <c r="BB126" i="59"/>
  <c r="A71" i="40"/>
  <c r="GH118" i="59"/>
  <c r="A159" i="40"/>
  <c r="IM136" i="59"/>
  <c r="A123" i="40"/>
  <c r="EC129" i="59"/>
  <c r="A87" i="40"/>
  <c r="R122" i="59"/>
  <c r="A160" i="40"/>
  <c r="AU137" i="59"/>
  <c r="A124" i="40"/>
  <c r="GC129" i="59"/>
  <c r="A52" i="40"/>
  <c r="GX114" i="59"/>
  <c r="A88" i="40"/>
  <c r="BR122" i="59"/>
  <c r="A164" i="40"/>
  <c r="IQ137" i="59"/>
  <c r="A128" i="40"/>
  <c r="EL130" i="59"/>
  <c r="A92" i="40"/>
  <c r="AA123" i="59"/>
  <c r="A168" i="40"/>
  <c r="GV138" i="59"/>
  <c r="A132" i="40"/>
  <c r="CU131" i="59"/>
  <c r="A96" i="40"/>
  <c r="IA123" i="59"/>
  <c r="A172" i="40"/>
  <c r="FA139" i="59"/>
  <c r="A136" i="40"/>
  <c r="BD132" i="59"/>
  <c r="A100" i="40"/>
  <c r="GJ124" i="59"/>
  <c r="A64" i="40"/>
  <c r="BY117" i="59"/>
  <c r="A176" i="40"/>
  <c r="DF140" i="59"/>
  <c r="A140" i="40"/>
  <c r="M133" i="59"/>
  <c r="A104" i="40"/>
  <c r="ES125" i="59"/>
  <c r="A180" i="40"/>
  <c r="BK141" i="59"/>
  <c r="A144" i="40"/>
  <c r="HM133" i="59"/>
  <c r="A108" i="40"/>
  <c r="DB126" i="59"/>
  <c r="A184" i="40"/>
  <c r="P142" i="59"/>
  <c r="A148" i="40"/>
  <c r="FV134" i="59"/>
  <c r="A112" i="40"/>
  <c r="BK127" i="59"/>
  <c r="A76" i="40"/>
  <c r="GQ119" i="59"/>
  <c r="A188" i="40"/>
  <c r="HL142" i="59"/>
  <c r="A152" i="40"/>
  <c r="EE135" i="59"/>
  <c r="A116" i="40"/>
  <c r="T128" i="59"/>
  <c r="A51" i="40"/>
  <c r="EX114" i="59"/>
  <c r="A61" i="40"/>
  <c r="FP116" i="59"/>
  <c r="A90" i="40"/>
  <c r="FR122" i="59"/>
  <c r="A93" i="40"/>
  <c r="CA123" i="59"/>
  <c r="A97" i="40"/>
  <c r="AJ124" i="59"/>
  <c r="A171" i="40"/>
  <c r="DB139" i="59"/>
  <c r="A135" i="40"/>
  <c r="IU131" i="59"/>
  <c r="A99" i="40"/>
  <c r="EJ124" i="59"/>
  <c r="A63" i="40"/>
  <c r="Y117" i="59"/>
  <c r="A187" i="40"/>
  <c r="FM142" i="59"/>
  <c r="A151" i="40"/>
  <c r="CE135" i="59"/>
  <c r="A115" i="40"/>
  <c r="HK127" i="59"/>
  <c r="A79" i="40"/>
  <c r="CZ120" i="59"/>
  <c r="A161" i="40"/>
  <c r="CT137" i="59"/>
  <c r="A125" i="40"/>
  <c r="IC129" i="59"/>
  <c r="A89" i="40"/>
  <c r="DR122" i="59"/>
  <c r="A185" i="40"/>
  <c r="BO142" i="59"/>
  <c r="A149" i="40"/>
  <c r="HV134" i="59"/>
  <c r="A113" i="40"/>
  <c r="DK127" i="59"/>
  <c r="A77" i="40"/>
  <c r="IQ119" i="59"/>
  <c r="A80" i="40"/>
  <c r="EZ120" i="59"/>
  <c r="I42" i="27"/>
  <c r="CN80" i="59"/>
  <c r="F42" i="27"/>
  <c r="CK80" i="59"/>
  <c r="I41" i="27"/>
  <c r="BT80" i="59"/>
  <c r="F41" i="27"/>
  <c r="BQ80" i="59"/>
  <c r="I40" i="27"/>
  <c r="AZ80" i="59"/>
  <c r="F40" i="27"/>
  <c r="AW80" i="59"/>
  <c r="CD158" i="59"/>
  <c r="HF191" i="59"/>
  <c r="DA125" i="59"/>
  <c r="L103" i="59"/>
  <c r="IU102" i="59"/>
  <c r="AS125" i="59"/>
  <c r="A26" i="13"/>
  <c r="D404" i="5"/>
  <c r="BT240" i="59"/>
  <c r="A23" i="11"/>
  <c r="IB293" i="59"/>
  <c r="V46" i="43"/>
  <c r="Z11" i="59"/>
  <c r="U47" i="43"/>
  <c r="BN11" i="59"/>
  <c r="J55" i="40"/>
  <c r="DP115" i="59"/>
  <c r="J67" i="40"/>
  <c r="IH117" i="59"/>
  <c r="J103" i="40"/>
  <c r="A207" i="40"/>
  <c r="GF146" i="59"/>
  <c r="J71" i="40"/>
  <c r="GQ118" i="59"/>
  <c r="J68" i="40"/>
  <c r="AQ118" i="59"/>
  <c r="A215" i="40"/>
  <c r="CP148" i="59"/>
  <c r="A214" i="40"/>
  <c r="AQ148" i="59"/>
  <c r="A205" i="40"/>
  <c r="CH146" i="59"/>
  <c r="A218" i="40"/>
  <c r="IM148" i="59"/>
  <c r="J69" i="40"/>
  <c r="CQ118" i="59"/>
  <c r="J66" i="40"/>
  <c r="GH117" i="59"/>
  <c r="J105" i="40"/>
  <c r="HB125" i="59"/>
  <c r="A196" i="40"/>
  <c r="DY144" i="59"/>
  <c r="A223" i="40"/>
  <c r="IQ149" i="59"/>
  <c r="A195" i="40"/>
  <c r="BZ144" i="59"/>
  <c r="A198" i="40"/>
  <c r="HW144" i="59"/>
  <c r="J80" i="40"/>
  <c r="FI120" i="59"/>
  <c r="J104" i="40"/>
  <c r="FB125" i="59"/>
  <c r="J78" i="40"/>
  <c r="BI120" i="59"/>
  <c r="J102" i="40"/>
  <c r="BB125" i="59"/>
  <c r="J79" i="40"/>
  <c r="DI120" i="59"/>
  <c r="J63" i="40"/>
  <c r="AH117" i="59"/>
  <c r="J76" i="40"/>
  <c r="GZ119" i="59"/>
  <c r="J60" i="40"/>
  <c r="DY116" i="59"/>
  <c r="J99" i="40"/>
  <c r="ES124" i="59"/>
  <c r="A194" i="40"/>
  <c r="AA144" i="59"/>
  <c r="A202" i="40"/>
  <c r="GB145" i="59"/>
  <c r="J100" i="40"/>
  <c r="GS124" i="59"/>
  <c r="J77" i="40"/>
  <c r="I120" i="59"/>
  <c r="J61" i="40"/>
  <c r="FY116" i="59"/>
  <c r="J74" i="40"/>
  <c r="CZ119" i="59"/>
  <c r="J97" i="40"/>
  <c r="AS124" i="59"/>
  <c r="J64" i="40"/>
  <c r="CH117" i="59"/>
  <c r="A216" i="40"/>
  <c r="EO148" i="59"/>
  <c r="J101" i="40"/>
  <c r="IS124" i="59"/>
  <c r="A211" i="40"/>
  <c r="EK147" i="59"/>
  <c r="A201" i="40"/>
  <c r="EC145" i="59"/>
  <c r="A219" i="40"/>
  <c r="AU149" i="59"/>
  <c r="A199" i="40"/>
  <c r="AE145" i="59"/>
  <c r="A217" i="40"/>
  <c r="GN148" i="59"/>
  <c r="A209" i="40"/>
  <c r="AM147" i="59"/>
  <c r="A200" i="40"/>
  <c r="CD145" i="59"/>
  <c r="A210" i="40"/>
  <c r="CL147" i="59"/>
  <c r="J98" i="40"/>
  <c r="CS124" i="59"/>
  <c r="J75" i="40"/>
  <c r="EZ119" i="59"/>
  <c r="J72" i="40"/>
  <c r="IQ118" i="59"/>
  <c r="A206" i="40"/>
  <c r="EG146" i="59"/>
  <c r="A221" i="40"/>
  <c r="ES149" i="59"/>
  <c r="A213" i="40"/>
  <c r="II147" i="59"/>
  <c r="A208" i="40"/>
  <c r="IE146" i="59"/>
  <c r="A203" i="40"/>
  <c r="IA145" i="59"/>
  <c r="J65" i="40"/>
  <c r="EH117" i="59"/>
  <c r="J62" i="40"/>
  <c r="HY116" i="59"/>
  <c r="A204" i="40"/>
  <c r="AI146" i="59"/>
  <c r="A222" i="40"/>
  <c r="GR149" i="59"/>
  <c r="A220" i="40"/>
  <c r="CT149" i="59"/>
  <c r="A197" i="40"/>
  <c r="FX144" i="59"/>
  <c r="A212" i="40"/>
  <c r="GJ147" i="59"/>
  <c r="J96" i="40"/>
  <c r="IJ123" i="59"/>
  <c r="J73" i="40"/>
  <c r="AZ119" i="59"/>
  <c r="J70" i="40"/>
  <c r="EQ118" i="59"/>
  <c r="J59" i="40"/>
  <c r="BY116" i="59"/>
  <c r="J56" i="40"/>
  <c r="FP115" i="59"/>
  <c r="J53" i="40"/>
  <c r="P115" i="59"/>
  <c r="J57" i="40"/>
  <c r="HP115" i="59"/>
  <c r="J54" i="40"/>
  <c r="BP115" i="59"/>
  <c r="J52" i="40"/>
  <c r="HG114" i="59"/>
  <c r="J58" i="40"/>
  <c r="Y116" i="59"/>
  <c r="L51" i="40"/>
  <c r="FI114" i="59"/>
  <c r="AS19" i="5"/>
  <c r="AV164" i="59"/>
  <c r="H9" i="5"/>
  <c r="DQ162" i="59"/>
  <c r="G41" i="27"/>
  <c r="BR80" i="59"/>
  <c r="G42" i="27"/>
  <c r="CL80" i="59"/>
  <c r="F49" i="27"/>
  <c r="HU80" i="59"/>
  <c r="G40" i="27"/>
  <c r="AX80" i="59"/>
  <c r="I49" i="27"/>
  <c r="HX80" i="59"/>
  <c r="G265" i="59"/>
  <c r="A27" i="13"/>
  <c r="DB125" i="59"/>
  <c r="M103" i="59"/>
  <c r="C13" i="41"/>
  <c r="O305" i="59"/>
  <c r="A24" i="11"/>
  <c r="Q294" i="59"/>
  <c r="W46" i="43"/>
  <c r="AA11" i="59"/>
  <c r="V47" i="43"/>
  <c r="BO11" i="59"/>
  <c r="G49" i="27"/>
  <c r="HV80" i="59"/>
  <c r="AH265" i="59"/>
  <c r="A28" i="13"/>
  <c r="A25" i="11"/>
  <c r="AW294" i="59"/>
  <c r="X46" i="43"/>
  <c r="AB11" i="59"/>
  <c r="W47" i="43"/>
  <c r="BP11" i="59"/>
  <c r="E35" i="37"/>
  <c r="EF323" i="59"/>
  <c r="C35" i="37"/>
  <c r="ED323" i="59"/>
  <c r="E34" i="37"/>
  <c r="DW323" i="59"/>
  <c r="C34" i="37"/>
  <c r="DU323" i="59"/>
  <c r="E33" i="37"/>
  <c r="DN323" i="59"/>
  <c r="C33" i="37"/>
  <c r="DL323" i="59"/>
  <c r="E32" i="37"/>
  <c r="DE323" i="59"/>
  <c r="C32" i="37"/>
  <c r="DC323" i="59"/>
  <c r="E31" i="37"/>
  <c r="CV323" i="59"/>
  <c r="C31" i="37"/>
  <c r="CT323" i="59"/>
  <c r="E30" i="37"/>
  <c r="CM323" i="59"/>
  <c r="C30" i="37"/>
  <c r="CK323" i="59"/>
  <c r="E29" i="37"/>
  <c r="CD323" i="59"/>
  <c r="C29" i="37"/>
  <c r="CB323" i="59"/>
  <c r="E28" i="37"/>
  <c r="BU323" i="59"/>
  <c r="C28" i="37"/>
  <c r="BS323" i="59"/>
  <c r="E27" i="37"/>
  <c r="BL323" i="59"/>
  <c r="C27" i="37"/>
  <c r="BJ323" i="59"/>
  <c r="E26" i="37"/>
  <c r="BC323" i="59"/>
  <c r="C26" i="37"/>
  <c r="BA323" i="59"/>
  <c r="E25" i="37"/>
  <c r="AT323" i="59"/>
  <c r="C25" i="37"/>
  <c r="AR323" i="59"/>
  <c r="E24" i="37"/>
  <c r="AK323" i="59"/>
  <c r="C24" i="37"/>
  <c r="AI323" i="59"/>
  <c r="E23" i="37"/>
  <c r="AB323" i="59"/>
  <c r="C23" i="37"/>
  <c r="Z323" i="59"/>
  <c r="E22" i="37"/>
  <c r="S323" i="59"/>
  <c r="C22" i="37"/>
  <c r="Q323" i="59"/>
  <c r="E21" i="37"/>
  <c r="J323" i="59"/>
  <c r="C21" i="37"/>
  <c r="H323" i="59"/>
  <c r="E20" i="37"/>
  <c r="IR322" i="59"/>
  <c r="C20" i="37"/>
  <c r="IP322" i="59"/>
  <c r="E19" i="37"/>
  <c r="II322" i="59"/>
  <c r="C19" i="37"/>
  <c r="IG322" i="59"/>
  <c r="E18" i="37"/>
  <c r="HZ322" i="59"/>
  <c r="C18" i="37"/>
  <c r="HX322" i="59"/>
  <c r="E17" i="37"/>
  <c r="HQ322" i="59"/>
  <c r="C17" i="37"/>
  <c r="HO322" i="59"/>
  <c r="E16" i="37"/>
  <c r="HH322" i="59"/>
  <c r="C16" i="37"/>
  <c r="HF322" i="59"/>
  <c r="E15" i="37"/>
  <c r="GY322" i="59"/>
  <c r="C15" i="37"/>
  <c r="GW322" i="59"/>
  <c r="E14" i="37"/>
  <c r="GP322" i="59"/>
  <c r="C14" i="37"/>
  <c r="GN322" i="59"/>
  <c r="E13" i="37"/>
  <c r="GG322" i="59"/>
  <c r="C13" i="37"/>
  <c r="GE322" i="59"/>
  <c r="E12" i="37"/>
  <c r="FX322" i="59"/>
  <c r="C12" i="37"/>
  <c r="FV322" i="59"/>
  <c r="E11" i="37"/>
  <c r="FO322" i="59"/>
  <c r="C11" i="37"/>
  <c r="FM322" i="59"/>
  <c r="E10" i="37"/>
  <c r="FF322" i="59"/>
  <c r="C10" i="37"/>
  <c r="FD322" i="59"/>
  <c r="E9" i="37"/>
  <c r="EW322" i="59"/>
  <c r="C9" i="37"/>
  <c r="EU322" i="59"/>
  <c r="E8" i="37"/>
  <c r="EN322" i="59"/>
  <c r="C8" i="37"/>
  <c r="EL322" i="59"/>
  <c r="E7" i="37"/>
  <c r="EE322" i="59"/>
  <c r="C7" i="37"/>
  <c r="EC322" i="59"/>
  <c r="E6" i="37"/>
  <c r="DV322" i="59"/>
  <c r="C6" i="37"/>
  <c r="DT322" i="59"/>
  <c r="G70" i="42"/>
  <c r="DD311" i="59"/>
  <c r="F70" i="42"/>
  <c r="DC311" i="59"/>
  <c r="E70" i="42"/>
  <c r="DB311" i="59"/>
  <c r="A70" i="42"/>
  <c r="CX311" i="59"/>
  <c r="G69" i="42"/>
  <c r="CV311" i="59"/>
  <c r="F69" i="42"/>
  <c r="CU311" i="59"/>
  <c r="E69" i="42"/>
  <c r="CT311" i="59"/>
  <c r="A69" i="42"/>
  <c r="CP311" i="59"/>
  <c r="G68" i="42"/>
  <c r="CN311" i="59"/>
  <c r="F68" i="42"/>
  <c r="CM311" i="59"/>
  <c r="E68" i="42"/>
  <c r="CL311" i="59"/>
  <c r="A68" i="42"/>
  <c r="CH311" i="59"/>
  <c r="G67" i="42"/>
  <c r="CF311" i="59"/>
  <c r="F67" i="42"/>
  <c r="CE311" i="59"/>
  <c r="E67" i="42"/>
  <c r="CD311" i="59"/>
  <c r="A67" i="42"/>
  <c r="BZ311" i="59"/>
  <c r="G66" i="42"/>
  <c r="BX311" i="59"/>
  <c r="F66" i="42"/>
  <c r="BW311" i="59"/>
  <c r="E66" i="42"/>
  <c r="BV311" i="59"/>
  <c r="A66" i="42"/>
  <c r="BR311" i="59"/>
  <c r="G65" i="42"/>
  <c r="BP311" i="59"/>
  <c r="F65" i="42"/>
  <c r="BO311" i="59"/>
  <c r="E65" i="42"/>
  <c r="BN311" i="59"/>
  <c r="A65" i="42"/>
  <c r="BJ311" i="59"/>
  <c r="G64" i="42"/>
  <c r="BH311" i="59"/>
  <c r="F64" i="42"/>
  <c r="BG311" i="59"/>
  <c r="E64" i="42"/>
  <c r="BF311" i="59"/>
  <c r="A64" i="42"/>
  <c r="BB311" i="59"/>
  <c r="G63" i="42"/>
  <c r="AZ311" i="59"/>
  <c r="F63" i="42"/>
  <c r="AY311" i="59"/>
  <c r="E63" i="42"/>
  <c r="AX311" i="59"/>
  <c r="A63" i="42"/>
  <c r="AT311" i="59"/>
  <c r="G62" i="42"/>
  <c r="AR311" i="59"/>
  <c r="F62" i="42"/>
  <c r="AQ311" i="59"/>
  <c r="E62" i="42"/>
  <c r="AP311" i="59"/>
  <c r="A62" i="42"/>
  <c r="AL311" i="59"/>
  <c r="G61" i="42"/>
  <c r="AJ311" i="59"/>
  <c r="F61" i="42"/>
  <c r="AI311" i="59"/>
  <c r="E61" i="42"/>
  <c r="AH311" i="59"/>
  <c r="A61" i="42"/>
  <c r="AD311" i="59"/>
  <c r="G60" i="42"/>
  <c r="AB311" i="59"/>
  <c r="F60" i="42"/>
  <c r="AA311" i="59"/>
  <c r="E60" i="42"/>
  <c r="Z311" i="59"/>
  <c r="A60" i="42"/>
  <c r="V311" i="59"/>
  <c r="F59" i="42"/>
  <c r="E59" i="42"/>
  <c r="R311" i="59"/>
  <c r="A59" i="42"/>
  <c r="N311" i="59"/>
  <c r="G58" i="42"/>
  <c r="L311" i="59"/>
  <c r="F58" i="42"/>
  <c r="K311" i="59"/>
  <c r="E58" i="42"/>
  <c r="J311" i="59"/>
  <c r="A58" i="42"/>
  <c r="F311" i="59"/>
  <c r="C20" i="42"/>
  <c r="AQ310" i="59"/>
  <c r="C19" i="42"/>
  <c r="AI310" i="59"/>
  <c r="C18" i="42"/>
  <c r="AA310" i="59"/>
  <c r="C12" i="42"/>
  <c r="HK309" i="59"/>
  <c r="C11" i="42"/>
  <c r="GZ309" i="59"/>
  <c r="C10" i="42"/>
  <c r="GO309" i="59"/>
  <c r="C9" i="42"/>
  <c r="GD309" i="59"/>
  <c r="A43" i="41"/>
  <c r="IH306" i="59"/>
  <c r="A40" i="41"/>
  <c r="GL306" i="59"/>
  <c r="A39" i="41"/>
  <c r="FV306" i="59"/>
  <c r="A37" i="41"/>
  <c r="EP306" i="59"/>
  <c r="A36" i="41"/>
  <c r="DZ306" i="59"/>
  <c r="A35" i="41"/>
  <c r="DJ306" i="59"/>
  <c r="A32" i="41"/>
  <c r="BN306" i="59"/>
  <c r="A31" i="41"/>
  <c r="AX306" i="59"/>
  <c r="A29" i="41"/>
  <c r="R306" i="59"/>
  <c r="S311" i="59"/>
  <c r="T311" i="59"/>
  <c r="BI265" i="59"/>
  <c r="A29" i="13"/>
  <c r="DE311" i="59"/>
  <c r="G204" i="42"/>
  <c r="EE313" i="59"/>
  <c r="Y46" i="43"/>
  <c r="AC11" i="59"/>
  <c r="X47" i="43"/>
  <c r="BQ11" i="59"/>
  <c r="A26" i="11"/>
  <c r="CC294" i="59"/>
  <c r="G177" i="42"/>
  <c r="GB312" i="59"/>
  <c r="G159" i="42"/>
  <c r="AH312" i="59"/>
  <c r="E204" i="42"/>
  <c r="EC313" i="59"/>
  <c r="G168" i="42"/>
  <c r="DO312" i="59"/>
  <c r="G195" i="42"/>
  <c r="BR313" i="59"/>
  <c r="CG311" i="59"/>
  <c r="AC311" i="59"/>
  <c r="AK311" i="59"/>
  <c r="AS311" i="59"/>
  <c r="BY311" i="59"/>
  <c r="BI311" i="59"/>
  <c r="BQ311" i="59"/>
  <c r="BA311" i="59"/>
  <c r="CO311" i="59"/>
  <c r="CW311" i="59"/>
  <c r="A13" i="41"/>
  <c r="M305" i="59"/>
  <c r="U311" i="59"/>
  <c r="CJ265" i="59"/>
  <c r="A30" i="13"/>
  <c r="E159" i="42"/>
  <c r="AF312" i="59"/>
  <c r="A27" i="11"/>
  <c r="DI294" i="59"/>
  <c r="Z46" i="43"/>
  <c r="AD11" i="59"/>
  <c r="Y47" i="43"/>
  <c r="BR11" i="59"/>
  <c r="E195" i="42"/>
  <c r="BP313" i="59"/>
  <c r="C204" i="42"/>
  <c r="EA313" i="59"/>
  <c r="E168" i="42"/>
  <c r="DM312" i="59"/>
  <c r="E177" i="42"/>
  <c r="FZ312" i="59"/>
  <c r="I9" i="37"/>
  <c r="FA322" i="59"/>
  <c r="G9" i="37"/>
  <c r="EY322" i="59"/>
  <c r="N8" i="41"/>
  <c r="GX304" i="59"/>
  <c r="H8" i="41"/>
  <c r="GS304" i="59"/>
  <c r="B8" i="41"/>
  <c r="GM304" i="59"/>
  <c r="N7" i="41"/>
  <c r="GI304" i="59"/>
  <c r="H7" i="41"/>
  <c r="GD304" i="59"/>
  <c r="B7" i="41"/>
  <c r="FX304" i="59"/>
  <c r="H6" i="41"/>
  <c r="FO304" i="59"/>
  <c r="CI301" i="59"/>
  <c r="C50" i="7"/>
  <c r="CA301" i="59"/>
  <c r="B50" i="7"/>
  <c r="BZ301" i="59"/>
  <c r="BS301" i="59"/>
  <c r="C49" i="7"/>
  <c r="BK301" i="59"/>
  <c r="B49" i="7"/>
  <c r="BJ301" i="59"/>
  <c r="K48" i="7"/>
  <c r="BC301" i="59"/>
  <c r="C48" i="7"/>
  <c r="AU301" i="59"/>
  <c r="O45" i="7"/>
  <c r="AA301" i="59"/>
  <c r="M45" i="7"/>
  <c r="Y301" i="59"/>
  <c r="L45" i="7"/>
  <c r="X301" i="59"/>
  <c r="K45" i="7"/>
  <c r="W301" i="59"/>
  <c r="J45" i="7"/>
  <c r="V301" i="59"/>
  <c r="I45" i="7"/>
  <c r="U301" i="59"/>
  <c r="G45" i="7"/>
  <c r="S301" i="59"/>
  <c r="E45" i="7"/>
  <c r="Q301" i="59"/>
  <c r="C45" i="7"/>
  <c r="O301" i="59"/>
  <c r="B45" i="7"/>
  <c r="N301" i="59"/>
  <c r="A45" i="7"/>
  <c r="M301" i="59"/>
  <c r="O44" i="7"/>
  <c r="K301" i="59"/>
  <c r="M44" i="7"/>
  <c r="I301" i="59"/>
  <c r="L44" i="7"/>
  <c r="H301" i="59"/>
  <c r="K44" i="7"/>
  <c r="G301" i="59"/>
  <c r="J44" i="7"/>
  <c r="F301" i="59"/>
  <c r="I44" i="7"/>
  <c r="IV300" i="59"/>
  <c r="G44" i="7"/>
  <c r="IT300" i="59"/>
  <c r="E44" i="7"/>
  <c r="IR300" i="59"/>
  <c r="C44" i="7"/>
  <c r="IP300" i="59"/>
  <c r="B44" i="7"/>
  <c r="IO300" i="59"/>
  <c r="A44" i="7"/>
  <c r="IN300" i="59"/>
  <c r="O43" i="7"/>
  <c r="IL300" i="59"/>
  <c r="M43" i="7"/>
  <c r="IJ300" i="59"/>
  <c r="L43" i="7"/>
  <c r="II300" i="59"/>
  <c r="K43" i="7"/>
  <c r="IH300" i="59"/>
  <c r="J43" i="7"/>
  <c r="IG300" i="59"/>
  <c r="I43" i="7"/>
  <c r="IF300" i="59"/>
  <c r="G43" i="7"/>
  <c r="ID300" i="59"/>
  <c r="E43" i="7"/>
  <c r="IB300" i="59"/>
  <c r="C43" i="7"/>
  <c r="HZ300" i="59"/>
  <c r="B43" i="7"/>
  <c r="HY300" i="59"/>
  <c r="A43" i="7"/>
  <c r="HX300" i="59"/>
  <c r="O42" i="7"/>
  <c r="HV300" i="59"/>
  <c r="M42" i="7"/>
  <c r="HT300" i="59"/>
  <c r="L42" i="7"/>
  <c r="HS300" i="59"/>
  <c r="K42" i="7"/>
  <c r="HR300" i="59"/>
  <c r="J42" i="7"/>
  <c r="HQ300" i="59"/>
  <c r="I42" i="7"/>
  <c r="HP300" i="59"/>
  <c r="G42" i="7"/>
  <c r="HN300" i="59"/>
  <c r="E42" i="7"/>
  <c r="HL300" i="59"/>
  <c r="C42" i="7"/>
  <c r="HJ300" i="59"/>
  <c r="B42" i="7"/>
  <c r="HI300" i="59"/>
  <c r="A42" i="7"/>
  <c r="HH300" i="59"/>
  <c r="O41" i="7"/>
  <c r="HF300" i="59"/>
  <c r="M41" i="7"/>
  <c r="HD300" i="59"/>
  <c r="L41" i="7"/>
  <c r="HC300" i="59"/>
  <c r="K41" i="7"/>
  <c r="HB300" i="59"/>
  <c r="J41" i="7"/>
  <c r="HA300" i="59"/>
  <c r="I41" i="7"/>
  <c r="GZ300" i="59"/>
  <c r="G41" i="7"/>
  <c r="GX300" i="59"/>
  <c r="E41" i="7"/>
  <c r="GV300" i="59"/>
  <c r="C41" i="7"/>
  <c r="GT300" i="59"/>
  <c r="B41" i="7"/>
  <c r="GS300" i="59"/>
  <c r="A41" i="7"/>
  <c r="GR300" i="59"/>
  <c r="N37" i="7"/>
  <c r="FI300" i="59"/>
  <c r="M37" i="7"/>
  <c r="FH300" i="59"/>
  <c r="J37" i="7"/>
  <c r="FE300" i="59"/>
  <c r="N36" i="7"/>
  <c r="EU300" i="59"/>
  <c r="M36" i="7"/>
  <c r="ET300" i="59"/>
  <c r="J36" i="7"/>
  <c r="EQ300" i="59"/>
  <c r="N35" i="7"/>
  <c r="EG300" i="59"/>
  <c r="M35" i="7"/>
  <c r="EF300" i="59"/>
  <c r="J35" i="7"/>
  <c r="EC300" i="59"/>
  <c r="N34" i="7"/>
  <c r="DS300" i="59"/>
  <c r="M34" i="7"/>
  <c r="DR300" i="59"/>
  <c r="J34" i="7"/>
  <c r="DO300" i="59"/>
  <c r="N33" i="7"/>
  <c r="DE300" i="59"/>
  <c r="M33" i="7"/>
  <c r="DD300" i="59"/>
  <c r="J33" i="7"/>
  <c r="DA300" i="59"/>
  <c r="N32" i="7"/>
  <c r="CQ300" i="59"/>
  <c r="M32" i="7"/>
  <c r="CP300" i="59"/>
  <c r="J32" i="7"/>
  <c r="CM300" i="59"/>
  <c r="F37" i="7"/>
  <c r="FC300" i="59"/>
  <c r="E37" i="7"/>
  <c r="FB300" i="59"/>
  <c r="D37" i="7"/>
  <c r="FA300" i="59"/>
  <c r="A37" i="7"/>
  <c r="EX300" i="59"/>
  <c r="E36" i="7"/>
  <c r="EN300" i="59"/>
  <c r="D36" i="7"/>
  <c r="EM300" i="59"/>
  <c r="A36" i="7"/>
  <c r="EJ300" i="59"/>
  <c r="E35" i="7"/>
  <c r="DZ300" i="59"/>
  <c r="D35" i="7"/>
  <c r="DY300" i="59"/>
  <c r="A35" i="7"/>
  <c r="DV300" i="59"/>
  <c r="E34" i="7"/>
  <c r="DL300" i="59"/>
  <c r="D34" i="7"/>
  <c r="DK300" i="59"/>
  <c r="A34" i="7"/>
  <c r="DH300" i="59"/>
  <c r="E33" i="7"/>
  <c r="CX300" i="59"/>
  <c r="D33" i="7"/>
  <c r="CW300" i="59"/>
  <c r="A33" i="7"/>
  <c r="CT300" i="59"/>
  <c r="E32" i="7"/>
  <c r="CJ300" i="59"/>
  <c r="D32" i="7"/>
  <c r="CI300" i="59"/>
  <c r="A32" i="7"/>
  <c r="CF300" i="59"/>
  <c r="F31" i="7"/>
  <c r="BW300" i="59"/>
  <c r="E31" i="7"/>
  <c r="BV300" i="59"/>
  <c r="D31" i="7"/>
  <c r="BU300" i="59"/>
  <c r="A31" i="7"/>
  <c r="BR300" i="59"/>
  <c r="DK265" i="59"/>
  <c r="A31" i="13"/>
  <c r="C159" i="42"/>
  <c r="AD312" i="59"/>
  <c r="A28" i="11"/>
  <c r="EO294" i="59"/>
  <c r="AA46" i="43"/>
  <c r="AE11" i="59"/>
  <c r="Z47" i="43"/>
  <c r="BS11" i="59"/>
  <c r="C177" i="42"/>
  <c r="FX312" i="59"/>
  <c r="C168" i="42"/>
  <c r="DK312" i="59"/>
  <c r="C195" i="42"/>
  <c r="BN313" i="59"/>
  <c r="FD300" i="59"/>
  <c r="EL265" i="59"/>
  <c r="A32" i="13"/>
  <c r="AB46" i="43"/>
  <c r="AF11" i="59"/>
  <c r="AA47" i="43"/>
  <c r="BT11" i="59"/>
  <c r="A29" i="11"/>
  <c r="FU294" i="59"/>
  <c r="H202" i="42"/>
  <c r="DO313" i="59"/>
  <c r="E19" i="7"/>
  <c r="GH299" i="59"/>
  <c r="D19" i="7"/>
  <c r="GG299" i="59"/>
  <c r="A33" i="13"/>
  <c r="FM265" i="59"/>
  <c r="H157" i="42"/>
  <c r="E116" i="42"/>
  <c r="GL311" i="59"/>
  <c r="AC46" i="43"/>
  <c r="AG11" i="59"/>
  <c r="AB47" i="43"/>
  <c r="BU11" i="59"/>
  <c r="A30" i="11"/>
  <c r="HA294" i="59"/>
  <c r="H166" i="42"/>
  <c r="CY312" i="59"/>
  <c r="H175" i="42"/>
  <c r="FL312" i="59"/>
  <c r="G202" i="42"/>
  <c r="DN313" i="59"/>
  <c r="H193" i="42"/>
  <c r="BB313" i="59"/>
  <c r="F19" i="7"/>
  <c r="GI299" i="59"/>
  <c r="D116" i="42"/>
  <c r="GK311" i="59"/>
  <c r="E20" i="7"/>
  <c r="GX299" i="59"/>
  <c r="D20" i="7"/>
  <c r="GW299" i="59"/>
  <c r="C17" i="7"/>
  <c r="EZ299" i="59"/>
  <c r="K12" i="7"/>
  <c r="CR299" i="59"/>
  <c r="H12" i="50"/>
  <c r="FW2" i="59"/>
  <c r="R312" i="59"/>
  <c r="H308" i="59"/>
  <c r="A34" i="13"/>
  <c r="GN265" i="59"/>
  <c r="C114" i="42"/>
  <c r="FT311" i="59"/>
  <c r="E117" i="42"/>
  <c r="GT311" i="59"/>
  <c r="G157" i="42"/>
  <c r="Q312" i="59"/>
  <c r="A31" i="11"/>
  <c r="IG294" i="59"/>
  <c r="AD46" i="43"/>
  <c r="AH11" i="59"/>
  <c r="AC47" i="43"/>
  <c r="BV11" i="59"/>
  <c r="G193" i="42"/>
  <c r="BA313" i="59"/>
  <c r="G166" i="42"/>
  <c r="CX312" i="59"/>
  <c r="G175" i="42"/>
  <c r="FK312" i="59"/>
  <c r="G19" i="7"/>
  <c r="GJ299" i="59"/>
  <c r="F116" i="42"/>
  <c r="GM311" i="59"/>
  <c r="D117" i="42"/>
  <c r="GS311" i="59"/>
  <c r="F20" i="7"/>
  <c r="GY299" i="59"/>
  <c r="G108" i="42"/>
  <c r="ER311" i="59"/>
  <c r="O12" i="7"/>
  <c r="CV299" i="59"/>
  <c r="N8" i="7"/>
  <c r="AY299" i="59"/>
  <c r="H8" i="7"/>
  <c r="AT299" i="59"/>
  <c r="B8" i="7"/>
  <c r="AN299" i="59"/>
  <c r="N7" i="7"/>
  <c r="AJ299" i="59"/>
  <c r="H7" i="7"/>
  <c r="AE299" i="59"/>
  <c r="B7" i="7"/>
  <c r="Y299" i="59"/>
  <c r="H6" i="7"/>
  <c r="P299" i="59"/>
  <c r="A35" i="13"/>
  <c r="HO265" i="59"/>
  <c r="A32" i="11"/>
  <c r="V295" i="59"/>
  <c r="M12" i="7"/>
  <c r="CT299" i="59"/>
  <c r="AE46" i="43"/>
  <c r="AI11" i="59"/>
  <c r="AD47" i="43"/>
  <c r="BW11" i="59"/>
  <c r="H19" i="7"/>
  <c r="G116" i="42"/>
  <c r="GN311" i="59"/>
  <c r="G20" i="7"/>
  <c r="GZ299" i="59"/>
  <c r="F117" i="42"/>
  <c r="GU311" i="59"/>
  <c r="F33" i="7"/>
  <c r="CY300" i="59"/>
  <c r="F34" i="7"/>
  <c r="DM300" i="59"/>
  <c r="F35" i="7"/>
  <c r="EA300" i="59"/>
  <c r="F36" i="7"/>
  <c r="EO300" i="59"/>
  <c r="O32" i="7"/>
  <c r="CR300" i="59"/>
  <c r="O33" i="7"/>
  <c r="DF300" i="59"/>
  <c r="O34" i="7"/>
  <c r="DT300" i="59"/>
  <c r="O35" i="7"/>
  <c r="EH300" i="59"/>
  <c r="O36" i="7"/>
  <c r="EV300" i="59"/>
  <c r="EW300" i="59"/>
  <c r="O37" i="7"/>
  <c r="FJ300" i="59"/>
  <c r="A19" i="41"/>
  <c r="DE305" i="59"/>
  <c r="A23" i="41"/>
  <c r="FQ305" i="59"/>
  <c r="A14" i="41"/>
  <c r="AC305" i="59"/>
  <c r="A20" i="41"/>
  <c r="DU305" i="59"/>
  <c r="A17" i="41"/>
  <c r="BY305" i="59"/>
  <c r="A21" i="41"/>
  <c r="EK305" i="59"/>
  <c r="A16" i="41"/>
  <c r="BI305" i="59"/>
  <c r="A15" i="41"/>
  <c r="AS305" i="59"/>
  <c r="A18" i="41"/>
  <c r="CO305" i="59"/>
  <c r="A22" i="41"/>
  <c r="FA305" i="59"/>
  <c r="A30" i="41"/>
  <c r="AH306" i="59"/>
  <c r="A25" i="41"/>
  <c r="GW305" i="59"/>
  <c r="A28" i="41"/>
  <c r="IS305" i="59"/>
  <c r="A34" i="41"/>
  <c r="CT306" i="59"/>
  <c r="A26" i="41"/>
  <c r="HM305" i="59"/>
  <c r="A41" i="41"/>
  <c r="HB306" i="59"/>
  <c r="A38" i="41"/>
  <c r="FF306" i="59"/>
  <c r="A27" i="41"/>
  <c r="IC305" i="59"/>
  <c r="A24" i="41"/>
  <c r="GG305" i="59"/>
  <c r="A33" i="41"/>
  <c r="CD306" i="59"/>
  <c r="A42" i="41"/>
  <c r="HR306" i="59"/>
  <c r="M9" i="27"/>
  <c r="GG77" i="59"/>
  <c r="B105" i="5"/>
  <c r="IQ180" i="59"/>
  <c r="B83" i="5"/>
  <c r="FI176" i="59"/>
  <c r="B149" i="5"/>
  <c r="FP189" i="59"/>
  <c r="B39" i="5"/>
  <c r="IJ167" i="59"/>
  <c r="B116" i="5"/>
  <c r="AQ183" i="59"/>
  <c r="B138" i="5"/>
  <c r="DY187" i="59"/>
  <c r="B72" i="5"/>
  <c r="DR174" i="59"/>
  <c r="B50" i="5"/>
  <c r="AJ170" i="59"/>
  <c r="B171" i="5"/>
  <c r="G194" i="59"/>
  <c r="B237" i="5"/>
  <c r="N207" i="59"/>
  <c r="B61" i="5"/>
  <c r="CA172" i="59"/>
  <c r="B94" i="5"/>
  <c r="GZ178" i="59"/>
  <c r="B127" i="5"/>
  <c r="CH185" i="59"/>
  <c r="B270" i="5"/>
  <c r="EM213" i="59"/>
  <c r="B281" i="5"/>
  <c r="GD215" i="59"/>
  <c r="B193" i="5"/>
  <c r="CO198" i="59"/>
  <c r="B248" i="5"/>
  <c r="BE209" i="59"/>
  <c r="B160" i="5"/>
  <c r="B182" i="5"/>
  <c r="AX196" i="59"/>
  <c r="B204" i="5"/>
  <c r="EF200" i="59"/>
  <c r="B215" i="5"/>
  <c r="FW202" i="59"/>
  <c r="B226" i="5"/>
  <c r="HN204" i="59"/>
  <c r="B259" i="5"/>
  <c r="CV211" i="59"/>
  <c r="B325" i="5"/>
  <c r="DC224" i="59"/>
  <c r="B336" i="5"/>
  <c r="ET226" i="59"/>
  <c r="B28" i="5"/>
  <c r="B303" i="5"/>
  <c r="U220" i="59"/>
  <c r="B314" i="5"/>
  <c r="BL222" i="59"/>
  <c r="N8" i="5"/>
  <c r="BZ162" i="59"/>
  <c r="GS165" i="59"/>
  <c r="H116" i="42"/>
  <c r="GO311" i="59"/>
  <c r="GK299" i="59"/>
  <c r="CE158" i="59"/>
  <c r="HG191" i="59"/>
  <c r="A36" i="13"/>
  <c r="IP265" i="59"/>
  <c r="DU300" i="59"/>
  <c r="DG300" i="59"/>
  <c r="CS300" i="59"/>
  <c r="FK300" i="59"/>
  <c r="EP300" i="59"/>
  <c r="EB300" i="59"/>
  <c r="DN300" i="59"/>
  <c r="EI300" i="59"/>
  <c r="CZ300" i="59"/>
  <c r="A33" i="11"/>
  <c r="BB295" i="59"/>
  <c r="AF46" i="43"/>
  <c r="AJ11" i="59"/>
  <c r="AE47" i="43"/>
  <c r="BX11" i="59"/>
  <c r="F242" i="40"/>
  <c r="DN151" i="59"/>
  <c r="D202" i="42"/>
  <c r="DK313" i="59"/>
  <c r="G117" i="42"/>
  <c r="GV311" i="59"/>
  <c r="H20" i="7"/>
  <c r="F159" i="40"/>
  <c r="IR136" i="59"/>
  <c r="F13" i="40"/>
  <c r="BP107" i="59"/>
  <c r="K80" i="40"/>
  <c r="FJ120" i="59"/>
  <c r="L80" i="40"/>
  <c r="FK120" i="59"/>
  <c r="K63" i="40"/>
  <c r="AI117" i="59"/>
  <c r="L63" i="40"/>
  <c r="AJ117" i="59"/>
  <c r="L61" i="40"/>
  <c r="GA116" i="59"/>
  <c r="K61" i="40"/>
  <c r="FZ116" i="59"/>
  <c r="L58" i="40"/>
  <c r="AA116" i="59"/>
  <c r="K58" i="40"/>
  <c r="Z116" i="59"/>
  <c r="K72" i="40"/>
  <c r="IR118" i="59"/>
  <c r="L72" i="40"/>
  <c r="IS118" i="59"/>
  <c r="L70" i="40"/>
  <c r="ES118" i="59"/>
  <c r="K70" i="40"/>
  <c r="ER118" i="59"/>
  <c r="L69" i="40"/>
  <c r="CS118" i="59"/>
  <c r="K69" i="40"/>
  <c r="CR118" i="59"/>
  <c r="L67" i="40"/>
  <c r="IJ117" i="59"/>
  <c r="K67" i="40"/>
  <c r="II117" i="59"/>
  <c r="L65" i="40"/>
  <c r="EJ117" i="59"/>
  <c r="K65" i="40"/>
  <c r="EI117" i="59"/>
  <c r="L62" i="40"/>
  <c r="IA116" i="59"/>
  <c r="K62" i="40"/>
  <c r="HZ116" i="59"/>
  <c r="L74" i="40"/>
  <c r="DB119" i="59"/>
  <c r="K74" i="40"/>
  <c r="DA119" i="59"/>
  <c r="L73" i="40"/>
  <c r="BB119" i="59"/>
  <c r="K73" i="40"/>
  <c r="BA119" i="59"/>
  <c r="K71" i="40"/>
  <c r="GR118" i="59"/>
  <c r="L71" i="40"/>
  <c r="GS118" i="59"/>
  <c r="L52" i="40"/>
  <c r="HI114" i="59"/>
  <c r="K52" i="40"/>
  <c r="HH114" i="59"/>
  <c r="K66" i="40"/>
  <c r="GI117" i="59"/>
  <c r="L66" i="40"/>
  <c r="GJ117" i="59"/>
  <c r="K79" i="40"/>
  <c r="DJ120" i="59"/>
  <c r="L79" i="40"/>
  <c r="DK120" i="59"/>
  <c r="L77" i="40"/>
  <c r="K120" i="59"/>
  <c r="K77" i="40"/>
  <c r="J120" i="59"/>
  <c r="K60" i="40"/>
  <c r="DZ116" i="59"/>
  <c r="L60" i="40"/>
  <c r="EA116" i="59"/>
  <c r="K59" i="40"/>
  <c r="BZ116" i="59"/>
  <c r="L59" i="40"/>
  <c r="CA116" i="59"/>
  <c r="K56" i="40"/>
  <c r="FQ115" i="59"/>
  <c r="L56" i="40"/>
  <c r="FR115" i="59"/>
  <c r="L54" i="40"/>
  <c r="BR115" i="59"/>
  <c r="K54" i="40"/>
  <c r="BQ115" i="59"/>
  <c r="L68" i="40"/>
  <c r="AS118" i="59"/>
  <c r="K68" i="40"/>
  <c r="AR118" i="59"/>
  <c r="L64" i="40"/>
  <c r="CJ117" i="59"/>
  <c r="K64" i="40"/>
  <c r="CI117" i="59"/>
  <c r="L78" i="40"/>
  <c r="BK120" i="59"/>
  <c r="K78" i="40"/>
  <c r="BJ120" i="59"/>
  <c r="K76" i="40"/>
  <c r="HA119" i="59"/>
  <c r="L76" i="40"/>
  <c r="HB119" i="59"/>
  <c r="K75" i="40"/>
  <c r="FA119" i="59"/>
  <c r="L75" i="40"/>
  <c r="FB119" i="59"/>
  <c r="L57" i="40"/>
  <c r="HR115" i="59"/>
  <c r="K57" i="40"/>
  <c r="HQ115" i="59"/>
  <c r="L55" i="40"/>
  <c r="DR115" i="59"/>
  <c r="K55" i="40"/>
  <c r="DQ115" i="59"/>
  <c r="L53" i="40"/>
  <c r="R115" i="59"/>
  <c r="K53" i="40"/>
  <c r="Q115" i="59"/>
  <c r="F123" i="40"/>
  <c r="EH129" i="59"/>
  <c r="F51" i="40"/>
  <c r="FC114" i="59"/>
  <c r="F87" i="40"/>
  <c r="W122" i="59"/>
  <c r="H117" i="42"/>
  <c r="GW311" i="59"/>
  <c r="HA299" i="59"/>
  <c r="A37" i="13"/>
  <c r="Z266" i="59"/>
  <c r="D157" i="42"/>
  <c r="N312" i="59"/>
  <c r="AG46" i="43"/>
  <c r="AK11" i="59"/>
  <c r="AF47" i="43"/>
  <c r="BY11" i="59"/>
  <c r="A34" i="11"/>
  <c r="CH295" i="59"/>
  <c r="L240" i="40"/>
  <c r="R151" i="59"/>
  <c r="H242" i="40"/>
  <c r="DP151" i="59"/>
  <c r="I123" i="40"/>
  <c r="EK129" i="59"/>
  <c r="I87" i="40"/>
  <c r="Z122" i="59"/>
  <c r="I51" i="40"/>
  <c r="FF114" i="59"/>
  <c r="F194" i="40"/>
  <c r="AF144" i="59"/>
  <c r="D193" i="42"/>
  <c r="AX313" i="59"/>
  <c r="D175" i="42"/>
  <c r="FH312" i="59"/>
  <c r="D166" i="42"/>
  <c r="CU312" i="59"/>
  <c r="P13" i="40"/>
  <c r="BZ107" i="59"/>
  <c r="AY68" i="40"/>
  <c r="CF118" i="59"/>
  <c r="AY73" i="40"/>
  <c r="CO119" i="59"/>
  <c r="AY70" i="40"/>
  <c r="GF118" i="59"/>
  <c r="AY72" i="40"/>
  <c r="AO119" i="59"/>
  <c r="AY80" i="40"/>
  <c r="GX120" i="59"/>
  <c r="AY76" i="40"/>
  <c r="IO119" i="59"/>
  <c r="AY74" i="40"/>
  <c r="EO119" i="59"/>
  <c r="AY67" i="40"/>
  <c r="AF118" i="59"/>
  <c r="AY78" i="40"/>
  <c r="CX120" i="59"/>
  <c r="AY75" i="40"/>
  <c r="GO119" i="59"/>
  <c r="AY77" i="40"/>
  <c r="AX120" i="59"/>
  <c r="AY79" i="40"/>
  <c r="EX120" i="59"/>
  <c r="AY71" i="40"/>
  <c r="IF118" i="59"/>
  <c r="AY66" i="40"/>
  <c r="HW117" i="59"/>
  <c r="AY69" i="40"/>
  <c r="EF118" i="59"/>
  <c r="K51" i="40"/>
  <c r="FH114" i="59"/>
  <c r="A38" i="13"/>
  <c r="BA266" i="59"/>
  <c r="A35" i="11"/>
  <c r="DN295" i="59"/>
  <c r="AH46" i="43"/>
  <c r="AL11" i="59"/>
  <c r="AG47" i="43"/>
  <c r="BZ11" i="59"/>
  <c r="J51" i="40"/>
  <c r="FG114" i="59"/>
  <c r="A28" i="5"/>
  <c r="GR165" i="59"/>
  <c r="A39" i="13"/>
  <c r="CB266" i="59"/>
  <c r="AI46" i="43"/>
  <c r="AM11" i="59"/>
  <c r="AH47" i="43"/>
  <c r="CA11" i="59"/>
  <c r="A36" i="11"/>
  <c r="ET295" i="59"/>
  <c r="A40" i="13"/>
  <c r="DC266" i="59"/>
  <c r="A37" i="11"/>
  <c r="FZ295" i="59"/>
  <c r="AJ46" i="43"/>
  <c r="AN11" i="59"/>
  <c r="AI47" i="43"/>
  <c r="CB11" i="59"/>
  <c r="E384" i="5"/>
  <c r="AQ236" i="59"/>
  <c r="F384" i="5"/>
  <c r="AR236" i="59"/>
  <c r="E354" i="5"/>
  <c r="AN230" i="59"/>
  <c r="A41" i="13"/>
  <c r="ED266" i="59"/>
  <c r="AK46" i="43"/>
  <c r="AO11" i="59"/>
  <c r="AJ47" i="43"/>
  <c r="CC11" i="59"/>
  <c r="A38" i="11"/>
  <c r="HF295" i="59"/>
  <c r="AO230" i="59"/>
  <c r="A42" i="13"/>
  <c r="FE266" i="59"/>
  <c r="A39" i="11"/>
  <c r="IL295" i="59"/>
  <c r="AL46" i="43"/>
  <c r="AP11" i="59"/>
  <c r="AK47" i="43"/>
  <c r="CD11" i="59"/>
  <c r="A43" i="13"/>
  <c r="GF266" i="59"/>
  <c r="A40" i="11"/>
  <c r="AA296" i="59"/>
  <c r="AM46" i="43"/>
  <c r="AQ11" i="59"/>
  <c r="AL47" i="43"/>
  <c r="CE11" i="59"/>
  <c r="A44" i="13"/>
  <c r="HG266" i="59"/>
  <c r="A41" i="11"/>
  <c r="BG296" i="59"/>
  <c r="AN46" i="43"/>
  <c r="AR11" i="59"/>
  <c r="AM47" i="43"/>
  <c r="CF11" i="59"/>
  <c r="A45" i="13"/>
  <c r="IH266" i="59"/>
  <c r="A42" i="11"/>
  <c r="CM296" i="59"/>
  <c r="AN47" i="43"/>
  <c r="CG11" i="59"/>
  <c r="A46" i="13"/>
  <c r="AS267" i="59"/>
  <c r="R267" i="59"/>
  <c r="M50" i="40" a="1"/>
  <c r="AX50" i="40"/>
  <c r="EU114" i="59"/>
  <c r="D14" i="5" a="1"/>
  <c r="AO14" i="5"/>
  <c r="M86" i="40" a="1"/>
  <c r="AX86" i="40"/>
  <c r="O122" i="59"/>
  <c r="M193" i="40" a="1"/>
  <c r="M158" i="40" a="1"/>
  <c r="AX158" i="40"/>
  <c r="IK136" i="59"/>
  <c r="M122" i="40" a="1"/>
  <c r="AX122" i="40"/>
  <c r="DZ129" i="59"/>
  <c r="O241" i="40" a="1"/>
  <c r="AZ241" i="40"/>
  <c r="DF151" i="59"/>
  <c r="G6" i="2" a="1"/>
  <c r="A43" i="11"/>
  <c r="DS296" i="59"/>
  <c r="AO230" i="5"/>
  <c r="AO197" i="5"/>
  <c r="AO155" i="5"/>
  <c r="AO331" i="5"/>
  <c r="AO342" i="5"/>
  <c r="AO320" i="5"/>
  <c r="AO153" i="5"/>
  <c r="AO329" i="5"/>
  <c r="AO208" i="5"/>
  <c r="AO122" i="5"/>
  <c r="AO307" i="5"/>
  <c r="AO276" i="5"/>
  <c r="AO67" i="5"/>
  <c r="AO241" i="5"/>
  <c r="AO199" i="5"/>
  <c r="AO252" i="5"/>
  <c r="AO78" i="5"/>
  <c r="AO298" i="5"/>
  <c r="AO23" i="5"/>
  <c r="AO111" i="5"/>
  <c r="AO285" i="5"/>
  <c r="AO243" i="5"/>
  <c r="AO340" i="5"/>
  <c r="AO254" i="5"/>
  <c r="AO21" i="5"/>
  <c r="AO65" i="5"/>
  <c r="AO109" i="5"/>
  <c r="AO287" i="5"/>
  <c r="AO34" i="5"/>
  <c r="AO166" i="5"/>
  <c r="AO76" i="5"/>
  <c r="AO120" i="5"/>
  <c r="AO164" i="5"/>
  <c r="AO296" i="5"/>
  <c r="AO210" i="5"/>
  <c r="AO43" i="5"/>
  <c r="AO87" i="5"/>
  <c r="AO133" i="5"/>
  <c r="AO175" i="5"/>
  <c r="AO219" i="5"/>
  <c r="AO263" i="5"/>
  <c r="AO45" i="5"/>
  <c r="AO35" i="5"/>
  <c r="AO145" i="5"/>
  <c r="AO233" i="5"/>
  <c r="AO257" i="5"/>
  <c r="AO301" i="5"/>
  <c r="AO345" i="5"/>
  <c r="AO332" i="5"/>
  <c r="AO255" i="5"/>
  <c r="AO37" i="5"/>
  <c r="AO59" i="5"/>
  <c r="AO81" i="5"/>
  <c r="AO103" i="5"/>
  <c r="AO125" i="5"/>
  <c r="AO169" i="5"/>
  <c r="AO191" i="5"/>
  <c r="AO213" i="5"/>
  <c r="AO235" i="5"/>
  <c r="AO279" i="5"/>
  <c r="AO323" i="5"/>
  <c r="AO266" i="5"/>
  <c r="AO334" i="5"/>
  <c r="AO343" i="5"/>
  <c r="AO46" i="5"/>
  <c r="AO112" i="5"/>
  <c r="AO134" i="5"/>
  <c r="AO178" i="5"/>
  <c r="AO288" i="5"/>
  <c r="AO299" i="5"/>
  <c r="AO26" i="5"/>
  <c r="AO90" i="5"/>
  <c r="AO156" i="5"/>
  <c r="AO200" i="5"/>
  <c r="AO222" i="5"/>
  <c r="AO244" i="5"/>
  <c r="AO310" i="5"/>
  <c r="AO68" i="5"/>
  <c r="AO114" i="5"/>
  <c r="AO158" i="5"/>
  <c r="AO202" i="5"/>
  <c r="AO246" i="5"/>
  <c r="AO290" i="5"/>
  <c r="AO123" i="5"/>
  <c r="AO24" i="5"/>
  <c r="AO48" i="5"/>
  <c r="AO70" i="5"/>
  <c r="AO92" i="5"/>
  <c r="AO136" i="5"/>
  <c r="AO180" i="5"/>
  <c r="AO224" i="5"/>
  <c r="AO268" i="5"/>
  <c r="AO312" i="5"/>
  <c r="AO277" i="5"/>
  <c r="AO57" i="5"/>
  <c r="AO79" i="5"/>
  <c r="AO101" i="5"/>
  <c r="AO147" i="5"/>
  <c r="AO167" i="5"/>
  <c r="AO189" i="5"/>
  <c r="AO211" i="5"/>
  <c r="AO321" i="5"/>
  <c r="AX163" i="59"/>
  <c r="H6" i="2"/>
  <c r="GP253" i="59"/>
  <c r="I6" i="2"/>
  <c r="GQ253" i="59"/>
  <c r="G6" i="2"/>
  <c r="GO253" i="59"/>
  <c r="J6" i="2"/>
  <c r="GR253" i="59"/>
  <c r="K6" i="2"/>
  <c r="GS253" i="59"/>
  <c r="L6" i="2"/>
  <c r="GT253" i="59"/>
  <c r="M6" i="2"/>
  <c r="GU253" i="59"/>
  <c r="N6" i="2"/>
  <c r="GV253" i="59"/>
  <c r="O6" i="2"/>
  <c r="GW253" i="59"/>
  <c r="P6" i="2"/>
  <c r="GX253" i="59"/>
  <c r="Q6" i="2"/>
  <c r="GY253" i="59"/>
  <c r="R6" i="2"/>
  <c r="GZ253" i="59"/>
  <c r="S6" i="2"/>
  <c r="HA253" i="59"/>
  <c r="T6" i="2"/>
  <c r="HB253" i="59"/>
  <c r="U6" i="2"/>
  <c r="HC253" i="59"/>
  <c r="V6" i="2"/>
  <c r="HD253" i="59"/>
  <c r="W6" i="2"/>
  <c r="HE253" i="59"/>
  <c r="X6" i="2"/>
  <c r="HF253" i="59"/>
  <c r="Y6" i="2"/>
  <c r="HG253" i="59"/>
  <c r="Z6" i="2"/>
  <c r="HH253" i="59"/>
  <c r="AA6" i="2"/>
  <c r="HI253" i="59"/>
  <c r="AB6" i="2"/>
  <c r="HJ253" i="59"/>
  <c r="AC6" i="2"/>
  <c r="HK253" i="59"/>
  <c r="AD6" i="2"/>
  <c r="HL253" i="59"/>
  <c r="AE6" i="2"/>
  <c r="HM253" i="59"/>
  <c r="AF6" i="2"/>
  <c r="HN253" i="59"/>
  <c r="AG6" i="2"/>
  <c r="HO253" i="59"/>
  <c r="AH6" i="2"/>
  <c r="HP253" i="59"/>
  <c r="AI6" i="2"/>
  <c r="HQ253" i="59"/>
  <c r="AJ6" i="2"/>
  <c r="HR253" i="59"/>
  <c r="AK6" i="2"/>
  <c r="HS253" i="59"/>
  <c r="AL6" i="2"/>
  <c r="HT253" i="59"/>
  <c r="AM6" i="2"/>
  <c r="HU253" i="59"/>
  <c r="AN6" i="2"/>
  <c r="HV253" i="59"/>
  <c r="AO6" i="2"/>
  <c r="HW253" i="59"/>
  <c r="AP6" i="2"/>
  <c r="HX253" i="59"/>
  <c r="AQ6" i="2"/>
  <c r="HY253" i="59"/>
  <c r="P241" i="40"/>
  <c r="BV151" i="59"/>
  <c r="Q241" i="40"/>
  <c r="BW151" i="59"/>
  <c r="O241" i="40"/>
  <c r="BU151" i="59"/>
  <c r="R241" i="40"/>
  <c r="BX151" i="59"/>
  <c r="S241" i="40"/>
  <c r="BY151" i="59"/>
  <c r="T241" i="40"/>
  <c r="BZ151" i="59"/>
  <c r="U241" i="40"/>
  <c r="CA151" i="59"/>
  <c r="V241" i="40"/>
  <c r="CB151" i="59"/>
  <c r="W241" i="40"/>
  <c r="CC151" i="59"/>
  <c r="X241" i="40"/>
  <c r="CD151" i="59"/>
  <c r="Y241" i="40"/>
  <c r="CE151" i="59"/>
  <c r="Z241" i="40"/>
  <c r="CF151" i="59"/>
  <c r="AA241" i="40"/>
  <c r="CG151" i="59"/>
  <c r="AB241" i="40"/>
  <c r="CH151" i="59"/>
  <c r="AC241" i="40"/>
  <c r="CI151" i="59"/>
  <c r="AD241" i="40"/>
  <c r="CJ151" i="59"/>
  <c r="AE241" i="40"/>
  <c r="CK151" i="59"/>
  <c r="AF241" i="40"/>
  <c r="CL151" i="59"/>
  <c r="AG241" i="40"/>
  <c r="CM151" i="59"/>
  <c r="AH241" i="40"/>
  <c r="CN151" i="59"/>
  <c r="AI241" i="40"/>
  <c r="CO151" i="59"/>
  <c r="AJ241" i="40"/>
  <c r="CP151" i="59"/>
  <c r="AK241" i="40"/>
  <c r="CQ151" i="59"/>
  <c r="AL241" i="40"/>
  <c r="CR151" i="59"/>
  <c r="AM241" i="40"/>
  <c r="CS151" i="59"/>
  <c r="AN241" i="40"/>
  <c r="CT151" i="59"/>
  <c r="AO241" i="40"/>
  <c r="CU151" i="59"/>
  <c r="AP241" i="40"/>
  <c r="CV151" i="59"/>
  <c r="AQ241" i="40"/>
  <c r="CW151" i="59"/>
  <c r="AR241" i="40"/>
  <c r="CX151" i="59"/>
  <c r="AS241" i="40"/>
  <c r="CY151" i="59"/>
  <c r="AT241" i="40"/>
  <c r="CZ151" i="59"/>
  <c r="AU241" i="40"/>
  <c r="DA151" i="59"/>
  <c r="AV241" i="40"/>
  <c r="DB151" i="59"/>
  <c r="AW241" i="40"/>
  <c r="DC151" i="59"/>
  <c r="AX241" i="40"/>
  <c r="DD151" i="59"/>
  <c r="AY241" i="40"/>
  <c r="DE151" i="59"/>
  <c r="AR6" i="2"/>
  <c r="HZ253" i="59"/>
  <c r="M193" i="40"/>
  <c r="IE143" i="59"/>
  <c r="N193" i="40"/>
  <c r="IF143" i="59"/>
  <c r="O193" i="40"/>
  <c r="IG143" i="59"/>
  <c r="P193" i="40"/>
  <c r="IH143" i="59"/>
  <c r="Q193" i="40"/>
  <c r="II143" i="59"/>
  <c r="R193" i="40"/>
  <c r="IJ143" i="59"/>
  <c r="S193" i="40"/>
  <c r="IK143" i="59"/>
  <c r="T193" i="40"/>
  <c r="IL143" i="59"/>
  <c r="U193" i="40"/>
  <c r="IM143" i="59"/>
  <c r="V193" i="40"/>
  <c r="IN143" i="59"/>
  <c r="W193" i="40"/>
  <c r="IO143" i="59"/>
  <c r="X193" i="40"/>
  <c r="IP143" i="59"/>
  <c r="Y193" i="40"/>
  <c r="IQ143" i="59"/>
  <c r="Z193" i="40"/>
  <c r="IR143" i="59"/>
  <c r="AA193" i="40"/>
  <c r="IS143" i="59"/>
  <c r="AB193" i="40"/>
  <c r="IT143" i="59"/>
  <c r="AC193" i="40"/>
  <c r="IU143" i="59"/>
  <c r="AD193" i="40"/>
  <c r="IV143" i="59"/>
  <c r="AE193" i="40"/>
  <c r="F144" i="59"/>
  <c r="AF193" i="40"/>
  <c r="G144" i="59"/>
  <c r="AG193" i="40"/>
  <c r="H144" i="59"/>
  <c r="AH193" i="40"/>
  <c r="I144" i="59"/>
  <c r="AI193" i="40"/>
  <c r="J144" i="59"/>
  <c r="AJ193" i="40"/>
  <c r="K144" i="59"/>
  <c r="AK193" i="40"/>
  <c r="L144" i="59"/>
  <c r="AL193" i="40"/>
  <c r="M144" i="59"/>
  <c r="AM193" i="40"/>
  <c r="N144" i="59"/>
  <c r="AN193" i="40"/>
  <c r="O144" i="59"/>
  <c r="AO193" i="40"/>
  <c r="P144" i="59"/>
  <c r="AP193" i="40"/>
  <c r="Q144" i="59"/>
  <c r="AQ193" i="40"/>
  <c r="R144" i="59"/>
  <c r="AR193" i="40"/>
  <c r="S144" i="59"/>
  <c r="AS193" i="40"/>
  <c r="T144" i="59"/>
  <c r="AT193" i="40"/>
  <c r="U144" i="59"/>
  <c r="AU193" i="40"/>
  <c r="V144" i="59"/>
  <c r="AV193" i="40"/>
  <c r="W144" i="59"/>
  <c r="AW193" i="40"/>
  <c r="N86" i="40"/>
  <c r="HV121" i="59"/>
  <c r="M86" i="40"/>
  <c r="HU121" i="59"/>
  <c r="O86" i="40"/>
  <c r="HW121" i="59"/>
  <c r="P86" i="40"/>
  <c r="HX121" i="59"/>
  <c r="Q86" i="40"/>
  <c r="HY121" i="59"/>
  <c r="R86" i="40"/>
  <c r="HZ121" i="59"/>
  <c r="S86" i="40"/>
  <c r="IA121" i="59"/>
  <c r="T86" i="40"/>
  <c r="IB121" i="59"/>
  <c r="U86" i="40"/>
  <c r="IC121" i="59"/>
  <c r="V86" i="40"/>
  <c r="ID121" i="59"/>
  <c r="W86" i="40"/>
  <c r="IE121" i="59"/>
  <c r="X86" i="40"/>
  <c r="IF121" i="59"/>
  <c r="Y86" i="40"/>
  <c r="IG121" i="59"/>
  <c r="Z86" i="40"/>
  <c r="IH121" i="59"/>
  <c r="AA86" i="40"/>
  <c r="II121" i="59"/>
  <c r="AB86" i="40"/>
  <c r="IJ121" i="59"/>
  <c r="AC86" i="40"/>
  <c r="IK121" i="59"/>
  <c r="AD86" i="40"/>
  <c r="IL121" i="59"/>
  <c r="AE86" i="40"/>
  <c r="IM121" i="59"/>
  <c r="AF86" i="40"/>
  <c r="IN121" i="59"/>
  <c r="AG86" i="40"/>
  <c r="IO121" i="59"/>
  <c r="AH86" i="40"/>
  <c r="IP121" i="59"/>
  <c r="AI86" i="40"/>
  <c r="IQ121" i="59"/>
  <c r="AJ86" i="40"/>
  <c r="IR121" i="59"/>
  <c r="AK86" i="40"/>
  <c r="IS121" i="59"/>
  <c r="AL86" i="40"/>
  <c r="IT121" i="59"/>
  <c r="AM86" i="40"/>
  <c r="IU121" i="59"/>
  <c r="AN86" i="40"/>
  <c r="IV121" i="59"/>
  <c r="AO86" i="40"/>
  <c r="F122" i="59"/>
  <c r="AP86" i="40"/>
  <c r="G122" i="59"/>
  <c r="AQ86" i="40"/>
  <c r="H122" i="59"/>
  <c r="AR86" i="40"/>
  <c r="I122" i="59"/>
  <c r="AS86" i="40"/>
  <c r="J122" i="59"/>
  <c r="AT86" i="40"/>
  <c r="K122" i="59"/>
  <c r="AU86" i="40"/>
  <c r="L122" i="59"/>
  <c r="AV86" i="40"/>
  <c r="M122" i="59"/>
  <c r="AW86" i="40"/>
  <c r="N122" i="59"/>
  <c r="M158" i="40"/>
  <c r="GZ136" i="59"/>
  <c r="N158" i="40"/>
  <c r="O158" i="40"/>
  <c r="HB136" i="59"/>
  <c r="P158" i="40"/>
  <c r="HC136" i="59"/>
  <c r="Q158" i="40"/>
  <c r="HD136" i="59"/>
  <c r="R158" i="40"/>
  <c r="HE136" i="59"/>
  <c r="S158" i="40"/>
  <c r="HF136" i="59"/>
  <c r="T158" i="40"/>
  <c r="HG136" i="59"/>
  <c r="U158" i="40"/>
  <c r="HH136" i="59"/>
  <c r="V158" i="40"/>
  <c r="HI136" i="59"/>
  <c r="W158" i="40"/>
  <c r="HJ136" i="59"/>
  <c r="X158" i="40"/>
  <c r="HK136" i="59"/>
  <c r="Y158" i="40"/>
  <c r="HL136" i="59"/>
  <c r="Z158" i="40"/>
  <c r="HM136" i="59"/>
  <c r="AA158" i="40"/>
  <c r="HN136" i="59"/>
  <c r="AB158" i="40"/>
  <c r="HO136" i="59"/>
  <c r="AC158" i="40"/>
  <c r="HP136" i="59"/>
  <c r="AD158" i="40"/>
  <c r="HQ136" i="59"/>
  <c r="AE158" i="40"/>
  <c r="HR136" i="59"/>
  <c r="AF158" i="40"/>
  <c r="HS136" i="59"/>
  <c r="AG158" i="40"/>
  <c r="HT136" i="59"/>
  <c r="AH158" i="40"/>
  <c r="HU136" i="59"/>
  <c r="AI158" i="40"/>
  <c r="HV136" i="59"/>
  <c r="AJ158" i="40"/>
  <c r="HW136" i="59"/>
  <c r="AK158" i="40"/>
  <c r="HX136" i="59"/>
  <c r="AL158" i="40"/>
  <c r="HY136" i="59"/>
  <c r="AM158" i="40"/>
  <c r="HZ136" i="59"/>
  <c r="AN158" i="40"/>
  <c r="IA136" i="59"/>
  <c r="AO158" i="40"/>
  <c r="IB136" i="59"/>
  <c r="AP158" i="40"/>
  <c r="IC136" i="59"/>
  <c r="AQ158" i="40"/>
  <c r="ID136" i="59"/>
  <c r="AR158" i="40"/>
  <c r="IE136" i="59"/>
  <c r="AS158" i="40"/>
  <c r="IF136" i="59"/>
  <c r="AT158" i="40"/>
  <c r="IG136" i="59"/>
  <c r="AU158" i="40"/>
  <c r="IH136" i="59"/>
  <c r="AV158" i="40"/>
  <c r="II136" i="59"/>
  <c r="AW158" i="40"/>
  <c r="IJ136" i="59"/>
  <c r="F14" i="5"/>
  <c r="E14" i="5"/>
  <c r="D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I14" i="5"/>
  <c r="AJ14" i="5"/>
  <c r="AK14" i="5"/>
  <c r="AL14" i="5"/>
  <c r="AM14" i="5"/>
  <c r="AN14" i="5"/>
  <c r="M122" i="40"/>
  <c r="CO129" i="59"/>
  <c r="O122" i="40"/>
  <c r="CQ129" i="59"/>
  <c r="N122" i="40"/>
  <c r="CP129" i="59"/>
  <c r="P122" i="40"/>
  <c r="CR129" i="59"/>
  <c r="Q122" i="40"/>
  <c r="CS129" i="59"/>
  <c r="R122" i="40"/>
  <c r="CT129" i="59"/>
  <c r="S122" i="40"/>
  <c r="CU129" i="59"/>
  <c r="T122" i="40"/>
  <c r="CV129" i="59"/>
  <c r="U122" i="40"/>
  <c r="CW129" i="59"/>
  <c r="V122" i="40"/>
  <c r="CX129" i="59"/>
  <c r="W122" i="40"/>
  <c r="CY129" i="59"/>
  <c r="X122" i="40"/>
  <c r="CZ129" i="59"/>
  <c r="Y122" i="40"/>
  <c r="DA129" i="59"/>
  <c r="Z122" i="40"/>
  <c r="DB129" i="59"/>
  <c r="AA122" i="40"/>
  <c r="DC129" i="59"/>
  <c r="AB122" i="40"/>
  <c r="DD129" i="59"/>
  <c r="AC122" i="40"/>
  <c r="DE129" i="59"/>
  <c r="AD122" i="40"/>
  <c r="DF129" i="59"/>
  <c r="AE122" i="40"/>
  <c r="DG129" i="59"/>
  <c r="AF122" i="40"/>
  <c r="DH129" i="59"/>
  <c r="AG122" i="40"/>
  <c r="DI129" i="59"/>
  <c r="AH122" i="40"/>
  <c r="DJ129" i="59"/>
  <c r="AI122" i="40"/>
  <c r="DK129" i="59"/>
  <c r="AJ122" i="40"/>
  <c r="DL129" i="59"/>
  <c r="AK122" i="40"/>
  <c r="DM129" i="59"/>
  <c r="AL122" i="40"/>
  <c r="DN129" i="59"/>
  <c r="AM122" i="40"/>
  <c r="DO129" i="59"/>
  <c r="AN122" i="40"/>
  <c r="DP129" i="59"/>
  <c r="AO122" i="40"/>
  <c r="DQ129" i="59"/>
  <c r="AP122" i="40"/>
  <c r="DR129" i="59"/>
  <c r="AQ122" i="40"/>
  <c r="DS129" i="59"/>
  <c r="AR122" i="40"/>
  <c r="DT129" i="59"/>
  <c r="AS122" i="40"/>
  <c r="DU129" i="59"/>
  <c r="AT122" i="40"/>
  <c r="DV129" i="59"/>
  <c r="AU122" i="40"/>
  <c r="DW129" i="59"/>
  <c r="AV122" i="40"/>
  <c r="DX129" i="59"/>
  <c r="AW122" i="40"/>
  <c r="DY129" i="59"/>
  <c r="AX193" i="40"/>
  <c r="Y144" i="59"/>
  <c r="M50" i="40"/>
  <c r="DJ114" i="59"/>
  <c r="O50" i="40"/>
  <c r="DL114" i="59"/>
  <c r="N50" i="40"/>
  <c r="DK114" i="59"/>
  <c r="P50" i="40"/>
  <c r="DM114" i="59"/>
  <c r="Q50" i="40"/>
  <c r="DN114" i="59"/>
  <c r="R50" i="40"/>
  <c r="DO114" i="59"/>
  <c r="S50" i="40"/>
  <c r="DP114" i="59"/>
  <c r="T50" i="40"/>
  <c r="DQ114" i="59"/>
  <c r="U50" i="40"/>
  <c r="DR114" i="59"/>
  <c r="V50" i="40"/>
  <c r="DS114" i="59"/>
  <c r="W50" i="40"/>
  <c r="DT114" i="59"/>
  <c r="X50" i="40"/>
  <c r="DU114" i="59"/>
  <c r="Y50" i="40"/>
  <c r="DV114" i="59"/>
  <c r="Z50" i="40"/>
  <c r="DW114" i="59"/>
  <c r="AA50" i="40"/>
  <c r="DX114" i="59"/>
  <c r="AB50" i="40"/>
  <c r="DY114" i="59"/>
  <c r="AC50" i="40"/>
  <c r="DZ114" i="59"/>
  <c r="AD50" i="40"/>
  <c r="EA114" i="59"/>
  <c r="AE50" i="40"/>
  <c r="EB114" i="59"/>
  <c r="AF50" i="40"/>
  <c r="EC114" i="59"/>
  <c r="AG50" i="40"/>
  <c r="ED114" i="59"/>
  <c r="AH50" i="40"/>
  <c r="EE114" i="59"/>
  <c r="AI50" i="40"/>
  <c r="EF114" i="59"/>
  <c r="AJ50" i="40"/>
  <c r="EG114" i="59"/>
  <c r="AK50" i="40"/>
  <c r="EH114" i="59"/>
  <c r="AL50" i="40"/>
  <c r="EI114" i="59"/>
  <c r="AM50" i="40"/>
  <c r="EJ114" i="59"/>
  <c r="AN50" i="40"/>
  <c r="EK114" i="59"/>
  <c r="AO50" i="40"/>
  <c r="EL114" i="59"/>
  <c r="AP50" i="40"/>
  <c r="EM114" i="59"/>
  <c r="AQ50" i="40"/>
  <c r="EN114" i="59"/>
  <c r="AR50" i="40"/>
  <c r="EO114" i="59"/>
  <c r="AS50" i="40"/>
  <c r="EP114" i="59"/>
  <c r="AT50" i="40"/>
  <c r="EQ114" i="59"/>
  <c r="AU50" i="40"/>
  <c r="ER114" i="59"/>
  <c r="AV50" i="40"/>
  <c r="ES114" i="59"/>
  <c r="AW50" i="40"/>
  <c r="ET114" i="59"/>
  <c r="AX74" i="40"/>
  <c r="EN119" i="59"/>
  <c r="AX64" i="40"/>
  <c r="DV117" i="59"/>
  <c r="AX70" i="40"/>
  <c r="GE118" i="59"/>
  <c r="AX71" i="40"/>
  <c r="IE118" i="59"/>
  <c r="AX63" i="40"/>
  <c r="BV117" i="59"/>
  <c r="AX67" i="40"/>
  <c r="AE118" i="59"/>
  <c r="AX53" i="40"/>
  <c r="BD115" i="59"/>
  <c r="AX56" i="40"/>
  <c r="HD115" i="59"/>
  <c r="AX68" i="40"/>
  <c r="CE118" i="59"/>
  <c r="AX60" i="40"/>
  <c r="FM116" i="59"/>
  <c r="AX73" i="40"/>
  <c r="CN119" i="59"/>
  <c r="AX76" i="40"/>
  <c r="IN119" i="59"/>
  <c r="AX52" i="40"/>
  <c r="IU114" i="59"/>
  <c r="AX69" i="40"/>
  <c r="EE118" i="59"/>
  <c r="AX78" i="40"/>
  <c r="CW120" i="59"/>
  <c r="AX57" i="40"/>
  <c r="M116" i="59"/>
  <c r="AX80" i="40"/>
  <c r="GW120" i="59"/>
  <c r="AX77" i="40"/>
  <c r="AW120" i="59"/>
  <c r="AX66" i="40"/>
  <c r="HV117" i="59"/>
  <c r="AX65" i="40"/>
  <c r="FV117" i="59"/>
  <c r="AX55" i="40"/>
  <c r="FD115" i="59"/>
  <c r="AX58" i="40"/>
  <c r="BM116" i="59"/>
  <c r="AX72" i="40"/>
  <c r="AN119" i="59"/>
  <c r="AX54" i="40"/>
  <c r="DD115" i="59"/>
  <c r="AX79" i="40"/>
  <c r="EW120" i="59"/>
  <c r="AX62" i="40"/>
  <c r="V117" i="59"/>
  <c r="AX59" i="40"/>
  <c r="DM116" i="59"/>
  <c r="AX61" i="40"/>
  <c r="HM116" i="59"/>
  <c r="AX75" i="40"/>
  <c r="GN119" i="59"/>
  <c r="AX51" i="40"/>
  <c r="GU114" i="59"/>
  <c r="AO264" i="5"/>
  <c r="AO77" i="5"/>
  <c r="AO308" i="5"/>
  <c r="AO100" i="5"/>
  <c r="AO98" i="5"/>
  <c r="I56" i="5"/>
  <c r="I100" i="5"/>
  <c r="I144" i="5"/>
  <c r="I186" i="5"/>
  <c r="I230" i="5"/>
  <c r="I276" i="5"/>
  <c r="I320" i="5"/>
  <c r="Q34" i="5"/>
  <c r="Q76" i="5"/>
  <c r="Q122" i="5"/>
  <c r="Q166" i="5"/>
  <c r="Q210" i="5"/>
  <c r="Q254" i="5"/>
  <c r="Q298" i="5"/>
  <c r="Q342" i="5"/>
  <c r="Y54" i="5"/>
  <c r="Y100" i="5"/>
  <c r="Y144" i="5"/>
  <c r="Y186" i="5"/>
  <c r="Y232" i="5"/>
  <c r="Y274" i="5"/>
  <c r="Y320" i="5"/>
  <c r="AG34" i="5"/>
  <c r="AG78" i="5"/>
  <c r="AG122" i="5"/>
  <c r="AG166" i="5"/>
  <c r="AG208" i="5"/>
  <c r="AG254" i="5"/>
  <c r="AG296" i="5"/>
  <c r="AG342" i="5"/>
  <c r="T56" i="5"/>
  <c r="T98" i="5"/>
  <c r="T144" i="5"/>
  <c r="T186" i="5"/>
  <c r="T232" i="5"/>
  <c r="T274" i="5"/>
  <c r="T320" i="5"/>
  <c r="X54" i="5"/>
  <c r="X98" i="5"/>
  <c r="X142" i="5"/>
  <c r="X188" i="5"/>
  <c r="X232" i="5"/>
  <c r="X276" i="5"/>
  <c r="X318" i="5"/>
  <c r="J34" i="5"/>
  <c r="J78" i="5"/>
  <c r="J122" i="5"/>
  <c r="J166" i="5"/>
  <c r="J210" i="5"/>
  <c r="J254" i="5"/>
  <c r="J298" i="5"/>
  <c r="J342" i="5"/>
  <c r="R56" i="5"/>
  <c r="R100" i="5"/>
  <c r="R144" i="5"/>
  <c r="R188" i="5"/>
  <c r="R232" i="5"/>
  <c r="R276" i="5"/>
  <c r="R320" i="5"/>
  <c r="Z34" i="5"/>
  <c r="Z78" i="5"/>
  <c r="Z122" i="5"/>
  <c r="Z166" i="5"/>
  <c r="Z210" i="5"/>
  <c r="Z254" i="5"/>
  <c r="Z298" i="5"/>
  <c r="Z342" i="5"/>
  <c r="AH56" i="5"/>
  <c r="AH100" i="5"/>
  <c r="AH144" i="5"/>
  <c r="AH188" i="5"/>
  <c r="AH232" i="5"/>
  <c r="AH276" i="5"/>
  <c r="AH320" i="5"/>
  <c r="AB34" i="5"/>
  <c r="AB76" i="5"/>
  <c r="AB120" i="5"/>
  <c r="AB164" i="5"/>
  <c r="AB208" i="5"/>
  <c r="AB252" i="5"/>
  <c r="AB296" i="5"/>
  <c r="AB340" i="5"/>
  <c r="AO220" i="5"/>
  <c r="AO110" i="5"/>
  <c r="AO209" i="5"/>
  <c r="AO54" i="5"/>
  <c r="AO56" i="5"/>
  <c r="I21" i="5"/>
  <c r="I65" i="5"/>
  <c r="I111" i="5"/>
  <c r="I153" i="5"/>
  <c r="I199" i="5"/>
  <c r="I241" i="5"/>
  <c r="I287" i="5"/>
  <c r="I329" i="5"/>
  <c r="Q43" i="5"/>
  <c r="Q89" i="5"/>
  <c r="Q131" i="5"/>
  <c r="Q175" i="5"/>
  <c r="Q219" i="5"/>
  <c r="Q263" i="5"/>
  <c r="Q307" i="5"/>
  <c r="Y21" i="5"/>
  <c r="Y67" i="5"/>
  <c r="Y109" i="5"/>
  <c r="Y153" i="5"/>
  <c r="Y197" i="5"/>
  <c r="Y241" i="5"/>
  <c r="Y287" i="5"/>
  <c r="Y331" i="5"/>
  <c r="AG45" i="5"/>
  <c r="AG89" i="5"/>
  <c r="AG131" i="5"/>
  <c r="AG177" i="5"/>
  <c r="AG219" i="5"/>
  <c r="AG263" i="5"/>
  <c r="AG309" i="5"/>
  <c r="T21" i="5"/>
  <c r="T65" i="5"/>
  <c r="T111" i="5"/>
  <c r="T155" i="5"/>
  <c r="T199" i="5"/>
  <c r="T243" i="5"/>
  <c r="T285" i="5"/>
  <c r="T329" i="5"/>
  <c r="X23" i="5"/>
  <c r="X65" i="5"/>
  <c r="X109" i="5"/>
  <c r="X153" i="5"/>
  <c r="X197" i="5"/>
  <c r="X241" i="5"/>
  <c r="X285" i="5"/>
  <c r="X329" i="5"/>
  <c r="J43" i="5"/>
  <c r="J87" i="5"/>
  <c r="J131" i="5"/>
  <c r="J175" i="5"/>
  <c r="J219" i="5"/>
  <c r="AO176" i="5"/>
  <c r="AO66" i="5"/>
  <c r="AO330" i="5"/>
  <c r="AO144" i="5"/>
  <c r="AO309" i="5"/>
  <c r="I23" i="5"/>
  <c r="I67" i="5"/>
  <c r="I109" i="5"/>
  <c r="I155" i="5"/>
  <c r="I197" i="5"/>
  <c r="I243" i="5"/>
  <c r="I285" i="5"/>
  <c r="I331" i="5"/>
  <c r="Q45" i="5"/>
  <c r="Q87" i="5"/>
  <c r="Q133" i="5"/>
  <c r="Q177" i="5"/>
  <c r="Q221" i="5"/>
  <c r="Q265" i="5"/>
  <c r="Q309" i="5"/>
  <c r="Y23" i="5"/>
  <c r="Y65" i="5"/>
  <c r="Y111" i="5"/>
  <c r="Y155" i="5"/>
  <c r="Y199" i="5"/>
  <c r="Y243" i="5"/>
  <c r="Y285" i="5"/>
  <c r="Y329" i="5"/>
  <c r="AG43" i="5"/>
  <c r="AG87" i="5"/>
  <c r="AG133" i="5"/>
  <c r="AG175" i="5"/>
  <c r="AG221" i="5"/>
  <c r="AG265" i="5"/>
  <c r="AG307" i="5"/>
  <c r="T23" i="5"/>
  <c r="T67" i="5"/>
  <c r="T109" i="5"/>
  <c r="T153" i="5"/>
  <c r="T197" i="5"/>
  <c r="T241" i="5"/>
  <c r="T287" i="5"/>
  <c r="T331" i="5"/>
  <c r="X21" i="5"/>
  <c r="X67" i="5"/>
  <c r="X111" i="5"/>
  <c r="X155" i="5"/>
  <c r="X199" i="5"/>
  <c r="X243" i="5"/>
  <c r="X287" i="5"/>
  <c r="X331" i="5"/>
  <c r="J45" i="5"/>
  <c r="J89" i="5"/>
  <c r="J133" i="5"/>
  <c r="J177" i="5"/>
  <c r="J221" i="5"/>
  <c r="J265" i="5"/>
  <c r="J309" i="5"/>
  <c r="R21" i="5"/>
  <c r="R67" i="5"/>
  <c r="R111" i="5"/>
  <c r="R155" i="5"/>
  <c r="R199" i="5"/>
  <c r="R243" i="5"/>
  <c r="R287" i="5"/>
  <c r="R331" i="5"/>
  <c r="Z45" i="5"/>
  <c r="Z89" i="5"/>
  <c r="Z133" i="5"/>
  <c r="Z177" i="5"/>
  <c r="Z221" i="5"/>
  <c r="Z265" i="5"/>
  <c r="Z309" i="5"/>
  <c r="AH21" i="5"/>
  <c r="AH67" i="5"/>
  <c r="AH111" i="5"/>
  <c r="AH155" i="5"/>
  <c r="AH199" i="5"/>
  <c r="AH243" i="5"/>
  <c r="AH287" i="5"/>
  <c r="AH331" i="5"/>
  <c r="AB43" i="5"/>
  <c r="AB87" i="5"/>
  <c r="AB131" i="5"/>
  <c r="AB175" i="5"/>
  <c r="AB219" i="5"/>
  <c r="AO88" i="5"/>
  <c r="AO22" i="5"/>
  <c r="AO154" i="5"/>
  <c r="AO318" i="5"/>
  <c r="AO265" i="5"/>
  <c r="I32" i="5"/>
  <c r="I76" i="5"/>
  <c r="I120" i="5"/>
  <c r="I164" i="5"/>
  <c r="I208" i="5"/>
  <c r="I254" i="5"/>
  <c r="I296" i="5"/>
  <c r="I340" i="5"/>
  <c r="Q56" i="5"/>
  <c r="Q98" i="5"/>
  <c r="Q142" i="5"/>
  <c r="Q186" i="5"/>
  <c r="Q230" i="5"/>
  <c r="Q274" i="5"/>
  <c r="Q318" i="5"/>
  <c r="Y32" i="5"/>
  <c r="Y76" i="5"/>
  <c r="Y120" i="5"/>
  <c r="Y164" i="5"/>
  <c r="Y208" i="5"/>
  <c r="Y254" i="5"/>
  <c r="Y296" i="5"/>
  <c r="Y340" i="5"/>
  <c r="AG54" i="5"/>
  <c r="AG100" i="5"/>
  <c r="AG142" i="5"/>
  <c r="AG186" i="5"/>
  <c r="AG230" i="5"/>
  <c r="AG274" i="5"/>
  <c r="AG320" i="5"/>
  <c r="T34" i="5"/>
  <c r="T78" i="5"/>
  <c r="T122" i="5"/>
  <c r="T166" i="5"/>
  <c r="T210" i="5"/>
  <c r="T254" i="5"/>
  <c r="T296" i="5"/>
  <c r="T342" i="5"/>
  <c r="X32" i="5"/>
  <c r="X78" i="5"/>
  <c r="X120" i="5"/>
  <c r="X164" i="5"/>
  <c r="X208" i="5"/>
  <c r="X252" i="5"/>
  <c r="X296" i="5"/>
  <c r="X340" i="5"/>
  <c r="J54" i="5"/>
  <c r="J98" i="5"/>
  <c r="J142" i="5"/>
  <c r="J186" i="5"/>
  <c r="J230" i="5"/>
  <c r="J274" i="5"/>
  <c r="J318" i="5"/>
  <c r="R32" i="5"/>
  <c r="R76" i="5"/>
  <c r="R120" i="5"/>
  <c r="R164" i="5"/>
  <c r="R208" i="5"/>
  <c r="R252" i="5"/>
  <c r="R296" i="5"/>
  <c r="R340" i="5"/>
  <c r="Z56" i="5"/>
  <c r="Z98" i="5"/>
  <c r="Z142" i="5"/>
  <c r="Z186" i="5"/>
  <c r="AO44" i="5"/>
  <c r="AO341" i="5"/>
  <c r="AO198" i="5"/>
  <c r="AO274" i="5"/>
  <c r="AO221" i="5"/>
  <c r="I34" i="5"/>
  <c r="I78" i="5"/>
  <c r="I122" i="5"/>
  <c r="I166" i="5"/>
  <c r="I210" i="5"/>
  <c r="I252" i="5"/>
  <c r="I298" i="5"/>
  <c r="I342" i="5"/>
  <c r="Q54" i="5"/>
  <c r="Q100" i="5"/>
  <c r="Q144" i="5"/>
  <c r="Q188" i="5"/>
  <c r="Q232" i="5"/>
  <c r="Q276" i="5"/>
  <c r="Q320" i="5"/>
  <c r="Y34" i="5"/>
  <c r="Y78" i="5"/>
  <c r="Y122" i="5"/>
  <c r="Y166" i="5"/>
  <c r="Y210" i="5"/>
  <c r="Y252" i="5"/>
  <c r="Y298" i="5"/>
  <c r="Y342" i="5"/>
  <c r="AG56" i="5"/>
  <c r="AG98" i="5"/>
  <c r="AG144" i="5"/>
  <c r="AG188" i="5"/>
  <c r="AG232" i="5"/>
  <c r="AG276" i="5"/>
  <c r="AG318" i="5"/>
  <c r="T32" i="5"/>
  <c r="T76" i="5"/>
  <c r="T120" i="5"/>
  <c r="T164" i="5"/>
  <c r="T208" i="5"/>
  <c r="T252" i="5"/>
  <c r="T298" i="5"/>
  <c r="T340" i="5"/>
  <c r="X34" i="5"/>
  <c r="X76" i="5"/>
  <c r="X122" i="5"/>
  <c r="X166" i="5"/>
  <c r="X210" i="5"/>
  <c r="X254" i="5"/>
  <c r="X298" i="5"/>
  <c r="X342" i="5"/>
  <c r="J56" i="5"/>
  <c r="J100" i="5"/>
  <c r="J144" i="5"/>
  <c r="J188" i="5"/>
  <c r="J232" i="5"/>
  <c r="J276" i="5"/>
  <c r="J320" i="5"/>
  <c r="R34" i="5"/>
  <c r="R78" i="5"/>
  <c r="R122" i="5"/>
  <c r="R166" i="5"/>
  <c r="R210" i="5"/>
  <c r="R254" i="5"/>
  <c r="R298" i="5"/>
  <c r="R342" i="5"/>
  <c r="Z54" i="5"/>
  <c r="Z100" i="5"/>
  <c r="Z144" i="5"/>
  <c r="Z188" i="5"/>
  <c r="Z232" i="5"/>
  <c r="Z276" i="5"/>
  <c r="Z320" i="5"/>
  <c r="AH34" i="5"/>
  <c r="AH78" i="5"/>
  <c r="AH122" i="5"/>
  <c r="AH166" i="5"/>
  <c r="AH210" i="5"/>
  <c r="AH254" i="5"/>
  <c r="AH298" i="5"/>
  <c r="AH342" i="5"/>
  <c r="AB54" i="5"/>
  <c r="AB98" i="5"/>
  <c r="AB142" i="5"/>
  <c r="AB186" i="5"/>
  <c r="AB230" i="5"/>
  <c r="AB274" i="5"/>
  <c r="AB318" i="5"/>
  <c r="AO297" i="5"/>
  <c r="AO286" i="5"/>
  <c r="AO231" i="5"/>
  <c r="AO232" i="5"/>
  <c r="AO177" i="5"/>
  <c r="AO165" i="5"/>
  <c r="AO253" i="5"/>
  <c r="AO32" i="5"/>
  <c r="AO186" i="5"/>
  <c r="AO131" i="5"/>
  <c r="AO121" i="5"/>
  <c r="AO242" i="5"/>
  <c r="AO188" i="5"/>
  <c r="AO142" i="5"/>
  <c r="AO89" i="5"/>
  <c r="I54" i="5"/>
  <c r="I98" i="5"/>
  <c r="I142" i="5"/>
  <c r="I188" i="5"/>
  <c r="I232" i="5"/>
  <c r="I274" i="5"/>
  <c r="I318" i="5"/>
  <c r="Q32" i="5"/>
  <c r="Q78" i="5"/>
  <c r="Q120" i="5"/>
  <c r="Q164" i="5"/>
  <c r="Q208" i="5"/>
  <c r="Q252" i="5"/>
  <c r="Q296" i="5"/>
  <c r="Q340" i="5"/>
  <c r="Y56" i="5"/>
  <c r="Y98" i="5"/>
  <c r="Y142" i="5"/>
  <c r="Y188" i="5"/>
  <c r="Y230" i="5"/>
  <c r="Y276" i="5"/>
  <c r="Y318" i="5"/>
  <c r="AG32" i="5"/>
  <c r="AG76" i="5"/>
  <c r="AG120" i="5"/>
  <c r="AG164" i="5"/>
  <c r="AG210" i="5"/>
  <c r="AG252" i="5"/>
  <c r="AG298" i="5"/>
  <c r="AG340" i="5"/>
  <c r="T54" i="5"/>
  <c r="T100" i="5"/>
  <c r="T142" i="5"/>
  <c r="T188" i="5"/>
  <c r="T230" i="5"/>
  <c r="T276" i="5"/>
  <c r="T318" i="5"/>
  <c r="X56" i="5"/>
  <c r="X100" i="5"/>
  <c r="X144" i="5"/>
  <c r="X186" i="5"/>
  <c r="X230" i="5"/>
  <c r="X274" i="5"/>
  <c r="X320" i="5"/>
  <c r="J32" i="5"/>
  <c r="J76" i="5"/>
  <c r="J120" i="5"/>
  <c r="J164" i="5"/>
  <c r="J208" i="5"/>
  <c r="J252" i="5"/>
  <c r="J296" i="5"/>
  <c r="J340" i="5"/>
  <c r="R54" i="5"/>
  <c r="R98" i="5"/>
  <c r="R142" i="5"/>
  <c r="R186" i="5"/>
  <c r="R230" i="5"/>
  <c r="R274" i="5"/>
  <c r="R318" i="5"/>
  <c r="Z32" i="5"/>
  <c r="Z76" i="5"/>
  <c r="Z120" i="5"/>
  <c r="Z164" i="5"/>
  <c r="Z208" i="5"/>
  <c r="Z252" i="5"/>
  <c r="Z296" i="5"/>
  <c r="Z340" i="5"/>
  <c r="AH54" i="5"/>
  <c r="AH98" i="5"/>
  <c r="AH142" i="5"/>
  <c r="AH186" i="5"/>
  <c r="I177" i="5"/>
  <c r="Q21" i="5"/>
  <c r="Q199" i="5"/>
  <c r="Y45" i="5"/>
  <c r="Y219" i="5"/>
  <c r="AG67" i="5"/>
  <c r="AG241" i="5"/>
  <c r="T87" i="5"/>
  <c r="T265" i="5"/>
  <c r="O131" i="5"/>
  <c r="O307" i="5"/>
  <c r="AM153" i="5"/>
  <c r="AM329" i="5"/>
  <c r="X177" i="5"/>
  <c r="J23" i="5"/>
  <c r="J199" i="5"/>
  <c r="J331" i="5"/>
  <c r="R131" i="5"/>
  <c r="R241" i="5"/>
  <c r="Z23" i="5"/>
  <c r="Z153" i="5"/>
  <c r="Z243" i="5"/>
  <c r="Z331" i="5"/>
  <c r="AH89" i="5"/>
  <c r="AH177" i="5"/>
  <c r="AH263" i="5"/>
  <c r="AH329" i="5"/>
  <c r="AB65" i="5"/>
  <c r="AB144" i="5"/>
  <c r="AB210" i="5"/>
  <c r="AB276" i="5"/>
  <c r="AB329" i="5"/>
  <c r="D56" i="5"/>
  <c r="D98" i="5"/>
  <c r="D153" i="5"/>
  <c r="D199" i="5"/>
  <c r="D241" i="5"/>
  <c r="D285" i="5"/>
  <c r="D329" i="5"/>
  <c r="W43" i="5"/>
  <c r="W87" i="5"/>
  <c r="W131" i="5"/>
  <c r="W175" i="5"/>
  <c r="W219" i="5"/>
  <c r="W263" i="5"/>
  <c r="W307" i="5"/>
  <c r="AF21" i="5"/>
  <c r="AF65" i="5"/>
  <c r="AF109" i="5"/>
  <c r="AF155" i="5"/>
  <c r="AF197" i="5"/>
  <c r="AF243" i="5"/>
  <c r="AF285" i="5"/>
  <c r="AF331" i="5"/>
  <c r="K45" i="5"/>
  <c r="K89" i="5"/>
  <c r="K133" i="5"/>
  <c r="K177" i="5"/>
  <c r="K221" i="5"/>
  <c r="K265" i="5"/>
  <c r="K309" i="5"/>
  <c r="S23" i="5"/>
  <c r="S67" i="5"/>
  <c r="S111" i="5"/>
  <c r="S155" i="5"/>
  <c r="S199" i="5"/>
  <c r="S243" i="5"/>
  <c r="S287" i="5"/>
  <c r="S331" i="5"/>
  <c r="AA45" i="5"/>
  <c r="AA89" i="5"/>
  <c r="AA133" i="5"/>
  <c r="AA177" i="5"/>
  <c r="AA221" i="5"/>
  <c r="AA265" i="5"/>
  <c r="AA309" i="5"/>
  <c r="AI23" i="5"/>
  <c r="AI67" i="5"/>
  <c r="AI111" i="5"/>
  <c r="AI155" i="5"/>
  <c r="AI199" i="5"/>
  <c r="AI243" i="5"/>
  <c r="AI287" i="5"/>
  <c r="AI331" i="5"/>
  <c r="F43" i="5"/>
  <c r="F87" i="5"/>
  <c r="F131" i="5"/>
  <c r="F175" i="5"/>
  <c r="F219" i="5"/>
  <c r="F263" i="5"/>
  <c r="F307" i="5"/>
  <c r="L21" i="5"/>
  <c r="L67" i="5"/>
  <c r="L109" i="5"/>
  <c r="L155" i="5"/>
  <c r="L197" i="5"/>
  <c r="L243" i="5"/>
  <c r="L285" i="5"/>
  <c r="L329" i="5"/>
  <c r="AJ45" i="5"/>
  <c r="AJ87" i="5"/>
  <c r="AJ131" i="5"/>
  <c r="AJ175" i="5"/>
  <c r="AJ221" i="5"/>
  <c r="AJ265" i="5"/>
  <c r="AJ307" i="5"/>
  <c r="N23" i="5"/>
  <c r="N65" i="5"/>
  <c r="N109" i="5"/>
  <c r="N153" i="5"/>
  <c r="N197" i="5"/>
  <c r="N241" i="5"/>
  <c r="N285" i="5"/>
  <c r="N329" i="5"/>
  <c r="AL43" i="5"/>
  <c r="AL87" i="5"/>
  <c r="AL131" i="5"/>
  <c r="AL175" i="5"/>
  <c r="AL219" i="5"/>
  <c r="AL263" i="5"/>
  <c r="AL307" i="5"/>
  <c r="G21" i="5"/>
  <c r="G65" i="5"/>
  <c r="G109" i="5"/>
  <c r="I43" i="5"/>
  <c r="I219" i="5"/>
  <c r="Q65" i="5"/>
  <c r="Q241" i="5"/>
  <c r="Y87" i="5"/>
  <c r="Y263" i="5"/>
  <c r="AG109" i="5"/>
  <c r="AG285" i="5"/>
  <c r="T133" i="5"/>
  <c r="T309" i="5"/>
  <c r="AD155" i="5"/>
  <c r="AD331" i="5"/>
  <c r="O177" i="5"/>
  <c r="AM23" i="5"/>
  <c r="AM199" i="5"/>
  <c r="X43" i="5"/>
  <c r="X219" i="5"/>
  <c r="J65" i="5"/>
  <c r="J241" i="5"/>
  <c r="R23" i="5"/>
  <c r="R133" i="5"/>
  <c r="R263" i="5"/>
  <c r="Z43" i="5"/>
  <c r="Z155" i="5"/>
  <c r="Z263" i="5"/>
  <c r="AH23" i="5"/>
  <c r="AH109" i="5"/>
  <c r="AH197" i="5"/>
  <c r="AH265" i="5"/>
  <c r="AH340" i="5"/>
  <c r="AB78" i="5"/>
  <c r="AB155" i="5"/>
  <c r="AB221" i="5"/>
  <c r="AB287" i="5"/>
  <c r="AB342" i="5"/>
  <c r="D54" i="5"/>
  <c r="D109" i="5"/>
  <c r="D155" i="5"/>
  <c r="D210" i="5"/>
  <c r="D254" i="5"/>
  <c r="D298" i="5"/>
  <c r="D340" i="5"/>
  <c r="W56" i="5"/>
  <c r="W100" i="5"/>
  <c r="W142" i="5"/>
  <c r="W188" i="5"/>
  <c r="W232" i="5"/>
  <c r="W276" i="5"/>
  <c r="W320" i="5"/>
  <c r="AF34" i="5"/>
  <c r="AF76" i="5"/>
  <c r="AF120" i="5"/>
  <c r="AF164" i="5"/>
  <c r="AF208" i="5"/>
  <c r="AF252" i="5"/>
  <c r="AF296" i="5"/>
  <c r="AF340" i="5"/>
  <c r="K54" i="5"/>
  <c r="K98" i="5"/>
  <c r="K144" i="5"/>
  <c r="K186" i="5"/>
  <c r="K230" i="5"/>
  <c r="K274" i="5"/>
  <c r="K318" i="5"/>
  <c r="S32" i="5"/>
  <c r="S76" i="5"/>
  <c r="S120" i="5"/>
  <c r="S164" i="5"/>
  <c r="S208" i="5"/>
  <c r="S252" i="5"/>
  <c r="S296" i="5"/>
  <c r="S340" i="5"/>
  <c r="AA54" i="5"/>
  <c r="AA98" i="5"/>
  <c r="AA144" i="5"/>
  <c r="AA186" i="5"/>
  <c r="AA230" i="5"/>
  <c r="AA274" i="5"/>
  <c r="AA318" i="5"/>
  <c r="AI32" i="5"/>
  <c r="AI76" i="5"/>
  <c r="AI120" i="5"/>
  <c r="AI164" i="5"/>
  <c r="AI208" i="5"/>
  <c r="AI252" i="5"/>
  <c r="AI296" i="5"/>
  <c r="AI340" i="5"/>
  <c r="F54" i="5"/>
  <c r="F100" i="5"/>
  <c r="F144" i="5"/>
  <c r="F188" i="5"/>
  <c r="F232" i="5"/>
  <c r="F276" i="5"/>
  <c r="F320" i="5"/>
  <c r="L32" i="5"/>
  <c r="L78" i="5"/>
  <c r="L122" i="5"/>
  <c r="L166" i="5"/>
  <c r="L210" i="5"/>
  <c r="L254" i="5"/>
  <c r="L298" i="5"/>
  <c r="L342" i="5"/>
  <c r="AJ56" i="5"/>
  <c r="AJ100" i="5"/>
  <c r="AJ144" i="5"/>
  <c r="AJ188" i="5"/>
  <c r="AJ230" i="5"/>
  <c r="AJ276" i="5"/>
  <c r="I45" i="5"/>
  <c r="I221" i="5"/>
  <c r="Q67" i="5"/>
  <c r="Q243" i="5"/>
  <c r="Y89" i="5"/>
  <c r="Y265" i="5"/>
  <c r="AG111" i="5"/>
  <c r="AG287" i="5"/>
  <c r="T131" i="5"/>
  <c r="T307" i="5"/>
  <c r="AD153" i="5"/>
  <c r="AD329" i="5"/>
  <c r="O175" i="5"/>
  <c r="AM21" i="5"/>
  <c r="AM197" i="5"/>
  <c r="X45" i="5"/>
  <c r="X221" i="5"/>
  <c r="J67" i="5"/>
  <c r="J243" i="5"/>
  <c r="R43" i="5"/>
  <c r="R153" i="5"/>
  <c r="R265" i="5"/>
  <c r="Z65" i="5"/>
  <c r="Z175" i="5"/>
  <c r="Z274" i="5"/>
  <c r="AH32" i="5"/>
  <c r="AH120" i="5"/>
  <c r="AH208" i="5"/>
  <c r="AH274" i="5"/>
  <c r="AB21" i="5"/>
  <c r="AB89" i="5"/>
  <c r="AB153" i="5"/>
  <c r="AB232" i="5"/>
  <c r="AB285" i="5"/>
  <c r="D21" i="5"/>
  <c r="D67" i="5"/>
  <c r="D111" i="5"/>
  <c r="D166" i="5"/>
  <c r="D208" i="5"/>
  <c r="D252" i="5"/>
  <c r="D296" i="5"/>
  <c r="D342" i="5"/>
  <c r="W54" i="5"/>
  <c r="W98" i="5"/>
  <c r="W144" i="5"/>
  <c r="W186" i="5"/>
  <c r="W230" i="5"/>
  <c r="W274" i="5"/>
  <c r="W318" i="5"/>
  <c r="AF32" i="5"/>
  <c r="AF78" i="5"/>
  <c r="AF122" i="5"/>
  <c r="AF166" i="5"/>
  <c r="AF210" i="5"/>
  <c r="AF254" i="5"/>
  <c r="AF298" i="5"/>
  <c r="AF342" i="5"/>
  <c r="K56" i="5"/>
  <c r="K100" i="5"/>
  <c r="K142" i="5"/>
  <c r="K188" i="5"/>
  <c r="K232" i="5"/>
  <c r="K276" i="5"/>
  <c r="K320" i="5"/>
  <c r="S34" i="5"/>
  <c r="S78" i="5"/>
  <c r="S122" i="5"/>
  <c r="S166" i="5"/>
  <c r="S210" i="5"/>
  <c r="S254" i="5"/>
  <c r="I87" i="5"/>
  <c r="I263" i="5"/>
  <c r="Q109" i="5"/>
  <c r="Q285" i="5"/>
  <c r="Y131" i="5"/>
  <c r="Y307" i="5"/>
  <c r="AG153" i="5"/>
  <c r="AG329" i="5"/>
  <c r="T177" i="5"/>
  <c r="AD21" i="5"/>
  <c r="AD199" i="5"/>
  <c r="O45" i="5"/>
  <c r="O221" i="5"/>
  <c r="AM67" i="5"/>
  <c r="AM243" i="5"/>
  <c r="X87" i="5"/>
  <c r="X265" i="5"/>
  <c r="J109" i="5"/>
  <c r="J263" i="5"/>
  <c r="R45" i="5"/>
  <c r="R175" i="5"/>
  <c r="R285" i="5"/>
  <c r="Z67" i="5"/>
  <c r="Z197" i="5"/>
  <c r="Z285" i="5"/>
  <c r="AH43" i="5"/>
  <c r="AH131" i="5"/>
  <c r="AH219" i="5"/>
  <c r="AH285" i="5"/>
  <c r="AB23" i="5"/>
  <c r="AB100" i="5"/>
  <c r="AB166" i="5"/>
  <c r="AB243" i="5"/>
  <c r="AB298" i="5"/>
  <c r="D65" i="5"/>
  <c r="D120" i="5"/>
  <c r="D177" i="5"/>
  <c r="D219" i="5"/>
  <c r="D265" i="5"/>
  <c r="D309" i="5"/>
  <c r="W23" i="5"/>
  <c r="W67" i="5"/>
  <c r="W111" i="5"/>
  <c r="W155" i="5"/>
  <c r="W199" i="5"/>
  <c r="W243" i="5"/>
  <c r="W287" i="5"/>
  <c r="W331" i="5"/>
  <c r="AF43" i="5"/>
  <c r="AF87" i="5"/>
  <c r="AF131" i="5"/>
  <c r="AF175" i="5"/>
  <c r="AF219" i="5"/>
  <c r="AF263" i="5"/>
  <c r="AF307" i="5"/>
  <c r="K21" i="5"/>
  <c r="K65" i="5"/>
  <c r="K109" i="5"/>
  <c r="K153" i="5"/>
  <c r="K197" i="5"/>
  <c r="K241" i="5"/>
  <c r="K285" i="5"/>
  <c r="K329" i="5"/>
  <c r="S43" i="5"/>
  <c r="S87" i="5"/>
  <c r="S131" i="5"/>
  <c r="S175" i="5"/>
  <c r="S219" i="5"/>
  <c r="S263" i="5"/>
  <c r="S307" i="5"/>
  <c r="AA21" i="5"/>
  <c r="AA65" i="5"/>
  <c r="AA109" i="5"/>
  <c r="AA153" i="5"/>
  <c r="AA197" i="5"/>
  <c r="AA241" i="5"/>
  <c r="AA285" i="5"/>
  <c r="AA329" i="5"/>
  <c r="AI43" i="5"/>
  <c r="AI87" i="5"/>
  <c r="AI131" i="5"/>
  <c r="AI175" i="5"/>
  <c r="AI219" i="5"/>
  <c r="AI263" i="5"/>
  <c r="AI307" i="5"/>
  <c r="F23" i="5"/>
  <c r="F67" i="5"/>
  <c r="F111" i="5"/>
  <c r="F155" i="5"/>
  <c r="F199" i="5"/>
  <c r="F243" i="5"/>
  <c r="F287" i="5"/>
  <c r="F331" i="5"/>
  <c r="L45" i="5"/>
  <c r="L89" i="5"/>
  <c r="L131" i="5"/>
  <c r="L175" i="5"/>
  <c r="L221" i="5"/>
  <c r="L263" i="5"/>
  <c r="L309" i="5"/>
  <c r="AJ23" i="5"/>
  <c r="AJ65" i="5"/>
  <c r="AJ109" i="5"/>
  <c r="AJ155" i="5"/>
  <c r="AJ197" i="5"/>
  <c r="AJ243" i="5"/>
  <c r="I89" i="5"/>
  <c r="I265" i="5"/>
  <c r="Q111" i="5"/>
  <c r="Q287" i="5"/>
  <c r="Y133" i="5"/>
  <c r="Y309" i="5"/>
  <c r="AG155" i="5"/>
  <c r="AG331" i="5"/>
  <c r="T175" i="5"/>
  <c r="AD23" i="5"/>
  <c r="AD197" i="5"/>
  <c r="O43" i="5"/>
  <c r="O219" i="5"/>
  <c r="AM65" i="5"/>
  <c r="AM241" i="5"/>
  <c r="X89" i="5"/>
  <c r="X263" i="5"/>
  <c r="J111" i="5"/>
  <c r="J285" i="5"/>
  <c r="R65" i="5"/>
  <c r="R177" i="5"/>
  <c r="R307" i="5"/>
  <c r="Z87" i="5"/>
  <c r="Z199" i="5"/>
  <c r="Z287" i="5"/>
  <c r="AH45" i="5"/>
  <c r="AH133" i="5"/>
  <c r="AH221" i="5"/>
  <c r="AH296" i="5"/>
  <c r="AB32" i="5"/>
  <c r="AB111" i="5"/>
  <c r="AB177" i="5"/>
  <c r="AB241" i="5"/>
  <c r="AB307" i="5"/>
  <c r="D23" i="5"/>
  <c r="D76" i="5"/>
  <c r="D133" i="5"/>
  <c r="D175" i="5"/>
  <c r="D221" i="5"/>
  <c r="D263" i="5"/>
  <c r="D307" i="5"/>
  <c r="W21" i="5"/>
  <c r="W65" i="5"/>
  <c r="W109" i="5"/>
  <c r="W153" i="5"/>
  <c r="W197" i="5"/>
  <c r="W241" i="5"/>
  <c r="W285" i="5"/>
  <c r="W329" i="5"/>
  <c r="AF45" i="5"/>
  <c r="AF89" i="5"/>
  <c r="AF133" i="5"/>
  <c r="AF177" i="5"/>
  <c r="AF221" i="5"/>
  <c r="AF265" i="5"/>
  <c r="AF309" i="5"/>
  <c r="K23" i="5"/>
  <c r="K67" i="5"/>
  <c r="K111" i="5"/>
  <c r="K155" i="5"/>
  <c r="K199" i="5"/>
  <c r="K243" i="5"/>
  <c r="K287" i="5"/>
  <c r="K331" i="5"/>
  <c r="S45" i="5"/>
  <c r="S89" i="5"/>
  <c r="S133" i="5"/>
  <c r="S177" i="5"/>
  <c r="S221" i="5"/>
  <c r="S265" i="5"/>
  <c r="S309" i="5"/>
  <c r="AA23" i="5"/>
  <c r="AA67" i="5"/>
  <c r="AA111" i="5"/>
  <c r="AA155" i="5"/>
  <c r="AA199" i="5"/>
  <c r="AA243" i="5"/>
  <c r="AA287" i="5"/>
  <c r="AA331" i="5"/>
  <c r="AI45" i="5"/>
  <c r="AI89" i="5"/>
  <c r="AI133" i="5"/>
  <c r="AI177" i="5"/>
  <c r="AI221" i="5"/>
  <c r="AI265" i="5"/>
  <c r="AI309" i="5"/>
  <c r="F21" i="5"/>
  <c r="F65" i="5"/>
  <c r="F109" i="5"/>
  <c r="F153" i="5"/>
  <c r="F197" i="5"/>
  <c r="F241" i="5"/>
  <c r="F285" i="5"/>
  <c r="F329" i="5"/>
  <c r="L43" i="5"/>
  <c r="L87" i="5"/>
  <c r="L133" i="5"/>
  <c r="L177" i="5"/>
  <c r="L219" i="5"/>
  <c r="L265" i="5"/>
  <c r="L307" i="5"/>
  <c r="AJ21" i="5"/>
  <c r="AJ67" i="5"/>
  <c r="AJ111" i="5"/>
  <c r="AJ153" i="5"/>
  <c r="AJ199" i="5"/>
  <c r="AJ241" i="5"/>
  <c r="AJ285" i="5"/>
  <c r="AJ329" i="5"/>
  <c r="N43" i="5"/>
  <c r="N87" i="5"/>
  <c r="N131" i="5"/>
  <c r="N175" i="5"/>
  <c r="N219" i="5"/>
  <c r="N263" i="5"/>
  <c r="N307" i="5"/>
  <c r="AL21" i="5"/>
  <c r="I131" i="5"/>
  <c r="I307" i="5"/>
  <c r="Q153" i="5"/>
  <c r="Q329" i="5"/>
  <c r="Y175" i="5"/>
  <c r="AG21" i="5"/>
  <c r="AG197" i="5"/>
  <c r="T45" i="5"/>
  <c r="T221" i="5"/>
  <c r="AD67" i="5"/>
  <c r="AD243" i="5"/>
  <c r="O89" i="5"/>
  <c r="O265" i="5"/>
  <c r="AM111" i="5"/>
  <c r="AM287" i="5"/>
  <c r="X133" i="5"/>
  <c r="X307" i="5"/>
  <c r="J153" i="5"/>
  <c r="J287" i="5"/>
  <c r="R87" i="5"/>
  <c r="R197" i="5"/>
  <c r="R309" i="5"/>
  <c r="Z109" i="5"/>
  <c r="Z219" i="5"/>
  <c r="Z307" i="5"/>
  <c r="AH65" i="5"/>
  <c r="AH153" i="5"/>
  <c r="AH230" i="5"/>
  <c r="AH307" i="5"/>
  <c r="AB45" i="5"/>
  <c r="AB109" i="5"/>
  <c r="AB188" i="5"/>
  <c r="AB254" i="5"/>
  <c r="AB309" i="5"/>
  <c r="D34" i="5"/>
  <c r="D89" i="5"/>
  <c r="D131" i="5"/>
  <c r="D188" i="5"/>
  <c r="D232" i="5"/>
  <c r="D276" i="5"/>
  <c r="D320" i="5"/>
  <c r="W34" i="5"/>
  <c r="W78" i="5"/>
  <c r="W122" i="5"/>
  <c r="W166" i="5"/>
  <c r="W210" i="5"/>
  <c r="W254" i="5"/>
  <c r="W298" i="5"/>
  <c r="W342" i="5"/>
  <c r="AF54" i="5"/>
  <c r="AF98" i="5"/>
  <c r="AF142" i="5"/>
  <c r="AF186" i="5"/>
  <c r="AF230" i="5"/>
  <c r="AF274" i="5"/>
  <c r="AF320" i="5"/>
  <c r="K32" i="5"/>
  <c r="K76" i="5"/>
  <c r="K120" i="5"/>
  <c r="K164" i="5"/>
  <c r="K208" i="5"/>
  <c r="K252" i="5"/>
  <c r="K296" i="5"/>
  <c r="K340" i="5"/>
  <c r="S54" i="5"/>
  <c r="S98" i="5"/>
  <c r="S144" i="5"/>
  <c r="S186" i="5"/>
  <c r="S230" i="5"/>
  <c r="S274" i="5"/>
  <c r="S318" i="5"/>
  <c r="AA32" i="5"/>
  <c r="AA76" i="5"/>
  <c r="AA120" i="5"/>
  <c r="AA164" i="5"/>
  <c r="AA208" i="5"/>
  <c r="AA252" i="5"/>
  <c r="AA296" i="5"/>
  <c r="AA340" i="5"/>
  <c r="AI54" i="5"/>
  <c r="AI98" i="5"/>
  <c r="AI144" i="5"/>
  <c r="AI186" i="5"/>
  <c r="AI230" i="5"/>
  <c r="AI274" i="5"/>
  <c r="AI318" i="5"/>
  <c r="F34" i="5"/>
  <c r="F78" i="5"/>
  <c r="F122" i="5"/>
  <c r="F166" i="5"/>
  <c r="F210" i="5"/>
  <c r="F254" i="5"/>
  <c r="F298" i="5"/>
  <c r="F342" i="5"/>
  <c r="L56" i="5"/>
  <c r="O54" i="5"/>
  <c r="AM32" i="5"/>
  <c r="I133" i="5"/>
  <c r="I309" i="5"/>
  <c r="Q155" i="5"/>
  <c r="Q331" i="5"/>
  <c r="Y177" i="5"/>
  <c r="AG23" i="5"/>
  <c r="AG199" i="5"/>
  <c r="T43" i="5"/>
  <c r="T219" i="5"/>
  <c r="AD65" i="5"/>
  <c r="AD241" i="5"/>
  <c r="O87" i="5"/>
  <c r="O263" i="5"/>
  <c r="AM109" i="5"/>
  <c r="AM285" i="5"/>
  <c r="X131" i="5"/>
  <c r="X309" i="5"/>
  <c r="J155" i="5"/>
  <c r="J307" i="5"/>
  <c r="R89" i="5"/>
  <c r="R219" i="5"/>
  <c r="R329" i="5"/>
  <c r="Z111" i="5"/>
  <c r="Z230" i="5"/>
  <c r="Z318" i="5"/>
  <c r="AH76" i="5"/>
  <c r="AH164" i="5"/>
  <c r="AH241" i="5"/>
  <c r="AH309" i="5"/>
  <c r="AB56" i="5"/>
  <c r="AB122" i="5"/>
  <c r="AB199" i="5"/>
  <c r="AB265" i="5"/>
  <c r="AB320" i="5"/>
  <c r="D43" i="5"/>
  <c r="D87" i="5"/>
  <c r="D142" i="5"/>
  <c r="D186" i="5"/>
  <c r="D230" i="5"/>
  <c r="D274" i="5"/>
  <c r="D318" i="5"/>
  <c r="W32" i="5"/>
  <c r="W76" i="5"/>
  <c r="W120" i="5"/>
  <c r="W164" i="5"/>
  <c r="W208" i="5"/>
  <c r="W252" i="5"/>
  <c r="W296" i="5"/>
  <c r="W340" i="5"/>
  <c r="AF56" i="5"/>
  <c r="AF100" i="5"/>
  <c r="AF144" i="5"/>
  <c r="AF188" i="5"/>
  <c r="AF232" i="5"/>
  <c r="AF276" i="5"/>
  <c r="AF318" i="5"/>
  <c r="K34" i="5"/>
  <c r="K78" i="5"/>
  <c r="K122" i="5"/>
  <c r="K166" i="5"/>
  <c r="K210" i="5"/>
  <c r="K254" i="5"/>
  <c r="K298" i="5"/>
  <c r="K342" i="5"/>
  <c r="S56" i="5"/>
  <c r="S100" i="5"/>
  <c r="S142" i="5"/>
  <c r="S188" i="5"/>
  <c r="S232" i="5"/>
  <c r="S276" i="5"/>
  <c r="S320" i="5"/>
  <c r="AA34" i="5"/>
  <c r="AA78" i="5"/>
  <c r="AA122" i="5"/>
  <c r="AA166" i="5"/>
  <c r="AA210" i="5"/>
  <c r="AA254" i="5"/>
  <c r="AA298" i="5"/>
  <c r="AA342" i="5"/>
  <c r="AI56" i="5"/>
  <c r="AI100" i="5"/>
  <c r="AI142" i="5"/>
  <c r="AI188" i="5"/>
  <c r="AI232" i="5"/>
  <c r="AI276" i="5"/>
  <c r="AI320" i="5"/>
  <c r="F32" i="5"/>
  <c r="F76" i="5"/>
  <c r="F120" i="5"/>
  <c r="F164" i="5"/>
  <c r="I175" i="5"/>
  <c r="Q23" i="5"/>
  <c r="Q197" i="5"/>
  <c r="Y43" i="5"/>
  <c r="Y221" i="5"/>
  <c r="AG65" i="5"/>
  <c r="AG243" i="5"/>
  <c r="T89" i="5"/>
  <c r="T263" i="5"/>
  <c r="AD111" i="5"/>
  <c r="AD287" i="5"/>
  <c r="O133" i="5"/>
  <c r="O309" i="5"/>
  <c r="AM155" i="5"/>
  <c r="AM331" i="5"/>
  <c r="X175" i="5"/>
  <c r="J21" i="5"/>
  <c r="J197" i="5"/>
  <c r="J329" i="5"/>
  <c r="R109" i="5"/>
  <c r="R221" i="5"/>
  <c r="Z21" i="5"/>
  <c r="Z131" i="5"/>
  <c r="Z241" i="5"/>
  <c r="Z329" i="5"/>
  <c r="AH87" i="5"/>
  <c r="AH175" i="5"/>
  <c r="AH252" i="5"/>
  <c r="AH318" i="5"/>
  <c r="AB67" i="5"/>
  <c r="AB133" i="5"/>
  <c r="AB197" i="5"/>
  <c r="AB263" i="5"/>
  <c r="AB331" i="5"/>
  <c r="D45" i="5"/>
  <c r="D100" i="5"/>
  <c r="D144" i="5"/>
  <c r="D197" i="5"/>
  <c r="D243" i="5"/>
  <c r="D287" i="5"/>
  <c r="D331" i="5"/>
  <c r="W45" i="5"/>
  <c r="W89" i="5"/>
  <c r="W133" i="5"/>
  <c r="W177" i="5"/>
  <c r="W221" i="5"/>
  <c r="W265" i="5"/>
  <c r="W309" i="5"/>
  <c r="AF23" i="5"/>
  <c r="AF67" i="5"/>
  <c r="AF111" i="5"/>
  <c r="AF153" i="5"/>
  <c r="AF199" i="5"/>
  <c r="AF241" i="5"/>
  <c r="AF287" i="5"/>
  <c r="AF329" i="5"/>
  <c r="K43" i="5"/>
  <c r="K87" i="5"/>
  <c r="K131" i="5"/>
  <c r="K175" i="5"/>
  <c r="K219" i="5"/>
  <c r="K263" i="5"/>
  <c r="K307" i="5"/>
  <c r="S21" i="5"/>
  <c r="S65" i="5"/>
  <c r="S109" i="5"/>
  <c r="S153" i="5"/>
  <c r="S197" i="5"/>
  <c r="S241" i="5"/>
  <c r="S285" i="5"/>
  <c r="S329" i="5"/>
  <c r="AA43" i="5"/>
  <c r="AA87" i="5"/>
  <c r="AA131" i="5"/>
  <c r="AA175" i="5"/>
  <c r="AA219" i="5"/>
  <c r="AA263" i="5"/>
  <c r="AA307" i="5"/>
  <c r="AI21" i="5"/>
  <c r="AI65" i="5"/>
  <c r="AI109" i="5"/>
  <c r="AI153" i="5"/>
  <c r="AI197" i="5"/>
  <c r="AI241" i="5"/>
  <c r="AI285" i="5"/>
  <c r="AI329" i="5"/>
  <c r="F45" i="5"/>
  <c r="F89" i="5"/>
  <c r="F133" i="5"/>
  <c r="F177" i="5"/>
  <c r="F221" i="5"/>
  <c r="F265" i="5"/>
  <c r="F309" i="5"/>
  <c r="L23" i="5"/>
  <c r="L65" i="5"/>
  <c r="L111" i="5"/>
  <c r="L153" i="5"/>
  <c r="L199" i="5"/>
  <c r="L241" i="5"/>
  <c r="L287" i="5"/>
  <c r="L331" i="5"/>
  <c r="AJ43" i="5"/>
  <c r="AJ89" i="5"/>
  <c r="AJ133" i="5"/>
  <c r="AJ177" i="5"/>
  <c r="AJ219" i="5"/>
  <c r="AJ263" i="5"/>
  <c r="AJ309" i="5"/>
  <c r="N21" i="5"/>
  <c r="N67" i="5"/>
  <c r="N111" i="5"/>
  <c r="N155" i="5"/>
  <c r="N199" i="5"/>
  <c r="N243" i="5"/>
  <c r="N287" i="5"/>
  <c r="N331" i="5"/>
  <c r="AL45" i="5"/>
  <c r="AA276" i="5"/>
  <c r="AI298" i="5"/>
  <c r="F252" i="5"/>
  <c r="L100" i="5"/>
  <c r="L208" i="5"/>
  <c r="L318" i="5"/>
  <c r="AJ122" i="5"/>
  <c r="AJ232" i="5"/>
  <c r="AJ318" i="5"/>
  <c r="N54" i="5"/>
  <c r="N133" i="5"/>
  <c r="N210" i="5"/>
  <c r="N276" i="5"/>
  <c r="N340" i="5"/>
  <c r="AL78" i="5"/>
  <c r="AL120" i="5"/>
  <c r="AL177" i="5"/>
  <c r="AL232" i="5"/>
  <c r="AL274" i="5"/>
  <c r="AL331" i="5"/>
  <c r="G43" i="5"/>
  <c r="G100" i="5"/>
  <c r="G144" i="5"/>
  <c r="G186" i="5"/>
  <c r="G230" i="5"/>
  <c r="G274" i="5"/>
  <c r="G318" i="5"/>
  <c r="AE32" i="5"/>
  <c r="AE76" i="5"/>
  <c r="AE120" i="5"/>
  <c r="AE164" i="5"/>
  <c r="AE208" i="5"/>
  <c r="AE252" i="5"/>
  <c r="AE296" i="5"/>
  <c r="AE340" i="5"/>
  <c r="P54" i="5"/>
  <c r="P100" i="5"/>
  <c r="P144" i="5"/>
  <c r="P188" i="5"/>
  <c r="P232" i="5"/>
  <c r="P274" i="5"/>
  <c r="P320" i="5"/>
  <c r="E32" i="5"/>
  <c r="E76" i="5"/>
  <c r="E120" i="5"/>
  <c r="E164" i="5"/>
  <c r="E208" i="5"/>
  <c r="E254" i="5"/>
  <c r="E296" i="5"/>
  <c r="E340" i="5"/>
  <c r="M56" i="5"/>
  <c r="M98" i="5"/>
  <c r="M142" i="5"/>
  <c r="M186" i="5"/>
  <c r="M230" i="5"/>
  <c r="M274" i="5"/>
  <c r="M318" i="5"/>
  <c r="U32" i="5"/>
  <c r="U76" i="5"/>
  <c r="U120" i="5"/>
  <c r="U164" i="5"/>
  <c r="U208" i="5"/>
  <c r="U252" i="5"/>
  <c r="U296" i="5"/>
  <c r="U340" i="5"/>
  <c r="AC54" i="5"/>
  <c r="AC100" i="5"/>
  <c r="AC142" i="5"/>
  <c r="AC188" i="5"/>
  <c r="AC230" i="5"/>
  <c r="AC276" i="5"/>
  <c r="AC318" i="5"/>
  <c r="AK32" i="5"/>
  <c r="AK76" i="5"/>
  <c r="AK120" i="5"/>
  <c r="AK164" i="5"/>
  <c r="AK210" i="5"/>
  <c r="AK254" i="5"/>
  <c r="AK296" i="5"/>
  <c r="AK340" i="5"/>
  <c r="V54" i="5"/>
  <c r="V98" i="5"/>
  <c r="V142" i="5"/>
  <c r="V186" i="5"/>
  <c r="V230" i="5"/>
  <c r="V274" i="5"/>
  <c r="V318" i="5"/>
  <c r="H34" i="5"/>
  <c r="H78" i="5"/>
  <c r="H122" i="5"/>
  <c r="H166" i="5"/>
  <c r="H208" i="5"/>
  <c r="H254" i="5"/>
  <c r="H298" i="5"/>
  <c r="H340" i="5"/>
  <c r="AN54" i="5"/>
  <c r="AN100" i="5"/>
  <c r="AN142" i="5"/>
  <c r="AN188" i="5"/>
  <c r="AN232" i="5"/>
  <c r="AN276" i="5"/>
  <c r="AN320" i="5"/>
  <c r="AN153" i="5"/>
  <c r="AN285" i="5"/>
  <c r="P155" i="5"/>
  <c r="E43" i="5"/>
  <c r="E221" i="5"/>
  <c r="M21" i="5"/>
  <c r="M287" i="5"/>
  <c r="M331" i="5"/>
  <c r="U175" i="5"/>
  <c r="AC21" i="5"/>
  <c r="AC197" i="5"/>
  <c r="AK43" i="5"/>
  <c r="AK307" i="5"/>
  <c r="V329" i="5"/>
  <c r="AN21" i="5"/>
  <c r="S298" i="5"/>
  <c r="AA320" i="5"/>
  <c r="AI342" i="5"/>
  <c r="F274" i="5"/>
  <c r="L98" i="5"/>
  <c r="L230" i="5"/>
  <c r="L340" i="5"/>
  <c r="AJ120" i="5"/>
  <c r="AJ254" i="5"/>
  <c r="AJ331" i="5"/>
  <c r="N78" i="5"/>
  <c r="N144" i="5"/>
  <c r="N208" i="5"/>
  <c r="N274" i="5"/>
  <c r="AL23" i="5"/>
  <c r="AL76" i="5"/>
  <c r="AL133" i="5"/>
  <c r="AL188" i="5"/>
  <c r="AL230" i="5"/>
  <c r="AL287" i="5"/>
  <c r="AL329" i="5"/>
  <c r="G56" i="5"/>
  <c r="G98" i="5"/>
  <c r="G155" i="5"/>
  <c r="G199" i="5"/>
  <c r="G243" i="5"/>
  <c r="G287" i="5"/>
  <c r="G331" i="5"/>
  <c r="AE45" i="5"/>
  <c r="AE89" i="5"/>
  <c r="AE133" i="5"/>
  <c r="AE177" i="5"/>
  <c r="AE221" i="5"/>
  <c r="AE265" i="5"/>
  <c r="AE309" i="5"/>
  <c r="P23" i="5"/>
  <c r="P67" i="5"/>
  <c r="P109" i="5"/>
  <c r="P153" i="5"/>
  <c r="P197" i="5"/>
  <c r="P243" i="5"/>
  <c r="P285" i="5"/>
  <c r="P329" i="5"/>
  <c r="E45" i="5"/>
  <c r="E89" i="5"/>
  <c r="E133" i="5"/>
  <c r="E177" i="5"/>
  <c r="E219" i="5"/>
  <c r="E263" i="5"/>
  <c r="E309" i="5"/>
  <c r="M23" i="5"/>
  <c r="M65" i="5"/>
  <c r="M109" i="5"/>
  <c r="M155" i="5"/>
  <c r="M199" i="5"/>
  <c r="M243" i="5"/>
  <c r="M285" i="5"/>
  <c r="M329" i="5"/>
  <c r="U45" i="5"/>
  <c r="U89" i="5"/>
  <c r="U133" i="5"/>
  <c r="U177" i="5"/>
  <c r="U221" i="5"/>
  <c r="U265" i="5"/>
  <c r="U309" i="5"/>
  <c r="AC23" i="5"/>
  <c r="AC67" i="5"/>
  <c r="AC111" i="5"/>
  <c r="AC155" i="5"/>
  <c r="AC199" i="5"/>
  <c r="AC243" i="5"/>
  <c r="AC287" i="5"/>
  <c r="AC331" i="5"/>
  <c r="AK45" i="5"/>
  <c r="AK89" i="5"/>
  <c r="AK133" i="5"/>
  <c r="AK175" i="5"/>
  <c r="AK221" i="5"/>
  <c r="AK265" i="5"/>
  <c r="AK309" i="5"/>
  <c r="V23" i="5"/>
  <c r="V67" i="5"/>
  <c r="V111" i="5"/>
  <c r="V155" i="5"/>
  <c r="V199" i="5"/>
  <c r="V243" i="5"/>
  <c r="V287" i="5"/>
  <c r="V331" i="5"/>
  <c r="H43" i="5"/>
  <c r="H87" i="5"/>
  <c r="H131" i="5"/>
  <c r="H175" i="5"/>
  <c r="H219" i="5"/>
  <c r="H265" i="5"/>
  <c r="H307" i="5"/>
  <c r="AN23" i="5"/>
  <c r="AN65" i="5"/>
  <c r="AN197" i="5"/>
  <c r="AN329" i="5"/>
  <c r="P287" i="5"/>
  <c r="E175" i="5"/>
  <c r="M111" i="5"/>
  <c r="M241" i="5"/>
  <c r="U87" i="5"/>
  <c r="U263" i="5"/>
  <c r="AC153" i="5"/>
  <c r="AC329" i="5"/>
  <c r="AK263" i="5"/>
  <c r="V285" i="5"/>
  <c r="H309" i="5"/>
  <c r="AN287" i="5"/>
  <c r="S342" i="5"/>
  <c r="AI34" i="5"/>
  <c r="F56" i="5"/>
  <c r="F296" i="5"/>
  <c r="L120" i="5"/>
  <c r="L232" i="5"/>
  <c r="AJ32" i="5"/>
  <c r="AJ142" i="5"/>
  <c r="AJ252" i="5"/>
  <c r="AJ340" i="5"/>
  <c r="N76" i="5"/>
  <c r="N142" i="5"/>
  <c r="N221" i="5"/>
  <c r="N298" i="5"/>
  <c r="AL34" i="5"/>
  <c r="AL89" i="5"/>
  <c r="AL144" i="5"/>
  <c r="AL186" i="5"/>
  <c r="AL243" i="5"/>
  <c r="AL285" i="5"/>
  <c r="AL342" i="5"/>
  <c r="G54" i="5"/>
  <c r="G111" i="5"/>
  <c r="G153" i="5"/>
  <c r="G197" i="5"/>
  <c r="G241" i="5"/>
  <c r="G285" i="5"/>
  <c r="G329" i="5"/>
  <c r="AE43" i="5"/>
  <c r="AE87" i="5"/>
  <c r="AE131" i="5"/>
  <c r="AE175" i="5"/>
  <c r="AE219" i="5"/>
  <c r="AE263" i="5"/>
  <c r="AE307" i="5"/>
  <c r="P21" i="5"/>
  <c r="P65" i="5"/>
  <c r="P199" i="5"/>
  <c r="P241" i="5"/>
  <c r="E87" i="5"/>
  <c r="E265" i="5"/>
  <c r="M67" i="5"/>
  <c r="M153" i="5"/>
  <c r="U43" i="5"/>
  <c r="U219" i="5"/>
  <c r="AC65" i="5"/>
  <c r="AC241" i="5"/>
  <c r="AK219" i="5"/>
  <c r="V241" i="5"/>
  <c r="H263" i="5"/>
  <c r="AN331" i="5"/>
  <c r="AA56" i="5"/>
  <c r="AI78" i="5"/>
  <c r="F98" i="5"/>
  <c r="F318" i="5"/>
  <c r="L144" i="5"/>
  <c r="L252" i="5"/>
  <c r="AJ34" i="5"/>
  <c r="AJ164" i="5"/>
  <c r="AJ274" i="5"/>
  <c r="AJ342" i="5"/>
  <c r="N89" i="5"/>
  <c r="N166" i="5"/>
  <c r="N232" i="5"/>
  <c r="N296" i="5"/>
  <c r="AL32" i="5"/>
  <c r="AL100" i="5"/>
  <c r="AL142" i="5"/>
  <c r="AL199" i="5"/>
  <c r="AL241" i="5"/>
  <c r="AL298" i="5"/>
  <c r="AL340" i="5"/>
  <c r="G67" i="5"/>
  <c r="G122" i="5"/>
  <c r="G166" i="5"/>
  <c r="G210" i="5"/>
  <c r="G254" i="5"/>
  <c r="G298" i="5"/>
  <c r="G342" i="5"/>
  <c r="AE56" i="5"/>
  <c r="AE100" i="5"/>
  <c r="AE142" i="5"/>
  <c r="AE188" i="5"/>
  <c r="AE232" i="5"/>
  <c r="AE276" i="5"/>
  <c r="AE320" i="5"/>
  <c r="P34" i="5"/>
  <c r="P76" i="5"/>
  <c r="P122" i="5"/>
  <c r="P164" i="5"/>
  <c r="P208" i="5"/>
  <c r="P254" i="5"/>
  <c r="P298" i="5"/>
  <c r="P340" i="5"/>
  <c r="E54" i="5"/>
  <c r="E100" i="5"/>
  <c r="E144" i="5"/>
  <c r="E186" i="5"/>
  <c r="E232" i="5"/>
  <c r="E276" i="5"/>
  <c r="E320" i="5"/>
  <c r="M34" i="5"/>
  <c r="M76" i="5"/>
  <c r="M122" i="5"/>
  <c r="M166" i="5"/>
  <c r="M210" i="5"/>
  <c r="M254" i="5"/>
  <c r="M298" i="5"/>
  <c r="M342" i="5"/>
  <c r="U54" i="5"/>
  <c r="U100" i="5"/>
  <c r="U144" i="5"/>
  <c r="U188" i="5"/>
  <c r="U230" i="5"/>
  <c r="U276" i="5"/>
  <c r="U320" i="5"/>
  <c r="AC34" i="5"/>
  <c r="AC78" i="5"/>
  <c r="AC122" i="5"/>
  <c r="AC166" i="5"/>
  <c r="AC210" i="5"/>
  <c r="AC254" i="5"/>
  <c r="AC298" i="5"/>
  <c r="AC342" i="5"/>
  <c r="AK54" i="5"/>
  <c r="AK100" i="5"/>
  <c r="AK144" i="5"/>
  <c r="AK188" i="5"/>
  <c r="AK232" i="5"/>
  <c r="AK276" i="5"/>
  <c r="AK320" i="5"/>
  <c r="V34" i="5"/>
  <c r="V78" i="5"/>
  <c r="V122" i="5"/>
  <c r="V166" i="5"/>
  <c r="V210" i="5"/>
  <c r="V254" i="5"/>
  <c r="V298" i="5"/>
  <c r="V342" i="5"/>
  <c r="H54" i="5"/>
  <c r="H98" i="5"/>
  <c r="H144" i="5"/>
  <c r="H186" i="5"/>
  <c r="H232" i="5"/>
  <c r="H274" i="5"/>
  <c r="H318" i="5"/>
  <c r="AN32" i="5"/>
  <c r="AN76" i="5"/>
  <c r="AN120" i="5"/>
  <c r="AN164" i="5"/>
  <c r="AN208" i="5"/>
  <c r="AN252" i="5"/>
  <c r="AN296" i="5"/>
  <c r="AN340" i="5"/>
  <c r="H188" i="5"/>
  <c r="H276" i="5"/>
  <c r="AN34" i="5"/>
  <c r="AN122" i="5"/>
  <c r="AN210" i="5"/>
  <c r="AN298" i="5"/>
  <c r="V131" i="5"/>
  <c r="H21" i="5"/>
  <c r="H243" i="5"/>
  <c r="AN89" i="5"/>
  <c r="AN221" i="5"/>
  <c r="AK177" i="5"/>
  <c r="V109" i="5"/>
  <c r="H133" i="5"/>
  <c r="AN243" i="5"/>
  <c r="AA100" i="5"/>
  <c r="AI122" i="5"/>
  <c r="F142" i="5"/>
  <c r="F340" i="5"/>
  <c r="L142" i="5"/>
  <c r="L274" i="5"/>
  <c r="AJ54" i="5"/>
  <c r="AJ166" i="5"/>
  <c r="AJ287" i="5"/>
  <c r="N34" i="5"/>
  <c r="N100" i="5"/>
  <c r="N164" i="5"/>
  <c r="N230" i="5"/>
  <c r="N309" i="5"/>
  <c r="AL54" i="5"/>
  <c r="AL98" i="5"/>
  <c r="AL155" i="5"/>
  <c r="AL197" i="5"/>
  <c r="AL254" i="5"/>
  <c r="AL296" i="5"/>
  <c r="G23" i="5"/>
  <c r="G78" i="5"/>
  <c r="G120" i="5"/>
  <c r="G164" i="5"/>
  <c r="G208" i="5"/>
  <c r="G252" i="5"/>
  <c r="G296" i="5"/>
  <c r="G340" i="5"/>
  <c r="AE54" i="5"/>
  <c r="AE98" i="5"/>
  <c r="AE144" i="5"/>
  <c r="AE186" i="5"/>
  <c r="AE230" i="5"/>
  <c r="AE274" i="5"/>
  <c r="AE318" i="5"/>
  <c r="P32" i="5"/>
  <c r="P78" i="5"/>
  <c r="P120" i="5"/>
  <c r="P166" i="5"/>
  <c r="P210" i="5"/>
  <c r="P252" i="5"/>
  <c r="P296" i="5"/>
  <c r="P342" i="5"/>
  <c r="E56" i="5"/>
  <c r="E98" i="5"/>
  <c r="E142" i="5"/>
  <c r="E188" i="5"/>
  <c r="E230" i="5"/>
  <c r="E274" i="5"/>
  <c r="E318" i="5"/>
  <c r="M32" i="5"/>
  <c r="M78" i="5"/>
  <c r="M120" i="5"/>
  <c r="M164" i="5"/>
  <c r="M208" i="5"/>
  <c r="M252" i="5"/>
  <c r="M296" i="5"/>
  <c r="M340" i="5"/>
  <c r="U56" i="5"/>
  <c r="U98" i="5"/>
  <c r="U142" i="5"/>
  <c r="U186" i="5"/>
  <c r="U232" i="5"/>
  <c r="U274" i="5"/>
  <c r="U318" i="5"/>
  <c r="AC32" i="5"/>
  <c r="AC76" i="5"/>
  <c r="AC120" i="5"/>
  <c r="AC164" i="5"/>
  <c r="AC208" i="5"/>
  <c r="AC252" i="5"/>
  <c r="AC296" i="5"/>
  <c r="AC340" i="5"/>
  <c r="AK56" i="5"/>
  <c r="AK98" i="5"/>
  <c r="AK142" i="5"/>
  <c r="AK186" i="5"/>
  <c r="AK230" i="5"/>
  <c r="AK274" i="5"/>
  <c r="AK318" i="5"/>
  <c r="V32" i="5"/>
  <c r="V76" i="5"/>
  <c r="V120" i="5"/>
  <c r="V164" i="5"/>
  <c r="V208" i="5"/>
  <c r="V252" i="5"/>
  <c r="V296" i="5"/>
  <c r="V340" i="5"/>
  <c r="H56" i="5"/>
  <c r="H100" i="5"/>
  <c r="H142" i="5"/>
  <c r="H230" i="5"/>
  <c r="H320" i="5"/>
  <c r="AN78" i="5"/>
  <c r="AN166" i="5"/>
  <c r="AN254" i="5"/>
  <c r="AN342" i="5"/>
  <c r="V219" i="5"/>
  <c r="H65" i="5"/>
  <c r="H287" i="5"/>
  <c r="AN133" i="5"/>
  <c r="AN307" i="5"/>
  <c r="V65" i="5"/>
  <c r="H45" i="5"/>
  <c r="AN111" i="5"/>
  <c r="AA142" i="5"/>
  <c r="AI166" i="5"/>
  <c r="F186" i="5"/>
  <c r="L34" i="5"/>
  <c r="L164" i="5"/>
  <c r="L276" i="5"/>
  <c r="AJ78" i="5"/>
  <c r="AJ186" i="5"/>
  <c r="AJ298" i="5"/>
  <c r="N32" i="5"/>
  <c r="N98" i="5"/>
  <c r="N177" i="5"/>
  <c r="N254" i="5"/>
  <c r="N320" i="5"/>
  <c r="AL56" i="5"/>
  <c r="AL111" i="5"/>
  <c r="AL153" i="5"/>
  <c r="AL210" i="5"/>
  <c r="AL252" i="5"/>
  <c r="AL309" i="5"/>
  <c r="G34" i="5"/>
  <c r="G76" i="5"/>
  <c r="G133" i="5"/>
  <c r="G177" i="5"/>
  <c r="G221" i="5"/>
  <c r="G265" i="5"/>
  <c r="G309" i="5"/>
  <c r="AE23" i="5"/>
  <c r="AE67" i="5"/>
  <c r="AE111" i="5"/>
  <c r="AE155" i="5"/>
  <c r="AE199" i="5"/>
  <c r="AE243" i="5"/>
  <c r="AE287" i="5"/>
  <c r="AE331" i="5"/>
  <c r="P43" i="5"/>
  <c r="P87" i="5"/>
  <c r="P131" i="5"/>
  <c r="P175" i="5"/>
  <c r="P219" i="5"/>
  <c r="P263" i="5"/>
  <c r="P307" i="5"/>
  <c r="E23" i="5"/>
  <c r="E67" i="5"/>
  <c r="E111" i="5"/>
  <c r="E155" i="5"/>
  <c r="E199" i="5"/>
  <c r="E241" i="5"/>
  <c r="E287" i="5"/>
  <c r="E331" i="5"/>
  <c r="M45" i="5"/>
  <c r="M89" i="5"/>
  <c r="M131" i="5"/>
  <c r="M177" i="5"/>
  <c r="M221" i="5"/>
  <c r="M265" i="5"/>
  <c r="M309" i="5"/>
  <c r="U23" i="5"/>
  <c r="U65" i="5"/>
  <c r="U111" i="5"/>
  <c r="U155" i="5"/>
  <c r="U197" i="5"/>
  <c r="U243" i="5"/>
  <c r="U287" i="5"/>
  <c r="U331" i="5"/>
  <c r="AC45" i="5"/>
  <c r="AC89" i="5"/>
  <c r="AC133" i="5"/>
  <c r="AC177" i="5"/>
  <c r="AC221" i="5"/>
  <c r="AC265" i="5"/>
  <c r="AC307" i="5"/>
  <c r="AK23" i="5"/>
  <c r="AK65" i="5"/>
  <c r="AK111" i="5"/>
  <c r="AK155" i="5"/>
  <c r="AK199" i="5"/>
  <c r="AK243" i="5"/>
  <c r="AK287" i="5"/>
  <c r="AK331" i="5"/>
  <c r="V45" i="5"/>
  <c r="V89" i="5"/>
  <c r="V133" i="5"/>
  <c r="V177" i="5"/>
  <c r="V221" i="5"/>
  <c r="V265" i="5"/>
  <c r="V309" i="5"/>
  <c r="H23" i="5"/>
  <c r="H67" i="5"/>
  <c r="H109" i="5"/>
  <c r="H153" i="5"/>
  <c r="H197" i="5"/>
  <c r="H241" i="5"/>
  <c r="H285" i="5"/>
  <c r="H329" i="5"/>
  <c r="AN43" i="5"/>
  <c r="AN87" i="5"/>
  <c r="AN131" i="5"/>
  <c r="AN175" i="5"/>
  <c r="AN219" i="5"/>
  <c r="AN265" i="5"/>
  <c r="AN309" i="5"/>
  <c r="AC219" i="5"/>
  <c r="AK21" i="5"/>
  <c r="AK109" i="5"/>
  <c r="AK197" i="5"/>
  <c r="AK285" i="5"/>
  <c r="V43" i="5"/>
  <c r="V175" i="5"/>
  <c r="V307" i="5"/>
  <c r="H155" i="5"/>
  <c r="H331" i="5"/>
  <c r="AN177" i="5"/>
  <c r="AK87" i="5"/>
  <c r="V197" i="5"/>
  <c r="H221" i="5"/>
  <c r="AN199" i="5"/>
  <c r="AA188" i="5"/>
  <c r="AI210" i="5"/>
  <c r="F208" i="5"/>
  <c r="L54" i="5"/>
  <c r="L188" i="5"/>
  <c r="L296" i="5"/>
  <c r="AJ76" i="5"/>
  <c r="AJ210" i="5"/>
  <c r="AJ296" i="5"/>
  <c r="N45" i="5"/>
  <c r="N122" i="5"/>
  <c r="N188" i="5"/>
  <c r="N252" i="5"/>
  <c r="N318" i="5"/>
  <c r="AL67" i="5"/>
  <c r="AL109" i="5"/>
  <c r="AL166" i="5"/>
  <c r="AL208" i="5"/>
  <c r="AL265" i="5"/>
  <c r="AL320" i="5"/>
  <c r="G32" i="5"/>
  <c r="G89" i="5"/>
  <c r="G131" i="5"/>
  <c r="G175" i="5"/>
  <c r="G219" i="5"/>
  <c r="G263" i="5"/>
  <c r="G307" i="5"/>
  <c r="AE21" i="5"/>
  <c r="AE65" i="5"/>
  <c r="AE109" i="5"/>
  <c r="AE153" i="5"/>
  <c r="AE197" i="5"/>
  <c r="AE241" i="5"/>
  <c r="AE285" i="5"/>
  <c r="AE329" i="5"/>
  <c r="P45" i="5"/>
  <c r="P89" i="5"/>
  <c r="P133" i="5"/>
  <c r="P177" i="5"/>
  <c r="P221" i="5"/>
  <c r="P265" i="5"/>
  <c r="P309" i="5"/>
  <c r="E21" i="5"/>
  <c r="E65" i="5"/>
  <c r="E109" i="5"/>
  <c r="E153" i="5"/>
  <c r="E197" i="5"/>
  <c r="E243" i="5"/>
  <c r="E285" i="5"/>
  <c r="E329" i="5"/>
  <c r="M43" i="5"/>
  <c r="M87" i="5"/>
  <c r="M133" i="5"/>
  <c r="M175" i="5"/>
  <c r="M219" i="5"/>
  <c r="M263" i="5"/>
  <c r="M307" i="5"/>
  <c r="U21" i="5"/>
  <c r="U67" i="5"/>
  <c r="U109" i="5"/>
  <c r="U153" i="5"/>
  <c r="U199" i="5"/>
  <c r="U241" i="5"/>
  <c r="U285" i="5"/>
  <c r="U329" i="5"/>
  <c r="AC43" i="5"/>
  <c r="AC87" i="5"/>
  <c r="AC131" i="5"/>
  <c r="AC175" i="5"/>
  <c r="AC263" i="5"/>
  <c r="AC309" i="5"/>
  <c r="AK67" i="5"/>
  <c r="AK153" i="5"/>
  <c r="AK241" i="5"/>
  <c r="AK329" i="5"/>
  <c r="V87" i="5"/>
  <c r="V263" i="5"/>
  <c r="H111" i="5"/>
  <c r="H199" i="5"/>
  <c r="AN45" i="5"/>
  <c r="AN263" i="5"/>
  <c r="V21" i="5"/>
  <c r="H89" i="5"/>
  <c r="AN67" i="5"/>
  <c r="AA232" i="5"/>
  <c r="AI254" i="5"/>
  <c r="F230" i="5"/>
  <c r="L76" i="5"/>
  <c r="L186" i="5"/>
  <c r="L320" i="5"/>
  <c r="AJ98" i="5"/>
  <c r="AJ208" i="5"/>
  <c r="AJ320" i="5"/>
  <c r="N56" i="5"/>
  <c r="N120" i="5"/>
  <c r="N186" i="5"/>
  <c r="N265" i="5"/>
  <c r="N342" i="5"/>
  <c r="AL65" i="5"/>
  <c r="AL122" i="5"/>
  <c r="AL164" i="5"/>
  <c r="AL221" i="5"/>
  <c r="AL276" i="5"/>
  <c r="AL318" i="5"/>
  <c r="G45" i="5"/>
  <c r="G87" i="5"/>
  <c r="G142" i="5"/>
  <c r="G188" i="5"/>
  <c r="G232" i="5"/>
  <c r="G276" i="5"/>
  <c r="G320" i="5"/>
  <c r="AE34" i="5"/>
  <c r="AE78" i="5"/>
  <c r="AE122" i="5"/>
  <c r="AE166" i="5"/>
  <c r="AE210" i="5"/>
  <c r="AE254" i="5"/>
  <c r="AE298" i="5"/>
  <c r="AE342" i="5"/>
  <c r="P56" i="5"/>
  <c r="P98" i="5"/>
  <c r="P142" i="5"/>
  <c r="P186" i="5"/>
  <c r="P230" i="5"/>
  <c r="P276" i="5"/>
  <c r="P318" i="5"/>
  <c r="E34" i="5"/>
  <c r="E78" i="5"/>
  <c r="E122" i="5"/>
  <c r="E166" i="5"/>
  <c r="E210" i="5"/>
  <c r="E252" i="5"/>
  <c r="E298" i="5"/>
  <c r="E342" i="5"/>
  <c r="M54" i="5"/>
  <c r="M100" i="5"/>
  <c r="M144" i="5"/>
  <c r="M188" i="5"/>
  <c r="M232" i="5"/>
  <c r="M276" i="5"/>
  <c r="M320" i="5"/>
  <c r="U34" i="5"/>
  <c r="U78" i="5"/>
  <c r="U122" i="5"/>
  <c r="U166" i="5"/>
  <c r="U210" i="5"/>
  <c r="U254" i="5"/>
  <c r="U298" i="5"/>
  <c r="U342" i="5"/>
  <c r="AC56" i="5"/>
  <c r="AC98" i="5"/>
  <c r="AC144" i="5"/>
  <c r="AC186" i="5"/>
  <c r="AC232" i="5"/>
  <c r="AC274" i="5"/>
  <c r="AC320" i="5"/>
  <c r="AK34" i="5"/>
  <c r="AK78" i="5"/>
  <c r="AK122" i="5"/>
  <c r="AK166" i="5"/>
  <c r="AK208" i="5"/>
  <c r="AK252" i="5"/>
  <c r="AK298" i="5"/>
  <c r="AK342" i="5"/>
  <c r="V56" i="5"/>
  <c r="V100" i="5"/>
  <c r="V144" i="5"/>
  <c r="V188" i="5"/>
  <c r="V232" i="5"/>
  <c r="V276" i="5"/>
  <c r="V320" i="5"/>
  <c r="H32" i="5"/>
  <c r="H76" i="5"/>
  <c r="H120" i="5"/>
  <c r="H164" i="5"/>
  <c r="H210" i="5"/>
  <c r="H252" i="5"/>
  <c r="H296" i="5"/>
  <c r="H342" i="5"/>
  <c r="AN56" i="5"/>
  <c r="AN98" i="5"/>
  <c r="AN144" i="5"/>
  <c r="AN186" i="5"/>
  <c r="AN230" i="5"/>
  <c r="AN274" i="5"/>
  <c r="AN318" i="5"/>
  <c r="AN109" i="5"/>
  <c r="AN241" i="5"/>
  <c r="P111" i="5"/>
  <c r="P331" i="5"/>
  <c r="E131" i="5"/>
  <c r="E307" i="5"/>
  <c r="M197" i="5"/>
  <c r="U131" i="5"/>
  <c r="U307" i="5"/>
  <c r="AC109" i="5"/>
  <c r="AC285" i="5"/>
  <c r="AK131" i="5"/>
  <c r="V153" i="5"/>
  <c r="H177" i="5"/>
  <c r="AN155" i="5"/>
  <c r="AO322" i="5"/>
  <c r="AO25" i="5"/>
  <c r="AO91" i="5"/>
  <c r="AO267" i="5"/>
  <c r="I134" i="5"/>
  <c r="I156" i="5"/>
  <c r="I332" i="5"/>
  <c r="Q26" i="5"/>
  <c r="Q46" i="5"/>
  <c r="Q68" i="5"/>
  <c r="Q112" i="5"/>
  <c r="Q156" i="5"/>
  <c r="Q200" i="5"/>
  <c r="Q222" i="5"/>
  <c r="Q244" i="5"/>
  <c r="Q288" i="5"/>
  <c r="Q310" i="5"/>
  <c r="Y46" i="5"/>
  <c r="Y90" i="5"/>
  <c r="Y156" i="5"/>
  <c r="Y178" i="5"/>
  <c r="AG68" i="5"/>
  <c r="AG112" i="5"/>
  <c r="AG134" i="5"/>
  <c r="AG156" i="5"/>
  <c r="AG266" i="5"/>
  <c r="AG288" i="5"/>
  <c r="AG332" i="5"/>
  <c r="T48" i="5"/>
  <c r="T92" i="5"/>
  <c r="T114" i="5"/>
  <c r="T180" i="5"/>
  <c r="T202" i="5"/>
  <c r="T224" i="5"/>
  <c r="T246" i="5"/>
  <c r="T312" i="5"/>
  <c r="AD134" i="5"/>
  <c r="AD200" i="5"/>
  <c r="AD222" i="5"/>
  <c r="AD288" i="5"/>
  <c r="AD310" i="5"/>
  <c r="O68" i="5"/>
  <c r="O178" i="5"/>
  <c r="O202" i="5"/>
  <c r="O224" i="5"/>
  <c r="O244" i="5"/>
  <c r="O266" i="5"/>
  <c r="O310" i="5"/>
  <c r="AM26" i="5"/>
  <c r="AM68" i="5"/>
  <c r="AM178" i="5"/>
  <c r="AM200" i="5"/>
  <c r="AM222" i="5"/>
  <c r="AM266" i="5"/>
  <c r="AM310" i="5"/>
  <c r="X26" i="5"/>
  <c r="X46" i="5"/>
  <c r="X92" i="5"/>
  <c r="X112" i="5"/>
  <c r="X156" i="5"/>
  <c r="X180" i="5"/>
  <c r="X222" i="5"/>
  <c r="X288" i="5"/>
  <c r="X310" i="5"/>
  <c r="X334" i="5"/>
  <c r="J48" i="5"/>
  <c r="J114" i="5"/>
  <c r="J136" i="5"/>
  <c r="J158" i="5"/>
  <c r="J202" i="5"/>
  <c r="J246" i="5"/>
  <c r="J266" i="5"/>
  <c r="J290" i="5"/>
  <c r="J312" i="5"/>
  <c r="J332" i="5"/>
  <c r="R70" i="5"/>
  <c r="R200" i="5"/>
  <c r="R224" i="5"/>
  <c r="R266" i="5"/>
  <c r="R310" i="5"/>
  <c r="R334" i="5"/>
  <c r="Z24" i="5"/>
  <c r="Z136" i="5"/>
  <c r="Z158" i="5"/>
  <c r="Z180" i="5"/>
  <c r="Z268" i="5"/>
  <c r="AH26" i="5"/>
  <c r="AH48" i="5"/>
  <c r="AH114" i="5"/>
  <c r="AH136" i="5"/>
  <c r="AH202" i="5"/>
  <c r="AH222" i="5"/>
  <c r="AH246" i="5"/>
  <c r="AH290" i="5"/>
  <c r="AH312" i="5"/>
  <c r="AB24" i="5"/>
  <c r="AB46" i="5"/>
  <c r="AB90" i="5"/>
  <c r="AB112" i="5"/>
  <c r="AB136" i="5"/>
  <c r="AB158" i="5"/>
  <c r="AB200" i="5"/>
  <c r="AB222" i="5"/>
  <c r="AB290" i="5"/>
  <c r="D57" i="5"/>
  <c r="D145" i="5"/>
  <c r="D189" i="5"/>
  <c r="D233" i="5"/>
  <c r="D299" i="5"/>
  <c r="D321" i="5"/>
  <c r="W147" i="5"/>
  <c r="AF37" i="5"/>
  <c r="AF59" i="5"/>
  <c r="AF125" i="5"/>
  <c r="AF147" i="5"/>
  <c r="AF169" i="5"/>
  <c r="AF191" i="5"/>
  <c r="AF235" i="5"/>
  <c r="AF257" i="5"/>
  <c r="AF279" i="5"/>
  <c r="AF301" i="5"/>
  <c r="K145" i="5"/>
  <c r="S145" i="5"/>
  <c r="AA145" i="5"/>
  <c r="AI145" i="5"/>
  <c r="F79" i="5"/>
  <c r="F125" i="5"/>
  <c r="AO212" i="5"/>
  <c r="AO124" i="5"/>
  <c r="AO300" i="5"/>
  <c r="AO256" i="5"/>
  <c r="I68" i="5"/>
  <c r="Y68" i="5"/>
  <c r="AG24" i="5"/>
  <c r="T24" i="5"/>
  <c r="T70" i="5"/>
  <c r="T90" i="5"/>
  <c r="T134" i="5"/>
  <c r="T156" i="5"/>
  <c r="T178" i="5"/>
  <c r="T244" i="5"/>
  <c r="T288" i="5"/>
  <c r="T310" i="5"/>
  <c r="T332" i="5"/>
  <c r="AD68" i="5"/>
  <c r="AD90" i="5"/>
  <c r="AD136" i="5"/>
  <c r="AD158" i="5"/>
  <c r="AD180" i="5"/>
  <c r="AD202" i="5"/>
  <c r="AD224" i="5"/>
  <c r="AD246" i="5"/>
  <c r="AD268" i="5"/>
  <c r="O24" i="5"/>
  <c r="O48" i="5"/>
  <c r="O92" i="5"/>
  <c r="O114" i="5"/>
  <c r="O136" i="5"/>
  <c r="O158" i="5"/>
  <c r="O180" i="5"/>
  <c r="O200" i="5"/>
  <c r="O222" i="5"/>
  <c r="O246" i="5"/>
  <c r="O268" i="5"/>
  <c r="O290" i="5"/>
  <c r="O312" i="5"/>
  <c r="O334" i="5"/>
  <c r="AM24" i="5"/>
  <c r="AM48" i="5"/>
  <c r="AM92" i="5"/>
  <c r="AM114" i="5"/>
  <c r="AM136" i="5"/>
  <c r="AM158" i="5"/>
  <c r="AM180" i="5"/>
  <c r="AM202" i="5"/>
  <c r="AM224" i="5"/>
  <c r="AM246" i="5"/>
  <c r="AM268" i="5"/>
  <c r="AM290" i="5"/>
  <c r="AM312" i="5"/>
  <c r="AM334" i="5"/>
  <c r="X48" i="5"/>
  <c r="X114" i="5"/>
  <c r="X136" i="5"/>
  <c r="X158" i="5"/>
  <c r="X202" i="5"/>
  <c r="X246" i="5"/>
  <c r="X268" i="5"/>
  <c r="X290" i="5"/>
  <c r="J24" i="5"/>
  <c r="J46" i="5"/>
  <c r="J68" i="5"/>
  <c r="J112" i="5"/>
  <c r="J134" i="5"/>
  <c r="J156" i="5"/>
  <c r="J178" i="5"/>
  <c r="J224" i="5"/>
  <c r="J244" i="5"/>
  <c r="J268" i="5"/>
  <c r="J288" i="5"/>
  <c r="R24" i="5"/>
  <c r="R48" i="5"/>
  <c r="R68" i="5"/>
  <c r="R114" i="5"/>
  <c r="R134" i="5"/>
  <c r="R180" i="5"/>
  <c r="R222" i="5"/>
  <c r="R246" i="5"/>
  <c r="R290" i="5"/>
  <c r="Z68" i="5"/>
  <c r="Z92" i="5"/>
  <c r="Z112" i="5"/>
  <c r="Z134" i="5"/>
  <c r="Z156" i="5"/>
  <c r="Z178" i="5"/>
  <c r="Z244" i="5"/>
  <c r="Z266" i="5"/>
  <c r="Z288" i="5"/>
  <c r="Z332" i="5"/>
  <c r="AH70" i="5"/>
  <c r="AH134" i="5"/>
  <c r="AH200" i="5"/>
  <c r="AH266" i="5"/>
  <c r="AH288" i="5"/>
  <c r="AH310" i="5"/>
  <c r="AH334" i="5"/>
  <c r="AB288" i="5"/>
  <c r="AB310" i="5"/>
  <c r="AB332" i="5"/>
  <c r="D48" i="5"/>
  <c r="D114" i="5"/>
  <c r="D158" i="5"/>
  <c r="D180" i="5"/>
  <c r="D202" i="5"/>
  <c r="D224" i="5"/>
  <c r="D246" i="5"/>
  <c r="D312" i="5"/>
  <c r="D334" i="5"/>
  <c r="W46" i="5"/>
  <c r="W70" i="5"/>
  <c r="W90" i="5"/>
  <c r="W134" i="5"/>
  <c r="W156" i="5"/>
  <c r="W244" i="5"/>
  <c r="AF46" i="5"/>
  <c r="AF112" i="5"/>
  <c r="AF134" i="5"/>
  <c r="AF156" i="5"/>
  <c r="AF200" i="5"/>
  <c r="AO190" i="5"/>
  <c r="AO69" i="5"/>
  <c r="AO289" i="5"/>
  <c r="AO333" i="5"/>
  <c r="I24" i="5"/>
  <c r="I48" i="5"/>
  <c r="I70" i="5"/>
  <c r="I92" i="5"/>
  <c r="I114" i="5"/>
  <c r="I136" i="5"/>
  <c r="I158" i="5"/>
  <c r="I180" i="5"/>
  <c r="I202" i="5"/>
  <c r="I224" i="5"/>
  <c r="I246" i="5"/>
  <c r="I268" i="5"/>
  <c r="I290" i="5"/>
  <c r="I312" i="5"/>
  <c r="I334" i="5"/>
  <c r="Q24" i="5"/>
  <c r="Q48" i="5"/>
  <c r="Q70" i="5"/>
  <c r="Q92" i="5"/>
  <c r="Q114" i="5"/>
  <c r="Q136" i="5"/>
  <c r="Q158" i="5"/>
  <c r="Q180" i="5"/>
  <c r="Q202" i="5"/>
  <c r="Q224" i="5"/>
  <c r="Q246" i="5"/>
  <c r="Q268" i="5"/>
  <c r="Q290" i="5"/>
  <c r="Q312" i="5"/>
  <c r="Q334" i="5"/>
  <c r="Y24" i="5"/>
  <c r="Y48" i="5"/>
  <c r="Y70" i="5"/>
  <c r="Y92" i="5"/>
  <c r="Y114" i="5"/>
  <c r="Y136" i="5"/>
  <c r="Y158" i="5"/>
  <c r="Y180" i="5"/>
  <c r="Y202" i="5"/>
  <c r="Y224" i="5"/>
  <c r="Y246" i="5"/>
  <c r="Y268" i="5"/>
  <c r="Y290" i="5"/>
  <c r="Y312" i="5"/>
  <c r="Y334" i="5"/>
  <c r="AG48" i="5"/>
  <c r="AG70" i="5"/>
  <c r="AG92" i="5"/>
  <c r="AG114" i="5"/>
  <c r="AG136" i="5"/>
  <c r="AG158" i="5"/>
  <c r="AG180" i="5"/>
  <c r="AG202" i="5"/>
  <c r="AG224" i="5"/>
  <c r="AG246" i="5"/>
  <c r="AG268" i="5"/>
  <c r="AG290" i="5"/>
  <c r="AG312" i="5"/>
  <c r="AG334" i="5"/>
  <c r="T26" i="5"/>
  <c r="T46" i="5"/>
  <c r="T68" i="5"/>
  <c r="T112" i="5"/>
  <c r="T200" i="5"/>
  <c r="T222" i="5"/>
  <c r="T266" i="5"/>
  <c r="AD24" i="5"/>
  <c r="AD48" i="5"/>
  <c r="AD92" i="5"/>
  <c r="AD114" i="5"/>
  <c r="AD290" i="5"/>
  <c r="AD312" i="5"/>
  <c r="AD334" i="5"/>
  <c r="O26" i="5"/>
  <c r="X24" i="5"/>
  <c r="X70" i="5"/>
  <c r="X224" i="5"/>
  <c r="X312" i="5"/>
  <c r="J90" i="5"/>
  <c r="J200" i="5"/>
  <c r="J222" i="5"/>
  <c r="J310" i="5"/>
  <c r="J334" i="5"/>
  <c r="R26" i="5"/>
  <c r="R46" i="5"/>
  <c r="R90" i="5"/>
  <c r="R112" i="5"/>
  <c r="R156" i="5"/>
  <c r="R178" i="5"/>
  <c r="R202" i="5"/>
  <c r="R244" i="5"/>
  <c r="R268" i="5"/>
  <c r="R288" i="5"/>
  <c r="R312" i="5"/>
  <c r="R332" i="5"/>
  <c r="Z26" i="5"/>
  <c r="Z46" i="5"/>
  <c r="Z90" i="5"/>
  <c r="Z200" i="5"/>
  <c r="Z222" i="5"/>
  <c r="Z310" i="5"/>
  <c r="AH24" i="5"/>
  <c r="AH46" i="5"/>
  <c r="AH90" i="5"/>
  <c r="AH112" i="5"/>
  <c r="AH156" i="5"/>
  <c r="AH178" i="5"/>
  <c r="AH224" i="5"/>
  <c r="AH244" i="5"/>
  <c r="AH332" i="5"/>
  <c r="AB26" i="5"/>
  <c r="AB68" i="5"/>
  <c r="AB134" i="5"/>
  <c r="AB156" i="5"/>
  <c r="AB178" i="5"/>
  <c r="AB244" i="5"/>
  <c r="AB266" i="5"/>
  <c r="D24" i="5"/>
  <c r="D70" i="5"/>
  <c r="D92" i="5"/>
  <c r="D136" i="5"/>
  <c r="D268" i="5"/>
  <c r="D290" i="5"/>
  <c r="AO168" i="5"/>
  <c r="AO311" i="5"/>
  <c r="AO179" i="5"/>
  <c r="AO234" i="5"/>
  <c r="I79" i="5"/>
  <c r="I147" i="5"/>
  <c r="I167" i="5"/>
  <c r="I189" i="5"/>
  <c r="I211" i="5"/>
  <c r="I255" i="5"/>
  <c r="I277" i="5"/>
  <c r="I299" i="5"/>
  <c r="I321" i="5"/>
  <c r="I343" i="5"/>
  <c r="Q57" i="5"/>
  <c r="Q79" i="5"/>
  <c r="Q101" i="5"/>
  <c r="Q147" i="5"/>
  <c r="Q211" i="5"/>
  <c r="Q299" i="5"/>
  <c r="Y35" i="5"/>
  <c r="Y147" i="5"/>
  <c r="Y167" i="5"/>
  <c r="Y255" i="5"/>
  <c r="Y277" i="5"/>
  <c r="Y321" i="5"/>
  <c r="Y343" i="5"/>
  <c r="AG79" i="5"/>
  <c r="AG101" i="5"/>
  <c r="AG147" i="5"/>
  <c r="AG211" i="5"/>
  <c r="AG255" i="5"/>
  <c r="AG277" i="5"/>
  <c r="AG299" i="5"/>
  <c r="AG321" i="5"/>
  <c r="AG343" i="5"/>
  <c r="T37" i="5"/>
  <c r="T81" i="5"/>
  <c r="T103" i="5"/>
  <c r="T147" i="5"/>
  <c r="T213" i="5"/>
  <c r="T257" i="5"/>
  <c r="T301" i="5"/>
  <c r="T323" i="5"/>
  <c r="AD35" i="5"/>
  <c r="AD57" i="5"/>
  <c r="AD123" i="5"/>
  <c r="AD145" i="5"/>
  <c r="AD167" i="5"/>
  <c r="AD189" i="5"/>
  <c r="AD211" i="5"/>
  <c r="AD235" i="5"/>
  <c r="AD277" i="5"/>
  <c r="AD299" i="5"/>
  <c r="AD321" i="5"/>
  <c r="O35" i="5"/>
  <c r="O57" i="5"/>
  <c r="O79" i="5"/>
  <c r="O101" i="5"/>
  <c r="O123" i="5"/>
  <c r="O189" i="5"/>
  <c r="O211" i="5"/>
  <c r="O233" i="5"/>
  <c r="O299" i="5"/>
  <c r="O321" i="5"/>
  <c r="O343" i="5"/>
  <c r="AM35" i="5"/>
  <c r="AM57" i="5"/>
  <c r="AM101" i="5"/>
  <c r="AM123" i="5"/>
  <c r="AM211" i="5"/>
  <c r="AM233" i="5"/>
  <c r="AM299" i="5"/>
  <c r="AM321" i="5"/>
  <c r="AM343" i="5"/>
  <c r="X35" i="5"/>
  <c r="X79" i="5"/>
  <c r="X101" i="5"/>
  <c r="X167" i="5"/>
  <c r="X189" i="5"/>
  <c r="X211" i="5"/>
  <c r="X277" i="5"/>
  <c r="X299" i="5"/>
  <c r="X321" i="5"/>
  <c r="J37" i="5"/>
  <c r="J81" i="5"/>
  <c r="J125" i="5"/>
  <c r="J145" i="5"/>
  <c r="J191" i="5"/>
  <c r="J213" i="5"/>
  <c r="J233" i="5"/>
  <c r="J301" i="5"/>
  <c r="J323" i="5"/>
  <c r="R59" i="5"/>
  <c r="R103" i="5"/>
  <c r="R125" i="5"/>
  <c r="R147" i="5"/>
  <c r="R191" i="5"/>
  <c r="R235" i="5"/>
  <c r="Z57" i="5"/>
  <c r="Z125" i="5"/>
  <c r="Z145" i="5"/>
  <c r="Z169" i="5"/>
  <c r="Z233" i="5"/>
  <c r="Z257" i="5"/>
  <c r="Z279" i="5"/>
  <c r="Z345" i="5"/>
  <c r="AH81" i="5"/>
  <c r="AH125" i="5"/>
  <c r="AH147" i="5"/>
  <c r="AH191" i="5"/>
  <c r="AH213" i="5"/>
  <c r="AH233" i="5"/>
  <c r="AH301" i="5"/>
  <c r="AH323" i="5"/>
  <c r="AB37" i="5"/>
  <c r="AB59" i="5"/>
  <c r="AB169" i="5"/>
  <c r="AB213" i="5"/>
  <c r="AB235" i="5"/>
  <c r="AO102" i="5"/>
  <c r="AO245" i="5"/>
  <c r="AO135" i="5"/>
  <c r="AO146" i="5"/>
  <c r="I35" i="5"/>
  <c r="I101" i="5"/>
  <c r="I123" i="5"/>
  <c r="I145" i="5"/>
  <c r="Q35" i="5"/>
  <c r="Q123" i="5"/>
  <c r="Q167" i="5"/>
  <c r="Q189" i="5"/>
  <c r="Q255" i="5"/>
  <c r="Q277" i="5"/>
  <c r="Q321" i="5"/>
  <c r="Q343" i="5"/>
  <c r="Y57" i="5"/>
  <c r="Y79" i="5"/>
  <c r="Y101" i="5"/>
  <c r="Y123" i="5"/>
  <c r="Y145" i="5"/>
  <c r="Y189" i="5"/>
  <c r="Y211" i="5"/>
  <c r="Y233" i="5"/>
  <c r="Y299" i="5"/>
  <c r="AG35" i="5"/>
  <c r="AG123" i="5"/>
  <c r="AG145" i="5"/>
  <c r="AG167" i="5"/>
  <c r="AG189" i="5"/>
  <c r="AG233" i="5"/>
  <c r="T57" i="5"/>
  <c r="T79" i="5"/>
  <c r="T101" i="5"/>
  <c r="T125" i="5"/>
  <c r="T169" i="5"/>
  <c r="T191" i="5"/>
  <c r="T211" i="5"/>
  <c r="T255" i="5"/>
  <c r="T279" i="5"/>
  <c r="T345" i="5"/>
  <c r="AD59" i="5"/>
  <c r="AD101" i="5"/>
  <c r="AD233" i="5"/>
  <c r="AD257" i="5"/>
  <c r="AD343" i="5"/>
  <c r="O59" i="5"/>
  <c r="O169" i="5"/>
  <c r="O255" i="5"/>
  <c r="O277" i="5"/>
  <c r="AM59" i="5"/>
  <c r="AM79" i="5"/>
  <c r="AM167" i="5"/>
  <c r="AM189" i="5"/>
  <c r="AM255" i="5"/>
  <c r="AM277" i="5"/>
  <c r="X123" i="5"/>
  <c r="X169" i="5"/>
  <c r="X255" i="5"/>
  <c r="X343" i="5"/>
  <c r="J147" i="5"/>
  <c r="J169" i="5"/>
  <c r="J235" i="5"/>
  <c r="J257" i="5"/>
  <c r="R37" i="5"/>
  <c r="R81" i="5"/>
  <c r="R211" i="5"/>
  <c r="R279" i="5"/>
  <c r="R321" i="5"/>
  <c r="R345" i="5"/>
  <c r="Z35" i="5"/>
  <c r="Z59" i="5"/>
  <c r="Z103" i="5"/>
  <c r="Z147" i="5"/>
  <c r="Z191" i="5"/>
  <c r="Z213" i="5"/>
  <c r="Z235" i="5"/>
  <c r="Z301" i="5"/>
  <c r="Z321" i="5"/>
  <c r="AH35" i="5"/>
  <c r="AH101" i="5"/>
  <c r="AH169" i="5"/>
  <c r="AH235" i="5"/>
  <c r="AH257" i="5"/>
  <c r="AH277" i="5"/>
  <c r="AH343" i="5"/>
  <c r="AB81" i="5"/>
  <c r="AB103" i="5"/>
  <c r="AB125" i="5"/>
  <c r="AB167" i="5"/>
  <c r="AB191" i="5"/>
  <c r="AB257" i="5"/>
  <c r="AB323" i="5"/>
  <c r="AB343" i="5"/>
  <c r="D26" i="5"/>
  <c r="D68" i="5"/>
  <c r="D134" i="5"/>
  <c r="D156" i="5"/>
  <c r="D266" i="5"/>
  <c r="D332" i="5"/>
  <c r="AF24" i="5"/>
  <c r="AF70" i="5"/>
  <c r="AF158" i="5"/>
  <c r="AF180" i="5"/>
  <c r="AF246" i="5"/>
  <c r="AF268" i="5"/>
  <c r="AF334" i="5"/>
  <c r="F24" i="5"/>
  <c r="F48" i="5"/>
  <c r="F92" i="5"/>
  <c r="F114" i="5"/>
  <c r="F134" i="5"/>
  <c r="F158" i="5"/>
  <c r="F180" i="5"/>
  <c r="AO80" i="5"/>
  <c r="AO223" i="5"/>
  <c r="AO113" i="5"/>
  <c r="AO36" i="5"/>
  <c r="I57" i="5"/>
  <c r="I233" i="5"/>
  <c r="Q145" i="5"/>
  <c r="Q233" i="5"/>
  <c r="AG57" i="5"/>
  <c r="T123" i="5"/>
  <c r="T235" i="5"/>
  <c r="T277" i="5"/>
  <c r="T299" i="5"/>
  <c r="T321" i="5"/>
  <c r="AD37" i="5"/>
  <c r="AD79" i="5"/>
  <c r="AD103" i="5"/>
  <c r="AD147" i="5"/>
  <c r="AD191" i="5"/>
  <c r="AD213" i="5"/>
  <c r="AD301" i="5"/>
  <c r="AD323" i="5"/>
  <c r="O37" i="5"/>
  <c r="O81" i="5"/>
  <c r="O103" i="5"/>
  <c r="O125" i="5"/>
  <c r="O145" i="5"/>
  <c r="O167" i="5"/>
  <c r="O191" i="5"/>
  <c r="O213" i="5"/>
  <c r="O235" i="5"/>
  <c r="O257" i="5"/>
  <c r="O279" i="5"/>
  <c r="O301" i="5"/>
  <c r="O323" i="5"/>
  <c r="O345" i="5"/>
  <c r="AM37" i="5"/>
  <c r="AM81" i="5"/>
  <c r="AM103" i="5"/>
  <c r="AM125" i="5"/>
  <c r="AM145" i="5"/>
  <c r="AM169" i="5"/>
  <c r="AM191" i="5"/>
  <c r="AM213" i="5"/>
  <c r="AM235" i="5"/>
  <c r="AM257" i="5"/>
  <c r="AM279" i="5"/>
  <c r="AM301" i="5"/>
  <c r="AM323" i="5"/>
  <c r="AM345" i="5"/>
  <c r="X59" i="5"/>
  <c r="X81" i="5"/>
  <c r="X103" i="5"/>
  <c r="X125" i="5"/>
  <c r="X145" i="5"/>
  <c r="X233" i="5"/>
  <c r="X257" i="5"/>
  <c r="X279" i="5"/>
  <c r="X301" i="5"/>
  <c r="J35" i="5"/>
  <c r="J59" i="5"/>
  <c r="J103" i="5"/>
  <c r="J123" i="5"/>
  <c r="J167" i="5"/>
  <c r="J189" i="5"/>
  <c r="J255" i="5"/>
  <c r="J279" i="5"/>
  <c r="J299" i="5"/>
  <c r="J321" i="5"/>
  <c r="J345" i="5"/>
  <c r="R35" i="5"/>
  <c r="R57" i="5"/>
  <c r="R79" i="5"/>
  <c r="R101" i="5"/>
  <c r="R145" i="5"/>
  <c r="R169" i="5"/>
  <c r="R189" i="5"/>
  <c r="R233" i="5"/>
  <c r="R257" i="5"/>
  <c r="R277" i="5"/>
  <c r="R301" i="5"/>
  <c r="R323" i="5"/>
  <c r="R343" i="5"/>
  <c r="Z37" i="5"/>
  <c r="Z81" i="5"/>
  <c r="Z123" i="5"/>
  <c r="Z167" i="5"/>
  <c r="Z189" i="5"/>
  <c r="Z255" i="5"/>
  <c r="Z299" i="5"/>
  <c r="AH59" i="5"/>
  <c r="AH79" i="5"/>
  <c r="AH145" i="5"/>
  <c r="AH189" i="5"/>
  <c r="AH211" i="5"/>
  <c r="AH321" i="5"/>
  <c r="AB35" i="5"/>
  <c r="AB123" i="5"/>
  <c r="AB147" i="5"/>
  <c r="AB299" i="5"/>
  <c r="D37" i="5"/>
  <c r="D59" i="5"/>
  <c r="D147" i="5"/>
  <c r="D169" i="5"/>
  <c r="D213" i="5"/>
  <c r="D257" i="5"/>
  <c r="D279" i="5"/>
  <c r="D301" i="5"/>
  <c r="D345" i="5"/>
  <c r="W35" i="5"/>
  <c r="W101" i="5"/>
  <c r="W123" i="5"/>
  <c r="W233" i="5"/>
  <c r="W277" i="5"/>
  <c r="AF35" i="5"/>
  <c r="AF211" i="5"/>
  <c r="AF255" i="5"/>
  <c r="AF321" i="5"/>
  <c r="AF343" i="5"/>
  <c r="AO58" i="5"/>
  <c r="AO201" i="5"/>
  <c r="AO47" i="5"/>
  <c r="I37" i="5"/>
  <c r="I59" i="5"/>
  <c r="I81" i="5"/>
  <c r="I103" i="5"/>
  <c r="I125" i="5"/>
  <c r="I169" i="5"/>
  <c r="I191" i="5"/>
  <c r="I213" i="5"/>
  <c r="I235" i="5"/>
  <c r="I257" i="5"/>
  <c r="I279" i="5"/>
  <c r="I301" i="5"/>
  <c r="I323" i="5"/>
  <c r="I345" i="5"/>
  <c r="Q37" i="5"/>
  <c r="Q59" i="5"/>
  <c r="Q81" i="5"/>
  <c r="Q103" i="5"/>
  <c r="Q125" i="5"/>
  <c r="Q169" i="5"/>
  <c r="Q191" i="5"/>
  <c r="Q213" i="5"/>
  <c r="Q235" i="5"/>
  <c r="Q257" i="5"/>
  <c r="Q279" i="5"/>
  <c r="Q301" i="5"/>
  <c r="Q323" i="5"/>
  <c r="Q345" i="5"/>
  <c r="Y37" i="5"/>
  <c r="Y59" i="5"/>
  <c r="Y81" i="5"/>
  <c r="Y103" i="5"/>
  <c r="Y125" i="5"/>
  <c r="Y169" i="5"/>
  <c r="Y191" i="5"/>
  <c r="Y213" i="5"/>
  <c r="Y235" i="5"/>
  <c r="Y257" i="5"/>
  <c r="Y279" i="5"/>
  <c r="Y301" i="5"/>
  <c r="Y323" i="5"/>
  <c r="Y345" i="5"/>
  <c r="AG37" i="5"/>
  <c r="AG59" i="5"/>
  <c r="AG81" i="5"/>
  <c r="AG103" i="5"/>
  <c r="AG125" i="5"/>
  <c r="AG169" i="5"/>
  <c r="AG191" i="5"/>
  <c r="AG213" i="5"/>
  <c r="AG235" i="5"/>
  <c r="AG257" i="5"/>
  <c r="AG279" i="5"/>
  <c r="AG301" i="5"/>
  <c r="AG323" i="5"/>
  <c r="AG345" i="5"/>
  <c r="T35" i="5"/>
  <c r="T59" i="5"/>
  <c r="T145" i="5"/>
  <c r="T167" i="5"/>
  <c r="T189" i="5"/>
  <c r="T233" i="5"/>
  <c r="T343" i="5"/>
  <c r="AD81" i="5"/>
  <c r="AD125" i="5"/>
  <c r="AD169" i="5"/>
  <c r="AD255" i="5"/>
  <c r="AD279" i="5"/>
  <c r="AD345" i="5"/>
  <c r="O147" i="5"/>
  <c r="AM147" i="5"/>
  <c r="X37" i="5"/>
  <c r="X57" i="5"/>
  <c r="X147" i="5"/>
  <c r="X191" i="5"/>
  <c r="X213" i="5"/>
  <c r="X235" i="5"/>
  <c r="X323" i="5"/>
  <c r="X345" i="5"/>
  <c r="J57" i="5"/>
  <c r="J79" i="5"/>
  <c r="J101" i="5"/>
  <c r="J211" i="5"/>
  <c r="J277" i="5"/>
  <c r="J343" i="5"/>
  <c r="R123" i="5"/>
  <c r="R167" i="5"/>
  <c r="R213" i="5"/>
  <c r="R255" i="5"/>
  <c r="R299" i="5"/>
  <c r="Z79" i="5"/>
  <c r="Z101" i="5"/>
  <c r="Z211" i="5"/>
  <c r="Z277" i="5"/>
  <c r="Z323" i="5"/>
  <c r="Z343" i="5"/>
  <c r="AH37" i="5"/>
  <c r="AH57" i="5"/>
  <c r="AH103" i="5"/>
  <c r="AH123" i="5"/>
  <c r="AH167" i="5"/>
  <c r="AH255" i="5"/>
  <c r="AH279" i="5"/>
  <c r="AH299" i="5"/>
  <c r="AH345" i="5"/>
  <c r="AB57" i="5"/>
  <c r="AB79" i="5"/>
  <c r="AB101" i="5"/>
  <c r="AB145" i="5"/>
  <c r="AB189" i="5"/>
  <c r="AB211" i="5"/>
  <c r="AB233" i="5"/>
  <c r="AB255" i="5"/>
  <c r="AB277" i="5"/>
  <c r="AB321" i="5"/>
  <c r="D81" i="5"/>
  <c r="D103" i="5"/>
  <c r="D125" i="5"/>
  <c r="D191" i="5"/>
  <c r="D235" i="5"/>
  <c r="D323" i="5"/>
  <c r="W59" i="5"/>
  <c r="W79" i="5"/>
  <c r="AO278" i="5"/>
  <c r="AO157" i="5"/>
  <c r="AO344" i="5"/>
  <c r="I26" i="5"/>
  <c r="I46" i="5"/>
  <c r="I90" i="5"/>
  <c r="I112" i="5"/>
  <c r="I178" i="5"/>
  <c r="I200" i="5"/>
  <c r="I222" i="5"/>
  <c r="I244" i="5"/>
  <c r="I266" i="5"/>
  <c r="I288" i="5"/>
  <c r="I310" i="5"/>
  <c r="Q90" i="5"/>
  <c r="Q134" i="5"/>
  <c r="Q178" i="5"/>
  <c r="Q266" i="5"/>
  <c r="Q332" i="5"/>
  <c r="Y26" i="5"/>
  <c r="Y112" i="5"/>
  <c r="Y134" i="5"/>
  <c r="Y200" i="5"/>
  <c r="Y222" i="5"/>
  <c r="Y244" i="5"/>
  <c r="Y266" i="5"/>
  <c r="Y288" i="5"/>
  <c r="Y310" i="5"/>
  <c r="Y332" i="5"/>
  <c r="AG26" i="5"/>
  <c r="AG46" i="5"/>
  <c r="AG90" i="5"/>
  <c r="AG178" i="5"/>
  <c r="AG200" i="5"/>
  <c r="AG222" i="5"/>
  <c r="AG244" i="5"/>
  <c r="AG310" i="5"/>
  <c r="T136" i="5"/>
  <c r="T158" i="5"/>
  <c r="T268" i="5"/>
  <c r="T290" i="5"/>
  <c r="T334" i="5"/>
  <c r="AD26" i="5"/>
  <c r="AD46" i="5"/>
  <c r="AD70" i="5"/>
  <c r="AD112" i="5"/>
  <c r="AD156" i="5"/>
  <c r="AD178" i="5"/>
  <c r="AD244" i="5"/>
  <c r="AD266" i="5"/>
  <c r="AD332" i="5"/>
  <c r="O46" i="5"/>
  <c r="O70" i="5"/>
  <c r="O90" i="5"/>
  <c r="O112" i="5"/>
  <c r="O134" i="5"/>
  <c r="O156" i="5"/>
  <c r="O288" i="5"/>
  <c r="O332" i="5"/>
  <c r="AM46" i="5"/>
  <c r="AM70" i="5"/>
  <c r="AM90" i="5"/>
  <c r="AM112" i="5"/>
  <c r="AM134" i="5"/>
  <c r="AM156" i="5"/>
  <c r="AM244" i="5"/>
  <c r="AM288" i="5"/>
  <c r="AM332" i="5"/>
  <c r="X68" i="5"/>
  <c r="X90" i="5"/>
  <c r="X134" i="5"/>
  <c r="X178" i="5"/>
  <c r="X200" i="5"/>
  <c r="X244" i="5"/>
  <c r="X266" i="5"/>
  <c r="X332" i="5"/>
  <c r="J26" i="5"/>
  <c r="J70" i="5"/>
  <c r="J92" i="5"/>
  <c r="J180" i="5"/>
  <c r="R92" i="5"/>
  <c r="R136" i="5"/>
  <c r="R158" i="5"/>
  <c r="Z48" i="5"/>
  <c r="Z70" i="5"/>
  <c r="Z114" i="5"/>
  <c r="Z202" i="5"/>
  <c r="Z224" i="5"/>
  <c r="Z246" i="5"/>
  <c r="Z290" i="5"/>
  <c r="Z312" i="5"/>
  <c r="Z334" i="5"/>
  <c r="AH68" i="5"/>
  <c r="AH92" i="5"/>
  <c r="AH158" i="5"/>
  <c r="AH180" i="5"/>
  <c r="AH268" i="5"/>
  <c r="AB48" i="5"/>
  <c r="AB70" i="5"/>
  <c r="AB92" i="5"/>
  <c r="AB114" i="5"/>
  <c r="AB180" i="5"/>
  <c r="AB202" i="5"/>
  <c r="AB224" i="5"/>
  <c r="AB246" i="5"/>
  <c r="AB268" i="5"/>
  <c r="AB312" i="5"/>
  <c r="AB334" i="5"/>
  <c r="D35" i="5"/>
  <c r="D79" i="5"/>
  <c r="D101" i="5"/>
  <c r="D123" i="5"/>
  <c r="D167" i="5"/>
  <c r="D211" i="5"/>
  <c r="D255" i="5"/>
  <c r="D277" i="5"/>
  <c r="D343" i="5"/>
  <c r="W37" i="5"/>
  <c r="W57" i="5"/>
  <c r="W81" i="5"/>
  <c r="W103" i="5"/>
  <c r="W257" i="5"/>
  <c r="W279" i="5"/>
  <c r="W301" i="5"/>
  <c r="W323" i="5"/>
  <c r="W345" i="5"/>
  <c r="AF123" i="5"/>
  <c r="AF299" i="5"/>
  <c r="K70" i="5"/>
  <c r="K114" i="5"/>
  <c r="K156" i="5"/>
  <c r="K178" i="5"/>
  <c r="K200" i="5"/>
  <c r="K222" i="5"/>
  <c r="K244" i="5"/>
  <c r="K266" i="5"/>
  <c r="K288" i="5"/>
  <c r="K310" i="5"/>
  <c r="K332" i="5"/>
  <c r="S26" i="5"/>
  <c r="S46" i="5"/>
  <c r="S68" i="5"/>
  <c r="S90" i="5"/>
  <c r="S112" i="5"/>
  <c r="S134" i="5"/>
  <c r="AA169" i="5"/>
  <c r="AA213" i="5"/>
  <c r="AA233" i="5"/>
  <c r="AA257" i="5"/>
  <c r="AA279" i="5"/>
  <c r="AA301" i="5"/>
  <c r="AA345" i="5"/>
  <c r="AI37" i="5"/>
  <c r="AI57" i="5"/>
  <c r="AI81" i="5"/>
  <c r="AI103" i="5"/>
  <c r="AI125" i="5"/>
  <c r="AI235" i="5"/>
  <c r="F37" i="5"/>
  <c r="F90" i="5"/>
  <c r="F147" i="5"/>
  <c r="F167" i="5"/>
  <c r="F191" i="5"/>
  <c r="F235" i="5"/>
  <c r="F321" i="5"/>
  <c r="F345" i="5"/>
  <c r="L57" i="5"/>
  <c r="L147" i="5"/>
  <c r="L167" i="5"/>
  <c r="L277" i="5"/>
  <c r="L299" i="5"/>
  <c r="L343" i="5"/>
  <c r="AJ57" i="5"/>
  <c r="AJ79" i="5"/>
  <c r="AJ101" i="5"/>
  <c r="AJ167" i="5"/>
  <c r="AJ211" i="5"/>
  <c r="AJ255" i="5"/>
  <c r="AJ277" i="5"/>
  <c r="AJ343" i="5"/>
  <c r="N37" i="5"/>
  <c r="N103" i="5"/>
  <c r="N125" i="5"/>
  <c r="N147" i="5"/>
  <c r="N191" i="5"/>
  <c r="AL35" i="5"/>
  <c r="AL57" i="5"/>
  <c r="AL81" i="5"/>
  <c r="AL125" i="5"/>
  <c r="AL145" i="5"/>
  <c r="AL169" i="5"/>
  <c r="AL191" i="5"/>
  <c r="AL211" i="5"/>
  <c r="AL299" i="5"/>
  <c r="AL321" i="5"/>
  <c r="AL345" i="5"/>
  <c r="G81" i="5"/>
  <c r="G103" i="5"/>
  <c r="G125" i="5"/>
  <c r="G145" i="5"/>
  <c r="G169" i="5"/>
  <c r="G191" i="5"/>
  <c r="G213" i="5"/>
  <c r="G235" i="5"/>
  <c r="G257" i="5"/>
  <c r="G279" i="5"/>
  <c r="G299" i="5"/>
  <c r="G323" i="5"/>
  <c r="G345" i="5"/>
  <c r="AE37" i="5"/>
  <c r="AE81" i="5"/>
  <c r="AE103" i="5"/>
  <c r="AE125" i="5"/>
  <c r="AE145" i="5"/>
  <c r="AE169" i="5"/>
  <c r="AE191" i="5"/>
  <c r="AE213" i="5"/>
  <c r="AE235" i="5"/>
  <c r="AE257" i="5"/>
  <c r="AE277" i="5"/>
  <c r="AE301" i="5"/>
  <c r="AE323" i="5"/>
  <c r="AE343" i="5"/>
  <c r="P37" i="5"/>
  <c r="P59" i="5"/>
  <c r="P81" i="5"/>
  <c r="P103" i="5"/>
  <c r="P125" i="5"/>
  <c r="P213" i="5"/>
  <c r="P257" i="5"/>
  <c r="P279" i="5"/>
  <c r="P301" i="5"/>
  <c r="P345" i="5"/>
  <c r="M235" i="5"/>
  <c r="U125" i="5"/>
  <c r="U235" i="5"/>
  <c r="AC59" i="5"/>
  <c r="AC191" i="5"/>
  <c r="AK235" i="5"/>
  <c r="V57" i="5"/>
  <c r="V81" i="5"/>
  <c r="V103" i="5"/>
  <c r="V125" i="5"/>
  <c r="V191" i="5"/>
  <c r="V235" i="5"/>
  <c r="V279" i="5"/>
  <c r="V323" i="5"/>
  <c r="AB301" i="5"/>
  <c r="D222" i="5"/>
  <c r="W136" i="5"/>
  <c r="W255" i="5"/>
  <c r="AF79" i="5"/>
  <c r="AF101" i="5"/>
  <c r="AF189" i="5"/>
  <c r="AF222" i="5"/>
  <c r="AF244" i="5"/>
  <c r="AF277" i="5"/>
  <c r="AF332" i="5"/>
  <c r="K24" i="5"/>
  <c r="K46" i="5"/>
  <c r="K90" i="5"/>
  <c r="K112" i="5"/>
  <c r="K134" i="5"/>
  <c r="S169" i="5"/>
  <c r="S191" i="5"/>
  <c r="S213" i="5"/>
  <c r="S235" i="5"/>
  <c r="S257" i="5"/>
  <c r="S279" i="5"/>
  <c r="S301" i="5"/>
  <c r="S345" i="5"/>
  <c r="AA37" i="5"/>
  <c r="AA57" i="5"/>
  <c r="AA81" i="5"/>
  <c r="AA103" i="5"/>
  <c r="AA125" i="5"/>
  <c r="AA191" i="5"/>
  <c r="AA235" i="5"/>
  <c r="AA323" i="5"/>
  <c r="AI59" i="5"/>
  <c r="AI167" i="5"/>
  <c r="AI189" i="5"/>
  <c r="AI211" i="5"/>
  <c r="AI255" i="5"/>
  <c r="AI277" i="5"/>
  <c r="AI299" i="5"/>
  <c r="AI321" i="5"/>
  <c r="AI343" i="5"/>
  <c r="F70" i="5"/>
  <c r="F145" i="5"/>
  <c r="F169" i="5"/>
  <c r="F213" i="5"/>
  <c r="F257" i="5"/>
  <c r="F277" i="5"/>
  <c r="F301" i="5"/>
  <c r="L35" i="5"/>
  <c r="L79" i="5"/>
  <c r="L101" i="5"/>
  <c r="L123" i="5"/>
  <c r="L145" i="5"/>
  <c r="L189" i="5"/>
  <c r="L211" i="5"/>
  <c r="L233" i="5"/>
  <c r="L255" i="5"/>
  <c r="L321" i="5"/>
  <c r="AJ35" i="5"/>
  <c r="AJ123" i="5"/>
  <c r="AJ145" i="5"/>
  <c r="AJ189" i="5"/>
  <c r="AJ233" i="5"/>
  <c r="AJ299" i="5"/>
  <c r="AJ321" i="5"/>
  <c r="N57" i="5"/>
  <c r="N81" i="5"/>
  <c r="N169" i="5"/>
  <c r="N211" i="5"/>
  <c r="N255" i="5"/>
  <c r="N279" i="5"/>
  <c r="N299" i="5"/>
  <c r="N321" i="5"/>
  <c r="N345" i="5"/>
  <c r="AL101" i="5"/>
  <c r="AL213" i="5"/>
  <c r="AL257" i="5"/>
  <c r="AL277" i="5"/>
  <c r="AL301" i="5"/>
  <c r="G147" i="5"/>
  <c r="AE147" i="5"/>
  <c r="P147" i="5"/>
  <c r="P169" i="5"/>
  <c r="P191" i="5"/>
  <c r="P235" i="5"/>
  <c r="P323" i="5"/>
  <c r="E35" i="5"/>
  <c r="E57" i="5"/>
  <c r="E79" i="5"/>
  <c r="E101" i="5"/>
  <c r="E123" i="5"/>
  <c r="E167" i="5"/>
  <c r="E189" i="5"/>
  <c r="E211" i="5"/>
  <c r="E233" i="5"/>
  <c r="E255" i="5"/>
  <c r="E277" i="5"/>
  <c r="E299" i="5"/>
  <c r="E321" i="5"/>
  <c r="E343" i="5"/>
  <c r="M35" i="5"/>
  <c r="M57" i="5"/>
  <c r="M79" i="5"/>
  <c r="M101" i="5"/>
  <c r="M123" i="5"/>
  <c r="M167" i="5"/>
  <c r="M189" i="5"/>
  <c r="M211" i="5"/>
  <c r="M233" i="5"/>
  <c r="M255" i="5"/>
  <c r="M277" i="5"/>
  <c r="M299" i="5"/>
  <c r="M321" i="5"/>
  <c r="M343" i="5"/>
  <c r="U35" i="5"/>
  <c r="AB345" i="5"/>
  <c r="D112" i="5"/>
  <c r="W112" i="5"/>
  <c r="W167" i="5"/>
  <c r="W189" i="5"/>
  <c r="W211" i="5"/>
  <c r="W235" i="5"/>
  <c r="AF81" i="5"/>
  <c r="AF103" i="5"/>
  <c r="AF224" i="5"/>
  <c r="AF310" i="5"/>
  <c r="K169" i="5"/>
  <c r="K189" i="5"/>
  <c r="K213" i="5"/>
  <c r="K233" i="5"/>
  <c r="K257" i="5"/>
  <c r="K279" i="5"/>
  <c r="K301" i="5"/>
  <c r="K323" i="5"/>
  <c r="K345" i="5"/>
  <c r="S37" i="5"/>
  <c r="S59" i="5"/>
  <c r="S81" i="5"/>
  <c r="S103" i="5"/>
  <c r="S125" i="5"/>
  <c r="S323" i="5"/>
  <c r="AA59" i="5"/>
  <c r="AA123" i="5"/>
  <c r="AA147" i="5"/>
  <c r="AA167" i="5"/>
  <c r="AA189" i="5"/>
  <c r="AA211" i="5"/>
  <c r="AA255" i="5"/>
  <c r="AA277" i="5"/>
  <c r="AA299" i="5"/>
  <c r="AA321" i="5"/>
  <c r="AA343" i="5"/>
  <c r="AI35" i="5"/>
  <c r="AI79" i="5"/>
  <c r="AI101" i="5"/>
  <c r="AI123" i="5"/>
  <c r="AI147" i="5"/>
  <c r="F46" i="5"/>
  <c r="F68" i="5"/>
  <c r="F123" i="5"/>
  <c r="F266" i="5"/>
  <c r="F332" i="5"/>
  <c r="L24" i="5"/>
  <c r="L48" i="5"/>
  <c r="L70" i="5"/>
  <c r="L92" i="5"/>
  <c r="L114" i="5"/>
  <c r="L136" i="5"/>
  <c r="L180" i="5"/>
  <c r="L202" i="5"/>
  <c r="L224" i="5"/>
  <c r="L246" i="5"/>
  <c r="L268" i="5"/>
  <c r="L290" i="5"/>
  <c r="L312" i="5"/>
  <c r="AJ24" i="5"/>
  <c r="AJ48" i="5"/>
  <c r="AJ70" i="5"/>
  <c r="AJ92" i="5"/>
  <c r="AJ114" i="5"/>
  <c r="AJ180" i="5"/>
  <c r="AJ202" i="5"/>
  <c r="AJ224" i="5"/>
  <c r="AJ246" i="5"/>
  <c r="AJ268" i="5"/>
  <c r="AJ312" i="5"/>
  <c r="AJ334" i="5"/>
  <c r="N26" i="5"/>
  <c r="N156" i="5"/>
  <c r="N200" i="5"/>
  <c r="N222" i="5"/>
  <c r="N244" i="5"/>
  <c r="N266" i="5"/>
  <c r="N310" i="5"/>
  <c r="AL68" i="5"/>
  <c r="AL90" i="5"/>
  <c r="AL200" i="5"/>
  <c r="AL222" i="5"/>
  <c r="AL310" i="5"/>
  <c r="G46" i="5"/>
  <c r="G70" i="5"/>
  <c r="G90" i="5"/>
  <c r="G134" i="5"/>
  <c r="G156" i="5"/>
  <c r="G178" i="5"/>
  <c r="G200" i="5"/>
  <c r="G222" i="5"/>
  <c r="G310" i="5"/>
  <c r="AE46" i="5"/>
  <c r="AE68" i="5"/>
  <c r="AE90" i="5"/>
  <c r="AE134" i="5"/>
  <c r="AE156" i="5"/>
  <c r="AE178" i="5"/>
  <c r="AE200" i="5"/>
  <c r="AE222" i="5"/>
  <c r="AE266" i="5"/>
  <c r="AE310" i="5"/>
  <c r="P46" i="5"/>
  <c r="P112" i="5"/>
  <c r="P156" i="5"/>
  <c r="P178" i="5"/>
  <c r="P222" i="5"/>
  <c r="P244" i="5"/>
  <c r="P288" i="5"/>
  <c r="P310" i="5"/>
  <c r="E24" i="5"/>
  <c r="E48" i="5"/>
  <c r="E92" i="5"/>
  <c r="E114" i="5"/>
  <c r="E136" i="5"/>
  <c r="E202" i="5"/>
  <c r="D310" i="5"/>
  <c r="W48" i="5"/>
  <c r="W114" i="5"/>
  <c r="W169" i="5"/>
  <c r="W191" i="5"/>
  <c r="W213" i="5"/>
  <c r="W288" i="5"/>
  <c r="W310" i="5"/>
  <c r="W332" i="5"/>
  <c r="AF26" i="5"/>
  <c r="AF57" i="5"/>
  <c r="AF136" i="5"/>
  <c r="AF167" i="5"/>
  <c r="AF288" i="5"/>
  <c r="K37" i="5"/>
  <c r="K57" i="5"/>
  <c r="K81" i="5"/>
  <c r="K103" i="5"/>
  <c r="K125" i="5"/>
  <c r="K235" i="5"/>
  <c r="S167" i="5"/>
  <c r="S189" i="5"/>
  <c r="S211" i="5"/>
  <c r="S233" i="5"/>
  <c r="S255" i="5"/>
  <c r="S277" i="5"/>
  <c r="S299" i="5"/>
  <c r="S321" i="5"/>
  <c r="S343" i="5"/>
  <c r="AA35" i="5"/>
  <c r="AA79" i="5"/>
  <c r="AA101" i="5"/>
  <c r="AI158" i="5"/>
  <c r="AI180" i="5"/>
  <c r="AI202" i="5"/>
  <c r="AI224" i="5"/>
  <c r="AI246" i="5"/>
  <c r="AI290" i="5"/>
  <c r="AI312" i="5"/>
  <c r="AI334" i="5"/>
  <c r="F178" i="5"/>
  <c r="F200" i="5"/>
  <c r="F222" i="5"/>
  <c r="F288" i="5"/>
  <c r="F310" i="5"/>
  <c r="L90" i="5"/>
  <c r="L334" i="5"/>
  <c r="AJ90" i="5"/>
  <c r="AJ136" i="5"/>
  <c r="AJ158" i="5"/>
  <c r="AJ290" i="5"/>
  <c r="AJ310" i="5"/>
  <c r="N46" i="5"/>
  <c r="N70" i="5"/>
  <c r="N112" i="5"/>
  <c r="N134" i="5"/>
  <c r="N180" i="5"/>
  <c r="N334" i="5"/>
  <c r="AL46" i="5"/>
  <c r="AL112" i="5"/>
  <c r="AL134" i="5"/>
  <c r="AL156" i="5"/>
  <c r="AL268" i="5"/>
  <c r="AL290" i="5"/>
  <c r="AL334" i="5"/>
  <c r="G26" i="5"/>
  <c r="G68" i="5"/>
  <c r="G112" i="5"/>
  <c r="G244" i="5"/>
  <c r="G266" i="5"/>
  <c r="G288" i="5"/>
  <c r="G334" i="5"/>
  <c r="AE114" i="5"/>
  <c r="AE244" i="5"/>
  <c r="AE288" i="5"/>
  <c r="AE332" i="5"/>
  <c r="P26" i="5"/>
  <c r="P90" i="5"/>
  <c r="P134" i="5"/>
  <c r="P200" i="5"/>
  <c r="P266" i="5"/>
  <c r="P312" i="5"/>
  <c r="P332" i="5"/>
  <c r="E26" i="5"/>
  <c r="E70" i="5"/>
  <c r="E158" i="5"/>
  <c r="E180" i="5"/>
  <c r="M26" i="5"/>
  <c r="M48" i="5"/>
  <c r="M92" i="5"/>
  <c r="M158" i="5"/>
  <c r="M202" i="5"/>
  <c r="M312" i="5"/>
  <c r="U26" i="5"/>
  <c r="U92" i="5"/>
  <c r="U114" i="5"/>
  <c r="U136" i="5"/>
  <c r="U158" i="5"/>
  <c r="U224" i="5"/>
  <c r="U246" i="5"/>
  <c r="U268" i="5"/>
  <c r="U290" i="5"/>
  <c r="U334" i="5"/>
  <c r="AC48" i="5"/>
  <c r="AC70" i="5"/>
  <c r="AC158" i="5"/>
  <c r="AC180" i="5"/>
  <c r="AK24" i="5"/>
  <c r="AK48" i="5"/>
  <c r="AK92" i="5"/>
  <c r="AK136" i="5"/>
  <c r="AK158" i="5"/>
  <c r="AK246" i="5"/>
  <c r="AK268" i="5"/>
  <c r="V114" i="5"/>
  <c r="V156" i="5"/>
  <c r="V178" i="5"/>
  <c r="AB279" i="5"/>
  <c r="D46" i="5"/>
  <c r="D200" i="5"/>
  <c r="W268" i="5"/>
  <c r="W290" i="5"/>
  <c r="W312" i="5"/>
  <c r="W334" i="5"/>
  <c r="AF202" i="5"/>
  <c r="AF312" i="5"/>
  <c r="AF345" i="5"/>
  <c r="K35" i="5"/>
  <c r="K59" i="5"/>
  <c r="K123" i="5"/>
  <c r="K167" i="5"/>
  <c r="K191" i="5"/>
  <c r="K211" i="5"/>
  <c r="K255" i="5"/>
  <c r="K277" i="5"/>
  <c r="K299" i="5"/>
  <c r="K321" i="5"/>
  <c r="K343" i="5"/>
  <c r="S35" i="5"/>
  <c r="S57" i="5"/>
  <c r="S79" i="5"/>
  <c r="S101" i="5"/>
  <c r="S123" i="5"/>
  <c r="S147" i="5"/>
  <c r="AA158" i="5"/>
  <c r="AA180" i="5"/>
  <c r="AA202" i="5"/>
  <c r="AA224" i="5"/>
  <c r="AA246" i="5"/>
  <c r="AA268" i="5"/>
  <c r="AA290" i="5"/>
  <c r="AA312" i="5"/>
  <c r="AA334" i="5"/>
  <c r="AI26" i="5"/>
  <c r="AI48" i="5"/>
  <c r="AI70" i="5"/>
  <c r="AI92" i="5"/>
  <c r="AI114" i="5"/>
  <c r="AI136" i="5"/>
  <c r="AI268" i="5"/>
  <c r="F101" i="5"/>
  <c r="F202" i="5"/>
  <c r="F244" i="5"/>
  <c r="F268" i="5"/>
  <c r="F290" i="5"/>
  <c r="F312" i="5"/>
  <c r="L46" i="5"/>
  <c r="L112" i="5"/>
  <c r="L134" i="5"/>
  <c r="L158" i="5"/>
  <c r="L178" i="5"/>
  <c r="L200" i="5"/>
  <c r="L222" i="5"/>
  <c r="L244" i="5"/>
  <c r="L266" i="5"/>
  <c r="L288" i="5"/>
  <c r="L332" i="5"/>
  <c r="AJ46" i="5"/>
  <c r="AJ112" i="5"/>
  <c r="AJ134" i="5"/>
  <c r="AJ178" i="5"/>
  <c r="AJ200" i="5"/>
  <c r="AJ222" i="5"/>
  <c r="AJ244" i="5"/>
  <c r="AJ266" i="5"/>
  <c r="N68" i="5"/>
  <c r="N90" i="5"/>
  <c r="N114" i="5"/>
  <c r="N136" i="5"/>
  <c r="N158" i="5"/>
  <c r="N224" i="5"/>
  <c r="N246" i="5"/>
  <c r="N268" i="5"/>
  <c r="N288" i="5"/>
  <c r="AL26" i="5"/>
  <c r="AL70" i="5"/>
  <c r="AL114" i="5"/>
  <c r="AL136" i="5"/>
  <c r="AL178" i="5"/>
  <c r="AL244" i="5"/>
  <c r="AL312" i="5"/>
  <c r="G24" i="5"/>
  <c r="G48" i="5"/>
  <c r="G92" i="5"/>
  <c r="G114" i="5"/>
  <c r="G136" i="5"/>
  <c r="G158" i="5"/>
  <c r="G180" i="5"/>
  <c r="G202" i="5"/>
  <c r="G224" i="5"/>
  <c r="G246" i="5"/>
  <c r="G268" i="5"/>
  <c r="G290" i="5"/>
  <c r="G312" i="5"/>
  <c r="G332" i="5"/>
  <c r="AE24" i="5"/>
  <c r="AE48" i="5"/>
  <c r="AE70" i="5"/>
  <c r="AE92" i="5"/>
  <c r="AE112" i="5"/>
  <c r="AE136" i="5"/>
  <c r="AE158" i="5"/>
  <c r="AE180" i="5"/>
  <c r="AE202" i="5"/>
  <c r="AE224" i="5"/>
  <c r="AE246" i="5"/>
  <c r="AE268" i="5"/>
  <c r="AE290" i="5"/>
  <c r="AE312" i="5"/>
  <c r="AE334" i="5"/>
  <c r="P68" i="5"/>
  <c r="P92" i="5"/>
  <c r="P136" i="5"/>
  <c r="P224" i="5"/>
  <c r="P246" i="5"/>
  <c r="M24" i="5"/>
  <c r="M70" i="5"/>
  <c r="U70" i="5"/>
  <c r="AC26" i="5"/>
  <c r="AK70" i="5"/>
  <c r="V26" i="5"/>
  <c r="V46" i="5"/>
  <c r="D90" i="5"/>
  <c r="W26" i="5"/>
  <c r="W92" i="5"/>
  <c r="W125" i="5"/>
  <c r="W145" i="5"/>
  <c r="W246" i="5"/>
  <c r="W266" i="5"/>
  <c r="AF90" i="5"/>
  <c r="AF114" i="5"/>
  <c r="AF290" i="5"/>
  <c r="K79" i="5"/>
  <c r="K101" i="5"/>
  <c r="K147" i="5"/>
  <c r="S158" i="5"/>
  <c r="S180" i="5"/>
  <c r="S202" i="5"/>
  <c r="S224" i="5"/>
  <c r="S246" i="5"/>
  <c r="S290" i="5"/>
  <c r="S312" i="5"/>
  <c r="S334" i="5"/>
  <c r="AA48" i="5"/>
  <c r="AA68" i="5"/>
  <c r="AA92" i="5"/>
  <c r="AA114" i="5"/>
  <c r="AA136" i="5"/>
  <c r="AI68" i="5"/>
  <c r="AI156" i="5"/>
  <c r="AI178" i="5"/>
  <c r="AI200" i="5"/>
  <c r="AI222" i="5"/>
  <c r="AI244" i="5"/>
  <c r="AI266" i="5"/>
  <c r="AI288" i="5"/>
  <c r="AI310" i="5"/>
  <c r="AI332" i="5"/>
  <c r="F26" i="5"/>
  <c r="F57" i="5"/>
  <c r="F103" i="5"/>
  <c r="F156" i="5"/>
  <c r="F224" i="5"/>
  <c r="F246" i="5"/>
  <c r="F334" i="5"/>
  <c r="L26" i="5"/>
  <c r="L68" i="5"/>
  <c r="L156" i="5"/>
  <c r="L310" i="5"/>
  <c r="AJ26" i="5"/>
  <c r="AJ68" i="5"/>
  <c r="AJ156" i="5"/>
  <c r="AJ288" i="5"/>
  <c r="AJ332" i="5"/>
  <c r="N24" i="5"/>
  <c r="N48" i="5"/>
  <c r="N92" i="5"/>
  <c r="N178" i="5"/>
  <c r="N202" i="5"/>
  <c r="N290" i="5"/>
  <c r="N312" i="5"/>
  <c r="N332" i="5"/>
  <c r="AL24" i="5"/>
  <c r="AL48" i="5"/>
  <c r="AL92" i="5"/>
  <c r="AL158" i="5"/>
  <c r="AL180" i="5"/>
  <c r="AL202" i="5"/>
  <c r="AL224" i="5"/>
  <c r="AL246" i="5"/>
  <c r="AL266" i="5"/>
  <c r="AL288" i="5"/>
  <c r="AL332" i="5"/>
  <c r="AE26" i="5"/>
  <c r="P24" i="5"/>
  <c r="P48" i="5"/>
  <c r="P70" i="5"/>
  <c r="P114" i="5"/>
  <c r="P158" i="5"/>
  <c r="P180" i="5"/>
  <c r="P202" i="5"/>
  <c r="P268" i="5"/>
  <c r="P290" i="5"/>
  <c r="P334" i="5"/>
  <c r="E46" i="5"/>
  <c r="E68" i="5"/>
  <c r="E90" i="5"/>
  <c r="E112" i="5"/>
  <c r="E134" i="5"/>
  <c r="E156" i="5"/>
  <c r="E178" i="5"/>
  <c r="E200" i="5"/>
  <c r="E222" i="5"/>
  <c r="E244" i="5"/>
  <c r="E266" i="5"/>
  <c r="E288" i="5"/>
  <c r="E310" i="5"/>
  <c r="E332" i="5"/>
  <c r="M46" i="5"/>
  <c r="M68" i="5"/>
  <c r="M90" i="5"/>
  <c r="M112" i="5"/>
  <c r="M134" i="5"/>
  <c r="M156" i="5"/>
  <c r="M178" i="5"/>
  <c r="M200" i="5"/>
  <c r="M222" i="5"/>
  <c r="M244" i="5"/>
  <c r="M266" i="5"/>
  <c r="M288" i="5"/>
  <c r="M310" i="5"/>
  <c r="M332" i="5"/>
  <c r="U46" i="5"/>
  <c r="U68" i="5"/>
  <c r="U90" i="5"/>
  <c r="U112" i="5"/>
  <c r="U134" i="5"/>
  <c r="D244" i="5"/>
  <c r="W24" i="5"/>
  <c r="W178" i="5"/>
  <c r="W200" i="5"/>
  <c r="W222" i="5"/>
  <c r="AF92" i="5"/>
  <c r="AF145" i="5"/>
  <c r="AF178" i="5"/>
  <c r="AF213" i="5"/>
  <c r="AF233" i="5"/>
  <c r="AF266" i="5"/>
  <c r="K158" i="5"/>
  <c r="K180" i="5"/>
  <c r="K202" i="5"/>
  <c r="K224" i="5"/>
  <c r="K246" i="5"/>
  <c r="K268" i="5"/>
  <c r="K290" i="5"/>
  <c r="K312" i="5"/>
  <c r="K334" i="5"/>
  <c r="S48" i="5"/>
  <c r="S70" i="5"/>
  <c r="S92" i="5"/>
  <c r="S114" i="5"/>
  <c r="S136" i="5"/>
  <c r="S268" i="5"/>
  <c r="AA24" i="5"/>
  <c r="AA70" i="5"/>
  <c r="AA156" i="5"/>
  <c r="AA178" i="5"/>
  <c r="AA200" i="5"/>
  <c r="AA222" i="5"/>
  <c r="AA244" i="5"/>
  <c r="AA266" i="5"/>
  <c r="AA288" i="5"/>
  <c r="AA310" i="5"/>
  <c r="AA332" i="5"/>
  <c r="AI24" i="5"/>
  <c r="AI46" i="5"/>
  <c r="AI90" i="5"/>
  <c r="AI112" i="5"/>
  <c r="AI134" i="5"/>
  <c r="F35" i="5"/>
  <c r="F59" i="5"/>
  <c r="F81" i="5"/>
  <c r="F136" i="5"/>
  <c r="F189" i="5"/>
  <c r="F211" i="5"/>
  <c r="F233" i="5"/>
  <c r="F299" i="5"/>
  <c r="L37" i="5"/>
  <c r="L81" i="5"/>
  <c r="L103" i="5"/>
  <c r="L169" i="5"/>
  <c r="L191" i="5"/>
  <c r="L235" i="5"/>
  <c r="L279" i="5"/>
  <c r="L345" i="5"/>
  <c r="AJ37" i="5"/>
  <c r="AJ169" i="5"/>
  <c r="AJ191" i="5"/>
  <c r="AJ213" i="5"/>
  <c r="AJ235" i="5"/>
  <c r="AJ279" i="5"/>
  <c r="AJ301" i="5"/>
  <c r="AJ345" i="5"/>
  <c r="N59" i="5"/>
  <c r="N123" i="5"/>
  <c r="N145" i="5"/>
  <c r="N167" i="5"/>
  <c r="N189" i="5"/>
  <c r="N235" i="5"/>
  <c r="N277" i="5"/>
  <c r="N343" i="5"/>
  <c r="AL59" i="5"/>
  <c r="AL123" i="5"/>
  <c r="AL189" i="5"/>
  <c r="AL235" i="5"/>
  <c r="AL343" i="5"/>
  <c r="G35" i="5"/>
  <c r="G59" i="5"/>
  <c r="G123" i="5"/>
  <c r="G167" i="5"/>
  <c r="G233" i="5"/>
  <c r="G255" i="5"/>
  <c r="G277" i="5"/>
  <c r="AE35" i="5"/>
  <c r="AE59" i="5"/>
  <c r="AE79" i="5"/>
  <c r="AE101" i="5"/>
  <c r="AE123" i="5"/>
  <c r="AE167" i="5"/>
  <c r="AE189" i="5"/>
  <c r="AE233" i="5"/>
  <c r="AE255" i="5"/>
  <c r="P35" i="5"/>
  <c r="P57" i="5"/>
  <c r="P101" i="5"/>
  <c r="P123" i="5"/>
  <c r="P167" i="5"/>
  <c r="P233" i="5"/>
  <c r="P255" i="5"/>
  <c r="P277" i="5"/>
  <c r="P299" i="5"/>
  <c r="P343" i="5"/>
  <c r="E59" i="5"/>
  <c r="E81" i="5"/>
  <c r="E103" i="5"/>
  <c r="E145" i="5"/>
  <c r="E169" i="5"/>
  <c r="E257" i="5"/>
  <c r="E279" i="5"/>
  <c r="E323" i="5"/>
  <c r="E345" i="5"/>
  <c r="M59" i="5"/>
  <c r="M81" i="5"/>
  <c r="M103" i="5"/>
  <c r="M145" i="5"/>
  <c r="M213" i="5"/>
  <c r="M301" i="5"/>
  <c r="D178" i="5"/>
  <c r="D288" i="5"/>
  <c r="W68" i="5"/>
  <c r="W158" i="5"/>
  <c r="W180" i="5"/>
  <c r="W202" i="5"/>
  <c r="W224" i="5"/>
  <c r="W299" i="5"/>
  <c r="W321" i="5"/>
  <c r="W343" i="5"/>
  <c r="AF48" i="5"/>
  <c r="AF68" i="5"/>
  <c r="AF323" i="5"/>
  <c r="K26" i="5"/>
  <c r="K48" i="5"/>
  <c r="K68" i="5"/>
  <c r="K92" i="5"/>
  <c r="K136" i="5"/>
  <c r="S24" i="5"/>
  <c r="S156" i="5"/>
  <c r="S178" i="5"/>
  <c r="S200" i="5"/>
  <c r="S222" i="5"/>
  <c r="S244" i="5"/>
  <c r="S266" i="5"/>
  <c r="S288" i="5"/>
  <c r="S310" i="5"/>
  <c r="S332" i="5"/>
  <c r="AA26" i="5"/>
  <c r="AA46" i="5"/>
  <c r="AA90" i="5"/>
  <c r="AA112" i="5"/>
  <c r="AA134" i="5"/>
  <c r="AI169" i="5"/>
  <c r="AI191" i="5"/>
  <c r="AI213" i="5"/>
  <c r="AI233" i="5"/>
  <c r="AI257" i="5"/>
  <c r="AI279" i="5"/>
  <c r="AI301" i="5"/>
  <c r="AI323" i="5"/>
  <c r="AI345" i="5"/>
  <c r="F112" i="5"/>
  <c r="F255" i="5"/>
  <c r="F279" i="5"/>
  <c r="F323" i="5"/>
  <c r="F343" i="5"/>
  <c r="L59" i="5"/>
  <c r="L125" i="5"/>
  <c r="L213" i="5"/>
  <c r="L257" i="5"/>
  <c r="L301" i="5"/>
  <c r="L323" i="5"/>
  <c r="AJ59" i="5"/>
  <c r="AJ81" i="5"/>
  <c r="AJ103" i="5"/>
  <c r="AJ125" i="5"/>
  <c r="AJ147" i="5"/>
  <c r="AJ257" i="5"/>
  <c r="AJ323" i="5"/>
  <c r="N35" i="5"/>
  <c r="N79" i="5"/>
  <c r="N101" i="5"/>
  <c r="N213" i="5"/>
  <c r="N233" i="5"/>
  <c r="N257" i="5"/>
  <c r="N301" i="5"/>
  <c r="N323" i="5"/>
  <c r="AL37" i="5"/>
  <c r="AL79" i="5"/>
  <c r="AL103" i="5"/>
  <c r="AL147" i="5"/>
  <c r="AL167" i="5"/>
  <c r="AL233" i="5"/>
  <c r="AL255" i="5"/>
  <c r="AL279" i="5"/>
  <c r="AL323" i="5"/>
  <c r="G37" i="5"/>
  <c r="G57" i="5"/>
  <c r="G79" i="5"/>
  <c r="G101" i="5"/>
  <c r="G189" i="5"/>
  <c r="G211" i="5"/>
  <c r="G301" i="5"/>
  <c r="G321" i="5"/>
  <c r="G343" i="5"/>
  <c r="AE57" i="5"/>
  <c r="AE211" i="5"/>
  <c r="AE279" i="5"/>
  <c r="AE299" i="5"/>
  <c r="AE321" i="5"/>
  <c r="AE345" i="5"/>
  <c r="P79" i="5"/>
  <c r="P145" i="5"/>
  <c r="P189" i="5"/>
  <c r="P211" i="5"/>
  <c r="P321" i="5"/>
  <c r="E37" i="5"/>
  <c r="E125" i="5"/>
  <c r="E147" i="5"/>
  <c r="E191" i="5"/>
  <c r="E213" i="5"/>
  <c r="E235" i="5"/>
  <c r="E301" i="5"/>
  <c r="M37" i="5"/>
  <c r="M125" i="5"/>
  <c r="M147" i="5"/>
  <c r="M169" i="5"/>
  <c r="M191" i="5"/>
  <c r="M257" i="5"/>
  <c r="M279" i="5"/>
  <c r="M323" i="5"/>
  <c r="M345" i="5"/>
  <c r="U37" i="5"/>
  <c r="U59" i="5"/>
  <c r="U81" i="5"/>
  <c r="U103" i="5"/>
  <c r="U147" i="5"/>
  <c r="AC37" i="5"/>
  <c r="AC125" i="5"/>
  <c r="AC147" i="5"/>
  <c r="AC213" i="5"/>
  <c r="AC235" i="5"/>
  <c r="E246" i="5"/>
  <c r="M224" i="5"/>
  <c r="M334" i="5"/>
  <c r="U233" i="5"/>
  <c r="U332" i="5"/>
  <c r="AC57" i="5"/>
  <c r="AC92" i="5"/>
  <c r="AC114" i="5"/>
  <c r="AC156" i="5"/>
  <c r="AC233" i="5"/>
  <c r="AC255" i="5"/>
  <c r="AC277" i="5"/>
  <c r="AC299" i="5"/>
  <c r="AC321" i="5"/>
  <c r="AC343" i="5"/>
  <c r="AK90" i="5"/>
  <c r="AK112" i="5"/>
  <c r="AK145" i="5"/>
  <c r="AK191" i="5"/>
  <c r="AK255" i="5"/>
  <c r="AK290" i="5"/>
  <c r="AK312" i="5"/>
  <c r="AK334" i="5"/>
  <c r="V101" i="5"/>
  <c r="V200" i="5"/>
  <c r="V222" i="5"/>
  <c r="V246" i="5"/>
  <c r="V321" i="5"/>
  <c r="V345" i="5"/>
  <c r="H35" i="5"/>
  <c r="H57" i="5"/>
  <c r="H101" i="5"/>
  <c r="H167" i="5"/>
  <c r="H277" i="5"/>
  <c r="H299" i="5"/>
  <c r="H321" i="5"/>
  <c r="AN211" i="5"/>
  <c r="AN301" i="5"/>
  <c r="M114" i="5"/>
  <c r="U101" i="5"/>
  <c r="U145" i="5"/>
  <c r="U288" i="5"/>
  <c r="U310" i="5"/>
  <c r="U345" i="5"/>
  <c r="AC169" i="5"/>
  <c r="AC211" i="5"/>
  <c r="AC246" i="5"/>
  <c r="AC268" i="5"/>
  <c r="AC290" i="5"/>
  <c r="AC312" i="5"/>
  <c r="AC334" i="5"/>
  <c r="AK26" i="5"/>
  <c r="AK68" i="5"/>
  <c r="AK147" i="5"/>
  <c r="AK233" i="5"/>
  <c r="V48" i="5"/>
  <c r="V79" i="5"/>
  <c r="V134" i="5"/>
  <c r="V202" i="5"/>
  <c r="V224" i="5"/>
  <c r="V255" i="5"/>
  <c r="V299" i="5"/>
  <c r="H59" i="5"/>
  <c r="H81" i="5"/>
  <c r="H103" i="5"/>
  <c r="H125" i="5"/>
  <c r="H145" i="5"/>
  <c r="H169" i="5"/>
  <c r="H213" i="5"/>
  <c r="H233" i="5"/>
  <c r="H257" i="5"/>
  <c r="H301" i="5"/>
  <c r="H345" i="5"/>
  <c r="AN59" i="5"/>
  <c r="AN125" i="5"/>
  <c r="AN145" i="5"/>
  <c r="AN169" i="5"/>
  <c r="AN345" i="5"/>
  <c r="AN244" i="5"/>
  <c r="E290" i="5"/>
  <c r="M268" i="5"/>
  <c r="U48" i="5"/>
  <c r="U167" i="5"/>
  <c r="U189" i="5"/>
  <c r="U211" i="5"/>
  <c r="U266" i="5"/>
  <c r="U301" i="5"/>
  <c r="U323" i="5"/>
  <c r="AC35" i="5"/>
  <c r="AC134" i="5"/>
  <c r="AC189" i="5"/>
  <c r="AC224" i="5"/>
  <c r="AK46" i="5"/>
  <c r="AK81" i="5"/>
  <c r="AK103" i="5"/>
  <c r="AK125" i="5"/>
  <c r="AK167" i="5"/>
  <c r="AK189" i="5"/>
  <c r="AK211" i="5"/>
  <c r="V24" i="5"/>
  <c r="V180" i="5"/>
  <c r="V233" i="5"/>
  <c r="V277" i="5"/>
  <c r="V343" i="5"/>
  <c r="H37" i="5"/>
  <c r="H147" i="5"/>
  <c r="H191" i="5"/>
  <c r="H235" i="5"/>
  <c r="H279" i="5"/>
  <c r="H323" i="5"/>
  <c r="AN37" i="5"/>
  <c r="AN81" i="5"/>
  <c r="AN103" i="5"/>
  <c r="AN147" i="5"/>
  <c r="AN191" i="5"/>
  <c r="AN213" i="5"/>
  <c r="AN235" i="5"/>
  <c r="AN323" i="5"/>
  <c r="AN178" i="5"/>
  <c r="AN310" i="5"/>
  <c r="E224" i="5"/>
  <c r="U180" i="5"/>
  <c r="U202" i="5"/>
  <c r="U244" i="5"/>
  <c r="U279" i="5"/>
  <c r="AC68" i="5"/>
  <c r="AC90" i="5"/>
  <c r="AC112" i="5"/>
  <c r="AC145" i="5"/>
  <c r="AC202" i="5"/>
  <c r="AK59" i="5"/>
  <c r="AK180" i="5"/>
  <c r="AK202" i="5"/>
  <c r="AK224" i="5"/>
  <c r="AK266" i="5"/>
  <c r="AK288" i="5"/>
  <c r="AK310" i="5"/>
  <c r="AK332" i="5"/>
  <c r="V59" i="5"/>
  <c r="V136" i="5"/>
  <c r="V158" i="5"/>
  <c r="V189" i="5"/>
  <c r="V211" i="5"/>
  <c r="V301" i="5"/>
  <c r="H46" i="5"/>
  <c r="H68" i="5"/>
  <c r="H90" i="5"/>
  <c r="H112" i="5"/>
  <c r="H134" i="5"/>
  <c r="H200" i="5"/>
  <c r="H266" i="5"/>
  <c r="H288" i="5"/>
  <c r="H310" i="5"/>
  <c r="H332" i="5"/>
  <c r="AN46" i="5"/>
  <c r="AN68" i="5"/>
  <c r="AN90" i="5"/>
  <c r="AN112" i="5"/>
  <c r="AN222" i="5"/>
  <c r="E334" i="5"/>
  <c r="U79" i="5"/>
  <c r="U257" i="5"/>
  <c r="U343" i="5"/>
  <c r="AC81" i="5"/>
  <c r="AC103" i="5"/>
  <c r="AC167" i="5"/>
  <c r="AC244" i="5"/>
  <c r="AC266" i="5"/>
  <c r="AC288" i="5"/>
  <c r="AC310" i="5"/>
  <c r="AC332" i="5"/>
  <c r="AK101" i="5"/>
  <c r="AK123" i="5"/>
  <c r="AK244" i="5"/>
  <c r="AK279" i="5"/>
  <c r="AK301" i="5"/>
  <c r="AK323" i="5"/>
  <c r="V37" i="5"/>
  <c r="V90" i="5"/>
  <c r="V257" i="5"/>
  <c r="V288" i="5"/>
  <c r="V332" i="5"/>
  <c r="H26" i="5"/>
  <c r="H48" i="5"/>
  <c r="H92" i="5"/>
  <c r="H114" i="5"/>
  <c r="H156" i="5"/>
  <c r="H178" i="5"/>
  <c r="H202" i="5"/>
  <c r="H222" i="5"/>
  <c r="H244" i="5"/>
  <c r="H290" i="5"/>
  <c r="H334" i="5"/>
  <c r="AN26" i="5"/>
  <c r="AN92" i="5"/>
  <c r="AN134" i="5"/>
  <c r="AN156" i="5"/>
  <c r="AN200" i="5"/>
  <c r="AN246" i="5"/>
  <c r="AN332" i="5"/>
  <c r="E268" i="5"/>
  <c r="M246" i="5"/>
  <c r="U24" i="5"/>
  <c r="U222" i="5"/>
  <c r="U299" i="5"/>
  <c r="U321" i="5"/>
  <c r="AC24" i="5"/>
  <c r="AC46" i="5"/>
  <c r="AC222" i="5"/>
  <c r="AC257" i="5"/>
  <c r="AC279" i="5"/>
  <c r="AC323" i="5"/>
  <c r="AC345" i="5"/>
  <c r="AK37" i="5"/>
  <c r="AK79" i="5"/>
  <c r="AK114" i="5"/>
  <c r="AK257" i="5"/>
  <c r="AK345" i="5"/>
  <c r="V68" i="5"/>
  <c r="V112" i="5"/>
  <c r="V147" i="5"/>
  <c r="V169" i="5"/>
  <c r="V213" i="5"/>
  <c r="V312" i="5"/>
  <c r="V334" i="5"/>
  <c r="H158" i="5"/>
  <c r="H180" i="5"/>
  <c r="H246" i="5"/>
  <c r="AN48" i="5"/>
  <c r="AN114" i="5"/>
  <c r="AN158" i="5"/>
  <c r="AN180" i="5"/>
  <c r="AN202" i="5"/>
  <c r="AN290" i="5"/>
  <c r="AN312" i="5"/>
  <c r="AN334" i="5"/>
  <c r="AN101" i="5"/>
  <c r="AN255" i="5"/>
  <c r="AN343" i="5"/>
  <c r="AN233" i="5"/>
  <c r="AN321" i="5"/>
  <c r="M136" i="5"/>
  <c r="U123" i="5"/>
  <c r="U156" i="5"/>
  <c r="U178" i="5"/>
  <c r="U200" i="5"/>
  <c r="U277" i="5"/>
  <c r="U312" i="5"/>
  <c r="AC123" i="5"/>
  <c r="AC200" i="5"/>
  <c r="AC301" i="5"/>
  <c r="AK57" i="5"/>
  <c r="AK156" i="5"/>
  <c r="AK178" i="5"/>
  <c r="AK200" i="5"/>
  <c r="AK222" i="5"/>
  <c r="V35" i="5"/>
  <c r="V123" i="5"/>
  <c r="V145" i="5"/>
  <c r="V244" i="5"/>
  <c r="V268" i="5"/>
  <c r="V290" i="5"/>
  <c r="H24" i="5"/>
  <c r="H70" i="5"/>
  <c r="H136" i="5"/>
  <c r="H224" i="5"/>
  <c r="H268" i="5"/>
  <c r="H312" i="5"/>
  <c r="AN24" i="5"/>
  <c r="AN70" i="5"/>
  <c r="AN136" i="5"/>
  <c r="AN224" i="5"/>
  <c r="AN268" i="5"/>
  <c r="AN167" i="5"/>
  <c r="AN277" i="5"/>
  <c r="AN123" i="5"/>
  <c r="AN279" i="5"/>
  <c r="AN288" i="5"/>
  <c r="E312" i="5"/>
  <c r="M180" i="5"/>
  <c r="M290" i="5"/>
  <c r="U57" i="5"/>
  <c r="U169" i="5"/>
  <c r="U191" i="5"/>
  <c r="U213" i="5"/>
  <c r="U255" i="5"/>
  <c r="AC79" i="5"/>
  <c r="AC101" i="5"/>
  <c r="AC136" i="5"/>
  <c r="AC178" i="5"/>
  <c r="AK35" i="5"/>
  <c r="AK134" i="5"/>
  <c r="AK169" i="5"/>
  <c r="AK213" i="5"/>
  <c r="AK277" i="5"/>
  <c r="AK299" i="5"/>
  <c r="AK321" i="5"/>
  <c r="AK343" i="5"/>
  <c r="V70" i="5"/>
  <c r="V92" i="5"/>
  <c r="V167" i="5"/>
  <c r="V266" i="5"/>
  <c r="V310" i="5"/>
  <c r="H79" i="5"/>
  <c r="H123" i="5"/>
  <c r="H189" i="5"/>
  <c r="H211" i="5"/>
  <c r="H255" i="5"/>
  <c r="H343" i="5"/>
  <c r="AN57" i="5"/>
  <c r="AN79" i="5"/>
  <c r="AN189" i="5"/>
  <c r="AN299" i="5"/>
  <c r="AN35" i="5"/>
  <c r="AN257" i="5"/>
  <c r="AN266" i="5"/>
  <c r="AG163" i="59"/>
  <c r="AV163" i="59"/>
  <c r="AE163" i="59"/>
  <c r="AT163" i="59"/>
  <c r="AL163" i="59"/>
  <c r="AD163" i="59"/>
  <c r="V163" i="59"/>
  <c r="N163" i="59"/>
  <c r="AO163" i="59"/>
  <c r="AN163" i="59"/>
  <c r="AF163" i="59"/>
  <c r="AM163" i="59"/>
  <c r="AS163" i="59"/>
  <c r="AC163" i="59"/>
  <c r="AR163" i="59"/>
  <c r="AJ163" i="59"/>
  <c r="AB163" i="59"/>
  <c r="T163" i="59"/>
  <c r="AW163" i="59"/>
  <c r="Y163" i="59"/>
  <c r="X163" i="59"/>
  <c r="AU163" i="59"/>
  <c r="W163" i="59"/>
  <c r="AK163" i="59"/>
  <c r="O163" i="59"/>
  <c r="AQ163" i="59"/>
  <c r="AI163" i="59"/>
  <c r="AA163" i="59"/>
  <c r="S163" i="59"/>
  <c r="Q163" i="59"/>
  <c r="P163" i="59"/>
  <c r="U163" i="59"/>
  <c r="AP163" i="59"/>
  <c r="AH163" i="59"/>
  <c r="Z163" i="59"/>
  <c r="R163" i="59"/>
  <c r="M163" i="59"/>
  <c r="IH164" i="59"/>
  <c r="AO165" i="59"/>
  <c r="EL164" i="59"/>
  <c r="EK165" i="59"/>
  <c r="N104" i="59"/>
  <c r="HA136" i="59"/>
  <c r="AW104" i="59"/>
  <c r="X144" i="59"/>
  <c r="DO202" i="59"/>
  <c r="HD219" i="59"/>
  <c r="BJ219" i="59"/>
  <c r="AN211" i="59"/>
  <c r="CM195" i="59"/>
  <c r="AU224" i="59"/>
  <c r="GI180" i="59"/>
  <c r="S217" i="59"/>
  <c r="BJ174" i="59"/>
  <c r="BX200" i="59"/>
  <c r="IG195" i="59"/>
  <c r="CL226" i="59"/>
  <c r="DA165" i="59"/>
  <c r="FU199" i="59"/>
  <c r="AO180" i="59"/>
  <c r="BQ187" i="59"/>
  <c r="GB167" i="59"/>
  <c r="GP193" i="59"/>
  <c r="IG164" i="59"/>
  <c r="ER178" i="59"/>
  <c r="DH189" i="59"/>
  <c r="HS214" i="59"/>
  <c r="BC206" i="59"/>
  <c r="GB212" i="59"/>
  <c r="GW206" i="59"/>
  <c r="HF164" i="59"/>
  <c r="AH167" i="59"/>
  <c r="EY191" i="59"/>
  <c r="FM217" i="59"/>
  <c r="IO177" i="59"/>
  <c r="CE213" i="59"/>
  <c r="L204" i="59"/>
  <c r="GX175" i="59"/>
  <c r="ID164" i="59"/>
  <c r="IN208" i="59"/>
  <c r="EC228" i="59"/>
  <c r="ED197" i="59"/>
  <c r="DW184" i="59"/>
  <c r="DQ165" i="59"/>
  <c r="EK210" i="59"/>
  <c r="Z185" i="59"/>
  <c r="HE188" i="59"/>
  <c r="IV190" i="59"/>
  <c r="DP171" i="59"/>
  <c r="BY169" i="59"/>
  <c r="AV193" i="59"/>
  <c r="DA221" i="59"/>
  <c r="S172" i="59"/>
  <c r="GI225" i="59"/>
  <c r="FF204" i="59"/>
  <c r="DA176" i="59"/>
  <c r="ER223" i="59"/>
  <c r="IU221" i="59"/>
  <c r="FN186" i="59"/>
  <c r="CF182" i="59"/>
  <c r="DV215" i="59"/>
  <c r="HL201" i="59"/>
  <c r="CT208" i="59"/>
  <c r="HZ227" i="59"/>
  <c r="HZ182" i="59"/>
  <c r="HS169" i="59"/>
  <c r="FG173" i="59"/>
  <c r="AG198" i="59"/>
  <c r="GC166" i="59"/>
  <c r="HS199" i="59"/>
  <c r="FU184" i="59"/>
  <c r="IH194" i="59"/>
  <c r="EK195" i="59"/>
  <c r="AK165" i="59"/>
  <c r="IV175" i="59"/>
  <c r="EZ190" i="59"/>
  <c r="ED182" i="59"/>
  <c r="AV223" i="59"/>
  <c r="FN216" i="59"/>
  <c r="L189" i="59"/>
  <c r="CT193" i="59"/>
  <c r="AM165" i="59"/>
  <c r="AG228" i="59"/>
  <c r="CM180" i="59"/>
  <c r="DW214" i="59"/>
  <c r="HE218" i="59"/>
  <c r="DP201" i="59"/>
  <c r="DB175" i="59"/>
  <c r="CF212" i="59"/>
  <c r="EH164" i="59"/>
  <c r="DW169" i="59"/>
  <c r="HT168" i="59"/>
  <c r="BY199" i="59"/>
  <c r="GI210" i="59"/>
  <c r="AA184" i="59"/>
  <c r="GP223" i="59"/>
  <c r="CF167" i="59"/>
  <c r="DI188" i="59"/>
  <c r="BR186" i="59"/>
  <c r="ES177" i="59"/>
  <c r="GB197" i="59"/>
  <c r="FG203" i="59"/>
  <c r="AC165" i="59"/>
  <c r="IA181" i="59"/>
  <c r="BK173" i="59"/>
  <c r="CM225" i="59"/>
  <c r="ER208" i="59"/>
  <c r="GX205" i="59"/>
  <c r="AH197" i="59"/>
  <c r="HE173" i="59"/>
  <c r="IG225" i="59"/>
  <c r="IO207" i="59"/>
  <c r="BC191" i="59"/>
  <c r="BJ204" i="59"/>
  <c r="ED227" i="59"/>
  <c r="GJ179" i="59"/>
  <c r="DH219" i="59"/>
  <c r="HL186" i="59"/>
  <c r="AV178" i="59"/>
  <c r="DA206" i="59"/>
  <c r="S202" i="59"/>
  <c r="HZ212" i="59"/>
  <c r="BQ217" i="59"/>
  <c r="IV220" i="59"/>
  <c r="GQ192" i="59"/>
  <c r="AO210" i="59"/>
  <c r="EY221" i="59"/>
  <c r="T171" i="59"/>
  <c r="Z215" i="59"/>
  <c r="FN171" i="59"/>
  <c r="G37" i="2"/>
  <c r="CY259" i="59"/>
  <c r="G36" i="2"/>
  <c r="BM259" i="59"/>
  <c r="G38" i="2"/>
  <c r="EK259" i="59"/>
  <c r="G39" i="2"/>
  <c r="FW259" i="59"/>
  <c r="G40" i="2"/>
  <c r="HI259" i="59"/>
  <c r="G41" i="2"/>
  <c r="IU259" i="59"/>
  <c r="G26" i="2"/>
  <c r="G27" i="2"/>
  <c r="G28" i="2"/>
  <c r="G29" i="2"/>
  <c r="G30" i="2"/>
  <c r="G31" i="2"/>
  <c r="CN258" i="59"/>
  <c r="AV15" i="5"/>
  <c r="DB163" i="59"/>
  <c r="AA77" i="40"/>
  <c r="Z120" i="59"/>
  <c r="AA60" i="40"/>
  <c r="EP116" i="59"/>
  <c r="AA52" i="40"/>
  <c r="HX114" i="59"/>
  <c r="AA76" i="40"/>
  <c r="HQ119" i="59"/>
  <c r="AA69" i="40"/>
  <c r="DH118" i="59"/>
  <c r="AA64" i="40"/>
  <c r="CY117" i="59"/>
  <c r="AA68" i="40"/>
  <c r="BH118" i="59"/>
  <c r="AA57" i="40"/>
  <c r="IG115" i="59"/>
  <c r="AA55" i="40"/>
  <c r="EG115" i="59"/>
  <c r="AA56" i="40"/>
  <c r="GG115" i="59"/>
  <c r="AA61" i="40"/>
  <c r="GP116" i="59"/>
  <c r="AA70" i="40"/>
  <c r="FH118" i="59"/>
  <c r="AA80" i="40"/>
  <c r="FZ120" i="59"/>
  <c r="AA75" i="40"/>
  <c r="FQ119" i="59"/>
  <c r="AA54" i="40"/>
  <c r="CG115" i="59"/>
  <c r="AA63" i="40"/>
  <c r="AY117" i="59"/>
  <c r="AA66" i="40"/>
  <c r="GY117" i="59"/>
  <c r="AA71" i="40"/>
  <c r="HH118" i="59"/>
  <c r="AA79" i="40"/>
  <c r="DZ120" i="59"/>
  <c r="AA62" i="40"/>
  <c r="IP116" i="59"/>
  <c r="AA67" i="40"/>
  <c r="H118" i="59"/>
  <c r="AA59" i="40"/>
  <c r="CP116" i="59"/>
  <c r="AA65" i="40"/>
  <c r="EY117" i="59"/>
  <c r="AA53" i="40"/>
  <c r="AG115" i="59"/>
  <c r="AA58" i="40"/>
  <c r="AP116" i="59"/>
  <c r="AA73" i="40"/>
  <c r="BQ119" i="59"/>
  <c r="AA72" i="40"/>
  <c r="Q119" i="59"/>
  <c r="AA74" i="40"/>
  <c r="DQ119" i="59"/>
  <c r="AA78" i="40"/>
  <c r="BZ120" i="59"/>
  <c r="AA51" i="40"/>
  <c r="FX114" i="59"/>
  <c r="AS63" i="40"/>
  <c r="BQ117" i="59"/>
  <c r="AS56" i="40"/>
  <c r="GY115" i="59"/>
  <c r="AS75" i="40"/>
  <c r="GI119" i="59"/>
  <c r="AS80" i="40"/>
  <c r="GR120" i="59"/>
  <c r="AS54" i="40"/>
  <c r="CY115" i="59"/>
  <c r="AS73" i="40"/>
  <c r="CI119" i="59"/>
  <c r="AS71" i="40"/>
  <c r="HZ118" i="59"/>
  <c r="AS60" i="40"/>
  <c r="FH116" i="59"/>
  <c r="AS67" i="40"/>
  <c r="Z118" i="59"/>
  <c r="AS66" i="40"/>
  <c r="HQ117" i="59"/>
  <c r="AS74" i="40"/>
  <c r="EI119" i="59"/>
  <c r="AS76" i="40"/>
  <c r="II119" i="59"/>
  <c r="AS59" i="40"/>
  <c r="DH116" i="59"/>
  <c r="AS58" i="40"/>
  <c r="BH116" i="59"/>
  <c r="AS52" i="40"/>
  <c r="IP114" i="59"/>
  <c r="AS72" i="40"/>
  <c r="AI119" i="59"/>
  <c r="AS61" i="40"/>
  <c r="HH116" i="59"/>
  <c r="AS57" i="40"/>
  <c r="H116" i="59"/>
  <c r="AS79" i="40"/>
  <c r="ER120" i="59"/>
  <c r="AS53" i="40"/>
  <c r="AY115" i="59"/>
  <c r="AS64" i="40"/>
  <c r="DQ117" i="59"/>
  <c r="AS77" i="40"/>
  <c r="AR120" i="59"/>
  <c r="AS70" i="40"/>
  <c r="FZ118" i="59"/>
  <c r="AS65" i="40"/>
  <c r="FQ117" i="59"/>
  <c r="AS55" i="40"/>
  <c r="EY115" i="59"/>
  <c r="AS68" i="40"/>
  <c r="BZ118" i="59"/>
  <c r="AS51" i="40"/>
  <c r="GP114" i="59"/>
  <c r="AS69" i="40"/>
  <c r="DZ118" i="59"/>
  <c r="AS78" i="40"/>
  <c r="CR120" i="59"/>
  <c r="AS62" i="40"/>
  <c r="Q117" i="59"/>
  <c r="AK65" i="40"/>
  <c r="FI117" i="59"/>
  <c r="AK56" i="40"/>
  <c r="GQ115" i="59"/>
  <c r="AK53" i="40"/>
  <c r="AQ115" i="59"/>
  <c r="AK62" i="40"/>
  <c r="I117" i="59"/>
  <c r="AK67" i="40"/>
  <c r="R118" i="59"/>
  <c r="AK58" i="40"/>
  <c r="AZ116" i="59"/>
  <c r="AK77" i="40"/>
  <c r="AJ120" i="59"/>
  <c r="AK63" i="40"/>
  <c r="BI117" i="59"/>
  <c r="AK54" i="40"/>
  <c r="CQ115" i="59"/>
  <c r="AK74" i="40"/>
  <c r="EA119" i="59"/>
  <c r="AK64" i="40"/>
  <c r="DI117" i="59"/>
  <c r="AK78" i="40"/>
  <c r="CJ120" i="59"/>
  <c r="AK73" i="40"/>
  <c r="CA119" i="59"/>
  <c r="AK69" i="40"/>
  <c r="DR118" i="59"/>
  <c r="AK60" i="40"/>
  <c r="EZ116" i="59"/>
  <c r="AK57" i="40"/>
  <c r="IQ115" i="59"/>
  <c r="AK76" i="40"/>
  <c r="IA119" i="59"/>
  <c r="AK68" i="40"/>
  <c r="BR118" i="59"/>
  <c r="AK66" i="40"/>
  <c r="HI117" i="59"/>
  <c r="AK80" i="40"/>
  <c r="GJ120" i="59"/>
  <c r="AK55" i="40"/>
  <c r="EQ115" i="59"/>
  <c r="AK70" i="40"/>
  <c r="FR118" i="59"/>
  <c r="AK75" i="40"/>
  <c r="GA119" i="59"/>
  <c r="AK61" i="40"/>
  <c r="GZ116" i="59"/>
  <c r="AK79" i="40"/>
  <c r="EJ120" i="59"/>
  <c r="AK52" i="40"/>
  <c r="IH114" i="59"/>
  <c r="AK72" i="40"/>
  <c r="AA119" i="59"/>
  <c r="AK71" i="40"/>
  <c r="HR118" i="59"/>
  <c r="AK59" i="40"/>
  <c r="CZ116" i="59"/>
  <c r="AK51" i="40"/>
  <c r="GH114" i="59"/>
  <c r="AC60" i="40"/>
  <c r="ER116" i="59"/>
  <c r="AC64" i="40"/>
  <c r="DA117" i="59"/>
  <c r="AC52" i="40"/>
  <c r="HZ114" i="59"/>
  <c r="AC57" i="40"/>
  <c r="II115" i="59"/>
  <c r="AC76" i="40"/>
  <c r="HS119" i="59"/>
  <c r="AC74" i="40"/>
  <c r="DS119" i="59"/>
  <c r="AC69" i="40"/>
  <c r="DJ118" i="59"/>
  <c r="AC68" i="40"/>
  <c r="BJ118" i="59"/>
  <c r="AC73" i="40"/>
  <c r="BS119" i="59"/>
  <c r="AC75" i="40"/>
  <c r="FS119" i="59"/>
  <c r="AC79" i="40"/>
  <c r="EB120" i="59"/>
  <c r="AC55" i="40"/>
  <c r="EI115" i="59"/>
  <c r="AC78" i="40"/>
  <c r="CB120" i="59"/>
  <c r="AC59" i="40"/>
  <c r="CR116" i="59"/>
  <c r="AC63" i="40"/>
  <c r="BA117" i="59"/>
  <c r="AC62" i="40"/>
  <c r="IR116" i="59"/>
  <c r="AC67" i="40"/>
  <c r="J118" i="59"/>
  <c r="AC58" i="40"/>
  <c r="AR116" i="59"/>
  <c r="AC66" i="40"/>
  <c r="HA117" i="59"/>
  <c r="AC71" i="40"/>
  <c r="HJ118" i="59"/>
  <c r="AC54" i="40"/>
  <c r="CI115" i="59"/>
  <c r="AC61" i="40"/>
  <c r="GR116" i="59"/>
  <c r="AC70" i="40"/>
  <c r="FJ118" i="59"/>
  <c r="AC72" i="40"/>
  <c r="S119" i="59"/>
  <c r="AC65" i="40"/>
  <c r="FA117" i="59"/>
  <c r="AC53" i="40"/>
  <c r="AI115" i="59"/>
  <c r="AC77" i="40"/>
  <c r="AB120" i="59"/>
  <c r="AC80" i="40"/>
  <c r="GB120" i="59"/>
  <c r="AC56" i="40"/>
  <c r="GI115" i="59"/>
  <c r="AC51" i="40"/>
  <c r="FZ114" i="59"/>
  <c r="U61" i="40"/>
  <c r="GJ116" i="59"/>
  <c r="U70" i="40"/>
  <c r="FB118" i="59"/>
  <c r="U59" i="40"/>
  <c r="CJ116" i="59"/>
  <c r="U56" i="40"/>
  <c r="GA115" i="59"/>
  <c r="U63" i="40"/>
  <c r="AS117" i="59"/>
  <c r="U62" i="40"/>
  <c r="IJ116" i="59"/>
  <c r="U67" i="40"/>
  <c r="IS117" i="59"/>
  <c r="U60" i="40"/>
  <c r="EJ116" i="59"/>
  <c r="U76" i="40"/>
  <c r="HK119" i="59"/>
  <c r="U77" i="40"/>
  <c r="T120" i="59"/>
  <c r="U72" i="40"/>
  <c r="K119" i="59"/>
  <c r="U65" i="40"/>
  <c r="ES117" i="59"/>
  <c r="U69" i="40"/>
  <c r="DB118" i="59"/>
  <c r="U57" i="40"/>
  <c r="IA115" i="59"/>
  <c r="U79" i="40"/>
  <c r="DT120" i="59"/>
  <c r="U55" i="40"/>
  <c r="EA115" i="59"/>
  <c r="U75" i="40"/>
  <c r="FK119" i="59"/>
  <c r="U53" i="40"/>
  <c r="AA115" i="59"/>
  <c r="U52" i="40"/>
  <c r="HR114" i="59"/>
  <c r="U58" i="40"/>
  <c r="AJ116" i="59"/>
  <c r="U54" i="40"/>
  <c r="CA115" i="59"/>
  <c r="U64" i="40"/>
  <c r="CS117" i="59"/>
  <c r="U68" i="40"/>
  <c r="BB118" i="59"/>
  <c r="U66" i="40"/>
  <c r="GS117" i="59"/>
  <c r="U71" i="40"/>
  <c r="HB118" i="59"/>
  <c r="U74" i="40"/>
  <c r="DK119" i="59"/>
  <c r="U78" i="40"/>
  <c r="BT120" i="59"/>
  <c r="U73" i="40"/>
  <c r="BK119" i="59"/>
  <c r="U80" i="40"/>
  <c r="FT120" i="59"/>
  <c r="U51" i="40"/>
  <c r="FR114" i="59"/>
  <c r="M53" i="40"/>
  <c r="S115" i="59"/>
  <c r="M56" i="40"/>
  <c r="FS115" i="59"/>
  <c r="M68" i="40"/>
  <c r="AT118" i="59"/>
  <c r="M59" i="40"/>
  <c r="CB116" i="59"/>
  <c r="M62" i="40"/>
  <c r="IB116" i="59"/>
  <c r="M54" i="40"/>
  <c r="BS115" i="59"/>
  <c r="M60" i="40"/>
  <c r="EB116" i="59"/>
  <c r="M52" i="40"/>
  <c r="HJ114" i="59"/>
  <c r="M66" i="40"/>
  <c r="GK117" i="59"/>
  <c r="M74" i="40"/>
  <c r="DC119" i="59"/>
  <c r="M72" i="40"/>
  <c r="IT118" i="59"/>
  <c r="M77" i="40"/>
  <c r="L120" i="59"/>
  <c r="M79" i="40"/>
  <c r="DL120" i="59"/>
  <c r="M73" i="40"/>
  <c r="BC119" i="59"/>
  <c r="M71" i="40"/>
  <c r="GT118" i="59"/>
  <c r="M63" i="40"/>
  <c r="AK117" i="59"/>
  <c r="M69" i="40"/>
  <c r="CT118" i="59"/>
  <c r="M64" i="40"/>
  <c r="CK117" i="59"/>
  <c r="M70" i="40"/>
  <c r="ET118" i="59"/>
  <c r="M61" i="40"/>
  <c r="GB116" i="59"/>
  <c r="M55" i="40"/>
  <c r="DS115" i="59"/>
  <c r="M58" i="40"/>
  <c r="AB116" i="59"/>
  <c r="M78" i="40"/>
  <c r="BL120" i="59"/>
  <c r="M67" i="40"/>
  <c r="IK117" i="59"/>
  <c r="M76" i="40"/>
  <c r="HC119" i="59"/>
  <c r="M80" i="40"/>
  <c r="FL120" i="59"/>
  <c r="M65" i="40"/>
  <c r="EK117" i="59"/>
  <c r="M75" i="40"/>
  <c r="FC119" i="59"/>
  <c r="M57" i="40"/>
  <c r="HS115" i="59"/>
  <c r="M51" i="40"/>
  <c r="FJ114" i="59"/>
  <c r="M240" i="40"/>
  <c r="S151" i="59"/>
  <c r="AR54" i="40"/>
  <c r="CX115" i="59"/>
  <c r="AR71" i="40"/>
  <c r="HY118" i="59"/>
  <c r="AR58" i="40"/>
  <c r="BG116" i="59"/>
  <c r="AR70" i="40"/>
  <c r="FY118" i="59"/>
  <c r="AR66" i="40"/>
  <c r="HP117" i="59"/>
  <c r="AR79" i="40"/>
  <c r="EQ120" i="59"/>
  <c r="AR61" i="40"/>
  <c r="HG116" i="59"/>
  <c r="AR77" i="40"/>
  <c r="AQ120" i="59"/>
  <c r="AR67" i="40"/>
  <c r="Y118" i="59"/>
  <c r="AR56" i="40"/>
  <c r="GX115" i="59"/>
  <c r="AR59" i="40"/>
  <c r="DG116" i="59"/>
  <c r="AR53" i="40"/>
  <c r="AX115" i="59"/>
  <c r="AR80" i="40"/>
  <c r="GQ120" i="59"/>
  <c r="AR69" i="40"/>
  <c r="DY118" i="59"/>
  <c r="AR68" i="40"/>
  <c r="BY118" i="59"/>
  <c r="AR60" i="40"/>
  <c r="FG116" i="59"/>
  <c r="AR72" i="40"/>
  <c r="AH119" i="59"/>
  <c r="AR64" i="40"/>
  <c r="DP117" i="59"/>
  <c r="AR73" i="40"/>
  <c r="CH119" i="59"/>
  <c r="AR63" i="40"/>
  <c r="BP117" i="59"/>
  <c r="AR55" i="40"/>
  <c r="EX115" i="59"/>
  <c r="AR78" i="40"/>
  <c r="CQ120" i="59"/>
  <c r="AR62" i="40"/>
  <c r="P117" i="59"/>
  <c r="AR57" i="40"/>
  <c r="G116" i="59"/>
  <c r="AR75" i="40"/>
  <c r="GH119" i="59"/>
  <c r="AR76" i="40"/>
  <c r="IH119" i="59"/>
  <c r="AR65" i="40"/>
  <c r="FP117" i="59"/>
  <c r="AR74" i="40"/>
  <c r="EH119" i="59"/>
  <c r="AR51" i="40"/>
  <c r="GO114" i="59"/>
  <c r="AR52" i="40"/>
  <c r="IO114" i="59"/>
  <c r="AJ54" i="40"/>
  <c r="CP115" i="59"/>
  <c r="AJ69" i="40"/>
  <c r="DQ118" i="59"/>
  <c r="AJ53" i="40"/>
  <c r="AP115" i="59"/>
  <c r="AJ60" i="40"/>
  <c r="EY116" i="59"/>
  <c r="AJ57" i="40"/>
  <c r="IP115" i="59"/>
  <c r="AJ76" i="40"/>
  <c r="HZ119" i="59"/>
  <c r="AJ74" i="40"/>
  <c r="DZ119" i="59"/>
  <c r="AJ64" i="40"/>
  <c r="DH117" i="59"/>
  <c r="AJ78" i="40"/>
  <c r="CI120" i="59"/>
  <c r="AJ73" i="40"/>
  <c r="BZ119" i="59"/>
  <c r="AJ65" i="40"/>
  <c r="FH117" i="59"/>
  <c r="AJ56" i="40"/>
  <c r="GP115" i="59"/>
  <c r="AJ61" i="40"/>
  <c r="GY116" i="59"/>
  <c r="AJ79" i="40"/>
  <c r="EI120" i="59"/>
  <c r="AJ80" i="40"/>
  <c r="GI120" i="59"/>
  <c r="AJ68" i="40"/>
  <c r="BQ118" i="59"/>
  <c r="AJ67" i="40"/>
  <c r="Q118" i="59"/>
  <c r="AJ71" i="40"/>
  <c r="HQ118" i="59"/>
  <c r="AJ77" i="40"/>
  <c r="AI120" i="59"/>
  <c r="AJ59" i="40"/>
  <c r="CY116" i="59"/>
  <c r="AJ62" i="40"/>
  <c r="H117" i="59"/>
  <c r="AJ58" i="40"/>
  <c r="AY116" i="59"/>
  <c r="AJ63" i="40"/>
  <c r="BH117" i="59"/>
  <c r="AJ70" i="40"/>
  <c r="FQ118" i="59"/>
  <c r="AJ72" i="40"/>
  <c r="Z119" i="59"/>
  <c r="AJ75" i="40"/>
  <c r="FZ119" i="59"/>
  <c r="AJ55" i="40"/>
  <c r="EP115" i="59"/>
  <c r="AJ52" i="40"/>
  <c r="IG114" i="59"/>
  <c r="AJ66" i="40"/>
  <c r="HH117" i="59"/>
  <c r="AJ51" i="40"/>
  <c r="GG114" i="59"/>
  <c r="AB61" i="40"/>
  <c r="GQ116" i="59"/>
  <c r="AB70" i="40"/>
  <c r="FI118" i="59"/>
  <c r="AB56" i="40"/>
  <c r="GH115" i="59"/>
  <c r="AB53" i="40"/>
  <c r="AH115" i="59"/>
  <c r="AB63" i="40"/>
  <c r="AZ117" i="59"/>
  <c r="AB62" i="40"/>
  <c r="IQ116" i="59"/>
  <c r="AB67" i="40"/>
  <c r="I118" i="59"/>
  <c r="AB58" i="40"/>
  <c r="AQ116" i="59"/>
  <c r="AB60" i="40"/>
  <c r="EQ116" i="59"/>
  <c r="AB64" i="40"/>
  <c r="CZ117" i="59"/>
  <c r="AB57" i="40"/>
  <c r="IH115" i="59"/>
  <c r="AB76" i="40"/>
  <c r="HR119" i="59"/>
  <c r="AB52" i="40"/>
  <c r="HY114" i="59"/>
  <c r="AB72" i="40"/>
  <c r="R119" i="59"/>
  <c r="AB80" i="40"/>
  <c r="GA120" i="59"/>
  <c r="AB77" i="40"/>
  <c r="AA120" i="59"/>
  <c r="AB54" i="40"/>
  <c r="CH115" i="59"/>
  <c r="AB74" i="40"/>
  <c r="DR119" i="59"/>
  <c r="AB68" i="40"/>
  <c r="BI118" i="59"/>
  <c r="AB73" i="40"/>
  <c r="BR119" i="59"/>
  <c r="AB78" i="40"/>
  <c r="CA120" i="59"/>
  <c r="AB69" i="40"/>
  <c r="DI118" i="59"/>
  <c r="AB75" i="40"/>
  <c r="FR119" i="59"/>
  <c r="AB66" i="40"/>
  <c r="GZ117" i="59"/>
  <c r="AB71" i="40"/>
  <c r="HI118" i="59"/>
  <c r="AB79" i="40"/>
  <c r="EA120" i="59"/>
  <c r="AB59" i="40"/>
  <c r="CQ116" i="59"/>
  <c r="AB55" i="40"/>
  <c r="EH115" i="59"/>
  <c r="AB65" i="40"/>
  <c r="EZ117" i="59"/>
  <c r="AB51" i="40"/>
  <c r="FY114" i="59"/>
  <c r="T54" i="40"/>
  <c r="BZ115" i="59"/>
  <c r="T68" i="40"/>
  <c r="BA118" i="59"/>
  <c r="T62" i="40"/>
  <c r="II116" i="59"/>
  <c r="T75" i="40"/>
  <c r="FJ119" i="59"/>
  <c r="T65" i="40"/>
  <c r="ER117" i="59"/>
  <c r="T79" i="40"/>
  <c r="DS120" i="59"/>
  <c r="T58" i="40"/>
  <c r="AI116" i="59"/>
  <c r="T77" i="40"/>
  <c r="S120" i="59"/>
  <c r="T55" i="40"/>
  <c r="DZ115" i="59"/>
  <c r="T74" i="40"/>
  <c r="DJ119" i="59"/>
  <c r="T78" i="40"/>
  <c r="BS120" i="59"/>
  <c r="T73" i="40"/>
  <c r="BJ119" i="59"/>
  <c r="T63" i="40"/>
  <c r="AR117" i="59"/>
  <c r="T59" i="40"/>
  <c r="CI116" i="59"/>
  <c r="T61" i="40"/>
  <c r="GI116" i="59"/>
  <c r="T70" i="40"/>
  <c r="FA118" i="59"/>
  <c r="T52" i="40"/>
  <c r="HQ114" i="59"/>
  <c r="T72" i="40"/>
  <c r="J119" i="59"/>
  <c r="T66" i="40"/>
  <c r="GR117" i="59"/>
  <c r="T60" i="40"/>
  <c r="EI116" i="59"/>
  <c r="T76" i="40"/>
  <c r="HJ119" i="59"/>
  <c r="T64" i="40"/>
  <c r="CR117" i="59"/>
  <c r="T80" i="40"/>
  <c r="FS120" i="59"/>
  <c r="T56" i="40"/>
  <c r="FZ115" i="59"/>
  <c r="T69" i="40"/>
  <c r="DA118" i="59"/>
  <c r="T67" i="40"/>
  <c r="IR117" i="59"/>
  <c r="T57" i="40"/>
  <c r="HZ115" i="59"/>
  <c r="T53" i="40"/>
  <c r="Z115" i="59"/>
  <c r="T71" i="40"/>
  <c r="HA118" i="59"/>
  <c r="T51" i="40"/>
  <c r="FQ114" i="59"/>
  <c r="O240" i="40"/>
  <c r="U151" i="59"/>
  <c r="N240" i="40"/>
  <c r="T151" i="59"/>
  <c r="AV68" i="40"/>
  <c r="CC118" i="59"/>
  <c r="AV64" i="40"/>
  <c r="DT117" i="59"/>
  <c r="AV55" i="40"/>
  <c r="FB115" i="59"/>
  <c r="AV53" i="40"/>
  <c r="BB115" i="59"/>
  <c r="AV72" i="40"/>
  <c r="AL119" i="59"/>
  <c r="AV52" i="40"/>
  <c r="IS114" i="59"/>
  <c r="AV51" i="40"/>
  <c r="GS114" i="59"/>
  <c r="AV62" i="40"/>
  <c r="T117" i="59"/>
  <c r="AV69" i="40"/>
  <c r="EC118" i="59"/>
  <c r="AV63" i="40"/>
  <c r="BT117" i="59"/>
  <c r="AV54" i="40"/>
  <c r="DB115" i="59"/>
  <c r="AV73" i="40"/>
  <c r="CL119" i="59"/>
  <c r="AV57" i="40"/>
  <c r="K116" i="59"/>
  <c r="AV67" i="40"/>
  <c r="AC118" i="59"/>
  <c r="AV66" i="40"/>
  <c r="HT117" i="59"/>
  <c r="AV59" i="40"/>
  <c r="DK116" i="59"/>
  <c r="AV80" i="40"/>
  <c r="GU120" i="59"/>
  <c r="AV76" i="40"/>
  <c r="IL119" i="59"/>
  <c r="AV61" i="40"/>
  <c r="HK116" i="59"/>
  <c r="AV74" i="40"/>
  <c r="EL119" i="59"/>
  <c r="AV75" i="40"/>
  <c r="GL119" i="59"/>
  <c r="AV77" i="40"/>
  <c r="AU120" i="59"/>
  <c r="AV58" i="40"/>
  <c r="BK116" i="59"/>
  <c r="AV70" i="40"/>
  <c r="GC118" i="59"/>
  <c r="AV78" i="40"/>
  <c r="CU120" i="59"/>
  <c r="AV56" i="40"/>
  <c r="HB115" i="59"/>
  <c r="AV79" i="40"/>
  <c r="EU120" i="59"/>
  <c r="AV71" i="40"/>
  <c r="IC118" i="59"/>
  <c r="AV60" i="40"/>
  <c r="FK116" i="59"/>
  <c r="AV65" i="40"/>
  <c r="FT117" i="59"/>
  <c r="AN54" i="40"/>
  <c r="CT115" i="59"/>
  <c r="AN61" i="40"/>
  <c r="HC116" i="59"/>
  <c r="AN53" i="40"/>
  <c r="AT115" i="59"/>
  <c r="AN79" i="40"/>
  <c r="EM120" i="59"/>
  <c r="AN59" i="40"/>
  <c r="DC116" i="59"/>
  <c r="AN65" i="40"/>
  <c r="FL117" i="59"/>
  <c r="AN56" i="40"/>
  <c r="GT115" i="59"/>
  <c r="AN62" i="40"/>
  <c r="L117" i="59"/>
  <c r="AN67" i="40"/>
  <c r="U118" i="59"/>
  <c r="AN58" i="40"/>
  <c r="BC116" i="59"/>
  <c r="AN69" i="40"/>
  <c r="DU118" i="59"/>
  <c r="AN60" i="40"/>
  <c r="FC116" i="59"/>
  <c r="AN57" i="40"/>
  <c r="IT115" i="59"/>
  <c r="AN76" i="40"/>
  <c r="ID119" i="59"/>
  <c r="AN72" i="40"/>
  <c r="AD119" i="59"/>
  <c r="AN66" i="40"/>
  <c r="HL117" i="59"/>
  <c r="AN64" i="40"/>
  <c r="DL117" i="59"/>
  <c r="AN63" i="40"/>
  <c r="BL117" i="59"/>
  <c r="AN68" i="40"/>
  <c r="BU118" i="59"/>
  <c r="AN74" i="40"/>
  <c r="ED119" i="59"/>
  <c r="AN78" i="40"/>
  <c r="CM120" i="59"/>
  <c r="AN73" i="40"/>
  <c r="CD119" i="59"/>
  <c r="AN71" i="40"/>
  <c r="HU118" i="59"/>
  <c r="AN55" i="40"/>
  <c r="ET115" i="59"/>
  <c r="AN70" i="40"/>
  <c r="FU118" i="59"/>
  <c r="AN75" i="40"/>
  <c r="GD119" i="59"/>
  <c r="AN77" i="40"/>
  <c r="AM120" i="59"/>
  <c r="AN80" i="40"/>
  <c r="GM120" i="59"/>
  <c r="AN52" i="40"/>
  <c r="IK114" i="59"/>
  <c r="AN51" i="40"/>
  <c r="GK114" i="59"/>
  <c r="AF53" i="40"/>
  <c r="AL115" i="59"/>
  <c r="AF60" i="40"/>
  <c r="EU116" i="59"/>
  <c r="AF76" i="40"/>
  <c r="HV119" i="59"/>
  <c r="AF69" i="40"/>
  <c r="DM118" i="59"/>
  <c r="AF64" i="40"/>
  <c r="DD117" i="59"/>
  <c r="AF68" i="40"/>
  <c r="BM118" i="59"/>
  <c r="AF57" i="40"/>
  <c r="IL115" i="59"/>
  <c r="AF74" i="40"/>
  <c r="DV119" i="59"/>
  <c r="AF79" i="40"/>
  <c r="EE120" i="59"/>
  <c r="AF55" i="40"/>
  <c r="EL115" i="59"/>
  <c r="AF78" i="40"/>
  <c r="CE120" i="59"/>
  <c r="AF52" i="40"/>
  <c r="IC114" i="59"/>
  <c r="AF73" i="40"/>
  <c r="BV119" i="59"/>
  <c r="AF75" i="40"/>
  <c r="FV119" i="59"/>
  <c r="AF63" i="40"/>
  <c r="BD117" i="59"/>
  <c r="AF62" i="40"/>
  <c r="IU116" i="59"/>
  <c r="AF67" i="40"/>
  <c r="M118" i="59"/>
  <c r="AF56" i="40"/>
  <c r="GL115" i="59"/>
  <c r="AF66" i="40"/>
  <c r="HD117" i="59"/>
  <c r="AF71" i="40"/>
  <c r="HM118" i="59"/>
  <c r="AF72" i="40"/>
  <c r="V119" i="59"/>
  <c r="AF77" i="40"/>
  <c r="AE120" i="59"/>
  <c r="AF54" i="40"/>
  <c r="CL115" i="59"/>
  <c r="AF65" i="40"/>
  <c r="FD117" i="59"/>
  <c r="AF58" i="40"/>
  <c r="AU116" i="59"/>
  <c r="AF80" i="40"/>
  <c r="GE120" i="59"/>
  <c r="AF70" i="40"/>
  <c r="FM118" i="59"/>
  <c r="AF59" i="40"/>
  <c r="CU116" i="59"/>
  <c r="AF61" i="40"/>
  <c r="GU116" i="59"/>
  <c r="AF51" i="40"/>
  <c r="GC114" i="59"/>
  <c r="X69" i="40"/>
  <c r="DE118" i="59"/>
  <c r="X64" i="40"/>
  <c r="CV117" i="59"/>
  <c r="X68" i="40"/>
  <c r="BE118" i="59"/>
  <c r="X57" i="40"/>
  <c r="ID115" i="59"/>
  <c r="X74" i="40"/>
  <c r="DN119" i="59"/>
  <c r="X79" i="40"/>
  <c r="DW120" i="59"/>
  <c r="X55" i="40"/>
  <c r="ED115" i="59"/>
  <c r="X78" i="40"/>
  <c r="BW120" i="59"/>
  <c r="X52" i="40"/>
  <c r="HU114" i="59"/>
  <c r="X73" i="40"/>
  <c r="BN119" i="59"/>
  <c r="X75" i="40"/>
  <c r="FN119" i="59"/>
  <c r="X54" i="40"/>
  <c r="CD115" i="59"/>
  <c r="X61" i="40"/>
  <c r="GM116" i="59"/>
  <c r="X70" i="40"/>
  <c r="FE118" i="59"/>
  <c r="X59" i="40"/>
  <c r="CM116" i="59"/>
  <c r="X65" i="40"/>
  <c r="EV117" i="59"/>
  <c r="X58" i="40"/>
  <c r="AM116" i="59"/>
  <c r="X63" i="40"/>
  <c r="AV117" i="59"/>
  <c r="X77" i="40"/>
  <c r="W120" i="59"/>
  <c r="X72" i="40"/>
  <c r="N119" i="59"/>
  <c r="X53" i="40"/>
  <c r="AD115" i="59"/>
  <c r="X60" i="40"/>
  <c r="EM116" i="59"/>
  <c r="X76" i="40"/>
  <c r="HN119" i="59"/>
  <c r="X80" i="40"/>
  <c r="FW120" i="59"/>
  <c r="X62" i="40"/>
  <c r="IM116" i="59"/>
  <c r="X71" i="40"/>
  <c r="HE118" i="59"/>
  <c r="X67" i="40"/>
  <c r="IV117" i="59"/>
  <c r="X56" i="40"/>
  <c r="GD115" i="59"/>
  <c r="X66" i="40"/>
  <c r="GV117" i="59"/>
  <c r="X51" i="40"/>
  <c r="FU114" i="59"/>
  <c r="P74" i="40"/>
  <c r="DF119" i="59"/>
  <c r="P64" i="40"/>
  <c r="CN117" i="59"/>
  <c r="P78" i="40"/>
  <c r="BO120" i="59"/>
  <c r="P73" i="40"/>
  <c r="BF119" i="59"/>
  <c r="P53" i="40"/>
  <c r="V115" i="59"/>
  <c r="P55" i="40"/>
  <c r="DV115" i="59"/>
  <c r="P68" i="40"/>
  <c r="AW118" i="59"/>
  <c r="P70" i="40"/>
  <c r="EW118" i="59"/>
  <c r="P75" i="40"/>
  <c r="FF119" i="59"/>
  <c r="P61" i="40"/>
  <c r="GE116" i="59"/>
  <c r="P79" i="40"/>
  <c r="DO120" i="59"/>
  <c r="P52" i="40"/>
  <c r="HM114" i="59"/>
  <c r="P77" i="40"/>
  <c r="O120" i="59"/>
  <c r="P63" i="40"/>
  <c r="AN117" i="59"/>
  <c r="P67" i="40"/>
  <c r="IN117" i="59"/>
  <c r="P56" i="40"/>
  <c r="FV115" i="59"/>
  <c r="P54" i="40"/>
  <c r="BV115" i="59"/>
  <c r="P59" i="40"/>
  <c r="CE116" i="59"/>
  <c r="P69" i="40"/>
  <c r="CW118" i="59"/>
  <c r="P60" i="40"/>
  <c r="EE116" i="59"/>
  <c r="P57" i="40"/>
  <c r="HV115" i="59"/>
  <c r="P76" i="40"/>
  <c r="HF119" i="59"/>
  <c r="P72" i="40"/>
  <c r="F119" i="59"/>
  <c r="P65" i="40"/>
  <c r="EN117" i="59"/>
  <c r="P66" i="40"/>
  <c r="GN117" i="59"/>
  <c r="P80" i="40"/>
  <c r="FO120" i="59"/>
  <c r="P58" i="40"/>
  <c r="AE116" i="59"/>
  <c r="P71" i="40"/>
  <c r="GW118" i="59"/>
  <c r="P62" i="40"/>
  <c r="IE116" i="59"/>
  <c r="P51" i="40"/>
  <c r="FM114" i="59"/>
  <c r="AQ57" i="40"/>
  <c r="F116" i="59"/>
  <c r="AQ80" i="40"/>
  <c r="GP120" i="59"/>
  <c r="AQ77" i="40"/>
  <c r="AP120" i="59"/>
  <c r="AQ51" i="40"/>
  <c r="GN114" i="59"/>
  <c r="AQ74" i="40"/>
  <c r="EG119" i="59"/>
  <c r="AQ60" i="40"/>
  <c r="FF116" i="59"/>
  <c r="AQ76" i="40"/>
  <c r="IG119" i="59"/>
  <c r="AQ65" i="40"/>
  <c r="FO117" i="59"/>
  <c r="AQ69" i="40"/>
  <c r="DX118" i="59"/>
  <c r="AQ79" i="40"/>
  <c r="EP120" i="59"/>
  <c r="AQ53" i="40"/>
  <c r="AW115" i="59"/>
  <c r="AQ56" i="40"/>
  <c r="GW115" i="59"/>
  <c r="AQ75" i="40"/>
  <c r="GG119" i="59"/>
  <c r="AQ52" i="40"/>
  <c r="IN114" i="59"/>
  <c r="AQ59" i="40"/>
  <c r="DF116" i="59"/>
  <c r="AQ58" i="40"/>
  <c r="BF116" i="59"/>
  <c r="AQ63" i="40"/>
  <c r="BO117" i="59"/>
  <c r="AQ73" i="40"/>
  <c r="CG119" i="59"/>
  <c r="AQ78" i="40"/>
  <c r="CP120" i="59"/>
  <c r="AQ61" i="40"/>
  <c r="HF116" i="59"/>
  <c r="AQ70" i="40"/>
  <c r="FX118" i="59"/>
  <c r="AQ62" i="40"/>
  <c r="O117" i="59"/>
  <c r="AQ71" i="40"/>
  <c r="HX118" i="59"/>
  <c r="AQ72" i="40"/>
  <c r="AG119" i="59"/>
  <c r="AQ55" i="40"/>
  <c r="EW115" i="59"/>
  <c r="AQ68" i="40"/>
  <c r="BX118" i="59"/>
  <c r="AQ64" i="40"/>
  <c r="DO117" i="59"/>
  <c r="AQ67" i="40"/>
  <c r="X118" i="59"/>
  <c r="AQ66" i="40"/>
  <c r="HO117" i="59"/>
  <c r="AQ54" i="40"/>
  <c r="CW115" i="59"/>
  <c r="AP51" i="40"/>
  <c r="GM114" i="59"/>
  <c r="AP79" i="40"/>
  <c r="EO120" i="59"/>
  <c r="AP72" i="40"/>
  <c r="AF119" i="59"/>
  <c r="AP69" i="40"/>
  <c r="DW118" i="59"/>
  <c r="AP58" i="40"/>
  <c r="BE116" i="59"/>
  <c r="AP52" i="40"/>
  <c r="IM114" i="59"/>
  <c r="AP53" i="40"/>
  <c r="AV115" i="59"/>
  <c r="AP64" i="40"/>
  <c r="DN117" i="59"/>
  <c r="AP56" i="40"/>
  <c r="GV115" i="59"/>
  <c r="AP68" i="40"/>
  <c r="BW118" i="59"/>
  <c r="AP57" i="40"/>
  <c r="IV115" i="59"/>
  <c r="AP77" i="40"/>
  <c r="AO120" i="59"/>
  <c r="AP78" i="40"/>
  <c r="CO120" i="59"/>
  <c r="AP65" i="40"/>
  <c r="FN117" i="59"/>
  <c r="AP70" i="40"/>
  <c r="FW118" i="59"/>
  <c r="AP61" i="40"/>
  <c r="HE116" i="59"/>
  <c r="AP59" i="40"/>
  <c r="DE116" i="59"/>
  <c r="AP73" i="40"/>
  <c r="CF119" i="59"/>
  <c r="AP60" i="40"/>
  <c r="FE116" i="59"/>
  <c r="AP62" i="40"/>
  <c r="N117" i="59"/>
  <c r="AP75" i="40"/>
  <c r="GF119" i="59"/>
  <c r="AP76" i="40"/>
  <c r="IF119" i="59"/>
  <c r="AP66" i="40"/>
  <c r="HN117" i="59"/>
  <c r="AP67" i="40"/>
  <c r="W118" i="59"/>
  <c r="AP63" i="40"/>
  <c r="BN117" i="59"/>
  <c r="AP74" i="40"/>
  <c r="EF119" i="59"/>
  <c r="AP80" i="40"/>
  <c r="GO120" i="59"/>
  <c r="AP54" i="40"/>
  <c r="CV115" i="59"/>
  <c r="AP55" i="40"/>
  <c r="EV115" i="59"/>
  <c r="AP71" i="40"/>
  <c r="HW118" i="59"/>
  <c r="Z56" i="40"/>
  <c r="GF115" i="59"/>
  <c r="Z63" i="40"/>
  <c r="AX117" i="59"/>
  <c r="Z62" i="40"/>
  <c r="IO116" i="59"/>
  <c r="Z67" i="40"/>
  <c r="G118" i="59"/>
  <c r="Z65" i="40"/>
  <c r="EX117" i="59"/>
  <c r="Z53" i="40"/>
  <c r="AF115" i="59"/>
  <c r="Z52" i="40"/>
  <c r="HW114" i="59"/>
  <c r="Z58" i="40"/>
  <c r="AO116" i="59"/>
  <c r="Z54" i="40"/>
  <c r="CF115" i="59"/>
  <c r="Z69" i="40"/>
  <c r="DG118" i="59"/>
  <c r="Z64" i="40"/>
  <c r="CX117" i="59"/>
  <c r="Z68" i="40"/>
  <c r="BG118" i="59"/>
  <c r="Z57" i="40"/>
  <c r="IF115" i="59"/>
  <c r="Z79" i="40"/>
  <c r="DY120" i="59"/>
  <c r="Z55" i="40"/>
  <c r="EF115" i="59"/>
  <c r="Z75" i="40"/>
  <c r="FP119" i="59"/>
  <c r="Z80" i="40"/>
  <c r="FY120" i="59"/>
  <c r="Z59" i="40"/>
  <c r="CO116" i="59"/>
  <c r="Z74" i="40"/>
  <c r="DP119" i="59"/>
  <c r="Z78" i="40"/>
  <c r="BY120" i="59"/>
  <c r="Z73" i="40"/>
  <c r="BP119" i="59"/>
  <c r="Z61" i="40"/>
  <c r="GO116" i="59"/>
  <c r="Z70" i="40"/>
  <c r="FG118" i="59"/>
  <c r="Z77" i="40"/>
  <c r="Y120" i="59"/>
  <c r="Z72" i="40"/>
  <c r="P119" i="59"/>
  <c r="Z76" i="40"/>
  <c r="HP119" i="59"/>
  <c r="Z71" i="40"/>
  <c r="HG118" i="59"/>
  <c r="Z60" i="40"/>
  <c r="EO116" i="59"/>
  <c r="Z66" i="40"/>
  <c r="GX117" i="59"/>
  <c r="Z51" i="40"/>
  <c r="FW114" i="59"/>
  <c r="R79" i="40"/>
  <c r="DQ120" i="59"/>
  <c r="R55" i="40"/>
  <c r="DX115" i="59"/>
  <c r="R78" i="40"/>
  <c r="BQ120" i="59"/>
  <c r="R59" i="40"/>
  <c r="CG116" i="59"/>
  <c r="R54" i="40"/>
  <c r="BX115" i="59"/>
  <c r="R61" i="40"/>
  <c r="GG116" i="59"/>
  <c r="R70" i="40"/>
  <c r="EY118" i="59"/>
  <c r="R56" i="40"/>
  <c r="FX115" i="59"/>
  <c r="R77" i="40"/>
  <c r="Q120" i="59"/>
  <c r="R65" i="40"/>
  <c r="EP117" i="59"/>
  <c r="R53" i="40"/>
  <c r="X115" i="59"/>
  <c r="R63" i="40"/>
  <c r="AP117" i="59"/>
  <c r="R60" i="40"/>
  <c r="EG116" i="59"/>
  <c r="R64" i="40"/>
  <c r="CP117" i="59"/>
  <c r="R52" i="40"/>
  <c r="HO114" i="59"/>
  <c r="R76" i="40"/>
  <c r="HH119" i="59"/>
  <c r="R72" i="40"/>
  <c r="H119" i="59"/>
  <c r="R74" i="40"/>
  <c r="DH119" i="59"/>
  <c r="R68" i="40"/>
  <c r="AY118" i="59"/>
  <c r="R73" i="40"/>
  <c r="BH119" i="59"/>
  <c r="R57" i="40"/>
  <c r="HX115" i="59"/>
  <c r="R69" i="40"/>
  <c r="CY118" i="59"/>
  <c r="R75" i="40"/>
  <c r="FH119" i="59"/>
  <c r="R66" i="40"/>
  <c r="GP117" i="59"/>
  <c r="R71" i="40"/>
  <c r="GY118" i="59"/>
  <c r="R58" i="40"/>
  <c r="AG116" i="59"/>
  <c r="R67" i="40"/>
  <c r="IP117" i="59"/>
  <c r="R62" i="40"/>
  <c r="IG116" i="59"/>
  <c r="R80" i="40"/>
  <c r="FQ120" i="59"/>
  <c r="R51" i="40"/>
  <c r="FO114" i="59"/>
  <c r="AO65" i="40"/>
  <c r="FM117" i="59"/>
  <c r="AO66" i="40"/>
  <c r="HM117" i="59"/>
  <c r="AO80" i="40"/>
  <c r="GN120" i="59"/>
  <c r="AO59" i="40"/>
  <c r="DD116" i="59"/>
  <c r="AO53" i="40"/>
  <c r="AU115" i="59"/>
  <c r="AO58" i="40"/>
  <c r="BD116" i="59"/>
  <c r="AO69" i="40"/>
  <c r="DV118" i="59"/>
  <c r="AO79" i="40"/>
  <c r="EN120" i="59"/>
  <c r="AO60" i="40"/>
  <c r="FD116" i="59"/>
  <c r="AO52" i="40"/>
  <c r="IL114" i="59"/>
  <c r="AO62" i="40"/>
  <c r="M117" i="59"/>
  <c r="AO56" i="40"/>
  <c r="GU115" i="59"/>
  <c r="AO54" i="40"/>
  <c r="CU115" i="59"/>
  <c r="AO73" i="40"/>
  <c r="CE119" i="59"/>
  <c r="AO74" i="40"/>
  <c r="EE119" i="59"/>
  <c r="AO77" i="40"/>
  <c r="AN120" i="59"/>
  <c r="AO67" i="40"/>
  <c r="V118" i="59"/>
  <c r="AO51" i="40"/>
  <c r="GL114" i="59"/>
  <c r="AO55" i="40"/>
  <c r="EU115" i="59"/>
  <c r="AO64" i="40"/>
  <c r="DM117" i="59"/>
  <c r="AO72" i="40"/>
  <c r="AE119" i="59"/>
  <c r="AO61" i="40"/>
  <c r="HD116" i="59"/>
  <c r="AO63" i="40"/>
  <c r="BM117" i="59"/>
  <c r="AO71" i="40"/>
  <c r="HV118" i="59"/>
  <c r="AO75" i="40"/>
  <c r="GE119" i="59"/>
  <c r="AO68" i="40"/>
  <c r="BV118" i="59"/>
  <c r="AO76" i="40"/>
  <c r="IE119" i="59"/>
  <c r="AO78" i="40"/>
  <c r="CN120" i="59"/>
  <c r="AO57" i="40"/>
  <c r="IU115" i="59"/>
  <c r="AO70" i="40"/>
  <c r="FV118" i="59"/>
  <c r="Y69" i="40"/>
  <c r="DF118" i="59"/>
  <c r="Y60" i="40"/>
  <c r="EN116" i="59"/>
  <c r="Y57" i="40"/>
  <c r="IE115" i="59"/>
  <c r="Y76" i="40"/>
  <c r="HO119" i="59"/>
  <c r="Y74" i="40"/>
  <c r="DO119" i="59"/>
  <c r="Y64" i="40"/>
  <c r="CW117" i="59"/>
  <c r="Y78" i="40"/>
  <c r="BX120" i="59"/>
  <c r="Y73" i="40"/>
  <c r="BO119" i="59"/>
  <c r="Y55" i="40"/>
  <c r="EE115" i="59"/>
  <c r="Y68" i="40"/>
  <c r="BF118" i="59"/>
  <c r="Y70" i="40"/>
  <c r="FF118" i="59"/>
  <c r="Y75" i="40"/>
  <c r="FO119" i="59"/>
  <c r="Y52" i="40"/>
  <c r="HV114" i="59"/>
  <c r="Y62" i="40"/>
  <c r="IN116" i="59"/>
  <c r="Y67" i="40"/>
  <c r="F118" i="59"/>
  <c r="Y58" i="40"/>
  <c r="AN116" i="59"/>
  <c r="Y71" i="40"/>
  <c r="HF118" i="59"/>
  <c r="Y77" i="40"/>
  <c r="X120" i="59"/>
  <c r="Y53" i="40"/>
  <c r="AE115" i="59"/>
  <c r="Y59" i="40"/>
  <c r="CN116" i="59"/>
  <c r="Y72" i="40"/>
  <c r="O119" i="59"/>
  <c r="Y63" i="40"/>
  <c r="AW117" i="59"/>
  <c r="Y54" i="40"/>
  <c r="CE115" i="59"/>
  <c r="Y66" i="40"/>
  <c r="GW117" i="59"/>
  <c r="Y79" i="40"/>
  <c r="DX120" i="59"/>
  <c r="Y56" i="40"/>
  <c r="GE115" i="59"/>
  <c r="Y61" i="40"/>
  <c r="GN116" i="59"/>
  <c r="Y80" i="40"/>
  <c r="FX120" i="59"/>
  <c r="Y65" i="40"/>
  <c r="EW117" i="59"/>
  <c r="Y51" i="40"/>
  <c r="FV114" i="59"/>
  <c r="AU57" i="40"/>
  <c r="J116" i="59"/>
  <c r="AU78" i="40"/>
  <c r="CT120" i="59"/>
  <c r="AU55" i="40"/>
  <c r="FA115" i="59"/>
  <c r="AU70" i="40"/>
  <c r="GB118" i="59"/>
  <c r="AU56" i="40"/>
  <c r="HA115" i="59"/>
  <c r="AU59" i="40"/>
  <c r="DJ116" i="59"/>
  <c r="AU65" i="40"/>
  <c r="FS117" i="59"/>
  <c r="AU63" i="40"/>
  <c r="BS117" i="59"/>
  <c r="AU51" i="40"/>
  <c r="GR114" i="59"/>
  <c r="AU67" i="40"/>
  <c r="AB118" i="59"/>
  <c r="AU76" i="40"/>
  <c r="IK119" i="59"/>
  <c r="AU61" i="40"/>
  <c r="HJ116" i="59"/>
  <c r="AU62" i="40"/>
  <c r="S117" i="59"/>
  <c r="AU60" i="40"/>
  <c r="FJ116" i="59"/>
  <c r="AU58" i="40"/>
  <c r="BJ116" i="59"/>
  <c r="AU53" i="40"/>
  <c r="BA115" i="59"/>
  <c r="AU73" i="40"/>
  <c r="CK119" i="59"/>
  <c r="AU68" i="40"/>
  <c r="CB118" i="59"/>
  <c r="AU54" i="40"/>
  <c r="DA115" i="59"/>
  <c r="AU71" i="40"/>
  <c r="IB118" i="59"/>
  <c r="AU64" i="40"/>
  <c r="DS117" i="59"/>
  <c r="AU79" i="40"/>
  <c r="ET120" i="59"/>
  <c r="AU75" i="40"/>
  <c r="GK119" i="59"/>
  <c r="AU52" i="40"/>
  <c r="IR114" i="59"/>
  <c r="AU72" i="40"/>
  <c r="AK119" i="59"/>
  <c r="AU69" i="40"/>
  <c r="EB118" i="59"/>
  <c r="AU77" i="40"/>
  <c r="AT120" i="59"/>
  <c r="AU66" i="40"/>
  <c r="HS117" i="59"/>
  <c r="AU74" i="40"/>
  <c r="EK119" i="59"/>
  <c r="AU80" i="40"/>
  <c r="GT120" i="59"/>
  <c r="AM65" i="40"/>
  <c r="FK117" i="59"/>
  <c r="AM58" i="40"/>
  <c r="BB116" i="59"/>
  <c r="AM77" i="40"/>
  <c r="AL120" i="59"/>
  <c r="AM53" i="40"/>
  <c r="AS115" i="59"/>
  <c r="AM60" i="40"/>
  <c r="FB116" i="59"/>
  <c r="AM76" i="40"/>
  <c r="IC119" i="59"/>
  <c r="AM61" i="40"/>
  <c r="HB116" i="59"/>
  <c r="AM70" i="40"/>
  <c r="FT118" i="59"/>
  <c r="AM59" i="40"/>
  <c r="DB116" i="59"/>
  <c r="AM54" i="40"/>
  <c r="CS115" i="59"/>
  <c r="AM74" i="40"/>
  <c r="EC119" i="59"/>
  <c r="AM78" i="40"/>
  <c r="CL120" i="59"/>
  <c r="AM52" i="40"/>
  <c r="IJ114" i="59"/>
  <c r="AM73" i="40"/>
  <c r="CC119" i="59"/>
  <c r="AM56" i="40"/>
  <c r="GS115" i="59"/>
  <c r="AM80" i="40"/>
  <c r="GL120" i="59"/>
  <c r="AM55" i="40"/>
  <c r="ES115" i="59"/>
  <c r="AM57" i="40"/>
  <c r="IS115" i="59"/>
  <c r="AM63" i="40"/>
  <c r="BK117" i="59"/>
  <c r="AM66" i="40"/>
  <c r="HK117" i="59"/>
  <c r="AM71" i="40"/>
  <c r="HT118" i="59"/>
  <c r="AM69" i="40"/>
  <c r="DT118" i="59"/>
  <c r="AM72" i="40"/>
  <c r="AC119" i="59"/>
  <c r="AM62" i="40"/>
  <c r="K117" i="59"/>
  <c r="AM67" i="40"/>
  <c r="T118" i="59"/>
  <c r="AM68" i="40"/>
  <c r="BT118" i="59"/>
  <c r="AM79" i="40"/>
  <c r="EL120" i="59"/>
  <c r="AM75" i="40"/>
  <c r="GC119" i="59"/>
  <c r="AM64" i="40"/>
  <c r="DK117" i="59"/>
  <c r="AM51" i="40"/>
  <c r="GJ114" i="59"/>
  <c r="AE65" i="40"/>
  <c r="FC117" i="59"/>
  <c r="AE77" i="40"/>
  <c r="AD120" i="59"/>
  <c r="AE60" i="40"/>
  <c r="ET116" i="59"/>
  <c r="AE64" i="40"/>
  <c r="DC117" i="59"/>
  <c r="AE57" i="40"/>
  <c r="IK115" i="59"/>
  <c r="AE76" i="40"/>
  <c r="HU119" i="59"/>
  <c r="AE61" i="40"/>
  <c r="GT116" i="59"/>
  <c r="AE52" i="40"/>
  <c r="IB114" i="59"/>
  <c r="AE70" i="40"/>
  <c r="FL118" i="59"/>
  <c r="AE79" i="40"/>
  <c r="ED120" i="59"/>
  <c r="AE55" i="40"/>
  <c r="EK115" i="59"/>
  <c r="AE59" i="40"/>
  <c r="CT116" i="59"/>
  <c r="AE80" i="40"/>
  <c r="GD120" i="59"/>
  <c r="AE73" i="40"/>
  <c r="BU119" i="59"/>
  <c r="AE68" i="40"/>
  <c r="BL118" i="59"/>
  <c r="AE54" i="40"/>
  <c r="CK115" i="59"/>
  <c r="AE62" i="40"/>
  <c r="IT116" i="59"/>
  <c r="AE67" i="40"/>
  <c r="L118" i="59"/>
  <c r="AE58" i="40"/>
  <c r="AT116" i="59"/>
  <c r="AE66" i="40"/>
  <c r="HC117" i="59"/>
  <c r="AE71" i="40"/>
  <c r="HL118" i="59"/>
  <c r="AE74" i="40"/>
  <c r="DU119" i="59"/>
  <c r="AE56" i="40"/>
  <c r="GK115" i="59"/>
  <c r="AE72" i="40"/>
  <c r="U119" i="59"/>
  <c r="AE63" i="40"/>
  <c r="BC117" i="59"/>
  <c r="AE53" i="40"/>
  <c r="AK115" i="59"/>
  <c r="AE69" i="40"/>
  <c r="DL118" i="59"/>
  <c r="AE75" i="40"/>
  <c r="FU119" i="59"/>
  <c r="AE78" i="40"/>
  <c r="CD120" i="59"/>
  <c r="AE51" i="40"/>
  <c r="GB114" i="59"/>
  <c r="W54" i="40"/>
  <c r="CC115" i="59"/>
  <c r="W63" i="40"/>
  <c r="AU117" i="59"/>
  <c r="W62" i="40"/>
  <c r="IL116" i="59"/>
  <c r="W67" i="40"/>
  <c r="IU117" i="59"/>
  <c r="W58" i="40"/>
  <c r="AL116" i="59"/>
  <c r="W65" i="40"/>
  <c r="EU117" i="59"/>
  <c r="W77" i="40"/>
  <c r="V120" i="59"/>
  <c r="W53" i="40"/>
  <c r="AC115" i="59"/>
  <c r="W79" i="40"/>
  <c r="DV120" i="59"/>
  <c r="W55" i="40"/>
  <c r="EC115" i="59"/>
  <c r="W78" i="40"/>
  <c r="BV120" i="59"/>
  <c r="W59" i="40"/>
  <c r="CL116" i="59"/>
  <c r="W69" i="40"/>
  <c r="DD118" i="59"/>
  <c r="W75" i="40"/>
  <c r="FM119" i="59"/>
  <c r="W60" i="40"/>
  <c r="EL116" i="59"/>
  <c r="W64" i="40"/>
  <c r="CU117" i="59"/>
  <c r="W66" i="40"/>
  <c r="GU117" i="59"/>
  <c r="W80" i="40"/>
  <c r="FV120" i="59"/>
  <c r="W76" i="40"/>
  <c r="HM119" i="59"/>
  <c r="W71" i="40"/>
  <c r="HD118" i="59"/>
  <c r="W61" i="40"/>
  <c r="GL116" i="59"/>
  <c r="W52" i="40"/>
  <c r="HT114" i="59"/>
  <c r="W70" i="40"/>
  <c r="FD118" i="59"/>
  <c r="W56" i="40"/>
  <c r="GC115" i="59"/>
  <c r="W72" i="40"/>
  <c r="M119" i="59"/>
  <c r="W57" i="40"/>
  <c r="IC115" i="59"/>
  <c r="W68" i="40"/>
  <c r="BD118" i="59"/>
  <c r="W74" i="40"/>
  <c r="DM119" i="59"/>
  <c r="W73" i="40"/>
  <c r="BM119" i="59"/>
  <c r="W51" i="40"/>
  <c r="FT114" i="59"/>
  <c r="N63" i="40"/>
  <c r="AL117" i="59"/>
  <c r="N55" i="40"/>
  <c r="DT115" i="59"/>
  <c r="N58" i="40"/>
  <c r="AC116" i="59"/>
  <c r="N53" i="40"/>
  <c r="T115" i="59"/>
  <c r="N74" i="40"/>
  <c r="DD119" i="59"/>
  <c r="N69" i="40"/>
  <c r="CU118" i="59"/>
  <c r="N79" i="40"/>
  <c r="DM120" i="59"/>
  <c r="N73" i="40"/>
  <c r="BD119" i="59"/>
  <c r="N75" i="40"/>
  <c r="FD119" i="59"/>
  <c r="N60" i="40"/>
  <c r="EC116" i="59"/>
  <c r="N68" i="40"/>
  <c r="AU118" i="59"/>
  <c r="N57" i="40"/>
  <c r="HT115" i="59"/>
  <c r="N76" i="40"/>
  <c r="HD119" i="59"/>
  <c r="N66" i="40"/>
  <c r="GL117" i="59"/>
  <c r="N78" i="40"/>
  <c r="BM120" i="59"/>
  <c r="N59" i="40"/>
  <c r="CC116" i="59"/>
  <c r="N77" i="40"/>
  <c r="M120" i="59"/>
  <c r="N54" i="40"/>
  <c r="BT115" i="59"/>
  <c r="N61" i="40"/>
  <c r="GC116" i="59"/>
  <c r="N62" i="40"/>
  <c r="IC116" i="59"/>
  <c r="N67" i="40"/>
  <c r="IL117" i="59"/>
  <c r="N70" i="40"/>
  <c r="EU118" i="59"/>
  <c r="N80" i="40"/>
  <c r="FM120" i="59"/>
  <c r="N65" i="40"/>
  <c r="EL117" i="59"/>
  <c r="N56" i="40"/>
  <c r="FT115" i="59"/>
  <c r="N72" i="40"/>
  <c r="IU118" i="59"/>
  <c r="N52" i="40"/>
  <c r="HK114" i="59"/>
  <c r="N71" i="40"/>
  <c r="GU118" i="59"/>
  <c r="N64" i="40"/>
  <c r="CL117" i="59"/>
  <c r="N51" i="40"/>
  <c r="FK114" i="59"/>
  <c r="AI55" i="40"/>
  <c r="EO115" i="59"/>
  <c r="AI68" i="40"/>
  <c r="BP118" i="59"/>
  <c r="AI70" i="40"/>
  <c r="FP118" i="59"/>
  <c r="AI75" i="40"/>
  <c r="FY119" i="59"/>
  <c r="AI61" i="40"/>
  <c r="GX116" i="59"/>
  <c r="AI79" i="40"/>
  <c r="EH120" i="59"/>
  <c r="AI52" i="40"/>
  <c r="IF114" i="59"/>
  <c r="AI65" i="40"/>
  <c r="FG117" i="59"/>
  <c r="AI56" i="40"/>
  <c r="GO115" i="59"/>
  <c r="AI77" i="40"/>
  <c r="AH120" i="59"/>
  <c r="AI59" i="40"/>
  <c r="CX116" i="59"/>
  <c r="AI69" i="40"/>
  <c r="DP118" i="59"/>
  <c r="AI60" i="40"/>
  <c r="EX116" i="59"/>
  <c r="AI57" i="40"/>
  <c r="IO115" i="59"/>
  <c r="AI76" i="40"/>
  <c r="HY119" i="59"/>
  <c r="AI72" i="40"/>
  <c r="Y119" i="59"/>
  <c r="AI58" i="40"/>
  <c r="AX116" i="59"/>
  <c r="AI53" i="40"/>
  <c r="AO115" i="59"/>
  <c r="AI64" i="40"/>
  <c r="DG117" i="59"/>
  <c r="AI62" i="40"/>
  <c r="G117" i="59"/>
  <c r="AI54" i="40"/>
  <c r="CO115" i="59"/>
  <c r="AI80" i="40"/>
  <c r="GH120" i="59"/>
  <c r="AI74" i="40"/>
  <c r="DY119" i="59"/>
  <c r="AI78" i="40"/>
  <c r="CH120" i="59"/>
  <c r="AI73" i="40"/>
  <c r="BY119" i="59"/>
  <c r="AI71" i="40"/>
  <c r="HP118" i="59"/>
  <c r="AI66" i="40"/>
  <c r="HG117" i="59"/>
  <c r="AI63" i="40"/>
  <c r="BG117" i="59"/>
  <c r="AI67" i="40"/>
  <c r="P118" i="59"/>
  <c r="AI51" i="40"/>
  <c r="GF114" i="59"/>
  <c r="S55" i="40"/>
  <c r="DY115" i="59"/>
  <c r="S62" i="40"/>
  <c r="IH116" i="59"/>
  <c r="S67" i="40"/>
  <c r="IQ117" i="59"/>
  <c r="S58" i="40"/>
  <c r="AH116" i="59"/>
  <c r="S77" i="40"/>
  <c r="R120" i="59"/>
  <c r="S63" i="40"/>
  <c r="AQ117" i="59"/>
  <c r="S54" i="40"/>
  <c r="BY115" i="59"/>
  <c r="S68" i="40"/>
  <c r="AZ118" i="59"/>
  <c r="S52" i="40"/>
  <c r="HP114" i="59"/>
  <c r="S70" i="40"/>
  <c r="EZ118" i="59"/>
  <c r="S75" i="40"/>
  <c r="FI119" i="59"/>
  <c r="S64" i="40"/>
  <c r="CQ117" i="59"/>
  <c r="S71" i="40"/>
  <c r="GZ118" i="59"/>
  <c r="S66" i="40"/>
  <c r="GQ117" i="59"/>
  <c r="S65" i="40"/>
  <c r="EQ117" i="59"/>
  <c r="S56" i="40"/>
  <c r="FY115" i="59"/>
  <c r="S80" i="40"/>
  <c r="FR120" i="59"/>
  <c r="S61" i="40"/>
  <c r="GH116" i="59"/>
  <c r="S79" i="40"/>
  <c r="DR120" i="59"/>
  <c r="S59" i="40"/>
  <c r="CH116" i="59"/>
  <c r="S72" i="40"/>
  <c r="I119" i="59"/>
  <c r="S69" i="40"/>
  <c r="CZ118" i="59"/>
  <c r="S53" i="40"/>
  <c r="Y115" i="59"/>
  <c r="S78" i="40"/>
  <c r="BR120" i="59"/>
  <c r="S60" i="40"/>
  <c r="EH116" i="59"/>
  <c r="S74" i="40"/>
  <c r="DI119" i="59"/>
  <c r="S76" i="40"/>
  <c r="HI119" i="59"/>
  <c r="S73" i="40"/>
  <c r="BI119" i="59"/>
  <c r="S57" i="40"/>
  <c r="HY115" i="59"/>
  <c r="S51" i="40"/>
  <c r="FP114" i="59"/>
  <c r="AH52" i="40"/>
  <c r="IE114" i="59"/>
  <c r="AH65" i="40"/>
  <c r="FF117" i="59"/>
  <c r="AH62" i="40"/>
  <c r="F117" i="59"/>
  <c r="AH58" i="40"/>
  <c r="AW116" i="59"/>
  <c r="AH56" i="40"/>
  <c r="GN115" i="59"/>
  <c r="AH77" i="40"/>
  <c r="AG120" i="59"/>
  <c r="AH63" i="40"/>
  <c r="BF117" i="59"/>
  <c r="AH67" i="40"/>
  <c r="O118" i="59"/>
  <c r="AH74" i="40"/>
  <c r="DX119" i="59"/>
  <c r="AH64" i="40"/>
  <c r="DF117" i="59"/>
  <c r="AH78" i="40"/>
  <c r="CG120" i="59"/>
  <c r="AH73" i="40"/>
  <c r="BX119" i="59"/>
  <c r="AH72" i="40"/>
  <c r="X119" i="59"/>
  <c r="AH80" i="40"/>
  <c r="GG120" i="59"/>
  <c r="AH55" i="40"/>
  <c r="EN115" i="59"/>
  <c r="AH70" i="40"/>
  <c r="FO118" i="59"/>
  <c r="AH75" i="40"/>
  <c r="FX119" i="59"/>
  <c r="AH66" i="40"/>
  <c r="HF117" i="59"/>
  <c r="AH61" i="40"/>
  <c r="GW116" i="59"/>
  <c r="AH79" i="40"/>
  <c r="EG120" i="59"/>
  <c r="AH53" i="40"/>
  <c r="AN115" i="59"/>
  <c r="AH68" i="40"/>
  <c r="BO118" i="59"/>
  <c r="AH59" i="40"/>
  <c r="CW116" i="59"/>
  <c r="AH76" i="40"/>
  <c r="HX119" i="59"/>
  <c r="AH69" i="40"/>
  <c r="DO118" i="59"/>
  <c r="AH57" i="40"/>
  <c r="IN115" i="59"/>
  <c r="AH60" i="40"/>
  <c r="EW116" i="59"/>
  <c r="AH71" i="40"/>
  <c r="HO118" i="59"/>
  <c r="AH54" i="40"/>
  <c r="CN115" i="59"/>
  <c r="AH51" i="40"/>
  <c r="GE114" i="59"/>
  <c r="AW80" i="40"/>
  <c r="GV120" i="59"/>
  <c r="AW73" i="40"/>
  <c r="CM119" i="59"/>
  <c r="AW77" i="40"/>
  <c r="AV120" i="59"/>
  <c r="AW51" i="40"/>
  <c r="GT114" i="59"/>
  <c r="AW72" i="40"/>
  <c r="AM119" i="59"/>
  <c r="AW68" i="40"/>
  <c r="CD118" i="59"/>
  <c r="AW74" i="40"/>
  <c r="EM119" i="59"/>
  <c r="AW76" i="40"/>
  <c r="IM119" i="59"/>
  <c r="AW56" i="40"/>
  <c r="HC115" i="59"/>
  <c r="AW54" i="40"/>
  <c r="DC115" i="59"/>
  <c r="AW70" i="40"/>
  <c r="GD118" i="59"/>
  <c r="AW53" i="40"/>
  <c r="BC115" i="59"/>
  <c r="AW61" i="40"/>
  <c r="HL116" i="59"/>
  <c r="AW57" i="40"/>
  <c r="L116" i="59"/>
  <c r="AW78" i="40"/>
  <c r="CV120" i="59"/>
  <c r="AW63" i="40"/>
  <c r="BU117" i="59"/>
  <c r="AW60" i="40"/>
  <c r="FL116" i="59"/>
  <c r="AW55" i="40"/>
  <c r="FC115" i="59"/>
  <c r="AW52" i="40"/>
  <c r="IT114" i="59"/>
  <c r="AW64" i="40"/>
  <c r="DU117" i="59"/>
  <c r="AW69" i="40"/>
  <c r="ED118" i="59"/>
  <c r="AW66" i="40"/>
  <c r="HU117" i="59"/>
  <c r="AW75" i="40"/>
  <c r="GM119" i="59"/>
  <c r="AW67" i="40"/>
  <c r="AD118" i="59"/>
  <c r="AW59" i="40"/>
  <c r="DL116" i="59"/>
  <c r="AW65" i="40"/>
  <c r="FU117" i="59"/>
  <c r="AW62" i="40"/>
  <c r="U117" i="59"/>
  <c r="AW71" i="40"/>
  <c r="ID118" i="59"/>
  <c r="AW79" i="40"/>
  <c r="EV120" i="59"/>
  <c r="AW58" i="40"/>
  <c r="BL116" i="59"/>
  <c r="AG77" i="40"/>
  <c r="AF120" i="59"/>
  <c r="AG53" i="40"/>
  <c r="AM115" i="59"/>
  <c r="AG60" i="40"/>
  <c r="EV116" i="59"/>
  <c r="AG64" i="40"/>
  <c r="DE117" i="59"/>
  <c r="AG52" i="40"/>
  <c r="ID114" i="59"/>
  <c r="AG57" i="40"/>
  <c r="IM115" i="59"/>
  <c r="AG76" i="40"/>
  <c r="HW119" i="59"/>
  <c r="AG74" i="40"/>
  <c r="DW119" i="59"/>
  <c r="AG69" i="40"/>
  <c r="DN118" i="59"/>
  <c r="AG68" i="40"/>
  <c r="BN118" i="59"/>
  <c r="AG73" i="40"/>
  <c r="BW119" i="59"/>
  <c r="AG75" i="40"/>
  <c r="FW119" i="59"/>
  <c r="AG56" i="40"/>
  <c r="GM115" i="59"/>
  <c r="AG62" i="40"/>
  <c r="IV116" i="59"/>
  <c r="AG67" i="40"/>
  <c r="N118" i="59"/>
  <c r="AG58" i="40"/>
  <c r="AV116" i="59"/>
  <c r="AG66" i="40"/>
  <c r="HE117" i="59"/>
  <c r="AG71" i="40"/>
  <c r="HN118" i="59"/>
  <c r="AG65" i="40"/>
  <c r="FE117" i="59"/>
  <c r="AG78" i="40"/>
  <c r="CF120" i="59"/>
  <c r="AG54" i="40"/>
  <c r="CM115" i="59"/>
  <c r="AG63" i="40"/>
  <c r="BE117" i="59"/>
  <c r="AG55" i="40"/>
  <c r="EM115" i="59"/>
  <c r="AG59" i="40"/>
  <c r="CV116" i="59"/>
  <c r="AG72" i="40"/>
  <c r="W119" i="59"/>
  <c r="AG70" i="40"/>
  <c r="FN118" i="59"/>
  <c r="AG61" i="40"/>
  <c r="GV116" i="59"/>
  <c r="AG79" i="40"/>
  <c r="EF120" i="59"/>
  <c r="AG80" i="40"/>
  <c r="GF120" i="59"/>
  <c r="AG51" i="40"/>
  <c r="GD114" i="59"/>
  <c r="Q74" i="40"/>
  <c r="DG119" i="59"/>
  <c r="Q69" i="40"/>
  <c r="CX118" i="59"/>
  <c r="Q68" i="40"/>
  <c r="AX118" i="59"/>
  <c r="Q73" i="40"/>
  <c r="BG119" i="59"/>
  <c r="Q75" i="40"/>
  <c r="FG119" i="59"/>
  <c r="Q79" i="40"/>
  <c r="DP120" i="59"/>
  <c r="Q55" i="40"/>
  <c r="DW115" i="59"/>
  <c r="Q78" i="40"/>
  <c r="BP120" i="59"/>
  <c r="Q59" i="40"/>
  <c r="CF116" i="59"/>
  <c r="Q54" i="40"/>
  <c r="BW115" i="59"/>
  <c r="Q61" i="40"/>
  <c r="GF116" i="59"/>
  <c r="Q70" i="40"/>
  <c r="EX118" i="59"/>
  <c r="Q65" i="40"/>
  <c r="EO117" i="59"/>
  <c r="Q53" i="40"/>
  <c r="W115" i="59"/>
  <c r="Q62" i="40"/>
  <c r="IF116" i="59"/>
  <c r="Q67" i="40"/>
  <c r="IO117" i="59"/>
  <c r="Q58" i="40"/>
  <c r="AF116" i="59"/>
  <c r="Q60" i="40"/>
  <c r="EF116" i="59"/>
  <c r="Q64" i="40"/>
  <c r="CO117" i="59"/>
  <c r="Q52" i="40"/>
  <c r="HN114" i="59"/>
  <c r="Q76" i="40"/>
  <c r="HG119" i="59"/>
  <c r="Q72" i="40"/>
  <c r="G119" i="59"/>
  <c r="Q56" i="40"/>
  <c r="FW115" i="59"/>
  <c r="Q77" i="40"/>
  <c r="P120" i="59"/>
  <c r="Q80" i="40"/>
  <c r="FP120" i="59"/>
  <c r="Q57" i="40"/>
  <c r="HW115" i="59"/>
  <c r="Q71" i="40"/>
  <c r="GX118" i="59"/>
  <c r="Q63" i="40"/>
  <c r="AO117" i="59"/>
  <c r="Q66" i="40"/>
  <c r="GO117" i="59"/>
  <c r="Q51" i="40"/>
  <c r="FN114" i="59"/>
  <c r="AT53" i="40"/>
  <c r="AZ115" i="59"/>
  <c r="AT58" i="40"/>
  <c r="BI116" i="59"/>
  <c r="AT61" i="40"/>
  <c r="HI116" i="59"/>
  <c r="AT75" i="40"/>
  <c r="GJ119" i="59"/>
  <c r="AT67" i="40"/>
  <c r="AA118" i="59"/>
  <c r="AT62" i="40"/>
  <c r="R117" i="59"/>
  <c r="AT71" i="40"/>
  <c r="IA118" i="59"/>
  <c r="AT77" i="40"/>
  <c r="AS120" i="59"/>
  <c r="AT51" i="40"/>
  <c r="GQ114" i="59"/>
  <c r="AT78" i="40"/>
  <c r="CS120" i="59"/>
  <c r="AT68" i="40"/>
  <c r="CA118" i="59"/>
  <c r="AT72" i="40"/>
  <c r="AJ119" i="59"/>
  <c r="AT56" i="40"/>
  <c r="GZ115" i="59"/>
  <c r="AT66" i="40"/>
  <c r="HR117" i="59"/>
  <c r="AT54" i="40"/>
  <c r="CZ115" i="59"/>
  <c r="AT52" i="40"/>
  <c r="IQ114" i="59"/>
  <c r="AT57" i="40"/>
  <c r="I116" i="59"/>
  <c r="AT65" i="40"/>
  <c r="FR117" i="59"/>
  <c r="AT76" i="40"/>
  <c r="IJ119" i="59"/>
  <c r="AT55" i="40"/>
  <c r="EZ115" i="59"/>
  <c r="AT73" i="40"/>
  <c r="CJ119" i="59"/>
  <c r="AT80" i="40"/>
  <c r="GS120" i="59"/>
  <c r="AT74" i="40"/>
  <c r="EJ119" i="59"/>
  <c r="AT59" i="40"/>
  <c r="DI116" i="59"/>
  <c r="AT69" i="40"/>
  <c r="EA118" i="59"/>
  <c r="AT79" i="40"/>
  <c r="ES120" i="59"/>
  <c r="AT70" i="40"/>
  <c r="GA118" i="59"/>
  <c r="AT60" i="40"/>
  <c r="FI116" i="59"/>
  <c r="AT64" i="40"/>
  <c r="DR117" i="59"/>
  <c r="AT63" i="40"/>
  <c r="BR117" i="59"/>
  <c r="AL77" i="40"/>
  <c r="AK120" i="59"/>
  <c r="AL63" i="40"/>
  <c r="BJ117" i="59"/>
  <c r="AL67" i="40"/>
  <c r="S118" i="59"/>
  <c r="AL54" i="40"/>
  <c r="CR115" i="59"/>
  <c r="AL69" i="40"/>
  <c r="DS118" i="59"/>
  <c r="AL60" i="40"/>
  <c r="FA116" i="59"/>
  <c r="AL57" i="40"/>
  <c r="IR115" i="59"/>
  <c r="AL76" i="40"/>
  <c r="IB119" i="59"/>
  <c r="AL61" i="40"/>
  <c r="HA116" i="59"/>
  <c r="AL79" i="40"/>
  <c r="EK120" i="59"/>
  <c r="AL55" i="40"/>
  <c r="ER115" i="59"/>
  <c r="AL70" i="40"/>
  <c r="FS118" i="59"/>
  <c r="AL75" i="40"/>
  <c r="GB119" i="59"/>
  <c r="AL52" i="40"/>
  <c r="II114" i="59"/>
  <c r="AL66" i="40"/>
  <c r="HJ117" i="59"/>
  <c r="AL80" i="40"/>
  <c r="GK120" i="59"/>
  <c r="AL71" i="40"/>
  <c r="HS118" i="59"/>
  <c r="AL64" i="40"/>
  <c r="DJ117" i="59"/>
  <c r="AL65" i="40"/>
  <c r="FJ117" i="59"/>
  <c r="AL62" i="40"/>
  <c r="J117" i="59"/>
  <c r="AL58" i="40"/>
  <c r="BA116" i="59"/>
  <c r="AL56" i="40"/>
  <c r="GR115" i="59"/>
  <c r="AL72" i="40"/>
  <c r="AB119" i="59"/>
  <c r="AL68" i="40"/>
  <c r="BS118" i="59"/>
  <c r="AL78" i="40"/>
  <c r="CK120" i="59"/>
  <c r="AL74" i="40"/>
  <c r="EB119" i="59"/>
  <c r="AL53" i="40"/>
  <c r="AR115" i="59"/>
  <c r="AL73" i="40"/>
  <c r="CB119" i="59"/>
  <c r="AL59" i="40"/>
  <c r="DA116" i="59"/>
  <c r="AL51" i="40"/>
  <c r="GI114" i="59"/>
  <c r="AD65" i="40"/>
  <c r="FB117" i="59"/>
  <c r="AD62" i="40"/>
  <c r="IS116" i="59"/>
  <c r="AD58" i="40"/>
  <c r="AS116" i="59"/>
  <c r="AD56" i="40"/>
  <c r="GJ115" i="59"/>
  <c r="AD77" i="40"/>
  <c r="AC120" i="59"/>
  <c r="AD63" i="40"/>
  <c r="BB117" i="59"/>
  <c r="AD67" i="40"/>
  <c r="K118" i="59"/>
  <c r="AD54" i="40"/>
  <c r="CJ115" i="59"/>
  <c r="AD53" i="40"/>
  <c r="AJ115" i="59"/>
  <c r="AD55" i="40"/>
  <c r="EJ115" i="59"/>
  <c r="AD68" i="40"/>
  <c r="BK118" i="59"/>
  <c r="AD70" i="40"/>
  <c r="FK118" i="59"/>
  <c r="AD75" i="40"/>
  <c r="FT119" i="59"/>
  <c r="AD74" i="40"/>
  <c r="DT119" i="59"/>
  <c r="AD78" i="40"/>
  <c r="CC120" i="59"/>
  <c r="AD73" i="40"/>
  <c r="BT119" i="59"/>
  <c r="AD57" i="40"/>
  <c r="IJ115" i="59"/>
  <c r="AD61" i="40"/>
  <c r="GS116" i="59"/>
  <c r="AD79" i="40"/>
  <c r="EC120" i="59"/>
  <c r="AD69" i="40"/>
  <c r="DK118" i="59"/>
  <c r="AD60" i="40"/>
  <c r="ES116" i="59"/>
  <c r="AD52" i="40"/>
  <c r="IA114" i="59"/>
  <c r="AD66" i="40"/>
  <c r="HB117" i="59"/>
  <c r="AD80" i="40"/>
  <c r="GC120" i="59"/>
  <c r="AD76" i="40"/>
  <c r="HT119" i="59"/>
  <c r="AD71" i="40"/>
  <c r="HK118" i="59"/>
  <c r="AD59" i="40"/>
  <c r="CS116" i="59"/>
  <c r="AD72" i="40"/>
  <c r="T119" i="59"/>
  <c r="AD64" i="40"/>
  <c r="DB117" i="59"/>
  <c r="AD51" i="40"/>
  <c r="GA114" i="59"/>
  <c r="V61" i="40"/>
  <c r="GK116" i="59"/>
  <c r="V79" i="40"/>
  <c r="DU120" i="59"/>
  <c r="V62" i="40"/>
  <c r="IK116" i="59"/>
  <c r="V65" i="40"/>
  <c r="ET117" i="59"/>
  <c r="V53" i="40"/>
  <c r="AB115" i="59"/>
  <c r="V52" i="40"/>
  <c r="HS114" i="59"/>
  <c r="V58" i="40"/>
  <c r="AK116" i="59"/>
  <c r="V56" i="40"/>
  <c r="GB115" i="59"/>
  <c r="V69" i="40"/>
  <c r="DC118" i="59"/>
  <c r="V60" i="40"/>
  <c r="EK116" i="59"/>
  <c r="V57" i="40"/>
  <c r="IB115" i="59"/>
  <c r="V76" i="40"/>
  <c r="HL119" i="59"/>
  <c r="V74" i="40"/>
  <c r="DL119" i="59"/>
  <c r="V78" i="40"/>
  <c r="BU120" i="59"/>
  <c r="V73" i="40"/>
  <c r="BL119" i="59"/>
  <c r="V72" i="40"/>
  <c r="L119" i="59"/>
  <c r="V55" i="40"/>
  <c r="EB115" i="59"/>
  <c r="V70" i="40"/>
  <c r="FC118" i="59"/>
  <c r="V75" i="40"/>
  <c r="FL119" i="59"/>
  <c r="V77" i="40"/>
  <c r="U120" i="59"/>
  <c r="V67" i="40"/>
  <c r="IT117" i="59"/>
  <c r="V64" i="40"/>
  <c r="CT117" i="59"/>
  <c r="V71" i="40"/>
  <c r="HC118" i="59"/>
  <c r="V80" i="40"/>
  <c r="FU120" i="59"/>
  <c r="V54" i="40"/>
  <c r="CB115" i="59"/>
  <c r="V68" i="40"/>
  <c r="BC118" i="59"/>
  <c r="V59" i="40"/>
  <c r="CK116" i="59"/>
  <c r="V63" i="40"/>
  <c r="AT117" i="59"/>
  <c r="V66" i="40"/>
  <c r="GT117" i="59"/>
  <c r="V51" i="40"/>
  <c r="FS114" i="59"/>
  <c r="O74" i="40"/>
  <c r="DE119" i="59"/>
  <c r="O79" i="40"/>
  <c r="DN120" i="59"/>
  <c r="O55" i="40"/>
  <c r="DU115" i="59"/>
  <c r="O78" i="40"/>
  <c r="BN120" i="59"/>
  <c r="O52" i="40"/>
  <c r="HL114" i="59"/>
  <c r="O73" i="40"/>
  <c r="BE119" i="59"/>
  <c r="O75" i="40"/>
  <c r="FE119" i="59"/>
  <c r="O54" i="40"/>
  <c r="BU115" i="59"/>
  <c r="O61" i="40"/>
  <c r="GD116" i="59"/>
  <c r="O70" i="40"/>
  <c r="EV118" i="59"/>
  <c r="O56" i="40"/>
  <c r="FU115" i="59"/>
  <c r="O77" i="40"/>
  <c r="N120" i="59"/>
  <c r="O67" i="40"/>
  <c r="IM117" i="59"/>
  <c r="O59" i="40"/>
  <c r="CD116" i="59"/>
  <c r="O72" i="40"/>
  <c r="IV118" i="59"/>
  <c r="O62" i="40"/>
  <c r="ID116" i="59"/>
  <c r="O69" i="40"/>
  <c r="CV118" i="59"/>
  <c r="O57" i="40"/>
  <c r="HU115" i="59"/>
  <c r="O53" i="40"/>
  <c r="U115" i="59"/>
  <c r="O60" i="40"/>
  <c r="ED116" i="59"/>
  <c r="O76" i="40"/>
  <c r="HE119" i="59"/>
  <c r="O80" i="40"/>
  <c r="FN120" i="59"/>
  <c r="O64" i="40"/>
  <c r="CM117" i="59"/>
  <c r="O68" i="40"/>
  <c r="AV118" i="59"/>
  <c r="O66" i="40"/>
  <c r="GM117" i="59"/>
  <c r="O71" i="40"/>
  <c r="GV118" i="59"/>
  <c r="O65" i="40"/>
  <c r="EM117" i="59"/>
  <c r="O63" i="40"/>
  <c r="AM117" i="59"/>
  <c r="O58" i="40"/>
  <c r="AD116" i="59"/>
  <c r="O51" i="40"/>
  <c r="FL114" i="59"/>
  <c r="V154" i="5"/>
  <c r="E132" i="5"/>
  <c r="H297" i="5"/>
  <c r="AC275" i="5"/>
  <c r="P143" i="5"/>
  <c r="N121" i="5"/>
  <c r="V264" i="5"/>
  <c r="AC88" i="5"/>
  <c r="M308" i="5"/>
  <c r="E198" i="5"/>
  <c r="AE198" i="5"/>
  <c r="G176" i="5"/>
  <c r="AJ77" i="5"/>
  <c r="V44" i="5"/>
  <c r="AN132" i="5"/>
  <c r="H110" i="5"/>
  <c r="P264" i="5"/>
  <c r="AL154" i="5"/>
  <c r="AN308" i="5"/>
  <c r="V209" i="5"/>
  <c r="AK187" i="5"/>
  <c r="AC121" i="5"/>
  <c r="M341" i="5"/>
  <c r="E275" i="5"/>
  <c r="AE319" i="5"/>
  <c r="G253" i="5"/>
  <c r="N231" i="5"/>
  <c r="H22" i="5"/>
  <c r="AN77" i="5"/>
  <c r="U231" i="5"/>
  <c r="P77" i="5"/>
  <c r="AJ165" i="5"/>
  <c r="AC66" i="5"/>
  <c r="AE308" i="5"/>
  <c r="G286" i="5"/>
  <c r="N77" i="5"/>
  <c r="AK264" i="5"/>
  <c r="AN198" i="5"/>
  <c r="AK176" i="5"/>
  <c r="P286" i="5"/>
  <c r="N275" i="5"/>
  <c r="V330" i="5"/>
  <c r="AN286" i="5"/>
  <c r="V231" i="5"/>
  <c r="AK121" i="5"/>
  <c r="U297" i="5"/>
  <c r="M275" i="5"/>
  <c r="E165" i="5"/>
  <c r="AE253" i="5"/>
  <c r="G231" i="5"/>
  <c r="L319" i="5"/>
  <c r="L154" i="5"/>
  <c r="AI66" i="5"/>
  <c r="AA44" i="5"/>
  <c r="S22" i="5"/>
  <c r="AF330" i="5"/>
  <c r="AH176" i="5"/>
  <c r="J198" i="5"/>
  <c r="F165" i="5"/>
  <c r="W297" i="5"/>
  <c r="D275" i="5"/>
  <c r="AH77" i="5"/>
  <c r="AM110" i="5"/>
  <c r="O55" i="5"/>
  <c r="AA297" i="5"/>
  <c r="S275" i="5"/>
  <c r="K209" i="5"/>
  <c r="AF143" i="5"/>
  <c r="AH66" i="5"/>
  <c r="AG198" i="5"/>
  <c r="N308" i="5"/>
  <c r="AJ286" i="5"/>
  <c r="F330" i="5"/>
  <c r="W330" i="5"/>
  <c r="D308" i="5"/>
  <c r="Z88" i="5"/>
  <c r="O44" i="5"/>
  <c r="L132" i="5"/>
  <c r="AA330" i="5"/>
  <c r="S308" i="5"/>
  <c r="K286" i="5"/>
  <c r="AF264" i="5"/>
  <c r="D66" i="5"/>
  <c r="R176" i="5"/>
  <c r="Y132" i="5"/>
  <c r="W275" i="5"/>
  <c r="D22" i="5"/>
  <c r="Z275" i="5"/>
  <c r="AD330" i="5"/>
  <c r="AI297" i="5"/>
  <c r="AA275" i="5"/>
  <c r="S209" i="5"/>
  <c r="K187" i="5"/>
  <c r="AF121" i="5"/>
  <c r="AH110" i="5"/>
  <c r="AG286" i="5"/>
  <c r="G110" i="5"/>
  <c r="AL88" i="5"/>
  <c r="N66" i="5"/>
  <c r="L110" i="5"/>
  <c r="F44" i="5"/>
  <c r="W220" i="5"/>
  <c r="D154" i="5"/>
  <c r="R132" i="5"/>
  <c r="Q22" i="5"/>
  <c r="Z209" i="5"/>
  <c r="R187" i="5"/>
  <c r="J165" i="5"/>
  <c r="T231" i="5"/>
  <c r="AG33" i="5"/>
  <c r="Q209" i="5"/>
  <c r="I55" i="5"/>
  <c r="AB187" i="5"/>
  <c r="T209" i="5"/>
  <c r="Q55" i="5"/>
  <c r="R253" i="5"/>
  <c r="J231" i="5"/>
  <c r="X209" i="5"/>
  <c r="AG143" i="5"/>
  <c r="Y33" i="5"/>
  <c r="I297" i="5"/>
  <c r="AB176" i="5"/>
  <c r="T198" i="5"/>
  <c r="Y286" i="5"/>
  <c r="J132" i="5"/>
  <c r="X110" i="5"/>
  <c r="AG132" i="5"/>
  <c r="Q220" i="5"/>
  <c r="I22" i="5"/>
  <c r="AB77" i="5"/>
  <c r="AG297" i="5"/>
  <c r="AO99" i="5"/>
  <c r="AD340" i="5"/>
  <c r="AD43" i="5"/>
  <c r="AD100" i="5"/>
  <c r="AD142" i="5"/>
  <c r="AD166" i="5"/>
  <c r="AK132" i="5"/>
  <c r="AN242" i="5"/>
  <c r="H253" i="5"/>
  <c r="AC187" i="5"/>
  <c r="P99" i="5"/>
  <c r="AJ209" i="5"/>
  <c r="V88" i="5"/>
  <c r="AC44" i="5"/>
  <c r="M264" i="5"/>
  <c r="E154" i="5"/>
  <c r="AE154" i="5"/>
  <c r="G132" i="5"/>
  <c r="L297" i="5"/>
  <c r="AK286" i="5"/>
  <c r="AN88" i="5"/>
  <c r="AK66" i="5"/>
  <c r="P220" i="5"/>
  <c r="N99" i="5"/>
  <c r="H66" i="5"/>
  <c r="V165" i="5"/>
  <c r="AK143" i="5"/>
  <c r="AC77" i="5"/>
  <c r="M297" i="5"/>
  <c r="E231" i="5"/>
  <c r="AE275" i="5"/>
  <c r="G209" i="5"/>
  <c r="N165" i="5"/>
  <c r="V132" i="5"/>
  <c r="AN33" i="5"/>
  <c r="U55" i="5"/>
  <c r="AE143" i="5"/>
  <c r="L253" i="5"/>
  <c r="U220" i="5"/>
  <c r="AE264" i="5"/>
  <c r="G242" i="5"/>
  <c r="AJ341" i="5"/>
  <c r="AC330" i="5"/>
  <c r="AN66" i="5"/>
  <c r="M330" i="5"/>
  <c r="P198" i="5"/>
  <c r="N209" i="5"/>
  <c r="AK308" i="5"/>
  <c r="AN154" i="5"/>
  <c r="V187" i="5"/>
  <c r="AK77" i="5"/>
  <c r="U253" i="5"/>
  <c r="M231" i="5"/>
  <c r="E121" i="5"/>
  <c r="AE209" i="5"/>
  <c r="G187" i="5"/>
  <c r="L209" i="5"/>
  <c r="L66" i="5"/>
  <c r="AI22" i="5"/>
  <c r="S330" i="5"/>
  <c r="K308" i="5"/>
  <c r="AF242" i="5"/>
  <c r="AH88" i="5"/>
  <c r="J22" i="5"/>
  <c r="F121" i="5"/>
  <c r="W253" i="5"/>
  <c r="D231" i="5"/>
  <c r="Z319" i="5"/>
  <c r="O264" i="5"/>
  <c r="AI319" i="5"/>
  <c r="AA253" i="5"/>
  <c r="S231" i="5"/>
  <c r="K165" i="5"/>
  <c r="AF99" i="5"/>
  <c r="Z308" i="5"/>
  <c r="AG22" i="5"/>
  <c r="N264" i="5"/>
  <c r="AJ242" i="5"/>
  <c r="F286" i="5"/>
  <c r="W286" i="5"/>
  <c r="D264" i="5"/>
  <c r="R308" i="5"/>
  <c r="AD198" i="5"/>
  <c r="AI308" i="5"/>
  <c r="AA286" i="5"/>
  <c r="S264" i="5"/>
  <c r="K242" i="5"/>
  <c r="AF220" i="5"/>
  <c r="AH286" i="5"/>
  <c r="J264" i="5"/>
  <c r="Q286" i="5"/>
  <c r="W231" i="5"/>
  <c r="AB286" i="5"/>
  <c r="Z176" i="5"/>
  <c r="AD154" i="5"/>
  <c r="AI253" i="5"/>
  <c r="AA231" i="5"/>
  <c r="S165" i="5"/>
  <c r="K99" i="5"/>
  <c r="AF77" i="5"/>
  <c r="Z264" i="5"/>
  <c r="AG110" i="5"/>
  <c r="G66" i="5"/>
  <c r="AL44" i="5"/>
  <c r="AJ308" i="5"/>
  <c r="L22" i="5"/>
  <c r="AF286" i="5"/>
  <c r="W176" i="5"/>
  <c r="D99" i="5"/>
  <c r="AM330" i="5"/>
  <c r="AH187" i="5"/>
  <c r="Z165" i="5"/>
  <c r="R143" i="5"/>
  <c r="J121" i="5"/>
  <c r="T143" i="5"/>
  <c r="Y319" i="5"/>
  <c r="Q165" i="5"/>
  <c r="AO143" i="5"/>
  <c r="AB143" i="5"/>
  <c r="T165" i="5"/>
  <c r="I253" i="5"/>
  <c r="R209" i="5"/>
  <c r="J187" i="5"/>
  <c r="X165" i="5"/>
  <c r="AG55" i="5"/>
  <c r="Q319" i="5"/>
  <c r="I209" i="5"/>
  <c r="AB132" i="5"/>
  <c r="T154" i="5"/>
  <c r="Y66" i="5"/>
  <c r="J88" i="5"/>
  <c r="X66" i="5"/>
  <c r="Y242" i="5"/>
  <c r="AC286" i="5"/>
  <c r="AN110" i="5"/>
  <c r="H165" i="5"/>
  <c r="AC99" i="5"/>
  <c r="G143" i="5"/>
  <c r="AJ99" i="5"/>
  <c r="AK330" i="5"/>
  <c r="U330" i="5"/>
  <c r="M220" i="5"/>
  <c r="E110" i="5"/>
  <c r="AE110" i="5"/>
  <c r="G33" i="5"/>
  <c r="L55" i="5"/>
  <c r="AK198" i="5"/>
  <c r="AN44" i="5"/>
  <c r="AC308" i="5"/>
  <c r="P176" i="5"/>
  <c r="N33" i="5"/>
  <c r="V220" i="5"/>
  <c r="V121" i="5"/>
  <c r="AK99" i="5"/>
  <c r="AC33" i="5"/>
  <c r="M253" i="5"/>
  <c r="E143" i="5"/>
  <c r="AE231" i="5"/>
  <c r="G165" i="5"/>
  <c r="AJ55" i="5"/>
  <c r="AN341" i="5"/>
  <c r="H319" i="5"/>
  <c r="M77" i="5"/>
  <c r="AL341" i="5"/>
  <c r="F319" i="5"/>
  <c r="U44" i="5"/>
  <c r="AE220" i="5"/>
  <c r="G198" i="5"/>
  <c r="AJ253" i="5"/>
  <c r="AC154" i="5"/>
  <c r="H308" i="5"/>
  <c r="M286" i="5"/>
  <c r="P154" i="5"/>
  <c r="AJ121" i="5"/>
  <c r="AK44" i="5"/>
  <c r="AN143" i="5"/>
  <c r="V143" i="5"/>
  <c r="AK33" i="5"/>
  <c r="U209" i="5"/>
  <c r="M187" i="5"/>
  <c r="E77" i="5"/>
  <c r="AE165" i="5"/>
  <c r="G44" i="5"/>
  <c r="F253" i="5"/>
  <c r="AI330" i="5"/>
  <c r="AA308" i="5"/>
  <c r="S286" i="5"/>
  <c r="K264" i="5"/>
  <c r="AF154" i="5"/>
  <c r="Z330" i="5"/>
  <c r="X176" i="5"/>
  <c r="F77" i="5"/>
  <c r="W209" i="5"/>
  <c r="D187" i="5"/>
  <c r="Z231" i="5"/>
  <c r="O88" i="5"/>
  <c r="AI275" i="5"/>
  <c r="AA209" i="5"/>
  <c r="S187" i="5"/>
  <c r="K121" i="5"/>
  <c r="AF55" i="5"/>
  <c r="Z220" i="5"/>
  <c r="Y176" i="5"/>
  <c r="N220" i="5"/>
  <c r="AJ154" i="5"/>
  <c r="F242" i="5"/>
  <c r="W242" i="5"/>
  <c r="D176" i="5"/>
  <c r="R66" i="5"/>
  <c r="T176" i="5"/>
  <c r="AI264" i="5"/>
  <c r="AA242" i="5"/>
  <c r="S220" i="5"/>
  <c r="K198" i="5"/>
  <c r="AF176" i="5"/>
  <c r="AH220" i="5"/>
  <c r="J110" i="5"/>
  <c r="Q110" i="5"/>
  <c r="W187" i="5"/>
  <c r="AB154" i="5"/>
  <c r="Z66" i="5"/>
  <c r="T308" i="5"/>
  <c r="AI209" i="5"/>
  <c r="AA187" i="5"/>
  <c r="S121" i="5"/>
  <c r="K55" i="5"/>
  <c r="W143" i="5"/>
  <c r="Z44" i="5"/>
  <c r="Y264" i="5"/>
  <c r="G22" i="5"/>
  <c r="N330" i="5"/>
  <c r="AJ176" i="5"/>
  <c r="F308" i="5"/>
  <c r="AF198" i="5"/>
  <c r="W132" i="5"/>
  <c r="AB330" i="5"/>
  <c r="AM154" i="5"/>
  <c r="AH143" i="5"/>
  <c r="Z121" i="5"/>
  <c r="R99" i="5"/>
  <c r="J77" i="5"/>
  <c r="T55" i="5"/>
  <c r="Y231" i="5"/>
  <c r="Q121" i="5"/>
  <c r="AO132" i="5"/>
  <c r="AB99" i="5"/>
  <c r="T121" i="5"/>
  <c r="AO275" i="5"/>
  <c r="R165" i="5"/>
  <c r="J143" i="5"/>
  <c r="X121" i="5"/>
  <c r="AC110" i="5"/>
  <c r="AN319" i="5"/>
  <c r="H121" i="5"/>
  <c r="M55" i="5"/>
  <c r="G88" i="5"/>
  <c r="L187" i="5"/>
  <c r="AK242" i="5"/>
  <c r="U286" i="5"/>
  <c r="M176" i="5"/>
  <c r="E66" i="5"/>
  <c r="AE66" i="5"/>
  <c r="AL209" i="5"/>
  <c r="F209" i="5"/>
  <c r="AK110" i="5"/>
  <c r="H330" i="5"/>
  <c r="U198" i="5"/>
  <c r="P132" i="5"/>
  <c r="AJ187" i="5"/>
  <c r="H231" i="5"/>
  <c r="V77" i="5"/>
  <c r="AC341" i="5"/>
  <c r="U319" i="5"/>
  <c r="M209" i="5"/>
  <c r="E99" i="5"/>
  <c r="AE187" i="5"/>
  <c r="G121" i="5"/>
  <c r="L275" i="5"/>
  <c r="AN297" i="5"/>
  <c r="H275" i="5"/>
  <c r="E187" i="5"/>
  <c r="AL242" i="5"/>
  <c r="F99" i="5"/>
  <c r="M154" i="5"/>
  <c r="AE176" i="5"/>
  <c r="G154" i="5"/>
  <c r="AJ143" i="5"/>
  <c r="U264" i="5"/>
  <c r="H220" i="5"/>
  <c r="M110" i="5"/>
  <c r="P110" i="5"/>
  <c r="L341" i="5"/>
  <c r="AC198" i="5"/>
  <c r="AN55" i="5"/>
  <c r="V99" i="5"/>
  <c r="AC319" i="5"/>
  <c r="U165" i="5"/>
  <c r="M143" i="5"/>
  <c r="E33" i="5"/>
  <c r="AE121" i="5"/>
  <c r="AL275" i="5"/>
  <c r="N22" i="5"/>
  <c r="AI286" i="5"/>
  <c r="AA264" i="5"/>
  <c r="S242" i="5"/>
  <c r="K220" i="5"/>
  <c r="D198" i="5"/>
  <c r="Z242" i="5"/>
  <c r="T264" i="5"/>
  <c r="F33" i="5"/>
  <c r="W165" i="5"/>
  <c r="D143" i="5"/>
  <c r="R330" i="5"/>
  <c r="AD242" i="5"/>
  <c r="AI231" i="5"/>
  <c r="AA165" i="5"/>
  <c r="S99" i="5"/>
  <c r="K77" i="5"/>
  <c r="D132" i="5"/>
  <c r="Z110" i="5"/>
  <c r="Q330" i="5"/>
  <c r="N176" i="5"/>
  <c r="AJ22" i="5"/>
  <c r="F198" i="5"/>
  <c r="W198" i="5"/>
  <c r="D77" i="5"/>
  <c r="J286" i="5"/>
  <c r="AJ198" i="5"/>
  <c r="AI220" i="5"/>
  <c r="AA198" i="5"/>
  <c r="S176" i="5"/>
  <c r="K154" i="5"/>
  <c r="AF132" i="5"/>
  <c r="AH132" i="5"/>
  <c r="X88" i="5"/>
  <c r="I264" i="5"/>
  <c r="W99" i="5"/>
  <c r="AB22" i="5"/>
  <c r="R154" i="5"/>
  <c r="T132" i="5"/>
  <c r="AI165" i="5"/>
  <c r="AA99" i="5"/>
  <c r="S77" i="5"/>
  <c r="AF341" i="5"/>
  <c r="D341" i="5"/>
  <c r="R264" i="5"/>
  <c r="Y88" i="5"/>
  <c r="AL308" i="5"/>
  <c r="N286" i="5"/>
  <c r="AJ132" i="5"/>
  <c r="F264" i="5"/>
  <c r="AF110" i="5"/>
  <c r="W88" i="5"/>
  <c r="AB66" i="5"/>
  <c r="O308" i="5"/>
  <c r="AH99" i="5"/>
  <c r="Z77" i="5"/>
  <c r="R55" i="5"/>
  <c r="J33" i="5"/>
  <c r="AG341" i="5"/>
  <c r="Y143" i="5"/>
  <c r="Q33" i="5"/>
  <c r="AO187" i="5"/>
  <c r="AB55" i="5"/>
  <c r="T77" i="5"/>
  <c r="Z187" i="5"/>
  <c r="R121" i="5"/>
  <c r="J99" i="5"/>
  <c r="X33" i="5"/>
  <c r="Y297" i="5"/>
  <c r="Q231" i="5"/>
  <c r="I121" i="5"/>
  <c r="AB44" i="5"/>
  <c r="AG308" i="5"/>
  <c r="I286" i="5"/>
  <c r="X330" i="5"/>
  <c r="T286" i="5"/>
  <c r="U308" i="5"/>
  <c r="AN275" i="5"/>
  <c r="H77" i="5"/>
  <c r="E253" i="5"/>
  <c r="AL319" i="5"/>
  <c r="L77" i="5"/>
  <c r="AK154" i="5"/>
  <c r="U242" i="5"/>
  <c r="M88" i="5"/>
  <c r="E22" i="5"/>
  <c r="AE22" i="5"/>
  <c r="AL110" i="5"/>
  <c r="V198" i="5"/>
  <c r="AK22" i="5"/>
  <c r="H286" i="5"/>
  <c r="U66" i="5"/>
  <c r="P88" i="5"/>
  <c r="L165" i="5"/>
  <c r="H143" i="5"/>
  <c r="V33" i="5"/>
  <c r="AC297" i="5"/>
  <c r="U275" i="5"/>
  <c r="M165" i="5"/>
  <c r="P297" i="5"/>
  <c r="AE99" i="5"/>
  <c r="AL297" i="5"/>
  <c r="L143" i="5"/>
  <c r="AN253" i="5"/>
  <c r="H187" i="5"/>
  <c r="E55" i="5"/>
  <c r="AL143" i="5"/>
  <c r="H264" i="5"/>
  <c r="E88" i="5"/>
  <c r="AE132" i="5"/>
  <c r="G55" i="5"/>
  <c r="AJ33" i="5"/>
  <c r="U88" i="5"/>
  <c r="H176" i="5"/>
  <c r="M66" i="5"/>
  <c r="G99" i="5"/>
  <c r="L231" i="5"/>
  <c r="AC22" i="5"/>
  <c r="H341" i="5"/>
  <c r="V55" i="5"/>
  <c r="AC231" i="5"/>
  <c r="U121" i="5"/>
  <c r="M99" i="5"/>
  <c r="P275" i="5"/>
  <c r="AE77" i="5"/>
  <c r="AL121" i="5"/>
  <c r="AJ264" i="5"/>
  <c r="AI242" i="5"/>
  <c r="AA220" i="5"/>
  <c r="S198" i="5"/>
  <c r="K176" i="5"/>
  <c r="AB264" i="5"/>
  <c r="Z132" i="5"/>
  <c r="AG66" i="5"/>
  <c r="AI143" i="5"/>
  <c r="W121" i="5"/>
  <c r="D88" i="5"/>
  <c r="R220" i="5"/>
  <c r="AD66" i="5"/>
  <c r="AI187" i="5"/>
  <c r="AA121" i="5"/>
  <c r="S55" i="5"/>
  <c r="K33" i="5"/>
  <c r="AB110" i="5"/>
  <c r="R198" i="5"/>
  <c r="Q154" i="5"/>
  <c r="N132" i="5"/>
  <c r="L308" i="5"/>
  <c r="F154" i="5"/>
  <c r="W154" i="5"/>
  <c r="AB308" i="5"/>
  <c r="X264" i="5"/>
  <c r="AJ110" i="5"/>
  <c r="AI176" i="5"/>
  <c r="AA154" i="5"/>
  <c r="S132" i="5"/>
  <c r="K110" i="5"/>
  <c r="AF88" i="5"/>
  <c r="AH44" i="5"/>
  <c r="AD22" i="5"/>
  <c r="I88" i="5"/>
  <c r="W55" i="5"/>
  <c r="AH275" i="5"/>
  <c r="R44" i="5"/>
  <c r="AJ231" i="5"/>
  <c r="AI121" i="5"/>
  <c r="AA55" i="5"/>
  <c r="S33" i="5"/>
  <c r="AF297" i="5"/>
  <c r="D110" i="5"/>
  <c r="J242" i="5"/>
  <c r="Q242" i="5"/>
  <c r="AL264" i="5"/>
  <c r="N242" i="5"/>
  <c r="AJ88" i="5"/>
  <c r="F220" i="5"/>
  <c r="AF66" i="5"/>
  <c r="W44" i="5"/>
  <c r="AH330" i="5"/>
  <c r="O132" i="5"/>
  <c r="AH55" i="5"/>
  <c r="Z33" i="5"/>
  <c r="J341" i="5"/>
  <c r="X275" i="5"/>
  <c r="AG253" i="5"/>
  <c r="Y99" i="5"/>
  <c r="I319" i="5"/>
  <c r="AO33" i="5"/>
  <c r="Z55" i="5"/>
  <c r="T33" i="5"/>
  <c r="Z143" i="5"/>
  <c r="R77" i="5"/>
  <c r="J55" i="5"/>
  <c r="T297" i="5"/>
  <c r="Y209" i="5"/>
  <c r="Q187" i="5"/>
  <c r="I77" i="5"/>
  <c r="AH22" i="5"/>
  <c r="AG176" i="5"/>
  <c r="I198" i="5"/>
  <c r="X286" i="5"/>
  <c r="T66" i="5"/>
  <c r="U132" i="5"/>
  <c r="AN231" i="5"/>
  <c r="H33" i="5"/>
  <c r="P319" i="5"/>
  <c r="AL165" i="5"/>
  <c r="F231" i="5"/>
  <c r="AC264" i="5"/>
  <c r="U154" i="5"/>
  <c r="M44" i="5"/>
  <c r="AE330" i="5"/>
  <c r="G308" i="5"/>
  <c r="N319" i="5"/>
  <c r="AK88" i="5"/>
  <c r="AC220" i="5"/>
  <c r="H242" i="5"/>
  <c r="M132" i="5"/>
  <c r="P44" i="5"/>
  <c r="F187" i="5"/>
  <c r="V341" i="5"/>
  <c r="AK319" i="5"/>
  <c r="AC253" i="5"/>
  <c r="U187" i="5"/>
  <c r="M121" i="5"/>
  <c r="P253" i="5"/>
  <c r="AE55" i="5"/>
  <c r="AL198" i="5"/>
  <c r="F341" i="5"/>
  <c r="AN209" i="5"/>
  <c r="H99" i="5"/>
  <c r="P341" i="5"/>
  <c r="AL33" i="5"/>
  <c r="V242" i="5"/>
  <c r="P242" i="5"/>
  <c r="AE88" i="5"/>
  <c r="AL286" i="5"/>
  <c r="L121" i="5"/>
  <c r="M242" i="5"/>
  <c r="H132" i="5"/>
  <c r="E264" i="5"/>
  <c r="AL330" i="5"/>
  <c r="L99" i="5"/>
  <c r="U176" i="5"/>
  <c r="H209" i="5"/>
  <c r="AK341" i="5"/>
  <c r="AC143" i="5"/>
  <c r="U77" i="5"/>
  <c r="E341" i="5"/>
  <c r="P55" i="5"/>
  <c r="AE33" i="5"/>
  <c r="N341" i="5"/>
  <c r="AJ220" i="5"/>
  <c r="AI198" i="5"/>
  <c r="AA176" i="5"/>
  <c r="S154" i="5"/>
  <c r="K132" i="5"/>
  <c r="AB198" i="5"/>
  <c r="Z22" i="5"/>
  <c r="Y44" i="5"/>
  <c r="S143" i="5"/>
  <c r="W77" i="5"/>
  <c r="D44" i="5"/>
  <c r="J308" i="5"/>
  <c r="T220" i="5"/>
  <c r="AI99" i="5"/>
  <c r="AA77" i="5"/>
  <c r="K341" i="5"/>
  <c r="AF275" i="5"/>
  <c r="AH308" i="5"/>
  <c r="R88" i="5"/>
  <c r="I308" i="5"/>
  <c r="N88" i="5"/>
  <c r="L220" i="5"/>
  <c r="F110" i="5"/>
  <c r="W110" i="5"/>
  <c r="AB242" i="5"/>
  <c r="AM242" i="5"/>
  <c r="AJ66" i="5"/>
  <c r="AI132" i="5"/>
  <c r="AA110" i="5"/>
  <c r="S88" i="5"/>
  <c r="K66" i="5"/>
  <c r="AF44" i="5"/>
  <c r="Z286" i="5"/>
  <c r="AG330" i="5"/>
  <c r="K143" i="5"/>
  <c r="D297" i="5"/>
  <c r="AH209" i="5"/>
  <c r="AM198" i="5"/>
  <c r="L33" i="5"/>
  <c r="AI77" i="5"/>
  <c r="S341" i="5"/>
  <c r="K319" i="5"/>
  <c r="AF253" i="5"/>
  <c r="D55" i="5"/>
  <c r="J66" i="5"/>
  <c r="Q66" i="5"/>
  <c r="AL220" i="5"/>
  <c r="N198" i="5"/>
  <c r="L330" i="5"/>
  <c r="F176" i="5"/>
  <c r="AF22" i="5"/>
  <c r="D330" i="5"/>
  <c r="AH264" i="5"/>
  <c r="T88" i="5"/>
  <c r="Z341" i="5"/>
  <c r="R319" i="5"/>
  <c r="J297" i="5"/>
  <c r="X231" i="5"/>
  <c r="AG165" i="5"/>
  <c r="Q341" i="5"/>
  <c r="I275" i="5"/>
  <c r="AB319" i="5"/>
  <c r="X77" i="5"/>
  <c r="AG319" i="5"/>
  <c r="Z99" i="5"/>
  <c r="R33" i="5"/>
  <c r="X341" i="5"/>
  <c r="AG275" i="5"/>
  <c r="M198" i="5"/>
  <c r="AN187" i="5"/>
  <c r="AK253" i="5"/>
  <c r="P231" i="5"/>
  <c r="AL66" i="5"/>
  <c r="V22" i="5"/>
  <c r="AC176" i="5"/>
  <c r="U110" i="5"/>
  <c r="E330" i="5"/>
  <c r="AE286" i="5"/>
  <c r="G264" i="5"/>
  <c r="N253" i="5"/>
  <c r="V308" i="5"/>
  <c r="AN220" i="5"/>
  <c r="H198" i="5"/>
  <c r="E242" i="5"/>
  <c r="G77" i="5"/>
  <c r="AA143" i="5"/>
  <c r="V297" i="5"/>
  <c r="AK275" i="5"/>
  <c r="AC209" i="5"/>
  <c r="U143" i="5"/>
  <c r="M33" i="5"/>
  <c r="P121" i="5"/>
  <c r="G341" i="5"/>
  <c r="AL99" i="5"/>
  <c r="F143" i="5"/>
  <c r="AN165" i="5"/>
  <c r="H55" i="5"/>
  <c r="P209" i="5"/>
  <c r="N297" i="5"/>
  <c r="AK220" i="5"/>
  <c r="P66" i="5"/>
  <c r="AE44" i="5"/>
  <c r="AL187" i="5"/>
  <c r="F297" i="5"/>
  <c r="E176" i="5"/>
  <c r="H88" i="5"/>
  <c r="E220" i="5"/>
  <c r="AL231" i="5"/>
  <c r="F275" i="5"/>
  <c r="M22" i="5"/>
  <c r="V319" i="5"/>
  <c r="AK297" i="5"/>
  <c r="AC55" i="5"/>
  <c r="U33" i="5"/>
  <c r="E297" i="5"/>
  <c r="AE341" i="5"/>
  <c r="G319" i="5"/>
  <c r="N55" i="5"/>
  <c r="AJ44" i="5"/>
  <c r="AI154" i="5"/>
  <c r="AA132" i="5"/>
  <c r="S110" i="5"/>
  <c r="K88" i="5"/>
  <c r="AH319" i="5"/>
  <c r="R110" i="5"/>
  <c r="Q198" i="5"/>
  <c r="AF319" i="5"/>
  <c r="W33" i="5"/>
  <c r="AH242" i="5"/>
  <c r="X132" i="5"/>
  <c r="T44" i="5"/>
  <c r="AI55" i="5"/>
  <c r="AA33" i="5"/>
  <c r="K297" i="5"/>
  <c r="AF231" i="5"/>
  <c r="AH231" i="5"/>
  <c r="J154" i="5"/>
  <c r="I132" i="5"/>
  <c r="N44" i="5"/>
  <c r="L88" i="5"/>
  <c r="F66" i="5"/>
  <c r="W66" i="5"/>
  <c r="AB33" i="5"/>
  <c r="AM66" i="5"/>
  <c r="L264" i="5"/>
  <c r="AI88" i="5"/>
  <c r="AA66" i="5"/>
  <c r="S44" i="5"/>
  <c r="K22" i="5"/>
  <c r="D220" i="5"/>
  <c r="Z198" i="5"/>
  <c r="AG154" i="5"/>
  <c r="AF33" i="5"/>
  <c r="D253" i="5"/>
  <c r="AH121" i="5"/>
  <c r="AM22" i="5"/>
  <c r="F55" i="5"/>
  <c r="AI33" i="5"/>
  <c r="S297" i="5"/>
  <c r="K275" i="5"/>
  <c r="AF209" i="5"/>
  <c r="AH341" i="5"/>
  <c r="X220" i="5"/>
  <c r="I220" i="5"/>
  <c r="AL176" i="5"/>
  <c r="N154" i="5"/>
  <c r="L286" i="5"/>
  <c r="F132" i="5"/>
  <c r="W308" i="5"/>
  <c r="D286" i="5"/>
  <c r="Z154" i="5"/>
  <c r="AG242" i="5"/>
  <c r="Z297" i="5"/>
  <c r="R275" i="5"/>
  <c r="J253" i="5"/>
  <c r="X187" i="5"/>
  <c r="AG121" i="5"/>
  <c r="Q297" i="5"/>
  <c r="I143" i="5"/>
  <c r="AB275" i="5"/>
  <c r="T341" i="5"/>
  <c r="AG99" i="5"/>
  <c r="R341" i="5"/>
  <c r="J319" i="5"/>
  <c r="X297" i="5"/>
  <c r="AG231" i="5"/>
  <c r="Y121" i="5"/>
  <c r="Q99" i="5"/>
  <c r="AO319" i="5"/>
  <c r="X22" i="5"/>
  <c r="AG44" i="5"/>
  <c r="J220" i="5"/>
  <c r="E308" i="5"/>
  <c r="AN99" i="5"/>
  <c r="AK209" i="5"/>
  <c r="P187" i="5"/>
  <c r="N187" i="5"/>
  <c r="AN264" i="5"/>
  <c r="AC132" i="5"/>
  <c r="U22" i="5"/>
  <c r="E286" i="5"/>
  <c r="AE242" i="5"/>
  <c r="G220" i="5"/>
  <c r="AJ297" i="5"/>
  <c r="V176" i="5"/>
  <c r="AN176" i="5"/>
  <c r="H154" i="5"/>
  <c r="P308" i="5"/>
  <c r="AL253" i="5"/>
  <c r="V66" i="5"/>
  <c r="V253" i="5"/>
  <c r="AK231" i="5"/>
  <c r="AC165" i="5"/>
  <c r="U99" i="5"/>
  <c r="E319" i="5"/>
  <c r="P33" i="5"/>
  <c r="G297" i="5"/>
  <c r="AL55" i="5"/>
  <c r="V110" i="5"/>
  <c r="AN121" i="5"/>
  <c r="AK55" i="5"/>
  <c r="P165" i="5"/>
  <c r="AJ275" i="5"/>
  <c r="AC242" i="5"/>
  <c r="P22" i="5"/>
  <c r="G330" i="5"/>
  <c r="N143" i="5"/>
  <c r="V286" i="5"/>
  <c r="AN330" i="5"/>
  <c r="H44" i="5"/>
  <c r="P330" i="5"/>
  <c r="AL77" i="5"/>
  <c r="AN22" i="5"/>
  <c r="E44" i="5"/>
  <c r="V275" i="5"/>
  <c r="AK165" i="5"/>
  <c r="U341" i="5"/>
  <c r="M319" i="5"/>
  <c r="E209" i="5"/>
  <c r="AE297" i="5"/>
  <c r="G275" i="5"/>
  <c r="AJ319" i="5"/>
  <c r="L242" i="5"/>
  <c r="AI110" i="5"/>
  <c r="AA88" i="5"/>
  <c r="S66" i="5"/>
  <c r="K44" i="5"/>
  <c r="AH253" i="5"/>
  <c r="J330" i="5"/>
  <c r="I176" i="5"/>
  <c r="W341" i="5"/>
  <c r="D319" i="5"/>
  <c r="AH165" i="5"/>
  <c r="AM286" i="5"/>
  <c r="AM33" i="5"/>
  <c r="AA341" i="5"/>
  <c r="S319" i="5"/>
  <c r="K253" i="5"/>
  <c r="AF187" i="5"/>
  <c r="AH154" i="5"/>
  <c r="X308" i="5"/>
  <c r="AL22" i="5"/>
  <c r="AJ330" i="5"/>
  <c r="L44" i="5"/>
  <c r="F22" i="5"/>
  <c r="W22" i="5"/>
  <c r="AH297" i="5"/>
  <c r="O220" i="5"/>
  <c r="L176" i="5"/>
  <c r="AI44" i="5"/>
  <c r="AA22" i="5"/>
  <c r="K330" i="5"/>
  <c r="AF308" i="5"/>
  <c r="D121" i="5"/>
  <c r="R286" i="5"/>
  <c r="Y308" i="5"/>
  <c r="W319" i="5"/>
  <c r="D209" i="5"/>
  <c r="AH33" i="5"/>
  <c r="O176" i="5"/>
  <c r="AI341" i="5"/>
  <c r="AA319" i="5"/>
  <c r="S253" i="5"/>
  <c r="K231" i="5"/>
  <c r="AF165" i="5"/>
  <c r="AH198" i="5"/>
  <c r="X44" i="5"/>
  <c r="I44" i="5"/>
  <c r="AL132" i="5"/>
  <c r="N110" i="5"/>
  <c r="L198" i="5"/>
  <c r="F88" i="5"/>
  <c r="W264" i="5"/>
  <c r="D242" i="5"/>
  <c r="R242" i="5"/>
  <c r="Y220" i="5"/>
  <c r="Z253" i="5"/>
  <c r="R231" i="5"/>
  <c r="J209" i="5"/>
  <c r="T319" i="5"/>
  <c r="AG77" i="5"/>
  <c r="Q253" i="5"/>
  <c r="I99" i="5"/>
  <c r="AB231" i="5"/>
  <c r="T253" i="5"/>
  <c r="Y253" i="5"/>
  <c r="R297" i="5"/>
  <c r="J275" i="5"/>
  <c r="X253" i="5"/>
  <c r="AG187" i="5"/>
  <c r="Y77" i="5"/>
  <c r="I341" i="5"/>
  <c r="AB220" i="5"/>
  <c r="T242" i="5"/>
  <c r="Y330" i="5"/>
  <c r="J176" i="5"/>
  <c r="X154" i="5"/>
  <c r="AG220" i="5"/>
  <c r="Y341" i="5"/>
  <c r="T110" i="5"/>
  <c r="T22" i="5"/>
  <c r="Q176" i="5"/>
  <c r="AB341" i="5"/>
  <c r="X99" i="5"/>
  <c r="Y55" i="5"/>
  <c r="AD208" i="5"/>
  <c r="AD265" i="5"/>
  <c r="AD54" i="5"/>
  <c r="AD186" i="5"/>
  <c r="AD254" i="5"/>
  <c r="AD109" i="5"/>
  <c r="AM34" i="5"/>
  <c r="AM318" i="5"/>
  <c r="O296" i="5"/>
  <c r="AM276" i="5"/>
  <c r="O254" i="5"/>
  <c r="AM219" i="5"/>
  <c r="O197" i="5"/>
  <c r="AM177" i="5"/>
  <c r="O155" i="5"/>
  <c r="AM164" i="5"/>
  <c r="O98" i="5"/>
  <c r="Y165" i="5"/>
  <c r="AG88" i="5"/>
  <c r="AG264" i="5"/>
  <c r="Q132" i="5"/>
  <c r="AB297" i="5"/>
  <c r="X55" i="5"/>
  <c r="Q77" i="5"/>
  <c r="AD252" i="5"/>
  <c r="AD309" i="5"/>
  <c r="AD144" i="5"/>
  <c r="AD230" i="5"/>
  <c r="AD298" i="5"/>
  <c r="AM342" i="5"/>
  <c r="O320" i="5"/>
  <c r="AM274" i="5"/>
  <c r="O252" i="5"/>
  <c r="AM232" i="5"/>
  <c r="O210" i="5"/>
  <c r="AM175" i="5"/>
  <c r="O153" i="5"/>
  <c r="AM133" i="5"/>
  <c r="O111" i="5"/>
  <c r="AM120" i="5"/>
  <c r="Q275" i="5"/>
  <c r="Q88" i="5"/>
  <c r="Y198" i="5"/>
  <c r="Q44" i="5"/>
  <c r="AB253" i="5"/>
  <c r="T275" i="5"/>
  <c r="I231" i="5"/>
  <c r="AD296" i="5"/>
  <c r="AD87" i="5"/>
  <c r="AD188" i="5"/>
  <c r="AD274" i="5"/>
  <c r="AD342" i="5"/>
  <c r="AM298" i="5"/>
  <c r="O276" i="5"/>
  <c r="AM230" i="5"/>
  <c r="O208" i="5"/>
  <c r="AM188" i="5"/>
  <c r="O166" i="5"/>
  <c r="AM131" i="5"/>
  <c r="O109" i="5"/>
  <c r="AM89" i="5"/>
  <c r="O67" i="5"/>
  <c r="AM76" i="5"/>
  <c r="Q143" i="5"/>
  <c r="I110" i="5"/>
  <c r="Y154" i="5"/>
  <c r="I330" i="5"/>
  <c r="AB209" i="5"/>
  <c r="T187" i="5"/>
  <c r="I187" i="5"/>
  <c r="AD45" i="5"/>
  <c r="AD131" i="5"/>
  <c r="AD232" i="5"/>
  <c r="AD318" i="5"/>
  <c r="D32" i="5"/>
  <c r="AM254" i="5"/>
  <c r="O232" i="5"/>
  <c r="AM186" i="5"/>
  <c r="O164" i="5"/>
  <c r="AM142" i="5"/>
  <c r="O122" i="5"/>
  <c r="AM87" i="5"/>
  <c r="O65" i="5"/>
  <c r="AM45" i="5"/>
  <c r="O23" i="5"/>
  <c r="O318" i="5"/>
  <c r="I165" i="5"/>
  <c r="J44" i="5"/>
  <c r="Y110" i="5"/>
  <c r="I242" i="5"/>
  <c r="AB165" i="5"/>
  <c r="T99" i="5"/>
  <c r="AD32" i="5"/>
  <c r="AD89" i="5"/>
  <c r="AD175" i="5"/>
  <c r="AD276" i="5"/>
  <c r="AD34" i="5"/>
  <c r="D78" i="5"/>
  <c r="AM210" i="5"/>
  <c r="O188" i="5"/>
  <c r="AM144" i="5"/>
  <c r="O120" i="5"/>
  <c r="AM100" i="5"/>
  <c r="O78" i="5"/>
  <c r="AM43" i="5"/>
  <c r="O21" i="5"/>
  <c r="O331" i="5"/>
  <c r="AM340" i="5"/>
  <c r="O274" i="5"/>
  <c r="I33" i="5"/>
  <c r="X242" i="5"/>
  <c r="Y22" i="5"/>
  <c r="I154" i="5"/>
  <c r="AB121" i="5"/>
  <c r="AG209" i="5"/>
  <c r="AD76" i="5"/>
  <c r="AD133" i="5"/>
  <c r="AD219" i="5"/>
  <c r="AD320" i="5"/>
  <c r="AD78" i="5"/>
  <c r="D122" i="5"/>
  <c r="AM166" i="5"/>
  <c r="O142" i="5"/>
  <c r="AM98" i="5"/>
  <c r="O76" i="5"/>
  <c r="AM56" i="5"/>
  <c r="O34" i="5"/>
  <c r="O329" i="5"/>
  <c r="AM309" i="5"/>
  <c r="O287" i="5"/>
  <c r="AM296" i="5"/>
  <c r="O230" i="5"/>
  <c r="AB88" i="5"/>
  <c r="X198" i="5"/>
  <c r="Q308" i="5"/>
  <c r="I66" i="5"/>
  <c r="X319" i="5"/>
  <c r="Y275" i="5"/>
  <c r="AD120" i="5"/>
  <c r="AD177" i="5"/>
  <c r="AD263" i="5"/>
  <c r="AD56" i="5"/>
  <c r="AD122" i="5"/>
  <c r="D164" i="5"/>
  <c r="AM122" i="5"/>
  <c r="O100" i="5"/>
  <c r="AM54" i="5"/>
  <c r="O32" i="5"/>
  <c r="O342" i="5"/>
  <c r="AM307" i="5"/>
  <c r="O285" i="5"/>
  <c r="AM265" i="5"/>
  <c r="O243" i="5"/>
  <c r="AM252" i="5"/>
  <c r="O186" i="5"/>
  <c r="R22" i="5"/>
  <c r="T330" i="5"/>
  <c r="Q264" i="5"/>
  <c r="AO55" i="5"/>
  <c r="X143" i="5"/>
  <c r="Y187" i="5"/>
  <c r="AD164" i="5"/>
  <c r="AD221" i="5"/>
  <c r="AD307" i="5"/>
  <c r="AD98" i="5"/>
  <c r="AD210" i="5"/>
  <c r="AD285" i="5"/>
  <c r="AM78" i="5"/>
  <c r="O56" i="5"/>
  <c r="O340" i="5"/>
  <c r="AM320" i="5"/>
  <c r="O298" i="5"/>
  <c r="AM263" i="5"/>
  <c r="O241" i="5"/>
  <c r="AM221" i="5"/>
  <c r="O199" i="5"/>
  <c r="AM208" i="5"/>
  <c r="O144" i="5"/>
  <c r="AN267" i="5"/>
  <c r="H212" i="5"/>
  <c r="AK322" i="5"/>
  <c r="U256" i="5"/>
  <c r="V245" i="5"/>
  <c r="AK58" i="5"/>
  <c r="AN322" i="5"/>
  <c r="AC223" i="5"/>
  <c r="AN201" i="5"/>
  <c r="V289" i="5"/>
  <c r="AC267" i="5"/>
  <c r="AN69" i="5"/>
  <c r="H113" i="5"/>
  <c r="AK289" i="5"/>
  <c r="AN179" i="5"/>
  <c r="AK47" i="5"/>
  <c r="AN245" i="5"/>
  <c r="AK234" i="5"/>
  <c r="H322" i="5"/>
  <c r="V223" i="5"/>
  <c r="AC322" i="5"/>
  <c r="U234" i="5"/>
  <c r="AE212" i="5"/>
  <c r="G58" i="5"/>
  <c r="N36" i="5"/>
  <c r="AA47" i="5"/>
  <c r="S179" i="5"/>
  <c r="W69" i="5"/>
  <c r="P256" i="5"/>
  <c r="AE234" i="5"/>
  <c r="G256" i="5"/>
  <c r="N344" i="5"/>
  <c r="F212" i="5"/>
  <c r="AA333" i="5"/>
  <c r="AA157" i="5"/>
  <c r="W179" i="5"/>
  <c r="M333" i="5"/>
  <c r="M157" i="5"/>
  <c r="E289" i="5"/>
  <c r="E113" i="5"/>
  <c r="AL25" i="5"/>
  <c r="L311" i="5"/>
  <c r="AI267" i="5"/>
  <c r="K102" i="5"/>
  <c r="P69" i="5"/>
  <c r="N91" i="5"/>
  <c r="AJ113" i="5"/>
  <c r="L179" i="5"/>
  <c r="S80" i="5"/>
  <c r="K212" i="5"/>
  <c r="AK25" i="5"/>
  <c r="AE245" i="5"/>
  <c r="AL113" i="5"/>
  <c r="F311" i="5"/>
  <c r="S344" i="5"/>
  <c r="S168" i="5"/>
  <c r="D311" i="5"/>
  <c r="P113" i="5"/>
  <c r="AE135" i="5"/>
  <c r="G157" i="5"/>
  <c r="AL69" i="5"/>
  <c r="L25" i="5"/>
  <c r="AI80" i="5"/>
  <c r="AA190" i="5"/>
  <c r="W168" i="5"/>
  <c r="M256" i="5"/>
  <c r="M58" i="5"/>
  <c r="E212" i="5"/>
  <c r="AL278" i="5"/>
  <c r="AJ300" i="5"/>
  <c r="L234" i="5"/>
  <c r="F278" i="5"/>
  <c r="AI190" i="5"/>
  <c r="AF333" i="5"/>
  <c r="D223" i="5"/>
  <c r="AL300" i="5"/>
  <c r="AJ212" i="5"/>
  <c r="L168" i="5"/>
  <c r="S113" i="5"/>
  <c r="K245" i="5"/>
  <c r="D344" i="5"/>
  <c r="D36" i="5"/>
  <c r="X91" i="5"/>
  <c r="AM91" i="5"/>
  <c r="O47" i="5"/>
  <c r="AG311" i="5"/>
  <c r="Y311" i="5"/>
  <c r="Q333" i="5"/>
  <c r="I245" i="5"/>
  <c r="AB322" i="5"/>
  <c r="AB80" i="5"/>
  <c r="Z278" i="5"/>
  <c r="J344" i="5"/>
  <c r="T344" i="5"/>
  <c r="AF256" i="5"/>
  <c r="AB300" i="5"/>
  <c r="Z300" i="5"/>
  <c r="R190" i="5"/>
  <c r="J256" i="5"/>
  <c r="O168" i="5"/>
  <c r="Q234" i="5"/>
  <c r="D267" i="5"/>
  <c r="AH102" i="5"/>
  <c r="X124" i="5"/>
  <c r="AD344" i="5"/>
  <c r="AG234" i="5"/>
  <c r="Y212" i="5"/>
  <c r="Q322" i="5"/>
  <c r="I124" i="5"/>
  <c r="J146" i="5"/>
  <c r="X80" i="5"/>
  <c r="AM102" i="5"/>
  <c r="O190" i="5"/>
  <c r="AD278" i="5"/>
  <c r="AG344" i="5"/>
  <c r="Y344" i="5"/>
  <c r="Q102" i="5"/>
  <c r="I212" i="5"/>
  <c r="AB157" i="5"/>
  <c r="AH91" i="5"/>
  <c r="R333" i="5"/>
  <c r="J311" i="5"/>
  <c r="T201" i="5"/>
  <c r="AF157" i="5"/>
  <c r="W47" i="5"/>
  <c r="AH135" i="5"/>
  <c r="Z113" i="5"/>
  <c r="J179" i="5"/>
  <c r="O223" i="5"/>
  <c r="T245" i="5"/>
  <c r="I69" i="5"/>
  <c r="D234" i="5"/>
  <c r="AB47" i="5"/>
  <c r="J267" i="5"/>
  <c r="AM267" i="5"/>
  <c r="AN36" i="5"/>
  <c r="H190" i="5"/>
  <c r="AK300" i="5"/>
  <c r="U58" i="5"/>
  <c r="V146" i="5"/>
  <c r="AC201" i="5"/>
  <c r="AN234" i="5"/>
  <c r="AC47" i="5"/>
  <c r="AN157" i="5"/>
  <c r="V91" i="5"/>
  <c r="AC245" i="5"/>
  <c r="AN47" i="5"/>
  <c r="H91" i="5"/>
  <c r="AK267" i="5"/>
  <c r="V344" i="5"/>
  <c r="AC190" i="5"/>
  <c r="AN146" i="5"/>
  <c r="AK69" i="5"/>
  <c r="H300" i="5"/>
  <c r="V201" i="5"/>
  <c r="AC300" i="5"/>
  <c r="P322" i="5"/>
  <c r="AE58" i="5"/>
  <c r="AL256" i="5"/>
  <c r="F344" i="5"/>
  <c r="S333" i="5"/>
  <c r="S157" i="5"/>
  <c r="D289" i="5"/>
  <c r="P234" i="5"/>
  <c r="AE190" i="5"/>
  <c r="G234" i="5"/>
  <c r="N278" i="5"/>
  <c r="F190" i="5"/>
  <c r="AA311" i="5"/>
  <c r="AA25" i="5"/>
  <c r="W25" i="5"/>
  <c r="M311" i="5"/>
  <c r="M135" i="5"/>
  <c r="E267" i="5"/>
  <c r="E91" i="5"/>
  <c r="N333" i="5"/>
  <c r="L157" i="5"/>
  <c r="AI245" i="5"/>
  <c r="K80" i="5"/>
  <c r="AE113" i="5"/>
  <c r="N69" i="5"/>
  <c r="AJ47" i="5"/>
  <c r="L135" i="5"/>
  <c r="S58" i="5"/>
  <c r="K168" i="5"/>
  <c r="P333" i="5"/>
  <c r="G289" i="5"/>
  <c r="AL47" i="5"/>
  <c r="F289" i="5"/>
  <c r="S322" i="5"/>
  <c r="K58" i="5"/>
  <c r="E25" i="5"/>
  <c r="P47" i="5"/>
  <c r="AE91" i="5"/>
  <c r="G135" i="5"/>
  <c r="N311" i="5"/>
  <c r="F333" i="5"/>
  <c r="AI36" i="5"/>
  <c r="AA168" i="5"/>
  <c r="W113" i="5"/>
  <c r="M234" i="5"/>
  <c r="M36" i="5"/>
  <c r="E190" i="5"/>
  <c r="AL102" i="5"/>
  <c r="AJ234" i="5"/>
  <c r="L212" i="5"/>
  <c r="F146" i="5"/>
  <c r="AI168" i="5"/>
  <c r="AF278" i="5"/>
  <c r="V58" i="5"/>
  <c r="AL212" i="5"/>
  <c r="AJ168" i="5"/>
  <c r="L58" i="5"/>
  <c r="S91" i="5"/>
  <c r="K223" i="5"/>
  <c r="D278" i="5"/>
  <c r="AH69" i="5"/>
  <c r="X69" i="5"/>
  <c r="AM47" i="5"/>
  <c r="AD333" i="5"/>
  <c r="AG245" i="5"/>
  <c r="Y289" i="5"/>
  <c r="Q267" i="5"/>
  <c r="I223" i="5"/>
  <c r="AB278" i="5"/>
  <c r="AB58" i="5"/>
  <c r="Z212" i="5"/>
  <c r="J278" i="5"/>
  <c r="T234" i="5"/>
  <c r="AF212" i="5"/>
  <c r="AB124" i="5"/>
  <c r="Z256" i="5"/>
  <c r="R146" i="5"/>
  <c r="J190" i="5"/>
  <c r="O146" i="5"/>
  <c r="Q146" i="5"/>
  <c r="D157" i="5"/>
  <c r="AH36" i="5"/>
  <c r="AM278" i="5"/>
  <c r="AD234" i="5"/>
  <c r="AG190" i="5"/>
  <c r="Y190" i="5"/>
  <c r="Q278" i="5"/>
  <c r="I102" i="5"/>
  <c r="X322" i="5"/>
  <c r="X36" i="5"/>
  <c r="AM58" i="5"/>
  <c r="O124" i="5"/>
  <c r="AD212" i="5"/>
  <c r="AG322" i="5"/>
  <c r="Y322" i="5"/>
  <c r="Q80" i="5"/>
  <c r="I190" i="5"/>
  <c r="AB135" i="5"/>
  <c r="AH47" i="5"/>
  <c r="R289" i="5"/>
  <c r="J223" i="5"/>
  <c r="T113" i="5"/>
  <c r="AF135" i="5"/>
  <c r="AB333" i="5"/>
  <c r="Z333" i="5"/>
  <c r="Z69" i="5"/>
  <c r="AN300" i="5"/>
  <c r="H124" i="5"/>
  <c r="AK278" i="5"/>
  <c r="AN289" i="5"/>
  <c r="V124" i="5"/>
  <c r="AC124" i="5"/>
  <c r="AN344" i="5"/>
  <c r="AC25" i="5"/>
  <c r="AN135" i="5"/>
  <c r="AK245" i="5"/>
  <c r="AC168" i="5"/>
  <c r="H333" i="5"/>
  <c r="H69" i="5"/>
  <c r="AC146" i="5"/>
  <c r="V278" i="5"/>
  <c r="AC135" i="5"/>
  <c r="H234" i="5"/>
  <c r="AC212" i="5"/>
  <c r="H278" i="5"/>
  <c r="V102" i="5"/>
  <c r="AC278" i="5"/>
  <c r="P212" i="5"/>
  <c r="G344" i="5"/>
  <c r="AL234" i="5"/>
  <c r="F256" i="5"/>
  <c r="S311" i="5"/>
  <c r="S25" i="5"/>
  <c r="D179" i="5"/>
  <c r="P168" i="5"/>
  <c r="AE168" i="5"/>
  <c r="G168" i="5"/>
  <c r="N190" i="5"/>
  <c r="F36" i="5"/>
  <c r="AA289" i="5"/>
  <c r="AF267" i="5"/>
  <c r="D245" i="5"/>
  <c r="M289" i="5"/>
  <c r="M113" i="5"/>
  <c r="E245" i="5"/>
  <c r="E69" i="5"/>
  <c r="N179" i="5"/>
  <c r="L69" i="5"/>
  <c r="AI223" i="5"/>
  <c r="AF91" i="5"/>
  <c r="AE25" i="5"/>
  <c r="AJ267" i="5"/>
  <c r="L333" i="5"/>
  <c r="L113" i="5"/>
  <c r="S36" i="5"/>
  <c r="K124" i="5"/>
  <c r="P267" i="5"/>
  <c r="G267" i="5"/>
  <c r="N135" i="5"/>
  <c r="F223" i="5"/>
  <c r="S300" i="5"/>
  <c r="AF289" i="5"/>
  <c r="P311" i="5"/>
  <c r="AE311" i="5"/>
  <c r="AE69" i="5"/>
  <c r="G91" i="5"/>
  <c r="N267" i="5"/>
  <c r="F267" i="5"/>
  <c r="AA344" i="5"/>
  <c r="AA124" i="5"/>
  <c r="D113" i="5"/>
  <c r="M212" i="5"/>
  <c r="E344" i="5"/>
  <c r="E168" i="5"/>
  <c r="N322" i="5"/>
  <c r="AJ190" i="5"/>
  <c r="L190" i="5"/>
  <c r="AI344" i="5"/>
  <c r="AA58" i="5"/>
  <c r="AF245" i="5"/>
  <c r="AE344" i="5"/>
  <c r="AL146" i="5"/>
  <c r="AJ102" i="5"/>
  <c r="F322" i="5"/>
  <c r="S69" i="5"/>
  <c r="K201" i="5"/>
  <c r="D256" i="5"/>
  <c r="X333" i="5"/>
  <c r="AM333" i="5"/>
  <c r="O333" i="5"/>
  <c r="AD267" i="5"/>
  <c r="AG223" i="5"/>
  <c r="Y267" i="5"/>
  <c r="Q179" i="5"/>
  <c r="I201" i="5"/>
  <c r="AB256" i="5"/>
  <c r="AH300" i="5"/>
  <c r="Z102" i="5"/>
  <c r="J212" i="5"/>
  <c r="T190" i="5"/>
  <c r="AF36" i="5"/>
  <c r="AB36" i="5"/>
  <c r="Z190" i="5"/>
  <c r="R102" i="5"/>
  <c r="J168" i="5"/>
  <c r="AD80" i="5"/>
  <c r="I234" i="5"/>
  <c r="D135" i="5"/>
  <c r="Z322" i="5"/>
  <c r="AM256" i="5"/>
  <c r="AD102" i="5"/>
  <c r="AG168" i="5"/>
  <c r="Y146" i="5"/>
  <c r="Q256" i="5"/>
  <c r="I36" i="5"/>
  <c r="X300" i="5"/>
  <c r="AM344" i="5"/>
  <c r="AM36" i="5"/>
  <c r="O102" i="5"/>
  <c r="AD190" i="5"/>
  <c r="AG300" i="5"/>
  <c r="Y278" i="5"/>
  <c r="Q58" i="5"/>
  <c r="I168" i="5"/>
  <c r="AB69" i="5"/>
  <c r="AH25" i="5"/>
  <c r="R245" i="5"/>
  <c r="J201" i="5"/>
  <c r="T69" i="5"/>
  <c r="AF113" i="5"/>
  <c r="AN190" i="5"/>
  <c r="H80" i="5"/>
  <c r="AK135" i="5"/>
  <c r="AN124" i="5"/>
  <c r="V36" i="5"/>
  <c r="U278" i="5"/>
  <c r="AN256" i="5"/>
  <c r="U322" i="5"/>
  <c r="H245" i="5"/>
  <c r="AK124" i="5"/>
  <c r="U344" i="5"/>
  <c r="H311" i="5"/>
  <c r="H47" i="5"/>
  <c r="AC113" i="5"/>
  <c r="V234" i="5"/>
  <c r="AC36" i="5"/>
  <c r="H146" i="5"/>
  <c r="U311" i="5"/>
  <c r="H168" i="5"/>
  <c r="AK256" i="5"/>
  <c r="AC256" i="5"/>
  <c r="P190" i="5"/>
  <c r="G322" i="5"/>
  <c r="AL168" i="5"/>
  <c r="F113" i="5"/>
  <c r="S289" i="5"/>
  <c r="K69" i="5"/>
  <c r="M146" i="5"/>
  <c r="P124" i="5"/>
  <c r="AE124" i="5"/>
  <c r="G124" i="5"/>
  <c r="N168" i="5"/>
  <c r="AI135" i="5"/>
  <c r="AA267" i="5"/>
  <c r="AF234" i="5"/>
  <c r="U135" i="5"/>
  <c r="M267" i="5"/>
  <c r="M91" i="5"/>
  <c r="E223" i="5"/>
  <c r="E47" i="5"/>
  <c r="N25" i="5"/>
  <c r="F157" i="5"/>
  <c r="AI201" i="5"/>
  <c r="W267" i="5"/>
  <c r="G333" i="5"/>
  <c r="AJ245" i="5"/>
  <c r="L289" i="5"/>
  <c r="L47" i="5"/>
  <c r="K344" i="5"/>
  <c r="K36" i="5"/>
  <c r="P201" i="5"/>
  <c r="G245" i="5"/>
  <c r="N113" i="5"/>
  <c r="F201" i="5"/>
  <c r="S278" i="5"/>
  <c r="AF168" i="5"/>
  <c r="P289" i="5"/>
  <c r="AE267" i="5"/>
  <c r="AE47" i="5"/>
  <c r="G47" i="5"/>
  <c r="N245" i="5"/>
  <c r="F124" i="5"/>
  <c r="AA322" i="5"/>
  <c r="K234" i="5"/>
  <c r="U36" i="5"/>
  <c r="M190" i="5"/>
  <c r="E322" i="5"/>
  <c r="E124" i="5"/>
  <c r="N300" i="5"/>
  <c r="AJ146" i="5"/>
  <c r="L146" i="5"/>
  <c r="AI322" i="5"/>
  <c r="K135" i="5"/>
  <c r="AF223" i="5"/>
  <c r="AE278" i="5"/>
  <c r="AL58" i="5"/>
  <c r="AJ80" i="5"/>
  <c r="F168" i="5"/>
  <c r="S47" i="5"/>
  <c r="K179" i="5"/>
  <c r="D212" i="5"/>
  <c r="X267" i="5"/>
  <c r="AM289" i="5"/>
  <c r="O289" i="5"/>
  <c r="AD245" i="5"/>
  <c r="AG201" i="5"/>
  <c r="Y245" i="5"/>
  <c r="Q135" i="5"/>
  <c r="I179" i="5"/>
  <c r="AB234" i="5"/>
  <c r="AH256" i="5"/>
  <c r="Z80" i="5"/>
  <c r="J102" i="5"/>
  <c r="T168" i="5"/>
  <c r="W278" i="5"/>
  <c r="AH322" i="5"/>
  <c r="Z168" i="5"/>
  <c r="R80" i="5"/>
  <c r="J124" i="5"/>
  <c r="T322" i="5"/>
  <c r="I58" i="5"/>
  <c r="D69" i="5"/>
  <c r="Z36" i="5"/>
  <c r="AM190" i="5"/>
  <c r="T256" i="5"/>
  <c r="AG146" i="5"/>
  <c r="Y124" i="5"/>
  <c r="Q190" i="5"/>
  <c r="AH234" i="5"/>
  <c r="X278" i="5"/>
  <c r="AM322" i="5"/>
  <c r="O344" i="5"/>
  <c r="O80" i="5"/>
  <c r="AD168" i="5"/>
  <c r="AG278" i="5"/>
  <c r="Y256" i="5"/>
  <c r="I344" i="5"/>
  <c r="I80" i="5"/>
  <c r="AH333" i="5"/>
  <c r="Z311" i="5"/>
  <c r="R179" i="5"/>
  <c r="J91" i="5"/>
  <c r="T47" i="5"/>
  <c r="AF47" i="5"/>
  <c r="AB289" i="5"/>
  <c r="Z267" i="5"/>
  <c r="R135" i="5"/>
  <c r="AN80" i="5"/>
  <c r="V311" i="5"/>
  <c r="AK36" i="5"/>
  <c r="AN278" i="5"/>
  <c r="AK223" i="5"/>
  <c r="U201" i="5"/>
  <c r="AN102" i="5"/>
  <c r="U300" i="5"/>
  <c r="H223" i="5"/>
  <c r="AK102" i="5"/>
  <c r="U80" i="5"/>
  <c r="H289" i="5"/>
  <c r="V212" i="5"/>
  <c r="AC91" i="5"/>
  <c r="V25" i="5"/>
  <c r="U267" i="5"/>
  <c r="V300" i="5"/>
  <c r="U289" i="5"/>
  <c r="H102" i="5"/>
  <c r="AK146" i="5"/>
  <c r="AC234" i="5"/>
  <c r="P146" i="5"/>
  <c r="G212" i="5"/>
  <c r="AL80" i="5"/>
  <c r="AI234" i="5"/>
  <c r="S267" i="5"/>
  <c r="AF69" i="5"/>
  <c r="E146" i="5"/>
  <c r="P102" i="5"/>
  <c r="AE102" i="5"/>
  <c r="G36" i="5"/>
  <c r="N146" i="5"/>
  <c r="AI113" i="5"/>
  <c r="AA245" i="5"/>
  <c r="AF179" i="5"/>
  <c r="U113" i="5"/>
  <c r="M245" i="5"/>
  <c r="M69" i="5"/>
  <c r="E201" i="5"/>
  <c r="P25" i="5"/>
  <c r="AJ333" i="5"/>
  <c r="F58" i="5"/>
  <c r="AI179" i="5"/>
  <c r="W146" i="5"/>
  <c r="G25" i="5"/>
  <c r="AJ223" i="5"/>
  <c r="L267" i="5"/>
  <c r="F245" i="5"/>
  <c r="K322" i="5"/>
  <c r="D201" i="5"/>
  <c r="P135" i="5"/>
  <c r="G113" i="5"/>
  <c r="N47" i="5"/>
  <c r="F179" i="5"/>
  <c r="S256" i="5"/>
  <c r="AF58" i="5"/>
  <c r="P245" i="5"/>
  <c r="AE223" i="5"/>
  <c r="G311" i="5"/>
  <c r="AL311" i="5"/>
  <c r="N223" i="5"/>
  <c r="F69" i="5"/>
  <c r="AA300" i="5"/>
  <c r="K190" i="5"/>
  <c r="M344" i="5"/>
  <c r="M168" i="5"/>
  <c r="E300" i="5"/>
  <c r="E102" i="5"/>
  <c r="N256" i="5"/>
  <c r="AJ124" i="5"/>
  <c r="L124" i="5"/>
  <c r="AI300" i="5"/>
  <c r="K113" i="5"/>
  <c r="AF190" i="5"/>
  <c r="AE146" i="5"/>
  <c r="AL36" i="5"/>
  <c r="AJ58" i="5"/>
  <c r="F91" i="5"/>
  <c r="K333" i="5"/>
  <c r="K157" i="5"/>
  <c r="D168" i="5"/>
  <c r="X245" i="5"/>
  <c r="AM245" i="5"/>
  <c r="O157" i="5"/>
  <c r="AD179" i="5"/>
  <c r="AG179" i="5"/>
  <c r="Y223" i="5"/>
  <c r="Q91" i="5"/>
  <c r="I113" i="5"/>
  <c r="AB212" i="5"/>
  <c r="AH168" i="5"/>
  <c r="R300" i="5"/>
  <c r="J80" i="5"/>
  <c r="T146" i="5"/>
  <c r="W234" i="5"/>
  <c r="AH212" i="5"/>
  <c r="Z124" i="5"/>
  <c r="R58" i="5"/>
  <c r="J36" i="5"/>
  <c r="T300" i="5"/>
  <c r="F135" i="5"/>
  <c r="AB344" i="5"/>
  <c r="R322" i="5"/>
  <c r="AM168" i="5"/>
  <c r="T212" i="5"/>
  <c r="AG124" i="5"/>
  <c r="Y102" i="5"/>
  <c r="Q168" i="5"/>
  <c r="Z234" i="5"/>
  <c r="X212" i="5"/>
  <c r="AM300" i="5"/>
  <c r="O322" i="5"/>
  <c r="O58" i="5"/>
  <c r="AD146" i="5"/>
  <c r="AG256" i="5"/>
  <c r="Y168" i="5"/>
  <c r="I322" i="5"/>
  <c r="D25" i="5"/>
  <c r="AH245" i="5"/>
  <c r="Z223" i="5"/>
  <c r="R157" i="5"/>
  <c r="X25" i="5"/>
  <c r="Y25" i="5"/>
  <c r="W245" i="5"/>
  <c r="AH311" i="5"/>
  <c r="Z245" i="5"/>
  <c r="AN58" i="5"/>
  <c r="V267" i="5"/>
  <c r="AC179" i="5"/>
  <c r="AN168" i="5"/>
  <c r="AK201" i="5"/>
  <c r="U179" i="5"/>
  <c r="V113" i="5"/>
  <c r="U223" i="5"/>
  <c r="H179" i="5"/>
  <c r="AC333" i="5"/>
  <c r="AN223" i="5"/>
  <c r="H267" i="5"/>
  <c r="V190" i="5"/>
  <c r="AC69" i="5"/>
  <c r="AK212" i="5"/>
  <c r="U212" i="5"/>
  <c r="V256" i="5"/>
  <c r="U146" i="5"/>
  <c r="H58" i="5"/>
  <c r="AK113" i="5"/>
  <c r="AC157" i="5"/>
  <c r="P80" i="5"/>
  <c r="G190" i="5"/>
  <c r="N234" i="5"/>
  <c r="AA135" i="5"/>
  <c r="S245" i="5"/>
  <c r="W344" i="5"/>
  <c r="P344" i="5"/>
  <c r="P58" i="5"/>
  <c r="AE80" i="5"/>
  <c r="AL344" i="5"/>
  <c r="N124" i="5"/>
  <c r="AI91" i="5"/>
  <c r="AA223" i="5"/>
  <c r="AF146" i="5"/>
  <c r="U91" i="5"/>
  <c r="M223" i="5"/>
  <c r="M47" i="5"/>
  <c r="E179" i="5"/>
  <c r="AL333" i="5"/>
  <c r="AJ289" i="5"/>
  <c r="AI333" i="5"/>
  <c r="AI157" i="5"/>
  <c r="D91" i="5"/>
  <c r="AL245" i="5"/>
  <c r="AJ201" i="5"/>
  <c r="L245" i="5"/>
  <c r="F102" i="5"/>
  <c r="K300" i="5"/>
  <c r="D47" i="5"/>
  <c r="P91" i="5"/>
  <c r="G69" i="5"/>
  <c r="AJ311" i="5"/>
  <c r="AA102" i="5"/>
  <c r="S234" i="5"/>
  <c r="W333" i="5"/>
  <c r="P223" i="5"/>
  <c r="AE201" i="5"/>
  <c r="G223" i="5"/>
  <c r="AL223" i="5"/>
  <c r="N201" i="5"/>
  <c r="F47" i="5"/>
  <c r="AA278" i="5"/>
  <c r="AF311" i="5"/>
  <c r="M322" i="5"/>
  <c r="M124" i="5"/>
  <c r="E278" i="5"/>
  <c r="E80" i="5"/>
  <c r="N212" i="5"/>
  <c r="AJ36" i="5"/>
  <c r="L102" i="5"/>
  <c r="AI278" i="5"/>
  <c r="K91" i="5"/>
  <c r="AF102" i="5"/>
  <c r="G300" i="5"/>
  <c r="AJ344" i="5"/>
  <c r="L344" i="5"/>
  <c r="AI58" i="5"/>
  <c r="K311" i="5"/>
  <c r="AF300" i="5"/>
  <c r="D124" i="5"/>
  <c r="X201" i="5"/>
  <c r="AM157" i="5"/>
  <c r="O135" i="5"/>
  <c r="AD157" i="5"/>
  <c r="AG91" i="5"/>
  <c r="Y201" i="5"/>
  <c r="I311" i="5"/>
  <c r="I91" i="5"/>
  <c r="AB190" i="5"/>
  <c r="AH124" i="5"/>
  <c r="R256" i="5"/>
  <c r="J58" i="5"/>
  <c r="T36" i="5"/>
  <c r="W124" i="5"/>
  <c r="AH190" i="5"/>
  <c r="R344" i="5"/>
  <c r="R36" i="5"/>
  <c r="X234" i="5"/>
  <c r="T278" i="5"/>
  <c r="F25" i="5"/>
  <c r="AB168" i="5"/>
  <c r="R212" i="5"/>
  <c r="AM80" i="5"/>
  <c r="T102" i="5"/>
  <c r="AG36" i="5"/>
  <c r="Y80" i="5"/>
  <c r="Q124" i="5"/>
  <c r="Z146" i="5"/>
  <c r="X190" i="5"/>
  <c r="AM234" i="5"/>
  <c r="O300" i="5"/>
  <c r="O36" i="5"/>
  <c r="AD124" i="5"/>
  <c r="AG212" i="5"/>
  <c r="Y36" i="5"/>
  <c r="I300" i="5"/>
  <c r="AB267" i="5"/>
  <c r="AH179" i="5"/>
  <c r="Z201" i="5"/>
  <c r="R113" i="5"/>
  <c r="AD25" i="5"/>
  <c r="Q25" i="5"/>
  <c r="H344" i="5"/>
  <c r="V168" i="5"/>
  <c r="AC102" i="5"/>
  <c r="AN25" i="5"/>
  <c r="AK179" i="5"/>
  <c r="U157" i="5"/>
  <c r="V69" i="5"/>
  <c r="U25" i="5"/>
  <c r="H157" i="5"/>
  <c r="AC311" i="5"/>
  <c r="AN113" i="5"/>
  <c r="H201" i="5"/>
  <c r="AK333" i="5"/>
  <c r="U245" i="5"/>
  <c r="AK190" i="5"/>
  <c r="U190" i="5"/>
  <c r="V135" i="5"/>
  <c r="U102" i="5"/>
  <c r="H36" i="5"/>
  <c r="AK91" i="5"/>
  <c r="AC58" i="5"/>
  <c r="AE322" i="5"/>
  <c r="G102" i="5"/>
  <c r="N102" i="5"/>
  <c r="AA113" i="5"/>
  <c r="S223" i="5"/>
  <c r="W322" i="5"/>
  <c r="P300" i="5"/>
  <c r="P36" i="5"/>
  <c r="AE36" i="5"/>
  <c r="AL190" i="5"/>
  <c r="F300" i="5"/>
  <c r="AI47" i="5"/>
  <c r="AA201" i="5"/>
  <c r="W223" i="5"/>
  <c r="U69" i="5"/>
  <c r="M201" i="5"/>
  <c r="E333" i="5"/>
  <c r="E157" i="5"/>
  <c r="AL289" i="5"/>
  <c r="AJ157" i="5"/>
  <c r="AI311" i="5"/>
  <c r="AI69" i="5"/>
  <c r="V47" i="5"/>
  <c r="AL179" i="5"/>
  <c r="AJ179" i="5"/>
  <c r="L223" i="5"/>
  <c r="S124" i="5"/>
  <c r="K278" i="5"/>
  <c r="V179" i="5"/>
  <c r="AE333" i="5"/>
  <c r="AL157" i="5"/>
  <c r="AJ91" i="5"/>
  <c r="AA80" i="5"/>
  <c r="S212" i="5"/>
  <c r="W311" i="5"/>
  <c r="P179" i="5"/>
  <c r="AE179" i="5"/>
  <c r="G201" i="5"/>
  <c r="AL201" i="5"/>
  <c r="N157" i="5"/>
  <c r="AI124" i="5"/>
  <c r="AA256" i="5"/>
  <c r="W212" i="5"/>
  <c r="M300" i="5"/>
  <c r="M102" i="5"/>
  <c r="E256" i="5"/>
  <c r="E58" i="5"/>
  <c r="N58" i="5"/>
  <c r="L322" i="5"/>
  <c r="L80" i="5"/>
  <c r="AI256" i="5"/>
  <c r="K47" i="5"/>
  <c r="AF80" i="5"/>
  <c r="G146" i="5"/>
  <c r="AJ278" i="5"/>
  <c r="L300" i="5"/>
  <c r="AA234" i="5"/>
  <c r="K289" i="5"/>
  <c r="AF124" i="5"/>
  <c r="D102" i="5"/>
  <c r="X179" i="5"/>
  <c r="AM135" i="5"/>
  <c r="O113" i="5"/>
  <c r="AD113" i="5"/>
  <c r="AG47" i="5"/>
  <c r="Y135" i="5"/>
  <c r="I289" i="5"/>
  <c r="I47" i="5"/>
  <c r="AB146" i="5"/>
  <c r="AH58" i="5"/>
  <c r="R168" i="5"/>
  <c r="X58" i="5"/>
  <c r="AF344" i="5"/>
  <c r="W102" i="5"/>
  <c r="AH146" i="5"/>
  <c r="R278" i="5"/>
  <c r="J322" i="5"/>
  <c r="X146" i="5"/>
  <c r="T124" i="5"/>
  <c r="AF25" i="5"/>
  <c r="AH344" i="5"/>
  <c r="X344" i="5"/>
  <c r="O278" i="5"/>
  <c r="T80" i="5"/>
  <c r="Y300" i="5"/>
  <c r="Y58" i="5"/>
  <c r="Q36" i="5"/>
  <c r="Z58" i="5"/>
  <c r="X168" i="5"/>
  <c r="AM212" i="5"/>
  <c r="O234" i="5"/>
  <c r="AD322" i="5"/>
  <c r="AD58" i="5"/>
  <c r="AG102" i="5"/>
  <c r="Q300" i="5"/>
  <c r="I278" i="5"/>
  <c r="AB245" i="5"/>
  <c r="AH157" i="5"/>
  <c r="Z91" i="5"/>
  <c r="R91" i="5"/>
  <c r="T267" i="5"/>
  <c r="I25" i="5"/>
  <c r="W135" i="5"/>
  <c r="H256" i="5"/>
  <c r="AK344" i="5"/>
  <c r="AC80" i="5"/>
  <c r="H25" i="5"/>
  <c r="AK157" i="5"/>
  <c r="U124" i="5"/>
  <c r="AK80" i="5"/>
  <c r="AN333" i="5"/>
  <c r="V333" i="5"/>
  <c r="AC289" i="5"/>
  <c r="AN91" i="5"/>
  <c r="H135" i="5"/>
  <c r="AK311" i="5"/>
  <c r="AN311" i="5"/>
  <c r="AK168" i="5"/>
  <c r="U168" i="5"/>
  <c r="V80" i="5"/>
  <c r="AN212" i="5"/>
  <c r="V322" i="5"/>
  <c r="AC344" i="5"/>
  <c r="U333" i="5"/>
  <c r="AE300" i="5"/>
  <c r="G80" i="5"/>
  <c r="N80" i="5"/>
  <c r="AA91" i="5"/>
  <c r="S201" i="5"/>
  <c r="W300" i="5"/>
  <c r="P278" i="5"/>
  <c r="AE256" i="5"/>
  <c r="G278" i="5"/>
  <c r="AL124" i="5"/>
  <c r="F234" i="5"/>
  <c r="AI25" i="5"/>
  <c r="AA179" i="5"/>
  <c r="W201" i="5"/>
  <c r="U47" i="5"/>
  <c r="M179" i="5"/>
  <c r="E311" i="5"/>
  <c r="E135" i="5"/>
  <c r="AL267" i="5"/>
  <c r="AJ69" i="5"/>
  <c r="AI289" i="5"/>
  <c r="AA69" i="5"/>
  <c r="M25" i="5"/>
  <c r="N289" i="5"/>
  <c r="AJ135" i="5"/>
  <c r="L201" i="5"/>
  <c r="S102" i="5"/>
  <c r="K256" i="5"/>
  <c r="V157" i="5"/>
  <c r="AE289" i="5"/>
  <c r="AL135" i="5"/>
  <c r="L91" i="5"/>
  <c r="AA36" i="5"/>
  <c r="S190" i="5"/>
  <c r="W289" i="5"/>
  <c r="P157" i="5"/>
  <c r="AE157" i="5"/>
  <c r="G179" i="5"/>
  <c r="AL91" i="5"/>
  <c r="AJ25" i="5"/>
  <c r="AI102" i="5"/>
  <c r="AA212" i="5"/>
  <c r="W190" i="5"/>
  <c r="M278" i="5"/>
  <c r="M80" i="5"/>
  <c r="E234" i="5"/>
  <c r="E36" i="5"/>
  <c r="AJ322" i="5"/>
  <c r="L256" i="5"/>
  <c r="L36" i="5"/>
  <c r="AI212" i="5"/>
  <c r="K25" i="5"/>
  <c r="W256" i="5"/>
  <c r="AL322" i="5"/>
  <c r="AJ256" i="5"/>
  <c r="L278" i="5"/>
  <c r="S135" i="5"/>
  <c r="K267" i="5"/>
  <c r="W58" i="5"/>
  <c r="D80" i="5"/>
  <c r="X135" i="5"/>
  <c r="AM113" i="5"/>
  <c r="O91" i="5"/>
  <c r="AD47" i="5"/>
  <c r="Y333" i="5"/>
  <c r="Y113" i="5"/>
  <c r="I267" i="5"/>
  <c r="W80" i="5"/>
  <c r="AB102" i="5"/>
  <c r="Z344" i="5"/>
  <c r="R124" i="5"/>
  <c r="AD256" i="5"/>
  <c r="AF322" i="5"/>
  <c r="W36" i="5"/>
  <c r="AH80" i="5"/>
  <c r="R234" i="5"/>
  <c r="J300" i="5"/>
  <c r="AM146" i="5"/>
  <c r="AG58" i="5"/>
  <c r="D333" i="5"/>
  <c r="AH278" i="5"/>
  <c r="X256" i="5"/>
  <c r="O256" i="5"/>
  <c r="T58" i="5"/>
  <c r="Y234" i="5"/>
  <c r="Q344" i="5"/>
  <c r="I146" i="5"/>
  <c r="J234" i="5"/>
  <c r="X102" i="5"/>
  <c r="AM124" i="5"/>
  <c r="O212" i="5"/>
  <c r="AD300" i="5"/>
  <c r="AD36" i="5"/>
  <c r="AG80" i="5"/>
  <c r="Q212" i="5"/>
  <c r="I256" i="5"/>
  <c r="AB179" i="5"/>
  <c r="AH113" i="5"/>
  <c r="Z47" i="5"/>
  <c r="R47" i="5"/>
  <c r="T223" i="5"/>
  <c r="AF201" i="5"/>
  <c r="W91" i="5"/>
  <c r="AH201" i="5"/>
  <c r="Z135" i="5"/>
  <c r="J245" i="5"/>
  <c r="W157" i="5"/>
  <c r="R69" i="5"/>
  <c r="J25" i="5"/>
  <c r="T289" i="5"/>
  <c r="F80" i="5"/>
  <c r="D146" i="5"/>
  <c r="Z25" i="5"/>
  <c r="X157" i="5"/>
  <c r="O311" i="5"/>
  <c r="AD201" i="5"/>
  <c r="AG69" i="5"/>
  <c r="Q223" i="5"/>
  <c r="I135" i="5"/>
  <c r="AB311" i="5"/>
  <c r="R25" i="5"/>
  <c r="AM25" i="5"/>
  <c r="T179" i="5"/>
  <c r="AI146" i="5"/>
  <c r="D58" i="5"/>
  <c r="R311" i="5"/>
  <c r="X113" i="5"/>
  <c r="O267" i="5"/>
  <c r="AD135" i="5"/>
  <c r="Y179" i="5"/>
  <c r="Q201" i="5"/>
  <c r="AH289" i="5"/>
  <c r="J289" i="5"/>
  <c r="O201" i="5"/>
  <c r="T157" i="5"/>
  <c r="AA146" i="5"/>
  <c r="AB223" i="5"/>
  <c r="R267" i="5"/>
  <c r="X47" i="5"/>
  <c r="O245" i="5"/>
  <c r="AG333" i="5"/>
  <c r="Y157" i="5"/>
  <c r="Q157" i="5"/>
  <c r="AH267" i="5"/>
  <c r="J157" i="5"/>
  <c r="O25" i="5"/>
  <c r="T135" i="5"/>
  <c r="S146" i="5"/>
  <c r="AB201" i="5"/>
  <c r="R201" i="5"/>
  <c r="AM311" i="5"/>
  <c r="O179" i="5"/>
  <c r="AG289" i="5"/>
  <c r="Y91" i="5"/>
  <c r="Q113" i="5"/>
  <c r="Z289" i="5"/>
  <c r="J135" i="5"/>
  <c r="AD91" i="5"/>
  <c r="T91" i="5"/>
  <c r="K146" i="5"/>
  <c r="AB113" i="5"/>
  <c r="J333" i="5"/>
  <c r="AM223" i="5"/>
  <c r="O69" i="5"/>
  <c r="AG267" i="5"/>
  <c r="Y47" i="5"/>
  <c r="Q69" i="5"/>
  <c r="Z179" i="5"/>
  <c r="J113" i="5"/>
  <c r="AD69" i="5"/>
  <c r="T25" i="5"/>
  <c r="D322" i="5"/>
  <c r="AB91" i="5"/>
  <c r="X311" i="5"/>
  <c r="AM201" i="5"/>
  <c r="AD311" i="5"/>
  <c r="AG157" i="5"/>
  <c r="Q311" i="5"/>
  <c r="Q47" i="5"/>
  <c r="Z157" i="5"/>
  <c r="J69" i="5"/>
  <c r="T333" i="5"/>
  <c r="AG25" i="5"/>
  <c r="D300" i="5"/>
  <c r="AB25" i="5"/>
  <c r="X289" i="5"/>
  <c r="AM179" i="5"/>
  <c r="AD289" i="5"/>
  <c r="AG135" i="5"/>
  <c r="Q289" i="5"/>
  <c r="I333" i="5"/>
  <c r="R223" i="5"/>
  <c r="J47" i="5"/>
  <c r="T311" i="5"/>
  <c r="Y69" i="5"/>
  <c r="D190" i="5"/>
  <c r="AH223" i="5"/>
  <c r="X223" i="5"/>
  <c r="AM69" i="5"/>
  <c r="AD223" i="5"/>
  <c r="AG113" i="5"/>
  <c r="Q245" i="5"/>
  <c r="I157" i="5"/>
  <c r="DT165" i="59"/>
  <c r="EK164" i="59"/>
  <c r="DL165" i="59"/>
  <c r="DU164" i="59"/>
  <c r="ED164" i="59"/>
  <c r="EA165" i="59"/>
  <c r="DC165" i="59"/>
  <c r="DK165" i="59"/>
  <c r="W165" i="59"/>
  <c r="HI164" i="59"/>
  <c r="R165" i="59"/>
  <c r="AF165" i="59"/>
  <c r="GJ164" i="59"/>
  <c r="HA164" i="59"/>
  <c r="HX164" i="59"/>
  <c r="DW164" i="59"/>
  <c r="CM165" i="59"/>
  <c r="DY165" i="59"/>
  <c r="IB164" i="59"/>
  <c r="HN164" i="59"/>
  <c r="EG165" i="59"/>
  <c r="IA164" i="59"/>
  <c r="M165" i="59"/>
  <c r="U165" i="59"/>
  <c r="H36" i="2"/>
  <c r="BN259" i="59"/>
  <c r="DI257" i="59"/>
  <c r="H40" i="2"/>
  <c r="HJ259" i="59"/>
  <c r="AT258" i="59"/>
  <c r="H39" i="2"/>
  <c r="FX259" i="59"/>
  <c r="IQ257" i="59"/>
  <c r="H38" i="2"/>
  <c r="EL259" i="59"/>
  <c r="GW257" i="59"/>
  <c r="H37" i="2"/>
  <c r="CZ259" i="59"/>
  <c r="FC257" i="59"/>
  <c r="H41" i="2"/>
  <c r="IV259" i="59"/>
  <c r="AV16" i="5"/>
  <c r="EY163" i="59"/>
  <c r="Q81" i="40"/>
  <c r="W81" i="40"/>
  <c r="HV120" i="59"/>
  <c r="P81" i="40"/>
  <c r="N81" i="40"/>
  <c r="HM120" i="59"/>
  <c r="O81" i="40"/>
  <c r="HN120" i="59"/>
  <c r="Y81" i="40"/>
  <c r="HX120" i="59"/>
  <c r="U81" i="40"/>
  <c r="HT120" i="59"/>
  <c r="X81" i="40"/>
  <c r="HW120" i="59"/>
  <c r="R81" i="40"/>
  <c r="Z81" i="40"/>
  <c r="M81" i="40"/>
  <c r="T81" i="40"/>
  <c r="HS120" i="59"/>
  <c r="V81" i="40"/>
  <c r="HU120" i="59"/>
  <c r="S81" i="40"/>
  <c r="HR120" i="59"/>
  <c r="AA81" i="40"/>
  <c r="HZ120" i="59"/>
  <c r="AM209" i="5"/>
  <c r="O187" i="5"/>
  <c r="AD121" i="5"/>
  <c r="AD77" i="5"/>
  <c r="O319" i="5"/>
  <c r="AD132" i="5"/>
  <c r="AD297" i="5"/>
  <c r="O99" i="5"/>
  <c r="AD55" i="5"/>
  <c r="AM121" i="5"/>
  <c r="AD209" i="5"/>
  <c r="AM88" i="5"/>
  <c r="O198" i="5"/>
  <c r="O242" i="5"/>
  <c r="AM253" i="5"/>
  <c r="O231" i="5"/>
  <c r="O275" i="5"/>
  <c r="O66" i="5"/>
  <c r="AM77" i="5"/>
  <c r="AM165" i="5"/>
  <c r="AD143" i="5"/>
  <c r="AM264" i="5"/>
  <c r="O286" i="5"/>
  <c r="AM297" i="5"/>
  <c r="AM341" i="5"/>
  <c r="O110" i="5"/>
  <c r="O154" i="5"/>
  <c r="O341" i="5"/>
  <c r="AM308" i="5"/>
  <c r="O330" i="5"/>
  <c r="O22" i="5"/>
  <c r="AM143" i="5"/>
  <c r="AM132" i="5"/>
  <c r="AM176" i="5"/>
  <c r="AM220" i="5"/>
  <c r="AD44" i="5"/>
  <c r="AD286" i="5"/>
  <c r="O33" i="5"/>
  <c r="O77" i="5"/>
  <c r="AM44" i="5"/>
  <c r="O165" i="5"/>
  <c r="O209" i="5"/>
  <c r="O253" i="5"/>
  <c r="O297" i="5"/>
  <c r="AD341" i="5"/>
  <c r="AD99" i="5"/>
  <c r="AM55" i="5"/>
  <c r="AM99" i="5"/>
  <c r="O121" i="5"/>
  <c r="AM187" i="5"/>
  <c r="AM231" i="5"/>
  <c r="AM275" i="5"/>
  <c r="AM319" i="5"/>
  <c r="AD308" i="5"/>
  <c r="D165" i="5"/>
  <c r="O143" i="5"/>
  <c r="AD176" i="5"/>
  <c r="D33" i="5"/>
  <c r="AD275" i="5"/>
  <c r="AD231" i="5"/>
  <c r="AD110" i="5"/>
  <c r="AD165" i="5"/>
  <c r="AD264" i="5"/>
  <c r="AD220" i="5"/>
  <c r="AD33" i="5"/>
  <c r="AD319" i="5"/>
  <c r="AD88" i="5"/>
  <c r="AD253" i="5"/>
  <c r="AD187" i="5"/>
  <c r="G384" i="5"/>
  <c r="AS236" i="59"/>
  <c r="HO120" i="59"/>
  <c r="Q391" i="5"/>
  <c r="FL237" i="59"/>
  <c r="HY120" i="59"/>
  <c r="I384" i="5"/>
  <c r="AU236" i="59"/>
  <c r="HQ120" i="59"/>
  <c r="D384" i="5"/>
  <c r="AP236" i="59"/>
  <c r="HL120" i="59"/>
  <c r="H384" i="5"/>
  <c r="AT236" i="59"/>
  <c r="HP120" i="59"/>
  <c r="A6" i="42"/>
  <c r="FC309" i="59"/>
  <c r="A7" i="49"/>
  <c r="DW317" i="59"/>
  <c r="Q19" i="5"/>
  <c r="O391" i="5"/>
  <c r="FJ237" i="59"/>
  <c r="O19" i="5"/>
  <c r="R164" i="59"/>
  <c r="F391" i="5"/>
  <c r="FA237" i="59"/>
  <c r="F19" i="5"/>
  <c r="I164" i="59"/>
  <c r="I19" i="5"/>
  <c r="I391" i="5"/>
  <c r="FD237" i="59"/>
  <c r="L19" i="5"/>
  <c r="O164" i="59"/>
  <c r="L391" i="5"/>
  <c r="FG237" i="59"/>
  <c r="N19" i="5"/>
  <c r="Q164" i="59"/>
  <c r="N391" i="5"/>
  <c r="FI237" i="59"/>
  <c r="J19" i="5"/>
  <c r="M164" i="59"/>
  <c r="J391" i="5"/>
  <c r="FE237" i="59"/>
  <c r="G19" i="5"/>
  <c r="G391" i="5"/>
  <c r="FB237" i="59"/>
  <c r="D391" i="5"/>
  <c r="EY237" i="59"/>
  <c r="D19" i="5"/>
  <c r="G164" i="59"/>
  <c r="P19" i="5"/>
  <c r="S164" i="59"/>
  <c r="P391" i="5"/>
  <c r="FK237" i="59"/>
  <c r="H19" i="5"/>
  <c r="H391" i="5"/>
  <c r="FC237" i="59"/>
  <c r="M391" i="5"/>
  <c r="FH237" i="59"/>
  <c r="M19" i="5"/>
  <c r="P164" i="59"/>
  <c r="K391" i="5"/>
  <c r="FF237" i="59"/>
  <c r="K19" i="5"/>
  <c r="N164" i="59"/>
  <c r="E19" i="5"/>
  <c r="H164" i="59"/>
  <c r="E391" i="5"/>
  <c r="EZ237" i="59"/>
  <c r="R391" i="5"/>
  <c r="FM237" i="59"/>
  <c r="R19" i="5"/>
  <c r="U164" i="59"/>
  <c r="AB81" i="40"/>
  <c r="IA120" i="59"/>
  <c r="AV187" i="59"/>
  <c r="EW191" i="59"/>
  <c r="HM208" i="59"/>
  <c r="FQ205" i="59"/>
  <c r="IC195" i="59"/>
  <c r="GH186" i="59"/>
  <c r="HB195" i="59"/>
  <c r="HV177" i="59"/>
  <c r="AU178" i="59"/>
  <c r="EA228" i="59"/>
  <c r="HB169" i="59"/>
  <c r="IM171" i="59"/>
  <c r="GZ214" i="59"/>
  <c r="AG197" i="59"/>
  <c r="FZ193" i="59"/>
  <c r="HX175" i="59"/>
  <c r="EZ179" i="59"/>
  <c r="IQ216" i="59"/>
  <c r="AO200" i="59"/>
  <c r="GB173" i="59"/>
  <c r="IF171" i="59"/>
  <c r="HT194" i="59"/>
  <c r="AV213" i="59"/>
  <c r="EX216" i="59"/>
  <c r="GG173" i="59"/>
  <c r="IV227" i="59"/>
  <c r="CF219" i="59"/>
  <c r="GA210" i="59"/>
  <c r="EG171" i="59"/>
  <c r="EG210" i="59"/>
  <c r="BY213" i="59"/>
  <c r="FK225" i="59"/>
  <c r="Q160" i="59"/>
  <c r="EX221" i="59"/>
  <c r="Z219" i="59"/>
  <c r="FI167" i="59"/>
  <c r="HJ221" i="59"/>
  <c r="CD213" i="59"/>
  <c r="HK186" i="59"/>
  <c r="AF198" i="59"/>
  <c r="IB221" i="59"/>
  <c r="HI168" i="59"/>
  <c r="V224" i="59"/>
  <c r="HG195" i="59"/>
  <c r="FN205" i="59"/>
  <c r="CU188" i="59"/>
  <c r="AC228" i="59"/>
  <c r="FP193" i="59"/>
  <c r="IE220" i="59"/>
  <c r="DV203" i="59"/>
  <c r="AM193" i="59"/>
  <c r="I204" i="59"/>
  <c r="FO180" i="59"/>
  <c r="DM171" i="59"/>
  <c r="DQ223" i="59"/>
  <c r="FH193" i="59"/>
  <c r="GG210" i="59"/>
  <c r="O172" i="59"/>
  <c r="DT197" i="59"/>
  <c r="X224" i="59"/>
  <c r="EY171" i="59"/>
  <c r="GB188" i="59"/>
  <c r="IP201" i="59"/>
  <c r="HB225" i="59"/>
  <c r="Y206" i="59"/>
  <c r="AK217" i="59"/>
  <c r="AA210" i="59"/>
  <c r="GK193" i="59"/>
  <c r="CW182" i="59"/>
  <c r="AO187" i="59"/>
  <c r="HA212" i="59"/>
  <c r="EP184" i="59"/>
  <c r="IV201" i="59"/>
  <c r="IR188" i="59"/>
  <c r="GS218" i="59"/>
  <c r="Q180" i="59"/>
  <c r="FL179" i="59"/>
  <c r="FN184" i="59"/>
  <c r="GZ199" i="59"/>
  <c r="X191" i="59"/>
  <c r="CK180" i="59"/>
  <c r="S185" i="59"/>
  <c r="FK197" i="59"/>
  <c r="CY219" i="59"/>
  <c r="H185" i="59"/>
  <c r="DO171" i="59"/>
  <c r="HO195" i="59"/>
  <c r="HO208" i="59"/>
  <c r="BV167" i="59"/>
  <c r="CQ189" i="59"/>
  <c r="FI179" i="59"/>
  <c r="EI165" i="59"/>
  <c r="BT208" i="59"/>
  <c r="AN180" i="59"/>
  <c r="GQ173" i="59"/>
  <c r="AC174" i="59"/>
  <c r="FM197" i="59"/>
  <c r="HZ216" i="59"/>
  <c r="DI165" i="59"/>
  <c r="CC212" i="59"/>
  <c r="BS226" i="59"/>
  <c r="CA189" i="59"/>
  <c r="HG177" i="59"/>
  <c r="GJ199" i="59"/>
  <c r="GA180" i="59"/>
  <c r="EX167" i="59"/>
  <c r="BP226" i="59"/>
  <c r="DD215" i="59"/>
  <c r="CK175" i="59"/>
  <c r="CV184" i="59"/>
  <c r="ET191" i="59"/>
  <c r="CJ219" i="59"/>
  <c r="FP206" i="59"/>
  <c r="HL175" i="59"/>
  <c r="HP182" i="59"/>
  <c r="BF195" i="59"/>
  <c r="FZ197" i="59"/>
  <c r="BR200" i="59"/>
  <c r="EH221" i="59"/>
  <c r="FD167" i="59"/>
  <c r="DI164" i="59"/>
  <c r="GU173" i="59"/>
  <c r="V191" i="59"/>
  <c r="IF203" i="59"/>
  <c r="CC206" i="59"/>
  <c r="BV206" i="59"/>
  <c r="BT167" i="59"/>
  <c r="Q172" i="59"/>
  <c r="IP175" i="59"/>
  <c r="BU195" i="59"/>
  <c r="CR206" i="59"/>
  <c r="FA166" i="59"/>
  <c r="GU186" i="59"/>
  <c r="GT175" i="59"/>
  <c r="O197" i="59"/>
  <c r="IE164" i="59"/>
  <c r="CE180" i="59"/>
  <c r="BS165" i="59"/>
  <c r="GZ227" i="59"/>
  <c r="FK171" i="59"/>
  <c r="EB221" i="59"/>
  <c r="GM186" i="59"/>
  <c r="BT193" i="59"/>
  <c r="ER193" i="59"/>
  <c r="FV197" i="59"/>
  <c r="CN175" i="59"/>
  <c r="HW195" i="59"/>
  <c r="FE197" i="59"/>
  <c r="CM169" i="59"/>
  <c r="M215" i="59"/>
  <c r="BL182" i="59"/>
  <c r="DG208" i="59"/>
  <c r="FY219" i="59"/>
  <c r="ED191" i="59"/>
  <c r="BA226" i="59"/>
  <c r="AM211" i="59"/>
  <c r="EJ221" i="59"/>
  <c r="CP193" i="59"/>
  <c r="DC197" i="59"/>
  <c r="FJ167" i="59"/>
  <c r="CC180" i="59"/>
  <c r="FC217" i="59"/>
  <c r="HS184" i="59"/>
  <c r="HY188" i="59"/>
  <c r="GO199" i="59"/>
  <c r="AC198" i="59"/>
  <c r="FO223" i="59"/>
  <c r="BX180" i="59"/>
  <c r="BC176" i="59"/>
  <c r="EK204" i="59"/>
  <c r="BK200" i="59"/>
  <c r="CP189" i="59"/>
  <c r="GO182" i="59"/>
  <c r="FW197" i="59"/>
  <c r="HD195" i="59"/>
  <c r="EY173" i="59"/>
  <c r="HL181" i="59"/>
  <c r="DM215" i="59"/>
  <c r="HS203" i="59"/>
  <c r="X167" i="59"/>
  <c r="EK186" i="59"/>
  <c r="BL199" i="59"/>
  <c r="HT212" i="59"/>
  <c r="FX173" i="59"/>
  <c r="DG202" i="59"/>
  <c r="CD167" i="59"/>
  <c r="II221" i="59"/>
  <c r="CD193" i="59"/>
  <c r="IJ221" i="59"/>
  <c r="Y174" i="59"/>
  <c r="GX168" i="59"/>
  <c r="BZ180" i="59"/>
  <c r="DW195" i="59"/>
  <c r="BF187" i="59"/>
  <c r="FN197" i="59"/>
  <c r="AQ224" i="59"/>
  <c r="HK175" i="59"/>
  <c r="AS217" i="59"/>
  <c r="CD175" i="59"/>
  <c r="AD219" i="59"/>
  <c r="BK182" i="59"/>
  <c r="Q224" i="59"/>
  <c r="AD165" i="59"/>
  <c r="GY194" i="59"/>
  <c r="GM168" i="59"/>
  <c r="HW181" i="59"/>
  <c r="AD191" i="59"/>
  <c r="GS173" i="59"/>
  <c r="FN206" i="59"/>
  <c r="DE219" i="59"/>
  <c r="EQ167" i="59"/>
  <c r="IV214" i="59"/>
  <c r="EB182" i="59"/>
  <c r="DR191" i="59"/>
  <c r="HK169" i="59"/>
  <c r="Y165" i="59"/>
  <c r="EC197" i="59"/>
  <c r="IC225" i="59"/>
  <c r="BI213" i="59"/>
  <c r="H180" i="59"/>
  <c r="BV226" i="59"/>
  <c r="CS182" i="59"/>
  <c r="V198" i="59"/>
  <c r="AT193" i="59"/>
  <c r="HS168" i="59"/>
  <c r="FU179" i="59"/>
  <c r="CO175" i="59"/>
  <c r="P211" i="59"/>
  <c r="BS200" i="59"/>
  <c r="DN195" i="59"/>
  <c r="FD203" i="59"/>
  <c r="DK228" i="59"/>
  <c r="ER197" i="59"/>
  <c r="EY217" i="59"/>
  <c r="EN221" i="59"/>
  <c r="DH228" i="59"/>
  <c r="CA165" i="59"/>
  <c r="IP171" i="59"/>
  <c r="BX176" i="59"/>
  <c r="CG202" i="59"/>
  <c r="AH187" i="59"/>
  <c r="FI180" i="59"/>
  <c r="FP223" i="59"/>
  <c r="DO165" i="59"/>
  <c r="FT193" i="59"/>
  <c r="FT167" i="59"/>
  <c r="HK221" i="59"/>
  <c r="BK167" i="59"/>
  <c r="CO169" i="59"/>
  <c r="HU194" i="59"/>
  <c r="G185" i="59"/>
  <c r="CR202" i="59"/>
  <c r="GT206" i="59"/>
  <c r="FK217" i="59"/>
  <c r="FM210" i="59"/>
  <c r="CB213" i="59"/>
  <c r="BX219" i="59"/>
  <c r="BY221" i="59"/>
  <c r="IQ188" i="59"/>
  <c r="DG214" i="59"/>
  <c r="DX203" i="59"/>
  <c r="EY179" i="59"/>
  <c r="DK202" i="59"/>
  <c r="HY195" i="59"/>
  <c r="FN210" i="59"/>
  <c r="CZ169" i="59"/>
  <c r="HP195" i="59"/>
  <c r="DF165" i="59"/>
  <c r="GP188" i="59"/>
  <c r="GF223" i="59"/>
  <c r="FB225" i="59"/>
  <c r="AL217" i="59"/>
  <c r="DQ215" i="59"/>
  <c r="Y228" i="59"/>
  <c r="FA180" i="59"/>
  <c r="GF180" i="59"/>
  <c r="FQ212" i="59"/>
  <c r="FY218" i="59"/>
  <c r="IH208" i="59"/>
  <c r="DV178" i="59"/>
  <c r="CL184" i="59"/>
  <c r="CU227" i="59"/>
  <c r="BF200" i="59"/>
  <c r="FJ197" i="59"/>
  <c r="HE195" i="59"/>
  <c r="DV221" i="59"/>
  <c r="EI177" i="59"/>
  <c r="BH180" i="59"/>
  <c r="DK182" i="59"/>
  <c r="DO228" i="59"/>
  <c r="BS176" i="59"/>
  <c r="EW212" i="59"/>
  <c r="HS220" i="59"/>
  <c r="BE226" i="59"/>
  <c r="Y191" i="59"/>
  <c r="EG195" i="59"/>
  <c r="AP206" i="59"/>
  <c r="GB219" i="59"/>
  <c r="AB224" i="59"/>
  <c r="IU197" i="59"/>
  <c r="BB174" i="59"/>
  <c r="EX217" i="59"/>
  <c r="CS227" i="59"/>
  <c r="BP176" i="59"/>
  <c r="GV219" i="59"/>
  <c r="BN180" i="59"/>
  <c r="DM178" i="59"/>
  <c r="GI173" i="59"/>
  <c r="CH221" i="59"/>
  <c r="CT227" i="59"/>
  <c r="DM208" i="59"/>
  <c r="DU204" i="59"/>
  <c r="AV217" i="59"/>
  <c r="BY226" i="59"/>
  <c r="X210" i="59"/>
  <c r="FQ223" i="59"/>
  <c r="EM204" i="59"/>
  <c r="DI223" i="59"/>
  <c r="F160" i="59"/>
  <c r="GC193" i="59"/>
  <c r="AY167" i="59"/>
  <c r="P202" i="59"/>
  <c r="FN179" i="59"/>
  <c r="HT164" i="59"/>
  <c r="FQ199" i="59"/>
  <c r="GN186" i="59"/>
  <c r="EA203" i="59"/>
  <c r="FS180" i="59"/>
  <c r="S191" i="59"/>
  <c r="IR183" i="59"/>
  <c r="FI225" i="59"/>
  <c r="X193" i="59"/>
  <c r="EH178" i="59"/>
  <c r="CV171" i="59"/>
  <c r="IF214" i="59"/>
  <c r="GJ192" i="59"/>
  <c r="L211" i="59"/>
  <c r="CR193" i="59"/>
  <c r="EG178" i="59"/>
  <c r="EB228" i="59"/>
  <c r="H171" i="59"/>
  <c r="GN199" i="59"/>
  <c r="HV190" i="59"/>
  <c r="FQ166" i="59"/>
  <c r="CM206" i="59"/>
  <c r="AZ167" i="59"/>
  <c r="HC225" i="59"/>
  <c r="IR227" i="59"/>
  <c r="FU210" i="59"/>
  <c r="HS175" i="59"/>
  <c r="DD201" i="59"/>
  <c r="EQ197" i="59"/>
  <c r="IV166" i="59"/>
  <c r="AM174" i="59"/>
  <c r="FH216" i="59"/>
  <c r="GN219" i="59"/>
  <c r="HT207" i="59"/>
  <c r="GZ181" i="59"/>
  <c r="FU219" i="59"/>
  <c r="AI217" i="59"/>
  <c r="GM223" i="59"/>
  <c r="HT190" i="59"/>
  <c r="GK192" i="59"/>
  <c r="HM227" i="59"/>
  <c r="AB160" i="59"/>
  <c r="HF194" i="59"/>
  <c r="FI217" i="59"/>
  <c r="DR228" i="59"/>
  <c r="CQ215" i="59"/>
  <c r="FS193" i="59"/>
  <c r="GX164" i="59"/>
  <c r="BG182" i="59"/>
  <c r="DA228" i="59"/>
  <c r="EL216" i="59"/>
  <c r="AW187" i="59"/>
  <c r="AZ186" i="59"/>
  <c r="BB182" i="59"/>
  <c r="BZ182" i="59"/>
  <c r="AC167" i="59"/>
  <c r="BN212" i="59"/>
  <c r="CY206" i="59"/>
  <c r="AD211" i="59"/>
  <c r="HN182" i="59"/>
  <c r="GA179" i="59"/>
  <c r="M223" i="59"/>
  <c r="GB166" i="59"/>
  <c r="CQ169" i="59"/>
  <c r="DI195" i="59"/>
  <c r="HS227" i="59"/>
  <c r="ID207" i="59"/>
  <c r="M202" i="59"/>
  <c r="CZ176" i="59"/>
  <c r="EG191" i="59"/>
  <c r="FD199" i="59"/>
  <c r="BJ226" i="59"/>
  <c r="FM171" i="59"/>
  <c r="CE176" i="59"/>
  <c r="DC195" i="59"/>
  <c r="CD202" i="59"/>
  <c r="DB165" i="59"/>
  <c r="EW217" i="59"/>
  <c r="DE228" i="59"/>
  <c r="GZ219" i="59"/>
  <c r="GP182" i="59"/>
  <c r="DS228" i="59"/>
  <c r="AE160" i="59"/>
  <c r="FT179" i="59"/>
  <c r="IA220" i="59"/>
  <c r="II214" i="59"/>
  <c r="GR182" i="59"/>
  <c r="ED171" i="59"/>
  <c r="IR221" i="59"/>
  <c r="FU180" i="59"/>
  <c r="BA174" i="59"/>
  <c r="BF213" i="59"/>
  <c r="ER184" i="59"/>
  <c r="EU167" i="59"/>
  <c r="CX197" i="59"/>
  <c r="Q202" i="59"/>
  <c r="IM175" i="59"/>
  <c r="DF227" i="59"/>
  <c r="CF175" i="59"/>
  <c r="Q167" i="59"/>
  <c r="DW208" i="59"/>
  <c r="EE204" i="59"/>
  <c r="O202" i="59"/>
  <c r="BH182" i="59"/>
  <c r="II170" i="59"/>
  <c r="CF225" i="59"/>
  <c r="HA225" i="59"/>
  <c r="AA228" i="59"/>
  <c r="HH186" i="59"/>
  <c r="EO171" i="59"/>
  <c r="HN181" i="59"/>
  <c r="FK193" i="59"/>
  <c r="K184" i="59"/>
  <c r="ID203" i="59"/>
  <c r="FG197" i="59"/>
  <c r="GA219" i="59"/>
  <c r="CT228" i="59"/>
  <c r="ED216" i="59"/>
  <c r="DT221" i="59"/>
  <c r="IM201" i="59"/>
  <c r="ER203" i="59"/>
  <c r="BW206" i="59"/>
  <c r="II208" i="59"/>
  <c r="CA206" i="59"/>
  <c r="HF225" i="59"/>
  <c r="CL215" i="59"/>
  <c r="DC202" i="59"/>
  <c r="EN217" i="59"/>
  <c r="EW184" i="59"/>
  <c r="BR176" i="59"/>
  <c r="IL203" i="59"/>
  <c r="IH188" i="59"/>
  <c r="EZ203" i="59"/>
  <c r="ET221" i="59"/>
  <c r="FT184" i="59"/>
  <c r="EI191" i="59"/>
  <c r="DZ223" i="59"/>
  <c r="U224" i="59"/>
  <c r="IG171" i="59"/>
  <c r="EM208" i="59"/>
  <c r="AO169" i="59"/>
  <c r="ER221" i="59"/>
  <c r="CY189" i="59"/>
  <c r="EX173" i="59"/>
  <c r="HY194" i="59"/>
  <c r="CJ226" i="59"/>
  <c r="FD186" i="59"/>
  <c r="CP201" i="59"/>
  <c r="AU174" i="59"/>
  <c r="IC221" i="59"/>
  <c r="J217" i="59"/>
  <c r="DZ195" i="59"/>
  <c r="HG169" i="59"/>
  <c r="HP169" i="59"/>
  <c r="EV217" i="59"/>
  <c r="DG228" i="59"/>
  <c r="HQ225" i="59"/>
  <c r="AH224" i="59"/>
  <c r="CS228" i="59"/>
  <c r="BN217" i="59"/>
  <c r="DY210" i="59"/>
  <c r="CC213" i="59"/>
  <c r="DF184" i="59"/>
  <c r="GX173" i="59"/>
  <c r="BI180" i="59"/>
  <c r="GM219" i="59"/>
  <c r="FO167" i="59"/>
  <c r="IQ171" i="59"/>
  <c r="IT227" i="59"/>
  <c r="HV194" i="59"/>
  <c r="CV189" i="59"/>
  <c r="CQ206" i="59"/>
  <c r="DW210" i="59"/>
  <c r="P217" i="59"/>
  <c r="HP208" i="59"/>
  <c r="EX212" i="59"/>
  <c r="AZ200" i="59"/>
  <c r="HV212" i="59"/>
  <c r="EE221" i="59"/>
  <c r="BW199" i="59"/>
  <c r="GE193" i="59"/>
  <c r="AP224" i="59"/>
  <c r="BM186" i="59"/>
  <c r="CA188" i="59"/>
  <c r="Q210" i="59"/>
  <c r="CI226" i="59"/>
  <c r="HK214" i="59"/>
  <c r="FX193" i="59"/>
  <c r="IF177" i="59"/>
  <c r="GX186" i="59"/>
  <c r="BN213" i="59"/>
  <c r="AB223" i="59"/>
  <c r="V165" i="59"/>
  <c r="BJ193" i="59"/>
  <c r="BO180" i="59"/>
  <c r="FI197" i="59"/>
  <c r="ET199" i="59"/>
  <c r="Y193" i="59"/>
  <c r="CG206" i="59"/>
  <c r="GU212" i="59"/>
  <c r="BU200" i="59"/>
  <c r="Z211" i="59"/>
  <c r="AB174" i="59"/>
  <c r="G159" i="59"/>
  <c r="BZ176" i="59"/>
  <c r="IN175" i="59"/>
  <c r="AI223" i="59"/>
  <c r="GR186" i="59"/>
  <c r="BA200" i="59"/>
  <c r="AO178" i="59"/>
  <c r="S211" i="59"/>
  <c r="BT175" i="59"/>
  <c r="HZ188" i="59"/>
  <c r="FF219" i="59"/>
  <c r="GO206" i="59"/>
  <c r="T206" i="59"/>
  <c r="BT200" i="59"/>
  <c r="FW212" i="59"/>
  <c r="IC164" i="59"/>
  <c r="S171" i="59"/>
  <c r="AK187" i="59"/>
  <c r="DW191" i="59"/>
  <c r="GM201" i="59"/>
  <c r="BP180" i="59"/>
  <c r="DE202" i="59"/>
  <c r="EZ217" i="59"/>
  <c r="DC227" i="59"/>
  <c r="BG195" i="59"/>
  <c r="GX214" i="59"/>
  <c r="EJ178" i="59"/>
  <c r="CJ202" i="59"/>
  <c r="BW182" i="59"/>
  <c r="EC208" i="59"/>
  <c r="DD189" i="59"/>
  <c r="EN171" i="59"/>
  <c r="CW188" i="59"/>
  <c r="P223" i="59"/>
  <c r="N223" i="59"/>
  <c r="H217" i="59"/>
  <c r="GZ182" i="59"/>
  <c r="CG208" i="59"/>
  <c r="GQ218" i="59"/>
  <c r="CI189" i="59"/>
  <c r="IM188" i="59"/>
  <c r="ED217" i="59"/>
  <c r="F165" i="59"/>
  <c r="Q197" i="59"/>
  <c r="HL177" i="59"/>
  <c r="GP175" i="59"/>
  <c r="GJ173" i="59"/>
  <c r="AC211" i="59"/>
  <c r="CW176" i="59"/>
  <c r="DS227" i="59"/>
  <c r="HO169" i="59"/>
  <c r="AQ169" i="59"/>
  <c r="EG208" i="59"/>
  <c r="HR195" i="59"/>
  <c r="FI193" i="59"/>
  <c r="FV206" i="59"/>
  <c r="P185" i="59"/>
  <c r="DM165" i="59"/>
  <c r="GI195" i="59"/>
  <c r="CI176" i="59"/>
  <c r="AG174" i="59"/>
  <c r="CE167" i="59"/>
  <c r="FL167" i="59"/>
  <c r="GH173" i="59"/>
  <c r="IS201" i="59"/>
  <c r="GX188" i="59"/>
  <c r="GO205" i="59"/>
  <c r="HB186" i="59"/>
  <c r="EX171" i="59"/>
  <c r="IK201" i="59"/>
  <c r="GI179" i="59"/>
  <c r="FC173" i="59"/>
  <c r="ES167" i="59"/>
  <c r="IE175" i="59"/>
  <c r="HE227" i="59"/>
  <c r="HO177" i="59"/>
  <c r="HC181" i="59"/>
  <c r="FJ216" i="59"/>
  <c r="BN200" i="59"/>
  <c r="BX188" i="59"/>
  <c r="HD225" i="59"/>
  <c r="GR212" i="59"/>
  <c r="GG223" i="59"/>
  <c r="AQ173" i="59"/>
  <c r="H204" i="59"/>
  <c r="EZ197" i="59"/>
  <c r="FR175" i="59"/>
  <c r="AO206" i="59"/>
  <c r="AB173" i="59"/>
  <c r="DL228" i="59"/>
  <c r="BB217" i="59"/>
  <c r="GC188" i="59"/>
  <c r="FL206" i="59"/>
  <c r="GW182" i="59"/>
  <c r="AJ217" i="59"/>
  <c r="CP169" i="59"/>
  <c r="BS206" i="59"/>
  <c r="AL224" i="59"/>
  <c r="GU199" i="59"/>
  <c r="DS195" i="59"/>
  <c r="HM169" i="59"/>
  <c r="FZ166" i="59"/>
  <c r="HD173" i="59"/>
  <c r="DJ171" i="59"/>
  <c r="FJ212" i="59"/>
  <c r="HK164" i="59"/>
  <c r="DT177" i="59"/>
  <c r="AB204" i="59"/>
  <c r="BF167" i="59"/>
  <c r="CE228" i="59"/>
  <c r="EG164" i="59"/>
  <c r="IN190" i="59"/>
  <c r="II175" i="59"/>
  <c r="DZ191" i="59"/>
  <c r="GA223" i="59"/>
  <c r="BG187" i="59"/>
  <c r="BZ189" i="59"/>
  <c r="DM182" i="59"/>
  <c r="BG217" i="59"/>
  <c r="GQ212" i="59"/>
  <c r="BB187" i="59"/>
  <c r="CN188" i="59"/>
  <c r="HP181" i="59"/>
  <c r="V167" i="59"/>
  <c r="IE188" i="59"/>
  <c r="Z178" i="59"/>
  <c r="I171" i="59"/>
  <c r="FG188" i="59"/>
  <c r="DT191" i="59"/>
  <c r="FI186" i="59"/>
  <c r="IU216" i="59"/>
  <c r="DY228" i="59"/>
  <c r="P159" i="59"/>
  <c r="HW175" i="59"/>
  <c r="BQ200" i="59"/>
  <c r="CX219" i="59"/>
  <c r="AV167" i="59"/>
  <c r="IM214" i="59"/>
  <c r="BC225" i="59"/>
  <c r="FQ210" i="59"/>
  <c r="FX223" i="59"/>
  <c r="GJ175" i="59"/>
  <c r="DC219" i="59"/>
  <c r="CZ189" i="59"/>
  <c r="CA176" i="59"/>
  <c r="HC219" i="59"/>
  <c r="EM199" i="59"/>
  <c r="BI204" i="59"/>
  <c r="EK203" i="59"/>
  <c r="BL187" i="59"/>
  <c r="BD174" i="59"/>
  <c r="FI210" i="59"/>
  <c r="FH179" i="59"/>
  <c r="EG203" i="59"/>
  <c r="HK220" i="59"/>
  <c r="FF210" i="59"/>
  <c r="ID188" i="59"/>
  <c r="FS197" i="59"/>
  <c r="CX182" i="59"/>
  <c r="AP200" i="59"/>
  <c r="FH180" i="59"/>
  <c r="EF217" i="59"/>
  <c r="EM184" i="59"/>
  <c r="DR169" i="59"/>
  <c r="HK182" i="59"/>
  <c r="DP228" i="59"/>
  <c r="GH199" i="59"/>
  <c r="DD202" i="59"/>
  <c r="DQ197" i="59"/>
  <c r="HF195" i="59"/>
  <c r="DJ223" i="59"/>
  <c r="ES171" i="59"/>
  <c r="HF181" i="59"/>
  <c r="HC208" i="59"/>
  <c r="IA195" i="59"/>
  <c r="FJ210" i="59"/>
  <c r="AG178" i="59"/>
  <c r="CZ227" i="59"/>
  <c r="FB210" i="59"/>
  <c r="FG199" i="59"/>
  <c r="IP227" i="59"/>
  <c r="CZ165" i="59"/>
  <c r="Z224" i="59"/>
  <c r="EZ184" i="59"/>
  <c r="GQ169" i="59"/>
  <c r="AT187" i="59"/>
  <c r="HF199" i="59"/>
  <c r="CC176" i="59"/>
  <c r="ES191" i="59"/>
  <c r="DD165" i="59"/>
  <c r="S187" i="59"/>
  <c r="HK208" i="59"/>
  <c r="EJ204" i="59"/>
  <c r="L198" i="59"/>
  <c r="BR167" i="59"/>
  <c r="F198" i="59"/>
  <c r="CG225" i="59"/>
  <c r="IJ214" i="59"/>
  <c r="GJ223" i="59"/>
  <c r="GP219" i="59"/>
  <c r="BK169" i="59"/>
  <c r="DL182" i="59"/>
  <c r="DD182" i="59"/>
  <c r="ET217" i="59"/>
  <c r="DU178" i="59"/>
  <c r="HY208" i="59"/>
  <c r="CW219" i="59"/>
  <c r="BK213" i="59"/>
  <c r="HV188" i="59"/>
  <c r="GA197" i="59"/>
  <c r="CC225" i="59"/>
  <c r="HT225" i="59"/>
  <c r="CL208" i="59"/>
  <c r="P184" i="59"/>
  <c r="BM213" i="59"/>
  <c r="EV167" i="59"/>
  <c r="HQ181" i="59"/>
  <c r="GE192" i="59"/>
  <c r="HD186" i="59"/>
  <c r="FL186" i="59"/>
  <c r="CI193" i="59"/>
  <c r="DJ184" i="59"/>
  <c r="GI214" i="59"/>
  <c r="DB228" i="59"/>
  <c r="DO182" i="59"/>
  <c r="IK220" i="59"/>
  <c r="DU214" i="59"/>
  <c r="IR171" i="59"/>
  <c r="CO193" i="59"/>
  <c r="U178" i="59"/>
  <c r="AN223" i="59"/>
  <c r="BH187" i="59"/>
  <c r="DN169" i="59"/>
  <c r="BO182" i="59"/>
  <c r="GD218" i="59"/>
  <c r="HL199" i="59"/>
  <c r="W185" i="59"/>
  <c r="M180" i="59"/>
  <c r="GQ175" i="59"/>
  <c r="GT219" i="59"/>
  <c r="BS212" i="59"/>
  <c r="HF208" i="59"/>
  <c r="FR193" i="59"/>
  <c r="BZ219" i="59"/>
  <c r="N215" i="59"/>
  <c r="Z197" i="59"/>
  <c r="FC180" i="59"/>
  <c r="AH178" i="59"/>
  <c r="AA159" i="59"/>
  <c r="CO215" i="59"/>
  <c r="GS205" i="59"/>
  <c r="DP182" i="59"/>
  <c r="HB219" i="59"/>
  <c r="BK217" i="59"/>
  <c r="FP225" i="59"/>
  <c r="FE199" i="59"/>
  <c r="ID216" i="59"/>
  <c r="BI193" i="59"/>
  <c r="IE208" i="59"/>
  <c r="BJ208" i="59"/>
  <c r="CJ206" i="59"/>
  <c r="BG204" i="59"/>
  <c r="HM175" i="59"/>
  <c r="BY193" i="59"/>
  <c r="HQ175" i="59"/>
  <c r="BS193" i="59"/>
  <c r="IS188" i="59"/>
  <c r="AB198" i="59"/>
  <c r="BN169" i="59"/>
  <c r="HX195" i="59"/>
  <c r="HZ201" i="59"/>
  <c r="GK205" i="59"/>
  <c r="AS204" i="59"/>
  <c r="HR169" i="59"/>
  <c r="DN165" i="59"/>
  <c r="EQ221" i="59"/>
  <c r="CY176" i="59"/>
  <c r="HR221" i="59"/>
  <c r="CL219" i="59"/>
  <c r="CF206" i="59"/>
  <c r="AQ178" i="59"/>
  <c r="HJ208" i="59"/>
  <c r="GF186" i="59"/>
  <c r="GY173" i="59"/>
  <c r="IN201" i="59"/>
  <c r="BH186" i="59"/>
  <c r="T215" i="59"/>
  <c r="BM193" i="59"/>
  <c r="HE186" i="59"/>
  <c r="EL171" i="59"/>
  <c r="CE189" i="59"/>
  <c r="HS208" i="59"/>
  <c r="AO195" i="59"/>
  <c r="CP219" i="59"/>
  <c r="GF164" i="59"/>
  <c r="AJ224" i="59"/>
  <c r="CS197" i="59"/>
  <c r="ER171" i="59"/>
  <c r="HH208" i="59"/>
  <c r="FG212" i="59"/>
  <c r="DF228" i="59"/>
  <c r="IO203" i="59"/>
  <c r="DJ169" i="59"/>
  <c r="ED190" i="59"/>
  <c r="CT202" i="59"/>
  <c r="CI225" i="59"/>
  <c r="IM227" i="59"/>
  <c r="EV204" i="59"/>
  <c r="CD188" i="59"/>
  <c r="BF180" i="59"/>
  <c r="AY206" i="59"/>
  <c r="GU227" i="59"/>
  <c r="M210" i="59"/>
  <c r="GO169" i="59"/>
  <c r="FN193" i="59"/>
  <c r="DY178" i="59"/>
  <c r="EK178" i="59"/>
  <c r="ED204" i="59"/>
  <c r="BR169" i="59"/>
  <c r="EA223" i="59"/>
  <c r="GP205" i="59"/>
  <c r="IF201" i="59"/>
  <c r="CP176" i="59"/>
  <c r="J228" i="59"/>
  <c r="EK173" i="59"/>
  <c r="GD206" i="59"/>
  <c r="U184" i="59"/>
  <c r="ED165" i="59"/>
  <c r="FS184" i="59"/>
  <c r="FM223" i="59"/>
  <c r="GT214" i="59"/>
  <c r="HO207" i="59"/>
  <c r="O184" i="59"/>
  <c r="BG169" i="59"/>
  <c r="HQ190" i="59"/>
  <c r="BB167" i="59"/>
  <c r="DG195" i="59"/>
  <c r="FL199" i="59"/>
  <c r="IB220" i="59"/>
  <c r="J180" i="59"/>
  <c r="DL177" i="59"/>
  <c r="HT175" i="59"/>
  <c r="GU206" i="59"/>
  <c r="DV197" i="59"/>
  <c r="BS180" i="59"/>
  <c r="FH171" i="59"/>
  <c r="DS164" i="59"/>
  <c r="DR215" i="59"/>
  <c r="FE171" i="59"/>
  <c r="K215" i="59"/>
  <c r="FH212" i="59"/>
  <c r="DV190" i="59"/>
  <c r="N171" i="59"/>
  <c r="AN200" i="59"/>
  <c r="K178" i="59"/>
  <c r="FR179" i="59"/>
  <c r="DV228" i="59"/>
  <c r="ER212" i="59"/>
  <c r="FW173" i="59"/>
  <c r="BO187" i="59"/>
  <c r="FF223" i="59"/>
  <c r="EP204" i="59"/>
  <c r="IJ208" i="59"/>
  <c r="CL202" i="59"/>
  <c r="CO176" i="59"/>
  <c r="CB206" i="59"/>
  <c r="CT169" i="59"/>
  <c r="GI169" i="59"/>
  <c r="BC200" i="59"/>
  <c r="DO221" i="59"/>
  <c r="M217" i="59"/>
  <c r="BU182" i="59"/>
  <c r="EQ208" i="59"/>
  <c r="CZ182" i="59"/>
  <c r="GZ164" i="59"/>
  <c r="DS215" i="59"/>
  <c r="DG182" i="59"/>
  <c r="AC180" i="59"/>
  <c r="DJ228" i="59"/>
  <c r="AE204" i="59"/>
  <c r="HF169" i="59"/>
  <c r="DN210" i="59"/>
  <c r="DG215" i="59"/>
  <c r="BC213" i="59"/>
  <c r="AW217" i="59"/>
  <c r="CF171" i="59"/>
  <c r="FH167" i="59"/>
  <c r="BQ182" i="59"/>
  <c r="BL200" i="59"/>
  <c r="DI173" i="59"/>
  <c r="CU176" i="59"/>
  <c r="FL193" i="59"/>
  <c r="AT174" i="59"/>
  <c r="GW164" i="59"/>
  <c r="CE208" i="59"/>
  <c r="FQ193" i="59"/>
  <c r="EM221" i="59"/>
  <c r="AA167" i="59"/>
  <c r="FI184" i="59"/>
  <c r="AL178" i="59"/>
  <c r="AA197" i="59"/>
  <c r="DB182" i="59"/>
  <c r="G228" i="59"/>
  <c r="DM169" i="59"/>
  <c r="G202" i="59"/>
  <c r="EX197" i="59"/>
  <c r="IL188" i="59"/>
  <c r="HF186" i="59"/>
  <c r="AT199" i="59"/>
  <c r="BC167" i="59"/>
  <c r="CG188" i="59"/>
  <c r="BF225" i="59"/>
  <c r="EU184" i="59"/>
  <c r="X185" i="59"/>
  <c r="BX206" i="59"/>
  <c r="HO199" i="59"/>
  <c r="HH227" i="59"/>
  <c r="FW206" i="59"/>
  <c r="P193" i="59"/>
  <c r="GO223" i="59"/>
  <c r="CK176" i="59"/>
  <c r="M184" i="59"/>
  <c r="DP165" i="59"/>
  <c r="AI180" i="59"/>
  <c r="HE182" i="59"/>
  <c r="T224" i="59"/>
  <c r="Z165" i="59"/>
  <c r="DZ182" i="59"/>
  <c r="GB210" i="59"/>
  <c r="AS174" i="59"/>
  <c r="HU208" i="59"/>
  <c r="GE201" i="59"/>
  <c r="DJ202" i="59"/>
  <c r="BB226" i="59"/>
  <c r="CY188" i="59"/>
  <c r="FN212" i="59"/>
  <c r="EQ178" i="59"/>
  <c r="GZ168" i="59"/>
  <c r="IJ203" i="59"/>
  <c r="GW214" i="59"/>
  <c r="BT182" i="59"/>
  <c r="CI175" i="59"/>
  <c r="EE177" i="59"/>
  <c r="DC214" i="59"/>
  <c r="AR206" i="59"/>
  <c r="FY192" i="59"/>
  <c r="GL173" i="59"/>
  <c r="HS194" i="59"/>
  <c r="EZ180" i="59"/>
  <c r="X206" i="59"/>
  <c r="GJ186" i="59"/>
  <c r="BF186" i="59"/>
  <c r="F197" i="59"/>
  <c r="DO208" i="59"/>
  <c r="FP192" i="59"/>
  <c r="Y167" i="59"/>
  <c r="CE202" i="59"/>
  <c r="O171" i="59"/>
  <c r="BN225" i="59"/>
  <c r="DJ227" i="59"/>
  <c r="DN215" i="59"/>
  <c r="Z204" i="59"/>
  <c r="BJ189" i="59"/>
  <c r="IQ196" i="59"/>
  <c r="HY164" i="59"/>
  <c r="HX188" i="59"/>
  <c r="BN193" i="59"/>
  <c r="FE184" i="59"/>
  <c r="AA204" i="59"/>
  <c r="ED208" i="59"/>
  <c r="FB186" i="59"/>
  <c r="AK204" i="59"/>
  <c r="BY175" i="59"/>
  <c r="IK188" i="59"/>
  <c r="GO219" i="59"/>
  <c r="HX212" i="59"/>
  <c r="GC175" i="59"/>
  <c r="FL223" i="59"/>
  <c r="HW207" i="59"/>
  <c r="DH195" i="59"/>
  <c r="EK221" i="59"/>
  <c r="AF178" i="59"/>
  <c r="AC224" i="59"/>
  <c r="AI178" i="59"/>
  <c r="GV175" i="59"/>
  <c r="HN190" i="59"/>
  <c r="K224" i="59"/>
  <c r="BH212" i="59"/>
  <c r="CF202" i="59"/>
  <c r="CK226" i="59"/>
  <c r="CL180" i="59"/>
  <c r="GP173" i="59"/>
  <c r="FZ223" i="59"/>
  <c r="DY204" i="59"/>
  <c r="BH219" i="59"/>
  <c r="CR228" i="59"/>
  <c r="BL208" i="59"/>
  <c r="FS179" i="59"/>
  <c r="DP186" i="59"/>
  <c r="FH217" i="59"/>
  <c r="AI204" i="59"/>
  <c r="DC169" i="59"/>
  <c r="HW203" i="59"/>
  <c r="FE216" i="59"/>
  <c r="M224" i="59"/>
  <c r="GN169" i="59"/>
  <c r="DJ210" i="59"/>
  <c r="FZ173" i="59"/>
  <c r="CX169" i="59"/>
  <c r="EC182" i="59"/>
  <c r="HD214" i="59"/>
  <c r="GF210" i="59"/>
  <c r="HE212" i="59"/>
  <c r="EB210" i="59"/>
  <c r="HM195" i="59"/>
  <c r="HR208" i="59"/>
  <c r="EE165" i="59"/>
  <c r="EI223" i="59"/>
  <c r="BH225" i="59"/>
  <c r="AM204" i="59"/>
  <c r="DN223" i="59"/>
  <c r="BU165" i="59"/>
  <c r="HV220" i="59"/>
  <c r="HK195" i="59"/>
  <c r="FE193" i="59"/>
  <c r="GS186" i="59"/>
  <c r="EZ210" i="59"/>
  <c r="ER190" i="59"/>
  <c r="IA225" i="59"/>
  <c r="J185" i="59"/>
  <c r="DP208" i="59"/>
  <c r="HE181" i="59"/>
  <c r="EU204" i="59"/>
  <c r="J224" i="59"/>
  <c r="EE171" i="59"/>
  <c r="AM191" i="59"/>
  <c r="FY167" i="59"/>
  <c r="HY221" i="59"/>
  <c r="IO175" i="59"/>
  <c r="CJ176" i="59"/>
  <c r="AQ204" i="59"/>
  <c r="EQ199" i="59"/>
  <c r="N185" i="59"/>
  <c r="DQ221" i="59"/>
  <c r="BR193" i="59"/>
  <c r="HP221" i="59"/>
  <c r="FU206" i="59"/>
  <c r="GO193" i="59"/>
  <c r="IC188" i="59"/>
  <c r="BB212" i="59"/>
  <c r="CE219" i="59"/>
  <c r="DJ182" i="59"/>
  <c r="FJ184" i="59"/>
  <c r="BD167" i="59"/>
  <c r="HQ169" i="59"/>
  <c r="EV186" i="59"/>
  <c r="DD169" i="59"/>
  <c r="AI173" i="59"/>
  <c r="FF197" i="59"/>
  <c r="EW221" i="59"/>
  <c r="BV199" i="59"/>
  <c r="FD204" i="59"/>
  <c r="FM180" i="59"/>
  <c r="S210" i="59"/>
  <c r="HV225" i="59"/>
  <c r="FN166" i="59"/>
  <c r="I180" i="59"/>
  <c r="BQ175" i="59"/>
  <c r="X198" i="59"/>
  <c r="DT208" i="59"/>
  <c r="DE201" i="59"/>
  <c r="EO208" i="59"/>
  <c r="HL208" i="59"/>
  <c r="EA178" i="59"/>
  <c r="HJ195" i="59"/>
  <c r="L215" i="59"/>
  <c r="IN221" i="59"/>
  <c r="AX204" i="59"/>
  <c r="GD175" i="59"/>
  <c r="S193" i="59"/>
  <c r="GS168" i="59"/>
  <c r="EW216" i="59"/>
  <c r="L185" i="59"/>
  <c r="BP165" i="59"/>
  <c r="HS207" i="59"/>
  <c r="BJ195" i="59"/>
  <c r="ES184" i="59"/>
  <c r="FR199" i="59"/>
  <c r="EA164" i="59"/>
  <c r="DB214" i="59"/>
  <c r="AT213" i="59"/>
  <c r="HO168" i="59"/>
  <c r="BW213" i="59"/>
  <c r="V206" i="59"/>
  <c r="I167" i="59"/>
  <c r="CM175" i="59"/>
  <c r="CL169" i="59"/>
  <c r="EL184" i="59"/>
  <c r="HD168" i="59"/>
  <c r="BB200" i="59"/>
  <c r="HM199" i="59"/>
  <c r="BC187" i="59"/>
  <c r="DG178" i="59"/>
  <c r="ET197" i="59"/>
  <c r="GA205" i="59"/>
  <c r="FO184" i="59"/>
  <c r="IG170" i="59"/>
  <c r="IC175" i="59"/>
  <c r="CE226" i="59"/>
  <c r="EO223" i="59"/>
  <c r="EQ191" i="59"/>
  <c r="DA202" i="59"/>
  <c r="GF205" i="59"/>
  <c r="FI171" i="59"/>
  <c r="AX199" i="59"/>
  <c r="EL190" i="59"/>
  <c r="FD217" i="59"/>
  <c r="IC171" i="59"/>
  <c r="HH225" i="59"/>
  <c r="IR214" i="59"/>
  <c r="AK224" i="59"/>
  <c r="CR176" i="59"/>
  <c r="EN184" i="59"/>
  <c r="AE167" i="59"/>
  <c r="EP178" i="59"/>
  <c r="CS188" i="59"/>
  <c r="BW208" i="59"/>
  <c r="BT180" i="59"/>
  <c r="DZ190" i="59"/>
  <c r="HU182" i="59"/>
  <c r="CW215" i="59"/>
  <c r="U197" i="59"/>
  <c r="DJ177" i="59"/>
  <c r="HI212" i="59"/>
  <c r="DO178" i="59"/>
  <c r="FR210" i="59"/>
  <c r="DD228" i="59"/>
  <c r="BJ167" i="59"/>
  <c r="BL217" i="59"/>
  <c r="GR199" i="59"/>
  <c r="EX204" i="59"/>
  <c r="IA175" i="59"/>
  <c r="IT184" i="59"/>
  <c r="FE179" i="59"/>
  <c r="IU175" i="59"/>
  <c r="AS219" i="59"/>
  <c r="HK168" i="59"/>
  <c r="GB227" i="59"/>
  <c r="IF175" i="59"/>
  <c r="EL223" i="59"/>
  <c r="IH220" i="59"/>
  <c r="CJ188" i="59"/>
  <c r="S197" i="59"/>
  <c r="FN223" i="59"/>
  <c r="ES204" i="59"/>
  <c r="FC167" i="59"/>
  <c r="P165" i="59"/>
  <c r="IN171" i="59"/>
  <c r="CE206" i="59"/>
  <c r="IV197" i="59"/>
  <c r="GS175" i="59"/>
  <c r="K228" i="59"/>
  <c r="EX203" i="59"/>
  <c r="FV219" i="59"/>
  <c r="GL223" i="59"/>
  <c r="HR188" i="59"/>
  <c r="AQ174" i="59"/>
  <c r="CC189" i="59"/>
  <c r="GR181" i="59"/>
  <c r="GM199" i="59"/>
  <c r="BT206" i="59"/>
  <c r="AV212" i="59"/>
  <c r="FE212" i="59"/>
  <c r="DS169" i="59"/>
  <c r="GE173" i="59"/>
  <c r="CU228" i="59"/>
  <c r="GK175" i="59"/>
  <c r="FO175" i="59"/>
  <c r="P180" i="59"/>
  <c r="AJ180" i="59"/>
  <c r="EN178" i="59"/>
  <c r="CM202" i="59"/>
  <c r="Z191" i="59"/>
  <c r="IV205" i="59"/>
  <c r="HL195" i="59"/>
  <c r="CX214" i="59"/>
  <c r="GG201" i="59"/>
  <c r="GP186" i="59"/>
  <c r="FW218" i="59"/>
  <c r="EZ171" i="59"/>
  <c r="DH202" i="59"/>
  <c r="IG214" i="59"/>
  <c r="IF164" i="59"/>
  <c r="AI187" i="59"/>
  <c r="BZ226" i="59"/>
  <c r="R198" i="59"/>
  <c r="HW177" i="59"/>
  <c r="AF210" i="59"/>
  <c r="EP177" i="59"/>
  <c r="HA199" i="59"/>
  <c r="AE211" i="59"/>
  <c r="CW206" i="59"/>
  <c r="AV191" i="59"/>
  <c r="IG190" i="59"/>
  <c r="F228" i="59"/>
  <c r="I211" i="59"/>
  <c r="BD182" i="59"/>
  <c r="AZ213" i="59"/>
  <c r="BD204" i="59"/>
  <c r="AE180" i="59"/>
  <c r="CU219" i="59"/>
  <c r="AA173" i="59"/>
  <c r="DL208" i="59"/>
  <c r="AT191" i="59"/>
  <c r="Z210" i="59"/>
  <c r="R202" i="59"/>
  <c r="DR208" i="59"/>
  <c r="CB175" i="59"/>
  <c r="HN214" i="59"/>
  <c r="IO166" i="59"/>
  <c r="FR212" i="59"/>
  <c r="BW212" i="59"/>
  <c r="IQ197" i="59"/>
  <c r="ED177" i="59"/>
  <c r="CK193" i="59"/>
  <c r="HD218" i="59"/>
  <c r="IK214" i="59"/>
  <c r="GH210" i="59"/>
  <c r="CV175" i="59"/>
  <c r="EP171" i="59"/>
  <c r="CX171" i="59"/>
  <c r="DX173" i="59"/>
  <c r="AK219" i="59"/>
  <c r="P178" i="59"/>
  <c r="CG219" i="59"/>
  <c r="BP206" i="59"/>
  <c r="AI174" i="59"/>
  <c r="HR212" i="59"/>
  <c r="BB173" i="59"/>
  <c r="BB199" i="59"/>
  <c r="FU175" i="59"/>
  <c r="DJ195" i="59"/>
  <c r="FK223" i="59"/>
  <c r="HJ186" i="59"/>
  <c r="DE215" i="59"/>
  <c r="HF227" i="59"/>
  <c r="BT213" i="59"/>
  <c r="EQ217" i="59"/>
  <c r="EH217" i="59"/>
  <c r="DC184" i="59"/>
  <c r="AN226" i="59"/>
  <c r="IF184" i="59"/>
  <c r="EO221" i="59"/>
  <c r="BA173" i="59"/>
  <c r="IL175" i="59"/>
  <c r="BF199" i="59"/>
  <c r="DX178" i="59"/>
  <c r="BY167" i="59"/>
  <c r="FU167" i="59"/>
  <c r="GX199" i="59"/>
  <c r="CS208" i="59"/>
  <c r="DO169" i="59"/>
  <c r="FK180" i="59"/>
  <c r="AD204" i="59"/>
  <c r="IS220" i="59"/>
  <c r="G172" i="59"/>
  <c r="AS200" i="59"/>
  <c r="IH171" i="59"/>
  <c r="H211" i="59"/>
  <c r="AG180" i="59"/>
  <c r="AB180" i="59"/>
  <c r="HN194" i="59"/>
  <c r="HD182" i="59"/>
  <c r="CX176" i="59"/>
  <c r="IO171" i="59"/>
  <c r="FQ184" i="59"/>
  <c r="HJ168" i="59"/>
  <c r="CB182" i="59"/>
  <c r="CY215" i="59"/>
  <c r="BD180" i="59"/>
  <c r="AT217" i="59"/>
  <c r="HP164" i="59"/>
  <c r="CT215" i="59"/>
  <c r="GS169" i="59"/>
  <c r="GI223" i="59"/>
  <c r="FI212" i="59"/>
  <c r="IO216" i="59"/>
  <c r="GA225" i="59"/>
  <c r="BI226" i="59"/>
  <c r="IK177" i="59"/>
  <c r="X197" i="59"/>
  <c r="CK206" i="59"/>
  <c r="AD174" i="59"/>
  <c r="HB227" i="59"/>
  <c r="X228" i="59"/>
  <c r="IK184" i="59"/>
  <c r="AY174" i="59"/>
  <c r="BW193" i="59"/>
  <c r="EI208" i="59"/>
  <c r="AZ212" i="59"/>
  <c r="CS193" i="59"/>
  <c r="CN176" i="59"/>
  <c r="EB191" i="59"/>
  <c r="BE213" i="59"/>
  <c r="ES197" i="59"/>
  <c r="BM187" i="59"/>
  <c r="K193" i="59"/>
  <c r="DH182" i="59"/>
  <c r="W228" i="59"/>
  <c r="CQ175" i="59"/>
  <c r="BT212" i="59"/>
  <c r="GJ206" i="59"/>
  <c r="DO190" i="59"/>
  <c r="S165" i="59"/>
  <c r="AL223" i="59"/>
  <c r="FW210" i="59"/>
  <c r="AL206" i="59"/>
  <c r="GN223" i="59"/>
  <c r="HC195" i="59"/>
  <c r="FM206" i="59"/>
  <c r="HH169" i="59"/>
  <c r="AW174" i="59"/>
  <c r="BK165" i="59"/>
  <c r="BR206" i="59"/>
  <c r="FS167" i="59"/>
  <c r="G215" i="59"/>
  <c r="BS169" i="59"/>
  <c r="Z228" i="59"/>
  <c r="IU227" i="59"/>
  <c r="FG180" i="59"/>
  <c r="T198" i="59"/>
  <c r="CF195" i="59"/>
  <c r="GZ169" i="59"/>
  <c r="AB206" i="59"/>
  <c r="R191" i="59"/>
  <c r="DU215" i="59"/>
  <c r="EQ177" i="59"/>
  <c r="Z193" i="59"/>
  <c r="BM199" i="59"/>
  <c r="AP219" i="59"/>
  <c r="Z198" i="59"/>
  <c r="II190" i="59"/>
  <c r="HY177" i="59"/>
  <c r="BT226" i="59"/>
  <c r="BA206" i="59"/>
  <c r="AC223" i="59"/>
  <c r="CT197" i="59"/>
  <c r="DH164" i="59"/>
  <c r="BL167" i="59"/>
  <c r="GR168" i="59"/>
  <c r="AZ182" i="59"/>
  <c r="R223" i="59"/>
  <c r="AI191" i="59"/>
  <c r="FV223" i="59"/>
  <c r="EM177" i="59"/>
  <c r="GC186" i="59"/>
  <c r="GY201" i="59"/>
  <c r="T228" i="59"/>
  <c r="GU214" i="59"/>
  <c r="T185" i="59"/>
  <c r="BX189" i="59"/>
  <c r="O223" i="59"/>
  <c r="HP199" i="59"/>
  <c r="IB188" i="59"/>
  <c r="BC173" i="59"/>
  <c r="GW199" i="59"/>
  <c r="IA201" i="59"/>
  <c r="DO201" i="59"/>
  <c r="Y215" i="59"/>
  <c r="CL188" i="59"/>
  <c r="BV208" i="59"/>
  <c r="BJ200" i="59"/>
  <c r="CI219" i="59"/>
  <c r="R160" i="59"/>
  <c r="HJ225" i="59"/>
  <c r="GS206" i="59"/>
  <c r="IQ175" i="59"/>
  <c r="FF166" i="59"/>
  <c r="HA188" i="59"/>
  <c r="BF174" i="59"/>
  <c r="DI227" i="59"/>
  <c r="DW199" i="59"/>
  <c r="AX200" i="59"/>
  <c r="GB206" i="59"/>
  <c r="EK217" i="59"/>
  <c r="Y204" i="59"/>
  <c r="CH189" i="59"/>
  <c r="IE195" i="59"/>
  <c r="AH174" i="59"/>
  <c r="IG184" i="59"/>
  <c r="FE166" i="59"/>
  <c r="AC160" i="59"/>
  <c r="U228" i="59"/>
  <c r="GP208" i="59"/>
  <c r="IF170" i="59"/>
  <c r="BC186" i="59"/>
  <c r="AW204" i="59"/>
  <c r="CS169" i="59"/>
  <c r="FN167" i="59"/>
  <c r="HQ208" i="59"/>
  <c r="AS178" i="59"/>
  <c r="IG175" i="59"/>
  <c r="BP213" i="59"/>
  <c r="EF210" i="59"/>
  <c r="Q228" i="59"/>
  <c r="DH204" i="59"/>
  <c r="CS215" i="59"/>
  <c r="IP214" i="59"/>
  <c r="II188" i="59"/>
  <c r="BR226" i="59"/>
  <c r="IH170" i="59"/>
  <c r="FV180" i="59"/>
  <c r="BK187" i="59"/>
  <c r="I185" i="59"/>
  <c r="IB175" i="59"/>
  <c r="CB226" i="59"/>
  <c r="GW201" i="59"/>
  <c r="IL214" i="59"/>
  <c r="EE203" i="59"/>
  <c r="DQ195" i="59"/>
  <c r="GE223" i="59"/>
  <c r="EN204" i="59"/>
  <c r="FP184" i="59"/>
  <c r="CH180" i="59"/>
  <c r="IV184" i="59"/>
  <c r="BE217" i="59"/>
  <c r="DL195" i="59"/>
  <c r="EE191" i="59"/>
  <c r="BH226" i="59"/>
  <c r="GW225" i="59"/>
  <c r="AC178" i="59"/>
  <c r="CN202" i="59"/>
  <c r="HM168" i="59"/>
  <c r="IL183" i="59"/>
  <c r="GC225" i="59"/>
  <c r="GX181" i="59"/>
  <c r="FC210" i="59"/>
  <c r="FB217" i="59"/>
  <c r="DB189" i="59"/>
  <c r="BC219" i="59"/>
  <c r="DH171" i="59"/>
  <c r="GT218" i="59"/>
  <c r="DV182" i="59"/>
  <c r="DX210" i="59"/>
  <c r="HQ221" i="59"/>
  <c r="ID171" i="59"/>
  <c r="J172" i="59"/>
  <c r="AY169" i="59"/>
  <c r="GY182" i="59"/>
  <c r="AU206" i="59"/>
  <c r="AR223" i="59"/>
  <c r="AE173" i="59"/>
  <c r="T191" i="59"/>
  <c r="GD173" i="59"/>
  <c r="EE217" i="59"/>
  <c r="FK184" i="59"/>
  <c r="FZ205" i="59"/>
  <c r="AV219" i="59"/>
  <c r="DS214" i="59"/>
  <c r="CT223" i="59"/>
  <c r="IA207" i="59"/>
  <c r="DQ191" i="59"/>
  <c r="AK211" i="59"/>
  <c r="DM177" i="59"/>
  <c r="FQ206" i="59"/>
  <c r="FF180" i="59"/>
  <c r="EM217" i="59"/>
  <c r="BE167" i="59"/>
  <c r="BD199" i="59"/>
  <c r="HL212" i="59"/>
  <c r="DX195" i="59"/>
  <c r="DR184" i="59"/>
  <c r="EK223" i="59"/>
  <c r="FG193" i="59"/>
  <c r="AU200" i="59"/>
  <c r="AV186" i="59"/>
  <c r="DD197" i="59"/>
  <c r="EF204" i="59"/>
  <c r="CK171" i="59"/>
  <c r="Q193" i="59"/>
  <c r="HZ190" i="59"/>
  <c r="DL215" i="59"/>
  <c r="CH188" i="59"/>
  <c r="CA212" i="59"/>
  <c r="ES173" i="59"/>
  <c r="HY171" i="59"/>
  <c r="BE186" i="59"/>
  <c r="IF221" i="59"/>
  <c r="GK173" i="59"/>
  <c r="S198" i="59"/>
  <c r="ES221" i="59"/>
  <c r="GL199" i="59"/>
  <c r="W178" i="59"/>
  <c r="BO213" i="59"/>
  <c r="GT212" i="59"/>
  <c r="DK210" i="59"/>
  <c r="GN168" i="59"/>
  <c r="HJ212" i="59"/>
  <c r="IE216" i="59"/>
  <c r="HN199" i="59"/>
  <c r="CJ180" i="59"/>
  <c r="AL159" i="59"/>
  <c r="GT173" i="59"/>
  <c r="AX167" i="59"/>
  <c r="EF195" i="59"/>
  <c r="R172" i="59"/>
  <c r="CX228" i="59"/>
  <c r="FW180" i="59"/>
  <c r="DO191" i="59"/>
  <c r="DA188" i="59"/>
  <c r="IO190" i="59"/>
  <c r="GB223" i="59"/>
  <c r="CW214" i="59"/>
  <c r="EV173" i="59"/>
  <c r="GC173" i="59"/>
  <c r="DR178" i="59"/>
  <c r="CD165" i="59"/>
  <c r="CM210" i="59"/>
  <c r="BZ195" i="59"/>
  <c r="EP217" i="59"/>
  <c r="CR184" i="59"/>
  <c r="I197" i="59"/>
  <c r="AD193" i="59"/>
  <c r="BK193" i="59"/>
  <c r="EN208" i="59"/>
  <c r="HM220" i="59"/>
  <c r="EH223" i="59"/>
  <c r="FG192" i="59"/>
  <c r="CF189" i="59"/>
  <c r="BU193" i="59"/>
  <c r="IG210" i="59"/>
  <c r="IF188" i="59"/>
  <c r="GP199" i="59"/>
  <c r="DN191" i="59"/>
  <c r="AN206" i="59"/>
  <c r="H172" i="59"/>
  <c r="CZ210" i="59"/>
  <c r="FB166" i="59"/>
  <c r="HJ194" i="59"/>
  <c r="GH219" i="59"/>
  <c r="II184" i="59"/>
  <c r="FE223" i="59"/>
  <c r="HU195" i="59"/>
  <c r="CT184" i="59"/>
  <c r="DA189" i="59"/>
  <c r="EI204" i="59"/>
  <c r="AL165" i="59"/>
  <c r="HS221" i="59"/>
  <c r="N202" i="59"/>
  <c r="IJ175" i="59"/>
  <c r="HI169" i="59"/>
  <c r="AA224" i="59"/>
  <c r="ED167" i="59"/>
  <c r="CQ193" i="59"/>
  <c r="BA191" i="59"/>
  <c r="HU212" i="59"/>
  <c r="GN175" i="59"/>
  <c r="CS219" i="59"/>
  <c r="CD189" i="59"/>
  <c r="GT201" i="59"/>
  <c r="FM167" i="59"/>
  <c r="FQ197" i="59"/>
  <c r="GW195" i="59"/>
  <c r="FO210" i="59"/>
  <c r="AD224" i="59"/>
  <c r="BU175" i="59"/>
  <c r="FG171" i="59"/>
  <c r="IT210" i="59"/>
  <c r="BO167" i="59"/>
  <c r="FZ206" i="59"/>
  <c r="DB219" i="59"/>
  <c r="GN214" i="59"/>
  <c r="EL221" i="59"/>
  <c r="FD166" i="59"/>
  <c r="DP210" i="59"/>
  <c r="EU191" i="59"/>
  <c r="FS205" i="59"/>
  <c r="CH219" i="59"/>
  <c r="AR186" i="59"/>
  <c r="CY169" i="59"/>
  <c r="HU207" i="59"/>
  <c r="CB189" i="59"/>
  <c r="FF203" i="59"/>
  <c r="FF216" i="59"/>
  <c r="BL193" i="59"/>
  <c r="DR177" i="59"/>
  <c r="BZ221" i="59"/>
  <c r="IG194" i="59"/>
  <c r="DJ215" i="59"/>
  <c r="AP173" i="59"/>
  <c r="HC182" i="59"/>
  <c r="ID190" i="59"/>
  <c r="BW226" i="59"/>
  <c r="CR188" i="59"/>
  <c r="HF168" i="59"/>
  <c r="DD171" i="59"/>
  <c r="CW175" i="59"/>
  <c r="HS177" i="59"/>
  <c r="CY182" i="59"/>
  <c r="Z173" i="59"/>
  <c r="GD210" i="59"/>
  <c r="HY225" i="59"/>
  <c r="CU175" i="59"/>
  <c r="DV184" i="59"/>
  <c r="EJ203" i="59"/>
  <c r="GJ168" i="59"/>
  <c r="DW227" i="59"/>
  <c r="CH208" i="59"/>
  <c r="IH175" i="59"/>
  <c r="GB182" i="59"/>
  <c r="DU210" i="59"/>
  <c r="DX208" i="59"/>
  <c r="FZ210" i="59"/>
  <c r="DY227" i="59"/>
  <c r="AH211" i="59"/>
  <c r="HA219" i="59"/>
  <c r="FJ193" i="59"/>
  <c r="GV168" i="59"/>
  <c r="DM195" i="59"/>
  <c r="CA182" i="59"/>
  <c r="AM187" i="59"/>
  <c r="IL201" i="59"/>
  <c r="FI192" i="59"/>
  <c r="HE214" i="59"/>
  <c r="DQ210" i="59"/>
  <c r="AB165" i="59"/>
  <c r="HL169" i="59"/>
  <c r="CC193" i="59"/>
  <c r="EY190" i="59"/>
  <c r="BA187" i="59"/>
  <c r="HD177" i="59"/>
  <c r="ES216" i="59"/>
  <c r="BT176" i="59"/>
  <c r="FV212" i="59"/>
  <c r="DV204" i="59"/>
  <c r="IG183" i="59"/>
  <c r="BM182" i="59"/>
  <c r="IN223" i="59"/>
  <c r="EX210" i="59"/>
  <c r="HZ221" i="59"/>
  <c r="DZ208" i="59"/>
  <c r="G198" i="59"/>
  <c r="BV213" i="59"/>
  <c r="DN164" i="59"/>
  <c r="IJ188" i="59"/>
  <c r="FD180" i="59"/>
  <c r="DN178" i="59"/>
  <c r="FG210" i="59"/>
  <c r="BZ193" i="59"/>
  <c r="S224" i="59"/>
  <c r="DV195" i="59"/>
  <c r="AS191" i="59"/>
  <c r="EP173" i="59"/>
  <c r="CV219" i="59"/>
  <c r="AJ174" i="59"/>
  <c r="EB165" i="59"/>
  <c r="GV218" i="59"/>
  <c r="EL178" i="59"/>
  <c r="EE208" i="59"/>
  <c r="FE180" i="59"/>
  <c r="DZ204" i="59"/>
  <c r="EI171" i="59"/>
  <c r="DG189" i="59"/>
  <c r="HV182" i="59"/>
  <c r="IU184" i="59"/>
  <c r="CM188" i="59"/>
  <c r="EM191" i="59"/>
  <c r="AL191" i="59"/>
  <c r="CI171" i="59"/>
  <c r="U215" i="59"/>
  <c r="CL176" i="59"/>
  <c r="IL208" i="59"/>
  <c r="ER173" i="59"/>
  <c r="BQ169" i="59"/>
  <c r="BK225" i="59"/>
  <c r="S180" i="59"/>
  <c r="J202" i="59"/>
  <c r="GC219" i="59"/>
  <c r="GL214" i="59"/>
  <c r="AN191" i="59"/>
  <c r="L165" i="59"/>
  <c r="BY176" i="59"/>
  <c r="N217" i="59"/>
  <c r="DI215" i="59"/>
  <c r="U198" i="59"/>
  <c r="CX201" i="59"/>
  <c r="FS210" i="59"/>
  <c r="FW219" i="59"/>
  <c r="HY175" i="59"/>
  <c r="EO190" i="59"/>
  <c r="T180" i="59"/>
  <c r="DT190" i="59"/>
  <c r="FC171" i="59"/>
  <c r="DC210" i="59"/>
  <c r="CZ184" i="59"/>
  <c r="GY195" i="59"/>
  <c r="H202" i="59"/>
  <c r="O185" i="59"/>
  <c r="BI200" i="59"/>
  <c r="AP199" i="59"/>
  <c r="CC182" i="59"/>
  <c r="CZ201" i="59"/>
  <c r="EO178" i="59"/>
  <c r="HJ214" i="59"/>
  <c r="HT208" i="59"/>
  <c r="DQ228" i="59"/>
  <c r="FI223" i="59"/>
  <c r="CD212" i="59"/>
  <c r="FY193" i="59"/>
  <c r="GR175" i="59"/>
  <c r="IN196" i="59"/>
  <c r="I202" i="59"/>
  <c r="CN193" i="59"/>
  <c r="EA177" i="59"/>
  <c r="IU210" i="59"/>
  <c r="FE217" i="59"/>
  <c r="N228" i="59"/>
  <c r="CM208" i="59"/>
  <c r="HX181" i="59"/>
  <c r="FV193" i="59"/>
  <c r="Q165" i="59"/>
  <c r="BL213" i="59"/>
  <c r="AB178" i="59"/>
  <c r="EH204" i="59"/>
  <c r="HI181" i="59"/>
  <c r="IA221" i="59"/>
  <c r="IP184" i="59"/>
  <c r="W211" i="59"/>
  <c r="EW171" i="59"/>
  <c r="CH176" i="59"/>
  <c r="M167" i="59"/>
  <c r="GU175" i="59"/>
  <c r="EE186" i="59"/>
  <c r="EK180" i="59"/>
  <c r="CT178" i="59"/>
  <c r="HI207" i="59"/>
  <c r="IB208" i="59"/>
  <c r="GU169" i="59"/>
  <c r="CU215" i="59"/>
  <c r="IN184" i="59"/>
  <c r="AA165" i="59"/>
  <c r="EB217" i="59"/>
  <c r="IV171" i="59"/>
  <c r="FH223" i="59"/>
  <c r="G160" i="59"/>
  <c r="AY191" i="59"/>
  <c r="BD226" i="59"/>
  <c r="BI173" i="59"/>
  <c r="AA180" i="59"/>
  <c r="ER166" i="59"/>
  <c r="GI219" i="59"/>
  <c r="GY212" i="59"/>
  <c r="CP171" i="59"/>
  <c r="AH210" i="59"/>
  <c r="EV171" i="59"/>
  <c r="EC178" i="59"/>
  <c r="DW165" i="59"/>
  <c r="DP221" i="59"/>
  <c r="GK206" i="59"/>
  <c r="IB195" i="59"/>
  <c r="FA184" i="59"/>
  <c r="DS191" i="59"/>
  <c r="T210" i="59"/>
  <c r="BL186" i="59"/>
  <c r="AB228" i="59"/>
  <c r="IT183" i="59"/>
  <c r="FU223" i="59"/>
  <c r="CT182" i="59"/>
  <c r="HW208" i="59"/>
  <c r="AC191" i="59"/>
  <c r="BX195" i="59"/>
  <c r="BI195" i="59"/>
  <c r="GX190" i="59"/>
  <c r="BQ180" i="59"/>
  <c r="HR207" i="59"/>
  <c r="GI201" i="59"/>
  <c r="W215" i="59"/>
  <c r="AN186" i="59"/>
  <c r="Q185" i="59"/>
  <c r="EM178" i="59"/>
  <c r="IT214" i="59"/>
  <c r="L223" i="59"/>
  <c r="CJ189" i="59"/>
  <c r="AR178" i="59"/>
  <c r="AG211" i="59"/>
  <c r="BG180" i="59"/>
  <c r="HZ225" i="59"/>
  <c r="BQ202" i="59"/>
  <c r="DN202" i="59"/>
  <c r="FK179" i="59"/>
  <c r="AE191" i="59"/>
  <c r="FF212" i="59"/>
  <c r="DE169" i="59"/>
  <c r="IH221" i="59"/>
  <c r="CV169" i="59"/>
  <c r="HX177" i="59"/>
  <c r="K197" i="59"/>
  <c r="J189" i="59"/>
  <c r="FH199" i="59"/>
  <c r="IT220" i="59"/>
  <c r="DO195" i="59"/>
  <c r="EG186" i="59"/>
  <c r="HH207" i="59"/>
  <c r="BJ173" i="59"/>
  <c r="AJ165" i="59"/>
  <c r="FB212" i="59"/>
  <c r="CR171" i="59"/>
  <c r="DA182" i="59"/>
  <c r="AW219" i="59"/>
  <c r="IG177" i="59"/>
  <c r="EA204" i="59"/>
  <c r="GV225" i="59"/>
  <c r="DW204" i="59"/>
  <c r="EC204" i="59"/>
  <c r="FW205" i="59"/>
  <c r="BQ167" i="59"/>
  <c r="EM203" i="59"/>
  <c r="GJ193" i="59"/>
  <c r="BU167" i="59"/>
  <c r="DJ165" i="59"/>
  <c r="CZ214" i="59"/>
  <c r="AK173" i="59"/>
  <c r="M197" i="59"/>
  <c r="GW212" i="59"/>
  <c r="HY182" i="59"/>
  <c r="IS221" i="59"/>
  <c r="AS224" i="59"/>
  <c r="AR169" i="59"/>
  <c r="M171" i="59"/>
  <c r="Y219" i="59"/>
  <c r="BA182" i="59"/>
  <c r="AU213" i="59"/>
  <c r="AR187" i="59"/>
  <c r="F211" i="59"/>
  <c r="BK208" i="59"/>
  <c r="V185" i="59"/>
  <c r="BW175" i="59"/>
  <c r="AF173" i="59"/>
  <c r="BH169" i="59"/>
  <c r="DZ227" i="59"/>
  <c r="CL193" i="59"/>
  <c r="HY203" i="59"/>
  <c r="EG177" i="59"/>
  <c r="FJ171" i="59"/>
  <c r="HK194" i="59"/>
  <c r="FZ175" i="59"/>
  <c r="EF190" i="59"/>
  <c r="R167" i="59"/>
  <c r="AW206" i="59"/>
  <c r="AU187" i="59"/>
  <c r="DA201" i="59"/>
  <c r="DD210" i="59"/>
  <c r="O198" i="59"/>
  <c r="BZ206" i="59"/>
  <c r="S167" i="59"/>
  <c r="AV200" i="59"/>
  <c r="GX227" i="59"/>
  <c r="CY171" i="59"/>
  <c r="GO214" i="59"/>
  <c r="GH218" i="59"/>
  <c r="EJ216" i="59"/>
  <c r="HK227" i="59"/>
  <c r="AN199" i="59"/>
  <c r="CH206" i="59"/>
  <c r="GT205" i="59"/>
  <c r="DF171" i="59"/>
  <c r="BW189" i="59"/>
  <c r="BU213" i="59"/>
  <c r="IE225" i="59"/>
  <c r="FK166" i="59"/>
  <c r="BQ226" i="59"/>
  <c r="T160" i="59"/>
  <c r="BI182" i="59"/>
  <c r="FD210" i="59"/>
  <c r="GR205" i="59"/>
  <c r="BD186" i="59"/>
  <c r="DI201" i="59"/>
  <c r="FV167" i="59"/>
  <c r="CH193" i="59"/>
  <c r="CM189" i="59"/>
  <c r="FX180" i="59"/>
  <c r="GI164" i="59"/>
  <c r="EK208" i="59"/>
  <c r="CW202" i="59"/>
  <c r="FQ180" i="59"/>
  <c r="GM193" i="59"/>
  <c r="DY208" i="59"/>
  <c r="HN168" i="59"/>
  <c r="IF216" i="59"/>
  <c r="IH216" i="59"/>
  <c r="ET173" i="59"/>
  <c r="II171" i="59"/>
  <c r="BW180" i="59"/>
  <c r="FL210" i="59"/>
  <c r="BM217" i="59"/>
  <c r="GQ199" i="59"/>
  <c r="BP187" i="59"/>
  <c r="BS225" i="59"/>
  <c r="FC216" i="59"/>
  <c r="FQ225" i="59"/>
  <c r="HR181" i="59"/>
  <c r="IO188" i="59"/>
  <c r="BP195" i="59"/>
  <c r="CO221" i="59"/>
  <c r="HS212" i="59"/>
  <c r="EE216" i="59"/>
  <c r="FA197" i="59"/>
  <c r="O228" i="59"/>
  <c r="IQ214" i="59"/>
  <c r="DD219" i="59"/>
  <c r="IT171" i="59"/>
  <c r="CT206" i="59"/>
  <c r="FP167" i="59"/>
  <c r="HB173" i="59"/>
  <c r="HC199" i="59"/>
  <c r="HV175" i="59"/>
  <c r="IT201" i="59"/>
  <c r="GT181" i="59"/>
  <c r="AA178" i="59"/>
  <c r="BO217" i="59"/>
  <c r="HR182" i="59"/>
  <c r="HG199" i="59"/>
  <c r="CV227" i="59"/>
  <c r="EH165" i="59"/>
  <c r="BF226" i="59"/>
  <c r="AU186" i="59"/>
  <c r="BV200" i="59"/>
  <c r="EM171" i="59"/>
  <c r="EH195" i="59"/>
  <c r="FD184" i="59"/>
  <c r="I189" i="59"/>
  <c r="AC204" i="59"/>
  <c r="GS219" i="59"/>
  <c r="FJ186" i="59"/>
  <c r="CZ215" i="59"/>
  <c r="HR177" i="59"/>
  <c r="M198" i="59"/>
  <c r="DL164" i="59"/>
  <c r="FP175" i="59"/>
  <c r="DI202" i="59"/>
  <c r="BE195" i="59"/>
  <c r="BA186" i="59"/>
  <c r="EB195" i="59"/>
  <c r="GH193" i="59"/>
  <c r="P172" i="59"/>
  <c r="AN204" i="59"/>
  <c r="FT197" i="59"/>
  <c r="HM164" i="59"/>
  <c r="DV169" i="59"/>
  <c r="AG213" i="59"/>
  <c r="HE169" i="59"/>
  <c r="DQ182" i="59"/>
  <c r="HN212" i="59"/>
  <c r="GX194" i="59"/>
  <c r="IJ170" i="59"/>
  <c r="R224" i="59"/>
  <c r="BH204" i="59"/>
  <c r="GJ214" i="59"/>
  <c r="GH201" i="59"/>
  <c r="DL184" i="59"/>
  <c r="AJ187" i="59"/>
  <c r="CG189" i="59"/>
  <c r="CC226" i="59"/>
  <c r="HT182" i="59"/>
  <c r="FZ180" i="59"/>
  <c r="HG164" i="59"/>
  <c r="GK219" i="59"/>
  <c r="EN173" i="59"/>
  <c r="BV176" i="59"/>
  <c r="EX225" i="59"/>
  <c r="U185" i="59"/>
  <c r="FU169" i="59"/>
  <c r="HQ182" i="59"/>
  <c r="K223" i="59"/>
  <c r="ID195" i="59"/>
  <c r="DF215" i="59"/>
  <c r="EB208" i="59"/>
  <c r="DQ178" i="59"/>
  <c r="BR212" i="59"/>
  <c r="HD199" i="59"/>
  <c r="M185" i="59"/>
  <c r="GZ212" i="59"/>
  <c r="FB171" i="59"/>
  <c r="V228" i="59"/>
  <c r="Q217" i="59"/>
  <c r="AN159" i="59"/>
  <c r="GH180" i="59"/>
  <c r="HL216" i="59"/>
  <c r="EA195" i="59"/>
  <c r="FA216" i="59"/>
  <c r="DX221" i="59"/>
  <c r="GL206" i="59"/>
  <c r="AX212" i="59"/>
  <c r="GX219" i="59"/>
  <c r="IV196" i="59"/>
  <c r="EZ167" i="59"/>
  <c r="BU206" i="59"/>
  <c r="HQ177" i="59"/>
  <c r="H165" i="59"/>
  <c r="HZ197" i="59"/>
  <c r="EV184" i="59"/>
  <c r="BK180" i="59"/>
  <c r="DU208" i="59"/>
  <c r="CI180" i="59"/>
  <c r="EB204" i="59"/>
  <c r="AU191" i="59"/>
  <c r="HC173" i="59"/>
  <c r="AQ191" i="59"/>
  <c r="AM217" i="59"/>
  <c r="DN228" i="59"/>
  <c r="AR224" i="59"/>
  <c r="FX167" i="59"/>
  <c r="AM200" i="59"/>
  <c r="IR220" i="59"/>
  <c r="AR204" i="59"/>
  <c r="BX213" i="59"/>
  <c r="CX221" i="59"/>
  <c r="CR214" i="59"/>
  <c r="BG226" i="59"/>
  <c r="AO191" i="59"/>
  <c r="CU201" i="59"/>
  <c r="FT218" i="59"/>
  <c r="HY181" i="59"/>
  <c r="BH217" i="59"/>
  <c r="FS225" i="59"/>
  <c r="DX165" i="59"/>
  <c r="FS175" i="59"/>
  <c r="AN174" i="59"/>
  <c r="DU165" i="59"/>
  <c r="DK223" i="59"/>
  <c r="IT188" i="59"/>
  <c r="GD180" i="59"/>
  <c r="CA175" i="59"/>
  <c r="IM197" i="59"/>
  <c r="FJ179" i="59"/>
  <c r="G217" i="59"/>
  <c r="HO190" i="59"/>
  <c r="GV188" i="59"/>
  <c r="EH208" i="59"/>
  <c r="DP195" i="59"/>
  <c r="GQ186" i="59"/>
  <c r="ID177" i="59"/>
  <c r="FQ167" i="59"/>
  <c r="FV218" i="59"/>
  <c r="DL202" i="59"/>
  <c r="HT188" i="59"/>
  <c r="GG219" i="59"/>
  <c r="H189" i="59"/>
  <c r="Z174" i="59"/>
  <c r="GW181" i="59"/>
  <c r="FU164" i="59"/>
  <c r="IO214" i="59"/>
  <c r="IM216" i="59"/>
  <c r="DV210" i="59"/>
  <c r="EJ173" i="59"/>
  <c r="BZ167" i="59"/>
  <c r="GU201" i="59"/>
  <c r="IC201" i="59"/>
  <c r="CW171" i="59"/>
  <c r="IH184" i="59"/>
  <c r="BY182" i="59"/>
  <c r="FB180" i="59"/>
  <c r="EN199" i="59"/>
  <c r="IO184" i="59"/>
  <c r="BB180" i="59"/>
  <c r="GI186" i="59"/>
  <c r="CQ221" i="59"/>
  <c r="AH173" i="59"/>
  <c r="AZ187" i="59"/>
  <c r="EJ186" i="59"/>
  <c r="IL220" i="59"/>
  <c r="AH191" i="59"/>
  <c r="EN190" i="59"/>
  <c r="ID201" i="59"/>
  <c r="AJ204" i="59"/>
  <c r="P197" i="59"/>
  <c r="EB223" i="59"/>
  <c r="AB191" i="59"/>
  <c r="HR225" i="59"/>
  <c r="IN207" i="59"/>
  <c r="EP190" i="59"/>
  <c r="CC167" i="59"/>
  <c r="GR206" i="59"/>
  <c r="EJ171" i="59"/>
  <c r="DB202" i="59"/>
  <c r="GF193" i="59"/>
  <c r="IC208" i="59"/>
  <c r="HB164" i="59"/>
  <c r="DF197" i="59"/>
  <c r="DB215" i="59"/>
  <c r="N178" i="59"/>
  <c r="IP203" i="59"/>
  <c r="HI194" i="59"/>
  <c r="HE207" i="59"/>
  <c r="AP174" i="59"/>
  <c r="AM186" i="59"/>
  <c r="FG225" i="59"/>
  <c r="GD205" i="59"/>
  <c r="EL203" i="59"/>
  <c r="AX217" i="59"/>
  <c r="GB164" i="59"/>
  <c r="AH204" i="59"/>
  <c r="DX227" i="59"/>
  <c r="GT182" i="59"/>
  <c r="AZ199" i="59"/>
  <c r="DY182" i="59"/>
  <c r="FQ179" i="59"/>
  <c r="DV177" i="59"/>
  <c r="AM219" i="59"/>
  <c r="HM221" i="59"/>
  <c r="T165" i="59"/>
  <c r="HN225" i="59"/>
  <c r="HG168" i="59"/>
  <c r="FA203" i="59"/>
  <c r="IK207" i="59"/>
  <c r="CQ208" i="59"/>
  <c r="EY186" i="59"/>
  <c r="J167" i="59"/>
  <c r="AG224" i="59"/>
  <c r="BN195" i="59"/>
  <c r="BR182" i="59"/>
  <c r="DP184" i="59"/>
  <c r="DZ165" i="59"/>
  <c r="BL225" i="59"/>
  <c r="CU197" i="59"/>
  <c r="BJ213" i="59"/>
  <c r="EZ186" i="59"/>
  <c r="IG221" i="59"/>
  <c r="BH174" i="59"/>
  <c r="GU218" i="59"/>
  <c r="CA180" i="59"/>
  <c r="EY212" i="59"/>
  <c r="ID208" i="59"/>
  <c r="FA204" i="59"/>
  <c r="GH179" i="59"/>
  <c r="AP217" i="59"/>
  <c r="HX208" i="59"/>
  <c r="IE201" i="59"/>
  <c r="FH197" i="59"/>
  <c r="FL216" i="59"/>
  <c r="GG186" i="59"/>
  <c r="FT223" i="59"/>
  <c r="FR225" i="59"/>
  <c r="BI212" i="59"/>
  <c r="FC225" i="59"/>
  <c r="IM183" i="59"/>
  <c r="GQ181" i="59"/>
  <c r="GX195" i="59"/>
  <c r="IS197" i="59"/>
  <c r="BA204" i="59"/>
  <c r="HC169" i="59"/>
  <c r="EJ191" i="59"/>
  <c r="DS182" i="59"/>
  <c r="N172" i="59"/>
  <c r="ED195" i="59"/>
  <c r="ER199" i="59"/>
  <c r="CX184" i="59"/>
  <c r="IE177" i="59"/>
  <c r="EO184" i="59"/>
  <c r="IH214" i="59"/>
  <c r="GQ219" i="59"/>
  <c r="AF174" i="59"/>
  <c r="AD167" i="59"/>
  <c r="CG180" i="59"/>
  <c r="HO212" i="59"/>
  <c r="CB212" i="59"/>
  <c r="DV214" i="59"/>
  <c r="FN180" i="59"/>
  <c r="GE218" i="59"/>
  <c r="EG221" i="59"/>
  <c r="FZ218" i="59"/>
  <c r="HS188" i="59"/>
  <c r="DT227" i="59"/>
  <c r="EC217" i="59"/>
  <c r="BQ213" i="59"/>
  <c r="IE171" i="59"/>
  <c r="AV199" i="59"/>
  <c r="FU193" i="59"/>
  <c r="EK171" i="59"/>
  <c r="GF179" i="59"/>
  <c r="EF171" i="59"/>
  <c r="FZ192" i="59"/>
  <c r="AW213" i="59"/>
  <c r="FG167" i="59"/>
  <c r="BC226" i="59"/>
  <c r="GD186" i="59"/>
  <c r="GW168" i="59"/>
  <c r="FO225" i="59"/>
  <c r="L228" i="59"/>
  <c r="EL173" i="59"/>
  <c r="AW186" i="59"/>
  <c r="CL201" i="59"/>
  <c r="GG206" i="59"/>
  <c r="L178" i="59"/>
  <c r="DL178" i="59"/>
  <c r="AU217" i="59"/>
  <c r="FD171" i="59"/>
  <c r="GF218" i="59"/>
  <c r="FR180" i="59"/>
  <c r="CK225" i="59"/>
  <c r="CE195" i="59"/>
  <c r="EV197" i="59"/>
  <c r="BC204" i="59"/>
  <c r="R178" i="59"/>
  <c r="GC180" i="59"/>
  <c r="H167" i="59"/>
  <c r="HB199" i="59"/>
  <c r="G189" i="59"/>
  <c r="FM205" i="59"/>
  <c r="AT204" i="59"/>
  <c r="BC217" i="59"/>
  <c r="AK193" i="59"/>
  <c r="BI174" i="59"/>
  <c r="AL187" i="59"/>
  <c r="BL180" i="59"/>
  <c r="FJ217" i="59"/>
  <c r="GW173" i="59"/>
  <c r="GR169" i="59"/>
  <c r="EI190" i="59"/>
  <c r="DA197" i="59"/>
  <c r="CY228" i="59"/>
  <c r="BW200" i="59"/>
  <c r="HO221" i="59"/>
  <c r="ID194" i="59"/>
  <c r="IP190" i="59"/>
  <c r="GX201" i="59"/>
  <c r="EI178" i="59"/>
  <c r="EV191" i="59"/>
  <c r="DZ221" i="59"/>
  <c r="FE167" i="59"/>
  <c r="HG207" i="59"/>
  <c r="HG186" i="59"/>
  <c r="DY221" i="59"/>
  <c r="CG201" i="59"/>
  <c r="IR184" i="59"/>
  <c r="AN217" i="59"/>
  <c r="CH201" i="59"/>
  <c r="GE219" i="59"/>
  <c r="I198" i="59"/>
  <c r="FP210" i="59"/>
  <c r="FJ223" i="59"/>
  <c r="AZ217" i="59"/>
  <c r="IQ221" i="59"/>
  <c r="DO217" i="59"/>
  <c r="CH202" i="59"/>
  <c r="AI186" i="59"/>
  <c r="DH178" i="59"/>
  <c r="DX197" i="59"/>
  <c r="IS227" i="59"/>
  <c r="AG191" i="59"/>
  <c r="DI178" i="59"/>
  <c r="CD206" i="59"/>
  <c r="F189" i="59"/>
  <c r="FK210" i="59"/>
  <c r="BP167" i="59"/>
  <c r="CQ214" i="59"/>
  <c r="AY213" i="59"/>
  <c r="GA201" i="59"/>
  <c r="AU204" i="59"/>
  <c r="EX180" i="59"/>
  <c r="GW218" i="59"/>
  <c r="AE178" i="59"/>
  <c r="DE184" i="59"/>
  <c r="DH210" i="59"/>
  <c r="EZ199" i="59"/>
  <c r="FE210" i="59"/>
  <c r="GS182" i="59"/>
  <c r="HE225" i="59"/>
  <c r="F202" i="59"/>
  <c r="AE228" i="59"/>
  <c r="P215" i="59"/>
  <c r="FW223" i="59"/>
  <c r="FR184" i="59"/>
  <c r="DF164" i="59"/>
  <c r="FF225" i="59"/>
  <c r="HZ220" i="59"/>
  <c r="EL204" i="59"/>
  <c r="DG210" i="59"/>
  <c r="IP183" i="59"/>
  <c r="FJ180" i="59"/>
  <c r="CU189" i="59"/>
  <c r="IV188" i="59"/>
  <c r="FM179" i="59"/>
  <c r="GL188" i="59"/>
  <c r="IM184" i="59"/>
  <c r="EQ203" i="59"/>
  <c r="GM173" i="59"/>
  <c r="AO174" i="59"/>
  <c r="GI206" i="59"/>
  <c r="CM176" i="59"/>
  <c r="GP201" i="59"/>
  <c r="GB186" i="59"/>
  <c r="EA208" i="59"/>
  <c r="BE187" i="59"/>
  <c r="AV208" i="59"/>
  <c r="Z200" i="59"/>
  <c r="HA195" i="59"/>
  <c r="DW203" i="59"/>
  <c r="HE177" i="59"/>
  <c r="J215" i="59"/>
  <c r="DD195" i="59"/>
  <c r="GR219" i="59"/>
  <c r="EE195" i="59"/>
  <c r="FV192" i="59"/>
  <c r="GL169" i="59"/>
  <c r="O159" i="59"/>
  <c r="FX175" i="59"/>
  <c r="FW175" i="59"/>
  <c r="HF182" i="59"/>
  <c r="DA191" i="59"/>
  <c r="ER191" i="59"/>
  <c r="IV164" i="59"/>
  <c r="DI208" i="59"/>
  <c r="BZ213" i="59"/>
  <c r="CI202" i="59"/>
  <c r="GI193" i="59"/>
  <c r="GW186" i="59"/>
  <c r="GR214" i="59"/>
  <c r="HC214" i="59"/>
  <c r="CJ193" i="59"/>
  <c r="CS206" i="59"/>
  <c r="CW169" i="59"/>
  <c r="EP199" i="59"/>
  <c r="EU190" i="59"/>
  <c r="BV169" i="59"/>
  <c r="IS203" i="59"/>
  <c r="EA221" i="59"/>
  <c r="CZ228" i="59"/>
  <c r="GL219" i="59"/>
  <c r="R185" i="59"/>
  <c r="DK178" i="59"/>
  <c r="EC210" i="59"/>
  <c r="DC182" i="59"/>
  <c r="EF221" i="59"/>
  <c r="GT188" i="59"/>
  <c r="HW220" i="59"/>
  <c r="EC216" i="59"/>
  <c r="IJ171" i="59"/>
  <c r="FO193" i="59"/>
  <c r="GD192" i="59"/>
  <c r="U223" i="59"/>
  <c r="GB175" i="59"/>
  <c r="DZ197" i="59"/>
  <c r="IL171" i="59"/>
  <c r="FX179" i="59"/>
  <c r="GK223" i="59"/>
  <c r="DX228" i="59"/>
  <c r="DD188" i="59"/>
  <c r="DN201" i="59"/>
  <c r="CM201" i="59"/>
  <c r="CW184" i="59"/>
  <c r="AQ193" i="59"/>
  <c r="HS181" i="59"/>
  <c r="K217" i="59"/>
  <c r="Z180" i="59"/>
  <c r="FY197" i="59"/>
  <c r="BW195" i="59"/>
  <c r="HR164" i="59"/>
  <c r="HZ170" i="59"/>
  <c r="CR221" i="59"/>
  <c r="IA177" i="59"/>
  <c r="HU220" i="59"/>
  <c r="P167" i="59"/>
  <c r="CQ202" i="59"/>
  <c r="BC169" i="59"/>
  <c r="AH217" i="59"/>
  <c r="FA171" i="59"/>
  <c r="EH171" i="59"/>
  <c r="H210" i="59"/>
  <c r="BQ221" i="59"/>
  <c r="T178" i="59"/>
  <c r="DM184" i="59"/>
  <c r="EW167" i="59"/>
  <c r="EP221" i="59"/>
  <c r="IU209" i="59"/>
  <c r="N198" i="59"/>
  <c r="EE178" i="59"/>
  <c r="ES203" i="59"/>
  <c r="FF217" i="59"/>
  <c r="FB204" i="59"/>
  <c r="FM212" i="59"/>
  <c r="FB197" i="59"/>
  <c r="ET167" i="59"/>
  <c r="DP214" i="59"/>
  <c r="CM193" i="59"/>
  <c r="EO217" i="59"/>
  <c r="EJ190" i="59"/>
  <c r="BH167" i="59"/>
  <c r="HK212" i="59"/>
  <c r="AA223" i="59"/>
  <c r="CQ176" i="59"/>
  <c r="ER167" i="59"/>
  <c r="CM171" i="59"/>
  <c r="IU201" i="59"/>
  <c r="BC212" i="59"/>
  <c r="HK199" i="59"/>
  <c r="FR223" i="59"/>
  <c r="CQ201" i="59"/>
  <c r="AR173" i="59"/>
  <c r="J211" i="59"/>
  <c r="GW219" i="59"/>
  <c r="AF228" i="59"/>
  <c r="AJ193" i="59"/>
  <c r="CR215" i="59"/>
  <c r="BV180" i="59"/>
  <c r="BN226" i="59"/>
  <c r="FY180" i="59"/>
  <c r="EB178" i="59"/>
  <c r="AF187" i="59"/>
  <c r="BK199" i="59"/>
  <c r="FM166" i="59"/>
  <c r="BA213" i="59"/>
  <c r="HN175" i="59"/>
  <c r="CD225" i="59"/>
  <c r="DB188" i="59"/>
  <c r="HL225" i="59"/>
  <c r="IS184" i="59"/>
  <c r="GZ186" i="59"/>
  <c r="Y211" i="59"/>
  <c r="CF176" i="59"/>
  <c r="HW221" i="59"/>
  <c r="HH214" i="59"/>
  <c r="IO221" i="59"/>
  <c r="CK189" i="59"/>
  <c r="IT203" i="59"/>
  <c r="AY187" i="59"/>
  <c r="FX166" i="59"/>
  <c r="O178" i="59"/>
  <c r="H215" i="59"/>
  <c r="ET171" i="59"/>
  <c r="AJ173" i="59"/>
  <c r="HN221" i="59"/>
  <c r="AF224" i="59"/>
  <c r="FT210" i="59"/>
  <c r="CV215" i="59"/>
  <c r="ID221" i="59"/>
  <c r="CE225" i="59"/>
  <c r="FU225" i="59"/>
  <c r="IV183" i="59"/>
  <c r="L172" i="59"/>
  <c r="AG217" i="59"/>
  <c r="AJ186" i="59"/>
  <c r="FY166" i="59"/>
  <c r="EQ216" i="59"/>
  <c r="GZ194" i="59"/>
  <c r="AQ200" i="59"/>
  <c r="H228" i="59"/>
  <c r="I215" i="59"/>
  <c r="CO189" i="59"/>
  <c r="EU166" i="59"/>
  <c r="CG176" i="59"/>
  <c r="Z223" i="59"/>
  <c r="FL184" i="59"/>
  <c r="FU197" i="59"/>
  <c r="G165" i="59"/>
  <c r="AA198" i="59"/>
  <c r="II216" i="59"/>
  <c r="DK208" i="59"/>
  <c r="DY195" i="59"/>
  <c r="DW178" i="59"/>
  <c r="HV195" i="59"/>
  <c r="AQ187" i="59"/>
  <c r="DC164" i="59"/>
  <c r="BS167" i="59"/>
  <c r="AW199" i="59"/>
  <c r="CV202" i="59"/>
  <c r="GL193" i="59"/>
  <c r="DT228" i="59"/>
  <c r="CC188" i="59"/>
  <c r="CG226" i="59"/>
  <c r="N165" i="59"/>
  <c r="HX190" i="59"/>
  <c r="GI188" i="59"/>
  <c r="K202" i="59"/>
  <c r="GB193" i="59"/>
  <c r="IU214" i="59"/>
  <c r="ES217" i="59"/>
  <c r="CN215" i="59"/>
  <c r="BQ199" i="59"/>
  <c r="GQ201" i="59"/>
  <c r="AX187" i="59"/>
  <c r="CN208" i="59"/>
  <c r="BM167" i="59"/>
  <c r="CX202" i="59"/>
  <c r="GS212" i="59"/>
  <c r="IP197" i="59"/>
  <c r="EL217" i="59"/>
  <c r="GX212" i="59"/>
  <c r="AY200" i="59"/>
  <c r="BG213" i="59"/>
  <c r="BP186" i="59"/>
  <c r="IJ190" i="59"/>
  <c r="CO208" i="59"/>
  <c r="ET184" i="59"/>
  <c r="BD187" i="59"/>
  <c r="CA219" i="59"/>
  <c r="CD180" i="59"/>
  <c r="FD179" i="59"/>
  <c r="AF197" i="59"/>
  <c r="EK184" i="59"/>
  <c r="Y184" i="59"/>
  <c r="DI169" i="59"/>
  <c r="BY189" i="59"/>
  <c r="DU182" i="59"/>
  <c r="FT173" i="59"/>
  <c r="BB204" i="59"/>
  <c r="BN208" i="59"/>
  <c r="GN206" i="59"/>
  <c r="GR173" i="59"/>
  <c r="HX221" i="59"/>
  <c r="ED178" i="59"/>
  <c r="AN169" i="59"/>
  <c r="IN197" i="59"/>
  <c r="FU212" i="59"/>
  <c r="DM214" i="59"/>
  <c r="ES186" i="59"/>
  <c r="HR194" i="59"/>
  <c r="HS182" i="59"/>
  <c r="HV221" i="59"/>
  <c r="S223" i="59"/>
  <c r="EI195" i="59"/>
  <c r="BX193" i="59"/>
  <c r="AB211" i="59"/>
  <c r="V193" i="59"/>
  <c r="CA208" i="59"/>
  <c r="BD213" i="59"/>
  <c r="GZ173" i="59"/>
  <c r="HF201" i="59"/>
  <c r="AR200" i="59"/>
  <c r="AW200" i="59"/>
  <c r="IP221" i="59"/>
  <c r="BC180" i="59"/>
  <c r="AK178" i="59"/>
  <c r="IB201" i="59"/>
  <c r="O217" i="59"/>
  <c r="BY225" i="59"/>
  <c r="AF204" i="59"/>
  <c r="EV190" i="59"/>
  <c r="HM225" i="59"/>
  <c r="BU208" i="59"/>
  <c r="HQ199" i="59"/>
  <c r="DZ178" i="59"/>
  <c r="AG165" i="59"/>
  <c r="GJ169" i="59"/>
  <c r="FG184" i="59"/>
  <c r="GX169" i="59"/>
  <c r="IK203" i="59"/>
  <c r="P228" i="59"/>
  <c r="N211" i="59"/>
  <c r="CO202" i="59"/>
  <c r="EJ165" i="59"/>
  <c r="AQ199" i="59"/>
  <c r="FH184" i="59"/>
  <c r="CL189" i="59"/>
  <c r="CW228" i="59"/>
  <c r="FH210" i="59"/>
  <c r="BA199" i="59"/>
  <c r="AM180" i="59"/>
  <c r="DJ201" i="59"/>
  <c r="IO227" i="59"/>
  <c r="DA184" i="59"/>
  <c r="FG179" i="59"/>
  <c r="DK195" i="59"/>
  <c r="FV188" i="59"/>
  <c r="FD212" i="59"/>
  <c r="HK225" i="59"/>
  <c r="GS199" i="59"/>
  <c r="FR192" i="59"/>
  <c r="IE203" i="59"/>
  <c r="GO212" i="59"/>
  <c r="DS177" i="59"/>
  <c r="HN169" i="59"/>
  <c r="CP221" i="59"/>
  <c r="FS164" i="59"/>
  <c r="AC197" i="59"/>
  <c r="DA219" i="59"/>
  <c r="GO186" i="59"/>
  <c r="CM219" i="59"/>
  <c r="AE165" i="59"/>
  <c r="DW221" i="59"/>
  <c r="Q171" i="59"/>
  <c r="GO192" i="59"/>
  <c r="FG217" i="59"/>
  <c r="EA182" i="59"/>
  <c r="HR214" i="59"/>
  <c r="AM224" i="59"/>
  <c r="GH169" i="59"/>
  <c r="FS199" i="59"/>
  <c r="HZ175" i="59"/>
  <c r="CP214" i="59"/>
  <c r="IA171" i="59"/>
  <c r="EJ217" i="59"/>
  <c r="AD178" i="59"/>
  <c r="HX220" i="59"/>
  <c r="GG193" i="59"/>
  <c r="DY164" i="59"/>
  <c r="DW173" i="59"/>
  <c r="BP199" i="59"/>
  <c r="FN225" i="59"/>
  <c r="DO197" i="59"/>
  <c r="IB171" i="59"/>
  <c r="BG173" i="59"/>
  <c r="FU173" i="59"/>
  <c r="AU167" i="59"/>
  <c r="GC179" i="59"/>
  <c r="CI206" i="59"/>
  <c r="IG188" i="59"/>
  <c r="FO197" i="59"/>
  <c r="N184" i="59"/>
  <c r="HH199" i="59"/>
  <c r="IQ201" i="59"/>
  <c r="AA211" i="59"/>
  <c r="IO201" i="59"/>
  <c r="F215" i="59"/>
  <c r="HG201" i="59"/>
  <c r="DI184" i="59"/>
  <c r="O193" i="59"/>
  <c r="W206" i="59"/>
  <c r="EC191" i="59"/>
  <c r="AT169" i="59"/>
  <c r="GF175" i="59"/>
  <c r="IN188" i="59"/>
  <c r="BB213" i="59"/>
  <c r="EQ171" i="59"/>
  <c r="DQ208" i="59"/>
  <c r="AK191" i="59"/>
  <c r="BY180" i="59"/>
  <c r="BJ212" i="59"/>
  <c r="DR190" i="59"/>
  <c r="V178" i="59"/>
  <c r="FM216" i="59"/>
  <c r="EL191" i="59"/>
  <c r="AL204" i="59"/>
  <c r="DE165" i="59"/>
  <c r="IM170" i="59"/>
  <c r="FD225" i="59"/>
  <c r="W210" i="59"/>
  <c r="IJ207" i="59"/>
  <c r="DB197" i="59"/>
  <c r="EU171" i="59"/>
  <c r="AE174" i="59"/>
  <c r="BU226" i="59"/>
  <c r="GT199" i="59"/>
  <c r="CS201" i="59"/>
  <c r="GK186" i="59"/>
  <c r="ED186" i="59"/>
  <c r="K211" i="59"/>
  <c r="FL197" i="59"/>
  <c r="GU181" i="59"/>
  <c r="GF201" i="59"/>
  <c r="BG174" i="59"/>
  <c r="FV225" i="59"/>
  <c r="GP169" i="59"/>
  <c r="CP175" i="59"/>
  <c r="I210" i="59"/>
  <c r="AW169" i="59"/>
  <c r="FJ225" i="59"/>
  <c r="AT178" i="59"/>
  <c r="G167" i="59"/>
  <c r="GP212" i="59"/>
  <c r="S215" i="59"/>
  <c r="EK199" i="59"/>
  <c r="GT186" i="59"/>
  <c r="IJ183" i="59"/>
  <c r="DB184" i="59"/>
  <c r="FP197" i="59"/>
  <c r="CO206" i="59"/>
  <c r="AX174" i="59"/>
  <c r="IT166" i="59"/>
  <c r="AT200" i="59"/>
  <c r="HQ195" i="59"/>
  <c r="BL195" i="59"/>
  <c r="BI169" i="59"/>
  <c r="FU205" i="59"/>
  <c r="IB225" i="59"/>
  <c r="AG173" i="59"/>
  <c r="AJ211" i="59"/>
  <c r="BY184" i="59"/>
  <c r="DP227" i="59"/>
  <c r="DA169" i="59"/>
  <c r="EJ177" i="59"/>
  <c r="GM206" i="59"/>
  <c r="II201" i="59"/>
  <c r="P198" i="59"/>
  <c r="HX182" i="59"/>
  <c r="IR166" i="59"/>
  <c r="O165" i="59"/>
  <c r="DI210" i="59"/>
  <c r="DB171" i="59"/>
  <c r="Y210" i="59"/>
  <c r="IK171" i="59"/>
  <c r="AZ191" i="59"/>
  <c r="X165" i="59"/>
  <c r="G204" i="59"/>
  <c r="GP206" i="59"/>
  <c r="GJ218" i="59"/>
  <c r="CN169" i="59"/>
  <c r="DS197" i="59"/>
  <c r="DX191" i="59"/>
  <c r="CW221" i="59"/>
  <c r="CH171" i="59"/>
  <c r="ER216" i="59"/>
  <c r="IR216" i="59"/>
  <c r="HR175" i="59"/>
  <c r="DH188" i="59"/>
  <c r="IF225" i="59"/>
  <c r="AW167" i="59"/>
  <c r="HD181" i="59"/>
  <c r="AZ169" i="59"/>
  <c r="CB208" i="59"/>
  <c r="CA221" i="59"/>
  <c r="EX186" i="59"/>
  <c r="GA166" i="59"/>
  <c r="IU188" i="59"/>
  <c r="FP212" i="59"/>
  <c r="EB190" i="59"/>
  <c r="L219" i="59"/>
  <c r="IE170" i="59"/>
  <c r="HW227" i="59"/>
  <c r="R184" i="59"/>
  <c r="GH175" i="59"/>
  <c r="AB197" i="59"/>
  <c r="FC166" i="59"/>
  <c r="CO188" i="59"/>
  <c r="GV205" i="59"/>
  <c r="CU182" i="59"/>
  <c r="EY167" i="59"/>
  <c r="BW169" i="59"/>
  <c r="V210" i="59"/>
  <c r="BE199" i="59"/>
  <c r="HU164" i="59"/>
  <c r="CP184" i="59"/>
  <c r="HA173" i="59"/>
  <c r="GG192" i="59"/>
  <c r="GY199" i="59"/>
  <c r="GE188" i="59"/>
  <c r="DE182" i="59"/>
  <c r="EC203" i="59"/>
  <c r="FL212" i="59"/>
  <c r="AP178" i="59"/>
  <c r="CA226" i="59"/>
  <c r="EJ223" i="59"/>
  <c r="W198" i="59"/>
  <c r="HL171" i="59"/>
  <c r="EW173" i="59"/>
  <c r="FV205" i="59"/>
  <c r="FO206" i="59"/>
  <c r="EF165" i="59"/>
  <c r="HF214" i="59"/>
  <c r="GN205" i="59"/>
  <c r="BY208" i="59"/>
  <c r="AN224" i="59"/>
  <c r="BY219" i="59"/>
  <c r="EX191" i="59"/>
  <c r="DS178" i="59"/>
  <c r="IR197" i="59"/>
  <c r="BO226" i="59"/>
  <c r="AM223" i="59"/>
  <c r="IA208" i="59"/>
  <c r="BT169" i="59"/>
  <c r="S178" i="59"/>
  <c r="EP191" i="59"/>
  <c r="U191" i="59"/>
  <c r="F204" i="59"/>
  <c r="IT196" i="59"/>
  <c r="CX206" i="59"/>
  <c r="FL180" i="59"/>
  <c r="DO223" i="59"/>
  <c r="GA212" i="59"/>
  <c r="AQ217" i="59"/>
  <c r="IF190" i="59"/>
  <c r="R159" i="59"/>
  <c r="CD176" i="59"/>
  <c r="I228" i="59"/>
  <c r="DZ228" i="59"/>
  <c r="DW190" i="59"/>
  <c r="GS201" i="59"/>
  <c r="BB219" i="59"/>
  <c r="O211" i="59"/>
  <c r="DA214" i="59"/>
  <c r="IC170" i="59"/>
  <c r="BO212" i="59"/>
  <c r="AG210" i="59"/>
  <c r="S206" i="59"/>
  <c r="Q184" i="59"/>
  <c r="R171" i="59"/>
  <c r="GC223" i="59"/>
  <c r="CQ219" i="59"/>
  <c r="IR175" i="59"/>
  <c r="IB190" i="59"/>
  <c r="DT215" i="59"/>
  <c r="IG207" i="59"/>
  <c r="IN214" i="59"/>
  <c r="EX166" i="59"/>
  <c r="AH193" i="59"/>
  <c r="GM218" i="59"/>
  <c r="CB167" i="59"/>
  <c r="CI165" i="59"/>
  <c r="HW225" i="59"/>
  <c r="DV173" i="59"/>
  <c r="HJ177" i="59"/>
  <c r="CG195" i="59"/>
  <c r="GY219" i="59"/>
  <c r="GB192" i="59"/>
  <c r="II220" i="59"/>
  <c r="AG204" i="59"/>
  <c r="DM197" i="59"/>
  <c r="BP212" i="59"/>
  <c r="EU173" i="59"/>
  <c r="HK181" i="59"/>
  <c r="BX199" i="59"/>
  <c r="GT227" i="59"/>
  <c r="AJ191" i="59"/>
  <c r="K210" i="59"/>
  <c r="DA215" i="59"/>
  <c r="FT192" i="59"/>
  <c r="DS190" i="59"/>
  <c r="AV174" i="59"/>
  <c r="HJ169" i="59"/>
  <c r="CE182" i="59"/>
  <c r="HC201" i="59"/>
  <c r="V211" i="59"/>
  <c r="HP190" i="59"/>
  <c r="DA195" i="59"/>
  <c r="AZ206" i="59"/>
  <c r="CX175" i="59"/>
  <c r="IE194" i="59"/>
  <c r="DH208" i="59"/>
  <c r="HB201" i="59"/>
  <c r="FB173" i="59"/>
  <c r="DQ169" i="59"/>
  <c r="CN171" i="59"/>
  <c r="FT175" i="59"/>
  <c r="FO179" i="59"/>
  <c r="FE173" i="59"/>
  <c r="DE195" i="59"/>
  <c r="GV212" i="59"/>
  <c r="BU199" i="59"/>
  <c r="CF208" i="59"/>
  <c r="HT221" i="59"/>
  <c r="EF186" i="59"/>
  <c r="GA193" i="59"/>
  <c r="HR220" i="59"/>
  <c r="EE223" i="59"/>
  <c r="HC194" i="59"/>
  <c r="R197" i="59"/>
  <c r="IO192" i="59"/>
  <c r="GY181" i="59"/>
  <c r="DJ164" i="59"/>
  <c r="DW223" i="59"/>
  <c r="IK175" i="59"/>
  <c r="FP166" i="59"/>
  <c r="EA173" i="59"/>
  <c r="HV181" i="59"/>
  <c r="EH216" i="59"/>
  <c r="BM195" i="59"/>
  <c r="GY227" i="59"/>
  <c r="AG187" i="59"/>
  <c r="IS166" i="59"/>
  <c r="DU221" i="59"/>
  <c r="EG216" i="59"/>
  <c r="HI195" i="59"/>
  <c r="FF171" i="59"/>
  <c r="DI197" i="59"/>
  <c r="AD206" i="59"/>
  <c r="BB169" i="59"/>
  <c r="FB167" i="59"/>
  <c r="HL168" i="59"/>
  <c r="GZ195" i="59"/>
  <c r="BQ206" i="59"/>
  <c r="HS164" i="59"/>
  <c r="FY206" i="59"/>
  <c r="HN208" i="59"/>
  <c r="IU166" i="59"/>
  <c r="AP193" i="59"/>
  <c r="IP170" i="59"/>
  <c r="AA191" i="59"/>
  <c r="GT169" i="59"/>
  <c r="GA192" i="59"/>
  <c r="DR221" i="59"/>
  <c r="DU197" i="59"/>
  <c r="K185" i="59"/>
  <c r="GB180" i="59"/>
  <c r="HV208" i="59"/>
  <c r="DV191" i="59"/>
  <c r="BS213" i="59"/>
  <c r="CU214" i="59"/>
  <c r="BB206" i="59"/>
  <c r="AS223" i="59"/>
  <c r="IA190" i="59"/>
  <c r="DI214" i="59"/>
  <c r="HZ207" i="59"/>
  <c r="FH166" i="59"/>
  <c r="BI187" i="59"/>
  <c r="AJ206" i="59"/>
  <c r="GZ188" i="59"/>
  <c r="CK202" i="59"/>
  <c r="CP206" i="59"/>
  <c r="DX204" i="59"/>
  <c r="HJ207" i="59"/>
  <c r="CZ206" i="59"/>
  <c r="GI192" i="59"/>
  <c r="EW204" i="59"/>
  <c r="BE174" i="59"/>
  <c r="CS202" i="59"/>
  <c r="ID225" i="59"/>
  <c r="DK177" i="59"/>
  <c r="FY212" i="59"/>
  <c r="AT206" i="59"/>
  <c r="IG201" i="59"/>
  <c r="DO215" i="59"/>
  <c r="CV188" i="59"/>
  <c r="FX188" i="59"/>
  <c r="GO188" i="59"/>
  <c r="EF208" i="59"/>
  <c r="HD208" i="59"/>
  <c r="ET166" i="59"/>
  <c r="FX225" i="59"/>
  <c r="DT178" i="59"/>
  <c r="AI224" i="59"/>
  <c r="AZ174" i="59"/>
  <c r="BG219" i="59"/>
  <c r="DM202" i="59"/>
  <c r="EP208" i="59"/>
  <c r="DK201" i="59"/>
  <c r="CR169" i="59"/>
  <c r="BM200" i="59"/>
  <c r="HC218" i="59"/>
  <c r="DG165" i="59"/>
  <c r="DV208" i="59"/>
  <c r="I217" i="59"/>
  <c r="DR210" i="59"/>
  <c r="DF182" i="59"/>
  <c r="GA173" i="59"/>
  <c r="EC227" i="59"/>
  <c r="EH177" i="59"/>
  <c r="IN183" i="59"/>
  <c r="CA195" i="59"/>
  <c r="BQ195" i="59"/>
  <c r="HG208" i="59"/>
  <c r="GR188" i="59"/>
  <c r="HY212" i="59"/>
  <c r="CT176" i="59"/>
  <c r="FJ166" i="59"/>
  <c r="HQ168" i="59"/>
  <c r="HD169" i="59"/>
  <c r="DK171" i="59"/>
  <c r="FV210" i="59"/>
  <c r="DK164" i="59"/>
  <c r="HZ208" i="59"/>
  <c r="CU169" i="59"/>
  <c r="HP225" i="59"/>
  <c r="DU227" i="59"/>
  <c r="HM214" i="59"/>
  <c r="HM207" i="59"/>
  <c r="FZ219" i="59"/>
  <c r="AK206" i="59"/>
  <c r="G197" i="59"/>
  <c r="EU203" i="59"/>
  <c r="GE175" i="59"/>
  <c r="AI219" i="59"/>
  <c r="X211" i="59"/>
  <c r="BA169" i="59"/>
  <c r="DC188" i="59"/>
  <c r="AC210" i="59"/>
  <c r="GN188" i="59"/>
  <c r="O215" i="59"/>
  <c r="GO201" i="59"/>
  <c r="CB188" i="59"/>
  <c r="FO199" i="59"/>
  <c r="CF188" i="59"/>
  <c r="IN220" i="59"/>
  <c r="HB218" i="59"/>
  <c r="H184" i="59"/>
  <c r="AF180" i="59"/>
  <c r="GV227" i="59"/>
  <c r="DR214" i="59"/>
  <c r="GH223" i="59"/>
  <c r="FE203" i="59"/>
  <c r="AK223" i="59"/>
  <c r="HU181" i="59"/>
  <c r="GX182" i="59"/>
  <c r="BE225" i="59"/>
  <c r="BT221" i="59"/>
  <c r="DK184" i="59"/>
  <c r="CT171" i="59"/>
  <c r="BI167" i="59"/>
  <c r="CG221" i="59"/>
  <c r="DC215" i="59"/>
  <c r="EK177" i="59"/>
  <c r="DB169" i="59"/>
  <c r="H197" i="59"/>
  <c r="HO227" i="59"/>
  <c r="BX167" i="59"/>
  <c r="CB225" i="59"/>
  <c r="ET212" i="59"/>
  <c r="GP214" i="59"/>
  <c r="EG204" i="59"/>
  <c r="HG214" i="59"/>
  <c r="M172" i="59"/>
  <c r="AA206" i="59"/>
  <c r="IG208" i="59"/>
  <c r="AM178" i="59"/>
  <c r="IK221" i="59"/>
  <c r="FO192" i="59"/>
  <c r="FD197" i="59"/>
  <c r="EZ216" i="59"/>
  <c r="BK226" i="59"/>
  <c r="CK219" i="59"/>
  <c r="FH192" i="59"/>
  <c r="IV203" i="59"/>
  <c r="EF177" i="59"/>
  <c r="CI195" i="59"/>
  <c r="AY219" i="59"/>
  <c r="GU188" i="59"/>
  <c r="DI182" i="59"/>
  <c r="HU221" i="59"/>
  <c r="DE214" i="59"/>
  <c r="EB203" i="59"/>
  <c r="AD180" i="59"/>
  <c r="FF184" i="59"/>
  <c r="AZ219" i="59"/>
  <c r="FR167" i="59"/>
  <c r="CM215" i="59"/>
  <c r="CD219" i="59"/>
  <c r="AB210" i="59"/>
  <c r="CE221" i="59"/>
  <c r="AO223" i="59"/>
  <c r="EH203" i="59"/>
  <c r="DO177" i="59"/>
  <c r="BZ188" i="59"/>
  <c r="DI228" i="59"/>
  <c r="HW212" i="59"/>
  <c r="CT219" i="59"/>
  <c r="BN187" i="59"/>
  <c r="HB181" i="59"/>
  <c r="HI199" i="59"/>
  <c r="DA164" i="59"/>
  <c r="AA219" i="59"/>
  <c r="FM193" i="59"/>
  <c r="GY169" i="59"/>
  <c r="HS225" i="59"/>
  <c r="BQ193" i="59"/>
  <c r="GQ188" i="59"/>
  <c r="IR201" i="59"/>
  <c r="HQ227" i="59"/>
  <c r="AF211" i="59"/>
  <c r="HO194" i="59"/>
  <c r="DG169" i="59"/>
  <c r="HH177" i="59"/>
  <c r="BX221" i="59"/>
  <c r="G211" i="59"/>
  <c r="HH201" i="59"/>
  <c r="IH203" i="59"/>
  <c r="IL221" i="59"/>
  <c r="IM208" i="59"/>
  <c r="FT166" i="59"/>
  <c r="F167" i="59"/>
  <c r="HP177" i="59"/>
  <c r="T193" i="59"/>
  <c r="BK195" i="59"/>
  <c r="AT224" i="59"/>
  <c r="V223" i="59"/>
  <c r="AN210" i="59"/>
  <c r="DG197" i="59"/>
  <c r="DP191" i="59"/>
  <c r="EF173" i="59"/>
  <c r="HW194" i="59"/>
  <c r="FI199" i="59"/>
  <c r="BS182" i="59"/>
  <c r="EH191" i="59"/>
  <c r="CK165" i="59"/>
  <c r="EF203" i="59"/>
  <c r="AT186" i="59"/>
  <c r="AS187" i="59"/>
  <c r="DJ208" i="59"/>
  <c r="EU199" i="59"/>
  <c r="IL184" i="59"/>
  <c r="GB179" i="59"/>
  <c r="BH200" i="59"/>
  <c r="CQ188" i="59"/>
  <c r="GQ227" i="59"/>
  <c r="AI211" i="59"/>
  <c r="CI208" i="59"/>
  <c r="HH164" i="59"/>
  <c r="DF202" i="59"/>
  <c r="GF192" i="59"/>
  <c r="CY184" i="59"/>
  <c r="GZ225" i="59"/>
  <c r="IS190" i="59"/>
  <c r="BS199" i="59"/>
  <c r="DQ177" i="59"/>
  <c r="EQ184" i="59"/>
  <c r="BR225" i="59"/>
  <c r="AX191" i="59"/>
  <c r="AX182" i="59"/>
  <c r="EC190" i="59"/>
  <c r="IN227" i="59"/>
  <c r="ED210" i="59"/>
  <c r="BJ182" i="59"/>
  <c r="CS189" i="59"/>
  <c r="EW199" i="59"/>
  <c r="AX213" i="59"/>
  <c r="HB194" i="59"/>
  <c r="CL175" i="59"/>
  <c r="IT170" i="59"/>
  <c r="GQ182" i="59"/>
  <c r="BG186" i="59"/>
  <c r="HW164" i="59"/>
  <c r="FW193" i="59"/>
  <c r="BH213" i="59"/>
  <c r="BF217" i="59"/>
  <c r="HD201" i="59"/>
  <c r="T197" i="59"/>
  <c r="DH165" i="59"/>
  <c r="AT223" i="59"/>
  <c r="AS206" i="59"/>
  <c r="DQ227" i="59"/>
  <c r="FR197" i="59"/>
  <c r="EX184" i="59"/>
  <c r="HE208" i="59"/>
  <c r="AO224" i="59"/>
  <c r="IQ183" i="59"/>
  <c r="CD208" i="59"/>
  <c r="FX206" i="59"/>
  <c r="IB207" i="59"/>
  <c r="AW191" i="59"/>
  <c r="CK188" i="59"/>
  <c r="CC175" i="59"/>
  <c r="DV223" i="59"/>
  <c r="DW177" i="59"/>
  <c r="DE188" i="59"/>
  <c r="CM221" i="59"/>
  <c r="DO214" i="59"/>
  <c r="DX182" i="59"/>
  <c r="GG225" i="59"/>
  <c r="L224" i="59"/>
  <c r="AI193" i="59"/>
  <c r="DV165" i="59"/>
  <c r="DP178" i="59"/>
  <c r="GY186" i="59"/>
  <c r="EY166" i="59"/>
  <c r="CS221" i="59"/>
  <c r="BP225" i="59"/>
  <c r="EV203" i="59"/>
  <c r="IR170" i="59"/>
  <c r="HX225" i="59"/>
  <c r="GD201" i="59"/>
  <c r="AS199" i="59"/>
  <c r="FW188" i="59"/>
  <c r="AU212" i="59"/>
  <c r="CV214" i="59"/>
  <c r="HL221" i="59"/>
  <c r="AN165" i="59"/>
  <c r="CV182" i="59"/>
  <c r="CF193" i="59"/>
  <c r="GF219" i="59"/>
  <c r="AB219" i="59"/>
  <c r="FF179" i="59"/>
  <c r="EB173" i="59"/>
  <c r="DA210" i="59"/>
  <c r="I172" i="59"/>
  <c r="FU166" i="59"/>
  <c r="GO168" i="59"/>
  <c r="DF201" i="59"/>
  <c r="GD225" i="59"/>
  <c r="AG193" i="59"/>
  <c r="BP217" i="59"/>
  <c r="BK186" i="59"/>
  <c r="AS173" i="59"/>
  <c r="HQ212" i="59"/>
  <c r="GK188" i="59"/>
  <c r="DB201" i="59"/>
  <c r="DS221" i="59"/>
  <c r="AG206" i="59"/>
  <c r="GU205" i="59"/>
  <c r="AJ223" i="59"/>
  <c r="FS212" i="59"/>
  <c r="FA173" i="59"/>
  <c r="F184" i="59"/>
  <c r="AZ204" i="59"/>
  <c r="HM182" i="59"/>
  <c r="FW167" i="59"/>
  <c r="M211" i="59"/>
  <c r="IK170" i="59"/>
  <c r="EE173" i="59"/>
  <c r="IF208" i="59"/>
  <c r="DU184" i="59"/>
  <c r="HI214" i="59"/>
  <c r="GA188" i="59"/>
  <c r="EY203" i="59"/>
  <c r="HV207" i="59"/>
  <c r="HL182" i="59"/>
  <c r="CU206" i="59"/>
  <c r="EJ184" i="59"/>
  <c r="EY180" i="59"/>
  <c r="HW182" i="59"/>
  <c r="DG223" i="59"/>
  <c r="II203" i="59"/>
  <c r="BF169" i="59"/>
  <c r="IB177" i="59"/>
  <c r="BD195" i="59"/>
  <c r="DY191" i="59"/>
  <c r="BQ225" i="59"/>
  <c r="BB186" i="59"/>
  <c r="FF192" i="59"/>
  <c r="EY184" i="59"/>
  <c r="FA199" i="59"/>
  <c r="AC206" i="59"/>
  <c r="Q223" i="59"/>
  <c r="AO186" i="59"/>
  <c r="FW179" i="59"/>
  <c r="FY173" i="59"/>
  <c r="DS208" i="59"/>
  <c r="GQ168" i="59"/>
  <c r="AE223" i="59"/>
  <c r="CN184" i="59"/>
  <c r="HY227" i="59"/>
  <c r="IU220" i="59"/>
  <c r="GG205" i="59"/>
  <c r="DC228" i="59"/>
  <c r="GG175" i="59"/>
  <c r="HH182" i="59"/>
  <c r="ES166" i="59"/>
  <c r="BR213" i="59"/>
  <c r="CR219" i="59"/>
  <c r="II207" i="59"/>
  <c r="EG217" i="59"/>
  <c r="HU190" i="59"/>
  <c r="DR165" i="59"/>
  <c r="GM192" i="59"/>
  <c r="IU190" i="59"/>
  <c r="CP215" i="59"/>
  <c r="Y180" i="59"/>
  <c r="BQ212" i="59"/>
  <c r="CQ184" i="59"/>
  <c r="DE164" i="59"/>
  <c r="DY223" i="59"/>
  <c r="F217" i="59"/>
  <c r="BD225" i="59"/>
  <c r="AV169" i="59"/>
  <c r="BZ208" i="59"/>
  <c r="GH214" i="59"/>
  <c r="AB193" i="59"/>
  <c r="DQ184" i="59"/>
  <c r="EK216" i="59"/>
  <c r="CB180" i="59"/>
  <c r="P210" i="59"/>
  <c r="CN189" i="59"/>
  <c r="V215" i="59"/>
  <c r="F210" i="59"/>
  <c r="GJ219" i="59"/>
  <c r="BJ225" i="59"/>
  <c r="EN203" i="59"/>
  <c r="CG193" i="59"/>
  <c r="DN227" i="59"/>
  <c r="CE193" i="59"/>
  <c r="EM223" i="59"/>
  <c r="L174" i="59"/>
  <c r="BA217" i="59"/>
  <c r="CH175" i="59"/>
  <c r="GW169" i="59"/>
  <c r="AL211" i="59"/>
  <c r="FC204" i="59"/>
  <c r="HD207" i="59"/>
  <c r="HT227" i="59"/>
  <c r="FU188" i="59"/>
  <c r="FZ225" i="59"/>
  <c r="GJ201" i="59"/>
  <c r="CW197" i="59"/>
  <c r="FN199" i="59"/>
  <c r="EY206" i="59"/>
  <c r="DF189" i="59"/>
  <c r="HB212" i="59"/>
  <c r="EF178" i="59"/>
  <c r="AC159" i="59"/>
  <c r="BJ180" i="59"/>
  <c r="DU195" i="59"/>
  <c r="BW176" i="59"/>
  <c r="FL217" i="59"/>
  <c r="DP177" i="59"/>
  <c r="GU219" i="59"/>
  <c r="AP223" i="59"/>
  <c r="FQ175" i="59"/>
  <c r="GD223" i="59"/>
  <c r="DC201" i="59"/>
  <c r="K189" i="59"/>
  <c r="BB195" i="59"/>
  <c r="HV164" i="59"/>
  <c r="GO218" i="59"/>
  <c r="EK191" i="59"/>
  <c r="HX207" i="59"/>
  <c r="HH212" i="59"/>
  <c r="BO169" i="59"/>
  <c r="EG173" i="59"/>
  <c r="HJ182" i="59"/>
  <c r="GC218" i="59"/>
  <c r="BF212" i="59"/>
  <c r="BU176" i="59"/>
  <c r="FL225" i="59"/>
  <c r="CS175" i="59"/>
  <c r="IV209" i="59"/>
  <c r="DL210" i="59"/>
  <c r="IJ184" i="59"/>
  <c r="L202" i="59"/>
  <c r="W184" i="59"/>
  <c r="FT225" i="59"/>
  <c r="EL199" i="59"/>
  <c r="HO182" i="59"/>
  <c r="DM227" i="59"/>
  <c r="BP193" i="59"/>
  <c r="CU202" i="59"/>
  <c r="BW221" i="59"/>
  <c r="DV164" i="59"/>
  <c r="GV186" i="59"/>
  <c r="HA214" i="59"/>
  <c r="HE194" i="59"/>
  <c r="Z184" i="59"/>
  <c r="GP218" i="59"/>
  <c r="FM184" i="59"/>
  <c r="BM180" i="59"/>
  <c r="AI165" i="59"/>
  <c r="DN214" i="59"/>
  <c r="ER217" i="59"/>
  <c r="BO200" i="59"/>
  <c r="EI221" i="59"/>
  <c r="EO199" i="59"/>
  <c r="HV227" i="59"/>
  <c r="AM206" i="59"/>
  <c r="ET203" i="59"/>
  <c r="DT214" i="59"/>
  <c r="L171" i="59"/>
  <c r="DE171" i="59"/>
  <c r="GD188" i="59"/>
  <c r="EA191" i="59"/>
  <c r="GV199" i="59"/>
  <c r="I184" i="59"/>
  <c r="FX192" i="59"/>
  <c r="AD210" i="59"/>
  <c r="IO183" i="59"/>
  <c r="EY197" i="59"/>
  <c r="GV182" i="59"/>
  <c r="FT180" i="59"/>
  <c r="DQ190" i="59"/>
  <c r="CY175" i="59"/>
  <c r="CO201" i="59"/>
  <c r="FK199" i="59"/>
  <c r="IL170" i="59"/>
  <c r="AL219" i="59"/>
  <c r="K165" i="59"/>
  <c r="AI210" i="59"/>
  <c r="HT177" i="59"/>
  <c r="Q178" i="59"/>
  <c r="BW225" i="59"/>
  <c r="EP203" i="59"/>
  <c r="IC177" i="59"/>
  <c r="BQ186" i="59"/>
  <c r="IN216" i="59"/>
  <c r="BU169" i="59"/>
  <c r="CA225" i="59"/>
  <c r="IO220" i="59"/>
  <c r="DM201" i="59"/>
  <c r="GQ214" i="59"/>
  <c r="BE173" i="59"/>
  <c r="AY204" i="59"/>
  <c r="AO173" i="59"/>
  <c r="HD227" i="59"/>
  <c r="DQ214" i="59"/>
  <c r="GK169" i="59"/>
  <c r="BX212" i="59"/>
  <c r="HB168" i="59"/>
  <c r="IN177" i="59"/>
  <c r="DS223" i="59"/>
  <c r="DG219" i="59"/>
  <c r="HR203" i="59"/>
  <c r="AE206" i="59"/>
  <c r="HE203" i="59"/>
  <c r="GQ177" i="59"/>
  <c r="DH177" i="59"/>
  <c r="EI210" i="59"/>
  <c r="HU188" i="59"/>
  <c r="K204" i="59"/>
  <c r="ET190" i="59"/>
  <c r="FC184" i="59"/>
  <c r="AX219" i="59"/>
  <c r="CD226" i="59"/>
  <c r="U210" i="59"/>
  <c r="HO214" i="59"/>
  <c r="EV212" i="59"/>
  <c r="AF206" i="59"/>
  <c r="GN201" i="59"/>
  <c r="FM199" i="59"/>
  <c r="FV173" i="59"/>
  <c r="DM228" i="59"/>
  <c r="X215" i="59"/>
  <c r="EB164" i="59"/>
  <c r="DZ173" i="59"/>
  <c r="HZ195" i="59"/>
  <c r="HB188" i="59"/>
  <c r="AF191" i="59"/>
  <c r="J198" i="59"/>
  <c r="DL214" i="59"/>
  <c r="BX208" i="59"/>
  <c r="IN170" i="59"/>
  <c r="HH168" i="59"/>
  <c r="DK227" i="59"/>
  <c r="FF167" i="59"/>
  <c r="AY199" i="59"/>
  <c r="AS186" i="59"/>
  <c r="AV204" i="59"/>
  <c r="CE175" i="59"/>
  <c r="CJ221" i="59"/>
  <c r="P224" i="59"/>
  <c r="ED221" i="59"/>
  <c r="HZ171" i="59"/>
  <c r="CP202" i="59"/>
  <c r="CL171" i="59"/>
  <c r="GV169" i="59"/>
  <c r="CI188" i="59"/>
  <c r="GO227" i="59"/>
  <c r="CB219" i="59"/>
  <c r="CZ219" i="59"/>
  <c r="IT190" i="59"/>
  <c r="BI225" i="59"/>
  <c r="EV221" i="59"/>
  <c r="IQ227" i="59"/>
  <c r="FT206" i="59"/>
  <c r="DR197" i="59"/>
  <c r="EQ212" i="59"/>
  <c r="CT189" i="59"/>
  <c r="EV199" i="59"/>
  <c r="CP188" i="59"/>
  <c r="CD221" i="59"/>
  <c r="FX218" i="59"/>
  <c r="FL166" i="59"/>
  <c r="DZ164" i="59"/>
  <c r="DF169" i="59"/>
  <c r="CV221" i="59"/>
  <c r="HV203" i="59"/>
  <c r="EC165" i="59"/>
  <c r="DH201" i="59"/>
  <c r="EF191" i="59"/>
  <c r="GF225" i="59"/>
  <c r="FX212" i="59"/>
  <c r="DT195" i="59"/>
  <c r="EZ175" i="59"/>
  <c r="EL208" i="59"/>
  <c r="T184" i="59"/>
  <c r="ID175" i="59"/>
  <c r="EN177" i="59"/>
  <c r="EO203" i="59"/>
  <c r="BY206" i="59"/>
  <c r="CR208" i="59"/>
  <c r="EA227" i="59"/>
  <c r="FG216" i="59"/>
  <c r="CL221" i="59"/>
  <c r="EI164" i="59"/>
  <c r="HO175" i="59"/>
  <c r="DR182" i="59"/>
  <c r="GI205" i="59"/>
  <c r="FB216" i="59"/>
  <c r="F180" i="59"/>
  <c r="GS214" i="59"/>
  <c r="GP227" i="59"/>
  <c r="CB195" i="59"/>
  <c r="DN182" i="59"/>
  <c r="DE227" i="59"/>
  <c r="IA216" i="59"/>
  <c r="CX188" i="59"/>
  <c r="HL164" i="59"/>
  <c r="R193" i="59"/>
  <c r="EQ223" i="59"/>
  <c r="BJ187" i="59"/>
  <c r="BE204" i="59"/>
  <c r="HC227" i="59"/>
  <c r="N180" i="59"/>
  <c r="AX169" i="59"/>
  <c r="AG219" i="59"/>
  <c r="U180" i="59"/>
  <c r="FT199" i="59"/>
  <c r="F172" i="59"/>
  <c r="EW166" i="59"/>
  <c r="AB167" i="59"/>
  <c r="IF195" i="59"/>
  <c r="AP169" i="59"/>
  <c r="HB182" i="59"/>
  <c r="FC197" i="59"/>
  <c r="EH173" i="59"/>
  <c r="DB195" i="59"/>
  <c r="HI201" i="59"/>
  <c r="BH199" i="59"/>
  <c r="EQ190" i="59"/>
  <c r="AX173" i="59"/>
  <c r="CX215" i="59"/>
  <c r="FA225" i="59"/>
  <c r="BV195" i="59"/>
  <c r="DZ203" i="59"/>
  <c r="O167" i="59"/>
  <c r="GA186" i="59"/>
  <c r="IH190" i="59"/>
  <c r="HM194" i="59"/>
  <c r="DY173" i="59"/>
  <c r="GS227" i="59"/>
  <c r="AN178" i="59"/>
  <c r="AH165" i="59"/>
  <c r="FA217" i="59"/>
  <c r="Q198" i="59"/>
  <c r="J165" i="59"/>
  <c r="HK177" i="59"/>
  <c r="CS176" i="59"/>
  <c r="DF219" i="59"/>
  <c r="GF173" i="59"/>
  <c r="Z206" i="59"/>
  <c r="IQ184" i="59"/>
  <c r="HH194" i="59"/>
  <c r="EV166" i="59"/>
  <c r="BV182" i="59"/>
  <c r="HR199" i="59"/>
  <c r="IO197" i="59"/>
  <c r="GH206" i="59"/>
  <c r="AH206" i="59"/>
  <c r="IU171" i="59"/>
  <c r="AR174" i="59"/>
  <c r="GO173" i="59"/>
  <c r="GD193" i="59"/>
  <c r="IT221" i="59"/>
  <c r="EJ208" i="59"/>
  <c r="IF194" i="59"/>
  <c r="DT182" i="59"/>
  <c r="IP188" i="59"/>
  <c r="GE205" i="59"/>
  <c r="AE198" i="59"/>
  <c r="IA188" i="59"/>
  <c r="HG194" i="59"/>
  <c r="EI173" i="59"/>
  <c r="DH223" i="59"/>
  <c r="IM221" i="59"/>
  <c r="BN167" i="59"/>
  <c r="ET186" i="59"/>
  <c r="DR227" i="59"/>
  <c r="IT197" i="59"/>
  <c r="AW212" i="59"/>
  <c r="EG223" i="59"/>
  <c r="EF164" i="59"/>
  <c r="DC171" i="59"/>
  <c r="G210" i="59"/>
  <c r="AA169" i="59"/>
  <c r="FR206" i="59"/>
  <c r="CR189" i="59"/>
  <c r="CA167" i="59"/>
  <c r="CN219" i="59"/>
  <c r="CT188" i="59"/>
  <c r="IS170" i="59"/>
  <c r="GX225" i="59"/>
  <c r="CK195" i="59"/>
  <c r="FU214" i="59"/>
  <c r="IS171" i="59"/>
  <c r="FZ167" i="59"/>
  <c r="EJ199" i="59"/>
  <c r="HA218" i="59"/>
  <c r="AU182" i="59"/>
  <c r="AE210" i="59"/>
  <c r="II183" i="59"/>
  <c r="CN206" i="59"/>
  <c r="FA212" i="59"/>
  <c r="HG212" i="59"/>
  <c r="EY225" i="59"/>
  <c r="BK212" i="59"/>
  <c r="GV201" i="59"/>
  <c r="EU212" i="59"/>
  <c r="BO193" i="59"/>
  <c r="AG186" i="59"/>
  <c r="GH205" i="59"/>
  <c r="BP221" i="59"/>
  <c r="W180" i="59"/>
  <c r="AM210" i="59"/>
  <c r="W224" i="59"/>
  <c r="FF199" i="59"/>
  <c r="GM175" i="59"/>
  <c r="IH201" i="59"/>
  <c r="L167" i="59"/>
  <c r="EJ195" i="59"/>
  <c r="HY216" i="59"/>
  <c r="CM214" i="59"/>
  <c r="FG186" i="59"/>
  <c r="BE169" i="59"/>
  <c r="CV228" i="59"/>
  <c r="CF197" i="59"/>
  <c r="HA169" i="59"/>
  <c r="AQ223" i="59"/>
  <c r="EU217" i="59"/>
  <c r="ER177" i="59"/>
  <c r="IJ216" i="59"/>
  <c r="FR166" i="59"/>
  <c r="DF210" i="59"/>
  <c r="CZ175" i="59"/>
  <c r="EY204" i="59"/>
  <c r="GS188" i="59"/>
  <c r="T211" i="59"/>
  <c r="BI199" i="59"/>
  <c r="EC195" i="59"/>
  <c r="GW227" i="59"/>
  <c r="FT212" i="59"/>
  <c r="GM169" i="59"/>
  <c r="BC221" i="59"/>
  <c r="FP205" i="59"/>
  <c r="FI216" i="59"/>
  <c r="BX226" i="59"/>
  <c r="CZ202" i="59"/>
  <c r="Y224" i="59"/>
  <c r="FK216" i="59"/>
  <c r="GL192" i="59"/>
  <c r="CR175" i="59"/>
  <c r="HU175" i="59"/>
  <c r="N210" i="59"/>
  <c r="DC189" i="59"/>
  <c r="DI171" i="59"/>
  <c r="EA197" i="59"/>
  <c r="DW197" i="59"/>
  <c r="FR205" i="59"/>
  <c r="FE204" i="59"/>
  <c r="FT205" i="59"/>
  <c r="HO181" i="59"/>
  <c r="BJ217" i="59"/>
  <c r="BC199" i="59"/>
  <c r="IC220" i="59"/>
  <c r="CZ197" i="59"/>
  <c r="HC164" i="59"/>
  <c r="BI217" i="59"/>
  <c r="DM223" i="59"/>
  <c r="BR208" i="59"/>
  <c r="CY227" i="59"/>
  <c r="DP164" i="59"/>
  <c r="BM226" i="59"/>
  <c r="GA206" i="59"/>
  <c r="HP175" i="59"/>
  <c r="ER204" i="59"/>
  <c r="HQ194" i="59"/>
  <c r="DY197" i="59"/>
  <c r="IS214" i="59"/>
  <c r="BS195" i="59"/>
  <c r="DK197" i="59"/>
  <c r="AD198" i="59"/>
  <c r="EG190" i="59"/>
  <c r="IK183" i="59"/>
  <c r="HC168" i="59"/>
  <c r="BF182" i="59"/>
  <c r="AF223" i="59"/>
  <c r="IC207" i="59"/>
  <c r="IQ190" i="59"/>
  <c r="N224" i="59"/>
  <c r="EM216" i="59"/>
  <c r="DW228" i="59"/>
  <c r="HL227" i="59"/>
  <c r="GE186" i="59"/>
  <c r="ED223" i="59"/>
  <c r="GL175" i="59"/>
  <c r="FW192" i="59"/>
  <c r="AG223" i="59"/>
  <c r="FU192" i="59"/>
  <c r="HZ203" i="59"/>
  <c r="EL186" i="59"/>
  <c r="BE182" i="59"/>
  <c r="AV182" i="59"/>
  <c r="G171" i="59"/>
  <c r="BD200" i="59"/>
  <c r="IV216" i="59"/>
  <c r="R217" i="59"/>
  <c r="AI206" i="59"/>
  <c r="GL186" i="59"/>
  <c r="EQ204" i="59"/>
  <c r="CV206" i="59"/>
  <c r="AP186" i="59"/>
  <c r="HN207" i="59"/>
  <c r="EF223" i="59"/>
  <c r="HI225" i="59"/>
  <c r="AR191" i="59"/>
  <c r="FA167" i="59"/>
  <c r="HE164" i="59"/>
  <c r="EJ164" i="59"/>
  <c r="HB214" i="59"/>
  <c r="X178" i="59"/>
  <c r="EH186" i="59"/>
  <c r="BF173" i="59"/>
  <c r="GZ218" i="59"/>
  <c r="BY195" i="59"/>
  <c r="V180" i="59"/>
  <c r="FY175" i="59"/>
  <c r="DG188" i="59"/>
  <c r="IE190" i="59"/>
  <c r="HQ220" i="59"/>
  <c r="Y198" i="59"/>
  <c r="CF180" i="59"/>
  <c r="DE197" i="59"/>
  <c r="CV201" i="59"/>
  <c r="GP192" i="59"/>
  <c r="AX206" i="59"/>
  <c r="FF173" i="59"/>
  <c r="AN173" i="59"/>
  <c r="IJ220" i="59"/>
  <c r="IV210" i="59"/>
  <c r="IJ177" i="59"/>
  <c r="HP212" i="59"/>
  <c r="DN177" i="59"/>
  <c r="HZ181" i="59"/>
  <c r="FK167" i="59"/>
  <c r="AE197" i="59"/>
  <c r="IL177" i="59"/>
  <c r="EO216" i="59"/>
  <c r="BT199" i="59"/>
  <c r="AP187" i="59"/>
  <c r="DA171" i="59"/>
  <c r="BO208" i="59"/>
  <c r="DK214" i="59"/>
  <c r="EC221" i="59"/>
  <c r="HJ199" i="59"/>
  <c r="FN175" i="59"/>
  <c r="GN218" i="59"/>
  <c r="BE200" i="59"/>
  <c r="FW166" i="59"/>
  <c r="GR227" i="59"/>
  <c r="GK168" i="59"/>
  <c r="CB221" i="59"/>
  <c r="L193" i="59"/>
  <c r="FG223" i="59"/>
  <c r="BS175" i="59"/>
  <c r="CZ188" i="59"/>
  <c r="BJ186" i="59"/>
  <c r="GJ205" i="59"/>
  <c r="BQ208" i="59"/>
  <c r="HM181" i="59"/>
  <c r="DY177" i="59"/>
  <c r="HE201" i="59"/>
  <c r="AU169" i="59"/>
  <c r="GD179" i="59"/>
  <c r="AI159" i="59"/>
  <c r="IP196" i="59"/>
  <c r="IN166" i="59"/>
  <c r="GH192" i="59"/>
  <c r="CB176" i="59"/>
  <c r="GY164" i="59"/>
  <c r="DR164" i="59"/>
  <c r="CX189" i="59"/>
  <c r="GQ205" i="59"/>
  <c r="CE171" i="59"/>
  <c r="BG212" i="59"/>
  <c r="EI203" i="59"/>
  <c r="BJ199" i="59"/>
  <c r="AK174" i="59"/>
  <c r="FA186" i="59"/>
  <c r="O180" i="59"/>
  <c r="L210" i="59"/>
  <c r="J184" i="59"/>
  <c r="HF207" i="59"/>
  <c r="EC177" i="59"/>
  <c r="IM220" i="59"/>
  <c r="EO186" i="59"/>
  <c r="GC201" i="59"/>
  <c r="IV179" i="59"/>
  <c r="HX194" i="59"/>
  <c r="CJ201" i="59"/>
  <c r="HW190" i="59"/>
  <c r="AO217" i="59"/>
  <c r="DV227" i="59"/>
  <c r="DN184" i="59"/>
  <c r="GQ206" i="59"/>
  <c r="EU197" i="59"/>
  <c r="R211" i="59"/>
  <c r="BU221" i="59"/>
  <c r="CN221" i="59"/>
  <c r="EO177" i="59"/>
  <c r="BD212" i="59"/>
  <c r="BF204" i="59"/>
  <c r="IM190" i="59"/>
  <c r="FZ188" i="59"/>
  <c r="AQ186" i="59"/>
  <c r="BE219" i="59"/>
  <c r="BM208" i="59"/>
  <c r="FX219" i="59"/>
  <c r="FF186" i="59"/>
  <c r="FL171" i="59"/>
  <c r="K167" i="59"/>
  <c r="EO191" i="59"/>
  <c r="ED173" i="59"/>
  <c r="CX227" i="59"/>
  <c r="FS219" i="59"/>
  <c r="CT201" i="59"/>
  <c r="GB201" i="59"/>
  <c r="IN203" i="59"/>
  <c r="GP168" i="59"/>
  <c r="DO184" i="59"/>
  <c r="U167" i="59"/>
  <c r="DR195" i="59"/>
  <c r="L217" i="59"/>
  <c r="X184" i="59"/>
  <c r="CD182" i="59"/>
  <c r="IM203" i="59"/>
  <c r="BE212" i="59"/>
  <c r="DW182" i="59"/>
  <c r="BL226" i="59"/>
  <c r="BR180" i="59"/>
  <c r="AK186" i="59"/>
  <c r="HC188" i="59"/>
  <c r="GC210" i="59"/>
  <c r="IC194" i="59"/>
  <c r="FH186" i="59"/>
  <c r="CO219" i="59"/>
  <c r="AH180" i="59"/>
  <c r="W193" i="59"/>
  <c r="HA227" i="59"/>
  <c r="EH210" i="59"/>
  <c r="AY212" i="59"/>
  <c r="HG182" i="59"/>
  <c r="K171" i="59"/>
  <c r="DL171" i="59"/>
  <c r="IC190" i="59"/>
  <c r="CV176" i="59"/>
  <c r="FY210" i="59"/>
  <c r="CH225" i="59"/>
  <c r="CW189" i="59"/>
  <c r="CG171" i="59"/>
  <c r="EY210" i="59"/>
  <c r="CE188" i="59"/>
  <c r="AR193" i="59"/>
  <c r="DJ178" i="59"/>
  <c r="FY225" i="59"/>
  <c r="HA182" i="59"/>
  <c r="HE199" i="59"/>
  <c r="W223" i="59"/>
  <c r="AO219" i="59"/>
  <c r="BU212" i="59"/>
  <c r="GL205" i="59"/>
  <c r="ES190" i="59"/>
  <c r="BG167" i="59"/>
  <c r="IQ170" i="59"/>
  <c r="EK225" i="59"/>
  <c r="I165" i="59"/>
  <c r="ER186" i="59"/>
  <c r="HL207" i="59"/>
  <c r="HU203" i="59"/>
  <c r="BY188" i="59"/>
  <c r="AF217" i="59"/>
  <c r="BV221" i="59"/>
  <c r="BT225" i="59"/>
  <c r="IG220" i="59"/>
  <c r="EN223" i="59"/>
  <c r="Y178" i="59"/>
  <c r="ED212" i="59"/>
  <c r="CC221" i="59"/>
  <c r="DL169" i="59"/>
  <c r="HP227" i="59"/>
  <c r="CK201" i="59"/>
  <c r="FV175" i="59"/>
  <c r="IS196" i="59"/>
  <c r="DT210" i="59"/>
  <c r="W191" i="59"/>
  <c r="IP166" i="59"/>
  <c r="GM205" i="59"/>
  <c r="HP168" i="59"/>
  <c r="AV206" i="59"/>
  <c r="AS169" i="59"/>
  <c r="HF177" i="59"/>
  <c r="IS183" i="59"/>
  <c r="GL218" i="59"/>
  <c r="GK201" i="59"/>
  <c r="CJ195" i="59"/>
  <c r="FS192" i="59"/>
  <c r="AO204" i="59"/>
  <c r="GO175" i="59"/>
  <c r="AG167" i="59"/>
  <c r="GG180" i="59"/>
  <c r="AL180" i="59"/>
  <c r="GB205" i="59"/>
  <c r="DU190" i="59"/>
  <c r="Q211" i="59"/>
  <c r="FA179" i="59"/>
  <c r="AQ206" i="59"/>
  <c r="AH219" i="59"/>
  <c r="BR171" i="59"/>
  <c r="AK159" i="59"/>
  <c r="AK180" i="59"/>
  <c r="HE168" i="59"/>
  <c r="DB164" i="59"/>
  <c r="BV175" i="59"/>
  <c r="CL214" i="59"/>
  <c r="DP223" i="59"/>
  <c r="GA218" i="59"/>
  <c r="DM164" i="59"/>
  <c r="DQ164" i="59"/>
  <c r="CE212" i="59"/>
  <c r="AS193" i="59"/>
  <c r="DN221" i="59"/>
  <c r="IG203" i="59"/>
  <c r="DH197" i="59"/>
  <c r="IA170" i="59"/>
  <c r="HU225" i="59"/>
  <c r="CO214" i="59"/>
  <c r="AT173" i="59"/>
  <c r="GV181" i="59"/>
  <c r="X180" i="59"/>
  <c r="HF212" i="59"/>
  <c r="DG184" i="59"/>
  <c r="GX218" i="59"/>
  <c r="AY217" i="59"/>
  <c r="AV173" i="59"/>
  <c r="DS184" i="59"/>
  <c r="GY225" i="59"/>
  <c r="CO184" i="59"/>
  <c r="BN186" i="59"/>
  <c r="AQ219" i="59"/>
  <c r="N197" i="59"/>
  <c r="ED203" i="59"/>
  <c r="CM184" i="59"/>
  <c r="AJ219" i="59"/>
  <c r="HP214" i="59"/>
  <c r="HI182" i="59"/>
  <c r="BR195" i="59"/>
  <c r="BD173" i="59"/>
  <c r="IM177" i="59"/>
  <c r="GN173" i="59"/>
  <c r="BE180" i="59"/>
  <c r="W197" i="59"/>
  <c r="BC195" i="59"/>
  <c r="GD219" i="59"/>
  <c r="CA213" i="59"/>
  <c r="HJ164" i="59"/>
  <c r="BP182" i="59"/>
  <c r="CC195" i="59"/>
  <c r="BS208" i="59"/>
  <c r="IU196" i="59"/>
  <c r="FC203" i="59"/>
  <c r="HN227" i="59"/>
  <c r="GF206" i="59"/>
  <c r="EW197" i="59"/>
  <c r="EC171" i="59"/>
  <c r="HL194" i="59"/>
  <c r="BR175" i="59"/>
  <c r="FY188" i="59"/>
  <c r="BQ176" i="59"/>
  <c r="AF167" i="59"/>
  <c r="EM173" i="59"/>
  <c r="HA186" i="59"/>
  <c r="HJ181" i="59"/>
  <c r="BD217" i="59"/>
  <c r="HI186" i="59"/>
  <c r="HD212" i="59"/>
  <c r="GY218" i="59"/>
  <c r="HI227" i="59"/>
  <c r="DN171" i="59"/>
  <c r="GB225" i="59"/>
  <c r="BR199" i="59"/>
  <c r="GI218" i="59"/>
  <c r="FS206" i="59"/>
  <c r="GV195" i="59"/>
  <c r="HX203" i="59"/>
  <c r="FJ192" i="59"/>
  <c r="S184" i="59"/>
  <c r="HU227" i="59"/>
  <c r="GG218" i="59"/>
  <c r="AU223" i="59"/>
  <c r="GY188" i="59"/>
  <c r="DB210" i="59"/>
  <c r="Z167" i="59"/>
  <c r="F171" i="59"/>
  <c r="HM177" i="59"/>
  <c r="FK186" i="59"/>
  <c r="Y197" i="59"/>
  <c r="AT219" i="59"/>
  <c r="CT221" i="59"/>
  <c r="CO171" i="59"/>
  <c r="HY207" i="59"/>
  <c r="CE201" i="59"/>
  <c r="BC174" i="59"/>
  <c r="IQ166" i="59"/>
  <c r="GS181" i="59"/>
  <c r="BX225" i="59"/>
  <c r="V184" i="59"/>
  <c r="EY199" i="59"/>
  <c r="U206" i="59"/>
  <c r="GE225" i="59"/>
  <c r="GC206" i="59"/>
  <c r="GP181" i="59"/>
  <c r="DL197" i="59"/>
  <c r="GN192" i="59"/>
  <c r="CU171" i="59"/>
  <c r="DU169" i="59"/>
  <c r="AL173" i="59"/>
  <c r="CC219" i="59"/>
  <c r="FP180" i="59"/>
  <c r="AL174" i="59"/>
  <c r="IU203" i="59"/>
  <c r="FC199" i="59"/>
  <c r="EF216" i="59"/>
  <c r="DG201" i="59"/>
  <c r="R215" i="59"/>
  <c r="FL192" i="59"/>
  <c r="CG175" i="59"/>
  <c r="IB194" i="59"/>
  <c r="EW186" i="59"/>
  <c r="AF193" i="59"/>
  <c r="AN193" i="59"/>
  <c r="BY212" i="59"/>
  <c r="AY173" i="59"/>
  <c r="BM169" i="59"/>
  <c r="HM212" i="59"/>
  <c r="AC219" i="59"/>
  <c r="DH215" i="59"/>
  <c r="HX227" i="59"/>
  <c r="EI217" i="59"/>
  <c r="IT216" i="59"/>
  <c r="CF221" i="59"/>
  <c r="HJ227" i="59"/>
  <c r="ET216" i="59"/>
  <c r="HT203" i="59"/>
  <c r="DO210" i="59"/>
  <c r="IR190" i="59"/>
  <c r="AD223" i="59"/>
  <c r="HT195" i="59"/>
  <c r="IA166" i="59"/>
  <c r="FY205" i="59"/>
  <c r="DT169" i="59"/>
  <c r="GF188" i="59"/>
  <c r="CC208" i="59"/>
  <c r="F185" i="59"/>
  <c r="CL195" i="59"/>
  <c r="IS175" i="59"/>
  <c r="IU170" i="59"/>
  <c r="GB218" i="59"/>
  <c r="AY186" i="59"/>
  <c r="CR201" i="59"/>
  <c r="CI201" i="59"/>
  <c r="BU225" i="59"/>
  <c r="DP190" i="59"/>
  <c r="CS184" i="59"/>
  <c r="EB197" i="59"/>
  <c r="S228" i="59"/>
  <c r="CY214" i="59"/>
  <c r="BU180" i="59"/>
  <c r="HW188" i="59"/>
  <c r="DL201" i="59"/>
  <c r="EJ210" i="59"/>
  <c r="DF214" i="59"/>
  <c r="FC186" i="59"/>
  <c r="AM173" i="59"/>
  <c r="BV193" i="59"/>
  <c r="CH195" i="59"/>
  <c r="BM212" i="59"/>
  <c r="EH190" i="59"/>
  <c r="IG216" i="59"/>
  <c r="EP223" i="59"/>
  <c r="DK169" i="59"/>
  <c r="EZ173" i="59"/>
  <c r="W167" i="59"/>
  <c r="CD195" i="59"/>
  <c r="AC193" i="59"/>
  <c r="CH226" i="59"/>
  <c r="HC212" i="59"/>
  <c r="AE224" i="59"/>
  <c r="IE221" i="59"/>
  <c r="R206" i="59"/>
  <c r="FB179" i="59"/>
  <c r="EU186" i="59"/>
  <c r="BI208" i="59"/>
  <c r="O210" i="59"/>
  <c r="IQ203" i="59"/>
  <c r="CS214" i="59"/>
  <c r="EB227" i="59"/>
  <c r="CJ175" i="59"/>
  <c r="AZ173" i="59"/>
  <c r="HP220" i="59"/>
  <c r="CN201" i="59"/>
  <c r="FP199" i="59"/>
  <c r="EN191" i="59"/>
  <c r="DF188" i="59"/>
  <c r="EO173" i="59"/>
  <c r="IL190" i="59"/>
  <c r="ES199" i="59"/>
  <c r="IH179" i="59"/>
  <c r="FA210" i="59"/>
  <c r="FC212" i="59"/>
  <c r="HZ194" i="59"/>
  <c r="HC186" i="59"/>
  <c r="IB216" i="59"/>
  <c r="AD173" i="59"/>
  <c r="IU164" i="59"/>
  <c r="DF195" i="59"/>
  <c r="DX223" i="59"/>
  <c r="DG171" i="59"/>
  <c r="FX205" i="59"/>
  <c r="HP207" i="59"/>
  <c r="HQ207" i="59"/>
  <c r="GK214" i="59"/>
  <c r="AA174" i="59"/>
  <c r="BT195" i="59"/>
  <c r="U193" i="59"/>
  <c r="DL227" i="59"/>
  <c r="AO199" i="59"/>
  <c r="P171" i="59"/>
  <c r="FI166" i="59"/>
  <c r="BO199" i="59"/>
  <c r="BZ175" i="59"/>
  <c r="M159" i="59"/>
  <c r="GE210" i="59"/>
  <c r="CB193" i="59"/>
  <c r="HN177" i="59"/>
  <c r="CI221" i="59"/>
  <c r="AU173" i="59"/>
  <c r="HR168" i="59"/>
  <c r="GC205" i="59"/>
  <c r="GL168" i="59"/>
  <c r="IF220" i="59"/>
  <c r="HQ214" i="59"/>
  <c r="R210" i="59"/>
  <c r="DY203" i="59"/>
  <c r="BL169" i="59"/>
  <c r="Q215" i="59"/>
  <c r="FE186" i="59"/>
  <c r="DP197" i="59"/>
  <c r="T223" i="59"/>
  <c r="BH173" i="59"/>
  <c r="DH214" i="59"/>
  <c r="AL210" i="59"/>
  <c r="EI216" i="59"/>
  <c r="HK207" i="59"/>
  <c r="HA201" i="59"/>
  <c r="FS166" i="59"/>
  <c r="CF226" i="59"/>
  <c r="EN186" i="59"/>
  <c r="FT188" i="59"/>
  <c r="IU179" i="59"/>
  <c r="AJ178" i="59"/>
  <c r="CJ208" i="59"/>
  <c r="HN220" i="59"/>
  <c r="FO205" i="59"/>
  <c r="FS223" i="59"/>
  <c r="AL186" i="59"/>
  <c r="FX197" i="59"/>
  <c r="HR227" i="59"/>
  <c r="HL214" i="59"/>
  <c r="GK218" i="59"/>
  <c r="BX175" i="59"/>
  <c r="EQ186" i="59"/>
  <c r="BP200" i="59"/>
  <c r="FX210" i="59"/>
  <c r="DT164" i="59"/>
  <c r="U211" i="59"/>
  <c r="HR190" i="59"/>
  <c r="BJ169" i="59"/>
  <c r="IC216" i="59"/>
  <c r="BC182" i="59"/>
  <c r="AA193" i="59"/>
  <c r="FB203" i="59"/>
  <c r="EC164" i="59"/>
  <c r="GY214" i="59"/>
  <c r="IK216" i="59"/>
  <c r="IH207" i="59"/>
  <c r="IS216" i="59"/>
  <c r="IK208" i="59"/>
  <c r="H198" i="59"/>
  <c r="IH183" i="59"/>
  <c r="FH225" i="59"/>
  <c r="V197" i="59"/>
  <c r="HA181" i="59"/>
  <c r="CY197" i="59"/>
  <c r="AE219" i="59"/>
  <c r="CK208" i="59"/>
  <c r="GA167" i="59"/>
  <c r="ID170" i="59"/>
  <c r="BN182" i="59"/>
  <c r="FD216" i="59"/>
  <c r="DO164" i="59"/>
  <c r="EE190" i="59"/>
  <c r="BD219" i="59"/>
  <c r="EC223" i="59"/>
  <c r="DJ197" i="59"/>
  <c r="BO195" i="59"/>
  <c r="DH169" i="59"/>
  <c r="AC173" i="59"/>
  <c r="GW221" i="59"/>
  <c r="IH177" i="59"/>
  <c r="GI168" i="59"/>
  <c r="FC179" i="59"/>
  <c r="BG199" i="59"/>
  <c r="O160" i="59"/>
  <c r="BM225" i="59"/>
  <c r="GI175" i="59"/>
  <c r="BX169" i="59"/>
  <c r="ES212" i="59"/>
  <c r="HL220" i="59"/>
  <c r="CJ171" i="59"/>
  <c r="EX190" i="59"/>
  <c r="FJ199" i="59"/>
  <c r="DU177" i="59"/>
  <c r="BG200" i="59"/>
  <c r="FB199" i="59"/>
  <c r="AW182" i="59"/>
  <c r="CV197" i="59"/>
  <c r="IL207" i="59"/>
  <c r="EI186" i="59"/>
  <c r="EU216" i="59"/>
  <c r="GZ201" i="59"/>
  <c r="IL216" i="59"/>
  <c r="FF193" i="59"/>
  <c r="IF207" i="59"/>
  <c r="IU183" i="59"/>
  <c r="GV206" i="59"/>
  <c r="DD164" i="59"/>
  <c r="CT175" i="59"/>
  <c r="BA167" i="59"/>
  <c r="DD184" i="59"/>
  <c r="BI219" i="59"/>
  <c r="AL193" i="59"/>
  <c r="BD169" i="59"/>
  <c r="HM190" i="59"/>
  <c r="CY202" i="59"/>
  <c r="HG181" i="59"/>
  <c r="IR203" i="59"/>
  <c r="AU199" i="59"/>
  <c r="AE193" i="59"/>
  <c r="T167" i="59"/>
  <c r="ID220" i="59"/>
  <c r="BO186" i="59"/>
  <c r="AH182" i="59"/>
  <c r="J171" i="59"/>
  <c r="DP169" i="59"/>
  <c r="AD197" i="59"/>
  <c r="IK190" i="59"/>
  <c r="HG227" i="59"/>
  <c r="FO212" i="59"/>
  <c r="GT168" i="59"/>
  <c r="HS190" i="59"/>
  <c r="HG225" i="59"/>
  <c r="II177" i="59"/>
  <c r="DD227" i="59"/>
  <c r="FW225" i="59"/>
  <c r="J204" i="59"/>
  <c r="HY220" i="59"/>
  <c r="R180" i="59"/>
  <c r="HO225" i="59"/>
  <c r="DH227" i="59"/>
  <c r="M178" i="59"/>
  <c r="IE207" i="59"/>
  <c r="AK210" i="59"/>
  <c r="EP216" i="59"/>
  <c r="FV166" i="59"/>
  <c r="HY190" i="59"/>
  <c r="CL225" i="59"/>
  <c r="FY179" i="59"/>
  <c r="DU223" i="59"/>
  <c r="HA168" i="59"/>
  <c r="FQ192" i="59"/>
  <c r="DG227" i="59"/>
  <c r="EN216" i="59"/>
  <c r="CT214" i="59"/>
  <c r="AU219" i="59"/>
  <c r="ET204" i="59"/>
  <c r="N167" i="59"/>
  <c r="N193" i="59"/>
  <c r="GV214" i="59"/>
  <c r="BX215" i="59"/>
  <c r="FE225" i="59"/>
  <c r="Y223" i="59"/>
  <c r="EZ225" i="59"/>
  <c r="BS221" i="59"/>
  <c r="BX182" i="59"/>
  <c r="BP169" i="59"/>
  <c r="DN197" i="59"/>
  <c r="DA227" i="59"/>
  <c r="FZ212" i="59"/>
  <c r="EQ173" i="59"/>
  <c r="AD228" i="59"/>
  <c r="BB225" i="59"/>
  <c r="J197" i="59"/>
  <c r="HD194" i="59"/>
  <c r="DX164" i="59"/>
  <c r="BI186" i="59"/>
  <c r="FB184" i="59"/>
  <c r="HO220" i="59"/>
  <c r="K172" i="59"/>
  <c r="GA175" i="59"/>
  <c r="AO193" i="59"/>
  <c r="GL201" i="59"/>
  <c r="G180" i="59"/>
  <c r="HD188" i="59"/>
  <c r="GW188" i="59"/>
  <c r="IJ201" i="59"/>
  <c r="AJ210" i="59"/>
  <c r="GE206" i="59"/>
  <c r="DX177" i="59"/>
  <c r="R228" i="59"/>
  <c r="GU168" i="59"/>
  <c r="GI199" i="59"/>
  <c r="EM186" i="59"/>
  <c r="AP191" i="59"/>
  <c r="G184" i="59"/>
  <c r="DK215" i="59"/>
  <c r="IO196" i="59"/>
  <c r="HK190" i="59"/>
  <c r="CU184" i="59"/>
  <c r="EV216" i="59"/>
  <c r="CF201" i="59"/>
  <c r="EZ204" i="59"/>
  <c r="FM186" i="59"/>
  <c r="FM192" i="59"/>
  <c r="CJ225" i="59"/>
  <c r="GE180" i="59"/>
  <c r="DM210" i="59"/>
  <c r="AN187" i="59"/>
  <c r="IV170" i="59"/>
  <c r="DH184" i="59"/>
  <c r="HZ164" i="59"/>
  <c r="AW173" i="59"/>
  <c r="GW205" i="59"/>
  <c r="EW190" i="59"/>
  <c r="GE179" i="59"/>
  <c r="BV212" i="59"/>
  <c r="CW227" i="59"/>
  <c r="FU218" i="59"/>
  <c r="BL212" i="59"/>
  <c r="CZ171" i="59"/>
  <c r="HA194" i="59"/>
  <c r="CA193" i="59"/>
  <c r="DU228" i="59"/>
  <c r="EU221" i="59"/>
  <c r="J210" i="59"/>
  <c r="K180" i="59"/>
  <c r="FM225" i="59"/>
  <c r="M193" i="59"/>
  <c r="AH186" i="59"/>
  <c r="FV179" i="59"/>
  <c r="AR199" i="59"/>
  <c r="BW167" i="59"/>
  <c r="HL190" i="59"/>
  <c r="IO170" i="59"/>
  <c r="GU182" i="59"/>
  <c r="AR219" i="59"/>
  <c r="EB177" i="59"/>
  <c r="X159" i="59"/>
  <c r="CZ195" i="59"/>
  <c r="CY201" i="59"/>
  <c r="AR217" i="59"/>
  <c r="AX186" i="59"/>
  <c r="CY221" i="59"/>
  <c r="FN201" i="59"/>
  <c r="FN192" i="59"/>
  <c r="FK192" i="59"/>
  <c r="GM188" i="59"/>
  <c r="HU177" i="59"/>
  <c r="AP204" i="59"/>
  <c r="EY216" i="59"/>
  <c r="HK201" i="59"/>
  <c r="HS195" i="59"/>
  <c r="HI208" i="59"/>
  <c r="CP208" i="59"/>
  <c r="EA190" i="59"/>
  <c r="Y185" i="59"/>
  <c r="CU221" i="59"/>
  <c r="DA175" i="59"/>
  <c r="GY168" i="59"/>
  <c r="DN208" i="59"/>
  <c r="IM207" i="59"/>
  <c r="BF219" i="59"/>
  <c r="HI177" i="59"/>
  <c r="AY182" i="59"/>
  <c r="BH195" i="59"/>
  <c r="HO164" i="59"/>
  <c r="L184" i="59"/>
  <c r="DD214" i="59"/>
  <c r="IB170" i="59"/>
  <c r="IP220" i="59"/>
  <c r="DT223" i="59"/>
  <c r="FY223" i="59"/>
  <c r="EK190" i="59"/>
  <c r="HD164" i="59"/>
  <c r="BA219" i="59"/>
  <c r="FK212" i="59"/>
  <c r="HH195" i="59"/>
  <c r="HT181" i="59"/>
  <c r="DG164" i="59"/>
  <c r="GH225" i="59"/>
  <c r="EX199" i="59"/>
  <c r="BR221" i="59"/>
  <c r="DX190" i="59"/>
  <c r="DY190" i="59"/>
  <c r="DZ210" i="59"/>
  <c r="BN199" i="59"/>
  <c r="FM175" i="59"/>
  <c r="FO166" i="59"/>
  <c r="DS165" i="59"/>
  <c r="HQ164" i="59"/>
  <c r="GM214" i="59"/>
  <c r="GW175" i="59"/>
  <c r="EZ212" i="59"/>
  <c r="AU193" i="59"/>
  <c r="GR218" i="59"/>
  <c r="X223" i="59"/>
  <c r="EP186" i="59"/>
  <c r="DT184" i="59"/>
  <c r="BB191" i="59"/>
  <c r="BZ212" i="59"/>
  <c r="HN195" i="59"/>
  <c r="BP208" i="59"/>
  <c r="L180" i="59"/>
  <c r="CK221" i="59"/>
  <c r="GV173" i="59"/>
  <c r="EA210" i="59"/>
  <c r="GH188" i="59"/>
  <c r="GC192" i="59"/>
  <c r="K198" i="59"/>
  <c r="BG225" i="59"/>
  <c r="DB227" i="59"/>
  <c r="IR196" i="59"/>
  <c r="HP194" i="59"/>
  <c r="EC173" i="59"/>
  <c r="GK199" i="59"/>
  <c r="FG166" i="59"/>
  <c r="M228" i="59"/>
  <c r="IQ220" i="59"/>
  <c r="DP215" i="59"/>
  <c r="DZ177" i="59"/>
  <c r="CL206" i="59"/>
  <c r="BV225" i="59"/>
  <c r="FT219" i="59"/>
  <c r="EZ166" i="59"/>
  <c r="AN219" i="59"/>
  <c r="BW219" i="59"/>
  <c r="CW201" i="59"/>
  <c r="AH223" i="59"/>
  <c r="FP179" i="59"/>
  <c r="EE210" i="59"/>
  <c r="EO204" i="59"/>
  <c r="EL177" i="59"/>
  <c r="BO225" i="59"/>
  <c r="CQ171" i="59"/>
  <c r="IB203" i="59"/>
  <c r="EM190" i="59"/>
  <c r="HZ177" i="59"/>
  <c r="Z159" i="59"/>
  <c r="DO227" i="59"/>
  <c r="Z160" i="59"/>
  <c r="DJ214" i="59"/>
  <c r="CS171" i="59"/>
  <c r="EC186" i="59"/>
  <c r="IA194" i="59"/>
  <c r="GG179" i="59"/>
  <c r="FZ179" i="59"/>
  <c r="CK215" i="59"/>
  <c r="FD173" i="59"/>
  <c r="EW203" i="59"/>
  <c r="GN193" i="59"/>
  <c r="BZ225" i="59"/>
  <c r="I160" i="59"/>
  <c r="O224" i="59"/>
  <c r="GG188" i="59"/>
  <c r="HY201" i="59"/>
  <c r="BA212" i="59"/>
  <c r="L197" i="59"/>
  <c r="DL223" i="59"/>
  <c r="EE164" i="59"/>
  <c r="DI177" i="59"/>
  <c r="DE210" i="59"/>
  <c r="IP216" i="59"/>
  <c r="GW194" i="59"/>
  <c r="DS210" i="59"/>
  <c r="DU191" i="59"/>
  <c r="DE189" i="59"/>
  <c r="IT175" i="59"/>
  <c r="IC203" i="59"/>
  <c r="CZ221" i="59"/>
  <c r="DR223" i="59"/>
  <c r="HT220" i="59"/>
  <c r="GR201" i="59"/>
  <c r="HJ201" i="59"/>
  <c r="GJ188" i="59"/>
  <c r="IA203" i="59"/>
  <c r="AF219" i="59"/>
  <c r="CN214" i="59"/>
  <c r="HH181" i="59"/>
  <c r="AS354" i="5"/>
  <c r="CB230" i="59"/>
  <c r="Q369" i="5"/>
  <c r="AV233" i="59"/>
  <c r="T164" i="59"/>
  <c r="G354" i="5"/>
  <c r="AP230" i="59"/>
  <c r="J164" i="59"/>
  <c r="I354" i="5"/>
  <c r="AR230" i="59"/>
  <c r="L164" i="59"/>
  <c r="H354" i="5"/>
  <c r="AQ230" i="59"/>
  <c r="K164" i="59"/>
  <c r="D354" i="5"/>
  <c r="AQ19" i="5"/>
  <c r="AT164" i="59"/>
  <c r="I369" i="5"/>
  <c r="AN233" i="59"/>
  <c r="N369" i="5"/>
  <c r="AS233" i="59"/>
  <c r="D369" i="5"/>
  <c r="AI233" i="59"/>
  <c r="E369" i="5"/>
  <c r="AJ233" i="59"/>
  <c r="H369" i="5"/>
  <c r="AM233" i="59"/>
  <c r="K369" i="5"/>
  <c r="AP233" i="59"/>
  <c r="O369" i="5"/>
  <c r="AT233" i="59"/>
  <c r="G369" i="5"/>
  <c r="AL233" i="59"/>
  <c r="P369" i="5"/>
  <c r="AU233" i="59"/>
  <c r="J369" i="5"/>
  <c r="AO233" i="59"/>
  <c r="F369" i="5"/>
  <c r="AK233" i="59"/>
  <c r="L369" i="5"/>
  <c r="AQ233" i="59"/>
  <c r="M369" i="5"/>
  <c r="AR233" i="59"/>
  <c r="R369" i="5"/>
  <c r="AW233" i="59"/>
  <c r="S19" i="5"/>
  <c r="V164" i="59"/>
  <c r="S391" i="5"/>
  <c r="FN237" i="59"/>
  <c r="AC81" i="40"/>
  <c r="IB120" i="59"/>
  <c r="EZ164" i="59"/>
  <c r="BI165" i="59"/>
  <c r="GD164" i="59"/>
  <c r="FZ164" i="59"/>
  <c r="BQ165" i="59"/>
  <c r="BF165" i="59"/>
  <c r="BD165" i="59"/>
  <c r="BB165" i="59"/>
  <c r="CE165" i="59"/>
  <c r="FL164" i="59"/>
  <c r="CB165" i="59"/>
  <c r="BM165" i="59"/>
  <c r="FC164" i="59"/>
  <c r="FH164" i="59"/>
  <c r="FB164" i="59"/>
  <c r="GA164" i="59"/>
  <c r="BH165" i="59"/>
  <c r="CG165" i="59"/>
  <c r="EY164" i="59"/>
  <c r="FW164" i="59"/>
  <c r="FA164" i="59"/>
  <c r="BJ165" i="59"/>
  <c r="GE164" i="59"/>
  <c r="BW165" i="59"/>
  <c r="FX164" i="59"/>
  <c r="FJ164" i="59"/>
  <c r="FQ164" i="59"/>
  <c r="BT165" i="59"/>
  <c r="CF165" i="59"/>
  <c r="BR165" i="59"/>
  <c r="FM164" i="59"/>
  <c r="FK164" i="59"/>
  <c r="BO165" i="59"/>
  <c r="FY164" i="59"/>
  <c r="GC164" i="59"/>
  <c r="FR164" i="59"/>
  <c r="GH164" i="59"/>
  <c r="FT164" i="59"/>
  <c r="CC165" i="59"/>
  <c r="BE165" i="59"/>
  <c r="BC165" i="59"/>
  <c r="FD164" i="59"/>
  <c r="BZ165" i="59"/>
  <c r="CJ165" i="59"/>
  <c r="FF164" i="59"/>
  <c r="FG164" i="59"/>
  <c r="FO164" i="59"/>
  <c r="FV164" i="59"/>
  <c r="CL165" i="59"/>
  <c r="BV165" i="59"/>
  <c r="GG164" i="59"/>
  <c r="BL165" i="59"/>
  <c r="FE164" i="59"/>
  <c r="BG165" i="59"/>
  <c r="FP164" i="59"/>
  <c r="FN164" i="59"/>
  <c r="FI164" i="59"/>
  <c r="CH165" i="59"/>
  <c r="BY165" i="59"/>
  <c r="BN165" i="59"/>
  <c r="BX165" i="59"/>
  <c r="AM230" i="59"/>
  <c r="AQ354" i="5"/>
  <c r="BZ230" i="59"/>
  <c r="L17" i="7"/>
  <c r="FI299" i="59"/>
  <c r="D13" i="41"/>
  <c r="P305" i="59"/>
  <c r="S369" i="5"/>
  <c r="AX233" i="59"/>
  <c r="T19" i="5"/>
  <c r="W164" i="59"/>
  <c r="T391" i="5"/>
  <c r="FO237" i="59"/>
  <c r="AD81" i="40"/>
  <c r="IC120" i="59"/>
  <c r="M17" i="7"/>
  <c r="FJ299" i="59"/>
  <c r="D17" i="7"/>
  <c r="FA299" i="59"/>
  <c r="H7" i="5"/>
  <c r="W162" i="59"/>
  <c r="T369" i="5"/>
  <c r="AY233" i="59"/>
  <c r="U19" i="5"/>
  <c r="X164" i="59"/>
  <c r="U391" i="5"/>
  <c r="FP237" i="59"/>
  <c r="AE81" i="40"/>
  <c r="ID120" i="59"/>
  <c r="D114" i="42"/>
  <c r="FU311" i="59"/>
  <c r="N17" i="7"/>
  <c r="FK299" i="59"/>
  <c r="U369" i="5"/>
  <c r="AZ233" i="59"/>
  <c r="V391" i="5"/>
  <c r="FQ237" i="59"/>
  <c r="V19" i="5"/>
  <c r="Y164" i="59"/>
  <c r="AF81" i="40"/>
  <c r="IE120" i="59"/>
  <c r="O17" i="7"/>
  <c r="FL299" i="59"/>
  <c r="V369" i="5"/>
  <c r="BA233" i="59"/>
  <c r="AG81" i="40"/>
  <c r="IF120" i="59"/>
  <c r="W391" i="5"/>
  <c r="FR237" i="59"/>
  <c r="W19" i="5"/>
  <c r="Z164" i="59"/>
  <c r="P17" i="7"/>
  <c r="FM299" i="59"/>
  <c r="W369" i="5"/>
  <c r="BB233" i="59"/>
  <c r="X19" i="5"/>
  <c r="AA164" i="59"/>
  <c r="X391" i="5"/>
  <c r="FS237" i="59"/>
  <c r="AH81" i="40"/>
  <c r="IG120" i="59"/>
  <c r="X369" i="5"/>
  <c r="BC233" i="59"/>
  <c r="AI81" i="40"/>
  <c r="IH120" i="59"/>
  <c r="Y19" i="5"/>
  <c r="AB164" i="59"/>
  <c r="Y391" i="5"/>
  <c r="FT237" i="59"/>
  <c r="Y369" i="5"/>
  <c r="BD233" i="59"/>
  <c r="Z391" i="5"/>
  <c r="FU237" i="59"/>
  <c r="Z19" i="5"/>
  <c r="AC164" i="59"/>
  <c r="AJ81" i="40"/>
  <c r="II120" i="59"/>
  <c r="Z369" i="5"/>
  <c r="BE233" i="59"/>
  <c r="AA19" i="5"/>
  <c r="AD164" i="59"/>
  <c r="AA391" i="5"/>
  <c r="FV237" i="59"/>
  <c r="AK81" i="40"/>
  <c r="IJ120" i="59"/>
  <c r="AA369" i="5"/>
  <c r="BF233" i="59"/>
  <c r="AB19" i="5"/>
  <c r="AE164" i="59"/>
  <c r="AB391" i="5"/>
  <c r="FW237" i="59"/>
  <c r="AL81" i="40"/>
  <c r="IK120" i="59"/>
  <c r="AB369" i="5"/>
  <c r="BG233" i="59"/>
  <c r="AM81" i="40"/>
  <c r="IL120" i="59"/>
  <c r="AC391" i="5"/>
  <c r="FX237" i="59"/>
  <c r="AC19" i="5"/>
  <c r="AF164" i="59"/>
  <c r="AC369" i="5"/>
  <c r="BH233" i="59"/>
  <c r="AD19" i="5"/>
  <c r="AG164" i="59"/>
  <c r="AD391" i="5"/>
  <c r="FY237" i="59"/>
  <c r="AN81" i="40"/>
  <c r="IM120" i="59"/>
  <c r="AD369" i="5"/>
  <c r="BI233" i="59"/>
  <c r="AE391" i="5"/>
  <c r="FZ237" i="59"/>
  <c r="AE19" i="5"/>
  <c r="AH164" i="59"/>
  <c r="AO81" i="40"/>
  <c r="IN120" i="59"/>
  <c r="AE369" i="5"/>
  <c r="BJ233" i="59"/>
  <c r="AP81" i="40"/>
  <c r="IO120" i="59"/>
  <c r="AF391" i="5"/>
  <c r="GA237" i="59"/>
  <c r="AF19" i="5"/>
  <c r="AI164" i="59"/>
  <c r="AF369" i="5"/>
  <c r="BK233" i="59"/>
  <c r="AG391" i="5"/>
  <c r="GB237" i="59"/>
  <c r="AG19" i="5"/>
  <c r="AJ164" i="59"/>
  <c r="AQ81" i="40"/>
  <c r="IP120" i="59"/>
  <c r="AG369" i="5"/>
  <c r="BL233" i="59"/>
  <c r="AH391" i="5"/>
  <c r="GC237" i="59"/>
  <c r="AH19" i="5"/>
  <c r="AK164" i="59"/>
  <c r="AR81" i="40"/>
  <c r="IQ120" i="59"/>
  <c r="AH369" i="5"/>
  <c r="BM233" i="59"/>
  <c r="AI19" i="5"/>
  <c r="AL164" i="59"/>
  <c r="AI391" i="5"/>
  <c r="GD237" i="59"/>
  <c r="AS81" i="40"/>
  <c r="IR120" i="59"/>
  <c r="AI369" i="5"/>
  <c r="BN233" i="59"/>
  <c r="AJ19" i="5"/>
  <c r="AM164" i="59"/>
  <c r="AJ391" i="5"/>
  <c r="GE237" i="59"/>
  <c r="AT81" i="40"/>
  <c r="IS120" i="59"/>
  <c r="AJ369" i="5"/>
  <c r="BO233" i="59"/>
  <c r="AU81" i="40"/>
  <c r="IT120" i="59"/>
  <c r="AK391" i="5"/>
  <c r="GF237" i="59"/>
  <c r="AK19" i="5"/>
  <c r="AN164" i="59"/>
  <c r="AK369" i="5"/>
  <c r="BP233" i="59"/>
  <c r="AL391" i="5"/>
  <c r="GG237" i="59"/>
  <c r="AL19" i="5"/>
  <c r="AO164" i="59"/>
  <c r="AV81" i="40"/>
  <c r="IU120" i="59"/>
  <c r="AL369" i="5"/>
  <c r="BQ233" i="59"/>
  <c r="AM391" i="5"/>
  <c r="GH237" i="59"/>
  <c r="AM19" i="5"/>
  <c r="AP164" i="59"/>
  <c r="AW81" i="40"/>
  <c r="IV120" i="59"/>
  <c r="AY59" i="40"/>
  <c r="DN116" i="59"/>
  <c r="AY61" i="40"/>
  <c r="HN116" i="59"/>
  <c r="AY55" i="40"/>
  <c r="FE115" i="59"/>
  <c r="AY60" i="40"/>
  <c r="FN116" i="59"/>
  <c r="AY58" i="40"/>
  <c r="BN116" i="59"/>
  <c r="AY62" i="40"/>
  <c r="W117" i="59"/>
  <c r="AY64" i="40"/>
  <c r="DW117" i="59"/>
  <c r="AY63" i="40"/>
  <c r="BW117" i="59"/>
  <c r="AY56" i="40"/>
  <c r="HE115" i="59"/>
  <c r="AY53" i="40"/>
  <c r="BE115" i="59"/>
  <c r="AY65" i="40"/>
  <c r="FW117" i="59"/>
  <c r="AY52" i="40"/>
  <c r="IV114" i="59"/>
  <c r="AY54" i="40"/>
  <c r="DE115" i="59"/>
  <c r="AY57" i="40"/>
  <c r="N116" i="59"/>
  <c r="DI167" i="59"/>
  <c r="BL210" i="59"/>
  <c r="GM221" i="59"/>
  <c r="EM175" i="59"/>
  <c r="IK205" i="59"/>
  <c r="HY192" i="59"/>
  <c r="AC213" i="59"/>
  <c r="IU218" i="59"/>
  <c r="GS190" i="59"/>
  <c r="HX205" i="59"/>
  <c r="GL171" i="59"/>
  <c r="CI223" i="59"/>
  <c r="FJ214" i="59"/>
  <c r="BG210" i="59"/>
  <c r="ET175" i="59"/>
  <c r="BA228" i="59"/>
  <c r="FW227" i="59"/>
  <c r="ID179" i="59"/>
  <c r="FW195" i="59"/>
  <c r="GL190" i="59"/>
  <c r="CO204" i="59"/>
  <c r="IF218" i="59"/>
  <c r="IP186" i="59"/>
  <c r="BT178" i="59"/>
  <c r="AS221" i="59"/>
  <c r="DK225" i="59"/>
  <c r="AN195" i="59"/>
  <c r="EL201" i="59"/>
  <c r="DZ225" i="59"/>
  <c r="Q226" i="59"/>
  <c r="AS184" i="59"/>
  <c r="FD201" i="59"/>
  <c r="FO190" i="59"/>
  <c r="ID186" i="59"/>
  <c r="CY186" i="59"/>
  <c r="EQ182" i="59"/>
  <c r="FG195" i="59"/>
  <c r="BJ197" i="59"/>
  <c r="FP169" i="59"/>
  <c r="GT166" i="59"/>
  <c r="HT192" i="59"/>
  <c r="CM223" i="59"/>
  <c r="IO186" i="59"/>
  <c r="HT218" i="59"/>
  <c r="HJ192" i="59"/>
  <c r="EA193" i="59"/>
  <c r="BR191" i="59"/>
  <c r="CR191" i="59"/>
  <c r="AJ195" i="59"/>
  <c r="IP199" i="59"/>
  <c r="EQ214" i="59"/>
  <c r="GL203" i="59"/>
  <c r="EO219" i="59"/>
  <c r="DU175" i="59"/>
  <c r="HF197" i="59"/>
  <c r="DR206" i="59"/>
  <c r="FW182" i="59"/>
  <c r="GS184" i="59"/>
  <c r="AV221" i="59"/>
  <c r="BD189" i="59"/>
  <c r="CZ225" i="59"/>
  <c r="EM219" i="59"/>
  <c r="GB171" i="59"/>
  <c r="BU191" i="59"/>
  <c r="EZ169" i="59"/>
  <c r="GK221" i="59"/>
  <c r="IS212" i="59"/>
  <c r="BY191" i="59"/>
  <c r="GJ216" i="59"/>
  <c r="FT169" i="59"/>
  <c r="DQ225" i="59"/>
  <c r="FM190" i="59"/>
  <c r="HE223" i="59"/>
  <c r="DG180" i="59"/>
  <c r="IN186" i="59"/>
  <c r="FG177" i="59"/>
  <c r="AH221" i="59"/>
  <c r="DE173" i="59"/>
  <c r="FY190" i="59"/>
  <c r="CT212" i="59"/>
  <c r="CV191" i="59"/>
  <c r="BL178" i="59"/>
  <c r="BH228" i="59"/>
  <c r="BM178" i="59"/>
  <c r="IM173" i="59"/>
  <c r="FB182" i="59"/>
  <c r="AV197" i="59"/>
  <c r="IM168" i="59"/>
  <c r="DK193" i="59"/>
  <c r="DD217" i="59"/>
  <c r="DG217" i="59"/>
  <c r="CA178" i="59"/>
  <c r="ER206" i="59"/>
  <c r="DD199" i="59"/>
  <c r="AW221" i="59"/>
  <c r="O200" i="59"/>
  <c r="EK214" i="59"/>
  <c r="HI171" i="59"/>
  <c r="DA212" i="59"/>
  <c r="BP228" i="59"/>
  <c r="HM179" i="59"/>
  <c r="EA167" i="59"/>
  <c r="CE223" i="59"/>
  <c r="CI173" i="59"/>
  <c r="EH180" i="59"/>
  <c r="BW215" i="59"/>
  <c r="CX173" i="59"/>
  <c r="BJ184" i="59"/>
  <c r="F159" i="59"/>
  <c r="HT173" i="59"/>
  <c r="HV166" i="59"/>
  <c r="EJ206" i="59"/>
  <c r="FH208" i="59"/>
  <c r="DF173" i="59"/>
  <c r="HX173" i="59"/>
  <c r="HW179" i="59"/>
  <c r="IK168" i="59"/>
  <c r="AK226" i="59"/>
  <c r="BY223" i="59"/>
  <c r="CM173" i="59"/>
  <c r="IA192" i="59"/>
  <c r="AZ228" i="59"/>
  <c r="HZ173" i="59"/>
  <c r="Q159" i="59"/>
  <c r="AE176" i="59"/>
  <c r="CX204" i="59"/>
  <c r="GX166" i="59"/>
  <c r="F219" i="59"/>
  <c r="IU173" i="59"/>
  <c r="BC202" i="59"/>
  <c r="GA171" i="59"/>
  <c r="ID210" i="59"/>
  <c r="EN169" i="59"/>
  <c r="V195" i="59"/>
  <c r="BX184" i="59"/>
  <c r="HW223" i="59"/>
  <c r="EB219" i="59"/>
  <c r="GN216" i="59"/>
  <c r="CU212" i="59"/>
  <c r="IQ212" i="59"/>
  <c r="I187" i="59"/>
  <c r="DH193" i="59"/>
  <c r="EQ193" i="59"/>
  <c r="BP191" i="59"/>
  <c r="BG215" i="59"/>
  <c r="DC186" i="59"/>
  <c r="AZ171" i="59"/>
  <c r="BJ210" i="59"/>
  <c r="DQ175" i="59"/>
  <c r="HE197" i="59"/>
  <c r="GZ166" i="59"/>
  <c r="FW190" i="59"/>
  <c r="GN203" i="59"/>
  <c r="DS225" i="59"/>
  <c r="L213" i="59"/>
  <c r="BV210" i="59"/>
  <c r="DG186" i="59"/>
  <c r="DX225" i="59"/>
  <c r="GP221" i="59"/>
  <c r="GK190" i="59"/>
  <c r="HY179" i="59"/>
  <c r="CU191" i="59"/>
  <c r="DS206" i="59"/>
  <c r="HR173" i="59"/>
  <c r="GA182" i="59"/>
  <c r="EK193" i="59"/>
  <c r="DX212" i="59"/>
  <c r="GA216" i="59"/>
  <c r="AP221" i="59"/>
  <c r="DV225" i="59"/>
  <c r="DC180" i="59"/>
  <c r="FP195" i="59"/>
  <c r="HR192" i="59"/>
  <c r="FH182" i="59"/>
  <c r="J182" i="59"/>
  <c r="FF195" i="59"/>
  <c r="DH225" i="59"/>
  <c r="FE188" i="59"/>
  <c r="GC190" i="59"/>
  <c r="FM208" i="59"/>
  <c r="BN171" i="59"/>
  <c r="AT215" i="59"/>
  <c r="GP184" i="59"/>
  <c r="AU176" i="59"/>
  <c r="DA204" i="59"/>
  <c r="ET214" i="59"/>
  <c r="DH180" i="59"/>
  <c r="FA188" i="59"/>
  <c r="IM199" i="59"/>
  <c r="CH186" i="59"/>
  <c r="IB205" i="59"/>
  <c r="DF225" i="59"/>
  <c r="DD212" i="59"/>
  <c r="HR223" i="59"/>
  <c r="CL178" i="59"/>
  <c r="IC210" i="59"/>
  <c r="CC178" i="59"/>
  <c r="GF190" i="59"/>
  <c r="DM167" i="59"/>
  <c r="IM212" i="59"/>
  <c r="EC206" i="59"/>
  <c r="DL212" i="59"/>
  <c r="FV182" i="59"/>
  <c r="IT212" i="59"/>
  <c r="IN199" i="59"/>
  <c r="H195" i="59"/>
  <c r="DW175" i="59"/>
  <c r="DE204" i="59"/>
  <c r="DN180" i="59"/>
  <c r="CS204" i="59"/>
  <c r="AO202" i="59"/>
  <c r="ED175" i="59"/>
  <c r="BL228" i="59"/>
  <c r="II173" i="59"/>
  <c r="CT191" i="59"/>
  <c r="GJ208" i="59"/>
  <c r="EH188" i="59"/>
  <c r="HN223" i="59"/>
  <c r="IA186" i="59"/>
  <c r="EE206" i="59"/>
  <c r="GK208" i="59"/>
  <c r="BS228" i="59"/>
  <c r="IO205" i="59"/>
  <c r="GL216" i="59"/>
  <c r="AQ176" i="59"/>
  <c r="HR210" i="59"/>
  <c r="IS181" i="59"/>
  <c r="ES169" i="59"/>
  <c r="AH195" i="59"/>
  <c r="AD182" i="59"/>
  <c r="CK191" i="59"/>
  <c r="IB179" i="59"/>
  <c r="FB214" i="59"/>
  <c r="BB171" i="59"/>
  <c r="FU190" i="59"/>
  <c r="IR205" i="59"/>
  <c r="AR176" i="59"/>
  <c r="EO201" i="59"/>
  <c r="P182" i="59"/>
  <c r="EO169" i="59"/>
  <c r="F182" i="59"/>
  <c r="Y200" i="59"/>
  <c r="GH216" i="59"/>
  <c r="DC225" i="59"/>
  <c r="CS186" i="59"/>
  <c r="DD180" i="59"/>
  <c r="CI191" i="59"/>
  <c r="AC195" i="59"/>
  <c r="AD226" i="59"/>
  <c r="U176" i="59"/>
  <c r="GC177" i="59"/>
  <c r="R213" i="59"/>
  <c r="DP175" i="59"/>
  <c r="CG178" i="59"/>
  <c r="AB159" i="59"/>
  <c r="IR199" i="59"/>
  <c r="EU188" i="59"/>
  <c r="FS208" i="59"/>
  <c r="FI227" i="59"/>
  <c r="BV184" i="59"/>
  <c r="BM223" i="59"/>
  <c r="HM210" i="59"/>
  <c r="FE208" i="59"/>
  <c r="I174" i="59"/>
  <c r="GA221" i="59"/>
  <c r="BK184" i="59"/>
  <c r="HM197" i="59"/>
  <c r="CS178" i="59"/>
  <c r="FN221" i="59"/>
  <c r="BV197" i="59"/>
  <c r="IS173" i="59"/>
  <c r="HA166" i="59"/>
  <c r="EY188" i="59"/>
  <c r="GY210" i="59"/>
  <c r="AO215" i="59"/>
  <c r="FS221" i="59"/>
  <c r="FL221" i="59"/>
  <c r="FR169" i="59"/>
  <c r="FO169" i="59"/>
  <c r="GL184" i="59"/>
  <c r="CN186" i="59"/>
  <c r="DQ212" i="59"/>
  <c r="EY219" i="59"/>
  <c r="HD166" i="59"/>
  <c r="DH217" i="59"/>
  <c r="HA197" i="59"/>
  <c r="DF167" i="59"/>
  <c r="GM190" i="59"/>
  <c r="AD213" i="59"/>
  <c r="GE177" i="59"/>
  <c r="CT204" i="59"/>
  <c r="HW192" i="59"/>
  <c r="HV218" i="59"/>
  <c r="N187" i="59"/>
  <c r="AK208" i="59"/>
  <c r="AW176" i="59"/>
  <c r="HH179" i="59"/>
  <c r="FM201" i="59"/>
  <c r="FD182" i="59"/>
  <c r="CH223" i="59"/>
  <c r="W213" i="59"/>
  <c r="GY203" i="59"/>
  <c r="CN217" i="59"/>
  <c r="BQ210" i="59"/>
  <c r="GX210" i="59"/>
  <c r="FO227" i="59"/>
  <c r="FL195" i="59"/>
  <c r="HL223" i="59"/>
  <c r="DZ167" i="59"/>
  <c r="DC204" i="59"/>
  <c r="AJ221" i="59"/>
  <c r="DD204" i="59"/>
  <c r="CT167" i="59"/>
  <c r="BI178" i="59"/>
  <c r="FF182" i="59"/>
  <c r="DT167" i="59"/>
  <c r="HN197" i="59"/>
  <c r="IU199" i="59"/>
  <c r="HX218" i="59"/>
  <c r="P213" i="59"/>
  <c r="AW228" i="59"/>
  <c r="DE186" i="59"/>
  <c r="L187" i="59"/>
  <c r="HR197" i="59"/>
  <c r="I182" i="59"/>
  <c r="X221" i="59"/>
  <c r="AZ197" i="59"/>
  <c r="HJ210" i="59"/>
  <c r="FT190" i="59"/>
  <c r="EO175" i="59"/>
  <c r="HO210" i="59"/>
  <c r="IB192" i="59"/>
  <c r="EW169" i="59"/>
  <c r="ER219" i="59"/>
  <c r="GG221" i="59"/>
  <c r="HN192" i="59"/>
  <c r="BS184" i="59"/>
  <c r="HK184" i="59"/>
  <c r="CK178" i="59"/>
  <c r="HV192" i="59"/>
  <c r="ID173" i="59"/>
  <c r="HI223" i="59"/>
  <c r="CS191" i="59"/>
  <c r="EE225" i="59"/>
  <c r="FB169" i="59"/>
  <c r="FM221" i="59"/>
  <c r="CU204" i="59"/>
  <c r="S169" i="59"/>
  <c r="AV202" i="59"/>
  <c r="AD195" i="59"/>
  <c r="AA160" i="59"/>
  <c r="FN227" i="59"/>
  <c r="K219" i="59"/>
  <c r="FV221" i="59"/>
  <c r="BN228" i="59"/>
  <c r="GV197" i="59"/>
  <c r="CA191" i="59"/>
  <c r="GZ179" i="59"/>
  <c r="DY167" i="59"/>
  <c r="GT197" i="59"/>
  <c r="R226" i="59"/>
  <c r="S160" i="59"/>
  <c r="BJ178" i="59"/>
  <c r="CE191" i="59"/>
  <c r="W200" i="59"/>
  <c r="CH191" i="59"/>
  <c r="HE184" i="59"/>
  <c r="FR190" i="59"/>
  <c r="DT180" i="59"/>
  <c r="GR221" i="59"/>
  <c r="GT203" i="59"/>
  <c r="AG208" i="59"/>
  <c r="IB210" i="59"/>
  <c r="GA177" i="59"/>
  <c r="Y159" i="59"/>
  <c r="GQ197" i="59"/>
  <c r="BI223" i="59"/>
  <c r="FJ169" i="59"/>
  <c r="GD177" i="59"/>
  <c r="GH208" i="59"/>
  <c r="FU227" i="59"/>
  <c r="CP223" i="59"/>
  <c r="BK171" i="59"/>
  <c r="IA218" i="59"/>
  <c r="BL202" i="59"/>
  <c r="EF188" i="59"/>
  <c r="HB203" i="59"/>
  <c r="FP221" i="59"/>
  <c r="BM210" i="59"/>
  <c r="HQ197" i="59"/>
  <c r="F187" i="59"/>
  <c r="AT176" i="59"/>
  <c r="IN205" i="59"/>
  <c r="GB203" i="59"/>
  <c r="BV178" i="59"/>
  <c r="GO216" i="59"/>
  <c r="AE182" i="59"/>
  <c r="EQ219" i="59"/>
  <c r="CI186" i="59"/>
  <c r="AA226" i="59"/>
  <c r="BP215" i="59"/>
  <c r="HA203" i="59"/>
  <c r="IC192" i="59"/>
  <c r="DG204" i="59"/>
  <c r="FX227" i="59"/>
  <c r="AF195" i="59"/>
  <c r="EJ225" i="59"/>
  <c r="DG167" i="59"/>
  <c r="FC214" i="59"/>
  <c r="AF213" i="59"/>
  <c r="IG199" i="59"/>
  <c r="GE216" i="59"/>
  <c r="DG225" i="59"/>
  <c r="BX173" i="59"/>
  <c r="FG182" i="59"/>
  <c r="EO206" i="59"/>
  <c r="DV167" i="59"/>
  <c r="CJ223" i="59"/>
  <c r="HB210" i="59"/>
  <c r="BK215" i="59"/>
  <c r="ER188" i="59"/>
  <c r="GG190" i="59"/>
  <c r="DX193" i="59"/>
  <c r="FJ208" i="59"/>
  <c r="FI201" i="59"/>
  <c r="IQ205" i="59"/>
  <c r="GV171" i="59"/>
  <c r="GE221" i="59"/>
  <c r="GO184" i="59"/>
  <c r="CH173" i="59"/>
  <c r="GH184" i="59"/>
  <c r="H169" i="59"/>
  <c r="CA228" i="59"/>
  <c r="DP225" i="59"/>
  <c r="IQ168" i="59"/>
  <c r="EN214" i="59"/>
  <c r="CB191" i="59"/>
  <c r="BW191" i="59"/>
  <c r="EW182" i="59"/>
  <c r="CT173" i="59"/>
  <c r="O187" i="59"/>
  <c r="GH221" i="59"/>
  <c r="GI208" i="59"/>
  <c r="BY204" i="59"/>
  <c r="N208" i="59"/>
  <c r="GY171" i="59"/>
  <c r="AC176" i="59"/>
  <c r="FO177" i="59"/>
  <c r="J226" i="59"/>
  <c r="BH202" i="59"/>
  <c r="AQ202" i="59"/>
  <c r="HB197" i="59"/>
  <c r="AK189" i="59"/>
  <c r="AZ202" i="59"/>
  <c r="GP171" i="59"/>
  <c r="AO176" i="59"/>
  <c r="GE195" i="59"/>
  <c r="HQ205" i="59"/>
  <c r="CD178" i="59"/>
  <c r="IK173" i="59"/>
  <c r="FQ208" i="59"/>
  <c r="P195" i="59"/>
  <c r="DD167" i="59"/>
  <c r="HR218" i="59"/>
  <c r="DD186" i="59"/>
  <c r="EE175" i="59"/>
  <c r="GQ221" i="59"/>
  <c r="AJ159" i="59"/>
  <c r="IC179" i="59"/>
  <c r="HK192" i="59"/>
  <c r="AB208" i="59"/>
  <c r="FX221" i="59"/>
  <c r="IO212" i="59"/>
  <c r="ED225" i="59"/>
  <c r="DK199" i="59"/>
  <c r="DQ180" i="59"/>
  <c r="ER182" i="59"/>
  <c r="IR186" i="59"/>
  <c r="AL208" i="59"/>
  <c r="EI175" i="59"/>
  <c r="FI169" i="59"/>
  <c r="GJ203" i="59"/>
  <c r="BI215" i="59"/>
  <c r="CM204" i="59"/>
  <c r="EB206" i="59"/>
  <c r="BB184" i="59"/>
  <c r="W221" i="59"/>
  <c r="HH166" i="59"/>
  <c r="CF173" i="59"/>
  <c r="FD227" i="59"/>
  <c r="V221" i="59"/>
  <c r="HR184" i="59"/>
  <c r="EZ201" i="59"/>
  <c r="M226" i="59"/>
  <c r="HE216" i="59"/>
  <c r="FF214" i="59"/>
  <c r="EV201" i="59"/>
  <c r="HS197" i="59"/>
  <c r="IU205" i="59"/>
  <c r="DG199" i="59"/>
  <c r="EF180" i="59"/>
  <c r="T208" i="59"/>
  <c r="EI188" i="59"/>
  <c r="GQ216" i="59"/>
  <c r="Q208" i="59"/>
  <c r="IM218" i="59"/>
  <c r="BR210" i="59"/>
  <c r="FY177" i="59"/>
  <c r="EV219" i="59"/>
  <c r="IU212" i="59"/>
  <c r="T226" i="59"/>
  <c r="GU197" i="59"/>
  <c r="IN168" i="59"/>
  <c r="EH201" i="59"/>
  <c r="BP178" i="59"/>
  <c r="BQ197" i="59"/>
  <c r="DW188" i="59"/>
  <c r="EG188" i="59"/>
  <c r="CW199" i="59"/>
  <c r="FH169" i="59"/>
  <c r="AM215" i="59"/>
  <c r="CS223" i="59"/>
  <c r="IC205" i="59"/>
  <c r="GN184" i="59"/>
  <c r="DA167" i="59"/>
  <c r="HG184" i="59"/>
  <c r="AX228" i="59"/>
  <c r="CE210" i="59"/>
  <c r="I219" i="59"/>
  <c r="H219" i="59"/>
  <c r="IC218" i="59"/>
  <c r="P187" i="59"/>
  <c r="AB176" i="59"/>
  <c r="EQ227" i="59"/>
  <c r="FW203" i="59"/>
  <c r="GF171" i="59"/>
  <c r="GD203" i="59"/>
  <c r="GL208" i="59"/>
  <c r="W169" i="59"/>
  <c r="BR215" i="59"/>
  <c r="BN197" i="59"/>
  <c r="GM171" i="59"/>
  <c r="EX188" i="59"/>
  <c r="BZ223" i="59"/>
  <c r="BP223" i="59"/>
  <c r="IA210" i="59"/>
  <c r="BN178" i="59"/>
  <c r="HP166" i="59"/>
  <c r="IF205" i="59"/>
  <c r="CB178" i="59"/>
  <c r="EX195" i="59"/>
  <c r="CX191" i="59"/>
  <c r="S176" i="59"/>
  <c r="AB189" i="59"/>
  <c r="BC171" i="59"/>
  <c r="FA201" i="59"/>
  <c r="IE173" i="59"/>
  <c r="CZ180" i="59"/>
  <c r="HX179" i="59"/>
  <c r="Z189" i="59"/>
  <c r="AA208" i="59"/>
  <c r="GJ190" i="59"/>
  <c r="DN186" i="59"/>
  <c r="FK201" i="59"/>
  <c r="Y169" i="59"/>
  <c r="FA195" i="59"/>
  <c r="IL199" i="59"/>
  <c r="FM177" i="59"/>
  <c r="Y189" i="59"/>
  <c r="ES201" i="59"/>
  <c r="CU186" i="59"/>
  <c r="EJ188" i="59"/>
  <c r="GP197" i="59"/>
  <c r="BU178" i="59"/>
  <c r="BN223" i="59"/>
  <c r="EX219" i="59"/>
  <c r="GR184" i="59"/>
  <c r="DV193" i="59"/>
  <c r="ES214" i="59"/>
  <c r="AO208" i="59"/>
  <c r="CD204" i="59"/>
  <c r="IG186" i="59"/>
  <c r="HU173" i="59"/>
  <c r="ES219" i="59"/>
  <c r="DT175" i="59"/>
  <c r="IO199" i="59"/>
  <c r="DZ175" i="59"/>
  <c r="HU197" i="59"/>
  <c r="J219" i="59"/>
  <c r="AU208" i="59"/>
  <c r="AW197" i="59"/>
  <c r="BC228" i="59"/>
  <c r="HZ210" i="59"/>
  <c r="CQ204" i="59"/>
  <c r="CZ212" i="59"/>
  <c r="BY178" i="59"/>
  <c r="DN193" i="59"/>
  <c r="GZ216" i="59"/>
  <c r="GS197" i="59"/>
  <c r="HS218" i="59"/>
  <c r="F169" i="59"/>
  <c r="DY212" i="59"/>
  <c r="EC180" i="59"/>
  <c r="HG210" i="59"/>
  <c r="DB167" i="59"/>
  <c r="DL167" i="59"/>
  <c r="BK202" i="59"/>
  <c r="DM212" i="59"/>
  <c r="FN214" i="59"/>
  <c r="DR199" i="59"/>
  <c r="K182" i="59"/>
  <c r="CB204" i="59"/>
  <c r="FR221" i="59"/>
  <c r="BL223" i="59"/>
  <c r="AK171" i="59"/>
  <c r="GI216" i="59"/>
  <c r="I213" i="59"/>
  <c r="CY217" i="59"/>
  <c r="Y221" i="59"/>
  <c r="HH197" i="59"/>
  <c r="CX217" i="59"/>
  <c r="FQ169" i="59"/>
  <c r="BX223" i="59"/>
  <c r="FE195" i="59"/>
  <c r="DB212" i="59"/>
  <c r="L208" i="59"/>
  <c r="CY204" i="59"/>
  <c r="BX210" i="59"/>
  <c r="EB188" i="59"/>
  <c r="HZ186" i="59"/>
  <c r="AY176" i="59"/>
  <c r="T195" i="59"/>
  <c r="BC210" i="59"/>
  <c r="EE201" i="59"/>
  <c r="EA188" i="59"/>
  <c r="IB173" i="59"/>
  <c r="EJ214" i="59"/>
  <c r="IN192" i="59"/>
  <c r="BM215" i="59"/>
  <c r="AJ202" i="59"/>
  <c r="CT199" i="59"/>
  <c r="EC225" i="59"/>
  <c r="DX167" i="59"/>
  <c r="GC171" i="59"/>
  <c r="W182" i="59"/>
  <c r="DL193" i="59"/>
  <c r="HX223" i="59"/>
  <c r="BB210" i="59"/>
  <c r="P226" i="59"/>
  <c r="FA214" i="59"/>
  <c r="AC182" i="59"/>
  <c r="N213" i="59"/>
  <c r="DU212" i="59"/>
  <c r="HH210" i="59"/>
  <c r="BE184" i="59"/>
  <c r="CZ186" i="59"/>
  <c r="EM193" i="59"/>
  <c r="FZ227" i="59"/>
  <c r="FR227" i="59"/>
  <c r="S226" i="59"/>
  <c r="GW179" i="59"/>
  <c r="GJ184" i="59"/>
  <c r="EE188" i="59"/>
  <c r="HZ223" i="59"/>
  <c r="EP169" i="59"/>
  <c r="CK186" i="59"/>
  <c r="GG195" i="59"/>
  <c r="FB201" i="59"/>
  <c r="AH208" i="59"/>
  <c r="R208" i="59"/>
  <c r="HW210" i="59"/>
  <c r="CQ173" i="59"/>
  <c r="HA216" i="59"/>
  <c r="HP192" i="59"/>
  <c r="AU215" i="59"/>
  <c r="BL197" i="59"/>
  <c r="AB182" i="59"/>
  <c r="HU210" i="59"/>
  <c r="DO206" i="59"/>
  <c r="IM186" i="59"/>
  <c r="BM228" i="59"/>
  <c r="DT206" i="59"/>
  <c r="DL217" i="59"/>
  <c r="HC223" i="59"/>
  <c r="AA213" i="59"/>
  <c r="HE210" i="59"/>
  <c r="L169" i="59"/>
  <c r="FX182" i="59"/>
  <c r="EW227" i="59"/>
  <c r="AK176" i="59"/>
  <c r="EY214" i="59"/>
  <c r="FF208" i="59"/>
  <c r="CN178" i="59"/>
  <c r="DO199" i="59"/>
  <c r="AY184" i="59"/>
  <c r="GO203" i="59"/>
  <c r="GV210" i="59"/>
  <c r="HB171" i="59"/>
  <c r="EM214" i="59"/>
  <c r="CG173" i="59"/>
  <c r="BP197" i="59"/>
  <c r="CZ199" i="59"/>
  <c r="CO217" i="59"/>
  <c r="FF201" i="59"/>
  <c r="AR215" i="59"/>
  <c r="HW166" i="59"/>
  <c r="BJ228" i="59"/>
  <c r="EN201" i="59"/>
  <c r="HK197" i="59"/>
  <c r="GC208" i="59"/>
  <c r="BK210" i="59"/>
  <c r="FC195" i="59"/>
  <c r="GL177" i="59"/>
  <c r="F200" i="59"/>
  <c r="CA204" i="59"/>
  <c r="F226" i="59"/>
  <c r="CP173" i="59"/>
  <c r="AQ221" i="59"/>
  <c r="BA176" i="59"/>
  <c r="II205" i="59"/>
  <c r="BZ178" i="59"/>
  <c r="BN202" i="59"/>
  <c r="EY169" i="59"/>
  <c r="BW178" i="59"/>
  <c r="AH189" i="59"/>
  <c r="GW184" i="59"/>
  <c r="BR228" i="59"/>
  <c r="CH178" i="59"/>
  <c r="GC216" i="59"/>
  <c r="FG201" i="59"/>
  <c r="BW184" i="59"/>
  <c r="EG201" i="59"/>
  <c r="AI176" i="59"/>
  <c r="DO193" i="59"/>
  <c r="AJ226" i="59"/>
  <c r="AK221" i="59"/>
  <c r="DE180" i="59"/>
  <c r="CO223" i="59"/>
  <c r="Z176" i="59"/>
  <c r="BD202" i="59"/>
  <c r="HK166" i="59"/>
  <c r="EI219" i="59"/>
  <c r="EV227" i="59"/>
  <c r="FX190" i="59"/>
  <c r="HE171" i="59"/>
  <c r="IR218" i="59"/>
  <c r="EJ219" i="59"/>
  <c r="GE190" i="59"/>
  <c r="FA219" i="59"/>
  <c r="DV206" i="59"/>
  <c r="IL218" i="59"/>
  <c r="BD184" i="59"/>
  <c r="HC197" i="59"/>
  <c r="FV203" i="59"/>
  <c r="GW171" i="59"/>
  <c r="AN171" i="59"/>
  <c r="FQ221" i="59"/>
  <c r="DZ188" i="59"/>
  <c r="GW197" i="59"/>
  <c r="IK199" i="59"/>
  <c r="Z208" i="59"/>
  <c r="O195" i="59"/>
  <c r="AB195" i="59"/>
  <c r="V208" i="59"/>
  <c r="DW206" i="59"/>
  <c r="EF219" i="59"/>
  <c r="GK171" i="59"/>
  <c r="FT203" i="59"/>
  <c r="BV228" i="59"/>
  <c r="AY189" i="59"/>
  <c r="AL171" i="59"/>
  <c r="HJ171" i="59"/>
  <c r="FD214" i="59"/>
  <c r="FF227" i="59"/>
  <c r="Z195" i="59"/>
  <c r="AE189" i="59"/>
  <c r="IO168" i="59"/>
  <c r="IF210" i="59"/>
  <c r="GW216" i="59"/>
  <c r="DU206" i="59"/>
  <c r="HH192" i="59"/>
  <c r="EI193" i="59"/>
  <c r="CB197" i="59"/>
  <c r="ED188" i="59"/>
  <c r="FT195" i="59"/>
  <c r="HC210" i="59"/>
  <c r="HX192" i="59"/>
  <c r="AT228" i="59"/>
  <c r="EU219" i="59"/>
  <c r="IH186" i="59"/>
  <c r="BX178" i="59"/>
  <c r="CQ186" i="59"/>
  <c r="AN176" i="59"/>
  <c r="J195" i="59"/>
  <c r="H174" i="59"/>
  <c r="EJ169" i="59"/>
  <c r="IF186" i="59"/>
  <c r="H213" i="59"/>
  <c r="FZ182" i="59"/>
  <c r="HW218" i="59"/>
  <c r="ID223" i="59"/>
  <c r="GK216" i="59"/>
  <c r="V176" i="59"/>
  <c r="AY228" i="59"/>
  <c r="IV225" i="59"/>
  <c r="AR189" i="59"/>
  <c r="AT171" i="59"/>
  <c r="BG228" i="59"/>
  <c r="IE223" i="59"/>
  <c r="HG197" i="59"/>
  <c r="FR195" i="59"/>
  <c r="AV215" i="59"/>
  <c r="DF199" i="59"/>
  <c r="HB184" i="59"/>
  <c r="EZ182" i="59"/>
  <c r="H226" i="59"/>
  <c r="BB176" i="59"/>
  <c r="AN221" i="59"/>
  <c r="HI192" i="59"/>
  <c r="GC203" i="59"/>
  <c r="AU197" i="59"/>
  <c r="AT184" i="59"/>
  <c r="AX184" i="59"/>
  <c r="HW173" i="59"/>
  <c r="AH176" i="59"/>
  <c r="FA182" i="59"/>
  <c r="AZ215" i="59"/>
  <c r="BT228" i="59"/>
  <c r="AD160" i="59"/>
  <c r="EL169" i="59"/>
  <c r="T200" i="59"/>
  <c r="FQ195" i="59"/>
  <c r="EP175" i="59"/>
  <c r="CV217" i="59"/>
  <c r="IU181" i="59"/>
  <c r="HL205" i="59"/>
  <c r="DX180" i="59"/>
  <c r="AQ189" i="59"/>
  <c r="GL221" i="59"/>
  <c r="I195" i="59"/>
  <c r="GV190" i="59"/>
  <c r="GG208" i="59"/>
  <c r="BO178" i="59"/>
  <c r="AU184" i="59"/>
  <c r="S221" i="59"/>
  <c r="AX197" i="59"/>
  <c r="DZ180" i="59"/>
  <c r="DK180" i="59"/>
  <c r="AX176" i="59"/>
  <c r="CI210" i="59"/>
  <c r="AF226" i="59"/>
  <c r="FR182" i="59"/>
  <c r="EF206" i="59"/>
  <c r="HT205" i="59"/>
  <c r="GM184" i="59"/>
  <c r="CD210" i="59"/>
  <c r="AP176" i="59"/>
  <c r="AU228" i="59"/>
  <c r="CL217" i="59"/>
  <c r="AS202" i="59"/>
  <c r="Z169" i="59"/>
  <c r="HQ166" i="59"/>
  <c r="GR203" i="59"/>
  <c r="CQ191" i="59"/>
  <c r="HF184" i="59"/>
  <c r="EU214" i="59"/>
  <c r="HI184" i="59"/>
  <c r="EI206" i="59"/>
  <c r="IN218" i="59"/>
  <c r="GF177" i="59"/>
  <c r="AW171" i="59"/>
  <c r="GM216" i="59"/>
  <c r="J213" i="59"/>
  <c r="Y208" i="59"/>
  <c r="DJ217" i="59"/>
  <c r="IQ218" i="59"/>
  <c r="IL192" i="59"/>
  <c r="FP182" i="59"/>
  <c r="CA197" i="59"/>
  <c r="DE225" i="59"/>
  <c r="AV228" i="59"/>
  <c r="HA184" i="59"/>
  <c r="DR193" i="59"/>
  <c r="X176" i="59"/>
  <c r="EA219" i="59"/>
  <c r="CX167" i="59"/>
  <c r="GH195" i="59"/>
  <c r="EP193" i="59"/>
  <c r="ER214" i="59"/>
  <c r="DA225" i="59"/>
  <c r="GZ171" i="59"/>
  <c r="EN175" i="59"/>
  <c r="GX203" i="59"/>
  <c r="DW193" i="59"/>
  <c r="DR225" i="59"/>
  <c r="IL205" i="59"/>
  <c r="EC167" i="59"/>
  <c r="HH171" i="59"/>
  <c r="HP179" i="59"/>
  <c r="IU225" i="59"/>
  <c r="AF208" i="59"/>
  <c r="AL202" i="59"/>
  <c r="BT191" i="59"/>
  <c r="EW175" i="59"/>
  <c r="HO184" i="59"/>
  <c r="GG177" i="59"/>
  <c r="CG210" i="59"/>
  <c r="Q195" i="59"/>
  <c r="FU221" i="59"/>
  <c r="FJ195" i="59"/>
  <c r="HI179" i="59"/>
  <c r="DE199" i="59"/>
  <c r="IV186" i="59"/>
  <c r="Y213" i="59"/>
  <c r="BL215" i="59"/>
  <c r="IV194" i="59"/>
  <c r="HL179" i="59"/>
  <c r="DN167" i="59"/>
  <c r="FK227" i="59"/>
  <c r="EQ175" i="59"/>
  <c r="IH173" i="59"/>
  <c r="BG184" i="59"/>
  <c r="GU203" i="59"/>
  <c r="HA171" i="59"/>
  <c r="R187" i="59"/>
  <c r="S195" i="59"/>
  <c r="BO197" i="59"/>
  <c r="CA210" i="59"/>
  <c r="DS175" i="59"/>
  <c r="IL223" i="59"/>
  <c r="HT223" i="59"/>
  <c r="EE180" i="59"/>
  <c r="BO202" i="59"/>
  <c r="DR212" i="59"/>
  <c r="BI202" i="59"/>
  <c r="BK178" i="59"/>
  <c r="AW184" i="59"/>
  <c r="GT221" i="59"/>
  <c r="EW219" i="59"/>
  <c r="R200" i="59"/>
  <c r="GI221" i="59"/>
  <c r="AD208" i="59"/>
  <c r="N195" i="59"/>
  <c r="EX214" i="59"/>
  <c r="BS191" i="59"/>
  <c r="ES175" i="59"/>
  <c r="GQ190" i="59"/>
  <c r="T221" i="59"/>
  <c r="FT208" i="59"/>
  <c r="ES227" i="59"/>
  <c r="GF195" i="59"/>
  <c r="FX203" i="59"/>
  <c r="HS179" i="59"/>
  <c r="CO191" i="59"/>
  <c r="BD210" i="59"/>
  <c r="EK201" i="59"/>
  <c r="AJ208" i="59"/>
  <c r="R221" i="59"/>
  <c r="GE171" i="59"/>
  <c r="FS227" i="59"/>
  <c r="DV175" i="59"/>
  <c r="HG166" i="59"/>
  <c r="FE169" i="59"/>
  <c r="FM214" i="59"/>
  <c r="AB213" i="59"/>
  <c r="FM169" i="59"/>
  <c r="AU221" i="59"/>
  <c r="CC197" i="59"/>
  <c r="GR197" i="59"/>
  <c r="P169" i="59"/>
  <c r="IN173" i="59"/>
  <c r="CF217" i="59"/>
  <c r="GN208" i="59"/>
  <c r="Y226" i="59"/>
  <c r="IE179" i="59"/>
  <c r="Y195" i="59"/>
  <c r="GV203" i="59"/>
  <c r="GN221" i="59"/>
  <c r="EA225" i="59"/>
  <c r="ET188" i="59"/>
  <c r="GK177" i="59"/>
  <c r="GF221" i="59"/>
  <c r="BS178" i="59"/>
  <c r="AN215" i="59"/>
  <c r="IH218" i="59"/>
  <c r="DP167" i="59"/>
  <c r="HH223" i="59"/>
  <c r="AV184" i="59"/>
  <c r="HN205" i="59"/>
  <c r="AG182" i="59"/>
  <c r="GN190" i="59"/>
  <c r="HG171" i="59"/>
  <c r="DC199" i="59"/>
  <c r="FZ208" i="59"/>
  <c r="EF201" i="59"/>
  <c r="Q200" i="59"/>
  <c r="HX197" i="59"/>
  <c r="IK186" i="59"/>
  <c r="EK188" i="59"/>
  <c r="HJ223" i="59"/>
  <c r="BH215" i="59"/>
  <c r="AK195" i="59"/>
  <c r="GV184" i="59"/>
  <c r="IQ186" i="59"/>
  <c r="HM223" i="59"/>
  <c r="HO166" i="59"/>
  <c r="CB228" i="59"/>
  <c r="ED180" i="59"/>
  <c r="HZ218" i="59"/>
  <c r="BF189" i="59"/>
  <c r="DJ167" i="59"/>
  <c r="H182" i="59"/>
  <c r="AS189" i="59"/>
  <c r="EO214" i="59"/>
  <c r="DI199" i="59"/>
  <c r="AM189" i="59"/>
  <c r="BN215" i="59"/>
  <c r="X213" i="59"/>
  <c r="FR208" i="59"/>
  <c r="DO175" i="59"/>
  <c r="BA202" i="59"/>
  <c r="FZ203" i="59"/>
  <c r="FK214" i="59"/>
  <c r="GX171" i="59"/>
  <c r="IK223" i="59"/>
  <c r="AS215" i="59"/>
  <c r="ET219" i="59"/>
  <c r="AZ176" i="59"/>
  <c r="HZ205" i="59"/>
  <c r="BC184" i="59"/>
  <c r="CL199" i="59"/>
  <c r="FX177" i="59"/>
  <c r="CC210" i="59"/>
  <c r="BO228" i="59"/>
  <c r="CS212" i="59"/>
  <c r="HM184" i="59"/>
  <c r="CZ191" i="59"/>
  <c r="HG179" i="59"/>
  <c r="AO184" i="59"/>
  <c r="BQ171" i="59"/>
  <c r="P208" i="59"/>
  <c r="AP215" i="59"/>
  <c r="EH206" i="59"/>
  <c r="HD171" i="59"/>
  <c r="I226" i="59"/>
  <c r="GO221" i="59"/>
  <c r="FB188" i="59"/>
  <c r="CJ178" i="59"/>
  <c r="DB199" i="59"/>
  <c r="IJ205" i="59"/>
  <c r="FI182" i="59"/>
  <c r="DY188" i="59"/>
  <c r="GW166" i="59"/>
  <c r="HD184" i="59"/>
  <c r="DE217" i="59"/>
  <c r="V226" i="59"/>
  <c r="ER227" i="59"/>
  <c r="FO221" i="59"/>
  <c r="CW173" i="59"/>
  <c r="BF184" i="59"/>
  <c r="EO193" i="59"/>
  <c r="AQ215" i="59"/>
  <c r="GE208" i="59"/>
  <c r="AY171" i="59"/>
  <c r="GH171" i="59"/>
  <c r="IA223" i="59"/>
  <c r="G187" i="59"/>
  <c r="IV212" i="59"/>
  <c r="IG223" i="59"/>
  <c r="HG216" i="59"/>
  <c r="HO179" i="59"/>
  <c r="Z221" i="59"/>
  <c r="HI216" i="59"/>
  <c r="FC201" i="59"/>
  <c r="FO182" i="59"/>
  <c r="GF203" i="59"/>
  <c r="GA203" i="59"/>
  <c r="FM227" i="59"/>
  <c r="FQ214" i="59"/>
  <c r="X208" i="59"/>
  <c r="DS167" i="59"/>
  <c r="BA171" i="59"/>
  <c r="HR205" i="59"/>
  <c r="HD197" i="59"/>
  <c r="BS197" i="59"/>
  <c r="R195" i="59"/>
  <c r="BP210" i="59"/>
  <c r="AM159" i="59"/>
  <c r="EI180" i="59"/>
  <c r="IP212" i="59"/>
  <c r="CB210" i="59"/>
  <c r="U226" i="59"/>
  <c r="HQ210" i="59"/>
  <c r="BR197" i="59"/>
  <c r="BX197" i="59"/>
  <c r="IN181" i="59"/>
  <c r="R169" i="59"/>
  <c r="GG216" i="59"/>
  <c r="HN210" i="59"/>
  <c r="CO199" i="59"/>
  <c r="GY184" i="59"/>
  <c r="CX212" i="59"/>
  <c r="S208" i="59"/>
  <c r="GC195" i="59"/>
  <c r="BU197" i="59"/>
  <c r="BO171" i="59"/>
  <c r="IH199" i="59"/>
  <c r="DE212" i="59"/>
  <c r="CL173" i="59"/>
  <c r="IJ192" i="59"/>
  <c r="DB180" i="59"/>
  <c r="AY197" i="59"/>
  <c r="FT227" i="59"/>
  <c r="FN177" i="59"/>
  <c r="DI186" i="59"/>
  <c r="GT171" i="59"/>
  <c r="DN199" i="59"/>
  <c r="FF188" i="59"/>
  <c r="L182" i="59"/>
  <c r="AE226" i="59"/>
  <c r="HM192" i="59"/>
  <c r="CX199" i="59"/>
  <c r="FG208" i="59"/>
  <c r="HV197" i="59"/>
  <c r="AL226" i="59"/>
  <c r="EX182" i="59"/>
  <c r="BJ171" i="59"/>
  <c r="BG202" i="59"/>
  <c r="BO223" i="59"/>
  <c r="CA173" i="59"/>
  <c r="HA179" i="59"/>
  <c r="BO215" i="59"/>
  <c r="GI190" i="59"/>
  <c r="IQ181" i="59"/>
  <c r="AM221" i="59"/>
  <c r="N169" i="59"/>
  <c r="X195" i="59"/>
  <c r="DY193" i="59"/>
  <c r="DH212" i="59"/>
  <c r="K169" i="59"/>
  <c r="HO223" i="59"/>
  <c r="DY180" i="59"/>
  <c r="N182" i="59"/>
  <c r="FV195" i="59"/>
  <c r="EG175" i="59"/>
  <c r="BH184" i="59"/>
  <c r="HL166" i="59"/>
  <c r="AZ189" i="59"/>
  <c r="DL180" i="59"/>
  <c r="DS193" i="59"/>
  <c r="AJ171" i="59"/>
  <c r="DT225" i="59"/>
  <c r="K195" i="59"/>
  <c r="CY191" i="59"/>
  <c r="Q169" i="59"/>
  <c r="FF177" i="59"/>
  <c r="F195" i="59"/>
  <c r="GA208" i="59"/>
  <c r="IL168" i="59"/>
  <c r="GP216" i="59"/>
  <c r="HP184" i="59"/>
  <c r="DK186" i="59"/>
  <c r="BG197" i="59"/>
  <c r="IO173" i="59"/>
  <c r="IR168" i="59"/>
  <c r="FS195" i="59"/>
  <c r="M182" i="59"/>
  <c r="AZ221" i="59"/>
  <c r="CN204" i="59"/>
  <c r="DP193" i="59"/>
  <c r="BS223" i="59"/>
  <c r="BQ215" i="59"/>
  <c r="G174" i="59"/>
  <c r="BH189" i="59"/>
  <c r="IR173" i="59"/>
  <c r="HF179" i="59"/>
  <c r="IU194" i="59"/>
  <c r="IG179" i="59"/>
  <c r="EP206" i="59"/>
  <c r="X226" i="59"/>
  <c r="AF202" i="59"/>
  <c r="BE202" i="59"/>
  <c r="EN193" i="59"/>
  <c r="HY218" i="59"/>
  <c r="FH201" i="59"/>
  <c r="DR180" i="59"/>
  <c r="HQ192" i="59"/>
  <c r="CY212" i="59"/>
  <c r="CJ191" i="59"/>
  <c r="FD169" i="59"/>
  <c r="AI226" i="59"/>
  <c r="EU206" i="59"/>
  <c r="EN188" i="59"/>
  <c r="CH217" i="59"/>
  <c r="DK217" i="59"/>
  <c r="CN223" i="59"/>
  <c r="FP208" i="59"/>
  <c r="FW177" i="59"/>
  <c r="EX175" i="59"/>
  <c r="BA221" i="59"/>
  <c r="K226" i="59"/>
  <c r="HR166" i="59"/>
  <c r="GH177" i="59"/>
  <c r="IG205" i="59"/>
  <c r="EJ180" i="59"/>
  <c r="IP173" i="59"/>
  <c r="AI195" i="59"/>
  <c r="CP191" i="59"/>
  <c r="CO178" i="59"/>
  <c r="DI225" i="59"/>
  <c r="GU184" i="59"/>
  <c r="GX179" i="59"/>
  <c r="HZ179" i="59"/>
  <c r="Q182" i="59"/>
  <c r="BI210" i="59"/>
  <c r="GU171" i="59"/>
  <c r="HC171" i="59"/>
  <c r="U200" i="59"/>
  <c r="BU215" i="59"/>
  <c r="FY208" i="59"/>
  <c r="AY221" i="59"/>
  <c r="AV176" i="59"/>
  <c r="EF175" i="59"/>
  <c r="IS218" i="59"/>
  <c r="GQ203" i="59"/>
  <c r="HY205" i="59"/>
  <c r="FN195" i="59"/>
  <c r="BD171" i="59"/>
  <c r="BE197" i="59"/>
  <c r="HJ216" i="59"/>
  <c r="EZ188" i="59"/>
  <c r="GN177" i="59"/>
  <c r="AI189" i="59"/>
  <c r="AN202" i="59"/>
  <c r="AI208" i="59"/>
  <c r="BE215" i="59"/>
  <c r="GM203" i="59"/>
  <c r="FG169" i="59"/>
  <c r="CQ199" i="59"/>
  <c r="T169" i="59"/>
  <c r="CV212" i="59"/>
  <c r="GC221" i="59"/>
  <c r="IT173" i="59"/>
  <c r="DH186" i="59"/>
  <c r="BW223" i="59"/>
  <c r="ET227" i="59"/>
  <c r="AD176" i="59"/>
  <c r="EB225" i="59"/>
  <c r="CL191" i="59"/>
  <c r="AT189" i="59"/>
  <c r="EL193" i="59"/>
  <c r="AU189" i="59"/>
  <c r="DI180" i="59"/>
  <c r="CE173" i="59"/>
  <c r="EC188" i="59"/>
  <c r="HK179" i="59"/>
  <c r="EQ188" i="59"/>
  <c r="DU167" i="59"/>
  <c r="AX171" i="59"/>
  <c r="EP219" i="59"/>
  <c r="EU201" i="59"/>
  <c r="IJ186" i="59"/>
  <c r="S213" i="59"/>
  <c r="EW201" i="59"/>
  <c r="G200" i="59"/>
  <c r="FP227" i="59"/>
  <c r="GW203" i="59"/>
  <c r="BV215" i="59"/>
  <c r="FU208" i="59"/>
  <c r="DI193" i="59"/>
  <c r="AW202" i="59"/>
  <c r="GO208" i="59"/>
  <c r="DQ193" i="59"/>
  <c r="HI197" i="59"/>
  <c r="GA190" i="59"/>
  <c r="FT177" i="59"/>
  <c r="GJ221" i="59"/>
  <c r="FA227" i="59"/>
  <c r="CF210" i="59"/>
  <c r="EZ219" i="59"/>
  <c r="BI228" i="59"/>
  <c r="DW212" i="59"/>
  <c r="FI214" i="59"/>
  <c r="HV173" i="59"/>
  <c r="AS176" i="59"/>
  <c r="HN184" i="59"/>
  <c r="FN208" i="59"/>
  <c r="AT208" i="59"/>
  <c r="AM208" i="59"/>
  <c r="IG173" i="59"/>
  <c r="GY179" i="59"/>
  <c r="IE205" i="59"/>
  <c r="EG225" i="59"/>
  <c r="BY210" i="59"/>
  <c r="BA197" i="59"/>
  <c r="FQ177" i="59"/>
  <c r="EB180" i="59"/>
  <c r="FC169" i="59"/>
  <c r="HL184" i="59"/>
  <c r="DO167" i="59"/>
  <c r="DH173" i="59"/>
  <c r="EX227" i="59"/>
  <c r="AV189" i="59"/>
  <c r="AB221" i="59"/>
  <c r="GX197" i="59"/>
  <c r="HQ223" i="59"/>
  <c r="DA186" i="59"/>
  <c r="EH175" i="59"/>
  <c r="K174" i="59"/>
  <c r="DJ193" i="59"/>
  <c r="CL210" i="59"/>
  <c r="T182" i="59"/>
  <c r="GP166" i="59"/>
  <c r="BF171" i="59"/>
  <c r="CJ210" i="59"/>
  <c r="IE192" i="59"/>
  <c r="DO225" i="59"/>
  <c r="EO188" i="59"/>
  <c r="BU184" i="59"/>
  <c r="AM176" i="59"/>
  <c r="GS216" i="59"/>
  <c r="DH199" i="59"/>
  <c r="Z213" i="59"/>
  <c r="II186" i="59"/>
  <c r="EC212" i="59"/>
  <c r="GB195" i="59"/>
  <c r="AI171" i="59"/>
  <c r="F213" i="59"/>
  <c r="HX210" i="59"/>
  <c r="G169" i="59"/>
  <c r="HU192" i="59"/>
  <c r="FC219" i="59"/>
  <c r="CC191" i="59"/>
  <c r="DZ219" i="59"/>
  <c r="FT182" i="59"/>
  <c r="IJ168" i="59"/>
  <c r="EC193" i="59"/>
  <c r="K187" i="59"/>
  <c r="IE218" i="59"/>
  <c r="FE214" i="59"/>
  <c r="FL208" i="59"/>
  <c r="M213" i="59"/>
  <c r="EA212" i="59"/>
  <c r="EL188" i="59"/>
  <c r="CY173" i="59"/>
  <c r="CL223" i="59"/>
  <c r="EM169" i="59"/>
  <c r="CP186" i="59"/>
  <c r="CE186" i="59"/>
  <c r="FW208" i="59"/>
  <c r="AG226" i="59"/>
  <c r="CF178" i="59"/>
  <c r="FU203" i="59"/>
  <c r="CZ204" i="59"/>
  <c r="HF210" i="59"/>
  <c r="CC173" i="59"/>
  <c r="FG227" i="59"/>
  <c r="EV188" i="59"/>
  <c r="BC215" i="59"/>
  <c r="EZ195" i="59"/>
  <c r="FX195" i="59"/>
  <c r="DS199" i="59"/>
  <c r="GV216" i="59"/>
  <c r="EU169" i="59"/>
  <c r="CP199" i="59"/>
  <c r="GA195" i="59"/>
  <c r="BF228" i="59"/>
  <c r="FK182" i="59"/>
  <c r="GB177" i="59"/>
  <c r="EK175" i="59"/>
  <c r="DG212" i="59"/>
  <c r="DD225" i="59"/>
  <c r="EP188" i="59"/>
  <c r="AF176" i="59"/>
  <c r="DM180" i="59"/>
  <c r="HF166" i="59"/>
  <c r="EY201" i="59"/>
  <c r="EH225" i="59"/>
  <c r="AU202" i="59"/>
  <c r="EY195" i="59"/>
  <c r="FH177" i="59"/>
  <c r="CE197" i="59"/>
  <c r="HF216" i="59"/>
  <c r="EV169" i="59"/>
  <c r="BL184" i="59"/>
  <c r="AF221" i="59"/>
  <c r="BW204" i="59"/>
  <c r="IT181" i="59"/>
  <c r="X169" i="59"/>
  <c r="FK208" i="59"/>
  <c r="CJ204" i="59"/>
  <c r="J174" i="59"/>
  <c r="DJ186" i="59"/>
  <c r="GW210" i="59"/>
  <c r="EQ201" i="59"/>
  <c r="IT218" i="59"/>
  <c r="AM226" i="59"/>
  <c r="DV219" i="59"/>
  <c r="U208" i="59"/>
  <c r="AE208" i="59"/>
  <c r="IO181" i="59"/>
  <c r="FS214" i="59"/>
  <c r="FG214" i="59"/>
  <c r="U169" i="59"/>
  <c r="DF180" i="59"/>
  <c r="FL214" i="59"/>
  <c r="GR166" i="59"/>
  <c r="N200" i="59"/>
  <c r="DS212" i="59"/>
  <c r="CU217" i="59"/>
  <c r="EY182" i="59"/>
  <c r="IR181" i="59"/>
  <c r="CB223" i="59"/>
  <c r="AP189" i="59"/>
  <c r="EG193" i="59"/>
  <c r="FQ182" i="59"/>
  <c r="EC201" i="59"/>
  <c r="BG189" i="59"/>
  <c r="HH184" i="59"/>
  <c r="DE167" i="59"/>
  <c r="BT197" i="59"/>
  <c r="FV177" i="59"/>
  <c r="BJ202" i="59"/>
  <c r="AN184" i="59"/>
  <c r="IP205" i="59"/>
  <c r="DI217" i="59"/>
  <c r="GX216" i="59"/>
  <c r="CF186" i="59"/>
  <c r="CJ186" i="59"/>
  <c r="HC166" i="59"/>
  <c r="GO190" i="59"/>
  <c r="IE186" i="59"/>
  <c r="GD190" i="59"/>
  <c r="EU182" i="59"/>
  <c r="GM177" i="59"/>
  <c r="ED201" i="59"/>
  <c r="BI184" i="59"/>
  <c r="IS186" i="59"/>
  <c r="GD221" i="59"/>
  <c r="AM202" i="59"/>
  <c r="AX189" i="59"/>
  <c r="GR171" i="59"/>
  <c r="AO221" i="59"/>
  <c r="HB166" i="59"/>
  <c r="DB173" i="59"/>
  <c r="FY203" i="59"/>
  <c r="BM202" i="59"/>
  <c r="EG219" i="59"/>
  <c r="FQ227" i="59"/>
  <c r="BQ191" i="59"/>
  <c r="K213" i="59"/>
  <c r="AT221" i="59"/>
  <c r="EX206" i="59"/>
  <c r="HD203" i="59"/>
  <c r="CZ173" i="59"/>
  <c r="FY195" i="59"/>
  <c r="BA189" i="59"/>
  <c r="AR208" i="59"/>
  <c r="DY219" i="59"/>
  <c r="EW188" i="59"/>
  <c r="IS205" i="59"/>
  <c r="HJ166" i="59"/>
  <c r="HL192" i="59"/>
  <c r="CC228" i="59"/>
  <c r="GT184" i="59"/>
  <c r="FJ227" i="59"/>
  <c r="GU216" i="59"/>
  <c r="EI201" i="59"/>
  <c r="BH210" i="59"/>
  <c r="ES206" i="59"/>
  <c r="GF208" i="59"/>
  <c r="FD219" i="59"/>
  <c r="DF217" i="59"/>
  <c r="AX215" i="59"/>
  <c r="IR212" i="59"/>
  <c r="AV171" i="59"/>
  <c r="GT190" i="59"/>
  <c r="BE228" i="59"/>
  <c r="EU227" i="59"/>
  <c r="V200" i="59"/>
  <c r="GW190" i="59"/>
  <c r="GK184" i="59"/>
  <c r="AP202" i="59"/>
  <c r="AG221" i="59"/>
  <c r="AG195" i="59"/>
  <c r="HX166" i="59"/>
  <c r="AY215" i="59"/>
  <c r="IA179" i="59"/>
  <c r="EL175" i="59"/>
  <c r="BE210" i="59"/>
  <c r="IP168" i="59"/>
  <c r="IV173" i="59"/>
  <c r="DA199" i="59"/>
  <c r="IL186" i="59"/>
  <c r="HO205" i="59"/>
  <c r="GF216" i="59"/>
  <c r="DT199" i="59"/>
  <c r="CX186" i="59"/>
  <c r="ES188" i="59"/>
  <c r="AZ184" i="59"/>
  <c r="CH210" i="59"/>
  <c r="CL204" i="59"/>
  <c r="CV167" i="59"/>
  <c r="FB219" i="59"/>
  <c r="HU166" i="59"/>
  <c r="GH190" i="59"/>
  <c r="BZ210" i="59"/>
  <c r="GO197" i="59"/>
  <c r="CV186" i="59"/>
  <c r="DK212" i="59"/>
  <c r="IM223" i="59"/>
  <c r="BH171" i="59"/>
  <c r="DR175" i="59"/>
  <c r="IU186" i="59"/>
  <c r="EQ206" i="59"/>
  <c r="GA227" i="59"/>
  <c r="BY173" i="59"/>
  <c r="GQ184" i="59"/>
  <c r="GE203" i="59"/>
  <c r="BY197" i="59"/>
  <c r="CQ217" i="59"/>
  <c r="EN206" i="59"/>
  <c r="FH214" i="59"/>
  <c r="BD228" i="59"/>
  <c r="AX202" i="59"/>
  <c r="ID205" i="59"/>
  <c r="CF223" i="59"/>
  <c r="HM166" i="59"/>
  <c r="FS177" i="59"/>
  <c r="ID218" i="59"/>
  <c r="CM178" i="59"/>
  <c r="IJ223" i="59"/>
  <c r="H160" i="59"/>
  <c r="HG223" i="59"/>
  <c r="GB221" i="59"/>
  <c r="EB175" i="59"/>
  <c r="DP199" i="59"/>
  <c r="DW167" i="59"/>
  <c r="M195" i="59"/>
  <c r="HE192" i="59"/>
  <c r="CD191" i="59"/>
  <c r="BW228" i="59"/>
  <c r="HF171" i="59"/>
  <c r="IF173" i="59"/>
  <c r="CU199" i="59"/>
  <c r="R182" i="59"/>
  <c r="GV166" i="59"/>
  <c r="GZ184" i="59"/>
  <c r="HQ184" i="59"/>
  <c r="ER169" i="59"/>
  <c r="HI210" i="59"/>
  <c r="HK223" i="59"/>
  <c r="AP184" i="59"/>
  <c r="IQ199" i="59"/>
  <c r="EL206" i="59"/>
  <c r="BT215" i="59"/>
  <c r="BK197" i="59"/>
  <c r="EH193" i="59"/>
  <c r="HV223" i="59"/>
  <c r="DN225" i="59"/>
  <c r="GR190" i="59"/>
  <c r="HL197" i="59"/>
  <c r="O182" i="59"/>
  <c r="CR223" i="59"/>
  <c r="DV199" i="59"/>
  <c r="GG171" i="59"/>
  <c r="L226" i="59"/>
  <c r="HV179" i="59"/>
  <c r="GS166" i="59"/>
  <c r="GO177" i="59"/>
  <c r="Q213" i="59"/>
  <c r="IJ173" i="59"/>
  <c r="DJ180" i="59"/>
  <c r="FN182" i="59"/>
  <c r="DU219" i="59"/>
  <c r="EQ169" i="59"/>
  <c r="HC179" i="59"/>
  <c r="GP177" i="59"/>
  <c r="IK218" i="59"/>
  <c r="AG171" i="59"/>
  <c r="DW180" i="59"/>
  <c r="CD197" i="59"/>
  <c r="CW212" i="59"/>
  <c r="EJ175" i="59"/>
  <c r="G219" i="59"/>
  <c r="HT179" i="59"/>
  <c r="HY173" i="59"/>
  <c r="HK171" i="59"/>
  <c r="GI171" i="59"/>
  <c r="HY210" i="59"/>
  <c r="HD223" i="59"/>
  <c r="HQ179" i="59"/>
  <c r="BR178" i="59"/>
  <c r="IF223" i="59"/>
  <c r="EW214" i="59"/>
  <c r="AP208" i="59"/>
  <c r="FP177" i="59"/>
  <c r="BA184" i="59"/>
  <c r="CC204" i="59"/>
  <c r="HB179" i="59"/>
  <c r="DB217" i="59"/>
  <c r="AY202" i="59"/>
  <c r="HC203" i="59"/>
  <c r="CY167" i="59"/>
  <c r="HI166" i="59"/>
  <c r="DM199" i="59"/>
  <c r="BD197" i="59"/>
  <c r="AS208" i="59"/>
  <c r="AT202" i="59"/>
  <c r="FE219" i="59"/>
  <c r="FD188" i="59"/>
  <c r="DG173" i="59"/>
  <c r="CQ178" i="59"/>
  <c r="CV199" i="59"/>
  <c r="EM201" i="59"/>
  <c r="CI204" i="59"/>
  <c r="FZ190" i="59"/>
  <c r="CP204" i="59"/>
  <c r="BZ197" i="59"/>
  <c r="FZ195" i="59"/>
  <c r="IM205" i="59"/>
  <c r="CJ173" i="59"/>
  <c r="BT210" i="59"/>
  <c r="AA182" i="59"/>
  <c r="AO171" i="59"/>
  <c r="FJ177" i="59"/>
  <c r="BY228" i="59"/>
  <c r="HN179" i="59"/>
  <c r="AM195" i="59"/>
  <c r="AL176" i="59"/>
  <c r="EY227" i="59"/>
  <c r="M208" i="59"/>
  <c r="EP214" i="59"/>
  <c r="FY227" i="59"/>
  <c r="DQ206" i="59"/>
  <c r="DB204" i="59"/>
  <c r="AB226" i="59"/>
  <c r="BI171" i="59"/>
  <c r="AN189" i="59"/>
  <c r="CR186" i="59"/>
  <c r="FC227" i="59"/>
  <c r="BB221" i="59"/>
  <c r="CH204" i="59"/>
  <c r="DC173" i="59"/>
  <c r="DI212" i="59"/>
  <c r="DY175" i="59"/>
  <c r="N159" i="59"/>
  <c r="F174" i="59"/>
  <c r="HM205" i="59"/>
  <c r="CD217" i="59"/>
  <c r="BA215" i="59"/>
  <c r="DF212" i="59"/>
  <c r="FH227" i="59"/>
  <c r="FE201" i="59"/>
  <c r="DA173" i="59"/>
  <c r="BX191" i="59"/>
  <c r="EB193" i="59"/>
  <c r="DZ212" i="59"/>
  <c r="FJ182" i="59"/>
  <c r="DM193" i="59"/>
  <c r="IA205" i="59"/>
  <c r="IH168" i="59"/>
  <c r="CE178" i="59"/>
  <c r="HK210" i="59"/>
  <c r="GM208" i="59"/>
  <c r="J200" i="59"/>
  <c r="GJ177" i="59"/>
  <c r="FA169" i="59"/>
  <c r="HT210" i="59"/>
  <c r="HO197" i="59"/>
  <c r="CS199" i="59"/>
  <c r="AE213" i="59"/>
  <c r="BM197" i="59"/>
  <c r="BP171" i="59"/>
  <c r="GY216" i="59"/>
  <c r="BK223" i="59"/>
  <c r="IF179" i="59"/>
  <c r="FJ201" i="59"/>
  <c r="FZ221" i="59"/>
  <c r="Z226" i="59"/>
  <c r="EJ201" i="59"/>
  <c r="Q187" i="59"/>
  <c r="GR216" i="59"/>
  <c r="EM188" i="59"/>
  <c r="IL173" i="59"/>
  <c r="DP180" i="59"/>
  <c r="BZ173" i="59"/>
  <c r="GS221" i="59"/>
  <c r="FB195" i="59"/>
  <c r="HZ192" i="59"/>
  <c r="L200" i="59"/>
  <c r="FF169" i="59"/>
  <c r="AP171" i="59"/>
  <c r="BT223" i="59"/>
  <c r="IB223" i="59"/>
  <c r="V169" i="59"/>
  <c r="EV206" i="59"/>
  <c r="DC212" i="59"/>
  <c r="HR179" i="59"/>
  <c r="BF215" i="59"/>
  <c r="FB227" i="59"/>
  <c r="IH205" i="59"/>
  <c r="HU205" i="59"/>
  <c r="X182" i="59"/>
  <c r="DY206" i="59"/>
  <c r="GK203" i="59"/>
  <c r="CW204" i="59"/>
  <c r="BC189" i="59"/>
  <c r="IN212" i="59"/>
  <c r="AC208" i="59"/>
  <c r="FM182" i="59"/>
  <c r="DN212" i="59"/>
  <c r="BQ228" i="59"/>
  <c r="DT212" i="59"/>
  <c r="CZ217" i="59"/>
  <c r="AO189" i="59"/>
  <c r="AW215" i="59"/>
  <c r="CI178" i="59"/>
  <c r="CR204" i="59"/>
  <c r="CD228" i="59"/>
  <c r="I200" i="59"/>
  <c r="HF223" i="59"/>
  <c r="HV205" i="59"/>
  <c r="IO218" i="59"/>
  <c r="HD216" i="59"/>
  <c r="DM225" i="59"/>
  <c r="HJ197" i="59"/>
  <c r="EN219" i="59"/>
  <c r="IP181" i="59"/>
  <c r="BP202" i="59"/>
  <c r="AC189" i="59"/>
  <c r="FS182" i="59"/>
  <c r="HU179" i="59"/>
  <c r="AC226" i="59"/>
  <c r="FS169" i="59"/>
  <c r="BO210" i="59"/>
  <c r="U195" i="59"/>
  <c r="GO171" i="59"/>
  <c r="GY166" i="59"/>
  <c r="ET169" i="59"/>
  <c r="GD195" i="59"/>
  <c r="II199" i="59"/>
  <c r="FL177" i="59"/>
  <c r="GZ197" i="59"/>
  <c r="W195" i="59"/>
  <c r="Y176" i="59"/>
  <c r="CR217" i="59"/>
  <c r="FO214" i="59"/>
  <c r="ID192" i="59"/>
  <c r="ED206" i="59"/>
  <c r="K200" i="59"/>
  <c r="AR202" i="59"/>
  <c r="IE210" i="59"/>
  <c r="HP223" i="59"/>
  <c r="AX221" i="59"/>
  <c r="FV227" i="59"/>
  <c r="AA176" i="59"/>
  <c r="EW206" i="59"/>
  <c r="EE193" i="59"/>
  <c r="DB225" i="59"/>
  <c r="HE179" i="59"/>
  <c r="BB228" i="59"/>
  <c r="M187" i="59"/>
  <c r="IU168" i="59"/>
  <c r="GN171" i="59"/>
  <c r="EA175" i="59"/>
  <c r="FE227" i="59"/>
  <c r="L195" i="59"/>
  <c r="GP203" i="59"/>
  <c r="HK205" i="59"/>
  <c r="EA180" i="59"/>
  <c r="IB218" i="59"/>
  <c r="II168" i="59"/>
  <c r="GU190" i="59"/>
  <c r="CN173" i="59"/>
  <c r="EC175" i="59"/>
  <c r="AR171" i="59"/>
  <c r="EK206" i="59"/>
  <c r="HE166" i="59"/>
  <c r="BZ191" i="59"/>
  <c r="FL182" i="59"/>
  <c r="GU221" i="59"/>
  <c r="AG202" i="59"/>
  <c r="CQ223" i="59"/>
  <c r="AK202" i="59"/>
  <c r="HS223" i="59"/>
  <c r="AN208" i="59"/>
  <c r="BM184" i="59"/>
  <c r="BC197" i="59"/>
  <c r="IB186" i="59"/>
  <c r="BP184" i="59"/>
  <c r="DZ206" i="59"/>
  <c r="FP214" i="59"/>
  <c r="AE221" i="59"/>
  <c r="HU218" i="59"/>
  <c r="DO212" i="59"/>
  <c r="DP206" i="59"/>
  <c r="AL195" i="59"/>
  <c r="IS168" i="59"/>
  <c r="HY197" i="59"/>
  <c r="DV188" i="59"/>
  <c r="AR221" i="59"/>
  <c r="CG191" i="59"/>
  <c r="HB216" i="59"/>
  <c r="CG217" i="59"/>
  <c r="GD171" i="59"/>
  <c r="CM217" i="59"/>
  <c r="HU223" i="59"/>
  <c r="DT193" i="59"/>
  <c r="BQ178" i="59"/>
  <c r="DX188" i="59"/>
  <c r="EZ227" i="59"/>
  <c r="GD216" i="59"/>
  <c r="HA210" i="59"/>
  <c r="BV191" i="59"/>
  <c r="AS171" i="59"/>
  <c r="HS192" i="59"/>
  <c r="AA195" i="59"/>
  <c r="BR184" i="59"/>
  <c r="AM171" i="59"/>
  <c r="CV173" i="59"/>
  <c r="CT217" i="59"/>
  <c r="AH202" i="59"/>
  <c r="DO186" i="59"/>
  <c r="M169" i="59"/>
  <c r="ET201" i="59"/>
  <c r="CM199" i="59"/>
  <c r="Z182" i="59"/>
  <c r="GU166" i="59"/>
  <c r="GB190" i="59"/>
  <c r="ED193" i="59"/>
  <c r="EB167" i="59"/>
  <c r="EY175" i="59"/>
  <c r="AD221" i="59"/>
  <c r="ER175" i="59"/>
  <c r="BE189" i="59"/>
  <c r="CM186" i="59"/>
  <c r="GS203" i="59"/>
  <c r="IJ199" i="59"/>
  <c r="CW167" i="59"/>
  <c r="G213" i="59"/>
  <c r="IV199" i="59"/>
  <c r="AA189" i="59"/>
  <c r="CN191" i="59"/>
  <c r="AQ171" i="59"/>
  <c r="FK195" i="59"/>
  <c r="BE171" i="59"/>
  <c r="CR173" i="59"/>
  <c r="DU225" i="59"/>
  <c r="CW191" i="59"/>
  <c r="IV168" i="59"/>
  <c r="DK167" i="59"/>
  <c r="HP197" i="59"/>
  <c r="BM171" i="59"/>
  <c r="FR177" i="59"/>
  <c r="O208" i="59"/>
  <c r="V182" i="59"/>
  <c r="FW221" i="59"/>
  <c r="AU171" i="59"/>
  <c r="DQ199" i="59"/>
  <c r="I169" i="59"/>
  <c r="EI225" i="59"/>
  <c r="EJ193" i="59"/>
  <c r="EV214" i="59"/>
  <c r="DM217" i="59"/>
  <c r="AJ189" i="59"/>
  <c r="AI221" i="59"/>
  <c r="HY223" i="59"/>
  <c r="DC217" i="59"/>
  <c r="BU228" i="59"/>
  <c r="FL169" i="59"/>
  <c r="GH203" i="59"/>
  <c r="CI217" i="59"/>
  <c r="GB208" i="59"/>
  <c r="DD173" i="59"/>
  <c r="DG193" i="59"/>
  <c r="IH192" i="59"/>
  <c r="HZ166" i="59"/>
  <c r="H187" i="59"/>
  <c r="GY197" i="59"/>
  <c r="EX201" i="59"/>
  <c r="S182" i="59"/>
  <c r="BN210" i="59"/>
  <c r="FD195" i="59"/>
  <c r="CJ217" i="59"/>
  <c r="AD189" i="59"/>
  <c r="CS217" i="59"/>
  <c r="DW219" i="59"/>
  <c r="BI197" i="59"/>
  <c r="CA223" i="59"/>
  <c r="DW225" i="59"/>
  <c r="DX206" i="59"/>
  <c r="IH223" i="59"/>
  <c r="GI203" i="59"/>
  <c r="FM195" i="59"/>
  <c r="HF192" i="59"/>
  <c r="DS180" i="59"/>
  <c r="AG176" i="59"/>
  <c r="O169" i="59"/>
  <c r="DF186" i="59"/>
  <c r="II223" i="59"/>
  <c r="CK210" i="59"/>
  <c r="IQ173" i="59"/>
  <c r="K208" i="59"/>
  <c r="AR184" i="59"/>
  <c r="BR223" i="59"/>
  <c r="HD192" i="59"/>
  <c r="IC186" i="59"/>
  <c r="HW205" i="59"/>
  <c r="FC182" i="59"/>
  <c r="CS167" i="59"/>
  <c r="BF202" i="59"/>
  <c r="DB186" i="59"/>
  <c r="DF204" i="59"/>
  <c r="CU173" i="59"/>
  <c r="N226" i="59"/>
  <c r="DV180" i="59"/>
  <c r="DQ167" i="59"/>
  <c r="IG168" i="59"/>
  <c r="CT186" i="59"/>
  <c r="HY186" i="59"/>
  <c r="EZ214" i="59"/>
  <c r="FX208" i="59"/>
  <c r="EE219" i="59"/>
  <c r="BJ223" i="59"/>
  <c r="HS205" i="59"/>
  <c r="BZ204" i="59"/>
  <c r="U182" i="59"/>
  <c r="BS210" i="59"/>
  <c r="AG189" i="59"/>
  <c r="BB189" i="59"/>
  <c r="DH167" i="59"/>
  <c r="DZ193" i="59"/>
  <c r="AQ208" i="59"/>
  <c r="HN166" i="59"/>
  <c r="T213" i="59"/>
  <c r="GQ166" i="59"/>
  <c r="IT199" i="59"/>
  <c r="GI177" i="59"/>
  <c r="GJ171" i="59"/>
  <c r="FU177" i="59"/>
  <c r="J187" i="59"/>
  <c r="CF204" i="59"/>
  <c r="CD223" i="59"/>
  <c r="IT205" i="59"/>
  <c r="GX184" i="59"/>
  <c r="IG218" i="59"/>
  <c r="DC167" i="59"/>
  <c r="CP178" i="59"/>
  <c r="IJ218" i="59"/>
  <c r="IV181" i="59"/>
  <c r="CF191" i="59"/>
  <c r="P160" i="59"/>
  <c r="DL225" i="59"/>
  <c r="FK177" i="59"/>
  <c r="HG192" i="59"/>
  <c r="BB215" i="59"/>
  <c r="CU167" i="59"/>
  <c r="FL201" i="59"/>
  <c r="BX204" i="59"/>
  <c r="CG223" i="59"/>
  <c r="EA206" i="59"/>
  <c r="GP190" i="59"/>
  <c r="X200" i="59"/>
  <c r="AF182" i="59"/>
  <c r="BF197" i="59"/>
  <c r="BU223" i="59"/>
  <c r="CN199" i="59"/>
  <c r="AH226" i="59"/>
  <c r="BD215" i="59"/>
  <c r="GS171" i="59"/>
  <c r="II218" i="59"/>
  <c r="GV221" i="59"/>
  <c r="BI189" i="59"/>
  <c r="G226" i="59"/>
  <c r="CR199" i="59"/>
  <c r="FT214" i="59"/>
  <c r="CE217" i="59"/>
  <c r="FI195" i="59"/>
  <c r="CY199" i="59"/>
  <c r="G182" i="59"/>
  <c r="BG171" i="59"/>
  <c r="DN206" i="59"/>
  <c r="DO180" i="59"/>
  <c r="HC216" i="59"/>
  <c r="ET206" i="59"/>
  <c r="ED219" i="59"/>
  <c r="Y182" i="59"/>
  <c r="HY166" i="59"/>
  <c r="HK216" i="59"/>
  <c r="HL210" i="59"/>
  <c r="IF199" i="59"/>
  <c r="BN184" i="59"/>
  <c r="DR167" i="59"/>
  <c r="CE204" i="59"/>
  <c r="HP205" i="59"/>
  <c r="FL227" i="59"/>
  <c r="FU182" i="59"/>
  <c r="DU180" i="59"/>
  <c r="J169" i="59"/>
  <c r="CD173" i="59"/>
  <c r="FK169" i="59"/>
  <c r="HT166" i="59"/>
  <c r="GT216" i="59"/>
  <c r="FP190" i="59"/>
  <c r="DP212" i="59"/>
  <c r="GZ210" i="59"/>
  <c r="R176" i="59"/>
  <c r="II192" i="59"/>
  <c r="EL214" i="59"/>
  <c r="FI177" i="59"/>
  <c r="BW197" i="59"/>
  <c r="IM192" i="59"/>
  <c r="HH216" i="59"/>
  <c r="T176" i="59"/>
  <c r="U213" i="59"/>
  <c r="FS190" i="59"/>
  <c r="DJ199" i="59"/>
  <c r="IK192" i="59"/>
  <c r="CZ167" i="59"/>
  <c r="AL221" i="59"/>
  <c r="IT168" i="59"/>
  <c r="IF192" i="59"/>
  <c r="HC184" i="59"/>
  <c r="CW186" i="59"/>
  <c r="DY225" i="59"/>
  <c r="HS210" i="59"/>
  <c r="BB197" i="59"/>
  <c r="DA217" i="59"/>
  <c r="EG206" i="59"/>
  <c r="P200" i="59"/>
  <c r="IT225" i="59"/>
  <c r="EF193" i="59"/>
  <c r="EV175" i="59"/>
  <c r="DA180" i="59"/>
  <c r="W208" i="59"/>
  <c r="EP201" i="59"/>
  <c r="AW189" i="59"/>
  <c r="EX169" i="59"/>
  <c r="HS173" i="59"/>
  <c r="FY221" i="59"/>
  <c r="U221" i="59"/>
  <c r="W226" i="59"/>
  <c r="IP218" i="59"/>
  <c r="BZ228" i="59"/>
  <c r="CP217" i="59"/>
  <c r="DU199" i="59"/>
  <c r="EH219" i="59"/>
  <c r="EF225" i="59"/>
  <c r="IT186" i="59"/>
  <c r="IV218" i="59"/>
  <c r="DM186" i="59"/>
  <c r="CK217" i="59"/>
  <c r="DJ212" i="59"/>
  <c r="HS166" i="59"/>
  <c r="EK219" i="59"/>
  <c r="HD179" i="59"/>
  <c r="S200" i="59"/>
  <c r="CK223" i="59"/>
  <c r="FO208" i="59"/>
  <c r="GI184" i="59"/>
  <c r="AH171" i="59"/>
  <c r="V213" i="59"/>
  <c r="BX228" i="59"/>
  <c r="FZ177" i="59"/>
  <c r="AQ184" i="59"/>
  <c r="AJ176" i="59"/>
  <c r="DJ225" i="59"/>
  <c r="BT184" i="59"/>
  <c r="EM206" i="59"/>
  <c r="CB173" i="59"/>
  <c r="HW197" i="59"/>
  <c r="AE195" i="59"/>
  <c r="BL171" i="59"/>
  <c r="IC173" i="59"/>
  <c r="BU210" i="59"/>
  <c r="EU175" i="59"/>
  <c r="FI208" i="59"/>
  <c r="O226" i="59"/>
  <c r="BO184" i="59"/>
  <c r="GQ171" i="59"/>
  <c r="IG192" i="59"/>
  <c r="DL199" i="59"/>
  <c r="HP210" i="59"/>
  <c r="FT221" i="59"/>
  <c r="DL186" i="59"/>
  <c r="CK173" i="59"/>
  <c r="FO195" i="59"/>
  <c r="BB202" i="59"/>
  <c r="CR178" i="59"/>
  <c r="BJ215" i="59"/>
  <c r="FY182" i="59"/>
  <c r="FQ190" i="59"/>
  <c r="BH197" i="59"/>
  <c r="BF210" i="59"/>
  <c r="BK228" i="59"/>
  <c r="ER201" i="59"/>
  <c r="BS215" i="59"/>
  <c r="DU193" i="59"/>
  <c r="EC219" i="59"/>
  <c r="DV212" i="59"/>
  <c r="O213" i="59"/>
  <c r="FU195" i="59"/>
  <c r="GG203" i="59"/>
  <c r="HD210" i="59"/>
  <c r="BQ184" i="59"/>
  <c r="GZ203" i="59"/>
  <c r="IA173" i="59"/>
  <c r="ET182" i="59"/>
  <c r="AL189" i="59"/>
  <c r="CL186" i="59"/>
  <c r="HT197" i="59"/>
  <c r="DX175" i="59"/>
  <c r="EG180" i="59"/>
  <c r="FN190" i="59"/>
  <c r="FV190" i="59"/>
  <c r="EL219" i="59"/>
  <c r="EK169" i="59"/>
  <c r="CO173" i="59"/>
  <c r="BW210" i="59"/>
  <c r="CM191" i="59"/>
  <c r="IS199" i="59"/>
  <c r="AF189" i="59"/>
  <c r="BV223" i="59"/>
  <c r="EB212" i="59"/>
  <c r="HJ179" i="59"/>
  <c r="DX219" i="59"/>
  <c r="EV182" i="59"/>
  <c r="CG204" i="59"/>
  <c r="FN169" i="59"/>
  <c r="GD208" i="59"/>
  <c r="AA221" i="59"/>
  <c r="M200" i="59"/>
  <c r="FV208" i="59"/>
  <c r="CC223" i="59"/>
  <c r="AC221" i="59"/>
  <c r="CW217" i="59"/>
  <c r="G195" i="59"/>
  <c r="W176" i="59"/>
  <c r="CS173" i="59"/>
  <c r="GB216" i="59"/>
  <c r="AI202" i="59"/>
  <c r="H200" i="59"/>
  <c r="FE182" i="59"/>
  <c r="CO186" i="59"/>
  <c r="BQ223" i="59"/>
  <c r="HO192" i="59"/>
  <c r="CV204" i="59"/>
  <c r="HJ184" i="59"/>
  <c r="ES182" i="59"/>
  <c r="HV210" i="59"/>
  <c r="CG186" i="59"/>
  <c r="CK204" i="59"/>
  <c r="DN217" i="59"/>
  <c r="FH195" i="59"/>
  <c r="FC188" i="59"/>
  <c r="IC223" i="59"/>
  <c r="FR214" i="59"/>
  <c r="AM369" i="5"/>
  <c r="BR233" i="59"/>
  <c r="AX81" i="40"/>
  <c r="F121" i="59"/>
  <c r="AY51" i="40"/>
  <c r="GV114" i="59"/>
  <c r="AN19" i="5"/>
  <c r="AQ164" i="59"/>
  <c r="AN391" i="5"/>
  <c r="GI237" i="59"/>
  <c r="AN369" i="5"/>
  <c r="BS233" i="59"/>
  <c r="AY81" i="40"/>
  <c r="G121" i="59"/>
  <c r="AO391" i="5"/>
  <c r="GJ237" i="59"/>
  <c r="AO19" i="5"/>
  <c r="AR164" i="59"/>
  <c r="AR19" i="5"/>
  <c r="AU164" i="59"/>
  <c r="AO369" i="5"/>
  <c r="BT233" i="59"/>
  <c r="AT19" i="5"/>
  <c r="AW164" i="59"/>
  <c r="E13" i="41"/>
  <c r="Q305" i="59"/>
  <c r="AR354" i="5"/>
  <c r="CA230" i="59"/>
  <c r="F13" i="41"/>
  <c r="R305" i="59"/>
  <c r="H8" i="5"/>
  <c r="BT162" i="59"/>
  <c r="E17" i="7"/>
  <c r="FB299" i="59"/>
  <c r="E114" i="42"/>
  <c r="FV311" i="59"/>
  <c r="G13" i="41"/>
  <c r="S305" i="59"/>
  <c r="F17" i="7"/>
  <c r="FC299" i="59"/>
  <c r="H11" i="5"/>
  <c r="FN162" i="59"/>
  <c r="J37" i="40"/>
  <c r="HL111" i="59"/>
  <c r="J41" i="40"/>
  <c r="FE112" i="59"/>
  <c r="I270" i="40"/>
  <c r="DW157" i="59"/>
  <c r="I266" i="40"/>
  <c r="FF156" i="59"/>
  <c r="G17" i="7"/>
  <c r="FD299" i="59"/>
  <c r="F114" i="42"/>
  <c r="FW311" i="59"/>
  <c r="AS293" i="5"/>
  <c r="BR218" i="59"/>
  <c r="AS337" i="5"/>
  <c r="IH226" i="59"/>
  <c r="H151" i="40"/>
  <c r="CL135" i="59"/>
  <c r="H147" i="40"/>
  <c r="EC134" i="59"/>
  <c r="J40" i="40"/>
  <c r="DI112" i="59"/>
  <c r="J39" i="40"/>
  <c r="BM112" i="59"/>
  <c r="I34" i="37"/>
  <c r="EA323" i="59"/>
  <c r="I30" i="37"/>
  <c r="CQ323" i="59"/>
  <c r="I33" i="37"/>
  <c r="DR323" i="59"/>
  <c r="I32" i="37"/>
  <c r="DI323" i="59"/>
  <c r="L270" i="40"/>
  <c r="DZ157" i="59"/>
  <c r="K270" i="40"/>
  <c r="DY157" i="59"/>
  <c r="M270" i="40"/>
  <c r="K266" i="40"/>
  <c r="FH156" i="59"/>
  <c r="L266" i="40"/>
  <c r="FI156" i="59"/>
  <c r="M266" i="40"/>
  <c r="I268" i="40"/>
  <c r="S157" i="59"/>
  <c r="I269" i="40"/>
  <c r="BU157" i="59"/>
  <c r="J151" i="40"/>
  <c r="CN135" i="59"/>
  <c r="AR222" i="40"/>
  <c r="II149" i="59"/>
  <c r="AB222" i="40"/>
  <c r="HS149" i="59"/>
  <c r="M222" i="40"/>
  <c r="HD149" i="59"/>
  <c r="AK222" i="40"/>
  <c r="IB149" i="59"/>
  <c r="U222" i="40"/>
  <c r="HL149" i="59"/>
  <c r="AP222" i="40"/>
  <c r="IG149" i="59"/>
  <c r="Z222" i="40"/>
  <c r="HQ149" i="59"/>
  <c r="AU222" i="40"/>
  <c r="IL149" i="59"/>
  <c r="AE222" i="40"/>
  <c r="HV149" i="59"/>
  <c r="O222" i="40"/>
  <c r="HF149" i="59"/>
  <c r="AV222" i="40"/>
  <c r="IM149" i="59"/>
  <c r="AF222" i="40"/>
  <c r="HW149" i="59"/>
  <c r="P222" i="40"/>
  <c r="HG149" i="59"/>
  <c r="AO222" i="40"/>
  <c r="IF149" i="59"/>
  <c r="Y222" i="40"/>
  <c r="HP149" i="59"/>
  <c r="AT222" i="40"/>
  <c r="IK149" i="59"/>
  <c r="AD222" i="40"/>
  <c r="HU149" i="59"/>
  <c r="N222" i="40"/>
  <c r="HE149" i="59"/>
  <c r="AI222" i="40"/>
  <c r="HZ149" i="59"/>
  <c r="S222" i="40"/>
  <c r="HJ149" i="59"/>
  <c r="AJ222" i="40"/>
  <c r="IA149" i="59"/>
  <c r="T222" i="40"/>
  <c r="HK149" i="59"/>
  <c r="AS222" i="40"/>
  <c r="IJ149" i="59"/>
  <c r="AC222" i="40"/>
  <c r="HT149" i="59"/>
  <c r="AX222" i="40"/>
  <c r="IO149" i="59"/>
  <c r="AH222" i="40"/>
  <c r="HY149" i="59"/>
  <c r="R222" i="40"/>
  <c r="HI149" i="59"/>
  <c r="AM222" i="40"/>
  <c r="ID149" i="59"/>
  <c r="W222" i="40"/>
  <c r="HN149" i="59"/>
  <c r="AN222" i="40"/>
  <c r="IE149" i="59"/>
  <c r="X222" i="40"/>
  <c r="HO149" i="59"/>
  <c r="AW222" i="40"/>
  <c r="IN149" i="59"/>
  <c r="AG222" i="40"/>
  <c r="HX149" i="59"/>
  <c r="Q222" i="40"/>
  <c r="HH149" i="59"/>
  <c r="AL222" i="40"/>
  <c r="IC149" i="59"/>
  <c r="V222" i="40"/>
  <c r="HM149" i="59"/>
  <c r="AQ222" i="40"/>
  <c r="IH149" i="59"/>
  <c r="AA222" i="40"/>
  <c r="HR149" i="59"/>
  <c r="J147" i="40"/>
  <c r="EE134" i="59"/>
  <c r="AJ218" i="40"/>
  <c r="AE149" i="59"/>
  <c r="T218" i="40"/>
  <c r="O149" i="59"/>
  <c r="AS218" i="40"/>
  <c r="AN149" i="59"/>
  <c r="AC218" i="40"/>
  <c r="X149" i="59"/>
  <c r="AX218" i="40"/>
  <c r="AS149" i="59"/>
  <c r="AH218" i="40"/>
  <c r="AC149" i="59"/>
  <c r="R218" i="40"/>
  <c r="M149" i="59"/>
  <c r="AM218" i="40"/>
  <c r="AH149" i="59"/>
  <c r="W218" i="40"/>
  <c r="R149" i="59"/>
  <c r="AN218" i="40"/>
  <c r="AI149" i="59"/>
  <c r="X218" i="40"/>
  <c r="S149" i="59"/>
  <c r="AW218" i="40"/>
  <c r="AR149" i="59"/>
  <c r="AG218" i="40"/>
  <c r="AB149" i="59"/>
  <c r="Q218" i="40"/>
  <c r="L149" i="59"/>
  <c r="AL218" i="40"/>
  <c r="AG149" i="59"/>
  <c r="V218" i="40"/>
  <c r="Q149" i="59"/>
  <c r="AQ218" i="40"/>
  <c r="AL149" i="59"/>
  <c r="AA218" i="40"/>
  <c r="V149" i="59"/>
  <c r="AR218" i="40"/>
  <c r="AM149" i="59"/>
  <c r="AB218" i="40"/>
  <c r="W149" i="59"/>
  <c r="M218" i="40"/>
  <c r="H149" i="59"/>
  <c r="AK218" i="40"/>
  <c r="AF149" i="59"/>
  <c r="U218" i="40"/>
  <c r="P149" i="59"/>
  <c r="AP218" i="40"/>
  <c r="AK149" i="59"/>
  <c r="Z218" i="40"/>
  <c r="U149" i="59"/>
  <c r="AU218" i="40"/>
  <c r="AP149" i="59"/>
  <c r="AE218" i="40"/>
  <c r="Z149" i="59"/>
  <c r="O218" i="40"/>
  <c r="J149" i="59"/>
  <c r="AV218" i="40"/>
  <c r="AQ149" i="59"/>
  <c r="AF218" i="40"/>
  <c r="AA149" i="59"/>
  <c r="P218" i="40"/>
  <c r="K149" i="59"/>
  <c r="AO218" i="40"/>
  <c r="AJ149" i="59"/>
  <c r="Y218" i="40"/>
  <c r="T149" i="59"/>
  <c r="AT218" i="40"/>
  <c r="AO149" i="59"/>
  <c r="AD218" i="40"/>
  <c r="Y149" i="59"/>
  <c r="N218" i="40"/>
  <c r="I149" i="59"/>
  <c r="AI218" i="40"/>
  <c r="AD149" i="59"/>
  <c r="S218" i="40"/>
  <c r="N149" i="59"/>
  <c r="H17" i="7"/>
  <c r="FE299" i="59"/>
  <c r="G114" i="42"/>
  <c r="FX311" i="59"/>
  <c r="AS326" i="5"/>
  <c r="GQ224" i="59"/>
  <c r="AS315" i="5"/>
  <c r="EZ222" i="59"/>
  <c r="H150" i="40"/>
  <c r="AL135" i="59"/>
  <c r="H149" i="40"/>
  <c r="IC134" i="59"/>
  <c r="I35" i="37"/>
  <c r="EJ323" i="59"/>
  <c r="J42" i="40"/>
  <c r="HA112" i="59"/>
  <c r="I31" i="37"/>
  <c r="CZ323" i="59"/>
  <c r="J38" i="40"/>
  <c r="Q112" i="59"/>
  <c r="L147" i="40"/>
  <c r="EG134" i="59"/>
  <c r="H38" i="41"/>
  <c r="FM306" i="59"/>
  <c r="K151" i="40"/>
  <c r="CO135" i="59"/>
  <c r="K147" i="40"/>
  <c r="EF134" i="59"/>
  <c r="H42" i="41"/>
  <c r="HY306" i="59"/>
  <c r="N270" i="40"/>
  <c r="EB157" i="59"/>
  <c r="EA157" i="59"/>
  <c r="N266" i="40"/>
  <c r="FK156" i="59"/>
  <c r="FJ156" i="59"/>
  <c r="Y270" i="40"/>
  <c r="EM157" i="59"/>
  <c r="AJ270" i="40"/>
  <c r="EX157" i="59"/>
  <c r="AQ270" i="40"/>
  <c r="FE157" i="59"/>
  <c r="AI270" i="40"/>
  <c r="EW157" i="59"/>
  <c r="AU270" i="40"/>
  <c r="FI157" i="59"/>
  <c r="AH270" i="40"/>
  <c r="EV157" i="59"/>
  <c r="Q270" i="40"/>
  <c r="EE157" i="59"/>
  <c r="AT270" i="40"/>
  <c r="FH157" i="59"/>
  <c r="AC270" i="40"/>
  <c r="EQ157" i="59"/>
  <c r="AV270" i="40"/>
  <c r="FJ157" i="59"/>
  <c r="AK270" i="40"/>
  <c r="EY157" i="59"/>
  <c r="W270" i="40"/>
  <c r="EK157" i="59"/>
  <c r="AB270" i="40"/>
  <c r="EP157" i="59"/>
  <c r="P270" i="40"/>
  <c r="ED157" i="59"/>
  <c r="AS270" i="40"/>
  <c r="FG157" i="59"/>
  <c r="AM270" i="40"/>
  <c r="FA157" i="59"/>
  <c r="AG270" i="40"/>
  <c r="EU157" i="59"/>
  <c r="AL270" i="40"/>
  <c r="EZ157" i="59"/>
  <c r="AR270" i="40"/>
  <c r="FF157" i="59"/>
  <c r="X270" i="40"/>
  <c r="EL157" i="59"/>
  <c r="U270" i="40"/>
  <c r="EI157" i="59"/>
  <c r="AF270" i="40"/>
  <c r="ET157" i="59"/>
  <c r="AE270" i="40"/>
  <c r="ES157" i="59"/>
  <c r="AX270" i="40"/>
  <c r="FL157" i="59"/>
  <c r="S270" i="40"/>
  <c r="EG157" i="59"/>
  <c r="O270" i="40"/>
  <c r="EC157" i="59"/>
  <c r="AO270" i="40"/>
  <c r="FC157" i="59"/>
  <c r="AZ270" i="40"/>
  <c r="FN157" i="59"/>
  <c r="AN270" i="40"/>
  <c r="FB157" i="59"/>
  <c r="Z270" i="40"/>
  <c r="EN157" i="59"/>
  <c r="AP270" i="40"/>
  <c r="FD157" i="59"/>
  <c r="AA270" i="40"/>
  <c r="EO157" i="59"/>
  <c r="AD270" i="40"/>
  <c r="ER157" i="59"/>
  <c r="AY270" i="40"/>
  <c r="FM157" i="59"/>
  <c r="R270" i="40"/>
  <c r="EF157" i="59"/>
  <c r="AW270" i="40"/>
  <c r="FK157" i="59"/>
  <c r="AZ266" i="40"/>
  <c r="GW156" i="59"/>
  <c r="AS266" i="40"/>
  <c r="GP156" i="59"/>
  <c r="Z266" i="40"/>
  <c r="FW156" i="59"/>
  <c r="AM266" i="40"/>
  <c r="GJ156" i="59"/>
  <c r="R266" i="40"/>
  <c r="FO156" i="59"/>
  <c r="H114" i="42"/>
  <c r="FY311" i="59"/>
  <c r="AX266" i="40"/>
  <c r="GU156" i="59"/>
  <c r="AE266" i="40"/>
  <c r="GB156" i="59"/>
  <c r="X266" i="40"/>
  <c r="FU156" i="59"/>
  <c r="AF266" i="40"/>
  <c r="GC156" i="59"/>
  <c r="AY266" i="40"/>
  <c r="GV156" i="59"/>
  <c r="AQ266" i="40"/>
  <c r="GN156" i="59"/>
  <c r="AI266" i="40"/>
  <c r="GF156" i="59"/>
  <c r="O266" i="40"/>
  <c r="FL156" i="59"/>
  <c r="AW266" i="40"/>
  <c r="GT156" i="59"/>
  <c r="AT266" i="40"/>
  <c r="GQ156" i="59"/>
  <c r="AR266" i="40"/>
  <c r="GO156" i="59"/>
  <c r="AA266" i="40"/>
  <c r="FX156" i="59"/>
  <c r="AN266" i="40"/>
  <c r="GK156" i="59"/>
  <c r="AV266" i="40"/>
  <c r="GS156" i="59"/>
  <c r="AH266" i="40"/>
  <c r="GE156" i="59"/>
  <c r="AP266" i="40"/>
  <c r="GM156" i="59"/>
  <c r="Y266" i="40"/>
  <c r="FV156" i="59"/>
  <c r="AC266" i="40"/>
  <c r="FZ156" i="59"/>
  <c r="Q266" i="40"/>
  <c r="FN156" i="59"/>
  <c r="P266" i="40"/>
  <c r="FM156" i="59"/>
  <c r="AU266" i="40"/>
  <c r="GR156" i="59"/>
  <c r="AD266" i="40"/>
  <c r="GA156" i="59"/>
  <c r="AG266" i="40"/>
  <c r="GD156" i="59"/>
  <c r="S266" i="40"/>
  <c r="FP156" i="59"/>
  <c r="AJ266" i="40"/>
  <c r="GG156" i="59"/>
  <c r="AB266" i="40"/>
  <c r="FY156" i="59"/>
  <c r="AO266" i="40"/>
  <c r="GL156" i="59"/>
  <c r="AK266" i="40"/>
  <c r="GH156" i="59"/>
  <c r="AL266" i="40"/>
  <c r="GI156" i="59"/>
  <c r="W266" i="40"/>
  <c r="FT156" i="59"/>
  <c r="M268" i="40"/>
  <c r="K268" i="40"/>
  <c r="U157" i="59"/>
  <c r="L268" i="40"/>
  <c r="V157" i="59"/>
  <c r="K269" i="40"/>
  <c r="BW157" i="59"/>
  <c r="L269" i="40"/>
  <c r="BX157" i="59"/>
  <c r="L42" i="41"/>
  <c r="IC306" i="59"/>
  <c r="L38" i="41"/>
  <c r="FQ306" i="59"/>
  <c r="H40" i="41"/>
  <c r="GS306" i="59"/>
  <c r="H41" i="41"/>
  <c r="HI306" i="59"/>
  <c r="I267" i="40"/>
  <c r="HH156" i="59"/>
  <c r="I271" i="40"/>
  <c r="FY157" i="59"/>
  <c r="M269" i="40"/>
  <c r="BY157" i="59"/>
  <c r="U147" i="40"/>
  <c r="EP134" i="59"/>
  <c r="Y147" i="40"/>
  <c r="ET134" i="59"/>
  <c r="AC147" i="40"/>
  <c r="EX134" i="59"/>
  <c r="AG147" i="40"/>
  <c r="FB134" i="59"/>
  <c r="AK147" i="40"/>
  <c r="AO147" i="40"/>
  <c r="FJ134" i="59"/>
  <c r="AS147" i="40"/>
  <c r="AW147" i="40"/>
  <c r="T147" i="40"/>
  <c r="EO134" i="59"/>
  <c r="X147" i="40"/>
  <c r="ES134" i="59"/>
  <c r="AB147" i="40"/>
  <c r="EW134" i="59"/>
  <c r="AF147" i="40"/>
  <c r="FA134" i="59"/>
  <c r="AJ147" i="40"/>
  <c r="FE134" i="59"/>
  <c r="AN147" i="40"/>
  <c r="FI134" i="59"/>
  <c r="AR147" i="40"/>
  <c r="FM134" i="59"/>
  <c r="AV147" i="40"/>
  <c r="FQ134" i="59"/>
  <c r="S147" i="40"/>
  <c r="EN134" i="59"/>
  <c r="W147" i="40"/>
  <c r="ER134" i="59"/>
  <c r="AA147" i="40"/>
  <c r="EV134" i="59"/>
  <c r="AE147" i="40"/>
  <c r="AI147" i="40"/>
  <c r="FD134" i="59"/>
  <c r="AM147" i="40"/>
  <c r="FH134" i="59"/>
  <c r="AQ147" i="40"/>
  <c r="FL134" i="59"/>
  <c r="AU147" i="40"/>
  <c r="FP134" i="59"/>
  <c r="R147" i="40"/>
  <c r="EM134" i="59"/>
  <c r="V147" i="40"/>
  <c r="EQ134" i="59"/>
  <c r="Z147" i="40"/>
  <c r="EU134" i="59"/>
  <c r="AD147" i="40"/>
  <c r="EY134" i="59"/>
  <c r="AH147" i="40"/>
  <c r="FC134" i="59"/>
  <c r="AL147" i="40"/>
  <c r="FG134" i="59"/>
  <c r="AP147" i="40"/>
  <c r="FK134" i="59"/>
  <c r="AT147" i="40"/>
  <c r="AX147" i="40"/>
  <c r="FS134" i="59"/>
  <c r="Q147" i="40"/>
  <c r="EL134" i="59"/>
  <c r="P147" i="40"/>
  <c r="O147" i="40"/>
  <c r="EJ134" i="59"/>
  <c r="N147" i="40"/>
  <c r="Z292" i="5"/>
  <c r="IS217" i="59"/>
  <c r="AM292" i="5"/>
  <c r="O218" i="59"/>
  <c r="D292" i="5"/>
  <c r="HW217" i="59"/>
  <c r="X292" i="5"/>
  <c r="IQ217" i="59"/>
  <c r="AO292" i="5"/>
  <c r="Q218" i="59"/>
  <c r="AN336" i="5"/>
  <c r="GF226" i="59"/>
  <c r="T336" i="5"/>
  <c r="FL226" i="59"/>
  <c r="AK336" i="5"/>
  <c r="GC226" i="59"/>
  <c r="AL336" i="5"/>
  <c r="GD226" i="59"/>
  <c r="J292" i="5"/>
  <c r="IC217" i="59"/>
  <c r="AK292" i="5"/>
  <c r="M218" i="59"/>
  <c r="W292" i="5"/>
  <c r="IP217" i="59"/>
  <c r="AL292" i="5"/>
  <c r="N218" i="59"/>
  <c r="AB292" i="5"/>
  <c r="IU217" i="59"/>
  <c r="R292" i="5"/>
  <c r="IK217" i="59"/>
  <c r="H292" i="5"/>
  <c r="IA217" i="59"/>
  <c r="AE292" i="5"/>
  <c r="G218" i="59"/>
  <c r="Y292" i="5"/>
  <c r="IR217" i="59"/>
  <c r="K292" i="5"/>
  <c r="ID217" i="59"/>
  <c r="AH336" i="5"/>
  <c r="FZ226" i="59"/>
  <c r="X336" i="5"/>
  <c r="FP226" i="59"/>
  <c r="N336" i="5"/>
  <c r="FF226" i="59"/>
  <c r="AO336" i="5"/>
  <c r="GG226" i="59"/>
  <c r="AA336" i="5"/>
  <c r="FS226" i="59"/>
  <c r="U336" i="5"/>
  <c r="FM226" i="59"/>
  <c r="G336" i="5"/>
  <c r="EY226" i="59"/>
  <c r="V336" i="5"/>
  <c r="L336" i="5"/>
  <c r="FD226" i="59"/>
  <c r="AI336" i="5"/>
  <c r="GA226" i="59"/>
  <c r="P292" i="5"/>
  <c r="II217" i="59"/>
  <c r="Q292" i="5"/>
  <c r="IJ217" i="59"/>
  <c r="AH292" i="5"/>
  <c r="J218" i="59"/>
  <c r="N292" i="5"/>
  <c r="IG217" i="59"/>
  <c r="AA292" i="5"/>
  <c r="IT217" i="59"/>
  <c r="M336" i="5"/>
  <c r="FE226" i="59"/>
  <c r="AD336" i="5"/>
  <c r="FV226" i="59"/>
  <c r="J336" i="5"/>
  <c r="FB226" i="59"/>
  <c r="W336" i="5"/>
  <c r="FO226" i="59"/>
  <c r="AB336" i="5"/>
  <c r="FT226" i="59"/>
  <c r="U292" i="5"/>
  <c r="IN217" i="59"/>
  <c r="G292" i="5"/>
  <c r="HZ217" i="59"/>
  <c r="V292" i="5"/>
  <c r="IO217" i="59"/>
  <c r="L292" i="5"/>
  <c r="IE217" i="59"/>
  <c r="AI292" i="5"/>
  <c r="K218" i="59"/>
  <c r="AC292" i="5"/>
  <c r="IV217" i="59"/>
  <c r="O292" i="5"/>
  <c r="IH217" i="59"/>
  <c r="I292" i="5"/>
  <c r="IB217" i="59"/>
  <c r="AJ292" i="5"/>
  <c r="L218" i="59"/>
  <c r="R336" i="5"/>
  <c r="FJ226" i="59"/>
  <c r="H336" i="5"/>
  <c r="EZ226" i="59"/>
  <c r="AE336" i="5"/>
  <c r="FW226" i="59"/>
  <c r="Y336" i="5"/>
  <c r="FQ226" i="59"/>
  <c r="K336" i="5"/>
  <c r="FC226" i="59"/>
  <c r="E336" i="5"/>
  <c r="EW226" i="59"/>
  <c r="AF336" i="5"/>
  <c r="FX226" i="59"/>
  <c r="F336" i="5"/>
  <c r="EX226" i="59"/>
  <c r="AG336" i="5"/>
  <c r="FY226" i="59"/>
  <c r="S336" i="5"/>
  <c r="FK226" i="59"/>
  <c r="E292" i="5"/>
  <c r="HX217" i="59"/>
  <c r="AF292" i="5"/>
  <c r="H218" i="59"/>
  <c r="F292" i="5"/>
  <c r="HY217" i="59"/>
  <c r="AG292" i="5"/>
  <c r="I218" i="59"/>
  <c r="S292" i="5"/>
  <c r="IL217" i="59"/>
  <c r="M292" i="5"/>
  <c r="IF217" i="59"/>
  <c r="AN292" i="5"/>
  <c r="P218" i="59"/>
  <c r="AD292" i="5"/>
  <c r="F218" i="59"/>
  <c r="T292" i="5"/>
  <c r="IM217" i="59"/>
  <c r="AC336" i="5"/>
  <c r="FU226" i="59"/>
  <c r="O336" i="5"/>
  <c r="FG226" i="59"/>
  <c r="I336" i="5"/>
  <c r="FA226" i="59"/>
  <c r="AJ336" i="5"/>
  <c r="GB226" i="59"/>
  <c r="Z336" i="5"/>
  <c r="FR226" i="59"/>
  <c r="P336" i="5"/>
  <c r="FH226" i="59"/>
  <c r="AM336" i="5"/>
  <c r="GE226" i="59"/>
  <c r="Q336" i="5"/>
  <c r="FI226" i="59"/>
  <c r="D336" i="5"/>
  <c r="EV226" i="59"/>
  <c r="AS221" i="40"/>
  <c r="GK149" i="59"/>
  <c r="AC221" i="40"/>
  <c r="FU149" i="59"/>
  <c r="AX221" i="40"/>
  <c r="GP149" i="59"/>
  <c r="AH221" i="40"/>
  <c r="FZ149" i="59"/>
  <c r="R221" i="40"/>
  <c r="FJ149" i="59"/>
  <c r="AM221" i="40"/>
  <c r="GE149" i="59"/>
  <c r="W221" i="40"/>
  <c r="FO149" i="59"/>
  <c r="AR221" i="40"/>
  <c r="GJ149" i="59"/>
  <c r="AB221" i="40"/>
  <c r="FT149" i="59"/>
  <c r="M221" i="40"/>
  <c r="FE149" i="59"/>
  <c r="AW221" i="40"/>
  <c r="GO149" i="59"/>
  <c r="AG221" i="40"/>
  <c r="FY149" i="59"/>
  <c r="Q221" i="40"/>
  <c r="FI149" i="59"/>
  <c r="AL221" i="40"/>
  <c r="GD149" i="59"/>
  <c r="V221" i="40"/>
  <c r="FN149" i="59"/>
  <c r="AQ221" i="40"/>
  <c r="GI149" i="59"/>
  <c r="AA221" i="40"/>
  <c r="FS149" i="59"/>
  <c r="AV221" i="40"/>
  <c r="GN149" i="59"/>
  <c r="AF221" i="40"/>
  <c r="FX149" i="59"/>
  <c r="P221" i="40"/>
  <c r="FH149" i="59"/>
  <c r="AK221" i="40"/>
  <c r="GC149" i="59"/>
  <c r="U221" i="40"/>
  <c r="FM149" i="59"/>
  <c r="AP221" i="40"/>
  <c r="GH149" i="59"/>
  <c r="Z221" i="40"/>
  <c r="FR149" i="59"/>
  <c r="AU221" i="40"/>
  <c r="GM149" i="59"/>
  <c r="AE221" i="40"/>
  <c r="FW149" i="59"/>
  <c r="O221" i="40"/>
  <c r="FG149" i="59"/>
  <c r="AJ221" i="40"/>
  <c r="GB149" i="59"/>
  <c r="T221" i="40"/>
  <c r="FL149" i="59"/>
  <c r="AO221" i="40"/>
  <c r="GG149" i="59"/>
  <c r="Y221" i="40"/>
  <c r="FQ149" i="59"/>
  <c r="AT221" i="40"/>
  <c r="GL149" i="59"/>
  <c r="AD221" i="40"/>
  <c r="FV149" i="59"/>
  <c r="N221" i="40"/>
  <c r="FF149" i="59"/>
  <c r="AI221" i="40"/>
  <c r="GA149" i="59"/>
  <c r="S221" i="40"/>
  <c r="FK149" i="59"/>
  <c r="AN221" i="40"/>
  <c r="GF149" i="59"/>
  <c r="X221" i="40"/>
  <c r="FP149" i="59"/>
  <c r="AP220" i="40"/>
  <c r="EI149" i="59"/>
  <c r="Z220" i="40"/>
  <c r="DS149" i="59"/>
  <c r="AU220" i="40"/>
  <c r="EN149" i="59"/>
  <c r="AE220" i="40"/>
  <c r="DX149" i="59"/>
  <c r="O220" i="40"/>
  <c r="DH149" i="59"/>
  <c r="AJ220" i="40"/>
  <c r="EC149" i="59"/>
  <c r="T220" i="40"/>
  <c r="DM149" i="59"/>
  <c r="AO220" i="40"/>
  <c r="EH149" i="59"/>
  <c r="Y220" i="40"/>
  <c r="DR149" i="59"/>
  <c r="AT220" i="40"/>
  <c r="EM149" i="59"/>
  <c r="AD220" i="40"/>
  <c r="DW149" i="59"/>
  <c r="N220" i="40"/>
  <c r="DG149" i="59"/>
  <c r="AI220" i="40"/>
  <c r="EB149" i="59"/>
  <c r="S220" i="40"/>
  <c r="DL149" i="59"/>
  <c r="AN220" i="40"/>
  <c r="EG149" i="59"/>
  <c r="X220" i="40"/>
  <c r="DQ149" i="59"/>
  <c r="AS220" i="40"/>
  <c r="EL149" i="59"/>
  <c r="AC220" i="40"/>
  <c r="DV149" i="59"/>
  <c r="M220" i="40"/>
  <c r="DF149" i="59"/>
  <c r="AX220" i="40"/>
  <c r="EQ149" i="59"/>
  <c r="AH220" i="40"/>
  <c r="EA149" i="59"/>
  <c r="R220" i="40"/>
  <c r="DK149" i="59"/>
  <c r="AM220" i="40"/>
  <c r="EF149" i="59"/>
  <c r="W220" i="40"/>
  <c r="DP149" i="59"/>
  <c r="AR220" i="40"/>
  <c r="EK149" i="59"/>
  <c r="AB220" i="40"/>
  <c r="DU149" i="59"/>
  <c r="AW220" i="40"/>
  <c r="EP149" i="59"/>
  <c r="AG220" i="40"/>
  <c r="DZ149" i="59"/>
  <c r="Q220" i="40"/>
  <c r="DJ149" i="59"/>
  <c r="AL220" i="40"/>
  <c r="EE149" i="59"/>
  <c r="V220" i="40"/>
  <c r="DO149" i="59"/>
  <c r="AQ220" i="40"/>
  <c r="EJ149" i="59"/>
  <c r="AA220" i="40"/>
  <c r="DT149" i="59"/>
  <c r="AV220" i="40"/>
  <c r="EO149" i="59"/>
  <c r="AF220" i="40"/>
  <c r="DY149" i="59"/>
  <c r="P220" i="40"/>
  <c r="DI149" i="59"/>
  <c r="AK220" i="40"/>
  <c r="ED149" i="59"/>
  <c r="U220" i="40"/>
  <c r="DN149" i="59"/>
  <c r="M147" i="40"/>
  <c r="J150" i="40"/>
  <c r="AN135" i="59"/>
  <c r="L149" i="40"/>
  <c r="IG134" i="59"/>
  <c r="J149" i="40"/>
  <c r="IE134" i="59"/>
  <c r="AS348" i="5"/>
  <c r="AH229" i="59"/>
  <c r="AS304" i="5"/>
  <c r="DI220" i="59"/>
  <c r="L150" i="40"/>
  <c r="AP135" i="59"/>
  <c r="K150" i="40"/>
  <c r="AO135" i="59"/>
  <c r="H148" i="40"/>
  <c r="GC134" i="59"/>
  <c r="H152" i="40"/>
  <c r="K149" i="40"/>
  <c r="IF134" i="59"/>
  <c r="L151" i="40"/>
  <c r="CP135" i="59"/>
  <c r="U266" i="40"/>
  <c r="FR156" i="59"/>
  <c r="V266" i="40"/>
  <c r="FS156" i="59"/>
  <c r="T270" i="40"/>
  <c r="EH157" i="59"/>
  <c r="V270" i="40"/>
  <c r="EJ157" i="59"/>
  <c r="T266" i="40"/>
  <c r="FQ156" i="59"/>
  <c r="H104" i="59"/>
  <c r="EL135" i="59"/>
  <c r="D293" i="5"/>
  <c r="AC218" i="59"/>
  <c r="EH134" i="59"/>
  <c r="V160" i="59"/>
  <c r="FN226" i="59"/>
  <c r="AJ293" i="5"/>
  <c r="BI218" i="59"/>
  <c r="FN134" i="59"/>
  <c r="E293" i="5"/>
  <c r="AD218" i="59"/>
  <c r="EI134" i="59"/>
  <c r="AB293" i="5"/>
  <c r="BA218" i="59"/>
  <c r="FF134" i="59"/>
  <c r="N268" i="40"/>
  <c r="X157" i="59"/>
  <c r="W157" i="59"/>
  <c r="G293" i="5"/>
  <c r="AF218" i="59"/>
  <c r="EK134" i="59"/>
  <c r="AK293" i="5"/>
  <c r="BJ218" i="59"/>
  <c r="FO134" i="59"/>
  <c r="AN293" i="5"/>
  <c r="BM218" i="59"/>
  <c r="FR134" i="59"/>
  <c r="V293" i="5"/>
  <c r="AU218" i="59"/>
  <c r="EZ134" i="59"/>
  <c r="Y293" i="5"/>
  <c r="AX218" i="59"/>
  <c r="AA293" i="5"/>
  <c r="AZ218" i="59"/>
  <c r="N293" i="5"/>
  <c r="AM218" i="59"/>
  <c r="J293" i="5"/>
  <c r="AI218" i="59"/>
  <c r="AC293" i="5"/>
  <c r="BB218" i="59"/>
  <c r="AD293" i="5"/>
  <c r="BC218" i="59"/>
  <c r="AE293" i="5"/>
  <c r="BD218" i="59"/>
  <c r="AF293" i="5"/>
  <c r="BE218" i="59"/>
  <c r="Z293" i="5"/>
  <c r="AY218" i="59"/>
  <c r="F293" i="5"/>
  <c r="AE218" i="59"/>
  <c r="U293" i="5"/>
  <c r="AT218" i="59"/>
  <c r="W293" i="5"/>
  <c r="AV218" i="59"/>
  <c r="X293" i="5"/>
  <c r="AW218" i="59"/>
  <c r="Q293" i="5"/>
  <c r="AP218" i="59"/>
  <c r="R293" i="5"/>
  <c r="AQ218" i="59"/>
  <c r="S293" i="5"/>
  <c r="AR218" i="59"/>
  <c r="T293" i="5"/>
  <c r="AS218" i="59"/>
  <c r="M293" i="5"/>
  <c r="AL218" i="59"/>
  <c r="I293" i="5"/>
  <c r="AH218" i="59"/>
  <c r="L293" i="5"/>
  <c r="AK218" i="59"/>
  <c r="AL293" i="5"/>
  <c r="BK218" i="59"/>
  <c r="AM293" i="5"/>
  <c r="BL218" i="59"/>
  <c r="H293" i="5"/>
  <c r="AG218" i="59"/>
  <c r="O293" i="5"/>
  <c r="AN218" i="59"/>
  <c r="P293" i="5"/>
  <c r="AO218" i="59"/>
  <c r="AO293" i="5"/>
  <c r="BN218" i="59"/>
  <c r="K293" i="5"/>
  <c r="AJ218" i="59"/>
  <c r="AG293" i="5"/>
  <c r="BF218" i="59"/>
  <c r="AH293" i="5"/>
  <c r="BG218" i="59"/>
  <c r="AI293" i="5"/>
  <c r="BH218" i="59"/>
  <c r="AP268" i="40"/>
  <c r="AZ157" i="59"/>
  <c r="AO268" i="40"/>
  <c r="AY157" i="59"/>
  <c r="AH268" i="40"/>
  <c r="AR157" i="59"/>
  <c r="AW268" i="40"/>
  <c r="BG157" i="59"/>
  <c r="AQ268" i="40"/>
  <c r="BA157" i="59"/>
  <c r="P268" i="40"/>
  <c r="Z157" i="59"/>
  <c r="AB268" i="40"/>
  <c r="AL157" i="59"/>
  <c r="AI268" i="40"/>
  <c r="AS157" i="59"/>
  <c r="AF268" i="40"/>
  <c r="AP157" i="59"/>
  <c r="AE268" i="40"/>
  <c r="AO157" i="59"/>
  <c r="AA268" i="40"/>
  <c r="AK157" i="59"/>
  <c r="AY268" i="40"/>
  <c r="BI157" i="59"/>
  <c r="AL268" i="40"/>
  <c r="AV157" i="59"/>
  <c r="AG268" i="40"/>
  <c r="AQ157" i="59"/>
  <c r="R268" i="40"/>
  <c r="AB157" i="59"/>
  <c r="AU268" i="40"/>
  <c r="BE157" i="59"/>
  <c r="AS268" i="40"/>
  <c r="BC157" i="59"/>
  <c r="AV268" i="40"/>
  <c r="BF157" i="59"/>
  <c r="AY269" i="40"/>
  <c r="DK157" i="59"/>
  <c r="O269" i="40"/>
  <c r="CA157" i="59"/>
  <c r="AH269" i="40"/>
  <c r="CT157" i="59"/>
  <c r="AM268" i="40"/>
  <c r="AW157" i="59"/>
  <c r="Q268" i="40"/>
  <c r="AA157" i="59"/>
  <c r="AX268" i="40"/>
  <c r="BH157" i="59"/>
  <c r="AJ268" i="40"/>
  <c r="AT157" i="59"/>
  <c r="AZ268" i="40"/>
  <c r="BJ157" i="59"/>
  <c r="AZ269" i="40"/>
  <c r="DL157" i="59"/>
  <c r="AN268" i="40"/>
  <c r="AX157" i="59"/>
  <c r="AT268" i="40"/>
  <c r="BD157" i="59"/>
  <c r="AK268" i="40"/>
  <c r="AU157" i="59"/>
  <c r="AL269" i="40"/>
  <c r="CX157" i="59"/>
  <c r="AC269" i="40"/>
  <c r="CO157" i="59"/>
  <c r="AC268" i="40"/>
  <c r="AM157" i="59"/>
  <c r="O268" i="40"/>
  <c r="Y157" i="59"/>
  <c r="AR268" i="40"/>
  <c r="BB157" i="59"/>
  <c r="AD268" i="40"/>
  <c r="AN157" i="59"/>
  <c r="S268" i="40"/>
  <c r="AC157" i="59"/>
  <c r="S269" i="40"/>
  <c r="CE157" i="59"/>
  <c r="AI269" i="40"/>
  <c r="CU157" i="59"/>
  <c r="AW269" i="40"/>
  <c r="DI157" i="59"/>
  <c r="AP269" i="40"/>
  <c r="DB157" i="59"/>
  <c r="Z269" i="40"/>
  <c r="CL157" i="59"/>
  <c r="AV269" i="40"/>
  <c r="DH157" i="59"/>
  <c r="AS269" i="40"/>
  <c r="DE157" i="59"/>
  <c r="AQ269" i="40"/>
  <c r="DC157" i="59"/>
  <c r="AG269" i="40"/>
  <c r="CS157" i="59"/>
  <c r="AT269" i="40"/>
  <c r="DF157" i="59"/>
  <c r="Q269" i="40"/>
  <c r="CC157" i="59"/>
  <c r="AN269" i="40"/>
  <c r="CZ157" i="59"/>
  <c r="AJ269" i="40"/>
  <c r="CV157" i="59"/>
  <c r="AD269" i="40"/>
  <c r="CP157" i="59"/>
  <c r="AX269" i="40"/>
  <c r="DJ157" i="59"/>
  <c r="AO269" i="40"/>
  <c r="DA157" i="59"/>
  <c r="AM269" i="40"/>
  <c r="CY157" i="59"/>
  <c r="AR269" i="40"/>
  <c r="DD157" i="59"/>
  <c r="AK269" i="40"/>
  <c r="CW157" i="59"/>
  <c r="AA269" i="40"/>
  <c r="CM157" i="59"/>
  <c r="AB269" i="40"/>
  <c r="CN157" i="59"/>
  <c r="X269" i="40"/>
  <c r="CJ157" i="59"/>
  <c r="AU269" i="40"/>
  <c r="DG157" i="59"/>
  <c r="W269" i="40"/>
  <c r="CI157" i="59"/>
  <c r="P269" i="40"/>
  <c r="CB157" i="59"/>
  <c r="R269" i="40"/>
  <c r="CD157" i="59"/>
  <c r="AE269" i="40"/>
  <c r="CQ157" i="59"/>
  <c r="AF269" i="40"/>
  <c r="CR157" i="59"/>
  <c r="K267" i="40"/>
  <c r="HJ156" i="59"/>
  <c r="M271" i="40"/>
  <c r="L267" i="40"/>
  <c r="HK156" i="59"/>
  <c r="M267" i="40"/>
  <c r="K271" i="40"/>
  <c r="GA157" i="59"/>
  <c r="M151" i="40"/>
  <c r="CQ135" i="59"/>
  <c r="L271" i="40"/>
  <c r="GB157" i="59"/>
  <c r="N269" i="40"/>
  <c r="BZ157" i="59"/>
  <c r="L40" i="41"/>
  <c r="GW306" i="59"/>
  <c r="H39" i="41"/>
  <c r="GC306" i="59"/>
  <c r="H43" i="41"/>
  <c r="IO306" i="59"/>
  <c r="L41" i="41"/>
  <c r="HM306" i="59"/>
  <c r="AT151" i="40"/>
  <c r="DX135" i="59"/>
  <c r="AD151" i="40"/>
  <c r="DH135" i="59"/>
  <c r="AU151" i="40"/>
  <c r="AE151" i="40"/>
  <c r="AV151" i="40"/>
  <c r="AF151" i="40"/>
  <c r="AW151" i="40"/>
  <c r="AG151" i="40"/>
  <c r="AX151" i="40"/>
  <c r="EB135" i="59"/>
  <c r="AH151" i="40"/>
  <c r="R151" i="40"/>
  <c r="AI151" i="40"/>
  <c r="S151" i="40"/>
  <c r="AJ151" i="40"/>
  <c r="T151" i="40"/>
  <c r="AK151" i="40"/>
  <c r="U151" i="40"/>
  <c r="CY135" i="59"/>
  <c r="R150" i="40"/>
  <c r="AV135" i="59"/>
  <c r="V150" i="40"/>
  <c r="Z150" i="40"/>
  <c r="AD150" i="40"/>
  <c r="AH150" i="40"/>
  <c r="AL150" i="40"/>
  <c r="AP150" i="40"/>
  <c r="AT150" i="40"/>
  <c r="BX135" i="59"/>
  <c r="AX150" i="40"/>
  <c r="CB135" i="59"/>
  <c r="U150" i="40"/>
  <c r="AY135" i="59"/>
  <c r="Y150" i="40"/>
  <c r="AC150" i="40"/>
  <c r="AG150" i="40"/>
  <c r="AK150" i="40"/>
  <c r="AO150" i="40"/>
  <c r="AS150" i="40"/>
  <c r="BW135" i="59"/>
  <c r="AW150" i="40"/>
  <c r="CA135" i="59"/>
  <c r="T150" i="40"/>
  <c r="X150" i="40"/>
  <c r="AB150" i="40"/>
  <c r="AF150" i="40"/>
  <c r="AJ150" i="40"/>
  <c r="AN150" i="40"/>
  <c r="AR150" i="40"/>
  <c r="BV135" i="59"/>
  <c r="AV150" i="40"/>
  <c r="BZ135" i="59"/>
  <c r="S150" i="40"/>
  <c r="AW135" i="59"/>
  <c r="W150" i="40"/>
  <c r="AA150" i="40"/>
  <c r="AE150" i="40"/>
  <c r="AI150" i="40"/>
  <c r="AM150" i="40"/>
  <c r="AQ150" i="40"/>
  <c r="BU135" i="59"/>
  <c r="AU150" i="40"/>
  <c r="AL151" i="40"/>
  <c r="DP135" i="59"/>
  <c r="V151" i="40"/>
  <c r="AM151" i="40"/>
  <c r="W151" i="40"/>
  <c r="AN151" i="40"/>
  <c r="X151" i="40"/>
  <c r="AO151" i="40"/>
  <c r="DS135" i="59"/>
  <c r="Y151" i="40"/>
  <c r="DC135" i="59"/>
  <c r="S149" i="40"/>
  <c r="IN134" i="59"/>
  <c r="W149" i="40"/>
  <c r="AA149" i="40"/>
  <c r="AE149" i="40"/>
  <c r="AI149" i="40"/>
  <c r="AM149" i="40"/>
  <c r="AQ149" i="40"/>
  <c r="U135" i="59"/>
  <c r="AU149" i="40"/>
  <c r="R149" i="40"/>
  <c r="IM134" i="59"/>
  <c r="V149" i="40"/>
  <c r="Z149" i="40"/>
  <c r="AD149" i="40"/>
  <c r="AH149" i="40"/>
  <c r="AL149" i="40"/>
  <c r="AP149" i="40"/>
  <c r="T135" i="59"/>
  <c r="AT149" i="40"/>
  <c r="X135" i="59"/>
  <c r="AX149" i="40"/>
  <c r="AB135" i="59"/>
  <c r="U149" i="40"/>
  <c r="Y149" i="40"/>
  <c r="AC149" i="40"/>
  <c r="AG149" i="40"/>
  <c r="AK149" i="40"/>
  <c r="AO149" i="40"/>
  <c r="AS149" i="40"/>
  <c r="AW149" i="40"/>
  <c r="T149" i="40"/>
  <c r="X149" i="40"/>
  <c r="AB149" i="40"/>
  <c r="AF149" i="40"/>
  <c r="AJ149" i="40"/>
  <c r="AN149" i="40"/>
  <c r="AR149" i="40"/>
  <c r="V135" i="59"/>
  <c r="AV149" i="40"/>
  <c r="AP151" i="40"/>
  <c r="Z151" i="40"/>
  <c r="AQ151" i="40"/>
  <c r="AA151" i="40"/>
  <c r="AR151" i="40"/>
  <c r="AB151" i="40"/>
  <c r="DF135" i="59"/>
  <c r="AS151" i="40"/>
  <c r="DW135" i="59"/>
  <c r="AC151" i="40"/>
  <c r="DG135" i="59"/>
  <c r="Q149" i="40"/>
  <c r="O149" i="40"/>
  <c r="N149" i="40"/>
  <c r="P149" i="40"/>
  <c r="P151" i="40"/>
  <c r="O151" i="40"/>
  <c r="N151" i="40"/>
  <c r="CR135" i="59"/>
  <c r="Q150" i="40"/>
  <c r="AU135" i="59"/>
  <c r="P150" i="40"/>
  <c r="O150" i="40"/>
  <c r="N150" i="40"/>
  <c r="Q151" i="40"/>
  <c r="W314" i="5"/>
  <c r="CG222" i="59"/>
  <c r="AN314" i="5"/>
  <c r="CX222" i="59"/>
  <c r="D314" i="5"/>
  <c r="BN222" i="59"/>
  <c r="AE314" i="5"/>
  <c r="CO222" i="59"/>
  <c r="K314" i="5"/>
  <c r="BU222" i="59"/>
  <c r="U325" i="5"/>
  <c r="DV224" i="59"/>
  <c r="K325" i="5"/>
  <c r="AB325" i="5"/>
  <c r="EC224" i="59"/>
  <c r="H325" i="5"/>
  <c r="DI224" i="59"/>
  <c r="I325" i="5"/>
  <c r="DJ224" i="59"/>
  <c r="G314" i="5"/>
  <c r="BQ222" i="59"/>
  <c r="AH314" i="5"/>
  <c r="CR222" i="59"/>
  <c r="X314" i="5"/>
  <c r="CH222" i="59"/>
  <c r="N314" i="5"/>
  <c r="BX222" i="59"/>
  <c r="AO314" i="5"/>
  <c r="CY222" i="59"/>
  <c r="O314" i="5"/>
  <c r="BY222" i="59"/>
  <c r="E314" i="5"/>
  <c r="BO222" i="59"/>
  <c r="AF314" i="5"/>
  <c r="CP222" i="59"/>
  <c r="V314" i="5"/>
  <c r="CF222" i="59"/>
  <c r="O325" i="5"/>
  <c r="DP224" i="59"/>
  <c r="E325" i="5"/>
  <c r="DF224" i="59"/>
  <c r="AF325" i="5"/>
  <c r="EG224" i="59"/>
  <c r="V325" i="5"/>
  <c r="DW224" i="59"/>
  <c r="L325" i="5"/>
  <c r="DM224" i="59"/>
  <c r="AM325" i="5"/>
  <c r="EN224" i="59"/>
  <c r="AC325" i="5"/>
  <c r="ED224" i="59"/>
  <c r="D325" i="5"/>
  <c r="DE224" i="59"/>
  <c r="AD325" i="5"/>
  <c r="EE224" i="59"/>
  <c r="T325" i="5"/>
  <c r="DU224" i="59"/>
  <c r="M314" i="5"/>
  <c r="BW222" i="59"/>
  <c r="AD314" i="5"/>
  <c r="CN222" i="59"/>
  <c r="U314" i="5"/>
  <c r="CE222" i="59"/>
  <c r="AL314" i="5"/>
  <c r="CV222" i="59"/>
  <c r="AE325" i="5"/>
  <c r="EF224" i="59"/>
  <c r="AL325" i="5"/>
  <c r="EM224" i="59"/>
  <c r="R325" i="5"/>
  <c r="DS224" i="59"/>
  <c r="S325" i="5"/>
  <c r="DT224" i="59"/>
  <c r="AJ325" i="5"/>
  <c r="EK224" i="59"/>
  <c r="AB314" i="5"/>
  <c r="CL222" i="59"/>
  <c r="R314" i="5"/>
  <c r="CB222" i="59"/>
  <c r="H314" i="5"/>
  <c r="BR222" i="59"/>
  <c r="AI314" i="5"/>
  <c r="CS222" i="59"/>
  <c r="Y314" i="5"/>
  <c r="CI222" i="59"/>
  <c r="AJ314" i="5"/>
  <c r="CT222" i="59"/>
  <c r="Z314" i="5"/>
  <c r="CJ222" i="59"/>
  <c r="P314" i="5"/>
  <c r="BZ222" i="59"/>
  <c r="F314" i="5"/>
  <c r="BP222" i="59"/>
  <c r="AG314" i="5"/>
  <c r="CQ222" i="59"/>
  <c r="Z325" i="5"/>
  <c r="EA224" i="59"/>
  <c r="P325" i="5"/>
  <c r="DQ224" i="59"/>
  <c r="F325" i="5"/>
  <c r="DG224" i="59"/>
  <c r="AG325" i="5"/>
  <c r="EH224" i="59"/>
  <c r="W325" i="5"/>
  <c r="DX224" i="59"/>
  <c r="M325" i="5"/>
  <c r="DN224" i="59"/>
  <c r="AN325" i="5"/>
  <c r="EO224" i="59"/>
  <c r="N325" i="5"/>
  <c r="DO224" i="59"/>
  <c r="AO325" i="5"/>
  <c r="EP224" i="59"/>
  <c r="L314" i="5"/>
  <c r="BV222" i="59"/>
  <c r="AM314" i="5"/>
  <c r="CW222" i="59"/>
  <c r="AC314" i="5"/>
  <c r="CM222" i="59"/>
  <c r="S314" i="5"/>
  <c r="CC222" i="59"/>
  <c r="I314" i="5"/>
  <c r="BS222" i="59"/>
  <c r="T314" i="5"/>
  <c r="CD222" i="59"/>
  <c r="J314" i="5"/>
  <c r="BT222" i="59"/>
  <c r="AK314" i="5"/>
  <c r="CU222" i="59"/>
  <c r="AA314" i="5"/>
  <c r="CK222" i="59"/>
  <c r="Q314" i="5"/>
  <c r="CA222" i="59"/>
  <c r="J325" i="5"/>
  <c r="DK224" i="59"/>
  <c r="AK325" i="5"/>
  <c r="EL224" i="59"/>
  <c r="AA325" i="5"/>
  <c r="EB224" i="59"/>
  <c r="Q325" i="5"/>
  <c r="DR224" i="59"/>
  <c r="G325" i="5"/>
  <c r="DH224" i="59"/>
  <c r="AH325" i="5"/>
  <c r="EI224" i="59"/>
  <c r="X325" i="5"/>
  <c r="DY224" i="59"/>
  <c r="AI325" i="5"/>
  <c r="EJ224" i="59"/>
  <c r="Y325" i="5"/>
  <c r="DZ224" i="59"/>
  <c r="AQ223" i="40"/>
  <c r="AP150" i="59"/>
  <c r="AA223" i="40"/>
  <c r="Z150" i="59"/>
  <c r="AV223" i="40"/>
  <c r="AU150" i="59"/>
  <c r="AF223" i="40"/>
  <c r="AE150" i="59"/>
  <c r="P223" i="40"/>
  <c r="O150" i="59"/>
  <c r="AO223" i="40"/>
  <c r="AN150" i="59"/>
  <c r="Y223" i="40"/>
  <c r="X150" i="59"/>
  <c r="AT223" i="40"/>
  <c r="AS150" i="59"/>
  <c r="AD223" i="40"/>
  <c r="AC150" i="59"/>
  <c r="N223" i="40"/>
  <c r="M150" i="59"/>
  <c r="AU223" i="40"/>
  <c r="AT150" i="59"/>
  <c r="AE223" i="40"/>
  <c r="AD150" i="59"/>
  <c r="O223" i="40"/>
  <c r="N150" i="59"/>
  <c r="AJ223" i="40"/>
  <c r="AI150" i="59"/>
  <c r="T223" i="40"/>
  <c r="S150" i="59"/>
  <c r="AS223" i="40"/>
  <c r="AR150" i="59"/>
  <c r="AC223" i="40"/>
  <c r="AB150" i="59"/>
  <c r="AX223" i="40"/>
  <c r="AW150" i="59"/>
  <c r="AH223" i="40"/>
  <c r="AG150" i="59"/>
  <c r="R223" i="40"/>
  <c r="Q150" i="59"/>
  <c r="AI223" i="40"/>
  <c r="AH150" i="59"/>
  <c r="S223" i="40"/>
  <c r="R150" i="59"/>
  <c r="AN223" i="40"/>
  <c r="AM150" i="59"/>
  <c r="X223" i="40"/>
  <c r="W150" i="59"/>
  <c r="AW223" i="40"/>
  <c r="AV150" i="59"/>
  <c r="AG223" i="40"/>
  <c r="AF150" i="59"/>
  <c r="Q223" i="40"/>
  <c r="P150" i="59"/>
  <c r="AL223" i="40"/>
  <c r="AK150" i="59"/>
  <c r="V223" i="40"/>
  <c r="U150" i="59"/>
  <c r="AM223" i="40"/>
  <c r="AL150" i="59"/>
  <c r="W223" i="40"/>
  <c r="V150" i="59"/>
  <c r="AR223" i="40"/>
  <c r="AQ150" i="59"/>
  <c r="AB223" i="40"/>
  <c r="AA150" i="59"/>
  <c r="M223" i="40"/>
  <c r="L150" i="59"/>
  <c r="AK223" i="40"/>
  <c r="AJ150" i="59"/>
  <c r="U223" i="40"/>
  <c r="T150" i="59"/>
  <c r="AP223" i="40"/>
  <c r="AO150" i="59"/>
  <c r="Z223" i="40"/>
  <c r="Y150" i="59"/>
  <c r="J148" i="40"/>
  <c r="GE134" i="59"/>
  <c r="AI219" i="40"/>
  <c r="CC149" i="59"/>
  <c r="S219" i="40"/>
  <c r="BM149" i="59"/>
  <c r="AN219" i="40"/>
  <c r="CH149" i="59"/>
  <c r="X219" i="40"/>
  <c r="BR149" i="59"/>
  <c r="AW219" i="40"/>
  <c r="CQ149" i="59"/>
  <c r="AG219" i="40"/>
  <c r="CA149" i="59"/>
  <c r="Q219" i="40"/>
  <c r="BK149" i="59"/>
  <c r="AL219" i="40"/>
  <c r="CF149" i="59"/>
  <c r="V219" i="40"/>
  <c r="BP149" i="59"/>
  <c r="AM219" i="40"/>
  <c r="CG149" i="59"/>
  <c r="W219" i="40"/>
  <c r="BQ149" i="59"/>
  <c r="AR219" i="40"/>
  <c r="CL149" i="59"/>
  <c r="AB219" i="40"/>
  <c r="BV149" i="59"/>
  <c r="M219" i="40"/>
  <c r="BG149" i="59"/>
  <c r="AK219" i="40"/>
  <c r="CE149" i="59"/>
  <c r="U219" i="40"/>
  <c r="BO149" i="59"/>
  <c r="AP219" i="40"/>
  <c r="CJ149" i="59"/>
  <c r="Z219" i="40"/>
  <c r="BT149" i="59"/>
  <c r="AQ219" i="40"/>
  <c r="CK149" i="59"/>
  <c r="AA219" i="40"/>
  <c r="BU149" i="59"/>
  <c r="AV219" i="40"/>
  <c r="CP149" i="59"/>
  <c r="AF219" i="40"/>
  <c r="BZ149" i="59"/>
  <c r="P219" i="40"/>
  <c r="BJ149" i="59"/>
  <c r="AO219" i="40"/>
  <c r="CI149" i="59"/>
  <c r="Y219" i="40"/>
  <c r="BS149" i="59"/>
  <c r="AT219" i="40"/>
  <c r="CN149" i="59"/>
  <c r="AD219" i="40"/>
  <c r="BX149" i="59"/>
  <c r="N219" i="40"/>
  <c r="BH149" i="59"/>
  <c r="AU219" i="40"/>
  <c r="CO149" i="59"/>
  <c r="AE219" i="40"/>
  <c r="BY149" i="59"/>
  <c r="O219" i="40"/>
  <c r="BI149" i="59"/>
  <c r="AJ219" i="40"/>
  <c r="CD149" i="59"/>
  <c r="T219" i="40"/>
  <c r="BN149" i="59"/>
  <c r="AS219" i="40"/>
  <c r="CM149" i="59"/>
  <c r="AC219" i="40"/>
  <c r="BW149" i="59"/>
  <c r="AX219" i="40"/>
  <c r="CR149" i="59"/>
  <c r="AH219" i="40"/>
  <c r="CB149" i="59"/>
  <c r="R219" i="40"/>
  <c r="BL149" i="59"/>
  <c r="M149" i="40"/>
  <c r="M150" i="40"/>
  <c r="K152" i="40"/>
  <c r="EO135" i="59"/>
  <c r="J152" i="40"/>
  <c r="EN135" i="59"/>
  <c r="L152" i="40"/>
  <c r="EP135" i="59"/>
  <c r="L148" i="40"/>
  <c r="GG134" i="59"/>
  <c r="K148" i="40"/>
  <c r="GF134" i="59"/>
  <c r="BA270" i="40"/>
  <c r="FO157" i="59"/>
  <c r="V269" i="40"/>
  <c r="CH157" i="59"/>
  <c r="U269" i="40"/>
  <c r="CG157" i="59"/>
  <c r="BA266" i="40"/>
  <c r="GX156" i="59"/>
  <c r="T268" i="40"/>
  <c r="AD157" i="59"/>
  <c r="Z268" i="40"/>
  <c r="AJ157" i="59"/>
  <c r="Y269" i="40"/>
  <c r="CK157" i="59"/>
  <c r="U268" i="40"/>
  <c r="AE157" i="59"/>
  <c r="V268" i="40"/>
  <c r="AF157" i="59"/>
  <c r="W268" i="40"/>
  <c r="AG157" i="59"/>
  <c r="X268" i="40"/>
  <c r="AH157" i="59"/>
  <c r="Y268" i="40"/>
  <c r="AI157" i="59"/>
  <c r="T269" i="40"/>
  <c r="CF157" i="59"/>
  <c r="F337" i="5"/>
  <c r="GU226" i="59"/>
  <c r="CS135" i="59"/>
  <c r="AE315" i="5"/>
  <c r="EL222" i="59"/>
  <c r="R135" i="59"/>
  <c r="AF315" i="5"/>
  <c r="EM222" i="59"/>
  <c r="S135" i="59"/>
  <c r="G337" i="5"/>
  <c r="GV226" i="59"/>
  <c r="CT135" i="59"/>
  <c r="AI337" i="5"/>
  <c r="HX226" i="59"/>
  <c r="DV135" i="59"/>
  <c r="AA315" i="5"/>
  <c r="EH222" i="59"/>
  <c r="N135" i="59"/>
  <c r="AB315" i="5"/>
  <c r="EI222" i="59"/>
  <c r="O135" i="59"/>
  <c r="AC315" i="5"/>
  <c r="EJ222" i="59"/>
  <c r="P135" i="59"/>
  <c r="AD315" i="5"/>
  <c r="EK222" i="59"/>
  <c r="Q135" i="59"/>
  <c r="O337" i="5"/>
  <c r="HD226" i="59"/>
  <c r="DB135" i="59"/>
  <c r="AD326" i="5"/>
  <c r="GB224" i="59"/>
  <c r="BQ135" i="59"/>
  <c r="AE326" i="5"/>
  <c r="GC224" i="59"/>
  <c r="BR135" i="59"/>
  <c r="AF326" i="5"/>
  <c r="GD224" i="59"/>
  <c r="BS135" i="59"/>
  <c r="AG326" i="5"/>
  <c r="GE224" i="59"/>
  <c r="BT135" i="59"/>
  <c r="AB337" i="5"/>
  <c r="HQ226" i="59"/>
  <c r="DO135" i="59"/>
  <c r="X337" i="5"/>
  <c r="HM226" i="59"/>
  <c r="DK135" i="59"/>
  <c r="N267" i="40"/>
  <c r="HM156" i="59"/>
  <c r="HL156" i="59"/>
  <c r="D326" i="5"/>
  <c r="FB224" i="59"/>
  <c r="AQ135" i="59"/>
  <c r="D315" i="5"/>
  <c r="DK222" i="59"/>
  <c r="IH134" i="59"/>
  <c r="G315" i="5"/>
  <c r="DN222" i="59"/>
  <c r="IK134" i="59"/>
  <c r="X315" i="5"/>
  <c r="EE222" i="59"/>
  <c r="K135" i="59"/>
  <c r="AE337" i="5"/>
  <c r="HT226" i="59"/>
  <c r="DR135" i="59"/>
  <c r="AB326" i="5"/>
  <c r="FZ224" i="59"/>
  <c r="BO135" i="59"/>
  <c r="E326" i="5"/>
  <c r="FC224" i="59"/>
  <c r="AR135" i="59"/>
  <c r="T315" i="5"/>
  <c r="EA222" i="59"/>
  <c r="G135" i="59"/>
  <c r="N337" i="5"/>
  <c r="HC226" i="59"/>
  <c r="DA135" i="59"/>
  <c r="W326" i="5"/>
  <c r="FU224" i="59"/>
  <c r="BJ135" i="59"/>
  <c r="F326" i="5"/>
  <c r="FD224" i="59"/>
  <c r="AS135" i="59"/>
  <c r="F315" i="5"/>
  <c r="DM222" i="59"/>
  <c r="IJ134" i="59"/>
  <c r="Q337" i="5"/>
  <c r="HF226" i="59"/>
  <c r="DD135" i="59"/>
  <c r="O315" i="5"/>
  <c r="DV222" i="59"/>
  <c r="IS134" i="59"/>
  <c r="P315" i="5"/>
  <c r="DW222" i="59"/>
  <c r="IT134" i="59"/>
  <c r="Q315" i="5"/>
  <c r="DX222" i="59"/>
  <c r="IU134" i="59"/>
  <c r="R315" i="5"/>
  <c r="DY222" i="59"/>
  <c r="IV134" i="59"/>
  <c r="AD337" i="5"/>
  <c r="HS226" i="59"/>
  <c r="DQ135" i="59"/>
  <c r="R326" i="5"/>
  <c r="FP224" i="59"/>
  <c r="BE135" i="59"/>
  <c r="S326" i="5"/>
  <c r="FQ224" i="59"/>
  <c r="BF135" i="59"/>
  <c r="T326" i="5"/>
  <c r="FR224" i="59"/>
  <c r="BG135" i="59"/>
  <c r="U326" i="5"/>
  <c r="FS224" i="59"/>
  <c r="BH135" i="59"/>
  <c r="J337" i="5"/>
  <c r="GY226" i="59"/>
  <c r="CW135" i="59"/>
  <c r="AM337" i="5"/>
  <c r="IB226" i="59"/>
  <c r="DZ135" i="59"/>
  <c r="AJ315" i="5"/>
  <c r="EQ222" i="59"/>
  <c r="W135" i="59"/>
  <c r="AL326" i="5"/>
  <c r="GJ224" i="59"/>
  <c r="BY135" i="59"/>
  <c r="Y337" i="5"/>
  <c r="HN226" i="59"/>
  <c r="DL135" i="59"/>
  <c r="H337" i="5"/>
  <c r="GW226" i="59"/>
  <c r="CU135" i="59"/>
  <c r="W315" i="5"/>
  <c r="ED222" i="59"/>
  <c r="J135" i="59"/>
  <c r="Z315" i="5"/>
  <c r="EG222" i="59"/>
  <c r="M135" i="59"/>
  <c r="AA326" i="5"/>
  <c r="FY224" i="59"/>
  <c r="BN135" i="59"/>
  <c r="K337" i="5"/>
  <c r="GZ226" i="59"/>
  <c r="CX135" i="59"/>
  <c r="K160" i="59"/>
  <c r="DL224" i="59"/>
  <c r="AH337" i="5"/>
  <c r="HW226" i="59"/>
  <c r="DU135" i="59"/>
  <c r="V315" i="5"/>
  <c r="EC222" i="59"/>
  <c r="I135" i="59"/>
  <c r="X326" i="5"/>
  <c r="FV224" i="59"/>
  <c r="BK135" i="59"/>
  <c r="G326" i="5"/>
  <c r="FE224" i="59"/>
  <c r="AT135" i="59"/>
  <c r="H315" i="5"/>
  <c r="DO222" i="59"/>
  <c r="IL134" i="59"/>
  <c r="AG337" i="5"/>
  <c r="HV226" i="59"/>
  <c r="DT135" i="59"/>
  <c r="K315" i="5"/>
  <c r="DR222" i="59"/>
  <c r="IO134" i="59"/>
  <c r="L315" i="5"/>
  <c r="DS222" i="59"/>
  <c r="IP134" i="59"/>
  <c r="M315" i="5"/>
  <c r="DT222" i="59"/>
  <c r="IQ134" i="59"/>
  <c r="N315" i="5"/>
  <c r="DU222" i="59"/>
  <c r="IR134" i="59"/>
  <c r="M337" i="5"/>
  <c r="HB226" i="59"/>
  <c r="CZ135" i="59"/>
  <c r="N326" i="5"/>
  <c r="FL224" i="59"/>
  <c r="BA135" i="59"/>
  <c r="O326" i="5"/>
  <c r="FM224" i="59"/>
  <c r="BB135" i="59"/>
  <c r="P326" i="5"/>
  <c r="FN224" i="59"/>
  <c r="BC135" i="59"/>
  <c r="Q326" i="5"/>
  <c r="FO224" i="59"/>
  <c r="BD135" i="59"/>
  <c r="Z337" i="5"/>
  <c r="HO226" i="59"/>
  <c r="DM135" i="59"/>
  <c r="V337" i="5"/>
  <c r="HK226" i="59"/>
  <c r="DI135" i="59"/>
  <c r="AL315" i="5"/>
  <c r="ES222" i="59"/>
  <c r="Y135" i="59"/>
  <c r="R337" i="5"/>
  <c r="HG226" i="59"/>
  <c r="DE135" i="59"/>
  <c r="Y315" i="5"/>
  <c r="EF222" i="59"/>
  <c r="L135" i="59"/>
  <c r="Z326" i="5"/>
  <c r="FX224" i="59"/>
  <c r="BM135" i="59"/>
  <c r="AC326" i="5"/>
  <c r="GA224" i="59"/>
  <c r="BP135" i="59"/>
  <c r="AN337" i="5"/>
  <c r="IC226" i="59"/>
  <c r="EA135" i="59"/>
  <c r="E315" i="5"/>
  <c r="DL222" i="59"/>
  <c r="II134" i="59"/>
  <c r="S315" i="5"/>
  <c r="DZ222" i="59"/>
  <c r="F135" i="59"/>
  <c r="U315" i="5"/>
  <c r="EB222" i="59"/>
  <c r="H135" i="59"/>
  <c r="V326" i="5"/>
  <c r="FT224" i="59"/>
  <c r="BI135" i="59"/>
  <c r="Y326" i="5"/>
  <c r="FW224" i="59"/>
  <c r="BL135" i="59"/>
  <c r="AA337" i="5"/>
  <c r="HP226" i="59"/>
  <c r="DN135" i="59"/>
  <c r="W337" i="5"/>
  <c r="DJ135" i="59"/>
  <c r="N271" i="40"/>
  <c r="GD157" i="59"/>
  <c r="GC157" i="59"/>
  <c r="AM315" i="5"/>
  <c r="ET222" i="59"/>
  <c r="Z135" i="59"/>
  <c r="AN315" i="5"/>
  <c r="EU222" i="59"/>
  <c r="AA135" i="59"/>
  <c r="K326" i="5"/>
  <c r="FI224" i="59"/>
  <c r="AX135" i="59"/>
  <c r="M326" i="5"/>
  <c r="FK224" i="59"/>
  <c r="AZ135" i="59"/>
  <c r="I337" i="5"/>
  <c r="GX226" i="59"/>
  <c r="CV135" i="59"/>
  <c r="AL337" i="5"/>
  <c r="IA226" i="59"/>
  <c r="DY135" i="59"/>
  <c r="D337" i="5"/>
  <c r="GS226" i="59"/>
  <c r="T337" i="5"/>
  <c r="HI226" i="59"/>
  <c r="AC337" i="5"/>
  <c r="HR226" i="59"/>
  <c r="E337" i="5"/>
  <c r="GT226" i="59"/>
  <c r="AJ337" i="5"/>
  <c r="HY226" i="59"/>
  <c r="P337" i="5"/>
  <c r="HE226" i="59"/>
  <c r="U337" i="5"/>
  <c r="HJ226" i="59"/>
  <c r="AO337" i="5"/>
  <c r="ID226" i="59"/>
  <c r="S337" i="5"/>
  <c r="HH226" i="59"/>
  <c r="L337" i="5"/>
  <c r="HA226" i="59"/>
  <c r="AF337" i="5"/>
  <c r="HU226" i="59"/>
  <c r="AK337" i="5"/>
  <c r="HZ226" i="59"/>
  <c r="AI326" i="5"/>
  <c r="GG224" i="59"/>
  <c r="AK326" i="5"/>
  <c r="GI224" i="59"/>
  <c r="H326" i="5"/>
  <c r="FF224" i="59"/>
  <c r="J326" i="5"/>
  <c r="FH224" i="59"/>
  <c r="L326" i="5"/>
  <c r="AM326" i="5"/>
  <c r="GK224" i="59"/>
  <c r="AN326" i="5"/>
  <c r="GL224" i="59"/>
  <c r="AO326" i="5"/>
  <c r="GM224" i="59"/>
  <c r="I326" i="5"/>
  <c r="FG224" i="59"/>
  <c r="AH326" i="5"/>
  <c r="GF224" i="59"/>
  <c r="AJ326" i="5"/>
  <c r="GH224" i="59"/>
  <c r="J315" i="5"/>
  <c r="DQ222" i="59"/>
  <c r="AK315" i="5"/>
  <c r="ER222" i="59"/>
  <c r="AG315" i="5"/>
  <c r="EN222" i="59"/>
  <c r="AH315" i="5"/>
  <c r="EO222" i="59"/>
  <c r="I315" i="5"/>
  <c r="DP222" i="59"/>
  <c r="AO315" i="5"/>
  <c r="EV222" i="59"/>
  <c r="AI315" i="5"/>
  <c r="EP222" i="59"/>
  <c r="Z267" i="40"/>
  <c r="HY156" i="59"/>
  <c r="AF267" i="40"/>
  <c r="IE156" i="59"/>
  <c r="AG267" i="40"/>
  <c r="IF156" i="59"/>
  <c r="AT267" i="40"/>
  <c r="IS156" i="59"/>
  <c r="AI267" i="40"/>
  <c r="IH156" i="59"/>
  <c r="AB267" i="40"/>
  <c r="IA156" i="59"/>
  <c r="AV267" i="40"/>
  <c r="IU156" i="59"/>
  <c r="AP267" i="40"/>
  <c r="IO156" i="59"/>
  <c r="AK267" i="40"/>
  <c r="IJ156" i="59"/>
  <c r="AE267" i="40"/>
  <c r="ID156" i="59"/>
  <c r="R271" i="40"/>
  <c r="GH157" i="59"/>
  <c r="W267" i="40"/>
  <c r="HV156" i="59"/>
  <c r="AW267" i="40"/>
  <c r="IV156" i="59"/>
  <c r="AY267" i="40"/>
  <c r="G157" i="59"/>
  <c r="AD271" i="40"/>
  <c r="GT157" i="59"/>
  <c r="W271" i="40"/>
  <c r="GM157" i="59"/>
  <c r="AQ271" i="40"/>
  <c r="HG157" i="59"/>
  <c r="AQ267" i="40"/>
  <c r="IP156" i="59"/>
  <c r="AS267" i="40"/>
  <c r="IR156" i="59"/>
  <c r="AO267" i="40"/>
  <c r="IN156" i="59"/>
  <c r="AU267" i="40"/>
  <c r="IT156" i="59"/>
  <c r="AR267" i="40"/>
  <c r="IQ156" i="59"/>
  <c r="AJ271" i="40"/>
  <c r="GZ157" i="59"/>
  <c r="AR271" i="40"/>
  <c r="HH157" i="59"/>
  <c r="AH271" i="40"/>
  <c r="GX157" i="59"/>
  <c r="Q271" i="40"/>
  <c r="GG157" i="59"/>
  <c r="AW271" i="40"/>
  <c r="HM157" i="59"/>
  <c r="AO271" i="40"/>
  <c r="HE157" i="59"/>
  <c r="AI271" i="40"/>
  <c r="GY157" i="59"/>
  <c r="O271" i="40"/>
  <c r="GE157" i="59"/>
  <c r="AX271" i="40"/>
  <c r="HN157" i="59"/>
  <c r="X267" i="40"/>
  <c r="HW156" i="59"/>
  <c r="R267" i="40"/>
  <c r="HQ156" i="59"/>
  <c r="AH267" i="40"/>
  <c r="IG156" i="59"/>
  <c r="Q267" i="40"/>
  <c r="HP156" i="59"/>
  <c r="AK271" i="40"/>
  <c r="HA157" i="59"/>
  <c r="AT271" i="40"/>
  <c r="HJ157" i="59"/>
  <c r="S271" i="40"/>
  <c r="GI157" i="59"/>
  <c r="AP271" i="40"/>
  <c r="HF157" i="59"/>
  <c r="AF271" i="40"/>
  <c r="GV157" i="59"/>
  <c r="AC271" i="40"/>
  <c r="GS157" i="59"/>
  <c r="AB271" i="40"/>
  <c r="GR157" i="59"/>
  <c r="AA271" i="40"/>
  <c r="GQ157" i="59"/>
  <c r="Y271" i="40"/>
  <c r="GO157" i="59"/>
  <c r="AC267" i="40"/>
  <c r="IB156" i="59"/>
  <c r="O267" i="40"/>
  <c r="HN156" i="59"/>
  <c r="S267" i="40"/>
  <c r="HR156" i="59"/>
  <c r="Y267" i="40"/>
  <c r="HX156" i="59"/>
  <c r="AL267" i="40"/>
  <c r="IK156" i="59"/>
  <c r="AE271" i="40"/>
  <c r="GU157" i="59"/>
  <c r="AN271" i="40"/>
  <c r="HD157" i="59"/>
  <c r="AY271" i="40"/>
  <c r="HO157" i="59"/>
  <c r="AV271" i="40"/>
  <c r="HL157" i="59"/>
  <c r="AG271" i="40"/>
  <c r="GW157" i="59"/>
  <c r="Z271" i="40"/>
  <c r="GP157" i="59"/>
  <c r="AL271" i="40"/>
  <c r="HB157" i="59"/>
  <c r="AN267" i="40"/>
  <c r="IM156" i="59"/>
  <c r="AD267" i="40"/>
  <c r="IC156" i="59"/>
  <c r="P267" i="40"/>
  <c r="HO156" i="59"/>
  <c r="AZ267" i="40"/>
  <c r="H157" i="59"/>
  <c r="X271" i="40"/>
  <c r="GN157" i="59"/>
  <c r="AM271" i="40"/>
  <c r="HC157" i="59"/>
  <c r="AM267" i="40"/>
  <c r="IL156" i="59"/>
  <c r="AU271" i="40"/>
  <c r="HK157" i="59"/>
  <c r="P271" i="40"/>
  <c r="GF157" i="59"/>
  <c r="AS271" i="40"/>
  <c r="HI157" i="59"/>
  <c r="AZ271" i="40"/>
  <c r="HP157" i="59"/>
  <c r="AJ267" i="40"/>
  <c r="II156" i="59"/>
  <c r="AA267" i="40"/>
  <c r="HZ156" i="59"/>
  <c r="AX267" i="40"/>
  <c r="F157" i="59"/>
  <c r="L43" i="41"/>
  <c r="IS306" i="59"/>
  <c r="L39" i="41"/>
  <c r="GG306" i="59"/>
  <c r="AQ293" i="5"/>
  <c r="BP218" i="59"/>
  <c r="T148" i="40"/>
  <c r="GO134" i="59"/>
  <c r="X148" i="40"/>
  <c r="GS134" i="59"/>
  <c r="AB148" i="40"/>
  <c r="GW134" i="59"/>
  <c r="AF148" i="40"/>
  <c r="HA134" i="59"/>
  <c r="AJ148" i="40"/>
  <c r="HE134" i="59"/>
  <c r="AN148" i="40"/>
  <c r="HI134" i="59"/>
  <c r="AR148" i="40"/>
  <c r="HM134" i="59"/>
  <c r="AV148" i="40"/>
  <c r="HQ134" i="59"/>
  <c r="S148" i="40"/>
  <c r="GN134" i="59"/>
  <c r="W148" i="40"/>
  <c r="GR134" i="59"/>
  <c r="AA148" i="40"/>
  <c r="GV134" i="59"/>
  <c r="AE148" i="40"/>
  <c r="GZ134" i="59"/>
  <c r="AI148" i="40"/>
  <c r="HD134" i="59"/>
  <c r="AM148" i="40"/>
  <c r="HH134" i="59"/>
  <c r="AQ148" i="40"/>
  <c r="HL134" i="59"/>
  <c r="AU148" i="40"/>
  <c r="HP134" i="59"/>
  <c r="R148" i="40"/>
  <c r="GM134" i="59"/>
  <c r="V148" i="40"/>
  <c r="GQ134" i="59"/>
  <c r="Z148" i="40"/>
  <c r="GU134" i="59"/>
  <c r="AD148" i="40"/>
  <c r="GY134" i="59"/>
  <c r="AH148" i="40"/>
  <c r="HC134" i="59"/>
  <c r="AL148" i="40"/>
  <c r="HG134" i="59"/>
  <c r="AP148" i="40"/>
  <c r="HK134" i="59"/>
  <c r="AT148" i="40"/>
  <c r="HO134" i="59"/>
  <c r="AX148" i="40"/>
  <c r="HS134" i="59"/>
  <c r="U148" i="40"/>
  <c r="GP134" i="59"/>
  <c r="Y148" i="40"/>
  <c r="GT134" i="59"/>
  <c r="AC148" i="40"/>
  <c r="GX134" i="59"/>
  <c r="AG148" i="40"/>
  <c r="HB134" i="59"/>
  <c r="AK148" i="40"/>
  <c r="HF134" i="59"/>
  <c r="AO148" i="40"/>
  <c r="HJ134" i="59"/>
  <c r="AS148" i="40"/>
  <c r="HN134" i="59"/>
  <c r="AW148" i="40"/>
  <c r="HR134" i="59"/>
  <c r="T152" i="40"/>
  <c r="X152" i="40"/>
  <c r="AB152" i="40"/>
  <c r="AF152" i="40"/>
  <c r="AJ152" i="40"/>
  <c r="AN152" i="40"/>
  <c r="AR152" i="40"/>
  <c r="AV152" i="40"/>
  <c r="S152" i="40"/>
  <c r="W152" i="40"/>
  <c r="AA152" i="40"/>
  <c r="AE152" i="40"/>
  <c r="AI152" i="40"/>
  <c r="AM152" i="40"/>
  <c r="FQ135" i="59"/>
  <c r="AQ152" i="40"/>
  <c r="AU152" i="40"/>
  <c r="R152" i="40"/>
  <c r="V152" i="40"/>
  <c r="Z152" i="40"/>
  <c r="AD152" i="40"/>
  <c r="AH152" i="40"/>
  <c r="AL152" i="40"/>
  <c r="AP152" i="40"/>
  <c r="AT152" i="40"/>
  <c r="AX152" i="40"/>
  <c r="U152" i="40"/>
  <c r="Y152" i="40"/>
  <c r="AC152" i="40"/>
  <c r="AG152" i="40"/>
  <c r="AK152" i="40"/>
  <c r="AO152" i="40"/>
  <c r="AS152" i="40"/>
  <c r="AW152" i="40"/>
  <c r="N148" i="40"/>
  <c r="P148" i="40"/>
  <c r="O148" i="40"/>
  <c r="GJ134" i="59"/>
  <c r="N152" i="40"/>
  <c r="P152" i="40"/>
  <c r="O152" i="40"/>
  <c r="Q152" i="40"/>
  <c r="Q148" i="40"/>
  <c r="GL134" i="59"/>
  <c r="T303" i="5"/>
  <c r="AM220" i="59"/>
  <c r="U303" i="5"/>
  <c r="AN220" i="59"/>
  <c r="AH303" i="5"/>
  <c r="BA220" i="59"/>
  <c r="N303" i="5"/>
  <c r="AG220" i="59"/>
  <c r="AE303" i="5"/>
  <c r="AX220" i="59"/>
  <c r="D347" i="5"/>
  <c r="GM228" i="59"/>
  <c r="X347" i="5"/>
  <c r="HG228" i="59"/>
  <c r="AO347" i="5"/>
  <c r="HX228" i="59"/>
  <c r="E347" i="5"/>
  <c r="GN228" i="59"/>
  <c r="AF347" i="5"/>
  <c r="HO228" i="59"/>
  <c r="I303" i="5"/>
  <c r="AB220" i="59"/>
  <c r="AJ303" i="5"/>
  <c r="BC220" i="59"/>
  <c r="V303" i="5"/>
  <c r="AO220" i="59"/>
  <c r="AK303" i="5"/>
  <c r="BD220" i="59"/>
  <c r="W303" i="5"/>
  <c r="AP220" i="59"/>
  <c r="Q303" i="5"/>
  <c r="AJ220" i="59"/>
  <c r="D303" i="5"/>
  <c r="W220" i="59"/>
  <c r="AD303" i="5"/>
  <c r="AW220" i="59"/>
  <c r="X303" i="5"/>
  <c r="AQ220" i="59"/>
  <c r="J303" i="5"/>
  <c r="AC220" i="59"/>
  <c r="AG347" i="5"/>
  <c r="S347" i="5"/>
  <c r="HB228" i="59"/>
  <c r="M347" i="5"/>
  <c r="GV228" i="59"/>
  <c r="AN347" i="5"/>
  <c r="HW228" i="59"/>
  <c r="Z347" i="5"/>
  <c r="HI228" i="59"/>
  <c r="T347" i="5"/>
  <c r="HC228" i="59"/>
  <c r="F347" i="5"/>
  <c r="GO228" i="59"/>
  <c r="U347" i="5"/>
  <c r="HD228" i="59"/>
  <c r="G347" i="5"/>
  <c r="GP228" i="59"/>
  <c r="AH347" i="5"/>
  <c r="HQ228" i="59"/>
  <c r="F303" i="5"/>
  <c r="Y220" i="59"/>
  <c r="G303" i="5"/>
  <c r="Z220" i="59"/>
  <c r="AB303" i="5"/>
  <c r="AU220" i="59"/>
  <c r="H303" i="5"/>
  <c r="AA220" i="59"/>
  <c r="Q347" i="5"/>
  <c r="GZ228" i="59"/>
  <c r="AD347" i="5"/>
  <c r="HM228" i="59"/>
  <c r="J347" i="5"/>
  <c r="GS228" i="59"/>
  <c r="AA347" i="5"/>
  <c r="HJ228" i="59"/>
  <c r="R347" i="5"/>
  <c r="HA228" i="59"/>
  <c r="AO303" i="5"/>
  <c r="BH220" i="59"/>
  <c r="AA303" i="5"/>
  <c r="AT220" i="59"/>
  <c r="E303" i="5"/>
  <c r="X220" i="59"/>
  <c r="AF303" i="5"/>
  <c r="AY220" i="59"/>
  <c r="R303" i="5"/>
  <c r="AK220" i="59"/>
  <c r="L303" i="5"/>
  <c r="AE220" i="59"/>
  <c r="AI303" i="5"/>
  <c r="BB220" i="59"/>
  <c r="AC303" i="5"/>
  <c r="AV220" i="59"/>
  <c r="O303" i="5"/>
  <c r="AH220" i="59"/>
  <c r="AB347" i="5"/>
  <c r="HK228" i="59"/>
  <c r="N347" i="5"/>
  <c r="GW228" i="59"/>
  <c r="H347" i="5"/>
  <c r="GQ228" i="59"/>
  <c r="AE347" i="5"/>
  <c r="HN228" i="59"/>
  <c r="Y347" i="5"/>
  <c r="HH228" i="59"/>
  <c r="K347" i="5"/>
  <c r="GT228" i="59"/>
  <c r="AL347" i="5"/>
  <c r="HU228" i="59"/>
  <c r="P347" i="5"/>
  <c r="GY228" i="59"/>
  <c r="AM347" i="5"/>
  <c r="HV228" i="59"/>
  <c r="Y303" i="5"/>
  <c r="AR220" i="59"/>
  <c r="K303" i="5"/>
  <c r="AD220" i="59"/>
  <c r="AL303" i="5"/>
  <c r="BE220" i="59"/>
  <c r="P303" i="5"/>
  <c r="AI220" i="59"/>
  <c r="AM303" i="5"/>
  <c r="BF220" i="59"/>
  <c r="AG303" i="5"/>
  <c r="AZ220" i="59"/>
  <c r="S303" i="5"/>
  <c r="AL220" i="59"/>
  <c r="M303" i="5"/>
  <c r="AF220" i="59"/>
  <c r="AN303" i="5"/>
  <c r="BG220" i="59"/>
  <c r="Z303" i="5"/>
  <c r="AS220" i="59"/>
  <c r="L347" i="5"/>
  <c r="GU228" i="59"/>
  <c r="AI347" i="5"/>
  <c r="HR228" i="59"/>
  <c r="AC347" i="5"/>
  <c r="HL228" i="59"/>
  <c r="O347" i="5"/>
  <c r="GX228" i="59"/>
  <c r="I347" i="5"/>
  <c r="GR228" i="59"/>
  <c r="AJ347" i="5"/>
  <c r="HS228" i="59"/>
  <c r="V347" i="5"/>
  <c r="HE228" i="59"/>
  <c r="AK347" i="5"/>
  <c r="HT228" i="59"/>
  <c r="W347" i="5"/>
  <c r="HF228" i="59"/>
  <c r="M152" i="40"/>
  <c r="M148" i="40"/>
  <c r="GH134" i="59"/>
  <c r="AY150" i="40"/>
  <c r="CC135" i="59"/>
  <c r="AY149" i="40"/>
  <c r="AC135" i="59"/>
  <c r="AY151" i="40"/>
  <c r="EC135" i="59"/>
  <c r="T271" i="40"/>
  <c r="GJ157" i="59"/>
  <c r="T267" i="40"/>
  <c r="HS156" i="59"/>
  <c r="U267" i="40"/>
  <c r="HT156" i="59"/>
  <c r="V271" i="40"/>
  <c r="GL157" i="59"/>
  <c r="V267" i="40"/>
  <c r="HU156" i="59"/>
  <c r="BA269" i="40"/>
  <c r="DM157" i="59"/>
  <c r="BA268" i="40"/>
  <c r="BK157" i="59"/>
  <c r="U271" i="40"/>
  <c r="GK157" i="59"/>
  <c r="E304" i="5"/>
  <c r="BU220" i="59"/>
  <c r="GI134" i="59"/>
  <c r="AN348" i="5"/>
  <c r="AC229" i="59"/>
  <c r="GA135" i="59"/>
  <c r="AO348" i="5"/>
  <c r="AD229" i="59"/>
  <c r="GB135" i="59"/>
  <c r="I348" i="5"/>
  <c r="IO228" i="59"/>
  <c r="EV135" i="59"/>
  <c r="J348" i="5"/>
  <c r="IP228" i="59"/>
  <c r="EW135" i="59"/>
  <c r="K348" i="5"/>
  <c r="IQ228" i="59"/>
  <c r="EX135" i="59"/>
  <c r="L160" i="59"/>
  <c r="FJ224" i="59"/>
  <c r="W160" i="59"/>
  <c r="HL226" i="59"/>
  <c r="H348" i="5"/>
  <c r="IN228" i="59"/>
  <c r="EU135" i="59"/>
  <c r="AJ348" i="5"/>
  <c r="Y229" i="59"/>
  <c r="FW135" i="59"/>
  <c r="AK348" i="5"/>
  <c r="Z229" i="59"/>
  <c r="FX135" i="59"/>
  <c r="AL348" i="5"/>
  <c r="AA229" i="59"/>
  <c r="FY135" i="59"/>
  <c r="AM348" i="5"/>
  <c r="AB229" i="59"/>
  <c r="FZ135" i="59"/>
  <c r="N348" i="5"/>
  <c r="IT228" i="59"/>
  <c r="FA135" i="59"/>
  <c r="AF348" i="5"/>
  <c r="U229" i="59"/>
  <c r="FS135" i="59"/>
  <c r="AH348" i="5"/>
  <c r="FU135" i="59"/>
  <c r="E348" i="5"/>
  <c r="IK228" i="59"/>
  <c r="ER135" i="59"/>
  <c r="Y348" i="5"/>
  <c r="N229" i="59"/>
  <c r="FL135" i="59"/>
  <c r="AA348" i="5"/>
  <c r="P229" i="59"/>
  <c r="FN135" i="59"/>
  <c r="M348" i="5"/>
  <c r="IS228" i="59"/>
  <c r="EZ135" i="59"/>
  <c r="O348" i="5"/>
  <c r="IU228" i="59"/>
  <c r="FB135" i="59"/>
  <c r="AG160" i="59"/>
  <c r="HP228" i="59"/>
  <c r="G348" i="5"/>
  <c r="IM228" i="59"/>
  <c r="ET135" i="59"/>
  <c r="AC348" i="5"/>
  <c r="R229" i="59"/>
  <c r="FP135" i="59"/>
  <c r="X348" i="5"/>
  <c r="M229" i="59"/>
  <c r="FK135" i="59"/>
  <c r="Z348" i="5"/>
  <c r="O229" i="59"/>
  <c r="FM135" i="59"/>
  <c r="T348" i="5"/>
  <c r="I229" i="59"/>
  <c r="FG135" i="59"/>
  <c r="U348" i="5"/>
  <c r="J229" i="59"/>
  <c r="FH135" i="59"/>
  <c r="V348" i="5"/>
  <c r="K229" i="59"/>
  <c r="FI135" i="59"/>
  <c r="W348" i="5"/>
  <c r="L229" i="59"/>
  <c r="FJ135" i="59"/>
  <c r="L348" i="5"/>
  <c r="IR228" i="59"/>
  <c r="EY135" i="59"/>
  <c r="F348" i="5"/>
  <c r="IL228" i="59"/>
  <c r="ES135" i="59"/>
  <c r="AG348" i="5"/>
  <c r="V229" i="59"/>
  <c r="FT135" i="59"/>
  <c r="AI348" i="5"/>
  <c r="X229" i="59"/>
  <c r="FV135" i="59"/>
  <c r="D348" i="5"/>
  <c r="IJ228" i="59"/>
  <c r="EQ135" i="59"/>
  <c r="AB348" i="5"/>
  <c r="Q229" i="59"/>
  <c r="FO135" i="59"/>
  <c r="AE348" i="5"/>
  <c r="T229" i="59"/>
  <c r="FR135" i="59"/>
  <c r="G304" i="5"/>
  <c r="BW220" i="59"/>
  <c r="GK134" i="59"/>
  <c r="P348" i="5"/>
  <c r="IV228" i="59"/>
  <c r="FC135" i="59"/>
  <c r="Q348" i="5"/>
  <c r="F229" i="59"/>
  <c r="FD135" i="59"/>
  <c r="R348" i="5"/>
  <c r="G229" i="59"/>
  <c r="FE135" i="59"/>
  <c r="S348" i="5"/>
  <c r="H229" i="59"/>
  <c r="FF135" i="59"/>
  <c r="D304" i="5"/>
  <c r="BT220" i="59"/>
  <c r="AD348" i="5"/>
  <c r="S229" i="59"/>
  <c r="U304" i="5"/>
  <c r="CK220" i="59"/>
  <c r="P304" i="5"/>
  <c r="CF220" i="59"/>
  <c r="N304" i="5"/>
  <c r="CD220" i="59"/>
  <c r="AN304" i="5"/>
  <c r="DD220" i="59"/>
  <c r="AO304" i="5"/>
  <c r="DE220" i="59"/>
  <c r="I304" i="5"/>
  <c r="BY220" i="59"/>
  <c r="J304" i="5"/>
  <c r="BZ220" i="59"/>
  <c r="K304" i="5"/>
  <c r="CA220" i="59"/>
  <c r="R304" i="5"/>
  <c r="CH220" i="59"/>
  <c r="H304" i="5"/>
  <c r="BX220" i="59"/>
  <c r="L304" i="5"/>
  <c r="CB220" i="59"/>
  <c r="AJ304" i="5"/>
  <c r="CZ220" i="59"/>
  <c r="AL304" i="5"/>
  <c r="DB220" i="59"/>
  <c r="AF304" i="5"/>
  <c r="CV220" i="59"/>
  <c r="AG304" i="5"/>
  <c r="CW220" i="59"/>
  <c r="AH304" i="5"/>
  <c r="CX220" i="59"/>
  <c r="AI304" i="5"/>
  <c r="CY220" i="59"/>
  <c r="T304" i="5"/>
  <c r="CJ220" i="59"/>
  <c r="W304" i="5"/>
  <c r="CM220" i="59"/>
  <c r="Q304" i="5"/>
  <c r="CG220" i="59"/>
  <c r="M304" i="5"/>
  <c r="CC220" i="59"/>
  <c r="AK304" i="5"/>
  <c r="DA220" i="59"/>
  <c r="AM304" i="5"/>
  <c r="DC220" i="59"/>
  <c r="AB304" i="5"/>
  <c r="CR220" i="59"/>
  <c r="AC304" i="5"/>
  <c r="CS220" i="59"/>
  <c r="AD304" i="5"/>
  <c r="CT220" i="59"/>
  <c r="AE304" i="5"/>
  <c r="CU220" i="59"/>
  <c r="V304" i="5"/>
  <c r="CL220" i="59"/>
  <c r="S304" i="5"/>
  <c r="CI220" i="59"/>
  <c r="O304" i="5"/>
  <c r="CE220" i="59"/>
  <c r="F304" i="5"/>
  <c r="BV220" i="59"/>
  <c r="X304" i="5"/>
  <c r="CN220" i="59"/>
  <c r="Y304" i="5"/>
  <c r="CO220" i="59"/>
  <c r="Z304" i="5"/>
  <c r="CP220" i="59"/>
  <c r="AA304" i="5"/>
  <c r="CQ220" i="59"/>
  <c r="AQ315" i="5"/>
  <c r="EX222" i="59"/>
  <c r="AQ337" i="5"/>
  <c r="IF226" i="59"/>
  <c r="AQ326" i="5"/>
  <c r="GO224" i="59"/>
  <c r="AR337" i="5"/>
  <c r="AR315" i="5"/>
  <c r="EY222" i="59"/>
  <c r="I38" i="41"/>
  <c r="FN306" i="59"/>
  <c r="AR326" i="5"/>
  <c r="GP224" i="59"/>
  <c r="AR293" i="5"/>
  <c r="AY147" i="40"/>
  <c r="FT134" i="59"/>
  <c r="AY152" i="40"/>
  <c r="GC135" i="59"/>
  <c r="BA267" i="40"/>
  <c r="I157" i="59"/>
  <c r="BA271" i="40"/>
  <c r="HQ157" i="59"/>
  <c r="J42" i="41"/>
  <c r="IA306" i="59"/>
  <c r="IG226" i="59"/>
  <c r="AH160" i="59"/>
  <c r="W229" i="59"/>
  <c r="AT293" i="5"/>
  <c r="BS218" i="59"/>
  <c r="BQ218" i="59"/>
  <c r="AT315" i="5"/>
  <c r="FA222" i="59"/>
  <c r="I40" i="41"/>
  <c r="GT306" i="59"/>
  <c r="I42" i="41"/>
  <c r="AT326" i="5"/>
  <c r="GR224" i="59"/>
  <c r="I41" i="41"/>
  <c r="HJ306" i="59"/>
  <c r="AT337" i="5"/>
  <c r="II226" i="59"/>
  <c r="O38" i="41"/>
  <c r="FT306" i="59"/>
  <c r="O42" i="41"/>
  <c r="IF306" i="59"/>
  <c r="J40" i="41"/>
  <c r="GU306" i="59"/>
  <c r="O40" i="41"/>
  <c r="GZ306" i="59"/>
  <c r="J41" i="41"/>
  <c r="HK306" i="59"/>
  <c r="J38" i="41"/>
  <c r="FO306" i="59"/>
  <c r="O41" i="41"/>
  <c r="HP306" i="59"/>
  <c r="AQ348" i="5"/>
  <c r="AF229" i="59"/>
  <c r="AR348" i="5"/>
  <c r="AG229" i="59"/>
  <c r="AQ304" i="5"/>
  <c r="DG220" i="59"/>
  <c r="K42" i="41"/>
  <c r="IB306" i="59"/>
  <c r="HZ306" i="59"/>
  <c r="K38" i="41"/>
  <c r="FP306" i="59"/>
  <c r="J43" i="41"/>
  <c r="IQ306" i="59"/>
  <c r="K40" i="41"/>
  <c r="GV306" i="59"/>
  <c r="AR304" i="5"/>
  <c r="DH220" i="59"/>
  <c r="K41" i="41"/>
  <c r="HL306" i="59"/>
  <c r="AY148" i="40"/>
  <c r="HT134" i="59"/>
  <c r="I43" i="41"/>
  <c r="IP306" i="59"/>
  <c r="AT348" i="5"/>
  <c r="AI229" i="59"/>
  <c r="I39" i="41"/>
  <c r="GD306" i="59"/>
  <c r="J13" i="40"/>
  <c r="BT107" i="59"/>
  <c r="J18" i="40"/>
  <c r="BI108" i="59"/>
  <c r="I13" i="37"/>
  <c r="GK322" i="59"/>
  <c r="J32" i="40"/>
  <c r="HW110" i="59"/>
  <c r="J33" i="40"/>
  <c r="AB111" i="59"/>
  <c r="J34" i="40"/>
  <c r="BX111" i="59"/>
  <c r="J35" i="40"/>
  <c r="DT111" i="59"/>
  <c r="J36" i="40"/>
  <c r="FP111" i="59"/>
  <c r="J39" i="41"/>
  <c r="GE306" i="59"/>
  <c r="I13" i="40"/>
  <c r="BS107" i="59"/>
  <c r="I265" i="40"/>
  <c r="DD156" i="59"/>
  <c r="AT304" i="5"/>
  <c r="DJ220" i="59"/>
  <c r="I261" i="40"/>
  <c r="EM155" i="59"/>
  <c r="I242" i="40"/>
  <c r="I263" i="40"/>
  <c r="IQ155" i="59"/>
  <c r="I18" i="40"/>
  <c r="BH108" i="59"/>
  <c r="I39" i="40"/>
  <c r="BL112" i="59"/>
  <c r="I15" i="40"/>
  <c r="FK107" i="59"/>
  <c r="I23" i="40"/>
  <c r="AW109" i="59"/>
  <c r="I21" i="40"/>
  <c r="GV108" i="59"/>
  <c r="I264" i="40"/>
  <c r="BB156" i="59"/>
  <c r="I262" i="40"/>
  <c r="GO155" i="59"/>
  <c r="I41" i="40"/>
  <c r="FD112" i="59"/>
  <c r="I17" i="40"/>
  <c r="L108" i="59"/>
  <c r="I25" i="40"/>
  <c r="EO109" i="59"/>
  <c r="I14" i="40"/>
  <c r="DO107" i="59"/>
  <c r="I247" i="40"/>
  <c r="AS238" i="5"/>
  <c r="DB207" i="59"/>
  <c r="AS249" i="5"/>
  <c r="ES209" i="59"/>
  <c r="AS29" i="5"/>
  <c r="AP166" i="59"/>
  <c r="AS282" i="5"/>
  <c r="AA216" i="59"/>
  <c r="AS260" i="5"/>
  <c r="GJ211" i="59"/>
  <c r="AS84" i="5"/>
  <c r="F177" i="59"/>
  <c r="AS271" i="5"/>
  <c r="IA213" i="59"/>
  <c r="H143" i="40"/>
  <c r="FT133" i="59"/>
  <c r="H123" i="40"/>
  <c r="EJ129" i="59"/>
  <c r="H144" i="40"/>
  <c r="HT133" i="59"/>
  <c r="H145" i="40"/>
  <c r="AC134" i="59"/>
  <c r="H128" i="40"/>
  <c r="ES130" i="59"/>
  <c r="H146" i="40"/>
  <c r="CC134" i="59"/>
  <c r="H142" i="40"/>
  <c r="DT133" i="59"/>
  <c r="J25" i="40"/>
  <c r="EP109" i="59"/>
  <c r="J15" i="40"/>
  <c r="FL107" i="59"/>
  <c r="J28" i="40"/>
  <c r="AM110" i="59"/>
  <c r="J21" i="40"/>
  <c r="GW108" i="59"/>
  <c r="J23" i="40"/>
  <c r="AX109" i="59"/>
  <c r="J31" i="40"/>
  <c r="GA110" i="59"/>
  <c r="J29" i="40"/>
  <c r="CI110" i="59"/>
  <c r="J27" i="40"/>
  <c r="IH109" i="59"/>
  <c r="J24" i="40"/>
  <c r="CT109" i="59"/>
  <c r="J14" i="40"/>
  <c r="DP107" i="59"/>
  <c r="J30" i="40"/>
  <c r="EE110" i="59"/>
  <c r="J26" i="40"/>
  <c r="GL109" i="59"/>
  <c r="I17" i="37"/>
  <c r="HU322" i="59"/>
  <c r="I8" i="37"/>
  <c r="ER322" i="59"/>
  <c r="O43" i="41"/>
  <c r="IV306" i="59"/>
  <c r="K43" i="41"/>
  <c r="IR306" i="59"/>
  <c r="I19" i="37"/>
  <c r="IM322" i="59"/>
  <c r="I15" i="37"/>
  <c r="HC322" i="59"/>
  <c r="O39" i="41"/>
  <c r="GJ306" i="59"/>
  <c r="G34" i="37"/>
  <c r="DY323" i="59"/>
  <c r="G32" i="37"/>
  <c r="DG323" i="59"/>
  <c r="I29" i="37"/>
  <c r="CH323" i="59"/>
  <c r="I28" i="37"/>
  <c r="BY323" i="59"/>
  <c r="I27" i="37"/>
  <c r="BP323" i="59"/>
  <c r="I26" i="37"/>
  <c r="BG323" i="59"/>
  <c r="I25" i="37"/>
  <c r="AX323" i="59"/>
  <c r="I23" i="37"/>
  <c r="AF323" i="59"/>
  <c r="G6" i="37"/>
  <c r="DX322" i="59"/>
  <c r="I11" i="37"/>
  <c r="FS322" i="59"/>
  <c r="I6" i="37"/>
  <c r="DZ322" i="59"/>
  <c r="I21" i="37"/>
  <c r="N323" i="59"/>
  <c r="I24" i="37"/>
  <c r="AO323" i="59"/>
  <c r="I22" i="37"/>
  <c r="W323" i="59"/>
  <c r="I20" i="37"/>
  <c r="IV322" i="59"/>
  <c r="I18" i="37"/>
  <c r="ID322" i="59"/>
  <c r="I16" i="37"/>
  <c r="HL322" i="59"/>
  <c r="I14" i="37"/>
  <c r="GT322" i="59"/>
  <c r="I12" i="37"/>
  <c r="GB322" i="59"/>
  <c r="I7" i="37"/>
  <c r="EI322" i="59"/>
  <c r="G13" i="37"/>
  <c r="GI322" i="59"/>
  <c r="G14" i="37"/>
  <c r="GR322" i="59"/>
  <c r="G16" i="37"/>
  <c r="HJ322" i="59"/>
  <c r="G7" i="37"/>
  <c r="EG322" i="59"/>
  <c r="G11" i="37"/>
  <c r="FQ322" i="59"/>
  <c r="G8" i="37"/>
  <c r="EP322" i="59"/>
  <c r="G18" i="37"/>
  <c r="IB322" i="59"/>
  <c r="G12" i="37"/>
  <c r="FZ322" i="59"/>
  <c r="G10" i="37"/>
  <c r="FH322" i="59"/>
  <c r="K242" i="40"/>
  <c r="DS151" i="59"/>
  <c r="DQ151" i="59"/>
  <c r="L247" i="40"/>
  <c r="EM152" i="59"/>
  <c r="EJ152" i="59"/>
  <c r="L265" i="40"/>
  <c r="DG156" i="59"/>
  <c r="H88" i="40"/>
  <c r="BY122" i="59"/>
  <c r="L242" i="40"/>
  <c r="DT151" i="59"/>
  <c r="AS52" i="5"/>
  <c r="FU170" i="59"/>
  <c r="K39" i="41"/>
  <c r="GF306" i="59"/>
  <c r="H89" i="40"/>
  <c r="DY122" i="59"/>
  <c r="AS30" i="5"/>
  <c r="CM166" i="59"/>
  <c r="H87" i="40"/>
  <c r="K262" i="40"/>
  <c r="GQ155" i="59"/>
  <c r="L262" i="40"/>
  <c r="GR155" i="59"/>
  <c r="M262" i="40"/>
  <c r="AS140" i="5"/>
  <c r="S188" i="59"/>
  <c r="AS41" i="5"/>
  <c r="ED168" i="59"/>
  <c r="K265" i="40"/>
  <c r="DF156" i="59"/>
  <c r="M265" i="40"/>
  <c r="AS118" i="5"/>
  <c r="GB183" i="59"/>
  <c r="L263" i="40"/>
  <c r="IT155" i="59"/>
  <c r="K263" i="40"/>
  <c r="IS155" i="59"/>
  <c r="K261" i="40"/>
  <c r="EO155" i="59"/>
  <c r="M263" i="40"/>
  <c r="IU155" i="59"/>
  <c r="H115" i="40"/>
  <c r="HR127" i="59"/>
  <c r="M264" i="40"/>
  <c r="BF156" i="59"/>
  <c r="H92" i="40"/>
  <c r="AH123" i="59"/>
  <c r="I35" i="40"/>
  <c r="DS111" i="59"/>
  <c r="I252" i="40"/>
  <c r="FC153" i="59"/>
  <c r="AS316" i="5"/>
  <c r="GW222" i="59"/>
  <c r="I255" i="40"/>
  <c r="BR154" i="59"/>
  <c r="J89" i="40"/>
  <c r="EA122" i="59"/>
  <c r="L264" i="40"/>
  <c r="BE156" i="59"/>
  <c r="L261" i="40"/>
  <c r="EP155" i="59"/>
  <c r="I32" i="40"/>
  <c r="HV110" i="59"/>
  <c r="I259" i="40"/>
  <c r="AI155" i="59"/>
  <c r="I257" i="40"/>
  <c r="FV154" i="59"/>
  <c r="H113" i="40"/>
  <c r="DR127" i="59"/>
  <c r="AS74" i="5"/>
  <c r="L175" i="59"/>
  <c r="I42" i="40"/>
  <c r="GZ112" i="59"/>
  <c r="J92" i="40"/>
  <c r="AJ123" i="59"/>
  <c r="K264" i="40"/>
  <c r="BD156" i="59"/>
  <c r="I250" i="40"/>
  <c r="I27" i="40"/>
  <c r="IG109" i="59"/>
  <c r="I243" i="40"/>
  <c r="I34" i="40"/>
  <c r="BW111" i="59"/>
  <c r="I253" i="40"/>
  <c r="HE153" i="59"/>
  <c r="J88" i="40"/>
  <c r="CA122" i="59"/>
  <c r="AS85" i="5"/>
  <c r="BC177" i="59"/>
  <c r="M261" i="40"/>
  <c r="EQ155" i="59"/>
  <c r="I244" i="40"/>
  <c r="H99" i="40"/>
  <c r="EQ124" i="59"/>
  <c r="I29" i="40"/>
  <c r="CH110" i="59"/>
  <c r="I33" i="40"/>
  <c r="AA111" i="59"/>
  <c r="I256" i="40"/>
  <c r="DT154" i="59"/>
  <c r="H91" i="40"/>
  <c r="HY122" i="59"/>
  <c r="H97" i="40"/>
  <c r="AQ124" i="59"/>
  <c r="AS338" i="5"/>
  <c r="AN227" i="59"/>
  <c r="J242" i="40"/>
  <c r="DR151" i="59"/>
  <c r="I31" i="40"/>
  <c r="FZ110" i="59"/>
  <c r="I260" i="40"/>
  <c r="CK155" i="59"/>
  <c r="J247" i="40"/>
  <c r="EK152" i="59"/>
  <c r="I38" i="40"/>
  <c r="P112" i="59"/>
  <c r="I254" i="40"/>
  <c r="P154" i="59"/>
  <c r="I36" i="40"/>
  <c r="FO111" i="59"/>
  <c r="I40" i="40"/>
  <c r="DH112" i="59"/>
  <c r="I258" i="40"/>
  <c r="HX154" i="59"/>
  <c r="H95" i="40"/>
  <c r="GH123" i="59"/>
  <c r="AS162" i="5"/>
  <c r="DA192" i="59"/>
  <c r="K247" i="40"/>
  <c r="EL152" i="59"/>
  <c r="J146" i="40"/>
  <c r="CE134" i="59"/>
  <c r="AS217" i="40"/>
  <c r="IF148" i="59"/>
  <c r="AC217" i="40"/>
  <c r="HP148" i="59"/>
  <c r="AX217" i="40"/>
  <c r="IK148" i="59"/>
  <c r="AH217" i="40"/>
  <c r="HU148" i="59"/>
  <c r="R217" i="40"/>
  <c r="HE148" i="59"/>
  <c r="AM217" i="40"/>
  <c r="HZ148" i="59"/>
  <c r="W217" i="40"/>
  <c r="HJ148" i="59"/>
  <c r="AR217" i="40"/>
  <c r="IE148" i="59"/>
  <c r="AB217" i="40"/>
  <c r="HO148" i="59"/>
  <c r="M217" i="40"/>
  <c r="GZ148" i="59"/>
  <c r="AW217" i="40"/>
  <c r="IJ148" i="59"/>
  <c r="AG217" i="40"/>
  <c r="HT148" i="59"/>
  <c r="Q217" i="40"/>
  <c r="HD148" i="59"/>
  <c r="AL217" i="40"/>
  <c r="HY148" i="59"/>
  <c r="V217" i="40"/>
  <c r="HI148" i="59"/>
  <c r="AQ217" i="40"/>
  <c r="ID148" i="59"/>
  <c r="AA217" i="40"/>
  <c r="HN148" i="59"/>
  <c r="AV217" i="40"/>
  <c r="II148" i="59"/>
  <c r="AF217" i="40"/>
  <c r="HS148" i="59"/>
  <c r="P217" i="40"/>
  <c r="HC148" i="59"/>
  <c r="AK217" i="40"/>
  <c r="HX148" i="59"/>
  <c r="U217" i="40"/>
  <c r="HH148" i="59"/>
  <c r="AP217" i="40"/>
  <c r="IC148" i="59"/>
  <c r="Z217" i="40"/>
  <c r="HM148" i="59"/>
  <c r="AU217" i="40"/>
  <c r="IH148" i="59"/>
  <c r="AE217" i="40"/>
  <c r="HR148" i="59"/>
  <c r="O217" i="40"/>
  <c r="HB148" i="59"/>
  <c r="AJ217" i="40"/>
  <c r="HW148" i="59"/>
  <c r="T217" i="40"/>
  <c r="HG148" i="59"/>
  <c r="AO217" i="40"/>
  <c r="IB148" i="59"/>
  <c r="Y217" i="40"/>
  <c r="HL148" i="59"/>
  <c r="AT217" i="40"/>
  <c r="IG148" i="59"/>
  <c r="AD217" i="40"/>
  <c r="HQ148" i="59"/>
  <c r="N217" i="40"/>
  <c r="HA148" i="59"/>
  <c r="AI217" i="40"/>
  <c r="HV148" i="59"/>
  <c r="S217" i="40"/>
  <c r="HF148" i="59"/>
  <c r="AN217" i="40"/>
  <c r="IA148" i="59"/>
  <c r="X217" i="40"/>
  <c r="HK148" i="59"/>
  <c r="J128" i="40"/>
  <c r="EU130" i="59"/>
  <c r="J143" i="40"/>
  <c r="FV133" i="59"/>
  <c r="AR214" i="40"/>
  <c r="CH148" i="59"/>
  <c r="AB214" i="40"/>
  <c r="BR148" i="59"/>
  <c r="M214" i="40"/>
  <c r="BC148" i="59"/>
  <c r="AK214" i="40"/>
  <c r="CA148" i="59"/>
  <c r="U214" i="40"/>
  <c r="BK148" i="59"/>
  <c r="AP214" i="40"/>
  <c r="CF148" i="59"/>
  <c r="Z214" i="40"/>
  <c r="BP148" i="59"/>
  <c r="AU214" i="40"/>
  <c r="CK148" i="59"/>
  <c r="AE214" i="40"/>
  <c r="BU148" i="59"/>
  <c r="O214" i="40"/>
  <c r="BE148" i="59"/>
  <c r="AV214" i="40"/>
  <c r="CL148" i="59"/>
  <c r="AF214" i="40"/>
  <c r="BV148" i="59"/>
  <c r="P214" i="40"/>
  <c r="BF148" i="59"/>
  <c r="AO214" i="40"/>
  <c r="CE148" i="59"/>
  <c r="Y214" i="40"/>
  <c r="BO148" i="59"/>
  <c r="AT214" i="40"/>
  <c r="CJ148" i="59"/>
  <c r="AD214" i="40"/>
  <c r="BT148" i="59"/>
  <c r="N214" i="40"/>
  <c r="BD148" i="59"/>
  <c r="AI214" i="40"/>
  <c r="BY148" i="59"/>
  <c r="S214" i="40"/>
  <c r="BI148" i="59"/>
  <c r="AJ214" i="40"/>
  <c r="BZ148" i="59"/>
  <c r="T214" i="40"/>
  <c r="BJ148" i="59"/>
  <c r="AS214" i="40"/>
  <c r="CI148" i="59"/>
  <c r="AC214" i="40"/>
  <c r="BS148" i="59"/>
  <c r="AX214" i="40"/>
  <c r="CN148" i="59"/>
  <c r="AH214" i="40"/>
  <c r="BX148" i="59"/>
  <c r="R214" i="40"/>
  <c r="BH148" i="59"/>
  <c r="AM214" i="40"/>
  <c r="CC148" i="59"/>
  <c r="W214" i="40"/>
  <c r="BM148" i="59"/>
  <c r="AN214" i="40"/>
  <c r="CD148" i="59"/>
  <c r="X214" i="40"/>
  <c r="BN148" i="59"/>
  <c r="AW214" i="40"/>
  <c r="CM148" i="59"/>
  <c r="AG214" i="40"/>
  <c r="BW148" i="59"/>
  <c r="Q214" i="40"/>
  <c r="BG148" i="59"/>
  <c r="AL214" i="40"/>
  <c r="CB148" i="59"/>
  <c r="V214" i="40"/>
  <c r="BL148" i="59"/>
  <c r="AQ214" i="40"/>
  <c r="CG148" i="59"/>
  <c r="AA214" i="40"/>
  <c r="BQ148" i="59"/>
  <c r="J142" i="40"/>
  <c r="DV133" i="59"/>
  <c r="AS213" i="40"/>
  <c r="AJ148" i="59"/>
  <c r="AC213" i="40"/>
  <c r="T148" i="59"/>
  <c r="AX213" i="40"/>
  <c r="AO148" i="59"/>
  <c r="AH213" i="40"/>
  <c r="Y148" i="59"/>
  <c r="R213" i="40"/>
  <c r="I148" i="59"/>
  <c r="AM213" i="40"/>
  <c r="AD148" i="59"/>
  <c r="W213" i="40"/>
  <c r="N148" i="59"/>
  <c r="AR213" i="40"/>
  <c r="AI148" i="59"/>
  <c r="AB213" i="40"/>
  <c r="S148" i="59"/>
  <c r="M213" i="40"/>
  <c r="IU147" i="59"/>
  <c r="AW213" i="40"/>
  <c r="AN148" i="59"/>
  <c r="AG213" i="40"/>
  <c r="X148" i="59"/>
  <c r="Q213" i="40"/>
  <c r="H148" i="59"/>
  <c r="AL213" i="40"/>
  <c r="AC148" i="59"/>
  <c r="V213" i="40"/>
  <c r="M148" i="59"/>
  <c r="AQ213" i="40"/>
  <c r="AH148" i="59"/>
  <c r="AA213" i="40"/>
  <c r="R148" i="59"/>
  <c r="AV213" i="40"/>
  <c r="AM148" i="59"/>
  <c r="AF213" i="40"/>
  <c r="W148" i="59"/>
  <c r="P213" i="40"/>
  <c r="G148" i="59"/>
  <c r="AK213" i="40"/>
  <c r="AB148" i="59"/>
  <c r="U213" i="40"/>
  <c r="L148" i="59"/>
  <c r="AP213" i="40"/>
  <c r="AG148" i="59"/>
  <c r="Z213" i="40"/>
  <c r="Q148" i="59"/>
  <c r="AU213" i="40"/>
  <c r="AL148" i="59"/>
  <c r="AE213" i="40"/>
  <c r="V148" i="59"/>
  <c r="O213" i="40"/>
  <c r="F148" i="59"/>
  <c r="AJ213" i="40"/>
  <c r="AA148" i="59"/>
  <c r="T213" i="40"/>
  <c r="K148" i="59"/>
  <c r="AO213" i="40"/>
  <c r="AF148" i="59"/>
  <c r="Y213" i="40"/>
  <c r="P148" i="59"/>
  <c r="AT213" i="40"/>
  <c r="AK148" i="59"/>
  <c r="AD213" i="40"/>
  <c r="U148" i="59"/>
  <c r="N213" i="40"/>
  <c r="IV147" i="59"/>
  <c r="AI213" i="40"/>
  <c r="Z148" i="59"/>
  <c r="S213" i="40"/>
  <c r="J148" i="59"/>
  <c r="AN213" i="40"/>
  <c r="AE148" i="59"/>
  <c r="X213" i="40"/>
  <c r="O148" i="59"/>
  <c r="J144" i="40"/>
  <c r="HV133" i="59"/>
  <c r="AI215" i="40"/>
  <c r="DX148" i="59"/>
  <c r="S215" i="40"/>
  <c r="DH148" i="59"/>
  <c r="AN215" i="40"/>
  <c r="EC148" i="59"/>
  <c r="X215" i="40"/>
  <c r="DM148" i="59"/>
  <c r="AW215" i="40"/>
  <c r="EL148" i="59"/>
  <c r="AG215" i="40"/>
  <c r="DV148" i="59"/>
  <c r="Q215" i="40"/>
  <c r="DF148" i="59"/>
  <c r="AL215" i="40"/>
  <c r="EA148" i="59"/>
  <c r="V215" i="40"/>
  <c r="DK148" i="59"/>
  <c r="AM215" i="40"/>
  <c r="EB148" i="59"/>
  <c r="W215" i="40"/>
  <c r="DL148" i="59"/>
  <c r="AR215" i="40"/>
  <c r="EG148" i="59"/>
  <c r="AB215" i="40"/>
  <c r="DQ148" i="59"/>
  <c r="M215" i="40"/>
  <c r="DB148" i="59"/>
  <c r="AK215" i="40"/>
  <c r="DZ148" i="59"/>
  <c r="U215" i="40"/>
  <c r="DJ148" i="59"/>
  <c r="AP215" i="40"/>
  <c r="EE148" i="59"/>
  <c r="Z215" i="40"/>
  <c r="DO148" i="59"/>
  <c r="AQ215" i="40"/>
  <c r="EF148" i="59"/>
  <c r="AA215" i="40"/>
  <c r="DP148" i="59"/>
  <c r="AV215" i="40"/>
  <c r="EK148" i="59"/>
  <c r="AF215" i="40"/>
  <c r="DU148" i="59"/>
  <c r="P215" i="40"/>
  <c r="DE148" i="59"/>
  <c r="AO215" i="40"/>
  <c r="ED148" i="59"/>
  <c r="Y215" i="40"/>
  <c r="DN148" i="59"/>
  <c r="AT215" i="40"/>
  <c r="EI148" i="59"/>
  <c r="AD215" i="40"/>
  <c r="DS148" i="59"/>
  <c r="N215" i="40"/>
  <c r="DC148" i="59"/>
  <c r="AU215" i="40"/>
  <c r="EJ148" i="59"/>
  <c r="AE215" i="40"/>
  <c r="DT148" i="59"/>
  <c r="O215" i="40"/>
  <c r="DD148" i="59"/>
  <c r="AJ215" i="40"/>
  <c r="DY148" i="59"/>
  <c r="T215" i="40"/>
  <c r="DI148" i="59"/>
  <c r="AS215" i="40"/>
  <c r="EH148" i="59"/>
  <c r="AC215" i="40"/>
  <c r="DR148" i="59"/>
  <c r="AX215" i="40"/>
  <c r="EM148" i="59"/>
  <c r="AH215" i="40"/>
  <c r="DW148" i="59"/>
  <c r="R215" i="40"/>
  <c r="DG148" i="59"/>
  <c r="J123" i="40"/>
  <c r="EL129" i="59"/>
  <c r="J145" i="40"/>
  <c r="AE134" i="59"/>
  <c r="AX216" i="40"/>
  <c r="GL148" i="59"/>
  <c r="AH216" i="40"/>
  <c r="FV148" i="59"/>
  <c r="R216" i="40"/>
  <c r="FF148" i="59"/>
  <c r="AM216" i="40"/>
  <c r="GA148" i="59"/>
  <c r="W216" i="40"/>
  <c r="FK148" i="59"/>
  <c r="AR216" i="40"/>
  <c r="GF148" i="59"/>
  <c r="AB216" i="40"/>
  <c r="FP148" i="59"/>
  <c r="AW216" i="40"/>
  <c r="GK148" i="59"/>
  <c r="AG216" i="40"/>
  <c r="FU148" i="59"/>
  <c r="Q216" i="40"/>
  <c r="FE148" i="59"/>
  <c r="AL216" i="40"/>
  <c r="FZ148" i="59"/>
  <c r="V216" i="40"/>
  <c r="FJ148" i="59"/>
  <c r="AQ216" i="40"/>
  <c r="GE148" i="59"/>
  <c r="AA216" i="40"/>
  <c r="FO148" i="59"/>
  <c r="AV216" i="40"/>
  <c r="GJ148" i="59"/>
  <c r="AF216" i="40"/>
  <c r="FT148" i="59"/>
  <c r="P216" i="40"/>
  <c r="FD148" i="59"/>
  <c r="AK216" i="40"/>
  <c r="FY148" i="59"/>
  <c r="U216" i="40"/>
  <c r="FI148" i="59"/>
  <c r="AP216" i="40"/>
  <c r="GD148" i="59"/>
  <c r="Z216" i="40"/>
  <c r="FN148" i="59"/>
  <c r="AU216" i="40"/>
  <c r="GI148" i="59"/>
  <c r="AE216" i="40"/>
  <c r="FS148" i="59"/>
  <c r="O216" i="40"/>
  <c r="FC148" i="59"/>
  <c r="AJ216" i="40"/>
  <c r="FX148" i="59"/>
  <c r="T216" i="40"/>
  <c r="FH148" i="59"/>
  <c r="AO216" i="40"/>
  <c r="GC148" i="59"/>
  <c r="Y216" i="40"/>
  <c r="FM148" i="59"/>
  <c r="AT216" i="40"/>
  <c r="GH148" i="59"/>
  <c r="AD216" i="40"/>
  <c r="FR148" i="59"/>
  <c r="N216" i="40"/>
  <c r="FB148" i="59"/>
  <c r="AI216" i="40"/>
  <c r="FW148" i="59"/>
  <c r="S216" i="40"/>
  <c r="FG148" i="59"/>
  <c r="AN216" i="40"/>
  <c r="GB148" i="59"/>
  <c r="X216" i="40"/>
  <c r="FL148" i="59"/>
  <c r="AS216" i="40"/>
  <c r="GG148" i="59"/>
  <c r="AC216" i="40"/>
  <c r="FQ148" i="59"/>
  <c r="M216" i="40"/>
  <c r="FA148" i="59"/>
  <c r="M247" i="40"/>
  <c r="EN152" i="59"/>
  <c r="N239" i="40"/>
  <c r="HK150" i="59"/>
  <c r="O239" i="40"/>
  <c r="HL150" i="59"/>
  <c r="M239" i="40"/>
  <c r="HJ150" i="59"/>
  <c r="AS40" i="5"/>
  <c r="CG168" i="59"/>
  <c r="AS227" i="5"/>
  <c r="BK205" i="59"/>
  <c r="AS51" i="5"/>
  <c r="DX170" i="59"/>
  <c r="AS216" i="5"/>
  <c r="T203" i="59"/>
  <c r="AS205" i="5"/>
  <c r="HT200" i="59"/>
  <c r="AS194" i="5"/>
  <c r="GC198" i="59"/>
  <c r="AS172" i="5"/>
  <c r="CU194" i="59"/>
  <c r="AS183" i="5"/>
  <c r="EL196" i="59"/>
  <c r="AS117" i="5"/>
  <c r="EE183" i="59"/>
  <c r="AS150" i="5"/>
  <c r="M190" i="59"/>
  <c r="AS139" i="5"/>
  <c r="HM187" i="59"/>
  <c r="AS161" i="5"/>
  <c r="BD192" i="59"/>
  <c r="L123" i="40"/>
  <c r="EN129" i="59"/>
  <c r="K128" i="40"/>
  <c r="EV130" i="59"/>
  <c r="H134" i="40"/>
  <c r="HB131" i="59"/>
  <c r="H133" i="40"/>
  <c r="FB131" i="59"/>
  <c r="H135" i="40"/>
  <c r="K132" i="59"/>
  <c r="H124" i="40"/>
  <c r="GJ129" i="59"/>
  <c r="H141" i="40"/>
  <c r="BT133" i="59"/>
  <c r="H125" i="40"/>
  <c r="IJ129" i="59"/>
  <c r="H140" i="40"/>
  <c r="T133" i="59"/>
  <c r="H139" i="40"/>
  <c r="HK132" i="59"/>
  <c r="H138" i="40"/>
  <c r="FK132" i="59"/>
  <c r="H136" i="40"/>
  <c r="BK132" i="59"/>
  <c r="H137" i="40"/>
  <c r="DK132" i="59"/>
  <c r="H131" i="40"/>
  <c r="BB131" i="59"/>
  <c r="G21" i="37"/>
  <c r="L323" i="59"/>
  <c r="I28" i="40"/>
  <c r="AL110" i="59"/>
  <c r="G19" i="37"/>
  <c r="IK322" i="59"/>
  <c r="I26" i="40"/>
  <c r="GK109" i="59"/>
  <c r="G23" i="37"/>
  <c r="AD323" i="59"/>
  <c r="I30" i="40"/>
  <c r="ED110" i="59"/>
  <c r="G30" i="37"/>
  <c r="CO323" i="59"/>
  <c r="I37" i="40"/>
  <c r="HK111" i="59"/>
  <c r="J17" i="40"/>
  <c r="M108" i="59"/>
  <c r="G17" i="37"/>
  <c r="HS322" i="59"/>
  <c r="I24" i="40"/>
  <c r="CS109" i="59"/>
  <c r="G15" i="37"/>
  <c r="HA322" i="59"/>
  <c r="G24" i="37"/>
  <c r="AM323" i="59"/>
  <c r="G22" i="37"/>
  <c r="U323" i="59"/>
  <c r="G20" i="37"/>
  <c r="IT322" i="59"/>
  <c r="K123" i="40"/>
  <c r="EM129" i="59"/>
  <c r="L128" i="40"/>
  <c r="EW130" i="59"/>
  <c r="G33" i="37"/>
  <c r="DP323" i="59"/>
  <c r="G35" i="37"/>
  <c r="EH323" i="59"/>
  <c r="G26" i="37"/>
  <c r="BE323" i="59"/>
  <c r="H14" i="41"/>
  <c r="AJ305" i="59"/>
  <c r="H19" i="41"/>
  <c r="DL305" i="59"/>
  <c r="G31" i="37"/>
  <c r="CX323" i="59"/>
  <c r="G25" i="37"/>
  <c r="AV323" i="59"/>
  <c r="G27" i="37"/>
  <c r="BN323" i="59"/>
  <c r="G29" i="37"/>
  <c r="CF323" i="59"/>
  <c r="G28" i="37"/>
  <c r="BW323" i="59"/>
  <c r="I10" i="37"/>
  <c r="FJ322" i="59"/>
  <c r="N262" i="40"/>
  <c r="GT155" i="59"/>
  <c r="GS155" i="59"/>
  <c r="K244" i="40"/>
  <c r="HW151" i="59"/>
  <c r="HU151" i="59"/>
  <c r="K250" i="40"/>
  <c r="BA153" i="59"/>
  <c r="AY153" i="59"/>
  <c r="N265" i="40"/>
  <c r="DI156" i="59"/>
  <c r="DH156" i="59"/>
  <c r="K243" i="40"/>
  <c r="FU151" i="59"/>
  <c r="FS151" i="59"/>
  <c r="J87" i="40"/>
  <c r="AA122" i="59"/>
  <c r="Y122" i="59"/>
  <c r="AV242" i="40"/>
  <c r="FD151" i="59"/>
  <c r="AU242" i="40"/>
  <c r="FC151" i="59"/>
  <c r="AH242" i="40"/>
  <c r="EP151" i="59"/>
  <c r="AG242" i="40"/>
  <c r="EO151" i="59"/>
  <c r="AS242" i="40"/>
  <c r="FA151" i="59"/>
  <c r="AF242" i="40"/>
  <c r="EN151" i="59"/>
  <c r="AI242" i="40"/>
  <c r="EQ151" i="59"/>
  <c r="AY242" i="40"/>
  <c r="FG151" i="59"/>
  <c r="AR242" i="40"/>
  <c r="EZ151" i="59"/>
  <c r="AE242" i="40"/>
  <c r="EM151" i="59"/>
  <c r="AL242" i="40"/>
  <c r="ET151" i="59"/>
  <c r="AO242" i="40"/>
  <c r="EW151" i="59"/>
  <c r="AP242" i="40"/>
  <c r="EX151" i="59"/>
  <c r="AB242" i="40"/>
  <c r="EJ151" i="59"/>
  <c r="AC242" i="40"/>
  <c r="EK151" i="59"/>
  <c r="X242" i="40"/>
  <c r="EF151" i="59"/>
  <c r="AQ242" i="40"/>
  <c r="EY151" i="59"/>
  <c r="AD242" i="40"/>
  <c r="EL151" i="59"/>
  <c r="AZ242" i="40"/>
  <c r="FH151" i="59"/>
  <c r="AT242" i="40"/>
  <c r="FB151" i="59"/>
  <c r="Z242" i="40"/>
  <c r="EH151" i="59"/>
  <c r="AW242" i="40"/>
  <c r="FE151" i="59"/>
  <c r="AA242" i="40"/>
  <c r="EI151" i="59"/>
  <c r="AX242" i="40"/>
  <c r="FF151" i="59"/>
  <c r="AJ242" i="40"/>
  <c r="ER151" i="59"/>
  <c r="W242" i="40"/>
  <c r="EE151" i="59"/>
  <c r="M242" i="40"/>
  <c r="AM242" i="40"/>
  <c r="EU151" i="59"/>
  <c r="AK242" i="40"/>
  <c r="ES151" i="59"/>
  <c r="AN242" i="40"/>
  <c r="EV151" i="59"/>
  <c r="Y242" i="40"/>
  <c r="EG151" i="59"/>
  <c r="C16" i="41"/>
  <c r="BK305" i="59"/>
  <c r="K89" i="40"/>
  <c r="EB122" i="59"/>
  <c r="L89" i="40"/>
  <c r="EC122" i="59"/>
  <c r="AS327" i="5"/>
  <c r="IN224" i="59"/>
  <c r="AB262" i="40"/>
  <c r="HH155" i="59"/>
  <c r="V262" i="40"/>
  <c r="HB155" i="59"/>
  <c r="AH262" i="40"/>
  <c r="HN155" i="59"/>
  <c r="AP262" i="40"/>
  <c r="HV155" i="59"/>
  <c r="AN262" i="40"/>
  <c r="HT155" i="59"/>
  <c r="AX262" i="40"/>
  <c r="ID155" i="59"/>
  <c r="AT262" i="40"/>
  <c r="HZ155" i="59"/>
  <c r="AO262" i="40"/>
  <c r="HU155" i="59"/>
  <c r="AY262" i="40"/>
  <c r="IE155" i="59"/>
  <c r="C15" i="41"/>
  <c r="AU305" i="59"/>
  <c r="AS262" i="40"/>
  <c r="HY155" i="59"/>
  <c r="Q262" i="40"/>
  <c r="GW155" i="59"/>
  <c r="X262" i="40"/>
  <c r="HD155" i="59"/>
  <c r="W262" i="40"/>
  <c r="HC155" i="59"/>
  <c r="AL262" i="40"/>
  <c r="HR155" i="59"/>
  <c r="AS261" i="5"/>
  <c r="IG211" i="59"/>
  <c r="AK262" i="40"/>
  <c r="HQ155" i="59"/>
  <c r="Y262" i="40"/>
  <c r="HE155" i="59"/>
  <c r="AC262" i="40"/>
  <c r="HI155" i="59"/>
  <c r="P262" i="40"/>
  <c r="GV155" i="59"/>
  <c r="AJ262" i="40"/>
  <c r="HP155" i="59"/>
  <c r="AE262" i="40"/>
  <c r="HK155" i="59"/>
  <c r="AR262" i="40"/>
  <c r="HX155" i="59"/>
  <c r="AD262" i="40"/>
  <c r="HJ155" i="59"/>
  <c r="Z262" i="40"/>
  <c r="HF155" i="59"/>
  <c r="AM262" i="40"/>
  <c r="HS155" i="59"/>
  <c r="AF262" i="40"/>
  <c r="HL155" i="59"/>
  <c r="AI262" i="40"/>
  <c r="HO155" i="59"/>
  <c r="AW262" i="40"/>
  <c r="IC155" i="59"/>
  <c r="AZ262" i="40"/>
  <c r="IF155" i="59"/>
  <c r="AA262" i="40"/>
  <c r="HG155" i="59"/>
  <c r="O262" i="40"/>
  <c r="GU155" i="59"/>
  <c r="AU262" i="40"/>
  <c r="IA155" i="59"/>
  <c r="AG262" i="40"/>
  <c r="HM155" i="59"/>
  <c r="R262" i="40"/>
  <c r="GX155" i="59"/>
  <c r="AV262" i="40"/>
  <c r="IB155" i="59"/>
  <c r="S262" i="40"/>
  <c r="GY155" i="59"/>
  <c r="AQ262" i="40"/>
  <c r="HW155" i="59"/>
  <c r="P265" i="40"/>
  <c r="DK156" i="59"/>
  <c r="AT265" i="40"/>
  <c r="EO156" i="59"/>
  <c r="AM265" i="40"/>
  <c r="EH156" i="59"/>
  <c r="H108" i="40"/>
  <c r="DI126" i="59"/>
  <c r="AD261" i="40"/>
  <c r="FH155" i="59"/>
  <c r="AS265" i="40"/>
  <c r="EN156" i="59"/>
  <c r="AV265" i="40"/>
  <c r="EQ156" i="59"/>
  <c r="AR265" i="40"/>
  <c r="EM156" i="59"/>
  <c r="AN265" i="40"/>
  <c r="EI156" i="59"/>
  <c r="AC265" i="40"/>
  <c r="DX156" i="59"/>
  <c r="AL265" i="40"/>
  <c r="EG156" i="59"/>
  <c r="AZ261" i="40"/>
  <c r="GD155" i="59"/>
  <c r="AP265" i="40"/>
  <c r="EK156" i="59"/>
  <c r="AX265" i="40"/>
  <c r="ES156" i="59"/>
  <c r="AU265" i="40"/>
  <c r="EP156" i="59"/>
  <c r="Q265" i="40"/>
  <c r="DL156" i="59"/>
  <c r="L244" i="40"/>
  <c r="HX151" i="59"/>
  <c r="O265" i="40"/>
  <c r="DJ156" i="59"/>
  <c r="AQ265" i="40"/>
  <c r="EL156" i="59"/>
  <c r="K256" i="40"/>
  <c r="DV154" i="59"/>
  <c r="L250" i="40"/>
  <c r="BB153" i="59"/>
  <c r="AJ265" i="40"/>
  <c r="EE156" i="59"/>
  <c r="AY265" i="40"/>
  <c r="ET156" i="59"/>
  <c r="R265" i="40"/>
  <c r="DM156" i="59"/>
  <c r="L258" i="40"/>
  <c r="IA154" i="59"/>
  <c r="AO261" i="40"/>
  <c r="FS155" i="59"/>
  <c r="AF265" i="40"/>
  <c r="EA156" i="59"/>
  <c r="AG265" i="40"/>
  <c r="EB156" i="59"/>
  <c r="AO265" i="40"/>
  <c r="EJ156" i="59"/>
  <c r="AD265" i="40"/>
  <c r="DY156" i="59"/>
  <c r="AE265" i="40"/>
  <c r="DZ156" i="59"/>
  <c r="AI265" i="40"/>
  <c r="ED156" i="59"/>
  <c r="AI261" i="40"/>
  <c r="FM155" i="59"/>
  <c r="AA265" i="40"/>
  <c r="DV156" i="59"/>
  <c r="S265" i="40"/>
  <c r="DN156" i="59"/>
  <c r="AW265" i="40"/>
  <c r="ER156" i="59"/>
  <c r="AZ265" i="40"/>
  <c r="EU156" i="59"/>
  <c r="N264" i="40"/>
  <c r="BG156" i="59"/>
  <c r="L256" i="40"/>
  <c r="DW154" i="59"/>
  <c r="AY264" i="40"/>
  <c r="CR156" i="59"/>
  <c r="AS261" i="40"/>
  <c r="FW155" i="59"/>
  <c r="AK265" i="40"/>
  <c r="EF156" i="59"/>
  <c r="AB265" i="40"/>
  <c r="DW156" i="59"/>
  <c r="AH265" i="40"/>
  <c r="EC156" i="59"/>
  <c r="AA263" i="40"/>
  <c r="R156" i="59"/>
  <c r="AZ263" i="40"/>
  <c r="AQ156" i="59"/>
  <c r="AS264" i="40"/>
  <c r="CL156" i="59"/>
  <c r="AM263" i="40"/>
  <c r="AD156" i="59"/>
  <c r="AE263" i="40"/>
  <c r="V156" i="59"/>
  <c r="P263" i="40"/>
  <c r="G156" i="59"/>
  <c r="AG264" i="40"/>
  <c r="BZ156" i="59"/>
  <c r="AS228" i="5"/>
  <c r="DH205" i="59"/>
  <c r="AL263" i="40"/>
  <c r="AC156" i="59"/>
  <c r="K258" i="40"/>
  <c r="HZ154" i="59"/>
  <c r="N263" i="40"/>
  <c r="IV155" i="59"/>
  <c r="AY261" i="40"/>
  <c r="GC155" i="59"/>
  <c r="AT261" i="40"/>
  <c r="FX155" i="59"/>
  <c r="AU261" i="40"/>
  <c r="FY155" i="59"/>
  <c r="AR261" i="40"/>
  <c r="FV155" i="59"/>
  <c r="AQ261" i="40"/>
  <c r="FU155" i="59"/>
  <c r="Z261" i="40"/>
  <c r="FD155" i="59"/>
  <c r="AJ261" i="40"/>
  <c r="FN155" i="59"/>
  <c r="S261" i="40"/>
  <c r="EW155" i="59"/>
  <c r="R261" i="40"/>
  <c r="EV155" i="59"/>
  <c r="AD263" i="40"/>
  <c r="U156" i="59"/>
  <c r="AR263" i="40"/>
  <c r="AI156" i="59"/>
  <c r="O264" i="40"/>
  <c r="BH156" i="59"/>
  <c r="AI264" i="40"/>
  <c r="CB156" i="59"/>
  <c r="AV261" i="40"/>
  <c r="FZ155" i="59"/>
  <c r="AA261" i="40"/>
  <c r="FE155" i="59"/>
  <c r="AG261" i="40"/>
  <c r="FK155" i="59"/>
  <c r="AF261" i="40"/>
  <c r="FJ155" i="59"/>
  <c r="AF263" i="40"/>
  <c r="W156" i="59"/>
  <c r="W263" i="40"/>
  <c r="N156" i="59"/>
  <c r="L252" i="40"/>
  <c r="FF153" i="59"/>
  <c r="C18" i="41"/>
  <c r="CQ305" i="59"/>
  <c r="AK261" i="40"/>
  <c r="FO155" i="59"/>
  <c r="AB261" i="40"/>
  <c r="FF155" i="59"/>
  <c r="Q261" i="40"/>
  <c r="EU155" i="59"/>
  <c r="AM261" i="40"/>
  <c r="FQ155" i="59"/>
  <c r="AC261" i="40"/>
  <c r="FG155" i="59"/>
  <c r="O261" i="40"/>
  <c r="ES155" i="59"/>
  <c r="P261" i="40"/>
  <c r="ET155" i="59"/>
  <c r="O263" i="40"/>
  <c r="F156" i="59"/>
  <c r="AU263" i="40"/>
  <c r="AL156" i="59"/>
  <c r="S263" i="40"/>
  <c r="J156" i="59"/>
  <c r="AV264" i="40"/>
  <c r="CO156" i="59"/>
  <c r="K252" i="40"/>
  <c r="FE153" i="59"/>
  <c r="AN261" i="40"/>
  <c r="FR155" i="59"/>
  <c r="AP261" i="40"/>
  <c r="FT155" i="59"/>
  <c r="AE261" i="40"/>
  <c r="FI155" i="59"/>
  <c r="AH263" i="40"/>
  <c r="Y156" i="59"/>
  <c r="Z264" i="40"/>
  <c r="BS156" i="59"/>
  <c r="H105" i="40"/>
  <c r="GZ125" i="59"/>
  <c r="AL261" i="40"/>
  <c r="FP155" i="59"/>
  <c r="AH261" i="40"/>
  <c r="FL155" i="59"/>
  <c r="AW261" i="40"/>
  <c r="GA155" i="59"/>
  <c r="AX261" i="40"/>
  <c r="GB155" i="59"/>
  <c r="AS263" i="40"/>
  <c r="AJ156" i="59"/>
  <c r="AN263" i="40"/>
  <c r="AE156" i="59"/>
  <c r="AV263" i="40"/>
  <c r="AM156" i="59"/>
  <c r="Y264" i="40"/>
  <c r="BR156" i="59"/>
  <c r="K253" i="40"/>
  <c r="HG153" i="59"/>
  <c r="L243" i="40"/>
  <c r="FV151" i="59"/>
  <c r="AP263" i="40"/>
  <c r="AG156" i="59"/>
  <c r="AJ263" i="40"/>
  <c r="AA156" i="59"/>
  <c r="AX263" i="40"/>
  <c r="AO156" i="59"/>
  <c r="AT264" i="40"/>
  <c r="CM156" i="59"/>
  <c r="Q264" i="40"/>
  <c r="BJ156" i="59"/>
  <c r="M252" i="40"/>
  <c r="FG153" i="59"/>
  <c r="AW263" i="40"/>
  <c r="AN156" i="59"/>
  <c r="AG263" i="40"/>
  <c r="X156" i="59"/>
  <c r="AT263" i="40"/>
  <c r="AK156" i="59"/>
  <c r="AI263" i="40"/>
  <c r="Z156" i="59"/>
  <c r="AC264" i="40"/>
  <c r="BV156" i="59"/>
  <c r="AL264" i="40"/>
  <c r="CE156" i="59"/>
  <c r="AK264" i="40"/>
  <c r="CD156" i="59"/>
  <c r="L253" i="40"/>
  <c r="HH153" i="59"/>
  <c r="C19" i="41"/>
  <c r="DG305" i="59"/>
  <c r="H101" i="40"/>
  <c r="IQ124" i="59"/>
  <c r="AC263" i="40"/>
  <c r="T156" i="59"/>
  <c r="AO263" i="40"/>
  <c r="AF156" i="59"/>
  <c r="AB263" i="40"/>
  <c r="S156" i="59"/>
  <c r="R263" i="40"/>
  <c r="I156" i="59"/>
  <c r="AO264" i="40"/>
  <c r="CH156" i="59"/>
  <c r="M253" i="40"/>
  <c r="HI153" i="59"/>
  <c r="AY263" i="40"/>
  <c r="AP156" i="59"/>
  <c r="Q263" i="40"/>
  <c r="H156" i="59"/>
  <c r="AQ263" i="40"/>
  <c r="AH156" i="59"/>
  <c r="Y263" i="40"/>
  <c r="P156" i="59"/>
  <c r="AK263" i="40"/>
  <c r="AB156" i="59"/>
  <c r="AP264" i="40"/>
  <c r="CI156" i="59"/>
  <c r="AX264" i="40"/>
  <c r="CQ156" i="59"/>
  <c r="H107" i="40"/>
  <c r="BI126" i="59"/>
  <c r="H114" i="40"/>
  <c r="FR127" i="59"/>
  <c r="K92" i="40"/>
  <c r="AK123" i="59"/>
  <c r="M257" i="40"/>
  <c r="AS250" i="5"/>
  <c r="GP209" i="59"/>
  <c r="AS272" i="5"/>
  <c r="AG214" i="59"/>
  <c r="H116" i="40"/>
  <c r="AA128" i="59"/>
  <c r="K254" i="40"/>
  <c r="R154" i="59"/>
  <c r="K257" i="40"/>
  <c r="FX154" i="59"/>
  <c r="L92" i="40"/>
  <c r="AL123" i="59"/>
  <c r="H109" i="40"/>
  <c r="FI126" i="59"/>
  <c r="L257" i="40"/>
  <c r="FY154" i="59"/>
  <c r="J95" i="40"/>
  <c r="GJ123" i="59"/>
  <c r="J91" i="40"/>
  <c r="IA122" i="59"/>
  <c r="AS239" i="5"/>
  <c r="EY207" i="59"/>
  <c r="M256" i="40"/>
  <c r="DX154" i="59"/>
  <c r="AN264" i="40"/>
  <c r="CG156" i="59"/>
  <c r="AM264" i="40"/>
  <c r="CF156" i="59"/>
  <c r="AR264" i="40"/>
  <c r="CK156" i="59"/>
  <c r="AB264" i="40"/>
  <c r="BU156" i="59"/>
  <c r="R264" i="40"/>
  <c r="BK156" i="59"/>
  <c r="M254" i="40"/>
  <c r="T154" i="59"/>
  <c r="M259" i="40"/>
  <c r="AM155" i="59"/>
  <c r="M255" i="40"/>
  <c r="BV154" i="59"/>
  <c r="J244" i="40"/>
  <c r="HV151" i="59"/>
  <c r="J250" i="40"/>
  <c r="AZ153" i="59"/>
  <c r="H29" i="41"/>
  <c r="Y306" i="59"/>
  <c r="AS206" i="5"/>
  <c r="Z201" i="59"/>
  <c r="H26" i="41"/>
  <c r="HT305" i="59"/>
  <c r="H16" i="41"/>
  <c r="BP305" i="59"/>
  <c r="N261" i="40"/>
  <c r="ER155" i="59"/>
  <c r="H32" i="41"/>
  <c r="BU306" i="59"/>
  <c r="AQ264" i="40"/>
  <c r="CJ156" i="59"/>
  <c r="AE264" i="40"/>
  <c r="BX156" i="59"/>
  <c r="AF264" i="40"/>
  <c r="BY156" i="59"/>
  <c r="AD264" i="40"/>
  <c r="BW156" i="59"/>
  <c r="S264" i="40"/>
  <c r="BL156" i="59"/>
  <c r="L254" i="40"/>
  <c r="S154" i="59"/>
  <c r="L255" i="40"/>
  <c r="BU154" i="59"/>
  <c r="I246" i="40"/>
  <c r="N247" i="40"/>
  <c r="EO152" i="59"/>
  <c r="H30" i="41"/>
  <c r="AO306" i="59"/>
  <c r="AS184" i="5"/>
  <c r="GI196" i="59"/>
  <c r="K259" i="40"/>
  <c r="AK155" i="59"/>
  <c r="L259" i="40"/>
  <c r="AL155" i="59"/>
  <c r="K255" i="40"/>
  <c r="BT154" i="59"/>
  <c r="H112" i="40"/>
  <c r="BR127" i="59"/>
  <c r="H24" i="41"/>
  <c r="GN305" i="59"/>
  <c r="L260" i="40"/>
  <c r="CN155" i="59"/>
  <c r="H110" i="40"/>
  <c r="HI126" i="59"/>
  <c r="H103" i="40"/>
  <c r="H25" i="41"/>
  <c r="HD305" i="59"/>
  <c r="H27" i="41"/>
  <c r="IJ305" i="59"/>
  <c r="H15" i="41"/>
  <c r="AZ305" i="59"/>
  <c r="M260" i="40"/>
  <c r="CO155" i="59"/>
  <c r="X264" i="40"/>
  <c r="BQ156" i="59"/>
  <c r="P264" i="40"/>
  <c r="BI156" i="59"/>
  <c r="AA264" i="40"/>
  <c r="BT156" i="59"/>
  <c r="H31" i="41"/>
  <c r="BE306" i="59"/>
  <c r="H22" i="41"/>
  <c r="FH305" i="59"/>
  <c r="H28" i="41"/>
  <c r="I306" i="59"/>
  <c r="H106" i="40"/>
  <c r="I126" i="59"/>
  <c r="AS305" i="5"/>
  <c r="FF220" i="59"/>
  <c r="AS283" i="5"/>
  <c r="BX216" i="59"/>
  <c r="AS349" i="5"/>
  <c r="CE229" i="59"/>
  <c r="K260" i="40"/>
  <c r="CM155" i="59"/>
  <c r="AU264" i="40"/>
  <c r="CN156" i="59"/>
  <c r="AH264" i="40"/>
  <c r="CA156" i="59"/>
  <c r="AJ264" i="40"/>
  <c r="CC156" i="59"/>
  <c r="AW264" i="40"/>
  <c r="CP156" i="59"/>
  <c r="AZ264" i="40"/>
  <c r="CS156" i="59"/>
  <c r="M258" i="40"/>
  <c r="IB154" i="59"/>
  <c r="J243" i="40"/>
  <c r="FT151" i="59"/>
  <c r="T128" i="40"/>
  <c r="FE130" i="59"/>
  <c r="X128" i="40"/>
  <c r="FI130" i="59"/>
  <c r="AB128" i="40"/>
  <c r="FM130" i="59"/>
  <c r="AF128" i="40"/>
  <c r="FQ130" i="59"/>
  <c r="AJ128" i="40"/>
  <c r="FU130" i="59"/>
  <c r="AN128" i="40"/>
  <c r="FY130" i="59"/>
  <c r="AR128" i="40"/>
  <c r="GC130" i="59"/>
  <c r="AV128" i="40"/>
  <c r="GG130" i="59"/>
  <c r="S128" i="40"/>
  <c r="FD130" i="59"/>
  <c r="W128" i="40"/>
  <c r="FH130" i="59"/>
  <c r="AA128" i="40"/>
  <c r="FL130" i="59"/>
  <c r="AE128" i="40"/>
  <c r="FP130" i="59"/>
  <c r="AI128" i="40"/>
  <c r="FT130" i="59"/>
  <c r="AM128" i="40"/>
  <c r="FX130" i="59"/>
  <c r="AQ128" i="40"/>
  <c r="GB130" i="59"/>
  <c r="AU128" i="40"/>
  <c r="GF130" i="59"/>
  <c r="R128" i="40"/>
  <c r="FC130" i="59"/>
  <c r="V128" i="40"/>
  <c r="FG130" i="59"/>
  <c r="Z128" i="40"/>
  <c r="FK130" i="59"/>
  <c r="AD128" i="40"/>
  <c r="FO130" i="59"/>
  <c r="AH128" i="40"/>
  <c r="FS130" i="59"/>
  <c r="AL128" i="40"/>
  <c r="FW130" i="59"/>
  <c r="AP128" i="40"/>
  <c r="GA130" i="59"/>
  <c r="AT128" i="40"/>
  <c r="GE130" i="59"/>
  <c r="AX128" i="40"/>
  <c r="GI130" i="59"/>
  <c r="U128" i="40"/>
  <c r="FF130" i="59"/>
  <c r="Y128" i="40"/>
  <c r="FJ130" i="59"/>
  <c r="AC128" i="40"/>
  <c r="FN130" i="59"/>
  <c r="AG128" i="40"/>
  <c r="FR130" i="59"/>
  <c r="AK128" i="40"/>
  <c r="FV130" i="59"/>
  <c r="AO128" i="40"/>
  <c r="FZ130" i="59"/>
  <c r="AS128" i="40"/>
  <c r="GD130" i="59"/>
  <c r="AW128" i="40"/>
  <c r="GH130" i="59"/>
  <c r="U123" i="40"/>
  <c r="Y123" i="40"/>
  <c r="AC123" i="40"/>
  <c r="AG123" i="40"/>
  <c r="AK123" i="40"/>
  <c r="AO123" i="40"/>
  <c r="AS123" i="40"/>
  <c r="AW123" i="40"/>
  <c r="T123" i="40"/>
  <c r="X123" i="40"/>
  <c r="AB123" i="40"/>
  <c r="AF123" i="40"/>
  <c r="AJ123" i="40"/>
  <c r="AN123" i="40"/>
  <c r="AR123" i="40"/>
  <c r="AV123" i="40"/>
  <c r="S123" i="40"/>
  <c r="W123" i="40"/>
  <c r="AA123" i="40"/>
  <c r="AE123" i="40"/>
  <c r="AI123" i="40"/>
  <c r="AM123" i="40"/>
  <c r="AQ123" i="40"/>
  <c r="AU123" i="40"/>
  <c r="R123" i="40"/>
  <c r="V123" i="40"/>
  <c r="Z123" i="40"/>
  <c r="AD123" i="40"/>
  <c r="AH123" i="40"/>
  <c r="AL123" i="40"/>
  <c r="AP123" i="40"/>
  <c r="AT123" i="40"/>
  <c r="AX123" i="40"/>
  <c r="N128" i="40"/>
  <c r="EY130" i="59"/>
  <c r="P128" i="40"/>
  <c r="FA130" i="59"/>
  <c r="O128" i="40"/>
  <c r="EZ130" i="59"/>
  <c r="Q123" i="40"/>
  <c r="P123" i="40"/>
  <c r="O123" i="40"/>
  <c r="N123" i="40"/>
  <c r="M250" i="40"/>
  <c r="BC153" i="59"/>
  <c r="Q128" i="40"/>
  <c r="FB130" i="59"/>
  <c r="AB247" i="40"/>
  <c r="FC152" i="59"/>
  <c r="AH247" i="40"/>
  <c r="FI152" i="59"/>
  <c r="AO247" i="40"/>
  <c r="FP152" i="59"/>
  <c r="AA247" i="40"/>
  <c r="FB152" i="59"/>
  <c r="AZ247" i="40"/>
  <c r="GA152" i="59"/>
  <c r="AJ247" i="40"/>
  <c r="FK152" i="59"/>
  <c r="AT247" i="40"/>
  <c r="FU152" i="59"/>
  <c r="AV247" i="40"/>
  <c r="FW152" i="59"/>
  <c r="AD247" i="40"/>
  <c r="FE152" i="59"/>
  <c r="AQ247" i="40"/>
  <c r="FR152" i="59"/>
  <c r="AX247" i="40"/>
  <c r="FY152" i="59"/>
  <c r="Y247" i="40"/>
  <c r="EZ152" i="59"/>
  <c r="AF247" i="40"/>
  <c r="FG152" i="59"/>
  <c r="AU247" i="40"/>
  <c r="FV152" i="59"/>
  <c r="X247" i="40"/>
  <c r="EY152" i="59"/>
  <c r="AG247" i="40"/>
  <c r="FH152" i="59"/>
  <c r="AP247" i="40"/>
  <c r="FQ152" i="59"/>
  <c r="S247" i="40"/>
  <c r="ET152" i="59"/>
  <c r="AM247" i="40"/>
  <c r="FN152" i="59"/>
  <c r="AW247" i="40"/>
  <c r="FX152" i="59"/>
  <c r="AI247" i="40"/>
  <c r="FJ152" i="59"/>
  <c r="AN247" i="40"/>
  <c r="FO152" i="59"/>
  <c r="AS247" i="40"/>
  <c r="FT152" i="59"/>
  <c r="AC247" i="40"/>
  <c r="FD152" i="59"/>
  <c r="AK247" i="40"/>
  <c r="FL152" i="59"/>
  <c r="AY247" i="40"/>
  <c r="FZ152" i="59"/>
  <c r="P247" i="40"/>
  <c r="EQ152" i="59"/>
  <c r="AR247" i="40"/>
  <c r="FS152" i="59"/>
  <c r="AL247" i="40"/>
  <c r="FM152" i="59"/>
  <c r="AE247" i="40"/>
  <c r="FF152" i="59"/>
  <c r="AE270" i="5"/>
  <c r="FP213" i="59"/>
  <c r="K270" i="5"/>
  <c r="EV213" i="59"/>
  <c r="AB270" i="5"/>
  <c r="FM213" i="59"/>
  <c r="H270" i="5"/>
  <c r="ES213" i="59"/>
  <c r="I259" i="5"/>
  <c r="DC211" i="59"/>
  <c r="AK259" i="5"/>
  <c r="EE211" i="59"/>
  <c r="Q259" i="5"/>
  <c r="DK211" i="59"/>
  <c r="AD259" i="5"/>
  <c r="DX211" i="59"/>
  <c r="J259" i="5"/>
  <c r="DD211" i="59"/>
  <c r="U237" i="5"/>
  <c r="AG207" i="59"/>
  <c r="AL237" i="5"/>
  <c r="AX207" i="59"/>
  <c r="H237" i="5"/>
  <c r="T207" i="59"/>
  <c r="I237" i="5"/>
  <c r="U207" i="59"/>
  <c r="M248" i="5"/>
  <c r="BP209" i="59"/>
  <c r="AD248" i="5"/>
  <c r="CG209" i="59"/>
  <c r="J248" i="5"/>
  <c r="BM209" i="59"/>
  <c r="AK248" i="5"/>
  <c r="CN209" i="59"/>
  <c r="AL248" i="5"/>
  <c r="CO209" i="59"/>
  <c r="J281" i="5"/>
  <c r="GL215" i="59"/>
  <c r="AA281" i="5"/>
  <c r="HC215" i="59"/>
  <c r="G281" i="5"/>
  <c r="GI215" i="59"/>
  <c r="X281" i="5"/>
  <c r="GZ215" i="59"/>
  <c r="Y281" i="5"/>
  <c r="HA215" i="59"/>
  <c r="O270" i="5"/>
  <c r="EZ213" i="59"/>
  <c r="E270" i="5"/>
  <c r="EP213" i="59"/>
  <c r="AF270" i="5"/>
  <c r="FQ213" i="59"/>
  <c r="V270" i="5"/>
  <c r="FG213" i="59"/>
  <c r="L270" i="5"/>
  <c r="EW213" i="59"/>
  <c r="AM270" i="5"/>
  <c r="FX213" i="59"/>
  <c r="AC270" i="5"/>
  <c r="FN213" i="59"/>
  <c r="S270" i="5"/>
  <c r="FD213" i="59"/>
  <c r="I270" i="5"/>
  <c r="ET213" i="59"/>
  <c r="T259" i="5"/>
  <c r="DN211" i="59"/>
  <c r="F259" i="5"/>
  <c r="CZ211" i="59"/>
  <c r="U259" i="5"/>
  <c r="DO211" i="59"/>
  <c r="G259" i="5"/>
  <c r="DA211" i="59"/>
  <c r="AH259" i="5"/>
  <c r="EB211" i="59"/>
  <c r="AB259" i="5"/>
  <c r="DV211" i="59"/>
  <c r="N259" i="5"/>
  <c r="DH211" i="59"/>
  <c r="H259" i="5"/>
  <c r="DB211" i="59"/>
  <c r="AE259" i="5"/>
  <c r="DY211" i="59"/>
  <c r="O237" i="5"/>
  <c r="AA207" i="59"/>
  <c r="E237" i="5"/>
  <c r="Q207" i="59"/>
  <c r="AF237" i="5"/>
  <c r="AR207" i="59"/>
  <c r="V237" i="5"/>
  <c r="AH207" i="59"/>
  <c r="L237" i="5"/>
  <c r="X207" i="59"/>
  <c r="AM237" i="5"/>
  <c r="AY207" i="59"/>
  <c r="AC237" i="5"/>
  <c r="AO207" i="59"/>
  <c r="D237" i="5"/>
  <c r="P207" i="59"/>
  <c r="AD237" i="5"/>
  <c r="AP207" i="59"/>
  <c r="T237" i="5"/>
  <c r="AF207" i="59"/>
  <c r="AH248" i="5"/>
  <c r="CK209" i="59"/>
  <c r="X248" i="5"/>
  <c r="CA209" i="59"/>
  <c r="N248" i="5"/>
  <c r="BQ209" i="59"/>
  <c r="AO248" i="5"/>
  <c r="CR209" i="59"/>
  <c r="AA248" i="5"/>
  <c r="CD209" i="59"/>
  <c r="U248" i="5"/>
  <c r="BX209" i="59"/>
  <c r="G248" i="5"/>
  <c r="BJ209" i="59"/>
  <c r="V248" i="5"/>
  <c r="BY209" i="59"/>
  <c r="L248" i="5"/>
  <c r="BO209" i="59"/>
  <c r="AI248" i="5"/>
  <c r="CL209" i="59"/>
  <c r="AE281" i="5"/>
  <c r="HG215" i="59"/>
  <c r="U281" i="5"/>
  <c r="GW215" i="59"/>
  <c r="K281" i="5"/>
  <c r="GM215" i="59"/>
  <c r="AL281" i="5"/>
  <c r="HN215" i="59"/>
  <c r="AB281" i="5"/>
  <c r="HD215" i="59"/>
  <c r="R281" i="5"/>
  <c r="GT215" i="59"/>
  <c r="H281" i="5"/>
  <c r="GJ215" i="59"/>
  <c r="S281" i="5"/>
  <c r="GU215" i="59"/>
  <c r="I281" i="5"/>
  <c r="GK215" i="59"/>
  <c r="AJ281" i="5"/>
  <c r="HL215" i="59"/>
  <c r="D270" i="5"/>
  <c r="EO213" i="59"/>
  <c r="U270" i="5"/>
  <c r="FF213" i="59"/>
  <c r="AL270" i="5"/>
  <c r="FW213" i="59"/>
  <c r="R270" i="5"/>
  <c r="FC213" i="59"/>
  <c r="AI270" i="5"/>
  <c r="FT213" i="59"/>
  <c r="Y270" i="5"/>
  <c r="FJ213" i="59"/>
  <c r="V259" i="5"/>
  <c r="DP211" i="59"/>
  <c r="W259" i="5"/>
  <c r="DQ211" i="59"/>
  <c r="D259" i="5"/>
  <c r="CX211" i="59"/>
  <c r="X259" i="5"/>
  <c r="DR211" i="59"/>
  <c r="AE237" i="5"/>
  <c r="AQ207" i="59"/>
  <c r="K237" i="5"/>
  <c r="W207" i="59"/>
  <c r="AB237" i="5"/>
  <c r="AN207" i="59"/>
  <c r="R237" i="5"/>
  <c r="AD207" i="59"/>
  <c r="S237" i="5"/>
  <c r="AE207" i="59"/>
  <c r="AJ237" i="5"/>
  <c r="AV207" i="59"/>
  <c r="AN248" i="5"/>
  <c r="CQ209" i="59"/>
  <c r="T248" i="5"/>
  <c r="BW209" i="59"/>
  <c r="W248" i="5"/>
  <c r="BZ209" i="59"/>
  <c r="AB248" i="5"/>
  <c r="CE209" i="59"/>
  <c r="AK281" i="5"/>
  <c r="HM215" i="59"/>
  <c r="Q281" i="5"/>
  <c r="GS215" i="59"/>
  <c r="AH281" i="5"/>
  <c r="HJ215" i="59"/>
  <c r="AI281" i="5"/>
  <c r="HK215" i="59"/>
  <c r="AJ270" i="5"/>
  <c r="FU213" i="59"/>
  <c r="Z270" i="5"/>
  <c r="FK213" i="59"/>
  <c r="P270" i="5"/>
  <c r="FA213" i="59"/>
  <c r="F270" i="5"/>
  <c r="EQ213" i="59"/>
  <c r="AG270" i="5"/>
  <c r="FR213" i="59"/>
  <c r="W270" i="5"/>
  <c r="FH213" i="59"/>
  <c r="M270" i="5"/>
  <c r="EX213" i="59"/>
  <c r="AN270" i="5"/>
  <c r="FY213" i="59"/>
  <c r="AD270" i="5"/>
  <c r="FO213" i="59"/>
  <c r="AO259" i="5"/>
  <c r="EI211" i="59"/>
  <c r="AA259" i="5"/>
  <c r="DU211" i="59"/>
  <c r="E259" i="5"/>
  <c r="CY211" i="59"/>
  <c r="AF259" i="5"/>
  <c r="DZ211" i="59"/>
  <c r="R259" i="5"/>
  <c r="DL211" i="59"/>
  <c r="L259" i="5"/>
  <c r="DF211" i="59"/>
  <c r="AI259" i="5"/>
  <c r="EC211" i="59"/>
  <c r="AC259" i="5"/>
  <c r="DW211" i="59"/>
  <c r="O259" i="5"/>
  <c r="DI211" i="59"/>
  <c r="Z237" i="5"/>
  <c r="AL207" i="59"/>
  <c r="P237" i="5"/>
  <c r="AB207" i="59"/>
  <c r="F237" i="5"/>
  <c r="R207" i="59"/>
  <c r="AG237" i="5"/>
  <c r="AS207" i="59"/>
  <c r="W237" i="5"/>
  <c r="AI207" i="59"/>
  <c r="M237" i="5"/>
  <c r="Y207" i="59"/>
  <c r="AN237" i="5"/>
  <c r="AZ207" i="59"/>
  <c r="N237" i="5"/>
  <c r="Z207" i="59"/>
  <c r="AO237" i="5"/>
  <c r="BA207" i="59"/>
  <c r="R248" i="5"/>
  <c r="BU209" i="59"/>
  <c r="H248" i="5"/>
  <c r="BK209" i="59"/>
  <c r="AE248" i="5"/>
  <c r="CH209" i="59"/>
  <c r="Y248" i="5"/>
  <c r="CB209" i="59"/>
  <c r="K248" i="5"/>
  <c r="BN209" i="59"/>
  <c r="E248" i="5"/>
  <c r="BH209" i="59"/>
  <c r="AF248" i="5"/>
  <c r="CI209" i="59"/>
  <c r="F248" i="5"/>
  <c r="BI209" i="59"/>
  <c r="AG248" i="5"/>
  <c r="CJ209" i="59"/>
  <c r="S248" i="5"/>
  <c r="BV209" i="59"/>
  <c r="O281" i="5"/>
  <c r="GQ215" i="59"/>
  <c r="E281" i="5"/>
  <c r="GG215" i="59"/>
  <c r="AF281" i="5"/>
  <c r="HH215" i="59"/>
  <c r="V281" i="5"/>
  <c r="GX215" i="59"/>
  <c r="L281" i="5"/>
  <c r="GN215" i="59"/>
  <c r="AM281" i="5"/>
  <c r="HO215" i="59"/>
  <c r="AC281" i="5"/>
  <c r="HE215" i="59"/>
  <c r="D281" i="5"/>
  <c r="GF215" i="59"/>
  <c r="AD281" i="5"/>
  <c r="HF215" i="59"/>
  <c r="T281" i="5"/>
  <c r="GV215" i="59"/>
  <c r="AJ259" i="5"/>
  <c r="ED211" i="59"/>
  <c r="T270" i="5"/>
  <c r="FE213" i="59"/>
  <c r="J270" i="5"/>
  <c r="EU213" i="59"/>
  <c r="AK270" i="5"/>
  <c r="FV213" i="59"/>
  <c r="AA270" i="5"/>
  <c r="FL213" i="59"/>
  <c r="Q270" i="5"/>
  <c r="FB213" i="59"/>
  <c r="G270" i="5"/>
  <c r="ER213" i="59"/>
  <c r="AH270" i="5"/>
  <c r="FS213" i="59"/>
  <c r="X270" i="5"/>
  <c r="FI213" i="59"/>
  <c r="N270" i="5"/>
  <c r="EY213" i="59"/>
  <c r="AO270" i="5"/>
  <c r="FZ213" i="59"/>
  <c r="Y259" i="5"/>
  <c r="DS211" i="59"/>
  <c r="K259" i="5"/>
  <c r="DE211" i="59"/>
  <c r="AL259" i="5"/>
  <c r="EF211" i="59"/>
  <c r="P259" i="5"/>
  <c r="DJ211" i="59"/>
  <c r="AM259" i="5"/>
  <c r="EG211" i="59"/>
  <c r="AG259" i="5"/>
  <c r="EA211" i="59"/>
  <c r="S259" i="5"/>
  <c r="DM211" i="59"/>
  <c r="M259" i="5"/>
  <c r="DG211" i="59"/>
  <c r="AN259" i="5"/>
  <c r="EH211" i="59"/>
  <c r="Z259" i="5"/>
  <c r="DT211" i="59"/>
  <c r="J237" i="5"/>
  <c r="V207" i="59"/>
  <c r="AK237" i="5"/>
  <c r="AW207" i="59"/>
  <c r="AA237" i="5"/>
  <c r="AM207" i="59"/>
  <c r="Q237" i="5"/>
  <c r="AC207" i="59"/>
  <c r="G237" i="5"/>
  <c r="S207" i="59"/>
  <c r="AH237" i="5"/>
  <c r="AT207" i="59"/>
  <c r="X237" i="5"/>
  <c r="AJ207" i="59"/>
  <c r="AI237" i="5"/>
  <c r="AU207" i="59"/>
  <c r="Y237" i="5"/>
  <c r="AK207" i="59"/>
  <c r="AC248" i="5"/>
  <c r="CF209" i="59"/>
  <c r="O248" i="5"/>
  <c r="BR209" i="59"/>
  <c r="I248" i="5"/>
  <c r="BL209" i="59"/>
  <c r="AJ248" i="5"/>
  <c r="CM209" i="59"/>
  <c r="Z248" i="5"/>
  <c r="CC209" i="59"/>
  <c r="P248" i="5"/>
  <c r="BS209" i="59"/>
  <c r="AM248" i="5"/>
  <c r="CP209" i="59"/>
  <c r="Q248" i="5"/>
  <c r="BT209" i="59"/>
  <c r="D248" i="5"/>
  <c r="BG209" i="59"/>
  <c r="Z281" i="5"/>
  <c r="HB215" i="59"/>
  <c r="P281" i="5"/>
  <c r="GR215" i="59"/>
  <c r="F281" i="5"/>
  <c r="GH215" i="59"/>
  <c r="AG281" i="5"/>
  <c r="HI215" i="59"/>
  <c r="W281" i="5"/>
  <c r="GY215" i="59"/>
  <c r="M281" i="5"/>
  <c r="GO215" i="59"/>
  <c r="AN281" i="5"/>
  <c r="HP215" i="59"/>
  <c r="N281" i="5"/>
  <c r="GP215" i="59"/>
  <c r="AO281" i="5"/>
  <c r="HQ215" i="59"/>
  <c r="AT208" i="40"/>
  <c r="AG147" i="59"/>
  <c r="AD208" i="40"/>
  <c r="Q147" i="59"/>
  <c r="N208" i="40"/>
  <c r="IR146" i="59"/>
  <c r="AI208" i="40"/>
  <c r="V147" i="59"/>
  <c r="S208" i="40"/>
  <c r="F147" i="59"/>
  <c r="AN208" i="40"/>
  <c r="AA147" i="59"/>
  <c r="X208" i="40"/>
  <c r="K147" i="59"/>
  <c r="AO208" i="40"/>
  <c r="AB147" i="59"/>
  <c r="Y208" i="40"/>
  <c r="L147" i="59"/>
  <c r="M208" i="40"/>
  <c r="IQ146" i="59"/>
  <c r="AX208" i="40"/>
  <c r="AK147" i="59"/>
  <c r="AH208" i="40"/>
  <c r="U147" i="59"/>
  <c r="R208" i="40"/>
  <c r="IV146" i="59"/>
  <c r="AM208" i="40"/>
  <c r="Z147" i="59"/>
  <c r="W208" i="40"/>
  <c r="J147" i="59"/>
  <c r="AR208" i="40"/>
  <c r="AE147" i="59"/>
  <c r="AB208" i="40"/>
  <c r="O147" i="59"/>
  <c r="AS208" i="40"/>
  <c r="AF147" i="59"/>
  <c r="AC208" i="40"/>
  <c r="P147" i="59"/>
  <c r="P208" i="40"/>
  <c r="IT146" i="59"/>
  <c r="AL208" i="40"/>
  <c r="Y147" i="59"/>
  <c r="V208" i="40"/>
  <c r="I147" i="59"/>
  <c r="AQ208" i="40"/>
  <c r="AD147" i="59"/>
  <c r="AA208" i="40"/>
  <c r="N147" i="59"/>
  <c r="AV208" i="40"/>
  <c r="AI147" i="59"/>
  <c r="AF208" i="40"/>
  <c r="S147" i="59"/>
  <c r="AW208" i="40"/>
  <c r="AJ147" i="59"/>
  <c r="AG208" i="40"/>
  <c r="T147" i="59"/>
  <c r="Q208" i="40"/>
  <c r="IU146" i="59"/>
  <c r="AP208" i="40"/>
  <c r="AC147" i="59"/>
  <c r="Z208" i="40"/>
  <c r="M147" i="59"/>
  <c r="AU208" i="40"/>
  <c r="AH147" i="59"/>
  <c r="AE208" i="40"/>
  <c r="R147" i="59"/>
  <c r="O208" i="40"/>
  <c r="IS146" i="59"/>
  <c r="AJ208" i="40"/>
  <c r="W147" i="59"/>
  <c r="T208" i="40"/>
  <c r="G147" i="59"/>
  <c r="AK208" i="40"/>
  <c r="X147" i="59"/>
  <c r="U208" i="40"/>
  <c r="H147" i="59"/>
  <c r="AJ206" i="40"/>
  <c r="FP146" i="59"/>
  <c r="T206" i="40"/>
  <c r="EZ146" i="59"/>
  <c r="AS206" i="40"/>
  <c r="FY146" i="59"/>
  <c r="AC206" i="40"/>
  <c r="FI146" i="59"/>
  <c r="AT206" i="40"/>
  <c r="FZ146" i="59"/>
  <c r="N206" i="40"/>
  <c r="ET146" i="59"/>
  <c r="W206" i="40"/>
  <c r="FC146" i="59"/>
  <c r="AA206" i="40"/>
  <c r="FG146" i="59"/>
  <c r="AX206" i="40"/>
  <c r="GD146" i="59"/>
  <c r="AN206" i="40"/>
  <c r="FT146" i="59"/>
  <c r="X206" i="40"/>
  <c r="FD146" i="59"/>
  <c r="AW206" i="40"/>
  <c r="GC146" i="59"/>
  <c r="AG206" i="40"/>
  <c r="FM146" i="59"/>
  <c r="Q206" i="40"/>
  <c r="EW146" i="59"/>
  <c r="V206" i="40"/>
  <c r="FB146" i="59"/>
  <c r="AE206" i="40"/>
  <c r="FK146" i="59"/>
  <c r="AI206" i="40"/>
  <c r="FO146" i="59"/>
  <c r="AP206" i="40"/>
  <c r="FV146" i="59"/>
  <c r="AR206" i="40"/>
  <c r="FX146" i="59"/>
  <c r="AB206" i="40"/>
  <c r="FH146" i="59"/>
  <c r="M206" i="40"/>
  <c r="ES146" i="59"/>
  <c r="AK206" i="40"/>
  <c r="FQ146" i="59"/>
  <c r="U206" i="40"/>
  <c r="FA146" i="59"/>
  <c r="AD206" i="40"/>
  <c r="FJ146" i="59"/>
  <c r="AM206" i="40"/>
  <c r="FS146" i="59"/>
  <c r="AQ206" i="40"/>
  <c r="FW146" i="59"/>
  <c r="AH206" i="40"/>
  <c r="FN146" i="59"/>
  <c r="Z206" i="40"/>
  <c r="FF146" i="59"/>
  <c r="AV206" i="40"/>
  <c r="GB146" i="59"/>
  <c r="AF206" i="40"/>
  <c r="FL146" i="59"/>
  <c r="P206" i="40"/>
  <c r="EV146" i="59"/>
  <c r="AO206" i="40"/>
  <c r="FU146" i="59"/>
  <c r="Y206" i="40"/>
  <c r="FE146" i="59"/>
  <c r="AL206" i="40"/>
  <c r="FR146" i="59"/>
  <c r="AU206" i="40"/>
  <c r="GA146" i="59"/>
  <c r="O206" i="40"/>
  <c r="EU146" i="59"/>
  <c r="S206" i="40"/>
  <c r="EY146" i="59"/>
  <c r="R206" i="40"/>
  <c r="EX146" i="59"/>
  <c r="AM207" i="40"/>
  <c r="HR146" i="59"/>
  <c r="W207" i="40"/>
  <c r="HB146" i="59"/>
  <c r="AR207" i="40"/>
  <c r="HW146" i="59"/>
  <c r="AB207" i="40"/>
  <c r="HG146" i="59"/>
  <c r="M207" i="40"/>
  <c r="GR146" i="59"/>
  <c r="Y207" i="40"/>
  <c r="HD146" i="59"/>
  <c r="AH207" i="40"/>
  <c r="HM146" i="59"/>
  <c r="AL207" i="40"/>
  <c r="HQ146" i="59"/>
  <c r="AC207" i="40"/>
  <c r="HH146" i="59"/>
  <c r="AQ207" i="40"/>
  <c r="HV146" i="59"/>
  <c r="AA207" i="40"/>
  <c r="HF146" i="59"/>
  <c r="AV207" i="40"/>
  <c r="IA146" i="59"/>
  <c r="AF207" i="40"/>
  <c r="HK146" i="59"/>
  <c r="P207" i="40"/>
  <c r="GU146" i="59"/>
  <c r="AG207" i="40"/>
  <c r="HL146" i="59"/>
  <c r="AP207" i="40"/>
  <c r="HU146" i="59"/>
  <c r="AT207" i="40"/>
  <c r="HY146" i="59"/>
  <c r="N207" i="40"/>
  <c r="GS146" i="59"/>
  <c r="U207" i="40"/>
  <c r="GZ146" i="59"/>
  <c r="AU207" i="40"/>
  <c r="HZ146" i="59"/>
  <c r="AE207" i="40"/>
  <c r="HJ146" i="59"/>
  <c r="O207" i="40"/>
  <c r="GT146" i="59"/>
  <c r="AJ207" i="40"/>
  <c r="HO146" i="59"/>
  <c r="T207" i="40"/>
  <c r="GY146" i="59"/>
  <c r="AO207" i="40"/>
  <c r="HT146" i="59"/>
  <c r="AX207" i="40"/>
  <c r="IC146" i="59"/>
  <c r="R207" i="40"/>
  <c r="GW146" i="59"/>
  <c r="V207" i="40"/>
  <c r="HA146" i="59"/>
  <c r="AS207" i="40"/>
  <c r="HX146" i="59"/>
  <c r="AI207" i="40"/>
  <c r="HN146" i="59"/>
  <c r="S207" i="40"/>
  <c r="GX146" i="59"/>
  <c r="AN207" i="40"/>
  <c r="HS146" i="59"/>
  <c r="X207" i="40"/>
  <c r="HC146" i="59"/>
  <c r="AW207" i="40"/>
  <c r="IB146" i="59"/>
  <c r="Q207" i="40"/>
  <c r="GV146" i="59"/>
  <c r="Z207" i="40"/>
  <c r="HE146" i="59"/>
  <c r="AD207" i="40"/>
  <c r="HI146" i="59"/>
  <c r="AK207" i="40"/>
  <c r="HP146" i="59"/>
  <c r="AL204" i="40"/>
  <c r="BT146" i="59"/>
  <c r="V204" i="40"/>
  <c r="BD146" i="59"/>
  <c r="AQ204" i="40"/>
  <c r="BY146" i="59"/>
  <c r="AA204" i="40"/>
  <c r="BI146" i="59"/>
  <c r="AV204" i="40"/>
  <c r="CD146" i="59"/>
  <c r="P204" i="40"/>
  <c r="AX146" i="59"/>
  <c r="AG204" i="40"/>
  <c r="BO146" i="59"/>
  <c r="AK204" i="40"/>
  <c r="BS146" i="59"/>
  <c r="T204" i="40"/>
  <c r="BB146" i="59"/>
  <c r="AP204" i="40"/>
  <c r="BX146" i="59"/>
  <c r="Z204" i="40"/>
  <c r="BH146" i="59"/>
  <c r="AU204" i="40"/>
  <c r="CC146" i="59"/>
  <c r="AE204" i="40"/>
  <c r="BM146" i="59"/>
  <c r="O204" i="40"/>
  <c r="AW146" i="59"/>
  <c r="X204" i="40"/>
  <c r="BF146" i="59"/>
  <c r="AO204" i="40"/>
  <c r="BW146" i="59"/>
  <c r="AS204" i="40"/>
  <c r="CA146" i="59"/>
  <c r="AR204" i="40"/>
  <c r="BZ146" i="59"/>
  <c r="AT204" i="40"/>
  <c r="CB146" i="59"/>
  <c r="AD204" i="40"/>
  <c r="BL146" i="59"/>
  <c r="N204" i="40"/>
  <c r="AV146" i="59"/>
  <c r="AI204" i="40"/>
  <c r="BQ146" i="59"/>
  <c r="S204" i="40"/>
  <c r="BA146" i="59"/>
  <c r="AF204" i="40"/>
  <c r="BN146" i="59"/>
  <c r="AW204" i="40"/>
  <c r="CE146" i="59"/>
  <c r="Q204" i="40"/>
  <c r="AY146" i="59"/>
  <c r="U204" i="40"/>
  <c r="BC146" i="59"/>
  <c r="AJ204" i="40"/>
  <c r="BR146" i="59"/>
  <c r="AX204" i="40"/>
  <c r="CF146" i="59"/>
  <c r="AH204" i="40"/>
  <c r="BP146" i="59"/>
  <c r="R204" i="40"/>
  <c r="AZ146" i="59"/>
  <c r="AM204" i="40"/>
  <c r="BU146" i="59"/>
  <c r="W204" i="40"/>
  <c r="BE146" i="59"/>
  <c r="AN204" i="40"/>
  <c r="BV146" i="59"/>
  <c r="M204" i="40"/>
  <c r="AU146" i="59"/>
  <c r="Y204" i="40"/>
  <c r="BG146" i="59"/>
  <c r="AC204" i="40"/>
  <c r="BK146" i="59"/>
  <c r="AB204" i="40"/>
  <c r="BJ146" i="59"/>
  <c r="AJ210" i="40"/>
  <c r="DU147" i="59"/>
  <c r="T210" i="40"/>
  <c r="DE147" i="59"/>
  <c r="AS210" i="40"/>
  <c r="ED147" i="59"/>
  <c r="AC210" i="40"/>
  <c r="DN147" i="59"/>
  <c r="AX210" i="40"/>
  <c r="EI147" i="59"/>
  <c r="AH210" i="40"/>
  <c r="DS147" i="59"/>
  <c r="R210" i="40"/>
  <c r="DC147" i="59"/>
  <c r="AM210" i="40"/>
  <c r="DX147" i="59"/>
  <c r="W210" i="40"/>
  <c r="DH147" i="59"/>
  <c r="AN210" i="40"/>
  <c r="DY147" i="59"/>
  <c r="X210" i="40"/>
  <c r="DI147" i="59"/>
  <c r="AW210" i="40"/>
  <c r="EH147" i="59"/>
  <c r="AG210" i="40"/>
  <c r="DR147" i="59"/>
  <c r="Q210" i="40"/>
  <c r="DB147" i="59"/>
  <c r="AL210" i="40"/>
  <c r="DW147" i="59"/>
  <c r="V210" i="40"/>
  <c r="DG147" i="59"/>
  <c r="AQ210" i="40"/>
  <c r="EB147" i="59"/>
  <c r="AA210" i="40"/>
  <c r="DL147" i="59"/>
  <c r="AR210" i="40"/>
  <c r="EC147" i="59"/>
  <c r="AB210" i="40"/>
  <c r="DM147" i="59"/>
  <c r="M210" i="40"/>
  <c r="CX147" i="59"/>
  <c r="AK210" i="40"/>
  <c r="DV147" i="59"/>
  <c r="U210" i="40"/>
  <c r="DF147" i="59"/>
  <c r="AP210" i="40"/>
  <c r="EA147" i="59"/>
  <c r="Z210" i="40"/>
  <c r="DK147" i="59"/>
  <c r="AU210" i="40"/>
  <c r="EF147" i="59"/>
  <c r="AE210" i="40"/>
  <c r="DP147" i="59"/>
  <c r="O210" i="40"/>
  <c r="CZ147" i="59"/>
  <c r="AV210" i="40"/>
  <c r="EG147" i="59"/>
  <c r="AF210" i="40"/>
  <c r="DQ147" i="59"/>
  <c r="P210" i="40"/>
  <c r="DA147" i="59"/>
  <c r="AO210" i="40"/>
  <c r="DZ147" i="59"/>
  <c r="Y210" i="40"/>
  <c r="DJ147" i="59"/>
  <c r="AT210" i="40"/>
  <c r="EE147" i="59"/>
  <c r="AD210" i="40"/>
  <c r="DO147" i="59"/>
  <c r="N210" i="40"/>
  <c r="CY147" i="59"/>
  <c r="AI210" i="40"/>
  <c r="DT147" i="59"/>
  <c r="S210" i="40"/>
  <c r="DD147" i="59"/>
  <c r="AM211" i="40"/>
  <c r="FW147" i="59"/>
  <c r="W211" i="40"/>
  <c r="FG147" i="59"/>
  <c r="AR211" i="40"/>
  <c r="GB147" i="59"/>
  <c r="AB211" i="40"/>
  <c r="FL147" i="59"/>
  <c r="M211" i="40"/>
  <c r="EW147" i="59"/>
  <c r="AK211" i="40"/>
  <c r="FU147" i="59"/>
  <c r="U211" i="40"/>
  <c r="FE147" i="59"/>
  <c r="AP211" i="40"/>
  <c r="FZ147" i="59"/>
  <c r="Z211" i="40"/>
  <c r="FJ147" i="59"/>
  <c r="AQ211" i="40"/>
  <c r="GA147" i="59"/>
  <c r="AA211" i="40"/>
  <c r="FK147" i="59"/>
  <c r="AV211" i="40"/>
  <c r="GF147" i="59"/>
  <c r="AF211" i="40"/>
  <c r="FP147" i="59"/>
  <c r="P211" i="40"/>
  <c r="EZ147" i="59"/>
  <c r="AO211" i="40"/>
  <c r="FY147" i="59"/>
  <c r="Y211" i="40"/>
  <c r="FI147" i="59"/>
  <c r="AT211" i="40"/>
  <c r="GD147" i="59"/>
  <c r="AD211" i="40"/>
  <c r="FN147" i="59"/>
  <c r="N211" i="40"/>
  <c r="EX147" i="59"/>
  <c r="AU211" i="40"/>
  <c r="GE147" i="59"/>
  <c r="AE211" i="40"/>
  <c r="FO147" i="59"/>
  <c r="O211" i="40"/>
  <c r="EY147" i="59"/>
  <c r="AJ211" i="40"/>
  <c r="FT147" i="59"/>
  <c r="T211" i="40"/>
  <c r="FD147" i="59"/>
  <c r="AS211" i="40"/>
  <c r="GC147" i="59"/>
  <c r="AC211" i="40"/>
  <c r="FM147" i="59"/>
  <c r="AX211" i="40"/>
  <c r="GH147" i="59"/>
  <c r="AH211" i="40"/>
  <c r="FR147" i="59"/>
  <c r="R211" i="40"/>
  <c r="FB147" i="59"/>
  <c r="AI211" i="40"/>
  <c r="FS147" i="59"/>
  <c r="S211" i="40"/>
  <c r="FC147" i="59"/>
  <c r="AN211" i="40"/>
  <c r="FX147" i="59"/>
  <c r="X211" i="40"/>
  <c r="FH147" i="59"/>
  <c r="AW211" i="40"/>
  <c r="GG147" i="59"/>
  <c r="AG211" i="40"/>
  <c r="FQ147" i="59"/>
  <c r="Q211" i="40"/>
  <c r="FA147" i="59"/>
  <c r="AL211" i="40"/>
  <c r="FV147" i="59"/>
  <c r="V211" i="40"/>
  <c r="FF147" i="59"/>
  <c r="J131" i="40"/>
  <c r="BD131" i="59"/>
  <c r="AW209" i="40"/>
  <c r="CI147" i="59"/>
  <c r="AG209" i="40"/>
  <c r="BS147" i="59"/>
  <c r="Q209" i="40"/>
  <c r="BC147" i="59"/>
  <c r="AL209" i="40"/>
  <c r="BX147" i="59"/>
  <c r="V209" i="40"/>
  <c r="BH147" i="59"/>
  <c r="AQ209" i="40"/>
  <c r="CC147" i="59"/>
  <c r="AA209" i="40"/>
  <c r="BM147" i="59"/>
  <c r="AV209" i="40"/>
  <c r="CH147" i="59"/>
  <c r="AF209" i="40"/>
  <c r="BR147" i="59"/>
  <c r="P209" i="40"/>
  <c r="BB147" i="59"/>
  <c r="AK209" i="40"/>
  <c r="BW147" i="59"/>
  <c r="U209" i="40"/>
  <c r="BG147" i="59"/>
  <c r="AP209" i="40"/>
  <c r="CB147" i="59"/>
  <c r="Z209" i="40"/>
  <c r="BL147" i="59"/>
  <c r="AU209" i="40"/>
  <c r="CG147" i="59"/>
  <c r="AE209" i="40"/>
  <c r="BQ147" i="59"/>
  <c r="O209" i="40"/>
  <c r="BA147" i="59"/>
  <c r="AJ209" i="40"/>
  <c r="BV147" i="59"/>
  <c r="T209" i="40"/>
  <c r="BF147" i="59"/>
  <c r="AO209" i="40"/>
  <c r="CA147" i="59"/>
  <c r="Y209" i="40"/>
  <c r="BK147" i="59"/>
  <c r="AT209" i="40"/>
  <c r="CF147" i="59"/>
  <c r="AD209" i="40"/>
  <c r="BP147" i="59"/>
  <c r="N209" i="40"/>
  <c r="AZ147" i="59"/>
  <c r="AI209" i="40"/>
  <c r="BU147" i="59"/>
  <c r="S209" i="40"/>
  <c r="BE147" i="59"/>
  <c r="AN209" i="40"/>
  <c r="BZ147" i="59"/>
  <c r="X209" i="40"/>
  <c r="BJ147" i="59"/>
  <c r="AS209" i="40"/>
  <c r="CE147" i="59"/>
  <c r="AC209" i="40"/>
  <c r="BO147" i="59"/>
  <c r="AX209" i="40"/>
  <c r="CJ147" i="59"/>
  <c r="AH209" i="40"/>
  <c r="BT147" i="59"/>
  <c r="R209" i="40"/>
  <c r="BD147" i="59"/>
  <c r="AM209" i="40"/>
  <c r="BY147" i="59"/>
  <c r="W209" i="40"/>
  <c r="BI147" i="59"/>
  <c r="AR209" i="40"/>
  <c r="CD147" i="59"/>
  <c r="AB209" i="40"/>
  <c r="BN147" i="59"/>
  <c r="M209" i="40"/>
  <c r="AY147" i="59"/>
  <c r="AL212" i="40"/>
  <c r="HU147" i="59"/>
  <c r="V212" i="40"/>
  <c r="HE147" i="59"/>
  <c r="AQ212" i="40"/>
  <c r="HZ147" i="59"/>
  <c r="AA212" i="40"/>
  <c r="HJ147" i="59"/>
  <c r="AV212" i="40"/>
  <c r="IE147" i="59"/>
  <c r="AF212" i="40"/>
  <c r="HO147" i="59"/>
  <c r="P212" i="40"/>
  <c r="GY147" i="59"/>
  <c r="AK212" i="40"/>
  <c r="HT147" i="59"/>
  <c r="U212" i="40"/>
  <c r="HD147" i="59"/>
  <c r="AP212" i="40"/>
  <c r="HY147" i="59"/>
  <c r="Z212" i="40"/>
  <c r="HI147" i="59"/>
  <c r="AU212" i="40"/>
  <c r="ID147" i="59"/>
  <c r="AE212" i="40"/>
  <c r="HN147" i="59"/>
  <c r="O212" i="40"/>
  <c r="GX147" i="59"/>
  <c r="AJ212" i="40"/>
  <c r="HS147" i="59"/>
  <c r="T212" i="40"/>
  <c r="HC147" i="59"/>
  <c r="AO212" i="40"/>
  <c r="HX147" i="59"/>
  <c r="Y212" i="40"/>
  <c r="HH147" i="59"/>
  <c r="AT212" i="40"/>
  <c r="IC147" i="59"/>
  <c r="AD212" i="40"/>
  <c r="HM147" i="59"/>
  <c r="N212" i="40"/>
  <c r="GW147" i="59"/>
  <c r="AI212" i="40"/>
  <c r="HR147" i="59"/>
  <c r="S212" i="40"/>
  <c r="HB147" i="59"/>
  <c r="AN212" i="40"/>
  <c r="HW147" i="59"/>
  <c r="X212" i="40"/>
  <c r="HG147" i="59"/>
  <c r="AS212" i="40"/>
  <c r="IB147" i="59"/>
  <c r="AC212" i="40"/>
  <c r="HL147" i="59"/>
  <c r="M212" i="40"/>
  <c r="GV147" i="59"/>
  <c r="AX212" i="40"/>
  <c r="IG147" i="59"/>
  <c r="AH212" i="40"/>
  <c r="HQ147" i="59"/>
  <c r="R212" i="40"/>
  <c r="HA147" i="59"/>
  <c r="AM212" i="40"/>
  <c r="HV147" i="59"/>
  <c r="W212" i="40"/>
  <c r="HF147" i="59"/>
  <c r="AR212" i="40"/>
  <c r="IA147" i="59"/>
  <c r="AB212" i="40"/>
  <c r="HK147" i="59"/>
  <c r="AW212" i="40"/>
  <c r="IF147" i="59"/>
  <c r="AG212" i="40"/>
  <c r="HP147" i="59"/>
  <c r="Q212" i="40"/>
  <c r="GZ147" i="59"/>
  <c r="J134" i="40"/>
  <c r="HD131" i="59"/>
  <c r="AK205" i="40"/>
  <c r="DR146" i="59"/>
  <c r="U205" i="40"/>
  <c r="DB146" i="59"/>
  <c r="AP205" i="40"/>
  <c r="DW146" i="59"/>
  <c r="Z205" i="40"/>
  <c r="DG146" i="59"/>
  <c r="AQ205" i="40"/>
  <c r="DX146" i="59"/>
  <c r="AR205" i="40"/>
  <c r="DY146" i="59"/>
  <c r="M205" i="40"/>
  <c r="CT146" i="59"/>
  <c r="X205" i="40"/>
  <c r="DE146" i="59"/>
  <c r="O205" i="40"/>
  <c r="CV146" i="59"/>
  <c r="AO205" i="40"/>
  <c r="DV146" i="59"/>
  <c r="Y205" i="40"/>
  <c r="DF146" i="59"/>
  <c r="AT205" i="40"/>
  <c r="EA146" i="59"/>
  <c r="AD205" i="40"/>
  <c r="DK146" i="59"/>
  <c r="N205" i="40"/>
  <c r="CU146" i="59"/>
  <c r="S205" i="40"/>
  <c r="CZ146" i="59"/>
  <c r="T205" i="40"/>
  <c r="DA146" i="59"/>
  <c r="AF205" i="40"/>
  <c r="DM146" i="59"/>
  <c r="AU205" i="40"/>
  <c r="EB146" i="59"/>
  <c r="AS205" i="40"/>
  <c r="DZ146" i="59"/>
  <c r="AC205" i="40"/>
  <c r="DJ146" i="59"/>
  <c r="AX205" i="40"/>
  <c r="EE146" i="59"/>
  <c r="AH205" i="40"/>
  <c r="DO146" i="59"/>
  <c r="R205" i="40"/>
  <c r="CY146" i="59"/>
  <c r="AA205" i="40"/>
  <c r="DH146" i="59"/>
  <c r="AB205" i="40"/>
  <c r="DI146" i="59"/>
  <c r="AN205" i="40"/>
  <c r="DU146" i="59"/>
  <c r="AM205" i="40"/>
  <c r="DT146" i="59"/>
  <c r="AE205" i="40"/>
  <c r="DL146" i="59"/>
  <c r="AW205" i="40"/>
  <c r="ED146" i="59"/>
  <c r="AG205" i="40"/>
  <c r="DN146" i="59"/>
  <c r="Q205" i="40"/>
  <c r="CX146" i="59"/>
  <c r="AL205" i="40"/>
  <c r="DS146" i="59"/>
  <c r="V205" i="40"/>
  <c r="DC146" i="59"/>
  <c r="AI205" i="40"/>
  <c r="DP146" i="59"/>
  <c r="AJ205" i="40"/>
  <c r="DQ146" i="59"/>
  <c r="AV205" i="40"/>
  <c r="EC146" i="59"/>
  <c r="P205" i="40"/>
  <c r="CW146" i="59"/>
  <c r="W205" i="40"/>
  <c r="DD146" i="59"/>
  <c r="Q247" i="40"/>
  <c r="ER152" i="59"/>
  <c r="R247" i="40"/>
  <c r="ES152" i="59"/>
  <c r="K136" i="40"/>
  <c r="BN132" i="59"/>
  <c r="J136" i="40"/>
  <c r="BM132" i="59"/>
  <c r="L137" i="40"/>
  <c r="DO132" i="59"/>
  <c r="J137" i="40"/>
  <c r="DM132" i="59"/>
  <c r="J140" i="40"/>
  <c r="V133" i="59"/>
  <c r="J135" i="40"/>
  <c r="M132" i="59"/>
  <c r="J139" i="40"/>
  <c r="HM132" i="59"/>
  <c r="J133" i="40"/>
  <c r="FD131" i="59"/>
  <c r="J138" i="40"/>
  <c r="FM132" i="59"/>
  <c r="J141" i="40"/>
  <c r="BV133" i="59"/>
  <c r="M243" i="40"/>
  <c r="FW151" i="59"/>
  <c r="M244" i="40"/>
  <c r="HY151" i="59"/>
  <c r="K125" i="40"/>
  <c r="IM129" i="59"/>
  <c r="J125" i="40"/>
  <c r="IL129" i="59"/>
  <c r="K124" i="40"/>
  <c r="GM129" i="59"/>
  <c r="J124" i="40"/>
  <c r="GL129" i="59"/>
  <c r="AS73" i="5"/>
  <c r="HF174" i="59"/>
  <c r="AS195" i="5"/>
  <c r="HZ198" i="59"/>
  <c r="AS217" i="5"/>
  <c r="BQ203" i="59"/>
  <c r="K137" i="40"/>
  <c r="DN132" i="59"/>
  <c r="AS151" i="5"/>
  <c r="BJ190" i="59"/>
  <c r="AS173" i="5"/>
  <c r="ER194" i="59"/>
  <c r="AS294" i="5"/>
  <c r="DO218" i="59"/>
  <c r="L136" i="40"/>
  <c r="BO132" i="59"/>
  <c r="L125" i="40"/>
  <c r="IN129" i="59"/>
  <c r="L124" i="40"/>
  <c r="GN129" i="59"/>
  <c r="H98" i="40"/>
  <c r="CQ124" i="59"/>
  <c r="H111" i="40"/>
  <c r="R127" i="59"/>
  <c r="H102" i="40"/>
  <c r="AZ125" i="59"/>
  <c r="H104" i="40"/>
  <c r="EZ125" i="59"/>
  <c r="H100" i="40"/>
  <c r="GQ124" i="59"/>
  <c r="H127" i="40"/>
  <c r="CS130" i="59"/>
  <c r="L131" i="40"/>
  <c r="BF131" i="59"/>
  <c r="K131" i="40"/>
  <c r="BE131" i="59"/>
  <c r="L141" i="40"/>
  <c r="BX133" i="59"/>
  <c r="K141" i="40"/>
  <c r="BW133" i="59"/>
  <c r="L140" i="40"/>
  <c r="X133" i="59"/>
  <c r="K140" i="40"/>
  <c r="W133" i="59"/>
  <c r="L134" i="40"/>
  <c r="HF131" i="59"/>
  <c r="K134" i="40"/>
  <c r="HE131" i="59"/>
  <c r="L138" i="40"/>
  <c r="FO132" i="59"/>
  <c r="K138" i="40"/>
  <c r="FN132" i="59"/>
  <c r="L133" i="40"/>
  <c r="FF131" i="59"/>
  <c r="K133" i="40"/>
  <c r="FE131" i="59"/>
  <c r="L139" i="40"/>
  <c r="HO132" i="59"/>
  <c r="K139" i="40"/>
  <c r="HN132" i="59"/>
  <c r="L135" i="40"/>
  <c r="O132" i="59"/>
  <c r="K135" i="40"/>
  <c r="N132" i="59"/>
  <c r="H35" i="41"/>
  <c r="DQ306" i="59"/>
  <c r="H34" i="41"/>
  <c r="DA306" i="59"/>
  <c r="H37" i="41"/>
  <c r="EW306" i="59"/>
  <c r="L145" i="40"/>
  <c r="AG134" i="59"/>
  <c r="K145" i="40"/>
  <c r="AF134" i="59"/>
  <c r="K142" i="40"/>
  <c r="DW133" i="59"/>
  <c r="L142" i="40"/>
  <c r="DX133" i="59"/>
  <c r="L144" i="40"/>
  <c r="HX133" i="59"/>
  <c r="K144" i="40"/>
  <c r="HW133" i="59"/>
  <c r="K143" i="40"/>
  <c r="FW133" i="59"/>
  <c r="L143" i="40"/>
  <c r="FX133" i="59"/>
  <c r="K146" i="40"/>
  <c r="CF134" i="59"/>
  <c r="L146" i="40"/>
  <c r="CG134" i="59"/>
  <c r="H36" i="41"/>
  <c r="EG306" i="59"/>
  <c r="H33" i="41"/>
  <c r="CK306" i="59"/>
  <c r="M8" i="27"/>
  <c r="FM77" i="59"/>
  <c r="K91" i="40"/>
  <c r="IB122" i="59"/>
  <c r="L91" i="40"/>
  <c r="IC122" i="59"/>
  <c r="K88" i="40"/>
  <c r="CB122" i="59"/>
  <c r="L88" i="40"/>
  <c r="CC122" i="59"/>
  <c r="C14" i="41"/>
  <c r="AE305" i="59"/>
  <c r="L87" i="40"/>
  <c r="AC122" i="59"/>
  <c r="K87" i="40"/>
  <c r="AB122" i="59"/>
  <c r="U262" i="40"/>
  <c r="HA155" i="59"/>
  <c r="U263" i="40"/>
  <c r="L156" i="59"/>
  <c r="T262" i="40"/>
  <c r="GZ155" i="59"/>
  <c r="T264" i="40"/>
  <c r="BM156" i="59"/>
  <c r="T263" i="40"/>
  <c r="K156" i="59"/>
  <c r="W247" i="40"/>
  <c r="EX152" i="59"/>
  <c r="Z263" i="40"/>
  <c r="Q156" i="59"/>
  <c r="T265" i="40"/>
  <c r="DO156" i="59"/>
  <c r="X265" i="40"/>
  <c r="DS156" i="59"/>
  <c r="X263" i="40"/>
  <c r="O156" i="59"/>
  <c r="Y265" i="40"/>
  <c r="DT156" i="59"/>
  <c r="Z265" i="40"/>
  <c r="DU156" i="59"/>
  <c r="V247" i="40"/>
  <c r="EW152" i="59"/>
  <c r="V264" i="40"/>
  <c r="BO156" i="59"/>
  <c r="U264" i="40"/>
  <c r="BN156" i="59"/>
  <c r="W261" i="40"/>
  <c r="FA155" i="59"/>
  <c r="Y261" i="40"/>
  <c r="FC155" i="59"/>
  <c r="V265" i="40"/>
  <c r="DQ156" i="59"/>
  <c r="Z247" i="40"/>
  <c r="FA152" i="59"/>
  <c r="U247" i="40"/>
  <c r="EV152" i="59"/>
  <c r="V261" i="40"/>
  <c r="EZ155" i="59"/>
  <c r="U261" i="40"/>
  <c r="EY155" i="59"/>
  <c r="V263" i="40"/>
  <c r="M156" i="59"/>
  <c r="T261" i="40"/>
  <c r="EX155" i="59"/>
  <c r="X261" i="40"/>
  <c r="FB155" i="59"/>
  <c r="U265" i="40"/>
  <c r="DP156" i="59"/>
  <c r="T247" i="40"/>
  <c r="EU152" i="59"/>
  <c r="W264" i="40"/>
  <c r="BP156" i="59"/>
  <c r="W265" i="40"/>
  <c r="DR156" i="59"/>
  <c r="AO29" i="5"/>
  <c r="AL166" i="59"/>
  <c r="FZ129" i="59"/>
  <c r="L29" i="5"/>
  <c r="I166" i="59"/>
  <c r="EW129" i="59"/>
  <c r="E29" i="5"/>
  <c r="IS165" i="59"/>
  <c r="EP129" i="59"/>
  <c r="AK29" i="5"/>
  <c r="AH166" i="59"/>
  <c r="FV129" i="59"/>
  <c r="AL29" i="5"/>
  <c r="AI166" i="59"/>
  <c r="FW129" i="59"/>
  <c r="AM29" i="5"/>
  <c r="AJ166" i="59"/>
  <c r="FX129" i="59"/>
  <c r="AN29" i="5"/>
  <c r="AK166" i="59"/>
  <c r="FY129" i="59"/>
  <c r="N257" i="40"/>
  <c r="GA154" i="59"/>
  <c r="FZ154" i="59"/>
  <c r="F29" i="5"/>
  <c r="IT165" i="59"/>
  <c r="EQ129" i="59"/>
  <c r="AG29" i="5"/>
  <c r="AD166" i="59"/>
  <c r="FR129" i="59"/>
  <c r="AH29" i="5"/>
  <c r="AE166" i="59"/>
  <c r="FS129" i="59"/>
  <c r="AI29" i="5"/>
  <c r="AF166" i="59"/>
  <c r="FT129" i="59"/>
  <c r="AJ29" i="5"/>
  <c r="AG166" i="59"/>
  <c r="FU129" i="59"/>
  <c r="CZ125" i="59"/>
  <c r="K103" i="59"/>
  <c r="I29" i="5"/>
  <c r="F166" i="59"/>
  <c r="ET129" i="59"/>
  <c r="AC29" i="5"/>
  <c r="Z166" i="59"/>
  <c r="FN129" i="59"/>
  <c r="AE29" i="5"/>
  <c r="AB166" i="59"/>
  <c r="FP129" i="59"/>
  <c r="Y29" i="5"/>
  <c r="V166" i="59"/>
  <c r="FJ129" i="59"/>
  <c r="AA29" i="5"/>
  <c r="X166" i="59"/>
  <c r="FL129" i="59"/>
  <c r="U29" i="5"/>
  <c r="R166" i="59"/>
  <c r="FF129" i="59"/>
  <c r="V29" i="5"/>
  <c r="S166" i="59"/>
  <c r="FG129" i="59"/>
  <c r="W29" i="5"/>
  <c r="T166" i="59"/>
  <c r="FH129" i="59"/>
  <c r="X29" i="5"/>
  <c r="U166" i="59"/>
  <c r="FI129" i="59"/>
  <c r="K246" i="40"/>
  <c r="CJ152" i="59"/>
  <c r="CH152" i="59"/>
  <c r="K29" i="5"/>
  <c r="H166" i="59"/>
  <c r="EV129" i="59"/>
  <c r="G29" i="5"/>
  <c r="IU165" i="59"/>
  <c r="ER129" i="59"/>
  <c r="AD29" i="5"/>
  <c r="AA166" i="59"/>
  <c r="FO129" i="59"/>
  <c r="AF29" i="5"/>
  <c r="AC166" i="59"/>
  <c r="FQ129" i="59"/>
  <c r="Q29" i="5"/>
  <c r="N166" i="59"/>
  <c r="FB129" i="59"/>
  <c r="R29" i="5"/>
  <c r="O166" i="59"/>
  <c r="FC129" i="59"/>
  <c r="S29" i="5"/>
  <c r="P166" i="59"/>
  <c r="FD129" i="59"/>
  <c r="T29" i="5"/>
  <c r="Q166" i="59"/>
  <c r="FE129" i="59"/>
  <c r="N242" i="40"/>
  <c r="V242" i="40"/>
  <c r="ED151" i="59"/>
  <c r="DU151" i="59"/>
  <c r="J29" i="5"/>
  <c r="G166" i="59"/>
  <c r="EU129" i="59"/>
  <c r="H29" i="5"/>
  <c r="IV165" i="59"/>
  <c r="ES129" i="59"/>
  <c r="Z29" i="5"/>
  <c r="W166" i="59"/>
  <c r="FK129" i="59"/>
  <c r="AB29" i="5"/>
  <c r="Y166" i="59"/>
  <c r="FM129" i="59"/>
  <c r="M29" i="5"/>
  <c r="J166" i="59"/>
  <c r="EX129" i="59"/>
  <c r="N29" i="5"/>
  <c r="K166" i="59"/>
  <c r="EY129" i="59"/>
  <c r="O29" i="5"/>
  <c r="L166" i="59"/>
  <c r="EZ129" i="59"/>
  <c r="P29" i="5"/>
  <c r="M166" i="59"/>
  <c r="FA129" i="59"/>
  <c r="AO84" i="5"/>
  <c r="IS176" i="59"/>
  <c r="J84" i="5"/>
  <c r="HN176" i="59"/>
  <c r="AJ84" i="5"/>
  <c r="IN176" i="59"/>
  <c r="AL84" i="5"/>
  <c r="IP176" i="59"/>
  <c r="AM84" i="5"/>
  <c r="IQ176" i="59"/>
  <c r="AF84" i="5"/>
  <c r="IJ176" i="59"/>
  <c r="AG84" i="5"/>
  <c r="IK176" i="59"/>
  <c r="AH84" i="5"/>
  <c r="IL176" i="59"/>
  <c r="AI84" i="5"/>
  <c r="IM176" i="59"/>
  <c r="AB84" i="5"/>
  <c r="IF176" i="59"/>
  <c r="AC84" i="5"/>
  <c r="IG176" i="59"/>
  <c r="AD84" i="5"/>
  <c r="IH176" i="59"/>
  <c r="AE84" i="5"/>
  <c r="II176" i="59"/>
  <c r="AK84" i="5"/>
  <c r="IO176" i="59"/>
  <c r="G84" i="5"/>
  <c r="HK176" i="59"/>
  <c r="T84" i="5"/>
  <c r="HX176" i="59"/>
  <c r="U84" i="5"/>
  <c r="V84" i="5"/>
  <c r="HZ176" i="59"/>
  <c r="W84" i="5"/>
  <c r="IA176" i="59"/>
  <c r="AN84" i="5"/>
  <c r="IR176" i="59"/>
  <c r="K84" i="5"/>
  <c r="HO176" i="59"/>
  <c r="Y84" i="5"/>
  <c r="IC176" i="59"/>
  <c r="AA84" i="5"/>
  <c r="IE176" i="59"/>
  <c r="H84" i="5"/>
  <c r="HL176" i="59"/>
  <c r="E84" i="5"/>
  <c r="HI176" i="59"/>
  <c r="P84" i="5"/>
  <c r="HT176" i="59"/>
  <c r="Q84" i="5"/>
  <c r="HU176" i="59"/>
  <c r="R84" i="5"/>
  <c r="HV176" i="59"/>
  <c r="S84" i="5"/>
  <c r="HW176" i="59"/>
  <c r="I84" i="5"/>
  <c r="HM176" i="59"/>
  <c r="F84" i="5"/>
  <c r="HJ176" i="59"/>
  <c r="X84" i="5"/>
  <c r="IB176" i="59"/>
  <c r="Z84" i="5"/>
  <c r="ID176" i="59"/>
  <c r="L84" i="5"/>
  <c r="HP176" i="59"/>
  <c r="M84" i="5"/>
  <c r="HQ176" i="59"/>
  <c r="N84" i="5"/>
  <c r="HR176" i="59"/>
  <c r="O84" i="5"/>
  <c r="HS176" i="59"/>
  <c r="V89" i="40"/>
  <c r="EM122" i="59"/>
  <c r="AL89" i="40"/>
  <c r="FC122" i="59"/>
  <c r="AU89" i="40"/>
  <c r="FL122" i="59"/>
  <c r="AC89" i="40"/>
  <c r="ET122" i="59"/>
  <c r="N89" i="40"/>
  <c r="EE122" i="59"/>
  <c r="AO89" i="40"/>
  <c r="FF122" i="59"/>
  <c r="T89" i="40"/>
  <c r="EK122" i="59"/>
  <c r="AB89" i="40"/>
  <c r="ES122" i="59"/>
  <c r="AW89" i="40"/>
  <c r="FN122" i="59"/>
  <c r="P89" i="40"/>
  <c r="EG122" i="59"/>
  <c r="AK89" i="40"/>
  <c r="FB122" i="59"/>
  <c r="AS89" i="40"/>
  <c r="FJ122" i="59"/>
  <c r="O89" i="40"/>
  <c r="EF122" i="59"/>
  <c r="Q89" i="40"/>
  <c r="EH122" i="59"/>
  <c r="AF89" i="40"/>
  <c r="EW122" i="59"/>
  <c r="W89" i="40"/>
  <c r="EN122" i="59"/>
  <c r="Y89" i="40"/>
  <c r="EP122" i="59"/>
  <c r="AN89" i="40"/>
  <c r="FE122" i="59"/>
  <c r="AQ89" i="40"/>
  <c r="FH122" i="59"/>
  <c r="AP89" i="40"/>
  <c r="FG122" i="59"/>
  <c r="AT89" i="40"/>
  <c r="FK122" i="59"/>
  <c r="AX89" i="40"/>
  <c r="FO122" i="59"/>
  <c r="S89" i="40"/>
  <c r="EJ122" i="59"/>
  <c r="R89" i="40"/>
  <c r="EI122" i="59"/>
  <c r="U89" i="40"/>
  <c r="EL122" i="59"/>
  <c r="X89" i="40"/>
  <c r="EO122" i="59"/>
  <c r="AJ89" i="40"/>
  <c r="FA122" i="59"/>
  <c r="M89" i="40"/>
  <c r="ED122" i="59"/>
  <c r="AA89" i="40"/>
  <c r="ER122" i="59"/>
  <c r="Z89" i="40"/>
  <c r="EQ122" i="59"/>
  <c r="AD89" i="40"/>
  <c r="EU122" i="59"/>
  <c r="AH89" i="40"/>
  <c r="EY122" i="59"/>
  <c r="AR89" i="40"/>
  <c r="FI122" i="59"/>
  <c r="AG89" i="40"/>
  <c r="EX122" i="59"/>
  <c r="AE89" i="40"/>
  <c r="EV122" i="59"/>
  <c r="AI89" i="40"/>
  <c r="EZ122" i="59"/>
  <c r="AM89" i="40"/>
  <c r="FD122" i="59"/>
  <c r="AV89" i="40"/>
  <c r="FM122" i="59"/>
  <c r="AU250" i="40"/>
  <c r="CK153" i="59"/>
  <c r="AN243" i="40"/>
  <c r="GX151" i="59"/>
  <c r="AH252" i="40"/>
  <c r="GB153" i="59"/>
  <c r="AP250" i="40"/>
  <c r="CF153" i="59"/>
  <c r="AH250" i="40"/>
  <c r="BX153" i="59"/>
  <c r="AE250" i="40"/>
  <c r="BU153" i="59"/>
  <c r="AA250" i="40"/>
  <c r="BQ153" i="59"/>
  <c r="AV250" i="40"/>
  <c r="CL153" i="59"/>
  <c r="AW250" i="40"/>
  <c r="CM153" i="59"/>
  <c r="AC250" i="40"/>
  <c r="BS153" i="59"/>
  <c r="AL250" i="40"/>
  <c r="CB153" i="59"/>
  <c r="S256" i="40"/>
  <c r="ED154" i="59"/>
  <c r="AM250" i="40"/>
  <c r="CC153" i="59"/>
  <c r="S250" i="40"/>
  <c r="BI153" i="59"/>
  <c r="AH258" i="40"/>
  <c r="F155" i="59"/>
  <c r="AX250" i="40"/>
  <c r="CN153" i="59"/>
  <c r="AG250" i="40"/>
  <c r="BW153" i="59"/>
  <c r="R250" i="40"/>
  <c r="BH153" i="59"/>
  <c r="AQ250" i="40"/>
  <c r="CG153" i="59"/>
  <c r="AF250" i="40"/>
  <c r="BV153" i="59"/>
  <c r="AY250" i="40"/>
  <c r="CO153" i="59"/>
  <c r="AC256" i="40"/>
  <c r="EN154" i="59"/>
  <c r="AO250" i="40"/>
  <c r="CE153" i="59"/>
  <c r="AK250" i="40"/>
  <c r="CA153" i="59"/>
  <c r="AR250" i="40"/>
  <c r="CH153" i="59"/>
  <c r="AJ250" i="40"/>
  <c r="BZ153" i="59"/>
  <c r="Q250" i="40"/>
  <c r="BG153" i="59"/>
  <c r="AU256" i="40"/>
  <c r="FF154" i="59"/>
  <c r="O250" i="40"/>
  <c r="BE153" i="59"/>
  <c r="AB250" i="40"/>
  <c r="BR153" i="59"/>
  <c r="AI250" i="40"/>
  <c r="BY153" i="59"/>
  <c r="AS250" i="40"/>
  <c r="CI153" i="59"/>
  <c r="AN250" i="40"/>
  <c r="CD153" i="59"/>
  <c r="AD250" i="40"/>
  <c r="BT153" i="59"/>
  <c r="P250" i="40"/>
  <c r="BF153" i="59"/>
  <c r="AT250" i="40"/>
  <c r="CJ153" i="59"/>
  <c r="AZ250" i="40"/>
  <c r="CP153" i="59"/>
  <c r="AJ252" i="40"/>
  <c r="GD153" i="59"/>
  <c r="AH256" i="40"/>
  <c r="ES154" i="59"/>
  <c r="AV256" i="40"/>
  <c r="FG154" i="59"/>
  <c r="AI256" i="40"/>
  <c r="ET154" i="59"/>
  <c r="AB252" i="40"/>
  <c r="FV153" i="59"/>
  <c r="AA256" i="40"/>
  <c r="EL154" i="59"/>
  <c r="AY256" i="40"/>
  <c r="FJ154" i="59"/>
  <c r="AP256" i="40"/>
  <c r="FA154" i="59"/>
  <c r="AL252" i="40"/>
  <c r="GF153" i="59"/>
  <c r="AX256" i="40"/>
  <c r="FI154" i="59"/>
  <c r="AS256" i="40"/>
  <c r="FD154" i="59"/>
  <c r="AW256" i="40"/>
  <c r="FH154" i="59"/>
  <c r="AR256" i="40"/>
  <c r="FC154" i="59"/>
  <c r="AF256" i="40"/>
  <c r="EQ154" i="59"/>
  <c r="R256" i="40"/>
  <c r="EC154" i="59"/>
  <c r="Q258" i="40"/>
  <c r="IF154" i="59"/>
  <c r="AF252" i="40"/>
  <c r="FZ153" i="59"/>
  <c r="AP258" i="40"/>
  <c r="N155" i="59"/>
  <c r="AV252" i="40"/>
  <c r="GP153" i="59"/>
  <c r="AT260" i="40"/>
  <c r="DV155" i="59"/>
  <c r="O258" i="40"/>
  <c r="ID154" i="59"/>
  <c r="AU258" i="40"/>
  <c r="S155" i="59"/>
  <c r="AA252" i="40"/>
  <c r="FU153" i="59"/>
  <c r="AT253" i="40"/>
  <c r="IP153" i="59"/>
  <c r="R258" i="40"/>
  <c r="IG154" i="59"/>
  <c r="AG258" i="40"/>
  <c r="IV154" i="59"/>
  <c r="N252" i="40"/>
  <c r="FH153" i="59"/>
  <c r="X243" i="40"/>
  <c r="GH151" i="59"/>
  <c r="S252" i="40"/>
  <c r="FM153" i="59"/>
  <c r="AU253" i="40"/>
  <c r="IQ153" i="59"/>
  <c r="AJ258" i="40"/>
  <c r="H155" i="59"/>
  <c r="O252" i="40"/>
  <c r="FI153" i="59"/>
  <c r="AW252" i="40"/>
  <c r="GQ153" i="59"/>
  <c r="AN252" i="40"/>
  <c r="GH153" i="59"/>
  <c r="T252" i="40"/>
  <c r="FN153" i="59"/>
  <c r="AZ252" i="40"/>
  <c r="GT153" i="59"/>
  <c r="AG256" i="40"/>
  <c r="ER154" i="59"/>
  <c r="AT256" i="40"/>
  <c r="FE154" i="59"/>
  <c r="AN256" i="40"/>
  <c r="EY154" i="59"/>
  <c r="S253" i="40"/>
  <c r="HO153" i="59"/>
  <c r="AK258" i="40"/>
  <c r="I155" i="59"/>
  <c r="AI258" i="40"/>
  <c r="G155" i="59"/>
  <c r="AS258" i="40"/>
  <c r="Q155" i="59"/>
  <c r="AW258" i="40"/>
  <c r="U155" i="59"/>
  <c r="AX258" i="40"/>
  <c r="V155" i="59"/>
  <c r="AC252" i="40"/>
  <c r="FW153" i="59"/>
  <c r="X252" i="40"/>
  <c r="FR153" i="59"/>
  <c r="AQ252" i="40"/>
  <c r="GK153" i="59"/>
  <c r="AG252" i="40"/>
  <c r="GA153" i="59"/>
  <c r="W252" i="40"/>
  <c r="FQ153" i="59"/>
  <c r="AO256" i="40"/>
  <c r="EZ154" i="59"/>
  <c r="Q256" i="40"/>
  <c r="EB154" i="59"/>
  <c r="AK256" i="40"/>
  <c r="EV154" i="59"/>
  <c r="AE256" i="40"/>
  <c r="EP154" i="59"/>
  <c r="AY253" i="40"/>
  <c r="IU153" i="59"/>
  <c r="AT258" i="40"/>
  <c r="R155" i="59"/>
  <c r="AN258" i="40"/>
  <c r="L155" i="59"/>
  <c r="AS252" i="40"/>
  <c r="GM153" i="59"/>
  <c r="AP252" i="40"/>
  <c r="GJ153" i="59"/>
  <c r="S258" i="40"/>
  <c r="IH154" i="59"/>
  <c r="AV258" i="40"/>
  <c r="T155" i="59"/>
  <c r="AE258" i="40"/>
  <c r="IT154" i="59"/>
  <c r="P252" i="40"/>
  <c r="FJ153" i="59"/>
  <c r="AU252" i="40"/>
  <c r="GO153" i="59"/>
  <c r="AR252" i="40"/>
  <c r="GL153" i="59"/>
  <c r="AL258" i="40"/>
  <c r="J155" i="59"/>
  <c r="AO258" i="40"/>
  <c r="M155" i="59"/>
  <c r="AR258" i="40"/>
  <c r="P155" i="59"/>
  <c r="AB258" i="40"/>
  <c r="IQ154" i="59"/>
  <c r="AA254" i="40"/>
  <c r="AH154" i="59"/>
  <c r="AM252" i="40"/>
  <c r="GG153" i="59"/>
  <c r="AO252" i="40"/>
  <c r="GI153" i="59"/>
  <c r="AK252" i="40"/>
  <c r="GE153" i="59"/>
  <c r="AI252" i="40"/>
  <c r="GC153" i="59"/>
  <c r="AT252" i="40"/>
  <c r="GN153" i="59"/>
  <c r="AD256" i="40"/>
  <c r="EO154" i="59"/>
  <c r="AB256" i="40"/>
  <c r="EM154" i="59"/>
  <c r="AM256" i="40"/>
  <c r="EX154" i="59"/>
  <c r="AL256" i="40"/>
  <c r="EW154" i="59"/>
  <c r="AH253" i="40"/>
  <c r="ID153" i="59"/>
  <c r="AC258" i="40"/>
  <c r="IR154" i="59"/>
  <c r="AA258" i="40"/>
  <c r="IP154" i="59"/>
  <c r="AY258" i="40"/>
  <c r="W155" i="59"/>
  <c r="AF258" i="40"/>
  <c r="IU154" i="59"/>
  <c r="AZ258" i="40"/>
  <c r="X155" i="59"/>
  <c r="Q252" i="40"/>
  <c r="FK153" i="59"/>
  <c r="AQ258" i="40"/>
  <c r="O155" i="59"/>
  <c r="AY252" i="40"/>
  <c r="GS153" i="59"/>
  <c r="AX252" i="40"/>
  <c r="GR153" i="59"/>
  <c r="AD258" i="40"/>
  <c r="IS154" i="59"/>
  <c r="O254" i="40"/>
  <c r="V154" i="59"/>
  <c r="AD252" i="40"/>
  <c r="FX153" i="59"/>
  <c r="AE252" i="40"/>
  <c r="FY153" i="59"/>
  <c r="R252" i="40"/>
  <c r="FL153" i="59"/>
  <c r="P256" i="40"/>
  <c r="EA154" i="59"/>
  <c r="AJ256" i="40"/>
  <c r="EU154" i="59"/>
  <c r="AQ256" i="40"/>
  <c r="FB154" i="59"/>
  <c r="O256" i="40"/>
  <c r="DZ154" i="59"/>
  <c r="AZ256" i="40"/>
  <c r="FK154" i="59"/>
  <c r="Q253" i="40"/>
  <c r="HM153" i="59"/>
  <c r="P258" i="40"/>
  <c r="IE154" i="59"/>
  <c r="AM258" i="40"/>
  <c r="K155" i="59"/>
  <c r="AS253" i="40"/>
  <c r="IO153" i="59"/>
  <c r="AP92" i="40"/>
  <c r="BP123" i="59"/>
  <c r="P254" i="40"/>
  <c r="W154" i="59"/>
  <c r="L246" i="40"/>
  <c r="CK152" i="59"/>
  <c r="AR253" i="40"/>
  <c r="IN153" i="59"/>
  <c r="AZ253" i="40"/>
  <c r="IV153" i="59"/>
  <c r="P92" i="40"/>
  <c r="AP123" i="59"/>
  <c r="U92" i="40"/>
  <c r="AU123" i="59"/>
  <c r="AM254" i="40"/>
  <c r="AT154" i="59"/>
  <c r="AQ257" i="40"/>
  <c r="HD154" i="59"/>
  <c r="AG253" i="40"/>
  <c r="IC153" i="59"/>
  <c r="O253" i="40"/>
  <c r="HK153" i="59"/>
  <c r="Y92" i="40"/>
  <c r="AY123" i="59"/>
  <c r="N253" i="40"/>
  <c r="HJ153" i="59"/>
  <c r="AN254" i="40"/>
  <c r="AU154" i="59"/>
  <c r="AC253" i="40"/>
  <c r="HY153" i="59"/>
  <c r="AQ253" i="40"/>
  <c r="IM153" i="59"/>
  <c r="AQ92" i="40"/>
  <c r="BQ123" i="59"/>
  <c r="AA253" i="40"/>
  <c r="HW153" i="59"/>
  <c r="AL253" i="40"/>
  <c r="IH153" i="59"/>
  <c r="AU92" i="40"/>
  <c r="BU123" i="59"/>
  <c r="AH257" i="40"/>
  <c r="GU154" i="59"/>
  <c r="S92" i="40"/>
  <c r="AS123" i="59"/>
  <c r="AR92" i="40"/>
  <c r="BR123" i="59"/>
  <c r="AW257" i="40"/>
  <c r="HJ154" i="59"/>
  <c r="R253" i="40"/>
  <c r="HN153" i="59"/>
  <c r="AF253" i="40"/>
  <c r="IB153" i="59"/>
  <c r="AB253" i="40"/>
  <c r="HX153" i="59"/>
  <c r="P253" i="40"/>
  <c r="HL153" i="59"/>
  <c r="AM253" i="40"/>
  <c r="II153" i="59"/>
  <c r="AB92" i="40"/>
  <c r="BB123" i="59"/>
  <c r="Q92" i="40"/>
  <c r="AQ123" i="59"/>
  <c r="AM92" i="40"/>
  <c r="BM123" i="59"/>
  <c r="AG92" i="40"/>
  <c r="BG123" i="59"/>
  <c r="AI257" i="40"/>
  <c r="GV154" i="59"/>
  <c r="AP253" i="40"/>
  <c r="IL153" i="59"/>
  <c r="AJ253" i="40"/>
  <c r="IF153" i="59"/>
  <c r="AI253" i="40"/>
  <c r="IE153" i="59"/>
  <c r="AE253" i="40"/>
  <c r="IA153" i="59"/>
  <c r="Z92" i="40"/>
  <c r="AZ123" i="59"/>
  <c r="AW92" i="40"/>
  <c r="BW123" i="59"/>
  <c r="AR257" i="40"/>
  <c r="HE154" i="59"/>
  <c r="AA92" i="40"/>
  <c r="BA123" i="59"/>
  <c r="P259" i="40"/>
  <c r="AP155" i="59"/>
  <c r="AO257" i="40"/>
  <c r="HB154" i="59"/>
  <c r="AW253" i="40"/>
  <c r="IS153" i="59"/>
  <c r="AO253" i="40"/>
  <c r="IK153" i="59"/>
  <c r="AK253" i="40"/>
  <c r="IG153" i="59"/>
  <c r="AV253" i="40"/>
  <c r="IR153" i="59"/>
  <c r="AH92" i="40"/>
  <c r="BH123" i="59"/>
  <c r="AF92" i="40"/>
  <c r="BF123" i="59"/>
  <c r="M92" i="40"/>
  <c r="AM123" i="59"/>
  <c r="O257" i="40"/>
  <c r="GB154" i="59"/>
  <c r="AX253" i="40"/>
  <c r="IT153" i="59"/>
  <c r="AD253" i="40"/>
  <c r="HZ153" i="59"/>
  <c r="W253" i="40"/>
  <c r="HS153" i="59"/>
  <c r="AN253" i="40"/>
  <c r="IJ153" i="59"/>
  <c r="AX92" i="40"/>
  <c r="BX123" i="59"/>
  <c r="AJ92" i="40"/>
  <c r="BJ123" i="59"/>
  <c r="P257" i="40"/>
  <c r="GC154" i="59"/>
  <c r="V92" i="40"/>
  <c r="AV123" i="59"/>
  <c r="N92" i="40"/>
  <c r="AN123" i="59"/>
  <c r="AC92" i="40"/>
  <c r="BC123" i="59"/>
  <c r="AN92" i="40"/>
  <c r="BN123" i="59"/>
  <c r="AD257" i="40"/>
  <c r="GQ154" i="59"/>
  <c r="Y257" i="40"/>
  <c r="GL154" i="59"/>
  <c r="AK257" i="40"/>
  <c r="GX154" i="59"/>
  <c r="AO260" i="40"/>
  <c r="DQ155" i="59"/>
  <c r="AL92" i="40"/>
  <c r="BL123" i="59"/>
  <c r="X92" i="40"/>
  <c r="AX123" i="59"/>
  <c r="AK92" i="40"/>
  <c r="BK123" i="59"/>
  <c r="AV92" i="40"/>
  <c r="BV123" i="59"/>
  <c r="AG255" i="40"/>
  <c r="CP154" i="59"/>
  <c r="AC257" i="40"/>
  <c r="GP154" i="59"/>
  <c r="AA257" i="40"/>
  <c r="GN154" i="59"/>
  <c r="AN257" i="40"/>
  <c r="HA154" i="59"/>
  <c r="R92" i="40"/>
  <c r="AR123" i="59"/>
  <c r="O92" i="40"/>
  <c r="AO123" i="59"/>
  <c r="AD92" i="40"/>
  <c r="BD123" i="59"/>
  <c r="AO92" i="40"/>
  <c r="BO123" i="59"/>
  <c r="AE92" i="40"/>
  <c r="BE123" i="59"/>
  <c r="AD259" i="40"/>
  <c r="BD155" i="59"/>
  <c r="AS257" i="40"/>
  <c r="HF154" i="59"/>
  <c r="AZ257" i="40"/>
  <c r="HM154" i="59"/>
  <c r="AW260" i="40"/>
  <c r="DY155" i="59"/>
  <c r="W92" i="40"/>
  <c r="AW123" i="59"/>
  <c r="T92" i="40"/>
  <c r="AT123" i="59"/>
  <c r="AT92" i="40"/>
  <c r="BT123" i="59"/>
  <c r="AS92" i="40"/>
  <c r="BS123" i="59"/>
  <c r="AI92" i="40"/>
  <c r="BI123" i="59"/>
  <c r="Q254" i="40"/>
  <c r="X154" i="59"/>
  <c r="AJ254" i="40"/>
  <c r="AQ154" i="59"/>
  <c r="AK255" i="40"/>
  <c r="CT154" i="59"/>
  <c r="AH259" i="40"/>
  <c r="BH155" i="59"/>
  <c r="AB259" i="40"/>
  <c r="BB155" i="59"/>
  <c r="AN259" i="40"/>
  <c r="BN155" i="59"/>
  <c r="AF254" i="40"/>
  <c r="AM154" i="59"/>
  <c r="S254" i="40"/>
  <c r="Z154" i="59"/>
  <c r="AQ254" i="40"/>
  <c r="AX154" i="59"/>
  <c r="AE255" i="40"/>
  <c r="CN154" i="59"/>
  <c r="AT255" i="40"/>
  <c r="DC154" i="59"/>
  <c r="AJ257" i="40"/>
  <c r="GW154" i="59"/>
  <c r="AB257" i="40"/>
  <c r="GO154" i="59"/>
  <c r="AX257" i="40"/>
  <c r="HK154" i="59"/>
  <c r="AU257" i="40"/>
  <c r="HH154" i="59"/>
  <c r="AP260" i="40"/>
  <c r="DR155" i="59"/>
  <c r="AM260" i="40"/>
  <c r="DO155" i="59"/>
  <c r="AB254" i="40"/>
  <c r="AI154" i="59"/>
  <c r="AS259" i="40"/>
  <c r="BS155" i="59"/>
  <c r="AR255" i="40"/>
  <c r="DA154" i="59"/>
  <c r="AL260" i="40"/>
  <c r="DN155" i="59"/>
  <c r="AB260" i="40"/>
  <c r="DD155" i="59"/>
  <c r="AL255" i="40"/>
  <c r="CU154" i="59"/>
  <c r="AJ260" i="40"/>
  <c r="DL155" i="59"/>
  <c r="AR259" i="40"/>
  <c r="BR155" i="59"/>
  <c r="AL259" i="40"/>
  <c r="BL155" i="59"/>
  <c r="S259" i="40"/>
  <c r="AS155" i="59"/>
  <c r="AC254" i="40"/>
  <c r="AJ154" i="59"/>
  <c r="AW254" i="40"/>
  <c r="BD154" i="59"/>
  <c r="AU254" i="40"/>
  <c r="BB154" i="59"/>
  <c r="AL254" i="40"/>
  <c r="AS154" i="59"/>
  <c r="R254" i="40"/>
  <c r="Y154" i="59"/>
  <c r="O255" i="40"/>
  <c r="BX154" i="59"/>
  <c r="AI255" i="40"/>
  <c r="CR154" i="59"/>
  <c r="AN255" i="40"/>
  <c r="CW154" i="59"/>
  <c r="AP257" i="40"/>
  <c r="HC154" i="59"/>
  <c r="AL257" i="40"/>
  <c r="GY154" i="59"/>
  <c r="R257" i="40"/>
  <c r="GE154" i="59"/>
  <c r="AE257" i="40"/>
  <c r="GR154" i="59"/>
  <c r="AU260" i="40"/>
  <c r="DW155" i="59"/>
  <c r="O260" i="40"/>
  <c r="CQ155" i="59"/>
  <c r="AI259" i="40"/>
  <c r="BI155" i="59"/>
  <c r="AM259" i="40"/>
  <c r="BM155" i="59"/>
  <c r="AR254" i="40"/>
  <c r="AY154" i="59"/>
  <c r="AP255" i="40"/>
  <c r="CY154" i="59"/>
  <c r="AX254" i="40"/>
  <c r="BE154" i="59"/>
  <c r="S255" i="40"/>
  <c r="CB154" i="59"/>
  <c r="AA260" i="40"/>
  <c r="DC155" i="59"/>
  <c r="AX259" i="40"/>
  <c r="BX155" i="59"/>
  <c r="AS254" i="40"/>
  <c r="AZ154" i="59"/>
  <c r="AE254" i="40"/>
  <c r="AL154" i="59"/>
  <c r="AD254" i="40"/>
  <c r="AK154" i="59"/>
  <c r="AK254" i="40"/>
  <c r="AR154" i="59"/>
  <c r="AB255" i="40"/>
  <c r="CK154" i="59"/>
  <c r="AF255" i="40"/>
  <c r="CO154" i="59"/>
  <c r="AF257" i="40"/>
  <c r="GS154" i="59"/>
  <c r="Q257" i="40"/>
  <c r="GD154" i="59"/>
  <c r="AY257" i="40"/>
  <c r="HL154" i="59"/>
  <c r="S257" i="40"/>
  <c r="GF154" i="59"/>
  <c r="AT257" i="40"/>
  <c r="HG154" i="59"/>
  <c r="AR260" i="40"/>
  <c r="DT155" i="59"/>
  <c r="AG254" i="40"/>
  <c r="AN154" i="59"/>
  <c r="AZ254" i="40"/>
  <c r="BG154" i="59"/>
  <c r="AI254" i="40"/>
  <c r="AP154" i="59"/>
  <c r="AG259" i="40"/>
  <c r="BG155" i="59"/>
  <c r="AZ259" i="40"/>
  <c r="BZ155" i="59"/>
  <c r="AH254" i="40"/>
  <c r="AO154" i="59"/>
  <c r="AC255" i="40"/>
  <c r="CL154" i="59"/>
  <c r="O259" i="40"/>
  <c r="AO155" i="59"/>
  <c r="AO259" i="40"/>
  <c r="BO155" i="59"/>
  <c r="AP254" i="40"/>
  <c r="AW154" i="59"/>
  <c r="AO254" i="40"/>
  <c r="AV154" i="59"/>
  <c r="AT254" i="40"/>
  <c r="BA154" i="59"/>
  <c r="AY254" i="40"/>
  <c r="BF154" i="59"/>
  <c r="AV254" i="40"/>
  <c r="BC154" i="59"/>
  <c r="AA255" i="40"/>
  <c r="CJ154" i="59"/>
  <c r="AJ255" i="40"/>
  <c r="CS154" i="59"/>
  <c r="AG257" i="40"/>
  <c r="GT154" i="59"/>
  <c r="AM257" i="40"/>
  <c r="GZ154" i="59"/>
  <c r="AV257" i="40"/>
  <c r="HI154" i="59"/>
  <c r="AF260" i="40"/>
  <c r="DH155" i="59"/>
  <c r="R260" i="40"/>
  <c r="CT155" i="59"/>
  <c r="AI260" i="40"/>
  <c r="DK155" i="59"/>
  <c r="L37" i="41"/>
  <c r="FA306" i="59"/>
  <c r="O247" i="40"/>
  <c r="EP152" i="59"/>
  <c r="L26" i="41"/>
  <c r="HX305" i="59"/>
  <c r="AA259" i="40"/>
  <c r="BA155" i="59"/>
  <c r="Q259" i="40"/>
  <c r="AQ155" i="59"/>
  <c r="AJ259" i="40"/>
  <c r="BJ155" i="59"/>
  <c r="X255" i="40"/>
  <c r="CG154" i="59"/>
  <c r="Q255" i="40"/>
  <c r="BZ154" i="59"/>
  <c r="AX255" i="40"/>
  <c r="DG154" i="59"/>
  <c r="R255" i="40"/>
  <c r="CA154" i="59"/>
  <c r="AV255" i="40"/>
  <c r="DE154" i="59"/>
  <c r="AE260" i="40"/>
  <c r="DG155" i="59"/>
  <c r="AY260" i="40"/>
  <c r="EA155" i="59"/>
  <c r="AD260" i="40"/>
  <c r="DF155" i="59"/>
  <c r="S260" i="40"/>
  <c r="CU155" i="59"/>
  <c r="L28" i="41"/>
  <c r="M306" i="59"/>
  <c r="R242" i="40"/>
  <c r="DZ151" i="59"/>
  <c r="J246" i="40"/>
  <c r="CI152" i="59"/>
  <c r="N243" i="40"/>
  <c r="FX151" i="59"/>
  <c r="H18" i="41"/>
  <c r="CV305" i="59"/>
  <c r="L24" i="41"/>
  <c r="GR305" i="59"/>
  <c r="L32" i="41"/>
  <c r="BY306" i="59"/>
  <c r="AP259" i="40"/>
  <c r="BP155" i="59"/>
  <c r="AQ259" i="40"/>
  <c r="BQ155" i="59"/>
  <c r="R259" i="40"/>
  <c r="AR155" i="59"/>
  <c r="AO255" i="40"/>
  <c r="CX154" i="59"/>
  <c r="AD255" i="40"/>
  <c r="CM154" i="59"/>
  <c r="AH255" i="40"/>
  <c r="CQ154" i="59"/>
  <c r="AZ255" i="40"/>
  <c r="DI154" i="59"/>
  <c r="AC260" i="40"/>
  <c r="DE155" i="59"/>
  <c r="AN260" i="40"/>
  <c r="DP155" i="59"/>
  <c r="AG260" i="40"/>
  <c r="DI155" i="59"/>
  <c r="AS260" i="40"/>
  <c r="DU155" i="59"/>
  <c r="AZ260" i="40"/>
  <c r="EB155" i="59"/>
  <c r="L27" i="41"/>
  <c r="IN305" i="59"/>
  <c r="N259" i="40"/>
  <c r="AN155" i="59"/>
  <c r="N254" i="40"/>
  <c r="U154" i="59"/>
  <c r="N260" i="40"/>
  <c r="CP155" i="59"/>
  <c r="L33" i="41"/>
  <c r="CO306" i="59"/>
  <c r="N255" i="40"/>
  <c r="BW154" i="59"/>
  <c r="AC259" i="40"/>
  <c r="BC155" i="59"/>
  <c r="AW259" i="40"/>
  <c r="BW155" i="59"/>
  <c r="AU259" i="40"/>
  <c r="BU155" i="59"/>
  <c r="AE259" i="40"/>
  <c r="BE155" i="59"/>
  <c r="AV259" i="40"/>
  <c r="BV155" i="59"/>
  <c r="Z255" i="40"/>
  <c r="CI154" i="59"/>
  <c r="P255" i="40"/>
  <c r="BY154" i="59"/>
  <c r="AY255" i="40"/>
  <c r="DH154" i="59"/>
  <c r="AW255" i="40"/>
  <c r="DF154" i="59"/>
  <c r="AS255" i="40"/>
  <c r="DB154" i="59"/>
  <c r="P260" i="40"/>
  <c r="CR155" i="59"/>
  <c r="AK260" i="40"/>
  <c r="DM155" i="59"/>
  <c r="Q260" i="40"/>
  <c r="CS155" i="59"/>
  <c r="N256" i="40"/>
  <c r="DY154" i="59"/>
  <c r="L34" i="41"/>
  <c r="DE306" i="59"/>
  <c r="N250" i="40"/>
  <c r="BD153" i="59"/>
  <c r="L35" i="41"/>
  <c r="DU306" i="59"/>
  <c r="L36" i="41"/>
  <c r="EK306" i="59"/>
  <c r="AF259" i="40"/>
  <c r="BF155" i="59"/>
  <c r="AY259" i="40"/>
  <c r="BY155" i="59"/>
  <c r="AK259" i="40"/>
  <c r="BK155" i="59"/>
  <c r="AT259" i="40"/>
  <c r="BT155" i="59"/>
  <c r="AU255" i="40"/>
  <c r="DD154" i="59"/>
  <c r="W255" i="40"/>
  <c r="CF154" i="59"/>
  <c r="AM255" i="40"/>
  <c r="CV154" i="59"/>
  <c r="AQ255" i="40"/>
  <c r="CZ154" i="59"/>
  <c r="AH260" i="40"/>
  <c r="DJ155" i="59"/>
  <c r="AQ260" i="40"/>
  <c r="DS155" i="59"/>
  <c r="AV260" i="40"/>
  <c r="DX155" i="59"/>
  <c r="AX260" i="40"/>
  <c r="DZ155" i="59"/>
  <c r="N244" i="40"/>
  <c r="HZ151" i="59"/>
  <c r="N258" i="40"/>
  <c r="IC154" i="59"/>
  <c r="L31" i="41"/>
  <c r="BI306" i="59"/>
  <c r="L25" i="41"/>
  <c r="HH305" i="59"/>
  <c r="L30" i="41"/>
  <c r="AS306" i="59"/>
  <c r="L29" i="41"/>
  <c r="AC306" i="59"/>
  <c r="AW88" i="40"/>
  <c r="AS88" i="40"/>
  <c r="AO88" i="40"/>
  <c r="AK88" i="40"/>
  <c r="AG88" i="40"/>
  <c r="AC88" i="40"/>
  <c r="Y88" i="40"/>
  <c r="U88" i="40"/>
  <c r="Q88" i="40"/>
  <c r="AX88" i="40"/>
  <c r="AT88" i="40"/>
  <c r="AP88" i="40"/>
  <c r="AL88" i="40"/>
  <c r="AH88" i="40"/>
  <c r="AD88" i="40"/>
  <c r="Z88" i="40"/>
  <c r="V88" i="40"/>
  <c r="R88" i="40"/>
  <c r="N88" i="40"/>
  <c r="AU88" i="40"/>
  <c r="AQ88" i="40"/>
  <c r="AM88" i="40"/>
  <c r="AI88" i="40"/>
  <c r="AE88" i="40"/>
  <c r="AA88" i="40"/>
  <c r="W88" i="40"/>
  <c r="S88" i="40"/>
  <c r="O88" i="40"/>
  <c r="AV88" i="40"/>
  <c r="AR88" i="40"/>
  <c r="AN88" i="40"/>
  <c r="AJ88" i="40"/>
  <c r="AF88" i="40"/>
  <c r="AB88" i="40"/>
  <c r="X88" i="40"/>
  <c r="T88" i="40"/>
  <c r="P88" i="40"/>
  <c r="AX87" i="40"/>
  <c r="AT87" i="40"/>
  <c r="AP87" i="40"/>
  <c r="AL87" i="40"/>
  <c r="AH87" i="40"/>
  <c r="AD87" i="40"/>
  <c r="Z87" i="40"/>
  <c r="V87" i="40"/>
  <c r="R87" i="40"/>
  <c r="N87" i="40"/>
  <c r="AU87" i="40"/>
  <c r="AQ87" i="40"/>
  <c r="AM87" i="40"/>
  <c r="AI87" i="40"/>
  <c r="AE87" i="40"/>
  <c r="AA87" i="40"/>
  <c r="W87" i="40"/>
  <c r="S87" i="40"/>
  <c r="O87" i="40"/>
  <c r="AV87" i="40"/>
  <c r="AR87" i="40"/>
  <c r="AN87" i="40"/>
  <c r="AJ87" i="40"/>
  <c r="AF87" i="40"/>
  <c r="AB87" i="40"/>
  <c r="X87" i="40"/>
  <c r="T87" i="40"/>
  <c r="P87" i="40"/>
  <c r="AW87" i="40"/>
  <c r="AS87" i="40"/>
  <c r="AO87" i="40"/>
  <c r="AK87" i="40"/>
  <c r="AG87" i="40"/>
  <c r="AC87" i="40"/>
  <c r="Y87" i="40"/>
  <c r="U87" i="40"/>
  <c r="Q87" i="40"/>
  <c r="AX91" i="40"/>
  <c r="X123" i="59"/>
  <c r="AT91" i="40"/>
  <c r="T123" i="59"/>
  <c r="AP91" i="40"/>
  <c r="P123" i="59"/>
  <c r="AL91" i="40"/>
  <c r="L123" i="59"/>
  <c r="AH91" i="40"/>
  <c r="H123" i="59"/>
  <c r="AD91" i="40"/>
  <c r="IU122" i="59"/>
  <c r="Z91" i="40"/>
  <c r="IQ122" i="59"/>
  <c r="V91" i="40"/>
  <c r="IM122" i="59"/>
  <c r="R91" i="40"/>
  <c r="II122" i="59"/>
  <c r="N91" i="40"/>
  <c r="IE122" i="59"/>
  <c r="AS91" i="40"/>
  <c r="S123" i="59"/>
  <c r="AN91" i="40"/>
  <c r="N123" i="59"/>
  <c r="AI91" i="40"/>
  <c r="I123" i="59"/>
  <c r="AC91" i="40"/>
  <c r="IT122" i="59"/>
  <c r="X91" i="40"/>
  <c r="IO122" i="59"/>
  <c r="S91" i="40"/>
  <c r="IJ122" i="59"/>
  <c r="AU91" i="40"/>
  <c r="U123" i="59"/>
  <c r="AO91" i="40"/>
  <c r="O123" i="59"/>
  <c r="AJ91" i="40"/>
  <c r="J123" i="59"/>
  <c r="AE91" i="40"/>
  <c r="IV122" i="59"/>
  <c r="Y91" i="40"/>
  <c r="IP122" i="59"/>
  <c r="T91" i="40"/>
  <c r="IK122" i="59"/>
  <c r="O91" i="40"/>
  <c r="IF122" i="59"/>
  <c r="AV91" i="40"/>
  <c r="V123" i="59"/>
  <c r="AQ91" i="40"/>
  <c r="Q123" i="59"/>
  <c r="AK91" i="40"/>
  <c r="K123" i="59"/>
  <c r="AF91" i="40"/>
  <c r="F123" i="59"/>
  <c r="AA91" i="40"/>
  <c r="IR122" i="59"/>
  <c r="U91" i="40"/>
  <c r="IL122" i="59"/>
  <c r="P91" i="40"/>
  <c r="IG122" i="59"/>
  <c r="AW91" i="40"/>
  <c r="W123" i="59"/>
  <c r="AR91" i="40"/>
  <c r="R123" i="59"/>
  <c r="AM91" i="40"/>
  <c r="M123" i="59"/>
  <c r="AG91" i="40"/>
  <c r="G123" i="59"/>
  <c r="AB91" i="40"/>
  <c r="IS122" i="59"/>
  <c r="W91" i="40"/>
  <c r="IN122" i="59"/>
  <c r="Q91" i="40"/>
  <c r="IH122" i="59"/>
  <c r="S125" i="40"/>
  <c r="IU129" i="59"/>
  <c r="W125" i="40"/>
  <c r="H130" i="59"/>
  <c r="AA125" i="40"/>
  <c r="L130" i="59"/>
  <c r="AE125" i="40"/>
  <c r="P130" i="59"/>
  <c r="AI125" i="40"/>
  <c r="T130" i="59"/>
  <c r="AM125" i="40"/>
  <c r="X130" i="59"/>
  <c r="AQ125" i="40"/>
  <c r="AB130" i="59"/>
  <c r="AU125" i="40"/>
  <c r="AF130" i="59"/>
  <c r="R125" i="40"/>
  <c r="IT129" i="59"/>
  <c r="V125" i="40"/>
  <c r="G130" i="59"/>
  <c r="Z125" i="40"/>
  <c r="K130" i="59"/>
  <c r="AD125" i="40"/>
  <c r="O130" i="59"/>
  <c r="AH125" i="40"/>
  <c r="S130" i="59"/>
  <c r="AL125" i="40"/>
  <c r="W130" i="59"/>
  <c r="AP125" i="40"/>
  <c r="AA130" i="59"/>
  <c r="AT125" i="40"/>
  <c r="AE130" i="59"/>
  <c r="AX125" i="40"/>
  <c r="AI130" i="59"/>
  <c r="U125" i="40"/>
  <c r="F130" i="59"/>
  <c r="Y125" i="40"/>
  <c r="J130" i="59"/>
  <c r="AC125" i="40"/>
  <c r="N130" i="59"/>
  <c r="AG125" i="40"/>
  <c r="R130" i="59"/>
  <c r="AK125" i="40"/>
  <c r="V130" i="59"/>
  <c r="AO125" i="40"/>
  <c r="Z130" i="59"/>
  <c r="AS125" i="40"/>
  <c r="AD130" i="59"/>
  <c r="AW125" i="40"/>
  <c r="AH130" i="59"/>
  <c r="T125" i="40"/>
  <c r="IV129" i="59"/>
  <c r="X125" i="40"/>
  <c r="I130" i="59"/>
  <c r="AB125" i="40"/>
  <c r="M130" i="59"/>
  <c r="AF125" i="40"/>
  <c r="Q130" i="59"/>
  <c r="AJ125" i="40"/>
  <c r="U130" i="59"/>
  <c r="AN125" i="40"/>
  <c r="Y130" i="59"/>
  <c r="AR125" i="40"/>
  <c r="AC130" i="59"/>
  <c r="AV125" i="40"/>
  <c r="AG130" i="59"/>
  <c r="T136" i="40"/>
  <c r="BW132" i="59"/>
  <c r="X136" i="40"/>
  <c r="CA132" i="59"/>
  <c r="AB136" i="40"/>
  <c r="CE132" i="59"/>
  <c r="AF136" i="40"/>
  <c r="AJ136" i="40"/>
  <c r="AN136" i="40"/>
  <c r="AR136" i="40"/>
  <c r="AV136" i="40"/>
  <c r="S136" i="40"/>
  <c r="BV132" i="59"/>
  <c r="W136" i="40"/>
  <c r="AA136" i="40"/>
  <c r="AE136" i="40"/>
  <c r="AI136" i="40"/>
  <c r="AM136" i="40"/>
  <c r="AQ136" i="40"/>
  <c r="AU136" i="40"/>
  <c r="R136" i="40"/>
  <c r="BU132" i="59"/>
  <c r="V136" i="40"/>
  <c r="Z136" i="40"/>
  <c r="AD136" i="40"/>
  <c r="AH136" i="40"/>
  <c r="AL136" i="40"/>
  <c r="AP136" i="40"/>
  <c r="AT136" i="40"/>
  <c r="AX136" i="40"/>
  <c r="DA132" i="59"/>
  <c r="U136" i="40"/>
  <c r="BX132" i="59"/>
  <c r="Y136" i="40"/>
  <c r="AC136" i="40"/>
  <c r="AG136" i="40"/>
  <c r="AK136" i="40"/>
  <c r="AO136" i="40"/>
  <c r="AS136" i="40"/>
  <c r="AW136" i="40"/>
  <c r="CZ132" i="59"/>
  <c r="U143" i="40"/>
  <c r="GG133" i="59"/>
  <c r="Y143" i="40"/>
  <c r="GK133" i="59"/>
  <c r="AC143" i="40"/>
  <c r="AG143" i="40"/>
  <c r="AK143" i="40"/>
  <c r="AO143" i="40"/>
  <c r="HA133" i="59"/>
  <c r="AS143" i="40"/>
  <c r="HE133" i="59"/>
  <c r="AW143" i="40"/>
  <c r="HI133" i="59"/>
  <c r="T143" i="40"/>
  <c r="X143" i="40"/>
  <c r="GJ133" i="59"/>
  <c r="AB143" i="40"/>
  <c r="AF143" i="40"/>
  <c r="GR133" i="59"/>
  <c r="AJ143" i="40"/>
  <c r="AN143" i="40"/>
  <c r="GZ133" i="59"/>
  <c r="AR143" i="40"/>
  <c r="HD133" i="59"/>
  <c r="AV143" i="40"/>
  <c r="HH133" i="59"/>
  <c r="S143" i="40"/>
  <c r="W143" i="40"/>
  <c r="GI133" i="59"/>
  <c r="AA143" i="40"/>
  <c r="AE143" i="40"/>
  <c r="AI143" i="40"/>
  <c r="GU133" i="59"/>
  <c r="AM143" i="40"/>
  <c r="AQ143" i="40"/>
  <c r="AU143" i="40"/>
  <c r="HG133" i="59"/>
  <c r="R143" i="40"/>
  <c r="GD133" i="59"/>
  <c r="V143" i="40"/>
  <c r="GH133" i="59"/>
  <c r="Z143" i="40"/>
  <c r="AD143" i="40"/>
  <c r="GP133" i="59"/>
  <c r="AH143" i="40"/>
  <c r="GT133" i="59"/>
  <c r="AL143" i="40"/>
  <c r="GX133" i="59"/>
  <c r="AP143" i="40"/>
  <c r="AT143" i="40"/>
  <c r="HF133" i="59"/>
  <c r="AX143" i="40"/>
  <c r="HJ133" i="59"/>
  <c r="U139" i="40"/>
  <c r="Y139" i="40"/>
  <c r="AC139" i="40"/>
  <c r="AG139" i="40"/>
  <c r="AK139" i="40"/>
  <c r="AO139" i="40"/>
  <c r="AS139" i="40"/>
  <c r="IV132" i="59"/>
  <c r="AW139" i="40"/>
  <c r="T139" i="40"/>
  <c r="X139" i="40"/>
  <c r="AB139" i="40"/>
  <c r="AF139" i="40"/>
  <c r="AJ139" i="40"/>
  <c r="AN139" i="40"/>
  <c r="AR139" i="40"/>
  <c r="IU132" i="59"/>
  <c r="AV139" i="40"/>
  <c r="S139" i="40"/>
  <c r="W139" i="40"/>
  <c r="AA139" i="40"/>
  <c r="AE139" i="40"/>
  <c r="AI139" i="40"/>
  <c r="AM139" i="40"/>
  <c r="AQ139" i="40"/>
  <c r="IT132" i="59"/>
  <c r="AU139" i="40"/>
  <c r="R139" i="40"/>
  <c r="V139" i="40"/>
  <c r="Z139" i="40"/>
  <c r="AD139" i="40"/>
  <c r="AH139" i="40"/>
  <c r="AL139" i="40"/>
  <c r="AP139" i="40"/>
  <c r="IS132" i="59"/>
  <c r="AT139" i="40"/>
  <c r="AX139" i="40"/>
  <c r="J133" i="59"/>
  <c r="R138" i="40"/>
  <c r="V138" i="40"/>
  <c r="Z138" i="40"/>
  <c r="AD138" i="40"/>
  <c r="AH138" i="40"/>
  <c r="AL138" i="40"/>
  <c r="GO132" i="59"/>
  <c r="AP138" i="40"/>
  <c r="AT138" i="40"/>
  <c r="AX138" i="40"/>
  <c r="U138" i="40"/>
  <c r="Y138" i="40"/>
  <c r="AC138" i="40"/>
  <c r="AG138" i="40"/>
  <c r="AK138" i="40"/>
  <c r="GN132" i="59"/>
  <c r="AO138" i="40"/>
  <c r="AS138" i="40"/>
  <c r="GV132" i="59"/>
  <c r="AW138" i="40"/>
  <c r="T138" i="40"/>
  <c r="X138" i="40"/>
  <c r="AB138" i="40"/>
  <c r="AF138" i="40"/>
  <c r="AJ138" i="40"/>
  <c r="GM132" i="59"/>
  <c r="AN138" i="40"/>
  <c r="GQ132" i="59"/>
  <c r="AR138" i="40"/>
  <c r="GU132" i="59"/>
  <c r="AV138" i="40"/>
  <c r="S138" i="40"/>
  <c r="W138" i="40"/>
  <c r="AA138" i="40"/>
  <c r="AE138" i="40"/>
  <c r="AI138" i="40"/>
  <c r="GL132" i="59"/>
  <c r="AM138" i="40"/>
  <c r="AQ138" i="40"/>
  <c r="AU138" i="40"/>
  <c r="T140" i="40"/>
  <c r="X140" i="40"/>
  <c r="AB140" i="40"/>
  <c r="AF140" i="40"/>
  <c r="AJ140" i="40"/>
  <c r="AV133" i="59"/>
  <c r="AN140" i="40"/>
  <c r="AZ133" i="59"/>
  <c r="AR140" i="40"/>
  <c r="AV140" i="40"/>
  <c r="S140" i="40"/>
  <c r="W140" i="40"/>
  <c r="AA140" i="40"/>
  <c r="AE140" i="40"/>
  <c r="AI140" i="40"/>
  <c r="AU133" i="59"/>
  <c r="AM140" i="40"/>
  <c r="AY133" i="59"/>
  <c r="AQ140" i="40"/>
  <c r="AU140" i="40"/>
  <c r="R140" i="40"/>
  <c r="V140" i="40"/>
  <c r="Z140" i="40"/>
  <c r="AD140" i="40"/>
  <c r="AH140" i="40"/>
  <c r="AT133" i="59"/>
  <c r="AL140" i="40"/>
  <c r="AP140" i="40"/>
  <c r="AT140" i="40"/>
  <c r="AX140" i="40"/>
  <c r="U140" i="40"/>
  <c r="Y140" i="40"/>
  <c r="AC140" i="40"/>
  <c r="AG140" i="40"/>
  <c r="AS133" i="59"/>
  <c r="AK140" i="40"/>
  <c r="AO140" i="40"/>
  <c r="AS140" i="40"/>
  <c r="AW140" i="40"/>
  <c r="T144" i="40"/>
  <c r="X144" i="40"/>
  <c r="AB144" i="40"/>
  <c r="AF144" i="40"/>
  <c r="IR133" i="59"/>
  <c r="AJ144" i="40"/>
  <c r="IV133" i="59"/>
  <c r="AN144" i="40"/>
  <c r="I134" i="59"/>
  <c r="AR144" i="40"/>
  <c r="AV144" i="40"/>
  <c r="S144" i="40"/>
  <c r="W144" i="40"/>
  <c r="AA144" i="40"/>
  <c r="AE144" i="40"/>
  <c r="IQ133" i="59"/>
  <c r="AI144" i="40"/>
  <c r="AM144" i="40"/>
  <c r="AQ144" i="40"/>
  <c r="AU144" i="40"/>
  <c r="R144" i="40"/>
  <c r="V144" i="40"/>
  <c r="Z144" i="40"/>
  <c r="AD144" i="40"/>
  <c r="IP133" i="59"/>
  <c r="AH144" i="40"/>
  <c r="IT133" i="59"/>
  <c r="AL144" i="40"/>
  <c r="AP144" i="40"/>
  <c r="AT144" i="40"/>
  <c r="AX144" i="40"/>
  <c r="U144" i="40"/>
  <c r="Y144" i="40"/>
  <c r="AC144" i="40"/>
  <c r="IO133" i="59"/>
  <c r="AG144" i="40"/>
  <c r="AK144" i="40"/>
  <c r="AO144" i="40"/>
  <c r="AS144" i="40"/>
  <c r="AW144" i="40"/>
  <c r="S145" i="40"/>
  <c r="AN134" i="59"/>
  <c r="W145" i="40"/>
  <c r="AA145" i="40"/>
  <c r="AV134" i="59"/>
  <c r="AE145" i="40"/>
  <c r="AZ134" i="59"/>
  <c r="AI145" i="40"/>
  <c r="BD134" i="59"/>
  <c r="AM145" i="40"/>
  <c r="AQ145" i="40"/>
  <c r="BL134" i="59"/>
  <c r="AU145" i="40"/>
  <c r="BP134" i="59"/>
  <c r="R145" i="40"/>
  <c r="V145" i="40"/>
  <c r="Z145" i="40"/>
  <c r="AU134" i="59"/>
  <c r="AD145" i="40"/>
  <c r="AH145" i="40"/>
  <c r="AL145" i="40"/>
  <c r="BG134" i="59"/>
  <c r="AP145" i="40"/>
  <c r="AT145" i="40"/>
  <c r="AX145" i="40"/>
  <c r="U145" i="40"/>
  <c r="AP134" i="59"/>
  <c r="Y145" i="40"/>
  <c r="AT134" i="59"/>
  <c r="AC145" i="40"/>
  <c r="AX134" i="59"/>
  <c r="AG145" i="40"/>
  <c r="BB134" i="59"/>
  <c r="AK145" i="40"/>
  <c r="AO145" i="40"/>
  <c r="AS145" i="40"/>
  <c r="BN134" i="59"/>
  <c r="AW145" i="40"/>
  <c r="BR134" i="59"/>
  <c r="T145" i="40"/>
  <c r="AO134" i="59"/>
  <c r="X145" i="40"/>
  <c r="AS134" i="59"/>
  <c r="AB145" i="40"/>
  <c r="AW134" i="59"/>
  <c r="AF145" i="40"/>
  <c r="AJ145" i="40"/>
  <c r="BE134" i="59"/>
  <c r="AN145" i="40"/>
  <c r="BI134" i="59"/>
  <c r="AR145" i="40"/>
  <c r="BM134" i="59"/>
  <c r="AV145" i="40"/>
  <c r="BQ134" i="59"/>
  <c r="R142" i="40"/>
  <c r="V142" i="40"/>
  <c r="EH133" i="59"/>
  <c r="Z142" i="40"/>
  <c r="AD142" i="40"/>
  <c r="AH142" i="40"/>
  <c r="AL142" i="40"/>
  <c r="AP142" i="40"/>
  <c r="AT142" i="40"/>
  <c r="AX142" i="40"/>
  <c r="U142" i="40"/>
  <c r="EG133" i="59"/>
  <c r="Y142" i="40"/>
  <c r="AC142" i="40"/>
  <c r="AG142" i="40"/>
  <c r="AK142" i="40"/>
  <c r="AO142" i="40"/>
  <c r="AS142" i="40"/>
  <c r="AW142" i="40"/>
  <c r="T142" i="40"/>
  <c r="EF133" i="59"/>
  <c r="X142" i="40"/>
  <c r="AB142" i="40"/>
  <c r="AF142" i="40"/>
  <c r="AJ142" i="40"/>
  <c r="AN142" i="40"/>
  <c r="AR142" i="40"/>
  <c r="AV142" i="40"/>
  <c r="S142" i="40"/>
  <c r="EE133" i="59"/>
  <c r="W142" i="40"/>
  <c r="AA142" i="40"/>
  <c r="AE142" i="40"/>
  <c r="AI142" i="40"/>
  <c r="AM142" i="40"/>
  <c r="AQ142" i="40"/>
  <c r="AU142" i="40"/>
  <c r="T124" i="40"/>
  <c r="GV129" i="59"/>
  <c r="X124" i="40"/>
  <c r="GZ129" i="59"/>
  <c r="AB124" i="40"/>
  <c r="HD129" i="59"/>
  <c r="AF124" i="40"/>
  <c r="HH129" i="59"/>
  <c r="AJ124" i="40"/>
  <c r="HL129" i="59"/>
  <c r="AN124" i="40"/>
  <c r="HP129" i="59"/>
  <c r="AR124" i="40"/>
  <c r="HT129" i="59"/>
  <c r="AV124" i="40"/>
  <c r="HX129" i="59"/>
  <c r="S124" i="40"/>
  <c r="GU129" i="59"/>
  <c r="W124" i="40"/>
  <c r="GY129" i="59"/>
  <c r="AA124" i="40"/>
  <c r="HC129" i="59"/>
  <c r="AE124" i="40"/>
  <c r="HG129" i="59"/>
  <c r="AI124" i="40"/>
  <c r="AM124" i="40"/>
  <c r="HO129" i="59"/>
  <c r="AQ124" i="40"/>
  <c r="HS129" i="59"/>
  <c r="AU124" i="40"/>
  <c r="R124" i="40"/>
  <c r="GT129" i="59"/>
  <c r="V124" i="40"/>
  <c r="GX129" i="59"/>
  <c r="Z124" i="40"/>
  <c r="AD124" i="40"/>
  <c r="HF129" i="59"/>
  <c r="AH124" i="40"/>
  <c r="HJ129" i="59"/>
  <c r="AL124" i="40"/>
  <c r="HN129" i="59"/>
  <c r="AP124" i="40"/>
  <c r="HR129" i="59"/>
  <c r="AT124" i="40"/>
  <c r="HV129" i="59"/>
  <c r="AX124" i="40"/>
  <c r="HZ129" i="59"/>
  <c r="U124" i="40"/>
  <c r="GW129" i="59"/>
  <c r="Y124" i="40"/>
  <c r="HA129" i="59"/>
  <c r="AC124" i="40"/>
  <c r="HE129" i="59"/>
  <c r="AG124" i="40"/>
  <c r="HI129" i="59"/>
  <c r="AK124" i="40"/>
  <c r="HM129" i="59"/>
  <c r="AO124" i="40"/>
  <c r="HQ129" i="59"/>
  <c r="AS124" i="40"/>
  <c r="HU129" i="59"/>
  <c r="AW124" i="40"/>
  <c r="HY129" i="59"/>
  <c r="U131" i="40"/>
  <c r="BO131" i="59"/>
  <c r="Y131" i="40"/>
  <c r="BS131" i="59"/>
  <c r="AC131" i="40"/>
  <c r="BW131" i="59"/>
  <c r="AG131" i="40"/>
  <c r="CA131" i="59"/>
  <c r="AK131" i="40"/>
  <c r="CE131" i="59"/>
  <c r="AO131" i="40"/>
  <c r="CI131" i="59"/>
  <c r="AS131" i="40"/>
  <c r="CM131" i="59"/>
  <c r="AW131" i="40"/>
  <c r="CQ131" i="59"/>
  <c r="T131" i="40"/>
  <c r="BN131" i="59"/>
  <c r="X131" i="40"/>
  <c r="BR131" i="59"/>
  <c r="AB131" i="40"/>
  <c r="BV131" i="59"/>
  <c r="AF131" i="40"/>
  <c r="BZ131" i="59"/>
  <c r="AJ131" i="40"/>
  <c r="CD131" i="59"/>
  <c r="AN131" i="40"/>
  <c r="CH131" i="59"/>
  <c r="AR131" i="40"/>
  <c r="CL131" i="59"/>
  <c r="AV131" i="40"/>
  <c r="CP131" i="59"/>
  <c r="S131" i="40"/>
  <c r="BM131" i="59"/>
  <c r="W131" i="40"/>
  <c r="BQ131" i="59"/>
  <c r="AA131" i="40"/>
  <c r="BU131" i="59"/>
  <c r="AE131" i="40"/>
  <c r="BY131" i="59"/>
  <c r="AI131" i="40"/>
  <c r="CC131" i="59"/>
  <c r="AM131" i="40"/>
  <c r="CG131" i="59"/>
  <c r="AQ131" i="40"/>
  <c r="CK131" i="59"/>
  <c r="AU131" i="40"/>
  <c r="CO131" i="59"/>
  <c r="R131" i="40"/>
  <c r="BL131" i="59"/>
  <c r="V131" i="40"/>
  <c r="BP131" i="59"/>
  <c r="Z131" i="40"/>
  <c r="BT131" i="59"/>
  <c r="AD131" i="40"/>
  <c r="BX131" i="59"/>
  <c r="AH131" i="40"/>
  <c r="CB131" i="59"/>
  <c r="AL131" i="40"/>
  <c r="CF131" i="59"/>
  <c r="AP131" i="40"/>
  <c r="CJ131" i="59"/>
  <c r="AT131" i="40"/>
  <c r="CN131" i="59"/>
  <c r="AX131" i="40"/>
  <c r="CR131" i="59"/>
  <c r="R146" i="40"/>
  <c r="V146" i="40"/>
  <c r="Z146" i="40"/>
  <c r="AD146" i="40"/>
  <c r="AH146" i="40"/>
  <c r="AL146" i="40"/>
  <c r="AP146" i="40"/>
  <c r="DK134" i="59"/>
  <c r="AT146" i="40"/>
  <c r="AX146" i="40"/>
  <c r="U146" i="40"/>
  <c r="Y146" i="40"/>
  <c r="AC146" i="40"/>
  <c r="AG146" i="40"/>
  <c r="AK146" i="40"/>
  <c r="AO146" i="40"/>
  <c r="DJ134" i="59"/>
  <c r="AS146" i="40"/>
  <c r="AW146" i="40"/>
  <c r="T146" i="40"/>
  <c r="X146" i="40"/>
  <c r="AB146" i="40"/>
  <c r="AF146" i="40"/>
  <c r="AJ146" i="40"/>
  <c r="AN146" i="40"/>
  <c r="DI134" i="59"/>
  <c r="AR146" i="40"/>
  <c r="AV146" i="40"/>
  <c r="DQ134" i="59"/>
  <c r="S146" i="40"/>
  <c r="W146" i="40"/>
  <c r="AA146" i="40"/>
  <c r="AE146" i="40"/>
  <c r="AI146" i="40"/>
  <c r="AM146" i="40"/>
  <c r="DH134" i="59"/>
  <c r="AQ146" i="40"/>
  <c r="DL134" i="59"/>
  <c r="AU146" i="40"/>
  <c r="U135" i="40"/>
  <c r="Y135" i="40"/>
  <c r="AC135" i="40"/>
  <c r="AG135" i="40"/>
  <c r="AK135" i="40"/>
  <c r="AO135" i="40"/>
  <c r="AS135" i="40"/>
  <c r="AV132" i="59"/>
  <c r="AW135" i="40"/>
  <c r="T135" i="40"/>
  <c r="X135" i="40"/>
  <c r="AB135" i="40"/>
  <c r="AF135" i="40"/>
  <c r="AJ135" i="40"/>
  <c r="AN135" i="40"/>
  <c r="AR135" i="40"/>
  <c r="AV135" i="40"/>
  <c r="S135" i="40"/>
  <c r="W135" i="40"/>
  <c r="AA135" i="40"/>
  <c r="AE135" i="40"/>
  <c r="AI135" i="40"/>
  <c r="AM135" i="40"/>
  <c r="AQ135" i="40"/>
  <c r="AT132" i="59"/>
  <c r="AU135" i="40"/>
  <c r="R135" i="40"/>
  <c r="V135" i="40"/>
  <c r="Z135" i="40"/>
  <c r="AD135" i="40"/>
  <c r="AH135" i="40"/>
  <c r="AL135" i="40"/>
  <c r="AO132" i="59"/>
  <c r="AP135" i="40"/>
  <c r="AT135" i="40"/>
  <c r="AX135" i="40"/>
  <c r="S133" i="40"/>
  <c r="W133" i="40"/>
  <c r="AA133" i="40"/>
  <c r="AE133" i="40"/>
  <c r="AI133" i="40"/>
  <c r="AM133" i="40"/>
  <c r="GG131" i="59"/>
  <c r="AQ133" i="40"/>
  <c r="AU133" i="40"/>
  <c r="R133" i="40"/>
  <c r="V133" i="40"/>
  <c r="Z133" i="40"/>
  <c r="AD133" i="40"/>
  <c r="AH133" i="40"/>
  <c r="AL133" i="40"/>
  <c r="AP133" i="40"/>
  <c r="AT133" i="40"/>
  <c r="AX133" i="40"/>
  <c r="U133" i="40"/>
  <c r="Y133" i="40"/>
  <c r="AC133" i="40"/>
  <c r="AG133" i="40"/>
  <c r="AK133" i="40"/>
  <c r="GE131" i="59"/>
  <c r="AO133" i="40"/>
  <c r="AS133" i="40"/>
  <c r="AW133" i="40"/>
  <c r="T133" i="40"/>
  <c r="X133" i="40"/>
  <c r="AB133" i="40"/>
  <c r="AF133" i="40"/>
  <c r="AJ133" i="40"/>
  <c r="AN133" i="40"/>
  <c r="AR133" i="40"/>
  <c r="AV133" i="40"/>
  <c r="R134" i="40"/>
  <c r="V134" i="40"/>
  <c r="Z134" i="40"/>
  <c r="AD134" i="40"/>
  <c r="HX131" i="59"/>
  <c r="AH134" i="40"/>
  <c r="AL134" i="40"/>
  <c r="AP134" i="40"/>
  <c r="AT134" i="40"/>
  <c r="AX134" i="40"/>
  <c r="U134" i="40"/>
  <c r="Y134" i="40"/>
  <c r="AC134" i="40"/>
  <c r="HW131" i="59"/>
  <c r="AG134" i="40"/>
  <c r="AK134" i="40"/>
  <c r="AO134" i="40"/>
  <c r="AS134" i="40"/>
  <c r="AW134" i="40"/>
  <c r="T134" i="40"/>
  <c r="X134" i="40"/>
  <c r="AB134" i="40"/>
  <c r="HV131" i="59"/>
  <c r="AF134" i="40"/>
  <c r="AJ134" i="40"/>
  <c r="AN134" i="40"/>
  <c r="AR134" i="40"/>
  <c r="AV134" i="40"/>
  <c r="S134" i="40"/>
  <c r="W134" i="40"/>
  <c r="AA134" i="40"/>
  <c r="AE134" i="40"/>
  <c r="AI134" i="40"/>
  <c r="AM134" i="40"/>
  <c r="AQ134" i="40"/>
  <c r="AU134" i="40"/>
  <c r="S141" i="40"/>
  <c r="W141" i="40"/>
  <c r="AA141" i="40"/>
  <c r="CM133" i="59"/>
  <c r="AE141" i="40"/>
  <c r="AI141" i="40"/>
  <c r="AM141" i="40"/>
  <c r="AQ141" i="40"/>
  <c r="AU141" i="40"/>
  <c r="R141" i="40"/>
  <c r="V141" i="40"/>
  <c r="Z141" i="40"/>
  <c r="CL133" i="59"/>
  <c r="AD141" i="40"/>
  <c r="AH141" i="40"/>
  <c r="AL141" i="40"/>
  <c r="AP141" i="40"/>
  <c r="AT141" i="40"/>
  <c r="AX141" i="40"/>
  <c r="U141" i="40"/>
  <c r="Y141" i="40"/>
  <c r="AC141" i="40"/>
  <c r="AG141" i="40"/>
  <c r="CS133" i="59"/>
  <c r="AK141" i="40"/>
  <c r="AO141" i="40"/>
  <c r="AS141" i="40"/>
  <c r="AW141" i="40"/>
  <c r="T141" i="40"/>
  <c r="X141" i="40"/>
  <c r="CJ133" i="59"/>
  <c r="AB141" i="40"/>
  <c r="AF141" i="40"/>
  <c r="AJ141" i="40"/>
  <c r="AN141" i="40"/>
  <c r="AR141" i="40"/>
  <c r="AV141" i="40"/>
  <c r="S137" i="40"/>
  <c r="W137" i="40"/>
  <c r="DZ132" i="59"/>
  <c r="AA137" i="40"/>
  <c r="ED132" i="59"/>
  <c r="AE137" i="40"/>
  <c r="AI137" i="40"/>
  <c r="AM137" i="40"/>
  <c r="AQ137" i="40"/>
  <c r="AU137" i="40"/>
  <c r="R137" i="40"/>
  <c r="V137" i="40"/>
  <c r="Z137" i="40"/>
  <c r="EC132" i="59"/>
  <c r="AD137" i="40"/>
  <c r="AH137" i="40"/>
  <c r="AL137" i="40"/>
  <c r="AP137" i="40"/>
  <c r="AT137" i="40"/>
  <c r="AX137" i="40"/>
  <c r="U137" i="40"/>
  <c r="Y137" i="40"/>
  <c r="EB132" i="59"/>
  <c r="AC137" i="40"/>
  <c r="AG137" i="40"/>
  <c r="AK137" i="40"/>
  <c r="AO137" i="40"/>
  <c r="AS137" i="40"/>
  <c r="AW137" i="40"/>
  <c r="T137" i="40"/>
  <c r="X137" i="40"/>
  <c r="EA132" i="59"/>
  <c r="AB137" i="40"/>
  <c r="AF137" i="40"/>
  <c r="AJ137" i="40"/>
  <c r="AN137" i="40"/>
  <c r="AR137" i="40"/>
  <c r="AV137" i="40"/>
  <c r="Q144" i="40"/>
  <c r="N144" i="40"/>
  <c r="HZ133" i="59"/>
  <c r="P144" i="40"/>
  <c r="O144" i="40"/>
  <c r="Q145" i="40"/>
  <c r="O145" i="40"/>
  <c r="AJ134" i="59"/>
  <c r="N145" i="40"/>
  <c r="P145" i="40"/>
  <c r="O125" i="40"/>
  <c r="IQ129" i="59"/>
  <c r="N125" i="40"/>
  <c r="IP129" i="59"/>
  <c r="P125" i="40"/>
  <c r="Q142" i="40"/>
  <c r="P142" i="40"/>
  <c r="O142" i="40"/>
  <c r="N142" i="40"/>
  <c r="P139" i="40"/>
  <c r="O139" i="40"/>
  <c r="HR132" i="59"/>
  <c r="N139" i="40"/>
  <c r="HQ132" i="59"/>
  <c r="P138" i="40"/>
  <c r="O138" i="40"/>
  <c r="N138" i="40"/>
  <c r="N140" i="40"/>
  <c r="P140" i="40"/>
  <c r="O140" i="40"/>
  <c r="Q131" i="40"/>
  <c r="BK131" i="59"/>
  <c r="P131" i="40"/>
  <c r="BJ131" i="59"/>
  <c r="O131" i="40"/>
  <c r="BI131" i="59"/>
  <c r="N131" i="40"/>
  <c r="BH131" i="59"/>
  <c r="N136" i="40"/>
  <c r="P136" i="40"/>
  <c r="O136" i="40"/>
  <c r="Q143" i="40"/>
  <c r="P143" i="40"/>
  <c r="O143" i="40"/>
  <c r="GA133" i="59"/>
  <c r="N143" i="40"/>
  <c r="Q124" i="40"/>
  <c r="GS129" i="59"/>
  <c r="N124" i="40"/>
  <c r="GP129" i="59"/>
  <c r="P124" i="40"/>
  <c r="GR129" i="59"/>
  <c r="O124" i="40"/>
  <c r="GQ129" i="59"/>
  <c r="P146" i="40"/>
  <c r="O146" i="40"/>
  <c r="N146" i="40"/>
  <c r="P135" i="40"/>
  <c r="O135" i="40"/>
  <c r="N135" i="40"/>
  <c r="O133" i="40"/>
  <c r="N133" i="40"/>
  <c r="P133" i="40"/>
  <c r="P134" i="40"/>
  <c r="HJ131" i="59"/>
  <c r="O134" i="40"/>
  <c r="HI131" i="59"/>
  <c r="N134" i="40"/>
  <c r="O141" i="40"/>
  <c r="N141" i="40"/>
  <c r="P141" i="40"/>
  <c r="Q137" i="40"/>
  <c r="O137" i="40"/>
  <c r="N137" i="40"/>
  <c r="DQ132" i="59"/>
  <c r="P137" i="40"/>
  <c r="Q125" i="40"/>
  <c r="IS129" i="59"/>
  <c r="Q139" i="40"/>
  <c r="Q138" i="40"/>
  <c r="Q140" i="40"/>
  <c r="Q146" i="40"/>
  <c r="Q135" i="40"/>
  <c r="Q133" i="40"/>
  <c r="FK131" i="59"/>
  <c r="Q134" i="40"/>
  <c r="Q141" i="40"/>
  <c r="Q136" i="40"/>
  <c r="AY244" i="40"/>
  <c r="T152" i="59"/>
  <c r="AA244" i="40"/>
  <c r="IM151" i="59"/>
  <c r="AU244" i="40"/>
  <c r="P152" i="59"/>
  <c r="AL244" i="40"/>
  <c r="G152" i="59"/>
  <c r="AX244" i="40"/>
  <c r="S152" i="59"/>
  <c r="S244" i="40"/>
  <c r="IE151" i="59"/>
  <c r="AD244" i="40"/>
  <c r="IP151" i="59"/>
  <c r="X244" i="40"/>
  <c r="IJ151" i="59"/>
  <c r="AS244" i="40"/>
  <c r="N152" i="59"/>
  <c r="AV244" i="40"/>
  <c r="Q152" i="59"/>
  <c r="AI244" i="40"/>
  <c r="IU151" i="59"/>
  <c r="AP244" i="40"/>
  <c r="K152" i="59"/>
  <c r="AO244" i="40"/>
  <c r="J152" i="59"/>
  <c r="AR244" i="40"/>
  <c r="M152" i="59"/>
  <c r="AJ244" i="40"/>
  <c r="IV151" i="59"/>
  <c r="AE244" i="40"/>
  <c r="IQ151" i="59"/>
  <c r="AH244" i="40"/>
  <c r="IT151" i="59"/>
  <c r="P244" i="40"/>
  <c r="IB151" i="59"/>
  <c r="AQ244" i="40"/>
  <c r="L152" i="59"/>
  <c r="Q244" i="40"/>
  <c r="IC151" i="59"/>
  <c r="R244" i="40"/>
  <c r="ID151" i="59"/>
  <c r="AF244" i="40"/>
  <c r="IR151" i="59"/>
  <c r="AK244" i="40"/>
  <c r="F152" i="59"/>
  <c r="AW244" i="40"/>
  <c r="R152" i="59"/>
  <c r="AZ244" i="40"/>
  <c r="U152" i="59"/>
  <c r="AW243" i="40"/>
  <c r="HG151" i="59"/>
  <c r="AS243" i="40"/>
  <c r="HC151" i="59"/>
  <c r="AY243" i="40"/>
  <c r="HI151" i="59"/>
  <c r="AC244" i="40"/>
  <c r="IO151" i="59"/>
  <c r="AN244" i="40"/>
  <c r="I152" i="59"/>
  <c r="AG244" i="40"/>
  <c r="IS151" i="59"/>
  <c r="AB244" i="40"/>
  <c r="IN151" i="59"/>
  <c r="AM244" i="40"/>
  <c r="H152" i="59"/>
  <c r="AT244" i="40"/>
  <c r="O152" i="59"/>
  <c r="AV243" i="40"/>
  <c r="HF151" i="59"/>
  <c r="AJ243" i="40"/>
  <c r="GT151" i="59"/>
  <c r="AD243" i="40"/>
  <c r="GN151" i="59"/>
  <c r="AI243" i="40"/>
  <c r="GS151" i="59"/>
  <c r="AA243" i="40"/>
  <c r="GK151" i="59"/>
  <c r="AG243" i="40"/>
  <c r="GQ151" i="59"/>
  <c r="AZ243" i="40"/>
  <c r="HJ151" i="59"/>
  <c r="AC243" i="40"/>
  <c r="GM151" i="59"/>
  <c r="AM243" i="40"/>
  <c r="GW151" i="59"/>
  <c r="AF243" i="40"/>
  <c r="GP151" i="59"/>
  <c r="AX243" i="40"/>
  <c r="HH151" i="59"/>
  <c r="AB243" i="40"/>
  <c r="GL151" i="59"/>
  <c r="AK243" i="40"/>
  <c r="GU151" i="59"/>
  <c r="AE243" i="40"/>
  <c r="GO151" i="59"/>
  <c r="AU243" i="40"/>
  <c r="HE151" i="59"/>
  <c r="AO243" i="40"/>
  <c r="GY151" i="59"/>
  <c r="AP243" i="40"/>
  <c r="GZ151" i="59"/>
  <c r="AR243" i="40"/>
  <c r="HB151" i="59"/>
  <c r="AL243" i="40"/>
  <c r="GV151" i="59"/>
  <c r="AT243" i="40"/>
  <c r="HD151" i="59"/>
  <c r="O243" i="40"/>
  <c r="FY151" i="59"/>
  <c r="AH243" i="40"/>
  <c r="GR151" i="59"/>
  <c r="AQ243" i="40"/>
  <c r="HA151" i="59"/>
  <c r="M149" i="5"/>
  <c r="GA189" i="59"/>
  <c r="S149" i="5"/>
  <c r="GG189" i="59"/>
  <c r="W149" i="5"/>
  <c r="GK189" i="59"/>
  <c r="F149" i="5"/>
  <c r="FT189" i="59"/>
  <c r="AH149" i="5"/>
  <c r="GV189" i="59"/>
  <c r="AN226" i="5"/>
  <c r="I205" i="59"/>
  <c r="D226" i="5"/>
  <c r="HP204" i="59"/>
  <c r="U226" i="5"/>
  <c r="IG204" i="59"/>
  <c r="AB226" i="5"/>
  <c r="IN204" i="59"/>
  <c r="D193" i="5"/>
  <c r="CQ198" i="59"/>
  <c r="T193" i="5"/>
  <c r="DG198" i="59"/>
  <c r="AK193" i="5"/>
  <c r="DX198" i="59"/>
  <c r="AA193" i="5"/>
  <c r="DN198" i="59"/>
  <c r="G193" i="5"/>
  <c r="CT198" i="59"/>
  <c r="X193" i="5"/>
  <c r="DK198" i="59"/>
  <c r="X215" i="5"/>
  <c r="GS202" i="59"/>
  <c r="AO215" i="5"/>
  <c r="HJ202" i="59"/>
  <c r="E215" i="5"/>
  <c r="FZ202" i="59"/>
  <c r="R215" i="5"/>
  <c r="GM202" i="59"/>
  <c r="AI215" i="5"/>
  <c r="HD202" i="59"/>
  <c r="P204" i="5"/>
  <c r="ET200" i="59"/>
  <c r="Q204" i="5"/>
  <c r="EU200" i="59"/>
  <c r="AH204" i="5"/>
  <c r="FL200" i="59"/>
  <c r="N204" i="5"/>
  <c r="ER200" i="59"/>
  <c r="AO204" i="5"/>
  <c r="FS200" i="59"/>
  <c r="D138" i="5"/>
  <c r="EA187" i="59"/>
  <c r="L138" i="5"/>
  <c r="EI187" i="59"/>
  <c r="AK138" i="5"/>
  <c r="FH187" i="59"/>
  <c r="X138" i="5"/>
  <c r="EU187" i="59"/>
  <c r="U171" i="5"/>
  <c r="Z194" i="59"/>
  <c r="AJ171" i="5"/>
  <c r="AO194" i="59"/>
  <c r="V171" i="5"/>
  <c r="AA194" i="59"/>
  <c r="W171" i="5"/>
  <c r="AB194" i="59"/>
  <c r="D171" i="5"/>
  <c r="I194" i="59"/>
  <c r="AL160" i="5"/>
  <c r="G160" i="5"/>
  <c r="L160" i="5"/>
  <c r="M160" i="5"/>
  <c r="AJ160" i="5"/>
  <c r="V182" i="5"/>
  <c r="BR196" i="59"/>
  <c r="AM182" i="5"/>
  <c r="CI196" i="59"/>
  <c r="AC182" i="5"/>
  <c r="BY196" i="59"/>
  <c r="I182" i="5"/>
  <c r="BE196" i="59"/>
  <c r="J182" i="5"/>
  <c r="BF196" i="59"/>
  <c r="N149" i="5"/>
  <c r="GB189" i="59"/>
  <c r="Z149" i="5"/>
  <c r="GN189" i="59"/>
  <c r="X149" i="5"/>
  <c r="GL189" i="59"/>
  <c r="AE149" i="5"/>
  <c r="GS189" i="59"/>
  <c r="Y149" i="5"/>
  <c r="GM189" i="59"/>
  <c r="AL149" i="5"/>
  <c r="GZ189" i="59"/>
  <c r="E149" i="5"/>
  <c r="FS189" i="59"/>
  <c r="AF149" i="5"/>
  <c r="GT189" i="59"/>
  <c r="AI149" i="5"/>
  <c r="GW189" i="59"/>
  <c r="L149" i="5"/>
  <c r="FZ189" i="59"/>
  <c r="X226" i="5"/>
  <c r="IJ204" i="59"/>
  <c r="N226" i="5"/>
  <c r="HZ204" i="59"/>
  <c r="AO226" i="5"/>
  <c r="J205" i="59"/>
  <c r="O226" i="5"/>
  <c r="IA204" i="59"/>
  <c r="E226" i="5"/>
  <c r="HQ204" i="59"/>
  <c r="AF226" i="5"/>
  <c r="IR204" i="59"/>
  <c r="V226" i="5"/>
  <c r="IH204" i="59"/>
  <c r="L226" i="5"/>
  <c r="HX204" i="59"/>
  <c r="AM226" i="5"/>
  <c r="H205" i="59"/>
  <c r="AC226" i="5"/>
  <c r="IO204" i="59"/>
  <c r="N193" i="5"/>
  <c r="DA198" i="59"/>
  <c r="AO193" i="5"/>
  <c r="EB198" i="59"/>
  <c r="AE193" i="5"/>
  <c r="DR198" i="59"/>
  <c r="U193" i="5"/>
  <c r="DH198" i="59"/>
  <c r="K193" i="5"/>
  <c r="CX198" i="59"/>
  <c r="AL193" i="5"/>
  <c r="DY198" i="59"/>
  <c r="AB193" i="5"/>
  <c r="DO198" i="59"/>
  <c r="R193" i="5"/>
  <c r="DE198" i="59"/>
  <c r="H193" i="5"/>
  <c r="CU198" i="59"/>
  <c r="H215" i="5"/>
  <c r="GC202" i="59"/>
  <c r="AE215" i="5"/>
  <c r="GZ202" i="59"/>
  <c r="Y215" i="5"/>
  <c r="GT202" i="59"/>
  <c r="K215" i="5"/>
  <c r="GF202" i="59"/>
  <c r="AL215" i="5"/>
  <c r="HG202" i="59"/>
  <c r="P215" i="5"/>
  <c r="GK202" i="59"/>
  <c r="AM215" i="5"/>
  <c r="HH202" i="59"/>
  <c r="AG215" i="5"/>
  <c r="HB202" i="59"/>
  <c r="S215" i="5"/>
  <c r="GN202" i="59"/>
  <c r="J204" i="5"/>
  <c r="EN200" i="59"/>
  <c r="AK204" i="5"/>
  <c r="FO200" i="59"/>
  <c r="W204" i="5"/>
  <c r="FA200" i="59"/>
  <c r="AL204" i="5"/>
  <c r="FP200" i="59"/>
  <c r="AB204" i="5"/>
  <c r="FF200" i="59"/>
  <c r="R204" i="5"/>
  <c r="EV200" i="59"/>
  <c r="H204" i="5"/>
  <c r="EL200" i="59"/>
  <c r="AE204" i="5"/>
  <c r="FI200" i="59"/>
  <c r="Y204" i="5"/>
  <c r="FC200" i="59"/>
  <c r="K204" i="5"/>
  <c r="EO200" i="59"/>
  <c r="P138" i="5"/>
  <c r="EM187" i="59"/>
  <c r="AD138" i="5"/>
  <c r="FA187" i="59"/>
  <c r="AA138" i="5"/>
  <c r="EX187" i="59"/>
  <c r="W138" i="5"/>
  <c r="ET187" i="59"/>
  <c r="U138" i="5"/>
  <c r="ER187" i="59"/>
  <c r="AF138" i="5"/>
  <c r="FC187" i="59"/>
  <c r="AL138" i="5"/>
  <c r="FI187" i="59"/>
  <c r="AB138" i="5"/>
  <c r="EY187" i="59"/>
  <c r="R138" i="5"/>
  <c r="EO187" i="59"/>
  <c r="AB171" i="5"/>
  <c r="AG194" i="59"/>
  <c r="AN171" i="5"/>
  <c r="AS194" i="59"/>
  <c r="Z171" i="5"/>
  <c r="AE194" i="59"/>
  <c r="AO171" i="5"/>
  <c r="AT194" i="59"/>
  <c r="F171" i="5"/>
  <c r="K194" i="59"/>
  <c r="E171" i="5"/>
  <c r="J194" i="59"/>
  <c r="G171" i="5"/>
  <c r="L194" i="59"/>
  <c r="AH171" i="5"/>
  <c r="AM194" i="59"/>
  <c r="P171" i="5"/>
  <c r="U194" i="59"/>
  <c r="N171" i="5"/>
  <c r="S194" i="59"/>
  <c r="F160" i="5"/>
  <c r="AF160" i="5"/>
  <c r="Q160" i="5"/>
  <c r="U160" i="5"/>
  <c r="S160" i="5"/>
  <c r="V160" i="5"/>
  <c r="AN160" i="5"/>
  <c r="R160" i="5"/>
  <c r="T160" i="5"/>
  <c r="L182" i="5"/>
  <c r="BH196" i="59"/>
  <c r="F182" i="5"/>
  <c r="BB196" i="59"/>
  <c r="AG182" i="5"/>
  <c r="CC196" i="59"/>
  <c r="W182" i="5"/>
  <c r="BS196" i="59"/>
  <c r="M182" i="5"/>
  <c r="BI196" i="59"/>
  <c r="AJ182" i="5"/>
  <c r="CF196" i="59"/>
  <c r="AD182" i="5"/>
  <c r="BZ196" i="59"/>
  <c r="D182" i="5"/>
  <c r="AZ196" i="59"/>
  <c r="AE182" i="5"/>
  <c r="CA196" i="59"/>
  <c r="U182" i="5"/>
  <c r="BQ196" i="59"/>
  <c r="G149" i="5"/>
  <c r="FU189" i="59"/>
  <c r="AN149" i="5"/>
  <c r="HB189" i="59"/>
  <c r="AO149" i="5"/>
  <c r="HC189" i="59"/>
  <c r="U149" i="5"/>
  <c r="GI189" i="59"/>
  <c r="AB149" i="5"/>
  <c r="GP189" i="59"/>
  <c r="AD226" i="5"/>
  <c r="IP204" i="59"/>
  <c r="AE226" i="5"/>
  <c r="IQ204" i="59"/>
  <c r="K226" i="5"/>
  <c r="HW204" i="59"/>
  <c r="AL226" i="5"/>
  <c r="G205" i="59"/>
  <c r="R226" i="5"/>
  <c r="ID204" i="59"/>
  <c r="AD193" i="5"/>
  <c r="DQ198" i="59"/>
  <c r="J193" i="5"/>
  <c r="CW198" i="59"/>
  <c r="Q193" i="5"/>
  <c r="DD198" i="59"/>
  <c r="AH193" i="5"/>
  <c r="DU198" i="59"/>
  <c r="J215" i="5"/>
  <c r="GE202" i="59"/>
  <c r="AA215" i="5"/>
  <c r="GV202" i="59"/>
  <c r="AF215" i="5"/>
  <c r="HA202" i="59"/>
  <c r="L215" i="5"/>
  <c r="GG202" i="59"/>
  <c r="Z204" i="5"/>
  <c r="FD200" i="59"/>
  <c r="AM204" i="5"/>
  <c r="FQ200" i="59"/>
  <c r="D204" i="5"/>
  <c r="EH200" i="59"/>
  <c r="X204" i="5"/>
  <c r="FB200" i="59"/>
  <c r="AA204" i="5"/>
  <c r="FE200" i="59"/>
  <c r="I138" i="5"/>
  <c r="EF187" i="59"/>
  <c r="J138" i="5"/>
  <c r="EG187" i="59"/>
  <c r="O138" i="5"/>
  <c r="EL187" i="59"/>
  <c r="Q138" i="5"/>
  <c r="EN187" i="59"/>
  <c r="AH138" i="5"/>
  <c r="FE187" i="59"/>
  <c r="O171" i="5"/>
  <c r="T194" i="59"/>
  <c r="AF171" i="5"/>
  <c r="AK194" i="59"/>
  <c r="AK171" i="5"/>
  <c r="AP194" i="59"/>
  <c r="T171" i="5"/>
  <c r="Y194" i="59"/>
  <c r="AD171" i="5"/>
  <c r="AI194" i="59"/>
  <c r="Y160" i="5"/>
  <c r="AI160" i="5"/>
  <c r="O160" i="5"/>
  <c r="N160" i="5"/>
  <c r="AB182" i="5"/>
  <c r="BX196" i="59"/>
  <c r="H182" i="5"/>
  <c r="BD196" i="59"/>
  <c r="S182" i="5"/>
  <c r="BO196" i="59"/>
  <c r="P182" i="5"/>
  <c r="BL196" i="59"/>
  <c r="AK182" i="5"/>
  <c r="CG196" i="59"/>
  <c r="AA149" i="5"/>
  <c r="GO189" i="59"/>
  <c r="H149" i="5"/>
  <c r="FV189" i="59"/>
  <c r="AD149" i="5"/>
  <c r="GR189" i="59"/>
  <c r="I149" i="5"/>
  <c r="FW189" i="59"/>
  <c r="AJ149" i="5"/>
  <c r="GX189" i="59"/>
  <c r="J149" i="5"/>
  <c r="FX189" i="59"/>
  <c r="P149" i="5"/>
  <c r="GD189" i="59"/>
  <c r="D149" i="5"/>
  <c r="FR189" i="59"/>
  <c r="AG149" i="5"/>
  <c r="GU189" i="59"/>
  <c r="H226" i="5"/>
  <c r="HT204" i="59"/>
  <c r="AI226" i="5"/>
  <c r="IU204" i="59"/>
  <c r="Y226" i="5"/>
  <c r="IK204" i="59"/>
  <c r="AJ226" i="5"/>
  <c r="IV204" i="59"/>
  <c r="Z226" i="5"/>
  <c r="IL204" i="59"/>
  <c r="P226" i="5"/>
  <c r="IB204" i="59"/>
  <c r="F226" i="5"/>
  <c r="HR204" i="59"/>
  <c r="AG226" i="5"/>
  <c r="IS204" i="59"/>
  <c r="W226" i="5"/>
  <c r="II204" i="59"/>
  <c r="M226" i="5"/>
  <c r="HY204" i="59"/>
  <c r="AI193" i="5"/>
  <c r="DV198" i="59"/>
  <c r="Y193" i="5"/>
  <c r="DL198" i="59"/>
  <c r="O193" i="5"/>
  <c r="DB198" i="59"/>
  <c r="E193" i="5"/>
  <c r="CR198" i="59"/>
  <c r="AF193" i="5"/>
  <c r="DS198" i="59"/>
  <c r="V193" i="5"/>
  <c r="DI198" i="59"/>
  <c r="L193" i="5"/>
  <c r="CY198" i="59"/>
  <c r="AM193" i="5"/>
  <c r="DZ198" i="59"/>
  <c r="AC193" i="5"/>
  <c r="DP198" i="59"/>
  <c r="AC215" i="5"/>
  <c r="GX202" i="59"/>
  <c r="O215" i="5"/>
  <c r="GJ202" i="59"/>
  <c r="I215" i="5"/>
  <c r="GD202" i="59"/>
  <c r="AJ215" i="5"/>
  <c r="HE202" i="59"/>
  <c r="V215" i="5"/>
  <c r="GQ202" i="59"/>
  <c r="AK215" i="5"/>
  <c r="HF202" i="59"/>
  <c r="W215" i="5"/>
  <c r="GR202" i="59"/>
  <c r="Q215" i="5"/>
  <c r="GL202" i="59"/>
  <c r="D215" i="5"/>
  <c r="FY202" i="59"/>
  <c r="AD215" i="5"/>
  <c r="GY202" i="59"/>
  <c r="U204" i="5"/>
  <c r="EY200" i="59"/>
  <c r="G204" i="5"/>
  <c r="EK200" i="59"/>
  <c r="V204" i="5"/>
  <c r="EZ200" i="59"/>
  <c r="L204" i="5"/>
  <c r="EP200" i="59"/>
  <c r="AI204" i="5"/>
  <c r="FM200" i="59"/>
  <c r="AC204" i="5"/>
  <c r="FG200" i="59"/>
  <c r="O204" i="5"/>
  <c r="ES200" i="59"/>
  <c r="I204" i="5"/>
  <c r="EM200" i="59"/>
  <c r="AJ204" i="5"/>
  <c r="FN200" i="59"/>
  <c r="T138" i="5"/>
  <c r="EQ187" i="59"/>
  <c r="N138" i="5"/>
  <c r="EK187" i="59"/>
  <c r="AO138" i="5"/>
  <c r="FL187" i="59"/>
  <c r="AN138" i="5"/>
  <c r="FK187" i="59"/>
  <c r="E138" i="5"/>
  <c r="EB187" i="59"/>
  <c r="AJ138" i="5"/>
  <c r="FG187" i="59"/>
  <c r="V138" i="5"/>
  <c r="ES187" i="59"/>
  <c r="K138" i="5"/>
  <c r="EH187" i="59"/>
  <c r="AM138" i="5"/>
  <c r="FJ187" i="59"/>
  <c r="AC138" i="5"/>
  <c r="EZ187" i="59"/>
  <c r="H171" i="5"/>
  <c r="M194" i="59"/>
  <c r="J171" i="5"/>
  <c r="O194" i="59"/>
  <c r="I171" i="5"/>
  <c r="N194" i="59"/>
  <c r="AA171" i="5"/>
  <c r="AF194" i="59"/>
  <c r="L171" i="5"/>
  <c r="Q194" i="59"/>
  <c r="X171" i="5"/>
  <c r="AC194" i="59"/>
  <c r="R171" i="5"/>
  <c r="W194" i="59"/>
  <c r="Y171" i="5"/>
  <c r="AD194" i="59"/>
  <c r="AI171" i="5"/>
  <c r="AN194" i="59"/>
  <c r="J160" i="5"/>
  <c r="P160" i="5"/>
  <c r="AM160" i="5"/>
  <c r="AD160" i="5"/>
  <c r="D160" i="5"/>
  <c r="Z160" i="5"/>
  <c r="X160" i="5"/>
  <c r="AO160" i="5"/>
  <c r="AK160" i="5"/>
  <c r="AA160" i="5"/>
  <c r="AA182" i="5"/>
  <c r="BW196" i="59"/>
  <c r="Q182" i="5"/>
  <c r="BM196" i="59"/>
  <c r="AN182" i="5"/>
  <c r="CJ196" i="59"/>
  <c r="AH182" i="5"/>
  <c r="CD196" i="59"/>
  <c r="T182" i="5"/>
  <c r="BP196" i="59"/>
  <c r="N182" i="5"/>
  <c r="BJ196" i="59"/>
  <c r="AO182" i="5"/>
  <c r="CK196" i="59"/>
  <c r="O182" i="5"/>
  <c r="BK196" i="59"/>
  <c r="E182" i="5"/>
  <c r="BA196" i="59"/>
  <c r="AM149" i="5"/>
  <c r="HA189" i="59"/>
  <c r="AC149" i="5"/>
  <c r="GQ189" i="59"/>
  <c r="V149" i="5"/>
  <c r="GJ189" i="59"/>
  <c r="R149" i="5"/>
  <c r="GF189" i="59"/>
  <c r="T149" i="5"/>
  <c r="GH189" i="59"/>
  <c r="K149" i="5"/>
  <c r="FY189" i="59"/>
  <c r="AK149" i="5"/>
  <c r="GY189" i="59"/>
  <c r="O149" i="5"/>
  <c r="GC189" i="59"/>
  <c r="Q149" i="5"/>
  <c r="GE189" i="59"/>
  <c r="S226" i="5"/>
  <c r="IE204" i="59"/>
  <c r="I226" i="5"/>
  <c r="HU204" i="59"/>
  <c r="T226" i="5"/>
  <c r="IF204" i="59"/>
  <c r="J226" i="5"/>
  <c r="HV204" i="59"/>
  <c r="AK226" i="5"/>
  <c r="F205" i="59"/>
  <c r="AA226" i="5"/>
  <c r="IM204" i="59"/>
  <c r="Q226" i="5"/>
  <c r="IC204" i="59"/>
  <c r="G226" i="5"/>
  <c r="HS204" i="59"/>
  <c r="AH226" i="5"/>
  <c r="IT204" i="59"/>
  <c r="S193" i="5"/>
  <c r="DF198" i="59"/>
  <c r="I193" i="5"/>
  <c r="CV198" i="59"/>
  <c r="AJ193" i="5"/>
  <c r="DW198" i="59"/>
  <c r="Z193" i="5"/>
  <c r="DM198" i="59"/>
  <c r="P193" i="5"/>
  <c r="DC198" i="59"/>
  <c r="F193" i="5"/>
  <c r="CS198" i="59"/>
  <c r="AG193" i="5"/>
  <c r="DT198" i="59"/>
  <c r="W193" i="5"/>
  <c r="DJ198" i="59"/>
  <c r="M193" i="5"/>
  <c r="CZ198" i="59"/>
  <c r="AN193" i="5"/>
  <c r="EA198" i="59"/>
  <c r="M215" i="5"/>
  <c r="GH202" i="59"/>
  <c r="AN215" i="5"/>
  <c r="HI202" i="59"/>
  <c r="Z215" i="5"/>
  <c r="GU202" i="59"/>
  <c r="T215" i="5"/>
  <c r="GO202" i="59"/>
  <c r="F215" i="5"/>
  <c r="GA202" i="59"/>
  <c r="U215" i="5"/>
  <c r="GP202" i="59"/>
  <c r="G215" i="5"/>
  <c r="GB202" i="59"/>
  <c r="AH215" i="5"/>
  <c r="HC202" i="59"/>
  <c r="AB215" i="5"/>
  <c r="GW202" i="59"/>
  <c r="N215" i="5"/>
  <c r="GI202" i="59"/>
  <c r="E204" i="5"/>
  <c r="EI200" i="59"/>
  <c r="AF204" i="5"/>
  <c r="FJ200" i="59"/>
  <c r="F204" i="5"/>
  <c r="EJ200" i="59"/>
  <c r="AG204" i="5"/>
  <c r="FK200" i="59"/>
  <c r="S204" i="5"/>
  <c r="EW200" i="59"/>
  <c r="M204" i="5"/>
  <c r="EQ200" i="59"/>
  <c r="AN204" i="5"/>
  <c r="FR200" i="59"/>
  <c r="AD204" i="5"/>
  <c r="FH200" i="59"/>
  <c r="T204" i="5"/>
  <c r="EX200" i="59"/>
  <c r="S138" i="5"/>
  <c r="EP187" i="59"/>
  <c r="AE138" i="5"/>
  <c r="FB187" i="59"/>
  <c r="Y138" i="5"/>
  <c r="EV187" i="59"/>
  <c r="H138" i="5"/>
  <c r="EE187" i="59"/>
  <c r="Z138" i="5"/>
  <c r="EW187" i="59"/>
  <c r="AI138" i="5"/>
  <c r="FF187" i="59"/>
  <c r="F138" i="5"/>
  <c r="EC187" i="59"/>
  <c r="AG138" i="5"/>
  <c r="FD187" i="59"/>
  <c r="G138" i="5"/>
  <c r="ED187" i="59"/>
  <c r="M138" i="5"/>
  <c r="EJ187" i="59"/>
  <c r="Q171" i="5"/>
  <c r="V194" i="59"/>
  <c r="AE171" i="5"/>
  <c r="AJ194" i="59"/>
  <c r="M171" i="5"/>
  <c r="R194" i="59"/>
  <c r="K171" i="5"/>
  <c r="P194" i="59"/>
  <c r="AL171" i="5"/>
  <c r="AQ194" i="59"/>
  <c r="AG171" i="5"/>
  <c r="AL194" i="59"/>
  <c r="AM171" i="5"/>
  <c r="AR194" i="59"/>
  <c r="AC171" i="5"/>
  <c r="AH194" i="59"/>
  <c r="S171" i="5"/>
  <c r="X194" i="59"/>
  <c r="I160" i="5"/>
  <c r="AC160" i="5"/>
  <c r="W160" i="5"/>
  <c r="AH160" i="5"/>
  <c r="AB160" i="5"/>
  <c r="AG160" i="5"/>
  <c r="H160" i="5"/>
  <c r="AE160" i="5"/>
  <c r="E160" i="5"/>
  <c r="K160" i="5"/>
  <c r="K182" i="5"/>
  <c r="BG196" i="59"/>
  <c r="AL182" i="5"/>
  <c r="CH196" i="59"/>
  <c r="X182" i="5"/>
  <c r="BT196" i="59"/>
  <c r="R182" i="5"/>
  <c r="BN196" i="59"/>
  <c r="G182" i="5"/>
  <c r="BC196" i="59"/>
  <c r="AI182" i="5"/>
  <c r="CE196" i="59"/>
  <c r="Y182" i="5"/>
  <c r="BU196" i="59"/>
  <c r="AF182" i="5"/>
  <c r="CB196" i="59"/>
  <c r="Z182" i="5"/>
  <c r="BV196" i="59"/>
  <c r="J127" i="40"/>
  <c r="CU130" i="59"/>
  <c r="M128" i="40"/>
  <c r="M88" i="40"/>
  <c r="CD122" i="59"/>
  <c r="M91" i="40"/>
  <c r="ID122" i="59"/>
  <c r="M246" i="40"/>
  <c r="CL152" i="59"/>
  <c r="M137" i="40"/>
  <c r="M143" i="40"/>
  <c r="M142" i="40"/>
  <c r="DY133" i="59"/>
  <c r="M135" i="40"/>
  <c r="M141" i="40"/>
  <c r="M144" i="40"/>
  <c r="M133" i="40"/>
  <c r="M134" i="40"/>
  <c r="M124" i="40"/>
  <c r="M136" i="40"/>
  <c r="M146" i="40"/>
  <c r="M139" i="40"/>
  <c r="M138" i="40"/>
  <c r="M140" i="40"/>
  <c r="M131" i="40"/>
  <c r="M145" i="40"/>
  <c r="S243" i="40"/>
  <c r="GC151" i="59"/>
  <c r="R243" i="40"/>
  <c r="GB151" i="59"/>
  <c r="Q243" i="40"/>
  <c r="GA151" i="59"/>
  <c r="L127" i="40"/>
  <c r="CW130" i="59"/>
  <c r="K127" i="40"/>
  <c r="CV130" i="59"/>
  <c r="O33" i="41"/>
  <c r="CR306" i="59"/>
  <c r="O34" i="41"/>
  <c r="DH306" i="59"/>
  <c r="U252" i="40"/>
  <c r="FO153" i="59"/>
  <c r="BA262" i="40"/>
  <c r="IG155" i="59"/>
  <c r="T255" i="40"/>
  <c r="CC154" i="59"/>
  <c r="T253" i="40"/>
  <c r="HP153" i="59"/>
  <c r="T244" i="40"/>
  <c r="IF151" i="59"/>
  <c r="T242" i="40"/>
  <c r="EB151" i="59"/>
  <c r="U242" i="40"/>
  <c r="EC151" i="59"/>
  <c r="W256" i="40"/>
  <c r="EH154" i="59"/>
  <c r="W254" i="40"/>
  <c r="AD154" i="59"/>
  <c r="Z254" i="40"/>
  <c r="AG154" i="59"/>
  <c r="V243" i="40"/>
  <c r="GF151" i="59"/>
  <c r="U243" i="40"/>
  <c r="GE151" i="59"/>
  <c r="W260" i="40"/>
  <c r="CY155" i="59"/>
  <c r="W257" i="40"/>
  <c r="GJ154" i="59"/>
  <c r="Y252" i="40"/>
  <c r="FS153" i="59"/>
  <c r="X256" i="40"/>
  <c r="EI154" i="59"/>
  <c r="U250" i="40"/>
  <c r="BK153" i="59"/>
  <c r="V260" i="40"/>
  <c r="CX155" i="59"/>
  <c r="Z252" i="40"/>
  <c r="FT153" i="59"/>
  <c r="T243" i="40"/>
  <c r="GD151" i="59"/>
  <c r="Z243" i="40"/>
  <c r="GJ151" i="59"/>
  <c r="W243" i="40"/>
  <c r="GG151" i="59"/>
  <c r="T254" i="40"/>
  <c r="AA154" i="59"/>
  <c r="X253" i="40"/>
  <c r="HT153" i="59"/>
  <c r="Y260" i="40"/>
  <c r="DA155" i="59"/>
  <c r="Z260" i="40"/>
  <c r="DB155" i="59"/>
  <c r="Y243" i="40"/>
  <c r="GI151" i="59"/>
  <c r="Y253" i="40"/>
  <c r="HU153" i="59"/>
  <c r="V252" i="40"/>
  <c r="FP153" i="59"/>
  <c r="V256" i="40"/>
  <c r="EG154" i="59"/>
  <c r="BA265" i="40"/>
  <c r="EV156" i="59"/>
  <c r="U253" i="40"/>
  <c r="HQ153" i="59"/>
  <c r="V253" i="40"/>
  <c r="HR153" i="59"/>
  <c r="Y258" i="40"/>
  <c r="IN154" i="59"/>
  <c r="V244" i="40"/>
  <c r="IH151" i="59"/>
  <c r="T259" i="40"/>
  <c r="AT155" i="59"/>
  <c r="T257" i="40"/>
  <c r="GG154" i="59"/>
  <c r="X260" i="40"/>
  <c r="CZ155" i="59"/>
  <c r="U254" i="40"/>
  <c r="AB154" i="59"/>
  <c r="V259" i="40"/>
  <c r="AV155" i="59"/>
  <c r="V255" i="40"/>
  <c r="CE154" i="59"/>
  <c r="Z256" i="40"/>
  <c r="EK154" i="59"/>
  <c r="Y256" i="40"/>
  <c r="EJ154" i="59"/>
  <c r="Z250" i="40"/>
  <c r="BP153" i="59"/>
  <c r="Z258" i="40"/>
  <c r="IO154" i="59"/>
  <c r="V250" i="40"/>
  <c r="BL153" i="59"/>
  <c r="Z244" i="40"/>
  <c r="IL151" i="59"/>
  <c r="X257" i="40"/>
  <c r="GK154" i="59"/>
  <c r="T260" i="40"/>
  <c r="CV155" i="59"/>
  <c r="T256" i="40"/>
  <c r="EE154" i="59"/>
  <c r="T250" i="40"/>
  <c r="BJ153" i="59"/>
  <c r="W258" i="40"/>
  <c r="IL154" i="59"/>
  <c r="BA264" i="40"/>
  <c r="CT156" i="59"/>
  <c r="V258" i="40"/>
  <c r="IK154" i="59"/>
  <c r="Y244" i="40"/>
  <c r="IK151" i="59"/>
  <c r="Y254" i="40"/>
  <c r="AF154" i="59"/>
  <c r="U255" i="40"/>
  <c r="CD154" i="59"/>
  <c r="U257" i="40"/>
  <c r="GH154" i="59"/>
  <c r="U258" i="40"/>
  <c r="IJ154" i="59"/>
  <c r="Y250" i="40"/>
  <c r="BO153" i="59"/>
  <c r="X250" i="40"/>
  <c r="BN153" i="59"/>
  <c r="Z259" i="40"/>
  <c r="AZ155" i="59"/>
  <c r="Y259" i="40"/>
  <c r="AY155" i="59"/>
  <c r="W259" i="40"/>
  <c r="AW155" i="59"/>
  <c r="U244" i="40"/>
  <c r="IG151" i="59"/>
  <c r="U259" i="40"/>
  <c r="AU155" i="59"/>
  <c r="X259" i="40"/>
  <c r="AX155" i="59"/>
  <c r="T258" i="40"/>
  <c r="II154" i="59"/>
  <c r="W250" i="40"/>
  <c r="BM153" i="59"/>
  <c r="W244" i="40"/>
  <c r="II151" i="59"/>
  <c r="U260" i="40"/>
  <c r="CW155" i="59"/>
  <c r="V257" i="40"/>
  <c r="GI154" i="59"/>
  <c r="X254" i="40"/>
  <c r="AE154" i="59"/>
  <c r="Z257" i="40"/>
  <c r="GM154" i="59"/>
  <c r="V254" i="40"/>
  <c r="AC154" i="59"/>
  <c r="Y255" i="40"/>
  <c r="CH154" i="59"/>
  <c r="BA263" i="40"/>
  <c r="AR156" i="59"/>
  <c r="BA261" i="40"/>
  <c r="GE155" i="59"/>
  <c r="Z253" i="40"/>
  <c r="HV153" i="59"/>
  <c r="X258" i="40"/>
  <c r="IM154" i="59"/>
  <c r="U256" i="40"/>
  <c r="EF154" i="59"/>
  <c r="CV158" i="59"/>
  <c r="HX191" i="59"/>
  <c r="CJ158" i="59"/>
  <c r="HL191" i="59"/>
  <c r="U227" i="5"/>
  <c r="AM205" i="59"/>
  <c r="CP133" i="59"/>
  <c r="X150" i="5"/>
  <c r="II189" i="59"/>
  <c r="IA131" i="59"/>
  <c r="AA139" i="5"/>
  <c r="GU187" i="59"/>
  <c r="GD131" i="59"/>
  <c r="AC139" i="5"/>
  <c r="GW187" i="59"/>
  <c r="GF131" i="59"/>
  <c r="AI282" i="5"/>
  <c r="Q216" i="59"/>
  <c r="DM134" i="59"/>
  <c r="N238" i="5"/>
  <c r="BW207" i="59"/>
  <c r="EI133" i="59"/>
  <c r="P238" i="5"/>
  <c r="BY207" i="59"/>
  <c r="EK133" i="59"/>
  <c r="Q238" i="5"/>
  <c r="BZ207" i="59"/>
  <c r="EL133" i="59"/>
  <c r="U271" i="5"/>
  <c r="HC213" i="59"/>
  <c r="AY134" i="59"/>
  <c r="X260" i="5"/>
  <c r="FO211" i="59"/>
  <c r="IS133" i="59"/>
  <c r="AB216" i="5"/>
  <c r="IT202" i="59"/>
  <c r="AW133" i="59"/>
  <c r="AC216" i="5"/>
  <c r="IU202" i="59"/>
  <c r="AX133" i="59"/>
  <c r="AF194" i="5"/>
  <c r="FP198" i="59"/>
  <c r="GR132" i="59"/>
  <c r="K249" i="5"/>
  <c r="DK209" i="59"/>
  <c r="GF133" i="59"/>
  <c r="N172" i="5"/>
  <c r="BP194" i="59"/>
  <c r="BZ132" i="59"/>
  <c r="N41" i="5"/>
  <c r="CY168" i="59"/>
  <c r="CN122" i="59"/>
  <c r="DH158" i="59"/>
  <c r="IJ191" i="59"/>
  <c r="CG158" i="59"/>
  <c r="HI191" i="59"/>
  <c r="F282" i="5"/>
  <c r="IE215" i="59"/>
  <c r="CJ134" i="59"/>
  <c r="G249" i="5"/>
  <c r="DG209" i="59"/>
  <c r="GB133" i="59"/>
  <c r="K183" i="5"/>
  <c r="DD196" i="59"/>
  <c r="DW132" i="59"/>
  <c r="L183" i="5"/>
  <c r="DE196" i="59"/>
  <c r="DX132" i="59"/>
  <c r="M183" i="5"/>
  <c r="DF196" i="59"/>
  <c r="DY132" i="59"/>
  <c r="P227" i="5"/>
  <c r="AH205" i="59"/>
  <c r="CK133" i="59"/>
  <c r="R150" i="5"/>
  <c r="IC189" i="59"/>
  <c r="HU131" i="59"/>
  <c r="W139" i="5"/>
  <c r="GQ187" i="59"/>
  <c r="FZ131" i="59"/>
  <c r="X139" i="5"/>
  <c r="GR187" i="59"/>
  <c r="GA131" i="59"/>
  <c r="Y139" i="5"/>
  <c r="GS187" i="59"/>
  <c r="GB131" i="59"/>
  <c r="Z139" i="5"/>
  <c r="GT187" i="59"/>
  <c r="GC131" i="59"/>
  <c r="AD161" i="5"/>
  <c r="AO192" i="59"/>
  <c r="AP132" i="59"/>
  <c r="AE161" i="5"/>
  <c r="AP192" i="59"/>
  <c r="AQ132" i="59"/>
  <c r="AF161" i="5"/>
  <c r="AQ192" i="59"/>
  <c r="AR132" i="59"/>
  <c r="W41" i="5"/>
  <c r="DH168" i="59"/>
  <c r="CW122" i="59"/>
  <c r="R41" i="5"/>
  <c r="DC168" i="59"/>
  <c r="CR122" i="59"/>
  <c r="M41" i="5"/>
  <c r="CX168" i="59"/>
  <c r="CM122" i="59"/>
  <c r="H41" i="5"/>
  <c r="CS168" i="59"/>
  <c r="CH122" i="59"/>
  <c r="AN41" i="5"/>
  <c r="DY168" i="59"/>
  <c r="DN122" i="59"/>
  <c r="D117" i="5"/>
  <c r="CP183" i="59"/>
  <c r="BG131" i="59"/>
  <c r="D139" i="5"/>
  <c r="FX187" i="59"/>
  <c r="FG131" i="59"/>
  <c r="HM191" i="59"/>
  <c r="CK158" i="59"/>
  <c r="DG158" i="59"/>
  <c r="II191" i="59"/>
  <c r="CT158" i="59"/>
  <c r="HV191" i="59"/>
  <c r="H161" i="5"/>
  <c r="S192" i="59"/>
  <c r="T132" i="59"/>
  <c r="F183" i="5"/>
  <c r="CY196" i="59"/>
  <c r="DR132" i="59"/>
  <c r="G139" i="5"/>
  <c r="GA187" i="59"/>
  <c r="FJ131" i="59"/>
  <c r="G282" i="5"/>
  <c r="IF215" i="59"/>
  <c r="CK134" i="59"/>
  <c r="H249" i="5"/>
  <c r="DH209" i="59"/>
  <c r="GC133" i="59"/>
  <c r="F216" i="5"/>
  <c r="HX202" i="59"/>
  <c r="AA133" i="59"/>
  <c r="G205" i="5"/>
  <c r="GH200" i="59"/>
  <c r="HS132" i="59"/>
  <c r="G271" i="5"/>
  <c r="GO213" i="59"/>
  <c r="AK134" i="59"/>
  <c r="AM183" i="5"/>
  <c r="EF196" i="59"/>
  <c r="EY132" i="59"/>
  <c r="AN183" i="5"/>
  <c r="EG196" i="59"/>
  <c r="EZ132" i="59"/>
  <c r="AO183" i="5"/>
  <c r="EH196" i="59"/>
  <c r="FA132" i="59"/>
  <c r="I183" i="5"/>
  <c r="DB196" i="59"/>
  <c r="DU132" i="59"/>
  <c r="J183" i="5"/>
  <c r="DC196" i="59"/>
  <c r="DV132" i="59"/>
  <c r="K227" i="5"/>
  <c r="AC205" i="59"/>
  <c r="CF133" i="59"/>
  <c r="L227" i="5"/>
  <c r="AD205" i="59"/>
  <c r="CG133" i="59"/>
  <c r="M227" i="5"/>
  <c r="AE205" i="59"/>
  <c r="CH133" i="59"/>
  <c r="N227" i="5"/>
  <c r="AF205" i="59"/>
  <c r="CI133" i="59"/>
  <c r="N150" i="5"/>
  <c r="HY189" i="59"/>
  <c r="HQ131" i="59"/>
  <c r="O150" i="5"/>
  <c r="HZ189" i="59"/>
  <c r="HR131" i="59"/>
  <c r="P150" i="5"/>
  <c r="IA189" i="59"/>
  <c r="HS131" i="59"/>
  <c r="Q150" i="5"/>
  <c r="IB189" i="59"/>
  <c r="HT131" i="59"/>
  <c r="S139" i="5"/>
  <c r="GM187" i="59"/>
  <c r="FV131" i="59"/>
  <c r="T139" i="5"/>
  <c r="GN187" i="59"/>
  <c r="FW131" i="59"/>
  <c r="U139" i="5"/>
  <c r="GO187" i="59"/>
  <c r="FX131" i="59"/>
  <c r="V139" i="5"/>
  <c r="GP187" i="59"/>
  <c r="FY131" i="59"/>
  <c r="Y161" i="5"/>
  <c r="AJ192" i="59"/>
  <c r="AK132" i="59"/>
  <c r="Z161" i="5"/>
  <c r="AK192" i="59"/>
  <c r="AL132" i="59"/>
  <c r="AA161" i="5"/>
  <c r="AL192" i="59"/>
  <c r="AM132" i="59"/>
  <c r="AB161" i="5"/>
  <c r="AM192" i="59"/>
  <c r="AN132" i="59"/>
  <c r="Z282" i="5"/>
  <c r="H216" i="59"/>
  <c r="DD134" i="59"/>
  <c r="AA282" i="5"/>
  <c r="I216" i="59"/>
  <c r="DE134" i="59"/>
  <c r="AB282" i="5"/>
  <c r="J216" i="59"/>
  <c r="DF134" i="59"/>
  <c r="AC282" i="5"/>
  <c r="K216" i="59"/>
  <c r="DG134" i="59"/>
  <c r="AL40" i="5"/>
  <c r="BZ168" i="59"/>
  <c r="HW129" i="59"/>
  <c r="AL238" i="5"/>
  <c r="CU207" i="59"/>
  <c r="FG133" i="59"/>
  <c r="AM238" i="5"/>
  <c r="CV207" i="59"/>
  <c r="FH133" i="59"/>
  <c r="AN238" i="5"/>
  <c r="CW207" i="59"/>
  <c r="FI133" i="59"/>
  <c r="AO238" i="5"/>
  <c r="CX207" i="59"/>
  <c r="FJ133" i="59"/>
  <c r="I238" i="5"/>
  <c r="BR207" i="59"/>
  <c r="ED133" i="59"/>
  <c r="M271" i="5"/>
  <c r="GU213" i="59"/>
  <c r="AQ134" i="59"/>
  <c r="N271" i="5"/>
  <c r="GV213" i="59"/>
  <c r="AR134" i="59"/>
  <c r="P260" i="5"/>
  <c r="FG211" i="59"/>
  <c r="IK133" i="59"/>
  <c r="Q260" i="5"/>
  <c r="FH211" i="59"/>
  <c r="IL133" i="59"/>
  <c r="R260" i="5"/>
  <c r="FI211" i="59"/>
  <c r="IM133" i="59"/>
  <c r="S260" i="5"/>
  <c r="FJ211" i="59"/>
  <c r="IN133" i="59"/>
  <c r="T216" i="5"/>
  <c r="IL202" i="59"/>
  <c r="AO133" i="59"/>
  <c r="U216" i="5"/>
  <c r="IM202" i="59"/>
  <c r="AP133" i="59"/>
  <c r="V216" i="5"/>
  <c r="IN202" i="59"/>
  <c r="AQ133" i="59"/>
  <c r="W216" i="5"/>
  <c r="IO202" i="59"/>
  <c r="AR133" i="59"/>
  <c r="V194" i="5"/>
  <c r="FF198" i="59"/>
  <c r="GH132" i="59"/>
  <c r="W194" i="5"/>
  <c r="FG198" i="59"/>
  <c r="GI132" i="59"/>
  <c r="X194" i="5"/>
  <c r="FH198" i="59"/>
  <c r="GJ132" i="59"/>
  <c r="Y194" i="5"/>
  <c r="FI198" i="59"/>
  <c r="GK132" i="59"/>
  <c r="AC205" i="5"/>
  <c r="HD200" i="59"/>
  <c r="IO132" i="59"/>
  <c r="AD205" i="5"/>
  <c r="HE200" i="59"/>
  <c r="IP132" i="59"/>
  <c r="AE205" i="5"/>
  <c r="HF200" i="59"/>
  <c r="IQ132" i="59"/>
  <c r="AF205" i="5"/>
  <c r="HG200" i="59"/>
  <c r="IR132" i="59"/>
  <c r="AG249" i="5"/>
  <c r="EG209" i="59"/>
  <c r="HB133" i="59"/>
  <c r="AH249" i="5"/>
  <c r="EH209" i="59"/>
  <c r="HC133" i="59"/>
  <c r="AJ172" i="5"/>
  <c r="CL194" i="59"/>
  <c r="CV132" i="59"/>
  <c r="AK172" i="5"/>
  <c r="CM194" i="59"/>
  <c r="CW132" i="59"/>
  <c r="AL172" i="5"/>
  <c r="CN194" i="59"/>
  <c r="CX132" i="59"/>
  <c r="AM172" i="5"/>
  <c r="CO194" i="59"/>
  <c r="CY132" i="59"/>
  <c r="AA41" i="5"/>
  <c r="DL168" i="59"/>
  <c r="DA122" i="59"/>
  <c r="V41" i="5"/>
  <c r="DG168" i="59"/>
  <c r="CV122" i="59"/>
  <c r="Q41" i="5"/>
  <c r="DB168" i="59"/>
  <c r="CQ122" i="59"/>
  <c r="L41" i="5"/>
  <c r="CW168" i="59"/>
  <c r="CL122" i="59"/>
  <c r="H150" i="5"/>
  <c r="HS189" i="59"/>
  <c r="HK131" i="59"/>
  <c r="E282" i="5"/>
  <c r="ID215" i="59"/>
  <c r="CI134" i="59"/>
  <c r="T227" i="5"/>
  <c r="AL205" i="59"/>
  <c r="CO133" i="59"/>
  <c r="W150" i="5"/>
  <c r="IH189" i="59"/>
  <c r="HZ131" i="59"/>
  <c r="AK282" i="5"/>
  <c r="S216" i="59"/>
  <c r="DO134" i="59"/>
  <c r="O238" i="5"/>
  <c r="BX207" i="59"/>
  <c r="EJ133" i="59"/>
  <c r="Z260" i="5"/>
  <c r="FQ211" i="59"/>
  <c r="IU133" i="59"/>
  <c r="AL205" i="5"/>
  <c r="HM200" i="59"/>
  <c r="G133" i="59"/>
  <c r="AM205" i="5"/>
  <c r="HN200" i="59"/>
  <c r="H133" i="59"/>
  <c r="J249" i="5"/>
  <c r="DJ209" i="59"/>
  <c r="GE133" i="59"/>
  <c r="I41" i="5"/>
  <c r="CT168" i="59"/>
  <c r="CI122" i="59"/>
  <c r="D150" i="5"/>
  <c r="HO189" i="59"/>
  <c r="HG131" i="59"/>
  <c r="H183" i="5"/>
  <c r="DA196" i="59"/>
  <c r="DT132" i="59"/>
  <c r="F172" i="5"/>
  <c r="BH194" i="59"/>
  <c r="BR132" i="59"/>
  <c r="E271" i="5"/>
  <c r="GM213" i="59"/>
  <c r="AI134" i="59"/>
  <c r="AK183" i="5"/>
  <c r="ED196" i="59"/>
  <c r="EW132" i="59"/>
  <c r="AN227" i="5"/>
  <c r="BF205" i="59"/>
  <c r="DI133" i="59"/>
  <c r="J227" i="5"/>
  <c r="AB205" i="59"/>
  <c r="CE133" i="59"/>
  <c r="M150" i="5"/>
  <c r="HX189" i="59"/>
  <c r="HP131" i="59"/>
  <c r="Q139" i="5"/>
  <c r="GK187" i="59"/>
  <c r="FT131" i="59"/>
  <c r="U161" i="5"/>
  <c r="AF192" i="59"/>
  <c r="AG132" i="59"/>
  <c r="W282" i="5"/>
  <c r="IV215" i="59"/>
  <c r="DA134" i="59"/>
  <c r="AI238" i="5"/>
  <c r="CR207" i="59"/>
  <c r="FD133" i="59"/>
  <c r="I271" i="5"/>
  <c r="GQ213" i="59"/>
  <c r="AM134" i="59"/>
  <c r="M260" i="5"/>
  <c r="FD211" i="59"/>
  <c r="IH133" i="59"/>
  <c r="P216" i="5"/>
  <c r="IH202" i="59"/>
  <c r="AK133" i="59"/>
  <c r="S216" i="5"/>
  <c r="IK202" i="59"/>
  <c r="AN133" i="59"/>
  <c r="U194" i="5"/>
  <c r="FE198" i="59"/>
  <c r="GG132" i="59"/>
  <c r="AD249" i="5"/>
  <c r="ED209" i="59"/>
  <c r="GY133" i="59"/>
  <c r="AF172" i="5"/>
  <c r="CH194" i="59"/>
  <c r="CR132" i="59"/>
  <c r="AE41" i="5"/>
  <c r="DP168" i="59"/>
  <c r="DE122" i="59"/>
  <c r="U41" i="5"/>
  <c r="DF168" i="59"/>
  <c r="CU122" i="59"/>
  <c r="P41" i="5"/>
  <c r="DA168" i="59"/>
  <c r="CP122" i="59"/>
  <c r="D227" i="5"/>
  <c r="V205" i="59"/>
  <c r="BY133" i="59"/>
  <c r="DE158" i="59"/>
  <c r="IG191" i="59"/>
  <c r="DD158" i="59"/>
  <c r="IF191" i="59"/>
  <c r="CS158" i="59"/>
  <c r="HU191" i="59"/>
  <c r="H216" i="5"/>
  <c r="HZ202" i="59"/>
  <c r="AC133" i="59"/>
  <c r="F139" i="5"/>
  <c r="FZ187" i="59"/>
  <c r="FI131" i="59"/>
  <c r="AG183" i="5"/>
  <c r="DZ196" i="59"/>
  <c r="ES132" i="59"/>
  <c r="AJ227" i="5"/>
  <c r="BB205" i="59"/>
  <c r="DE133" i="59"/>
  <c r="AL150" i="5"/>
  <c r="F190" i="59"/>
  <c r="IO131" i="59"/>
  <c r="AO150" i="5"/>
  <c r="I190" i="59"/>
  <c r="IR131" i="59"/>
  <c r="L139" i="5"/>
  <c r="GF187" i="59"/>
  <c r="FO131" i="59"/>
  <c r="Q161" i="5"/>
  <c r="AB192" i="59"/>
  <c r="AC132" i="59"/>
  <c r="T161" i="5"/>
  <c r="AE192" i="59"/>
  <c r="AF132" i="59"/>
  <c r="AF238" i="5"/>
  <c r="CO207" i="59"/>
  <c r="FA133" i="59"/>
  <c r="AN260" i="5"/>
  <c r="GE211" i="59"/>
  <c r="R134" i="59"/>
  <c r="J260" i="5"/>
  <c r="FA211" i="59"/>
  <c r="IE133" i="59"/>
  <c r="M216" i="5"/>
  <c r="IE202" i="59"/>
  <c r="AH133" i="59"/>
  <c r="N194" i="5"/>
  <c r="EX198" i="59"/>
  <c r="FZ132" i="59"/>
  <c r="Q194" i="5"/>
  <c r="FA198" i="59"/>
  <c r="GC132" i="59"/>
  <c r="W205" i="5"/>
  <c r="GX200" i="59"/>
  <c r="II132" i="59"/>
  <c r="X205" i="5"/>
  <c r="GY200" i="59"/>
  <c r="IJ132" i="59"/>
  <c r="AA249" i="5"/>
  <c r="EA209" i="59"/>
  <c r="GV133" i="59"/>
  <c r="AC172" i="5"/>
  <c r="CE194" i="59"/>
  <c r="CO132" i="59"/>
  <c r="D161" i="5"/>
  <c r="O192" i="59"/>
  <c r="P132" i="59"/>
  <c r="DN158" i="59"/>
  <c r="IP191" i="59"/>
  <c r="HS191" i="59"/>
  <c r="CQ158" i="59"/>
  <c r="CU158" i="59"/>
  <c r="HW191" i="59"/>
  <c r="DM158" i="59"/>
  <c r="IO191" i="59"/>
  <c r="H194" i="5"/>
  <c r="ER198" i="59"/>
  <c r="FT132" i="59"/>
  <c r="E227" i="5"/>
  <c r="W205" i="59"/>
  <c r="BZ133" i="59"/>
  <c r="E161" i="5"/>
  <c r="P192" i="59"/>
  <c r="Q132" i="59"/>
  <c r="E172" i="5"/>
  <c r="BG194" i="59"/>
  <c r="BQ132" i="59"/>
  <c r="E194" i="5"/>
  <c r="EO198" i="59"/>
  <c r="FQ132" i="59"/>
  <c r="G238" i="5"/>
  <c r="BP207" i="59"/>
  <c r="EB133" i="59"/>
  <c r="H271" i="5"/>
  <c r="GP213" i="59"/>
  <c r="AL134" i="59"/>
  <c r="AA183" i="5"/>
  <c r="DT196" i="59"/>
  <c r="EM132" i="59"/>
  <c r="AB183" i="5"/>
  <c r="DU196" i="59"/>
  <c r="EN132" i="59"/>
  <c r="AC183" i="5"/>
  <c r="DV196" i="59"/>
  <c r="EO132" i="59"/>
  <c r="AD183" i="5"/>
  <c r="DW196" i="59"/>
  <c r="EP132" i="59"/>
  <c r="AE227" i="5"/>
  <c r="AW205" i="59"/>
  <c r="CZ133" i="59"/>
  <c r="AF227" i="5"/>
  <c r="AX205" i="59"/>
  <c r="DA133" i="59"/>
  <c r="AG227" i="5"/>
  <c r="AY205" i="59"/>
  <c r="DB133" i="59"/>
  <c r="AH227" i="5"/>
  <c r="AZ205" i="59"/>
  <c r="DC133" i="59"/>
  <c r="AH150" i="5"/>
  <c r="IS189" i="59"/>
  <c r="IK131" i="59"/>
  <c r="AI150" i="5"/>
  <c r="IT189" i="59"/>
  <c r="IL131" i="59"/>
  <c r="AJ150" i="5"/>
  <c r="IU189" i="59"/>
  <c r="IM131" i="59"/>
  <c r="AK150" i="5"/>
  <c r="IV189" i="59"/>
  <c r="IN131" i="59"/>
  <c r="AM139" i="5"/>
  <c r="HG187" i="59"/>
  <c r="GP131" i="59"/>
  <c r="AN139" i="5"/>
  <c r="HH187" i="59"/>
  <c r="GQ131" i="59"/>
  <c r="AO139" i="5"/>
  <c r="HI187" i="59"/>
  <c r="GR131" i="59"/>
  <c r="I139" i="5"/>
  <c r="GC187" i="59"/>
  <c r="FL131" i="59"/>
  <c r="J139" i="5"/>
  <c r="GD187" i="59"/>
  <c r="FM131" i="59"/>
  <c r="M161" i="5"/>
  <c r="X192" i="59"/>
  <c r="Y132" i="59"/>
  <c r="N161" i="5"/>
  <c r="Y192" i="59"/>
  <c r="Z132" i="59"/>
  <c r="O161" i="5"/>
  <c r="Z192" i="59"/>
  <c r="AA132" i="59"/>
  <c r="P161" i="5"/>
  <c r="AA192" i="59"/>
  <c r="AB132" i="59"/>
  <c r="N282" i="5"/>
  <c r="IM215" i="59"/>
  <c r="CR134" i="59"/>
  <c r="O282" i="5"/>
  <c r="IN215" i="59"/>
  <c r="CS134" i="59"/>
  <c r="P282" i="5"/>
  <c r="IO215" i="59"/>
  <c r="CT134" i="59"/>
  <c r="Q282" i="5"/>
  <c r="IP215" i="59"/>
  <c r="CU134" i="59"/>
  <c r="Z40" i="5"/>
  <c r="BN168" i="59"/>
  <c r="HK129" i="59"/>
  <c r="Z238" i="5"/>
  <c r="CI207" i="59"/>
  <c r="EU133" i="59"/>
  <c r="AA238" i="5"/>
  <c r="CJ207" i="59"/>
  <c r="EV133" i="59"/>
  <c r="AB238" i="5"/>
  <c r="CK207" i="59"/>
  <c r="EW133" i="59"/>
  <c r="AC238" i="5"/>
  <c r="CL207" i="59"/>
  <c r="EX133" i="59"/>
  <c r="AF271" i="5"/>
  <c r="HN213" i="59"/>
  <c r="BJ134" i="59"/>
  <c r="AG271" i="5"/>
  <c r="HO213" i="59"/>
  <c r="BK134" i="59"/>
  <c r="AJ260" i="5"/>
  <c r="GA211" i="59"/>
  <c r="N134" i="59"/>
  <c r="AK260" i="5"/>
  <c r="GB211" i="59"/>
  <c r="O134" i="59"/>
  <c r="AL260" i="5"/>
  <c r="GC211" i="59"/>
  <c r="P134" i="59"/>
  <c r="AM260" i="5"/>
  <c r="GD211" i="59"/>
  <c r="Q134" i="59"/>
  <c r="AN216" i="5"/>
  <c r="O203" i="59"/>
  <c r="BI133" i="59"/>
  <c r="AO216" i="5"/>
  <c r="P203" i="59"/>
  <c r="BJ133" i="59"/>
  <c r="I216" i="5"/>
  <c r="IA202" i="59"/>
  <c r="AD133" i="59"/>
  <c r="J216" i="5"/>
  <c r="IB202" i="59"/>
  <c r="AE133" i="59"/>
  <c r="K216" i="5"/>
  <c r="IC202" i="59"/>
  <c r="AF133" i="59"/>
  <c r="J194" i="5"/>
  <c r="ET198" i="59"/>
  <c r="FV132" i="59"/>
  <c r="K194" i="5"/>
  <c r="EU198" i="59"/>
  <c r="FW132" i="59"/>
  <c r="L194" i="5"/>
  <c r="EV198" i="59"/>
  <c r="FX132" i="59"/>
  <c r="M194" i="5"/>
  <c r="EW198" i="59"/>
  <c r="FY132" i="59"/>
  <c r="Q205" i="5"/>
  <c r="GR200" i="59"/>
  <c r="IC132" i="59"/>
  <c r="R205" i="5"/>
  <c r="GS200" i="59"/>
  <c r="ID132" i="59"/>
  <c r="S205" i="5"/>
  <c r="GT200" i="59"/>
  <c r="IE132" i="59"/>
  <c r="T205" i="5"/>
  <c r="GU200" i="59"/>
  <c r="IF132" i="59"/>
  <c r="V249" i="5"/>
  <c r="DV209" i="59"/>
  <c r="GQ133" i="59"/>
  <c r="X249" i="5"/>
  <c r="DX209" i="59"/>
  <c r="GS133" i="59"/>
  <c r="X172" i="5"/>
  <c r="BZ194" i="59"/>
  <c r="CJ132" i="59"/>
  <c r="Y172" i="5"/>
  <c r="CA194" i="59"/>
  <c r="CK132" i="59"/>
  <c r="Z172" i="5"/>
  <c r="CB194" i="59"/>
  <c r="CL132" i="59"/>
  <c r="AA172" i="5"/>
  <c r="CC194" i="59"/>
  <c r="CM132" i="59"/>
  <c r="G41" i="5"/>
  <c r="CR168" i="59"/>
  <c r="CG122" i="59"/>
  <c r="AM41" i="5"/>
  <c r="DX168" i="59"/>
  <c r="DM122" i="59"/>
  <c r="AH41" i="5"/>
  <c r="DS168" i="59"/>
  <c r="DH122" i="59"/>
  <c r="AC41" i="5"/>
  <c r="DN168" i="59"/>
  <c r="DC122" i="59"/>
  <c r="X41" i="5"/>
  <c r="DI168" i="59"/>
  <c r="CX122" i="59"/>
  <c r="U159" i="59"/>
  <c r="HY176" i="59"/>
  <c r="D183" i="5"/>
  <c r="CW196" i="59"/>
  <c r="DP132" i="59"/>
  <c r="HN191" i="59"/>
  <c r="CL158" i="59"/>
  <c r="DC158" i="59"/>
  <c r="IE191" i="59"/>
  <c r="DB158" i="59"/>
  <c r="ID191" i="59"/>
  <c r="G183" i="5"/>
  <c r="CZ196" i="59"/>
  <c r="DS132" i="59"/>
  <c r="V227" i="5"/>
  <c r="AN205" i="59"/>
  <c r="CQ133" i="59"/>
  <c r="Y150" i="5"/>
  <c r="IJ189" i="59"/>
  <c r="IB131" i="59"/>
  <c r="AK205" i="5"/>
  <c r="HL200" i="59"/>
  <c r="F133" i="59"/>
  <c r="S41" i="5"/>
  <c r="DD168" i="59"/>
  <c r="CS122" i="59"/>
  <c r="AJ41" i="5"/>
  <c r="DU168" i="59"/>
  <c r="DJ122" i="59"/>
  <c r="CX158" i="59"/>
  <c r="HZ191" i="59"/>
  <c r="IL191" i="59"/>
  <c r="DJ158" i="59"/>
  <c r="DP158" i="59"/>
  <c r="IR191" i="59"/>
  <c r="E238" i="5"/>
  <c r="BN207" i="59"/>
  <c r="DZ133" i="59"/>
  <c r="AJ183" i="5"/>
  <c r="EC196" i="59"/>
  <c r="EV132" i="59"/>
  <c r="AM227" i="5"/>
  <c r="BE205" i="59"/>
  <c r="DH133" i="59"/>
  <c r="I227" i="5"/>
  <c r="AA205" i="59"/>
  <c r="CD133" i="59"/>
  <c r="K150" i="5"/>
  <c r="HV189" i="59"/>
  <c r="HN131" i="59"/>
  <c r="O139" i="5"/>
  <c r="GI187" i="59"/>
  <c r="FR131" i="59"/>
  <c r="R139" i="5"/>
  <c r="GL187" i="59"/>
  <c r="FU131" i="59"/>
  <c r="W161" i="5"/>
  <c r="AH192" i="59"/>
  <c r="AI132" i="59"/>
  <c r="X161" i="5"/>
  <c r="AI192" i="59"/>
  <c r="AJ132" i="59"/>
  <c r="X282" i="5"/>
  <c r="F216" i="59"/>
  <c r="DB134" i="59"/>
  <c r="Y282" i="5"/>
  <c r="G216" i="59"/>
  <c r="DC134" i="59"/>
  <c r="AH238" i="5"/>
  <c r="CQ207" i="59"/>
  <c r="FC133" i="59"/>
  <c r="AO271" i="5"/>
  <c r="HW213" i="59"/>
  <c r="BS134" i="59"/>
  <c r="L260" i="5"/>
  <c r="FC211" i="59"/>
  <c r="IG133" i="59"/>
  <c r="O260" i="5"/>
  <c r="FF211" i="59"/>
  <c r="IJ133" i="59"/>
  <c r="R216" i="5"/>
  <c r="IJ202" i="59"/>
  <c r="AM133" i="59"/>
  <c r="S194" i="5"/>
  <c r="FC198" i="59"/>
  <c r="GE132" i="59"/>
  <c r="Y205" i="5"/>
  <c r="GZ200" i="59"/>
  <c r="IK132" i="59"/>
  <c r="AA205" i="5"/>
  <c r="HB200" i="59"/>
  <c r="IM132" i="59"/>
  <c r="AH172" i="5"/>
  <c r="CJ194" i="59"/>
  <c r="CT132" i="59"/>
  <c r="D194" i="5"/>
  <c r="EN198" i="59"/>
  <c r="FP132" i="59"/>
  <c r="CW158" i="59"/>
  <c r="HY191" i="59"/>
  <c r="E216" i="5"/>
  <c r="HW202" i="59"/>
  <c r="Z133" i="59"/>
  <c r="AE183" i="5"/>
  <c r="DX196" i="59"/>
  <c r="EQ132" i="59"/>
  <c r="AH183" i="5"/>
  <c r="EA196" i="59"/>
  <c r="ET132" i="59"/>
  <c r="AI227" i="5"/>
  <c r="BA205" i="59"/>
  <c r="DD133" i="59"/>
  <c r="AL227" i="5"/>
  <c r="BD205" i="59"/>
  <c r="DG133" i="59"/>
  <c r="AN150" i="5"/>
  <c r="H190" i="59"/>
  <c r="IQ131" i="59"/>
  <c r="K139" i="5"/>
  <c r="GE187" i="59"/>
  <c r="FN131" i="59"/>
  <c r="N139" i="5"/>
  <c r="GH187" i="59"/>
  <c r="FQ131" i="59"/>
  <c r="S161" i="5"/>
  <c r="AD192" i="59"/>
  <c r="AE132" i="59"/>
  <c r="S282" i="5"/>
  <c r="IR215" i="59"/>
  <c r="CW134" i="59"/>
  <c r="T282" i="5"/>
  <c r="IS215" i="59"/>
  <c r="CX134" i="59"/>
  <c r="U282" i="5"/>
  <c r="IT215" i="59"/>
  <c r="CY134" i="59"/>
  <c r="AD238" i="5"/>
  <c r="CM207" i="59"/>
  <c r="EY133" i="59"/>
  <c r="AG238" i="5"/>
  <c r="CP207" i="59"/>
  <c r="FB133" i="59"/>
  <c r="AO260" i="5"/>
  <c r="GF211" i="59"/>
  <c r="S134" i="59"/>
  <c r="K260" i="5"/>
  <c r="FB211" i="59"/>
  <c r="IF133" i="59"/>
  <c r="N216" i="5"/>
  <c r="IF202" i="59"/>
  <c r="AI133" i="59"/>
  <c r="O194" i="5"/>
  <c r="EY198" i="59"/>
  <c r="GA132" i="59"/>
  <c r="U205" i="5"/>
  <c r="GV200" i="59"/>
  <c r="IG132" i="59"/>
  <c r="AB172" i="5"/>
  <c r="CD194" i="59"/>
  <c r="CN132" i="59"/>
  <c r="AE172" i="5"/>
  <c r="CG194" i="59"/>
  <c r="CQ132" i="59"/>
  <c r="Y41" i="5"/>
  <c r="DJ168" i="59"/>
  <c r="CY122" i="59"/>
  <c r="DK158" i="59"/>
  <c r="IM191" i="59"/>
  <c r="D282" i="5"/>
  <c r="IC215" i="59"/>
  <c r="CH134" i="59"/>
  <c r="CZ158" i="59"/>
  <c r="IB191" i="59"/>
  <c r="DR158" i="59"/>
  <c r="IT191" i="59"/>
  <c r="CR158" i="59"/>
  <c r="HT191" i="59"/>
  <c r="DQ158" i="59"/>
  <c r="IS191" i="59"/>
  <c r="CP158" i="59"/>
  <c r="HR191" i="59"/>
  <c r="H172" i="5"/>
  <c r="BJ194" i="59"/>
  <c r="BT132" i="59"/>
  <c r="H205" i="5"/>
  <c r="GI200" i="59"/>
  <c r="HT132" i="59"/>
  <c r="F227" i="5"/>
  <c r="X205" i="59"/>
  <c r="CA133" i="59"/>
  <c r="F161" i="5"/>
  <c r="Q192" i="59"/>
  <c r="R132" i="59"/>
  <c r="F194" i="5"/>
  <c r="EP198" i="59"/>
  <c r="FR132" i="59"/>
  <c r="H238" i="5"/>
  <c r="BQ207" i="59"/>
  <c r="EC133" i="59"/>
  <c r="F260" i="5"/>
  <c r="EW211" i="59"/>
  <c r="IA133" i="59"/>
  <c r="W183" i="5"/>
  <c r="DP196" i="59"/>
  <c r="EI132" i="59"/>
  <c r="X183" i="5"/>
  <c r="DQ196" i="59"/>
  <c r="EJ132" i="59"/>
  <c r="Y183" i="5"/>
  <c r="DR196" i="59"/>
  <c r="EK132" i="59"/>
  <c r="Z183" i="5"/>
  <c r="DS196" i="59"/>
  <c r="EL132" i="59"/>
  <c r="AA227" i="5"/>
  <c r="AS205" i="59"/>
  <c r="CV133" i="59"/>
  <c r="AB227" i="5"/>
  <c r="AT205" i="59"/>
  <c r="CW133" i="59"/>
  <c r="AC227" i="5"/>
  <c r="AU205" i="59"/>
  <c r="CX133" i="59"/>
  <c r="AD227" i="5"/>
  <c r="AV205" i="59"/>
  <c r="CY133" i="59"/>
  <c r="AD150" i="5"/>
  <c r="IO189" i="59"/>
  <c r="IG131" i="59"/>
  <c r="AE150" i="5"/>
  <c r="IP189" i="59"/>
  <c r="IH131" i="59"/>
  <c r="AF150" i="5"/>
  <c r="IQ189" i="59"/>
  <c r="II131" i="59"/>
  <c r="AG150" i="5"/>
  <c r="IR189" i="59"/>
  <c r="IJ131" i="59"/>
  <c r="AI139" i="5"/>
  <c r="HC187" i="59"/>
  <c r="GL131" i="59"/>
  <c r="AJ139" i="5"/>
  <c r="HD187" i="59"/>
  <c r="GM131" i="59"/>
  <c r="AK139" i="5"/>
  <c r="HE187" i="59"/>
  <c r="GN131" i="59"/>
  <c r="AL139" i="5"/>
  <c r="HF187" i="59"/>
  <c r="GO131" i="59"/>
  <c r="AO161" i="5"/>
  <c r="AZ192" i="59"/>
  <c r="BA132" i="59"/>
  <c r="I161" i="5"/>
  <c r="T192" i="59"/>
  <c r="U132" i="59"/>
  <c r="J161" i="5"/>
  <c r="U192" i="59"/>
  <c r="V132" i="59"/>
  <c r="K161" i="5"/>
  <c r="V192" i="59"/>
  <c r="W132" i="59"/>
  <c r="L161" i="5"/>
  <c r="W192" i="59"/>
  <c r="X132" i="59"/>
  <c r="J282" i="5"/>
  <c r="II215" i="59"/>
  <c r="CN134" i="59"/>
  <c r="K282" i="5"/>
  <c r="IJ215" i="59"/>
  <c r="CO134" i="59"/>
  <c r="L282" i="5"/>
  <c r="IK215" i="59"/>
  <c r="CP134" i="59"/>
  <c r="M282" i="5"/>
  <c r="IL215" i="59"/>
  <c r="CQ134" i="59"/>
  <c r="V238" i="5"/>
  <c r="CE207" i="59"/>
  <c r="EQ133" i="59"/>
  <c r="W238" i="5"/>
  <c r="CF207" i="59"/>
  <c r="ER133" i="59"/>
  <c r="X238" i="5"/>
  <c r="CG207" i="59"/>
  <c r="ES133" i="59"/>
  <c r="Y238" i="5"/>
  <c r="CH207" i="59"/>
  <c r="ET133" i="59"/>
  <c r="AB271" i="5"/>
  <c r="HJ213" i="59"/>
  <c r="BF134" i="59"/>
  <c r="AD271" i="5"/>
  <c r="HL213" i="59"/>
  <c r="BH134" i="59"/>
  <c r="AF260" i="5"/>
  <c r="FW211" i="59"/>
  <c r="J134" i="59"/>
  <c r="AG260" i="5"/>
  <c r="FX211" i="59"/>
  <c r="K134" i="59"/>
  <c r="AH260" i="5"/>
  <c r="FY211" i="59"/>
  <c r="L134" i="59"/>
  <c r="AI260" i="5"/>
  <c r="FZ211" i="59"/>
  <c r="M134" i="59"/>
  <c r="AJ216" i="5"/>
  <c r="K203" i="59"/>
  <c r="BE133" i="59"/>
  <c r="AK216" i="5"/>
  <c r="L203" i="59"/>
  <c r="BF133" i="59"/>
  <c r="AL216" i="5"/>
  <c r="M203" i="59"/>
  <c r="BG133" i="59"/>
  <c r="AM216" i="5"/>
  <c r="N203" i="59"/>
  <c r="BH133" i="59"/>
  <c r="AL194" i="5"/>
  <c r="FV198" i="59"/>
  <c r="GX132" i="59"/>
  <c r="AM194" i="5"/>
  <c r="FW198" i="59"/>
  <c r="GY132" i="59"/>
  <c r="AN194" i="5"/>
  <c r="FX198" i="59"/>
  <c r="GZ132" i="59"/>
  <c r="AO194" i="5"/>
  <c r="FY198" i="59"/>
  <c r="HA132" i="59"/>
  <c r="I194" i="5"/>
  <c r="ES198" i="59"/>
  <c r="FU132" i="59"/>
  <c r="M205" i="5"/>
  <c r="GN200" i="59"/>
  <c r="HY132" i="59"/>
  <c r="N205" i="5"/>
  <c r="GO200" i="59"/>
  <c r="HZ132" i="59"/>
  <c r="O205" i="5"/>
  <c r="GP200" i="59"/>
  <c r="IA132" i="59"/>
  <c r="P205" i="5"/>
  <c r="GQ200" i="59"/>
  <c r="IB132" i="59"/>
  <c r="Q249" i="5"/>
  <c r="DQ209" i="59"/>
  <c r="GL133" i="59"/>
  <c r="R249" i="5"/>
  <c r="DR209" i="59"/>
  <c r="GM133" i="59"/>
  <c r="S249" i="5"/>
  <c r="DS209" i="59"/>
  <c r="GN133" i="59"/>
  <c r="T249" i="5"/>
  <c r="DT209" i="59"/>
  <c r="GO133" i="59"/>
  <c r="T172" i="5"/>
  <c r="BV194" i="59"/>
  <c r="CF132" i="59"/>
  <c r="U172" i="5"/>
  <c r="BW194" i="59"/>
  <c r="CG132" i="59"/>
  <c r="V172" i="5"/>
  <c r="BX194" i="59"/>
  <c r="CH132" i="59"/>
  <c r="W172" i="5"/>
  <c r="BY194" i="59"/>
  <c r="CI132" i="59"/>
  <c r="K41" i="5"/>
  <c r="CV168" i="59"/>
  <c r="CK122" i="59"/>
  <c r="F41" i="5"/>
  <c r="CQ168" i="59"/>
  <c r="CF122" i="59"/>
  <c r="AL41" i="5"/>
  <c r="DW168" i="59"/>
  <c r="DL122" i="59"/>
  <c r="AG41" i="5"/>
  <c r="DR168" i="59"/>
  <c r="DG122" i="59"/>
  <c r="AB41" i="5"/>
  <c r="DM168" i="59"/>
  <c r="DB122" i="59"/>
  <c r="D40" i="5"/>
  <c r="AR168" i="59"/>
  <c r="GO129" i="59"/>
  <c r="CH158" i="59"/>
  <c r="HJ191" i="59"/>
  <c r="S227" i="5"/>
  <c r="AK205" i="59"/>
  <c r="CN133" i="59"/>
  <c r="V150" i="5"/>
  <c r="IG189" i="59"/>
  <c r="HY131" i="59"/>
  <c r="AG161" i="5"/>
  <c r="AR192" i="59"/>
  <c r="AS132" i="59"/>
  <c r="AI161" i="5"/>
  <c r="AT192" i="59"/>
  <c r="AU132" i="59"/>
  <c r="AJ282" i="5"/>
  <c r="R216" i="59"/>
  <c r="DN134" i="59"/>
  <c r="AD194" i="5"/>
  <c r="FN198" i="59"/>
  <c r="GP132" i="59"/>
  <c r="AG194" i="5"/>
  <c r="FQ198" i="59"/>
  <c r="GS132" i="59"/>
  <c r="AN205" i="5"/>
  <c r="HO200" i="59"/>
  <c r="I133" i="59"/>
  <c r="M172" i="5"/>
  <c r="BO194" i="59"/>
  <c r="BY132" i="59"/>
  <c r="AO41" i="5"/>
  <c r="DZ168" i="59"/>
  <c r="DO122" i="59"/>
  <c r="D271" i="5"/>
  <c r="GL213" i="59"/>
  <c r="AH134" i="59"/>
  <c r="DO158" i="59"/>
  <c r="IQ191" i="59"/>
  <c r="H260" i="5"/>
  <c r="EY211" i="59"/>
  <c r="IC133" i="59"/>
  <c r="D216" i="5"/>
  <c r="HV202" i="59"/>
  <c r="Y133" i="59"/>
  <c r="D260" i="5"/>
  <c r="EU211" i="59"/>
  <c r="HY133" i="59"/>
  <c r="DI158" i="59"/>
  <c r="IK191" i="59"/>
  <c r="H282" i="5"/>
  <c r="IG215" i="59"/>
  <c r="CL134" i="59"/>
  <c r="E139" i="5"/>
  <c r="FY187" i="59"/>
  <c r="FH131" i="59"/>
  <c r="G216" i="5"/>
  <c r="HY202" i="59"/>
  <c r="AB133" i="59"/>
  <c r="AI183" i="5"/>
  <c r="EB196" i="59"/>
  <c r="EU132" i="59"/>
  <c r="AL183" i="5"/>
  <c r="EE196" i="59"/>
  <c r="EX132" i="59"/>
  <c r="AO227" i="5"/>
  <c r="BG205" i="59"/>
  <c r="DJ133" i="59"/>
  <c r="J150" i="5"/>
  <c r="HU189" i="59"/>
  <c r="HM131" i="59"/>
  <c r="L150" i="5"/>
  <c r="HW189" i="59"/>
  <c r="HO131" i="59"/>
  <c r="P139" i="5"/>
  <c r="GJ187" i="59"/>
  <c r="FS131" i="59"/>
  <c r="V161" i="5"/>
  <c r="AG192" i="59"/>
  <c r="AH132" i="59"/>
  <c r="V282" i="5"/>
  <c r="IU215" i="59"/>
  <c r="CZ134" i="59"/>
  <c r="AJ238" i="5"/>
  <c r="CS207" i="59"/>
  <c r="FE133" i="59"/>
  <c r="AK238" i="5"/>
  <c r="CT207" i="59"/>
  <c r="FF133" i="59"/>
  <c r="N260" i="5"/>
  <c r="FE211" i="59"/>
  <c r="II133" i="59"/>
  <c r="Q216" i="5"/>
  <c r="II202" i="59"/>
  <c r="AL133" i="59"/>
  <c r="R194" i="5"/>
  <c r="FB198" i="59"/>
  <c r="GD132" i="59"/>
  <c r="T194" i="5"/>
  <c r="FD198" i="59"/>
  <c r="GF132" i="59"/>
  <c r="Z205" i="5"/>
  <c r="HA200" i="59"/>
  <c r="IL132" i="59"/>
  <c r="AB205" i="5"/>
  <c r="HC200" i="59"/>
  <c r="IN132" i="59"/>
  <c r="AG172" i="5"/>
  <c r="CI194" i="59"/>
  <c r="CS132" i="59"/>
  <c r="AI172" i="5"/>
  <c r="CK194" i="59"/>
  <c r="CU132" i="59"/>
  <c r="Z41" i="5"/>
  <c r="DK168" i="59"/>
  <c r="CZ122" i="59"/>
  <c r="D84" i="5"/>
  <c r="HH176" i="59"/>
  <c r="EX130" i="59"/>
  <c r="CI158" i="59"/>
  <c r="HK191" i="59"/>
  <c r="G227" i="5"/>
  <c r="Y205" i="59"/>
  <c r="CB133" i="59"/>
  <c r="G172" i="5"/>
  <c r="BI194" i="59"/>
  <c r="BS132" i="59"/>
  <c r="F238" i="5"/>
  <c r="BO207" i="59"/>
  <c r="EA133" i="59"/>
  <c r="AF183" i="5"/>
  <c r="DY196" i="59"/>
  <c r="ER132" i="59"/>
  <c r="AK227" i="5"/>
  <c r="BC205" i="59"/>
  <c r="DF133" i="59"/>
  <c r="AM150" i="5"/>
  <c r="G190" i="59"/>
  <c r="IP131" i="59"/>
  <c r="I150" i="5"/>
  <c r="HT189" i="59"/>
  <c r="HL131" i="59"/>
  <c r="M139" i="5"/>
  <c r="GG187" i="59"/>
  <c r="FP131" i="59"/>
  <c r="R161" i="5"/>
  <c r="AC192" i="59"/>
  <c r="AD132" i="59"/>
  <c r="R282" i="5"/>
  <c r="IQ215" i="59"/>
  <c r="CV134" i="59"/>
  <c r="AE238" i="5"/>
  <c r="CN207" i="59"/>
  <c r="EZ133" i="59"/>
  <c r="AK271" i="5"/>
  <c r="HS213" i="59"/>
  <c r="BO134" i="59"/>
  <c r="I260" i="5"/>
  <c r="EZ211" i="59"/>
  <c r="ID133" i="59"/>
  <c r="L216" i="5"/>
  <c r="ID202" i="59"/>
  <c r="AG133" i="59"/>
  <c r="O216" i="5"/>
  <c r="IG202" i="59"/>
  <c r="AJ133" i="59"/>
  <c r="P194" i="5"/>
  <c r="EZ198" i="59"/>
  <c r="GB132" i="59"/>
  <c r="V205" i="5"/>
  <c r="GW200" i="59"/>
  <c r="IH132" i="59"/>
  <c r="AB249" i="5"/>
  <c r="EB209" i="59"/>
  <c r="GW133" i="59"/>
  <c r="AD172" i="5"/>
  <c r="CF194" i="59"/>
  <c r="CP132" i="59"/>
  <c r="AI41" i="5"/>
  <c r="DT168" i="59"/>
  <c r="DI122" i="59"/>
  <c r="AD41" i="5"/>
  <c r="DO168" i="59"/>
  <c r="DD122" i="59"/>
  <c r="T41" i="5"/>
  <c r="DE168" i="59"/>
  <c r="CT122" i="59"/>
  <c r="D205" i="5"/>
  <c r="GE200" i="59"/>
  <c r="HP132" i="59"/>
  <c r="CM158" i="59"/>
  <c r="HO191" i="59"/>
  <c r="D172" i="5"/>
  <c r="BF194" i="59"/>
  <c r="BP132" i="59"/>
  <c r="D249" i="5"/>
  <c r="DD209" i="59"/>
  <c r="FY133" i="59"/>
  <c r="CN158" i="59"/>
  <c r="HP191" i="59"/>
  <c r="DF158" i="59"/>
  <c r="IH191" i="59"/>
  <c r="DA158" i="59"/>
  <c r="IC191" i="59"/>
  <c r="IN191" i="59"/>
  <c r="DL158" i="59"/>
  <c r="CY158" i="59"/>
  <c r="IA191" i="59"/>
  <c r="CO158" i="59"/>
  <c r="HQ191" i="59"/>
  <c r="H227" i="5"/>
  <c r="Z205" i="59"/>
  <c r="CC133" i="59"/>
  <c r="E150" i="5"/>
  <c r="HP189" i="59"/>
  <c r="HH131" i="59"/>
  <c r="G161" i="5"/>
  <c r="R192" i="59"/>
  <c r="S132" i="59"/>
  <c r="E249" i="5"/>
  <c r="DE209" i="59"/>
  <c r="FZ133" i="59"/>
  <c r="G194" i="5"/>
  <c r="EQ198" i="59"/>
  <c r="FS132" i="59"/>
  <c r="G51" i="5"/>
  <c r="CL170" i="59"/>
  <c r="IR129" i="59"/>
  <c r="G260" i="5"/>
  <c r="EX211" i="59"/>
  <c r="IB133" i="59"/>
  <c r="S183" i="5"/>
  <c r="DL196" i="59"/>
  <c r="EE132" i="59"/>
  <c r="T183" i="5"/>
  <c r="DM196" i="59"/>
  <c r="EF132" i="59"/>
  <c r="U183" i="5"/>
  <c r="DN196" i="59"/>
  <c r="EG132" i="59"/>
  <c r="V183" i="5"/>
  <c r="DO196" i="59"/>
  <c r="EH132" i="59"/>
  <c r="W227" i="5"/>
  <c r="AO205" i="59"/>
  <c r="CR133" i="59"/>
  <c r="Y227" i="5"/>
  <c r="AQ205" i="59"/>
  <c r="CT133" i="59"/>
  <c r="Z227" i="5"/>
  <c r="AR205" i="59"/>
  <c r="CU133" i="59"/>
  <c r="Z150" i="5"/>
  <c r="IK189" i="59"/>
  <c r="IC131" i="59"/>
  <c r="AA150" i="5"/>
  <c r="IL189" i="59"/>
  <c r="ID131" i="59"/>
  <c r="AB150" i="5"/>
  <c r="IM189" i="59"/>
  <c r="IE131" i="59"/>
  <c r="AC150" i="5"/>
  <c r="IN189" i="59"/>
  <c r="IF131" i="59"/>
  <c r="AE139" i="5"/>
  <c r="GY187" i="59"/>
  <c r="GH131" i="59"/>
  <c r="AF139" i="5"/>
  <c r="GZ187" i="59"/>
  <c r="GI131" i="59"/>
  <c r="AG139" i="5"/>
  <c r="HA187" i="59"/>
  <c r="GJ131" i="59"/>
  <c r="AH139" i="5"/>
  <c r="HB187" i="59"/>
  <c r="GK131" i="59"/>
  <c r="AK161" i="5"/>
  <c r="AV192" i="59"/>
  <c r="AW132" i="59"/>
  <c r="AL161" i="5"/>
  <c r="AW192" i="59"/>
  <c r="AX132" i="59"/>
  <c r="AM161" i="5"/>
  <c r="AX192" i="59"/>
  <c r="AY132" i="59"/>
  <c r="AN161" i="5"/>
  <c r="AY192" i="59"/>
  <c r="AZ132" i="59"/>
  <c r="AL282" i="5"/>
  <c r="T216" i="59"/>
  <c r="DP134" i="59"/>
  <c r="AN282" i="5"/>
  <c r="V216" i="59"/>
  <c r="DR134" i="59"/>
  <c r="AO282" i="5"/>
  <c r="W216" i="59"/>
  <c r="DS134" i="59"/>
  <c r="I282" i="5"/>
  <c r="IH215" i="59"/>
  <c r="CM134" i="59"/>
  <c r="Q40" i="5"/>
  <c r="BE168" i="59"/>
  <c r="HB129" i="59"/>
  <c r="R238" i="5"/>
  <c r="CA207" i="59"/>
  <c r="EM133" i="59"/>
  <c r="S238" i="5"/>
  <c r="CB207" i="59"/>
  <c r="EN133" i="59"/>
  <c r="T238" i="5"/>
  <c r="CC207" i="59"/>
  <c r="EO133" i="59"/>
  <c r="U238" i="5"/>
  <c r="CD207" i="59"/>
  <c r="EP133" i="59"/>
  <c r="W271" i="5"/>
  <c r="HE213" i="59"/>
  <c r="BA134" i="59"/>
  <c r="Y271" i="5"/>
  <c r="HG213" i="59"/>
  <c r="BC134" i="59"/>
  <c r="AB260" i="5"/>
  <c r="FS211" i="59"/>
  <c r="F134" i="59"/>
  <c r="AC260" i="5"/>
  <c r="FT211" i="59"/>
  <c r="G134" i="59"/>
  <c r="AD260" i="5"/>
  <c r="FU211" i="59"/>
  <c r="H134" i="59"/>
  <c r="AF216" i="5"/>
  <c r="G203" i="59"/>
  <c r="BA133" i="59"/>
  <c r="AG216" i="5"/>
  <c r="H203" i="59"/>
  <c r="BB133" i="59"/>
  <c r="AH216" i="5"/>
  <c r="I203" i="59"/>
  <c r="BC133" i="59"/>
  <c r="AI216" i="5"/>
  <c r="J203" i="59"/>
  <c r="BD133" i="59"/>
  <c r="AH194" i="5"/>
  <c r="FR198" i="59"/>
  <c r="GT132" i="59"/>
  <c r="AK194" i="5"/>
  <c r="FU198" i="59"/>
  <c r="GW132" i="59"/>
  <c r="I205" i="5"/>
  <c r="GJ200" i="59"/>
  <c r="HU132" i="59"/>
  <c r="J205" i="5"/>
  <c r="GK200" i="59"/>
  <c r="HV132" i="59"/>
  <c r="K205" i="5"/>
  <c r="GL200" i="59"/>
  <c r="HW132" i="59"/>
  <c r="L205" i="5"/>
  <c r="GM200" i="59"/>
  <c r="HX132" i="59"/>
  <c r="P172" i="5"/>
  <c r="BR194" i="59"/>
  <c r="CB132" i="59"/>
  <c r="Q172" i="5"/>
  <c r="BS194" i="59"/>
  <c r="CC132" i="59"/>
  <c r="R172" i="5"/>
  <c r="BT194" i="59"/>
  <c r="CD132" i="59"/>
  <c r="O41" i="5"/>
  <c r="CZ168" i="59"/>
  <c r="CO122" i="59"/>
  <c r="J41" i="5"/>
  <c r="CU168" i="59"/>
  <c r="CJ122" i="59"/>
  <c r="E41" i="5"/>
  <c r="CP168" i="59"/>
  <c r="CE122" i="59"/>
  <c r="AK41" i="5"/>
  <c r="DV168" i="59"/>
  <c r="DK122" i="59"/>
  <c r="AF41" i="5"/>
  <c r="DQ168" i="59"/>
  <c r="DF122" i="59"/>
  <c r="S242" i="40"/>
  <c r="EA151" i="59"/>
  <c r="DV151" i="59"/>
  <c r="AN30" i="5"/>
  <c r="CH166" i="59"/>
  <c r="BN122" i="59"/>
  <c r="AF30" i="5"/>
  <c r="BZ166" i="59"/>
  <c r="BF122" i="59"/>
  <c r="AA30" i="5"/>
  <c r="BU166" i="59"/>
  <c r="BA122" i="59"/>
  <c r="V30" i="5"/>
  <c r="BP166" i="59"/>
  <c r="AV122" i="59"/>
  <c r="Q30" i="5"/>
  <c r="BK166" i="59"/>
  <c r="AQ122" i="59"/>
  <c r="AJ30" i="5"/>
  <c r="CD166" i="59"/>
  <c r="BJ122" i="59"/>
  <c r="AE30" i="5"/>
  <c r="BY166" i="59"/>
  <c r="BE122" i="59"/>
  <c r="Z30" i="5"/>
  <c r="BT166" i="59"/>
  <c r="AZ122" i="59"/>
  <c r="U30" i="5"/>
  <c r="BO166" i="59"/>
  <c r="AU122" i="59"/>
  <c r="AI30" i="5"/>
  <c r="CC166" i="59"/>
  <c r="BI122" i="59"/>
  <c r="L30" i="5"/>
  <c r="BF166" i="59"/>
  <c r="AL122" i="59"/>
  <c r="G30" i="5"/>
  <c r="BA166" i="59"/>
  <c r="AG122" i="59"/>
  <c r="AM30" i="5"/>
  <c r="CG166" i="59"/>
  <c r="BM122" i="59"/>
  <c r="AH30" i="5"/>
  <c r="CB166" i="59"/>
  <c r="BH122" i="59"/>
  <c r="AC30" i="5"/>
  <c r="BW166" i="59"/>
  <c r="BC122" i="59"/>
  <c r="P30" i="5"/>
  <c r="BJ166" i="59"/>
  <c r="AP122" i="59"/>
  <c r="K30" i="5"/>
  <c r="BE166" i="59"/>
  <c r="AK122" i="59"/>
  <c r="F30" i="5"/>
  <c r="AZ166" i="59"/>
  <c r="AF122" i="59"/>
  <c r="AL30" i="5"/>
  <c r="CF166" i="59"/>
  <c r="BL122" i="59"/>
  <c r="AG30" i="5"/>
  <c r="CA166" i="59"/>
  <c r="BG122" i="59"/>
  <c r="H30" i="5"/>
  <c r="BB166" i="59"/>
  <c r="AH122" i="59"/>
  <c r="Y30" i="5"/>
  <c r="BS166" i="59"/>
  <c r="AY122" i="59"/>
  <c r="T30" i="5"/>
  <c r="BN166" i="59"/>
  <c r="AT122" i="59"/>
  <c r="E30" i="5"/>
  <c r="AY166" i="59"/>
  <c r="AE122" i="59"/>
  <c r="X30" i="5"/>
  <c r="BR166" i="59"/>
  <c r="AX122" i="59"/>
  <c r="S30" i="5"/>
  <c r="BM166" i="59"/>
  <c r="AS122" i="59"/>
  <c r="N30" i="5"/>
  <c r="BH166" i="59"/>
  <c r="AN122" i="59"/>
  <c r="I30" i="5"/>
  <c r="BC166" i="59"/>
  <c r="AI122" i="59"/>
  <c r="AO30" i="5"/>
  <c r="CI166" i="59"/>
  <c r="BO122" i="59"/>
  <c r="AD30" i="5"/>
  <c r="BX166" i="59"/>
  <c r="BD122" i="59"/>
  <c r="O30" i="5"/>
  <c r="BI166" i="59"/>
  <c r="AO122" i="59"/>
  <c r="J30" i="5"/>
  <c r="BD166" i="59"/>
  <c r="AJ122" i="59"/>
  <c r="AK30" i="5"/>
  <c r="CE166" i="59"/>
  <c r="BK122" i="59"/>
  <c r="AB30" i="5"/>
  <c r="BV166" i="59"/>
  <c r="BB122" i="59"/>
  <c r="W30" i="5"/>
  <c r="BQ166" i="59"/>
  <c r="AW122" i="59"/>
  <c r="R30" i="5"/>
  <c r="BL166" i="59"/>
  <c r="AR122" i="59"/>
  <c r="M30" i="5"/>
  <c r="BG166" i="59"/>
  <c r="AM122" i="59"/>
  <c r="C22" i="7"/>
  <c r="IB299" i="59"/>
  <c r="D52" i="5"/>
  <c r="EF170" i="59"/>
  <c r="D74" i="5"/>
  <c r="HN174" i="59"/>
  <c r="D41" i="5"/>
  <c r="CO168" i="59"/>
  <c r="D238" i="5"/>
  <c r="BM207" i="59"/>
  <c r="D85" i="5"/>
  <c r="N177" i="59"/>
  <c r="AG282" i="5"/>
  <c r="O216" i="59"/>
  <c r="AE282" i="5"/>
  <c r="M216" i="59"/>
  <c r="AM282" i="5"/>
  <c r="U216" i="59"/>
  <c r="AD282" i="5"/>
  <c r="L216" i="59"/>
  <c r="AF282" i="5"/>
  <c r="N216" i="59"/>
  <c r="AH282" i="5"/>
  <c r="P216" i="59"/>
  <c r="O271" i="5"/>
  <c r="GW213" i="59"/>
  <c r="P271" i="5"/>
  <c r="GX213" i="59"/>
  <c r="Q271" i="5"/>
  <c r="GY213" i="59"/>
  <c r="R271" i="5"/>
  <c r="GZ213" i="59"/>
  <c r="K271" i="5"/>
  <c r="GS213" i="59"/>
  <c r="L271" i="5"/>
  <c r="GT213" i="59"/>
  <c r="AM271" i="5"/>
  <c r="HU213" i="59"/>
  <c r="AN271" i="5"/>
  <c r="HV213" i="59"/>
  <c r="J271" i="5"/>
  <c r="GR213" i="59"/>
  <c r="AL271" i="5"/>
  <c r="HT213" i="59"/>
  <c r="AA271" i="5"/>
  <c r="HI213" i="59"/>
  <c r="AC271" i="5"/>
  <c r="HK213" i="59"/>
  <c r="AI271" i="5"/>
  <c r="HQ213" i="59"/>
  <c r="AH271" i="5"/>
  <c r="HP213" i="59"/>
  <c r="X271" i="5"/>
  <c r="HF213" i="59"/>
  <c r="Z271" i="5"/>
  <c r="HH213" i="59"/>
  <c r="F271" i="5"/>
  <c r="GN213" i="59"/>
  <c r="AJ271" i="5"/>
  <c r="HR213" i="59"/>
  <c r="AE271" i="5"/>
  <c r="HM213" i="59"/>
  <c r="S271" i="5"/>
  <c r="HA213" i="59"/>
  <c r="T271" i="5"/>
  <c r="HB213" i="59"/>
  <c r="V271" i="5"/>
  <c r="HD213" i="59"/>
  <c r="W260" i="5"/>
  <c r="FN211" i="59"/>
  <c r="U260" i="5"/>
  <c r="FL211" i="59"/>
  <c r="T260" i="5"/>
  <c r="FK211" i="59"/>
  <c r="AE260" i="5"/>
  <c r="FV211" i="59"/>
  <c r="V260" i="5"/>
  <c r="FM211" i="59"/>
  <c r="E260" i="5"/>
  <c r="EV211" i="59"/>
  <c r="Y260" i="5"/>
  <c r="FP211" i="59"/>
  <c r="AA260" i="5"/>
  <c r="FR211" i="59"/>
  <c r="AL249" i="5"/>
  <c r="EL209" i="59"/>
  <c r="AN249" i="5"/>
  <c r="EN209" i="59"/>
  <c r="AI249" i="5"/>
  <c r="EI209" i="59"/>
  <c r="AJ249" i="5"/>
  <c r="EJ209" i="59"/>
  <c r="AE249" i="5"/>
  <c r="EE209" i="59"/>
  <c r="AF249" i="5"/>
  <c r="EF209" i="59"/>
  <c r="Y249" i="5"/>
  <c r="DY209" i="59"/>
  <c r="Z249" i="5"/>
  <c r="DZ209" i="59"/>
  <c r="AM249" i="5"/>
  <c r="EM209" i="59"/>
  <c r="U249" i="5"/>
  <c r="DU209" i="59"/>
  <c r="M249" i="5"/>
  <c r="DM209" i="59"/>
  <c r="N249" i="5"/>
  <c r="DN209" i="59"/>
  <c r="O249" i="5"/>
  <c r="DO209" i="59"/>
  <c r="P249" i="5"/>
  <c r="DP209" i="59"/>
  <c r="AK249" i="5"/>
  <c r="EK209" i="59"/>
  <c r="AC249" i="5"/>
  <c r="EC209" i="59"/>
  <c r="W249" i="5"/>
  <c r="DW209" i="59"/>
  <c r="F249" i="5"/>
  <c r="DF209" i="59"/>
  <c r="AO249" i="5"/>
  <c r="EO209" i="59"/>
  <c r="I249" i="5"/>
  <c r="DI209" i="59"/>
  <c r="L249" i="5"/>
  <c r="DL209" i="59"/>
  <c r="J238" i="5"/>
  <c r="BS207" i="59"/>
  <c r="M238" i="5"/>
  <c r="BV207" i="59"/>
  <c r="K238" i="5"/>
  <c r="BT207" i="59"/>
  <c r="L238" i="5"/>
  <c r="BU207" i="59"/>
  <c r="R227" i="5"/>
  <c r="AJ205" i="59"/>
  <c r="Q227" i="5"/>
  <c r="AI205" i="59"/>
  <c r="O227" i="5"/>
  <c r="AG205" i="59"/>
  <c r="X227" i="5"/>
  <c r="AP205" i="59"/>
  <c r="AA216" i="5"/>
  <c r="IS202" i="59"/>
  <c r="X216" i="5"/>
  <c r="IP202" i="59"/>
  <c r="Z216" i="5"/>
  <c r="IR202" i="59"/>
  <c r="Y216" i="5"/>
  <c r="IQ202" i="59"/>
  <c r="AD216" i="5"/>
  <c r="IV202" i="59"/>
  <c r="AE216" i="5"/>
  <c r="F203" i="59"/>
  <c r="AG205" i="5"/>
  <c r="HH200" i="59"/>
  <c r="AI205" i="5"/>
  <c r="HJ200" i="59"/>
  <c r="AJ205" i="5"/>
  <c r="HK200" i="59"/>
  <c r="AH205" i="5"/>
  <c r="HI200" i="59"/>
  <c r="AO205" i="5"/>
  <c r="HP200" i="59"/>
  <c r="F205" i="5"/>
  <c r="GG200" i="59"/>
  <c r="E205" i="5"/>
  <c r="GF200" i="59"/>
  <c r="AA194" i="5"/>
  <c r="FK198" i="59"/>
  <c r="Z194" i="5"/>
  <c r="FJ198" i="59"/>
  <c r="AC194" i="5"/>
  <c r="FM198" i="59"/>
  <c r="AI194" i="5"/>
  <c r="FS198" i="59"/>
  <c r="AJ194" i="5"/>
  <c r="FT198" i="59"/>
  <c r="AB194" i="5"/>
  <c r="FL198" i="59"/>
  <c r="AE194" i="5"/>
  <c r="FO198" i="59"/>
  <c r="E183" i="5"/>
  <c r="CX196" i="59"/>
  <c r="N183" i="5"/>
  <c r="DG196" i="59"/>
  <c r="O183" i="5"/>
  <c r="DH196" i="59"/>
  <c r="P183" i="5"/>
  <c r="DI196" i="59"/>
  <c r="Q183" i="5"/>
  <c r="DJ196" i="59"/>
  <c r="R183" i="5"/>
  <c r="DK196" i="59"/>
  <c r="AN172" i="5"/>
  <c r="CP194" i="59"/>
  <c r="I172" i="5"/>
  <c r="BK194" i="59"/>
  <c r="K172" i="5"/>
  <c r="BM194" i="59"/>
  <c r="S172" i="5"/>
  <c r="BU194" i="59"/>
  <c r="AO172" i="5"/>
  <c r="CQ194" i="59"/>
  <c r="J172" i="5"/>
  <c r="BL194" i="59"/>
  <c r="L172" i="5"/>
  <c r="BN194" i="59"/>
  <c r="O172" i="5"/>
  <c r="BQ194" i="59"/>
  <c r="AC161" i="5"/>
  <c r="AN192" i="59"/>
  <c r="AH161" i="5"/>
  <c r="AS192" i="59"/>
  <c r="AJ161" i="5"/>
  <c r="AU192" i="59"/>
  <c r="G150" i="5"/>
  <c r="HR189" i="59"/>
  <c r="S150" i="5"/>
  <c r="ID189" i="59"/>
  <c r="T150" i="5"/>
  <c r="IE189" i="59"/>
  <c r="U150" i="5"/>
  <c r="IF189" i="59"/>
  <c r="F150" i="5"/>
  <c r="HQ189" i="59"/>
  <c r="H139" i="5"/>
  <c r="GB187" i="59"/>
  <c r="AB139" i="5"/>
  <c r="GV187" i="59"/>
  <c r="AD139" i="5"/>
  <c r="GX187" i="59"/>
  <c r="AN117" i="5"/>
  <c r="DZ183" i="59"/>
  <c r="AG117" i="5"/>
  <c r="DS183" i="59"/>
  <c r="AH117" i="5"/>
  <c r="DT183" i="59"/>
  <c r="AI117" i="5"/>
  <c r="DU183" i="59"/>
  <c r="AJ117" i="5"/>
  <c r="DV183" i="59"/>
  <c r="AC117" i="5"/>
  <c r="DO183" i="59"/>
  <c r="AD117" i="5"/>
  <c r="DP183" i="59"/>
  <c r="AE117" i="5"/>
  <c r="DQ183" i="59"/>
  <c r="AF117" i="5"/>
  <c r="DR183" i="59"/>
  <c r="AK117" i="5"/>
  <c r="DW183" i="59"/>
  <c r="Z117" i="5"/>
  <c r="DL183" i="59"/>
  <c r="AA117" i="5"/>
  <c r="DM183" i="59"/>
  <c r="AB117" i="5"/>
  <c r="DN183" i="59"/>
  <c r="W117" i="5"/>
  <c r="DI183" i="59"/>
  <c r="E117" i="5"/>
  <c r="CQ183" i="59"/>
  <c r="Q117" i="5"/>
  <c r="DC183" i="59"/>
  <c r="R117" i="5"/>
  <c r="DD183" i="59"/>
  <c r="S117" i="5"/>
  <c r="DE183" i="59"/>
  <c r="T117" i="5"/>
  <c r="DF183" i="59"/>
  <c r="AL117" i="5"/>
  <c r="DX183" i="59"/>
  <c r="U117" i="5"/>
  <c r="DG183" i="59"/>
  <c r="X117" i="5"/>
  <c r="DJ183" i="59"/>
  <c r="F117" i="5"/>
  <c r="CR183" i="59"/>
  <c r="M117" i="5"/>
  <c r="CY183" i="59"/>
  <c r="N117" i="5"/>
  <c r="CZ183" i="59"/>
  <c r="O117" i="5"/>
  <c r="DA183" i="59"/>
  <c r="P117" i="5"/>
  <c r="DB183" i="59"/>
  <c r="H117" i="5"/>
  <c r="CT183" i="59"/>
  <c r="AM117" i="5"/>
  <c r="DY183" i="59"/>
  <c r="Y117" i="5"/>
  <c r="DK183" i="59"/>
  <c r="V117" i="5"/>
  <c r="DH183" i="59"/>
  <c r="G117" i="5"/>
  <c r="CS183" i="59"/>
  <c r="AO117" i="5"/>
  <c r="EA183" i="59"/>
  <c r="I117" i="5"/>
  <c r="CU183" i="59"/>
  <c r="J117" i="5"/>
  <c r="CV183" i="59"/>
  <c r="K117" i="5"/>
  <c r="CW183" i="59"/>
  <c r="L117" i="5"/>
  <c r="CX183" i="59"/>
  <c r="Y85" i="5"/>
  <c r="AI177" i="59"/>
  <c r="E85" i="5"/>
  <c r="O177" i="59"/>
  <c r="K85" i="5"/>
  <c r="U177" i="59"/>
  <c r="V85" i="5"/>
  <c r="M85" i="5"/>
  <c r="W177" i="59"/>
  <c r="N85" i="5"/>
  <c r="X177" i="59"/>
  <c r="AF85" i="5"/>
  <c r="AP177" i="59"/>
  <c r="R85" i="5"/>
  <c r="AB177" i="59"/>
  <c r="AL85" i="5"/>
  <c r="AV177" i="59"/>
  <c r="AN85" i="5"/>
  <c r="AX177" i="59"/>
  <c r="F85" i="5"/>
  <c r="P177" i="59"/>
  <c r="AM85" i="5"/>
  <c r="AW177" i="59"/>
  <c r="Q85" i="5"/>
  <c r="AA177" i="59"/>
  <c r="AD85" i="5"/>
  <c r="AN177" i="59"/>
  <c r="AG85" i="5"/>
  <c r="AQ177" i="59"/>
  <c r="AC85" i="5"/>
  <c r="AM177" i="59"/>
  <c r="AK85" i="5"/>
  <c r="AU177" i="59"/>
  <c r="P85" i="5"/>
  <c r="Z177" i="59"/>
  <c r="U85" i="5"/>
  <c r="AE177" i="59"/>
  <c r="AH85" i="5"/>
  <c r="AR177" i="59"/>
  <c r="I85" i="5"/>
  <c r="S177" i="59"/>
  <c r="AB85" i="5"/>
  <c r="AL177" i="59"/>
  <c r="AA85" i="5"/>
  <c r="AK177" i="59"/>
  <c r="H85" i="5"/>
  <c r="R177" i="59"/>
  <c r="AI85" i="5"/>
  <c r="AS177" i="59"/>
  <c r="L85" i="5"/>
  <c r="V177" i="59"/>
  <c r="AJ85" i="5"/>
  <c r="AT177" i="59"/>
  <c r="T85" i="5"/>
  <c r="AD177" i="59"/>
  <c r="X85" i="5"/>
  <c r="AH177" i="59"/>
  <c r="Z85" i="5"/>
  <c r="AJ177" i="59"/>
  <c r="O85" i="5"/>
  <c r="Y177" i="59"/>
  <c r="AE85" i="5"/>
  <c r="AO177" i="59"/>
  <c r="AO85" i="5"/>
  <c r="AY177" i="59"/>
  <c r="W85" i="5"/>
  <c r="AG177" i="59"/>
  <c r="S85" i="5"/>
  <c r="AC177" i="59"/>
  <c r="J85" i="5"/>
  <c r="T177" i="59"/>
  <c r="G85" i="5"/>
  <c r="Q177" i="59"/>
  <c r="AO74" i="5"/>
  <c r="H175" i="59"/>
  <c r="O74" i="5"/>
  <c r="HY174" i="59"/>
  <c r="Q74" i="5"/>
  <c r="IA174" i="59"/>
  <c r="K74" i="5"/>
  <c r="U74" i="5"/>
  <c r="IE174" i="59"/>
  <c r="H74" i="5"/>
  <c r="HR174" i="59"/>
  <c r="L74" i="5"/>
  <c r="HV174" i="59"/>
  <c r="P74" i="5"/>
  <c r="HZ174" i="59"/>
  <c r="Z74" i="5"/>
  <c r="IJ174" i="59"/>
  <c r="Y74" i="5"/>
  <c r="II174" i="59"/>
  <c r="AD74" i="5"/>
  <c r="IN174" i="59"/>
  <c r="AL74" i="5"/>
  <c r="IV174" i="59"/>
  <c r="AN74" i="5"/>
  <c r="G175" i="59"/>
  <c r="N74" i="5"/>
  <c r="HX174" i="59"/>
  <c r="R74" i="5"/>
  <c r="IB174" i="59"/>
  <c r="V74" i="5"/>
  <c r="IF174" i="59"/>
  <c r="AE74" i="5"/>
  <c r="IO174" i="59"/>
  <c r="AC74" i="5"/>
  <c r="IM174" i="59"/>
  <c r="AI74" i="5"/>
  <c r="IS174" i="59"/>
  <c r="J74" i="5"/>
  <c r="HT174" i="59"/>
  <c r="F74" i="5"/>
  <c r="HP174" i="59"/>
  <c r="S74" i="5"/>
  <c r="IC174" i="59"/>
  <c r="W74" i="5"/>
  <c r="IG174" i="59"/>
  <c r="AA74" i="5"/>
  <c r="IK174" i="59"/>
  <c r="AJ74" i="5"/>
  <c r="IT174" i="59"/>
  <c r="AG74" i="5"/>
  <c r="IQ174" i="59"/>
  <c r="AH74" i="5"/>
  <c r="IR174" i="59"/>
  <c r="I74" i="5"/>
  <c r="HS174" i="59"/>
  <c r="AM74" i="5"/>
  <c r="F175" i="59"/>
  <c r="M74" i="5"/>
  <c r="HW174" i="59"/>
  <c r="G74" i="5"/>
  <c r="HQ174" i="59"/>
  <c r="T74" i="5"/>
  <c r="ID174" i="59"/>
  <c r="X74" i="5"/>
  <c r="IH174" i="59"/>
  <c r="AB74" i="5"/>
  <c r="IL174" i="59"/>
  <c r="AF74" i="5"/>
  <c r="IP174" i="59"/>
  <c r="E74" i="5"/>
  <c r="HO174" i="59"/>
  <c r="AK74" i="5"/>
  <c r="IU174" i="59"/>
  <c r="S51" i="5"/>
  <c r="CX170" i="59"/>
  <c r="T51" i="5"/>
  <c r="CY170" i="59"/>
  <c r="U51" i="5"/>
  <c r="CZ170" i="59"/>
  <c r="V51" i="5"/>
  <c r="DA170" i="59"/>
  <c r="AI52" i="5"/>
  <c r="FK170" i="59"/>
  <c r="L52" i="5"/>
  <c r="EN170" i="59"/>
  <c r="P52" i="5"/>
  <c r="ER170" i="59"/>
  <c r="AN52" i="5"/>
  <c r="FP170" i="59"/>
  <c r="M52" i="5"/>
  <c r="EO170" i="59"/>
  <c r="E51" i="5"/>
  <c r="CJ170" i="59"/>
  <c r="O51" i="5"/>
  <c r="CT170" i="59"/>
  <c r="P51" i="5"/>
  <c r="CU170" i="59"/>
  <c r="Q51" i="5"/>
  <c r="CV170" i="59"/>
  <c r="R51" i="5"/>
  <c r="CW170" i="59"/>
  <c r="Y52" i="5"/>
  <c r="FA170" i="59"/>
  <c r="I52" i="5"/>
  <c r="EK170" i="59"/>
  <c r="N52" i="5"/>
  <c r="EP170" i="59"/>
  <c r="S52" i="5"/>
  <c r="EU170" i="59"/>
  <c r="F51" i="5"/>
  <c r="CK170" i="59"/>
  <c r="K51" i="5"/>
  <c r="CP170" i="59"/>
  <c r="L51" i="5"/>
  <c r="CQ170" i="59"/>
  <c r="M51" i="5"/>
  <c r="CR170" i="59"/>
  <c r="N51" i="5"/>
  <c r="CS170" i="59"/>
  <c r="U52" i="5"/>
  <c r="EW170" i="59"/>
  <c r="J52" i="5"/>
  <c r="EL170" i="59"/>
  <c r="W52" i="5"/>
  <c r="EY170" i="59"/>
  <c r="K52" i="5"/>
  <c r="EM170" i="59"/>
  <c r="H51" i="5"/>
  <c r="CM170" i="59"/>
  <c r="AM51" i="5"/>
  <c r="DR170" i="59"/>
  <c r="AM52" i="5"/>
  <c r="FO170" i="59"/>
  <c r="AO52" i="5"/>
  <c r="FQ170" i="59"/>
  <c r="AJ51" i="5"/>
  <c r="DO170" i="59"/>
  <c r="F52" i="5"/>
  <c r="EH170" i="59"/>
  <c r="AE51" i="5"/>
  <c r="DJ170" i="59"/>
  <c r="AF51" i="5"/>
  <c r="DK170" i="59"/>
  <c r="AG51" i="5"/>
  <c r="DL170" i="59"/>
  <c r="AH51" i="5"/>
  <c r="DM170" i="59"/>
  <c r="Z52" i="5"/>
  <c r="FB170" i="59"/>
  <c r="AG52" i="5"/>
  <c r="FI170" i="59"/>
  <c r="AJ52" i="5"/>
  <c r="FL170" i="59"/>
  <c r="T52" i="5"/>
  <c r="EV170" i="59"/>
  <c r="AO51" i="5"/>
  <c r="DT170" i="59"/>
  <c r="I51" i="5"/>
  <c r="CN170" i="59"/>
  <c r="J51" i="5"/>
  <c r="CO170" i="59"/>
  <c r="H52" i="5"/>
  <c r="EJ170" i="59"/>
  <c r="AI51" i="5"/>
  <c r="DN170" i="59"/>
  <c r="AK51" i="5"/>
  <c r="DP170" i="59"/>
  <c r="AL51" i="5"/>
  <c r="DQ170" i="59"/>
  <c r="AD52" i="5"/>
  <c r="FF170" i="59"/>
  <c r="AK52" i="5"/>
  <c r="FM170" i="59"/>
  <c r="AA51" i="5"/>
  <c r="DF170" i="59"/>
  <c r="AB51" i="5"/>
  <c r="DG170" i="59"/>
  <c r="AC51" i="5"/>
  <c r="DH170" i="59"/>
  <c r="AD51" i="5"/>
  <c r="DI170" i="59"/>
  <c r="V52" i="5"/>
  <c r="EX170" i="59"/>
  <c r="AA52" i="5"/>
  <c r="FC170" i="59"/>
  <c r="AH52" i="5"/>
  <c r="FJ170" i="59"/>
  <c r="AB52" i="5"/>
  <c r="FD170" i="59"/>
  <c r="AL52" i="5"/>
  <c r="FN170" i="59"/>
  <c r="AN51" i="5"/>
  <c r="DS170" i="59"/>
  <c r="Q52" i="5"/>
  <c r="ES170" i="59"/>
  <c r="AF52" i="5"/>
  <c r="FH170" i="59"/>
  <c r="R52" i="5"/>
  <c r="ET170" i="59"/>
  <c r="E52" i="5"/>
  <c r="EG170" i="59"/>
  <c r="W51" i="5"/>
  <c r="DB170" i="59"/>
  <c r="X51" i="5"/>
  <c r="DC170" i="59"/>
  <c r="Y51" i="5"/>
  <c r="DD170" i="59"/>
  <c r="Z51" i="5"/>
  <c r="DE170" i="59"/>
  <c r="X52" i="5"/>
  <c r="EZ170" i="59"/>
  <c r="O52" i="5"/>
  <c r="EQ170" i="59"/>
  <c r="AE52" i="5"/>
  <c r="FG170" i="59"/>
  <c r="G52" i="5"/>
  <c r="EI170" i="59"/>
  <c r="AC52" i="5"/>
  <c r="FE170" i="59"/>
  <c r="L40" i="5"/>
  <c r="AZ168" i="59"/>
  <c r="M40" i="5"/>
  <c r="BA168" i="59"/>
  <c r="N40" i="5"/>
  <c r="BB168" i="59"/>
  <c r="O40" i="5"/>
  <c r="BC168" i="59"/>
  <c r="AN40" i="5"/>
  <c r="CB168" i="59"/>
  <c r="AO40" i="5"/>
  <c r="CC168" i="59"/>
  <c r="I40" i="5"/>
  <c r="AW168" i="59"/>
  <c r="J40" i="5"/>
  <c r="AX168" i="59"/>
  <c r="K40" i="5"/>
  <c r="AY168" i="59"/>
  <c r="R40" i="5"/>
  <c r="BF168" i="59"/>
  <c r="AJ40" i="5"/>
  <c r="BX168" i="59"/>
  <c r="AF40" i="5"/>
  <c r="BT168" i="59"/>
  <c r="AI40" i="5"/>
  <c r="BW168" i="59"/>
  <c r="G40" i="5"/>
  <c r="AU168" i="59"/>
  <c r="AB40" i="5"/>
  <c r="BP168" i="59"/>
  <c r="AC40" i="5"/>
  <c r="BQ168" i="59"/>
  <c r="AD40" i="5"/>
  <c r="BR168" i="59"/>
  <c r="AE40" i="5"/>
  <c r="BS168" i="59"/>
  <c r="AK40" i="5"/>
  <c r="BY168" i="59"/>
  <c r="AM40" i="5"/>
  <c r="CA168" i="59"/>
  <c r="F40" i="5"/>
  <c r="AT168" i="59"/>
  <c r="AG40" i="5"/>
  <c r="BU168" i="59"/>
  <c r="E40" i="5"/>
  <c r="AS168" i="59"/>
  <c r="X40" i="5"/>
  <c r="BL168" i="59"/>
  <c r="Y40" i="5"/>
  <c r="BM168" i="59"/>
  <c r="AA40" i="5"/>
  <c r="BO168" i="59"/>
  <c r="P40" i="5"/>
  <c r="BD168" i="59"/>
  <c r="S40" i="5"/>
  <c r="BG168" i="59"/>
  <c r="AH40" i="5"/>
  <c r="BV168" i="59"/>
  <c r="H40" i="5"/>
  <c r="AV168" i="59"/>
  <c r="T40" i="5"/>
  <c r="BH168" i="59"/>
  <c r="U40" i="5"/>
  <c r="BI168" i="59"/>
  <c r="V40" i="5"/>
  <c r="BJ168" i="59"/>
  <c r="W40" i="5"/>
  <c r="BK168" i="59"/>
  <c r="BA247" i="40"/>
  <c r="GB152" i="59"/>
  <c r="O244" i="40"/>
  <c r="IA151" i="59"/>
  <c r="Q242" i="40"/>
  <c r="DY151" i="59"/>
  <c r="M199" i="40"/>
  <c r="AQ145" i="59"/>
  <c r="M195" i="40"/>
  <c r="CL144" i="59"/>
  <c r="M202" i="40"/>
  <c r="GN145" i="59"/>
  <c r="M87" i="40"/>
  <c r="N246" i="40"/>
  <c r="CM152" i="59"/>
  <c r="P243" i="40"/>
  <c r="FZ151" i="59"/>
  <c r="U127" i="40"/>
  <c r="DF130" i="59"/>
  <c r="Y127" i="40"/>
  <c r="DJ130" i="59"/>
  <c r="AC127" i="40"/>
  <c r="DN130" i="59"/>
  <c r="AG127" i="40"/>
  <c r="DR130" i="59"/>
  <c r="AK127" i="40"/>
  <c r="DV130" i="59"/>
  <c r="AO127" i="40"/>
  <c r="DZ130" i="59"/>
  <c r="AS127" i="40"/>
  <c r="ED130" i="59"/>
  <c r="AW127" i="40"/>
  <c r="EH130" i="59"/>
  <c r="T127" i="40"/>
  <c r="DE130" i="59"/>
  <c r="X127" i="40"/>
  <c r="DI130" i="59"/>
  <c r="AB127" i="40"/>
  <c r="DM130" i="59"/>
  <c r="AF127" i="40"/>
  <c r="DQ130" i="59"/>
  <c r="AJ127" i="40"/>
  <c r="DU130" i="59"/>
  <c r="AN127" i="40"/>
  <c r="DY130" i="59"/>
  <c r="AR127" i="40"/>
  <c r="EC130" i="59"/>
  <c r="AV127" i="40"/>
  <c r="EG130" i="59"/>
  <c r="S127" i="40"/>
  <c r="DD130" i="59"/>
  <c r="W127" i="40"/>
  <c r="DH130" i="59"/>
  <c r="AA127" i="40"/>
  <c r="DL130" i="59"/>
  <c r="AE127" i="40"/>
  <c r="DP130" i="59"/>
  <c r="AI127" i="40"/>
  <c r="DT130" i="59"/>
  <c r="AM127" i="40"/>
  <c r="DX130" i="59"/>
  <c r="AQ127" i="40"/>
  <c r="EB130" i="59"/>
  <c r="AU127" i="40"/>
  <c r="EF130" i="59"/>
  <c r="R127" i="40"/>
  <c r="DC130" i="59"/>
  <c r="V127" i="40"/>
  <c r="DG130" i="59"/>
  <c r="Z127" i="40"/>
  <c r="DK130" i="59"/>
  <c r="AD127" i="40"/>
  <c r="DO130" i="59"/>
  <c r="AH127" i="40"/>
  <c r="DS130" i="59"/>
  <c r="AL127" i="40"/>
  <c r="DW130" i="59"/>
  <c r="AP127" i="40"/>
  <c r="EA130" i="59"/>
  <c r="AT127" i="40"/>
  <c r="EE130" i="59"/>
  <c r="AX127" i="40"/>
  <c r="EI130" i="59"/>
  <c r="Q127" i="40"/>
  <c r="DB130" i="59"/>
  <c r="P127" i="40"/>
  <c r="DA130" i="59"/>
  <c r="O127" i="40"/>
  <c r="CZ130" i="59"/>
  <c r="N127" i="40"/>
  <c r="CY130" i="59"/>
  <c r="N202" i="40"/>
  <c r="GO145" i="59"/>
  <c r="AS246" i="40"/>
  <c r="DR152" i="59"/>
  <c r="O246" i="40"/>
  <c r="CN152" i="59"/>
  <c r="X246" i="40"/>
  <c r="CW152" i="59"/>
  <c r="AE246" i="40"/>
  <c r="DD152" i="59"/>
  <c r="AD246" i="40"/>
  <c r="DC152" i="59"/>
  <c r="S246" i="40"/>
  <c r="CR152" i="59"/>
  <c r="AZ246" i="40"/>
  <c r="DY152" i="59"/>
  <c r="AC246" i="40"/>
  <c r="DB152" i="59"/>
  <c r="AX246" i="40"/>
  <c r="DW152" i="59"/>
  <c r="AJ246" i="40"/>
  <c r="DI152" i="59"/>
  <c r="AF246" i="40"/>
  <c r="DE152" i="59"/>
  <c r="AW246" i="40"/>
  <c r="DV152" i="59"/>
  <c r="Z246" i="40"/>
  <c r="CY152" i="59"/>
  <c r="P246" i="40"/>
  <c r="CO152" i="59"/>
  <c r="AL246" i="40"/>
  <c r="DK152" i="59"/>
  <c r="AG246" i="40"/>
  <c r="DF152" i="59"/>
  <c r="AP246" i="40"/>
  <c r="DO152" i="59"/>
  <c r="Q246" i="40"/>
  <c r="CP152" i="59"/>
  <c r="Y246" i="40"/>
  <c r="CX152" i="59"/>
  <c r="AI246" i="40"/>
  <c r="DH152" i="59"/>
  <c r="AT246" i="40"/>
  <c r="DS152" i="59"/>
  <c r="AH246" i="40"/>
  <c r="DG152" i="59"/>
  <c r="AR246" i="40"/>
  <c r="DQ152" i="59"/>
  <c r="AA246" i="40"/>
  <c r="CZ152" i="59"/>
  <c r="AB246" i="40"/>
  <c r="DA152" i="59"/>
  <c r="AN246" i="40"/>
  <c r="DM152" i="59"/>
  <c r="AY246" i="40"/>
  <c r="DX152" i="59"/>
  <c r="AV246" i="40"/>
  <c r="DU152" i="59"/>
  <c r="AO246" i="40"/>
  <c r="DN152" i="59"/>
  <c r="AK246" i="40"/>
  <c r="DJ152" i="59"/>
  <c r="AQ246" i="40"/>
  <c r="DP152" i="59"/>
  <c r="AM246" i="40"/>
  <c r="DL152" i="59"/>
  <c r="AU246" i="40"/>
  <c r="DT152" i="59"/>
  <c r="N199" i="40"/>
  <c r="AR145" i="59"/>
  <c r="N195" i="40"/>
  <c r="CM144" i="59"/>
  <c r="M127" i="40"/>
  <c r="M14" i="27"/>
  <c r="AL78" i="59"/>
  <c r="N26" i="27"/>
  <c r="AB79" i="59"/>
  <c r="AY136" i="40"/>
  <c r="DB132" i="59"/>
  <c r="AY137" i="40"/>
  <c r="FB132" i="59"/>
  <c r="AY138" i="40"/>
  <c r="HB132" i="59"/>
  <c r="AY141" i="40"/>
  <c r="DK133" i="59"/>
  <c r="AY139" i="40"/>
  <c r="K133" i="59"/>
  <c r="AY135" i="40"/>
  <c r="BB132" i="59"/>
  <c r="AY134" i="40"/>
  <c r="IS131" i="59"/>
  <c r="AY133" i="40"/>
  <c r="GS131" i="59"/>
  <c r="AY140" i="40"/>
  <c r="BK133" i="59"/>
  <c r="AY146" i="40"/>
  <c r="DT134" i="59"/>
  <c r="AY144" i="40"/>
  <c r="T134" i="59"/>
  <c r="V246" i="40"/>
  <c r="CU152" i="59"/>
  <c r="U246" i="40"/>
  <c r="CT152" i="59"/>
  <c r="T246" i="40"/>
  <c r="CS152" i="59"/>
  <c r="BA253" i="40"/>
  <c r="F154" i="59"/>
  <c r="BA252" i="40"/>
  <c r="GU153" i="59"/>
  <c r="BA260" i="40"/>
  <c r="EC155" i="59"/>
  <c r="BA256" i="40"/>
  <c r="FL154" i="59"/>
  <c r="BA254" i="40"/>
  <c r="BH154" i="59"/>
  <c r="BA250" i="40"/>
  <c r="CQ153" i="59"/>
  <c r="W246" i="40"/>
  <c r="CV152" i="59"/>
  <c r="BA257" i="40"/>
  <c r="HN154" i="59"/>
  <c r="BA255" i="40"/>
  <c r="DJ154" i="59"/>
  <c r="BA258" i="40"/>
  <c r="Y155" i="59"/>
  <c r="BA259" i="40"/>
  <c r="CA155" i="59"/>
  <c r="K159" i="59"/>
  <c r="HU174" i="59"/>
  <c r="D73" i="5"/>
  <c r="FQ174" i="59"/>
  <c r="CX130" i="59"/>
  <c r="V159" i="59"/>
  <c r="AF177" i="59"/>
  <c r="D30" i="5"/>
  <c r="AX166" i="59"/>
  <c r="AD122" i="59"/>
  <c r="AO73" i="5"/>
  <c r="HB174" i="59"/>
  <c r="V73" i="5"/>
  <c r="GI174" i="59"/>
  <c r="Q73" i="5"/>
  <c r="GD174" i="59"/>
  <c r="O73" i="5"/>
  <c r="GB174" i="59"/>
  <c r="J73" i="5"/>
  <c r="AK73" i="5"/>
  <c r="GX174" i="59"/>
  <c r="AL73" i="5"/>
  <c r="GY174" i="59"/>
  <c r="AM73" i="5"/>
  <c r="GZ174" i="59"/>
  <c r="AN73" i="5"/>
  <c r="HA174" i="59"/>
  <c r="F73" i="5"/>
  <c r="FS174" i="59"/>
  <c r="W73" i="5"/>
  <c r="GJ174" i="59"/>
  <c r="R73" i="5"/>
  <c r="GE174" i="59"/>
  <c r="M73" i="5"/>
  <c r="FZ174" i="59"/>
  <c r="L73" i="5"/>
  <c r="FY174" i="59"/>
  <c r="AG73" i="5"/>
  <c r="GT174" i="59"/>
  <c r="AH73" i="5"/>
  <c r="GU174" i="59"/>
  <c r="AI73" i="5"/>
  <c r="GV174" i="59"/>
  <c r="AJ73" i="5"/>
  <c r="GW174" i="59"/>
  <c r="U73" i="5"/>
  <c r="GH174" i="59"/>
  <c r="X73" i="5"/>
  <c r="GK174" i="59"/>
  <c r="S73" i="5"/>
  <c r="GF174" i="59"/>
  <c r="H73" i="5"/>
  <c r="FU174" i="59"/>
  <c r="P73" i="5"/>
  <c r="GC174" i="59"/>
  <c r="K73" i="5"/>
  <c r="FX174" i="59"/>
  <c r="AC73" i="5"/>
  <c r="GP174" i="59"/>
  <c r="AD73" i="5"/>
  <c r="GQ174" i="59"/>
  <c r="AE73" i="5"/>
  <c r="GR174" i="59"/>
  <c r="AF73" i="5"/>
  <c r="GS174" i="59"/>
  <c r="G73" i="5"/>
  <c r="FT174" i="59"/>
  <c r="T73" i="5"/>
  <c r="GG174" i="59"/>
  <c r="N73" i="5"/>
  <c r="GA174" i="59"/>
  <c r="I73" i="5"/>
  <c r="FV174" i="59"/>
  <c r="E73" i="5"/>
  <c r="FR174" i="59"/>
  <c r="Y73" i="5"/>
  <c r="GL174" i="59"/>
  <c r="Z73" i="5"/>
  <c r="GM174" i="59"/>
  <c r="AA73" i="5"/>
  <c r="GN174" i="59"/>
  <c r="AB73" i="5"/>
  <c r="GO174" i="59"/>
  <c r="M21" i="27"/>
  <c r="B53" i="50"/>
  <c r="HV379" i="59"/>
  <c r="AQ205" i="5"/>
  <c r="HR200" i="59"/>
  <c r="AQ139" i="5"/>
  <c r="AQ194" i="5"/>
  <c r="AQ150" i="5"/>
  <c r="AQ183" i="5"/>
  <c r="AQ227" i="5"/>
  <c r="BI205" i="59"/>
  <c r="AQ161" i="5"/>
  <c r="AQ172" i="5"/>
  <c r="CS194" i="59"/>
  <c r="AQ52" i="5"/>
  <c r="FS170" i="59"/>
  <c r="AQ216" i="5"/>
  <c r="R203" i="59"/>
  <c r="BA243" i="40"/>
  <c r="HK151" i="59"/>
  <c r="BA244" i="40"/>
  <c r="V152" i="59"/>
  <c r="AR183" i="5"/>
  <c r="AR205" i="5"/>
  <c r="HS200" i="59"/>
  <c r="M198" i="40"/>
  <c r="II144" i="59"/>
  <c r="AR172" i="5"/>
  <c r="CT194" i="59"/>
  <c r="O202" i="40"/>
  <c r="GP145" i="59"/>
  <c r="AR194" i="5"/>
  <c r="GB198" i="59"/>
  <c r="R246" i="40"/>
  <c r="CQ152" i="59"/>
  <c r="P242" i="40"/>
  <c r="DX151" i="59"/>
  <c r="AQ249" i="5"/>
  <c r="EQ209" i="59"/>
  <c r="O199" i="40"/>
  <c r="AS145" i="59"/>
  <c r="O195" i="40"/>
  <c r="CN144" i="59"/>
  <c r="N198" i="40"/>
  <c r="IJ144" i="59"/>
  <c r="M125" i="40"/>
  <c r="IO129" i="59"/>
  <c r="N8" i="27"/>
  <c r="FN77" i="59"/>
  <c r="N11" i="27"/>
  <c r="N12" i="27"/>
  <c r="IP77" i="59"/>
  <c r="N7" i="27"/>
  <c r="ET77" i="59"/>
  <c r="N9" i="27"/>
  <c r="GH77" i="59"/>
  <c r="N10" i="27"/>
  <c r="HB77" i="59"/>
  <c r="N13" i="27"/>
  <c r="S78" i="59"/>
  <c r="AY92" i="40"/>
  <c r="BY123" i="59"/>
  <c r="AY128" i="40"/>
  <c r="GJ130" i="59"/>
  <c r="AR52" i="5"/>
  <c r="FT170" i="59"/>
  <c r="AY89" i="40"/>
  <c r="FP122" i="59"/>
  <c r="AR161" i="5"/>
  <c r="BC192" i="59"/>
  <c r="AR139" i="5"/>
  <c r="HL187" i="59"/>
  <c r="AR150" i="5"/>
  <c r="L190" i="59"/>
  <c r="AR216" i="5"/>
  <c r="S203" i="59"/>
  <c r="AR227" i="5"/>
  <c r="BJ205" i="59"/>
  <c r="AQ260" i="5"/>
  <c r="GH211" i="59"/>
  <c r="AR260" i="5"/>
  <c r="GI211" i="59"/>
  <c r="AQ282" i="5"/>
  <c r="Y216" i="59"/>
  <c r="AR282" i="5"/>
  <c r="Z216" i="59"/>
  <c r="AQ271" i="5"/>
  <c r="HY213" i="59"/>
  <c r="N16" i="41"/>
  <c r="BV305" i="59"/>
  <c r="A17" i="50"/>
  <c r="EK379" i="59"/>
  <c r="L28" i="7"/>
  <c r="BL380" i="59"/>
  <c r="J159" i="59"/>
  <c r="FW174" i="59"/>
  <c r="J28" i="41"/>
  <c r="K306" i="59"/>
  <c r="EK196" i="59"/>
  <c r="I28" i="41"/>
  <c r="J306" i="59"/>
  <c r="EJ196" i="59"/>
  <c r="I25" i="41"/>
  <c r="HE305" i="59"/>
  <c r="K190" i="59"/>
  <c r="I24" i="41"/>
  <c r="GO305" i="59"/>
  <c r="HK187" i="59"/>
  <c r="I26" i="41"/>
  <c r="HU305" i="59"/>
  <c r="BB192" i="59"/>
  <c r="I29" i="41"/>
  <c r="Z306" i="59"/>
  <c r="GA198" i="59"/>
  <c r="E25" i="2"/>
  <c r="G35" i="2"/>
  <c r="Y259" i="59"/>
  <c r="FV78" i="59"/>
  <c r="HV77" i="59"/>
  <c r="N76" i="59"/>
  <c r="G23" i="2"/>
  <c r="D51" i="5"/>
  <c r="I31" i="41"/>
  <c r="BF306" i="59"/>
  <c r="AQ74" i="5"/>
  <c r="J175" i="59"/>
  <c r="I30" i="41"/>
  <c r="AP306" i="59"/>
  <c r="D16" i="41"/>
  <c r="BL305" i="59"/>
  <c r="AT194" i="5"/>
  <c r="GD198" i="59"/>
  <c r="AT205" i="5"/>
  <c r="HU200" i="59"/>
  <c r="I32" i="41"/>
  <c r="BV306" i="59"/>
  <c r="I27" i="41"/>
  <c r="IK305" i="59"/>
  <c r="AT172" i="5"/>
  <c r="CV194" i="59"/>
  <c r="BA246" i="40"/>
  <c r="DZ152" i="59"/>
  <c r="AT183" i="5"/>
  <c r="EM196" i="59"/>
  <c r="J37" i="41"/>
  <c r="EY306" i="59"/>
  <c r="AR271" i="5"/>
  <c r="J31" i="41"/>
  <c r="BG306" i="59"/>
  <c r="O29" i="41"/>
  <c r="AF306" i="59"/>
  <c r="O27" i="41"/>
  <c r="IQ305" i="59"/>
  <c r="J25" i="41"/>
  <c r="HF305" i="59"/>
  <c r="J29" i="41"/>
  <c r="AA306" i="59"/>
  <c r="P202" i="40"/>
  <c r="GQ145" i="59"/>
  <c r="J27" i="41"/>
  <c r="IL305" i="59"/>
  <c r="O24" i="41"/>
  <c r="GU305" i="59"/>
  <c r="J35" i="41"/>
  <c r="DS306" i="59"/>
  <c r="AQ41" i="5"/>
  <c r="EB168" i="59"/>
  <c r="O28" i="41"/>
  <c r="P306" i="59"/>
  <c r="J30" i="41"/>
  <c r="AQ306" i="59"/>
  <c r="J24" i="41"/>
  <c r="GP305" i="59"/>
  <c r="O25" i="41"/>
  <c r="HK305" i="59"/>
  <c r="I34" i="41"/>
  <c r="DB306" i="59"/>
  <c r="E16" i="41"/>
  <c r="BM305" i="59"/>
  <c r="O242" i="40"/>
  <c r="DW151" i="59"/>
  <c r="J26" i="41"/>
  <c r="HV305" i="59"/>
  <c r="N27" i="27"/>
  <c r="AV79" i="59"/>
  <c r="J32" i="41"/>
  <c r="BW306" i="59"/>
  <c r="AR249" i="5"/>
  <c r="ER209" i="59"/>
  <c r="O26" i="41"/>
  <c r="IA305" i="59"/>
  <c r="P199" i="40"/>
  <c r="AT145" i="59"/>
  <c r="O198" i="40"/>
  <c r="IK144" i="59"/>
  <c r="P195" i="40"/>
  <c r="CO144" i="59"/>
  <c r="M196" i="40"/>
  <c r="EK144" i="59"/>
  <c r="AR74" i="5"/>
  <c r="K175" i="59"/>
  <c r="P16" i="41"/>
  <c r="BX305" i="59"/>
  <c r="AY125" i="40"/>
  <c r="AJ130" i="59"/>
  <c r="AR84" i="5"/>
  <c r="IV176" i="59"/>
  <c r="AQ84" i="5"/>
  <c r="IU176" i="59"/>
  <c r="AR85" i="5"/>
  <c r="BB177" i="59"/>
  <c r="AQ85" i="5"/>
  <c r="BA177" i="59"/>
  <c r="AY145" i="40"/>
  <c r="BT134" i="59"/>
  <c r="N14" i="27"/>
  <c r="AM78" i="59"/>
  <c r="AT52" i="5"/>
  <c r="FV170" i="59"/>
  <c r="AR41" i="5"/>
  <c r="EC168" i="59"/>
  <c r="AR30" i="5"/>
  <c r="CL166" i="59"/>
  <c r="AQ30" i="5"/>
  <c r="CK166" i="59"/>
  <c r="AY91" i="40"/>
  <c r="Y123" i="59"/>
  <c r="AY88" i="40"/>
  <c r="DP122" i="59"/>
  <c r="AY87" i="40"/>
  <c r="BP122" i="59"/>
  <c r="AY143" i="40"/>
  <c r="HK133" i="59"/>
  <c r="AY142" i="40"/>
  <c r="FK133" i="59"/>
  <c r="AT161" i="5"/>
  <c r="BE192" i="59"/>
  <c r="AY131" i="40"/>
  <c r="CS131" i="59"/>
  <c r="AT150" i="5"/>
  <c r="N190" i="59"/>
  <c r="AT227" i="5"/>
  <c r="BL205" i="59"/>
  <c r="AT139" i="5"/>
  <c r="HN187" i="59"/>
  <c r="AT216" i="5"/>
  <c r="U203" i="59"/>
  <c r="O32" i="41"/>
  <c r="CB306" i="59"/>
  <c r="O31" i="41"/>
  <c r="BL306" i="59"/>
  <c r="O30" i="41"/>
  <c r="AV306" i="59"/>
  <c r="I37" i="41"/>
  <c r="EX306" i="59"/>
  <c r="AT282" i="5"/>
  <c r="AB216" i="59"/>
  <c r="I35" i="41"/>
  <c r="DR306" i="59"/>
  <c r="AT260" i="5"/>
  <c r="GK211" i="59"/>
  <c r="I36" i="41"/>
  <c r="EH306" i="59"/>
  <c r="N15" i="41"/>
  <c r="BF305" i="59"/>
  <c r="N18" i="41"/>
  <c r="DB305" i="59"/>
  <c r="AQ215" i="5"/>
  <c r="HL202" i="59"/>
  <c r="HR256" i="59"/>
  <c r="H23" i="2"/>
  <c r="HS256" i="59"/>
  <c r="G22" i="2"/>
  <c r="FX256" i="59"/>
  <c r="HP256" i="59"/>
  <c r="G25" i="2"/>
  <c r="BO257" i="59"/>
  <c r="BM257" i="59"/>
  <c r="AT271" i="5"/>
  <c r="IB213" i="59"/>
  <c r="HZ213" i="59"/>
  <c r="K28" i="41"/>
  <c r="L306" i="59"/>
  <c r="AQ51" i="5"/>
  <c r="DV170" i="59"/>
  <c r="CI170" i="59"/>
  <c r="FV256" i="59"/>
  <c r="G24" i="2"/>
  <c r="U257" i="59"/>
  <c r="S257" i="59"/>
  <c r="H33" i="2"/>
  <c r="GC258" i="59"/>
  <c r="G33" i="2"/>
  <c r="GB258" i="59"/>
  <c r="G34" i="2"/>
  <c r="HV258" i="59"/>
  <c r="G32" i="2"/>
  <c r="EH258" i="59"/>
  <c r="H31" i="2"/>
  <c r="CO258" i="59"/>
  <c r="H27" i="2"/>
  <c r="FD257" i="59"/>
  <c r="H28" i="2"/>
  <c r="GX257" i="59"/>
  <c r="H30" i="2"/>
  <c r="AU258" i="59"/>
  <c r="H29" i="2"/>
  <c r="IR257" i="59"/>
  <c r="H26" i="2"/>
  <c r="DJ257" i="59"/>
  <c r="D18" i="41"/>
  <c r="CR305" i="59"/>
  <c r="M29" i="27"/>
  <c r="K31" i="41"/>
  <c r="BH306" i="59"/>
  <c r="K30" i="41"/>
  <c r="AR306" i="59"/>
  <c r="J34" i="41"/>
  <c r="DC306" i="59"/>
  <c r="D15" i="41"/>
  <c r="AV305" i="59"/>
  <c r="J19" i="41"/>
  <c r="DN305" i="59"/>
  <c r="BA242" i="40"/>
  <c r="FI151" i="59"/>
  <c r="K29" i="41"/>
  <c r="AB306" i="59"/>
  <c r="AR117" i="5"/>
  <c r="ED183" i="59"/>
  <c r="E15" i="41"/>
  <c r="AW305" i="59"/>
  <c r="AQ73" i="5"/>
  <c r="HD174" i="59"/>
  <c r="K24" i="41"/>
  <c r="GQ305" i="59"/>
  <c r="K32" i="41"/>
  <c r="BX306" i="59"/>
  <c r="AT249" i="5"/>
  <c r="ET209" i="59"/>
  <c r="F16" i="41"/>
  <c r="BN305" i="59"/>
  <c r="K25" i="41"/>
  <c r="HG305" i="59"/>
  <c r="J36" i="41"/>
  <c r="EI306" i="59"/>
  <c r="I19" i="41"/>
  <c r="DM305" i="59"/>
  <c r="D19" i="41"/>
  <c r="DH305" i="59"/>
  <c r="E19" i="41"/>
  <c r="DI305" i="59"/>
  <c r="AR51" i="5"/>
  <c r="DW170" i="59"/>
  <c r="K26" i="41"/>
  <c r="HW305" i="59"/>
  <c r="Q202" i="40"/>
  <c r="GR145" i="59"/>
  <c r="E14" i="41"/>
  <c r="AG305" i="59"/>
  <c r="E18" i="41"/>
  <c r="CS305" i="59"/>
  <c r="K27" i="41"/>
  <c r="IM305" i="59"/>
  <c r="AQ117" i="5"/>
  <c r="EC183" i="59"/>
  <c r="AT74" i="5"/>
  <c r="M175" i="59"/>
  <c r="Q195" i="40"/>
  <c r="CP144" i="59"/>
  <c r="Q199" i="40"/>
  <c r="AU145" i="59"/>
  <c r="P198" i="40"/>
  <c r="IL144" i="59"/>
  <c r="N196" i="40"/>
  <c r="EL144" i="59"/>
  <c r="P15" i="41"/>
  <c r="BH305" i="59"/>
  <c r="AT84" i="5"/>
  <c r="G177" i="59"/>
  <c r="AT85" i="5"/>
  <c r="BD177" i="59"/>
  <c r="AR73" i="5"/>
  <c r="HE174" i="59"/>
  <c r="AT41" i="5"/>
  <c r="EE168" i="59"/>
  <c r="P19" i="41"/>
  <c r="DT305" i="59"/>
  <c r="AT30" i="5"/>
  <c r="CN166" i="59"/>
  <c r="D14" i="41"/>
  <c r="AF305" i="59"/>
  <c r="AR238" i="5"/>
  <c r="DA207" i="59"/>
  <c r="AQ238" i="5"/>
  <c r="CZ207" i="59"/>
  <c r="AY127" i="40"/>
  <c r="EJ130" i="59"/>
  <c r="AQ171" i="5"/>
  <c r="AV194" i="59"/>
  <c r="AQ292" i="5"/>
  <c r="S218" i="59"/>
  <c r="AQ336" i="5"/>
  <c r="GI226" i="59"/>
  <c r="AQ325" i="5"/>
  <c r="ER224" i="59"/>
  <c r="AQ281" i="5"/>
  <c r="HS215" i="59"/>
  <c r="AQ259" i="5"/>
  <c r="EK211" i="59"/>
  <c r="AQ347" i="5"/>
  <c r="HZ228" i="59"/>
  <c r="AQ270" i="5"/>
  <c r="GB213" i="59"/>
  <c r="AQ248" i="5"/>
  <c r="CT209" i="59"/>
  <c r="AQ314" i="5"/>
  <c r="DA222" i="59"/>
  <c r="AQ237" i="5"/>
  <c r="BC207" i="59"/>
  <c r="AQ303" i="5"/>
  <c r="BJ220" i="59"/>
  <c r="K37" i="41"/>
  <c r="EZ306" i="59"/>
  <c r="O37" i="41"/>
  <c r="FD306" i="59"/>
  <c r="O36" i="41"/>
  <c r="EN306" i="59"/>
  <c r="K35" i="41"/>
  <c r="DT306" i="59"/>
  <c r="O35" i="41"/>
  <c r="DX306" i="59"/>
  <c r="AQ226" i="5"/>
  <c r="L205" i="59"/>
  <c r="AQ160" i="5"/>
  <c r="AQ182" i="5"/>
  <c r="CM196" i="59"/>
  <c r="AQ204" i="5"/>
  <c r="FU200" i="59"/>
  <c r="M31" i="41"/>
  <c r="BJ306" i="59"/>
  <c r="I33" i="2"/>
  <c r="GD258" i="59"/>
  <c r="I23" i="2"/>
  <c r="HT256" i="59"/>
  <c r="H25" i="2"/>
  <c r="BP257" i="59"/>
  <c r="H35" i="2"/>
  <c r="Z259" i="59"/>
  <c r="H22" i="2"/>
  <c r="FY256" i="59"/>
  <c r="H32" i="2"/>
  <c r="EI258" i="59"/>
  <c r="I16" i="41"/>
  <c r="BQ305" i="59"/>
  <c r="H34" i="2"/>
  <c r="HW258" i="59"/>
  <c r="G21" i="2"/>
  <c r="H24" i="2"/>
  <c r="V257" i="59"/>
  <c r="DT158" i="59"/>
  <c r="IV191" i="59"/>
  <c r="N29" i="27"/>
  <c r="CJ79" i="59"/>
  <c r="CI79" i="59"/>
  <c r="I36" i="2"/>
  <c r="BO259" i="59"/>
  <c r="I39" i="2"/>
  <c r="FY259" i="59"/>
  <c r="I38" i="2"/>
  <c r="EM259" i="59"/>
  <c r="I37" i="2"/>
  <c r="DA259" i="59"/>
  <c r="I40" i="2"/>
  <c r="HK259" i="59"/>
  <c r="I41" i="2"/>
  <c r="F260" i="59"/>
  <c r="G20" i="2"/>
  <c r="CJ256" i="59"/>
  <c r="I29" i="2"/>
  <c r="I27" i="2"/>
  <c r="FE257" i="59"/>
  <c r="I30" i="2"/>
  <c r="I31" i="2"/>
  <c r="CP258" i="59"/>
  <c r="I26" i="2"/>
  <c r="DK257" i="59"/>
  <c r="I28" i="2"/>
  <c r="GY257" i="59"/>
  <c r="K34" i="41"/>
  <c r="DD306" i="59"/>
  <c r="K19" i="41"/>
  <c r="DO305" i="59"/>
  <c r="K36" i="41"/>
  <c r="EJ306" i="59"/>
  <c r="F19" i="41"/>
  <c r="DJ305" i="59"/>
  <c r="G19" i="41"/>
  <c r="DK305" i="59"/>
  <c r="J16" i="41"/>
  <c r="BR305" i="59"/>
  <c r="N14" i="41"/>
  <c r="AP305" i="59"/>
  <c r="R202" i="40"/>
  <c r="GS145" i="59"/>
  <c r="M27" i="41"/>
  <c r="IO305" i="59"/>
  <c r="J22" i="41"/>
  <c r="FJ305" i="59"/>
  <c r="O19" i="41"/>
  <c r="DS305" i="59"/>
  <c r="G16" i="41"/>
  <c r="BO305" i="59"/>
  <c r="I33" i="41"/>
  <c r="CL306" i="59"/>
  <c r="P18" i="41"/>
  <c r="DD305" i="59"/>
  <c r="F15" i="41"/>
  <c r="AX305" i="59"/>
  <c r="J18" i="41"/>
  <c r="CX305" i="59"/>
  <c r="AT51" i="5"/>
  <c r="DY170" i="59"/>
  <c r="L19" i="41"/>
  <c r="DP305" i="59"/>
  <c r="F18" i="41"/>
  <c r="CT305" i="59"/>
  <c r="O16" i="41"/>
  <c r="BW305" i="59"/>
  <c r="I22" i="41"/>
  <c r="FI305" i="59"/>
  <c r="N19" i="41"/>
  <c r="DR305" i="59"/>
  <c r="I18" i="41"/>
  <c r="CW305" i="59"/>
  <c r="AT117" i="5"/>
  <c r="EF183" i="59"/>
  <c r="Q198" i="40"/>
  <c r="IM144" i="59"/>
  <c r="R195" i="40"/>
  <c r="CQ144" i="59"/>
  <c r="O196" i="40"/>
  <c r="EM144" i="59"/>
  <c r="R199" i="40"/>
  <c r="AV145" i="59"/>
  <c r="AT73" i="5"/>
  <c r="HG174" i="59"/>
  <c r="P14" i="41"/>
  <c r="AR305" i="59"/>
  <c r="F14" i="41"/>
  <c r="AH305" i="59"/>
  <c r="AT238" i="5"/>
  <c r="DC207" i="59"/>
  <c r="J33" i="41"/>
  <c r="CM306" i="59"/>
  <c r="AQ149" i="5"/>
  <c r="HE189" i="59"/>
  <c r="M33" i="41"/>
  <c r="CP306" i="59"/>
  <c r="M36" i="41"/>
  <c r="EL306" i="59"/>
  <c r="M39" i="41"/>
  <c r="GH306" i="59"/>
  <c r="M40" i="41"/>
  <c r="GX306" i="59"/>
  <c r="M34" i="41"/>
  <c r="DF306" i="59"/>
  <c r="M43" i="41"/>
  <c r="IT306" i="59"/>
  <c r="M35" i="41"/>
  <c r="DV306" i="59"/>
  <c r="M37" i="41"/>
  <c r="FB306" i="59"/>
  <c r="M41" i="41"/>
  <c r="HN306" i="59"/>
  <c r="M42" i="41"/>
  <c r="ID306" i="59"/>
  <c r="M38" i="41"/>
  <c r="FR306" i="59"/>
  <c r="M30" i="41"/>
  <c r="AT306" i="59"/>
  <c r="M26" i="41"/>
  <c r="HY305" i="59"/>
  <c r="M32" i="41"/>
  <c r="BZ306" i="59"/>
  <c r="M28" i="41"/>
  <c r="N306" i="59"/>
  <c r="AQ138" i="5"/>
  <c r="FN187" i="59"/>
  <c r="I25" i="2"/>
  <c r="J35" i="2"/>
  <c r="AB259" i="59"/>
  <c r="J23" i="2"/>
  <c r="K33" i="2"/>
  <c r="GF258" i="59"/>
  <c r="I32" i="2"/>
  <c r="EJ258" i="59"/>
  <c r="J33" i="2"/>
  <c r="GE258" i="59"/>
  <c r="I22" i="2"/>
  <c r="I35" i="2"/>
  <c r="AA259" i="59"/>
  <c r="H20" i="2"/>
  <c r="CK256" i="59"/>
  <c r="J39" i="2"/>
  <c r="FZ259" i="59"/>
  <c r="IS257" i="59"/>
  <c r="H21" i="2"/>
  <c r="J40" i="2"/>
  <c r="HL259" i="59"/>
  <c r="AV258" i="59"/>
  <c r="I24" i="2"/>
  <c r="W257" i="59"/>
  <c r="I34" i="2"/>
  <c r="HX258" i="59"/>
  <c r="D17" i="5"/>
  <c r="D365" i="5"/>
  <c r="CH232" i="59"/>
  <c r="ED256" i="59"/>
  <c r="J36" i="2"/>
  <c r="BP259" i="59"/>
  <c r="J37" i="2"/>
  <c r="DB259" i="59"/>
  <c r="J38" i="2"/>
  <c r="EN259" i="59"/>
  <c r="J41" i="2"/>
  <c r="G260" i="59"/>
  <c r="G19" i="2"/>
  <c r="J31" i="2"/>
  <c r="J26" i="2"/>
  <c r="J30" i="2"/>
  <c r="J27" i="2"/>
  <c r="FF257" i="59"/>
  <c r="J28" i="2"/>
  <c r="GZ257" i="59"/>
  <c r="J29" i="2"/>
  <c r="K33" i="41"/>
  <c r="CN306" i="59"/>
  <c r="S202" i="40"/>
  <c r="GT145" i="59"/>
  <c r="O18" i="41"/>
  <c r="DC305" i="59"/>
  <c r="K18" i="41"/>
  <c r="CY305" i="59"/>
  <c r="M25" i="41"/>
  <c r="HI305" i="59"/>
  <c r="O22" i="41"/>
  <c r="FO305" i="59"/>
  <c r="K16" i="41"/>
  <c r="BS305" i="59"/>
  <c r="G18" i="41"/>
  <c r="CU305" i="59"/>
  <c r="K22" i="41"/>
  <c r="FK305" i="59"/>
  <c r="G15" i="41"/>
  <c r="AY305" i="59"/>
  <c r="G14" i="41"/>
  <c r="AI305" i="59"/>
  <c r="P196" i="40"/>
  <c r="EN144" i="59"/>
  <c r="R198" i="40"/>
  <c r="IN144" i="59"/>
  <c r="S199" i="40"/>
  <c r="AW145" i="59"/>
  <c r="S195" i="40"/>
  <c r="CR144" i="59"/>
  <c r="M24" i="41"/>
  <c r="GS305" i="59"/>
  <c r="J25" i="2"/>
  <c r="BR257" i="59"/>
  <c r="BQ257" i="59"/>
  <c r="HU256" i="59"/>
  <c r="K23" i="2"/>
  <c r="L33" i="2"/>
  <c r="GG258" i="59"/>
  <c r="FZ256" i="59"/>
  <c r="J22" i="2"/>
  <c r="K22" i="2"/>
  <c r="GB256" i="59"/>
  <c r="J32" i="2"/>
  <c r="EK258" i="59"/>
  <c r="H19" i="2"/>
  <c r="E16" i="5"/>
  <c r="DH163" i="59"/>
  <c r="I20" i="2"/>
  <c r="CL256" i="59"/>
  <c r="K41" i="2"/>
  <c r="H260" i="59"/>
  <c r="CQ258" i="59"/>
  <c r="I21" i="2"/>
  <c r="F17" i="5"/>
  <c r="J34" i="2"/>
  <c r="HY258" i="59"/>
  <c r="K40" i="2"/>
  <c r="HM259" i="59"/>
  <c r="AW258" i="59"/>
  <c r="E17" i="5"/>
  <c r="FE163" i="59"/>
  <c r="EE256" i="59"/>
  <c r="K39" i="2"/>
  <c r="GA259" i="59"/>
  <c r="IT257" i="59"/>
  <c r="K36" i="2"/>
  <c r="BQ259" i="59"/>
  <c r="DL257" i="59"/>
  <c r="D380" i="5"/>
  <c r="CI235" i="59"/>
  <c r="FD163" i="59"/>
  <c r="J24" i="2"/>
  <c r="K34" i="2"/>
  <c r="HZ258" i="59"/>
  <c r="D16" i="5"/>
  <c r="DG163" i="59"/>
  <c r="AP256" i="59"/>
  <c r="K31" i="2"/>
  <c r="K38" i="2"/>
  <c r="EO259" i="59"/>
  <c r="K37" i="2"/>
  <c r="DC259" i="59"/>
  <c r="E365" i="5"/>
  <c r="CI232" i="59"/>
  <c r="K26" i="2"/>
  <c r="DM257" i="59"/>
  <c r="K28" i="2"/>
  <c r="HA257" i="59"/>
  <c r="K27" i="2"/>
  <c r="FG257" i="59"/>
  <c r="K30" i="2"/>
  <c r="K29" i="2"/>
  <c r="L18" i="41"/>
  <c r="CZ305" i="59"/>
  <c r="L16" i="41"/>
  <c r="BT305" i="59"/>
  <c r="L22" i="41"/>
  <c r="FL305" i="59"/>
  <c r="T202" i="40"/>
  <c r="GU145" i="59"/>
  <c r="Q196" i="40"/>
  <c r="EO144" i="59"/>
  <c r="S198" i="40"/>
  <c r="IO144" i="59"/>
  <c r="T199" i="40"/>
  <c r="AX145" i="59"/>
  <c r="T195" i="40"/>
  <c r="CS144" i="59"/>
  <c r="AQ193" i="5"/>
  <c r="ED198" i="59"/>
  <c r="K25" i="2"/>
  <c r="BS257" i="59"/>
  <c r="K35" i="2"/>
  <c r="AC259" i="59"/>
  <c r="HV256" i="59"/>
  <c r="L23" i="2"/>
  <c r="M23" i="2"/>
  <c r="HX256" i="59"/>
  <c r="L32" i="2"/>
  <c r="EM258" i="59"/>
  <c r="L22" i="2"/>
  <c r="M32" i="2"/>
  <c r="EN258" i="59"/>
  <c r="K32" i="2"/>
  <c r="EL258" i="59"/>
  <c r="GA256" i="59"/>
  <c r="FF163" i="59"/>
  <c r="F365" i="5"/>
  <c r="CJ232" i="59"/>
  <c r="AQ256" i="59"/>
  <c r="I19" i="2"/>
  <c r="AR256" i="59"/>
  <c r="EF256" i="59"/>
  <c r="J20" i="2"/>
  <c r="CM256" i="59"/>
  <c r="J21" i="2"/>
  <c r="G17" i="5"/>
  <c r="FG163" i="59"/>
  <c r="K24" i="2"/>
  <c r="X257" i="59"/>
  <c r="L39" i="2"/>
  <c r="GB259" i="59"/>
  <c r="IU257" i="59"/>
  <c r="L40" i="2"/>
  <c r="HN259" i="59"/>
  <c r="AX258" i="59"/>
  <c r="E380" i="5"/>
  <c r="CJ235" i="59"/>
  <c r="L31" i="2"/>
  <c r="CS258" i="59"/>
  <c r="CR258" i="59"/>
  <c r="L36" i="2"/>
  <c r="BR259" i="59"/>
  <c r="L30" i="2"/>
  <c r="L37" i="2"/>
  <c r="DD259" i="59"/>
  <c r="L41" i="2"/>
  <c r="I260" i="59"/>
  <c r="L38" i="2"/>
  <c r="EP259" i="59"/>
  <c r="L29" i="2"/>
  <c r="IV257" i="59"/>
  <c r="L27" i="2"/>
  <c r="FH257" i="59"/>
  <c r="L28" i="2"/>
  <c r="HB257" i="59"/>
  <c r="L26" i="2"/>
  <c r="F380" i="5"/>
  <c r="CK235" i="59"/>
  <c r="U202" i="40"/>
  <c r="GV145" i="59"/>
  <c r="R196" i="40"/>
  <c r="EP144" i="59"/>
  <c r="U199" i="40"/>
  <c r="AY145" i="59"/>
  <c r="T198" i="40"/>
  <c r="IP144" i="59"/>
  <c r="U195" i="40"/>
  <c r="CT144" i="59"/>
  <c r="M29" i="41"/>
  <c r="AD306" i="59"/>
  <c r="K21" i="2"/>
  <c r="EH256" i="59"/>
  <c r="L35" i="2"/>
  <c r="AD259" i="59"/>
  <c r="L25" i="2"/>
  <c r="M35" i="2"/>
  <c r="AE259" i="59"/>
  <c r="N33" i="2"/>
  <c r="GI258" i="59"/>
  <c r="HW256" i="59"/>
  <c r="GC256" i="59"/>
  <c r="M22" i="2"/>
  <c r="GD256" i="59"/>
  <c r="N23" i="2"/>
  <c r="HY256" i="59"/>
  <c r="M33" i="2"/>
  <c r="GH258" i="59"/>
  <c r="K20" i="2"/>
  <c r="CN256" i="59"/>
  <c r="F16" i="5"/>
  <c r="DI163" i="59"/>
  <c r="EG256" i="59"/>
  <c r="J19" i="2"/>
  <c r="AS256" i="59"/>
  <c r="M41" i="2"/>
  <c r="J260" i="59"/>
  <c r="M36" i="2"/>
  <c r="BS259" i="59"/>
  <c r="DN257" i="59"/>
  <c r="M31" i="2"/>
  <c r="Y257" i="59"/>
  <c r="L34" i="2"/>
  <c r="IA258" i="59"/>
  <c r="M30" i="2"/>
  <c r="AZ258" i="59"/>
  <c r="AY258" i="59"/>
  <c r="L24" i="2"/>
  <c r="M37" i="2"/>
  <c r="DE259" i="59"/>
  <c r="M29" i="2"/>
  <c r="M38" i="2"/>
  <c r="EQ259" i="59"/>
  <c r="M39" i="2"/>
  <c r="GC259" i="59"/>
  <c r="M40" i="2"/>
  <c r="HO259" i="59"/>
  <c r="M27" i="2"/>
  <c r="M28" i="2"/>
  <c r="HC257" i="59"/>
  <c r="G380" i="5"/>
  <c r="CL235" i="59"/>
  <c r="M26" i="2"/>
  <c r="V202" i="40"/>
  <c r="GW145" i="59"/>
  <c r="S196" i="40"/>
  <c r="EQ144" i="59"/>
  <c r="U198" i="40"/>
  <c r="IQ144" i="59"/>
  <c r="V199" i="40"/>
  <c r="AZ145" i="59"/>
  <c r="V195" i="40"/>
  <c r="CU144" i="59"/>
  <c r="F32" i="7"/>
  <c r="CK300" i="59"/>
  <c r="H17" i="5"/>
  <c r="FH163" i="59"/>
  <c r="BT257" i="59"/>
  <c r="M25" i="2"/>
  <c r="BU257" i="59"/>
  <c r="L21" i="2"/>
  <c r="EI256" i="59"/>
  <c r="O23" i="2"/>
  <c r="P33" i="2"/>
  <c r="GK258" i="59"/>
  <c r="N22" i="2"/>
  <c r="O22" i="2"/>
  <c r="N32" i="2"/>
  <c r="EO258" i="59"/>
  <c r="O33" i="2"/>
  <c r="GJ258" i="59"/>
  <c r="K19" i="2"/>
  <c r="H16" i="5"/>
  <c r="DK163" i="59"/>
  <c r="G16" i="5"/>
  <c r="DJ163" i="59"/>
  <c r="L20" i="2"/>
  <c r="CO256" i="59"/>
  <c r="N40" i="2"/>
  <c r="HP259" i="59"/>
  <c r="N30" i="2"/>
  <c r="O30" i="2"/>
  <c r="BB258" i="59"/>
  <c r="N36" i="2"/>
  <c r="BT259" i="59"/>
  <c r="DO257" i="59"/>
  <c r="N41" i="2"/>
  <c r="K260" i="59"/>
  <c r="N27" i="2"/>
  <c r="FJ257" i="59"/>
  <c r="FI257" i="59"/>
  <c r="Z257" i="59"/>
  <c r="M34" i="2"/>
  <c r="IB258" i="59"/>
  <c r="M24" i="2"/>
  <c r="N31" i="2"/>
  <c r="CT258" i="59"/>
  <c r="N29" i="2"/>
  <c r="G258" i="59"/>
  <c r="F258" i="59"/>
  <c r="N37" i="2"/>
  <c r="DF259" i="59"/>
  <c r="N38" i="2"/>
  <c r="ER259" i="59"/>
  <c r="N39" i="2"/>
  <c r="GD259" i="59"/>
  <c r="N26" i="2"/>
  <c r="DP257" i="59"/>
  <c r="N28" i="2"/>
  <c r="CL300" i="59"/>
  <c r="W202" i="40"/>
  <c r="GX145" i="59"/>
  <c r="T196" i="40"/>
  <c r="ER144" i="59"/>
  <c r="W199" i="40"/>
  <c r="BA145" i="59"/>
  <c r="V198" i="40"/>
  <c r="IR144" i="59"/>
  <c r="W195" i="40"/>
  <c r="CV144" i="59"/>
  <c r="M21" i="2"/>
  <c r="J17" i="5"/>
  <c r="FJ163" i="59"/>
  <c r="H380" i="5"/>
  <c r="CM235" i="59"/>
  <c r="N35" i="2"/>
  <c r="AF259" i="59"/>
  <c r="N25" i="2"/>
  <c r="O25" i="2"/>
  <c r="I17" i="5"/>
  <c r="FI163" i="59"/>
  <c r="GE256" i="59"/>
  <c r="P23" i="2"/>
  <c r="IA256" i="59"/>
  <c r="HZ256" i="59"/>
  <c r="O32" i="2"/>
  <c r="EP258" i="59"/>
  <c r="AT256" i="59"/>
  <c r="L19" i="2"/>
  <c r="I16" i="5"/>
  <c r="DL163" i="59"/>
  <c r="O27" i="2"/>
  <c r="FK257" i="59"/>
  <c r="O37" i="2"/>
  <c r="DG259" i="59"/>
  <c r="O40" i="2"/>
  <c r="HQ259" i="59"/>
  <c r="BA258" i="59"/>
  <c r="O29" i="2"/>
  <c r="H258" i="59"/>
  <c r="M20" i="2"/>
  <c r="M19" i="2"/>
  <c r="O41" i="2"/>
  <c r="L260" i="59"/>
  <c r="CU258" i="59"/>
  <c r="AA257" i="59"/>
  <c r="N34" i="2"/>
  <c r="IC258" i="59"/>
  <c r="N24" i="2"/>
  <c r="O38" i="2"/>
  <c r="ES259" i="59"/>
  <c r="HD257" i="59"/>
  <c r="O39" i="2"/>
  <c r="GE259" i="59"/>
  <c r="O31" i="2"/>
  <c r="P32" i="2"/>
  <c r="EQ258" i="59"/>
  <c r="P22" i="2"/>
  <c r="GF256" i="59"/>
  <c r="O26" i="2"/>
  <c r="O36" i="2"/>
  <c r="P40" i="2"/>
  <c r="HR259" i="59"/>
  <c r="P30" i="2"/>
  <c r="O28" i="2"/>
  <c r="E12" i="7"/>
  <c r="X202" i="40"/>
  <c r="GY145" i="59"/>
  <c r="U196" i="40"/>
  <c r="ES144" i="59"/>
  <c r="X199" i="40"/>
  <c r="BB145" i="59"/>
  <c r="W198" i="40"/>
  <c r="IS144" i="59"/>
  <c r="X195" i="40"/>
  <c r="CW144" i="59"/>
  <c r="J19" i="40"/>
  <c r="DE108" i="59"/>
  <c r="O35" i="2"/>
  <c r="AG259" i="59"/>
  <c r="EJ256" i="59"/>
  <c r="BV257" i="59"/>
  <c r="I380" i="5"/>
  <c r="CN235" i="59"/>
  <c r="Q33" i="2"/>
  <c r="GL258" i="59"/>
  <c r="Q23" i="2"/>
  <c r="IB256" i="59"/>
  <c r="P37" i="2"/>
  <c r="DH259" i="59"/>
  <c r="P27" i="2"/>
  <c r="Q27" i="2"/>
  <c r="G12" i="50"/>
  <c r="FV2" i="59"/>
  <c r="CN299" i="59"/>
  <c r="P39" i="2"/>
  <c r="GF259" i="59"/>
  <c r="P29" i="2"/>
  <c r="Q29" i="2"/>
  <c r="AU256" i="59"/>
  <c r="N20" i="2"/>
  <c r="CQ256" i="59"/>
  <c r="CP256" i="59"/>
  <c r="P36" i="2"/>
  <c r="BV259" i="59"/>
  <c r="DQ257" i="59"/>
  <c r="P26" i="2"/>
  <c r="Q26" i="2"/>
  <c r="P35" i="2"/>
  <c r="AH259" i="59"/>
  <c r="BW257" i="59"/>
  <c r="O34" i="2"/>
  <c r="ID258" i="59"/>
  <c r="AB257" i="59"/>
  <c r="O24" i="2"/>
  <c r="P24" i="2"/>
  <c r="CV258" i="59"/>
  <c r="P41" i="2"/>
  <c r="M260" i="59"/>
  <c r="Q40" i="2"/>
  <c r="HS259" i="59"/>
  <c r="BC258" i="59"/>
  <c r="N21" i="2"/>
  <c r="K17" i="5"/>
  <c r="FK163" i="59"/>
  <c r="BU259" i="59"/>
  <c r="P38" i="2"/>
  <c r="ET259" i="59"/>
  <c r="HE257" i="59"/>
  <c r="P31" i="2"/>
  <c r="Q22" i="2"/>
  <c r="R22" i="2"/>
  <c r="GG256" i="59"/>
  <c r="J16" i="5"/>
  <c r="DM163" i="59"/>
  <c r="AV256" i="59"/>
  <c r="Q32" i="2"/>
  <c r="ER258" i="59"/>
  <c r="P25" i="2"/>
  <c r="L365" i="5"/>
  <c r="CP232" i="59"/>
  <c r="P28" i="2"/>
  <c r="J380" i="5"/>
  <c r="CO235" i="59"/>
  <c r="Q30" i="2"/>
  <c r="E108" i="42"/>
  <c r="EP311" i="59"/>
  <c r="Y202" i="40"/>
  <c r="GZ145" i="59"/>
  <c r="I248" i="40"/>
  <c r="GL152" i="59"/>
  <c r="V196" i="40"/>
  <c r="ET144" i="59"/>
  <c r="X198" i="40"/>
  <c r="IT144" i="59"/>
  <c r="Y199" i="40"/>
  <c r="BC145" i="59"/>
  <c r="Y195" i="40"/>
  <c r="CX144" i="59"/>
  <c r="AS95" i="5"/>
  <c r="AW179" i="59"/>
  <c r="H129" i="40"/>
  <c r="GS130" i="59"/>
  <c r="R33" i="2"/>
  <c r="GM258" i="59"/>
  <c r="R23" i="2"/>
  <c r="S33" i="2"/>
  <c r="GN258" i="59"/>
  <c r="FL257" i="59"/>
  <c r="Q37" i="2"/>
  <c r="DI259" i="59"/>
  <c r="I258" i="59"/>
  <c r="Q39" i="2"/>
  <c r="GG259" i="59"/>
  <c r="N19" i="2"/>
  <c r="AW256" i="59"/>
  <c r="EK256" i="59"/>
  <c r="O21" i="2"/>
  <c r="EL256" i="59"/>
  <c r="AD257" i="59"/>
  <c r="Q34" i="2"/>
  <c r="IF258" i="59"/>
  <c r="R36" i="2"/>
  <c r="BX259" i="59"/>
  <c r="DS257" i="59"/>
  <c r="Q41" i="2"/>
  <c r="N260" i="59"/>
  <c r="CW258" i="59"/>
  <c r="Q24" i="2"/>
  <c r="Q35" i="2"/>
  <c r="AI259" i="59"/>
  <c r="BX257" i="59"/>
  <c r="Q38" i="2"/>
  <c r="EU259" i="59"/>
  <c r="HF257" i="59"/>
  <c r="Q36" i="2"/>
  <c r="BW259" i="59"/>
  <c r="DR257" i="59"/>
  <c r="R39" i="2"/>
  <c r="GH259" i="59"/>
  <c r="J258" i="59"/>
  <c r="O20" i="2"/>
  <c r="R40" i="2"/>
  <c r="HT259" i="59"/>
  <c r="BD258" i="59"/>
  <c r="R37" i="2"/>
  <c r="DJ259" i="59"/>
  <c r="FM257" i="59"/>
  <c r="P34" i="2"/>
  <c r="AC257" i="59"/>
  <c r="Q31" i="2"/>
  <c r="S32" i="2"/>
  <c r="ET258" i="59"/>
  <c r="GI256" i="59"/>
  <c r="S22" i="2"/>
  <c r="K380" i="5"/>
  <c r="CP235" i="59"/>
  <c r="GH256" i="59"/>
  <c r="R32" i="2"/>
  <c r="ES258" i="59"/>
  <c r="R29" i="2"/>
  <c r="Q25" i="2"/>
  <c r="P21" i="2"/>
  <c r="R27" i="2"/>
  <c r="R30" i="2"/>
  <c r="R26" i="2"/>
  <c r="Q28" i="2"/>
  <c r="J248" i="40"/>
  <c r="GM152" i="59"/>
  <c r="L248" i="40"/>
  <c r="GO152" i="59"/>
  <c r="K248" i="40"/>
  <c r="GN152" i="59"/>
  <c r="Z202" i="40"/>
  <c r="HA145" i="59"/>
  <c r="Y198" i="40"/>
  <c r="IU144" i="59"/>
  <c r="Z199" i="40"/>
  <c r="BD145" i="59"/>
  <c r="W196" i="40"/>
  <c r="EU144" i="59"/>
  <c r="Z195" i="40"/>
  <c r="CY144" i="59"/>
  <c r="J129" i="40"/>
  <c r="GU130" i="59"/>
  <c r="M248" i="40"/>
  <c r="GP152" i="59"/>
  <c r="L129" i="40"/>
  <c r="GW130" i="59"/>
  <c r="K129" i="40"/>
  <c r="GV130" i="59"/>
  <c r="H20" i="41"/>
  <c r="EB305" i="59"/>
  <c r="S23" i="2"/>
  <c r="ID256" i="59"/>
  <c r="IC256" i="59"/>
  <c r="K16" i="5"/>
  <c r="DN163" i="59"/>
  <c r="L17" i="5"/>
  <c r="FL163" i="59"/>
  <c r="Q20" i="2"/>
  <c r="CT256" i="59"/>
  <c r="S40" i="2"/>
  <c r="HU259" i="59"/>
  <c r="BE258" i="59"/>
  <c r="R41" i="2"/>
  <c r="O260" i="59"/>
  <c r="CX258" i="59"/>
  <c r="R24" i="2"/>
  <c r="S34" i="2"/>
  <c r="IH258" i="59"/>
  <c r="AE257" i="59"/>
  <c r="S37" i="2"/>
  <c r="DK259" i="59"/>
  <c r="FN257" i="59"/>
  <c r="R34" i="2"/>
  <c r="IG258" i="59"/>
  <c r="R31" i="2"/>
  <c r="S31" i="2"/>
  <c r="T31" i="2"/>
  <c r="IE258" i="59"/>
  <c r="P20" i="2"/>
  <c r="S39" i="2"/>
  <c r="GI259" i="59"/>
  <c r="K258" i="59"/>
  <c r="R38" i="2"/>
  <c r="EV259" i="59"/>
  <c r="HG257" i="59"/>
  <c r="R35" i="2"/>
  <c r="AJ259" i="59"/>
  <c r="BY257" i="59"/>
  <c r="S36" i="2"/>
  <c r="BY259" i="59"/>
  <c r="DT257" i="59"/>
  <c r="CR256" i="59"/>
  <c r="O19" i="2"/>
  <c r="T32" i="2"/>
  <c r="EU258" i="59"/>
  <c r="GJ256" i="59"/>
  <c r="M17" i="5"/>
  <c r="FM163" i="59"/>
  <c r="EM256" i="59"/>
  <c r="T22" i="2"/>
  <c r="U32" i="2"/>
  <c r="EV258" i="59"/>
  <c r="S29" i="2"/>
  <c r="Q21" i="2"/>
  <c r="R25" i="2"/>
  <c r="R28" i="2"/>
  <c r="S27" i="2"/>
  <c r="S26" i="2"/>
  <c r="S30" i="2"/>
  <c r="AA202" i="40"/>
  <c r="HB145" i="59"/>
  <c r="N248" i="40"/>
  <c r="GQ152" i="59"/>
  <c r="S129" i="40"/>
  <c r="HD130" i="59"/>
  <c r="W129" i="40"/>
  <c r="HH130" i="59"/>
  <c r="AA129" i="40"/>
  <c r="HL130" i="59"/>
  <c r="AE129" i="40"/>
  <c r="HP130" i="59"/>
  <c r="AI129" i="40"/>
  <c r="HT130" i="59"/>
  <c r="AM129" i="40"/>
  <c r="HX130" i="59"/>
  <c r="AQ129" i="40"/>
  <c r="IB130" i="59"/>
  <c r="AU129" i="40"/>
  <c r="IF130" i="59"/>
  <c r="R129" i="40"/>
  <c r="HC130" i="59"/>
  <c r="V129" i="40"/>
  <c r="HG130" i="59"/>
  <c r="Z129" i="40"/>
  <c r="HK130" i="59"/>
  <c r="AD129" i="40"/>
  <c r="HO130" i="59"/>
  <c r="AH129" i="40"/>
  <c r="HS130" i="59"/>
  <c r="AL129" i="40"/>
  <c r="HW130" i="59"/>
  <c r="AP129" i="40"/>
  <c r="IA130" i="59"/>
  <c r="AT129" i="40"/>
  <c r="IE130" i="59"/>
  <c r="AX129" i="40"/>
  <c r="II130" i="59"/>
  <c r="U129" i="40"/>
  <c r="HF130" i="59"/>
  <c r="Y129" i="40"/>
  <c r="HJ130" i="59"/>
  <c r="AC129" i="40"/>
  <c r="HN130" i="59"/>
  <c r="AG129" i="40"/>
  <c r="HR130" i="59"/>
  <c r="AK129" i="40"/>
  <c r="HV130" i="59"/>
  <c r="AO129" i="40"/>
  <c r="HZ130" i="59"/>
  <c r="AS129" i="40"/>
  <c r="ID130" i="59"/>
  <c r="AW129" i="40"/>
  <c r="IH130" i="59"/>
  <c r="T129" i="40"/>
  <c r="HE130" i="59"/>
  <c r="X129" i="40"/>
  <c r="HI130" i="59"/>
  <c r="AB129" i="40"/>
  <c r="HM130" i="59"/>
  <c r="AF129" i="40"/>
  <c r="HQ130" i="59"/>
  <c r="AJ129" i="40"/>
  <c r="HU130" i="59"/>
  <c r="AN129" i="40"/>
  <c r="HY130" i="59"/>
  <c r="AR129" i="40"/>
  <c r="IC130" i="59"/>
  <c r="AV129" i="40"/>
  <c r="IG130" i="59"/>
  <c r="Q129" i="40"/>
  <c r="HB130" i="59"/>
  <c r="O129" i="40"/>
  <c r="GZ130" i="59"/>
  <c r="N129" i="40"/>
  <c r="GY130" i="59"/>
  <c r="P129" i="40"/>
  <c r="HA130" i="59"/>
  <c r="AG248" i="40"/>
  <c r="HJ152" i="59"/>
  <c r="AX248" i="40"/>
  <c r="IA152" i="59"/>
  <c r="AD248" i="40"/>
  <c r="HG152" i="59"/>
  <c r="AK248" i="40"/>
  <c r="HN152" i="59"/>
  <c r="AT248" i="40"/>
  <c r="HW152" i="59"/>
  <c r="AA248" i="40"/>
  <c r="HD152" i="59"/>
  <c r="AL248" i="40"/>
  <c r="HO152" i="59"/>
  <c r="AC248" i="40"/>
  <c r="HF152" i="59"/>
  <c r="AS248" i="40"/>
  <c r="HV152" i="59"/>
  <c r="AM248" i="40"/>
  <c r="HP152" i="59"/>
  <c r="AN248" i="40"/>
  <c r="HQ152" i="59"/>
  <c r="AQ248" i="40"/>
  <c r="HT152" i="59"/>
  <c r="AJ248" i="40"/>
  <c r="HM152" i="59"/>
  <c r="AO248" i="40"/>
  <c r="HR152" i="59"/>
  <c r="AV248" i="40"/>
  <c r="HY152" i="59"/>
  <c r="AW248" i="40"/>
  <c r="HZ152" i="59"/>
  <c r="Z248" i="40"/>
  <c r="HC152" i="59"/>
  <c r="AP248" i="40"/>
  <c r="HS152" i="59"/>
  <c r="AH248" i="40"/>
  <c r="HK152" i="59"/>
  <c r="AF248" i="40"/>
  <c r="HI152" i="59"/>
  <c r="AZ248" i="40"/>
  <c r="IC152" i="59"/>
  <c r="AI248" i="40"/>
  <c r="HL152" i="59"/>
  <c r="AE248" i="40"/>
  <c r="HH152" i="59"/>
  <c r="AB248" i="40"/>
  <c r="HE152" i="59"/>
  <c r="AU248" i="40"/>
  <c r="HX152" i="59"/>
  <c r="AY248" i="40"/>
  <c r="IB152" i="59"/>
  <c r="AR248" i="40"/>
  <c r="HU152" i="59"/>
  <c r="X196" i="40"/>
  <c r="EV144" i="59"/>
  <c r="Z198" i="40"/>
  <c r="IV144" i="59"/>
  <c r="AA195" i="40"/>
  <c r="CZ144" i="59"/>
  <c r="AA199" i="40"/>
  <c r="BE145" i="59"/>
  <c r="Q248" i="40"/>
  <c r="GT152" i="59"/>
  <c r="R248" i="40"/>
  <c r="GU152" i="59"/>
  <c r="S248" i="40"/>
  <c r="GV152" i="59"/>
  <c r="P248" i="40"/>
  <c r="GS152" i="59"/>
  <c r="M129" i="40"/>
  <c r="U248" i="40"/>
  <c r="GX152" i="59"/>
  <c r="T23" i="2"/>
  <c r="U23" i="2"/>
  <c r="IF256" i="59"/>
  <c r="T33" i="2"/>
  <c r="GO258" i="59"/>
  <c r="Q19" i="2"/>
  <c r="AZ256" i="59"/>
  <c r="L380" i="5"/>
  <c r="CQ235" i="59"/>
  <c r="V248" i="40"/>
  <c r="GY152" i="59"/>
  <c r="Y248" i="40"/>
  <c r="HB152" i="59"/>
  <c r="X248" i="40"/>
  <c r="HA152" i="59"/>
  <c r="T248" i="40"/>
  <c r="GW152" i="59"/>
  <c r="W248" i="40"/>
  <c r="GZ152" i="59"/>
  <c r="T40" i="2"/>
  <c r="HV259" i="59"/>
  <c r="BF258" i="59"/>
  <c r="T36" i="2"/>
  <c r="BZ259" i="59"/>
  <c r="DU257" i="59"/>
  <c r="CS256" i="59"/>
  <c r="P19" i="2"/>
  <c r="AF257" i="59"/>
  <c r="S24" i="2"/>
  <c r="R20" i="2"/>
  <c r="CU256" i="59"/>
  <c r="S38" i="2"/>
  <c r="EW259" i="59"/>
  <c r="HH257" i="59"/>
  <c r="T41" i="2"/>
  <c r="Q260" i="59"/>
  <c r="CZ258" i="59"/>
  <c r="T37" i="2"/>
  <c r="DL259" i="59"/>
  <c r="FO257" i="59"/>
  <c r="U41" i="2"/>
  <c r="R260" i="59"/>
  <c r="DA258" i="59"/>
  <c r="S41" i="2"/>
  <c r="P260" i="59"/>
  <c r="CY258" i="59"/>
  <c r="S35" i="2"/>
  <c r="AK259" i="59"/>
  <c r="BZ257" i="59"/>
  <c r="AX256" i="59"/>
  <c r="L16" i="5"/>
  <c r="DO163" i="59"/>
  <c r="T39" i="2"/>
  <c r="GJ259" i="59"/>
  <c r="L258" i="59"/>
  <c r="D95" i="5"/>
  <c r="H179" i="59"/>
  <c r="GX130" i="59"/>
  <c r="M380" i="5"/>
  <c r="CR235" i="59"/>
  <c r="U22" i="2"/>
  <c r="GK256" i="59"/>
  <c r="N17" i="5"/>
  <c r="N380" i="5"/>
  <c r="CS235" i="59"/>
  <c r="EN256" i="59"/>
  <c r="T29" i="2"/>
  <c r="U29" i="2"/>
  <c r="S25" i="2"/>
  <c r="U31" i="2"/>
  <c r="S28" i="2"/>
  <c r="R21" i="2"/>
  <c r="T27" i="2"/>
  <c r="T26" i="2"/>
  <c r="T30" i="2"/>
  <c r="AM95" i="5"/>
  <c r="AQ179" i="59"/>
  <c r="J95" i="5"/>
  <c r="N179" i="59"/>
  <c r="AJ95" i="5"/>
  <c r="AN179" i="59"/>
  <c r="E95" i="5"/>
  <c r="I179" i="59"/>
  <c r="S95" i="5"/>
  <c r="W179" i="59"/>
  <c r="T95" i="5"/>
  <c r="X179" i="59"/>
  <c r="U95" i="5"/>
  <c r="Y179" i="59"/>
  <c r="V95" i="5"/>
  <c r="Z179" i="59"/>
  <c r="F95" i="5"/>
  <c r="J179" i="59"/>
  <c r="O95" i="5"/>
  <c r="S179" i="59"/>
  <c r="P95" i="5"/>
  <c r="T179" i="59"/>
  <c r="Q95" i="5"/>
  <c r="U179" i="59"/>
  <c r="R95" i="5"/>
  <c r="V179" i="59"/>
  <c r="H95" i="5"/>
  <c r="L179" i="59"/>
  <c r="K95" i="5"/>
  <c r="O179" i="59"/>
  <c r="L95" i="5"/>
  <c r="P179" i="59"/>
  <c r="M95" i="5"/>
  <c r="Q179" i="59"/>
  <c r="N95" i="5"/>
  <c r="R179" i="59"/>
  <c r="AO95" i="5"/>
  <c r="AS179" i="59"/>
  <c r="AK95" i="5"/>
  <c r="AO179" i="59"/>
  <c r="AE95" i="5"/>
  <c r="AI179" i="59"/>
  <c r="AF95" i="5"/>
  <c r="AG95" i="5"/>
  <c r="AK179" i="59"/>
  <c r="AH95" i="5"/>
  <c r="AL179" i="59"/>
  <c r="I95" i="5"/>
  <c r="M179" i="59"/>
  <c r="AA95" i="5"/>
  <c r="AE179" i="59"/>
  <c r="AB95" i="5"/>
  <c r="AF179" i="59"/>
  <c r="AC95" i="5"/>
  <c r="AG179" i="59"/>
  <c r="AD95" i="5"/>
  <c r="AH179" i="59"/>
  <c r="AN95" i="5"/>
  <c r="AR179" i="59"/>
  <c r="AI95" i="5"/>
  <c r="AM179" i="59"/>
  <c r="AL95" i="5"/>
  <c r="AP179" i="59"/>
  <c r="G95" i="5"/>
  <c r="K179" i="59"/>
  <c r="W95" i="5"/>
  <c r="AA179" i="59"/>
  <c r="X95" i="5"/>
  <c r="AB179" i="59"/>
  <c r="Y95" i="5"/>
  <c r="AC179" i="59"/>
  <c r="Z95" i="5"/>
  <c r="AD179" i="59"/>
  <c r="O248" i="40"/>
  <c r="GR152" i="59"/>
  <c r="M200" i="40"/>
  <c r="CP145" i="59"/>
  <c r="AB202" i="40"/>
  <c r="HC145" i="59"/>
  <c r="AB195" i="40"/>
  <c r="DA144" i="59"/>
  <c r="Y196" i="40"/>
  <c r="EW144" i="59"/>
  <c r="AB199" i="40"/>
  <c r="BF145" i="59"/>
  <c r="AA198" i="40"/>
  <c r="F145" i="59"/>
  <c r="N200" i="40"/>
  <c r="CQ145" i="59"/>
  <c r="IE256" i="59"/>
  <c r="V33" i="2"/>
  <c r="GQ258" i="59"/>
  <c r="V23" i="2"/>
  <c r="IG256" i="59"/>
  <c r="U33" i="2"/>
  <c r="GP258" i="59"/>
  <c r="N16" i="5"/>
  <c r="DQ163" i="59"/>
  <c r="R19" i="2"/>
  <c r="BA256" i="59"/>
  <c r="AY256" i="59"/>
  <c r="M16" i="5"/>
  <c r="DP163" i="59"/>
  <c r="U40" i="2"/>
  <c r="HW259" i="59"/>
  <c r="BG258" i="59"/>
  <c r="AG257" i="59"/>
  <c r="T24" i="2"/>
  <c r="T34" i="2"/>
  <c r="II258" i="59"/>
  <c r="U36" i="2"/>
  <c r="CA259" i="59"/>
  <c r="DV257" i="59"/>
  <c r="V41" i="2"/>
  <c r="S260" i="59"/>
  <c r="DB258" i="59"/>
  <c r="U39" i="2"/>
  <c r="GK259" i="59"/>
  <c r="M258" i="59"/>
  <c r="T38" i="2"/>
  <c r="EX259" i="59"/>
  <c r="HI257" i="59"/>
  <c r="S20" i="2"/>
  <c r="CV256" i="59"/>
  <c r="U37" i="2"/>
  <c r="DM259" i="59"/>
  <c r="FP257" i="59"/>
  <c r="V39" i="2"/>
  <c r="GL259" i="59"/>
  <c r="N258" i="59"/>
  <c r="T35" i="2"/>
  <c r="AL259" i="59"/>
  <c r="CA257" i="59"/>
  <c r="AF159" i="59"/>
  <c r="AJ179" i="59"/>
  <c r="N365" i="5"/>
  <c r="CR232" i="59"/>
  <c r="FN163" i="59"/>
  <c r="V32" i="2"/>
  <c r="EW258" i="59"/>
  <c r="GL256" i="59"/>
  <c r="V22" i="2"/>
  <c r="W22" i="2"/>
  <c r="O17" i="5"/>
  <c r="FO163" i="59"/>
  <c r="EO256" i="59"/>
  <c r="S21" i="2"/>
  <c r="T25" i="2"/>
  <c r="U30" i="2"/>
  <c r="U27" i="2"/>
  <c r="T28" i="2"/>
  <c r="V31" i="2"/>
  <c r="V29" i="2"/>
  <c r="U26" i="2"/>
  <c r="BA248" i="40"/>
  <c r="ID152" i="59"/>
  <c r="AC202" i="40"/>
  <c r="HD145" i="59"/>
  <c r="AC195" i="40"/>
  <c r="DB144" i="59"/>
  <c r="O200" i="40"/>
  <c r="CR145" i="59"/>
  <c r="AC199" i="40"/>
  <c r="BG145" i="59"/>
  <c r="Z196" i="40"/>
  <c r="EX144" i="59"/>
  <c r="AB198" i="40"/>
  <c r="G145" i="59"/>
  <c r="W23" i="2"/>
  <c r="X23" i="2"/>
  <c r="II256" i="59"/>
  <c r="W33" i="2"/>
  <c r="GR258" i="59"/>
  <c r="O16" i="5"/>
  <c r="DR163" i="59"/>
  <c r="S19" i="2"/>
  <c r="BB256" i="59"/>
  <c r="AH257" i="59"/>
  <c r="U34" i="2"/>
  <c r="IJ258" i="59"/>
  <c r="V36" i="2"/>
  <c r="CB259" i="59"/>
  <c r="DW257" i="59"/>
  <c r="W39" i="2"/>
  <c r="GM259" i="59"/>
  <c r="O258" i="59"/>
  <c r="W41" i="2"/>
  <c r="T260" i="59"/>
  <c r="DC258" i="59"/>
  <c r="V40" i="2"/>
  <c r="HX259" i="59"/>
  <c r="BH258" i="59"/>
  <c r="V37" i="2"/>
  <c r="DN259" i="59"/>
  <c r="FQ257" i="59"/>
  <c r="U24" i="2"/>
  <c r="V24" i="2"/>
  <c r="U38" i="2"/>
  <c r="EY259" i="59"/>
  <c r="HJ257" i="59"/>
  <c r="U35" i="2"/>
  <c r="AM259" i="59"/>
  <c r="CB257" i="59"/>
  <c r="T20" i="2"/>
  <c r="CW256" i="59"/>
  <c r="X32" i="2"/>
  <c r="EY258" i="59"/>
  <c r="GN256" i="59"/>
  <c r="W32" i="2"/>
  <c r="EX258" i="59"/>
  <c r="GM256" i="59"/>
  <c r="X22" i="2"/>
  <c r="P17" i="5"/>
  <c r="FP163" i="59"/>
  <c r="EP256" i="59"/>
  <c r="U25" i="2"/>
  <c r="P365" i="5"/>
  <c r="CT232" i="59"/>
  <c r="AQ17" i="5"/>
  <c r="GQ163" i="59"/>
  <c r="V30" i="2"/>
  <c r="V27" i="2"/>
  <c r="W29" i="2"/>
  <c r="O380" i="5"/>
  <c r="CT235" i="59"/>
  <c r="W31" i="2"/>
  <c r="U28" i="2"/>
  <c r="T21" i="2"/>
  <c r="V26" i="2"/>
  <c r="AD202" i="40"/>
  <c r="HE145" i="59"/>
  <c r="AQ95" i="5"/>
  <c r="AU179" i="59"/>
  <c r="AA196" i="40"/>
  <c r="EY144" i="59"/>
  <c r="AC198" i="40"/>
  <c r="H145" i="59"/>
  <c r="AD199" i="40"/>
  <c r="BH145" i="59"/>
  <c r="AD195" i="40"/>
  <c r="DC144" i="59"/>
  <c r="P200" i="40"/>
  <c r="CS145" i="59"/>
  <c r="AY129" i="40"/>
  <c r="IJ130" i="59"/>
  <c r="X33" i="2"/>
  <c r="GS258" i="59"/>
  <c r="Y23" i="2"/>
  <c r="IJ256" i="59"/>
  <c r="IH256" i="59"/>
  <c r="Y33" i="2"/>
  <c r="GT258" i="59"/>
  <c r="P16" i="5"/>
  <c r="DS163" i="59"/>
  <c r="AJ257" i="59"/>
  <c r="W34" i="2"/>
  <c r="IL258" i="59"/>
  <c r="U20" i="2"/>
  <c r="U19" i="2"/>
  <c r="BD256" i="59"/>
  <c r="P380" i="5"/>
  <c r="CU235" i="59"/>
  <c r="T19" i="2"/>
  <c r="BC256" i="59"/>
  <c r="W24" i="2"/>
  <c r="AK257" i="59"/>
  <c r="X39" i="2"/>
  <c r="GN259" i="59"/>
  <c r="P258" i="59"/>
  <c r="W37" i="2"/>
  <c r="DO259" i="59"/>
  <c r="FR257" i="59"/>
  <c r="W36" i="2"/>
  <c r="CC259" i="59"/>
  <c r="DX257" i="59"/>
  <c r="W40" i="2"/>
  <c r="HY259" i="59"/>
  <c r="BI258" i="59"/>
  <c r="AI257" i="59"/>
  <c r="V34" i="2"/>
  <c r="IK258" i="59"/>
  <c r="V38" i="2"/>
  <c r="EZ259" i="59"/>
  <c r="HK257" i="59"/>
  <c r="V35" i="2"/>
  <c r="AN259" i="59"/>
  <c r="CC257" i="59"/>
  <c r="X41" i="2"/>
  <c r="U260" i="59"/>
  <c r="DD258" i="59"/>
  <c r="Y32" i="2"/>
  <c r="EZ258" i="59"/>
  <c r="GO256" i="59"/>
  <c r="Q17" i="5"/>
  <c r="FQ163" i="59"/>
  <c r="EQ256" i="59"/>
  <c r="Y22" i="2"/>
  <c r="V25" i="2"/>
  <c r="F407" i="5"/>
  <c r="HS240" i="59"/>
  <c r="AQ365" i="5"/>
  <c r="DU232" i="59"/>
  <c r="X31" i="2"/>
  <c r="V28" i="2"/>
  <c r="U21" i="2"/>
  <c r="X29" i="2"/>
  <c r="W26" i="2"/>
  <c r="W30" i="2"/>
  <c r="W27" i="2"/>
  <c r="AE202" i="40"/>
  <c r="HF145" i="59"/>
  <c r="I20" i="41"/>
  <c r="EC305" i="59"/>
  <c r="AR95" i="5"/>
  <c r="AV179" i="59"/>
  <c r="Q200" i="40"/>
  <c r="CT145" i="59"/>
  <c r="AE199" i="40"/>
  <c r="BI145" i="59"/>
  <c r="AB196" i="40"/>
  <c r="EZ144" i="59"/>
  <c r="AE195" i="40"/>
  <c r="DD144" i="59"/>
  <c r="AD198" i="40"/>
  <c r="I145" i="59"/>
  <c r="I19" i="40"/>
  <c r="DD108" i="59"/>
  <c r="Z23" i="2"/>
  <c r="AA33" i="2"/>
  <c r="GV258" i="59"/>
  <c r="Z33" i="2"/>
  <c r="GU258" i="59"/>
  <c r="CX256" i="59"/>
  <c r="Q16" i="5"/>
  <c r="DT163" i="59"/>
  <c r="X34" i="2"/>
  <c r="IM258" i="59"/>
  <c r="X24" i="2"/>
  <c r="AL257" i="59"/>
  <c r="X36" i="2"/>
  <c r="CD259" i="59"/>
  <c r="DY257" i="59"/>
  <c r="X37" i="2"/>
  <c r="DP259" i="59"/>
  <c r="FS257" i="59"/>
  <c r="X40" i="2"/>
  <c r="HZ259" i="59"/>
  <c r="BJ258" i="59"/>
  <c r="W35" i="2"/>
  <c r="AO259" i="59"/>
  <c r="CD257" i="59"/>
  <c r="Y39" i="2"/>
  <c r="GO259" i="59"/>
  <c r="Q258" i="59"/>
  <c r="W38" i="2"/>
  <c r="FA259" i="59"/>
  <c r="HL257" i="59"/>
  <c r="Y41" i="2"/>
  <c r="V260" i="59"/>
  <c r="DE258" i="59"/>
  <c r="V20" i="2"/>
  <c r="V19" i="2"/>
  <c r="BE256" i="59"/>
  <c r="R16" i="5"/>
  <c r="DU163" i="59"/>
  <c r="Z32" i="2"/>
  <c r="FA258" i="59"/>
  <c r="GP256" i="59"/>
  <c r="Z22" i="2"/>
  <c r="AA22" i="2"/>
  <c r="R17" i="5"/>
  <c r="FR163" i="59"/>
  <c r="ER256" i="59"/>
  <c r="W25" i="2"/>
  <c r="V21" i="2"/>
  <c r="Q380" i="5"/>
  <c r="CV235" i="59"/>
  <c r="X27" i="2"/>
  <c r="X30" i="2"/>
  <c r="W28" i="2"/>
  <c r="X26" i="2"/>
  <c r="Y29" i="2"/>
  <c r="Y31" i="2"/>
  <c r="J20" i="41"/>
  <c r="ED305" i="59"/>
  <c r="AF202" i="40"/>
  <c r="HG145" i="59"/>
  <c r="AT95" i="5"/>
  <c r="AX179" i="59"/>
  <c r="O20" i="41"/>
  <c r="EI305" i="59"/>
  <c r="AE198" i="40"/>
  <c r="J145" i="59"/>
  <c r="AC196" i="40"/>
  <c r="FA144" i="59"/>
  <c r="R200" i="40"/>
  <c r="CU145" i="59"/>
  <c r="AF195" i="40"/>
  <c r="DE144" i="59"/>
  <c r="AF199" i="40"/>
  <c r="BJ145" i="59"/>
  <c r="AS96" i="5"/>
  <c r="CT179" i="59"/>
  <c r="H93" i="40"/>
  <c r="CH123" i="59"/>
  <c r="C37" i="41"/>
  <c r="ER306" i="59"/>
  <c r="C39" i="41"/>
  <c r="FX306" i="59"/>
  <c r="C41" i="41"/>
  <c r="HD306" i="59"/>
  <c r="C35" i="41"/>
  <c r="DL306" i="59"/>
  <c r="AA23" i="2"/>
  <c r="AB33" i="2"/>
  <c r="GW258" i="59"/>
  <c r="IK256" i="59"/>
  <c r="Y34" i="2"/>
  <c r="IN258" i="59"/>
  <c r="Y24" i="2"/>
  <c r="AM257" i="59"/>
  <c r="CY256" i="59"/>
  <c r="Z41" i="2"/>
  <c r="W260" i="59"/>
  <c r="DF258" i="59"/>
  <c r="Y36" i="2"/>
  <c r="CE259" i="59"/>
  <c r="DZ257" i="59"/>
  <c r="X38" i="2"/>
  <c r="FB259" i="59"/>
  <c r="HM257" i="59"/>
  <c r="X35" i="2"/>
  <c r="AP259" i="59"/>
  <c r="CE257" i="59"/>
  <c r="Y40" i="2"/>
  <c r="IA259" i="59"/>
  <c r="BK258" i="59"/>
  <c r="W20" i="2"/>
  <c r="CZ256" i="59"/>
  <c r="Z39" i="2"/>
  <c r="GP259" i="59"/>
  <c r="R258" i="59"/>
  <c r="Y37" i="2"/>
  <c r="DQ259" i="59"/>
  <c r="FT257" i="59"/>
  <c r="AB22" i="2"/>
  <c r="GS256" i="59"/>
  <c r="GR256" i="59"/>
  <c r="S16" i="5"/>
  <c r="DV163" i="59"/>
  <c r="S17" i="5"/>
  <c r="FS163" i="59"/>
  <c r="ES256" i="59"/>
  <c r="AA32" i="2"/>
  <c r="FB258" i="59"/>
  <c r="GQ256" i="59"/>
  <c r="AB32" i="2"/>
  <c r="FC258" i="59"/>
  <c r="W21" i="2"/>
  <c r="X25" i="2"/>
  <c r="Z31" i="2"/>
  <c r="Y26" i="2"/>
  <c r="Y30" i="2"/>
  <c r="Z29" i="2"/>
  <c r="Y27" i="2"/>
  <c r="R380" i="5"/>
  <c r="CW235" i="59"/>
  <c r="X28" i="2"/>
  <c r="G35" i="41"/>
  <c r="DP306" i="59"/>
  <c r="G37" i="41"/>
  <c r="EV306" i="59"/>
  <c r="J93" i="40"/>
  <c r="CJ123" i="59"/>
  <c r="K20" i="41"/>
  <c r="EE305" i="59"/>
  <c r="G41" i="41"/>
  <c r="HH306" i="59"/>
  <c r="G39" i="41"/>
  <c r="GB306" i="59"/>
  <c r="AG202" i="40"/>
  <c r="HH145" i="59"/>
  <c r="AG199" i="40"/>
  <c r="BK145" i="59"/>
  <c r="S200" i="40"/>
  <c r="CV145" i="59"/>
  <c r="AF198" i="40"/>
  <c r="K145" i="59"/>
  <c r="AG195" i="40"/>
  <c r="DF144" i="59"/>
  <c r="AD196" i="40"/>
  <c r="FB144" i="59"/>
  <c r="L108" i="40"/>
  <c r="DM126" i="59"/>
  <c r="K108" i="40"/>
  <c r="DL126" i="59"/>
  <c r="L109" i="40"/>
  <c r="FM126" i="59"/>
  <c r="K109" i="40"/>
  <c r="FL126" i="59"/>
  <c r="L102" i="40"/>
  <c r="BD125" i="59"/>
  <c r="K102" i="40"/>
  <c r="BC125" i="59"/>
  <c r="L97" i="40"/>
  <c r="AU124" i="59"/>
  <c r="K97" i="40"/>
  <c r="AT124" i="59"/>
  <c r="C27" i="41"/>
  <c r="IE305" i="59"/>
  <c r="K101" i="40"/>
  <c r="IT124" i="59"/>
  <c r="L101" i="40"/>
  <c r="IU124" i="59"/>
  <c r="C22" i="41"/>
  <c r="FC305" i="59"/>
  <c r="C26" i="41"/>
  <c r="HO305" i="59"/>
  <c r="C33" i="41"/>
  <c r="CF306" i="59"/>
  <c r="C42" i="41"/>
  <c r="HT306" i="59"/>
  <c r="K114" i="40"/>
  <c r="FU127" i="59"/>
  <c r="L114" i="40"/>
  <c r="FV127" i="59"/>
  <c r="C29" i="41"/>
  <c r="T306" i="59"/>
  <c r="C24" i="41"/>
  <c r="GI305" i="59"/>
  <c r="L110" i="40"/>
  <c r="HM126" i="59"/>
  <c r="K110" i="40"/>
  <c r="HL126" i="59"/>
  <c r="K100" i="40"/>
  <c r="GT124" i="59"/>
  <c r="L100" i="40"/>
  <c r="GU124" i="59"/>
  <c r="C28" i="41"/>
  <c r="IU305" i="59"/>
  <c r="K95" i="40"/>
  <c r="GK123" i="59"/>
  <c r="L95" i="40"/>
  <c r="GL123" i="59"/>
  <c r="C32" i="41"/>
  <c r="BP306" i="59"/>
  <c r="C30" i="41"/>
  <c r="AJ306" i="59"/>
  <c r="L107" i="40"/>
  <c r="BM126" i="59"/>
  <c r="K107" i="40"/>
  <c r="BL126" i="59"/>
  <c r="L116" i="40"/>
  <c r="AE128" i="59"/>
  <c r="K116" i="40"/>
  <c r="AD128" i="59"/>
  <c r="K98" i="40"/>
  <c r="CT124" i="59"/>
  <c r="L98" i="40"/>
  <c r="CU124" i="59"/>
  <c r="L111" i="40"/>
  <c r="V127" i="59"/>
  <c r="K111" i="40"/>
  <c r="U127" i="59"/>
  <c r="C31" i="41"/>
  <c r="AZ306" i="59"/>
  <c r="L106" i="40"/>
  <c r="M126" i="59"/>
  <c r="K106" i="40"/>
  <c r="L126" i="59"/>
  <c r="K115" i="40"/>
  <c r="HU127" i="59"/>
  <c r="L115" i="40"/>
  <c r="HV127" i="59"/>
  <c r="L112" i="40"/>
  <c r="BV127" i="59"/>
  <c r="K112" i="40"/>
  <c r="BU127" i="59"/>
  <c r="L113" i="40"/>
  <c r="DV127" i="59"/>
  <c r="K113" i="40"/>
  <c r="DU127" i="59"/>
  <c r="K104" i="40"/>
  <c r="FC125" i="59"/>
  <c r="L104" i="40"/>
  <c r="FD125" i="59"/>
  <c r="K105" i="40"/>
  <c r="HC125" i="59"/>
  <c r="L105" i="40"/>
  <c r="HD125" i="59"/>
  <c r="K99" i="40"/>
  <c r="ET124" i="59"/>
  <c r="L99" i="40"/>
  <c r="EU124" i="59"/>
  <c r="C36" i="41"/>
  <c r="EB306" i="59"/>
  <c r="K103" i="40"/>
  <c r="L103" i="40"/>
  <c r="C40" i="41"/>
  <c r="GN306" i="59"/>
  <c r="C34" i="41"/>
  <c r="CV306" i="59"/>
  <c r="C43" i="41"/>
  <c r="IJ306" i="59"/>
  <c r="C25" i="41"/>
  <c r="GY305" i="59"/>
  <c r="C38" i="41"/>
  <c r="FH306" i="59"/>
  <c r="IL256" i="59"/>
  <c r="AB23" i="2"/>
  <c r="AC23" i="2"/>
  <c r="IN256" i="59"/>
  <c r="Z34" i="2"/>
  <c r="IO258" i="59"/>
  <c r="Z24" i="2"/>
  <c r="AN257" i="59"/>
  <c r="W19" i="2"/>
  <c r="BF256" i="59"/>
  <c r="Y38" i="2"/>
  <c r="FC259" i="59"/>
  <c r="HN257" i="59"/>
  <c r="Y35" i="2"/>
  <c r="AQ259" i="59"/>
  <c r="CF257" i="59"/>
  <c r="X20" i="2"/>
  <c r="DA256" i="59"/>
  <c r="Z37" i="2"/>
  <c r="DR259" i="59"/>
  <c r="FU257" i="59"/>
  <c r="AA39" i="2"/>
  <c r="GQ259" i="59"/>
  <c r="S258" i="59"/>
  <c r="Z40" i="2"/>
  <c r="IB259" i="59"/>
  <c r="BL258" i="59"/>
  <c r="Z36" i="2"/>
  <c r="CF259" i="59"/>
  <c r="EA257" i="59"/>
  <c r="AA41" i="2"/>
  <c r="X260" i="59"/>
  <c r="DG258" i="59"/>
  <c r="AC22" i="2"/>
  <c r="GT256" i="59"/>
  <c r="DC125" i="59"/>
  <c r="N103" i="59"/>
  <c r="O103" i="59"/>
  <c r="DD125" i="59"/>
  <c r="S380" i="5"/>
  <c r="CX235" i="59"/>
  <c r="AC32" i="2"/>
  <c r="FD258" i="59"/>
  <c r="T17" i="5"/>
  <c r="FT163" i="59"/>
  <c r="ET256" i="59"/>
  <c r="Y25" i="2"/>
  <c r="AA31" i="2"/>
  <c r="Z30" i="2"/>
  <c r="Z27" i="2"/>
  <c r="Y28" i="2"/>
  <c r="HO257" i="59"/>
  <c r="AA29" i="2"/>
  <c r="Z26" i="2"/>
  <c r="X21" i="2"/>
  <c r="G31" i="41"/>
  <c r="BD306" i="59"/>
  <c r="G26" i="41"/>
  <c r="HS305" i="59"/>
  <c r="G36" i="41"/>
  <c r="EF306" i="59"/>
  <c r="G30" i="41"/>
  <c r="AN306" i="59"/>
  <c r="L20" i="41"/>
  <c r="EF305" i="59"/>
  <c r="G38" i="41"/>
  <c r="FL306" i="59"/>
  <c r="G32" i="41"/>
  <c r="BT306" i="59"/>
  <c r="G24" i="41"/>
  <c r="GM305" i="59"/>
  <c r="G25" i="41"/>
  <c r="HC305" i="59"/>
  <c r="G29" i="41"/>
  <c r="X306" i="59"/>
  <c r="AH202" i="40"/>
  <c r="HI145" i="59"/>
  <c r="G43" i="41"/>
  <c r="IN306" i="59"/>
  <c r="G28" i="41"/>
  <c r="H306" i="59"/>
  <c r="G27" i="41"/>
  <c r="II305" i="59"/>
  <c r="G34" i="41"/>
  <c r="CZ306" i="59"/>
  <c r="G40" i="41"/>
  <c r="GR306" i="59"/>
  <c r="G42" i="41"/>
  <c r="HX306" i="59"/>
  <c r="G33" i="41"/>
  <c r="CJ306" i="59"/>
  <c r="AX109" i="40"/>
  <c r="GY126" i="59"/>
  <c r="AT109" i="40"/>
  <c r="AP109" i="40"/>
  <c r="AL109" i="40"/>
  <c r="GM126" i="59"/>
  <c r="AH109" i="40"/>
  <c r="AD109" i="40"/>
  <c r="Z109" i="40"/>
  <c r="V109" i="40"/>
  <c r="R109" i="40"/>
  <c r="FS126" i="59"/>
  <c r="N109" i="40"/>
  <c r="FO126" i="59"/>
  <c r="AU109" i="40"/>
  <c r="AQ109" i="40"/>
  <c r="AM109" i="40"/>
  <c r="AI109" i="40"/>
  <c r="AE109" i="40"/>
  <c r="AA109" i="40"/>
  <c r="W109" i="40"/>
  <c r="FX126" i="59"/>
  <c r="S109" i="40"/>
  <c r="O109" i="40"/>
  <c r="AV109" i="40"/>
  <c r="AR109" i="40"/>
  <c r="AN109" i="40"/>
  <c r="AJ109" i="40"/>
  <c r="AF109" i="40"/>
  <c r="AB109" i="40"/>
  <c r="GC126" i="59"/>
  <c r="X109" i="40"/>
  <c r="T109" i="40"/>
  <c r="P109" i="40"/>
  <c r="AO109" i="40"/>
  <c r="Y109" i="40"/>
  <c r="AS109" i="40"/>
  <c r="AC109" i="40"/>
  <c r="AW109" i="40"/>
  <c r="GX126" i="59"/>
  <c r="AG109" i="40"/>
  <c r="Q109" i="40"/>
  <c r="FR126" i="59"/>
  <c r="AK109" i="40"/>
  <c r="U109" i="40"/>
  <c r="AV103" i="40"/>
  <c r="AR103" i="40"/>
  <c r="AN103" i="40"/>
  <c r="AJ103" i="40"/>
  <c r="AF103" i="40"/>
  <c r="AB103" i="40"/>
  <c r="X103" i="40"/>
  <c r="T103" i="40"/>
  <c r="P103" i="40"/>
  <c r="AW103" i="40"/>
  <c r="AS103" i="40"/>
  <c r="AO103" i="40"/>
  <c r="AK103" i="40"/>
  <c r="AG103" i="40"/>
  <c r="AC103" i="40"/>
  <c r="Y103" i="40"/>
  <c r="U103" i="40"/>
  <c r="Q103" i="40"/>
  <c r="AX103" i="40"/>
  <c r="AT103" i="40"/>
  <c r="AP103" i="40"/>
  <c r="AL103" i="40"/>
  <c r="AH103" i="40"/>
  <c r="AD103" i="40"/>
  <c r="Z103" i="40"/>
  <c r="V103" i="40"/>
  <c r="R103" i="40"/>
  <c r="N103" i="40"/>
  <c r="AM103" i="40"/>
  <c r="W103" i="40"/>
  <c r="AQ103" i="40"/>
  <c r="AA103" i="40"/>
  <c r="AU103" i="40"/>
  <c r="AE103" i="40"/>
  <c r="O103" i="40"/>
  <c r="AI103" i="40"/>
  <c r="S103" i="40"/>
  <c r="AV95" i="40"/>
  <c r="HV123" i="59"/>
  <c r="AR95" i="40"/>
  <c r="HR123" i="59"/>
  <c r="AN95" i="40"/>
  <c r="HN123" i="59"/>
  <c r="AJ95" i="40"/>
  <c r="HJ123" i="59"/>
  <c r="AF95" i="40"/>
  <c r="HF123" i="59"/>
  <c r="AB95" i="40"/>
  <c r="HB123" i="59"/>
  <c r="X95" i="40"/>
  <c r="GX123" i="59"/>
  <c r="T95" i="40"/>
  <c r="GT123" i="59"/>
  <c r="P95" i="40"/>
  <c r="GP123" i="59"/>
  <c r="AW95" i="40"/>
  <c r="HW123" i="59"/>
  <c r="AS95" i="40"/>
  <c r="HS123" i="59"/>
  <c r="AO95" i="40"/>
  <c r="HO123" i="59"/>
  <c r="AK95" i="40"/>
  <c r="HK123" i="59"/>
  <c r="AG95" i="40"/>
  <c r="HG123" i="59"/>
  <c r="AC95" i="40"/>
  <c r="HC123" i="59"/>
  <c r="Y95" i="40"/>
  <c r="GY123" i="59"/>
  <c r="U95" i="40"/>
  <c r="GU123" i="59"/>
  <c r="Q95" i="40"/>
  <c r="GQ123" i="59"/>
  <c r="AX95" i="40"/>
  <c r="HX123" i="59"/>
  <c r="AT95" i="40"/>
  <c r="HT123" i="59"/>
  <c r="AP95" i="40"/>
  <c r="HP123" i="59"/>
  <c r="AL95" i="40"/>
  <c r="HL123" i="59"/>
  <c r="AH95" i="40"/>
  <c r="HH123" i="59"/>
  <c r="AD95" i="40"/>
  <c r="HD123" i="59"/>
  <c r="Z95" i="40"/>
  <c r="GZ123" i="59"/>
  <c r="V95" i="40"/>
  <c r="GV123" i="59"/>
  <c r="R95" i="40"/>
  <c r="GR123" i="59"/>
  <c r="N95" i="40"/>
  <c r="GN123" i="59"/>
  <c r="AU95" i="40"/>
  <c r="HU123" i="59"/>
  <c r="AE95" i="40"/>
  <c r="HE123" i="59"/>
  <c r="O95" i="40"/>
  <c r="GO123" i="59"/>
  <c r="AI95" i="40"/>
  <c r="HI123" i="59"/>
  <c r="S95" i="40"/>
  <c r="GS123" i="59"/>
  <c r="AM95" i="40"/>
  <c r="HM123" i="59"/>
  <c r="W95" i="40"/>
  <c r="GW123" i="59"/>
  <c r="AQ95" i="40"/>
  <c r="HQ123" i="59"/>
  <c r="AA95" i="40"/>
  <c r="HA123" i="59"/>
  <c r="AW110" i="40"/>
  <c r="AS110" i="40"/>
  <c r="IT126" i="59"/>
  <c r="AO110" i="40"/>
  <c r="AK110" i="40"/>
  <c r="AG110" i="40"/>
  <c r="AC110" i="40"/>
  <c r="Y110" i="40"/>
  <c r="U110" i="40"/>
  <c r="Q110" i="40"/>
  <c r="AX110" i="40"/>
  <c r="H127" i="59"/>
  <c r="AT110" i="40"/>
  <c r="AP110" i="40"/>
  <c r="AL110" i="40"/>
  <c r="AH110" i="40"/>
  <c r="AD110" i="40"/>
  <c r="Z110" i="40"/>
  <c r="V110" i="40"/>
  <c r="R110" i="40"/>
  <c r="HS126" i="59"/>
  <c r="N110" i="40"/>
  <c r="AU110" i="40"/>
  <c r="AQ110" i="40"/>
  <c r="AM110" i="40"/>
  <c r="AI110" i="40"/>
  <c r="AE110" i="40"/>
  <c r="IF126" i="59"/>
  <c r="AA110" i="40"/>
  <c r="W110" i="40"/>
  <c r="HX126" i="59"/>
  <c r="S110" i="40"/>
  <c r="HT126" i="59"/>
  <c r="O110" i="40"/>
  <c r="AJ110" i="40"/>
  <c r="T110" i="40"/>
  <c r="AN110" i="40"/>
  <c r="X110" i="40"/>
  <c r="AR110" i="40"/>
  <c r="AB110" i="40"/>
  <c r="IC126" i="59"/>
  <c r="AV110" i="40"/>
  <c r="AF110" i="40"/>
  <c r="IG126" i="59"/>
  <c r="P110" i="40"/>
  <c r="AX97" i="40"/>
  <c r="CG124" i="59"/>
  <c r="AT97" i="40"/>
  <c r="AP97" i="40"/>
  <c r="AL97" i="40"/>
  <c r="AH97" i="40"/>
  <c r="BQ124" i="59"/>
  <c r="AD97" i="40"/>
  <c r="Z97" i="40"/>
  <c r="V97" i="40"/>
  <c r="R97" i="40"/>
  <c r="N97" i="40"/>
  <c r="AU97" i="40"/>
  <c r="AQ97" i="40"/>
  <c r="AM97" i="40"/>
  <c r="BV124" i="59"/>
  <c r="AI97" i="40"/>
  <c r="AE97" i="40"/>
  <c r="AA97" i="40"/>
  <c r="W97" i="40"/>
  <c r="S97" i="40"/>
  <c r="O97" i="40"/>
  <c r="AV97" i="40"/>
  <c r="AR97" i="40"/>
  <c r="CA124" i="59"/>
  <c r="AN97" i="40"/>
  <c r="AJ97" i="40"/>
  <c r="AF97" i="40"/>
  <c r="AB97" i="40"/>
  <c r="X97" i="40"/>
  <c r="T97" i="40"/>
  <c r="P97" i="40"/>
  <c r="AK97" i="40"/>
  <c r="BT124" i="59"/>
  <c r="U97" i="40"/>
  <c r="AO97" i="40"/>
  <c r="Y97" i="40"/>
  <c r="AS97" i="40"/>
  <c r="AC97" i="40"/>
  <c r="AW97" i="40"/>
  <c r="AG97" i="40"/>
  <c r="Q97" i="40"/>
  <c r="AZ124" i="59"/>
  <c r="AX113" i="40"/>
  <c r="AT113" i="40"/>
  <c r="AP113" i="40"/>
  <c r="AL113" i="40"/>
  <c r="AH113" i="40"/>
  <c r="AD113" i="40"/>
  <c r="Z113" i="40"/>
  <c r="V113" i="40"/>
  <c r="EF127" i="59"/>
  <c r="R113" i="40"/>
  <c r="N113" i="40"/>
  <c r="AU113" i="40"/>
  <c r="AQ113" i="40"/>
  <c r="AM113" i="40"/>
  <c r="AI113" i="40"/>
  <c r="AE113" i="40"/>
  <c r="AA113" i="40"/>
  <c r="EK127" i="59"/>
  <c r="W113" i="40"/>
  <c r="S113" i="40"/>
  <c r="O113" i="40"/>
  <c r="AV113" i="40"/>
  <c r="AR113" i="40"/>
  <c r="AN113" i="40"/>
  <c r="AJ113" i="40"/>
  <c r="AF113" i="40"/>
  <c r="EP127" i="59"/>
  <c r="AB113" i="40"/>
  <c r="X113" i="40"/>
  <c r="EH127" i="59"/>
  <c r="T113" i="40"/>
  <c r="P113" i="40"/>
  <c r="AK113" i="40"/>
  <c r="U113" i="40"/>
  <c r="AO113" i="40"/>
  <c r="Y113" i="40"/>
  <c r="EI127" i="59"/>
  <c r="AS113" i="40"/>
  <c r="AC113" i="40"/>
  <c r="AW113" i="40"/>
  <c r="AG113" i="40"/>
  <c r="Q113" i="40"/>
  <c r="AW98" i="40"/>
  <c r="AS98" i="40"/>
  <c r="AO98" i="40"/>
  <c r="DX124" i="59"/>
  <c r="AK98" i="40"/>
  <c r="AG98" i="40"/>
  <c r="AC98" i="40"/>
  <c r="Y98" i="40"/>
  <c r="U98" i="40"/>
  <c r="Q98" i="40"/>
  <c r="AX98" i="40"/>
  <c r="AT98" i="40"/>
  <c r="EC124" i="59"/>
  <c r="AP98" i="40"/>
  <c r="AL98" i="40"/>
  <c r="AH98" i="40"/>
  <c r="AD98" i="40"/>
  <c r="Z98" i="40"/>
  <c r="V98" i="40"/>
  <c r="R98" i="40"/>
  <c r="N98" i="40"/>
  <c r="CW124" i="59"/>
  <c r="AU98" i="40"/>
  <c r="AQ98" i="40"/>
  <c r="AM98" i="40"/>
  <c r="AI98" i="40"/>
  <c r="AE98" i="40"/>
  <c r="AA98" i="40"/>
  <c r="W98" i="40"/>
  <c r="S98" i="40"/>
  <c r="DB124" i="59"/>
  <c r="O98" i="40"/>
  <c r="AV98" i="40"/>
  <c r="AF98" i="40"/>
  <c r="P98" i="40"/>
  <c r="AJ98" i="40"/>
  <c r="T98" i="40"/>
  <c r="AN98" i="40"/>
  <c r="X98" i="40"/>
  <c r="DG124" i="59"/>
  <c r="AR98" i="40"/>
  <c r="AB98" i="40"/>
  <c r="AV99" i="40"/>
  <c r="AR99" i="40"/>
  <c r="AN99" i="40"/>
  <c r="AJ99" i="40"/>
  <c r="AF99" i="40"/>
  <c r="AB99" i="40"/>
  <c r="FK124" i="59"/>
  <c r="X99" i="40"/>
  <c r="T99" i="40"/>
  <c r="P99" i="40"/>
  <c r="AW99" i="40"/>
  <c r="AS99" i="40"/>
  <c r="AO99" i="40"/>
  <c r="AK99" i="40"/>
  <c r="AG99" i="40"/>
  <c r="FP124" i="59"/>
  <c r="AC99" i="40"/>
  <c r="Y99" i="40"/>
  <c r="U99" i="40"/>
  <c r="Q99" i="40"/>
  <c r="AX99" i="40"/>
  <c r="AT99" i="40"/>
  <c r="AP99" i="40"/>
  <c r="AL99" i="40"/>
  <c r="FU124" i="59"/>
  <c r="AH99" i="40"/>
  <c r="AD99" i="40"/>
  <c r="Z99" i="40"/>
  <c r="V99" i="40"/>
  <c r="R99" i="40"/>
  <c r="N99" i="40"/>
  <c r="AQ99" i="40"/>
  <c r="AA99" i="40"/>
  <c r="FJ124" i="59"/>
  <c r="AU99" i="40"/>
  <c r="AE99" i="40"/>
  <c r="O99" i="40"/>
  <c r="AI99" i="40"/>
  <c r="S99" i="40"/>
  <c r="AM99" i="40"/>
  <c r="W99" i="40"/>
  <c r="AU100" i="40"/>
  <c r="ID124" i="59"/>
  <c r="AQ100" i="40"/>
  <c r="AM100" i="40"/>
  <c r="AI100" i="40"/>
  <c r="AE100" i="40"/>
  <c r="AA100" i="40"/>
  <c r="W100" i="40"/>
  <c r="S100" i="40"/>
  <c r="O100" i="40"/>
  <c r="GX124" i="59"/>
  <c r="AV100" i="40"/>
  <c r="IE124" i="59"/>
  <c r="AR100" i="40"/>
  <c r="AN100" i="40"/>
  <c r="AJ100" i="40"/>
  <c r="AF100" i="40"/>
  <c r="AB100" i="40"/>
  <c r="X100" i="40"/>
  <c r="T100" i="40"/>
  <c r="HC124" i="59"/>
  <c r="P100" i="40"/>
  <c r="AW100" i="40"/>
  <c r="AS100" i="40"/>
  <c r="AO100" i="40"/>
  <c r="AK100" i="40"/>
  <c r="AG100" i="40"/>
  <c r="AC100" i="40"/>
  <c r="Y100" i="40"/>
  <c r="HH124" i="59"/>
  <c r="U100" i="40"/>
  <c r="Q100" i="40"/>
  <c r="GZ124" i="59"/>
  <c r="AL100" i="40"/>
  <c r="V100" i="40"/>
  <c r="AP100" i="40"/>
  <c r="Z100" i="40"/>
  <c r="AT100" i="40"/>
  <c r="AD100" i="40"/>
  <c r="HM124" i="59"/>
  <c r="N100" i="40"/>
  <c r="AX100" i="40"/>
  <c r="AH100" i="40"/>
  <c r="R100" i="40"/>
  <c r="AX101" i="40"/>
  <c r="AT101" i="40"/>
  <c r="AP101" i="40"/>
  <c r="AL101" i="40"/>
  <c r="AD125" i="59"/>
  <c r="AH101" i="40"/>
  <c r="Z125" i="59"/>
  <c r="AD101" i="40"/>
  <c r="V125" i="59"/>
  <c r="Z101" i="40"/>
  <c r="V101" i="40"/>
  <c r="R101" i="40"/>
  <c r="N101" i="40"/>
  <c r="AU101" i="40"/>
  <c r="AQ101" i="40"/>
  <c r="AI125" i="59"/>
  <c r="AM101" i="40"/>
  <c r="AE125" i="59"/>
  <c r="AI101" i="40"/>
  <c r="AE101" i="40"/>
  <c r="AA101" i="40"/>
  <c r="W101" i="40"/>
  <c r="S101" i="40"/>
  <c r="O101" i="40"/>
  <c r="AV101" i="40"/>
  <c r="AN125" i="59"/>
  <c r="AR101" i="40"/>
  <c r="AN101" i="40"/>
  <c r="AJ101" i="40"/>
  <c r="AF101" i="40"/>
  <c r="AB101" i="40"/>
  <c r="X101" i="40"/>
  <c r="T101" i="40"/>
  <c r="P101" i="40"/>
  <c r="H125" i="59"/>
  <c r="AW101" i="40"/>
  <c r="AG101" i="40"/>
  <c r="Q101" i="40"/>
  <c r="AK101" i="40"/>
  <c r="U101" i="40"/>
  <c r="AO101" i="40"/>
  <c r="Y101" i="40"/>
  <c r="AS101" i="40"/>
  <c r="AK125" i="59"/>
  <c r="AC101" i="40"/>
  <c r="AW102" i="40"/>
  <c r="AS102" i="40"/>
  <c r="AO102" i="40"/>
  <c r="AK102" i="40"/>
  <c r="AG102" i="40"/>
  <c r="AC102" i="40"/>
  <c r="Y102" i="40"/>
  <c r="BQ125" i="59"/>
  <c r="U102" i="40"/>
  <c r="Q102" i="40"/>
  <c r="AX102" i="40"/>
  <c r="AT102" i="40"/>
  <c r="AP102" i="40"/>
  <c r="AL102" i="40"/>
  <c r="AH102" i="40"/>
  <c r="AD102" i="40"/>
  <c r="BV125" i="59"/>
  <c r="Z102" i="40"/>
  <c r="V102" i="40"/>
  <c r="R102" i="40"/>
  <c r="N102" i="40"/>
  <c r="AU102" i="40"/>
  <c r="AQ102" i="40"/>
  <c r="AM102" i="40"/>
  <c r="AI102" i="40"/>
  <c r="CA125" i="59"/>
  <c r="AE102" i="40"/>
  <c r="AA102" i="40"/>
  <c r="W102" i="40"/>
  <c r="S102" i="40"/>
  <c r="O102" i="40"/>
  <c r="AR102" i="40"/>
  <c r="AB102" i="40"/>
  <c r="AV102" i="40"/>
  <c r="CN125" i="59"/>
  <c r="AF102" i="40"/>
  <c r="P102" i="40"/>
  <c r="AJ102" i="40"/>
  <c r="T102" i="40"/>
  <c r="AN102" i="40"/>
  <c r="X102" i="40"/>
  <c r="AU108" i="40"/>
  <c r="AQ108" i="40"/>
  <c r="ER126" i="59"/>
  <c r="AM108" i="40"/>
  <c r="AI108" i="40"/>
  <c r="AE108" i="40"/>
  <c r="AA108" i="40"/>
  <c r="W108" i="40"/>
  <c r="S108" i="40"/>
  <c r="O108" i="40"/>
  <c r="AV108" i="40"/>
  <c r="EW126" i="59"/>
  <c r="AR108" i="40"/>
  <c r="AN108" i="40"/>
  <c r="AJ108" i="40"/>
  <c r="AF108" i="40"/>
  <c r="AB108" i="40"/>
  <c r="X108" i="40"/>
  <c r="T108" i="40"/>
  <c r="P108" i="40"/>
  <c r="DQ126" i="59"/>
  <c r="AW108" i="40"/>
  <c r="AS108" i="40"/>
  <c r="ET126" i="59"/>
  <c r="AO108" i="40"/>
  <c r="AK108" i="40"/>
  <c r="AG108" i="40"/>
  <c r="AC108" i="40"/>
  <c r="Y108" i="40"/>
  <c r="U108" i="40"/>
  <c r="DV126" i="59"/>
  <c r="Q108" i="40"/>
  <c r="AT108" i="40"/>
  <c r="AD108" i="40"/>
  <c r="N108" i="40"/>
  <c r="AX108" i="40"/>
  <c r="AH108" i="40"/>
  <c r="R108" i="40"/>
  <c r="AL108" i="40"/>
  <c r="EM126" i="59"/>
  <c r="V108" i="40"/>
  <c r="AP108" i="40"/>
  <c r="Z108" i="40"/>
  <c r="AX105" i="40"/>
  <c r="AT105" i="40"/>
  <c r="AP105" i="40"/>
  <c r="AL105" i="40"/>
  <c r="AH105" i="40"/>
  <c r="HZ125" i="59"/>
  <c r="AD105" i="40"/>
  <c r="HV125" i="59"/>
  <c r="Z105" i="40"/>
  <c r="V105" i="40"/>
  <c r="R105" i="40"/>
  <c r="N105" i="40"/>
  <c r="AU105" i="40"/>
  <c r="AQ105" i="40"/>
  <c r="AM105" i="40"/>
  <c r="IE125" i="59"/>
  <c r="AI105" i="40"/>
  <c r="IA125" i="59"/>
  <c r="AE105" i="40"/>
  <c r="HW125" i="59"/>
  <c r="AA105" i="40"/>
  <c r="W105" i="40"/>
  <c r="S105" i="40"/>
  <c r="O105" i="40"/>
  <c r="AV105" i="40"/>
  <c r="AR105" i="40"/>
  <c r="IJ125" i="59"/>
  <c r="AN105" i="40"/>
  <c r="AJ105" i="40"/>
  <c r="IB125" i="59"/>
  <c r="AF105" i="40"/>
  <c r="AB105" i="40"/>
  <c r="X105" i="40"/>
  <c r="T105" i="40"/>
  <c r="P105" i="40"/>
  <c r="AS105" i="40"/>
  <c r="IK125" i="59"/>
  <c r="AC105" i="40"/>
  <c r="AW105" i="40"/>
  <c r="AG105" i="40"/>
  <c r="Q105" i="40"/>
  <c r="AK105" i="40"/>
  <c r="U105" i="40"/>
  <c r="AO105" i="40"/>
  <c r="Y105" i="40"/>
  <c r="HQ125" i="59"/>
  <c r="AV115" i="40"/>
  <c r="AR115" i="40"/>
  <c r="K128" i="59"/>
  <c r="AN115" i="40"/>
  <c r="AJ115" i="40"/>
  <c r="AF115" i="40"/>
  <c r="AB115" i="40"/>
  <c r="X115" i="40"/>
  <c r="T115" i="40"/>
  <c r="ID127" i="59"/>
  <c r="P115" i="40"/>
  <c r="AW115" i="40"/>
  <c r="AS115" i="40"/>
  <c r="AO115" i="40"/>
  <c r="AK115" i="40"/>
  <c r="AG115" i="40"/>
  <c r="AC115" i="40"/>
  <c r="Y115" i="40"/>
  <c r="II127" i="59"/>
  <c r="U115" i="40"/>
  <c r="Q115" i="40"/>
  <c r="AX115" i="40"/>
  <c r="AT115" i="40"/>
  <c r="AP115" i="40"/>
  <c r="AL115" i="40"/>
  <c r="AH115" i="40"/>
  <c r="AD115" i="40"/>
  <c r="IN127" i="59"/>
  <c r="Z115" i="40"/>
  <c r="V115" i="40"/>
  <c r="R115" i="40"/>
  <c r="N115" i="40"/>
  <c r="AQ115" i="40"/>
  <c r="AA115" i="40"/>
  <c r="AU115" i="40"/>
  <c r="AE115" i="40"/>
  <c r="IO127" i="59"/>
  <c r="O115" i="40"/>
  <c r="AI115" i="40"/>
  <c r="IS127" i="59"/>
  <c r="S115" i="40"/>
  <c r="AM115" i="40"/>
  <c r="W115" i="40"/>
  <c r="AV111" i="40"/>
  <c r="AR111" i="40"/>
  <c r="AN111" i="40"/>
  <c r="AX127" i="59"/>
  <c r="AJ111" i="40"/>
  <c r="AF111" i="40"/>
  <c r="AB111" i="40"/>
  <c r="X111" i="40"/>
  <c r="T111" i="40"/>
  <c r="P111" i="40"/>
  <c r="AW111" i="40"/>
  <c r="AS111" i="40"/>
  <c r="BC127" i="59"/>
  <c r="AO111" i="40"/>
  <c r="AK111" i="40"/>
  <c r="AG111" i="40"/>
  <c r="AC111" i="40"/>
  <c r="Y111" i="40"/>
  <c r="U111" i="40"/>
  <c r="Q111" i="40"/>
  <c r="AX111" i="40"/>
  <c r="BH127" i="59"/>
  <c r="AT111" i="40"/>
  <c r="AP111" i="40"/>
  <c r="AL111" i="40"/>
  <c r="AH111" i="40"/>
  <c r="AD111" i="40"/>
  <c r="Z111" i="40"/>
  <c r="V111" i="40"/>
  <c r="R111" i="40"/>
  <c r="AB127" i="59"/>
  <c r="N111" i="40"/>
  <c r="AU111" i="40"/>
  <c r="AE111" i="40"/>
  <c r="O111" i="40"/>
  <c r="AI111" i="40"/>
  <c r="S111" i="40"/>
  <c r="AM111" i="40"/>
  <c r="W111" i="40"/>
  <c r="AG127" i="59"/>
  <c r="AQ111" i="40"/>
  <c r="AA111" i="40"/>
  <c r="AU116" i="40"/>
  <c r="AQ116" i="40"/>
  <c r="AM116" i="40"/>
  <c r="AI116" i="40"/>
  <c r="AE116" i="40"/>
  <c r="AA116" i="40"/>
  <c r="AT128" i="59"/>
  <c r="W116" i="40"/>
  <c r="S116" i="40"/>
  <c r="O116" i="40"/>
  <c r="AV116" i="40"/>
  <c r="AR116" i="40"/>
  <c r="AN116" i="40"/>
  <c r="AJ116" i="40"/>
  <c r="AF116" i="40"/>
  <c r="AY128" i="59"/>
  <c r="AB116" i="40"/>
  <c r="X116" i="40"/>
  <c r="T116" i="40"/>
  <c r="P116" i="40"/>
  <c r="AW116" i="40"/>
  <c r="AS116" i="40"/>
  <c r="AO116" i="40"/>
  <c r="AK116" i="40"/>
  <c r="BD128" i="59"/>
  <c r="AG116" i="40"/>
  <c r="AC116" i="40"/>
  <c r="Y116" i="40"/>
  <c r="U116" i="40"/>
  <c r="Q116" i="40"/>
  <c r="AL116" i="40"/>
  <c r="V116" i="40"/>
  <c r="AP116" i="40"/>
  <c r="BI128" i="59"/>
  <c r="Z116" i="40"/>
  <c r="AT116" i="40"/>
  <c r="AD116" i="40"/>
  <c r="AW128" i="59"/>
  <c r="N116" i="40"/>
  <c r="AX116" i="40"/>
  <c r="AH116" i="40"/>
  <c r="R116" i="40"/>
  <c r="AW114" i="40"/>
  <c r="HG127" i="59"/>
  <c r="AS114" i="40"/>
  <c r="AO114" i="40"/>
  <c r="AK114" i="40"/>
  <c r="AG114" i="40"/>
  <c r="AC114" i="40"/>
  <c r="Y114" i="40"/>
  <c r="U114" i="40"/>
  <c r="Q114" i="40"/>
  <c r="GA127" i="59"/>
  <c r="AX114" i="40"/>
  <c r="AT114" i="40"/>
  <c r="AP114" i="40"/>
  <c r="AL114" i="40"/>
  <c r="AH114" i="40"/>
  <c r="AD114" i="40"/>
  <c r="Z114" i="40"/>
  <c r="V114" i="40"/>
  <c r="GF127" i="59"/>
  <c r="R114" i="40"/>
  <c r="N114" i="40"/>
  <c r="AU114" i="40"/>
  <c r="AQ114" i="40"/>
  <c r="AM114" i="40"/>
  <c r="AI114" i="40"/>
  <c r="AE114" i="40"/>
  <c r="AA114" i="40"/>
  <c r="GK127" i="59"/>
  <c r="W114" i="40"/>
  <c r="S114" i="40"/>
  <c r="O114" i="40"/>
  <c r="AV114" i="40"/>
  <c r="AF114" i="40"/>
  <c r="P114" i="40"/>
  <c r="AJ114" i="40"/>
  <c r="T114" i="40"/>
  <c r="GD127" i="59"/>
  <c r="AN114" i="40"/>
  <c r="X114" i="40"/>
  <c r="AR114" i="40"/>
  <c r="AB114" i="40"/>
  <c r="AU104" i="40"/>
  <c r="AQ104" i="40"/>
  <c r="AM104" i="40"/>
  <c r="AI104" i="40"/>
  <c r="GA125" i="59"/>
  <c r="AE104" i="40"/>
  <c r="AA104" i="40"/>
  <c r="W104" i="40"/>
  <c r="S104" i="40"/>
  <c r="O104" i="40"/>
  <c r="AV104" i="40"/>
  <c r="AR104" i="40"/>
  <c r="AN104" i="40"/>
  <c r="GF125" i="59"/>
  <c r="AJ104" i="40"/>
  <c r="AF104" i="40"/>
  <c r="AB104" i="40"/>
  <c r="X104" i="40"/>
  <c r="T104" i="40"/>
  <c r="P104" i="40"/>
  <c r="AW104" i="40"/>
  <c r="AS104" i="40"/>
  <c r="GK125" i="59"/>
  <c r="AO104" i="40"/>
  <c r="AK104" i="40"/>
  <c r="AG104" i="40"/>
  <c r="AC104" i="40"/>
  <c r="Y104" i="40"/>
  <c r="U104" i="40"/>
  <c r="Q104" i="40"/>
  <c r="AX104" i="40"/>
  <c r="GP125" i="59"/>
  <c r="AH104" i="40"/>
  <c r="R104" i="40"/>
  <c r="FJ125" i="59"/>
  <c r="AL104" i="40"/>
  <c r="V104" i="40"/>
  <c r="AP104" i="40"/>
  <c r="Z104" i="40"/>
  <c r="AT104" i="40"/>
  <c r="AD104" i="40"/>
  <c r="FV125" i="59"/>
  <c r="N104" i="40"/>
  <c r="AV107" i="40"/>
  <c r="AR107" i="40"/>
  <c r="AN107" i="40"/>
  <c r="AJ107" i="40"/>
  <c r="AF107" i="40"/>
  <c r="AB107" i="40"/>
  <c r="X107" i="40"/>
  <c r="BY126" i="59"/>
  <c r="T107" i="40"/>
  <c r="P107" i="40"/>
  <c r="AW107" i="40"/>
  <c r="AS107" i="40"/>
  <c r="AO107" i="40"/>
  <c r="AK107" i="40"/>
  <c r="AG107" i="40"/>
  <c r="AC107" i="40"/>
  <c r="Y107" i="40"/>
  <c r="U107" i="40"/>
  <c r="Q107" i="40"/>
  <c r="AX107" i="40"/>
  <c r="AT107" i="40"/>
  <c r="AP107" i="40"/>
  <c r="AL107" i="40"/>
  <c r="AH107" i="40"/>
  <c r="AD107" i="40"/>
  <c r="Z107" i="40"/>
  <c r="V107" i="40"/>
  <c r="R107" i="40"/>
  <c r="N107" i="40"/>
  <c r="AI107" i="40"/>
  <c r="S107" i="40"/>
  <c r="AM107" i="40"/>
  <c r="W107" i="40"/>
  <c r="AQ107" i="40"/>
  <c r="AA107" i="40"/>
  <c r="AU107" i="40"/>
  <c r="AE107" i="40"/>
  <c r="O107" i="40"/>
  <c r="AU112" i="40"/>
  <c r="AQ112" i="40"/>
  <c r="DA127" i="59"/>
  <c r="AM112" i="40"/>
  <c r="AI112" i="40"/>
  <c r="AE112" i="40"/>
  <c r="AA112" i="40"/>
  <c r="W112" i="40"/>
  <c r="S112" i="40"/>
  <c r="O112" i="40"/>
  <c r="AV112" i="40"/>
  <c r="DF127" i="59"/>
  <c r="AR112" i="40"/>
  <c r="AN112" i="40"/>
  <c r="AJ112" i="40"/>
  <c r="AF112" i="40"/>
  <c r="AB112" i="40"/>
  <c r="X112" i="40"/>
  <c r="T112" i="40"/>
  <c r="P112" i="40"/>
  <c r="AW112" i="40"/>
  <c r="AS112" i="40"/>
  <c r="AO112" i="40"/>
  <c r="AK112" i="40"/>
  <c r="AG112" i="40"/>
  <c r="AC112" i="40"/>
  <c r="Y112" i="40"/>
  <c r="U112" i="40"/>
  <c r="CE127" i="59"/>
  <c r="Q112" i="40"/>
  <c r="AP112" i="40"/>
  <c r="Z112" i="40"/>
  <c r="AT112" i="40"/>
  <c r="AD112" i="40"/>
  <c r="N112" i="40"/>
  <c r="AX112" i="40"/>
  <c r="AH112" i="40"/>
  <c r="CR127" i="59"/>
  <c r="R112" i="40"/>
  <c r="AL112" i="40"/>
  <c r="V112" i="40"/>
  <c r="AW106" i="40"/>
  <c r="AS106" i="40"/>
  <c r="AO106" i="40"/>
  <c r="AK106" i="40"/>
  <c r="AG106" i="40"/>
  <c r="AC106" i="40"/>
  <c r="Y106" i="40"/>
  <c r="U106" i="40"/>
  <c r="Q106" i="40"/>
  <c r="AX106" i="40"/>
  <c r="AT106" i="40"/>
  <c r="AP106" i="40"/>
  <c r="AQ126" i="59"/>
  <c r="AL106" i="40"/>
  <c r="AM126" i="59"/>
  <c r="AH106" i="40"/>
  <c r="AD106" i="40"/>
  <c r="Z106" i="40"/>
  <c r="V106" i="40"/>
  <c r="R106" i="40"/>
  <c r="N106" i="40"/>
  <c r="AU106" i="40"/>
  <c r="AQ106" i="40"/>
  <c r="AM106" i="40"/>
  <c r="AI106" i="40"/>
  <c r="AE106" i="40"/>
  <c r="AA106" i="40"/>
  <c r="W106" i="40"/>
  <c r="S106" i="40"/>
  <c r="O106" i="40"/>
  <c r="AN106" i="40"/>
  <c r="AO126" i="59"/>
  <c r="X106" i="40"/>
  <c r="AR106" i="40"/>
  <c r="AB106" i="40"/>
  <c r="AV106" i="40"/>
  <c r="AF106" i="40"/>
  <c r="P106" i="40"/>
  <c r="AJ106" i="40"/>
  <c r="T106" i="40"/>
  <c r="AE196" i="40"/>
  <c r="FC144" i="59"/>
  <c r="AG198" i="40"/>
  <c r="L145" i="59"/>
  <c r="AH199" i="40"/>
  <c r="BL145" i="59"/>
  <c r="AH195" i="40"/>
  <c r="DG144" i="59"/>
  <c r="T200" i="40"/>
  <c r="CW145" i="59"/>
  <c r="M99" i="40"/>
  <c r="EV124" i="59"/>
  <c r="M107" i="40"/>
  <c r="BN126" i="59"/>
  <c r="M103" i="40"/>
  <c r="M113" i="40"/>
  <c r="M98" i="40"/>
  <c r="M95" i="40"/>
  <c r="GM123" i="59"/>
  <c r="M110" i="40"/>
  <c r="HN126" i="59"/>
  <c r="M104" i="40"/>
  <c r="FE125" i="59"/>
  <c r="M100" i="40"/>
  <c r="GV124" i="59"/>
  <c r="M101" i="40"/>
  <c r="IV124" i="59"/>
  <c r="M102" i="40"/>
  <c r="M108" i="40"/>
  <c r="DN126" i="59"/>
  <c r="M112" i="40"/>
  <c r="M106" i="40"/>
  <c r="N126" i="59"/>
  <c r="M105" i="40"/>
  <c r="M115" i="40"/>
  <c r="M111" i="40"/>
  <c r="M116" i="40"/>
  <c r="AF128" i="59"/>
  <c r="M114" i="40"/>
  <c r="M97" i="40"/>
  <c r="AV124" i="59"/>
  <c r="M109" i="40"/>
  <c r="FN126" i="59"/>
  <c r="L93" i="40"/>
  <c r="CL123" i="59"/>
  <c r="K93" i="40"/>
  <c r="CK123" i="59"/>
  <c r="C20" i="41"/>
  <c r="DW305" i="59"/>
  <c r="AC33" i="2"/>
  <c r="GX258" i="59"/>
  <c r="AD33" i="2"/>
  <c r="GY258" i="59"/>
  <c r="IM256" i="59"/>
  <c r="AD23" i="2"/>
  <c r="IO256" i="59"/>
  <c r="AA24" i="2"/>
  <c r="AO257" i="59"/>
  <c r="AA34" i="2"/>
  <c r="IP258" i="59"/>
  <c r="AD22" i="2"/>
  <c r="GU256" i="59"/>
  <c r="T16" i="5"/>
  <c r="DW163" i="59"/>
  <c r="AA36" i="2"/>
  <c r="CG259" i="59"/>
  <c r="EB257" i="59"/>
  <c r="AB39" i="2"/>
  <c r="GR259" i="59"/>
  <c r="T258" i="59"/>
  <c r="AB41" i="2"/>
  <c r="Y260" i="59"/>
  <c r="DH258" i="59"/>
  <c r="Z35" i="2"/>
  <c r="AR259" i="59"/>
  <c r="CG257" i="59"/>
  <c r="X19" i="2"/>
  <c r="BG256" i="59"/>
  <c r="AA37" i="2"/>
  <c r="DS259" i="59"/>
  <c r="FV257" i="59"/>
  <c r="AA40" i="2"/>
  <c r="IC259" i="59"/>
  <c r="BM258" i="59"/>
  <c r="Y20" i="2"/>
  <c r="DB256" i="59"/>
  <c r="AD32" i="2"/>
  <c r="FE258" i="59"/>
  <c r="M305" i="5"/>
  <c r="DZ220" i="59"/>
  <c r="CF127" i="59"/>
  <c r="R250" i="5"/>
  <c r="FO209" i="59"/>
  <c r="CB126" i="59"/>
  <c r="AC217" i="5"/>
  <c r="BA203" i="59"/>
  <c r="GD125" i="59"/>
  <c r="AL349" i="5"/>
  <c r="BX229" i="59"/>
  <c r="BN128" i="59"/>
  <c r="S294" i="5"/>
  <c r="CO218" i="59"/>
  <c r="AL127" i="59"/>
  <c r="AJ338" i="5"/>
  <c r="AE227" i="59"/>
  <c r="L128" i="59"/>
  <c r="M228" i="5"/>
  <c r="CB205" i="59"/>
  <c r="HN125" i="59"/>
  <c r="V261" i="5"/>
  <c r="HJ211" i="59"/>
  <c r="EF126" i="59"/>
  <c r="AO195" i="5"/>
  <c r="HV198" i="59"/>
  <c r="CP125" i="59"/>
  <c r="AA184" i="5"/>
  <c r="FQ196" i="59"/>
  <c r="AB125" i="59"/>
  <c r="Y173" i="5"/>
  <c r="DX194" i="59"/>
  <c r="HQ124" i="59"/>
  <c r="Z173" i="5"/>
  <c r="DY194" i="59"/>
  <c r="HR124" i="59"/>
  <c r="G162" i="5"/>
  <c r="BO192" i="59"/>
  <c r="EY124" i="59"/>
  <c r="Y151" i="5"/>
  <c r="AP190" i="59"/>
  <c r="DQ124" i="59"/>
  <c r="F316" i="5"/>
  <c r="FJ222" i="59"/>
  <c r="DY127" i="59"/>
  <c r="W140" i="5"/>
  <c r="IN187" i="59"/>
  <c r="BO124" i="59"/>
  <c r="AA283" i="5"/>
  <c r="BF216" i="59"/>
  <c r="IK126" i="59"/>
  <c r="X283" i="5"/>
  <c r="BC216" i="59"/>
  <c r="IH126" i="59"/>
  <c r="AH206" i="5"/>
  <c r="O201" i="59"/>
  <c r="EI125" i="59"/>
  <c r="AT103" i="59"/>
  <c r="Y206" i="5"/>
  <c r="F201" i="59"/>
  <c r="AK103" i="59"/>
  <c r="DZ125" i="59"/>
  <c r="T206" i="5"/>
  <c r="IR200" i="59"/>
  <c r="AF103" i="59"/>
  <c r="DU125" i="59"/>
  <c r="O206" i="5"/>
  <c r="IM200" i="59"/>
  <c r="AA103" i="59"/>
  <c r="DP125" i="59"/>
  <c r="AB272" i="5"/>
  <c r="P214" i="59"/>
  <c r="GL126" i="59"/>
  <c r="G272" i="5"/>
  <c r="IL213" i="59"/>
  <c r="FQ126" i="59"/>
  <c r="AM272" i="5"/>
  <c r="AA214" i="59"/>
  <c r="GW126" i="59"/>
  <c r="D305" i="5"/>
  <c r="DQ220" i="59"/>
  <c r="BW127" i="59"/>
  <c r="D151" i="5"/>
  <c r="U190" i="59"/>
  <c r="CV124" i="59"/>
  <c r="AI239" i="5"/>
  <c r="EO207" i="59"/>
  <c r="AS126" i="59"/>
  <c r="Z239" i="5"/>
  <c r="EF207" i="59"/>
  <c r="AJ126" i="59"/>
  <c r="U239" i="5"/>
  <c r="EA207" i="59"/>
  <c r="AE126" i="59"/>
  <c r="P239" i="5"/>
  <c r="DV207" i="59"/>
  <c r="Z126" i="59"/>
  <c r="AC305" i="5"/>
  <c r="EP220" i="59"/>
  <c r="CV127" i="59"/>
  <c r="AG305" i="5"/>
  <c r="ET220" i="59"/>
  <c r="CZ127" i="59"/>
  <c r="AJ305" i="5"/>
  <c r="EW220" i="59"/>
  <c r="DC127" i="59"/>
  <c r="AE305" i="5"/>
  <c r="ER220" i="59"/>
  <c r="CX127" i="59"/>
  <c r="Z305" i="5"/>
  <c r="EM220" i="59"/>
  <c r="CS127" i="59"/>
  <c r="AH250" i="5"/>
  <c r="GE209" i="59"/>
  <c r="CR126" i="59"/>
  <c r="Q250" i="5"/>
  <c r="FN209" i="59"/>
  <c r="CA126" i="59"/>
  <c r="L250" i="5"/>
  <c r="FI209" i="59"/>
  <c r="BV126" i="59"/>
  <c r="G250" i="5"/>
  <c r="FD209" i="59"/>
  <c r="BQ126" i="59"/>
  <c r="AM250" i="5"/>
  <c r="GJ209" i="59"/>
  <c r="CW126" i="59"/>
  <c r="AB217" i="5"/>
  <c r="AZ203" i="59"/>
  <c r="GC125" i="59"/>
  <c r="W217" i="5"/>
  <c r="AU203" i="59"/>
  <c r="FX125" i="59"/>
  <c r="R217" i="5"/>
  <c r="AP203" i="59"/>
  <c r="FS125" i="59"/>
  <c r="O327" i="5"/>
  <c r="HJ224" i="59"/>
  <c r="GH127" i="59"/>
  <c r="J327" i="5"/>
  <c r="HE224" i="59"/>
  <c r="GC127" i="59"/>
  <c r="E327" i="5"/>
  <c r="GZ224" i="59"/>
  <c r="FX127" i="59"/>
  <c r="AK327" i="5"/>
  <c r="IF224" i="59"/>
  <c r="HD127" i="59"/>
  <c r="AF327" i="5"/>
  <c r="IA224" i="59"/>
  <c r="GY127" i="59"/>
  <c r="AK349" i="5"/>
  <c r="BW229" i="59"/>
  <c r="BM128" i="59"/>
  <c r="T349" i="5"/>
  <c r="BF229" i="59"/>
  <c r="AV128" i="59"/>
  <c r="O349" i="5"/>
  <c r="BA229" i="59"/>
  <c r="AQ128" i="59"/>
  <c r="J349" i="5"/>
  <c r="AV229" i="59"/>
  <c r="AL128" i="59"/>
  <c r="R294" i="5"/>
  <c r="CN218" i="59"/>
  <c r="AK127" i="59"/>
  <c r="AL294" i="5"/>
  <c r="DH218" i="59"/>
  <c r="BE127" i="59"/>
  <c r="AG294" i="5"/>
  <c r="DC218" i="59"/>
  <c r="AZ127" i="59"/>
  <c r="AB294" i="5"/>
  <c r="CX218" i="59"/>
  <c r="AU127" i="59"/>
  <c r="W294" i="5"/>
  <c r="CS218" i="59"/>
  <c r="AP127" i="59"/>
  <c r="M338" i="5"/>
  <c r="H227" i="59"/>
  <c r="IF127" i="59"/>
  <c r="H338" i="5"/>
  <c r="IT226" i="59"/>
  <c r="IA127" i="59"/>
  <c r="AN338" i="5"/>
  <c r="AI227" i="59"/>
  <c r="P128" i="59"/>
  <c r="AN228" i="5"/>
  <c r="DC205" i="59"/>
  <c r="IO125" i="59"/>
  <c r="Q228" i="5"/>
  <c r="CF205" i="59"/>
  <c r="HR125" i="59"/>
  <c r="AG261" i="5"/>
  <c r="HU211" i="59"/>
  <c r="EQ126" i="59"/>
  <c r="AK261" i="5"/>
  <c r="HY211" i="59"/>
  <c r="EU126" i="59"/>
  <c r="AE261" i="5"/>
  <c r="HS211" i="59"/>
  <c r="EO126" i="59"/>
  <c r="Z261" i="5"/>
  <c r="HN211" i="59"/>
  <c r="EJ126" i="59"/>
  <c r="G195" i="5"/>
  <c r="GN198" i="59"/>
  <c r="BH125" i="59"/>
  <c r="R195" i="5"/>
  <c r="GY198" i="59"/>
  <c r="BS125" i="59"/>
  <c r="M195" i="5"/>
  <c r="GT198" i="59"/>
  <c r="BN125" i="59"/>
  <c r="H195" i="5"/>
  <c r="GO198" i="59"/>
  <c r="BI125" i="59"/>
  <c r="AN195" i="5"/>
  <c r="HU198" i="59"/>
  <c r="CO125" i="59"/>
  <c r="X184" i="5"/>
  <c r="FN196" i="59"/>
  <c r="Y125" i="59"/>
  <c r="AE184" i="5"/>
  <c r="FU196" i="59"/>
  <c r="AF125" i="59"/>
  <c r="Z184" i="5"/>
  <c r="FP196" i="59"/>
  <c r="AA125" i="59"/>
  <c r="AO173" i="5"/>
  <c r="EN194" i="59"/>
  <c r="IG124" i="59"/>
  <c r="AN173" i="5"/>
  <c r="EM194" i="59"/>
  <c r="IF124" i="59"/>
  <c r="AI173" i="5"/>
  <c r="EH194" i="59"/>
  <c r="IA124" i="59"/>
  <c r="AD173" i="5"/>
  <c r="EC194" i="59"/>
  <c r="HV124" i="59"/>
  <c r="V162" i="5"/>
  <c r="CD192" i="59"/>
  <c r="FN124" i="59"/>
  <c r="U162" i="5"/>
  <c r="CC192" i="59"/>
  <c r="FM124" i="59"/>
  <c r="P162" i="5"/>
  <c r="BX192" i="59"/>
  <c r="FH124" i="59"/>
  <c r="K162" i="5"/>
  <c r="BS192" i="59"/>
  <c r="FC124" i="59"/>
  <c r="S151" i="5"/>
  <c r="AJ190" i="59"/>
  <c r="DK124" i="59"/>
  <c r="AM151" i="5"/>
  <c r="BD190" i="59"/>
  <c r="EE124" i="59"/>
  <c r="AH151" i="5"/>
  <c r="AY190" i="59"/>
  <c r="DZ124" i="59"/>
  <c r="AC151" i="5"/>
  <c r="AT190" i="59"/>
  <c r="DU124" i="59"/>
  <c r="X151" i="5"/>
  <c r="AO190" i="59"/>
  <c r="DP124" i="59"/>
  <c r="T316" i="5"/>
  <c r="FX222" i="59"/>
  <c r="EM127" i="59"/>
  <c r="J316" i="5"/>
  <c r="FN222" i="59"/>
  <c r="EC127" i="59"/>
  <c r="E316" i="5"/>
  <c r="FI222" i="59"/>
  <c r="DX127" i="59"/>
  <c r="AK316" i="5"/>
  <c r="GO222" i="59"/>
  <c r="FD127" i="59"/>
  <c r="AF140" i="5"/>
  <c r="F188" i="59"/>
  <c r="BX124" i="59"/>
  <c r="AA140" i="5"/>
  <c r="IR187" i="59"/>
  <c r="BS124" i="59"/>
  <c r="V140" i="5"/>
  <c r="IM187" i="59"/>
  <c r="BN124" i="59"/>
  <c r="Q140" i="5"/>
  <c r="IH187" i="59"/>
  <c r="BI124" i="59"/>
  <c r="F283" i="5"/>
  <c r="AK216" i="59"/>
  <c r="HP126" i="59"/>
  <c r="AL283" i="5"/>
  <c r="BQ216" i="59"/>
  <c r="IV126" i="59"/>
  <c r="AG283" i="5"/>
  <c r="BL216" i="59"/>
  <c r="IQ126" i="59"/>
  <c r="AB283" i="5"/>
  <c r="BG216" i="59"/>
  <c r="IL126" i="59"/>
  <c r="Z103" i="59"/>
  <c r="DO125" i="59"/>
  <c r="AO103" i="59"/>
  <c r="ED125" i="59"/>
  <c r="X206" i="5"/>
  <c r="IV200" i="59"/>
  <c r="AJ103" i="59"/>
  <c r="DY125" i="59"/>
  <c r="S206" i="5"/>
  <c r="IQ200" i="59"/>
  <c r="AE103" i="59"/>
  <c r="DT125" i="59"/>
  <c r="K272" i="5"/>
  <c r="IP213" i="59"/>
  <c r="FU126" i="59"/>
  <c r="F272" i="5"/>
  <c r="IK213" i="59"/>
  <c r="FP126" i="59"/>
  <c r="AL272" i="5"/>
  <c r="Z214" i="59"/>
  <c r="GV126" i="59"/>
  <c r="AG272" i="5"/>
  <c r="U214" i="59"/>
  <c r="GQ126" i="59"/>
  <c r="D316" i="5"/>
  <c r="FH222" i="59"/>
  <c r="DW127" i="59"/>
  <c r="O239" i="5"/>
  <c r="DU207" i="59"/>
  <c r="Y126" i="59"/>
  <c r="AD239" i="5"/>
  <c r="EJ207" i="59"/>
  <c r="AN126" i="59"/>
  <c r="Y239" i="5"/>
  <c r="EE207" i="59"/>
  <c r="AI126" i="59"/>
  <c r="T239" i="5"/>
  <c r="DZ207" i="59"/>
  <c r="AD126" i="59"/>
  <c r="I305" i="5"/>
  <c r="DV220" i="59"/>
  <c r="CB127" i="59"/>
  <c r="H305" i="5"/>
  <c r="DU220" i="59"/>
  <c r="CA127" i="59"/>
  <c r="AN305" i="5"/>
  <c r="FA220" i="59"/>
  <c r="DG127" i="59"/>
  <c r="AI305" i="5"/>
  <c r="EV220" i="59"/>
  <c r="DB127" i="59"/>
  <c r="AD305" i="5"/>
  <c r="EQ220" i="59"/>
  <c r="CW127" i="59"/>
  <c r="N250" i="5"/>
  <c r="FK209" i="59"/>
  <c r="BX126" i="59"/>
  <c r="U250" i="5"/>
  <c r="FR209" i="59"/>
  <c r="CE126" i="59"/>
  <c r="P250" i="5"/>
  <c r="FM209" i="59"/>
  <c r="BZ126" i="59"/>
  <c r="K250" i="5"/>
  <c r="FH209" i="59"/>
  <c r="BU126" i="59"/>
  <c r="E217" i="5"/>
  <c r="AC203" i="59"/>
  <c r="FF125" i="59"/>
  <c r="Y217" i="5"/>
  <c r="AW203" i="59"/>
  <c r="FZ125" i="59"/>
  <c r="AF217" i="5"/>
  <c r="BD203" i="59"/>
  <c r="GG125" i="59"/>
  <c r="AA217" i="5"/>
  <c r="AY203" i="59"/>
  <c r="GB125" i="59"/>
  <c r="V217" i="5"/>
  <c r="AT203" i="59"/>
  <c r="FW125" i="59"/>
  <c r="AE327" i="5"/>
  <c r="HZ224" i="59"/>
  <c r="GX127" i="59"/>
  <c r="N327" i="5"/>
  <c r="HI224" i="59"/>
  <c r="GG127" i="59"/>
  <c r="I327" i="5"/>
  <c r="HD224" i="59"/>
  <c r="GB127" i="59"/>
  <c r="AO327" i="5"/>
  <c r="IJ224" i="59"/>
  <c r="HH127" i="59"/>
  <c r="AJ327" i="5"/>
  <c r="IE224" i="59"/>
  <c r="HC127" i="59"/>
  <c r="Q349" i="5"/>
  <c r="BC229" i="59"/>
  <c r="AS128" i="59"/>
  <c r="X349" i="5"/>
  <c r="BJ229" i="59"/>
  <c r="AZ128" i="59"/>
  <c r="S349" i="5"/>
  <c r="BE229" i="59"/>
  <c r="AU128" i="59"/>
  <c r="N349" i="5"/>
  <c r="AZ229" i="59"/>
  <c r="AP128" i="59"/>
  <c r="AH294" i="5"/>
  <c r="DD218" i="59"/>
  <c r="BA127" i="59"/>
  <c r="E294" i="5"/>
  <c r="CA218" i="59"/>
  <c r="X127" i="59"/>
  <c r="AK294" i="5"/>
  <c r="DG218" i="59"/>
  <c r="BD127" i="59"/>
  <c r="AF294" i="5"/>
  <c r="DB218" i="59"/>
  <c r="AY127" i="59"/>
  <c r="AA294" i="5"/>
  <c r="CW218" i="59"/>
  <c r="AT127" i="59"/>
  <c r="F338" i="5"/>
  <c r="IR226" i="59"/>
  <c r="HY127" i="59"/>
  <c r="Q338" i="5"/>
  <c r="L227" i="59"/>
  <c r="IJ127" i="59"/>
  <c r="L338" i="5"/>
  <c r="G227" i="59"/>
  <c r="IE127" i="59"/>
  <c r="G338" i="5"/>
  <c r="IS226" i="59"/>
  <c r="HZ127" i="59"/>
  <c r="AM338" i="5"/>
  <c r="AH227" i="59"/>
  <c r="O128" i="59"/>
  <c r="T228" i="5"/>
  <c r="CI205" i="59"/>
  <c r="HU125" i="59"/>
  <c r="AE228" i="5"/>
  <c r="CT205" i="59"/>
  <c r="IF125" i="59"/>
  <c r="M261" i="5"/>
  <c r="HA211" i="59"/>
  <c r="DW126" i="59"/>
  <c r="H261" i="5"/>
  <c r="GV211" i="59"/>
  <c r="DR126" i="59"/>
  <c r="AN261" i="5"/>
  <c r="IB211" i="59"/>
  <c r="EX126" i="59"/>
  <c r="AI261" i="5"/>
  <c r="HW211" i="59"/>
  <c r="ES126" i="59"/>
  <c r="AD261" i="5"/>
  <c r="HR211" i="59"/>
  <c r="EN126" i="59"/>
  <c r="W195" i="5"/>
  <c r="HD198" i="59"/>
  <c r="BX125" i="59"/>
  <c r="V195" i="5"/>
  <c r="HC198" i="59"/>
  <c r="BW125" i="59"/>
  <c r="Q195" i="5"/>
  <c r="GX198" i="59"/>
  <c r="BR125" i="59"/>
  <c r="L195" i="5"/>
  <c r="GS198" i="59"/>
  <c r="BM125" i="59"/>
  <c r="T184" i="5"/>
  <c r="FJ196" i="59"/>
  <c r="U125" i="59"/>
  <c r="AN184" i="5"/>
  <c r="GD196" i="59"/>
  <c r="AO125" i="59"/>
  <c r="AI184" i="5"/>
  <c r="FY196" i="59"/>
  <c r="AJ125" i="59"/>
  <c r="E173" i="5"/>
  <c r="DD194" i="59"/>
  <c r="GW124" i="59"/>
  <c r="L173" i="5"/>
  <c r="DK194" i="59"/>
  <c r="HD124" i="59"/>
  <c r="G173" i="5"/>
  <c r="DF194" i="59"/>
  <c r="GY124" i="59"/>
  <c r="AH173" i="5"/>
  <c r="EG194" i="59"/>
  <c r="HZ124" i="59"/>
  <c r="AL162" i="5"/>
  <c r="CT192" i="59"/>
  <c r="GD124" i="59"/>
  <c r="Y162" i="5"/>
  <c r="CG192" i="59"/>
  <c r="FQ124" i="59"/>
  <c r="T162" i="5"/>
  <c r="CB192" i="59"/>
  <c r="FL124" i="59"/>
  <c r="O162" i="5"/>
  <c r="BW192" i="59"/>
  <c r="FG124" i="59"/>
  <c r="AI151" i="5"/>
  <c r="AZ190" i="59"/>
  <c r="EA124" i="59"/>
  <c r="F151" i="5"/>
  <c r="W190" i="59"/>
  <c r="CX124" i="59"/>
  <c r="AL151" i="5"/>
  <c r="BC190" i="59"/>
  <c r="ED124" i="59"/>
  <c r="AG151" i="5"/>
  <c r="AX190" i="59"/>
  <c r="DY124" i="59"/>
  <c r="AB151" i="5"/>
  <c r="AS190" i="59"/>
  <c r="DT124" i="59"/>
  <c r="AJ316" i="5"/>
  <c r="GN222" i="59"/>
  <c r="FC127" i="59"/>
  <c r="S316" i="5"/>
  <c r="FW222" i="59"/>
  <c r="EL127" i="59"/>
  <c r="N316" i="5"/>
  <c r="FR222" i="59"/>
  <c r="EG127" i="59"/>
  <c r="I316" i="5"/>
  <c r="FM222" i="59"/>
  <c r="EB127" i="59"/>
  <c r="AO316" i="5"/>
  <c r="GS222" i="59"/>
  <c r="FH127" i="59"/>
  <c r="L140" i="5"/>
  <c r="IC187" i="59"/>
  <c r="BD124" i="59"/>
  <c r="AE140" i="5"/>
  <c r="IV187" i="59"/>
  <c r="BW124" i="59"/>
  <c r="Z140" i="5"/>
  <c r="IQ187" i="59"/>
  <c r="BR124" i="59"/>
  <c r="U140" i="5"/>
  <c r="IL187" i="59"/>
  <c r="BM124" i="59"/>
  <c r="AM283" i="5"/>
  <c r="BR216" i="59"/>
  <c r="F127" i="59"/>
  <c r="E283" i="5"/>
  <c r="AJ216" i="59"/>
  <c r="HO126" i="59"/>
  <c r="AK283" i="5"/>
  <c r="BP216" i="59"/>
  <c r="IU126" i="59"/>
  <c r="AF283" i="5"/>
  <c r="BK216" i="59"/>
  <c r="IP126" i="59"/>
  <c r="J206" i="5"/>
  <c r="IH200" i="59"/>
  <c r="V103" i="59"/>
  <c r="DK125" i="59"/>
  <c r="AD206" i="5"/>
  <c r="K201" i="59"/>
  <c r="AP103" i="59"/>
  <c r="EE125" i="59"/>
  <c r="AG206" i="5"/>
  <c r="N201" i="59"/>
  <c r="AS103" i="59"/>
  <c r="EH125" i="59"/>
  <c r="AB206" i="5"/>
  <c r="I201" i="59"/>
  <c r="AN103" i="59"/>
  <c r="EC125" i="59"/>
  <c r="W206" i="5"/>
  <c r="IU200" i="59"/>
  <c r="AI103" i="59"/>
  <c r="DX125" i="59"/>
  <c r="X272" i="5"/>
  <c r="L214" i="59"/>
  <c r="GH126" i="59"/>
  <c r="O272" i="5"/>
  <c r="IT213" i="59"/>
  <c r="FY126" i="59"/>
  <c r="J272" i="5"/>
  <c r="IO213" i="59"/>
  <c r="FT126" i="59"/>
  <c r="AK272" i="5"/>
  <c r="Y214" i="59"/>
  <c r="GU126" i="59"/>
  <c r="Q239" i="5"/>
  <c r="DW207" i="59"/>
  <c r="AA126" i="59"/>
  <c r="AF305" i="5"/>
  <c r="ES220" i="59"/>
  <c r="CY127" i="59"/>
  <c r="M250" i="5"/>
  <c r="FJ209" i="59"/>
  <c r="BW126" i="59"/>
  <c r="AI250" i="5"/>
  <c r="GF209" i="59"/>
  <c r="CS126" i="59"/>
  <c r="S217" i="5"/>
  <c r="AQ203" i="59"/>
  <c r="FT125" i="59"/>
  <c r="AL327" i="5"/>
  <c r="IG224" i="59"/>
  <c r="HE127" i="59"/>
  <c r="P349" i="5"/>
  <c r="BB229" i="59"/>
  <c r="AR128" i="59"/>
  <c r="V294" i="5"/>
  <c r="CR218" i="59"/>
  <c r="AO127" i="59"/>
  <c r="J338" i="5"/>
  <c r="IV226" i="59"/>
  <c r="IC127" i="59"/>
  <c r="AE338" i="5"/>
  <c r="Z227" i="59"/>
  <c r="G128" i="59"/>
  <c r="R228" i="5"/>
  <c r="CG205" i="59"/>
  <c r="HS125" i="59"/>
  <c r="AF261" i="5"/>
  <c r="HT211" i="59"/>
  <c r="EP126" i="59"/>
  <c r="I195" i="5"/>
  <c r="GP198" i="59"/>
  <c r="BJ125" i="59"/>
  <c r="V184" i="5"/>
  <c r="FL196" i="59"/>
  <c r="W125" i="59"/>
  <c r="AC173" i="5"/>
  <c r="EB194" i="59"/>
  <c r="HU124" i="59"/>
  <c r="F162" i="5"/>
  <c r="BN192" i="59"/>
  <c r="EX124" i="59"/>
  <c r="AM162" i="5"/>
  <c r="CU192" i="59"/>
  <c r="GE124" i="59"/>
  <c r="T151" i="5"/>
  <c r="AK190" i="59"/>
  <c r="DL124" i="59"/>
  <c r="AL316" i="5"/>
  <c r="GP222" i="59"/>
  <c r="FE127" i="59"/>
  <c r="R140" i="5"/>
  <c r="II187" i="59"/>
  <c r="BJ124" i="59"/>
  <c r="AH272" i="5"/>
  <c r="V214" i="59"/>
  <c r="GR126" i="59"/>
  <c r="D195" i="5"/>
  <c r="GK198" i="59"/>
  <c r="BE125" i="59"/>
  <c r="G305" i="5"/>
  <c r="DT220" i="59"/>
  <c r="BZ127" i="59"/>
  <c r="AD250" i="5"/>
  <c r="GA209" i="59"/>
  <c r="CN126" i="59"/>
  <c r="EA125" i="59"/>
  <c r="AL103" i="59"/>
  <c r="AR103" i="59"/>
  <c r="EG125" i="59"/>
  <c r="AA239" i="5"/>
  <c r="EG207" i="59"/>
  <c r="AK126" i="59"/>
  <c r="AL239" i="5"/>
  <c r="ER207" i="59"/>
  <c r="AV126" i="59"/>
  <c r="AO305" i="5"/>
  <c r="FB220" i="59"/>
  <c r="DH127" i="59"/>
  <c r="F305" i="5"/>
  <c r="DS220" i="59"/>
  <c r="BY127" i="59"/>
  <c r="AC250" i="5"/>
  <c r="FZ209" i="59"/>
  <c r="CM126" i="59"/>
  <c r="AK217" i="5"/>
  <c r="BI203" i="59"/>
  <c r="GL125" i="59"/>
  <c r="AI217" i="5"/>
  <c r="BG203" i="59"/>
  <c r="GJ125" i="59"/>
  <c r="V327" i="5"/>
  <c r="HQ224" i="59"/>
  <c r="GO127" i="59"/>
  <c r="I349" i="5"/>
  <c r="AU229" i="59"/>
  <c r="AK128" i="59"/>
  <c r="AA349" i="5"/>
  <c r="BM229" i="59"/>
  <c r="BC128" i="59"/>
  <c r="AD294" i="5"/>
  <c r="CZ218" i="59"/>
  <c r="AW127" i="59"/>
  <c r="AI294" i="5"/>
  <c r="DE218" i="59"/>
  <c r="BB127" i="59"/>
  <c r="T338" i="5"/>
  <c r="O227" i="59"/>
  <c r="IM127" i="59"/>
  <c r="G228" i="5"/>
  <c r="BV205" i="59"/>
  <c r="HH125" i="59"/>
  <c r="AC228" i="5"/>
  <c r="CR205" i="59"/>
  <c r="ID125" i="59"/>
  <c r="K261" i="5"/>
  <c r="GY211" i="59"/>
  <c r="DU126" i="59"/>
  <c r="S195" i="5"/>
  <c r="GZ198" i="59"/>
  <c r="BT125" i="59"/>
  <c r="T195" i="5"/>
  <c r="HA198" i="59"/>
  <c r="BU125" i="59"/>
  <c r="F184" i="5"/>
  <c r="EV196" i="59"/>
  <c r="G125" i="59"/>
  <c r="T173" i="5"/>
  <c r="DS194" i="59"/>
  <c r="HL124" i="59"/>
  <c r="N162" i="5"/>
  <c r="BV192" i="59"/>
  <c r="FF124" i="59"/>
  <c r="W162" i="5"/>
  <c r="CE192" i="59"/>
  <c r="FO124" i="59"/>
  <c r="I151" i="5"/>
  <c r="Z190" i="59"/>
  <c r="DA124" i="59"/>
  <c r="AF316" i="5"/>
  <c r="GJ222" i="59"/>
  <c r="EY127" i="59"/>
  <c r="AA316" i="5"/>
  <c r="GE222" i="59"/>
  <c r="ET127" i="59"/>
  <c r="X140" i="5"/>
  <c r="IO187" i="59"/>
  <c r="BP124" i="59"/>
  <c r="AH140" i="5"/>
  <c r="H188" i="59"/>
  <c r="BZ124" i="59"/>
  <c r="AI283" i="5"/>
  <c r="BN216" i="59"/>
  <c r="IS126" i="59"/>
  <c r="H283" i="5"/>
  <c r="AM216" i="59"/>
  <c r="HR126" i="59"/>
  <c r="I206" i="5"/>
  <c r="IG200" i="59"/>
  <c r="U103" i="59"/>
  <c r="DJ125" i="59"/>
  <c r="AJ206" i="5"/>
  <c r="Q201" i="59"/>
  <c r="AV103" i="59"/>
  <c r="EK125" i="59"/>
  <c r="W272" i="5"/>
  <c r="K214" i="59"/>
  <c r="GG126" i="59"/>
  <c r="R272" i="5"/>
  <c r="F214" i="59"/>
  <c r="GB126" i="59"/>
  <c r="D294" i="5"/>
  <c r="BZ218" i="59"/>
  <c r="W127" i="59"/>
  <c r="G239" i="5"/>
  <c r="DM207" i="59"/>
  <c r="Q126" i="59"/>
  <c r="J239" i="5"/>
  <c r="DP207" i="59"/>
  <c r="T126" i="59"/>
  <c r="E239" i="5"/>
  <c r="DK207" i="59"/>
  <c r="O126" i="59"/>
  <c r="AK239" i="5"/>
  <c r="EQ207" i="59"/>
  <c r="AU126" i="59"/>
  <c r="AF239" i="5"/>
  <c r="EL207" i="59"/>
  <c r="AP126" i="59"/>
  <c r="E305" i="5"/>
  <c r="DR220" i="59"/>
  <c r="BX127" i="59"/>
  <c r="T305" i="5"/>
  <c r="EG220" i="59"/>
  <c r="CM127" i="59"/>
  <c r="O305" i="5"/>
  <c r="EB220" i="59"/>
  <c r="CH127" i="59"/>
  <c r="J305" i="5"/>
  <c r="DW220" i="59"/>
  <c r="CC127" i="59"/>
  <c r="F250" i="5"/>
  <c r="FC209" i="59"/>
  <c r="BP126" i="59"/>
  <c r="Z250" i="5"/>
  <c r="FW209" i="59"/>
  <c r="CJ126" i="59"/>
  <c r="AG250" i="5"/>
  <c r="GD209" i="59"/>
  <c r="CQ126" i="59"/>
  <c r="AB250" i="5"/>
  <c r="FY209" i="59"/>
  <c r="CL126" i="59"/>
  <c r="W250" i="5"/>
  <c r="FT209" i="59"/>
  <c r="CG126" i="59"/>
  <c r="Q217" i="5"/>
  <c r="AO203" i="59"/>
  <c r="FR125" i="59"/>
  <c r="L217" i="5"/>
  <c r="AJ203" i="59"/>
  <c r="FM125" i="59"/>
  <c r="G217" i="5"/>
  <c r="AE203" i="59"/>
  <c r="FH125" i="59"/>
  <c r="AM217" i="5"/>
  <c r="BK203" i="59"/>
  <c r="GN125" i="59"/>
  <c r="AH217" i="5"/>
  <c r="BF203" i="59"/>
  <c r="GI125" i="59"/>
  <c r="G327" i="5"/>
  <c r="HB224" i="59"/>
  <c r="FZ127" i="59"/>
  <c r="Z327" i="5"/>
  <c r="HU224" i="59"/>
  <c r="GS127" i="59"/>
  <c r="U327" i="5"/>
  <c r="HP224" i="59"/>
  <c r="GN127" i="59"/>
  <c r="P327" i="5"/>
  <c r="HK224" i="59"/>
  <c r="GI127" i="59"/>
  <c r="Y349" i="5"/>
  <c r="BK229" i="59"/>
  <c r="BA128" i="59"/>
  <c r="AC349" i="5"/>
  <c r="BO229" i="59"/>
  <c r="BE128" i="59"/>
  <c r="AJ349" i="5"/>
  <c r="BV229" i="59"/>
  <c r="BL128" i="59"/>
  <c r="AE349" i="5"/>
  <c r="BQ229" i="59"/>
  <c r="BG128" i="59"/>
  <c r="Z349" i="5"/>
  <c r="BL229" i="59"/>
  <c r="BB128" i="59"/>
  <c r="J294" i="5"/>
  <c r="CF218" i="59"/>
  <c r="AC127" i="59"/>
  <c r="Q294" i="5"/>
  <c r="CM218" i="59"/>
  <c r="AJ127" i="59"/>
  <c r="L294" i="5"/>
  <c r="CH218" i="59"/>
  <c r="AE127" i="59"/>
  <c r="G294" i="5"/>
  <c r="CC218" i="59"/>
  <c r="Z127" i="59"/>
  <c r="AM294" i="5"/>
  <c r="DI218" i="59"/>
  <c r="BF127" i="59"/>
  <c r="R338" i="5"/>
  <c r="M227" i="59"/>
  <c r="IK127" i="59"/>
  <c r="AC338" i="5"/>
  <c r="X227" i="59"/>
  <c r="IV127" i="59"/>
  <c r="X338" i="5"/>
  <c r="IQ127" i="59"/>
  <c r="S338" i="5"/>
  <c r="N227" i="59"/>
  <c r="IL127" i="59"/>
  <c r="L228" i="5"/>
  <c r="CA205" i="59"/>
  <c r="HM125" i="59"/>
  <c r="K228" i="5"/>
  <c r="BZ205" i="59"/>
  <c r="HL125" i="59"/>
  <c r="F228" i="5"/>
  <c r="BU205" i="59"/>
  <c r="HG125" i="59"/>
  <c r="AL228" i="5"/>
  <c r="DA205" i="59"/>
  <c r="IM125" i="59"/>
  <c r="AG228" i="5"/>
  <c r="CV205" i="59"/>
  <c r="IH125" i="59"/>
  <c r="Y261" i="5"/>
  <c r="HM211" i="59"/>
  <c r="EI126" i="59"/>
  <c r="T261" i="5"/>
  <c r="HH211" i="59"/>
  <c r="ED126" i="59"/>
  <c r="O261" i="5"/>
  <c r="HC211" i="59"/>
  <c r="DY126" i="59"/>
  <c r="J261" i="5"/>
  <c r="GX211" i="59"/>
  <c r="DT126" i="59"/>
  <c r="O195" i="5"/>
  <c r="GV198" i="59"/>
  <c r="BP125" i="59"/>
  <c r="AI195" i="5"/>
  <c r="HP198" i="59"/>
  <c r="CJ125" i="59"/>
  <c r="AH195" i="5"/>
  <c r="HO198" i="59"/>
  <c r="CI125" i="59"/>
  <c r="AC195" i="5"/>
  <c r="HJ198" i="59"/>
  <c r="CD125" i="59"/>
  <c r="X195" i="5"/>
  <c r="HE198" i="59"/>
  <c r="BY125" i="59"/>
  <c r="AF184" i="5"/>
  <c r="FV196" i="59"/>
  <c r="AG125" i="59"/>
  <c r="O184" i="5"/>
  <c r="FE196" i="59"/>
  <c r="P125" i="59"/>
  <c r="J184" i="5"/>
  <c r="EZ196" i="59"/>
  <c r="K125" i="59"/>
  <c r="E184" i="5"/>
  <c r="EU196" i="59"/>
  <c r="F125" i="59"/>
  <c r="AK184" i="5"/>
  <c r="GA196" i="59"/>
  <c r="AL125" i="59"/>
  <c r="Q173" i="5"/>
  <c r="DP194" i="59"/>
  <c r="HI124" i="59"/>
  <c r="X173" i="5"/>
  <c r="DW194" i="59"/>
  <c r="HP124" i="59"/>
  <c r="S173" i="5"/>
  <c r="DR194" i="59"/>
  <c r="HK124" i="59"/>
  <c r="N173" i="5"/>
  <c r="DM194" i="59"/>
  <c r="HF124" i="59"/>
  <c r="AD162" i="5"/>
  <c r="CL192" i="59"/>
  <c r="FV124" i="59"/>
  <c r="E162" i="5"/>
  <c r="BM192" i="59"/>
  <c r="EW124" i="59"/>
  <c r="AK162" i="5"/>
  <c r="CS192" i="59"/>
  <c r="GC124" i="59"/>
  <c r="AF162" i="5"/>
  <c r="CN192" i="59"/>
  <c r="FX124" i="59"/>
  <c r="AA162" i="5"/>
  <c r="CI192" i="59"/>
  <c r="FS124" i="59"/>
  <c r="K151" i="5"/>
  <c r="AB190" i="59"/>
  <c r="DC124" i="59"/>
  <c r="R151" i="5"/>
  <c r="AI190" i="59"/>
  <c r="DJ124" i="59"/>
  <c r="M151" i="5"/>
  <c r="AD190" i="59"/>
  <c r="DE124" i="59"/>
  <c r="H151" i="5"/>
  <c r="Y190" i="59"/>
  <c r="CZ124" i="59"/>
  <c r="AN151" i="5"/>
  <c r="BE190" i="59"/>
  <c r="EF124" i="59"/>
  <c r="L316" i="5"/>
  <c r="FP222" i="59"/>
  <c r="EE127" i="59"/>
  <c r="AE316" i="5"/>
  <c r="GI222" i="59"/>
  <c r="EX127" i="59"/>
  <c r="Z316" i="5"/>
  <c r="GD222" i="59"/>
  <c r="ES127" i="59"/>
  <c r="U316" i="5"/>
  <c r="FY222" i="59"/>
  <c r="EN127" i="59"/>
  <c r="AN140" i="5"/>
  <c r="N188" i="59"/>
  <c r="CF124" i="59"/>
  <c r="K140" i="5"/>
  <c r="IB187" i="59"/>
  <c r="BC124" i="59"/>
  <c r="F140" i="5"/>
  <c r="HW187" i="59"/>
  <c r="AX124" i="59"/>
  <c r="AL140" i="5"/>
  <c r="L188" i="59"/>
  <c r="CD124" i="59"/>
  <c r="AG140" i="5"/>
  <c r="G188" i="59"/>
  <c r="BY124" i="59"/>
  <c r="O283" i="5"/>
  <c r="AT216" i="59"/>
  <c r="HY126" i="59"/>
  <c r="Q283" i="5"/>
  <c r="AV216" i="59"/>
  <c r="IA126" i="59"/>
  <c r="L283" i="5"/>
  <c r="AQ216" i="59"/>
  <c r="HV126" i="59"/>
  <c r="V206" i="5"/>
  <c r="IT200" i="59"/>
  <c r="AH103" i="59"/>
  <c r="DW125" i="59"/>
  <c r="M206" i="5"/>
  <c r="IK200" i="59"/>
  <c r="Y103" i="59"/>
  <c r="DN125" i="59"/>
  <c r="H206" i="5"/>
  <c r="IF200" i="59"/>
  <c r="T103" i="59"/>
  <c r="DI125" i="59"/>
  <c r="AN206" i="5"/>
  <c r="U201" i="59"/>
  <c r="AZ103" i="59"/>
  <c r="EO125" i="59"/>
  <c r="AI206" i="5"/>
  <c r="P201" i="59"/>
  <c r="AU103" i="59"/>
  <c r="EJ125" i="59"/>
  <c r="AJ272" i="5"/>
  <c r="X214" i="59"/>
  <c r="GT126" i="59"/>
  <c r="AA272" i="5"/>
  <c r="O214" i="59"/>
  <c r="GK126" i="59"/>
  <c r="V272" i="5"/>
  <c r="J214" i="59"/>
  <c r="GF126" i="59"/>
  <c r="Q272" i="5"/>
  <c r="IV213" i="59"/>
  <c r="GA126" i="59"/>
  <c r="S239" i="5"/>
  <c r="DY207" i="59"/>
  <c r="AC126" i="59"/>
  <c r="L239" i="5"/>
  <c r="DR207" i="59"/>
  <c r="V126" i="59"/>
  <c r="AA305" i="5"/>
  <c r="EN220" i="59"/>
  <c r="CT127" i="59"/>
  <c r="H250" i="5"/>
  <c r="FE209" i="59"/>
  <c r="BR126" i="59"/>
  <c r="N217" i="5"/>
  <c r="AL203" i="59"/>
  <c r="FO125" i="59"/>
  <c r="F327" i="5"/>
  <c r="HA224" i="59"/>
  <c r="FY127" i="59"/>
  <c r="AB327" i="5"/>
  <c r="HW224" i="59"/>
  <c r="GU127" i="59"/>
  <c r="F349" i="5"/>
  <c r="AR229" i="59"/>
  <c r="AH128" i="59"/>
  <c r="X294" i="5"/>
  <c r="CT218" i="59"/>
  <c r="AQ127" i="59"/>
  <c r="AO338" i="5"/>
  <c r="AJ227" i="59"/>
  <c r="Q128" i="59"/>
  <c r="W228" i="5"/>
  <c r="CL205" i="59"/>
  <c r="HX125" i="59"/>
  <c r="U261" i="5"/>
  <c r="HI211" i="59"/>
  <c r="EE126" i="59"/>
  <c r="N195" i="5"/>
  <c r="GU198" i="59"/>
  <c r="BO125" i="59"/>
  <c r="H184" i="5"/>
  <c r="EX196" i="59"/>
  <c r="I125" i="59"/>
  <c r="AJ173" i="5"/>
  <c r="EI194" i="59"/>
  <c r="IB124" i="59"/>
  <c r="Q162" i="5"/>
  <c r="BY192" i="59"/>
  <c r="FI124" i="59"/>
  <c r="W151" i="5"/>
  <c r="AN190" i="59"/>
  <c r="DO124" i="59"/>
  <c r="AN316" i="5"/>
  <c r="GR222" i="59"/>
  <c r="FG127" i="59"/>
  <c r="AG316" i="5"/>
  <c r="GK222" i="59"/>
  <c r="EZ127" i="59"/>
  <c r="G283" i="5"/>
  <c r="AL216" i="59"/>
  <c r="HQ126" i="59"/>
  <c r="AC283" i="5"/>
  <c r="BH216" i="59"/>
  <c r="IM126" i="59"/>
  <c r="P103" i="59"/>
  <c r="DE125" i="59"/>
  <c r="K239" i="5"/>
  <c r="DQ207" i="59"/>
  <c r="U126" i="59"/>
  <c r="AH239" i="5"/>
  <c r="EN207" i="59"/>
  <c r="AR126" i="59"/>
  <c r="X239" i="5"/>
  <c r="ED207" i="59"/>
  <c r="AH126" i="59"/>
  <c r="T250" i="5"/>
  <c r="FQ209" i="59"/>
  <c r="CD126" i="59"/>
  <c r="Q103" i="59"/>
  <c r="DF125" i="59"/>
  <c r="F239" i="5"/>
  <c r="DL207" i="59"/>
  <c r="P126" i="59"/>
  <c r="AB239" i="5"/>
  <c r="EH207" i="59"/>
  <c r="AL126" i="59"/>
  <c r="K305" i="5"/>
  <c r="DX220" i="59"/>
  <c r="CD127" i="59"/>
  <c r="J250" i="5"/>
  <c r="FG209" i="59"/>
  <c r="BT126" i="59"/>
  <c r="S250" i="5"/>
  <c r="FP209" i="59"/>
  <c r="CC126" i="59"/>
  <c r="AN217" i="5"/>
  <c r="BL203" i="59"/>
  <c r="GO125" i="59"/>
  <c r="AA327" i="5"/>
  <c r="HV224" i="59"/>
  <c r="GT127" i="59"/>
  <c r="L327" i="5"/>
  <c r="HG224" i="59"/>
  <c r="GE127" i="59"/>
  <c r="AF349" i="5"/>
  <c r="BR229" i="59"/>
  <c r="BH128" i="59"/>
  <c r="M294" i="5"/>
  <c r="CI218" i="59"/>
  <c r="AF127" i="59"/>
  <c r="AN294" i="5"/>
  <c r="DJ218" i="59"/>
  <c r="BG127" i="59"/>
  <c r="Y338" i="5"/>
  <c r="T227" i="59"/>
  <c r="IR127" i="59"/>
  <c r="AF228" i="5"/>
  <c r="CU205" i="59"/>
  <c r="IG125" i="59"/>
  <c r="AH228" i="5"/>
  <c r="CW205" i="59"/>
  <c r="II125" i="59"/>
  <c r="P261" i="5"/>
  <c r="HD211" i="59"/>
  <c r="DZ126" i="59"/>
  <c r="AL261" i="5"/>
  <c r="HZ211" i="59"/>
  <c r="EV126" i="59"/>
  <c r="Y195" i="5"/>
  <c r="HF198" i="59"/>
  <c r="BZ125" i="59"/>
  <c r="K184" i="5"/>
  <c r="FA196" i="59"/>
  <c r="L125" i="59"/>
  <c r="AG184" i="5"/>
  <c r="FW196" i="59"/>
  <c r="AH125" i="59"/>
  <c r="O173" i="5"/>
  <c r="DN194" i="59"/>
  <c r="HG124" i="59"/>
  <c r="AH162" i="5"/>
  <c r="CP192" i="59"/>
  <c r="FZ124" i="59"/>
  <c r="AB162" i="5"/>
  <c r="CJ192" i="59"/>
  <c r="FT124" i="59"/>
  <c r="N151" i="5"/>
  <c r="AE190" i="59"/>
  <c r="DF124" i="59"/>
  <c r="AJ151" i="5"/>
  <c r="BA190" i="59"/>
  <c r="EB124" i="59"/>
  <c r="Q316" i="5"/>
  <c r="FU222" i="59"/>
  <c r="EJ127" i="59"/>
  <c r="AM140" i="5"/>
  <c r="M188" i="59"/>
  <c r="CE124" i="59"/>
  <c r="R283" i="5"/>
  <c r="AW216" i="59"/>
  <c r="IB126" i="59"/>
  <c r="AO206" i="5"/>
  <c r="V201" i="59"/>
  <c r="BA103" i="59"/>
  <c r="EP125" i="59"/>
  <c r="T272" i="5"/>
  <c r="H214" i="59"/>
  <c r="GD126" i="59"/>
  <c r="M272" i="5"/>
  <c r="IR213" i="59"/>
  <c r="FW126" i="59"/>
  <c r="D338" i="5"/>
  <c r="IP226" i="59"/>
  <c r="HW127" i="59"/>
  <c r="W239" i="5"/>
  <c r="EC207" i="59"/>
  <c r="AG126" i="59"/>
  <c r="N239" i="5"/>
  <c r="DT207" i="59"/>
  <c r="X126" i="59"/>
  <c r="I239" i="5"/>
  <c r="DO207" i="59"/>
  <c r="S126" i="59"/>
  <c r="AO239" i="5"/>
  <c r="EU207" i="59"/>
  <c r="AY126" i="59"/>
  <c r="AJ239" i="5"/>
  <c r="EP207" i="59"/>
  <c r="AT126" i="59"/>
  <c r="U305" i="5"/>
  <c r="EH220" i="59"/>
  <c r="CN127" i="59"/>
  <c r="X305" i="5"/>
  <c r="EK220" i="59"/>
  <c r="CQ127" i="59"/>
  <c r="S305" i="5"/>
  <c r="EF220" i="59"/>
  <c r="CL127" i="59"/>
  <c r="N305" i="5"/>
  <c r="EA220" i="59"/>
  <c r="CG127" i="59"/>
  <c r="V250" i="5"/>
  <c r="FS209" i="59"/>
  <c r="CF126" i="59"/>
  <c r="E250" i="5"/>
  <c r="FB209" i="59"/>
  <c r="BO126" i="59"/>
  <c r="AK250" i="5"/>
  <c r="GH209" i="59"/>
  <c r="CU126" i="59"/>
  <c r="AF250" i="5"/>
  <c r="GC209" i="59"/>
  <c r="CP126" i="59"/>
  <c r="AA250" i="5"/>
  <c r="FX209" i="59"/>
  <c r="CK126" i="59"/>
  <c r="AG217" i="5"/>
  <c r="BE203" i="59"/>
  <c r="GH125" i="59"/>
  <c r="P217" i="5"/>
  <c r="AN203" i="59"/>
  <c r="FQ125" i="59"/>
  <c r="K217" i="5"/>
  <c r="AI203" i="59"/>
  <c r="FL125" i="59"/>
  <c r="F217" i="5"/>
  <c r="AD203" i="59"/>
  <c r="FG125" i="59"/>
  <c r="AL217" i="5"/>
  <c r="BJ203" i="59"/>
  <c r="GM125" i="59"/>
  <c r="W327" i="5"/>
  <c r="HR224" i="59"/>
  <c r="GP127" i="59"/>
  <c r="AD327" i="5"/>
  <c r="HY224" i="59"/>
  <c r="GW127" i="59"/>
  <c r="Y327" i="5"/>
  <c r="HT224" i="59"/>
  <c r="GR127" i="59"/>
  <c r="T327" i="5"/>
  <c r="HO224" i="59"/>
  <c r="GM127" i="59"/>
  <c r="AO349" i="5"/>
  <c r="CA229" i="59"/>
  <c r="BQ128" i="59"/>
  <c r="H349" i="5"/>
  <c r="AT229" i="59"/>
  <c r="AJ128" i="59"/>
  <c r="AN349" i="5"/>
  <c r="BZ229" i="59"/>
  <c r="BP128" i="59"/>
  <c r="AI349" i="5"/>
  <c r="BK128" i="59"/>
  <c r="AD349" i="5"/>
  <c r="BP229" i="59"/>
  <c r="BF128" i="59"/>
  <c r="Z294" i="5"/>
  <c r="CV218" i="59"/>
  <c r="AS127" i="59"/>
  <c r="U294" i="5"/>
  <c r="CQ218" i="59"/>
  <c r="AN127" i="59"/>
  <c r="P294" i="5"/>
  <c r="CL218" i="59"/>
  <c r="AI127" i="59"/>
  <c r="K294" i="5"/>
  <c r="CG218" i="59"/>
  <c r="AD127" i="59"/>
  <c r="N338" i="5"/>
  <c r="I227" i="59"/>
  <c r="IG127" i="59"/>
  <c r="AH338" i="5"/>
  <c r="AC227" i="59"/>
  <c r="J128" i="59"/>
  <c r="AG338" i="5"/>
  <c r="AB227" i="59"/>
  <c r="I128" i="59"/>
  <c r="AB338" i="5"/>
  <c r="W227" i="59"/>
  <c r="IU127" i="59"/>
  <c r="W338" i="5"/>
  <c r="R227" i="59"/>
  <c r="IP127" i="59"/>
  <c r="AB228" i="5"/>
  <c r="CQ205" i="59"/>
  <c r="IC125" i="59"/>
  <c r="O228" i="5"/>
  <c r="CD205" i="59"/>
  <c r="HP125" i="59"/>
  <c r="J228" i="5"/>
  <c r="BY205" i="59"/>
  <c r="HK125" i="59"/>
  <c r="E228" i="5"/>
  <c r="BT205" i="59"/>
  <c r="HF125" i="59"/>
  <c r="AK228" i="5"/>
  <c r="CZ205" i="59"/>
  <c r="IL125" i="59"/>
  <c r="AO261" i="5"/>
  <c r="IC211" i="59"/>
  <c r="EY126" i="59"/>
  <c r="X261" i="5"/>
  <c r="HL211" i="59"/>
  <c r="EH126" i="59"/>
  <c r="S261" i="5"/>
  <c r="HG211" i="59"/>
  <c r="EC126" i="59"/>
  <c r="N261" i="5"/>
  <c r="HB211" i="59"/>
  <c r="DX126" i="59"/>
  <c r="AE195" i="5"/>
  <c r="HL198" i="59"/>
  <c r="CF125" i="59"/>
  <c r="F195" i="5"/>
  <c r="GM198" i="59"/>
  <c r="BG125" i="59"/>
  <c r="AL195" i="5"/>
  <c r="HS198" i="59"/>
  <c r="CM125" i="59"/>
  <c r="AG195" i="5"/>
  <c r="HN198" i="59"/>
  <c r="CH125" i="59"/>
  <c r="AB195" i="5"/>
  <c r="HI198" i="59"/>
  <c r="CC125" i="59"/>
  <c r="L184" i="5"/>
  <c r="FB196" i="59"/>
  <c r="M125" i="59"/>
  <c r="S184" i="5"/>
  <c r="FI196" i="59"/>
  <c r="T125" i="59"/>
  <c r="N184" i="5"/>
  <c r="FD196" i="59"/>
  <c r="O125" i="59"/>
  <c r="I184" i="5"/>
  <c r="EY196" i="59"/>
  <c r="J125" i="59"/>
  <c r="AO184" i="5"/>
  <c r="GE196" i="59"/>
  <c r="AP125" i="59"/>
  <c r="AG173" i="5"/>
  <c r="EF194" i="59"/>
  <c r="HY124" i="59"/>
  <c r="AB173" i="5"/>
  <c r="EA194" i="59"/>
  <c r="HT124" i="59"/>
  <c r="W173" i="5"/>
  <c r="DV194" i="59"/>
  <c r="HO124" i="59"/>
  <c r="R173" i="5"/>
  <c r="DQ194" i="59"/>
  <c r="HJ124" i="59"/>
  <c r="J162" i="5"/>
  <c r="BR192" i="59"/>
  <c r="FB124" i="59"/>
  <c r="I162" i="5"/>
  <c r="BQ192" i="59"/>
  <c r="FA124" i="59"/>
  <c r="AO162" i="5"/>
  <c r="CW192" i="59"/>
  <c r="GG124" i="59"/>
  <c r="AJ162" i="5"/>
  <c r="CR192" i="59"/>
  <c r="GB124" i="59"/>
  <c r="AE162" i="5"/>
  <c r="CM192" i="59"/>
  <c r="FW124" i="59"/>
  <c r="AA151" i="5"/>
  <c r="AR190" i="59"/>
  <c r="DS124" i="59"/>
  <c r="V151" i="5"/>
  <c r="AM190" i="59"/>
  <c r="DN124" i="59"/>
  <c r="Q151" i="5"/>
  <c r="AH190" i="59"/>
  <c r="DI124" i="59"/>
  <c r="L151" i="5"/>
  <c r="AC190" i="59"/>
  <c r="DD124" i="59"/>
  <c r="H316" i="5"/>
  <c r="FL222" i="59"/>
  <c r="EA127" i="59"/>
  <c r="AB316" i="5"/>
  <c r="GF222" i="59"/>
  <c r="EU127" i="59"/>
  <c r="AI316" i="5"/>
  <c r="GM222" i="59"/>
  <c r="FB127" i="59"/>
  <c r="AD316" i="5"/>
  <c r="GH222" i="59"/>
  <c r="EW127" i="59"/>
  <c r="Y316" i="5"/>
  <c r="GC222" i="59"/>
  <c r="ER127" i="59"/>
  <c r="T140" i="5"/>
  <c r="IK187" i="59"/>
  <c r="BL124" i="59"/>
  <c r="O140" i="5"/>
  <c r="IF187" i="59"/>
  <c r="BG124" i="59"/>
  <c r="J140" i="5"/>
  <c r="IA187" i="59"/>
  <c r="BB124" i="59"/>
  <c r="E140" i="5"/>
  <c r="HV187" i="59"/>
  <c r="AW124" i="59"/>
  <c r="AK140" i="5"/>
  <c r="K188" i="59"/>
  <c r="CC124" i="59"/>
  <c r="AE283" i="5"/>
  <c r="BJ216" i="59"/>
  <c r="IO126" i="59"/>
  <c r="Z283" i="5"/>
  <c r="BE216" i="59"/>
  <c r="IJ126" i="59"/>
  <c r="U283" i="5"/>
  <c r="AZ216" i="59"/>
  <c r="IE126" i="59"/>
  <c r="P283" i="5"/>
  <c r="AU216" i="59"/>
  <c r="HZ126" i="59"/>
  <c r="AL206" i="5"/>
  <c r="S201" i="59"/>
  <c r="AX103" i="59"/>
  <c r="EM125" i="59"/>
  <c r="Q206" i="5"/>
  <c r="IO200" i="59"/>
  <c r="AC103" i="59"/>
  <c r="DR125" i="59"/>
  <c r="L206" i="5"/>
  <c r="IJ200" i="59"/>
  <c r="X103" i="59"/>
  <c r="DM125" i="59"/>
  <c r="G206" i="5"/>
  <c r="IE200" i="59"/>
  <c r="S103" i="59"/>
  <c r="DH125" i="59"/>
  <c r="AM206" i="5"/>
  <c r="T201" i="59"/>
  <c r="AY103" i="59"/>
  <c r="EN125" i="59"/>
  <c r="P272" i="5"/>
  <c r="IU213" i="59"/>
  <c r="FZ126" i="59"/>
  <c r="AE272" i="5"/>
  <c r="S214" i="59"/>
  <c r="GO126" i="59"/>
  <c r="Z272" i="5"/>
  <c r="N214" i="59"/>
  <c r="GJ126" i="59"/>
  <c r="U272" i="5"/>
  <c r="I214" i="59"/>
  <c r="GE126" i="59"/>
  <c r="V239" i="5"/>
  <c r="EB207" i="59"/>
  <c r="AF126" i="59"/>
  <c r="Q305" i="5"/>
  <c r="ED220" i="59"/>
  <c r="CJ127" i="59"/>
  <c r="V305" i="5"/>
  <c r="EI220" i="59"/>
  <c r="CO127" i="59"/>
  <c r="AN250" i="5"/>
  <c r="GK209" i="59"/>
  <c r="CX126" i="59"/>
  <c r="X217" i="5"/>
  <c r="AV203" i="59"/>
  <c r="FY125" i="59"/>
  <c r="AI327" i="5"/>
  <c r="ID224" i="59"/>
  <c r="HB127" i="59"/>
  <c r="AG327" i="5"/>
  <c r="IB224" i="59"/>
  <c r="GZ127" i="59"/>
  <c r="K349" i="5"/>
  <c r="AW229" i="59"/>
  <c r="AM128" i="59"/>
  <c r="AC294" i="5"/>
  <c r="CY218" i="59"/>
  <c r="AV127" i="59"/>
  <c r="I338" i="5"/>
  <c r="IU226" i="59"/>
  <c r="IB127" i="59"/>
  <c r="X228" i="5"/>
  <c r="CM205" i="59"/>
  <c r="HY125" i="59"/>
  <c r="Q261" i="5"/>
  <c r="HE211" i="59"/>
  <c r="EA126" i="59"/>
  <c r="AA261" i="5"/>
  <c r="HO211" i="59"/>
  <c r="EK126" i="59"/>
  <c r="AA195" i="5"/>
  <c r="HH198" i="59"/>
  <c r="CB125" i="59"/>
  <c r="AJ195" i="5"/>
  <c r="HQ198" i="59"/>
  <c r="CK125" i="59"/>
  <c r="Q184" i="5"/>
  <c r="FG196" i="59"/>
  <c r="R125" i="59"/>
  <c r="AE173" i="5"/>
  <c r="ED194" i="59"/>
  <c r="HW124" i="59"/>
  <c r="L162" i="5"/>
  <c r="BT192" i="59"/>
  <c r="FD124" i="59"/>
  <c r="AD151" i="5"/>
  <c r="AU190" i="59"/>
  <c r="DV124" i="59"/>
  <c r="K316" i="5"/>
  <c r="FO222" i="59"/>
  <c r="ED127" i="59"/>
  <c r="P140" i="5"/>
  <c r="IG187" i="59"/>
  <c r="BH124" i="59"/>
  <c r="M140" i="5"/>
  <c r="ID187" i="59"/>
  <c r="BE124" i="59"/>
  <c r="AH283" i="5"/>
  <c r="BM216" i="59"/>
  <c r="IR126" i="59"/>
  <c r="D327" i="5"/>
  <c r="GY224" i="59"/>
  <c r="FW127" i="59"/>
  <c r="Y250" i="5"/>
  <c r="FV209" i="59"/>
  <c r="CI126" i="59"/>
  <c r="AW103" i="59"/>
  <c r="EL125" i="59"/>
  <c r="AM103" i="59"/>
  <c r="EB125" i="59"/>
  <c r="P305" i="5"/>
  <c r="EC220" i="59"/>
  <c r="CI127" i="59"/>
  <c r="AL305" i="5"/>
  <c r="EY220" i="59"/>
  <c r="DE127" i="59"/>
  <c r="X250" i="5"/>
  <c r="FU209" i="59"/>
  <c r="CH126" i="59"/>
  <c r="H217" i="5"/>
  <c r="AF203" i="59"/>
  <c r="FI125" i="59"/>
  <c r="AD217" i="5"/>
  <c r="BB203" i="59"/>
  <c r="GE125" i="59"/>
  <c r="Q327" i="5"/>
  <c r="HL224" i="59"/>
  <c r="GJ127" i="59"/>
  <c r="M349" i="5"/>
  <c r="AY229" i="59"/>
  <c r="AO128" i="59"/>
  <c r="V349" i="5"/>
  <c r="BH229" i="59"/>
  <c r="AX128" i="59"/>
  <c r="H294" i="5"/>
  <c r="CD218" i="59"/>
  <c r="AA127" i="59"/>
  <c r="AL338" i="5"/>
  <c r="AG227" i="59"/>
  <c r="N128" i="59"/>
  <c r="O338" i="5"/>
  <c r="J227" i="59"/>
  <c r="IH127" i="59"/>
  <c r="AM228" i="5"/>
  <c r="DB205" i="59"/>
  <c r="IN125" i="59"/>
  <c r="I261" i="5"/>
  <c r="GW211" i="59"/>
  <c r="DS126" i="59"/>
  <c r="F261" i="5"/>
  <c r="GT211" i="59"/>
  <c r="DP126" i="59"/>
  <c r="AD195" i="5"/>
  <c r="HK198" i="59"/>
  <c r="CE125" i="59"/>
  <c r="P184" i="5"/>
  <c r="FF196" i="59"/>
  <c r="Q125" i="59"/>
  <c r="AL184" i="5"/>
  <c r="GB196" i="59"/>
  <c r="AM125" i="59"/>
  <c r="AK173" i="5"/>
  <c r="EJ194" i="59"/>
  <c r="IC124" i="59"/>
  <c r="J173" i="5"/>
  <c r="DI194" i="59"/>
  <c r="HB124" i="59"/>
  <c r="AG162" i="5"/>
  <c r="CO192" i="59"/>
  <c r="FY124" i="59"/>
  <c r="AE151" i="5"/>
  <c r="AV190" i="59"/>
  <c r="DW124" i="59"/>
  <c r="AO151" i="5"/>
  <c r="BF190" i="59"/>
  <c r="EG124" i="59"/>
  <c r="V316" i="5"/>
  <c r="FZ222" i="59"/>
  <c r="EO127" i="59"/>
  <c r="G140" i="5"/>
  <c r="HX187" i="59"/>
  <c r="AY124" i="59"/>
  <c r="AC140" i="5"/>
  <c r="IT187" i="59"/>
  <c r="BU124" i="59"/>
  <c r="M283" i="5"/>
  <c r="AR216" i="59"/>
  <c r="HW126" i="59"/>
  <c r="AN283" i="5"/>
  <c r="BS216" i="59"/>
  <c r="G127" i="59"/>
  <c r="F206" i="5"/>
  <c r="ID200" i="59"/>
  <c r="R103" i="59"/>
  <c r="DG125" i="59"/>
  <c r="AE206" i="5"/>
  <c r="L201" i="59"/>
  <c r="EF125" i="59"/>
  <c r="AQ103" i="59"/>
  <c r="D228" i="5"/>
  <c r="BS205" i="59"/>
  <c r="HE125" i="59"/>
  <c r="AM239" i="5"/>
  <c r="ES207" i="59"/>
  <c r="AW126" i="59"/>
  <c r="R239" i="5"/>
  <c r="DX207" i="59"/>
  <c r="AB126" i="59"/>
  <c r="M239" i="5"/>
  <c r="DS207" i="59"/>
  <c r="W126" i="59"/>
  <c r="H239" i="5"/>
  <c r="DN207" i="59"/>
  <c r="R126" i="59"/>
  <c r="AN239" i="5"/>
  <c r="ET207" i="59"/>
  <c r="AX126" i="59"/>
  <c r="AK305" i="5"/>
  <c r="EX220" i="59"/>
  <c r="DD127" i="59"/>
  <c r="AB305" i="5"/>
  <c r="EO220" i="59"/>
  <c r="CU127" i="59"/>
  <c r="W305" i="5"/>
  <c r="EJ220" i="59"/>
  <c r="CP127" i="59"/>
  <c r="R305" i="5"/>
  <c r="EE220" i="59"/>
  <c r="CK127" i="59"/>
  <c r="AL250" i="5"/>
  <c r="GI209" i="59"/>
  <c r="CV126" i="59"/>
  <c r="I250" i="5"/>
  <c r="FF209" i="59"/>
  <c r="BS126" i="59"/>
  <c r="AO250" i="5"/>
  <c r="GL209" i="59"/>
  <c r="CY126" i="59"/>
  <c r="AJ250" i="5"/>
  <c r="GG209" i="59"/>
  <c r="CT126" i="59"/>
  <c r="AE250" i="5"/>
  <c r="GB209" i="59"/>
  <c r="CO126" i="59"/>
  <c r="M217" i="5"/>
  <c r="AK203" i="59"/>
  <c r="FN125" i="59"/>
  <c r="T217" i="5"/>
  <c r="AR203" i="59"/>
  <c r="FU125" i="59"/>
  <c r="O217" i="5"/>
  <c r="AM203" i="59"/>
  <c r="FP125" i="59"/>
  <c r="J217" i="5"/>
  <c r="AH203" i="59"/>
  <c r="FK125" i="59"/>
  <c r="S327" i="5"/>
  <c r="HN224" i="59"/>
  <c r="GL127" i="59"/>
  <c r="AM327" i="5"/>
  <c r="IH224" i="59"/>
  <c r="HF127" i="59"/>
  <c r="AH327" i="5"/>
  <c r="IC224" i="59"/>
  <c r="HA127" i="59"/>
  <c r="AC327" i="5"/>
  <c r="HX224" i="59"/>
  <c r="GV127" i="59"/>
  <c r="X327" i="5"/>
  <c r="HS224" i="59"/>
  <c r="GQ127" i="59"/>
  <c r="E349" i="5"/>
  <c r="AQ229" i="59"/>
  <c r="AG128" i="59"/>
  <c r="L349" i="5"/>
  <c r="AX229" i="59"/>
  <c r="AN128" i="59"/>
  <c r="G349" i="5"/>
  <c r="AS229" i="59"/>
  <c r="AI128" i="59"/>
  <c r="AM349" i="5"/>
  <c r="BY229" i="59"/>
  <c r="BO128" i="59"/>
  <c r="AH349" i="5"/>
  <c r="BT229" i="59"/>
  <c r="BJ128" i="59"/>
  <c r="F294" i="5"/>
  <c r="CB218" i="59"/>
  <c r="Y127" i="59"/>
  <c r="Y294" i="5"/>
  <c r="CU218" i="59"/>
  <c r="AR127" i="59"/>
  <c r="T294" i="5"/>
  <c r="CP218" i="59"/>
  <c r="AM127" i="59"/>
  <c r="O294" i="5"/>
  <c r="CK218" i="59"/>
  <c r="AH127" i="59"/>
  <c r="AD338" i="5"/>
  <c r="Y227" i="59"/>
  <c r="F128" i="59"/>
  <c r="E338" i="5"/>
  <c r="IQ226" i="59"/>
  <c r="HX127" i="59"/>
  <c r="AK338" i="5"/>
  <c r="AF227" i="59"/>
  <c r="M128" i="59"/>
  <c r="AF338" i="5"/>
  <c r="AA227" i="59"/>
  <c r="H128" i="59"/>
  <c r="AA338" i="5"/>
  <c r="V227" i="59"/>
  <c r="IT127" i="59"/>
  <c r="H228" i="5"/>
  <c r="BW205" i="59"/>
  <c r="HI125" i="59"/>
  <c r="S228" i="5"/>
  <c r="CH205" i="59"/>
  <c r="HT125" i="59"/>
  <c r="N228" i="5"/>
  <c r="CC205" i="59"/>
  <c r="HO125" i="59"/>
  <c r="I228" i="5"/>
  <c r="BX205" i="59"/>
  <c r="HJ125" i="59"/>
  <c r="AO228" i="5"/>
  <c r="DD205" i="59"/>
  <c r="IP125" i="59"/>
  <c r="E261" i="5"/>
  <c r="GS211" i="59"/>
  <c r="DO126" i="59"/>
  <c r="AB261" i="5"/>
  <c r="HP211" i="59"/>
  <c r="EL126" i="59"/>
  <c r="W261" i="5"/>
  <c r="HK211" i="59"/>
  <c r="EG126" i="59"/>
  <c r="R261" i="5"/>
  <c r="HF211" i="59"/>
  <c r="EB126" i="59"/>
  <c r="K195" i="5"/>
  <c r="GR198" i="59"/>
  <c r="BL125" i="59"/>
  <c r="J195" i="5"/>
  <c r="GQ198" i="59"/>
  <c r="BK125" i="59"/>
  <c r="E195" i="5"/>
  <c r="GL198" i="59"/>
  <c r="BF125" i="59"/>
  <c r="AK195" i="5"/>
  <c r="HR198" i="59"/>
  <c r="CL125" i="59"/>
  <c r="AF195" i="5"/>
  <c r="HM198" i="59"/>
  <c r="CG125" i="59"/>
  <c r="AB184" i="5"/>
  <c r="FR196" i="59"/>
  <c r="AC125" i="59"/>
  <c r="W184" i="5"/>
  <c r="FM196" i="59"/>
  <c r="X125" i="59"/>
  <c r="R184" i="5"/>
  <c r="FH196" i="59"/>
  <c r="S125" i="59"/>
  <c r="M184" i="5"/>
  <c r="FC196" i="59"/>
  <c r="N125" i="59"/>
  <c r="I173" i="5"/>
  <c r="DH194" i="59"/>
  <c r="HA124" i="59"/>
  <c r="M173" i="5"/>
  <c r="DL194" i="59"/>
  <c r="HE124" i="59"/>
  <c r="AF173" i="5"/>
  <c r="EE194" i="59"/>
  <c r="HX124" i="59"/>
  <c r="AA173" i="5"/>
  <c r="DZ194" i="59"/>
  <c r="HS124" i="59"/>
  <c r="V173" i="5"/>
  <c r="DU194" i="59"/>
  <c r="HN124" i="59"/>
  <c r="Z162" i="5"/>
  <c r="CH192" i="59"/>
  <c r="FR124" i="59"/>
  <c r="M162" i="5"/>
  <c r="BU192" i="59"/>
  <c r="FE124" i="59"/>
  <c r="H162" i="5"/>
  <c r="BP192" i="59"/>
  <c r="EZ124" i="59"/>
  <c r="AN162" i="5"/>
  <c r="CV192" i="59"/>
  <c r="GF124" i="59"/>
  <c r="AI162" i="5"/>
  <c r="CQ192" i="59"/>
  <c r="GA124" i="59"/>
  <c r="G151" i="5"/>
  <c r="X190" i="59"/>
  <c r="CY124" i="59"/>
  <c r="Z151" i="5"/>
  <c r="AQ190" i="59"/>
  <c r="DR124" i="59"/>
  <c r="U151" i="5"/>
  <c r="AL190" i="59"/>
  <c r="DM124" i="59"/>
  <c r="P151" i="5"/>
  <c r="AG190" i="59"/>
  <c r="DH124" i="59"/>
  <c r="X316" i="5"/>
  <c r="GB222" i="59"/>
  <c r="EQ127" i="59"/>
  <c r="G316" i="5"/>
  <c r="FK222" i="59"/>
  <c r="DZ127" i="59"/>
  <c r="AM316" i="5"/>
  <c r="GQ222" i="59"/>
  <c r="FF127" i="59"/>
  <c r="AH316" i="5"/>
  <c r="GL222" i="59"/>
  <c r="FA127" i="59"/>
  <c r="AC316" i="5"/>
  <c r="GG222" i="59"/>
  <c r="EV127" i="59"/>
  <c r="AJ140" i="5"/>
  <c r="J188" i="59"/>
  <c r="CB124" i="59"/>
  <c r="S140" i="5"/>
  <c r="IJ187" i="59"/>
  <c r="BK124" i="59"/>
  <c r="N140" i="5"/>
  <c r="IE187" i="59"/>
  <c r="BF124" i="59"/>
  <c r="I140" i="5"/>
  <c r="HZ187" i="59"/>
  <c r="BA124" i="59"/>
  <c r="K283" i="5"/>
  <c r="AP216" i="59"/>
  <c r="HU126" i="59"/>
  <c r="AD283" i="5"/>
  <c r="BI216" i="59"/>
  <c r="IN126" i="59"/>
  <c r="Y283" i="5"/>
  <c r="BD216" i="59"/>
  <c r="II126" i="59"/>
  <c r="T283" i="5"/>
  <c r="AY216" i="59"/>
  <c r="ID126" i="59"/>
  <c r="R206" i="5"/>
  <c r="IP200" i="59"/>
  <c r="DS125" i="59"/>
  <c r="AD103" i="59"/>
  <c r="U206" i="5"/>
  <c r="IS200" i="59"/>
  <c r="AG103" i="59"/>
  <c r="DV125" i="59"/>
  <c r="P206" i="5"/>
  <c r="IN200" i="59"/>
  <c r="AB103" i="59"/>
  <c r="DQ125" i="59"/>
  <c r="K206" i="5"/>
  <c r="II200" i="59"/>
  <c r="W103" i="59"/>
  <c r="DL125" i="59"/>
  <c r="L272" i="5"/>
  <c r="IQ213" i="59"/>
  <c r="FV126" i="59"/>
  <c r="AF272" i="5"/>
  <c r="T214" i="59"/>
  <c r="GP126" i="59"/>
  <c r="AI272" i="5"/>
  <c r="W214" i="59"/>
  <c r="GS126" i="59"/>
  <c r="AD272" i="5"/>
  <c r="R214" i="59"/>
  <c r="GN126" i="59"/>
  <c r="Y272" i="5"/>
  <c r="M214" i="59"/>
  <c r="GI126" i="59"/>
  <c r="T380" i="5"/>
  <c r="CY235" i="59"/>
  <c r="U17" i="5"/>
  <c r="FU163" i="59"/>
  <c r="EU256" i="59"/>
  <c r="Y21" i="2"/>
  <c r="Z38" i="2"/>
  <c r="FD259" i="59"/>
  <c r="Z25" i="2"/>
  <c r="AA30" i="2"/>
  <c r="AA27" i="2"/>
  <c r="AA26" i="2"/>
  <c r="AB29" i="2"/>
  <c r="AB31" i="2"/>
  <c r="Z28" i="2"/>
  <c r="D349" i="5"/>
  <c r="AP229" i="59"/>
  <c r="D184" i="5"/>
  <c r="ET196" i="59"/>
  <c r="D250" i="5"/>
  <c r="FA209" i="59"/>
  <c r="D173" i="5"/>
  <c r="DC194" i="59"/>
  <c r="D162" i="5"/>
  <c r="BL192" i="59"/>
  <c r="D272" i="5"/>
  <c r="II213" i="59"/>
  <c r="D217" i="5"/>
  <c r="AB203" i="59"/>
  <c r="D239" i="5"/>
  <c r="DJ207" i="59"/>
  <c r="D118" i="5"/>
  <c r="EM183" i="59"/>
  <c r="D140" i="5"/>
  <c r="HU187" i="59"/>
  <c r="D261" i="5"/>
  <c r="GR211" i="59"/>
  <c r="D283" i="5"/>
  <c r="AI216" i="59"/>
  <c r="D206" i="5"/>
  <c r="IB200" i="59"/>
  <c r="U349" i="5"/>
  <c r="BG229" i="59"/>
  <c r="AG349" i="5"/>
  <c r="BS229" i="59"/>
  <c r="AB349" i="5"/>
  <c r="BN229" i="59"/>
  <c r="W349" i="5"/>
  <c r="BI229" i="59"/>
  <c r="R349" i="5"/>
  <c r="BD229" i="59"/>
  <c r="Z338" i="5"/>
  <c r="U227" i="59"/>
  <c r="AI338" i="5"/>
  <c r="AD227" i="59"/>
  <c r="V338" i="5"/>
  <c r="Q227" i="59"/>
  <c r="U338" i="5"/>
  <c r="P227" i="59"/>
  <c r="P338" i="5"/>
  <c r="K227" i="59"/>
  <c r="K338" i="5"/>
  <c r="F227" i="59"/>
  <c r="K327" i="5"/>
  <c r="HF224" i="59"/>
  <c r="R327" i="5"/>
  <c r="HM224" i="59"/>
  <c r="M327" i="5"/>
  <c r="H327" i="5"/>
  <c r="HC224" i="59"/>
  <c r="AN327" i="5"/>
  <c r="II224" i="59"/>
  <c r="O316" i="5"/>
  <c r="FS222" i="59"/>
  <c r="P316" i="5"/>
  <c r="FT222" i="59"/>
  <c r="W316" i="5"/>
  <c r="GA222" i="59"/>
  <c r="R316" i="5"/>
  <c r="FV222" i="59"/>
  <c r="M316" i="5"/>
  <c r="FQ222" i="59"/>
  <c r="Y305" i="5"/>
  <c r="EL220" i="59"/>
  <c r="L305" i="5"/>
  <c r="DY220" i="59"/>
  <c r="AM305" i="5"/>
  <c r="EZ220" i="59"/>
  <c r="AH305" i="5"/>
  <c r="EU220" i="59"/>
  <c r="N294" i="5"/>
  <c r="CJ218" i="59"/>
  <c r="I294" i="5"/>
  <c r="CE218" i="59"/>
  <c r="AO294" i="5"/>
  <c r="DK218" i="59"/>
  <c r="AJ294" i="5"/>
  <c r="DF218" i="59"/>
  <c r="AE294" i="5"/>
  <c r="DA218" i="59"/>
  <c r="V283" i="5"/>
  <c r="BA216" i="59"/>
  <c r="W283" i="5"/>
  <c r="BB216" i="59"/>
  <c r="J283" i="5"/>
  <c r="AO216" i="59"/>
  <c r="S283" i="5"/>
  <c r="AX216" i="59"/>
  <c r="N283" i="5"/>
  <c r="AS216" i="59"/>
  <c r="I283" i="5"/>
  <c r="AN216" i="59"/>
  <c r="AO283" i="5"/>
  <c r="BT216" i="59"/>
  <c r="AJ283" i="5"/>
  <c r="BO216" i="59"/>
  <c r="H272" i="5"/>
  <c r="IM213" i="59"/>
  <c r="AC272" i="5"/>
  <c r="Q214" i="59"/>
  <c r="E272" i="5"/>
  <c r="IJ213" i="59"/>
  <c r="AN272" i="5"/>
  <c r="AB214" i="59"/>
  <c r="S272" i="5"/>
  <c r="G214" i="59"/>
  <c r="N272" i="5"/>
  <c r="IS213" i="59"/>
  <c r="I272" i="5"/>
  <c r="IN213" i="59"/>
  <c r="AO272" i="5"/>
  <c r="AC214" i="59"/>
  <c r="AJ261" i="5"/>
  <c r="HX211" i="59"/>
  <c r="AC261" i="5"/>
  <c r="HQ211" i="59"/>
  <c r="L261" i="5"/>
  <c r="GZ211" i="59"/>
  <c r="G261" i="5"/>
  <c r="GU211" i="59"/>
  <c r="AM261" i="5"/>
  <c r="IA211" i="59"/>
  <c r="AH261" i="5"/>
  <c r="HV211" i="59"/>
  <c r="O250" i="5"/>
  <c r="FL209" i="59"/>
  <c r="AG239" i="5"/>
  <c r="EM207" i="59"/>
  <c r="AE239" i="5"/>
  <c r="EK207" i="59"/>
  <c r="AC239" i="5"/>
  <c r="EI207" i="59"/>
  <c r="AA228" i="5"/>
  <c r="CP205" i="59"/>
  <c r="V228" i="5"/>
  <c r="CK205" i="59"/>
  <c r="Z228" i="5"/>
  <c r="CO205" i="59"/>
  <c r="U228" i="5"/>
  <c r="CJ205" i="59"/>
  <c r="P228" i="5"/>
  <c r="CE205" i="59"/>
  <c r="AJ228" i="5"/>
  <c r="CY205" i="59"/>
  <c r="AI228" i="5"/>
  <c r="CX205" i="59"/>
  <c r="AD228" i="5"/>
  <c r="CS205" i="59"/>
  <c r="Y228" i="5"/>
  <c r="CN205" i="59"/>
  <c r="I217" i="5"/>
  <c r="AG203" i="59"/>
  <c r="U217" i="5"/>
  <c r="AS203" i="59"/>
  <c r="AO217" i="5"/>
  <c r="BM203" i="59"/>
  <c r="AJ217" i="5"/>
  <c r="BH203" i="59"/>
  <c r="AE217" i="5"/>
  <c r="BC203" i="59"/>
  <c r="Z217" i="5"/>
  <c r="AX203" i="59"/>
  <c r="N206" i="5"/>
  <c r="IL200" i="59"/>
  <c r="AC206" i="5"/>
  <c r="J201" i="59"/>
  <c r="Z206" i="5"/>
  <c r="G201" i="59"/>
  <c r="E206" i="5"/>
  <c r="IC200" i="59"/>
  <c r="AK206" i="5"/>
  <c r="R201" i="59"/>
  <c r="AF206" i="5"/>
  <c r="M201" i="59"/>
  <c r="AA206" i="5"/>
  <c r="H201" i="59"/>
  <c r="AM195" i="5"/>
  <c r="HT198" i="59"/>
  <c r="Z195" i="5"/>
  <c r="HG198" i="59"/>
  <c r="U195" i="5"/>
  <c r="HB198" i="59"/>
  <c r="P195" i="5"/>
  <c r="GW198" i="59"/>
  <c r="U184" i="5"/>
  <c r="FK196" i="59"/>
  <c r="AD184" i="5"/>
  <c r="FT196" i="59"/>
  <c r="Y184" i="5"/>
  <c r="FO196" i="59"/>
  <c r="AJ184" i="5"/>
  <c r="FZ196" i="59"/>
  <c r="G184" i="5"/>
  <c r="EW196" i="59"/>
  <c r="AM184" i="5"/>
  <c r="GC196" i="59"/>
  <c r="AH184" i="5"/>
  <c r="FX196" i="59"/>
  <c r="AC184" i="5"/>
  <c r="FS196" i="59"/>
  <c r="H173" i="5"/>
  <c r="DG194" i="59"/>
  <c r="AM173" i="5"/>
  <c r="EL194" i="59"/>
  <c r="U173" i="5"/>
  <c r="DT194" i="59"/>
  <c r="P173" i="5"/>
  <c r="DO194" i="59"/>
  <c r="K173" i="5"/>
  <c r="DJ194" i="59"/>
  <c r="F173" i="5"/>
  <c r="DE194" i="59"/>
  <c r="AL173" i="5"/>
  <c r="EK194" i="59"/>
  <c r="R162" i="5"/>
  <c r="BZ192" i="59"/>
  <c r="AC162" i="5"/>
  <c r="CK192" i="59"/>
  <c r="X162" i="5"/>
  <c r="CF192" i="59"/>
  <c r="S162" i="5"/>
  <c r="CA192" i="59"/>
  <c r="O151" i="5"/>
  <c r="AF190" i="59"/>
  <c r="J151" i="5"/>
  <c r="AA190" i="59"/>
  <c r="E151" i="5"/>
  <c r="V190" i="59"/>
  <c r="AK151" i="5"/>
  <c r="BB190" i="59"/>
  <c r="AF151" i="5"/>
  <c r="AW190" i="59"/>
  <c r="AO140" i="5"/>
  <c r="O188" i="59"/>
  <c r="H140" i="5"/>
  <c r="HY187" i="59"/>
  <c r="AB140" i="5"/>
  <c r="IS187" i="59"/>
  <c r="AI140" i="5"/>
  <c r="I188" i="59"/>
  <c r="AD140" i="5"/>
  <c r="IU187" i="59"/>
  <c r="Y140" i="5"/>
  <c r="IP187" i="59"/>
  <c r="AC118" i="5"/>
  <c r="FL183" i="59"/>
  <c r="AG118" i="5"/>
  <c r="FP183" i="59"/>
  <c r="W118" i="5"/>
  <c r="FF183" i="59"/>
  <c r="AH118" i="5"/>
  <c r="FQ183" i="59"/>
  <c r="E118" i="5"/>
  <c r="EN183" i="59"/>
  <c r="AK118" i="5"/>
  <c r="FT183" i="59"/>
  <c r="AF118" i="5"/>
  <c r="FO183" i="59"/>
  <c r="AA118" i="5"/>
  <c r="FJ183" i="59"/>
  <c r="N118" i="5"/>
  <c r="EW183" i="59"/>
  <c r="I118" i="5"/>
  <c r="ER183" i="59"/>
  <c r="AO118" i="5"/>
  <c r="FX183" i="59"/>
  <c r="AJ118" i="5"/>
  <c r="FS183" i="59"/>
  <c r="AE118" i="5"/>
  <c r="FN183" i="59"/>
  <c r="V118" i="5"/>
  <c r="FE183" i="59"/>
  <c r="S118" i="5"/>
  <c r="FB183" i="59"/>
  <c r="AB118" i="5"/>
  <c r="FK183" i="59"/>
  <c r="AD118" i="5"/>
  <c r="FM183" i="59"/>
  <c r="M118" i="5"/>
  <c r="EV183" i="59"/>
  <c r="AN118" i="5"/>
  <c r="FW183" i="59"/>
  <c r="AI118" i="5"/>
  <c r="FR183" i="59"/>
  <c r="J118" i="5"/>
  <c r="ES183" i="59"/>
  <c r="Q118" i="5"/>
  <c r="EZ183" i="59"/>
  <c r="L118" i="5"/>
  <c r="EU183" i="59"/>
  <c r="G118" i="5"/>
  <c r="EP183" i="59"/>
  <c r="AM118" i="5"/>
  <c r="FV183" i="59"/>
  <c r="X118" i="5"/>
  <c r="FG183" i="59"/>
  <c r="R118" i="5"/>
  <c r="FA183" i="59"/>
  <c r="H118" i="5"/>
  <c r="EQ183" i="59"/>
  <c r="Z118" i="5"/>
  <c r="FI183" i="59"/>
  <c r="U118" i="5"/>
  <c r="FD183" i="59"/>
  <c r="P118" i="5"/>
  <c r="EY183" i="59"/>
  <c r="K118" i="5"/>
  <c r="ET183" i="59"/>
  <c r="AL118" i="5"/>
  <c r="FU183" i="59"/>
  <c r="F118" i="5"/>
  <c r="EO183" i="59"/>
  <c r="Y118" i="5"/>
  <c r="FH183" i="59"/>
  <c r="T118" i="5"/>
  <c r="FC183" i="59"/>
  <c r="O118" i="5"/>
  <c r="EX183" i="59"/>
  <c r="AI202" i="40"/>
  <c r="HJ145" i="59"/>
  <c r="AX93" i="40"/>
  <c r="DX123" i="59"/>
  <c r="AT93" i="40"/>
  <c r="DT123" i="59"/>
  <c r="AP93" i="40"/>
  <c r="DP123" i="59"/>
  <c r="AL93" i="40"/>
  <c r="DL123" i="59"/>
  <c r="AH93" i="40"/>
  <c r="DH123" i="59"/>
  <c r="AD93" i="40"/>
  <c r="DD123" i="59"/>
  <c r="Z93" i="40"/>
  <c r="CZ123" i="59"/>
  <c r="V93" i="40"/>
  <c r="CV123" i="59"/>
  <c r="R93" i="40"/>
  <c r="CR123" i="59"/>
  <c r="N93" i="40"/>
  <c r="CN123" i="59"/>
  <c r="AU93" i="40"/>
  <c r="DU123" i="59"/>
  <c r="AQ93" i="40"/>
  <c r="DQ123" i="59"/>
  <c r="AM93" i="40"/>
  <c r="DM123" i="59"/>
  <c r="AI93" i="40"/>
  <c r="DI123" i="59"/>
  <c r="AE93" i="40"/>
  <c r="DE123" i="59"/>
  <c r="AA93" i="40"/>
  <c r="DA123" i="59"/>
  <c r="W93" i="40"/>
  <c r="CW123" i="59"/>
  <c r="S93" i="40"/>
  <c r="CS123" i="59"/>
  <c r="O93" i="40"/>
  <c r="CO123" i="59"/>
  <c r="AV93" i="40"/>
  <c r="DV123" i="59"/>
  <c r="AR93" i="40"/>
  <c r="DR123" i="59"/>
  <c r="AN93" i="40"/>
  <c r="DN123" i="59"/>
  <c r="AJ93" i="40"/>
  <c r="DJ123" i="59"/>
  <c r="AF93" i="40"/>
  <c r="DF123" i="59"/>
  <c r="AB93" i="40"/>
  <c r="DB123" i="59"/>
  <c r="X93" i="40"/>
  <c r="CX123" i="59"/>
  <c r="T93" i="40"/>
  <c r="CT123" i="59"/>
  <c r="P93" i="40"/>
  <c r="CP123" i="59"/>
  <c r="AO93" i="40"/>
  <c r="DO123" i="59"/>
  <c r="Y93" i="40"/>
  <c r="CY123" i="59"/>
  <c r="AS93" i="40"/>
  <c r="DS123" i="59"/>
  <c r="AC93" i="40"/>
  <c r="DC123" i="59"/>
  <c r="AW93" i="40"/>
  <c r="DW123" i="59"/>
  <c r="AG93" i="40"/>
  <c r="DG123" i="59"/>
  <c r="Q93" i="40"/>
  <c r="CQ123" i="59"/>
  <c r="AK93" i="40"/>
  <c r="DK123" i="59"/>
  <c r="U93" i="40"/>
  <c r="CU123" i="59"/>
  <c r="U200" i="40"/>
  <c r="CX145" i="59"/>
  <c r="AI199" i="40"/>
  <c r="BM145" i="59"/>
  <c r="AF196" i="40"/>
  <c r="FD144" i="59"/>
  <c r="AI195" i="40"/>
  <c r="DH144" i="59"/>
  <c r="AH198" i="40"/>
  <c r="M145" i="59"/>
  <c r="M93" i="40"/>
  <c r="CM123" i="59"/>
  <c r="AY102" i="40"/>
  <c r="CQ125" i="59"/>
  <c r="AY112" i="40"/>
  <c r="DI127" i="59"/>
  <c r="AY114" i="40"/>
  <c r="HI127" i="59"/>
  <c r="AY111" i="40"/>
  <c r="BI127" i="59"/>
  <c r="AY113" i="40"/>
  <c r="FI127" i="59"/>
  <c r="AY115" i="40"/>
  <c r="R128" i="59"/>
  <c r="AY98" i="40"/>
  <c r="EH124" i="59"/>
  <c r="AY105" i="40"/>
  <c r="IQ125" i="59"/>
  <c r="AE23" i="2"/>
  <c r="AF33" i="2"/>
  <c r="HA258" i="59"/>
  <c r="AE33" i="2"/>
  <c r="GZ258" i="59"/>
  <c r="AB24" i="2"/>
  <c r="AP257" i="59"/>
  <c r="AB34" i="2"/>
  <c r="IQ258" i="59"/>
  <c r="AE32" i="2"/>
  <c r="FF258" i="59"/>
  <c r="AE22" i="2"/>
  <c r="AF22" i="2"/>
  <c r="GW256" i="59"/>
  <c r="U16" i="5"/>
  <c r="DX163" i="59"/>
  <c r="AB40" i="2"/>
  <c r="ID259" i="59"/>
  <c r="BN258" i="59"/>
  <c r="AB36" i="2"/>
  <c r="CH259" i="59"/>
  <c r="EC257" i="59"/>
  <c r="Y19" i="2"/>
  <c r="BH256" i="59"/>
  <c r="AB37" i="2"/>
  <c r="DT259" i="59"/>
  <c r="FW257" i="59"/>
  <c r="AA38" i="2"/>
  <c r="FE259" i="59"/>
  <c r="HP257" i="59"/>
  <c r="AC41" i="2"/>
  <c r="Z260" i="59"/>
  <c r="DI258" i="59"/>
  <c r="Z20" i="2"/>
  <c r="DC256" i="59"/>
  <c r="AC39" i="2"/>
  <c r="GS259" i="59"/>
  <c r="U258" i="59"/>
  <c r="AA35" i="2"/>
  <c r="AS259" i="59"/>
  <c r="CH257" i="59"/>
  <c r="AI160" i="59"/>
  <c r="BU229" i="59"/>
  <c r="M160" i="59"/>
  <c r="HH224" i="59"/>
  <c r="X160" i="59"/>
  <c r="S227" i="59"/>
  <c r="V17" i="5"/>
  <c r="FV163" i="59"/>
  <c r="EV256" i="59"/>
  <c r="AA25" i="2"/>
  <c r="Z21" i="2"/>
  <c r="AC29" i="2"/>
  <c r="AB26" i="2"/>
  <c r="AB27" i="2"/>
  <c r="U380" i="5"/>
  <c r="CZ235" i="59"/>
  <c r="AA28" i="2"/>
  <c r="HQ257" i="59"/>
  <c r="AC31" i="2"/>
  <c r="AB30" i="2"/>
  <c r="D96" i="5"/>
  <c r="BE179" i="59"/>
  <c r="W96" i="5"/>
  <c r="BX179" i="59"/>
  <c r="AJ96" i="5"/>
  <c r="CK179" i="59"/>
  <c r="AA96" i="5"/>
  <c r="CB179" i="59"/>
  <c r="V96" i="5"/>
  <c r="BW179" i="59"/>
  <c r="Q96" i="5"/>
  <c r="BR179" i="59"/>
  <c r="P96" i="5"/>
  <c r="BQ179" i="59"/>
  <c r="AE96" i="5"/>
  <c r="CF179" i="59"/>
  <c r="Z96" i="5"/>
  <c r="CA179" i="59"/>
  <c r="U96" i="5"/>
  <c r="BV179" i="59"/>
  <c r="AD96" i="5"/>
  <c r="CE179" i="59"/>
  <c r="AB96" i="5"/>
  <c r="CC179" i="59"/>
  <c r="AC96" i="5"/>
  <c r="CD179" i="59"/>
  <c r="M96" i="5"/>
  <c r="BN179" i="59"/>
  <c r="L96" i="5"/>
  <c r="BM179" i="59"/>
  <c r="Y96" i="5"/>
  <c r="BZ179" i="59"/>
  <c r="AM96" i="5"/>
  <c r="CN179" i="59"/>
  <c r="H96" i="5"/>
  <c r="BI179" i="59"/>
  <c r="F96" i="5"/>
  <c r="BG179" i="59"/>
  <c r="AG96" i="5"/>
  <c r="X96" i="5"/>
  <c r="BY179" i="59"/>
  <c r="O96" i="5"/>
  <c r="BP179" i="59"/>
  <c r="J96" i="5"/>
  <c r="BK179" i="59"/>
  <c r="E96" i="5"/>
  <c r="BF179" i="59"/>
  <c r="AK96" i="5"/>
  <c r="CL179" i="59"/>
  <c r="T96" i="5"/>
  <c r="BU179" i="59"/>
  <c r="R96" i="5"/>
  <c r="BS179" i="59"/>
  <c r="AF96" i="5"/>
  <c r="CG179" i="59"/>
  <c r="AI96" i="5"/>
  <c r="CJ179" i="59"/>
  <c r="G96" i="5"/>
  <c r="BH179" i="59"/>
  <c r="AH96" i="5"/>
  <c r="CI179" i="59"/>
  <c r="K96" i="5"/>
  <c r="BL179" i="59"/>
  <c r="AL96" i="5"/>
  <c r="CM179" i="59"/>
  <c r="AN96" i="5"/>
  <c r="CO179" i="59"/>
  <c r="S96" i="5"/>
  <c r="BT179" i="59"/>
  <c r="N96" i="5"/>
  <c r="BO179" i="59"/>
  <c r="I96" i="5"/>
  <c r="BJ179" i="59"/>
  <c r="AO96" i="5"/>
  <c r="CP179" i="59"/>
  <c r="AQ338" i="5"/>
  <c r="AL227" i="59"/>
  <c r="AQ316" i="5"/>
  <c r="GU222" i="59"/>
  <c r="AQ327" i="5"/>
  <c r="IL224" i="59"/>
  <c r="AQ195" i="5"/>
  <c r="HX198" i="59"/>
  <c r="AQ294" i="5"/>
  <c r="DM218" i="59"/>
  <c r="AQ151" i="5"/>
  <c r="BH190" i="59"/>
  <c r="AQ305" i="5"/>
  <c r="FD220" i="59"/>
  <c r="AQ228" i="5"/>
  <c r="DF205" i="59"/>
  <c r="AJ202" i="40"/>
  <c r="HK145" i="59"/>
  <c r="AR338" i="5"/>
  <c r="AM227" i="59"/>
  <c r="AR228" i="5"/>
  <c r="DG205" i="59"/>
  <c r="AR151" i="5"/>
  <c r="BI190" i="59"/>
  <c r="AR327" i="5"/>
  <c r="IM224" i="59"/>
  <c r="AR305" i="5"/>
  <c r="FE220" i="59"/>
  <c r="AR316" i="5"/>
  <c r="GV222" i="59"/>
  <c r="AR195" i="5"/>
  <c r="HY198" i="59"/>
  <c r="AR294" i="5"/>
  <c r="DN218" i="59"/>
  <c r="AI198" i="40"/>
  <c r="N145" i="59"/>
  <c r="AG196" i="40"/>
  <c r="FE144" i="59"/>
  <c r="V200" i="40"/>
  <c r="CY145" i="59"/>
  <c r="AJ195" i="40"/>
  <c r="DI144" i="59"/>
  <c r="AJ199" i="40"/>
  <c r="BN145" i="59"/>
  <c r="AQ184" i="5"/>
  <c r="GG196" i="59"/>
  <c r="N39" i="41"/>
  <c r="GI306" i="59"/>
  <c r="AQ272" i="5"/>
  <c r="AE214" i="59"/>
  <c r="AQ239" i="5"/>
  <c r="EW207" i="59"/>
  <c r="AQ283" i="5"/>
  <c r="BV216" i="59"/>
  <c r="AQ140" i="5"/>
  <c r="Q188" i="59"/>
  <c r="AQ349" i="5"/>
  <c r="CC229" i="59"/>
  <c r="AQ261" i="5"/>
  <c r="IE211" i="59"/>
  <c r="N41" i="41"/>
  <c r="HO306" i="59"/>
  <c r="P41" i="41"/>
  <c r="HQ306" i="59"/>
  <c r="AF23" i="2"/>
  <c r="IQ256" i="59"/>
  <c r="IP256" i="59"/>
  <c r="AC24" i="2"/>
  <c r="AQ257" i="59"/>
  <c r="AC34" i="2"/>
  <c r="IR258" i="59"/>
  <c r="AG22" i="2"/>
  <c r="GX256" i="59"/>
  <c r="AG32" i="2"/>
  <c r="FH258" i="59"/>
  <c r="GV256" i="59"/>
  <c r="AF32" i="2"/>
  <c r="FG258" i="59"/>
  <c r="V380" i="5"/>
  <c r="DA235" i="59"/>
  <c r="AC40" i="2"/>
  <c r="IE259" i="59"/>
  <c r="BO258" i="59"/>
  <c r="AA20" i="2"/>
  <c r="AA19" i="2"/>
  <c r="BJ256" i="59"/>
  <c r="AD41" i="2"/>
  <c r="AA260" i="59"/>
  <c r="DJ258" i="59"/>
  <c r="AB35" i="2"/>
  <c r="AT259" i="59"/>
  <c r="CI257" i="59"/>
  <c r="AB25" i="2"/>
  <c r="AC25" i="2"/>
  <c r="AC37" i="2"/>
  <c r="DU259" i="59"/>
  <c r="FX257" i="59"/>
  <c r="Z19" i="2"/>
  <c r="BI256" i="59"/>
  <c r="AD39" i="2"/>
  <c r="GT259" i="59"/>
  <c r="V258" i="59"/>
  <c r="AC36" i="2"/>
  <c r="CI259" i="59"/>
  <c r="ED257" i="59"/>
  <c r="V16" i="5"/>
  <c r="DY163" i="59"/>
  <c r="CH179" i="59"/>
  <c r="AG159" i="59"/>
  <c r="W17" i="5"/>
  <c r="FW163" i="59"/>
  <c r="EW256" i="59"/>
  <c r="AA21" i="2"/>
  <c r="AB38" i="2"/>
  <c r="AD31" i="2"/>
  <c r="AC30" i="2"/>
  <c r="AD29" i="2"/>
  <c r="AC27" i="2"/>
  <c r="AB28" i="2"/>
  <c r="HR257" i="59"/>
  <c r="AC26" i="2"/>
  <c r="D40" i="41"/>
  <c r="GO306" i="59"/>
  <c r="AT338" i="5"/>
  <c r="AO227" i="59"/>
  <c r="D42" i="41"/>
  <c r="HU306" i="59"/>
  <c r="AT195" i="5"/>
  <c r="IA198" i="59"/>
  <c r="D29" i="41"/>
  <c r="U306" i="59"/>
  <c r="D41" i="41"/>
  <c r="HE306" i="59"/>
  <c r="D38" i="41"/>
  <c r="FI306" i="59"/>
  <c r="AT294" i="5"/>
  <c r="DP218" i="59"/>
  <c r="D39" i="41"/>
  <c r="FY306" i="59"/>
  <c r="D32" i="41"/>
  <c r="BQ306" i="59"/>
  <c r="AT151" i="5"/>
  <c r="BK190" i="59"/>
  <c r="D25" i="41"/>
  <c r="GZ305" i="59"/>
  <c r="AT327" i="5"/>
  <c r="IO224" i="59"/>
  <c r="E41" i="41"/>
  <c r="HF306" i="59"/>
  <c r="E39" i="41"/>
  <c r="FZ306" i="59"/>
  <c r="AT305" i="5"/>
  <c r="FG220" i="59"/>
  <c r="AR272" i="5"/>
  <c r="D35" i="41"/>
  <c r="DM306" i="59"/>
  <c r="AR283" i="5"/>
  <c r="E25" i="41"/>
  <c r="HA305" i="59"/>
  <c r="E38" i="41"/>
  <c r="FJ306" i="59"/>
  <c r="P39" i="41"/>
  <c r="GK306" i="59"/>
  <c r="AR140" i="5"/>
  <c r="AR261" i="5"/>
  <c r="E42" i="41"/>
  <c r="HV306" i="59"/>
  <c r="E40" i="41"/>
  <c r="GP306" i="59"/>
  <c r="E32" i="41"/>
  <c r="BR306" i="59"/>
  <c r="AT316" i="5"/>
  <c r="GX222" i="59"/>
  <c r="D37" i="41"/>
  <c r="ES306" i="59"/>
  <c r="AT228" i="5"/>
  <c r="DI205" i="59"/>
  <c r="AR239" i="5"/>
  <c r="AR349" i="5"/>
  <c r="CD229" i="59"/>
  <c r="AR184" i="5"/>
  <c r="E29" i="41"/>
  <c r="V306" i="59"/>
  <c r="AK202" i="40"/>
  <c r="HL145" i="59"/>
  <c r="AK199" i="40"/>
  <c r="BO145" i="59"/>
  <c r="W200" i="40"/>
  <c r="CZ145" i="59"/>
  <c r="AJ198" i="40"/>
  <c r="O145" i="59"/>
  <c r="AK195" i="40"/>
  <c r="DJ144" i="59"/>
  <c r="AH196" i="40"/>
  <c r="FF144" i="59"/>
  <c r="AR118" i="5"/>
  <c r="GA183" i="59"/>
  <c r="AQ118" i="5"/>
  <c r="FZ183" i="59"/>
  <c r="AY116" i="40"/>
  <c r="BR128" i="59"/>
  <c r="AY110" i="40"/>
  <c r="I127" i="59"/>
  <c r="AY101" i="40"/>
  <c r="AQ125" i="59"/>
  <c r="AY95" i="40"/>
  <c r="HY123" i="59"/>
  <c r="AY106" i="40"/>
  <c r="AZ126" i="59"/>
  <c r="AY99" i="40"/>
  <c r="GH124" i="59"/>
  <c r="AY107" i="40"/>
  <c r="CZ126" i="59"/>
  <c r="AY103" i="40"/>
  <c r="AY100" i="40"/>
  <c r="IH124" i="59"/>
  <c r="AY104" i="40"/>
  <c r="GQ125" i="59"/>
  <c r="AY109" i="40"/>
  <c r="GZ126" i="59"/>
  <c r="AY108" i="40"/>
  <c r="EZ126" i="59"/>
  <c r="AY97" i="40"/>
  <c r="CH124" i="59"/>
  <c r="D43" i="41"/>
  <c r="IK306" i="59"/>
  <c r="P31" i="41"/>
  <c r="BM306" i="59"/>
  <c r="N31" i="41"/>
  <c r="BK306" i="59"/>
  <c r="N37" i="41"/>
  <c r="FC306" i="59"/>
  <c r="P37" i="41"/>
  <c r="FE306" i="59"/>
  <c r="N42" i="41"/>
  <c r="IE306" i="59"/>
  <c r="P42" i="41"/>
  <c r="IG306" i="59"/>
  <c r="N32" i="41"/>
  <c r="CA306" i="59"/>
  <c r="P32" i="41"/>
  <c r="CC306" i="59"/>
  <c r="N25" i="41"/>
  <c r="HJ305" i="59"/>
  <c r="P25" i="41"/>
  <c r="HL305" i="59"/>
  <c r="D33" i="41"/>
  <c r="CG306" i="59"/>
  <c r="N35" i="41"/>
  <c r="DW306" i="59"/>
  <c r="P35" i="41"/>
  <c r="DY306" i="59"/>
  <c r="P29" i="41"/>
  <c r="AG306" i="59"/>
  <c r="N29" i="41"/>
  <c r="AE306" i="59"/>
  <c r="P27" i="41"/>
  <c r="IR305" i="59"/>
  <c r="N27" i="41"/>
  <c r="IP305" i="59"/>
  <c r="P30" i="41"/>
  <c r="AW306" i="59"/>
  <c r="N30" i="41"/>
  <c r="AU306" i="59"/>
  <c r="N38" i="41"/>
  <c r="FS306" i="59"/>
  <c r="P38" i="41"/>
  <c r="FU306" i="59"/>
  <c r="D28" i="41"/>
  <c r="IV305" i="59"/>
  <c r="N40" i="41"/>
  <c r="GY306" i="59"/>
  <c r="P40" i="41"/>
  <c r="HA306" i="59"/>
  <c r="D24" i="41"/>
  <c r="GJ305" i="59"/>
  <c r="D36" i="41"/>
  <c r="EC306" i="59"/>
  <c r="N34" i="41"/>
  <c r="DG306" i="59"/>
  <c r="P34" i="41"/>
  <c r="DI306" i="59"/>
  <c r="N26" i="41"/>
  <c r="HZ305" i="59"/>
  <c r="P26" i="41"/>
  <c r="IB305" i="59"/>
  <c r="AG33" i="2"/>
  <c r="HB258" i="59"/>
  <c r="AG23" i="2"/>
  <c r="IR256" i="59"/>
  <c r="AD34" i="2"/>
  <c r="IS258" i="59"/>
  <c r="AD24" i="2"/>
  <c r="AR257" i="59"/>
  <c r="W16" i="5"/>
  <c r="DZ163" i="59"/>
  <c r="AH32" i="2"/>
  <c r="FI258" i="59"/>
  <c r="AH22" i="2"/>
  <c r="GY256" i="59"/>
  <c r="DD256" i="59"/>
  <c r="AC35" i="2"/>
  <c r="AU259" i="59"/>
  <c r="CJ257" i="59"/>
  <c r="AD36" i="2"/>
  <c r="CJ259" i="59"/>
  <c r="EE257" i="59"/>
  <c r="AD37" i="2"/>
  <c r="DV259" i="59"/>
  <c r="FY257" i="59"/>
  <c r="AB20" i="2"/>
  <c r="DE256" i="59"/>
  <c r="FF259" i="59"/>
  <c r="AE39" i="2"/>
  <c r="GU259" i="59"/>
  <c r="W258" i="59"/>
  <c r="AD35" i="2"/>
  <c r="AV259" i="59"/>
  <c r="CK257" i="59"/>
  <c r="AD40" i="2"/>
  <c r="IF259" i="59"/>
  <c r="BP258" i="59"/>
  <c r="AE41" i="2"/>
  <c r="AB260" i="59"/>
  <c r="DK258" i="59"/>
  <c r="AT272" i="5"/>
  <c r="AH214" i="59"/>
  <c r="AF214" i="59"/>
  <c r="AT140" i="5"/>
  <c r="T188" i="59"/>
  <c r="R188" i="59"/>
  <c r="AT261" i="5"/>
  <c r="IH211" i="59"/>
  <c r="IF211" i="59"/>
  <c r="AT283" i="5"/>
  <c r="BY216" i="59"/>
  <c r="BW216" i="59"/>
  <c r="AT184" i="5"/>
  <c r="GJ196" i="59"/>
  <c r="GH196" i="59"/>
  <c r="AT239" i="5"/>
  <c r="EZ207" i="59"/>
  <c r="EX207" i="59"/>
  <c r="BB103" i="59"/>
  <c r="EQ125" i="59"/>
  <c r="W380" i="5"/>
  <c r="DB235" i="59"/>
  <c r="X16" i="5"/>
  <c r="EA163" i="59"/>
  <c r="X17" i="5"/>
  <c r="FX163" i="59"/>
  <c r="EX256" i="59"/>
  <c r="AB21" i="2"/>
  <c r="AC38" i="2"/>
  <c r="AD25" i="2"/>
  <c r="AC28" i="2"/>
  <c r="AD30" i="2"/>
  <c r="AD27" i="2"/>
  <c r="AE31" i="2"/>
  <c r="AD26" i="2"/>
  <c r="AE29" i="2"/>
  <c r="F41" i="41"/>
  <c r="HG306" i="59"/>
  <c r="AT349" i="5"/>
  <c r="CF229" i="59"/>
  <c r="F39" i="41"/>
  <c r="GA306" i="59"/>
  <c r="F25" i="41"/>
  <c r="HB305" i="59"/>
  <c r="F29" i="41"/>
  <c r="W306" i="59"/>
  <c r="F38" i="41"/>
  <c r="FK306" i="59"/>
  <c r="F40" i="41"/>
  <c r="GQ306" i="59"/>
  <c r="F42" i="41"/>
  <c r="HW306" i="59"/>
  <c r="E24" i="41"/>
  <c r="GK305" i="59"/>
  <c r="E35" i="41"/>
  <c r="DN306" i="59"/>
  <c r="AL202" i="40"/>
  <c r="HM145" i="59"/>
  <c r="F32" i="41"/>
  <c r="BS306" i="59"/>
  <c r="D22" i="41"/>
  <c r="FD305" i="59"/>
  <c r="E33" i="41"/>
  <c r="CH306" i="59"/>
  <c r="E37" i="41"/>
  <c r="ET306" i="59"/>
  <c r="E22" i="41"/>
  <c r="FE305" i="59"/>
  <c r="E43" i="41"/>
  <c r="IL306" i="59"/>
  <c r="E28" i="41"/>
  <c r="F306" i="59"/>
  <c r="E36" i="41"/>
  <c r="ED306" i="59"/>
  <c r="AQ96" i="5"/>
  <c r="CR179" i="59"/>
  <c r="AK198" i="40"/>
  <c r="P145" i="59"/>
  <c r="AI196" i="40"/>
  <c r="FG144" i="59"/>
  <c r="AL195" i="40"/>
  <c r="DK144" i="59"/>
  <c r="X200" i="40"/>
  <c r="DA145" i="59"/>
  <c r="AL199" i="40"/>
  <c r="BP145" i="59"/>
  <c r="AR96" i="5"/>
  <c r="CS179" i="59"/>
  <c r="AY93" i="40"/>
  <c r="DY123" i="59"/>
  <c r="P22" i="41"/>
  <c r="FP305" i="59"/>
  <c r="N22" i="41"/>
  <c r="FN305" i="59"/>
  <c r="AR217" i="5"/>
  <c r="BP203" i="59"/>
  <c r="AQ217" i="5"/>
  <c r="BO203" i="59"/>
  <c r="AR206" i="5"/>
  <c r="Y201" i="59"/>
  <c r="AQ206" i="5"/>
  <c r="X201" i="59"/>
  <c r="AR162" i="5"/>
  <c r="CZ192" i="59"/>
  <c r="AQ162" i="5"/>
  <c r="CY192" i="59"/>
  <c r="AR173" i="5"/>
  <c r="EQ194" i="59"/>
  <c r="AQ173" i="5"/>
  <c r="EP194" i="59"/>
  <c r="AR250" i="5"/>
  <c r="GO209" i="59"/>
  <c r="AQ250" i="5"/>
  <c r="GN209" i="59"/>
  <c r="AT118" i="5"/>
  <c r="GC183" i="59"/>
  <c r="N33" i="41"/>
  <c r="CQ306" i="59"/>
  <c r="P33" i="41"/>
  <c r="CS306" i="59"/>
  <c r="N43" i="41"/>
  <c r="IU306" i="59"/>
  <c r="P43" i="41"/>
  <c r="F307" i="59"/>
  <c r="P24" i="41"/>
  <c r="GV305" i="59"/>
  <c r="N24" i="41"/>
  <c r="GT305" i="59"/>
  <c r="N28" i="41"/>
  <c r="O306" i="59"/>
  <c r="P28" i="41"/>
  <c r="Q306" i="59"/>
  <c r="N36" i="41"/>
  <c r="EM306" i="59"/>
  <c r="P36" i="41"/>
  <c r="EO306" i="59"/>
  <c r="AH33" i="2"/>
  <c r="HC258" i="59"/>
  <c r="AH23" i="2"/>
  <c r="AI23" i="2"/>
  <c r="IT256" i="59"/>
  <c r="AE34" i="2"/>
  <c r="IT258" i="59"/>
  <c r="AE24" i="2"/>
  <c r="AS257" i="59"/>
  <c r="AI32" i="2"/>
  <c r="FJ258" i="59"/>
  <c r="AI22" i="2"/>
  <c r="GZ256" i="59"/>
  <c r="AB19" i="2"/>
  <c r="BK256" i="59"/>
  <c r="AE35" i="2"/>
  <c r="AW259" i="59"/>
  <c r="CL257" i="59"/>
  <c r="AF39" i="2"/>
  <c r="GV259" i="59"/>
  <c r="X258" i="59"/>
  <c r="AF41" i="2"/>
  <c r="AC260" i="59"/>
  <c r="DL258" i="59"/>
  <c r="AD38" i="2"/>
  <c r="HS257" i="59"/>
  <c r="AE36" i="2"/>
  <c r="CK259" i="59"/>
  <c r="EF257" i="59"/>
  <c r="AC20" i="2"/>
  <c r="AC19" i="2"/>
  <c r="BL256" i="59"/>
  <c r="FG259" i="59"/>
  <c r="AE37" i="2"/>
  <c r="DW259" i="59"/>
  <c r="FZ257" i="59"/>
  <c r="AE40" i="2"/>
  <c r="IG259" i="59"/>
  <c r="BQ258" i="59"/>
  <c r="X380" i="5"/>
  <c r="DC235" i="59"/>
  <c r="Y17" i="5"/>
  <c r="FY163" i="59"/>
  <c r="EY256" i="59"/>
  <c r="AF31" i="2"/>
  <c r="AF29" i="2"/>
  <c r="AE27" i="2"/>
  <c r="AE30" i="2"/>
  <c r="AE25" i="2"/>
  <c r="AE26" i="2"/>
  <c r="AD28" i="2"/>
  <c r="AC21" i="2"/>
  <c r="F24" i="41"/>
  <c r="GL305" i="59"/>
  <c r="F43" i="41"/>
  <c r="IM306" i="59"/>
  <c r="F28" i="41"/>
  <c r="G306" i="59"/>
  <c r="F33" i="41"/>
  <c r="CI306" i="59"/>
  <c r="E26" i="41"/>
  <c r="HQ305" i="59"/>
  <c r="AM202" i="40"/>
  <c r="HN145" i="59"/>
  <c r="E34" i="41"/>
  <c r="CX306" i="59"/>
  <c r="D27" i="41"/>
  <c r="IF305" i="59"/>
  <c r="F22" i="41"/>
  <c r="FF305" i="59"/>
  <c r="E27" i="41"/>
  <c r="IG305" i="59"/>
  <c r="D30" i="41"/>
  <c r="AK306" i="59"/>
  <c r="F37" i="41"/>
  <c r="EU306" i="59"/>
  <c r="E30" i="41"/>
  <c r="AL306" i="59"/>
  <c r="F35" i="41"/>
  <c r="DO306" i="59"/>
  <c r="D26" i="41"/>
  <c r="HP305" i="59"/>
  <c r="D31" i="41"/>
  <c r="BA306" i="59"/>
  <c r="D20" i="41"/>
  <c r="DX305" i="59"/>
  <c r="E20" i="41"/>
  <c r="DY305" i="59"/>
  <c r="F36" i="41"/>
  <c r="EE306" i="59"/>
  <c r="AM199" i="40"/>
  <c r="BQ145" i="59"/>
  <c r="AM195" i="40"/>
  <c r="DL144" i="59"/>
  <c r="AL198" i="40"/>
  <c r="Q145" i="59"/>
  <c r="Y200" i="40"/>
  <c r="DB145" i="59"/>
  <c r="AJ196" i="40"/>
  <c r="FH144" i="59"/>
  <c r="P20" i="41"/>
  <c r="EJ305" i="59"/>
  <c r="AT96" i="5"/>
  <c r="CU179" i="59"/>
  <c r="AT206" i="5"/>
  <c r="AA201" i="59"/>
  <c r="AT217" i="5"/>
  <c r="BR203" i="59"/>
  <c r="AT173" i="5"/>
  <c r="ES194" i="59"/>
  <c r="D34" i="41"/>
  <c r="CW306" i="59"/>
  <c r="AT250" i="5"/>
  <c r="GQ209" i="59"/>
  <c r="E31" i="41"/>
  <c r="BB306" i="59"/>
  <c r="AT162" i="5"/>
  <c r="DB192" i="59"/>
  <c r="AI33" i="2"/>
  <c r="HD258" i="59"/>
  <c r="AJ33" i="2"/>
  <c r="HE258" i="59"/>
  <c r="IS256" i="59"/>
  <c r="AJ23" i="2"/>
  <c r="IU256" i="59"/>
  <c r="AF34" i="2"/>
  <c r="IU258" i="59"/>
  <c r="AF24" i="2"/>
  <c r="AT257" i="59"/>
  <c r="AJ22" i="2"/>
  <c r="HA256" i="59"/>
  <c r="AJ32" i="2"/>
  <c r="FK258" i="59"/>
  <c r="Y16" i="5"/>
  <c r="EB163" i="59"/>
  <c r="DF256" i="59"/>
  <c r="AG39" i="2"/>
  <c r="GW259" i="59"/>
  <c r="Y258" i="59"/>
  <c r="AG41" i="2"/>
  <c r="AD260" i="59"/>
  <c r="DM258" i="59"/>
  <c r="AD20" i="2"/>
  <c r="FH259" i="59"/>
  <c r="AE38" i="2"/>
  <c r="HT257" i="59"/>
  <c r="AF36" i="2"/>
  <c r="CL259" i="59"/>
  <c r="EG257" i="59"/>
  <c r="AF35" i="2"/>
  <c r="AX259" i="59"/>
  <c r="CM257" i="59"/>
  <c r="AF40" i="2"/>
  <c r="IH259" i="59"/>
  <c r="BR258" i="59"/>
  <c r="AF37" i="2"/>
  <c r="DX259" i="59"/>
  <c r="GA257" i="59"/>
  <c r="Y380" i="5"/>
  <c r="DD235" i="59"/>
  <c r="Z16" i="5"/>
  <c r="EC163" i="59"/>
  <c r="Z17" i="5"/>
  <c r="FZ163" i="59"/>
  <c r="EZ256" i="59"/>
  <c r="AF25" i="2"/>
  <c r="AF27" i="2"/>
  <c r="AG29" i="2"/>
  <c r="AE28" i="2"/>
  <c r="HU257" i="59"/>
  <c r="AF26" i="2"/>
  <c r="AD21" i="2"/>
  <c r="AF30" i="2"/>
  <c r="AG31" i="2"/>
  <c r="F20" i="41"/>
  <c r="DZ305" i="59"/>
  <c r="F30" i="41"/>
  <c r="AM306" i="59"/>
  <c r="F27" i="41"/>
  <c r="IH305" i="59"/>
  <c r="F26" i="41"/>
  <c r="HR305" i="59"/>
  <c r="N20" i="41"/>
  <c r="EH305" i="59"/>
  <c r="AN202" i="40"/>
  <c r="HO145" i="59"/>
  <c r="F31" i="41"/>
  <c r="BC306" i="59"/>
  <c r="G20" i="41"/>
  <c r="EA305" i="59"/>
  <c r="F34" i="41"/>
  <c r="CY306" i="59"/>
  <c r="G22" i="41"/>
  <c r="FG305" i="59"/>
  <c r="AK196" i="40"/>
  <c r="FI144" i="59"/>
  <c r="AM198" i="40"/>
  <c r="R145" i="59"/>
  <c r="AN199" i="40"/>
  <c r="BR145" i="59"/>
  <c r="AN195" i="40"/>
  <c r="DM144" i="59"/>
  <c r="Z200" i="40"/>
  <c r="DC145" i="59"/>
  <c r="AK33" i="2"/>
  <c r="HF258" i="59"/>
  <c r="AK23" i="2"/>
  <c r="IV256" i="59"/>
  <c r="AG24" i="2"/>
  <c r="AU257" i="59"/>
  <c r="AG34" i="2"/>
  <c r="IV258" i="59"/>
  <c r="AK32" i="2"/>
  <c r="FL258" i="59"/>
  <c r="AK22" i="2"/>
  <c r="HB256" i="59"/>
  <c r="AG37" i="2"/>
  <c r="DY259" i="59"/>
  <c r="GB257" i="59"/>
  <c r="AE20" i="2"/>
  <c r="FI259" i="59"/>
  <c r="AG35" i="2"/>
  <c r="AY259" i="59"/>
  <c r="CN257" i="59"/>
  <c r="AG40" i="2"/>
  <c r="II259" i="59"/>
  <c r="BS258" i="59"/>
  <c r="AH39" i="2"/>
  <c r="GX259" i="59"/>
  <c r="Z258" i="59"/>
  <c r="AH41" i="2"/>
  <c r="AE260" i="59"/>
  <c r="DN258" i="59"/>
  <c r="DG256" i="59"/>
  <c r="AD19" i="2"/>
  <c r="AG36" i="2"/>
  <c r="CM259" i="59"/>
  <c r="EH257" i="59"/>
  <c r="AA17" i="5"/>
  <c r="GA163" i="59"/>
  <c r="FA256" i="59"/>
  <c r="AE21" i="2"/>
  <c r="AF38" i="2"/>
  <c r="AG26" i="2"/>
  <c r="AH29" i="2"/>
  <c r="AF28" i="2"/>
  <c r="HV257" i="59"/>
  <c r="AG27" i="2"/>
  <c r="AH31" i="2"/>
  <c r="Z380" i="5"/>
  <c r="DE235" i="59"/>
  <c r="AG25" i="2"/>
  <c r="AG30" i="2"/>
  <c r="AO202" i="40"/>
  <c r="HP145" i="59"/>
  <c r="AA200" i="40"/>
  <c r="DD145" i="59"/>
  <c r="AL196" i="40"/>
  <c r="FJ144" i="59"/>
  <c r="AO199" i="40"/>
  <c r="BS145" i="59"/>
  <c r="AO195" i="40"/>
  <c r="DN144" i="59"/>
  <c r="AN198" i="40"/>
  <c r="S145" i="59"/>
  <c r="AL23" i="2"/>
  <c r="AM33" i="2"/>
  <c r="HH258" i="59"/>
  <c r="AL33" i="2"/>
  <c r="HG258" i="59"/>
  <c r="AH34" i="2"/>
  <c r="F259" i="59"/>
  <c r="AH24" i="2"/>
  <c r="AV257" i="59"/>
  <c r="AL32" i="2"/>
  <c r="FM258" i="59"/>
  <c r="AL22" i="2"/>
  <c r="HC256" i="59"/>
  <c r="AI39" i="2"/>
  <c r="GY259" i="59"/>
  <c r="AA258" i="59"/>
  <c r="BM256" i="59"/>
  <c r="AA16" i="5"/>
  <c r="ED163" i="59"/>
  <c r="AH36" i="2"/>
  <c r="CN259" i="59"/>
  <c r="EI257" i="59"/>
  <c r="AI41" i="2"/>
  <c r="AF260" i="59"/>
  <c r="DO258" i="59"/>
  <c r="AH37" i="2"/>
  <c r="DZ259" i="59"/>
  <c r="GC257" i="59"/>
  <c r="AH40" i="2"/>
  <c r="IJ259" i="59"/>
  <c r="BT258" i="59"/>
  <c r="AH35" i="2"/>
  <c r="AZ259" i="59"/>
  <c r="CO257" i="59"/>
  <c r="DH256" i="59"/>
  <c r="AE19" i="2"/>
  <c r="AF20" i="2"/>
  <c r="AF19" i="2"/>
  <c r="BO256" i="59"/>
  <c r="FJ259" i="59"/>
  <c r="AB17" i="5"/>
  <c r="GB163" i="59"/>
  <c r="FB256" i="59"/>
  <c r="AF21" i="2"/>
  <c r="AG38" i="2"/>
  <c r="AH27" i="2"/>
  <c r="AG28" i="2"/>
  <c r="HW257" i="59"/>
  <c r="AH30" i="2"/>
  <c r="AI31" i="2"/>
  <c r="AI29" i="2"/>
  <c r="AH25" i="2"/>
  <c r="AA380" i="5"/>
  <c r="DF235" i="59"/>
  <c r="AH26" i="2"/>
  <c r="AP202" i="40"/>
  <c r="HQ145" i="59"/>
  <c r="AB200" i="40"/>
  <c r="DE145" i="59"/>
  <c r="AO198" i="40"/>
  <c r="T145" i="59"/>
  <c r="AP199" i="40"/>
  <c r="BT145" i="59"/>
  <c r="AP195" i="40"/>
  <c r="DO144" i="59"/>
  <c r="AM196" i="40"/>
  <c r="FK144" i="59"/>
  <c r="F257" i="59"/>
  <c r="AI34" i="2"/>
  <c r="G259" i="59"/>
  <c r="AM23" i="2"/>
  <c r="AN33" i="2"/>
  <c r="HI258" i="59"/>
  <c r="AI24" i="2"/>
  <c r="AW257" i="59"/>
  <c r="AM32" i="2"/>
  <c r="FN258" i="59"/>
  <c r="AM22" i="2"/>
  <c r="HD256" i="59"/>
  <c r="DI256" i="59"/>
  <c r="AI37" i="2"/>
  <c r="EA259" i="59"/>
  <c r="GD257" i="59"/>
  <c r="BN256" i="59"/>
  <c r="AB16" i="5"/>
  <c r="EE163" i="59"/>
  <c r="AI36" i="2"/>
  <c r="CO259" i="59"/>
  <c r="EJ257" i="59"/>
  <c r="AG20" i="2"/>
  <c r="AG19" i="2"/>
  <c r="BP256" i="59"/>
  <c r="FK259" i="59"/>
  <c r="AI35" i="2"/>
  <c r="BA259" i="59"/>
  <c r="CP257" i="59"/>
  <c r="AJ39" i="2"/>
  <c r="GZ259" i="59"/>
  <c r="AB258" i="59"/>
  <c r="AJ41" i="2"/>
  <c r="AG260" i="59"/>
  <c r="DP258" i="59"/>
  <c r="AI40" i="2"/>
  <c r="IK259" i="59"/>
  <c r="BU258" i="59"/>
  <c r="AC16" i="5"/>
  <c r="EF163" i="59"/>
  <c r="AB380" i="5"/>
  <c r="DG235" i="59"/>
  <c r="AC17" i="5"/>
  <c r="GC163" i="59"/>
  <c r="FC256" i="59"/>
  <c r="AG21" i="2"/>
  <c r="AH38" i="2"/>
  <c r="AJ29" i="2"/>
  <c r="AJ31" i="2"/>
  <c r="AI30" i="2"/>
  <c r="AI27" i="2"/>
  <c r="AI26" i="2"/>
  <c r="AI25" i="2"/>
  <c r="AH28" i="2"/>
  <c r="AQ202" i="40"/>
  <c r="HR145" i="59"/>
  <c r="AN196" i="40"/>
  <c r="FL144" i="59"/>
  <c r="AQ199" i="40"/>
  <c r="BU145" i="59"/>
  <c r="AC200" i="40"/>
  <c r="DF145" i="59"/>
  <c r="AQ195" i="40"/>
  <c r="DP144" i="59"/>
  <c r="AP198" i="40"/>
  <c r="U145" i="59"/>
  <c r="AJ24" i="2"/>
  <c r="AX257" i="59"/>
  <c r="AJ34" i="2"/>
  <c r="H259" i="59"/>
  <c r="G257" i="59"/>
  <c r="AN23" i="2"/>
  <c r="H257" i="59"/>
  <c r="AN22" i="2"/>
  <c r="HE256" i="59"/>
  <c r="AN32" i="2"/>
  <c r="FO258" i="59"/>
  <c r="DJ256" i="59"/>
  <c r="AK39" i="2"/>
  <c r="HA259" i="59"/>
  <c r="AC258" i="59"/>
  <c r="AI38" i="2"/>
  <c r="HX257" i="59"/>
  <c r="AH20" i="2"/>
  <c r="DK256" i="59"/>
  <c r="FL259" i="59"/>
  <c r="AJ35" i="2"/>
  <c r="BB259" i="59"/>
  <c r="CQ257" i="59"/>
  <c r="AJ36" i="2"/>
  <c r="CP259" i="59"/>
  <c r="EK257" i="59"/>
  <c r="AJ37" i="2"/>
  <c r="EB259" i="59"/>
  <c r="GE257" i="59"/>
  <c r="AJ40" i="2"/>
  <c r="IL259" i="59"/>
  <c r="BV258" i="59"/>
  <c r="AK41" i="2"/>
  <c r="AH260" i="59"/>
  <c r="DQ258" i="59"/>
  <c r="AD16" i="5"/>
  <c r="EG163" i="59"/>
  <c r="AC380" i="5"/>
  <c r="DH235" i="59"/>
  <c r="AD17" i="5"/>
  <c r="GD163" i="59"/>
  <c r="FD256" i="59"/>
  <c r="AJ25" i="2"/>
  <c r="AK31" i="2"/>
  <c r="AJ26" i="2"/>
  <c r="AI28" i="2"/>
  <c r="HY257" i="59"/>
  <c r="AJ27" i="2"/>
  <c r="AH21" i="2"/>
  <c r="AJ30" i="2"/>
  <c r="AK29" i="2"/>
  <c r="AR202" i="40"/>
  <c r="HS145" i="59"/>
  <c r="AQ198" i="40"/>
  <c r="V145" i="59"/>
  <c r="AD200" i="40"/>
  <c r="DG145" i="59"/>
  <c r="AO196" i="40"/>
  <c r="FM144" i="59"/>
  <c r="AR195" i="40"/>
  <c r="DQ144" i="59"/>
  <c r="AR199" i="40"/>
  <c r="BV145" i="59"/>
  <c r="AK24" i="2"/>
  <c r="AY257" i="59"/>
  <c r="AK34" i="2"/>
  <c r="I259" i="59"/>
  <c r="AO23" i="2"/>
  <c r="AP33" i="2"/>
  <c r="HK258" i="59"/>
  <c r="AO33" i="2"/>
  <c r="HJ258" i="59"/>
  <c r="AO32" i="2"/>
  <c r="FP258" i="59"/>
  <c r="AO22" i="2"/>
  <c r="HF256" i="59"/>
  <c r="AH19" i="2"/>
  <c r="BQ256" i="59"/>
  <c r="AL39" i="2"/>
  <c r="HB259" i="59"/>
  <c r="AD258" i="59"/>
  <c r="AK40" i="2"/>
  <c r="IM259" i="59"/>
  <c r="BW258" i="59"/>
  <c r="AL41" i="2"/>
  <c r="AI260" i="59"/>
  <c r="DR258" i="59"/>
  <c r="AI20" i="2"/>
  <c r="FM259" i="59"/>
  <c r="AK37" i="2"/>
  <c r="EC259" i="59"/>
  <c r="GF257" i="59"/>
  <c r="AK35" i="2"/>
  <c r="BC259" i="59"/>
  <c r="CR257" i="59"/>
  <c r="AK36" i="2"/>
  <c r="CQ259" i="59"/>
  <c r="EL257" i="59"/>
  <c r="AD380" i="5"/>
  <c r="DI235" i="59"/>
  <c r="AE17" i="5"/>
  <c r="GE163" i="59"/>
  <c r="FE256" i="59"/>
  <c r="AI21" i="2"/>
  <c r="AJ38" i="2"/>
  <c r="AK30" i="2"/>
  <c r="AK27" i="2"/>
  <c r="AL31" i="2"/>
  <c r="AJ28" i="2"/>
  <c r="HZ257" i="59"/>
  <c r="AK25" i="2"/>
  <c r="AL29" i="2"/>
  <c r="AK26" i="2"/>
  <c r="AS202" i="40"/>
  <c r="HT145" i="59"/>
  <c r="AS199" i="40"/>
  <c r="BW145" i="59"/>
  <c r="AR198" i="40"/>
  <c r="W145" i="59"/>
  <c r="AP196" i="40"/>
  <c r="FN144" i="59"/>
  <c r="AS195" i="40"/>
  <c r="DR144" i="59"/>
  <c r="AE200" i="40"/>
  <c r="DH145" i="59"/>
  <c r="AL24" i="2"/>
  <c r="AM24" i="2"/>
  <c r="BA257" i="59"/>
  <c r="AL34" i="2"/>
  <c r="J259" i="59"/>
  <c r="I257" i="59"/>
  <c r="AP23" i="2"/>
  <c r="AQ23" i="2"/>
  <c r="K257" i="59"/>
  <c r="AP22" i="2"/>
  <c r="HG256" i="59"/>
  <c r="AP32" i="2"/>
  <c r="FQ258" i="59"/>
  <c r="AE16" i="5"/>
  <c r="EH163" i="59"/>
  <c r="AJ20" i="2"/>
  <c r="DM256" i="59"/>
  <c r="FN259" i="59"/>
  <c r="AM39" i="2"/>
  <c r="HC259" i="59"/>
  <c r="AE258" i="59"/>
  <c r="DL256" i="59"/>
  <c r="AI19" i="2"/>
  <c r="AL36" i="2"/>
  <c r="CR259" i="59"/>
  <c r="EM257" i="59"/>
  <c r="AL35" i="2"/>
  <c r="BD259" i="59"/>
  <c r="CS257" i="59"/>
  <c r="AM41" i="2"/>
  <c r="AJ260" i="59"/>
  <c r="DS258" i="59"/>
  <c r="AL37" i="2"/>
  <c r="ED259" i="59"/>
  <c r="GG257" i="59"/>
  <c r="AL40" i="2"/>
  <c r="IN259" i="59"/>
  <c r="BX258" i="59"/>
  <c r="AZ257" i="59"/>
  <c r="AF17" i="5"/>
  <c r="GF163" i="59"/>
  <c r="FF256" i="59"/>
  <c r="AJ21" i="2"/>
  <c r="AK38" i="2"/>
  <c r="AM31" i="2"/>
  <c r="AE380" i="5"/>
  <c r="DJ235" i="59"/>
  <c r="AL27" i="2"/>
  <c r="AL26" i="2"/>
  <c r="AK28" i="2"/>
  <c r="AL25" i="2"/>
  <c r="AM29" i="2"/>
  <c r="AL30" i="2"/>
  <c r="AT202" i="40"/>
  <c r="HU145" i="59"/>
  <c r="AS198" i="40"/>
  <c r="X145" i="59"/>
  <c r="AT199" i="40"/>
  <c r="BX145" i="59"/>
  <c r="AT195" i="40"/>
  <c r="DS144" i="59"/>
  <c r="AF200" i="40"/>
  <c r="DI145" i="59"/>
  <c r="AQ196" i="40"/>
  <c r="FO144" i="59"/>
  <c r="J20" i="40"/>
  <c r="FA108" i="59"/>
  <c r="O70" i="48"/>
  <c r="FZ75" i="59"/>
  <c r="AM34" i="2"/>
  <c r="K259" i="59"/>
  <c r="AN24" i="2"/>
  <c r="BB257" i="59"/>
  <c r="AN34" i="2"/>
  <c r="L259" i="59"/>
  <c r="AR33" i="2"/>
  <c r="HM258" i="59"/>
  <c r="AR23" i="2"/>
  <c r="L257" i="59"/>
  <c r="J257" i="59"/>
  <c r="AQ33" i="2"/>
  <c r="HL258" i="59"/>
  <c r="AQ22" i="2"/>
  <c r="AR22" i="2"/>
  <c r="HI256" i="59"/>
  <c r="AQ32" i="2"/>
  <c r="FR258" i="59"/>
  <c r="AJ19" i="2"/>
  <c r="BS256" i="59"/>
  <c r="AM35" i="2"/>
  <c r="BE259" i="59"/>
  <c r="CT257" i="59"/>
  <c r="AM36" i="2"/>
  <c r="CS259" i="59"/>
  <c r="EN257" i="59"/>
  <c r="AM37" i="2"/>
  <c r="EE259" i="59"/>
  <c r="GH257" i="59"/>
  <c r="AN41" i="2"/>
  <c r="AK260" i="59"/>
  <c r="DT258" i="59"/>
  <c r="BR256" i="59"/>
  <c r="AF16" i="5"/>
  <c r="EI163" i="59"/>
  <c r="AM40" i="2"/>
  <c r="IO259" i="59"/>
  <c r="BY258" i="59"/>
  <c r="AK20" i="2"/>
  <c r="DN256" i="59"/>
  <c r="FO259" i="59"/>
  <c r="AN39" i="2"/>
  <c r="HD259" i="59"/>
  <c r="AF258" i="59"/>
  <c r="AL38" i="2"/>
  <c r="IA257" i="59"/>
  <c r="AF380" i="5"/>
  <c r="DK235" i="59"/>
  <c r="AG17" i="5"/>
  <c r="GG163" i="59"/>
  <c r="FG256" i="59"/>
  <c r="AM25" i="2"/>
  <c r="AM27" i="2"/>
  <c r="AM30" i="2"/>
  <c r="AL28" i="2"/>
  <c r="IB257" i="59"/>
  <c r="AN29" i="2"/>
  <c r="AN31" i="2"/>
  <c r="AK21" i="2"/>
  <c r="AM26" i="2"/>
  <c r="AU202" i="40"/>
  <c r="HV145" i="59"/>
  <c r="AR196" i="40"/>
  <c r="FP144" i="59"/>
  <c r="AT198" i="40"/>
  <c r="Y145" i="59"/>
  <c r="AU195" i="40"/>
  <c r="DT144" i="59"/>
  <c r="AG200" i="40"/>
  <c r="DJ145" i="59"/>
  <c r="AU199" i="40"/>
  <c r="BY145" i="59"/>
  <c r="I249" i="40"/>
  <c r="IN152" i="59"/>
  <c r="AS106" i="5"/>
  <c r="CN181" i="59"/>
  <c r="H130" i="40"/>
  <c r="IS130" i="59"/>
  <c r="J22" i="40"/>
  <c r="IS108" i="59"/>
  <c r="AO34" i="2"/>
  <c r="M259" i="59"/>
  <c r="AO24" i="2"/>
  <c r="BC257" i="59"/>
  <c r="AR32" i="2"/>
  <c r="FS258" i="59"/>
  <c r="HH256" i="59"/>
  <c r="AG16" i="5"/>
  <c r="EJ163" i="59"/>
  <c r="AK19" i="2"/>
  <c r="BT256" i="59"/>
  <c r="AN37" i="2"/>
  <c r="EF259" i="59"/>
  <c r="GI257" i="59"/>
  <c r="AN35" i="2"/>
  <c r="BF259" i="59"/>
  <c r="CU257" i="59"/>
  <c r="AN36" i="2"/>
  <c r="CT259" i="59"/>
  <c r="EO257" i="59"/>
  <c r="AO41" i="2"/>
  <c r="AL260" i="59"/>
  <c r="DU258" i="59"/>
  <c r="AO39" i="2"/>
  <c r="HE259" i="59"/>
  <c r="AG258" i="59"/>
  <c r="AN40" i="2"/>
  <c r="IP259" i="59"/>
  <c r="BZ258" i="59"/>
  <c r="AL20" i="2"/>
  <c r="FP259" i="59"/>
  <c r="AG380" i="5"/>
  <c r="DL235" i="59"/>
  <c r="AH17" i="5"/>
  <c r="GH163" i="59"/>
  <c r="FH256" i="59"/>
  <c r="AL21" i="2"/>
  <c r="AM38" i="2"/>
  <c r="AO31" i="2"/>
  <c r="AO29" i="2"/>
  <c r="AM28" i="2"/>
  <c r="AN25" i="2"/>
  <c r="AN30" i="2"/>
  <c r="AN27" i="2"/>
  <c r="AN26" i="2"/>
  <c r="I251" i="40"/>
  <c r="DA153" i="59"/>
  <c r="AV202" i="40"/>
  <c r="HW145" i="59"/>
  <c r="AV195" i="40"/>
  <c r="DU144" i="59"/>
  <c r="AS196" i="40"/>
  <c r="FQ144" i="59"/>
  <c r="AV199" i="40"/>
  <c r="BZ145" i="59"/>
  <c r="AH200" i="40"/>
  <c r="DK145" i="59"/>
  <c r="AU198" i="40"/>
  <c r="Z145" i="59"/>
  <c r="H21" i="41"/>
  <c r="ER305" i="59"/>
  <c r="J249" i="40"/>
  <c r="IO152" i="59"/>
  <c r="K249" i="40"/>
  <c r="IP152" i="59"/>
  <c r="L249" i="40"/>
  <c r="IQ152" i="59"/>
  <c r="L130" i="40"/>
  <c r="F131" i="59"/>
  <c r="K130" i="40"/>
  <c r="IV130" i="59"/>
  <c r="J130" i="40"/>
  <c r="IU130" i="59"/>
  <c r="AS128" i="5"/>
  <c r="FV185" i="59"/>
  <c r="H132" i="40"/>
  <c r="DB131" i="59"/>
  <c r="I22" i="40"/>
  <c r="IR108" i="59"/>
  <c r="AP34" i="2"/>
  <c r="N259" i="59"/>
  <c r="AP24" i="2"/>
  <c r="BD257" i="59"/>
  <c r="AH16" i="5"/>
  <c r="EK163" i="59"/>
  <c r="AP41" i="2"/>
  <c r="AM260" i="59"/>
  <c r="DV258" i="59"/>
  <c r="AO36" i="2"/>
  <c r="CU259" i="59"/>
  <c r="EP257" i="59"/>
  <c r="AM20" i="2"/>
  <c r="AM19" i="2"/>
  <c r="BV256" i="59"/>
  <c r="FQ259" i="59"/>
  <c r="AO37" i="2"/>
  <c r="EG259" i="59"/>
  <c r="GJ257" i="59"/>
  <c r="DO256" i="59"/>
  <c r="AL19" i="2"/>
  <c r="AO40" i="2"/>
  <c r="IQ259" i="59"/>
  <c r="CA258" i="59"/>
  <c r="AO35" i="2"/>
  <c r="BG259" i="59"/>
  <c r="CV257" i="59"/>
  <c r="AN38" i="2"/>
  <c r="IC257" i="59"/>
  <c r="AP39" i="2"/>
  <c r="HF259" i="59"/>
  <c r="AH258" i="59"/>
  <c r="AI17" i="5"/>
  <c r="GI163" i="59"/>
  <c r="FI256" i="59"/>
  <c r="AN28" i="2"/>
  <c r="ID257" i="59"/>
  <c r="AO30" i="2"/>
  <c r="AO27" i="2"/>
  <c r="AP29" i="2"/>
  <c r="AM21" i="2"/>
  <c r="AO26" i="2"/>
  <c r="AO25" i="2"/>
  <c r="AP31" i="2"/>
  <c r="AH380" i="5"/>
  <c r="DM235" i="59"/>
  <c r="K251" i="40"/>
  <c r="DC153" i="59"/>
  <c r="L251" i="40"/>
  <c r="DD153" i="59"/>
  <c r="M251" i="40"/>
  <c r="DE153" i="59"/>
  <c r="AW202" i="40"/>
  <c r="HX145" i="59"/>
  <c r="R130" i="40"/>
  <c r="L131" i="59"/>
  <c r="V130" i="40"/>
  <c r="P131" i="59"/>
  <c r="Z130" i="40"/>
  <c r="T131" i="59"/>
  <c r="AD130" i="40"/>
  <c r="X131" i="59"/>
  <c r="AH130" i="40"/>
  <c r="AB131" i="59"/>
  <c r="AL130" i="40"/>
  <c r="AF131" i="59"/>
  <c r="AP130" i="40"/>
  <c r="AJ131" i="59"/>
  <c r="AT130" i="40"/>
  <c r="AN131" i="59"/>
  <c r="AX130" i="40"/>
  <c r="AR131" i="59"/>
  <c r="U130" i="40"/>
  <c r="O131" i="59"/>
  <c r="Y130" i="40"/>
  <c r="S131" i="59"/>
  <c r="AC130" i="40"/>
  <c r="W131" i="59"/>
  <c r="AG130" i="40"/>
  <c r="AA131" i="59"/>
  <c r="AK130" i="40"/>
  <c r="AE131" i="59"/>
  <c r="AO130" i="40"/>
  <c r="AI131" i="59"/>
  <c r="AS130" i="40"/>
  <c r="AM131" i="59"/>
  <c r="AW130" i="40"/>
  <c r="AQ131" i="59"/>
  <c r="T130" i="40"/>
  <c r="N131" i="59"/>
  <c r="X130" i="40"/>
  <c r="R131" i="59"/>
  <c r="AB130" i="40"/>
  <c r="V131" i="59"/>
  <c r="AF130" i="40"/>
  <c r="Z131" i="59"/>
  <c r="AJ130" i="40"/>
  <c r="AD131" i="59"/>
  <c r="AN130" i="40"/>
  <c r="AH131" i="59"/>
  <c r="AR130" i="40"/>
  <c r="AL131" i="59"/>
  <c r="AV130" i="40"/>
  <c r="AP131" i="59"/>
  <c r="S130" i="40"/>
  <c r="M131" i="59"/>
  <c r="W130" i="40"/>
  <c r="Q131" i="59"/>
  <c r="AA130" i="40"/>
  <c r="U131" i="59"/>
  <c r="AE130" i="40"/>
  <c r="Y131" i="59"/>
  <c r="AI130" i="40"/>
  <c r="AC131" i="59"/>
  <c r="AM130" i="40"/>
  <c r="AG131" i="59"/>
  <c r="AQ130" i="40"/>
  <c r="AK131" i="59"/>
  <c r="AU130" i="40"/>
  <c r="AO131" i="59"/>
  <c r="M249" i="40"/>
  <c r="IR152" i="59"/>
  <c r="P130" i="40"/>
  <c r="J131" i="59"/>
  <c r="O130" i="40"/>
  <c r="I131" i="59"/>
  <c r="N130" i="40"/>
  <c r="H131" i="59"/>
  <c r="Q130" i="40"/>
  <c r="K131" i="59"/>
  <c r="AV198" i="40"/>
  <c r="AA145" i="59"/>
  <c r="AW199" i="40"/>
  <c r="CA145" i="59"/>
  <c r="AW195" i="40"/>
  <c r="DV144" i="59"/>
  <c r="AT196" i="40"/>
  <c r="FR144" i="59"/>
  <c r="AI200" i="40"/>
  <c r="DL145" i="59"/>
  <c r="M130" i="40"/>
  <c r="AY249" i="40"/>
  <c r="AM153" i="59"/>
  <c r="AU249" i="40"/>
  <c r="AI153" i="59"/>
  <c r="AZ249" i="40"/>
  <c r="AN153" i="59"/>
  <c r="AJ249" i="40"/>
  <c r="X153" i="59"/>
  <c r="AH249" i="40"/>
  <c r="V153" i="59"/>
  <c r="AW249" i="40"/>
  <c r="AK153" i="59"/>
  <c r="AS249" i="40"/>
  <c r="AG153" i="59"/>
  <c r="J132" i="40"/>
  <c r="DD131" i="59"/>
  <c r="AQ203" i="40"/>
  <c r="Z146" i="59"/>
  <c r="AA203" i="40"/>
  <c r="J146" i="59"/>
  <c r="AV203" i="40"/>
  <c r="AE146" i="59"/>
  <c r="AF203" i="40"/>
  <c r="O146" i="59"/>
  <c r="P203" i="40"/>
  <c r="IP145" i="59"/>
  <c r="AC203" i="40"/>
  <c r="L146" i="59"/>
  <c r="AD203" i="40"/>
  <c r="M146" i="59"/>
  <c r="AP203" i="40"/>
  <c r="Y146" i="59"/>
  <c r="AW203" i="40"/>
  <c r="AF146" i="59"/>
  <c r="AO203" i="40"/>
  <c r="X146" i="59"/>
  <c r="AU203" i="40"/>
  <c r="AD146" i="59"/>
  <c r="AE203" i="40"/>
  <c r="N146" i="59"/>
  <c r="O203" i="40"/>
  <c r="IO145" i="59"/>
  <c r="AJ203" i="40"/>
  <c r="S146" i="59"/>
  <c r="T203" i="40"/>
  <c r="IT145" i="59"/>
  <c r="AK203" i="40"/>
  <c r="T146" i="59"/>
  <c r="AL203" i="40"/>
  <c r="U146" i="59"/>
  <c r="AX203" i="40"/>
  <c r="AG146" i="59"/>
  <c r="R203" i="40"/>
  <c r="IR145" i="59"/>
  <c r="AG203" i="40"/>
  <c r="P146" i="59"/>
  <c r="AI203" i="40"/>
  <c r="R146" i="59"/>
  <c r="S203" i="40"/>
  <c r="IS145" i="59"/>
  <c r="AN203" i="40"/>
  <c r="W146" i="59"/>
  <c r="X203" i="40"/>
  <c r="G146" i="59"/>
  <c r="AS203" i="40"/>
  <c r="AB146" i="59"/>
  <c r="AT203" i="40"/>
  <c r="AC146" i="59"/>
  <c r="N203" i="40"/>
  <c r="IN145" i="59"/>
  <c r="Z203" i="40"/>
  <c r="I146" i="59"/>
  <c r="Y203" i="40"/>
  <c r="H146" i="59"/>
  <c r="AM203" i="40"/>
  <c r="V146" i="59"/>
  <c r="W203" i="40"/>
  <c r="F146" i="59"/>
  <c r="AR203" i="40"/>
  <c r="AA146" i="59"/>
  <c r="AB203" i="40"/>
  <c r="K146" i="59"/>
  <c r="M203" i="40"/>
  <c r="IM145" i="59"/>
  <c r="U203" i="40"/>
  <c r="IU145" i="59"/>
  <c r="V203" i="40"/>
  <c r="IV145" i="59"/>
  <c r="AH203" i="40"/>
  <c r="Q146" i="59"/>
  <c r="Q203" i="40"/>
  <c r="IQ145" i="59"/>
  <c r="AS129" i="5"/>
  <c r="HS185" i="59"/>
  <c r="H96" i="40"/>
  <c r="IH123" i="59"/>
  <c r="AQ34" i="2"/>
  <c r="O259" i="59"/>
  <c r="AQ24" i="2"/>
  <c r="BE257" i="59"/>
  <c r="AP37" i="2"/>
  <c r="EH259" i="59"/>
  <c r="GK257" i="59"/>
  <c r="AP40" i="2"/>
  <c r="IR259" i="59"/>
  <c r="CB258" i="59"/>
  <c r="DP256" i="59"/>
  <c r="AQ39" i="2"/>
  <c r="HG259" i="59"/>
  <c r="AI258" i="59"/>
  <c r="AN20" i="2"/>
  <c r="FR259" i="59"/>
  <c r="AQ41" i="2"/>
  <c r="AN260" i="59"/>
  <c r="DW258" i="59"/>
  <c r="AP35" i="2"/>
  <c r="BH259" i="59"/>
  <c r="CW257" i="59"/>
  <c r="BU256" i="59"/>
  <c r="AI16" i="5"/>
  <c r="EL163" i="59"/>
  <c r="AP36" i="2"/>
  <c r="CV259" i="59"/>
  <c r="EQ257" i="59"/>
  <c r="AI380" i="5"/>
  <c r="DN235" i="59"/>
  <c r="D106" i="5"/>
  <c r="AY181" i="59"/>
  <c r="G131" i="59"/>
  <c r="AJ16" i="5"/>
  <c r="EM163" i="59"/>
  <c r="AJ17" i="5"/>
  <c r="GJ163" i="59"/>
  <c r="FJ256" i="59"/>
  <c r="AN21" i="2"/>
  <c r="AO38" i="2"/>
  <c r="AQ29" i="2"/>
  <c r="AP27" i="2"/>
  <c r="AP30" i="2"/>
  <c r="AP26" i="2"/>
  <c r="AQ31" i="2"/>
  <c r="AP25" i="2"/>
  <c r="AO28" i="2"/>
  <c r="K106" i="5"/>
  <c r="BF181" i="59"/>
  <c r="AM106" i="5"/>
  <c r="CH181" i="59"/>
  <c r="H106" i="5"/>
  <c r="BC181" i="59"/>
  <c r="AA106" i="5"/>
  <c r="BV181" i="59"/>
  <c r="AC106" i="5"/>
  <c r="BX181" i="59"/>
  <c r="R106" i="5"/>
  <c r="BM181" i="59"/>
  <c r="T106" i="5"/>
  <c r="BO181" i="59"/>
  <c r="G106" i="5"/>
  <c r="BB181" i="59"/>
  <c r="N106" i="5"/>
  <c r="BI181" i="59"/>
  <c r="O106" i="5"/>
  <c r="BJ181" i="59"/>
  <c r="P106" i="5"/>
  <c r="BK181" i="59"/>
  <c r="Q106" i="5"/>
  <c r="BL181" i="59"/>
  <c r="J106" i="5"/>
  <c r="BE181" i="59"/>
  <c r="AN106" i="5"/>
  <c r="CI181" i="59"/>
  <c r="I106" i="5"/>
  <c r="BD181" i="59"/>
  <c r="AH106" i="5"/>
  <c r="CC181" i="59"/>
  <c r="AI106" i="5"/>
  <c r="CD181" i="59"/>
  <c r="AJ106" i="5"/>
  <c r="CE181" i="59"/>
  <c r="AK106" i="5"/>
  <c r="CF181" i="59"/>
  <c r="AD106" i="5"/>
  <c r="BY181" i="59"/>
  <c r="AE106" i="5"/>
  <c r="BZ181" i="59"/>
  <c r="AF106" i="5"/>
  <c r="CA181" i="59"/>
  <c r="AG106" i="5"/>
  <c r="CB181" i="59"/>
  <c r="L106" i="5"/>
  <c r="BG181" i="59"/>
  <c r="AL106" i="5"/>
  <c r="CG181" i="59"/>
  <c r="Z106" i="5"/>
  <c r="BU181" i="59"/>
  <c r="E106" i="5"/>
  <c r="AZ181" i="59"/>
  <c r="V106" i="5"/>
  <c r="BQ181" i="59"/>
  <c r="W106" i="5"/>
  <c r="BR181" i="59"/>
  <c r="X106" i="5"/>
  <c r="BS181" i="59"/>
  <c r="Y106" i="5"/>
  <c r="BT181" i="59"/>
  <c r="M106" i="5"/>
  <c r="BH181" i="59"/>
  <c r="AO106" i="5"/>
  <c r="CJ181" i="59"/>
  <c r="AB106" i="5"/>
  <c r="BW181" i="59"/>
  <c r="F106" i="5"/>
  <c r="BA181" i="59"/>
  <c r="S106" i="5"/>
  <c r="BN181" i="59"/>
  <c r="U106" i="5"/>
  <c r="BP181" i="59"/>
  <c r="AY251" i="40"/>
  <c r="EQ153" i="59"/>
  <c r="P251" i="40"/>
  <c r="DH153" i="59"/>
  <c r="AS251" i="40"/>
  <c r="EK153" i="59"/>
  <c r="AU251" i="40"/>
  <c r="EM153" i="59"/>
  <c r="AZ251" i="40"/>
  <c r="ER153" i="59"/>
  <c r="AA251" i="40"/>
  <c r="DS153" i="59"/>
  <c r="AK251" i="40"/>
  <c r="EC153" i="59"/>
  <c r="AJ251" i="40"/>
  <c r="EB153" i="59"/>
  <c r="AM251" i="40"/>
  <c r="EE153" i="59"/>
  <c r="AH251" i="40"/>
  <c r="DZ153" i="59"/>
  <c r="AT251" i="40"/>
  <c r="EL153" i="59"/>
  <c r="AO251" i="40"/>
  <c r="EG153" i="59"/>
  <c r="AV251" i="40"/>
  <c r="EN153" i="59"/>
  <c r="S251" i="40"/>
  <c r="DK153" i="59"/>
  <c r="AX251" i="40"/>
  <c r="EP153" i="59"/>
  <c r="AL251" i="40"/>
  <c r="ED153" i="59"/>
  <c r="AD251" i="40"/>
  <c r="DV153" i="59"/>
  <c r="R251" i="40"/>
  <c r="DJ153" i="59"/>
  <c r="AW251" i="40"/>
  <c r="EO153" i="59"/>
  <c r="O251" i="40"/>
  <c r="DG153" i="59"/>
  <c r="AF251" i="40"/>
  <c r="DX153" i="59"/>
  <c r="AQ251" i="40"/>
  <c r="EI153" i="59"/>
  <c r="AE251" i="40"/>
  <c r="DW153" i="59"/>
  <c r="AP251" i="40"/>
  <c r="EH153" i="59"/>
  <c r="AN251" i="40"/>
  <c r="EF153" i="59"/>
  <c r="AI251" i="40"/>
  <c r="EA153" i="59"/>
  <c r="AB251" i="40"/>
  <c r="DT153" i="59"/>
  <c r="AR251" i="40"/>
  <c r="EJ153" i="59"/>
  <c r="AC251" i="40"/>
  <c r="DU153" i="59"/>
  <c r="Q251" i="40"/>
  <c r="DI153" i="59"/>
  <c r="AG251" i="40"/>
  <c r="DY153" i="59"/>
  <c r="N249" i="40"/>
  <c r="T249" i="40"/>
  <c r="H153" i="59"/>
  <c r="AX202" i="40"/>
  <c r="HY145" i="59"/>
  <c r="N251" i="40"/>
  <c r="DF153" i="59"/>
  <c r="AP249" i="40"/>
  <c r="AD153" i="59"/>
  <c r="AT249" i="40"/>
  <c r="AH153" i="59"/>
  <c r="AF249" i="40"/>
  <c r="T153" i="59"/>
  <c r="AC249" i="40"/>
  <c r="Q153" i="59"/>
  <c r="AM249" i="40"/>
  <c r="AA153" i="59"/>
  <c r="AB249" i="40"/>
  <c r="P153" i="59"/>
  <c r="AA249" i="40"/>
  <c r="O153" i="59"/>
  <c r="AR249" i="40"/>
  <c r="AF153" i="59"/>
  <c r="AL249" i="40"/>
  <c r="Z153" i="59"/>
  <c r="AK249" i="40"/>
  <c r="Y153" i="59"/>
  <c r="AX249" i="40"/>
  <c r="AL153" i="59"/>
  <c r="AV249" i="40"/>
  <c r="AJ153" i="59"/>
  <c r="AI249" i="40"/>
  <c r="W153" i="59"/>
  <c r="AD249" i="40"/>
  <c r="R153" i="59"/>
  <c r="AE249" i="40"/>
  <c r="S153" i="59"/>
  <c r="Q249" i="40"/>
  <c r="IV152" i="59"/>
  <c r="AN249" i="40"/>
  <c r="AB153" i="59"/>
  <c r="AQ249" i="40"/>
  <c r="AE153" i="59"/>
  <c r="S249" i="40"/>
  <c r="G153" i="59"/>
  <c r="AG249" i="40"/>
  <c r="U153" i="59"/>
  <c r="AO249" i="40"/>
  <c r="AC153" i="59"/>
  <c r="O249" i="40"/>
  <c r="IT152" i="59"/>
  <c r="R249" i="40"/>
  <c r="F153" i="59"/>
  <c r="M201" i="40"/>
  <c r="EO145" i="59"/>
  <c r="AX199" i="40"/>
  <c r="CB145" i="59"/>
  <c r="AJ200" i="40"/>
  <c r="DM145" i="59"/>
  <c r="AX195" i="40"/>
  <c r="DW144" i="59"/>
  <c r="AW198" i="40"/>
  <c r="AB145" i="59"/>
  <c r="AU196" i="40"/>
  <c r="FS144" i="59"/>
  <c r="AY130" i="40"/>
  <c r="AS131" i="59"/>
  <c r="L132" i="40"/>
  <c r="DF131" i="59"/>
  <c r="K132" i="40"/>
  <c r="DE131" i="59"/>
  <c r="H23" i="41"/>
  <c r="FX305" i="59"/>
  <c r="AR34" i="2"/>
  <c r="P259" i="59"/>
  <c r="AR24" i="2"/>
  <c r="BF257" i="59"/>
  <c r="X251" i="40"/>
  <c r="DP153" i="59"/>
  <c r="T251" i="40"/>
  <c r="DL153" i="59"/>
  <c r="Y251" i="40"/>
  <c r="DQ153" i="59"/>
  <c r="Y249" i="40"/>
  <c r="M153" i="59"/>
  <c r="X249" i="40"/>
  <c r="L153" i="59"/>
  <c r="V251" i="40"/>
  <c r="DN153" i="59"/>
  <c r="Z251" i="40"/>
  <c r="DR153" i="59"/>
  <c r="U249" i="40"/>
  <c r="I153" i="59"/>
  <c r="W249" i="40"/>
  <c r="K153" i="59"/>
  <c r="W251" i="40"/>
  <c r="DO153" i="59"/>
  <c r="IS152" i="59"/>
  <c r="Z249" i="40"/>
  <c r="N153" i="59"/>
  <c r="V249" i="40"/>
  <c r="J153" i="59"/>
  <c r="U251" i="40"/>
  <c r="DM153" i="59"/>
  <c r="AR39" i="2"/>
  <c r="HH259" i="59"/>
  <c r="AJ258" i="59"/>
  <c r="DQ256" i="59"/>
  <c r="AN19" i="2"/>
  <c r="AQ36" i="2"/>
  <c r="CW259" i="59"/>
  <c r="ER257" i="59"/>
  <c r="AQ40" i="2"/>
  <c r="IS259" i="59"/>
  <c r="CC258" i="59"/>
  <c r="AQ37" i="2"/>
  <c r="EI259" i="59"/>
  <c r="GL257" i="59"/>
  <c r="AP38" i="2"/>
  <c r="IE257" i="59"/>
  <c r="AO20" i="2"/>
  <c r="AO19" i="2"/>
  <c r="BX256" i="59"/>
  <c r="FS259" i="59"/>
  <c r="AR41" i="2"/>
  <c r="AO260" i="59"/>
  <c r="DX258" i="59"/>
  <c r="AQ35" i="2"/>
  <c r="BI259" i="59"/>
  <c r="CX257" i="59"/>
  <c r="AK17" i="5"/>
  <c r="GK163" i="59"/>
  <c r="FK256" i="59"/>
  <c r="AQ30" i="2"/>
  <c r="AQ25" i="2"/>
  <c r="AQ27" i="2"/>
  <c r="AP28" i="2"/>
  <c r="IF257" i="59"/>
  <c r="AR31" i="2"/>
  <c r="DY258" i="59"/>
  <c r="AJ380" i="5"/>
  <c r="DO235" i="59"/>
  <c r="AR29" i="2"/>
  <c r="AK258" i="59"/>
  <c r="AO21" i="2"/>
  <c r="AQ26" i="2"/>
  <c r="L23" i="41"/>
  <c r="GB305" i="59"/>
  <c r="N201" i="40"/>
  <c r="EP145" i="59"/>
  <c r="P249" i="40"/>
  <c r="IU152" i="59"/>
  <c r="AQ106" i="5"/>
  <c r="T132" i="40"/>
  <c r="DN131" i="59"/>
  <c r="X132" i="40"/>
  <c r="DR131" i="59"/>
  <c r="AB132" i="40"/>
  <c r="DV131" i="59"/>
  <c r="AF132" i="40"/>
  <c r="DZ131" i="59"/>
  <c r="AJ132" i="40"/>
  <c r="ED131" i="59"/>
  <c r="AN132" i="40"/>
  <c r="EH131" i="59"/>
  <c r="AR132" i="40"/>
  <c r="EL131" i="59"/>
  <c r="AV132" i="40"/>
  <c r="EP131" i="59"/>
  <c r="S132" i="40"/>
  <c r="DM131" i="59"/>
  <c r="W132" i="40"/>
  <c r="DQ131" i="59"/>
  <c r="AA132" i="40"/>
  <c r="DU131" i="59"/>
  <c r="AE132" i="40"/>
  <c r="DY131" i="59"/>
  <c r="AI132" i="40"/>
  <c r="EC131" i="59"/>
  <c r="AM132" i="40"/>
  <c r="EG131" i="59"/>
  <c r="AQ132" i="40"/>
  <c r="EK131" i="59"/>
  <c r="AU132" i="40"/>
  <c r="EO131" i="59"/>
  <c r="R132" i="40"/>
  <c r="DL131" i="59"/>
  <c r="V132" i="40"/>
  <c r="DP131" i="59"/>
  <c r="Z132" i="40"/>
  <c r="DT131" i="59"/>
  <c r="AD132" i="40"/>
  <c r="DX131" i="59"/>
  <c r="AH132" i="40"/>
  <c r="EB131" i="59"/>
  <c r="AL132" i="40"/>
  <c r="EF131" i="59"/>
  <c r="AP132" i="40"/>
  <c r="EJ131" i="59"/>
  <c r="AT132" i="40"/>
  <c r="EN131" i="59"/>
  <c r="AX132" i="40"/>
  <c r="ER131" i="59"/>
  <c r="U132" i="40"/>
  <c r="DO131" i="59"/>
  <c r="Y132" i="40"/>
  <c r="DS131" i="59"/>
  <c r="AC132" i="40"/>
  <c r="DW131" i="59"/>
  <c r="AG132" i="40"/>
  <c r="EA131" i="59"/>
  <c r="AK132" i="40"/>
  <c r="EE131" i="59"/>
  <c r="AO132" i="40"/>
  <c r="EI131" i="59"/>
  <c r="AS132" i="40"/>
  <c r="EM131" i="59"/>
  <c r="AW132" i="40"/>
  <c r="EQ131" i="59"/>
  <c r="N132" i="40"/>
  <c r="P132" i="40"/>
  <c r="O132" i="40"/>
  <c r="Q132" i="40"/>
  <c r="DK131" i="59"/>
  <c r="AR106" i="5"/>
  <c r="CM181" i="59"/>
  <c r="AV196" i="40"/>
  <c r="FT144" i="59"/>
  <c r="AX198" i="40"/>
  <c r="AC145" i="59"/>
  <c r="AK200" i="40"/>
  <c r="DN145" i="59"/>
  <c r="M132" i="40"/>
  <c r="C23" i="41"/>
  <c r="FS305" i="59"/>
  <c r="K96" i="40"/>
  <c r="IK123" i="59"/>
  <c r="L96" i="40"/>
  <c r="IL123" i="59"/>
  <c r="O23" i="41"/>
  <c r="GE305" i="59"/>
  <c r="DR256" i="59"/>
  <c r="BA251" i="40"/>
  <c r="ES153" i="59"/>
  <c r="AR36" i="2"/>
  <c r="CX259" i="59"/>
  <c r="ES257" i="59"/>
  <c r="AR40" i="2"/>
  <c r="IT259" i="59"/>
  <c r="CD258" i="59"/>
  <c r="AP20" i="2"/>
  <c r="FT259" i="59"/>
  <c r="AR37" i="2"/>
  <c r="EJ259" i="59"/>
  <c r="GM257" i="59"/>
  <c r="BW256" i="59"/>
  <c r="AK16" i="5"/>
  <c r="EN163" i="59"/>
  <c r="AR35" i="2"/>
  <c r="BJ259" i="59"/>
  <c r="CY257" i="59"/>
  <c r="G128" i="5"/>
  <c r="EJ185" i="59"/>
  <c r="DJ131" i="59"/>
  <c r="E128" i="5"/>
  <c r="EH185" i="59"/>
  <c r="DH131" i="59"/>
  <c r="AQ159" i="59"/>
  <c r="CL181" i="59"/>
  <c r="F128" i="5"/>
  <c r="EI185" i="59"/>
  <c r="DI131" i="59"/>
  <c r="D128" i="5"/>
  <c r="EG185" i="59"/>
  <c r="DG131" i="59"/>
  <c r="AK380" i="5"/>
  <c r="DP235" i="59"/>
  <c r="AL16" i="5"/>
  <c r="EO163" i="59"/>
  <c r="AL17" i="5"/>
  <c r="GL163" i="59"/>
  <c r="FL256" i="59"/>
  <c r="AP21" i="2"/>
  <c r="AQ38" i="2"/>
  <c r="AR27" i="2"/>
  <c r="GN257" i="59"/>
  <c r="AR25" i="2"/>
  <c r="CZ257" i="59"/>
  <c r="AQ28" i="2"/>
  <c r="IG257" i="59"/>
  <c r="AR26" i="2"/>
  <c r="ET257" i="59"/>
  <c r="AR30" i="2"/>
  <c r="CE258" i="59"/>
  <c r="H128" i="5"/>
  <c r="EK185" i="59"/>
  <c r="P128" i="5"/>
  <c r="ES185" i="59"/>
  <c r="R128" i="5"/>
  <c r="EU185" i="59"/>
  <c r="L128" i="5"/>
  <c r="EO185" i="59"/>
  <c r="M128" i="5"/>
  <c r="EP185" i="59"/>
  <c r="N128" i="5"/>
  <c r="EQ185" i="59"/>
  <c r="O128" i="5"/>
  <c r="ER185" i="59"/>
  <c r="AN128" i="5"/>
  <c r="FQ185" i="59"/>
  <c r="AO128" i="5"/>
  <c r="FR185" i="59"/>
  <c r="I128" i="5"/>
  <c r="EL185" i="59"/>
  <c r="J128" i="5"/>
  <c r="EM185" i="59"/>
  <c r="K128" i="5"/>
  <c r="EN185" i="59"/>
  <c r="AJ128" i="5"/>
  <c r="FM185" i="59"/>
  <c r="AK128" i="5"/>
  <c r="FN185" i="59"/>
  <c r="AL128" i="5"/>
  <c r="FO185" i="59"/>
  <c r="AM128" i="5"/>
  <c r="FP185" i="59"/>
  <c r="AF128" i="5"/>
  <c r="FI185" i="59"/>
  <c r="AG128" i="5"/>
  <c r="FJ185" i="59"/>
  <c r="AH128" i="5"/>
  <c r="FK185" i="59"/>
  <c r="AI128" i="5"/>
  <c r="FL185" i="59"/>
  <c r="AB128" i="5"/>
  <c r="FE185" i="59"/>
  <c r="AC128" i="5"/>
  <c r="FF185" i="59"/>
  <c r="AD128" i="5"/>
  <c r="FG185" i="59"/>
  <c r="AE128" i="5"/>
  <c r="FH185" i="59"/>
  <c r="Y128" i="5"/>
  <c r="FB185" i="59"/>
  <c r="U128" i="5"/>
  <c r="EX185" i="59"/>
  <c r="V128" i="5"/>
  <c r="EY185" i="59"/>
  <c r="S128" i="5"/>
  <c r="EV185" i="59"/>
  <c r="X128" i="5"/>
  <c r="FA185" i="59"/>
  <c r="Z128" i="5"/>
  <c r="FC185" i="59"/>
  <c r="AA128" i="5"/>
  <c r="FD185" i="59"/>
  <c r="T128" i="5"/>
  <c r="EW185" i="59"/>
  <c r="W128" i="5"/>
  <c r="EZ185" i="59"/>
  <c r="Q128" i="5"/>
  <c r="ET185" i="59"/>
  <c r="I21" i="41"/>
  <c r="ES305" i="59"/>
  <c r="BA249" i="40"/>
  <c r="AO153" i="59"/>
  <c r="O201" i="40"/>
  <c r="EQ145" i="59"/>
  <c r="G23" i="41"/>
  <c r="FW305" i="59"/>
  <c r="J21" i="41"/>
  <c r="ET305" i="59"/>
  <c r="AU96" i="40"/>
  <c r="AD124" i="59"/>
  <c r="AQ96" i="40"/>
  <c r="Z124" i="59"/>
  <c r="AM96" i="40"/>
  <c r="V124" i="59"/>
  <c r="AI96" i="40"/>
  <c r="R124" i="59"/>
  <c r="AE96" i="40"/>
  <c r="N124" i="59"/>
  <c r="AA96" i="40"/>
  <c r="J124" i="59"/>
  <c r="W96" i="40"/>
  <c r="F124" i="59"/>
  <c r="S96" i="40"/>
  <c r="IS123" i="59"/>
  <c r="O96" i="40"/>
  <c r="IO123" i="59"/>
  <c r="AV96" i="40"/>
  <c r="AE124" i="59"/>
  <c r="AR96" i="40"/>
  <c r="AA124" i="59"/>
  <c r="AN96" i="40"/>
  <c r="W124" i="59"/>
  <c r="AJ96" i="40"/>
  <c r="S124" i="59"/>
  <c r="AF96" i="40"/>
  <c r="O124" i="59"/>
  <c r="AB96" i="40"/>
  <c r="K124" i="59"/>
  <c r="X96" i="40"/>
  <c r="G124" i="59"/>
  <c r="T96" i="40"/>
  <c r="IT123" i="59"/>
  <c r="P96" i="40"/>
  <c r="AW96" i="40"/>
  <c r="AF124" i="59"/>
  <c r="AS96" i="40"/>
  <c r="AB124" i="59"/>
  <c r="AO96" i="40"/>
  <c r="X124" i="59"/>
  <c r="AK96" i="40"/>
  <c r="T124" i="59"/>
  <c r="AG96" i="40"/>
  <c r="P124" i="59"/>
  <c r="AC96" i="40"/>
  <c r="L124" i="59"/>
  <c r="Y96" i="40"/>
  <c r="H124" i="59"/>
  <c r="U96" i="40"/>
  <c r="IU123" i="59"/>
  <c r="Q96" i="40"/>
  <c r="IQ123" i="59"/>
  <c r="AP96" i="40"/>
  <c r="Y124" i="59"/>
  <c r="Z96" i="40"/>
  <c r="I124" i="59"/>
  <c r="AT96" i="40"/>
  <c r="AC124" i="59"/>
  <c r="AD96" i="40"/>
  <c r="M124" i="59"/>
  <c r="N96" i="40"/>
  <c r="AX96" i="40"/>
  <c r="AG124" i="59"/>
  <c r="AH96" i="40"/>
  <c r="Q124" i="59"/>
  <c r="R96" i="40"/>
  <c r="IR123" i="59"/>
  <c r="AL96" i="40"/>
  <c r="U124" i="59"/>
  <c r="V96" i="40"/>
  <c r="IV123" i="59"/>
  <c r="AT106" i="5"/>
  <c r="CO181" i="59"/>
  <c r="O21" i="41"/>
  <c r="EY305" i="59"/>
  <c r="AL200" i="40"/>
  <c r="DO145" i="59"/>
  <c r="AW196" i="40"/>
  <c r="FU144" i="59"/>
  <c r="M96" i="40"/>
  <c r="IM123" i="59"/>
  <c r="P23" i="41"/>
  <c r="GF305" i="59"/>
  <c r="N23" i="41"/>
  <c r="GD305" i="59"/>
  <c r="AY132" i="40"/>
  <c r="ES131" i="59"/>
  <c r="DS256" i="59"/>
  <c r="AP19" i="2"/>
  <c r="AQ20" i="2"/>
  <c r="AQ19" i="2"/>
  <c r="BZ256" i="59"/>
  <c r="FU259" i="59"/>
  <c r="E129" i="5"/>
  <c r="GE185" i="59"/>
  <c r="IN123" i="59"/>
  <c r="G129" i="5"/>
  <c r="GG185" i="59"/>
  <c r="IP123" i="59"/>
  <c r="AM17" i="5"/>
  <c r="GM163" i="59"/>
  <c r="FM256" i="59"/>
  <c r="AQ21" i="2"/>
  <c r="AR38" i="2"/>
  <c r="AL380" i="5"/>
  <c r="DQ235" i="59"/>
  <c r="AR28" i="2"/>
  <c r="IH257" i="59"/>
  <c r="D129" i="5"/>
  <c r="GD185" i="59"/>
  <c r="I129" i="5"/>
  <c r="GI185" i="59"/>
  <c r="H129" i="5"/>
  <c r="GH185" i="59"/>
  <c r="AN129" i="5"/>
  <c r="HN185" i="59"/>
  <c r="AI129" i="5"/>
  <c r="HI185" i="59"/>
  <c r="AD129" i="5"/>
  <c r="HD185" i="59"/>
  <c r="Y129" i="5"/>
  <c r="GY185" i="59"/>
  <c r="L129" i="5"/>
  <c r="GL185" i="59"/>
  <c r="AM129" i="5"/>
  <c r="HM185" i="59"/>
  <c r="AH129" i="5"/>
  <c r="HH185" i="59"/>
  <c r="AO129" i="5"/>
  <c r="HO185" i="59"/>
  <c r="P129" i="5"/>
  <c r="GP185" i="59"/>
  <c r="K129" i="5"/>
  <c r="GK185" i="59"/>
  <c r="F129" i="5"/>
  <c r="GF185" i="59"/>
  <c r="AL129" i="5"/>
  <c r="HL185" i="59"/>
  <c r="T129" i="5"/>
  <c r="GT185" i="59"/>
  <c r="U129" i="5"/>
  <c r="GU185" i="59"/>
  <c r="X129" i="5"/>
  <c r="GX185" i="59"/>
  <c r="S129" i="5"/>
  <c r="GS185" i="59"/>
  <c r="N129" i="5"/>
  <c r="GN185" i="59"/>
  <c r="AK129" i="5"/>
  <c r="HK185" i="59"/>
  <c r="AB129" i="5"/>
  <c r="HB185" i="59"/>
  <c r="W129" i="5"/>
  <c r="GW185" i="59"/>
  <c r="R129" i="5"/>
  <c r="GR185" i="59"/>
  <c r="O129" i="5"/>
  <c r="GO185" i="59"/>
  <c r="M129" i="5"/>
  <c r="GM185" i="59"/>
  <c r="AF129" i="5"/>
  <c r="HF185" i="59"/>
  <c r="AA129" i="5"/>
  <c r="HA185" i="59"/>
  <c r="V129" i="5"/>
  <c r="GV185" i="59"/>
  <c r="J129" i="5"/>
  <c r="GJ185" i="59"/>
  <c r="Q129" i="5"/>
  <c r="GQ185" i="59"/>
  <c r="AC129" i="5"/>
  <c r="HC185" i="59"/>
  <c r="AG129" i="5"/>
  <c r="HG185" i="59"/>
  <c r="AJ129" i="5"/>
  <c r="HJ185" i="59"/>
  <c r="AE129" i="5"/>
  <c r="HE185" i="59"/>
  <c r="Z129" i="5"/>
  <c r="GZ185" i="59"/>
  <c r="P201" i="40"/>
  <c r="ER145" i="59"/>
  <c r="K21" i="41"/>
  <c r="EU305" i="59"/>
  <c r="AM200" i="40"/>
  <c r="DP145" i="59"/>
  <c r="AX196" i="40"/>
  <c r="FV144" i="59"/>
  <c r="AR128" i="5"/>
  <c r="FU185" i="59"/>
  <c r="AQ128" i="5"/>
  <c r="FT185" i="59"/>
  <c r="AY96" i="40"/>
  <c r="AH124" i="59"/>
  <c r="DT256" i="59"/>
  <c r="AR20" i="2"/>
  <c r="DU256" i="59"/>
  <c r="FV259" i="59"/>
  <c r="BY256" i="59"/>
  <c r="AM16" i="5"/>
  <c r="EP163" i="59"/>
  <c r="AN16" i="5"/>
  <c r="EQ163" i="59"/>
  <c r="AN17" i="5"/>
  <c r="GN163" i="59"/>
  <c r="FN256" i="59"/>
  <c r="AM380" i="5"/>
  <c r="DR235" i="59"/>
  <c r="AR21" i="2"/>
  <c r="Q201" i="40"/>
  <c r="ES145" i="59"/>
  <c r="J23" i="41"/>
  <c r="FZ305" i="59"/>
  <c r="L21" i="41"/>
  <c r="EV305" i="59"/>
  <c r="AN200" i="40"/>
  <c r="DQ145" i="59"/>
  <c r="AQ129" i="5"/>
  <c r="HQ185" i="59"/>
  <c r="AR129" i="5"/>
  <c r="HR185" i="59"/>
  <c r="D127" i="5"/>
  <c r="CJ185" i="59"/>
  <c r="I23" i="41"/>
  <c r="FY305" i="59"/>
  <c r="AT128" i="5"/>
  <c r="FW185" i="59"/>
  <c r="AR19" i="2"/>
  <c r="AO16" i="5"/>
  <c r="ER163" i="59"/>
  <c r="AN380" i="5"/>
  <c r="DS235" i="59"/>
  <c r="AO17" i="5"/>
  <c r="GO163" i="59"/>
  <c r="FO256" i="59"/>
  <c r="R201" i="40"/>
  <c r="ET145" i="59"/>
  <c r="D23" i="41"/>
  <c r="FT305" i="59"/>
  <c r="E23" i="41"/>
  <c r="FU305" i="59"/>
  <c r="K23" i="41"/>
  <c r="GA305" i="59"/>
  <c r="AO200" i="40"/>
  <c r="DR145" i="59"/>
  <c r="AT129" i="5"/>
  <c r="HT185" i="59"/>
  <c r="CA256" i="59"/>
  <c r="AO380" i="5"/>
  <c r="DT235" i="59"/>
  <c r="AR17" i="5"/>
  <c r="GR163" i="59"/>
  <c r="C17" i="5"/>
  <c r="FC163" i="59"/>
  <c r="F23" i="41"/>
  <c r="FV305" i="59"/>
  <c r="S201" i="40"/>
  <c r="EU145" i="59"/>
  <c r="AP200" i="40"/>
  <c r="DS145" i="59"/>
  <c r="E127" i="5"/>
  <c r="CK185" i="59"/>
  <c r="F127" i="5"/>
  <c r="CL185" i="59"/>
  <c r="F408" i="5"/>
  <c r="AA241" i="59"/>
  <c r="AT17" i="5"/>
  <c r="GT163" i="59"/>
  <c r="AR365" i="5"/>
  <c r="DV232" i="59"/>
  <c r="T201" i="40"/>
  <c r="EV145" i="59"/>
  <c r="AQ200" i="40"/>
  <c r="DT145" i="59"/>
  <c r="G127" i="5"/>
  <c r="CM185" i="59"/>
  <c r="U201" i="40"/>
  <c r="EW145" i="59"/>
  <c r="AR200" i="40"/>
  <c r="DU145" i="59"/>
  <c r="H127" i="5"/>
  <c r="CN185" i="59"/>
  <c r="V201" i="40"/>
  <c r="EX145" i="59"/>
  <c r="AS200" i="40"/>
  <c r="DV145" i="59"/>
  <c r="I127" i="5"/>
  <c r="CO185" i="59"/>
  <c r="W201" i="40"/>
  <c r="EY145" i="59"/>
  <c r="AT200" i="40"/>
  <c r="DW145" i="59"/>
  <c r="J127" i="5"/>
  <c r="CP185" i="59"/>
  <c r="X201" i="40"/>
  <c r="EZ145" i="59"/>
  <c r="AU200" i="40"/>
  <c r="DX145" i="59"/>
  <c r="K127" i="5"/>
  <c r="CQ185" i="59"/>
  <c r="Y201" i="40"/>
  <c r="FA145" i="59"/>
  <c r="AV200" i="40"/>
  <c r="DY145" i="59"/>
  <c r="L127" i="5"/>
  <c r="CR185" i="59"/>
  <c r="Z201" i="40"/>
  <c r="FB145" i="59"/>
  <c r="AW200" i="40"/>
  <c r="DZ145" i="59"/>
  <c r="M127" i="5"/>
  <c r="CS185" i="59"/>
  <c r="AA201" i="40"/>
  <c r="FC145" i="59"/>
  <c r="AX200" i="40"/>
  <c r="EA145" i="59"/>
  <c r="N127" i="5"/>
  <c r="CT185" i="59"/>
  <c r="AB201" i="40"/>
  <c r="FD145" i="59"/>
  <c r="O127" i="5"/>
  <c r="CU185" i="59"/>
  <c r="AC201" i="40"/>
  <c r="FE145" i="59"/>
  <c r="P127" i="5"/>
  <c r="CV185" i="59"/>
  <c r="AQ127" i="5"/>
  <c r="DW185" i="59"/>
  <c r="AD201" i="40"/>
  <c r="FF145" i="59"/>
  <c r="Q127" i="5"/>
  <c r="CW185" i="59"/>
  <c r="AE201" i="40"/>
  <c r="FG145" i="59"/>
  <c r="M23" i="41"/>
  <c r="GC305" i="59"/>
  <c r="R127" i="5"/>
  <c r="CX185" i="59"/>
  <c r="AF201" i="40"/>
  <c r="FH145" i="59"/>
  <c r="S127" i="5"/>
  <c r="CY185" i="59"/>
  <c r="AG201" i="40"/>
  <c r="FI145" i="59"/>
  <c r="T127" i="5"/>
  <c r="CZ185" i="59"/>
  <c r="AH201" i="40"/>
  <c r="FJ145" i="59"/>
  <c r="U127" i="5"/>
  <c r="DA185" i="59"/>
  <c r="AI201" i="40"/>
  <c r="FK145" i="59"/>
  <c r="V127" i="5"/>
  <c r="DB185" i="59"/>
  <c r="AJ201" i="40"/>
  <c r="FL145" i="59"/>
  <c r="W127" i="5"/>
  <c r="DC185" i="59"/>
  <c r="AK201" i="40"/>
  <c r="FM145" i="59"/>
  <c r="X127" i="5"/>
  <c r="DD185" i="59"/>
  <c r="AL201" i="40"/>
  <c r="FN145" i="59"/>
  <c r="Y127" i="5"/>
  <c r="DE185" i="59"/>
  <c r="AM201" i="40"/>
  <c r="FO145" i="59"/>
  <c r="Z127" i="5"/>
  <c r="DF185" i="59"/>
  <c r="AN201" i="40"/>
  <c r="FP145" i="59"/>
  <c r="AA127" i="5"/>
  <c r="DG185" i="59"/>
  <c r="AO201" i="40"/>
  <c r="FQ145" i="59"/>
  <c r="AB127" i="5"/>
  <c r="DH185" i="59"/>
  <c r="AP201" i="40"/>
  <c r="FR145" i="59"/>
  <c r="AC127" i="5"/>
  <c r="DI185" i="59"/>
  <c r="AQ201" i="40"/>
  <c r="FS145" i="59"/>
  <c r="AD127" i="5"/>
  <c r="DJ185" i="59"/>
  <c r="AR201" i="40"/>
  <c r="FT145" i="59"/>
  <c r="AE127" i="5"/>
  <c r="DK185" i="59"/>
  <c r="AS201" i="40"/>
  <c r="FU145" i="59"/>
  <c r="AF127" i="5"/>
  <c r="DL185" i="59"/>
  <c r="AT201" i="40"/>
  <c r="FV145" i="59"/>
  <c r="AG127" i="5"/>
  <c r="DM185" i="59"/>
  <c r="AU201" i="40"/>
  <c r="FW145" i="59"/>
  <c r="AH127" i="5"/>
  <c r="DN185" i="59"/>
  <c r="AV201" i="40"/>
  <c r="FX145" i="59"/>
  <c r="AI127" i="5"/>
  <c r="DO185" i="59"/>
  <c r="AW201" i="40"/>
  <c r="FY145" i="59"/>
  <c r="AJ127" i="5"/>
  <c r="DP185" i="59"/>
  <c r="AX201" i="40"/>
  <c r="FZ145" i="59"/>
  <c r="AK127" i="5"/>
  <c r="DQ185" i="59"/>
  <c r="AL127" i="5"/>
  <c r="DR185" i="59"/>
  <c r="AM127" i="5"/>
  <c r="DS185" i="59"/>
  <c r="AN127" i="5"/>
  <c r="DT185" i="59"/>
  <c r="AO127" i="5"/>
  <c r="DU185" i="59"/>
  <c r="J16" i="40"/>
  <c r="HH107" i="59"/>
  <c r="I245" i="40"/>
  <c r="J44" i="40"/>
  <c r="BB113" i="59"/>
  <c r="H126" i="40"/>
  <c r="AS130" i="59"/>
  <c r="AS62" i="5"/>
  <c r="FO172" i="59"/>
  <c r="E8" i="40"/>
  <c r="BN106" i="59"/>
  <c r="L245" i="40"/>
  <c r="AI152" i="59"/>
  <c r="AF152" i="59"/>
  <c r="K245" i="40"/>
  <c r="AH152" i="59"/>
  <c r="E9" i="40"/>
  <c r="N42" i="40"/>
  <c r="HE112" i="59"/>
  <c r="J245" i="40"/>
  <c r="AG152" i="59"/>
  <c r="M245" i="40"/>
  <c r="AJ152" i="59"/>
  <c r="J126" i="40"/>
  <c r="AU130" i="59"/>
  <c r="N27" i="40"/>
  <c r="IL109" i="59"/>
  <c r="N35" i="40"/>
  <c r="DX111" i="59"/>
  <c r="N14" i="40"/>
  <c r="DT107" i="59"/>
  <c r="N19" i="40"/>
  <c r="DI108" i="59"/>
  <c r="N24" i="40"/>
  <c r="CX109" i="59"/>
  <c r="N32" i="40"/>
  <c r="IA110" i="59"/>
  <c r="N40" i="40"/>
  <c r="DM112" i="59"/>
  <c r="N23" i="40"/>
  <c r="BB109" i="59"/>
  <c r="N39" i="40"/>
  <c r="BQ112" i="59"/>
  <c r="N21" i="40"/>
  <c r="HA108" i="59"/>
  <c r="N36" i="40"/>
  <c r="FT111" i="59"/>
  <c r="N37" i="40"/>
  <c r="HP111" i="59"/>
  <c r="N16" i="40"/>
  <c r="HL107" i="59"/>
  <c r="N34" i="40"/>
  <c r="CB111" i="59"/>
  <c r="N25" i="40"/>
  <c r="ET109" i="59"/>
  <c r="N33" i="40"/>
  <c r="AF111" i="59"/>
  <c r="N41" i="40"/>
  <c r="FI112" i="59"/>
  <c r="N18" i="40"/>
  <c r="BM108" i="59"/>
  <c r="N22" i="40"/>
  <c r="F109" i="59"/>
  <c r="N30" i="40"/>
  <c r="EI110" i="59"/>
  <c r="N38" i="40"/>
  <c r="U112" i="59"/>
  <c r="N31" i="40"/>
  <c r="GE110" i="59"/>
  <c r="N17" i="40"/>
  <c r="Q108" i="59"/>
  <c r="N28" i="40"/>
  <c r="AQ110" i="59"/>
  <c r="N13" i="40"/>
  <c r="BX107" i="59"/>
  <c r="N15" i="40"/>
  <c r="FP107" i="59"/>
  <c r="N29" i="40"/>
  <c r="CM110" i="59"/>
  <c r="N20" i="40"/>
  <c r="FE108" i="59"/>
  <c r="N26" i="40"/>
  <c r="GP109" i="59"/>
  <c r="H17" i="41"/>
  <c r="CF305" i="59"/>
  <c r="L126" i="40"/>
  <c r="AW130" i="59"/>
  <c r="K126" i="40"/>
  <c r="AV130" i="59"/>
  <c r="E9" i="5"/>
  <c r="B49" i="50"/>
  <c r="T37" i="53"/>
  <c r="DA380" i="59"/>
  <c r="DN106" i="59"/>
  <c r="C25" i="7"/>
  <c r="AF300" i="59"/>
  <c r="N245" i="40"/>
  <c r="AK152" i="59"/>
  <c r="R126" i="40"/>
  <c r="BC130" i="59"/>
  <c r="V126" i="40"/>
  <c r="BG130" i="59"/>
  <c r="Z126" i="40"/>
  <c r="BK130" i="59"/>
  <c r="AD126" i="40"/>
  <c r="BO130" i="59"/>
  <c r="AH126" i="40"/>
  <c r="BS130" i="59"/>
  <c r="AL126" i="40"/>
  <c r="BW130" i="59"/>
  <c r="AP126" i="40"/>
  <c r="CA130" i="59"/>
  <c r="AT126" i="40"/>
  <c r="CE130" i="59"/>
  <c r="AX126" i="40"/>
  <c r="CI130" i="59"/>
  <c r="U126" i="40"/>
  <c r="BF130" i="59"/>
  <c r="Y126" i="40"/>
  <c r="BJ130" i="59"/>
  <c r="AC126" i="40"/>
  <c r="BN130" i="59"/>
  <c r="AG126" i="40"/>
  <c r="BR130" i="59"/>
  <c r="AK126" i="40"/>
  <c r="BV130" i="59"/>
  <c r="AO126" i="40"/>
  <c r="BZ130" i="59"/>
  <c r="AS126" i="40"/>
  <c r="CD130" i="59"/>
  <c r="AW126" i="40"/>
  <c r="CH130" i="59"/>
  <c r="T126" i="40"/>
  <c r="BE130" i="59"/>
  <c r="X126" i="40"/>
  <c r="BI130" i="59"/>
  <c r="AB126" i="40"/>
  <c r="BM130" i="59"/>
  <c r="AF126" i="40"/>
  <c r="BQ130" i="59"/>
  <c r="AJ126" i="40"/>
  <c r="BU130" i="59"/>
  <c r="AN126" i="40"/>
  <c r="BY130" i="59"/>
  <c r="AR126" i="40"/>
  <c r="CC130" i="59"/>
  <c r="AV126" i="40"/>
  <c r="CG130" i="59"/>
  <c r="S126" i="40"/>
  <c r="BD130" i="59"/>
  <c r="W126" i="40"/>
  <c r="BH130" i="59"/>
  <c r="AA126" i="40"/>
  <c r="BL130" i="59"/>
  <c r="AE126" i="40"/>
  <c r="BP130" i="59"/>
  <c r="AI126" i="40"/>
  <c r="BT130" i="59"/>
  <c r="AM126" i="40"/>
  <c r="BX130" i="59"/>
  <c r="AQ126" i="40"/>
  <c r="CB130" i="59"/>
  <c r="AU126" i="40"/>
  <c r="CF130" i="59"/>
  <c r="Q126" i="40"/>
  <c r="BB130" i="59"/>
  <c r="P126" i="40"/>
  <c r="BA130" i="59"/>
  <c r="O126" i="40"/>
  <c r="AZ130" i="59"/>
  <c r="N126" i="40"/>
  <c r="AY130" i="59"/>
  <c r="Z245" i="40"/>
  <c r="AW152" i="59"/>
  <c r="AA245" i="40"/>
  <c r="AX152" i="59"/>
  <c r="Y245" i="40"/>
  <c r="AV152" i="59"/>
  <c r="AJ245" i="40"/>
  <c r="BG152" i="59"/>
  <c r="X245" i="40"/>
  <c r="AU152" i="59"/>
  <c r="AU245" i="40"/>
  <c r="BR152" i="59"/>
  <c r="W245" i="40"/>
  <c r="AT152" i="59"/>
  <c r="AR245" i="40"/>
  <c r="BO152" i="59"/>
  <c r="AG245" i="40"/>
  <c r="BD152" i="59"/>
  <c r="AQ245" i="40"/>
  <c r="BN152" i="59"/>
  <c r="T245" i="40"/>
  <c r="AQ152" i="59"/>
  <c r="O245" i="40"/>
  <c r="AL152" i="59"/>
  <c r="AN245" i="40"/>
  <c r="BK152" i="59"/>
  <c r="AT245" i="40"/>
  <c r="BQ152" i="59"/>
  <c r="AP245" i="40"/>
  <c r="BM152" i="59"/>
  <c r="AV245" i="40"/>
  <c r="BS152" i="59"/>
  <c r="AD245" i="40"/>
  <c r="BA152" i="59"/>
  <c r="S245" i="40"/>
  <c r="AP152" i="59"/>
  <c r="AC245" i="40"/>
  <c r="AZ152" i="59"/>
  <c r="AO245" i="40"/>
  <c r="BL152" i="59"/>
  <c r="AF245" i="40"/>
  <c r="BC152" i="59"/>
  <c r="AI245" i="40"/>
  <c r="BF152" i="59"/>
  <c r="AX245" i="40"/>
  <c r="BU152" i="59"/>
  <c r="AE245" i="40"/>
  <c r="BB152" i="59"/>
  <c r="AW245" i="40"/>
  <c r="BT152" i="59"/>
  <c r="AB245" i="40"/>
  <c r="AY152" i="59"/>
  <c r="AH245" i="40"/>
  <c r="BE152" i="59"/>
  <c r="AM245" i="40"/>
  <c r="BJ152" i="59"/>
  <c r="AL245" i="40"/>
  <c r="BI152" i="59"/>
  <c r="AS245" i="40"/>
  <c r="BP152" i="59"/>
  <c r="AY245" i="40"/>
  <c r="BV152" i="59"/>
  <c r="AK245" i="40"/>
  <c r="BH152" i="59"/>
  <c r="AZ245" i="40"/>
  <c r="BW152" i="59"/>
  <c r="Q245" i="40"/>
  <c r="AN152" i="59"/>
  <c r="P245" i="40"/>
  <c r="AM152" i="59"/>
  <c r="M126" i="40"/>
  <c r="I172" i="40"/>
  <c r="FI139" i="59"/>
  <c r="AS171" i="5"/>
  <c r="AX194" i="59"/>
  <c r="AT171" i="5"/>
  <c r="AY194" i="59"/>
  <c r="I159" i="40"/>
  <c r="IU136" i="59"/>
  <c r="AS28" i="5"/>
  <c r="IJ165" i="59"/>
  <c r="AS303" i="5"/>
  <c r="BL220" i="59"/>
  <c r="AT303" i="5"/>
  <c r="BM220" i="59"/>
  <c r="I184" i="40"/>
  <c r="X142" i="59"/>
  <c r="AT336" i="5"/>
  <c r="GL226" i="59"/>
  <c r="I187" i="40"/>
  <c r="FU142" i="59"/>
  <c r="AS336" i="5"/>
  <c r="GK226" i="59"/>
  <c r="I162" i="40"/>
  <c r="FA137" i="59"/>
  <c r="AS61" i="5"/>
  <c r="DR172" i="59"/>
  <c r="I185" i="40"/>
  <c r="BW142" i="59"/>
  <c r="AS314" i="5"/>
  <c r="DC222" i="59"/>
  <c r="AT314" i="5"/>
  <c r="DD222" i="59"/>
  <c r="AT149" i="5"/>
  <c r="HH189" i="59"/>
  <c r="I170" i="40"/>
  <c r="BK139" i="59"/>
  <c r="AS149" i="5"/>
  <c r="HG189" i="59"/>
  <c r="AS182" i="5"/>
  <c r="CO196" i="59"/>
  <c r="AT182" i="5"/>
  <c r="CP196" i="59"/>
  <c r="I173" i="40"/>
  <c r="HH139" i="59"/>
  <c r="AS50" i="5"/>
  <c r="CA170" i="59"/>
  <c r="I161" i="40"/>
  <c r="DB137" i="59"/>
  <c r="I164" i="40"/>
  <c r="H138" i="59"/>
  <c r="AS83" i="5"/>
  <c r="GZ176" i="59"/>
  <c r="AS259" i="5"/>
  <c r="EM211" i="59"/>
  <c r="AT259" i="5"/>
  <c r="EN211" i="59"/>
  <c r="I180" i="40"/>
  <c r="BS141" i="59"/>
  <c r="AS116" i="5"/>
  <c r="CH183" i="59"/>
  <c r="I167" i="40"/>
  <c r="FE138" i="59"/>
  <c r="AT270" i="5"/>
  <c r="GE213" i="59"/>
  <c r="AS270" i="5"/>
  <c r="GD213" i="59"/>
  <c r="I181" i="40"/>
  <c r="DR141" i="59"/>
  <c r="AS204" i="5"/>
  <c r="FW200" i="59"/>
  <c r="AT204" i="5"/>
  <c r="FX200" i="59"/>
  <c r="I175" i="40"/>
  <c r="BO140" i="59"/>
  <c r="I163" i="40"/>
  <c r="GZ137" i="59"/>
  <c r="AS72" i="5"/>
  <c r="FI174" i="59"/>
  <c r="AS127" i="5"/>
  <c r="DY185" i="59"/>
  <c r="I168" i="40"/>
  <c r="HD138" i="59"/>
  <c r="AT127" i="5"/>
  <c r="DZ185" i="59"/>
  <c r="AS160" i="5"/>
  <c r="AT160" i="5"/>
  <c r="I171" i="40"/>
  <c r="DJ139" i="59"/>
  <c r="AS281" i="5"/>
  <c r="HU215" i="59"/>
  <c r="I182" i="40"/>
  <c r="FQ141" i="59"/>
  <c r="AT281" i="5"/>
  <c r="HV215" i="59"/>
  <c r="I186" i="40"/>
  <c r="DV142" i="59"/>
  <c r="AT325" i="5"/>
  <c r="EU224" i="59"/>
  <c r="AS325" i="5"/>
  <c r="ET224" i="59"/>
  <c r="AS39" i="5"/>
  <c r="AJ168" i="59"/>
  <c r="I160" i="40"/>
  <c r="BC137" i="59"/>
  <c r="I188" i="40"/>
  <c r="HT142" i="59"/>
  <c r="AT347" i="5"/>
  <c r="IC228" i="59"/>
  <c r="AS347" i="5"/>
  <c r="IB228" i="59"/>
  <c r="AT226" i="5"/>
  <c r="O205" i="59"/>
  <c r="I177" i="40"/>
  <c r="FM140" i="59"/>
  <c r="AS226" i="5"/>
  <c r="N205" i="59"/>
  <c r="AS237" i="5"/>
  <c r="BE207" i="59"/>
  <c r="I178" i="40"/>
  <c r="HL140" i="59"/>
  <c r="AT237" i="5"/>
  <c r="BF207" i="59"/>
  <c r="AS105" i="5"/>
  <c r="AQ181" i="59"/>
  <c r="I166" i="40"/>
  <c r="DF138" i="59"/>
  <c r="AT193" i="5"/>
  <c r="EG198" i="59"/>
  <c r="AS193" i="5"/>
  <c r="EF198" i="59"/>
  <c r="I174" i="40"/>
  <c r="P140" i="59"/>
  <c r="I176" i="40"/>
  <c r="DN140" i="59"/>
  <c r="AT215" i="5"/>
  <c r="HO202" i="59"/>
  <c r="AS215" i="5"/>
  <c r="HN202" i="59"/>
  <c r="I179" i="40"/>
  <c r="T141" i="59"/>
  <c r="AS248" i="5"/>
  <c r="CV209" i="59"/>
  <c r="AT248" i="5"/>
  <c r="CW209" i="59"/>
  <c r="AT292" i="5"/>
  <c r="V218" i="59"/>
  <c r="I183" i="40"/>
  <c r="HP141" i="59"/>
  <c r="AS292" i="5"/>
  <c r="U218" i="59"/>
  <c r="AT138" i="5"/>
  <c r="FQ187" i="59"/>
  <c r="I169" i="40"/>
  <c r="L139" i="59"/>
  <c r="AS138" i="5"/>
  <c r="FP187" i="59"/>
  <c r="I165" i="40"/>
  <c r="BG138" i="59"/>
  <c r="AS94" i="5"/>
  <c r="IQ178" i="59"/>
  <c r="V245" i="40"/>
  <c r="AS152" i="59"/>
  <c r="U245" i="40"/>
  <c r="AR152" i="59"/>
  <c r="GT379" i="59"/>
  <c r="DN162" i="59"/>
  <c r="D62" i="5"/>
  <c r="DZ172" i="59"/>
  <c r="AX130" i="59"/>
  <c r="DW158" i="59"/>
  <c r="H192" i="59"/>
  <c r="G192" i="59"/>
  <c r="DV158" i="59"/>
  <c r="AK62" i="5"/>
  <c r="FG172" i="59"/>
  <c r="AD62" i="5"/>
  <c r="EZ172" i="59"/>
  <c r="AE62" i="5"/>
  <c r="FA172" i="59"/>
  <c r="AF62" i="5"/>
  <c r="FB172" i="59"/>
  <c r="AG62" i="5"/>
  <c r="FC172" i="59"/>
  <c r="Z62" i="5"/>
  <c r="EV172" i="59"/>
  <c r="AA62" i="5"/>
  <c r="EW172" i="59"/>
  <c r="AB62" i="5"/>
  <c r="EX172" i="59"/>
  <c r="AC62" i="5"/>
  <c r="EY172" i="59"/>
  <c r="AH62" i="5"/>
  <c r="FD172" i="59"/>
  <c r="AJ62" i="5"/>
  <c r="FF172" i="59"/>
  <c r="E62" i="5"/>
  <c r="EA172" i="59"/>
  <c r="X62" i="5"/>
  <c r="ET172" i="59"/>
  <c r="G62" i="5"/>
  <c r="EC172" i="59"/>
  <c r="N62" i="5"/>
  <c r="EJ172" i="59"/>
  <c r="O62" i="5"/>
  <c r="EK172" i="59"/>
  <c r="P62" i="5"/>
  <c r="EL172" i="59"/>
  <c r="Q62" i="5"/>
  <c r="EM172" i="59"/>
  <c r="AI62" i="5"/>
  <c r="FE172" i="59"/>
  <c r="V62" i="5"/>
  <c r="ER172" i="59"/>
  <c r="Y62" i="5"/>
  <c r="EU172" i="59"/>
  <c r="R62" i="5"/>
  <c r="EN172" i="59"/>
  <c r="U62" i="5"/>
  <c r="EQ172" i="59"/>
  <c r="H62" i="5"/>
  <c r="ED172" i="59"/>
  <c r="J62" i="5"/>
  <c r="EF172" i="59"/>
  <c r="K62" i="5"/>
  <c r="EG172" i="59"/>
  <c r="L62" i="5"/>
  <c r="EH172" i="59"/>
  <c r="M62" i="5"/>
  <c r="EI172" i="59"/>
  <c r="W62" i="5"/>
  <c r="ES172" i="59"/>
  <c r="F62" i="5"/>
  <c r="EB172" i="59"/>
  <c r="S62" i="5"/>
  <c r="EO172" i="59"/>
  <c r="T62" i="5"/>
  <c r="EP172" i="59"/>
  <c r="AL62" i="5"/>
  <c r="FH172" i="59"/>
  <c r="AM62" i="5"/>
  <c r="FI172" i="59"/>
  <c r="AN62" i="5"/>
  <c r="FJ172" i="59"/>
  <c r="AO62" i="5"/>
  <c r="FK172" i="59"/>
  <c r="I62" i="5"/>
  <c r="EE172" i="59"/>
  <c r="AI272" i="40"/>
  <c r="J158" i="59"/>
  <c r="AP272" i="40"/>
  <c r="Q158" i="59"/>
  <c r="W272" i="40"/>
  <c r="IO157" i="59"/>
  <c r="M197" i="40"/>
  <c r="GJ144" i="59"/>
  <c r="AL272" i="40"/>
  <c r="M158" i="59"/>
  <c r="AT272" i="40"/>
  <c r="U158" i="59"/>
  <c r="AU272" i="40"/>
  <c r="V158" i="59"/>
  <c r="AF272" i="40"/>
  <c r="G158" i="59"/>
  <c r="AO272" i="40"/>
  <c r="P158" i="59"/>
  <c r="AJ272" i="40"/>
  <c r="K158" i="59"/>
  <c r="AZ272" i="40"/>
  <c r="AA158" i="59"/>
  <c r="AK272" i="40"/>
  <c r="L158" i="59"/>
  <c r="AW272" i="40"/>
  <c r="X158" i="59"/>
  <c r="S272" i="40"/>
  <c r="IK157" i="59"/>
  <c r="AQ272" i="40"/>
  <c r="R158" i="59"/>
  <c r="AA272" i="40"/>
  <c r="IS157" i="59"/>
  <c r="P272" i="40"/>
  <c r="IH157" i="59"/>
  <c r="Q272" i="40"/>
  <c r="II157" i="59"/>
  <c r="AB272" i="40"/>
  <c r="IT157" i="59"/>
  <c r="T272" i="40"/>
  <c r="IL157" i="59"/>
  <c r="AY272" i="40"/>
  <c r="Z158" i="59"/>
  <c r="AE272" i="40"/>
  <c r="F158" i="59"/>
  <c r="AD272" i="40"/>
  <c r="IV157" i="59"/>
  <c r="AG272" i="40"/>
  <c r="H158" i="59"/>
  <c r="Z272" i="40"/>
  <c r="IR157" i="59"/>
  <c r="AM272" i="40"/>
  <c r="N158" i="59"/>
  <c r="AN272" i="40"/>
  <c r="O158" i="59"/>
  <c r="X272" i="40"/>
  <c r="IP157" i="59"/>
  <c r="AH272" i="40"/>
  <c r="I158" i="59"/>
  <c r="O272" i="40"/>
  <c r="IG157" i="59"/>
  <c r="AC272" i="40"/>
  <c r="IU157" i="59"/>
  <c r="Y272" i="40"/>
  <c r="IQ157" i="59"/>
  <c r="AS272" i="40"/>
  <c r="T158" i="59"/>
  <c r="AX272" i="40"/>
  <c r="Y158" i="59"/>
  <c r="AV272" i="40"/>
  <c r="W158" i="59"/>
  <c r="AR272" i="40"/>
  <c r="S158" i="59"/>
  <c r="R245" i="40"/>
  <c r="AO152" i="59"/>
  <c r="P171" i="40"/>
  <c r="DQ139" i="59"/>
  <c r="V171" i="40"/>
  <c r="DW139" i="59"/>
  <c r="O171" i="40"/>
  <c r="DP139" i="59"/>
  <c r="Z171" i="40"/>
  <c r="EA139" i="59"/>
  <c r="AB171" i="40"/>
  <c r="EC139" i="59"/>
  <c r="AW171" i="40"/>
  <c r="EX139" i="59"/>
  <c r="AC171" i="40"/>
  <c r="ED139" i="59"/>
  <c r="AR171" i="40"/>
  <c r="ES139" i="59"/>
  <c r="W171" i="40"/>
  <c r="DX139" i="59"/>
  <c r="S171" i="40"/>
  <c r="DT139" i="59"/>
  <c r="AV171" i="40"/>
  <c r="EW139" i="59"/>
  <c r="M171" i="40"/>
  <c r="DN139" i="59"/>
  <c r="AG171" i="40"/>
  <c r="EH139" i="59"/>
  <c r="AT171" i="40"/>
  <c r="EU139" i="59"/>
  <c r="AL171" i="40"/>
  <c r="EM139" i="59"/>
  <c r="AQ171" i="40"/>
  <c r="ER139" i="59"/>
  <c r="AP171" i="40"/>
  <c r="EQ139" i="59"/>
  <c r="AN171" i="40"/>
  <c r="EO139" i="59"/>
  <c r="T171" i="40"/>
  <c r="DU139" i="59"/>
  <c r="R171" i="40"/>
  <c r="DS139" i="59"/>
  <c r="AK171" i="40"/>
  <c r="EL139" i="59"/>
  <c r="Q171" i="40"/>
  <c r="DR139" i="59"/>
  <c r="AU171" i="40"/>
  <c r="EV139" i="59"/>
  <c r="U171" i="40"/>
  <c r="DV139" i="59"/>
  <c r="AS171" i="40"/>
  <c r="ET139" i="59"/>
  <c r="AO171" i="40"/>
  <c r="EP139" i="59"/>
  <c r="AD171" i="40"/>
  <c r="EE139" i="59"/>
  <c r="AE171" i="40"/>
  <c r="EF139" i="59"/>
  <c r="AA171" i="40"/>
  <c r="AH171" i="40"/>
  <c r="EI139" i="59"/>
  <c r="X171" i="40"/>
  <c r="DY139" i="59"/>
  <c r="Y171" i="40"/>
  <c r="DZ139" i="59"/>
  <c r="AM171" i="40"/>
  <c r="EN139" i="59"/>
  <c r="AI171" i="40"/>
  <c r="EJ139" i="59"/>
  <c r="AX171" i="40"/>
  <c r="EY139" i="59"/>
  <c r="AJ171" i="40"/>
  <c r="EK139" i="59"/>
  <c r="AF171" i="40"/>
  <c r="EG139" i="59"/>
  <c r="N171" i="40"/>
  <c r="DO139" i="59"/>
  <c r="AT180" i="40"/>
  <c r="DD141" i="59"/>
  <c r="AM180" i="40"/>
  <c r="CW141" i="59"/>
  <c r="O180" i="40"/>
  <c r="BY141" i="59"/>
  <c r="P180" i="40"/>
  <c r="BZ141" i="59"/>
  <c r="AK180" i="40"/>
  <c r="CU141" i="59"/>
  <c r="Q180" i="40"/>
  <c r="CA141" i="59"/>
  <c r="AE180" i="40"/>
  <c r="CO141" i="59"/>
  <c r="M180" i="40"/>
  <c r="BW141" i="59"/>
  <c r="AJ180" i="40"/>
  <c r="AO180" i="40"/>
  <c r="CY141" i="59"/>
  <c r="U180" i="40"/>
  <c r="CE141" i="59"/>
  <c r="AL180" i="40"/>
  <c r="CV141" i="59"/>
  <c r="AH180" i="40"/>
  <c r="CR141" i="59"/>
  <c r="AU180" i="40"/>
  <c r="DE141" i="59"/>
  <c r="AV180" i="40"/>
  <c r="DF141" i="59"/>
  <c r="AB180" i="40"/>
  <c r="CL141" i="59"/>
  <c r="AW180" i="40"/>
  <c r="DG141" i="59"/>
  <c r="R180" i="40"/>
  <c r="CB141" i="59"/>
  <c r="Z180" i="40"/>
  <c r="CJ141" i="59"/>
  <c r="S180" i="40"/>
  <c r="CC141" i="59"/>
  <c r="AC180" i="40"/>
  <c r="CM141" i="59"/>
  <c r="AD180" i="40"/>
  <c r="CN141" i="59"/>
  <c r="AQ180" i="40"/>
  <c r="DA141" i="59"/>
  <c r="W180" i="40"/>
  <c r="CG141" i="59"/>
  <c r="AN180" i="40"/>
  <c r="CX141" i="59"/>
  <c r="AF180" i="40"/>
  <c r="CP141" i="59"/>
  <c r="AG180" i="40"/>
  <c r="CQ141" i="59"/>
  <c r="AX180" i="40"/>
  <c r="DH141" i="59"/>
  <c r="N180" i="40"/>
  <c r="BX141" i="59"/>
  <c r="AA180" i="40"/>
  <c r="CK141" i="59"/>
  <c r="AR180" i="40"/>
  <c r="DB141" i="59"/>
  <c r="X180" i="40"/>
  <c r="CH141" i="59"/>
  <c r="AS180" i="40"/>
  <c r="DC141" i="59"/>
  <c r="T180" i="40"/>
  <c r="CD141" i="59"/>
  <c r="Y180" i="40"/>
  <c r="CI141" i="59"/>
  <c r="AP180" i="40"/>
  <c r="CZ141" i="59"/>
  <c r="V180" i="40"/>
  <c r="CF141" i="59"/>
  <c r="AI180" i="40"/>
  <c r="CS141" i="59"/>
  <c r="AD172" i="40"/>
  <c r="GD139" i="59"/>
  <c r="AE172" i="40"/>
  <c r="GE139" i="59"/>
  <c r="M172" i="40"/>
  <c r="FM139" i="59"/>
  <c r="AK172" i="40"/>
  <c r="GK139" i="59"/>
  <c r="AI172" i="40"/>
  <c r="GI139" i="59"/>
  <c r="O172" i="40"/>
  <c r="FO139" i="59"/>
  <c r="P172" i="40"/>
  <c r="FP139" i="59"/>
  <c r="Y172" i="40"/>
  <c r="FY139" i="59"/>
  <c r="X172" i="40"/>
  <c r="FX139" i="59"/>
  <c r="AT172" i="40"/>
  <c r="GT139" i="59"/>
  <c r="AM172" i="40"/>
  <c r="GM139" i="59"/>
  <c r="S172" i="40"/>
  <c r="FS139" i="59"/>
  <c r="AJ172" i="40"/>
  <c r="GJ139" i="59"/>
  <c r="AG172" i="40"/>
  <c r="GG139" i="59"/>
  <c r="AH172" i="40"/>
  <c r="GH139" i="59"/>
  <c r="Z172" i="40"/>
  <c r="FZ139" i="59"/>
  <c r="V172" i="40"/>
  <c r="FV139" i="59"/>
  <c r="AU172" i="40"/>
  <c r="GU139" i="59"/>
  <c r="AV172" i="40"/>
  <c r="GV139" i="59"/>
  <c r="AB172" i="40"/>
  <c r="AN172" i="40"/>
  <c r="GN139" i="59"/>
  <c r="AP172" i="40"/>
  <c r="GP139" i="59"/>
  <c r="AS172" i="40"/>
  <c r="GS139" i="59"/>
  <c r="AF172" i="40"/>
  <c r="GF139" i="59"/>
  <c r="AW172" i="40"/>
  <c r="GW139" i="59"/>
  <c r="AX172" i="40"/>
  <c r="GX139" i="59"/>
  <c r="N172" i="40"/>
  <c r="FN139" i="59"/>
  <c r="AQ172" i="40"/>
  <c r="GQ139" i="59"/>
  <c r="W172" i="40"/>
  <c r="FW139" i="59"/>
  <c r="AO172" i="40"/>
  <c r="GO139" i="59"/>
  <c r="AC172" i="40"/>
  <c r="GC139" i="59"/>
  <c r="Q172" i="40"/>
  <c r="FQ139" i="59"/>
  <c r="R172" i="40"/>
  <c r="FR139" i="59"/>
  <c r="U172" i="40"/>
  <c r="FU139" i="59"/>
  <c r="AA172" i="40"/>
  <c r="GA139" i="59"/>
  <c r="AR172" i="40"/>
  <c r="GR139" i="59"/>
  <c r="T172" i="40"/>
  <c r="FT139" i="59"/>
  <c r="AL172" i="40"/>
  <c r="GL139" i="59"/>
  <c r="M169" i="40"/>
  <c r="P139" i="59"/>
  <c r="AT169" i="40"/>
  <c r="AW139" i="59"/>
  <c r="AM169" i="40"/>
  <c r="AP139" i="59"/>
  <c r="AF169" i="40"/>
  <c r="AI139" i="59"/>
  <c r="AO169" i="40"/>
  <c r="AR139" i="59"/>
  <c r="AK169" i="40"/>
  <c r="AN139" i="59"/>
  <c r="S169" i="40"/>
  <c r="V139" i="59"/>
  <c r="Z169" i="40"/>
  <c r="AC139" i="59"/>
  <c r="W169" i="40"/>
  <c r="Z139" i="59"/>
  <c r="AW169" i="40"/>
  <c r="AZ139" i="59"/>
  <c r="AS169" i="40"/>
  <c r="AV139" i="59"/>
  <c r="T169" i="40"/>
  <c r="W139" i="59"/>
  <c r="AL169" i="40"/>
  <c r="AO139" i="59"/>
  <c r="AB169" i="40"/>
  <c r="AE139" i="59"/>
  <c r="AH169" i="40"/>
  <c r="AK139" i="59"/>
  <c r="AI169" i="40"/>
  <c r="AL139" i="59"/>
  <c r="O169" i="40"/>
  <c r="R139" i="59"/>
  <c r="P169" i="40"/>
  <c r="S139" i="59"/>
  <c r="Q169" i="40"/>
  <c r="T139" i="59"/>
  <c r="AP169" i="40"/>
  <c r="AS139" i="59"/>
  <c r="U169" i="40"/>
  <c r="X139" i="59"/>
  <c r="AG169" i="40"/>
  <c r="AJ139" i="59"/>
  <c r="Y169" i="40"/>
  <c r="AJ169" i="40"/>
  <c r="AM139" i="59"/>
  <c r="AD169" i="40"/>
  <c r="AG139" i="59"/>
  <c r="AU169" i="40"/>
  <c r="AX139" i="59"/>
  <c r="AA169" i="40"/>
  <c r="AD139" i="59"/>
  <c r="R169" i="40"/>
  <c r="U139" i="59"/>
  <c r="X169" i="40"/>
  <c r="AA139" i="59"/>
  <c r="AQ169" i="40"/>
  <c r="AT139" i="59"/>
  <c r="AC169" i="40"/>
  <c r="AF139" i="59"/>
  <c r="AX169" i="40"/>
  <c r="BA139" i="59"/>
  <c r="N169" i="40"/>
  <c r="Q139" i="59"/>
  <c r="AE169" i="40"/>
  <c r="AH139" i="59"/>
  <c r="AV169" i="40"/>
  <c r="AY139" i="59"/>
  <c r="AN169" i="40"/>
  <c r="AQ139" i="59"/>
  <c r="AR169" i="40"/>
  <c r="AU139" i="59"/>
  <c r="V169" i="40"/>
  <c r="Y139" i="59"/>
  <c r="AW177" i="40"/>
  <c r="HA140" i="59"/>
  <c r="AD177" i="40"/>
  <c r="GH140" i="59"/>
  <c r="W177" i="40"/>
  <c r="GA140" i="59"/>
  <c r="X177" i="40"/>
  <c r="GB140" i="59"/>
  <c r="AO177" i="40"/>
  <c r="GS140" i="59"/>
  <c r="U177" i="40"/>
  <c r="FY140" i="59"/>
  <c r="AL177" i="40"/>
  <c r="GP140" i="59"/>
  <c r="AN177" i="40"/>
  <c r="GR140" i="59"/>
  <c r="AU177" i="40"/>
  <c r="GY140" i="59"/>
  <c r="AR177" i="40"/>
  <c r="GV140" i="59"/>
  <c r="AS177" i="40"/>
  <c r="GW140" i="59"/>
  <c r="Y177" i="40"/>
  <c r="GC140" i="59"/>
  <c r="AP177" i="40"/>
  <c r="GT140" i="59"/>
  <c r="V177" i="40"/>
  <c r="FZ140" i="59"/>
  <c r="P177" i="40"/>
  <c r="FT140" i="59"/>
  <c r="AB177" i="40"/>
  <c r="GF140" i="59"/>
  <c r="AC177" i="40"/>
  <c r="GG140" i="59"/>
  <c r="AT177" i="40"/>
  <c r="GX140" i="59"/>
  <c r="Z177" i="40"/>
  <c r="GD140" i="59"/>
  <c r="AQ177" i="40"/>
  <c r="GU140" i="59"/>
  <c r="R177" i="40"/>
  <c r="FV140" i="59"/>
  <c r="AJ177" i="40"/>
  <c r="GN140" i="59"/>
  <c r="M177" i="40"/>
  <c r="FQ140" i="59"/>
  <c r="AK177" i="40"/>
  <c r="GO140" i="59"/>
  <c r="AG177" i="40"/>
  <c r="AX177" i="40"/>
  <c r="HB140" i="59"/>
  <c r="N177" i="40"/>
  <c r="FR140" i="59"/>
  <c r="AE177" i="40"/>
  <c r="GI140" i="59"/>
  <c r="AV177" i="40"/>
  <c r="GZ140" i="59"/>
  <c r="AM177" i="40"/>
  <c r="GQ140" i="59"/>
  <c r="T177" i="40"/>
  <c r="FX140" i="59"/>
  <c r="AA177" i="40"/>
  <c r="GE140" i="59"/>
  <c r="Q177" i="40"/>
  <c r="FU140" i="59"/>
  <c r="AH177" i="40"/>
  <c r="GL140" i="59"/>
  <c r="AI177" i="40"/>
  <c r="GM140" i="59"/>
  <c r="O177" i="40"/>
  <c r="FS140" i="59"/>
  <c r="AF177" i="40"/>
  <c r="GJ140" i="59"/>
  <c r="S177" i="40"/>
  <c r="FW140" i="59"/>
  <c r="M188" i="40"/>
  <c r="HX142" i="59"/>
  <c r="AX188" i="40"/>
  <c r="R143" i="59"/>
  <c r="AO188" i="40"/>
  <c r="I143" i="59"/>
  <c r="AB188" i="40"/>
  <c r="IM142" i="59"/>
  <c r="AW188" i="40"/>
  <c r="Q143" i="59"/>
  <c r="AC188" i="40"/>
  <c r="IN142" i="59"/>
  <c r="AD188" i="40"/>
  <c r="IO142" i="59"/>
  <c r="AQ188" i="40"/>
  <c r="K143" i="59"/>
  <c r="AM188" i="40"/>
  <c r="G143" i="59"/>
  <c r="AJ188" i="40"/>
  <c r="IU142" i="59"/>
  <c r="W188" i="40"/>
  <c r="IH142" i="59"/>
  <c r="AN188" i="40"/>
  <c r="H143" i="59"/>
  <c r="T188" i="40"/>
  <c r="IE142" i="59"/>
  <c r="Y188" i="40"/>
  <c r="IJ142" i="59"/>
  <c r="U188" i="40"/>
  <c r="IF142" i="59"/>
  <c r="AL188" i="40"/>
  <c r="F143" i="59"/>
  <c r="R188" i="40"/>
  <c r="IC142" i="59"/>
  <c r="AE188" i="40"/>
  <c r="IP142" i="59"/>
  <c r="AF188" i="40"/>
  <c r="IQ142" i="59"/>
  <c r="AG188" i="40"/>
  <c r="IR142" i="59"/>
  <c r="N188" i="40"/>
  <c r="HY142" i="59"/>
  <c r="AP188" i="40"/>
  <c r="J143" i="59"/>
  <c r="V188" i="40"/>
  <c r="IG142" i="59"/>
  <c r="AI188" i="40"/>
  <c r="IT142" i="59"/>
  <c r="O188" i="40"/>
  <c r="HZ142" i="59"/>
  <c r="P188" i="40"/>
  <c r="IA142" i="59"/>
  <c r="Z188" i="40"/>
  <c r="IK142" i="59"/>
  <c r="S188" i="40"/>
  <c r="ID142" i="59"/>
  <c r="AA188" i="40"/>
  <c r="IL142" i="59"/>
  <c r="AK188" i="40"/>
  <c r="IV142" i="59"/>
  <c r="Q188" i="40"/>
  <c r="IB142" i="59"/>
  <c r="AH188" i="40"/>
  <c r="IS142" i="59"/>
  <c r="AU188" i="40"/>
  <c r="O143" i="59"/>
  <c r="AV188" i="40"/>
  <c r="P143" i="59"/>
  <c r="AR188" i="40"/>
  <c r="X188" i="40"/>
  <c r="II142" i="59"/>
  <c r="AS188" i="40"/>
  <c r="M143" i="59"/>
  <c r="AT188" i="40"/>
  <c r="N143" i="59"/>
  <c r="M163" i="40"/>
  <c r="HD137" i="59"/>
  <c r="N163" i="40"/>
  <c r="HE137" i="59"/>
  <c r="O163" i="40"/>
  <c r="HF137" i="59"/>
  <c r="P163" i="40"/>
  <c r="HG137" i="59"/>
  <c r="Q163" i="40"/>
  <c r="HH137" i="59"/>
  <c r="R163" i="40"/>
  <c r="HI137" i="59"/>
  <c r="S163" i="40"/>
  <c r="T163" i="40"/>
  <c r="HK137" i="59"/>
  <c r="U163" i="40"/>
  <c r="HL137" i="59"/>
  <c r="V163" i="40"/>
  <c r="HM137" i="59"/>
  <c r="W163" i="40"/>
  <c r="HN137" i="59"/>
  <c r="X163" i="40"/>
  <c r="HO137" i="59"/>
  <c r="Y163" i="40"/>
  <c r="HP137" i="59"/>
  <c r="Z163" i="40"/>
  <c r="HQ137" i="59"/>
  <c r="AA163" i="40"/>
  <c r="HR137" i="59"/>
  <c r="AB163" i="40"/>
  <c r="HS137" i="59"/>
  <c r="AC163" i="40"/>
  <c r="HT137" i="59"/>
  <c r="AD163" i="40"/>
  <c r="HU137" i="59"/>
  <c r="AE163" i="40"/>
  <c r="HV137" i="59"/>
  <c r="AF163" i="40"/>
  <c r="HW137" i="59"/>
  <c r="AG163" i="40"/>
  <c r="HX137" i="59"/>
  <c r="AH163" i="40"/>
  <c r="HY137" i="59"/>
  <c r="AI163" i="40"/>
  <c r="HZ137" i="59"/>
  <c r="AJ163" i="40"/>
  <c r="IA137" i="59"/>
  <c r="AK163" i="40"/>
  <c r="IB137" i="59"/>
  <c r="AL163" i="40"/>
  <c r="IC137" i="59"/>
  <c r="AM163" i="40"/>
  <c r="ID137" i="59"/>
  <c r="AN163" i="40"/>
  <c r="IE137" i="59"/>
  <c r="AO163" i="40"/>
  <c r="IF137" i="59"/>
  <c r="AP163" i="40"/>
  <c r="IG137" i="59"/>
  <c r="AQ163" i="40"/>
  <c r="IH137" i="59"/>
  <c r="AR163" i="40"/>
  <c r="II137" i="59"/>
  <c r="AS163" i="40"/>
  <c r="IJ137" i="59"/>
  <c r="AT163" i="40"/>
  <c r="IK137" i="59"/>
  <c r="AU163" i="40"/>
  <c r="IL137" i="59"/>
  <c r="AV163" i="40"/>
  <c r="IM137" i="59"/>
  <c r="AW163" i="40"/>
  <c r="IN137" i="59"/>
  <c r="AX163" i="40"/>
  <c r="IO137" i="59"/>
  <c r="T181" i="40"/>
  <c r="EC141" i="59"/>
  <c r="Q181" i="40"/>
  <c r="DZ141" i="59"/>
  <c r="X181" i="40"/>
  <c r="EG141" i="59"/>
  <c r="AO181" i="40"/>
  <c r="EX141" i="59"/>
  <c r="U181" i="40"/>
  <c r="ED141" i="59"/>
  <c r="AL181" i="40"/>
  <c r="EU141" i="59"/>
  <c r="R181" i="40"/>
  <c r="EA141" i="59"/>
  <c r="M181" i="40"/>
  <c r="DV141" i="59"/>
  <c r="AU181" i="40"/>
  <c r="FD141" i="59"/>
  <c r="AR181" i="40"/>
  <c r="FA141" i="59"/>
  <c r="AS181" i="40"/>
  <c r="FB141" i="59"/>
  <c r="Y181" i="40"/>
  <c r="EH141" i="59"/>
  <c r="AP181" i="40"/>
  <c r="EY141" i="59"/>
  <c r="V181" i="40"/>
  <c r="EE141" i="59"/>
  <c r="AM181" i="40"/>
  <c r="EV141" i="59"/>
  <c r="AC181" i="40"/>
  <c r="EL141" i="59"/>
  <c r="AT181" i="40"/>
  <c r="FC141" i="59"/>
  <c r="Z181" i="40"/>
  <c r="EI141" i="59"/>
  <c r="AQ181" i="40"/>
  <c r="EZ141" i="59"/>
  <c r="W181" i="40"/>
  <c r="EF141" i="59"/>
  <c r="AN181" i="40"/>
  <c r="EW141" i="59"/>
  <c r="AK181" i="40"/>
  <c r="N181" i="40"/>
  <c r="DW141" i="59"/>
  <c r="AE181" i="40"/>
  <c r="EN141" i="59"/>
  <c r="AV181" i="40"/>
  <c r="FE141" i="59"/>
  <c r="AB181" i="40"/>
  <c r="EK141" i="59"/>
  <c r="AD181" i="40"/>
  <c r="EM141" i="59"/>
  <c r="AA181" i="40"/>
  <c r="EJ141" i="59"/>
  <c r="AH181" i="40"/>
  <c r="EQ141" i="59"/>
  <c r="AI181" i="40"/>
  <c r="ER141" i="59"/>
  <c r="O181" i="40"/>
  <c r="DX141" i="59"/>
  <c r="AF181" i="40"/>
  <c r="EO141" i="59"/>
  <c r="AW181" i="40"/>
  <c r="FF141" i="59"/>
  <c r="S181" i="40"/>
  <c r="EB141" i="59"/>
  <c r="AJ181" i="40"/>
  <c r="ES141" i="59"/>
  <c r="P181" i="40"/>
  <c r="DY141" i="59"/>
  <c r="AG181" i="40"/>
  <c r="EP141" i="59"/>
  <c r="AX181" i="40"/>
  <c r="FG141" i="59"/>
  <c r="AE173" i="40"/>
  <c r="ID139" i="59"/>
  <c r="AL173" i="40"/>
  <c r="IK139" i="59"/>
  <c r="S173" i="40"/>
  <c r="HR139" i="59"/>
  <c r="O173" i="40"/>
  <c r="HN139" i="59"/>
  <c r="AF173" i="40"/>
  <c r="IE139" i="59"/>
  <c r="AS173" i="40"/>
  <c r="IR139" i="59"/>
  <c r="M173" i="40"/>
  <c r="HL139" i="59"/>
  <c r="AD173" i="40"/>
  <c r="IC139" i="59"/>
  <c r="Q173" i="40"/>
  <c r="HP139" i="59"/>
  <c r="Y173" i="40"/>
  <c r="HX139" i="59"/>
  <c r="AJ173" i="40"/>
  <c r="II139" i="59"/>
  <c r="AW173" i="40"/>
  <c r="IV139" i="59"/>
  <c r="AC173" i="40"/>
  <c r="AX173" i="40"/>
  <c r="F140" i="59"/>
  <c r="N173" i="40"/>
  <c r="HM139" i="59"/>
  <c r="AU173" i="40"/>
  <c r="IT139" i="59"/>
  <c r="AA173" i="40"/>
  <c r="HZ139" i="59"/>
  <c r="AR173" i="40"/>
  <c r="IQ139" i="59"/>
  <c r="AO173" i="40"/>
  <c r="IN139" i="59"/>
  <c r="T173" i="40"/>
  <c r="HS139" i="59"/>
  <c r="P173" i="40"/>
  <c r="HO139" i="59"/>
  <c r="AI173" i="40"/>
  <c r="IH139" i="59"/>
  <c r="AV173" i="40"/>
  <c r="IU139" i="59"/>
  <c r="R173" i="40"/>
  <c r="HQ139" i="59"/>
  <c r="U173" i="40"/>
  <c r="HT139" i="59"/>
  <c r="AP173" i="40"/>
  <c r="IO139" i="59"/>
  <c r="V173" i="40"/>
  <c r="HU139" i="59"/>
  <c r="AM173" i="40"/>
  <c r="IL139" i="59"/>
  <c r="AN173" i="40"/>
  <c r="IM139" i="59"/>
  <c r="AK173" i="40"/>
  <c r="IJ139" i="59"/>
  <c r="AB173" i="40"/>
  <c r="IA139" i="59"/>
  <c r="AT173" i="40"/>
  <c r="IS139" i="59"/>
  <c r="Z173" i="40"/>
  <c r="HY139" i="59"/>
  <c r="AQ173" i="40"/>
  <c r="IP139" i="59"/>
  <c r="W173" i="40"/>
  <c r="HV139" i="59"/>
  <c r="X173" i="40"/>
  <c r="HW139" i="59"/>
  <c r="AG173" i="40"/>
  <c r="IF139" i="59"/>
  <c r="AH173" i="40"/>
  <c r="IG139" i="59"/>
  <c r="AB170" i="40"/>
  <c r="CD139" i="59"/>
  <c r="O170" i="40"/>
  <c r="BQ139" i="59"/>
  <c r="AI170" i="40"/>
  <c r="CK139" i="59"/>
  <c r="AN170" i="40"/>
  <c r="CP139" i="59"/>
  <c r="AU170" i="40"/>
  <c r="CW139" i="59"/>
  <c r="AO170" i="40"/>
  <c r="CQ139" i="59"/>
  <c r="U170" i="40"/>
  <c r="BW139" i="59"/>
  <c r="P170" i="40"/>
  <c r="BR139" i="59"/>
  <c r="AX170" i="40"/>
  <c r="CZ139" i="59"/>
  <c r="AK170" i="40"/>
  <c r="CM139" i="59"/>
  <c r="AJ170" i="40"/>
  <c r="CL139" i="59"/>
  <c r="AM170" i="40"/>
  <c r="CO139" i="59"/>
  <c r="AS170" i="40"/>
  <c r="CU139" i="59"/>
  <c r="Y170" i="40"/>
  <c r="CA139" i="59"/>
  <c r="AP170" i="40"/>
  <c r="CR139" i="59"/>
  <c r="AL170" i="40"/>
  <c r="CN139" i="59"/>
  <c r="AA170" i="40"/>
  <c r="CC139" i="59"/>
  <c r="T170" i="40"/>
  <c r="BV139" i="59"/>
  <c r="X170" i="40"/>
  <c r="BZ139" i="59"/>
  <c r="AV170" i="40"/>
  <c r="CX139" i="59"/>
  <c r="AC170" i="40"/>
  <c r="CE139" i="59"/>
  <c r="Z170" i="40"/>
  <c r="V170" i="40"/>
  <c r="BX139" i="59"/>
  <c r="AF170" i="40"/>
  <c r="CH139" i="59"/>
  <c r="AQ170" i="40"/>
  <c r="CS139" i="59"/>
  <c r="W170" i="40"/>
  <c r="BY139" i="59"/>
  <c r="AG170" i="40"/>
  <c r="CI139" i="59"/>
  <c r="AH170" i="40"/>
  <c r="CJ139" i="59"/>
  <c r="N170" i="40"/>
  <c r="BP139" i="59"/>
  <c r="AR170" i="40"/>
  <c r="CT139" i="59"/>
  <c r="AW170" i="40"/>
  <c r="CY139" i="59"/>
  <c r="AD170" i="40"/>
  <c r="CF139" i="59"/>
  <c r="Q170" i="40"/>
  <c r="BS139" i="59"/>
  <c r="R170" i="40"/>
  <c r="BT139" i="59"/>
  <c r="S170" i="40"/>
  <c r="BU139" i="59"/>
  <c r="M170" i="40"/>
  <c r="BO139" i="59"/>
  <c r="AE170" i="40"/>
  <c r="CG139" i="59"/>
  <c r="AT170" i="40"/>
  <c r="CV139" i="59"/>
  <c r="AW185" i="40"/>
  <c r="DK142" i="59"/>
  <c r="AN185" i="40"/>
  <c r="DB142" i="59"/>
  <c r="AQ185" i="40"/>
  <c r="DE142" i="59"/>
  <c r="W185" i="40"/>
  <c r="CK142" i="59"/>
  <c r="X185" i="40"/>
  <c r="CL142" i="59"/>
  <c r="AO185" i="40"/>
  <c r="V185" i="40"/>
  <c r="CJ142" i="59"/>
  <c r="AD185" i="40"/>
  <c r="CR142" i="59"/>
  <c r="AA185" i="40"/>
  <c r="CO142" i="59"/>
  <c r="AR185" i="40"/>
  <c r="DF142" i="59"/>
  <c r="AS185" i="40"/>
  <c r="DG142" i="59"/>
  <c r="Y185" i="40"/>
  <c r="CM142" i="59"/>
  <c r="AP185" i="40"/>
  <c r="DD142" i="59"/>
  <c r="U185" i="40"/>
  <c r="CI142" i="59"/>
  <c r="AL185" i="40"/>
  <c r="CZ142" i="59"/>
  <c r="R185" i="40"/>
  <c r="CF142" i="59"/>
  <c r="S185" i="40"/>
  <c r="CG142" i="59"/>
  <c r="AJ185" i="40"/>
  <c r="CX142" i="59"/>
  <c r="AF185" i="40"/>
  <c r="CT142" i="59"/>
  <c r="P185" i="40"/>
  <c r="CD142" i="59"/>
  <c r="AX185" i="40"/>
  <c r="DL142" i="59"/>
  <c r="AE185" i="40"/>
  <c r="CS142" i="59"/>
  <c r="AM185" i="40"/>
  <c r="DA142" i="59"/>
  <c r="AK185" i="40"/>
  <c r="CY142" i="59"/>
  <c r="AH185" i="40"/>
  <c r="CV142" i="59"/>
  <c r="O185" i="40"/>
  <c r="CC142" i="59"/>
  <c r="AB185" i="40"/>
  <c r="CP142" i="59"/>
  <c r="AT185" i="40"/>
  <c r="DH142" i="59"/>
  <c r="M185" i="40"/>
  <c r="CA142" i="59"/>
  <c r="T185" i="40"/>
  <c r="CH142" i="59"/>
  <c r="AG185" i="40"/>
  <c r="CU142" i="59"/>
  <c r="N185" i="40"/>
  <c r="CB142" i="59"/>
  <c r="AU185" i="40"/>
  <c r="DI142" i="59"/>
  <c r="Q185" i="40"/>
  <c r="CE142" i="59"/>
  <c r="AI185" i="40"/>
  <c r="CW142" i="59"/>
  <c r="AV185" i="40"/>
  <c r="DJ142" i="59"/>
  <c r="AC185" i="40"/>
  <c r="CQ142" i="59"/>
  <c r="Z185" i="40"/>
  <c r="CN142" i="59"/>
  <c r="AW187" i="40"/>
  <c r="HI142" i="59"/>
  <c r="AT187" i="40"/>
  <c r="HF142" i="59"/>
  <c r="AQ187" i="40"/>
  <c r="W187" i="40"/>
  <c r="GI142" i="59"/>
  <c r="AJ187" i="40"/>
  <c r="GV142" i="59"/>
  <c r="P187" i="40"/>
  <c r="GB142" i="59"/>
  <c r="U187" i="40"/>
  <c r="GG142" i="59"/>
  <c r="AM187" i="40"/>
  <c r="GY142" i="59"/>
  <c r="AF187" i="40"/>
  <c r="GR142" i="59"/>
  <c r="Q187" i="40"/>
  <c r="GC142" i="59"/>
  <c r="AH187" i="40"/>
  <c r="GT142" i="59"/>
  <c r="N187" i="40"/>
  <c r="FZ142" i="59"/>
  <c r="O187" i="40"/>
  <c r="GA142" i="59"/>
  <c r="AB187" i="40"/>
  <c r="GN142" i="59"/>
  <c r="AL187" i="40"/>
  <c r="GX142" i="59"/>
  <c r="R187" i="40"/>
  <c r="GD142" i="59"/>
  <c r="AI187" i="40"/>
  <c r="GU142" i="59"/>
  <c r="AV187" i="40"/>
  <c r="HH142" i="59"/>
  <c r="M187" i="40"/>
  <c r="FY142" i="59"/>
  <c r="AC187" i="40"/>
  <c r="GO142" i="59"/>
  <c r="AU187" i="40"/>
  <c r="HG142" i="59"/>
  <c r="AG187" i="40"/>
  <c r="GS142" i="59"/>
  <c r="AX187" i="40"/>
  <c r="HJ142" i="59"/>
  <c r="AD187" i="40"/>
  <c r="GP142" i="59"/>
  <c r="AE187" i="40"/>
  <c r="GQ142" i="59"/>
  <c r="AR187" i="40"/>
  <c r="HD142" i="59"/>
  <c r="V187" i="40"/>
  <c r="GH142" i="59"/>
  <c r="S187" i="40"/>
  <c r="GE142" i="59"/>
  <c r="AK187" i="40"/>
  <c r="GW142" i="59"/>
  <c r="AA187" i="40"/>
  <c r="GM142" i="59"/>
  <c r="AN187" i="40"/>
  <c r="GZ142" i="59"/>
  <c r="T187" i="40"/>
  <c r="GF142" i="59"/>
  <c r="AO187" i="40"/>
  <c r="HA142" i="59"/>
  <c r="AP187" i="40"/>
  <c r="HB142" i="59"/>
  <c r="X187" i="40"/>
  <c r="GJ142" i="59"/>
  <c r="AS187" i="40"/>
  <c r="HE142" i="59"/>
  <c r="Y187" i="40"/>
  <c r="GK142" i="59"/>
  <c r="Z187" i="40"/>
  <c r="GL142" i="59"/>
  <c r="AD186" i="40"/>
  <c r="EQ142" i="59"/>
  <c r="AK186" i="40"/>
  <c r="EX142" i="59"/>
  <c r="R186" i="40"/>
  <c r="EE142" i="59"/>
  <c r="X186" i="40"/>
  <c r="EK142" i="59"/>
  <c r="AO186" i="40"/>
  <c r="FB142" i="59"/>
  <c r="U186" i="40"/>
  <c r="EH142" i="59"/>
  <c r="AL186" i="40"/>
  <c r="EY142" i="59"/>
  <c r="AM186" i="40"/>
  <c r="EZ142" i="59"/>
  <c r="AN186" i="40"/>
  <c r="FA142" i="59"/>
  <c r="AA186" i="40"/>
  <c r="EN142" i="59"/>
  <c r="AS186" i="40"/>
  <c r="FF142" i="59"/>
  <c r="Y186" i="40"/>
  <c r="EL142" i="59"/>
  <c r="AP186" i="40"/>
  <c r="V186" i="40"/>
  <c r="EI142" i="59"/>
  <c r="W186" i="40"/>
  <c r="EJ142" i="59"/>
  <c r="S186" i="40"/>
  <c r="EF142" i="59"/>
  <c r="AJ186" i="40"/>
  <c r="EW142" i="59"/>
  <c r="P186" i="40"/>
  <c r="EC142" i="59"/>
  <c r="AG186" i="40"/>
  <c r="ET142" i="59"/>
  <c r="AH186" i="40"/>
  <c r="EU142" i="59"/>
  <c r="T186" i="40"/>
  <c r="EG142" i="59"/>
  <c r="AE186" i="40"/>
  <c r="ER142" i="59"/>
  <c r="M186" i="40"/>
  <c r="DZ142" i="59"/>
  <c r="AU186" i="40"/>
  <c r="FH142" i="59"/>
  <c r="AI186" i="40"/>
  <c r="EV142" i="59"/>
  <c r="AF186" i="40"/>
  <c r="ES142" i="59"/>
  <c r="AX186" i="40"/>
  <c r="FK142" i="59"/>
  <c r="AT186" i="40"/>
  <c r="FG142" i="59"/>
  <c r="AQ186" i="40"/>
  <c r="FD142" i="59"/>
  <c r="Q186" i="40"/>
  <c r="ED142" i="59"/>
  <c r="N186" i="40"/>
  <c r="EA142" i="59"/>
  <c r="AV186" i="40"/>
  <c r="FI142" i="59"/>
  <c r="AC186" i="40"/>
  <c r="EP142" i="59"/>
  <c r="AB186" i="40"/>
  <c r="EO142" i="59"/>
  <c r="O186" i="40"/>
  <c r="EB142" i="59"/>
  <c r="AW186" i="40"/>
  <c r="FJ142" i="59"/>
  <c r="Z186" i="40"/>
  <c r="EM142" i="59"/>
  <c r="AR186" i="40"/>
  <c r="FE142" i="59"/>
  <c r="AD178" i="40"/>
  <c r="IG140" i="59"/>
  <c r="Q178" i="40"/>
  <c r="HT140" i="59"/>
  <c r="X178" i="40"/>
  <c r="IA140" i="59"/>
  <c r="AO178" i="40"/>
  <c r="IR140" i="59"/>
  <c r="U178" i="40"/>
  <c r="HX140" i="59"/>
  <c r="AL178" i="40"/>
  <c r="IO140" i="59"/>
  <c r="AM178" i="40"/>
  <c r="IP140" i="59"/>
  <c r="AN178" i="40"/>
  <c r="IQ140" i="59"/>
  <c r="AK178" i="40"/>
  <c r="IN140" i="59"/>
  <c r="AB178" i="40"/>
  <c r="IE140" i="59"/>
  <c r="AI178" i="40"/>
  <c r="IL140" i="59"/>
  <c r="O178" i="40"/>
  <c r="HR140" i="59"/>
  <c r="AF178" i="40"/>
  <c r="II140" i="59"/>
  <c r="AW178" i="40"/>
  <c r="I141" i="59"/>
  <c r="AX178" i="40"/>
  <c r="J141" i="59"/>
  <c r="S178" i="40"/>
  <c r="HV140" i="59"/>
  <c r="AJ178" i="40"/>
  <c r="IM140" i="59"/>
  <c r="P178" i="40"/>
  <c r="HS140" i="59"/>
  <c r="AG178" i="40"/>
  <c r="IJ140" i="59"/>
  <c r="AH178" i="40"/>
  <c r="AU178" i="40"/>
  <c r="G141" i="59"/>
  <c r="R178" i="40"/>
  <c r="HU140" i="59"/>
  <c r="N178" i="40"/>
  <c r="HQ140" i="59"/>
  <c r="AE178" i="40"/>
  <c r="IH140" i="59"/>
  <c r="AV178" i="40"/>
  <c r="H141" i="59"/>
  <c r="M178" i="40"/>
  <c r="HP140" i="59"/>
  <c r="AC178" i="40"/>
  <c r="IF140" i="59"/>
  <c r="T178" i="40"/>
  <c r="HW140" i="59"/>
  <c r="AA178" i="40"/>
  <c r="ID140" i="59"/>
  <c r="AS178" i="40"/>
  <c r="IV140" i="59"/>
  <c r="Y178" i="40"/>
  <c r="IB140" i="59"/>
  <c r="AP178" i="40"/>
  <c r="IS140" i="59"/>
  <c r="V178" i="40"/>
  <c r="HY140" i="59"/>
  <c r="W178" i="40"/>
  <c r="HZ140" i="59"/>
  <c r="AT178" i="40"/>
  <c r="F141" i="59"/>
  <c r="Z178" i="40"/>
  <c r="IC140" i="59"/>
  <c r="AQ178" i="40"/>
  <c r="IT140" i="59"/>
  <c r="AR178" i="40"/>
  <c r="IU140" i="59"/>
  <c r="M160" i="40"/>
  <c r="BG137" i="59"/>
  <c r="N160" i="40"/>
  <c r="BH137" i="59"/>
  <c r="O160" i="40"/>
  <c r="BI137" i="59"/>
  <c r="P160" i="40"/>
  <c r="Q160" i="40"/>
  <c r="BK137" i="59"/>
  <c r="R160" i="40"/>
  <c r="BL137" i="59"/>
  <c r="S160" i="40"/>
  <c r="BM137" i="59"/>
  <c r="T160" i="40"/>
  <c r="BN137" i="59"/>
  <c r="U160" i="40"/>
  <c r="BO137" i="59"/>
  <c r="V160" i="40"/>
  <c r="BP137" i="59"/>
  <c r="W160" i="40"/>
  <c r="BQ137" i="59"/>
  <c r="X160" i="40"/>
  <c r="BR137" i="59"/>
  <c r="Y160" i="40"/>
  <c r="BS137" i="59"/>
  <c r="Z160" i="40"/>
  <c r="BT137" i="59"/>
  <c r="AA160" i="40"/>
  <c r="BU137" i="59"/>
  <c r="AB160" i="40"/>
  <c r="BV137" i="59"/>
  <c r="AC160" i="40"/>
  <c r="BW137" i="59"/>
  <c r="AD160" i="40"/>
  <c r="BX137" i="59"/>
  <c r="AE160" i="40"/>
  <c r="BY137" i="59"/>
  <c r="AF160" i="40"/>
  <c r="BZ137" i="59"/>
  <c r="AG160" i="40"/>
  <c r="CA137" i="59"/>
  <c r="AH160" i="40"/>
  <c r="CB137" i="59"/>
  <c r="AI160" i="40"/>
  <c r="CC137" i="59"/>
  <c r="AJ160" i="40"/>
  <c r="CD137" i="59"/>
  <c r="AK160" i="40"/>
  <c r="CE137" i="59"/>
  <c r="AL160" i="40"/>
  <c r="CF137" i="59"/>
  <c r="AM160" i="40"/>
  <c r="CG137" i="59"/>
  <c r="AN160" i="40"/>
  <c r="CH137" i="59"/>
  <c r="AO160" i="40"/>
  <c r="CI137" i="59"/>
  <c r="AP160" i="40"/>
  <c r="CJ137" i="59"/>
  <c r="AQ160" i="40"/>
  <c r="CK137" i="59"/>
  <c r="AR160" i="40"/>
  <c r="CL137" i="59"/>
  <c r="AS160" i="40"/>
  <c r="CM137" i="59"/>
  <c r="AT160" i="40"/>
  <c r="CN137" i="59"/>
  <c r="AU160" i="40"/>
  <c r="CO137" i="59"/>
  <c r="AV160" i="40"/>
  <c r="CP137" i="59"/>
  <c r="AW160" i="40"/>
  <c r="CQ137" i="59"/>
  <c r="AX160" i="40"/>
  <c r="CR137" i="59"/>
  <c r="AO168" i="40"/>
  <c r="IJ138" i="59"/>
  <c r="Z168" i="40"/>
  <c r="HU138" i="59"/>
  <c r="AE168" i="40"/>
  <c r="HZ138" i="59"/>
  <c r="AJ168" i="40"/>
  <c r="IE138" i="59"/>
  <c r="Y168" i="40"/>
  <c r="HT138" i="59"/>
  <c r="O168" i="40"/>
  <c r="HJ138" i="59"/>
  <c r="U168" i="40"/>
  <c r="HP138" i="59"/>
  <c r="R168" i="40"/>
  <c r="HM138" i="59"/>
  <c r="AV168" i="40"/>
  <c r="IQ138" i="59"/>
  <c r="AR168" i="40"/>
  <c r="IM138" i="59"/>
  <c r="AK168" i="40"/>
  <c r="IF138" i="59"/>
  <c r="AB168" i="40"/>
  <c r="HW138" i="59"/>
  <c r="AL168" i="40"/>
  <c r="IG138" i="59"/>
  <c r="AQ168" i="40"/>
  <c r="IL138" i="59"/>
  <c r="AN168" i="40"/>
  <c r="II138" i="59"/>
  <c r="AD168" i="40"/>
  <c r="HY138" i="59"/>
  <c r="M168" i="40"/>
  <c r="HH138" i="59"/>
  <c r="AA168" i="40"/>
  <c r="HV138" i="59"/>
  <c r="X168" i="40"/>
  <c r="AP168" i="40"/>
  <c r="IK138" i="59"/>
  <c r="Q168" i="40"/>
  <c r="HL138" i="59"/>
  <c r="AC168" i="40"/>
  <c r="HX138" i="59"/>
  <c r="AS168" i="40"/>
  <c r="IN138" i="59"/>
  <c r="W168" i="40"/>
  <c r="HR138" i="59"/>
  <c r="T168" i="40"/>
  <c r="HO138" i="59"/>
  <c r="AX168" i="40"/>
  <c r="IS138" i="59"/>
  <c r="S168" i="40"/>
  <c r="HN138" i="59"/>
  <c r="AT168" i="40"/>
  <c r="IO138" i="59"/>
  <c r="V168" i="40"/>
  <c r="HQ138" i="59"/>
  <c r="AG168" i="40"/>
  <c r="IB138" i="59"/>
  <c r="AF168" i="40"/>
  <c r="IA138" i="59"/>
  <c r="AM168" i="40"/>
  <c r="IH138" i="59"/>
  <c r="AH168" i="40"/>
  <c r="IC138" i="59"/>
  <c r="AI168" i="40"/>
  <c r="ID138" i="59"/>
  <c r="P168" i="40"/>
  <c r="HK138" i="59"/>
  <c r="N168" i="40"/>
  <c r="HI138" i="59"/>
  <c r="AU168" i="40"/>
  <c r="IP138" i="59"/>
  <c r="AW168" i="40"/>
  <c r="IR138" i="59"/>
  <c r="Z175" i="40"/>
  <c r="CF140" i="59"/>
  <c r="W175" i="40"/>
  <c r="CC140" i="59"/>
  <c r="AT175" i="40"/>
  <c r="CZ140" i="59"/>
  <c r="AU175" i="40"/>
  <c r="DA140" i="59"/>
  <c r="AA175" i="40"/>
  <c r="CG140" i="59"/>
  <c r="AN175" i="40"/>
  <c r="CT140" i="59"/>
  <c r="T175" i="40"/>
  <c r="BZ140" i="59"/>
  <c r="AI175" i="40"/>
  <c r="CO140" i="59"/>
  <c r="M175" i="40"/>
  <c r="BS140" i="59"/>
  <c r="AJ175" i="40"/>
  <c r="CP140" i="59"/>
  <c r="AD175" i="40"/>
  <c r="CJ140" i="59"/>
  <c r="AE175" i="40"/>
  <c r="AR175" i="40"/>
  <c r="CX140" i="59"/>
  <c r="X175" i="40"/>
  <c r="CD140" i="59"/>
  <c r="AS175" i="40"/>
  <c r="CY140" i="59"/>
  <c r="AO175" i="40"/>
  <c r="CU140" i="59"/>
  <c r="AP175" i="40"/>
  <c r="CV140" i="59"/>
  <c r="V175" i="40"/>
  <c r="CB140" i="59"/>
  <c r="AM175" i="40"/>
  <c r="CS140" i="59"/>
  <c r="N175" i="40"/>
  <c r="BT140" i="59"/>
  <c r="AB175" i="40"/>
  <c r="CH140" i="59"/>
  <c r="AC175" i="40"/>
  <c r="CI140" i="59"/>
  <c r="Y175" i="40"/>
  <c r="CE140" i="59"/>
  <c r="AQ175" i="40"/>
  <c r="CW140" i="59"/>
  <c r="AX175" i="40"/>
  <c r="DD140" i="59"/>
  <c r="S175" i="40"/>
  <c r="BY140" i="59"/>
  <c r="AF175" i="40"/>
  <c r="CL140" i="59"/>
  <c r="AK175" i="40"/>
  <c r="CQ140" i="59"/>
  <c r="Q175" i="40"/>
  <c r="BW140" i="59"/>
  <c r="AH175" i="40"/>
  <c r="CN140" i="59"/>
  <c r="AV175" i="40"/>
  <c r="DB140" i="59"/>
  <c r="AG175" i="40"/>
  <c r="CM140" i="59"/>
  <c r="P175" i="40"/>
  <c r="BV140" i="59"/>
  <c r="U175" i="40"/>
  <c r="CA140" i="59"/>
  <c r="AL175" i="40"/>
  <c r="CR140" i="59"/>
  <c r="R175" i="40"/>
  <c r="BX140" i="59"/>
  <c r="O175" i="40"/>
  <c r="BU140" i="59"/>
  <c r="AW175" i="40"/>
  <c r="DC140" i="59"/>
  <c r="M164" i="40"/>
  <c r="L138" i="59"/>
  <c r="N164" i="40"/>
  <c r="M138" i="59"/>
  <c r="O164" i="40"/>
  <c r="N138" i="59"/>
  <c r="P164" i="40"/>
  <c r="O138" i="59"/>
  <c r="Q164" i="40"/>
  <c r="P138" i="59"/>
  <c r="R164" i="40"/>
  <c r="Q138" i="59"/>
  <c r="S164" i="40"/>
  <c r="R138" i="59"/>
  <c r="T164" i="40"/>
  <c r="U164" i="40"/>
  <c r="T138" i="59"/>
  <c r="V164" i="40"/>
  <c r="U138" i="59"/>
  <c r="W164" i="40"/>
  <c r="V138" i="59"/>
  <c r="X164" i="40"/>
  <c r="W138" i="59"/>
  <c r="Y164" i="40"/>
  <c r="X138" i="59"/>
  <c r="Z164" i="40"/>
  <c r="Y138" i="59"/>
  <c r="AA164" i="40"/>
  <c r="Z138" i="59"/>
  <c r="AB164" i="40"/>
  <c r="AA138" i="59"/>
  <c r="AC164" i="40"/>
  <c r="AB138" i="59"/>
  <c r="AD164" i="40"/>
  <c r="AC138" i="59"/>
  <c r="AE164" i="40"/>
  <c r="AD138" i="59"/>
  <c r="AF164" i="40"/>
  <c r="AE138" i="59"/>
  <c r="AG164" i="40"/>
  <c r="AF138" i="59"/>
  <c r="AH164" i="40"/>
  <c r="AG138" i="59"/>
  <c r="AI164" i="40"/>
  <c r="AH138" i="59"/>
  <c r="AJ164" i="40"/>
  <c r="AI138" i="59"/>
  <c r="AK164" i="40"/>
  <c r="AJ138" i="59"/>
  <c r="AL164" i="40"/>
  <c r="AK138" i="59"/>
  <c r="AM164" i="40"/>
  <c r="AL138" i="59"/>
  <c r="AN164" i="40"/>
  <c r="AM138" i="59"/>
  <c r="AO164" i="40"/>
  <c r="AN138" i="59"/>
  <c r="AP164" i="40"/>
  <c r="AO138" i="59"/>
  <c r="AQ164" i="40"/>
  <c r="AP138" i="59"/>
  <c r="AR164" i="40"/>
  <c r="AQ138" i="59"/>
  <c r="AS164" i="40"/>
  <c r="AR138" i="59"/>
  <c r="AT164" i="40"/>
  <c r="AS138" i="59"/>
  <c r="AU164" i="40"/>
  <c r="AT138" i="59"/>
  <c r="AV164" i="40"/>
  <c r="AU138" i="59"/>
  <c r="AW164" i="40"/>
  <c r="AV138" i="59"/>
  <c r="AX164" i="40"/>
  <c r="AW138" i="59"/>
  <c r="AV183" i="40"/>
  <c r="L142" i="59"/>
  <c r="AG183" i="40"/>
  <c r="IN141" i="59"/>
  <c r="S183" i="40"/>
  <c r="HZ141" i="59"/>
  <c r="AF183" i="40"/>
  <c r="IM141" i="59"/>
  <c r="AK183" i="40"/>
  <c r="IR141" i="59"/>
  <c r="Q183" i="40"/>
  <c r="HX141" i="59"/>
  <c r="AH183" i="40"/>
  <c r="IO141" i="59"/>
  <c r="Y183" i="40"/>
  <c r="IF141" i="59"/>
  <c r="AQ183" i="40"/>
  <c r="G142" i="59"/>
  <c r="AJ183" i="40"/>
  <c r="IQ141" i="59"/>
  <c r="AD183" i="40"/>
  <c r="IK141" i="59"/>
  <c r="AE183" i="40"/>
  <c r="IL141" i="59"/>
  <c r="AR183" i="40"/>
  <c r="H142" i="59"/>
  <c r="X183" i="40"/>
  <c r="IE141" i="59"/>
  <c r="AS183" i="40"/>
  <c r="I142" i="59"/>
  <c r="AO183" i="40"/>
  <c r="IV141" i="59"/>
  <c r="AP183" i="40"/>
  <c r="F142" i="59"/>
  <c r="V183" i="40"/>
  <c r="IC141" i="59"/>
  <c r="AM183" i="40"/>
  <c r="AI183" i="40"/>
  <c r="IP141" i="59"/>
  <c r="M183" i="40"/>
  <c r="HT141" i="59"/>
  <c r="AX183" i="40"/>
  <c r="N142" i="59"/>
  <c r="AT183" i="40"/>
  <c r="J142" i="59"/>
  <c r="AU183" i="40"/>
  <c r="K142" i="59"/>
  <c r="AA183" i="40"/>
  <c r="IH141" i="59"/>
  <c r="AN183" i="40"/>
  <c r="IU141" i="59"/>
  <c r="T183" i="40"/>
  <c r="IA141" i="59"/>
  <c r="Z183" i="40"/>
  <c r="IG141" i="59"/>
  <c r="W183" i="40"/>
  <c r="ID141" i="59"/>
  <c r="P183" i="40"/>
  <c r="HW141" i="59"/>
  <c r="U183" i="40"/>
  <c r="IB141" i="59"/>
  <c r="AL183" i="40"/>
  <c r="IS141" i="59"/>
  <c r="R183" i="40"/>
  <c r="HY141" i="59"/>
  <c r="N183" i="40"/>
  <c r="HU141" i="59"/>
  <c r="O183" i="40"/>
  <c r="HV141" i="59"/>
  <c r="AB183" i="40"/>
  <c r="II141" i="59"/>
  <c r="AW183" i="40"/>
  <c r="M142" i="59"/>
  <c r="AC183" i="40"/>
  <c r="IJ141" i="59"/>
  <c r="V179" i="40"/>
  <c r="AG141" i="59"/>
  <c r="S179" i="40"/>
  <c r="AD141" i="59"/>
  <c r="AU179" i="40"/>
  <c r="BF141" i="59"/>
  <c r="AQ179" i="40"/>
  <c r="BB141" i="59"/>
  <c r="W179" i="40"/>
  <c r="AH141" i="59"/>
  <c r="AJ179" i="40"/>
  <c r="AU141" i="59"/>
  <c r="P179" i="40"/>
  <c r="AA141" i="59"/>
  <c r="U179" i="40"/>
  <c r="AF141" i="59"/>
  <c r="AW179" i="40"/>
  <c r="BH141" i="59"/>
  <c r="AF179" i="40"/>
  <c r="AQ141" i="59"/>
  <c r="Q179" i="40"/>
  <c r="AB141" i="59"/>
  <c r="AH179" i="40"/>
  <c r="AS141" i="59"/>
  <c r="N179" i="40"/>
  <c r="Y141" i="59"/>
  <c r="O179" i="40"/>
  <c r="Z141" i="59"/>
  <c r="AB179" i="40"/>
  <c r="AM141" i="59"/>
  <c r="X179" i="40"/>
  <c r="AI141" i="59"/>
  <c r="AS179" i="40"/>
  <c r="BD141" i="59"/>
  <c r="Y179" i="40"/>
  <c r="AJ141" i="59"/>
  <c r="Z179" i="40"/>
  <c r="AK141" i="59"/>
  <c r="AM179" i="40"/>
  <c r="AX141" i="59"/>
  <c r="AT179" i="40"/>
  <c r="BE141" i="59"/>
  <c r="AG179" i="40"/>
  <c r="AR141" i="59"/>
  <c r="AX179" i="40"/>
  <c r="BI141" i="59"/>
  <c r="AD179" i="40"/>
  <c r="AO141" i="59"/>
  <c r="AE179" i="40"/>
  <c r="AP141" i="59"/>
  <c r="AR179" i="40"/>
  <c r="BC141" i="59"/>
  <c r="AC179" i="40"/>
  <c r="AN141" i="59"/>
  <c r="AK179" i="40"/>
  <c r="AV141" i="59"/>
  <c r="AA179" i="40"/>
  <c r="AL141" i="59"/>
  <c r="AN179" i="40"/>
  <c r="AY141" i="59"/>
  <c r="T179" i="40"/>
  <c r="AE141" i="59"/>
  <c r="AO179" i="40"/>
  <c r="AZ141" i="59"/>
  <c r="AP179" i="40"/>
  <c r="BA141" i="59"/>
  <c r="AL179" i="40"/>
  <c r="AW141" i="59"/>
  <c r="R179" i="40"/>
  <c r="AC141" i="59"/>
  <c r="AI179" i="40"/>
  <c r="AV179" i="40"/>
  <c r="BG141" i="59"/>
  <c r="M179" i="40"/>
  <c r="X141" i="59"/>
  <c r="M174" i="40"/>
  <c r="T140" i="59"/>
  <c r="AT174" i="40"/>
  <c r="BA140" i="59"/>
  <c r="P174" i="40"/>
  <c r="W140" i="59"/>
  <c r="AX174" i="40"/>
  <c r="BE140" i="59"/>
  <c r="AD174" i="40"/>
  <c r="AU174" i="40"/>
  <c r="BB140" i="59"/>
  <c r="AA174" i="40"/>
  <c r="AH140" i="59"/>
  <c r="AM174" i="40"/>
  <c r="AT140" i="59"/>
  <c r="Z174" i="40"/>
  <c r="AG140" i="59"/>
  <c r="AH174" i="40"/>
  <c r="AO140" i="59"/>
  <c r="N174" i="40"/>
  <c r="U140" i="59"/>
  <c r="AE174" i="40"/>
  <c r="AL140" i="59"/>
  <c r="AV174" i="40"/>
  <c r="BC140" i="59"/>
  <c r="R174" i="40"/>
  <c r="Y140" i="59"/>
  <c r="AI174" i="40"/>
  <c r="AP140" i="59"/>
  <c r="O174" i="40"/>
  <c r="V140" i="59"/>
  <c r="AF174" i="40"/>
  <c r="AM140" i="59"/>
  <c r="AW174" i="40"/>
  <c r="BD140" i="59"/>
  <c r="AS174" i="40"/>
  <c r="AZ140" i="59"/>
  <c r="Y174" i="40"/>
  <c r="AF140" i="59"/>
  <c r="V174" i="40"/>
  <c r="AC140" i="59"/>
  <c r="AC174" i="40"/>
  <c r="AJ140" i="59"/>
  <c r="AJ174" i="40"/>
  <c r="AQ140" i="59"/>
  <c r="AG174" i="40"/>
  <c r="AN140" i="59"/>
  <c r="W174" i="40"/>
  <c r="AD140" i="59"/>
  <c r="AN174" i="40"/>
  <c r="AU140" i="59"/>
  <c r="T174" i="40"/>
  <c r="AA140" i="59"/>
  <c r="AK174" i="40"/>
  <c r="AR140" i="59"/>
  <c r="Q174" i="40"/>
  <c r="X140" i="59"/>
  <c r="S174" i="40"/>
  <c r="Z140" i="59"/>
  <c r="AQ174" i="40"/>
  <c r="AX140" i="59"/>
  <c r="AR174" i="40"/>
  <c r="AY140" i="59"/>
  <c r="X174" i="40"/>
  <c r="AE140" i="59"/>
  <c r="AO174" i="40"/>
  <c r="AV140" i="59"/>
  <c r="U174" i="40"/>
  <c r="AB140" i="59"/>
  <c r="AL174" i="40"/>
  <c r="AS140" i="59"/>
  <c r="AB174" i="40"/>
  <c r="AI140" i="59"/>
  <c r="AP174" i="40"/>
  <c r="AW140" i="59"/>
  <c r="AJ182" i="40"/>
  <c r="GR141" i="59"/>
  <c r="AG182" i="40"/>
  <c r="GO141" i="59"/>
  <c r="AN182" i="40"/>
  <c r="GV141" i="59"/>
  <c r="T182" i="40"/>
  <c r="GB141" i="59"/>
  <c r="AK182" i="40"/>
  <c r="GS141" i="59"/>
  <c r="Q182" i="40"/>
  <c r="FY141" i="59"/>
  <c r="R182" i="40"/>
  <c r="FZ141" i="59"/>
  <c r="AT182" i="40"/>
  <c r="HB141" i="59"/>
  <c r="AQ182" i="40"/>
  <c r="GY141" i="59"/>
  <c r="N182" i="40"/>
  <c r="FV141" i="59"/>
  <c r="AE182" i="40"/>
  <c r="GM141" i="59"/>
  <c r="AV182" i="40"/>
  <c r="HD141" i="59"/>
  <c r="M182" i="40"/>
  <c r="FU141" i="59"/>
  <c r="AC182" i="40"/>
  <c r="GK141" i="59"/>
  <c r="AI182" i="40"/>
  <c r="GQ141" i="59"/>
  <c r="O182" i="40"/>
  <c r="FW141" i="59"/>
  <c r="AF182" i="40"/>
  <c r="GN141" i="59"/>
  <c r="AW182" i="40"/>
  <c r="HE141" i="59"/>
  <c r="AX182" i="40"/>
  <c r="HF141" i="59"/>
  <c r="S182" i="40"/>
  <c r="GA141" i="59"/>
  <c r="P182" i="40"/>
  <c r="FX141" i="59"/>
  <c r="AH182" i="40"/>
  <c r="GP141" i="59"/>
  <c r="AD182" i="40"/>
  <c r="GL141" i="59"/>
  <c r="AU182" i="40"/>
  <c r="HC141" i="59"/>
  <c r="AA182" i="40"/>
  <c r="GI141" i="59"/>
  <c r="AB182" i="40"/>
  <c r="GJ141" i="59"/>
  <c r="AS182" i="40"/>
  <c r="HA141" i="59"/>
  <c r="Z182" i="40"/>
  <c r="GH141" i="59"/>
  <c r="AR182" i="40"/>
  <c r="GZ141" i="59"/>
  <c r="X182" i="40"/>
  <c r="GF141" i="59"/>
  <c r="AO182" i="40"/>
  <c r="GW141" i="59"/>
  <c r="U182" i="40"/>
  <c r="GC141" i="59"/>
  <c r="AL182" i="40"/>
  <c r="AM182" i="40"/>
  <c r="GU141" i="59"/>
  <c r="Y182" i="40"/>
  <c r="GG141" i="59"/>
  <c r="AP182" i="40"/>
  <c r="GX141" i="59"/>
  <c r="V182" i="40"/>
  <c r="GD141" i="59"/>
  <c r="W182" i="40"/>
  <c r="GE141" i="59"/>
  <c r="W167" i="40"/>
  <c r="AI167" i="40"/>
  <c r="GE138" i="59"/>
  <c r="AL167" i="40"/>
  <c r="GH138" i="59"/>
  <c r="AW167" i="40"/>
  <c r="GS138" i="59"/>
  <c r="AF167" i="40"/>
  <c r="GB138" i="59"/>
  <c r="Q167" i="40"/>
  <c r="FM138" i="59"/>
  <c r="V167" i="40"/>
  <c r="FR138" i="59"/>
  <c r="X167" i="40"/>
  <c r="FT138" i="59"/>
  <c r="AA167" i="40"/>
  <c r="FW138" i="59"/>
  <c r="AV167" i="40"/>
  <c r="GR138" i="59"/>
  <c r="AG167" i="40"/>
  <c r="GC138" i="59"/>
  <c r="AB167" i="40"/>
  <c r="FX138" i="59"/>
  <c r="AP167" i="40"/>
  <c r="GL138" i="59"/>
  <c r="AD167" i="40"/>
  <c r="FZ138" i="59"/>
  <c r="T167" i="40"/>
  <c r="FP138" i="59"/>
  <c r="P167" i="40"/>
  <c r="FL138" i="59"/>
  <c r="Z167" i="40"/>
  <c r="FV138" i="59"/>
  <c r="O167" i="40"/>
  <c r="FK138" i="59"/>
  <c r="AX167" i="40"/>
  <c r="GT138" i="59"/>
  <c r="AU167" i="40"/>
  <c r="GQ138" i="59"/>
  <c r="AN167" i="40"/>
  <c r="GJ138" i="59"/>
  <c r="S167" i="40"/>
  <c r="FO138" i="59"/>
  <c r="AH167" i="40"/>
  <c r="GD138" i="59"/>
  <c r="Y167" i="40"/>
  <c r="FU138" i="59"/>
  <c r="AE167" i="40"/>
  <c r="GA138" i="59"/>
  <c r="AJ167" i="40"/>
  <c r="GF138" i="59"/>
  <c r="N167" i="40"/>
  <c r="FJ138" i="59"/>
  <c r="AT167" i="40"/>
  <c r="GP138" i="59"/>
  <c r="AK167" i="40"/>
  <c r="GG138" i="59"/>
  <c r="R167" i="40"/>
  <c r="FN138" i="59"/>
  <c r="AQ167" i="40"/>
  <c r="GM138" i="59"/>
  <c r="AR167" i="40"/>
  <c r="GN138" i="59"/>
  <c r="AS167" i="40"/>
  <c r="GO138" i="59"/>
  <c r="AO167" i="40"/>
  <c r="GK138" i="59"/>
  <c r="M167" i="40"/>
  <c r="FI138" i="59"/>
  <c r="AC167" i="40"/>
  <c r="FY138" i="59"/>
  <c r="AM167" i="40"/>
  <c r="GI138" i="59"/>
  <c r="U167" i="40"/>
  <c r="FQ138" i="59"/>
  <c r="M165" i="40"/>
  <c r="BK138" i="59"/>
  <c r="N165" i="40"/>
  <c r="BL138" i="59"/>
  <c r="O165" i="40"/>
  <c r="BM138" i="59"/>
  <c r="P165" i="40"/>
  <c r="BN138" i="59"/>
  <c r="Q165" i="40"/>
  <c r="BO138" i="59"/>
  <c r="R165" i="40"/>
  <c r="BP138" i="59"/>
  <c r="S165" i="40"/>
  <c r="BQ138" i="59"/>
  <c r="T165" i="40"/>
  <c r="BR138" i="59"/>
  <c r="U165" i="40"/>
  <c r="V165" i="40"/>
  <c r="BT138" i="59"/>
  <c r="W165" i="40"/>
  <c r="BU138" i="59"/>
  <c r="X165" i="40"/>
  <c r="BV138" i="59"/>
  <c r="Y165" i="40"/>
  <c r="BW138" i="59"/>
  <c r="Z165" i="40"/>
  <c r="BX138" i="59"/>
  <c r="AA165" i="40"/>
  <c r="BY138" i="59"/>
  <c r="AB165" i="40"/>
  <c r="BZ138" i="59"/>
  <c r="AC165" i="40"/>
  <c r="CA138" i="59"/>
  <c r="AD165" i="40"/>
  <c r="CB138" i="59"/>
  <c r="AE165" i="40"/>
  <c r="CC138" i="59"/>
  <c r="AF165" i="40"/>
  <c r="CD138" i="59"/>
  <c r="AG165" i="40"/>
  <c r="CE138" i="59"/>
  <c r="AH165" i="40"/>
  <c r="CF138" i="59"/>
  <c r="AI165" i="40"/>
  <c r="CG138" i="59"/>
  <c r="AJ165" i="40"/>
  <c r="CH138" i="59"/>
  <c r="AK165" i="40"/>
  <c r="CI138" i="59"/>
  <c r="AL165" i="40"/>
  <c r="CJ138" i="59"/>
  <c r="AM165" i="40"/>
  <c r="CK138" i="59"/>
  <c r="AN165" i="40"/>
  <c r="CL138" i="59"/>
  <c r="AO165" i="40"/>
  <c r="CM138" i="59"/>
  <c r="AP165" i="40"/>
  <c r="CN138" i="59"/>
  <c r="AQ165" i="40"/>
  <c r="CO138" i="59"/>
  <c r="AR165" i="40"/>
  <c r="CP138" i="59"/>
  <c r="AS165" i="40"/>
  <c r="CQ138" i="59"/>
  <c r="AT165" i="40"/>
  <c r="CR138" i="59"/>
  <c r="AU165" i="40"/>
  <c r="CS138" i="59"/>
  <c r="AV165" i="40"/>
  <c r="CT138" i="59"/>
  <c r="AW165" i="40"/>
  <c r="CU138" i="59"/>
  <c r="AX165" i="40"/>
  <c r="CV138" i="59"/>
  <c r="AG176" i="40"/>
  <c r="EL140" i="59"/>
  <c r="N176" i="40"/>
  <c r="DS140" i="59"/>
  <c r="AR176" i="40"/>
  <c r="EW140" i="59"/>
  <c r="Q176" i="40"/>
  <c r="DV140" i="59"/>
  <c r="AH176" i="40"/>
  <c r="EM140" i="59"/>
  <c r="AU176" i="40"/>
  <c r="EZ140" i="59"/>
  <c r="AV176" i="40"/>
  <c r="FA140" i="59"/>
  <c r="AB176" i="40"/>
  <c r="EG140" i="59"/>
  <c r="S176" i="40"/>
  <c r="DX140" i="59"/>
  <c r="AO176" i="40"/>
  <c r="ET140" i="59"/>
  <c r="AL176" i="40"/>
  <c r="EQ140" i="59"/>
  <c r="R176" i="40"/>
  <c r="DW140" i="59"/>
  <c r="AE176" i="40"/>
  <c r="EJ140" i="59"/>
  <c r="AF176" i="40"/>
  <c r="M176" i="40"/>
  <c r="DR140" i="59"/>
  <c r="AW176" i="40"/>
  <c r="FB140" i="59"/>
  <c r="AC176" i="40"/>
  <c r="EH140" i="59"/>
  <c r="AD176" i="40"/>
  <c r="EI140" i="59"/>
  <c r="AQ176" i="40"/>
  <c r="EV140" i="59"/>
  <c r="W176" i="40"/>
  <c r="EB140" i="59"/>
  <c r="AI176" i="40"/>
  <c r="EN140" i="59"/>
  <c r="P176" i="40"/>
  <c r="DU140" i="59"/>
  <c r="AX176" i="40"/>
  <c r="FC140" i="59"/>
  <c r="AA176" i="40"/>
  <c r="EF140" i="59"/>
  <c r="AN176" i="40"/>
  <c r="ES140" i="59"/>
  <c r="T176" i="40"/>
  <c r="DY140" i="59"/>
  <c r="Y176" i="40"/>
  <c r="ED140" i="59"/>
  <c r="AP176" i="40"/>
  <c r="EU140" i="59"/>
  <c r="AJ176" i="40"/>
  <c r="EO140" i="59"/>
  <c r="U176" i="40"/>
  <c r="DZ140" i="59"/>
  <c r="X176" i="40"/>
  <c r="EC140" i="59"/>
  <c r="AS176" i="40"/>
  <c r="EX140" i="59"/>
  <c r="AT176" i="40"/>
  <c r="EY140" i="59"/>
  <c r="Z176" i="40"/>
  <c r="EE140" i="59"/>
  <c r="AM176" i="40"/>
  <c r="ER140" i="59"/>
  <c r="V176" i="40"/>
  <c r="EA140" i="59"/>
  <c r="O176" i="40"/>
  <c r="DT140" i="59"/>
  <c r="AK176" i="40"/>
  <c r="EP140" i="59"/>
  <c r="Z166" i="40"/>
  <c r="DW138" i="59"/>
  <c r="X166" i="40"/>
  <c r="DU138" i="59"/>
  <c r="AW166" i="40"/>
  <c r="ET138" i="59"/>
  <c r="AQ166" i="40"/>
  <c r="EN138" i="59"/>
  <c r="AS166" i="40"/>
  <c r="EP138" i="59"/>
  <c r="AJ166" i="40"/>
  <c r="EG138" i="59"/>
  <c r="AV166" i="40"/>
  <c r="ES138" i="59"/>
  <c r="N166" i="40"/>
  <c r="DK138" i="59"/>
  <c r="P166" i="40"/>
  <c r="DM138" i="59"/>
  <c r="AC166" i="40"/>
  <c r="DZ138" i="59"/>
  <c r="AA166" i="40"/>
  <c r="DX138" i="59"/>
  <c r="AE166" i="40"/>
  <c r="EB138" i="59"/>
  <c r="W166" i="40"/>
  <c r="DT138" i="59"/>
  <c r="AX166" i="40"/>
  <c r="EU138" i="59"/>
  <c r="AU166" i="40"/>
  <c r="ER138" i="59"/>
  <c r="AM166" i="40"/>
  <c r="EJ138" i="59"/>
  <c r="R166" i="40"/>
  <c r="DO138" i="59"/>
  <c r="AF166" i="40"/>
  <c r="EC138" i="59"/>
  <c r="Y166" i="40"/>
  <c r="DV138" i="59"/>
  <c r="V166" i="40"/>
  <c r="AT166" i="40"/>
  <c r="EQ138" i="59"/>
  <c r="M166" i="40"/>
  <c r="DJ138" i="59"/>
  <c r="AH166" i="40"/>
  <c r="EE138" i="59"/>
  <c r="AK166" i="40"/>
  <c r="EH138" i="59"/>
  <c r="U166" i="40"/>
  <c r="DR138" i="59"/>
  <c r="T166" i="40"/>
  <c r="DQ138" i="59"/>
  <c r="AI166" i="40"/>
  <c r="EF138" i="59"/>
  <c r="S166" i="40"/>
  <c r="DP138" i="59"/>
  <c r="AG166" i="40"/>
  <c r="ED138" i="59"/>
  <c r="AP166" i="40"/>
  <c r="EM138" i="59"/>
  <c r="AN166" i="40"/>
  <c r="EK138" i="59"/>
  <c r="AR166" i="40"/>
  <c r="EO138" i="59"/>
  <c r="AB166" i="40"/>
  <c r="DY138" i="59"/>
  <c r="AD166" i="40"/>
  <c r="EA138" i="59"/>
  <c r="Q166" i="40"/>
  <c r="DN138" i="59"/>
  <c r="AO166" i="40"/>
  <c r="EL138" i="59"/>
  <c r="AL166" i="40"/>
  <c r="EI138" i="59"/>
  <c r="O166" i="40"/>
  <c r="DL138" i="59"/>
  <c r="M161" i="40"/>
  <c r="DF137" i="59"/>
  <c r="N161" i="40"/>
  <c r="DG137" i="59"/>
  <c r="O161" i="40"/>
  <c r="DH137" i="59"/>
  <c r="P161" i="40"/>
  <c r="DI137" i="59"/>
  <c r="Q161" i="40"/>
  <c r="R161" i="40"/>
  <c r="DK137" i="59"/>
  <c r="S161" i="40"/>
  <c r="DL137" i="59"/>
  <c r="T161" i="40"/>
  <c r="DM137" i="59"/>
  <c r="U161" i="40"/>
  <c r="DN137" i="59"/>
  <c r="V161" i="40"/>
  <c r="DO137" i="59"/>
  <c r="W161" i="40"/>
  <c r="DP137" i="59"/>
  <c r="X161" i="40"/>
  <c r="DQ137" i="59"/>
  <c r="Y161" i="40"/>
  <c r="DR137" i="59"/>
  <c r="Z161" i="40"/>
  <c r="DS137" i="59"/>
  <c r="AA161" i="40"/>
  <c r="DT137" i="59"/>
  <c r="AB161" i="40"/>
  <c r="DU137" i="59"/>
  <c r="AC161" i="40"/>
  <c r="DV137" i="59"/>
  <c r="AD161" i="40"/>
  <c r="DW137" i="59"/>
  <c r="AE161" i="40"/>
  <c r="DX137" i="59"/>
  <c r="AF161" i="40"/>
  <c r="DY137" i="59"/>
  <c r="AG161" i="40"/>
  <c r="DZ137" i="59"/>
  <c r="AH161" i="40"/>
  <c r="EA137" i="59"/>
  <c r="AI161" i="40"/>
  <c r="EB137" i="59"/>
  <c r="AJ161" i="40"/>
  <c r="EC137" i="59"/>
  <c r="AK161" i="40"/>
  <c r="ED137" i="59"/>
  <c r="AL161" i="40"/>
  <c r="EE137" i="59"/>
  <c r="AM161" i="40"/>
  <c r="EF137" i="59"/>
  <c r="AN161" i="40"/>
  <c r="EG137" i="59"/>
  <c r="AO161" i="40"/>
  <c r="EH137" i="59"/>
  <c r="AP161" i="40"/>
  <c r="EI137" i="59"/>
  <c r="AQ161" i="40"/>
  <c r="EJ137" i="59"/>
  <c r="AR161" i="40"/>
  <c r="EK137" i="59"/>
  <c r="AS161" i="40"/>
  <c r="EL137" i="59"/>
  <c r="AT161" i="40"/>
  <c r="EM137" i="59"/>
  <c r="AU161" i="40"/>
  <c r="EN137" i="59"/>
  <c r="AV161" i="40"/>
  <c r="EO137" i="59"/>
  <c r="AW161" i="40"/>
  <c r="EP137" i="59"/>
  <c r="AX161" i="40"/>
  <c r="EQ137" i="59"/>
  <c r="AD184" i="40"/>
  <c r="AS142" i="59"/>
  <c r="W184" i="40"/>
  <c r="AL142" i="59"/>
  <c r="AS184" i="40"/>
  <c r="BH142" i="59"/>
  <c r="AT184" i="40"/>
  <c r="BI142" i="59"/>
  <c r="Z184" i="40"/>
  <c r="AO142" i="59"/>
  <c r="AM184" i="40"/>
  <c r="BB142" i="59"/>
  <c r="S184" i="40"/>
  <c r="AH142" i="59"/>
  <c r="P184" i="40"/>
  <c r="AE142" i="59"/>
  <c r="Q184" i="40"/>
  <c r="AF142" i="59"/>
  <c r="AX184" i="40"/>
  <c r="BM142" i="59"/>
  <c r="N184" i="40"/>
  <c r="AC142" i="59"/>
  <c r="AA184" i="40"/>
  <c r="AP142" i="59"/>
  <c r="AR184" i="40"/>
  <c r="BG142" i="59"/>
  <c r="X184" i="40"/>
  <c r="AM142" i="59"/>
  <c r="AH184" i="40"/>
  <c r="AW142" i="59"/>
  <c r="AU184" i="40"/>
  <c r="BJ142" i="59"/>
  <c r="AV184" i="40"/>
  <c r="BK142" i="59"/>
  <c r="AB184" i="40"/>
  <c r="AQ142" i="59"/>
  <c r="AW184" i="40"/>
  <c r="BL142" i="59"/>
  <c r="AC184" i="40"/>
  <c r="AR142" i="59"/>
  <c r="AQ184" i="40"/>
  <c r="BF142" i="59"/>
  <c r="AN184" i="40"/>
  <c r="R184" i="40"/>
  <c r="AG142" i="59"/>
  <c r="AE184" i="40"/>
  <c r="AT142" i="59"/>
  <c r="AF184" i="40"/>
  <c r="AU142" i="59"/>
  <c r="M184" i="40"/>
  <c r="AB142" i="59"/>
  <c r="AG184" i="40"/>
  <c r="AV142" i="59"/>
  <c r="O184" i="40"/>
  <c r="AD142" i="59"/>
  <c r="AK184" i="40"/>
  <c r="AZ142" i="59"/>
  <c r="AJ184" i="40"/>
  <c r="AY142" i="59"/>
  <c r="AO184" i="40"/>
  <c r="BD142" i="59"/>
  <c r="U184" i="40"/>
  <c r="AJ142" i="59"/>
  <c r="AL184" i="40"/>
  <c r="BA142" i="59"/>
  <c r="T184" i="40"/>
  <c r="AI142" i="59"/>
  <c r="Y184" i="40"/>
  <c r="AN142" i="59"/>
  <c r="AP184" i="40"/>
  <c r="BE142" i="59"/>
  <c r="V184" i="40"/>
  <c r="AK142" i="59"/>
  <c r="AI184" i="40"/>
  <c r="AX142" i="59"/>
  <c r="N197" i="40"/>
  <c r="GK144" i="59"/>
  <c r="AO153" i="40"/>
  <c r="HS135" i="59"/>
  <c r="AH153" i="40"/>
  <c r="HL135" i="59"/>
  <c r="W153" i="40"/>
  <c r="HA135" i="59"/>
  <c r="AS153" i="40"/>
  <c r="HW135" i="59"/>
  <c r="AK153" i="40"/>
  <c r="HO135" i="59"/>
  <c r="AX153" i="40"/>
  <c r="IB135" i="59"/>
  <c r="AM153" i="40"/>
  <c r="HQ135" i="59"/>
  <c r="AB153" i="40"/>
  <c r="HF135" i="59"/>
  <c r="AN153" i="40"/>
  <c r="HR135" i="59"/>
  <c r="AW153" i="40"/>
  <c r="IA135" i="59"/>
  <c r="AP153" i="40"/>
  <c r="HT135" i="59"/>
  <c r="AL153" i="40"/>
  <c r="HP135" i="59"/>
  <c r="R153" i="40"/>
  <c r="GV135" i="59"/>
  <c r="AQ153" i="40"/>
  <c r="HU135" i="59"/>
  <c r="AA153" i="40"/>
  <c r="HE135" i="59"/>
  <c r="Z153" i="40"/>
  <c r="HD135" i="59"/>
  <c r="T153" i="40"/>
  <c r="GX135" i="59"/>
  <c r="AC153" i="40"/>
  <c r="HG135" i="59"/>
  <c r="U153" i="40"/>
  <c r="GY135" i="59"/>
  <c r="V153" i="40"/>
  <c r="GZ135" i="59"/>
  <c r="AG153" i="40"/>
  <c r="HK135" i="59"/>
  <c r="AT153" i="40"/>
  <c r="HX135" i="59"/>
  <c r="AI153" i="40"/>
  <c r="HM135" i="59"/>
  <c r="AU153" i="40"/>
  <c r="HY135" i="59"/>
  <c r="Y153" i="40"/>
  <c r="HC135" i="59"/>
  <c r="AF153" i="40"/>
  <c r="HJ135" i="59"/>
  <c r="AR153" i="40"/>
  <c r="HV135" i="59"/>
  <c r="AV153" i="40"/>
  <c r="HZ135" i="59"/>
  <c r="X153" i="40"/>
  <c r="HB135" i="59"/>
  <c r="AE153" i="40"/>
  <c r="HI135" i="59"/>
  <c r="AD153" i="40"/>
  <c r="HH135" i="59"/>
  <c r="S153" i="40"/>
  <c r="GW135" i="59"/>
  <c r="AJ153" i="40"/>
  <c r="HN135" i="59"/>
  <c r="V272" i="40"/>
  <c r="IN157" i="59"/>
  <c r="U272" i="40"/>
  <c r="IM157" i="59"/>
  <c r="W104" i="59"/>
  <c r="FS138" i="59"/>
  <c r="AD104" i="59"/>
  <c r="AK140" i="59"/>
  <c r="X104" i="59"/>
  <c r="HS138" i="59"/>
  <c r="AP104" i="59"/>
  <c r="FC142" i="59"/>
  <c r="AQ104" i="59"/>
  <c r="HC142" i="59"/>
  <c r="AC104" i="59"/>
  <c r="IB139" i="59"/>
  <c r="AA104" i="59"/>
  <c r="EB139" i="59"/>
  <c r="AE104" i="59"/>
  <c r="CK140" i="59"/>
  <c r="Z104" i="59"/>
  <c r="CB139" i="59"/>
  <c r="AH104" i="59"/>
  <c r="IK140" i="59"/>
  <c r="AO104" i="59"/>
  <c r="DC142" i="59"/>
  <c r="Q104" i="59"/>
  <c r="DJ137" i="59"/>
  <c r="AR104" i="59"/>
  <c r="L143" i="59"/>
  <c r="AG104" i="59"/>
  <c r="GK140" i="59"/>
  <c r="Y104" i="59"/>
  <c r="AB139" i="59"/>
  <c r="AI104" i="59"/>
  <c r="AT141" i="59"/>
  <c r="U104" i="59"/>
  <c r="BS138" i="59"/>
  <c r="AN104" i="59"/>
  <c r="BC142" i="59"/>
  <c r="P104" i="59"/>
  <c r="BJ137" i="59"/>
  <c r="AK104" i="59"/>
  <c r="ET141" i="59"/>
  <c r="AB104" i="59"/>
  <c r="GB139" i="59"/>
  <c r="AF104" i="59"/>
  <c r="EK140" i="59"/>
  <c r="T104" i="59"/>
  <c r="S138" i="59"/>
  <c r="S104" i="59"/>
  <c r="HJ137" i="59"/>
  <c r="V104" i="59"/>
  <c r="DS138" i="59"/>
  <c r="AL104" i="59"/>
  <c r="GT141" i="59"/>
  <c r="AM104" i="59"/>
  <c r="IT141" i="59"/>
  <c r="AJ104" i="59"/>
  <c r="CT141" i="59"/>
  <c r="M162" i="40"/>
  <c r="FE137" i="59"/>
  <c r="AA378" i="5"/>
  <c r="F235" i="59"/>
  <c r="T393" i="5"/>
  <c r="X238" i="59"/>
  <c r="Y378" i="5"/>
  <c r="IU234" i="59"/>
  <c r="AB378" i="5"/>
  <c r="G235" i="59"/>
  <c r="AM393" i="5"/>
  <c r="AQ238" i="59"/>
  <c r="AL378" i="5"/>
  <c r="Q235" i="59"/>
  <c r="Q378" i="5"/>
  <c r="IM234" i="59"/>
  <c r="AC378" i="5"/>
  <c r="H235" i="59"/>
  <c r="S378" i="5"/>
  <c r="IO234" i="59"/>
  <c r="AB393" i="5"/>
  <c r="AF238" i="59"/>
  <c r="AF393" i="5"/>
  <c r="AJ238" i="59"/>
  <c r="R272" i="40"/>
  <c r="IJ157" i="59"/>
  <c r="AH393" i="5"/>
  <c r="AL238" i="59"/>
  <c r="AE378" i="5"/>
  <c r="J235" i="59"/>
  <c r="S393" i="5"/>
  <c r="W238" i="59"/>
  <c r="AI378" i="5"/>
  <c r="N235" i="59"/>
  <c r="AK393" i="5"/>
  <c r="AO238" i="59"/>
  <c r="AO378" i="5"/>
  <c r="T235" i="59"/>
  <c r="Y393" i="5"/>
  <c r="AC238" i="59"/>
  <c r="AF378" i="5"/>
  <c r="K235" i="59"/>
  <c r="U378" i="5"/>
  <c r="IQ234" i="59"/>
  <c r="AL393" i="5"/>
  <c r="AP238" i="59"/>
  <c r="AC393" i="5"/>
  <c r="AG238" i="59"/>
  <c r="AJ378" i="5"/>
  <c r="O235" i="59"/>
  <c r="U393" i="5"/>
  <c r="Y238" i="59"/>
  <c r="Z378" i="5"/>
  <c r="IV234" i="59"/>
  <c r="R378" i="5"/>
  <c r="IN234" i="59"/>
  <c r="AJ393" i="5"/>
  <c r="AN238" i="59"/>
  <c r="AI393" i="5"/>
  <c r="AM238" i="59"/>
  <c r="R393" i="5"/>
  <c r="V238" i="59"/>
  <c r="AG393" i="5"/>
  <c r="AK238" i="59"/>
  <c r="AD378" i="5"/>
  <c r="I235" i="59"/>
  <c r="W393" i="5"/>
  <c r="AA238" i="59"/>
  <c r="AN393" i="5"/>
  <c r="AR238" i="59"/>
  <c r="AA393" i="5"/>
  <c r="AE238" i="59"/>
  <c r="X378" i="5"/>
  <c r="IT234" i="59"/>
  <c r="AO393" i="5"/>
  <c r="AS238" i="59"/>
  <c r="AM378" i="5"/>
  <c r="R235" i="59"/>
  <c r="X393" i="5"/>
  <c r="AB238" i="59"/>
  <c r="AE393" i="5"/>
  <c r="AI238" i="59"/>
  <c r="Q393" i="5"/>
  <c r="U238" i="59"/>
  <c r="AG378" i="5"/>
  <c r="L235" i="59"/>
  <c r="V378" i="5"/>
  <c r="IR234" i="59"/>
  <c r="Z393" i="5"/>
  <c r="AD238" i="59"/>
  <c r="V393" i="5"/>
  <c r="Z238" i="59"/>
  <c r="W378" i="5"/>
  <c r="IS234" i="59"/>
  <c r="AK378" i="5"/>
  <c r="P235" i="59"/>
  <c r="T378" i="5"/>
  <c r="IP234" i="59"/>
  <c r="AH378" i="5"/>
  <c r="M235" i="59"/>
  <c r="AN378" i="5"/>
  <c r="S235" i="59"/>
  <c r="AD393" i="5"/>
  <c r="AH238" i="59"/>
  <c r="BA245" i="40"/>
  <c r="BX152" i="59"/>
  <c r="O393" i="5"/>
  <c r="S238" i="59"/>
  <c r="O386" i="5"/>
  <c r="FA236" i="59"/>
  <c r="P378" i="5"/>
  <c r="IL234" i="59"/>
  <c r="P363" i="5"/>
  <c r="IO231" i="59"/>
  <c r="L378" i="5"/>
  <c r="IH234" i="59"/>
  <c r="L363" i="5"/>
  <c r="IK231" i="59"/>
  <c r="K378" i="5"/>
  <c r="IG234" i="59"/>
  <c r="K363" i="5"/>
  <c r="IJ231" i="59"/>
  <c r="O378" i="5"/>
  <c r="IK234" i="59"/>
  <c r="O363" i="5"/>
  <c r="IN231" i="59"/>
  <c r="M393" i="5"/>
  <c r="Q238" i="59"/>
  <c r="M386" i="5"/>
  <c r="EY236" i="59"/>
  <c r="M378" i="5"/>
  <c r="II234" i="59"/>
  <c r="M363" i="5"/>
  <c r="IL231" i="59"/>
  <c r="N393" i="5"/>
  <c r="R238" i="59"/>
  <c r="N386" i="5"/>
  <c r="EZ236" i="59"/>
  <c r="J393" i="5"/>
  <c r="N238" i="59"/>
  <c r="J386" i="5"/>
  <c r="EV236" i="59"/>
  <c r="J378" i="5"/>
  <c r="IF234" i="59"/>
  <c r="J363" i="5"/>
  <c r="II231" i="59"/>
  <c r="P393" i="5"/>
  <c r="T238" i="59"/>
  <c r="P386" i="5"/>
  <c r="FB236" i="59"/>
  <c r="L393" i="5"/>
  <c r="P238" i="59"/>
  <c r="L386" i="5"/>
  <c r="EX236" i="59"/>
  <c r="K393" i="5"/>
  <c r="O238" i="59"/>
  <c r="K386" i="5"/>
  <c r="EW236" i="59"/>
  <c r="I393" i="5"/>
  <c r="M238" i="59"/>
  <c r="I386" i="5"/>
  <c r="EU236" i="59"/>
  <c r="N378" i="5"/>
  <c r="IJ234" i="59"/>
  <c r="N363" i="5"/>
  <c r="IM231" i="59"/>
  <c r="O197" i="40"/>
  <c r="GL144" i="59"/>
  <c r="N162" i="40"/>
  <c r="FF137" i="59"/>
  <c r="AY126" i="40"/>
  <c r="CJ130" i="59"/>
  <c r="AQ62" i="5"/>
  <c r="FM172" i="59"/>
  <c r="BA272" i="40"/>
  <c r="AB158" i="59"/>
  <c r="P197" i="40"/>
  <c r="GM144" i="59"/>
  <c r="O162" i="40"/>
  <c r="FG137" i="59"/>
  <c r="AR62" i="5"/>
  <c r="FN172" i="59"/>
  <c r="I17" i="41"/>
  <c r="CG305" i="59"/>
  <c r="D116" i="5"/>
  <c r="AS183" i="59"/>
  <c r="D94" i="5"/>
  <c r="HB178" i="59"/>
  <c r="D83" i="5"/>
  <c r="FK176" i="59"/>
  <c r="D39" i="5"/>
  <c r="IL167" i="59"/>
  <c r="J17" i="41"/>
  <c r="CH305" i="59"/>
  <c r="Q197" i="40"/>
  <c r="GN144" i="59"/>
  <c r="P162" i="40"/>
  <c r="FH137" i="59"/>
  <c r="D72" i="5"/>
  <c r="DT174" i="59"/>
  <c r="AT62" i="5"/>
  <c r="FP172" i="59"/>
  <c r="D105" i="5"/>
  <c r="IS180" i="59"/>
  <c r="D61" i="5"/>
  <c r="CC172" i="59"/>
  <c r="O17" i="41"/>
  <c r="CM305" i="59"/>
  <c r="E116" i="5"/>
  <c r="AT183" i="59"/>
  <c r="E105" i="5"/>
  <c r="IT180" i="59"/>
  <c r="E94" i="5"/>
  <c r="HC178" i="59"/>
  <c r="E83" i="5"/>
  <c r="FL176" i="59"/>
  <c r="E72" i="5"/>
  <c r="DU174" i="59"/>
  <c r="E39" i="5"/>
  <c r="IM167" i="59"/>
  <c r="K17" i="41"/>
  <c r="CI305" i="59"/>
  <c r="L17" i="41"/>
  <c r="CJ305" i="59"/>
  <c r="R197" i="40"/>
  <c r="GO144" i="59"/>
  <c r="Q162" i="40"/>
  <c r="FI137" i="59"/>
  <c r="E61" i="5"/>
  <c r="CD172" i="59"/>
  <c r="F116" i="5"/>
  <c r="AU183" i="59"/>
  <c r="F105" i="5"/>
  <c r="IU180" i="59"/>
  <c r="F94" i="5"/>
  <c r="HD178" i="59"/>
  <c r="F83" i="5"/>
  <c r="FM176" i="59"/>
  <c r="F72" i="5"/>
  <c r="DV174" i="59"/>
  <c r="D50" i="5"/>
  <c r="AL170" i="59"/>
  <c r="S197" i="40"/>
  <c r="GP144" i="59"/>
  <c r="R162" i="40"/>
  <c r="F61" i="5"/>
  <c r="CE172" i="59"/>
  <c r="G116" i="5"/>
  <c r="AV183" i="59"/>
  <c r="G105" i="5"/>
  <c r="IV180" i="59"/>
  <c r="G94" i="5"/>
  <c r="HE178" i="59"/>
  <c r="G83" i="5"/>
  <c r="FN176" i="59"/>
  <c r="G72" i="5"/>
  <c r="DW174" i="59"/>
  <c r="E50" i="5"/>
  <c r="AM170" i="59"/>
  <c r="F39" i="5"/>
  <c r="IN167" i="59"/>
  <c r="R104" i="59"/>
  <c r="FJ137" i="59"/>
  <c r="T197" i="40"/>
  <c r="GQ144" i="59"/>
  <c r="S162" i="40"/>
  <c r="FK137" i="59"/>
  <c r="G61" i="5"/>
  <c r="CF172" i="59"/>
  <c r="H116" i="5"/>
  <c r="AW183" i="59"/>
  <c r="H105" i="5"/>
  <c r="F181" i="59"/>
  <c r="H94" i="5"/>
  <c r="HF178" i="59"/>
  <c r="H83" i="5"/>
  <c r="FO176" i="59"/>
  <c r="H72" i="5"/>
  <c r="DX174" i="59"/>
  <c r="F50" i="5"/>
  <c r="AN170" i="59"/>
  <c r="G39" i="5"/>
  <c r="IO167" i="59"/>
  <c r="U197" i="40"/>
  <c r="GR144" i="59"/>
  <c r="T162" i="40"/>
  <c r="FL137" i="59"/>
  <c r="H61" i="5"/>
  <c r="CG172" i="59"/>
  <c r="I116" i="5"/>
  <c r="AX183" i="59"/>
  <c r="I105" i="5"/>
  <c r="G181" i="59"/>
  <c r="I94" i="5"/>
  <c r="HG178" i="59"/>
  <c r="I83" i="5"/>
  <c r="FP176" i="59"/>
  <c r="I72" i="5"/>
  <c r="G50" i="5"/>
  <c r="AO170" i="59"/>
  <c r="H39" i="5"/>
  <c r="IP167" i="59"/>
  <c r="I159" i="59"/>
  <c r="DY174" i="59"/>
  <c r="V197" i="40"/>
  <c r="GS144" i="59"/>
  <c r="U162" i="40"/>
  <c r="FM137" i="59"/>
  <c r="I61" i="5"/>
  <c r="CH172" i="59"/>
  <c r="J116" i="5"/>
  <c r="AY183" i="59"/>
  <c r="J105" i="5"/>
  <c r="H181" i="59"/>
  <c r="J94" i="5"/>
  <c r="HH178" i="59"/>
  <c r="J83" i="5"/>
  <c r="FQ176" i="59"/>
  <c r="J72" i="5"/>
  <c r="DZ174" i="59"/>
  <c r="H50" i="5"/>
  <c r="AP170" i="59"/>
  <c r="I39" i="5"/>
  <c r="IQ167" i="59"/>
  <c r="W197" i="40"/>
  <c r="GT144" i="59"/>
  <c r="V162" i="40"/>
  <c r="FN137" i="59"/>
  <c r="J61" i="5"/>
  <c r="CI172" i="59"/>
  <c r="K116" i="5"/>
  <c r="AZ183" i="59"/>
  <c r="K105" i="5"/>
  <c r="I181" i="59"/>
  <c r="K94" i="5"/>
  <c r="HI178" i="59"/>
  <c r="K83" i="5"/>
  <c r="FR176" i="59"/>
  <c r="K72" i="5"/>
  <c r="EA174" i="59"/>
  <c r="I50" i="5"/>
  <c r="AQ170" i="59"/>
  <c r="J39" i="5"/>
  <c r="IR167" i="59"/>
  <c r="X197" i="40"/>
  <c r="GU144" i="59"/>
  <c r="W162" i="40"/>
  <c r="FO137" i="59"/>
  <c r="K61" i="5"/>
  <c r="CJ172" i="59"/>
  <c r="L116" i="5"/>
  <c r="BA183" i="59"/>
  <c r="L105" i="5"/>
  <c r="J181" i="59"/>
  <c r="L94" i="5"/>
  <c r="HJ178" i="59"/>
  <c r="L83" i="5"/>
  <c r="FS176" i="59"/>
  <c r="L72" i="5"/>
  <c r="EB174" i="59"/>
  <c r="J50" i="5"/>
  <c r="AR170" i="59"/>
  <c r="K39" i="5"/>
  <c r="IS167" i="59"/>
  <c r="Y197" i="40"/>
  <c r="GV144" i="59"/>
  <c r="X162" i="40"/>
  <c r="FP137" i="59"/>
  <c r="L61" i="5"/>
  <c r="CK172" i="59"/>
  <c r="M116" i="5"/>
  <c r="BB183" i="59"/>
  <c r="M105" i="5"/>
  <c r="K181" i="59"/>
  <c r="M94" i="5"/>
  <c r="HK178" i="59"/>
  <c r="M83" i="5"/>
  <c r="FT176" i="59"/>
  <c r="M72" i="5"/>
  <c r="EC174" i="59"/>
  <c r="K50" i="5"/>
  <c r="AS170" i="59"/>
  <c r="L39" i="5"/>
  <c r="IT167" i="59"/>
  <c r="Z197" i="40"/>
  <c r="GW144" i="59"/>
  <c r="Y162" i="40"/>
  <c r="FQ137" i="59"/>
  <c r="M61" i="5"/>
  <c r="CL172" i="59"/>
  <c r="N116" i="5"/>
  <c r="BC183" i="59"/>
  <c r="N105" i="5"/>
  <c r="L181" i="59"/>
  <c r="N94" i="5"/>
  <c r="HL178" i="59"/>
  <c r="N83" i="5"/>
  <c r="FU176" i="59"/>
  <c r="N72" i="5"/>
  <c r="ED174" i="59"/>
  <c r="L50" i="5"/>
  <c r="AT170" i="59"/>
  <c r="M39" i="5"/>
  <c r="IU167" i="59"/>
  <c r="AA197" i="40"/>
  <c r="GX144" i="59"/>
  <c r="Z162" i="40"/>
  <c r="FR137" i="59"/>
  <c r="N61" i="5"/>
  <c r="CM172" i="59"/>
  <c r="O116" i="5"/>
  <c r="BD183" i="59"/>
  <c r="O105" i="5"/>
  <c r="M181" i="59"/>
  <c r="O94" i="5"/>
  <c r="HM178" i="59"/>
  <c r="O83" i="5"/>
  <c r="FV176" i="59"/>
  <c r="O72" i="5"/>
  <c r="EE174" i="59"/>
  <c r="M50" i="5"/>
  <c r="AU170" i="59"/>
  <c r="N39" i="5"/>
  <c r="IV167" i="59"/>
  <c r="AB197" i="40"/>
  <c r="GY144" i="59"/>
  <c r="AA162" i="40"/>
  <c r="FS137" i="59"/>
  <c r="O61" i="5"/>
  <c r="CN172" i="59"/>
  <c r="P116" i="5"/>
  <c r="BE183" i="59"/>
  <c r="P105" i="5"/>
  <c r="N181" i="59"/>
  <c r="P94" i="5"/>
  <c r="HN178" i="59"/>
  <c r="P83" i="5"/>
  <c r="FW176" i="59"/>
  <c r="P72" i="5"/>
  <c r="EF174" i="59"/>
  <c r="N50" i="5"/>
  <c r="AV170" i="59"/>
  <c r="O39" i="5"/>
  <c r="F168" i="59"/>
  <c r="AQ72" i="5"/>
  <c r="FG174" i="59"/>
  <c r="AQ105" i="5"/>
  <c r="AO181" i="59"/>
  <c r="AQ94" i="5"/>
  <c r="IO178" i="59"/>
  <c r="AQ83" i="5"/>
  <c r="GX176" i="59"/>
  <c r="AQ116" i="5"/>
  <c r="CF183" i="59"/>
  <c r="AC197" i="40"/>
  <c r="GZ144" i="59"/>
  <c r="AB162" i="40"/>
  <c r="FT137" i="59"/>
  <c r="P61" i="5"/>
  <c r="CO172" i="59"/>
  <c r="Q116" i="5"/>
  <c r="BF183" i="59"/>
  <c r="Q105" i="5"/>
  <c r="O181" i="59"/>
  <c r="Q94" i="5"/>
  <c r="HO178" i="59"/>
  <c r="Q83" i="5"/>
  <c r="FX176" i="59"/>
  <c r="Q72" i="5"/>
  <c r="EG174" i="59"/>
  <c r="O50" i="5"/>
  <c r="AW170" i="59"/>
  <c r="P39" i="5"/>
  <c r="G168" i="59"/>
  <c r="AT72" i="5"/>
  <c r="FJ174" i="59"/>
  <c r="AT83" i="5"/>
  <c r="HA176" i="59"/>
  <c r="M19" i="41"/>
  <c r="DQ305" i="59"/>
  <c r="AQ61" i="5"/>
  <c r="DP172" i="59"/>
  <c r="AQ39" i="5"/>
  <c r="AH168" i="59"/>
  <c r="M20" i="41"/>
  <c r="EG305" i="59"/>
  <c r="AT94" i="5"/>
  <c r="IR178" i="59"/>
  <c r="M22" i="41"/>
  <c r="FM305" i="59"/>
  <c r="M21" i="41"/>
  <c r="EW305" i="59"/>
  <c r="AT116" i="5"/>
  <c r="CI183" i="59"/>
  <c r="AT105" i="5"/>
  <c r="AR181" i="59"/>
  <c r="M18" i="41"/>
  <c r="DA305" i="59"/>
  <c r="AD197" i="40"/>
  <c r="HA144" i="59"/>
  <c r="AC162" i="40"/>
  <c r="FU137" i="59"/>
  <c r="Q61" i="5"/>
  <c r="CP172" i="59"/>
  <c r="R116" i="5"/>
  <c r="BG183" i="59"/>
  <c r="R105" i="5"/>
  <c r="P181" i="59"/>
  <c r="R94" i="5"/>
  <c r="HP178" i="59"/>
  <c r="R83" i="5"/>
  <c r="FY176" i="59"/>
  <c r="R72" i="5"/>
  <c r="EH174" i="59"/>
  <c r="P50" i="5"/>
  <c r="AX170" i="59"/>
  <c r="Q39" i="5"/>
  <c r="H168" i="59"/>
  <c r="M15" i="41"/>
  <c r="BE305" i="59"/>
  <c r="AT39" i="5"/>
  <c r="AK168" i="59"/>
  <c r="AT61" i="5"/>
  <c r="DS172" i="59"/>
  <c r="M17" i="41"/>
  <c r="CK305" i="59"/>
  <c r="AQ50" i="5"/>
  <c r="BY170" i="59"/>
  <c r="AE197" i="40"/>
  <c r="HB144" i="59"/>
  <c r="AD162" i="40"/>
  <c r="FV137" i="59"/>
  <c r="R61" i="5"/>
  <c r="CQ172" i="59"/>
  <c r="S116" i="5"/>
  <c r="BH183" i="59"/>
  <c r="S105" i="5"/>
  <c r="Q181" i="59"/>
  <c r="S94" i="5"/>
  <c r="HQ178" i="59"/>
  <c r="S83" i="5"/>
  <c r="FZ176" i="59"/>
  <c r="S72" i="5"/>
  <c r="EI174" i="59"/>
  <c r="Q50" i="5"/>
  <c r="AY170" i="59"/>
  <c r="R39" i="5"/>
  <c r="I168" i="59"/>
  <c r="M16" i="41"/>
  <c r="BU305" i="59"/>
  <c r="AT50" i="5"/>
  <c r="CB170" i="59"/>
  <c r="AF197" i="40"/>
  <c r="HC144" i="59"/>
  <c r="AE162" i="40"/>
  <c r="FW137" i="59"/>
  <c r="S61" i="5"/>
  <c r="CR172" i="59"/>
  <c r="T116" i="5"/>
  <c r="BI183" i="59"/>
  <c r="T105" i="5"/>
  <c r="R181" i="59"/>
  <c r="T94" i="5"/>
  <c r="HR178" i="59"/>
  <c r="T83" i="5"/>
  <c r="T72" i="5"/>
  <c r="EJ174" i="59"/>
  <c r="R50" i="5"/>
  <c r="AZ170" i="59"/>
  <c r="S39" i="5"/>
  <c r="J168" i="59"/>
  <c r="T159" i="59"/>
  <c r="GA176" i="59"/>
  <c r="AG197" i="40"/>
  <c r="HD144" i="59"/>
  <c r="AF162" i="40"/>
  <c r="FX137" i="59"/>
  <c r="T61" i="5"/>
  <c r="CS172" i="59"/>
  <c r="U116" i="5"/>
  <c r="BJ183" i="59"/>
  <c r="U105" i="5"/>
  <c r="S181" i="59"/>
  <c r="U94" i="5"/>
  <c r="HS178" i="59"/>
  <c r="U83" i="5"/>
  <c r="GB176" i="59"/>
  <c r="U72" i="5"/>
  <c r="EK174" i="59"/>
  <c r="S50" i="5"/>
  <c r="BA170" i="59"/>
  <c r="T39" i="5"/>
  <c r="K168" i="59"/>
  <c r="AH197" i="40"/>
  <c r="HE144" i="59"/>
  <c r="AG162" i="40"/>
  <c r="FY137" i="59"/>
  <c r="U61" i="5"/>
  <c r="CT172" i="59"/>
  <c r="V116" i="5"/>
  <c r="BK183" i="59"/>
  <c r="V105" i="5"/>
  <c r="T181" i="59"/>
  <c r="V94" i="5"/>
  <c r="HT178" i="59"/>
  <c r="V83" i="5"/>
  <c r="GC176" i="59"/>
  <c r="V72" i="5"/>
  <c r="EL174" i="59"/>
  <c r="T50" i="5"/>
  <c r="BB170" i="59"/>
  <c r="U39" i="5"/>
  <c r="L168" i="59"/>
  <c r="AI197" i="40"/>
  <c r="HF144" i="59"/>
  <c r="AH162" i="40"/>
  <c r="FZ137" i="59"/>
  <c r="V61" i="5"/>
  <c r="CU172" i="59"/>
  <c r="W116" i="5"/>
  <c r="BL183" i="59"/>
  <c r="W105" i="5"/>
  <c r="U181" i="59"/>
  <c r="W94" i="5"/>
  <c r="HU178" i="59"/>
  <c r="W83" i="5"/>
  <c r="GD176" i="59"/>
  <c r="W72" i="5"/>
  <c r="EM174" i="59"/>
  <c r="U50" i="5"/>
  <c r="BC170" i="59"/>
  <c r="V39" i="5"/>
  <c r="M168" i="59"/>
  <c r="AJ197" i="40"/>
  <c r="HG144" i="59"/>
  <c r="AI162" i="40"/>
  <c r="GA137" i="59"/>
  <c r="W61" i="5"/>
  <c r="CV172" i="59"/>
  <c r="X116" i="5"/>
  <c r="BM183" i="59"/>
  <c r="X105" i="5"/>
  <c r="V181" i="59"/>
  <c r="X94" i="5"/>
  <c r="HV178" i="59"/>
  <c r="X83" i="5"/>
  <c r="GE176" i="59"/>
  <c r="X72" i="5"/>
  <c r="EN174" i="59"/>
  <c r="V50" i="5"/>
  <c r="BD170" i="59"/>
  <c r="W39" i="5"/>
  <c r="N168" i="59"/>
  <c r="AK197" i="40"/>
  <c r="HH144" i="59"/>
  <c r="AJ162" i="40"/>
  <c r="GB137" i="59"/>
  <c r="X61" i="5"/>
  <c r="CW172" i="59"/>
  <c r="Y116" i="5"/>
  <c r="BN183" i="59"/>
  <c r="Y105" i="5"/>
  <c r="W181" i="59"/>
  <c r="Y94" i="5"/>
  <c r="HW178" i="59"/>
  <c r="Y83" i="5"/>
  <c r="GF176" i="59"/>
  <c r="Y72" i="5"/>
  <c r="EO174" i="59"/>
  <c r="W50" i="5"/>
  <c r="BE170" i="59"/>
  <c r="X39" i="5"/>
  <c r="O168" i="59"/>
  <c r="AL197" i="40"/>
  <c r="HI144" i="59"/>
  <c r="AK162" i="40"/>
  <c r="GC137" i="59"/>
  <c r="Y61" i="5"/>
  <c r="CX172" i="59"/>
  <c r="Z116" i="5"/>
  <c r="BO183" i="59"/>
  <c r="Z105" i="5"/>
  <c r="X181" i="59"/>
  <c r="Z94" i="5"/>
  <c r="HX178" i="59"/>
  <c r="Z83" i="5"/>
  <c r="GG176" i="59"/>
  <c r="Z72" i="5"/>
  <c r="EP174" i="59"/>
  <c r="X50" i="5"/>
  <c r="BF170" i="59"/>
  <c r="Y39" i="5"/>
  <c r="P168" i="59"/>
  <c r="AM197" i="40"/>
  <c r="HJ144" i="59"/>
  <c r="AL162" i="40"/>
  <c r="GD137" i="59"/>
  <c r="Z61" i="5"/>
  <c r="CY172" i="59"/>
  <c r="AA116" i="5"/>
  <c r="BP183" i="59"/>
  <c r="AA105" i="5"/>
  <c r="Y181" i="59"/>
  <c r="AA94" i="5"/>
  <c r="HY178" i="59"/>
  <c r="AA83" i="5"/>
  <c r="GH176" i="59"/>
  <c r="AA72" i="5"/>
  <c r="EQ174" i="59"/>
  <c r="Y50" i="5"/>
  <c r="BG170" i="59"/>
  <c r="Z39" i="5"/>
  <c r="Q168" i="59"/>
  <c r="AN197" i="40"/>
  <c r="HK144" i="59"/>
  <c r="AM162" i="40"/>
  <c r="GE137" i="59"/>
  <c r="AA61" i="5"/>
  <c r="CZ172" i="59"/>
  <c r="AB116" i="5"/>
  <c r="BQ183" i="59"/>
  <c r="AB105" i="5"/>
  <c r="Z181" i="59"/>
  <c r="AB94" i="5"/>
  <c r="HZ178" i="59"/>
  <c r="AB83" i="5"/>
  <c r="GI176" i="59"/>
  <c r="AB72" i="5"/>
  <c r="ER174" i="59"/>
  <c r="Z50" i="5"/>
  <c r="BH170" i="59"/>
  <c r="AA39" i="5"/>
  <c r="R168" i="59"/>
  <c r="AO197" i="40"/>
  <c r="HL144" i="59"/>
  <c r="AN162" i="40"/>
  <c r="GF137" i="59"/>
  <c r="AB61" i="5"/>
  <c r="DA172" i="59"/>
  <c r="AC116" i="5"/>
  <c r="BR183" i="59"/>
  <c r="AC105" i="5"/>
  <c r="AA181" i="59"/>
  <c r="AC94" i="5"/>
  <c r="IA178" i="59"/>
  <c r="AC83" i="5"/>
  <c r="GJ176" i="59"/>
  <c r="AC72" i="5"/>
  <c r="ES174" i="59"/>
  <c r="AA50" i="5"/>
  <c r="BI170" i="59"/>
  <c r="AB39" i="5"/>
  <c r="S168" i="59"/>
  <c r="AP197" i="40"/>
  <c r="HM144" i="59"/>
  <c r="AO162" i="40"/>
  <c r="GG137" i="59"/>
  <c r="AC61" i="5"/>
  <c r="DB172" i="59"/>
  <c r="AD116" i="5"/>
  <c r="BS183" i="59"/>
  <c r="AD105" i="5"/>
  <c r="AB181" i="59"/>
  <c r="AD94" i="5"/>
  <c r="IB178" i="59"/>
  <c r="AD83" i="5"/>
  <c r="GK176" i="59"/>
  <c r="AD72" i="5"/>
  <c r="ET174" i="59"/>
  <c r="AB50" i="5"/>
  <c r="BJ170" i="59"/>
  <c r="AC39" i="5"/>
  <c r="T168" i="59"/>
  <c r="AQ197" i="40"/>
  <c r="HN144" i="59"/>
  <c r="AP162" i="40"/>
  <c r="GH137" i="59"/>
  <c r="AD61" i="5"/>
  <c r="DC172" i="59"/>
  <c r="AE116" i="5"/>
  <c r="BT183" i="59"/>
  <c r="AE105" i="5"/>
  <c r="AC181" i="59"/>
  <c r="AE94" i="5"/>
  <c r="AE83" i="5"/>
  <c r="GL176" i="59"/>
  <c r="AE72" i="5"/>
  <c r="EU174" i="59"/>
  <c r="AC50" i="5"/>
  <c r="BK170" i="59"/>
  <c r="AD39" i="5"/>
  <c r="U168" i="59"/>
  <c r="AE159" i="59"/>
  <c r="IC178" i="59"/>
  <c r="AR197" i="40"/>
  <c r="HO144" i="59"/>
  <c r="AQ162" i="40"/>
  <c r="GI137" i="59"/>
  <c r="AE61" i="5"/>
  <c r="DD172" i="59"/>
  <c r="AF116" i="5"/>
  <c r="BU183" i="59"/>
  <c r="AF105" i="5"/>
  <c r="AD181" i="59"/>
  <c r="AF94" i="5"/>
  <c r="ID178" i="59"/>
  <c r="AF83" i="5"/>
  <c r="GM176" i="59"/>
  <c r="AF72" i="5"/>
  <c r="EV174" i="59"/>
  <c r="AD50" i="5"/>
  <c r="BL170" i="59"/>
  <c r="AE39" i="5"/>
  <c r="V168" i="59"/>
  <c r="AS197" i="40"/>
  <c r="HP144" i="59"/>
  <c r="AR162" i="40"/>
  <c r="GJ137" i="59"/>
  <c r="AF61" i="5"/>
  <c r="DE172" i="59"/>
  <c r="AG116" i="5"/>
  <c r="BV183" i="59"/>
  <c r="AG105" i="5"/>
  <c r="AE181" i="59"/>
  <c r="AG94" i="5"/>
  <c r="IE178" i="59"/>
  <c r="AG83" i="5"/>
  <c r="GN176" i="59"/>
  <c r="AG72" i="5"/>
  <c r="EW174" i="59"/>
  <c r="AE50" i="5"/>
  <c r="BM170" i="59"/>
  <c r="AF39" i="5"/>
  <c r="W168" i="59"/>
  <c r="AT197" i="40"/>
  <c r="HQ144" i="59"/>
  <c r="AS162" i="40"/>
  <c r="GK137" i="59"/>
  <c r="AG61" i="5"/>
  <c r="DF172" i="59"/>
  <c r="AH116" i="5"/>
  <c r="BW183" i="59"/>
  <c r="AH105" i="5"/>
  <c r="AF181" i="59"/>
  <c r="AH94" i="5"/>
  <c r="IF178" i="59"/>
  <c r="AH83" i="5"/>
  <c r="GO176" i="59"/>
  <c r="AH72" i="5"/>
  <c r="EX174" i="59"/>
  <c r="AF50" i="5"/>
  <c r="BN170" i="59"/>
  <c r="AG39" i="5"/>
  <c r="X168" i="59"/>
  <c r="AU197" i="40"/>
  <c r="HR144" i="59"/>
  <c r="AT162" i="40"/>
  <c r="GL137" i="59"/>
  <c r="AH61" i="5"/>
  <c r="DG172" i="59"/>
  <c r="AI116" i="5"/>
  <c r="BX183" i="59"/>
  <c r="AI105" i="5"/>
  <c r="AG181" i="59"/>
  <c r="AI94" i="5"/>
  <c r="IG178" i="59"/>
  <c r="AI83" i="5"/>
  <c r="GP176" i="59"/>
  <c r="AI72" i="5"/>
  <c r="EY174" i="59"/>
  <c r="AG50" i="5"/>
  <c r="BO170" i="59"/>
  <c r="AH39" i="5"/>
  <c r="Y168" i="59"/>
  <c r="AV197" i="40"/>
  <c r="HS144" i="59"/>
  <c r="AU162" i="40"/>
  <c r="GM137" i="59"/>
  <c r="AI61" i="5"/>
  <c r="DH172" i="59"/>
  <c r="AJ116" i="5"/>
  <c r="BY183" i="59"/>
  <c r="AJ105" i="5"/>
  <c r="AH181" i="59"/>
  <c r="AJ94" i="5"/>
  <c r="IH178" i="59"/>
  <c r="AJ83" i="5"/>
  <c r="GQ176" i="59"/>
  <c r="AJ72" i="5"/>
  <c r="EZ174" i="59"/>
  <c r="AH50" i="5"/>
  <c r="BP170" i="59"/>
  <c r="AI39" i="5"/>
  <c r="Z168" i="59"/>
  <c r="AW197" i="40"/>
  <c r="HT144" i="59"/>
  <c r="AV162" i="40"/>
  <c r="GN137" i="59"/>
  <c r="AJ61" i="5"/>
  <c r="DI172" i="59"/>
  <c r="AK116" i="5"/>
  <c r="BZ183" i="59"/>
  <c r="AK105" i="5"/>
  <c r="AI181" i="59"/>
  <c r="AK94" i="5"/>
  <c r="II178" i="59"/>
  <c r="AK83" i="5"/>
  <c r="GR176" i="59"/>
  <c r="AK72" i="5"/>
  <c r="FA174" i="59"/>
  <c r="AI50" i="5"/>
  <c r="BQ170" i="59"/>
  <c r="AJ39" i="5"/>
  <c r="AA168" i="59"/>
  <c r="AX197" i="40"/>
  <c r="HU144" i="59"/>
  <c r="AW162" i="40"/>
  <c r="GO137" i="59"/>
  <c r="AK61" i="5"/>
  <c r="DJ172" i="59"/>
  <c r="AL116" i="5"/>
  <c r="CA183" i="59"/>
  <c r="AL105" i="5"/>
  <c r="AJ181" i="59"/>
  <c r="AL94" i="5"/>
  <c r="IJ178" i="59"/>
  <c r="AL83" i="5"/>
  <c r="GS176" i="59"/>
  <c r="AL72" i="5"/>
  <c r="FB174" i="59"/>
  <c r="AJ50" i="5"/>
  <c r="BR170" i="59"/>
  <c r="AK39" i="5"/>
  <c r="AB168" i="59"/>
  <c r="AX162" i="40"/>
  <c r="GP137" i="59"/>
  <c r="AL61" i="5"/>
  <c r="DK172" i="59"/>
  <c r="AM116" i="5"/>
  <c r="CB183" i="59"/>
  <c r="AM105" i="5"/>
  <c r="AK181" i="59"/>
  <c r="AM94" i="5"/>
  <c r="IK178" i="59"/>
  <c r="AM83" i="5"/>
  <c r="GT176" i="59"/>
  <c r="AM72" i="5"/>
  <c r="FC174" i="59"/>
  <c r="AK50" i="5"/>
  <c r="BS170" i="59"/>
  <c r="AL39" i="5"/>
  <c r="AC168" i="59"/>
  <c r="AM61" i="5"/>
  <c r="DL172" i="59"/>
  <c r="AO116" i="5"/>
  <c r="CD183" i="59"/>
  <c r="AN116" i="5"/>
  <c r="CC183" i="59"/>
  <c r="AO105" i="5"/>
  <c r="AM181" i="59"/>
  <c r="AN105" i="5"/>
  <c r="AL181" i="59"/>
  <c r="AO94" i="5"/>
  <c r="IM178" i="59"/>
  <c r="AN94" i="5"/>
  <c r="IL178" i="59"/>
  <c r="AO83" i="5"/>
  <c r="GV176" i="59"/>
  <c r="AN83" i="5"/>
  <c r="GU176" i="59"/>
  <c r="AO72" i="5"/>
  <c r="FE174" i="59"/>
  <c r="AN72" i="5"/>
  <c r="FD174" i="59"/>
  <c r="AL50" i="5"/>
  <c r="BT170" i="59"/>
  <c r="AM39" i="5"/>
  <c r="AD168" i="59"/>
  <c r="AO61" i="5"/>
  <c r="DN172" i="59"/>
  <c r="AN61" i="5"/>
  <c r="DM172" i="59"/>
  <c r="AM50" i="5"/>
  <c r="BU170" i="59"/>
  <c r="AN39" i="5"/>
  <c r="AE168" i="59"/>
  <c r="AO39" i="5"/>
  <c r="AF168" i="59"/>
  <c r="I16" i="40"/>
  <c r="HG107" i="59"/>
  <c r="AO50" i="5"/>
  <c r="BW170" i="59"/>
  <c r="AN50" i="5"/>
  <c r="BV170" i="59"/>
  <c r="H90" i="40"/>
  <c r="FY122" i="59"/>
  <c r="AS63" i="5"/>
  <c r="HL172" i="59"/>
  <c r="J90" i="40"/>
  <c r="GA122" i="59"/>
  <c r="C17" i="41"/>
  <c r="CA305" i="59"/>
  <c r="L90" i="40"/>
  <c r="GC122" i="59"/>
  <c r="K90" i="40"/>
  <c r="GB122" i="59"/>
  <c r="AU90" i="40"/>
  <c r="HL122" i="59"/>
  <c r="AQ90" i="40"/>
  <c r="HH122" i="59"/>
  <c r="AM90" i="40"/>
  <c r="HD122" i="59"/>
  <c r="AI90" i="40"/>
  <c r="GZ122" i="59"/>
  <c r="AE90" i="40"/>
  <c r="GV122" i="59"/>
  <c r="AA90" i="40"/>
  <c r="GR122" i="59"/>
  <c r="W90" i="40"/>
  <c r="GN122" i="59"/>
  <c r="S90" i="40"/>
  <c r="GJ122" i="59"/>
  <c r="O90" i="40"/>
  <c r="AX90" i="40"/>
  <c r="HO122" i="59"/>
  <c r="AS90" i="40"/>
  <c r="HJ122" i="59"/>
  <c r="AN90" i="40"/>
  <c r="HE122" i="59"/>
  <c r="AH90" i="40"/>
  <c r="GY122" i="59"/>
  <c r="AC90" i="40"/>
  <c r="GT122" i="59"/>
  <c r="X90" i="40"/>
  <c r="GO122" i="59"/>
  <c r="R90" i="40"/>
  <c r="GI122" i="59"/>
  <c r="AT90" i="40"/>
  <c r="HK122" i="59"/>
  <c r="AO90" i="40"/>
  <c r="HF122" i="59"/>
  <c r="AJ90" i="40"/>
  <c r="HA122" i="59"/>
  <c r="AD90" i="40"/>
  <c r="GU122" i="59"/>
  <c r="Y90" i="40"/>
  <c r="GP122" i="59"/>
  <c r="T90" i="40"/>
  <c r="GK122" i="59"/>
  <c r="N90" i="40"/>
  <c r="GE122" i="59"/>
  <c r="AV90" i="40"/>
  <c r="HM122" i="59"/>
  <c r="AP90" i="40"/>
  <c r="HG122" i="59"/>
  <c r="AK90" i="40"/>
  <c r="HB122" i="59"/>
  <c r="AF90" i="40"/>
  <c r="GW122" i="59"/>
  <c r="Z90" i="40"/>
  <c r="GQ122" i="59"/>
  <c r="U90" i="40"/>
  <c r="GL122" i="59"/>
  <c r="P90" i="40"/>
  <c r="GG122" i="59"/>
  <c r="AW90" i="40"/>
  <c r="HN122" i="59"/>
  <c r="AR90" i="40"/>
  <c r="HI122" i="59"/>
  <c r="AL90" i="40"/>
  <c r="HC122" i="59"/>
  <c r="AG90" i="40"/>
  <c r="GX122" i="59"/>
  <c r="AB90" i="40"/>
  <c r="GS122" i="59"/>
  <c r="V90" i="40"/>
  <c r="GM122" i="59"/>
  <c r="Q90" i="40"/>
  <c r="GH122" i="59"/>
  <c r="F63" i="5"/>
  <c r="FY172" i="59"/>
  <c r="GF122" i="59"/>
  <c r="T63" i="5"/>
  <c r="GM172" i="59"/>
  <c r="P63" i="5"/>
  <c r="GI172" i="59"/>
  <c r="Q63" i="5"/>
  <c r="GJ172" i="59"/>
  <c r="S63" i="5"/>
  <c r="GL172" i="59"/>
  <c r="AH63" i="5"/>
  <c r="HA172" i="59"/>
  <c r="G63" i="5"/>
  <c r="FZ172" i="59"/>
  <c r="H63" i="5"/>
  <c r="GA172" i="59"/>
  <c r="M63" i="5"/>
  <c r="GF172" i="59"/>
  <c r="Z63" i="5"/>
  <c r="GS172" i="59"/>
  <c r="AA63" i="5"/>
  <c r="GT172" i="59"/>
  <c r="AB63" i="5"/>
  <c r="GU172" i="59"/>
  <c r="AL63" i="5"/>
  <c r="HE172" i="59"/>
  <c r="K63" i="5"/>
  <c r="GD172" i="59"/>
  <c r="L63" i="5"/>
  <c r="GE172" i="59"/>
  <c r="V63" i="5"/>
  <c r="GO172" i="59"/>
  <c r="U63" i="5"/>
  <c r="GN172" i="59"/>
  <c r="W63" i="5"/>
  <c r="GP172" i="59"/>
  <c r="AD63" i="5"/>
  <c r="GW172" i="59"/>
  <c r="AF63" i="5"/>
  <c r="GY172" i="59"/>
  <c r="AO63" i="5"/>
  <c r="HH172" i="59"/>
  <c r="AC63" i="5"/>
  <c r="GV172" i="59"/>
  <c r="AG63" i="5"/>
  <c r="GZ172" i="59"/>
  <c r="AK63" i="5"/>
  <c r="HD172" i="59"/>
  <c r="AI63" i="5"/>
  <c r="HB172" i="59"/>
  <c r="AM63" i="5"/>
  <c r="HF172" i="59"/>
  <c r="I63" i="5"/>
  <c r="GB172" i="59"/>
  <c r="J63" i="5"/>
  <c r="GC172" i="59"/>
  <c r="R63" i="5"/>
  <c r="GK172" i="59"/>
  <c r="Y63" i="5"/>
  <c r="GR172" i="59"/>
  <c r="AE63" i="5"/>
  <c r="GX172" i="59"/>
  <c r="AJ63" i="5"/>
  <c r="HC172" i="59"/>
  <c r="X63" i="5"/>
  <c r="GQ172" i="59"/>
  <c r="AN63" i="5"/>
  <c r="HG172" i="59"/>
  <c r="E63" i="5"/>
  <c r="FX172" i="59"/>
  <c r="O63" i="5"/>
  <c r="GH172" i="59"/>
  <c r="N63" i="5"/>
  <c r="GG172" i="59"/>
  <c r="M90" i="40"/>
  <c r="GD122" i="59"/>
  <c r="D63" i="5"/>
  <c r="FW172" i="59"/>
  <c r="AY90" i="40"/>
  <c r="HP122" i="59"/>
  <c r="AQ63" i="5"/>
  <c r="AR63" i="5"/>
  <c r="HK172" i="59"/>
  <c r="N17" i="41"/>
  <c r="CL305" i="59"/>
  <c r="D17" i="41"/>
  <c r="CB305" i="59"/>
  <c r="HJ172" i="59"/>
  <c r="E17" i="41"/>
  <c r="CC305" i="59"/>
  <c r="P17" i="41"/>
  <c r="CN305" i="59"/>
  <c r="AT63" i="5"/>
  <c r="HM172" i="59"/>
  <c r="F17" i="41"/>
  <c r="CD305" i="59"/>
  <c r="G17" i="41"/>
  <c r="CE305" i="59"/>
  <c r="M123" i="40"/>
  <c r="D29" i="5"/>
  <c r="IR165" i="59"/>
  <c r="EO129" i="59"/>
  <c r="M194" i="40"/>
  <c r="M153" i="40"/>
  <c r="GQ135" i="59"/>
  <c r="AY123" i="40"/>
  <c r="GA129" i="59"/>
  <c r="N194" i="40"/>
  <c r="AN144" i="59"/>
  <c r="AM144" i="59"/>
  <c r="D28" i="5"/>
  <c r="D364" i="5"/>
  <c r="D386" i="5"/>
  <c r="EP236" i="59"/>
  <c r="M159" i="40"/>
  <c r="H137" i="59"/>
  <c r="D363" i="5"/>
  <c r="IC231" i="59"/>
  <c r="D378" i="5"/>
  <c r="HZ234" i="59"/>
  <c r="D393" i="5"/>
  <c r="H238" i="59"/>
  <c r="AJ232" i="59"/>
  <c r="O194" i="40"/>
  <c r="AO144" i="59"/>
  <c r="N159" i="40"/>
  <c r="I137" i="59"/>
  <c r="E28" i="5"/>
  <c r="GV165" i="59"/>
  <c r="D379" i="5"/>
  <c r="AI235" i="59"/>
  <c r="GU165" i="59"/>
  <c r="M189" i="40"/>
  <c r="Q153" i="40"/>
  <c r="GU135" i="59"/>
  <c r="P153" i="40"/>
  <c r="GT135" i="59"/>
  <c r="O153" i="40"/>
  <c r="GS135" i="59"/>
  <c r="N153" i="40"/>
  <c r="GR135" i="59"/>
  <c r="AY124" i="40"/>
  <c r="IA129" i="59"/>
  <c r="E364" i="5"/>
  <c r="E379" i="5"/>
  <c r="AJ235" i="59"/>
  <c r="O159" i="40"/>
  <c r="J137" i="59"/>
  <c r="F28" i="5"/>
  <c r="GW165" i="59"/>
  <c r="P194" i="40"/>
  <c r="AP144" i="59"/>
  <c r="N189" i="40"/>
  <c r="E394" i="5"/>
  <c r="BI238" i="59"/>
  <c r="D387" i="5"/>
  <c r="GP236" i="59"/>
  <c r="AF143" i="59"/>
  <c r="G378" i="5"/>
  <c r="IC234" i="59"/>
  <c r="D394" i="5"/>
  <c r="BH238" i="59"/>
  <c r="G386" i="5"/>
  <c r="ES236" i="59"/>
  <c r="E378" i="5"/>
  <c r="IA234" i="59"/>
  <c r="AQ40" i="5"/>
  <c r="CE168" i="59"/>
  <c r="E363" i="5"/>
  <c r="ID231" i="59"/>
  <c r="F393" i="5"/>
  <c r="J238" i="59"/>
  <c r="F386" i="5"/>
  <c r="ER236" i="59"/>
  <c r="E393" i="5"/>
  <c r="I238" i="59"/>
  <c r="E386" i="5"/>
  <c r="EQ236" i="59"/>
  <c r="H393" i="5"/>
  <c r="L238" i="59"/>
  <c r="H386" i="5"/>
  <c r="ET236" i="59"/>
  <c r="F364" i="5"/>
  <c r="AL232" i="59"/>
  <c r="F378" i="5"/>
  <c r="IB234" i="59"/>
  <c r="F363" i="5"/>
  <c r="IE231" i="59"/>
  <c r="AR40" i="5"/>
  <c r="CF168" i="59"/>
  <c r="AY153" i="40"/>
  <c r="IC135" i="59"/>
  <c r="G393" i="5"/>
  <c r="K238" i="59"/>
  <c r="E387" i="5"/>
  <c r="GQ236" i="59"/>
  <c r="AK232" i="59"/>
  <c r="AQ364" i="5"/>
  <c r="O104" i="59"/>
  <c r="F379" i="5"/>
  <c r="AK235" i="59"/>
  <c r="G28" i="5"/>
  <c r="GX165" i="59"/>
  <c r="Q194" i="40"/>
  <c r="AQ144" i="59"/>
  <c r="O189" i="40"/>
  <c r="AH143" i="59"/>
  <c r="P159" i="40"/>
  <c r="K137" i="59"/>
  <c r="AG143" i="59"/>
  <c r="F387" i="5"/>
  <c r="GR236" i="59"/>
  <c r="G363" i="5"/>
  <c r="IF231" i="59"/>
  <c r="H378" i="5"/>
  <c r="ID234" i="59"/>
  <c r="I15" i="41"/>
  <c r="BA305" i="59"/>
  <c r="AT40" i="5"/>
  <c r="CH168" i="59"/>
  <c r="AS363" i="5"/>
  <c r="AA232" i="59"/>
  <c r="G364" i="5"/>
  <c r="AM232" i="59"/>
  <c r="J15" i="41"/>
  <c r="BB305" i="59"/>
  <c r="B47" i="50"/>
  <c r="F7" i="5"/>
  <c r="G379" i="5"/>
  <c r="AL235" i="59"/>
  <c r="H28" i="5"/>
  <c r="GY165" i="59"/>
  <c r="F394" i="5"/>
  <c r="BJ238" i="59"/>
  <c r="P189" i="40"/>
  <c r="G394" i="5"/>
  <c r="BK238" i="59"/>
  <c r="R194" i="40"/>
  <c r="AR144" i="59"/>
  <c r="Q159" i="40"/>
  <c r="L137" i="59"/>
  <c r="G387" i="5"/>
  <c r="GS236" i="59"/>
  <c r="AR29" i="5"/>
  <c r="H363" i="5"/>
  <c r="IG231" i="59"/>
  <c r="O15" i="41"/>
  <c r="BG305" i="59"/>
  <c r="L20" i="7"/>
  <c r="HE299" i="59"/>
  <c r="K15" i="41"/>
  <c r="BC305" i="59"/>
  <c r="H364" i="5"/>
  <c r="AN232" i="59"/>
  <c r="S194" i="40"/>
  <c r="AS144" i="59"/>
  <c r="AI143" i="59"/>
  <c r="H379" i="5"/>
  <c r="AM235" i="59"/>
  <c r="I28" i="5"/>
  <c r="GZ165" i="59"/>
  <c r="R159" i="40"/>
  <c r="M137" i="59"/>
  <c r="Q189" i="40"/>
  <c r="AJ143" i="59"/>
  <c r="H387" i="5"/>
  <c r="GT236" i="59"/>
  <c r="J14" i="41"/>
  <c r="AL305" i="59"/>
  <c r="AO166" i="59"/>
  <c r="AQ29" i="5"/>
  <c r="I378" i="5"/>
  <c r="IE234" i="59"/>
  <c r="I363" i="5"/>
  <c r="L15" i="41"/>
  <c r="BD305" i="59"/>
  <c r="J387" i="5"/>
  <c r="GV236" i="59"/>
  <c r="I364" i="5"/>
  <c r="AO232" i="59"/>
  <c r="T194" i="40"/>
  <c r="AT144" i="59"/>
  <c r="J28" i="5"/>
  <c r="HA165" i="59"/>
  <c r="S159" i="40"/>
  <c r="N137" i="59"/>
  <c r="R189" i="40"/>
  <c r="I394" i="5"/>
  <c r="BM238" i="59"/>
  <c r="I379" i="5"/>
  <c r="AN235" i="59"/>
  <c r="H394" i="5"/>
  <c r="BL238" i="59"/>
  <c r="I387" i="5"/>
  <c r="GU236" i="59"/>
  <c r="AQ363" i="5"/>
  <c r="E7" i="5"/>
  <c r="IH231" i="59"/>
  <c r="AT29" i="5"/>
  <c r="AQ166" i="59"/>
  <c r="AN166" i="59"/>
  <c r="I14" i="41"/>
  <c r="AR363" i="5"/>
  <c r="E8" i="5"/>
  <c r="T159" i="40"/>
  <c r="O137" i="59"/>
  <c r="K387" i="5"/>
  <c r="GW236" i="59"/>
  <c r="J364" i="5"/>
  <c r="AP232" i="59"/>
  <c r="U194" i="40"/>
  <c r="AU144" i="59"/>
  <c r="K28" i="5"/>
  <c r="HB165" i="59"/>
  <c r="J379" i="5"/>
  <c r="AO235" i="59"/>
  <c r="S189" i="40"/>
  <c r="AL143" i="59"/>
  <c r="AK143" i="59"/>
  <c r="Z232" i="59"/>
  <c r="B48" i="50"/>
  <c r="W37" i="53"/>
  <c r="DD380" i="59"/>
  <c r="T162" i="59"/>
  <c r="GF2" i="59"/>
  <c r="Y232" i="59"/>
  <c r="M20" i="7"/>
  <c r="HF299" i="59"/>
  <c r="D25" i="7"/>
  <c r="AG300" i="59"/>
  <c r="O14" i="41"/>
  <c r="AQ305" i="59"/>
  <c r="AK305" i="59"/>
  <c r="K14" i="41"/>
  <c r="E25" i="7"/>
  <c r="AH300" i="59"/>
  <c r="U159" i="40"/>
  <c r="P137" i="59"/>
  <c r="T189" i="40"/>
  <c r="AM143" i="59"/>
  <c r="K379" i="5"/>
  <c r="AP235" i="59"/>
  <c r="K364" i="5"/>
  <c r="AQ232" i="59"/>
  <c r="V194" i="40"/>
  <c r="AV144" i="59"/>
  <c r="L28" i="5"/>
  <c r="HC165" i="59"/>
  <c r="J394" i="5"/>
  <c r="BN238" i="59"/>
  <c r="E11" i="5"/>
  <c r="FK162" i="59"/>
  <c r="B55" i="50"/>
  <c r="GL379" i="59"/>
  <c r="BQ162" i="59"/>
  <c r="N20" i="7"/>
  <c r="HG299" i="59"/>
  <c r="L14" i="41"/>
  <c r="AN305" i="59"/>
  <c r="AM305" i="59"/>
  <c r="F25" i="7"/>
  <c r="U189" i="40"/>
  <c r="V159" i="40"/>
  <c r="Q137" i="59"/>
  <c r="K394" i="5"/>
  <c r="BO238" i="59"/>
  <c r="M387" i="5"/>
  <c r="GY236" i="59"/>
  <c r="L379" i="5"/>
  <c r="AQ235" i="59"/>
  <c r="L364" i="5"/>
  <c r="AR232" i="59"/>
  <c r="W194" i="40"/>
  <c r="AW144" i="59"/>
  <c r="M28" i="5"/>
  <c r="HD165" i="59"/>
  <c r="N28" i="7"/>
  <c r="BN380" i="59"/>
  <c r="ID379" i="59"/>
  <c r="C17" i="50"/>
  <c r="EM379" i="59"/>
  <c r="O20" i="7"/>
  <c r="HH299" i="59"/>
  <c r="L387" i="5"/>
  <c r="GX236" i="59"/>
  <c r="AN143" i="59"/>
  <c r="G25" i="7"/>
  <c r="AJ300" i="59"/>
  <c r="AI300" i="59"/>
  <c r="V189" i="40"/>
  <c r="AO143" i="59"/>
  <c r="W159" i="40"/>
  <c r="R137" i="59"/>
  <c r="L394" i="5"/>
  <c r="BP238" i="59"/>
  <c r="M379" i="5"/>
  <c r="AR235" i="59"/>
  <c r="M364" i="5"/>
  <c r="AS232" i="59"/>
  <c r="X194" i="40"/>
  <c r="AX144" i="59"/>
  <c r="N28" i="5"/>
  <c r="HE165" i="59"/>
  <c r="P20" i="7"/>
  <c r="HI299" i="59"/>
  <c r="H25" i="7"/>
  <c r="AK300" i="59"/>
  <c r="W189" i="40"/>
  <c r="X159" i="40"/>
  <c r="S137" i="59"/>
  <c r="M394" i="5"/>
  <c r="BQ238" i="59"/>
  <c r="O387" i="5"/>
  <c r="HA236" i="59"/>
  <c r="N379" i="5"/>
  <c r="AS235" i="59"/>
  <c r="N364" i="5"/>
  <c r="AT232" i="59"/>
  <c r="Y194" i="40"/>
  <c r="AY144" i="59"/>
  <c r="O28" i="5"/>
  <c r="HF165" i="59"/>
  <c r="N387" i="5"/>
  <c r="GZ236" i="59"/>
  <c r="AP143" i="59"/>
  <c r="X189" i="40"/>
  <c r="AQ143" i="59"/>
  <c r="Y159" i="40"/>
  <c r="T137" i="59"/>
  <c r="N394" i="5"/>
  <c r="BR238" i="59"/>
  <c r="O379" i="5"/>
  <c r="AT235" i="59"/>
  <c r="O364" i="5"/>
  <c r="AU232" i="59"/>
  <c r="Z194" i="40"/>
  <c r="AZ144" i="59"/>
  <c r="P28" i="5"/>
  <c r="HG165" i="59"/>
  <c r="AS364" i="5"/>
  <c r="BY232" i="59"/>
  <c r="Y189" i="40"/>
  <c r="Z159" i="40"/>
  <c r="U137" i="59"/>
  <c r="O394" i="5"/>
  <c r="BS238" i="59"/>
  <c r="P379" i="5"/>
  <c r="AU235" i="59"/>
  <c r="P364" i="5"/>
  <c r="AV232" i="59"/>
  <c r="AQ28" i="5"/>
  <c r="IH165" i="59"/>
  <c r="AA194" i="40"/>
  <c r="BA144" i="59"/>
  <c r="Q28" i="5"/>
  <c r="HH165" i="59"/>
  <c r="P387" i="5"/>
  <c r="HB236" i="59"/>
  <c r="AR143" i="59"/>
  <c r="Q379" i="5"/>
  <c r="AV235" i="59"/>
  <c r="Z189" i="40"/>
  <c r="AS143" i="59"/>
  <c r="P394" i="5"/>
  <c r="BT238" i="59"/>
  <c r="AA159" i="40"/>
  <c r="V137" i="59"/>
  <c r="L21" i="7"/>
  <c r="HU299" i="59"/>
  <c r="AT28" i="5"/>
  <c r="IK165" i="59"/>
  <c r="M14" i="41"/>
  <c r="AO305" i="59"/>
  <c r="AB194" i="40"/>
  <c r="BB144" i="59"/>
  <c r="R28" i="5"/>
  <c r="HI165" i="59"/>
  <c r="BW232" i="59"/>
  <c r="B50" i="50"/>
  <c r="S37" i="53"/>
  <c r="CZ380" i="59"/>
  <c r="Q394" i="5"/>
  <c r="BU238" i="59"/>
  <c r="M21" i="7"/>
  <c r="HV299" i="59"/>
  <c r="U162" i="59"/>
  <c r="R379" i="5"/>
  <c r="AW235" i="59"/>
  <c r="AB159" i="40"/>
  <c r="W137" i="59"/>
  <c r="AA189" i="40"/>
  <c r="AT143" i="59"/>
  <c r="AC194" i="40"/>
  <c r="BC144" i="59"/>
  <c r="S28" i="5"/>
  <c r="HJ165" i="59"/>
  <c r="Q37" i="53"/>
  <c r="CX380" i="59"/>
  <c r="B54" i="50"/>
  <c r="HB379" i="59"/>
  <c r="B56" i="50"/>
  <c r="GD379" i="59"/>
  <c r="F11" i="5"/>
  <c r="FL162" i="59"/>
  <c r="O21" i="7"/>
  <c r="HX299" i="59"/>
  <c r="S379" i="5"/>
  <c r="AX235" i="59"/>
  <c r="AC159" i="40"/>
  <c r="X137" i="59"/>
  <c r="R394" i="5"/>
  <c r="BV238" i="59"/>
  <c r="AB189" i="40"/>
  <c r="AU143" i="59"/>
  <c r="AD194" i="40"/>
  <c r="BD144" i="59"/>
  <c r="T28" i="5"/>
  <c r="HK165" i="59"/>
  <c r="M28" i="7"/>
  <c r="BM380" i="59"/>
  <c r="HZ379" i="59"/>
  <c r="B17" i="50"/>
  <c r="EL379" i="59"/>
  <c r="IH379" i="59"/>
  <c r="D17" i="50"/>
  <c r="EN379" i="59"/>
  <c r="O28" i="7"/>
  <c r="BO380" i="59"/>
  <c r="AC189" i="40"/>
  <c r="AV143" i="59"/>
  <c r="S394" i="5"/>
  <c r="BW238" i="59"/>
  <c r="P21" i="7"/>
  <c r="HY299" i="59"/>
  <c r="T379" i="5"/>
  <c r="AY235" i="59"/>
  <c r="AD159" i="40"/>
  <c r="Y137" i="59"/>
  <c r="AE194" i="40"/>
  <c r="BE144" i="59"/>
  <c r="U28" i="5"/>
  <c r="HL165" i="59"/>
  <c r="AE159" i="40"/>
  <c r="Z137" i="59"/>
  <c r="U379" i="5"/>
  <c r="AZ235" i="59"/>
  <c r="AD189" i="40"/>
  <c r="AW143" i="59"/>
  <c r="T394" i="5"/>
  <c r="BX238" i="59"/>
  <c r="AF194" i="40"/>
  <c r="BF144" i="59"/>
  <c r="V28" i="5"/>
  <c r="HM165" i="59"/>
  <c r="U394" i="5"/>
  <c r="BY238" i="59"/>
  <c r="V379" i="5"/>
  <c r="BA235" i="59"/>
  <c r="AF159" i="40"/>
  <c r="AA137" i="59"/>
  <c r="AE189" i="40"/>
  <c r="AX143" i="59"/>
  <c r="AG194" i="40"/>
  <c r="BG144" i="59"/>
  <c r="W28" i="5"/>
  <c r="HN165" i="59"/>
  <c r="AF189" i="40"/>
  <c r="AY143" i="59"/>
  <c r="W379" i="5"/>
  <c r="BB235" i="59"/>
  <c r="V394" i="5"/>
  <c r="BZ238" i="59"/>
  <c r="AG159" i="40"/>
  <c r="AB137" i="59"/>
  <c r="AH194" i="40"/>
  <c r="BH144" i="59"/>
  <c r="X28" i="5"/>
  <c r="HO165" i="59"/>
  <c r="AG189" i="40"/>
  <c r="AZ143" i="59"/>
  <c r="X379" i="5"/>
  <c r="BC235" i="59"/>
  <c r="AH159" i="40"/>
  <c r="AC137" i="59"/>
  <c r="W394" i="5"/>
  <c r="CA238" i="59"/>
  <c r="AI194" i="40"/>
  <c r="BI144" i="59"/>
  <c r="Y28" i="5"/>
  <c r="HP165" i="59"/>
  <c r="AH189" i="40"/>
  <c r="BA143" i="59"/>
  <c r="Y379" i="5"/>
  <c r="BD235" i="59"/>
  <c r="AI159" i="40"/>
  <c r="AD137" i="59"/>
  <c r="X394" i="5"/>
  <c r="CB238" i="59"/>
  <c r="AJ194" i="40"/>
  <c r="BJ144" i="59"/>
  <c r="Z28" i="5"/>
  <c r="HQ165" i="59"/>
  <c r="AI189" i="40"/>
  <c r="BB143" i="59"/>
  <c r="Z379" i="5"/>
  <c r="BE235" i="59"/>
  <c r="AJ159" i="40"/>
  <c r="AE137" i="59"/>
  <c r="Y394" i="5"/>
  <c r="CC238" i="59"/>
  <c r="AK194" i="40"/>
  <c r="BK144" i="59"/>
  <c r="AA28" i="5"/>
  <c r="HR165" i="59"/>
  <c r="AA379" i="5"/>
  <c r="BF235" i="59"/>
  <c r="AJ189" i="40"/>
  <c r="BC143" i="59"/>
  <c r="AK159" i="40"/>
  <c r="AF137" i="59"/>
  <c r="Z394" i="5"/>
  <c r="CD238" i="59"/>
  <c r="AL194" i="40"/>
  <c r="BL144" i="59"/>
  <c r="AB28" i="5"/>
  <c r="HS165" i="59"/>
  <c r="AL159" i="40"/>
  <c r="AG137" i="59"/>
  <c r="AA394" i="5"/>
  <c r="CE238" i="59"/>
  <c r="AK189" i="40"/>
  <c r="BD143" i="59"/>
  <c r="AB379" i="5"/>
  <c r="BG235" i="59"/>
  <c r="AM194" i="40"/>
  <c r="BM144" i="59"/>
  <c r="AC28" i="5"/>
  <c r="HT165" i="59"/>
  <c r="AB394" i="5"/>
  <c r="CF238" i="59"/>
  <c r="AC379" i="5"/>
  <c r="BH235" i="59"/>
  <c r="AM159" i="40"/>
  <c r="AH137" i="59"/>
  <c r="AL189" i="40"/>
  <c r="BE143" i="59"/>
  <c r="AN194" i="40"/>
  <c r="BN144" i="59"/>
  <c r="AD28" i="5"/>
  <c r="HU165" i="59"/>
  <c r="AM189" i="40"/>
  <c r="BF143" i="59"/>
  <c r="AD379" i="5"/>
  <c r="BI235" i="59"/>
  <c r="AC394" i="5"/>
  <c r="CG238" i="59"/>
  <c r="AN159" i="40"/>
  <c r="AI137" i="59"/>
  <c r="AO194" i="40"/>
  <c r="BO144" i="59"/>
  <c r="AE28" i="5"/>
  <c r="HV165" i="59"/>
  <c r="AN189" i="40"/>
  <c r="BG143" i="59"/>
  <c r="AE379" i="5"/>
  <c r="BJ235" i="59"/>
  <c r="AO159" i="40"/>
  <c r="AJ137" i="59"/>
  <c r="AD394" i="5"/>
  <c r="CH238" i="59"/>
  <c r="AP194" i="40"/>
  <c r="BP144" i="59"/>
  <c r="AF28" i="5"/>
  <c r="HW165" i="59"/>
  <c r="AF379" i="5"/>
  <c r="BK235" i="59"/>
  <c r="AO189" i="40"/>
  <c r="BH143" i="59"/>
  <c r="AP159" i="40"/>
  <c r="AK137" i="59"/>
  <c r="AE394" i="5"/>
  <c r="CI238" i="59"/>
  <c r="AQ194" i="40"/>
  <c r="BQ144" i="59"/>
  <c r="AG28" i="5"/>
  <c r="HX165" i="59"/>
  <c r="AP189" i="40"/>
  <c r="BI143" i="59"/>
  <c r="AF394" i="5"/>
  <c r="CJ238" i="59"/>
  <c r="AG379" i="5"/>
  <c r="BL235" i="59"/>
  <c r="AQ159" i="40"/>
  <c r="AL137" i="59"/>
  <c r="AR194" i="40"/>
  <c r="BR144" i="59"/>
  <c r="AH28" i="5"/>
  <c r="HY165" i="59"/>
  <c r="AQ189" i="40"/>
  <c r="BJ143" i="59"/>
  <c r="AH379" i="5"/>
  <c r="BM235" i="59"/>
  <c r="AR159" i="40"/>
  <c r="AM137" i="59"/>
  <c r="AG394" i="5"/>
  <c r="CK238" i="59"/>
  <c r="AS194" i="40"/>
  <c r="BS144" i="59"/>
  <c r="AI28" i="5"/>
  <c r="HZ165" i="59"/>
  <c r="AR189" i="40"/>
  <c r="BK143" i="59"/>
  <c r="AI379" i="5"/>
  <c r="BN235" i="59"/>
  <c r="AS159" i="40"/>
  <c r="AN137" i="59"/>
  <c r="AH394" i="5"/>
  <c r="CL238" i="59"/>
  <c r="AT194" i="40"/>
  <c r="BT144" i="59"/>
  <c r="AJ28" i="5"/>
  <c r="IA165" i="59"/>
  <c r="AS189" i="40"/>
  <c r="AJ379" i="5"/>
  <c r="BO235" i="59"/>
  <c r="AT159" i="40"/>
  <c r="AO137" i="59"/>
  <c r="AI394" i="5"/>
  <c r="CM238" i="59"/>
  <c r="AU194" i="40"/>
  <c r="BU144" i="59"/>
  <c r="AK28" i="5"/>
  <c r="IB165" i="59"/>
  <c r="AS104" i="59"/>
  <c r="BL143" i="59"/>
  <c r="AT189" i="40"/>
  <c r="BM143" i="59"/>
  <c r="AK379" i="5"/>
  <c r="BP235" i="59"/>
  <c r="AU159" i="40"/>
  <c r="AP137" i="59"/>
  <c r="AJ394" i="5"/>
  <c r="CN238" i="59"/>
  <c r="AV194" i="40"/>
  <c r="BV144" i="59"/>
  <c r="AL28" i="5"/>
  <c r="IC165" i="59"/>
  <c r="AU189" i="40"/>
  <c r="BN143" i="59"/>
  <c r="AL379" i="5"/>
  <c r="BQ235" i="59"/>
  <c r="AV159" i="40"/>
  <c r="AQ137" i="59"/>
  <c r="AK394" i="5"/>
  <c r="CO238" i="59"/>
  <c r="AW194" i="40"/>
  <c r="BW144" i="59"/>
  <c r="AM28" i="5"/>
  <c r="ID165" i="59"/>
  <c r="AV189" i="40"/>
  <c r="BO143" i="59"/>
  <c r="AM379" i="5"/>
  <c r="BR235" i="59"/>
  <c r="AW159" i="40"/>
  <c r="AR137" i="59"/>
  <c r="AL394" i="5"/>
  <c r="CP238" i="59"/>
  <c r="AX194" i="40"/>
  <c r="AN28" i="5"/>
  <c r="IE165" i="59"/>
  <c r="AX104" i="59"/>
  <c r="BX144" i="59"/>
  <c r="AW189" i="40"/>
  <c r="BP143" i="59"/>
  <c r="AN379" i="5"/>
  <c r="BS235" i="59"/>
  <c r="AM394" i="5"/>
  <c r="CQ238" i="59"/>
  <c r="AO28" i="5"/>
  <c r="IF165" i="59"/>
  <c r="AX159" i="40"/>
  <c r="AS137" i="59"/>
  <c r="AO379" i="5"/>
  <c r="BT235" i="59"/>
  <c r="AX189" i="40"/>
  <c r="BQ143" i="59"/>
  <c r="AN394" i="5"/>
  <c r="CR238" i="59"/>
  <c r="I20" i="40"/>
  <c r="EZ108" i="59"/>
  <c r="AO394" i="5"/>
  <c r="CS238" i="59"/>
  <c r="AR364" i="5"/>
  <c r="BX232" i="59"/>
  <c r="H94" i="40"/>
  <c r="EH123" i="59"/>
  <c r="D8" i="40"/>
  <c r="BM106" i="59"/>
  <c r="AS107" i="5"/>
  <c r="EK181" i="59"/>
  <c r="I44" i="40"/>
  <c r="BA113" i="59"/>
  <c r="D9" i="40"/>
  <c r="DM106" i="59"/>
  <c r="L94" i="40"/>
  <c r="EL123" i="59"/>
  <c r="K94" i="40"/>
  <c r="EK123" i="59"/>
  <c r="J94" i="40"/>
  <c r="EJ123" i="59"/>
  <c r="D403" i="5"/>
  <c r="U240" i="59"/>
  <c r="C18" i="7"/>
  <c r="FP299" i="59"/>
  <c r="I9" i="5"/>
  <c r="C21" i="41"/>
  <c r="EM305" i="59"/>
  <c r="DR162" i="59"/>
  <c r="AW94" i="40"/>
  <c r="FW123" i="59"/>
  <c r="AS94" i="40"/>
  <c r="FS123" i="59"/>
  <c r="AO94" i="40"/>
  <c r="FO123" i="59"/>
  <c r="AK94" i="40"/>
  <c r="FK123" i="59"/>
  <c r="AG94" i="40"/>
  <c r="FG123" i="59"/>
  <c r="AC94" i="40"/>
  <c r="FC123" i="59"/>
  <c r="Y94" i="40"/>
  <c r="EY123" i="59"/>
  <c r="U94" i="40"/>
  <c r="EU123" i="59"/>
  <c r="Q94" i="40"/>
  <c r="EQ123" i="59"/>
  <c r="AX94" i="40"/>
  <c r="FX123" i="59"/>
  <c r="AT94" i="40"/>
  <c r="FT123" i="59"/>
  <c r="AP94" i="40"/>
  <c r="FP123" i="59"/>
  <c r="AL94" i="40"/>
  <c r="FL123" i="59"/>
  <c r="AH94" i="40"/>
  <c r="FH123" i="59"/>
  <c r="AD94" i="40"/>
  <c r="FD123" i="59"/>
  <c r="Z94" i="40"/>
  <c r="EZ123" i="59"/>
  <c r="V94" i="40"/>
  <c r="EV123" i="59"/>
  <c r="R94" i="40"/>
  <c r="ER123" i="59"/>
  <c r="N94" i="40"/>
  <c r="EN123" i="59"/>
  <c r="AU94" i="40"/>
  <c r="FU123" i="59"/>
  <c r="AQ94" i="40"/>
  <c r="FQ123" i="59"/>
  <c r="AM94" i="40"/>
  <c r="FM123" i="59"/>
  <c r="AI94" i="40"/>
  <c r="FI123" i="59"/>
  <c r="AE94" i="40"/>
  <c r="FE123" i="59"/>
  <c r="AA94" i="40"/>
  <c r="FA123" i="59"/>
  <c r="W94" i="40"/>
  <c r="EW123" i="59"/>
  <c r="S94" i="40"/>
  <c r="ES123" i="59"/>
  <c r="O94" i="40"/>
  <c r="EO123" i="59"/>
  <c r="AJ94" i="40"/>
  <c r="FJ123" i="59"/>
  <c r="T94" i="40"/>
  <c r="ET123" i="59"/>
  <c r="AN94" i="40"/>
  <c r="FN123" i="59"/>
  <c r="X94" i="40"/>
  <c r="EX123" i="59"/>
  <c r="AR94" i="40"/>
  <c r="FR123" i="59"/>
  <c r="AB94" i="40"/>
  <c r="FB123" i="59"/>
  <c r="AV94" i="40"/>
  <c r="FV123" i="59"/>
  <c r="AF94" i="40"/>
  <c r="FF123" i="59"/>
  <c r="P94" i="40"/>
  <c r="EP123" i="59"/>
  <c r="L25" i="7"/>
  <c r="AO300" i="59"/>
  <c r="D9" i="5"/>
  <c r="C115" i="42"/>
  <c r="GB311" i="59"/>
  <c r="C24" i="7"/>
  <c r="Q300" i="59"/>
  <c r="J9" i="5"/>
  <c r="DS162" i="59"/>
  <c r="M94" i="40"/>
  <c r="DM162" i="59"/>
  <c r="D107" i="5"/>
  <c r="CV181" i="59"/>
  <c r="EM123" i="59"/>
  <c r="L107" i="5"/>
  <c r="DD181" i="59"/>
  <c r="Z107" i="5"/>
  <c r="DR181" i="59"/>
  <c r="AD107" i="5"/>
  <c r="DV181" i="59"/>
  <c r="Y107" i="5"/>
  <c r="DQ181" i="59"/>
  <c r="T107" i="5"/>
  <c r="DL181" i="59"/>
  <c r="O107" i="5"/>
  <c r="DG181" i="59"/>
  <c r="Q107" i="5"/>
  <c r="DI181" i="59"/>
  <c r="AE107" i="5"/>
  <c r="DW181" i="59"/>
  <c r="U107" i="5"/>
  <c r="DM181" i="59"/>
  <c r="K107" i="5"/>
  <c r="DC181" i="59"/>
  <c r="AH107" i="5"/>
  <c r="DZ181" i="59"/>
  <c r="W107" i="5"/>
  <c r="DO181" i="59"/>
  <c r="AL107" i="5"/>
  <c r="ED181" i="59"/>
  <c r="AB107" i="5"/>
  <c r="DT181" i="59"/>
  <c r="AM107" i="5"/>
  <c r="EE181" i="59"/>
  <c r="J107" i="5"/>
  <c r="DB181" i="59"/>
  <c r="E107" i="5"/>
  <c r="CW181" i="59"/>
  <c r="AK107" i="5"/>
  <c r="EC181" i="59"/>
  <c r="AF107" i="5"/>
  <c r="DX181" i="59"/>
  <c r="V107" i="5"/>
  <c r="DN181" i="59"/>
  <c r="G107" i="5"/>
  <c r="CY181" i="59"/>
  <c r="AC107" i="5"/>
  <c r="DU181" i="59"/>
  <c r="AG107" i="5"/>
  <c r="DY181" i="59"/>
  <c r="S107" i="5"/>
  <c r="DK181" i="59"/>
  <c r="N107" i="5"/>
  <c r="DF181" i="59"/>
  <c r="I107" i="5"/>
  <c r="DA181" i="59"/>
  <c r="AO107" i="5"/>
  <c r="EG181" i="59"/>
  <c r="AJ107" i="5"/>
  <c r="EB181" i="59"/>
  <c r="P107" i="5"/>
  <c r="DH181" i="59"/>
  <c r="AA107" i="5"/>
  <c r="DS181" i="59"/>
  <c r="X107" i="5"/>
  <c r="DP181" i="59"/>
  <c r="F107" i="5"/>
  <c r="CX181" i="59"/>
  <c r="AI107" i="5"/>
  <c r="EA181" i="59"/>
  <c r="R107" i="5"/>
  <c r="DJ181" i="59"/>
  <c r="M107" i="5"/>
  <c r="DE181" i="59"/>
  <c r="H107" i="5"/>
  <c r="CZ181" i="59"/>
  <c r="AN107" i="5"/>
  <c r="EF181" i="59"/>
  <c r="AX117" i="40"/>
  <c r="DQ128" i="59"/>
  <c r="AI117" i="40"/>
  <c r="DB128" i="59"/>
  <c r="AS117" i="40"/>
  <c r="DL128" i="59"/>
  <c r="P117" i="40"/>
  <c r="CI128" i="59"/>
  <c r="W117" i="40"/>
  <c r="CP128" i="59"/>
  <c r="R117" i="40"/>
  <c r="CK128" i="59"/>
  <c r="AL117" i="40"/>
  <c r="DE128" i="59"/>
  <c r="Z117" i="40"/>
  <c r="CS128" i="59"/>
  <c r="AG117" i="40"/>
  <c r="CZ128" i="59"/>
  <c r="AJ117" i="40"/>
  <c r="DC128" i="59"/>
  <c r="AQ117" i="40"/>
  <c r="DJ128" i="59"/>
  <c r="AT117" i="40"/>
  <c r="DM128" i="59"/>
  <c r="N117" i="40"/>
  <c r="CG128" i="59"/>
  <c r="U117" i="40"/>
  <c r="CN128" i="59"/>
  <c r="X117" i="40"/>
  <c r="CQ128" i="59"/>
  <c r="AE117" i="40"/>
  <c r="CX128" i="59"/>
  <c r="Y117" i="40"/>
  <c r="CR128" i="59"/>
  <c r="D355" i="5"/>
  <c r="S117" i="40"/>
  <c r="CL128" i="59"/>
  <c r="V117" i="40"/>
  <c r="CO128" i="59"/>
  <c r="AC117" i="40"/>
  <c r="CV128" i="59"/>
  <c r="AF117" i="40"/>
  <c r="CY128" i="59"/>
  <c r="AM117" i="40"/>
  <c r="DF128" i="59"/>
  <c r="AB117" i="40"/>
  <c r="CU128" i="59"/>
  <c r="AV117" i="40"/>
  <c r="DO128" i="59"/>
  <c r="AH117" i="40"/>
  <c r="DA128" i="59"/>
  <c r="AO117" i="40"/>
  <c r="DH128" i="59"/>
  <c r="AR117" i="40"/>
  <c r="DK128" i="59"/>
  <c r="AP117" i="40"/>
  <c r="DI128" i="59"/>
  <c r="AW117" i="40"/>
  <c r="DP128" i="59"/>
  <c r="Q117" i="40"/>
  <c r="CJ128" i="59"/>
  <c r="T117" i="40"/>
  <c r="CM128" i="59"/>
  <c r="AA117" i="40"/>
  <c r="CT128" i="59"/>
  <c r="AD117" i="40"/>
  <c r="CW128" i="59"/>
  <c r="AK117" i="40"/>
  <c r="DD128" i="59"/>
  <c r="AN117" i="40"/>
  <c r="DG128" i="59"/>
  <c r="AU117" i="40"/>
  <c r="DN128" i="59"/>
  <c r="O117" i="40"/>
  <c r="CH128" i="59"/>
  <c r="M117" i="40"/>
  <c r="CF128" i="59"/>
  <c r="AY94" i="40"/>
  <c r="FY123" i="59"/>
  <c r="C120" i="42"/>
  <c r="HP311" i="59"/>
  <c r="CK230" i="59"/>
  <c r="AC370" i="5"/>
  <c r="DF233" i="59"/>
  <c r="AD370" i="5"/>
  <c r="DG233" i="59"/>
  <c r="AC392" i="5"/>
  <c r="HX237" i="59"/>
  <c r="AB392" i="5"/>
  <c r="HW237" i="59"/>
  <c r="AD392" i="5"/>
  <c r="HY237" i="59"/>
  <c r="U370" i="5"/>
  <c r="CX233" i="59"/>
  <c r="AN370" i="5"/>
  <c r="DQ233" i="59"/>
  <c r="Y370" i="5"/>
  <c r="DB233" i="59"/>
  <c r="W370" i="5"/>
  <c r="CZ233" i="59"/>
  <c r="AA392" i="5"/>
  <c r="HV237" i="59"/>
  <c r="Z392" i="5"/>
  <c r="HU237" i="59"/>
  <c r="AE392" i="5"/>
  <c r="HZ237" i="59"/>
  <c r="S392" i="5"/>
  <c r="HN237" i="59"/>
  <c r="AF370" i="5"/>
  <c r="DI233" i="59"/>
  <c r="AH392" i="5"/>
  <c r="IC237" i="59"/>
  <c r="D392" i="5"/>
  <c r="GY237" i="59"/>
  <c r="X370" i="5"/>
  <c r="DA233" i="59"/>
  <c r="AG370" i="5"/>
  <c r="DJ233" i="59"/>
  <c r="T370" i="5"/>
  <c r="CW233" i="59"/>
  <c r="X392" i="5"/>
  <c r="HS237" i="59"/>
  <c r="AO392" i="5"/>
  <c r="IJ237" i="59"/>
  <c r="AJ370" i="5"/>
  <c r="DM233" i="59"/>
  <c r="AJ392" i="5"/>
  <c r="IE237" i="59"/>
  <c r="AF392" i="5"/>
  <c r="IA237" i="59"/>
  <c r="AA370" i="5"/>
  <c r="DD233" i="59"/>
  <c r="AN392" i="5"/>
  <c r="II237" i="59"/>
  <c r="W392" i="5"/>
  <c r="HR237" i="59"/>
  <c r="E355" i="5"/>
  <c r="CL230" i="59"/>
  <c r="AO370" i="5"/>
  <c r="DR233" i="59"/>
  <c r="R370" i="5"/>
  <c r="CU233" i="59"/>
  <c r="AM370" i="5"/>
  <c r="DP233" i="59"/>
  <c r="AL392" i="5"/>
  <c r="IG237" i="59"/>
  <c r="R392" i="5"/>
  <c r="HM237" i="59"/>
  <c r="AG392" i="5"/>
  <c r="IB237" i="59"/>
  <c r="AM392" i="5"/>
  <c r="IH237" i="59"/>
  <c r="T392" i="5"/>
  <c r="HO237" i="59"/>
  <c r="V370" i="5"/>
  <c r="CY233" i="59"/>
  <c r="AK370" i="5"/>
  <c r="DN233" i="59"/>
  <c r="Q370" i="5"/>
  <c r="CT233" i="59"/>
  <c r="AI392" i="5"/>
  <c r="ID237" i="59"/>
  <c r="AH370" i="5"/>
  <c r="DK233" i="59"/>
  <c r="AB370" i="5"/>
  <c r="DE233" i="59"/>
  <c r="Z370" i="5"/>
  <c r="DC233" i="59"/>
  <c r="U392" i="5"/>
  <c r="HP237" i="59"/>
  <c r="Y392" i="5"/>
  <c r="HT237" i="59"/>
  <c r="AL370" i="5"/>
  <c r="DO233" i="59"/>
  <c r="AE370" i="5"/>
  <c r="DH233" i="59"/>
  <c r="AI370" i="5"/>
  <c r="DL233" i="59"/>
  <c r="S370" i="5"/>
  <c r="CV233" i="59"/>
  <c r="V392" i="5"/>
  <c r="HQ237" i="59"/>
  <c r="AK392" i="5"/>
  <c r="IF237" i="59"/>
  <c r="Q392" i="5"/>
  <c r="HL237" i="59"/>
  <c r="D370" i="5"/>
  <c r="CG233" i="59"/>
  <c r="H392" i="5"/>
  <c r="HC237" i="59"/>
  <c r="H385" i="5"/>
  <c r="CT236" i="59"/>
  <c r="J392" i="5"/>
  <c r="HE237" i="59"/>
  <c r="J385" i="5"/>
  <c r="CV236" i="59"/>
  <c r="P392" i="5"/>
  <c r="HK237" i="59"/>
  <c r="P385" i="5"/>
  <c r="DB236" i="59"/>
  <c r="O392" i="5"/>
  <c r="HJ237" i="59"/>
  <c r="O385" i="5"/>
  <c r="DA236" i="59"/>
  <c r="E392" i="5"/>
  <c r="GZ237" i="59"/>
  <c r="E385" i="5"/>
  <c r="CQ236" i="59"/>
  <c r="N392" i="5"/>
  <c r="HI237" i="59"/>
  <c r="N385" i="5"/>
  <c r="CZ236" i="59"/>
  <c r="J370" i="5"/>
  <c r="CM233" i="59"/>
  <c r="J355" i="5"/>
  <c r="CQ230" i="59"/>
  <c r="P370" i="5"/>
  <c r="CS233" i="59"/>
  <c r="P355" i="5"/>
  <c r="CW230" i="59"/>
  <c r="O370" i="5"/>
  <c r="CR233" i="59"/>
  <c r="O355" i="5"/>
  <c r="CV230" i="59"/>
  <c r="N370" i="5"/>
  <c r="CQ233" i="59"/>
  <c r="N355" i="5"/>
  <c r="CU230" i="59"/>
  <c r="H370" i="5"/>
  <c r="CK233" i="59"/>
  <c r="H355" i="5"/>
  <c r="CO230" i="59"/>
  <c r="F392" i="5"/>
  <c r="HA237" i="59"/>
  <c r="F385" i="5"/>
  <c r="CR236" i="59"/>
  <c r="K392" i="5"/>
  <c r="HF237" i="59"/>
  <c r="K385" i="5"/>
  <c r="CW236" i="59"/>
  <c r="M392" i="5"/>
  <c r="HH237" i="59"/>
  <c r="M385" i="5"/>
  <c r="CY236" i="59"/>
  <c r="L392" i="5"/>
  <c r="HG237" i="59"/>
  <c r="L385" i="5"/>
  <c r="CX236" i="59"/>
  <c r="I392" i="5"/>
  <c r="HD237" i="59"/>
  <c r="I385" i="5"/>
  <c r="CU236" i="59"/>
  <c r="G392" i="5"/>
  <c r="HB237" i="59"/>
  <c r="G385" i="5"/>
  <c r="CS236" i="59"/>
  <c r="F370" i="5"/>
  <c r="CI233" i="59"/>
  <c r="F355" i="5"/>
  <c r="CM230" i="59"/>
  <c r="K370" i="5"/>
  <c r="CN233" i="59"/>
  <c r="K355" i="5"/>
  <c r="CR230" i="59"/>
  <c r="M370" i="5"/>
  <c r="CP233" i="59"/>
  <c r="M355" i="5"/>
  <c r="CT230" i="59"/>
  <c r="L370" i="5"/>
  <c r="CO233" i="59"/>
  <c r="L355" i="5"/>
  <c r="CS230" i="59"/>
  <c r="I370" i="5"/>
  <c r="CL233" i="59"/>
  <c r="I355" i="5"/>
  <c r="CP230" i="59"/>
  <c r="G370" i="5"/>
  <c r="CJ233" i="59"/>
  <c r="G355" i="5"/>
  <c r="CN230" i="59"/>
  <c r="AQ107" i="5"/>
  <c r="EI181" i="59"/>
  <c r="D356" i="5"/>
  <c r="EH230" i="59"/>
  <c r="E370" i="5"/>
  <c r="CH233" i="59"/>
  <c r="AR107" i="5"/>
  <c r="D385" i="5"/>
  <c r="AY117" i="40"/>
  <c r="DR128" i="59"/>
  <c r="AQ355" i="5"/>
  <c r="DX230" i="59"/>
  <c r="CP236" i="59"/>
  <c r="AS355" i="5"/>
  <c r="EJ181" i="59"/>
  <c r="AR159" i="59"/>
  <c r="I356" i="5"/>
  <c r="EM230" i="59"/>
  <c r="I371" i="5"/>
  <c r="EJ233" i="59"/>
  <c r="G356" i="5"/>
  <c r="EK230" i="59"/>
  <c r="K356" i="5"/>
  <c r="EO230" i="59"/>
  <c r="H356" i="5"/>
  <c r="EL230" i="59"/>
  <c r="J356" i="5"/>
  <c r="EN230" i="59"/>
  <c r="G371" i="5"/>
  <c r="EH233" i="59"/>
  <c r="K371" i="5"/>
  <c r="EL233" i="59"/>
  <c r="H371" i="5"/>
  <c r="EI233" i="59"/>
  <c r="J371" i="5"/>
  <c r="EK233" i="59"/>
  <c r="AI371" i="5"/>
  <c r="FJ233" i="59"/>
  <c r="E356" i="5"/>
  <c r="EI230" i="59"/>
  <c r="Y371" i="5"/>
  <c r="EZ233" i="59"/>
  <c r="F371" i="5"/>
  <c r="EG233" i="59"/>
  <c r="Z371" i="5"/>
  <c r="FA233" i="59"/>
  <c r="AM371" i="5"/>
  <c r="FN233" i="59"/>
  <c r="T371" i="5"/>
  <c r="EU233" i="59"/>
  <c r="AN371" i="5"/>
  <c r="FO233" i="59"/>
  <c r="O356" i="5"/>
  <c r="ES230" i="59"/>
  <c r="L371" i="5"/>
  <c r="EM233" i="59"/>
  <c r="O371" i="5"/>
  <c r="EP233" i="59"/>
  <c r="AL371" i="5"/>
  <c r="FM233" i="59"/>
  <c r="AB371" i="5"/>
  <c r="FC233" i="59"/>
  <c r="R371" i="5"/>
  <c r="ES233" i="59"/>
  <c r="AJ371" i="5"/>
  <c r="FK233" i="59"/>
  <c r="AG371" i="5"/>
  <c r="FH233" i="59"/>
  <c r="AF371" i="5"/>
  <c r="FG233" i="59"/>
  <c r="U371" i="5"/>
  <c r="EV233" i="59"/>
  <c r="AD371" i="5"/>
  <c r="FE233" i="59"/>
  <c r="Q371" i="5"/>
  <c r="ER233" i="59"/>
  <c r="E21" i="41"/>
  <c r="EO305" i="59"/>
  <c r="L356" i="5"/>
  <c r="EP230" i="59"/>
  <c r="AK371" i="5"/>
  <c r="FL233" i="59"/>
  <c r="D362" i="5"/>
  <c r="GE231" i="59"/>
  <c r="M356" i="5"/>
  <c r="EQ230" i="59"/>
  <c r="P356" i="5"/>
  <c r="ET230" i="59"/>
  <c r="F356" i="5"/>
  <c r="EJ230" i="59"/>
  <c r="N356" i="5"/>
  <c r="ER230" i="59"/>
  <c r="N371" i="5"/>
  <c r="EO233" i="59"/>
  <c r="AE371" i="5"/>
  <c r="FF233" i="59"/>
  <c r="D21" i="41"/>
  <c r="EN305" i="59"/>
  <c r="M371" i="5"/>
  <c r="EN233" i="59"/>
  <c r="P371" i="5"/>
  <c r="EQ233" i="59"/>
  <c r="D371" i="5"/>
  <c r="EE233" i="59"/>
  <c r="S371" i="5"/>
  <c r="ET233" i="59"/>
  <c r="AH371" i="5"/>
  <c r="FI233" i="59"/>
  <c r="V371" i="5"/>
  <c r="EW233" i="59"/>
  <c r="AO371" i="5"/>
  <c r="FP233" i="59"/>
  <c r="AA371" i="5"/>
  <c r="FB233" i="59"/>
  <c r="X371" i="5"/>
  <c r="EY233" i="59"/>
  <c r="W371" i="5"/>
  <c r="EX233" i="59"/>
  <c r="AC371" i="5"/>
  <c r="FD233" i="59"/>
  <c r="N21" i="41"/>
  <c r="EX305" i="59"/>
  <c r="P21" i="41"/>
  <c r="EZ305" i="59"/>
  <c r="E371" i="5"/>
  <c r="EF233" i="59"/>
  <c r="AR355" i="5"/>
  <c r="DY230" i="59"/>
  <c r="AT107" i="5"/>
  <c r="EL181" i="59"/>
  <c r="AS356" i="5"/>
  <c r="FW230" i="59"/>
  <c r="DZ230" i="59"/>
  <c r="F21" i="41"/>
  <c r="EP305" i="59"/>
  <c r="AC377" i="5"/>
  <c r="HA234" i="59"/>
  <c r="AO377" i="5"/>
  <c r="HM234" i="59"/>
  <c r="D377" i="5"/>
  <c r="GB234" i="59"/>
  <c r="AE377" i="5"/>
  <c r="HC234" i="59"/>
  <c r="P362" i="5"/>
  <c r="GQ231" i="59"/>
  <c r="L362" i="5"/>
  <c r="GM231" i="59"/>
  <c r="U377" i="5"/>
  <c r="GS234" i="59"/>
  <c r="R377" i="5"/>
  <c r="GP234" i="59"/>
  <c r="L377" i="5"/>
  <c r="GJ234" i="59"/>
  <c r="AM377" i="5"/>
  <c r="HK234" i="59"/>
  <c r="E362" i="5"/>
  <c r="GF231" i="59"/>
  <c r="K377" i="5"/>
  <c r="GI234" i="59"/>
  <c r="K362" i="5"/>
  <c r="GL231" i="59"/>
  <c r="W377" i="5"/>
  <c r="GU234" i="59"/>
  <c r="P377" i="5"/>
  <c r="GN234" i="59"/>
  <c r="M362" i="5"/>
  <c r="GN231" i="59"/>
  <c r="AF377" i="5"/>
  <c r="HD234" i="59"/>
  <c r="Z377" i="5"/>
  <c r="GX234" i="59"/>
  <c r="AI377" i="5"/>
  <c r="HG234" i="59"/>
  <c r="G377" i="5"/>
  <c r="GE234" i="59"/>
  <c r="X377" i="5"/>
  <c r="GV234" i="59"/>
  <c r="AH377" i="5"/>
  <c r="HF234" i="59"/>
  <c r="M377" i="5"/>
  <c r="GK234" i="59"/>
  <c r="N362" i="5"/>
  <c r="GO231" i="59"/>
  <c r="Q377" i="5"/>
  <c r="GO234" i="59"/>
  <c r="AG377" i="5"/>
  <c r="HE234" i="59"/>
  <c r="AL377" i="5"/>
  <c r="HJ234" i="59"/>
  <c r="AN377" i="5"/>
  <c r="HL234" i="59"/>
  <c r="F377" i="5"/>
  <c r="GD234" i="59"/>
  <c r="J377" i="5"/>
  <c r="GH234" i="59"/>
  <c r="J362" i="5"/>
  <c r="GK231" i="59"/>
  <c r="I377" i="5"/>
  <c r="GG234" i="59"/>
  <c r="O362" i="5"/>
  <c r="GP231" i="59"/>
  <c r="G362" i="5"/>
  <c r="GH231" i="59"/>
  <c r="V377" i="5"/>
  <c r="GT234" i="59"/>
  <c r="N377" i="5"/>
  <c r="GL234" i="59"/>
  <c r="AB377" i="5"/>
  <c r="GZ234" i="59"/>
  <c r="E399" i="5"/>
  <c r="BQ239" i="59"/>
  <c r="L18" i="7"/>
  <c r="FY299" i="59"/>
  <c r="AA377" i="5"/>
  <c r="GY234" i="59"/>
  <c r="S377" i="5"/>
  <c r="GQ234" i="59"/>
  <c r="F362" i="5"/>
  <c r="GG231" i="59"/>
  <c r="AK377" i="5"/>
  <c r="HI234" i="59"/>
  <c r="AD377" i="5"/>
  <c r="HB234" i="59"/>
  <c r="AJ377" i="5"/>
  <c r="HH234" i="59"/>
  <c r="O377" i="5"/>
  <c r="GM234" i="59"/>
  <c r="T377" i="5"/>
  <c r="GR234" i="59"/>
  <c r="Y377" i="5"/>
  <c r="GW234" i="59"/>
  <c r="H377" i="5"/>
  <c r="GF234" i="59"/>
  <c r="H362" i="5"/>
  <c r="GI231" i="59"/>
  <c r="I362" i="5"/>
  <c r="GJ231" i="59"/>
  <c r="AQ356" i="5"/>
  <c r="M18" i="7"/>
  <c r="FZ299" i="59"/>
  <c r="I7" i="5"/>
  <c r="X162" i="59"/>
  <c r="D18" i="7"/>
  <c r="FQ299" i="59"/>
  <c r="E377" i="5"/>
  <c r="GC234" i="59"/>
  <c r="AR356" i="5"/>
  <c r="FV230" i="59"/>
  <c r="E18" i="7"/>
  <c r="FR299" i="59"/>
  <c r="E401" i="5"/>
  <c r="FO239" i="59"/>
  <c r="I8" i="5"/>
  <c r="BU162" i="59"/>
  <c r="I11" i="5"/>
  <c r="FO162" i="59"/>
  <c r="AQ362" i="5"/>
  <c r="FU230" i="59"/>
  <c r="D115" i="42"/>
  <c r="GC311" i="59"/>
  <c r="J7" i="5"/>
  <c r="AR362" i="5"/>
  <c r="HS231" i="59"/>
  <c r="L19" i="7"/>
  <c r="M19" i="7"/>
  <c r="G21" i="41"/>
  <c r="EQ305" i="59"/>
  <c r="D24" i="7"/>
  <c r="R300" i="59"/>
  <c r="N18" i="7"/>
  <c r="GA299" i="59"/>
  <c r="F18" i="7"/>
  <c r="FS299" i="59"/>
  <c r="E115" i="42"/>
  <c r="GD311" i="59"/>
  <c r="E24" i="7"/>
  <c r="J8" i="5"/>
  <c r="BV162" i="59"/>
  <c r="Y162" i="59"/>
  <c r="P7" i="5"/>
  <c r="AE162" i="59"/>
  <c r="S300" i="59"/>
  <c r="N25" i="7"/>
  <c r="AQ300" i="59"/>
  <c r="GO299" i="59"/>
  <c r="O25" i="7"/>
  <c r="AR300" i="59"/>
  <c r="GP299" i="59"/>
  <c r="M25" i="7"/>
  <c r="AP300" i="59"/>
  <c r="D7" i="5"/>
  <c r="S162" i="59"/>
  <c r="HR231" i="59"/>
  <c r="N19" i="7"/>
  <c r="O18" i="7"/>
  <c r="GB299" i="59"/>
  <c r="D8" i="5"/>
  <c r="G18" i="7"/>
  <c r="FT299" i="59"/>
  <c r="D120" i="42"/>
  <c r="HQ311" i="59"/>
  <c r="J11" i="5"/>
  <c r="FP162" i="59"/>
  <c r="F115" i="42"/>
  <c r="GE311" i="59"/>
  <c r="E120" i="42"/>
  <c r="HR311" i="59"/>
  <c r="F24" i="7"/>
  <c r="T300" i="59"/>
  <c r="BP162" i="59"/>
  <c r="D11" i="5"/>
  <c r="FJ162" i="59"/>
  <c r="O19" i="7"/>
  <c r="GR299" i="59"/>
  <c r="GQ299" i="59"/>
  <c r="H18" i="7"/>
  <c r="G115" i="42"/>
  <c r="GF311" i="59"/>
  <c r="P18" i="7"/>
  <c r="GC299" i="59"/>
  <c r="F120" i="42"/>
  <c r="HS311" i="59"/>
  <c r="G24" i="7"/>
  <c r="U300" i="59"/>
  <c r="P19" i="7"/>
  <c r="GS299" i="59"/>
  <c r="H115" i="42"/>
  <c r="GG311" i="59"/>
  <c r="FU299" i="59"/>
  <c r="G120" i="42"/>
  <c r="HT311" i="59"/>
  <c r="H24" i="7"/>
  <c r="V300" i="59"/>
  <c r="C12" i="7"/>
  <c r="CL299" i="59"/>
  <c r="A12" i="7"/>
  <c r="CJ299" i="59"/>
  <c r="H120" i="42"/>
  <c r="HU311" i="59"/>
  <c r="C108" i="42"/>
  <c r="EN311" i="59"/>
  <c r="A108" i="42"/>
  <c r="EL311" i="59"/>
  <c r="F12" i="50"/>
  <c r="FU2" i="59"/>
  <c r="J5" i="24"/>
  <c r="DR69" i="59"/>
</calcChain>
</file>

<file path=xl/comments1.xml><?xml version="1.0" encoding="utf-8"?>
<comments xmlns="http://schemas.openxmlformats.org/spreadsheetml/2006/main">
  <authors>
    <author>Christoph Kappler</author>
  </authors>
  <commentList>
    <comment ref="A16" authorId="0" shapeId="0">
      <text>
        <r>
          <rPr>
            <sz val="8"/>
            <color indexed="81"/>
            <rFont val="CG Omega"/>
            <family val="2"/>
          </rPr>
          <t>weighted risk in relation to BAC
- green: 0% - 4%
- yellow: &lt; 8%
- red: &gt;= 8%</t>
        </r>
      </text>
    </comment>
    <comment ref="B16" authorId="0" shapeId="0">
      <text>
        <r>
          <rPr>
            <sz val="8"/>
            <color indexed="81"/>
            <rFont val="CG Omega"/>
            <family val="2"/>
          </rPr>
          <t>Shows how many % the project is under or over budget
- green: &lt; 1%
- yellow: -1% - -10%
- red: &lt; -10%</t>
        </r>
      </text>
    </comment>
    <comment ref="C16" authorId="0" shapeId="0">
      <text>
        <r>
          <rPr>
            <sz val="8"/>
            <color indexed="81"/>
            <rFont val="CG Omega"/>
            <family val="2"/>
          </rPr>
          <t>Shows how many % the project will finish under or over budget
- green: &lt; 1%
- yellow: -1% - -10%
- red: &lt; -10%</t>
        </r>
      </text>
    </comment>
    <comment ref="D16" authorId="0" shapeId="0">
      <text>
        <r>
          <rPr>
            <sz val="8"/>
            <color indexed="81"/>
            <rFont val="CG Omega"/>
            <family val="2"/>
          </rPr>
          <t>Shows how many % the project is ahead or behind project schedule
- green: &lt; 1%
- yellow: -1% - -10%
- red: &lt; -10%</t>
        </r>
      </text>
    </comment>
    <comment ref="E16" authorId="0" shapeId="0">
      <text>
        <r>
          <rPr>
            <sz val="8"/>
            <color indexed="81"/>
            <rFont val="CG Omega"/>
            <family val="2"/>
          </rPr>
          <t>Indicates the amount of Calendar Days (CD), the project is ahead or behind end milestone of project schedule</t>
        </r>
      </text>
    </comment>
    <comment ref="G16" authorId="0" shapeId="0">
      <text>
        <r>
          <rPr>
            <sz val="8"/>
            <color indexed="81"/>
            <rFont val="CG Omega"/>
            <family val="2"/>
          </rPr>
          <t>Tendency of qualitiy status</t>
        </r>
      </text>
    </comment>
  </commentList>
</comments>
</file>

<file path=xl/comments2.xml><?xml version="1.0" encoding="utf-8"?>
<comments xmlns="http://schemas.openxmlformats.org/spreadsheetml/2006/main">
  <authors>
    <author>Christoph Kappler</author>
    <author>Emanuel Boetsch</author>
  </authors>
  <commentList>
    <comment ref="R5" authorId="0" shapeId="0">
      <text>
        <r>
          <rPr>
            <sz val="8"/>
            <color indexed="81"/>
            <rFont val="CG Omega"/>
            <family val="2"/>
          </rPr>
          <t>Um die SAP Funktionalität nutzen zu können, muss die Rolle "Project Manager" im Trimaran gesetzt werden!</t>
        </r>
      </text>
    </comment>
    <comment ref="A14" authorId="1" shapeId="0">
      <text>
        <r>
          <rPr>
            <b/>
            <sz val="8"/>
            <rFont val="Tahoma"/>
            <family val="2"/>
          </rPr>
          <t>Emanuel Boetsch:</t>
        </r>
        <r>
          <rPr>
            <sz val="8"/>
            <rFont val="Tahoma"/>
            <family val="2"/>
          </rPr>
          <t xml:space="preserve">
- trägt die unternehmerische Verantwortung für das gesamte Projektgeschäft seines Bereichs
- trägt die Sales Verantwortung für seinen Bereich und steuert den Sales Prozess für Projekte
- sein Vertriebsgebiet sind die Acoounts seiner Region
- verantwortet das Projekt Vertragswerk in seiner juristischen und kommerziellen Form
</t>
        </r>
      </text>
    </comment>
    <comment ref="I14" authorId="1" shapeId="0">
      <text>
        <r>
          <rPr>
            <b/>
            <sz val="8"/>
            <rFont val="Tahoma"/>
            <family val="2"/>
          </rPr>
          <t>Emanuel Boetsch:</t>
        </r>
        <r>
          <rPr>
            <sz val="8"/>
            <rFont val="Tahoma"/>
            <family val="2"/>
          </rPr>
          <t xml:space="preserve">
- verantwortlich für die korrekte Projektdurchführung gemäss den TVD internen und Kunden eigenen Projektabwicklungsleitplanken
</t>
        </r>
      </text>
    </comment>
    <comment ref="A15" authorId="1" shapeId="0">
      <text>
        <r>
          <rPr>
            <b/>
            <sz val="8"/>
            <rFont val="Tahoma"/>
            <family val="2"/>
          </rPr>
          <t>Emanuel Boetsch:</t>
        </r>
        <r>
          <rPr>
            <sz val="8"/>
            <rFont val="Tahoma"/>
            <family val="2"/>
          </rPr>
          <t xml:space="preserve">
- trägt die Profit &amp; Lost -Verantwortung für seine Projekte
- managed das Projektrisiko entlang der Projektvorgaben
</t>
        </r>
      </text>
    </comment>
    <comment ref="I15" authorId="1" shapeId="0">
      <text>
        <r>
          <rPr>
            <b/>
            <sz val="8"/>
            <rFont val="Tahoma"/>
            <family val="2"/>
          </rPr>
          <t>Emanuel Boetsch:</t>
        </r>
        <r>
          <rPr>
            <sz val="8"/>
            <rFont val="Tahoma"/>
            <family val="2"/>
          </rPr>
          <t xml:space="preserve">
- Aktive Betreuung seiner Accounts und Verantwortung des Geschäftsvolumens seiner  Accounts 
</t>
        </r>
      </text>
    </comment>
    <comment ref="A16" authorId="1" shapeId="0">
      <text>
        <r>
          <rPr>
            <b/>
            <sz val="8"/>
            <rFont val="Tahoma"/>
            <family val="2"/>
          </rPr>
          <t>Emanuel Boetsch:</t>
        </r>
        <r>
          <rPr>
            <sz val="8"/>
            <rFont val="Tahoma"/>
            <family val="2"/>
          </rPr>
          <t xml:space="preserve">
- Aktive Betreuung eines Leads / einer Opportunity bis zum Angebot
- der Lead Owner kann bei Eignung idealerweise auch zum Projekt Owner werden
</t>
        </r>
      </text>
    </comment>
    <comment ref="Q22" authorId="1" shapeId="0">
      <text>
        <r>
          <rPr>
            <b/>
            <sz val="9"/>
            <color indexed="81"/>
            <rFont val="Tahoma"/>
            <family val="2"/>
          </rPr>
          <t>Emanuel Boetsch:</t>
        </r>
        <r>
          <rPr>
            <sz val="9"/>
            <color indexed="81"/>
            <rFont val="Tahoma"/>
            <family val="2"/>
          </rPr>
          <t xml:space="preserve">
Individual Project Risk Types</t>
        </r>
      </text>
    </comment>
    <comment ref="S22" authorId="1" shapeId="0">
      <text>
        <r>
          <rPr>
            <b/>
            <sz val="9"/>
            <color indexed="81"/>
            <rFont val="Tahoma"/>
            <family val="2"/>
          </rPr>
          <t>Emanuel Boetsch:</t>
        </r>
        <r>
          <rPr>
            <sz val="9"/>
            <color indexed="81"/>
            <rFont val="Tahoma"/>
            <family val="2"/>
          </rPr>
          <t xml:space="preserve">
Individual Project Phases</t>
        </r>
      </text>
    </comment>
  </commentList>
</comments>
</file>

<file path=xl/comments3.xml><?xml version="1.0" encoding="utf-8"?>
<comments xmlns="http://schemas.openxmlformats.org/spreadsheetml/2006/main">
  <authors>
    <author>Emanuel Boetsch</author>
  </authors>
  <commentList>
    <comment ref="A62" authorId="0" shapeId="0">
      <text>
        <r>
          <rPr>
            <b/>
            <sz val="8"/>
            <color theme="1"/>
            <rFont val="Tahoma"/>
            <family val="2"/>
          </rPr>
          <t>Emanuel Boetsch:</t>
        </r>
        <r>
          <rPr>
            <sz val="8"/>
            <color theme="1"/>
            <rFont val="Tahoma"/>
            <family val="2"/>
          </rPr>
          <t xml:space="preserve">
</t>
        </r>
        <r>
          <rPr>
            <sz val="8"/>
            <color theme="1"/>
            <rFont val="Tahoma"/>
            <family val="2"/>
          </rPr>
          <t>go/no go with reason</t>
        </r>
      </text>
    </comment>
  </commentList>
</comments>
</file>

<file path=xl/comments4.xml><?xml version="1.0" encoding="utf-8"?>
<comments xmlns="http://schemas.openxmlformats.org/spreadsheetml/2006/main">
  <authors>
    <author>Christoph Kappler</author>
  </authors>
  <commentList>
    <comment ref="F55" authorId="0" shapeId="0">
      <text>
        <r>
          <rPr>
            <sz val="8"/>
            <color indexed="81"/>
            <rFont val="CG Omega"/>
            <family val="2"/>
          </rPr>
          <t>vorausgefüllt mit Projektstart</t>
        </r>
      </text>
    </comment>
    <comment ref="G55" authorId="0" shapeId="0">
      <text>
        <r>
          <rPr>
            <sz val="8"/>
            <color indexed="81"/>
            <rFont val="CG Omega"/>
            <family val="2"/>
          </rPr>
          <t>vorausgefüllt mit Projektende</t>
        </r>
      </text>
    </comment>
    <comment ref="F56" authorId="0" shapeId="0">
      <text>
        <r>
          <rPr>
            <sz val="8"/>
            <color indexed="81"/>
            <rFont val="CG Omega"/>
            <family val="2"/>
          </rPr>
          <t>vorausgefüllt mit Projektstart</t>
        </r>
      </text>
    </comment>
    <comment ref="G56" authorId="0" shapeId="0">
      <text>
        <r>
          <rPr>
            <sz val="8"/>
            <color indexed="81"/>
            <rFont val="CG Omega"/>
            <family val="2"/>
          </rPr>
          <t>vorausgefüllt mit Projektende</t>
        </r>
      </text>
    </comment>
    <comment ref="F57" authorId="0" shapeId="0">
      <text>
        <r>
          <rPr>
            <sz val="8"/>
            <color indexed="81"/>
            <rFont val="CG Omega"/>
            <family val="2"/>
          </rPr>
          <t>vorausgefüllt mit Projektstart</t>
        </r>
      </text>
    </comment>
    <comment ref="G57" authorId="0" shapeId="0">
      <text>
        <r>
          <rPr>
            <sz val="8"/>
            <color indexed="81"/>
            <rFont val="CG Omega"/>
            <family val="2"/>
          </rPr>
          <t>vorausgefüllt mit Projektende</t>
        </r>
      </text>
    </comment>
  </commentList>
</comments>
</file>

<file path=xl/comments5.xml><?xml version="1.0" encoding="utf-8"?>
<comments xmlns="http://schemas.openxmlformats.org/spreadsheetml/2006/main">
  <authors>
    <author>Emanuel Boetsch</author>
  </authors>
  <commentList>
    <comment ref="E12" authorId="0" shapeId="0">
      <text>
        <r>
          <rPr>
            <b/>
            <sz val="8"/>
            <color theme="1"/>
            <rFont val="Tahoma"/>
            <family val="2"/>
          </rPr>
          <t>Emanuel Boetsch:</t>
        </r>
        <r>
          <rPr>
            <sz val="8"/>
            <color theme="1"/>
            <rFont val="Tahoma"/>
            <family val="2"/>
          </rPr>
          <t xml:space="preserve">
</t>
        </r>
        <r>
          <rPr>
            <sz val="8"/>
            <color theme="1"/>
            <rFont val="Tahoma"/>
            <family val="2"/>
          </rPr>
          <t>Are the risk in proportion to the anticipated return? Have the risks been assessed in terms of money?</t>
        </r>
      </text>
    </comment>
    <comment ref="A24" authorId="0" shapeId="0">
      <text>
        <r>
          <rPr>
            <b/>
            <sz val="8"/>
            <color theme="1"/>
            <rFont val="Tahoma"/>
            <family val="2"/>
          </rPr>
          <t>Emanuel Boetsch:</t>
        </r>
        <r>
          <rPr>
            <sz val="8"/>
            <color theme="1"/>
            <rFont val="Tahoma"/>
            <family val="2"/>
          </rPr>
          <t xml:space="preserve">
</t>
        </r>
        <r>
          <rPr>
            <sz val="8"/>
            <color theme="1"/>
            <rFont val="Tahoma"/>
            <family val="2"/>
          </rPr>
          <t>go/no go with reason</t>
        </r>
      </text>
    </comment>
  </commentList>
</comments>
</file>

<file path=xl/comments6.xml><?xml version="1.0" encoding="utf-8"?>
<comments xmlns="http://schemas.openxmlformats.org/spreadsheetml/2006/main">
  <authors>
    <author>Fabienne Thut</author>
    <author>Christoph Kappler</author>
    <author>Reto Brunner</author>
  </authors>
  <commentList>
    <comment ref="B30" authorId="0" shapeId="0">
      <text>
        <r>
          <rPr>
            <sz val="8"/>
            <rFont val="CG Omega"/>
            <family val="2"/>
          </rPr>
          <t>max. 33 Zeichen
(ohne Bereich und Datum)</t>
        </r>
      </text>
    </comment>
    <comment ref="I31" authorId="0" shapeId="0">
      <text>
        <r>
          <rPr>
            <sz val="8"/>
            <rFont val="CG Omega"/>
            <family val="2"/>
          </rPr>
          <t>Eingabe nur, wenn pro Mitarbeiter separater Stundenansatz vereinbart wurde.</t>
        </r>
      </text>
    </comment>
    <comment ref="F32" authorId="1" shapeId="0">
      <text>
        <r>
          <rPr>
            <sz val="8"/>
            <color indexed="81"/>
            <rFont val="CG Omega"/>
            <family val="2"/>
          </rPr>
          <t>Bitte keine Abkürzungen verwenden!</t>
        </r>
      </text>
    </comment>
    <comment ref="I32" authorId="0" shapeId="0">
      <text>
        <r>
          <rPr>
            <sz val="8"/>
            <rFont val="CG Omega"/>
            <family val="2"/>
          </rPr>
          <t>Eingabe nur, wenn pro Mitarbeiter separater Stundenansatz vereinbart wurde.</t>
        </r>
      </text>
    </comment>
    <comment ref="F33" authorId="1" shapeId="0">
      <text>
        <r>
          <rPr>
            <sz val="8"/>
            <color indexed="81"/>
            <rFont val="CG Omega"/>
            <family val="2"/>
          </rPr>
          <t>Bitte keine Abkürzungen verwenden!</t>
        </r>
      </text>
    </comment>
    <comment ref="I33" authorId="0" shapeId="0">
      <text>
        <r>
          <rPr>
            <sz val="8"/>
            <rFont val="CG Omega"/>
            <family val="2"/>
          </rPr>
          <t>Eingabe nur, wenn pro Mitarbeiter separater Stundenansatz vereinbart wurde.</t>
        </r>
      </text>
    </comment>
    <comment ref="F34" authorId="1" shapeId="0">
      <text>
        <r>
          <rPr>
            <sz val="8"/>
            <color indexed="81"/>
            <rFont val="CG Omega"/>
            <family val="2"/>
          </rPr>
          <t>Bitte keine Abkürzungen verwenden!</t>
        </r>
      </text>
    </comment>
    <comment ref="I34" authorId="0" shapeId="0">
      <text>
        <r>
          <rPr>
            <sz val="8"/>
            <rFont val="CG Omega"/>
            <family val="2"/>
          </rPr>
          <t>Eingabe nur, wenn pro Mitarbeiter separater Stundenansatz vereinbart wurde.</t>
        </r>
      </text>
    </comment>
    <comment ref="F35" authorId="1" shapeId="0">
      <text>
        <r>
          <rPr>
            <sz val="8"/>
            <color indexed="81"/>
            <rFont val="CG Omega"/>
            <family val="2"/>
          </rPr>
          <t>Bitte keine Abkürzungen verwenden!</t>
        </r>
      </text>
    </comment>
    <comment ref="I35" authorId="0" shapeId="0">
      <text>
        <r>
          <rPr>
            <sz val="8"/>
            <rFont val="CG Omega"/>
            <family val="2"/>
          </rPr>
          <t>Eingabe nur, wenn pro Mitarbeiter separater Stundenansatz vereinbart wurde.</t>
        </r>
      </text>
    </comment>
    <comment ref="F36" authorId="1" shapeId="0">
      <text>
        <r>
          <rPr>
            <sz val="8"/>
            <color indexed="81"/>
            <rFont val="CG Omega"/>
            <family val="2"/>
          </rPr>
          <t>Bitte keine Abkürzungen verwenden!</t>
        </r>
      </text>
    </comment>
    <comment ref="I36" authorId="0" shapeId="0">
      <text>
        <r>
          <rPr>
            <sz val="8"/>
            <rFont val="CG Omega"/>
            <family val="2"/>
          </rPr>
          <t>Eingabe nur, wenn pro Mitarbeiter separater Stundenansatz vereinbart wurde.</t>
        </r>
      </text>
    </comment>
    <comment ref="B37" authorId="1" shapeId="0">
      <text>
        <r>
          <rPr>
            <sz val="8"/>
            <color indexed="81"/>
            <rFont val="CG Omega"/>
            <family val="2"/>
          </rPr>
          <t>Bitte keine Abkürzungen verwenden!</t>
        </r>
      </text>
    </comment>
    <comment ref="F37" authorId="1" shapeId="0">
      <text>
        <r>
          <rPr>
            <sz val="8"/>
            <color indexed="81"/>
            <rFont val="CG Omega"/>
            <family val="2"/>
          </rPr>
          <t>Bitte keine Abkürzungen verwenden!</t>
        </r>
      </text>
    </comment>
    <comment ref="I37" authorId="0" shapeId="0">
      <text>
        <r>
          <rPr>
            <sz val="8"/>
            <rFont val="CG Omega"/>
            <family val="2"/>
          </rPr>
          <t>Eingabe nur, wenn pro Mitarbeiter separater Stundenansatz vereinbart wurde.</t>
        </r>
      </text>
    </comment>
    <comment ref="B38" authorId="1" shapeId="0">
      <text>
        <r>
          <rPr>
            <sz val="8"/>
            <color indexed="81"/>
            <rFont val="CG Omega"/>
            <family val="2"/>
          </rPr>
          <t>Bitte keine Abkürzungen verwenden!</t>
        </r>
      </text>
    </comment>
    <comment ref="F38" authorId="1" shapeId="0">
      <text>
        <r>
          <rPr>
            <sz val="8"/>
            <color indexed="81"/>
            <rFont val="CG Omega"/>
            <family val="2"/>
          </rPr>
          <t>Bitte keine Abkürzungen verwenden!</t>
        </r>
      </text>
    </comment>
    <comment ref="I38" authorId="0" shapeId="0">
      <text>
        <r>
          <rPr>
            <sz val="8"/>
            <rFont val="CG Omega"/>
            <family val="2"/>
          </rPr>
          <t>Eingabe nur, wenn pro Mitarbeiter separater Stundenansatz vereinbart wurde.</t>
        </r>
      </text>
    </comment>
    <comment ref="B44" authorId="0" shapeId="0">
      <text>
        <r>
          <rPr>
            <sz val="8"/>
            <rFont val="CG Omega"/>
            <family val="2"/>
          </rPr>
          <t>max. 40 Zeichen</t>
        </r>
      </text>
    </comment>
    <comment ref="E44" authorId="0" shapeId="0">
      <text>
        <r>
          <rPr>
            <sz val="8"/>
            <rFont val="CG Omega"/>
            <family val="2"/>
          </rPr>
          <t>Bei Lizenzverkauf die Materialnummer erfassen.</t>
        </r>
      </text>
    </comment>
    <comment ref="F45" authorId="2" shapeId="0">
      <text>
        <r>
          <rPr>
            <sz val="9"/>
            <color indexed="81"/>
            <rFont val="Tahoma"/>
            <family val="2"/>
          </rPr>
          <t>Materialgruppe 5</t>
        </r>
      </text>
    </comment>
    <comment ref="J46" authorId="1" shapeId="0">
      <text>
        <r>
          <rPr>
            <sz val="8"/>
            <color indexed="81"/>
            <rFont val="CG Omega"/>
            <family val="2"/>
          </rPr>
          <t>Bitte keine Abkürzungen verwenden!</t>
        </r>
      </text>
    </comment>
    <comment ref="J47" authorId="1" shapeId="0">
      <text>
        <r>
          <rPr>
            <sz val="8"/>
            <color indexed="81"/>
            <rFont val="CG Omega"/>
            <family val="2"/>
          </rPr>
          <t>Bitte keine Abkürzungen verwenden!</t>
        </r>
      </text>
    </comment>
    <comment ref="J48" authorId="1" shapeId="0">
      <text>
        <r>
          <rPr>
            <sz val="8"/>
            <color indexed="81"/>
            <rFont val="CG Omega"/>
            <family val="2"/>
          </rPr>
          <t>Bitte keine Abkürzungen verwenden!</t>
        </r>
      </text>
    </comment>
    <comment ref="B49" authorId="1" shapeId="0">
      <text>
        <r>
          <rPr>
            <sz val="8"/>
            <color indexed="81"/>
            <rFont val="CG Omega"/>
            <family val="2"/>
          </rPr>
          <t>Bitte keine Abkürzungen verwenden!</t>
        </r>
      </text>
    </comment>
    <comment ref="J49" authorId="1" shapeId="0">
      <text>
        <r>
          <rPr>
            <sz val="8"/>
            <color indexed="81"/>
            <rFont val="CG Omega"/>
            <family val="2"/>
          </rPr>
          <t>Bitte keine Abkürzungen verwenden!</t>
        </r>
      </text>
    </comment>
    <comment ref="B50" authorId="1" shapeId="0">
      <text>
        <r>
          <rPr>
            <sz val="8"/>
            <color indexed="81"/>
            <rFont val="CG Omega"/>
            <family val="2"/>
          </rPr>
          <t>Bitte keine Abkürzungen verwenden!</t>
        </r>
      </text>
    </comment>
    <comment ref="J50" authorId="1" shapeId="0">
      <text>
        <r>
          <rPr>
            <sz val="8"/>
            <color indexed="81"/>
            <rFont val="CG Omega"/>
            <family val="2"/>
          </rPr>
          <t>Bitte keine Abkürzungen verwenden!</t>
        </r>
      </text>
    </comment>
    <comment ref="B51" authorId="1" shapeId="0">
      <text>
        <r>
          <rPr>
            <sz val="8"/>
            <color indexed="81"/>
            <rFont val="CG Omega"/>
            <family val="2"/>
          </rPr>
          <t>Bitte keine Abkürzungen verwenden!</t>
        </r>
      </text>
    </comment>
    <comment ref="J51" authorId="1" shapeId="0">
      <text>
        <r>
          <rPr>
            <sz val="8"/>
            <color indexed="81"/>
            <rFont val="CG Omega"/>
            <family val="2"/>
          </rPr>
          <t>Bitte keine Abkürzungen verwenden!</t>
        </r>
      </text>
    </comment>
    <comment ref="B54" authorId="0" shapeId="0">
      <text>
        <r>
          <rPr>
            <sz val="8"/>
            <rFont val="CG Omega"/>
            <family val="2"/>
          </rPr>
          <t>max. 40 Zeichen</t>
        </r>
      </text>
    </comment>
    <comment ref="E54" authorId="0" shapeId="0">
      <text>
        <r>
          <rPr>
            <sz val="8"/>
            <rFont val="CG Omega"/>
            <family val="2"/>
          </rPr>
          <t>Bei Lizenzverkauf die Materialnummer erfassen.</t>
        </r>
      </text>
    </comment>
    <comment ref="F55" authorId="2" shapeId="0">
      <text>
        <r>
          <rPr>
            <sz val="9"/>
            <color indexed="81"/>
            <rFont val="Tahoma"/>
            <family val="2"/>
          </rPr>
          <t>Materialgruppe 5</t>
        </r>
      </text>
    </comment>
    <comment ref="J56" authorId="1" shapeId="0">
      <text>
        <r>
          <rPr>
            <sz val="8"/>
            <color indexed="81"/>
            <rFont val="CG Omega"/>
            <family val="2"/>
          </rPr>
          <t>Bitte keine Abkürzungen verwenden!</t>
        </r>
      </text>
    </comment>
    <comment ref="J57" authorId="1" shapeId="0">
      <text>
        <r>
          <rPr>
            <sz val="8"/>
            <color indexed="81"/>
            <rFont val="CG Omega"/>
            <family val="2"/>
          </rPr>
          <t>Bitte keine Abkürzungen verwenden!</t>
        </r>
      </text>
    </comment>
    <comment ref="J58" authorId="1" shapeId="0">
      <text>
        <r>
          <rPr>
            <sz val="8"/>
            <color indexed="81"/>
            <rFont val="CG Omega"/>
            <family val="2"/>
          </rPr>
          <t>Bitte keine Abkürzungen verwenden!</t>
        </r>
      </text>
    </comment>
    <comment ref="B59" authorId="1" shapeId="0">
      <text>
        <r>
          <rPr>
            <sz val="8"/>
            <color indexed="81"/>
            <rFont val="CG Omega"/>
            <family val="2"/>
          </rPr>
          <t>Bitte keine Abkürzungen verwenden!</t>
        </r>
      </text>
    </comment>
    <comment ref="J59" authorId="1" shapeId="0">
      <text>
        <r>
          <rPr>
            <sz val="8"/>
            <color indexed="81"/>
            <rFont val="CG Omega"/>
            <family val="2"/>
          </rPr>
          <t>Bitte keine Abkürzungen verwenden!</t>
        </r>
      </text>
    </comment>
    <comment ref="B60" authorId="1" shapeId="0">
      <text>
        <r>
          <rPr>
            <sz val="8"/>
            <color indexed="81"/>
            <rFont val="CG Omega"/>
            <family val="2"/>
          </rPr>
          <t>Bitte keine Abkürzungen verwenden!</t>
        </r>
      </text>
    </comment>
    <comment ref="J60" authorId="1" shapeId="0">
      <text>
        <r>
          <rPr>
            <sz val="8"/>
            <color indexed="81"/>
            <rFont val="CG Omega"/>
            <family val="2"/>
          </rPr>
          <t>Bitte keine Abkürzungen verwenden!</t>
        </r>
      </text>
    </comment>
    <comment ref="B61" authorId="1" shapeId="0">
      <text>
        <r>
          <rPr>
            <sz val="8"/>
            <color indexed="81"/>
            <rFont val="CG Omega"/>
            <family val="2"/>
          </rPr>
          <t>Bitte keine Abkürzungen verwenden!</t>
        </r>
      </text>
    </comment>
    <comment ref="J61" authorId="1" shapeId="0">
      <text>
        <r>
          <rPr>
            <sz val="8"/>
            <color indexed="81"/>
            <rFont val="CG Omega"/>
            <family val="2"/>
          </rPr>
          <t>Bitte keine Abkürzungen verwenden!</t>
        </r>
      </text>
    </comment>
    <comment ref="B64" authorId="0" shapeId="0">
      <text>
        <r>
          <rPr>
            <sz val="8"/>
            <rFont val="CG Omega"/>
            <family val="2"/>
          </rPr>
          <t>max. 40 Zeichen</t>
        </r>
      </text>
    </comment>
    <comment ref="E64" authorId="0" shapeId="0">
      <text>
        <r>
          <rPr>
            <sz val="8"/>
            <rFont val="CG Omega"/>
            <family val="2"/>
          </rPr>
          <t>Bei Lizenzverkauf die Materialnummer erfassen.</t>
        </r>
      </text>
    </comment>
    <comment ref="F65" authorId="2" shapeId="0">
      <text>
        <r>
          <rPr>
            <sz val="9"/>
            <color indexed="81"/>
            <rFont val="Tahoma"/>
            <family val="2"/>
          </rPr>
          <t>Materialgruppe 5</t>
        </r>
      </text>
    </comment>
    <comment ref="J66" authorId="1" shapeId="0">
      <text>
        <r>
          <rPr>
            <sz val="8"/>
            <color indexed="81"/>
            <rFont val="CG Omega"/>
            <family val="2"/>
          </rPr>
          <t>Bitte keine Abkürzungen verwenden!</t>
        </r>
      </text>
    </comment>
    <comment ref="J67" authorId="1" shapeId="0">
      <text>
        <r>
          <rPr>
            <sz val="8"/>
            <color indexed="81"/>
            <rFont val="CG Omega"/>
            <family val="2"/>
          </rPr>
          <t>Bitte keine Abkürzungen verwenden!</t>
        </r>
      </text>
    </comment>
    <comment ref="J68" authorId="1" shapeId="0">
      <text>
        <r>
          <rPr>
            <sz val="8"/>
            <color indexed="81"/>
            <rFont val="CG Omega"/>
            <family val="2"/>
          </rPr>
          <t>Bitte keine Abkürzungen verwenden!</t>
        </r>
      </text>
    </comment>
    <comment ref="B69" authorId="1" shapeId="0">
      <text>
        <r>
          <rPr>
            <sz val="8"/>
            <color indexed="81"/>
            <rFont val="CG Omega"/>
            <family val="2"/>
          </rPr>
          <t>Bitte keine Abkürzungen verwenden!</t>
        </r>
      </text>
    </comment>
    <comment ref="J69" authorId="1" shapeId="0">
      <text>
        <r>
          <rPr>
            <sz val="8"/>
            <color indexed="81"/>
            <rFont val="CG Omega"/>
            <family val="2"/>
          </rPr>
          <t>Bitte keine Abkürzungen verwenden!</t>
        </r>
      </text>
    </comment>
    <comment ref="B70" authorId="1" shapeId="0">
      <text>
        <r>
          <rPr>
            <sz val="8"/>
            <color indexed="81"/>
            <rFont val="CG Omega"/>
            <family val="2"/>
          </rPr>
          <t>Bitte keine Abkürzungen verwenden!</t>
        </r>
      </text>
    </comment>
    <comment ref="J70" authorId="1" shapeId="0">
      <text>
        <r>
          <rPr>
            <sz val="8"/>
            <color indexed="81"/>
            <rFont val="CG Omega"/>
            <family val="2"/>
          </rPr>
          <t>Bitte keine Abkürzungen verwenden!</t>
        </r>
      </text>
    </comment>
    <comment ref="B71" authorId="1" shapeId="0">
      <text>
        <r>
          <rPr>
            <sz val="8"/>
            <color indexed="81"/>
            <rFont val="CG Omega"/>
            <family val="2"/>
          </rPr>
          <t>Bitte keine Abkürzungen verwenden!</t>
        </r>
      </text>
    </comment>
    <comment ref="J71" authorId="1" shapeId="0">
      <text>
        <r>
          <rPr>
            <sz val="8"/>
            <color indexed="81"/>
            <rFont val="CG Omega"/>
            <family val="2"/>
          </rPr>
          <t>Bitte keine Abkürzungen verwenden!</t>
        </r>
      </text>
    </comment>
    <comment ref="B74" authorId="0" shapeId="0">
      <text>
        <r>
          <rPr>
            <sz val="8"/>
            <rFont val="CG Omega"/>
            <family val="2"/>
          </rPr>
          <t>max. 40 Zeichen</t>
        </r>
      </text>
    </comment>
    <comment ref="E74" authorId="0" shapeId="0">
      <text>
        <r>
          <rPr>
            <sz val="8"/>
            <rFont val="CG Omega"/>
            <family val="2"/>
          </rPr>
          <t>Bei Lizenzverkauf die Materialnummer erfassen.</t>
        </r>
      </text>
    </comment>
    <comment ref="F75" authorId="2" shapeId="0">
      <text>
        <r>
          <rPr>
            <sz val="9"/>
            <color indexed="81"/>
            <rFont val="Tahoma"/>
            <family val="2"/>
          </rPr>
          <t>Materialgruppe 5</t>
        </r>
      </text>
    </comment>
    <comment ref="J76" authorId="1" shapeId="0">
      <text>
        <r>
          <rPr>
            <sz val="8"/>
            <color indexed="81"/>
            <rFont val="CG Omega"/>
            <family val="2"/>
          </rPr>
          <t>Bitte keine Abkürzungen verwenden!</t>
        </r>
      </text>
    </comment>
    <comment ref="J77" authorId="1" shapeId="0">
      <text>
        <r>
          <rPr>
            <sz val="8"/>
            <color indexed="81"/>
            <rFont val="CG Omega"/>
            <family val="2"/>
          </rPr>
          <t>Bitte keine Abkürzungen verwenden!</t>
        </r>
      </text>
    </comment>
    <comment ref="J78" authorId="1" shapeId="0">
      <text>
        <r>
          <rPr>
            <sz val="8"/>
            <color indexed="81"/>
            <rFont val="CG Omega"/>
            <family val="2"/>
          </rPr>
          <t>Bitte keine Abkürzungen verwenden!</t>
        </r>
      </text>
    </comment>
    <comment ref="B79" authorId="1" shapeId="0">
      <text>
        <r>
          <rPr>
            <sz val="8"/>
            <color indexed="81"/>
            <rFont val="CG Omega"/>
            <family val="2"/>
          </rPr>
          <t>Bitte keine Abkürzungen verwenden!</t>
        </r>
      </text>
    </comment>
    <comment ref="J79" authorId="1" shapeId="0">
      <text>
        <r>
          <rPr>
            <sz val="8"/>
            <color indexed="81"/>
            <rFont val="CG Omega"/>
            <family val="2"/>
          </rPr>
          <t>Bitte keine Abkürzungen verwenden!</t>
        </r>
      </text>
    </comment>
    <comment ref="B80" authorId="1" shapeId="0">
      <text>
        <r>
          <rPr>
            <sz val="8"/>
            <color indexed="81"/>
            <rFont val="CG Omega"/>
            <family val="2"/>
          </rPr>
          <t>Bitte keine Abkürzungen verwenden!</t>
        </r>
      </text>
    </comment>
    <comment ref="J80" authorId="1" shapeId="0">
      <text>
        <r>
          <rPr>
            <sz val="8"/>
            <color indexed="81"/>
            <rFont val="CG Omega"/>
            <family val="2"/>
          </rPr>
          <t>Bitte keine Abkürzungen verwenden!</t>
        </r>
      </text>
    </comment>
    <comment ref="B81" authorId="1" shapeId="0">
      <text>
        <r>
          <rPr>
            <sz val="8"/>
            <color indexed="81"/>
            <rFont val="CG Omega"/>
            <family val="2"/>
          </rPr>
          <t>Bitte keine Abkürzungen verwenden!</t>
        </r>
      </text>
    </comment>
    <comment ref="J81" authorId="1" shapeId="0">
      <text>
        <r>
          <rPr>
            <sz val="8"/>
            <color indexed="81"/>
            <rFont val="CG Omega"/>
            <family val="2"/>
          </rPr>
          <t>Bitte keine Abkürzungen verwenden!</t>
        </r>
      </text>
    </comment>
    <comment ref="B84" authorId="0" shapeId="0">
      <text>
        <r>
          <rPr>
            <sz val="8"/>
            <rFont val="CG Omega"/>
            <family val="2"/>
          </rPr>
          <t>max. 40 Zeichen</t>
        </r>
      </text>
    </comment>
    <comment ref="E84" authorId="0" shapeId="0">
      <text>
        <r>
          <rPr>
            <sz val="8"/>
            <rFont val="CG Omega"/>
            <family val="2"/>
          </rPr>
          <t>Bei Lizenzverkauf die Materialnummer erfassen.</t>
        </r>
      </text>
    </comment>
    <comment ref="F85" authorId="2" shapeId="0">
      <text>
        <r>
          <rPr>
            <sz val="9"/>
            <color indexed="81"/>
            <rFont val="Tahoma"/>
            <family val="2"/>
          </rPr>
          <t>Materialgruppe 5</t>
        </r>
      </text>
    </comment>
    <comment ref="J86" authorId="1" shapeId="0">
      <text>
        <r>
          <rPr>
            <sz val="8"/>
            <color indexed="81"/>
            <rFont val="CG Omega"/>
            <family val="2"/>
          </rPr>
          <t>Bitte keine Abkürzungen verwenden!</t>
        </r>
      </text>
    </comment>
    <comment ref="J87" authorId="1" shapeId="0">
      <text>
        <r>
          <rPr>
            <sz val="8"/>
            <color indexed="81"/>
            <rFont val="CG Omega"/>
            <family val="2"/>
          </rPr>
          <t>Bitte keine Abkürzungen verwenden!</t>
        </r>
      </text>
    </comment>
    <comment ref="J88" authorId="1" shapeId="0">
      <text>
        <r>
          <rPr>
            <sz val="8"/>
            <color indexed="81"/>
            <rFont val="CG Omega"/>
            <family val="2"/>
          </rPr>
          <t>Bitte keine Abkürzungen verwenden!</t>
        </r>
      </text>
    </comment>
    <comment ref="B89" authorId="1" shapeId="0">
      <text>
        <r>
          <rPr>
            <sz val="8"/>
            <color indexed="81"/>
            <rFont val="CG Omega"/>
            <family val="2"/>
          </rPr>
          <t>Bitte keine Abkürzungen verwenden!</t>
        </r>
      </text>
    </comment>
    <comment ref="J89" authorId="1" shapeId="0">
      <text>
        <r>
          <rPr>
            <sz val="8"/>
            <color indexed="81"/>
            <rFont val="CG Omega"/>
            <family val="2"/>
          </rPr>
          <t>Bitte keine Abkürzungen verwenden!</t>
        </r>
      </text>
    </comment>
    <comment ref="B90" authorId="1" shapeId="0">
      <text>
        <r>
          <rPr>
            <sz val="8"/>
            <color indexed="81"/>
            <rFont val="CG Omega"/>
            <family val="2"/>
          </rPr>
          <t>Bitte keine Abkürzungen verwenden!</t>
        </r>
      </text>
    </comment>
    <comment ref="J90" authorId="1" shapeId="0">
      <text>
        <r>
          <rPr>
            <sz val="8"/>
            <color indexed="81"/>
            <rFont val="CG Omega"/>
            <family val="2"/>
          </rPr>
          <t>Bitte keine Abkürzungen verwenden!</t>
        </r>
      </text>
    </comment>
    <comment ref="B91" authorId="1" shapeId="0">
      <text>
        <r>
          <rPr>
            <sz val="8"/>
            <color indexed="81"/>
            <rFont val="CG Omega"/>
            <family val="2"/>
          </rPr>
          <t>Bitte keine Abkürzungen verwenden!</t>
        </r>
      </text>
    </comment>
    <comment ref="J91" authorId="1" shapeId="0">
      <text>
        <r>
          <rPr>
            <sz val="8"/>
            <color indexed="81"/>
            <rFont val="CG Omega"/>
            <family val="2"/>
          </rPr>
          <t>Bitte keine Abkürzungen verwenden!</t>
        </r>
      </text>
    </comment>
    <comment ref="B94" authorId="0" shapeId="0">
      <text>
        <r>
          <rPr>
            <sz val="8"/>
            <rFont val="CG Omega"/>
            <family val="2"/>
          </rPr>
          <t>max. 40 Zeichen</t>
        </r>
      </text>
    </comment>
    <comment ref="E94" authorId="0" shapeId="0">
      <text>
        <r>
          <rPr>
            <sz val="8"/>
            <rFont val="CG Omega"/>
            <family val="2"/>
          </rPr>
          <t>Bei Lizenzverkauf die Materialnummer erfassen.</t>
        </r>
      </text>
    </comment>
    <comment ref="F95" authorId="2" shapeId="0">
      <text>
        <r>
          <rPr>
            <sz val="9"/>
            <color indexed="81"/>
            <rFont val="Tahoma"/>
            <family val="2"/>
          </rPr>
          <t>Materialgruppe 5</t>
        </r>
      </text>
    </comment>
    <comment ref="J96" authorId="1" shapeId="0">
      <text>
        <r>
          <rPr>
            <sz val="8"/>
            <color indexed="81"/>
            <rFont val="CG Omega"/>
            <family val="2"/>
          </rPr>
          <t>Bitte keine Abkürzungen verwenden!</t>
        </r>
      </text>
    </comment>
    <comment ref="J97" authorId="1" shapeId="0">
      <text>
        <r>
          <rPr>
            <sz val="8"/>
            <color indexed="81"/>
            <rFont val="CG Omega"/>
            <family val="2"/>
          </rPr>
          <t>Bitte keine Abkürzungen verwenden!</t>
        </r>
      </text>
    </comment>
    <comment ref="J98" authorId="1" shapeId="0">
      <text>
        <r>
          <rPr>
            <sz val="8"/>
            <color indexed="81"/>
            <rFont val="CG Omega"/>
            <family val="2"/>
          </rPr>
          <t>Bitte keine Abkürzungen verwenden!</t>
        </r>
      </text>
    </comment>
    <comment ref="B99" authorId="1" shapeId="0">
      <text>
        <r>
          <rPr>
            <sz val="8"/>
            <color indexed="81"/>
            <rFont val="CG Omega"/>
            <family val="2"/>
          </rPr>
          <t>Bitte keine Abkürzungen verwenden!</t>
        </r>
      </text>
    </comment>
    <comment ref="J99" authorId="1" shapeId="0">
      <text>
        <r>
          <rPr>
            <sz val="8"/>
            <color indexed="81"/>
            <rFont val="CG Omega"/>
            <family val="2"/>
          </rPr>
          <t>Bitte keine Abkürzungen verwenden!</t>
        </r>
      </text>
    </comment>
    <comment ref="B100" authorId="1" shapeId="0">
      <text>
        <r>
          <rPr>
            <sz val="8"/>
            <color indexed="81"/>
            <rFont val="CG Omega"/>
            <family val="2"/>
          </rPr>
          <t>Bitte keine Abkürzungen verwenden!</t>
        </r>
      </text>
    </comment>
    <comment ref="J100" authorId="1" shapeId="0">
      <text>
        <r>
          <rPr>
            <sz val="8"/>
            <color indexed="81"/>
            <rFont val="CG Omega"/>
            <family val="2"/>
          </rPr>
          <t>Bitte keine Abkürzungen verwenden!</t>
        </r>
      </text>
    </comment>
    <comment ref="B101" authorId="1" shapeId="0">
      <text>
        <r>
          <rPr>
            <sz val="8"/>
            <color indexed="81"/>
            <rFont val="CG Omega"/>
            <family val="2"/>
          </rPr>
          <t>Bitte keine Abkürzungen verwenden!</t>
        </r>
      </text>
    </comment>
    <comment ref="J101" authorId="1" shapeId="0">
      <text>
        <r>
          <rPr>
            <sz val="8"/>
            <color indexed="81"/>
            <rFont val="CG Omega"/>
            <family val="2"/>
          </rPr>
          <t>Bitte keine Abkürzungen verwenden!</t>
        </r>
      </text>
    </comment>
    <comment ref="B104" authorId="0" shapeId="0">
      <text>
        <r>
          <rPr>
            <sz val="8"/>
            <rFont val="CG Omega"/>
            <family val="2"/>
          </rPr>
          <t>max. 40 Zeichen</t>
        </r>
      </text>
    </comment>
    <comment ref="E104" authorId="0" shapeId="0">
      <text>
        <r>
          <rPr>
            <sz val="8"/>
            <rFont val="CG Omega"/>
            <family val="2"/>
          </rPr>
          <t>Bei Lizenzverkauf die Materialnummer erfassen.</t>
        </r>
      </text>
    </comment>
    <comment ref="F105" authorId="2" shapeId="0">
      <text>
        <r>
          <rPr>
            <sz val="9"/>
            <color indexed="81"/>
            <rFont val="Tahoma"/>
            <family val="2"/>
          </rPr>
          <t>Materialgruppe 5</t>
        </r>
      </text>
    </comment>
    <comment ref="J106" authorId="1" shapeId="0">
      <text>
        <r>
          <rPr>
            <sz val="8"/>
            <color indexed="81"/>
            <rFont val="CG Omega"/>
            <family val="2"/>
          </rPr>
          <t>Bitte keine Abkürzungen verwenden!</t>
        </r>
      </text>
    </comment>
    <comment ref="J107" authorId="1" shapeId="0">
      <text>
        <r>
          <rPr>
            <sz val="8"/>
            <color indexed="81"/>
            <rFont val="CG Omega"/>
            <family val="2"/>
          </rPr>
          <t>Bitte keine Abkürzungen verwenden!</t>
        </r>
      </text>
    </comment>
    <comment ref="J108" authorId="1" shapeId="0">
      <text>
        <r>
          <rPr>
            <sz val="8"/>
            <color indexed="81"/>
            <rFont val="CG Omega"/>
            <family val="2"/>
          </rPr>
          <t>Bitte keine Abkürzungen verwenden!</t>
        </r>
      </text>
    </comment>
    <comment ref="B109" authorId="1" shapeId="0">
      <text>
        <r>
          <rPr>
            <sz val="8"/>
            <color indexed="81"/>
            <rFont val="CG Omega"/>
            <family val="2"/>
          </rPr>
          <t>Bitte keine Abkürzungen verwenden!</t>
        </r>
      </text>
    </comment>
    <comment ref="J109" authorId="1" shapeId="0">
      <text>
        <r>
          <rPr>
            <sz val="8"/>
            <color indexed="81"/>
            <rFont val="CG Omega"/>
            <family val="2"/>
          </rPr>
          <t>Bitte keine Abkürzungen verwenden!</t>
        </r>
      </text>
    </comment>
    <comment ref="B110" authorId="1" shapeId="0">
      <text>
        <r>
          <rPr>
            <sz val="8"/>
            <color indexed="81"/>
            <rFont val="CG Omega"/>
            <family val="2"/>
          </rPr>
          <t>Bitte keine Abkürzungen verwenden!</t>
        </r>
      </text>
    </comment>
    <comment ref="J110" authorId="1" shapeId="0">
      <text>
        <r>
          <rPr>
            <sz val="8"/>
            <color indexed="81"/>
            <rFont val="CG Omega"/>
            <family val="2"/>
          </rPr>
          <t>Bitte keine Abkürzungen verwenden!</t>
        </r>
      </text>
    </comment>
    <comment ref="B111" authorId="1" shapeId="0">
      <text>
        <r>
          <rPr>
            <sz val="8"/>
            <color indexed="81"/>
            <rFont val="CG Omega"/>
            <family val="2"/>
          </rPr>
          <t>Bitte keine Abkürzungen verwenden!</t>
        </r>
      </text>
    </comment>
    <comment ref="J111" authorId="1" shapeId="0">
      <text>
        <r>
          <rPr>
            <sz val="8"/>
            <color indexed="81"/>
            <rFont val="CG Omega"/>
            <family val="2"/>
          </rPr>
          <t>Bitte keine Abkürzungen verwenden!</t>
        </r>
      </text>
    </comment>
    <comment ref="B114" authorId="0" shapeId="0">
      <text>
        <r>
          <rPr>
            <sz val="8"/>
            <rFont val="CG Omega"/>
            <family val="2"/>
          </rPr>
          <t>max. 40 Zeichen</t>
        </r>
      </text>
    </comment>
    <comment ref="E114" authorId="0" shapeId="0">
      <text>
        <r>
          <rPr>
            <sz val="8"/>
            <rFont val="CG Omega"/>
            <family val="2"/>
          </rPr>
          <t>Bei Lizenzverkauf die Materialnummer erfassen.</t>
        </r>
      </text>
    </comment>
    <comment ref="F115" authorId="2" shapeId="0">
      <text>
        <r>
          <rPr>
            <sz val="9"/>
            <color indexed="81"/>
            <rFont val="Tahoma"/>
            <family val="2"/>
          </rPr>
          <t>Materialgruppe 5</t>
        </r>
      </text>
    </comment>
    <comment ref="J116" authorId="1" shapeId="0">
      <text>
        <r>
          <rPr>
            <sz val="8"/>
            <color indexed="81"/>
            <rFont val="CG Omega"/>
            <family val="2"/>
          </rPr>
          <t>Bitte keine Abkürzungen verwenden!</t>
        </r>
      </text>
    </comment>
    <comment ref="J117" authorId="1" shapeId="0">
      <text>
        <r>
          <rPr>
            <sz val="8"/>
            <color indexed="81"/>
            <rFont val="CG Omega"/>
            <family val="2"/>
          </rPr>
          <t>Bitte keine Abkürzungen verwenden!</t>
        </r>
      </text>
    </comment>
    <comment ref="J118" authorId="1" shapeId="0">
      <text>
        <r>
          <rPr>
            <sz val="8"/>
            <color indexed="81"/>
            <rFont val="CG Omega"/>
            <family val="2"/>
          </rPr>
          <t>Bitte keine Abkürzungen verwenden!</t>
        </r>
      </text>
    </comment>
    <comment ref="B119" authorId="1" shapeId="0">
      <text>
        <r>
          <rPr>
            <sz val="8"/>
            <color indexed="81"/>
            <rFont val="CG Omega"/>
            <family val="2"/>
          </rPr>
          <t>Bitte keine Abkürzungen verwenden!</t>
        </r>
      </text>
    </comment>
    <comment ref="J119" authorId="1" shapeId="0">
      <text>
        <r>
          <rPr>
            <sz val="8"/>
            <color indexed="81"/>
            <rFont val="CG Omega"/>
            <family val="2"/>
          </rPr>
          <t>Bitte keine Abkürzungen verwenden!</t>
        </r>
      </text>
    </comment>
    <comment ref="B120" authorId="1" shapeId="0">
      <text>
        <r>
          <rPr>
            <sz val="8"/>
            <color indexed="81"/>
            <rFont val="CG Omega"/>
            <family val="2"/>
          </rPr>
          <t>Bitte keine Abkürzungen verwenden!</t>
        </r>
      </text>
    </comment>
    <comment ref="J120" authorId="1" shapeId="0">
      <text>
        <r>
          <rPr>
            <sz val="8"/>
            <color indexed="81"/>
            <rFont val="CG Omega"/>
            <family val="2"/>
          </rPr>
          <t>Bitte keine Abkürzungen verwenden!</t>
        </r>
      </text>
    </comment>
    <comment ref="B121" authorId="1" shapeId="0">
      <text>
        <r>
          <rPr>
            <sz val="8"/>
            <color indexed="81"/>
            <rFont val="CG Omega"/>
            <family val="2"/>
          </rPr>
          <t>Bitte keine Abkürzungen verwenden!</t>
        </r>
      </text>
    </comment>
    <comment ref="J121" authorId="1" shapeId="0">
      <text>
        <r>
          <rPr>
            <sz val="8"/>
            <color indexed="81"/>
            <rFont val="CG Omega"/>
            <family val="2"/>
          </rPr>
          <t>Bitte keine Abkürzungen verwenden!</t>
        </r>
      </text>
    </comment>
    <comment ref="B124" authorId="0" shapeId="0">
      <text>
        <r>
          <rPr>
            <sz val="8"/>
            <rFont val="CG Omega"/>
            <family val="2"/>
          </rPr>
          <t>max. 40 Zeichen</t>
        </r>
      </text>
    </comment>
    <comment ref="E124" authorId="0" shapeId="0">
      <text>
        <r>
          <rPr>
            <sz val="8"/>
            <rFont val="CG Omega"/>
            <family val="2"/>
          </rPr>
          <t>Bei Lizenzverkauf die Materialnummer erfassen.</t>
        </r>
      </text>
    </comment>
    <comment ref="G126" authorId="0" shapeId="0">
      <text>
        <r>
          <rPr>
            <sz val="8"/>
            <rFont val="CG Omega"/>
            <family val="2"/>
          </rPr>
          <t>Solution Area primär</t>
        </r>
      </text>
    </comment>
    <comment ref="H126" authorId="0" shapeId="0">
      <text>
        <r>
          <rPr>
            <sz val="8"/>
            <rFont val="CG Omega"/>
            <family val="2"/>
          </rPr>
          <t>Solution Area sekundär</t>
        </r>
      </text>
    </comment>
    <comment ref="I126" authorId="0" shapeId="0">
      <text>
        <r>
          <rPr>
            <sz val="8"/>
            <rFont val="CG Omega"/>
            <family val="2"/>
          </rPr>
          <t>Solution Area tertiär</t>
        </r>
      </text>
    </comment>
    <comment ref="J126" authorId="1" shapeId="0">
      <text>
        <r>
          <rPr>
            <sz val="8"/>
            <color indexed="81"/>
            <rFont val="CG Omega"/>
            <family val="2"/>
          </rPr>
          <t>Bitte keine Abkürzungen verwenden!</t>
        </r>
      </text>
    </comment>
    <comment ref="J127" authorId="1" shapeId="0">
      <text>
        <r>
          <rPr>
            <sz val="8"/>
            <color indexed="81"/>
            <rFont val="CG Omega"/>
            <family val="2"/>
          </rPr>
          <t>Bitte keine Abkürzungen verwenden!</t>
        </r>
      </text>
    </comment>
    <comment ref="J128" authorId="1" shapeId="0">
      <text>
        <r>
          <rPr>
            <sz val="8"/>
            <color indexed="81"/>
            <rFont val="CG Omega"/>
            <family val="2"/>
          </rPr>
          <t>Bitte keine Abkürzungen verwenden!</t>
        </r>
      </text>
    </comment>
    <comment ref="B129" authorId="1" shapeId="0">
      <text>
        <r>
          <rPr>
            <sz val="8"/>
            <color indexed="81"/>
            <rFont val="CG Omega"/>
            <family val="2"/>
          </rPr>
          <t>Bitte keine Abkürzungen verwenden!</t>
        </r>
      </text>
    </comment>
    <comment ref="J129" authorId="1" shapeId="0">
      <text>
        <r>
          <rPr>
            <sz val="8"/>
            <color indexed="81"/>
            <rFont val="CG Omega"/>
            <family val="2"/>
          </rPr>
          <t>Bitte keine Abkürzungen verwenden!</t>
        </r>
      </text>
    </comment>
    <comment ref="B130" authorId="1" shapeId="0">
      <text>
        <r>
          <rPr>
            <sz val="8"/>
            <color indexed="81"/>
            <rFont val="CG Omega"/>
            <family val="2"/>
          </rPr>
          <t>Bitte keine Abkürzungen verwenden!</t>
        </r>
      </text>
    </comment>
    <comment ref="J130" authorId="1" shapeId="0">
      <text>
        <r>
          <rPr>
            <sz val="8"/>
            <color indexed="81"/>
            <rFont val="CG Omega"/>
            <family val="2"/>
          </rPr>
          <t>Bitte keine Abkürzungen verwenden!</t>
        </r>
      </text>
    </comment>
    <comment ref="B131" authorId="1" shapeId="0">
      <text>
        <r>
          <rPr>
            <sz val="8"/>
            <color indexed="81"/>
            <rFont val="CG Omega"/>
            <family val="2"/>
          </rPr>
          <t>Bitte keine Abkürzungen verwenden!</t>
        </r>
      </text>
    </comment>
    <comment ref="J131" authorId="1" shapeId="0">
      <text>
        <r>
          <rPr>
            <sz val="8"/>
            <color indexed="81"/>
            <rFont val="CG Omega"/>
            <family val="2"/>
          </rPr>
          <t>Bitte keine Abkürzungen verwenden!</t>
        </r>
      </text>
    </comment>
    <comment ref="B134" authorId="0" shapeId="0">
      <text>
        <r>
          <rPr>
            <sz val="8"/>
            <rFont val="CG Omega"/>
            <family val="2"/>
          </rPr>
          <t>max. 40 Zeichen</t>
        </r>
      </text>
    </comment>
    <comment ref="E134" authorId="0" shapeId="0">
      <text>
        <r>
          <rPr>
            <sz val="8"/>
            <rFont val="CG Omega"/>
            <family val="2"/>
          </rPr>
          <t>Bei Lizenzverkauf die Materialnummer erfassen.</t>
        </r>
      </text>
    </comment>
    <comment ref="F135" authorId="2" shapeId="0">
      <text>
        <r>
          <rPr>
            <sz val="9"/>
            <color indexed="81"/>
            <rFont val="Tahoma"/>
            <family val="2"/>
          </rPr>
          <t>Materialgruppe 5</t>
        </r>
      </text>
    </comment>
    <comment ref="J136" authorId="1" shapeId="0">
      <text>
        <r>
          <rPr>
            <sz val="8"/>
            <color indexed="81"/>
            <rFont val="CG Omega"/>
            <family val="2"/>
          </rPr>
          <t>Bitte keine Abkürzungen verwenden!</t>
        </r>
      </text>
    </comment>
    <comment ref="J137" authorId="1" shapeId="0">
      <text>
        <r>
          <rPr>
            <sz val="8"/>
            <color indexed="81"/>
            <rFont val="CG Omega"/>
            <family val="2"/>
          </rPr>
          <t>Bitte keine Abkürzungen verwenden!</t>
        </r>
      </text>
    </comment>
    <comment ref="J138" authorId="1" shapeId="0">
      <text>
        <r>
          <rPr>
            <sz val="8"/>
            <color indexed="81"/>
            <rFont val="CG Omega"/>
            <family val="2"/>
          </rPr>
          <t>Bitte keine Abkürzungen verwenden!</t>
        </r>
      </text>
    </comment>
    <comment ref="B139" authorId="1" shapeId="0">
      <text>
        <r>
          <rPr>
            <sz val="8"/>
            <color indexed="81"/>
            <rFont val="CG Omega"/>
            <family val="2"/>
          </rPr>
          <t>Bitte keine Abkürzungen verwenden!</t>
        </r>
      </text>
    </comment>
    <comment ref="J139" authorId="1" shapeId="0">
      <text>
        <r>
          <rPr>
            <sz val="8"/>
            <color indexed="81"/>
            <rFont val="CG Omega"/>
            <family val="2"/>
          </rPr>
          <t>Bitte keine Abkürzungen verwenden!</t>
        </r>
      </text>
    </comment>
    <comment ref="B140" authorId="1" shapeId="0">
      <text>
        <r>
          <rPr>
            <sz val="8"/>
            <color indexed="81"/>
            <rFont val="CG Omega"/>
            <family val="2"/>
          </rPr>
          <t>Bitte keine Abkürzungen verwenden!</t>
        </r>
      </text>
    </comment>
    <comment ref="J140" authorId="1" shapeId="0">
      <text>
        <r>
          <rPr>
            <sz val="8"/>
            <color indexed="81"/>
            <rFont val="CG Omega"/>
            <family val="2"/>
          </rPr>
          <t>Bitte keine Abkürzungen verwenden!</t>
        </r>
      </text>
    </comment>
    <comment ref="B141" authorId="1" shapeId="0">
      <text>
        <r>
          <rPr>
            <sz val="8"/>
            <color indexed="81"/>
            <rFont val="CG Omega"/>
            <family val="2"/>
          </rPr>
          <t>Bitte keine Abkürzungen verwenden!</t>
        </r>
      </text>
    </comment>
    <comment ref="J141" authorId="1" shapeId="0">
      <text>
        <r>
          <rPr>
            <sz val="8"/>
            <color indexed="81"/>
            <rFont val="CG Omega"/>
            <family val="2"/>
          </rPr>
          <t>Bitte keine Abkürzungen verwenden!</t>
        </r>
      </text>
    </comment>
    <comment ref="B144" authorId="0" shapeId="0">
      <text>
        <r>
          <rPr>
            <sz val="8"/>
            <rFont val="CG Omega"/>
            <family val="2"/>
          </rPr>
          <t>max. 40 Zeichen</t>
        </r>
      </text>
    </comment>
    <comment ref="E144" authorId="0" shapeId="0">
      <text>
        <r>
          <rPr>
            <sz val="8"/>
            <rFont val="CG Omega"/>
            <family val="2"/>
          </rPr>
          <t>Bei Lizenzverkauf die Materialnummer erfassen.</t>
        </r>
      </text>
    </comment>
    <comment ref="F145" authorId="2" shapeId="0">
      <text>
        <r>
          <rPr>
            <sz val="9"/>
            <color indexed="81"/>
            <rFont val="Tahoma"/>
            <family val="2"/>
          </rPr>
          <t>Materialgruppe 5</t>
        </r>
      </text>
    </comment>
    <comment ref="J146" authorId="1" shapeId="0">
      <text>
        <r>
          <rPr>
            <sz val="8"/>
            <color indexed="81"/>
            <rFont val="CG Omega"/>
            <family val="2"/>
          </rPr>
          <t>Bitte keine Abkürzungen verwenden!</t>
        </r>
      </text>
    </comment>
    <comment ref="J147" authorId="1" shapeId="0">
      <text>
        <r>
          <rPr>
            <sz val="8"/>
            <color indexed="81"/>
            <rFont val="CG Omega"/>
            <family val="2"/>
          </rPr>
          <t>Bitte keine Abkürzungen verwenden!</t>
        </r>
      </text>
    </comment>
    <comment ref="J148" authorId="1" shapeId="0">
      <text>
        <r>
          <rPr>
            <sz val="8"/>
            <color indexed="81"/>
            <rFont val="CG Omega"/>
            <family val="2"/>
          </rPr>
          <t>Bitte keine Abkürzungen verwenden!</t>
        </r>
      </text>
    </comment>
    <comment ref="B149" authorId="1" shapeId="0">
      <text>
        <r>
          <rPr>
            <sz val="8"/>
            <color indexed="81"/>
            <rFont val="CG Omega"/>
            <family val="2"/>
          </rPr>
          <t>Bitte keine Abkürzungen verwenden!</t>
        </r>
      </text>
    </comment>
    <comment ref="J149" authorId="1" shapeId="0">
      <text>
        <r>
          <rPr>
            <sz val="8"/>
            <color indexed="81"/>
            <rFont val="CG Omega"/>
            <family val="2"/>
          </rPr>
          <t>Bitte keine Abkürzungen verwenden!</t>
        </r>
      </text>
    </comment>
    <comment ref="B150" authorId="1" shapeId="0">
      <text>
        <r>
          <rPr>
            <sz val="8"/>
            <color indexed="81"/>
            <rFont val="CG Omega"/>
            <family val="2"/>
          </rPr>
          <t>Bitte keine Abkürzungen verwenden!</t>
        </r>
      </text>
    </comment>
    <comment ref="J150" authorId="1" shapeId="0">
      <text>
        <r>
          <rPr>
            <sz val="8"/>
            <color indexed="81"/>
            <rFont val="CG Omega"/>
            <family val="2"/>
          </rPr>
          <t>Bitte keine Abkürzungen verwenden!</t>
        </r>
      </text>
    </comment>
    <comment ref="B151" authorId="1" shapeId="0">
      <text>
        <r>
          <rPr>
            <sz val="8"/>
            <color indexed="81"/>
            <rFont val="CG Omega"/>
            <family val="2"/>
          </rPr>
          <t>Bitte keine Abkürzungen verwenden!</t>
        </r>
      </text>
    </comment>
    <comment ref="J151" authorId="1" shapeId="0">
      <text>
        <r>
          <rPr>
            <sz val="8"/>
            <color indexed="81"/>
            <rFont val="CG Omega"/>
            <family val="2"/>
          </rPr>
          <t>Bitte keine Abkürzungen verwenden!</t>
        </r>
      </text>
    </comment>
    <comment ref="B154" authorId="0" shapeId="0">
      <text>
        <r>
          <rPr>
            <sz val="8"/>
            <rFont val="CG Omega"/>
            <family val="2"/>
          </rPr>
          <t>max. 40 Zeichen</t>
        </r>
      </text>
    </comment>
    <comment ref="E154" authorId="0" shapeId="0">
      <text>
        <r>
          <rPr>
            <sz val="8"/>
            <rFont val="CG Omega"/>
            <family val="2"/>
          </rPr>
          <t>Bei Lizenzverkauf die Materialnummer erfassen.</t>
        </r>
      </text>
    </comment>
    <comment ref="F155" authorId="2" shapeId="0">
      <text>
        <r>
          <rPr>
            <sz val="9"/>
            <color indexed="81"/>
            <rFont val="Tahoma"/>
            <family val="2"/>
          </rPr>
          <t>Materialgruppe 5</t>
        </r>
      </text>
    </comment>
    <comment ref="J156" authorId="1" shapeId="0">
      <text>
        <r>
          <rPr>
            <sz val="8"/>
            <color indexed="81"/>
            <rFont val="CG Omega"/>
            <family val="2"/>
          </rPr>
          <t>Bitte keine Abkürzungen verwenden!</t>
        </r>
      </text>
    </comment>
    <comment ref="J157" authorId="1" shapeId="0">
      <text>
        <r>
          <rPr>
            <sz val="8"/>
            <color indexed="81"/>
            <rFont val="CG Omega"/>
            <family val="2"/>
          </rPr>
          <t>Bitte keine Abkürzungen verwenden!</t>
        </r>
      </text>
    </comment>
    <comment ref="J158" authorId="1" shapeId="0">
      <text>
        <r>
          <rPr>
            <sz val="8"/>
            <color indexed="81"/>
            <rFont val="CG Omega"/>
            <family val="2"/>
          </rPr>
          <t>Bitte keine Abkürzungen verwenden!</t>
        </r>
      </text>
    </comment>
    <comment ref="B159" authorId="1" shapeId="0">
      <text>
        <r>
          <rPr>
            <sz val="8"/>
            <color indexed="81"/>
            <rFont val="CG Omega"/>
            <family val="2"/>
          </rPr>
          <t>Bitte keine Abkürzungen verwenden!</t>
        </r>
      </text>
    </comment>
    <comment ref="J159" authorId="1" shapeId="0">
      <text>
        <r>
          <rPr>
            <sz val="8"/>
            <color indexed="81"/>
            <rFont val="CG Omega"/>
            <family val="2"/>
          </rPr>
          <t>Bitte keine Abkürzungen verwenden!</t>
        </r>
      </text>
    </comment>
    <comment ref="B160" authorId="1" shapeId="0">
      <text>
        <r>
          <rPr>
            <sz val="8"/>
            <color indexed="81"/>
            <rFont val="CG Omega"/>
            <family val="2"/>
          </rPr>
          <t>Bitte keine Abkürzungen verwenden!</t>
        </r>
      </text>
    </comment>
    <comment ref="J160" authorId="1" shapeId="0">
      <text>
        <r>
          <rPr>
            <sz val="8"/>
            <color indexed="81"/>
            <rFont val="CG Omega"/>
            <family val="2"/>
          </rPr>
          <t>Bitte keine Abkürzungen verwenden!</t>
        </r>
      </text>
    </comment>
    <comment ref="B161" authorId="1" shapeId="0">
      <text>
        <r>
          <rPr>
            <sz val="8"/>
            <color indexed="81"/>
            <rFont val="CG Omega"/>
            <family val="2"/>
          </rPr>
          <t>Bitte keine Abkürzungen verwenden!</t>
        </r>
      </text>
    </comment>
    <comment ref="J161" authorId="1" shapeId="0">
      <text>
        <r>
          <rPr>
            <sz val="8"/>
            <color indexed="81"/>
            <rFont val="CG Omega"/>
            <family val="2"/>
          </rPr>
          <t>Bitte keine Abkürzungen verwenden!</t>
        </r>
      </text>
    </comment>
    <comment ref="B164" authorId="0" shapeId="0">
      <text>
        <r>
          <rPr>
            <sz val="8"/>
            <rFont val="CG Omega"/>
            <family val="2"/>
          </rPr>
          <t>max. 40 Zeichen</t>
        </r>
      </text>
    </comment>
    <comment ref="E164" authorId="0" shapeId="0">
      <text>
        <r>
          <rPr>
            <sz val="8"/>
            <rFont val="CG Omega"/>
            <family val="2"/>
          </rPr>
          <t>Bei Lizenzverkauf die Materialnummer erfassen.</t>
        </r>
      </text>
    </comment>
    <comment ref="F165" authorId="2" shapeId="0">
      <text>
        <r>
          <rPr>
            <sz val="9"/>
            <color indexed="81"/>
            <rFont val="Tahoma"/>
            <family val="2"/>
          </rPr>
          <t>Materialgruppe 5</t>
        </r>
      </text>
    </comment>
    <comment ref="J166" authorId="1" shapeId="0">
      <text>
        <r>
          <rPr>
            <sz val="8"/>
            <color indexed="81"/>
            <rFont val="CG Omega"/>
            <family val="2"/>
          </rPr>
          <t>Bitte keine Abkürzungen verwenden!</t>
        </r>
      </text>
    </comment>
    <comment ref="J167" authorId="1" shapeId="0">
      <text>
        <r>
          <rPr>
            <sz val="8"/>
            <color indexed="81"/>
            <rFont val="CG Omega"/>
            <family val="2"/>
          </rPr>
          <t>Bitte keine Abkürzungen verwenden!</t>
        </r>
      </text>
    </comment>
    <comment ref="J168" authorId="1" shapeId="0">
      <text>
        <r>
          <rPr>
            <sz val="8"/>
            <color indexed="81"/>
            <rFont val="CG Omega"/>
            <family val="2"/>
          </rPr>
          <t>Bitte keine Abkürzungen verwenden!</t>
        </r>
      </text>
    </comment>
    <comment ref="B169" authorId="1" shapeId="0">
      <text>
        <r>
          <rPr>
            <sz val="8"/>
            <color indexed="81"/>
            <rFont val="CG Omega"/>
            <family val="2"/>
          </rPr>
          <t>Bitte keine Abkürzungen verwenden!</t>
        </r>
      </text>
    </comment>
    <comment ref="J169" authorId="1" shapeId="0">
      <text>
        <r>
          <rPr>
            <sz val="8"/>
            <color indexed="81"/>
            <rFont val="CG Omega"/>
            <family val="2"/>
          </rPr>
          <t>Bitte keine Abkürzungen verwenden!</t>
        </r>
      </text>
    </comment>
    <comment ref="B170" authorId="1" shapeId="0">
      <text>
        <r>
          <rPr>
            <sz val="8"/>
            <color indexed="81"/>
            <rFont val="CG Omega"/>
            <family val="2"/>
          </rPr>
          <t>Bitte keine Abkürzungen verwenden!</t>
        </r>
      </text>
    </comment>
    <comment ref="J170" authorId="1" shapeId="0">
      <text>
        <r>
          <rPr>
            <sz val="8"/>
            <color indexed="81"/>
            <rFont val="CG Omega"/>
            <family val="2"/>
          </rPr>
          <t>Bitte keine Abkürzungen verwenden!</t>
        </r>
      </text>
    </comment>
    <comment ref="B171" authorId="1" shapeId="0">
      <text>
        <r>
          <rPr>
            <sz val="8"/>
            <color indexed="81"/>
            <rFont val="CG Omega"/>
            <family val="2"/>
          </rPr>
          <t>Bitte keine Abkürzungen verwenden!</t>
        </r>
      </text>
    </comment>
    <comment ref="J171" authorId="1" shapeId="0">
      <text>
        <r>
          <rPr>
            <sz val="8"/>
            <color indexed="81"/>
            <rFont val="CG Omega"/>
            <family val="2"/>
          </rPr>
          <t>Bitte keine Abkürzungen verwenden!</t>
        </r>
      </text>
    </comment>
    <comment ref="B174" authorId="0" shapeId="0">
      <text>
        <r>
          <rPr>
            <sz val="8"/>
            <rFont val="CG Omega"/>
            <family val="2"/>
          </rPr>
          <t>max. 40 Zeichen</t>
        </r>
      </text>
    </comment>
    <comment ref="E174" authorId="0" shapeId="0">
      <text>
        <r>
          <rPr>
            <sz val="8"/>
            <rFont val="CG Omega"/>
            <family val="2"/>
          </rPr>
          <t>Bei Lizenzverkauf die Materialnummer erfassen.</t>
        </r>
      </text>
    </comment>
    <comment ref="F175" authorId="2" shapeId="0">
      <text>
        <r>
          <rPr>
            <sz val="9"/>
            <color indexed="81"/>
            <rFont val="Tahoma"/>
            <family val="2"/>
          </rPr>
          <t>Materialgruppe 5</t>
        </r>
      </text>
    </comment>
    <comment ref="J176" authorId="1" shapeId="0">
      <text>
        <r>
          <rPr>
            <sz val="8"/>
            <color indexed="81"/>
            <rFont val="CG Omega"/>
            <family val="2"/>
          </rPr>
          <t>Bitte keine Abkürzungen verwenden!</t>
        </r>
      </text>
    </comment>
    <comment ref="J177" authorId="1" shapeId="0">
      <text>
        <r>
          <rPr>
            <sz val="8"/>
            <color indexed="81"/>
            <rFont val="CG Omega"/>
            <family val="2"/>
          </rPr>
          <t>Bitte keine Abkürzungen verwenden!</t>
        </r>
      </text>
    </comment>
    <comment ref="J178" authorId="1" shapeId="0">
      <text>
        <r>
          <rPr>
            <sz val="8"/>
            <color indexed="81"/>
            <rFont val="CG Omega"/>
            <family val="2"/>
          </rPr>
          <t>Bitte keine Abkürzungen verwenden!</t>
        </r>
      </text>
    </comment>
    <comment ref="B179" authorId="1" shapeId="0">
      <text>
        <r>
          <rPr>
            <sz val="8"/>
            <color indexed="81"/>
            <rFont val="CG Omega"/>
            <family val="2"/>
          </rPr>
          <t>Bitte keine Abkürzungen verwenden!</t>
        </r>
      </text>
    </comment>
    <comment ref="J179" authorId="1" shapeId="0">
      <text>
        <r>
          <rPr>
            <sz val="8"/>
            <color indexed="81"/>
            <rFont val="CG Omega"/>
            <family val="2"/>
          </rPr>
          <t>Bitte keine Abkürzungen verwenden!</t>
        </r>
      </text>
    </comment>
    <comment ref="B180" authorId="1" shapeId="0">
      <text>
        <r>
          <rPr>
            <sz val="8"/>
            <color indexed="81"/>
            <rFont val="CG Omega"/>
            <family val="2"/>
          </rPr>
          <t>Bitte keine Abkürzungen verwenden!</t>
        </r>
      </text>
    </comment>
    <comment ref="J180" authorId="1" shapeId="0">
      <text>
        <r>
          <rPr>
            <sz val="8"/>
            <color indexed="81"/>
            <rFont val="CG Omega"/>
            <family val="2"/>
          </rPr>
          <t>Bitte keine Abkürzungen verwenden!</t>
        </r>
      </text>
    </comment>
    <comment ref="B181" authorId="1" shapeId="0">
      <text>
        <r>
          <rPr>
            <sz val="8"/>
            <color indexed="81"/>
            <rFont val="CG Omega"/>
            <family val="2"/>
          </rPr>
          <t>Bitte keine Abkürzungen verwenden!</t>
        </r>
      </text>
    </comment>
    <comment ref="J181" authorId="1" shapeId="0">
      <text>
        <r>
          <rPr>
            <sz val="8"/>
            <color indexed="81"/>
            <rFont val="CG Omega"/>
            <family val="2"/>
          </rPr>
          <t>Bitte keine Abkürzungen verwenden!</t>
        </r>
      </text>
    </comment>
    <comment ref="B184" authorId="0" shapeId="0">
      <text>
        <r>
          <rPr>
            <sz val="8"/>
            <rFont val="CG Omega"/>
            <family val="2"/>
          </rPr>
          <t>max. 40 Zeichen</t>
        </r>
      </text>
    </comment>
    <comment ref="E184" authorId="0" shapeId="0">
      <text>
        <r>
          <rPr>
            <sz val="8"/>
            <rFont val="CG Omega"/>
            <family val="2"/>
          </rPr>
          <t>Bei Lizenzverkauf die Materialnummer erfassen.</t>
        </r>
      </text>
    </comment>
    <comment ref="F185" authorId="2" shapeId="0">
      <text>
        <r>
          <rPr>
            <sz val="9"/>
            <color indexed="81"/>
            <rFont val="Tahoma"/>
            <family val="2"/>
          </rPr>
          <t>Materialgruppe 5</t>
        </r>
      </text>
    </comment>
    <comment ref="J186" authorId="1" shapeId="0">
      <text>
        <r>
          <rPr>
            <sz val="8"/>
            <color indexed="81"/>
            <rFont val="CG Omega"/>
            <family val="2"/>
          </rPr>
          <t>Bitte keine Abkürzungen verwenden!</t>
        </r>
      </text>
    </comment>
    <comment ref="J187" authorId="1" shapeId="0">
      <text>
        <r>
          <rPr>
            <sz val="8"/>
            <color indexed="81"/>
            <rFont val="CG Omega"/>
            <family val="2"/>
          </rPr>
          <t>Bitte keine Abkürzungen verwenden!</t>
        </r>
      </text>
    </comment>
    <comment ref="J188" authorId="1" shapeId="0">
      <text>
        <r>
          <rPr>
            <sz val="8"/>
            <color indexed="81"/>
            <rFont val="CG Omega"/>
            <family val="2"/>
          </rPr>
          <t>Bitte keine Abkürzungen verwenden!</t>
        </r>
      </text>
    </comment>
    <comment ref="B189" authorId="1" shapeId="0">
      <text>
        <r>
          <rPr>
            <sz val="8"/>
            <color indexed="81"/>
            <rFont val="CG Omega"/>
            <family val="2"/>
          </rPr>
          <t>Bitte keine Abkürzungen verwenden!</t>
        </r>
      </text>
    </comment>
    <comment ref="J189" authorId="1" shapeId="0">
      <text>
        <r>
          <rPr>
            <sz val="8"/>
            <color indexed="81"/>
            <rFont val="CG Omega"/>
            <family val="2"/>
          </rPr>
          <t>Bitte keine Abkürzungen verwenden!</t>
        </r>
      </text>
    </comment>
    <comment ref="B190" authorId="1" shapeId="0">
      <text>
        <r>
          <rPr>
            <sz val="8"/>
            <color indexed="81"/>
            <rFont val="CG Omega"/>
            <family val="2"/>
          </rPr>
          <t>Bitte keine Abkürzungen verwenden!</t>
        </r>
      </text>
    </comment>
    <comment ref="J190" authorId="1" shapeId="0">
      <text>
        <r>
          <rPr>
            <sz val="8"/>
            <color indexed="81"/>
            <rFont val="CG Omega"/>
            <family val="2"/>
          </rPr>
          <t>Bitte keine Abkürzungen verwenden!</t>
        </r>
      </text>
    </comment>
    <comment ref="B191" authorId="1" shapeId="0">
      <text>
        <r>
          <rPr>
            <sz val="8"/>
            <color indexed="81"/>
            <rFont val="CG Omega"/>
            <family val="2"/>
          </rPr>
          <t>Bitte keine Abkürzungen verwenden!</t>
        </r>
      </text>
    </comment>
    <comment ref="J191" authorId="1" shapeId="0">
      <text>
        <r>
          <rPr>
            <sz val="8"/>
            <color indexed="81"/>
            <rFont val="CG Omega"/>
            <family val="2"/>
          </rPr>
          <t>Bitte keine Abkürzungen verwenden!</t>
        </r>
      </text>
    </comment>
    <comment ref="B194" authorId="0" shapeId="0">
      <text>
        <r>
          <rPr>
            <sz val="8"/>
            <rFont val="CG Omega"/>
            <family val="2"/>
          </rPr>
          <t>max. 40 Zeichen</t>
        </r>
      </text>
    </comment>
    <comment ref="E194" authorId="0" shapeId="0">
      <text>
        <r>
          <rPr>
            <sz val="8"/>
            <rFont val="CG Omega"/>
            <family val="2"/>
          </rPr>
          <t>Bei Lizenzverkauf die Materialnummer erfassen.</t>
        </r>
      </text>
    </comment>
    <comment ref="F195" authorId="2" shapeId="0">
      <text>
        <r>
          <rPr>
            <sz val="9"/>
            <color indexed="81"/>
            <rFont val="Tahoma"/>
            <family val="2"/>
          </rPr>
          <t>Materialgruppe 5</t>
        </r>
      </text>
    </comment>
    <comment ref="J196" authorId="1" shapeId="0">
      <text>
        <r>
          <rPr>
            <sz val="8"/>
            <color indexed="81"/>
            <rFont val="CG Omega"/>
            <family val="2"/>
          </rPr>
          <t>Bitte keine Abkürzungen verwenden!</t>
        </r>
      </text>
    </comment>
    <comment ref="J197" authorId="1" shapeId="0">
      <text>
        <r>
          <rPr>
            <sz val="8"/>
            <color indexed="81"/>
            <rFont val="CG Omega"/>
            <family val="2"/>
          </rPr>
          <t>Bitte keine Abkürzungen verwenden!</t>
        </r>
      </text>
    </comment>
    <comment ref="J198" authorId="1" shapeId="0">
      <text>
        <r>
          <rPr>
            <sz val="8"/>
            <color indexed="81"/>
            <rFont val="CG Omega"/>
            <family val="2"/>
          </rPr>
          <t>Bitte keine Abkürzungen verwenden!</t>
        </r>
      </text>
    </comment>
    <comment ref="B199" authorId="1" shapeId="0">
      <text>
        <r>
          <rPr>
            <sz val="8"/>
            <color indexed="81"/>
            <rFont val="CG Omega"/>
            <family val="2"/>
          </rPr>
          <t>Bitte keine Abkürzungen verwenden!</t>
        </r>
      </text>
    </comment>
    <comment ref="J199" authorId="1" shapeId="0">
      <text>
        <r>
          <rPr>
            <sz val="8"/>
            <color indexed="81"/>
            <rFont val="CG Omega"/>
            <family val="2"/>
          </rPr>
          <t>Bitte keine Abkürzungen verwenden!</t>
        </r>
      </text>
    </comment>
    <comment ref="B200" authorId="1" shapeId="0">
      <text>
        <r>
          <rPr>
            <sz val="8"/>
            <color indexed="81"/>
            <rFont val="CG Omega"/>
            <family val="2"/>
          </rPr>
          <t>Bitte keine Abkürzungen verwenden!</t>
        </r>
      </text>
    </comment>
    <comment ref="J200" authorId="1" shapeId="0">
      <text>
        <r>
          <rPr>
            <sz val="8"/>
            <color indexed="81"/>
            <rFont val="CG Omega"/>
            <family val="2"/>
          </rPr>
          <t>Bitte keine Abkürzungen verwenden!</t>
        </r>
      </text>
    </comment>
    <comment ref="B201" authorId="1" shapeId="0">
      <text>
        <r>
          <rPr>
            <sz val="8"/>
            <color indexed="81"/>
            <rFont val="CG Omega"/>
            <family val="2"/>
          </rPr>
          <t>Bitte keine Abkürzungen verwenden!</t>
        </r>
      </text>
    </comment>
    <comment ref="J201" authorId="1" shapeId="0">
      <text>
        <r>
          <rPr>
            <sz val="8"/>
            <color indexed="81"/>
            <rFont val="CG Omega"/>
            <family val="2"/>
          </rPr>
          <t>Bitte keine Abkürzungen verwenden!</t>
        </r>
      </text>
    </comment>
    <comment ref="B204" authorId="0" shapeId="0">
      <text>
        <r>
          <rPr>
            <sz val="8"/>
            <rFont val="CG Omega"/>
            <family val="2"/>
          </rPr>
          <t>max. 40 Zeichen</t>
        </r>
      </text>
    </comment>
    <comment ref="E204" authorId="0" shapeId="0">
      <text>
        <r>
          <rPr>
            <sz val="8"/>
            <rFont val="CG Omega"/>
            <family val="2"/>
          </rPr>
          <t>Bei Lizenzverkauf die Materialnummer erfassen.</t>
        </r>
      </text>
    </comment>
    <comment ref="F205" authorId="2" shapeId="0">
      <text>
        <r>
          <rPr>
            <sz val="9"/>
            <color indexed="81"/>
            <rFont val="Tahoma"/>
            <family val="2"/>
          </rPr>
          <t>Materialgruppe 5</t>
        </r>
      </text>
    </comment>
    <comment ref="J206" authorId="1" shapeId="0">
      <text>
        <r>
          <rPr>
            <sz val="8"/>
            <color indexed="81"/>
            <rFont val="CG Omega"/>
            <family val="2"/>
          </rPr>
          <t>Bitte keine Abkürzungen verwenden!</t>
        </r>
      </text>
    </comment>
    <comment ref="J207" authorId="1" shapeId="0">
      <text>
        <r>
          <rPr>
            <sz val="8"/>
            <color indexed="81"/>
            <rFont val="CG Omega"/>
            <family val="2"/>
          </rPr>
          <t>Bitte keine Abkürzungen verwenden!</t>
        </r>
      </text>
    </comment>
    <comment ref="J208" authorId="1" shapeId="0">
      <text>
        <r>
          <rPr>
            <sz val="8"/>
            <color indexed="81"/>
            <rFont val="CG Omega"/>
            <family val="2"/>
          </rPr>
          <t>Bitte keine Abkürzungen verwenden!</t>
        </r>
      </text>
    </comment>
    <comment ref="B209" authorId="1" shapeId="0">
      <text>
        <r>
          <rPr>
            <sz val="8"/>
            <color indexed="81"/>
            <rFont val="CG Omega"/>
            <family val="2"/>
          </rPr>
          <t>Bitte keine Abkürzungen verwenden!</t>
        </r>
      </text>
    </comment>
    <comment ref="J209" authorId="1" shapeId="0">
      <text>
        <r>
          <rPr>
            <sz val="8"/>
            <color indexed="81"/>
            <rFont val="CG Omega"/>
            <family val="2"/>
          </rPr>
          <t>Bitte keine Abkürzungen verwenden!</t>
        </r>
      </text>
    </comment>
    <comment ref="B210" authorId="1" shapeId="0">
      <text>
        <r>
          <rPr>
            <sz val="8"/>
            <color indexed="81"/>
            <rFont val="CG Omega"/>
            <family val="2"/>
          </rPr>
          <t>Bitte keine Abkürzungen verwenden!</t>
        </r>
      </text>
    </comment>
    <comment ref="J210" authorId="1" shapeId="0">
      <text>
        <r>
          <rPr>
            <sz val="8"/>
            <color indexed="81"/>
            <rFont val="CG Omega"/>
            <family val="2"/>
          </rPr>
          <t>Bitte keine Abkürzungen verwenden!</t>
        </r>
      </text>
    </comment>
    <comment ref="B211" authorId="1" shapeId="0">
      <text>
        <r>
          <rPr>
            <sz val="8"/>
            <color indexed="81"/>
            <rFont val="CG Omega"/>
            <family val="2"/>
          </rPr>
          <t>Bitte keine Abkürzungen verwenden!</t>
        </r>
      </text>
    </comment>
    <comment ref="J211" authorId="1" shapeId="0">
      <text>
        <r>
          <rPr>
            <sz val="8"/>
            <color indexed="81"/>
            <rFont val="CG Omega"/>
            <family val="2"/>
          </rPr>
          <t>Bitte keine Abkürzungen verwenden!</t>
        </r>
      </text>
    </comment>
    <comment ref="B214" authorId="0" shapeId="0">
      <text>
        <r>
          <rPr>
            <sz val="8"/>
            <rFont val="CG Omega"/>
            <family val="2"/>
          </rPr>
          <t>max. 40 Zeichen</t>
        </r>
      </text>
    </comment>
    <comment ref="E214" authorId="0" shapeId="0">
      <text>
        <r>
          <rPr>
            <sz val="8"/>
            <rFont val="CG Omega"/>
            <family val="2"/>
          </rPr>
          <t>Bei Lizenzverkauf die Materialnummer erfassen.</t>
        </r>
      </text>
    </comment>
    <comment ref="F215" authorId="2" shapeId="0">
      <text>
        <r>
          <rPr>
            <sz val="9"/>
            <color indexed="81"/>
            <rFont val="Tahoma"/>
            <family val="2"/>
          </rPr>
          <t>Materialgruppe 5</t>
        </r>
      </text>
    </comment>
    <comment ref="J216" authorId="1" shapeId="0">
      <text>
        <r>
          <rPr>
            <sz val="8"/>
            <color indexed="81"/>
            <rFont val="CG Omega"/>
            <family val="2"/>
          </rPr>
          <t>Bitte keine Abkürzungen verwenden!</t>
        </r>
      </text>
    </comment>
    <comment ref="J217" authorId="1" shapeId="0">
      <text>
        <r>
          <rPr>
            <sz val="8"/>
            <color indexed="81"/>
            <rFont val="CG Omega"/>
            <family val="2"/>
          </rPr>
          <t>Bitte keine Abkürzungen verwenden!</t>
        </r>
      </text>
    </comment>
    <comment ref="J218" authorId="1" shapeId="0">
      <text>
        <r>
          <rPr>
            <sz val="8"/>
            <color indexed="81"/>
            <rFont val="CG Omega"/>
            <family val="2"/>
          </rPr>
          <t>Bitte keine Abkürzungen verwenden!</t>
        </r>
      </text>
    </comment>
    <comment ref="B219" authorId="1" shapeId="0">
      <text>
        <r>
          <rPr>
            <sz val="8"/>
            <color indexed="81"/>
            <rFont val="CG Omega"/>
            <family val="2"/>
          </rPr>
          <t>Bitte keine Abkürzungen verwenden!</t>
        </r>
      </text>
    </comment>
    <comment ref="J219" authorId="1" shapeId="0">
      <text>
        <r>
          <rPr>
            <sz val="8"/>
            <color indexed="81"/>
            <rFont val="CG Omega"/>
            <family val="2"/>
          </rPr>
          <t>Bitte keine Abkürzungen verwenden!</t>
        </r>
      </text>
    </comment>
    <comment ref="B220" authorId="1" shapeId="0">
      <text>
        <r>
          <rPr>
            <sz val="8"/>
            <color indexed="81"/>
            <rFont val="CG Omega"/>
            <family val="2"/>
          </rPr>
          <t>Bitte keine Abkürzungen verwenden!</t>
        </r>
      </text>
    </comment>
    <comment ref="J220" authorId="1" shapeId="0">
      <text>
        <r>
          <rPr>
            <sz val="8"/>
            <color indexed="81"/>
            <rFont val="CG Omega"/>
            <family val="2"/>
          </rPr>
          <t>Bitte keine Abkürzungen verwenden!</t>
        </r>
      </text>
    </comment>
    <comment ref="B221" authorId="1" shapeId="0">
      <text>
        <r>
          <rPr>
            <sz val="8"/>
            <color indexed="81"/>
            <rFont val="CG Omega"/>
            <family val="2"/>
          </rPr>
          <t>Bitte keine Abkürzungen verwenden!</t>
        </r>
      </text>
    </comment>
    <comment ref="J221" authorId="1" shapeId="0">
      <text>
        <r>
          <rPr>
            <sz val="8"/>
            <color indexed="81"/>
            <rFont val="CG Omega"/>
            <family val="2"/>
          </rPr>
          <t>Bitte keine Abkürzungen verwenden!</t>
        </r>
      </text>
    </comment>
    <comment ref="B224" authorId="0" shapeId="0">
      <text>
        <r>
          <rPr>
            <sz val="8"/>
            <rFont val="CG Omega"/>
            <family val="2"/>
          </rPr>
          <t>max. 40 Zeichen</t>
        </r>
      </text>
    </comment>
    <comment ref="E224" authorId="0" shapeId="0">
      <text>
        <r>
          <rPr>
            <sz val="8"/>
            <rFont val="CG Omega"/>
            <family val="2"/>
          </rPr>
          <t>Bei Lizenzverkauf die Materialnummer erfassen.</t>
        </r>
      </text>
    </comment>
    <comment ref="F225" authorId="2" shapeId="0">
      <text>
        <r>
          <rPr>
            <sz val="9"/>
            <color indexed="81"/>
            <rFont val="Tahoma"/>
            <family val="2"/>
          </rPr>
          <t>Materialgruppe 5</t>
        </r>
      </text>
    </comment>
    <comment ref="J226" authorId="1" shapeId="0">
      <text>
        <r>
          <rPr>
            <sz val="8"/>
            <color indexed="81"/>
            <rFont val="CG Omega"/>
            <family val="2"/>
          </rPr>
          <t>Bitte keine Abkürzungen verwenden!</t>
        </r>
      </text>
    </comment>
    <comment ref="J227" authorId="1" shapeId="0">
      <text>
        <r>
          <rPr>
            <sz val="8"/>
            <color indexed="81"/>
            <rFont val="CG Omega"/>
            <family val="2"/>
          </rPr>
          <t>Bitte keine Abkürzungen verwenden!</t>
        </r>
      </text>
    </comment>
    <comment ref="J228" authorId="1" shapeId="0">
      <text>
        <r>
          <rPr>
            <sz val="8"/>
            <color indexed="81"/>
            <rFont val="CG Omega"/>
            <family val="2"/>
          </rPr>
          <t>Bitte keine Abkürzungen verwenden!</t>
        </r>
      </text>
    </comment>
    <comment ref="B229" authorId="1" shapeId="0">
      <text>
        <r>
          <rPr>
            <sz val="8"/>
            <color indexed="81"/>
            <rFont val="CG Omega"/>
            <family val="2"/>
          </rPr>
          <t>Bitte keine Abkürzungen verwenden!</t>
        </r>
      </text>
    </comment>
    <comment ref="J229" authorId="1" shapeId="0">
      <text>
        <r>
          <rPr>
            <sz val="8"/>
            <color indexed="81"/>
            <rFont val="CG Omega"/>
            <family val="2"/>
          </rPr>
          <t>Bitte keine Abkürzungen verwenden!</t>
        </r>
      </text>
    </comment>
    <comment ref="B230" authorId="1" shapeId="0">
      <text>
        <r>
          <rPr>
            <sz val="8"/>
            <color indexed="81"/>
            <rFont val="CG Omega"/>
            <family val="2"/>
          </rPr>
          <t>Bitte keine Abkürzungen verwenden!</t>
        </r>
      </text>
    </comment>
    <comment ref="J230" authorId="1" shapeId="0">
      <text>
        <r>
          <rPr>
            <sz val="8"/>
            <color indexed="81"/>
            <rFont val="CG Omega"/>
            <family val="2"/>
          </rPr>
          <t>Bitte keine Abkürzungen verwenden!</t>
        </r>
      </text>
    </comment>
    <comment ref="B231" authorId="1" shapeId="0">
      <text>
        <r>
          <rPr>
            <sz val="8"/>
            <color indexed="81"/>
            <rFont val="CG Omega"/>
            <family val="2"/>
          </rPr>
          <t>Bitte keine Abkürzungen verwenden!</t>
        </r>
      </text>
    </comment>
    <comment ref="J231" authorId="1" shapeId="0">
      <text>
        <r>
          <rPr>
            <sz val="8"/>
            <color indexed="81"/>
            <rFont val="CG Omega"/>
            <family val="2"/>
          </rPr>
          <t>Bitte keine Abkürzungen verwenden!</t>
        </r>
      </text>
    </comment>
    <comment ref="B234" authorId="0" shapeId="0">
      <text>
        <r>
          <rPr>
            <sz val="8"/>
            <rFont val="CG Omega"/>
            <family val="2"/>
          </rPr>
          <t>max. 40 Zeichen</t>
        </r>
      </text>
    </comment>
    <comment ref="E234" authorId="0" shapeId="0">
      <text>
        <r>
          <rPr>
            <sz val="8"/>
            <rFont val="CG Omega"/>
            <family val="2"/>
          </rPr>
          <t>Bei Lizenzverkauf die Materialnummer erfassen.</t>
        </r>
      </text>
    </comment>
    <comment ref="F235" authorId="2" shapeId="0">
      <text>
        <r>
          <rPr>
            <sz val="9"/>
            <color indexed="81"/>
            <rFont val="Tahoma"/>
            <family val="2"/>
          </rPr>
          <t>Materialgruppe 5</t>
        </r>
      </text>
    </comment>
    <comment ref="J236" authorId="1" shapeId="0">
      <text>
        <r>
          <rPr>
            <sz val="8"/>
            <color indexed="81"/>
            <rFont val="CG Omega"/>
            <family val="2"/>
          </rPr>
          <t>Bitte keine Abkürzungen verwenden!</t>
        </r>
      </text>
    </comment>
    <comment ref="J237" authorId="1" shapeId="0">
      <text>
        <r>
          <rPr>
            <sz val="8"/>
            <color indexed="81"/>
            <rFont val="CG Omega"/>
            <family val="2"/>
          </rPr>
          <t>Bitte keine Abkürzungen verwenden!</t>
        </r>
      </text>
    </comment>
    <comment ref="J238" authorId="1" shapeId="0">
      <text>
        <r>
          <rPr>
            <sz val="8"/>
            <color indexed="81"/>
            <rFont val="CG Omega"/>
            <family val="2"/>
          </rPr>
          <t>Bitte keine Abkürzungen verwenden!</t>
        </r>
      </text>
    </comment>
    <comment ref="B239" authorId="1" shapeId="0">
      <text>
        <r>
          <rPr>
            <sz val="8"/>
            <color indexed="81"/>
            <rFont val="CG Omega"/>
            <family val="2"/>
          </rPr>
          <t>Bitte keine Abkürzungen verwenden!</t>
        </r>
      </text>
    </comment>
    <comment ref="J239" authorId="1" shapeId="0">
      <text>
        <r>
          <rPr>
            <sz val="8"/>
            <color indexed="81"/>
            <rFont val="CG Omega"/>
            <family val="2"/>
          </rPr>
          <t>Bitte keine Abkürzungen verwenden!</t>
        </r>
      </text>
    </comment>
    <comment ref="B240" authorId="1" shapeId="0">
      <text>
        <r>
          <rPr>
            <sz val="8"/>
            <color indexed="81"/>
            <rFont val="CG Omega"/>
            <family val="2"/>
          </rPr>
          <t>Bitte keine Abkürzungen verwenden!</t>
        </r>
      </text>
    </comment>
    <comment ref="J240" authorId="1" shapeId="0">
      <text>
        <r>
          <rPr>
            <sz val="8"/>
            <color indexed="81"/>
            <rFont val="CG Omega"/>
            <family val="2"/>
          </rPr>
          <t>Bitte keine Abkürzungen verwenden!</t>
        </r>
      </text>
    </comment>
    <comment ref="B241" authorId="1" shapeId="0">
      <text>
        <r>
          <rPr>
            <sz val="8"/>
            <color indexed="81"/>
            <rFont val="CG Omega"/>
            <family val="2"/>
          </rPr>
          <t>Bitte keine Abkürzungen verwenden!</t>
        </r>
      </text>
    </comment>
    <comment ref="J241" authorId="1" shapeId="0">
      <text>
        <r>
          <rPr>
            <sz val="8"/>
            <color indexed="81"/>
            <rFont val="CG Omega"/>
            <family val="2"/>
          </rPr>
          <t>Bitte keine Abkürzungen verwenden!</t>
        </r>
      </text>
    </comment>
    <comment ref="B244" authorId="0" shapeId="0">
      <text>
        <r>
          <rPr>
            <sz val="8"/>
            <rFont val="CG Omega"/>
            <family val="2"/>
          </rPr>
          <t>max. 40 Zeichen</t>
        </r>
      </text>
    </comment>
    <comment ref="E244" authorId="0" shapeId="0">
      <text>
        <r>
          <rPr>
            <sz val="8"/>
            <rFont val="CG Omega"/>
            <family val="2"/>
          </rPr>
          <t>Bei Lizenzverkauf die Materialnummer erfassen.</t>
        </r>
      </text>
    </comment>
    <comment ref="F245" authorId="2" shapeId="0">
      <text>
        <r>
          <rPr>
            <sz val="9"/>
            <color indexed="81"/>
            <rFont val="Tahoma"/>
            <family val="2"/>
          </rPr>
          <t>Materialgruppe 5</t>
        </r>
      </text>
    </comment>
    <comment ref="J246" authorId="1" shapeId="0">
      <text>
        <r>
          <rPr>
            <sz val="8"/>
            <color indexed="81"/>
            <rFont val="CG Omega"/>
            <family val="2"/>
          </rPr>
          <t>Bitte keine Abkürzungen verwenden!</t>
        </r>
      </text>
    </comment>
    <comment ref="J247" authorId="1" shapeId="0">
      <text>
        <r>
          <rPr>
            <sz val="8"/>
            <color indexed="81"/>
            <rFont val="CG Omega"/>
            <family val="2"/>
          </rPr>
          <t>Bitte keine Abkürzungen verwenden!</t>
        </r>
      </text>
    </comment>
    <comment ref="J248" authorId="1" shapeId="0">
      <text>
        <r>
          <rPr>
            <sz val="8"/>
            <color indexed="81"/>
            <rFont val="CG Omega"/>
            <family val="2"/>
          </rPr>
          <t>Bitte keine Abkürzungen verwenden!</t>
        </r>
      </text>
    </comment>
    <comment ref="B249" authorId="1" shapeId="0">
      <text>
        <r>
          <rPr>
            <sz val="8"/>
            <color indexed="81"/>
            <rFont val="CG Omega"/>
            <family val="2"/>
          </rPr>
          <t>Bitte keine Abkürzungen verwenden!</t>
        </r>
      </text>
    </comment>
    <comment ref="J249" authorId="1" shapeId="0">
      <text>
        <r>
          <rPr>
            <sz val="8"/>
            <color indexed="81"/>
            <rFont val="CG Omega"/>
            <family val="2"/>
          </rPr>
          <t>Bitte keine Abkürzungen verwenden!</t>
        </r>
      </text>
    </comment>
    <comment ref="B250" authorId="1" shapeId="0">
      <text>
        <r>
          <rPr>
            <sz val="8"/>
            <color indexed="81"/>
            <rFont val="CG Omega"/>
            <family val="2"/>
          </rPr>
          <t>Bitte keine Abkürzungen verwenden!</t>
        </r>
      </text>
    </comment>
    <comment ref="J250" authorId="1" shapeId="0">
      <text>
        <r>
          <rPr>
            <sz val="8"/>
            <color indexed="81"/>
            <rFont val="CG Omega"/>
            <family val="2"/>
          </rPr>
          <t>Bitte keine Abkürzungen verwenden!</t>
        </r>
      </text>
    </comment>
    <comment ref="B251" authorId="1" shapeId="0">
      <text>
        <r>
          <rPr>
            <sz val="8"/>
            <color indexed="81"/>
            <rFont val="CG Omega"/>
            <family val="2"/>
          </rPr>
          <t>Bitte keine Abkürzungen verwenden!</t>
        </r>
      </text>
    </comment>
    <comment ref="J251" authorId="1" shapeId="0">
      <text>
        <r>
          <rPr>
            <sz val="8"/>
            <color indexed="81"/>
            <rFont val="CG Omega"/>
            <family val="2"/>
          </rPr>
          <t>Bitte keine Abkürzungen verwenden!</t>
        </r>
      </text>
    </comment>
    <comment ref="B254" authorId="0" shapeId="0">
      <text>
        <r>
          <rPr>
            <sz val="8"/>
            <rFont val="CG Omega"/>
            <family val="2"/>
          </rPr>
          <t>max. 40 Zeichen</t>
        </r>
      </text>
    </comment>
    <comment ref="E254" authorId="0" shapeId="0">
      <text>
        <r>
          <rPr>
            <sz val="8"/>
            <rFont val="CG Omega"/>
            <family val="2"/>
          </rPr>
          <t>Bei Lizenzverkauf die Materialnummer erfassen.</t>
        </r>
      </text>
    </comment>
    <comment ref="F255" authorId="2" shapeId="0">
      <text>
        <r>
          <rPr>
            <sz val="9"/>
            <color indexed="81"/>
            <rFont val="Tahoma"/>
            <family val="2"/>
          </rPr>
          <t>Materialgruppe 5</t>
        </r>
      </text>
    </comment>
    <comment ref="J256" authorId="1" shapeId="0">
      <text>
        <r>
          <rPr>
            <sz val="8"/>
            <color indexed="81"/>
            <rFont val="CG Omega"/>
            <family val="2"/>
          </rPr>
          <t>Bitte keine Abkürzungen verwenden!</t>
        </r>
      </text>
    </comment>
    <comment ref="J257" authorId="1" shapeId="0">
      <text>
        <r>
          <rPr>
            <sz val="8"/>
            <color indexed="81"/>
            <rFont val="CG Omega"/>
            <family val="2"/>
          </rPr>
          <t>Bitte keine Abkürzungen verwenden!</t>
        </r>
      </text>
    </comment>
    <comment ref="J258" authorId="1" shapeId="0">
      <text>
        <r>
          <rPr>
            <sz val="8"/>
            <color indexed="81"/>
            <rFont val="CG Omega"/>
            <family val="2"/>
          </rPr>
          <t>Bitte keine Abkürzungen verwenden!</t>
        </r>
      </text>
    </comment>
    <comment ref="B259" authorId="1" shapeId="0">
      <text>
        <r>
          <rPr>
            <sz val="8"/>
            <color indexed="81"/>
            <rFont val="CG Omega"/>
            <family val="2"/>
          </rPr>
          <t>Bitte keine Abkürzungen verwenden!</t>
        </r>
      </text>
    </comment>
    <comment ref="J259" authorId="1" shapeId="0">
      <text>
        <r>
          <rPr>
            <sz val="8"/>
            <color indexed="81"/>
            <rFont val="CG Omega"/>
            <family val="2"/>
          </rPr>
          <t>Bitte keine Abkürzungen verwenden!</t>
        </r>
      </text>
    </comment>
    <comment ref="B260" authorId="1" shapeId="0">
      <text>
        <r>
          <rPr>
            <sz val="8"/>
            <color indexed="81"/>
            <rFont val="CG Omega"/>
            <family val="2"/>
          </rPr>
          <t>Bitte keine Abkürzungen verwenden!</t>
        </r>
      </text>
    </comment>
    <comment ref="J260" authorId="1" shapeId="0">
      <text>
        <r>
          <rPr>
            <sz val="8"/>
            <color indexed="81"/>
            <rFont val="CG Omega"/>
            <family val="2"/>
          </rPr>
          <t>Bitte keine Abkürzungen verwenden!</t>
        </r>
      </text>
    </comment>
    <comment ref="B261" authorId="1" shapeId="0">
      <text>
        <r>
          <rPr>
            <sz val="8"/>
            <color indexed="81"/>
            <rFont val="CG Omega"/>
            <family val="2"/>
          </rPr>
          <t>Bitte keine Abkürzungen verwenden!</t>
        </r>
      </text>
    </comment>
    <comment ref="J261" authorId="1" shapeId="0">
      <text>
        <r>
          <rPr>
            <sz val="8"/>
            <color indexed="81"/>
            <rFont val="CG Omega"/>
            <family val="2"/>
          </rPr>
          <t>Bitte keine Abkürzungen verwenden!</t>
        </r>
      </text>
    </comment>
    <comment ref="B264" authorId="0" shapeId="0">
      <text>
        <r>
          <rPr>
            <sz val="8"/>
            <rFont val="CG Omega"/>
            <family val="2"/>
          </rPr>
          <t>max. 40 Zeichen</t>
        </r>
      </text>
    </comment>
    <comment ref="E264" authorId="0" shapeId="0">
      <text>
        <r>
          <rPr>
            <sz val="8"/>
            <rFont val="CG Omega"/>
            <family val="2"/>
          </rPr>
          <t>Bei Lizenzverkauf die Materialnummer erfassen.</t>
        </r>
      </text>
    </comment>
    <comment ref="F265" authorId="2" shapeId="0">
      <text>
        <r>
          <rPr>
            <sz val="9"/>
            <color indexed="81"/>
            <rFont val="Tahoma"/>
            <family val="2"/>
          </rPr>
          <t>Materialgruppe 5</t>
        </r>
      </text>
    </comment>
    <comment ref="J266" authorId="1" shapeId="0">
      <text>
        <r>
          <rPr>
            <sz val="8"/>
            <color indexed="81"/>
            <rFont val="CG Omega"/>
            <family val="2"/>
          </rPr>
          <t>Bitte keine Abkürzungen verwenden!</t>
        </r>
      </text>
    </comment>
    <comment ref="J267" authorId="1" shapeId="0">
      <text>
        <r>
          <rPr>
            <sz val="8"/>
            <color indexed="81"/>
            <rFont val="CG Omega"/>
            <family val="2"/>
          </rPr>
          <t>Bitte keine Abkürzungen verwenden!</t>
        </r>
      </text>
    </comment>
    <comment ref="J268" authorId="1" shapeId="0">
      <text>
        <r>
          <rPr>
            <sz val="8"/>
            <color indexed="81"/>
            <rFont val="CG Omega"/>
            <family val="2"/>
          </rPr>
          <t>Bitte keine Abkürzungen verwenden!</t>
        </r>
      </text>
    </comment>
    <comment ref="B269" authorId="1" shapeId="0">
      <text>
        <r>
          <rPr>
            <sz val="8"/>
            <color indexed="81"/>
            <rFont val="CG Omega"/>
            <family val="2"/>
          </rPr>
          <t>Bitte keine Abkürzungen verwenden!</t>
        </r>
      </text>
    </comment>
    <comment ref="J269" authorId="1" shapeId="0">
      <text>
        <r>
          <rPr>
            <sz val="8"/>
            <color indexed="81"/>
            <rFont val="CG Omega"/>
            <family val="2"/>
          </rPr>
          <t>Bitte keine Abkürzungen verwenden!</t>
        </r>
      </text>
    </comment>
    <comment ref="B270" authorId="1" shapeId="0">
      <text>
        <r>
          <rPr>
            <sz val="8"/>
            <color indexed="81"/>
            <rFont val="CG Omega"/>
            <family val="2"/>
          </rPr>
          <t>Bitte keine Abkürzungen verwenden!</t>
        </r>
      </text>
    </comment>
    <comment ref="J270" authorId="1" shapeId="0">
      <text>
        <r>
          <rPr>
            <sz val="8"/>
            <color indexed="81"/>
            <rFont val="CG Omega"/>
            <family val="2"/>
          </rPr>
          <t>Bitte keine Abkürzungen verwenden!</t>
        </r>
      </text>
    </comment>
    <comment ref="B271" authorId="1" shapeId="0">
      <text>
        <r>
          <rPr>
            <sz val="8"/>
            <color indexed="81"/>
            <rFont val="CG Omega"/>
            <family val="2"/>
          </rPr>
          <t>Bitte keine Abkürzungen verwenden!</t>
        </r>
      </text>
    </comment>
    <comment ref="J271" authorId="1" shapeId="0">
      <text>
        <r>
          <rPr>
            <sz val="8"/>
            <color indexed="81"/>
            <rFont val="CG Omega"/>
            <family val="2"/>
          </rPr>
          <t>Bitte keine Abkürzungen verwenden!</t>
        </r>
      </text>
    </comment>
    <comment ref="B274" authorId="0" shapeId="0">
      <text>
        <r>
          <rPr>
            <sz val="8"/>
            <rFont val="CG Omega"/>
            <family val="2"/>
          </rPr>
          <t>max. 40 Zeichen</t>
        </r>
      </text>
    </comment>
    <comment ref="E274" authorId="0" shapeId="0">
      <text>
        <r>
          <rPr>
            <sz val="8"/>
            <rFont val="CG Omega"/>
            <family val="2"/>
          </rPr>
          <t>Bei Lizenzverkauf die Materialnummer erfassen.</t>
        </r>
      </text>
    </comment>
    <comment ref="F275" authorId="2" shapeId="0">
      <text>
        <r>
          <rPr>
            <sz val="9"/>
            <color indexed="81"/>
            <rFont val="Tahoma"/>
            <family val="2"/>
          </rPr>
          <t>Materialgruppe 5</t>
        </r>
      </text>
    </comment>
    <comment ref="J276" authorId="1" shapeId="0">
      <text>
        <r>
          <rPr>
            <sz val="8"/>
            <color indexed="81"/>
            <rFont val="CG Omega"/>
            <family val="2"/>
          </rPr>
          <t>Bitte keine Abkürzungen verwenden!</t>
        </r>
      </text>
    </comment>
    <comment ref="J277" authorId="1" shapeId="0">
      <text>
        <r>
          <rPr>
            <sz val="8"/>
            <color indexed="81"/>
            <rFont val="CG Omega"/>
            <family val="2"/>
          </rPr>
          <t>Bitte keine Abkürzungen verwenden!</t>
        </r>
      </text>
    </comment>
    <comment ref="J278" authorId="1" shapeId="0">
      <text>
        <r>
          <rPr>
            <sz val="8"/>
            <color indexed="81"/>
            <rFont val="CG Omega"/>
            <family val="2"/>
          </rPr>
          <t>Bitte keine Abkürzungen verwenden!</t>
        </r>
      </text>
    </comment>
    <comment ref="B279" authorId="1" shapeId="0">
      <text>
        <r>
          <rPr>
            <sz val="8"/>
            <color indexed="81"/>
            <rFont val="CG Omega"/>
            <family val="2"/>
          </rPr>
          <t>Bitte keine Abkürzungen verwenden!</t>
        </r>
      </text>
    </comment>
    <comment ref="J279" authorId="1" shapeId="0">
      <text>
        <r>
          <rPr>
            <sz val="8"/>
            <color indexed="81"/>
            <rFont val="CG Omega"/>
            <family val="2"/>
          </rPr>
          <t>Bitte keine Abkürzungen verwenden!</t>
        </r>
      </text>
    </comment>
    <comment ref="B280" authorId="1" shapeId="0">
      <text>
        <r>
          <rPr>
            <sz val="8"/>
            <color indexed="81"/>
            <rFont val="CG Omega"/>
            <family val="2"/>
          </rPr>
          <t>Bitte keine Abkürzungen verwenden!</t>
        </r>
      </text>
    </comment>
    <comment ref="J280" authorId="1" shapeId="0">
      <text>
        <r>
          <rPr>
            <sz val="8"/>
            <color indexed="81"/>
            <rFont val="CG Omega"/>
            <family val="2"/>
          </rPr>
          <t>Bitte keine Abkürzungen verwenden!</t>
        </r>
      </text>
    </comment>
    <comment ref="B281" authorId="1" shapeId="0">
      <text>
        <r>
          <rPr>
            <sz val="8"/>
            <color indexed="81"/>
            <rFont val="CG Omega"/>
            <family val="2"/>
          </rPr>
          <t>Bitte keine Abkürzungen verwenden!</t>
        </r>
      </text>
    </comment>
    <comment ref="J281" authorId="1" shapeId="0">
      <text>
        <r>
          <rPr>
            <sz val="8"/>
            <color indexed="81"/>
            <rFont val="CG Omega"/>
            <family val="2"/>
          </rPr>
          <t>Bitte keine Abkürzungen verwenden!</t>
        </r>
      </text>
    </comment>
    <comment ref="B284" authorId="0" shapeId="0">
      <text>
        <r>
          <rPr>
            <sz val="8"/>
            <rFont val="CG Omega"/>
            <family val="2"/>
          </rPr>
          <t>max. 40 Zeichen</t>
        </r>
      </text>
    </comment>
    <comment ref="E284" authorId="0" shapeId="0">
      <text>
        <r>
          <rPr>
            <sz val="8"/>
            <rFont val="CG Omega"/>
            <family val="2"/>
          </rPr>
          <t>Bei Lizenzverkauf die Materialnummer erfassen.</t>
        </r>
      </text>
    </comment>
    <comment ref="F285" authorId="2" shapeId="0">
      <text>
        <r>
          <rPr>
            <sz val="9"/>
            <color indexed="81"/>
            <rFont val="Tahoma"/>
            <family val="2"/>
          </rPr>
          <t>Materialgruppe 5</t>
        </r>
      </text>
    </comment>
    <comment ref="J286" authorId="1" shapeId="0">
      <text>
        <r>
          <rPr>
            <sz val="8"/>
            <color indexed="81"/>
            <rFont val="CG Omega"/>
            <family val="2"/>
          </rPr>
          <t>Bitte keine Abkürzungen verwenden!</t>
        </r>
      </text>
    </comment>
    <comment ref="J287" authorId="1" shapeId="0">
      <text>
        <r>
          <rPr>
            <sz val="8"/>
            <color indexed="81"/>
            <rFont val="CG Omega"/>
            <family val="2"/>
          </rPr>
          <t>Bitte keine Abkürzungen verwenden!</t>
        </r>
      </text>
    </comment>
    <comment ref="J288" authorId="1" shapeId="0">
      <text>
        <r>
          <rPr>
            <sz val="8"/>
            <color indexed="81"/>
            <rFont val="CG Omega"/>
            <family val="2"/>
          </rPr>
          <t>Bitte keine Abkürzungen verwenden!</t>
        </r>
      </text>
    </comment>
    <comment ref="B289" authorId="1" shapeId="0">
      <text>
        <r>
          <rPr>
            <sz val="8"/>
            <color indexed="81"/>
            <rFont val="CG Omega"/>
            <family val="2"/>
          </rPr>
          <t>Bitte keine Abkürzungen verwenden!</t>
        </r>
      </text>
    </comment>
    <comment ref="J289" authorId="1" shapeId="0">
      <text>
        <r>
          <rPr>
            <sz val="8"/>
            <color indexed="81"/>
            <rFont val="CG Omega"/>
            <family val="2"/>
          </rPr>
          <t>Bitte keine Abkürzungen verwenden!</t>
        </r>
      </text>
    </comment>
    <comment ref="B290" authorId="1" shapeId="0">
      <text>
        <r>
          <rPr>
            <sz val="8"/>
            <color indexed="81"/>
            <rFont val="CG Omega"/>
            <family val="2"/>
          </rPr>
          <t>Bitte keine Abkürzungen verwenden!</t>
        </r>
      </text>
    </comment>
    <comment ref="J290" authorId="1" shapeId="0">
      <text>
        <r>
          <rPr>
            <sz val="8"/>
            <color indexed="81"/>
            <rFont val="CG Omega"/>
            <family val="2"/>
          </rPr>
          <t>Bitte keine Abkürzungen verwenden!</t>
        </r>
      </text>
    </comment>
    <comment ref="B291" authorId="1" shapeId="0">
      <text>
        <r>
          <rPr>
            <sz val="8"/>
            <color indexed="81"/>
            <rFont val="CG Omega"/>
            <family val="2"/>
          </rPr>
          <t>Bitte keine Abkürzungen verwenden!</t>
        </r>
      </text>
    </comment>
    <comment ref="J291" authorId="1" shapeId="0">
      <text>
        <r>
          <rPr>
            <sz val="8"/>
            <color indexed="81"/>
            <rFont val="CG Omega"/>
            <family val="2"/>
          </rPr>
          <t>Bitte keine Abkürzungen verwenden!</t>
        </r>
      </text>
    </comment>
    <comment ref="B294" authorId="0" shapeId="0">
      <text>
        <r>
          <rPr>
            <sz val="8"/>
            <rFont val="CG Omega"/>
            <family val="2"/>
          </rPr>
          <t>max. 40 Zeichen</t>
        </r>
      </text>
    </comment>
    <comment ref="E294" authorId="0" shapeId="0">
      <text>
        <r>
          <rPr>
            <sz val="8"/>
            <rFont val="CG Omega"/>
            <family val="2"/>
          </rPr>
          <t>Bei Lizenzverkauf die Materialnummer erfassen.</t>
        </r>
      </text>
    </comment>
    <comment ref="F295" authorId="2" shapeId="0">
      <text>
        <r>
          <rPr>
            <sz val="9"/>
            <color indexed="81"/>
            <rFont val="Tahoma"/>
            <family val="2"/>
          </rPr>
          <t>Materialgruppe 5</t>
        </r>
      </text>
    </comment>
    <comment ref="J296" authorId="1" shapeId="0">
      <text>
        <r>
          <rPr>
            <sz val="8"/>
            <color indexed="81"/>
            <rFont val="CG Omega"/>
            <family val="2"/>
          </rPr>
          <t>Bitte keine Abkürzungen verwenden!</t>
        </r>
      </text>
    </comment>
    <comment ref="J297" authorId="1" shapeId="0">
      <text>
        <r>
          <rPr>
            <sz val="8"/>
            <color indexed="81"/>
            <rFont val="CG Omega"/>
            <family val="2"/>
          </rPr>
          <t>Bitte keine Abkürzungen verwenden!</t>
        </r>
      </text>
    </comment>
    <comment ref="J298" authorId="1" shapeId="0">
      <text>
        <r>
          <rPr>
            <sz val="8"/>
            <color indexed="81"/>
            <rFont val="CG Omega"/>
            <family val="2"/>
          </rPr>
          <t>Bitte keine Abkürzungen verwenden!</t>
        </r>
      </text>
    </comment>
    <comment ref="B299" authorId="1" shapeId="0">
      <text>
        <r>
          <rPr>
            <sz val="8"/>
            <color indexed="81"/>
            <rFont val="CG Omega"/>
            <family val="2"/>
          </rPr>
          <t>Bitte keine Abkürzungen verwenden!</t>
        </r>
      </text>
    </comment>
    <comment ref="J299" authorId="1" shapeId="0">
      <text>
        <r>
          <rPr>
            <sz val="8"/>
            <color indexed="81"/>
            <rFont val="CG Omega"/>
            <family val="2"/>
          </rPr>
          <t>Bitte keine Abkürzungen verwenden!</t>
        </r>
      </text>
    </comment>
    <comment ref="B300" authorId="1" shapeId="0">
      <text>
        <r>
          <rPr>
            <sz val="8"/>
            <color indexed="81"/>
            <rFont val="CG Omega"/>
            <family val="2"/>
          </rPr>
          <t>Bitte keine Abkürzungen verwenden!</t>
        </r>
      </text>
    </comment>
    <comment ref="J300" authorId="1" shapeId="0">
      <text>
        <r>
          <rPr>
            <sz val="8"/>
            <color indexed="81"/>
            <rFont val="CG Omega"/>
            <family val="2"/>
          </rPr>
          <t>Bitte keine Abkürzungen verwenden!</t>
        </r>
      </text>
    </comment>
    <comment ref="B301" authorId="1" shapeId="0">
      <text>
        <r>
          <rPr>
            <sz val="8"/>
            <color indexed="81"/>
            <rFont val="CG Omega"/>
            <family val="2"/>
          </rPr>
          <t>Bitte keine Abkürzungen verwenden!</t>
        </r>
      </text>
    </comment>
    <comment ref="J301" authorId="1" shapeId="0">
      <text>
        <r>
          <rPr>
            <sz val="8"/>
            <color indexed="81"/>
            <rFont val="CG Omega"/>
            <family val="2"/>
          </rPr>
          <t>Bitte keine Abkürzungen verwenden!</t>
        </r>
      </text>
    </comment>
    <comment ref="B304" authorId="0" shapeId="0">
      <text>
        <r>
          <rPr>
            <sz val="8"/>
            <rFont val="CG Omega"/>
            <family val="2"/>
          </rPr>
          <t>max. 40 Zeichen</t>
        </r>
      </text>
    </comment>
    <comment ref="E304" authorId="0" shapeId="0">
      <text>
        <r>
          <rPr>
            <sz val="8"/>
            <rFont val="CG Omega"/>
            <family val="2"/>
          </rPr>
          <t>Bei Lizenzverkauf die Materialnummer erfassen.</t>
        </r>
      </text>
    </comment>
    <comment ref="F305" authorId="2" shapeId="0">
      <text>
        <r>
          <rPr>
            <sz val="9"/>
            <color indexed="81"/>
            <rFont val="Tahoma"/>
            <family val="2"/>
          </rPr>
          <t>Materialgruppe 5</t>
        </r>
      </text>
    </comment>
    <comment ref="J306" authorId="1" shapeId="0">
      <text>
        <r>
          <rPr>
            <sz val="8"/>
            <color indexed="81"/>
            <rFont val="CG Omega"/>
            <family val="2"/>
          </rPr>
          <t>Bitte keine Abkürzungen verwenden!</t>
        </r>
      </text>
    </comment>
    <comment ref="J307" authorId="1" shapeId="0">
      <text>
        <r>
          <rPr>
            <sz val="8"/>
            <color indexed="81"/>
            <rFont val="CG Omega"/>
            <family val="2"/>
          </rPr>
          <t>Bitte keine Abkürzungen verwenden!</t>
        </r>
      </text>
    </comment>
    <comment ref="J308" authorId="1" shapeId="0">
      <text>
        <r>
          <rPr>
            <sz val="8"/>
            <color indexed="81"/>
            <rFont val="CG Omega"/>
            <family val="2"/>
          </rPr>
          <t>Bitte keine Abkürzungen verwenden!</t>
        </r>
      </text>
    </comment>
    <comment ref="B309" authorId="1" shapeId="0">
      <text>
        <r>
          <rPr>
            <sz val="8"/>
            <color indexed="81"/>
            <rFont val="CG Omega"/>
            <family val="2"/>
          </rPr>
          <t>Bitte keine Abkürzungen verwenden!</t>
        </r>
      </text>
    </comment>
    <comment ref="J309" authorId="1" shapeId="0">
      <text>
        <r>
          <rPr>
            <sz val="8"/>
            <color indexed="81"/>
            <rFont val="CG Omega"/>
            <family val="2"/>
          </rPr>
          <t>Bitte keine Abkürzungen verwenden!</t>
        </r>
      </text>
    </comment>
    <comment ref="B310" authorId="1" shapeId="0">
      <text>
        <r>
          <rPr>
            <sz val="8"/>
            <color indexed="81"/>
            <rFont val="CG Omega"/>
            <family val="2"/>
          </rPr>
          <t>Bitte keine Abkürzungen verwenden!</t>
        </r>
      </text>
    </comment>
    <comment ref="J310" authorId="1" shapeId="0">
      <text>
        <r>
          <rPr>
            <sz val="8"/>
            <color indexed="81"/>
            <rFont val="CG Omega"/>
            <family val="2"/>
          </rPr>
          <t>Bitte keine Abkürzungen verwenden!</t>
        </r>
      </text>
    </comment>
    <comment ref="B311" authorId="1" shapeId="0">
      <text>
        <r>
          <rPr>
            <sz val="8"/>
            <color indexed="81"/>
            <rFont val="CG Omega"/>
            <family val="2"/>
          </rPr>
          <t>Bitte keine Abkürzungen verwenden!</t>
        </r>
      </text>
    </comment>
    <comment ref="J311" authorId="1" shapeId="0">
      <text>
        <r>
          <rPr>
            <sz val="8"/>
            <color indexed="81"/>
            <rFont val="CG Omega"/>
            <family val="2"/>
          </rPr>
          <t>Bitte keine Abkürzungen verwenden!</t>
        </r>
      </text>
    </comment>
    <comment ref="B314" authorId="0" shapeId="0">
      <text>
        <r>
          <rPr>
            <sz val="8"/>
            <rFont val="CG Omega"/>
            <family val="2"/>
          </rPr>
          <t>max. 40 Zeichen</t>
        </r>
      </text>
    </comment>
    <comment ref="E314" authorId="0" shapeId="0">
      <text>
        <r>
          <rPr>
            <sz val="8"/>
            <rFont val="CG Omega"/>
            <family val="2"/>
          </rPr>
          <t>Bei Lizenzverkauf die Materialnummer erfassen.</t>
        </r>
      </text>
    </comment>
    <comment ref="F315" authorId="2" shapeId="0">
      <text>
        <r>
          <rPr>
            <sz val="9"/>
            <color indexed="81"/>
            <rFont val="Tahoma"/>
            <family val="2"/>
          </rPr>
          <t>Materialgruppe 5</t>
        </r>
      </text>
    </comment>
    <comment ref="J316" authorId="1" shapeId="0">
      <text>
        <r>
          <rPr>
            <sz val="8"/>
            <color indexed="81"/>
            <rFont val="CG Omega"/>
            <family val="2"/>
          </rPr>
          <t>Bitte keine Abkürzungen verwenden!</t>
        </r>
      </text>
    </comment>
    <comment ref="J317" authorId="1" shapeId="0">
      <text>
        <r>
          <rPr>
            <sz val="8"/>
            <color indexed="81"/>
            <rFont val="CG Omega"/>
            <family val="2"/>
          </rPr>
          <t>Bitte keine Abkürzungen verwenden!</t>
        </r>
      </text>
    </comment>
    <comment ref="J318" authorId="1" shapeId="0">
      <text>
        <r>
          <rPr>
            <sz val="8"/>
            <color indexed="81"/>
            <rFont val="CG Omega"/>
            <family val="2"/>
          </rPr>
          <t>Bitte keine Abkürzungen verwenden!</t>
        </r>
      </text>
    </comment>
    <comment ref="B319" authorId="1" shapeId="0">
      <text>
        <r>
          <rPr>
            <sz val="8"/>
            <color indexed="81"/>
            <rFont val="CG Omega"/>
            <family val="2"/>
          </rPr>
          <t>Bitte keine Abkürzungen verwenden!</t>
        </r>
      </text>
    </comment>
    <comment ref="J319" authorId="1" shapeId="0">
      <text>
        <r>
          <rPr>
            <sz val="8"/>
            <color indexed="81"/>
            <rFont val="CG Omega"/>
            <family val="2"/>
          </rPr>
          <t>Bitte keine Abkürzungen verwenden!</t>
        </r>
      </text>
    </comment>
    <comment ref="B320" authorId="1" shapeId="0">
      <text>
        <r>
          <rPr>
            <sz val="8"/>
            <color indexed="81"/>
            <rFont val="CG Omega"/>
            <family val="2"/>
          </rPr>
          <t>Bitte keine Abkürzungen verwenden!</t>
        </r>
      </text>
    </comment>
    <comment ref="J320" authorId="1" shapeId="0">
      <text>
        <r>
          <rPr>
            <sz val="8"/>
            <color indexed="81"/>
            <rFont val="CG Omega"/>
            <family val="2"/>
          </rPr>
          <t>Bitte keine Abkürzungen verwenden!</t>
        </r>
      </text>
    </comment>
    <comment ref="B321" authorId="1" shapeId="0">
      <text>
        <r>
          <rPr>
            <sz val="8"/>
            <color indexed="81"/>
            <rFont val="CG Omega"/>
            <family val="2"/>
          </rPr>
          <t>Bitte keine Abkürzungen verwenden!</t>
        </r>
      </text>
    </comment>
    <comment ref="J321" authorId="1" shapeId="0">
      <text>
        <r>
          <rPr>
            <sz val="8"/>
            <color indexed="81"/>
            <rFont val="CG Omega"/>
            <family val="2"/>
          </rPr>
          <t>Bitte keine Abkürzungen verwenden!</t>
        </r>
      </text>
    </comment>
    <comment ref="B324" authorId="0" shapeId="0">
      <text>
        <r>
          <rPr>
            <sz val="8"/>
            <rFont val="CG Omega"/>
            <family val="2"/>
          </rPr>
          <t>max. 40 Zeichen</t>
        </r>
      </text>
    </comment>
    <comment ref="E324" authorId="0" shapeId="0">
      <text>
        <r>
          <rPr>
            <sz val="8"/>
            <rFont val="CG Omega"/>
            <family val="2"/>
          </rPr>
          <t>Bei Lizenzverkauf die Materialnummer erfassen.</t>
        </r>
      </text>
    </comment>
    <comment ref="F325" authorId="2" shapeId="0">
      <text>
        <r>
          <rPr>
            <sz val="9"/>
            <color indexed="81"/>
            <rFont val="Tahoma"/>
            <family val="2"/>
          </rPr>
          <t>Materialgruppe 5</t>
        </r>
      </text>
    </comment>
    <comment ref="J326" authorId="1" shapeId="0">
      <text>
        <r>
          <rPr>
            <sz val="8"/>
            <color indexed="81"/>
            <rFont val="CG Omega"/>
            <family val="2"/>
          </rPr>
          <t>Bitte keine Abkürzungen verwenden!</t>
        </r>
      </text>
    </comment>
    <comment ref="J327" authorId="1" shapeId="0">
      <text>
        <r>
          <rPr>
            <sz val="8"/>
            <color indexed="81"/>
            <rFont val="CG Omega"/>
            <family val="2"/>
          </rPr>
          <t>Bitte keine Abkürzungen verwenden!</t>
        </r>
      </text>
    </comment>
    <comment ref="J328" authorId="1" shapeId="0">
      <text>
        <r>
          <rPr>
            <sz val="8"/>
            <color indexed="81"/>
            <rFont val="CG Omega"/>
            <family val="2"/>
          </rPr>
          <t>Bitte keine Abkürzungen verwenden!</t>
        </r>
      </text>
    </comment>
    <comment ref="B329" authorId="1" shapeId="0">
      <text>
        <r>
          <rPr>
            <sz val="8"/>
            <color indexed="81"/>
            <rFont val="CG Omega"/>
            <family val="2"/>
          </rPr>
          <t>Bitte keine Abkürzungen verwenden!</t>
        </r>
      </text>
    </comment>
    <comment ref="J329" authorId="1" shapeId="0">
      <text>
        <r>
          <rPr>
            <sz val="8"/>
            <color indexed="81"/>
            <rFont val="CG Omega"/>
            <family val="2"/>
          </rPr>
          <t>Bitte keine Abkürzungen verwenden!</t>
        </r>
      </text>
    </comment>
    <comment ref="B330" authorId="1" shapeId="0">
      <text>
        <r>
          <rPr>
            <sz val="8"/>
            <color indexed="81"/>
            <rFont val="CG Omega"/>
            <family val="2"/>
          </rPr>
          <t>Bitte keine Abkürzungen verwenden!</t>
        </r>
      </text>
    </comment>
    <comment ref="J330" authorId="1" shapeId="0">
      <text>
        <r>
          <rPr>
            <sz val="8"/>
            <color indexed="81"/>
            <rFont val="CG Omega"/>
            <family val="2"/>
          </rPr>
          <t>Bitte keine Abkürzungen verwenden!</t>
        </r>
      </text>
    </comment>
    <comment ref="B331" authorId="1" shapeId="0">
      <text>
        <r>
          <rPr>
            <sz val="8"/>
            <color indexed="81"/>
            <rFont val="CG Omega"/>
            <family val="2"/>
          </rPr>
          <t>Bitte keine Abkürzungen verwenden!</t>
        </r>
      </text>
    </comment>
    <comment ref="J331" authorId="1" shapeId="0">
      <text>
        <r>
          <rPr>
            <sz val="8"/>
            <color indexed="81"/>
            <rFont val="CG Omega"/>
            <family val="2"/>
          </rPr>
          <t>Bitte keine Abkürzungen verwenden!</t>
        </r>
      </text>
    </comment>
    <comment ref="B334" authorId="0" shapeId="0">
      <text>
        <r>
          <rPr>
            <sz val="8"/>
            <rFont val="CG Omega"/>
            <family val="2"/>
          </rPr>
          <t>max. 40 Zeichen</t>
        </r>
      </text>
    </comment>
    <comment ref="E334" authorId="0" shapeId="0">
      <text>
        <r>
          <rPr>
            <sz val="8"/>
            <rFont val="CG Omega"/>
            <family val="2"/>
          </rPr>
          <t>Bei Lizenzverkauf die Materialnummer erfassen.</t>
        </r>
      </text>
    </comment>
    <comment ref="F335" authorId="2" shapeId="0">
      <text>
        <r>
          <rPr>
            <sz val="9"/>
            <color indexed="81"/>
            <rFont val="Tahoma"/>
            <family val="2"/>
          </rPr>
          <t>Materialgruppe 5</t>
        </r>
      </text>
    </comment>
    <comment ref="J336" authorId="1" shapeId="0">
      <text>
        <r>
          <rPr>
            <sz val="8"/>
            <color indexed="81"/>
            <rFont val="CG Omega"/>
            <family val="2"/>
          </rPr>
          <t>Bitte keine Abkürzungen verwenden!</t>
        </r>
      </text>
    </comment>
    <comment ref="J337" authorId="1" shapeId="0">
      <text>
        <r>
          <rPr>
            <sz val="8"/>
            <color indexed="81"/>
            <rFont val="CG Omega"/>
            <family val="2"/>
          </rPr>
          <t>Bitte keine Abkürzungen verwenden!</t>
        </r>
      </text>
    </comment>
    <comment ref="J338" authorId="1" shapeId="0">
      <text>
        <r>
          <rPr>
            <sz val="8"/>
            <color indexed="81"/>
            <rFont val="CG Omega"/>
            <family val="2"/>
          </rPr>
          <t>Bitte keine Abkürzungen verwenden!</t>
        </r>
      </text>
    </comment>
    <comment ref="B339" authorId="1" shapeId="0">
      <text>
        <r>
          <rPr>
            <sz val="8"/>
            <color indexed="81"/>
            <rFont val="CG Omega"/>
            <family val="2"/>
          </rPr>
          <t>Bitte keine Abkürzungen verwenden!</t>
        </r>
      </text>
    </comment>
    <comment ref="J339" authorId="1" shapeId="0">
      <text>
        <r>
          <rPr>
            <sz val="8"/>
            <color indexed="81"/>
            <rFont val="CG Omega"/>
            <family val="2"/>
          </rPr>
          <t>Bitte keine Abkürzungen verwenden!</t>
        </r>
      </text>
    </comment>
    <comment ref="B340" authorId="1" shapeId="0">
      <text>
        <r>
          <rPr>
            <sz val="8"/>
            <color indexed="81"/>
            <rFont val="CG Omega"/>
            <family val="2"/>
          </rPr>
          <t>Bitte keine Abkürzungen verwenden!</t>
        </r>
      </text>
    </comment>
    <comment ref="J340" authorId="1" shapeId="0">
      <text>
        <r>
          <rPr>
            <sz val="8"/>
            <color indexed="81"/>
            <rFont val="CG Omega"/>
            <family val="2"/>
          </rPr>
          <t>Bitte keine Abkürzungen verwenden!</t>
        </r>
      </text>
    </comment>
    <comment ref="B341" authorId="1" shapeId="0">
      <text>
        <r>
          <rPr>
            <sz val="8"/>
            <color indexed="81"/>
            <rFont val="CG Omega"/>
            <family val="2"/>
          </rPr>
          <t>Bitte keine Abkürzungen verwenden!</t>
        </r>
      </text>
    </comment>
    <comment ref="J341" authorId="1" shapeId="0">
      <text>
        <r>
          <rPr>
            <sz val="8"/>
            <color indexed="81"/>
            <rFont val="CG Omega"/>
            <family val="2"/>
          </rPr>
          <t>Bitte keine Abkürzungen verwenden!</t>
        </r>
      </text>
    </comment>
  </commentList>
</comments>
</file>

<file path=xl/comments7.xml><?xml version="1.0" encoding="utf-8"?>
<comments xmlns="http://schemas.openxmlformats.org/spreadsheetml/2006/main">
  <authors>
    <author>Christoph Kappler</author>
  </authors>
  <commentList>
    <comment ref="A7" authorId="0" shapeId="0">
      <text>
        <r>
          <rPr>
            <sz val="8"/>
            <color indexed="81"/>
            <rFont val="CG Omega"/>
            <family val="2"/>
          </rPr>
          <t>Um die SAP Funktionalität nutzen zu können, muss die Rolle "Project Manager" im Trimaran gesetzt werden!</t>
        </r>
      </text>
    </comment>
  </commentList>
</comments>
</file>

<file path=xl/comments8.xml><?xml version="1.0" encoding="utf-8"?>
<comments xmlns="http://schemas.openxmlformats.org/spreadsheetml/2006/main">
  <authors>
    <author>Christoph Kappler</author>
  </authors>
  <commentList>
    <comment ref="E22" authorId="0" shapeId="0">
      <text>
        <r>
          <rPr>
            <sz val="8"/>
            <color indexed="81"/>
            <rFont val="CG Omega"/>
            <family val="2"/>
          </rPr>
          <t>Wird basierend auf den % Zahlen automatisch berechnet, kann aber 
überschrieben werden</t>
        </r>
      </text>
    </comment>
    <comment ref="E23" authorId="0" shapeId="0">
      <text>
        <r>
          <rPr>
            <sz val="8"/>
            <color indexed="81"/>
            <rFont val="CG Omega"/>
            <family val="2"/>
          </rPr>
          <t>Wird basierend auf den % Zahlen automatisch berechnet, kann aber 
überschrieben werden</t>
        </r>
      </text>
    </comment>
    <comment ref="E24" authorId="0" shapeId="0">
      <text>
        <r>
          <rPr>
            <sz val="8"/>
            <color indexed="81"/>
            <rFont val="CG Omega"/>
            <family val="2"/>
          </rPr>
          <t>Wird basierend auf den % Zahlen automatisch berechnet, kann aber 
überschrieben werden</t>
        </r>
      </text>
    </comment>
    <comment ref="E25" authorId="0" shapeId="0">
      <text>
        <r>
          <rPr>
            <sz val="8"/>
            <color indexed="81"/>
            <rFont val="CG Omega"/>
            <family val="2"/>
          </rPr>
          <t>Wird basierend auf den % Zahlen automatisch berechnet, kann aber 
überschrieben werden</t>
        </r>
      </text>
    </comment>
    <comment ref="E26" authorId="0" shapeId="0">
      <text>
        <r>
          <rPr>
            <sz val="8"/>
            <color indexed="81"/>
            <rFont val="CG Omega"/>
            <family val="2"/>
          </rPr>
          <t>Wird basierend auf den % Zahlen automatisch berechnet, kann aber 
überschrieben werden</t>
        </r>
      </text>
    </comment>
    <comment ref="E27" authorId="0" shapeId="0">
      <text>
        <r>
          <rPr>
            <sz val="8"/>
            <color indexed="81"/>
            <rFont val="CG Omega"/>
            <family val="2"/>
          </rPr>
          <t>Wird basierend auf den % Zahlen automatisch berechnet, kann aber 
überschrieben werden</t>
        </r>
      </text>
    </comment>
    <comment ref="E28" authorId="0" shapeId="0">
      <text>
        <r>
          <rPr>
            <sz val="8"/>
            <color indexed="81"/>
            <rFont val="CG Omega"/>
            <family val="2"/>
          </rPr>
          <t>Wird basierend auf den % Zahlen automatisch berechnet, kann aber 
überschrieben werden</t>
        </r>
      </text>
    </comment>
    <comment ref="E29" authorId="0" shapeId="0">
      <text>
        <r>
          <rPr>
            <sz val="8"/>
            <color indexed="81"/>
            <rFont val="CG Omega"/>
            <family val="2"/>
          </rPr>
          <t>Wird basierend auf den % Zahlen automatisch berechnet, kann aber 
überschrieben werden</t>
        </r>
      </text>
    </comment>
    <comment ref="E30" authorId="0" shapeId="0">
      <text>
        <r>
          <rPr>
            <sz val="8"/>
            <color indexed="81"/>
            <rFont val="CG Omega"/>
            <family val="2"/>
          </rPr>
          <t>Wird basierend auf den % Zahlen automatisch berechnet, kann aber 
überschrieben werden</t>
        </r>
      </text>
    </comment>
    <comment ref="E31" authorId="0" shapeId="0">
      <text>
        <r>
          <rPr>
            <sz val="8"/>
            <color indexed="81"/>
            <rFont val="CG Omega"/>
            <family val="2"/>
          </rPr>
          <t>Wird basierend auf den % Zahlen automatisch berechnet, kann aber 
überschrieben werden</t>
        </r>
      </text>
    </comment>
  </commentList>
</comments>
</file>

<file path=xl/comments9.xml><?xml version="1.0" encoding="utf-8"?>
<comments xmlns="http://schemas.openxmlformats.org/spreadsheetml/2006/main">
  <authors>
    <author>Peter</author>
    <author>Christoph Kappler</author>
  </authors>
  <commentList>
    <comment ref="A15" authorId="0" shapeId="0">
      <text>
        <r>
          <rPr>
            <b/>
            <sz val="9"/>
            <color indexed="81"/>
            <rFont val="Tahoma"/>
            <family val="2"/>
          </rPr>
          <t>EAC - Estimate at Completion</t>
        </r>
      </text>
    </comment>
    <comment ref="C16" authorId="0" shapeId="0">
      <text>
        <r>
          <rPr>
            <b/>
            <sz val="9"/>
            <color indexed="81"/>
            <rFont val="Tahoma"/>
            <family val="2"/>
          </rPr>
          <t>BAC - Budget at Completion</t>
        </r>
      </text>
    </comment>
    <comment ref="D16" authorId="0" shapeId="0">
      <text>
        <r>
          <rPr>
            <b/>
            <sz val="9"/>
            <color indexed="81"/>
            <rFont val="Tahoma"/>
            <family val="2"/>
          </rPr>
          <t>AC - Actual "Cost"</t>
        </r>
      </text>
    </comment>
    <comment ref="E16" authorId="0" shapeId="0">
      <text>
        <r>
          <rPr>
            <b/>
            <sz val="9"/>
            <color indexed="81"/>
            <rFont val="Tahoma"/>
            <family val="2"/>
          </rPr>
          <t>ETC - Estimate to Complete</t>
        </r>
      </text>
    </comment>
    <comment ref="L16" authorId="0" shapeId="0">
      <text>
        <r>
          <rPr>
            <b/>
            <sz val="9"/>
            <color indexed="81"/>
            <rFont val="Tahoma"/>
            <family val="2"/>
          </rPr>
          <t>PV - Planned "Cost"</t>
        </r>
      </text>
    </comment>
    <comment ref="M16" authorId="0" shapeId="0">
      <text>
        <r>
          <rPr>
            <b/>
            <sz val="9"/>
            <color indexed="81"/>
            <rFont val="Tahoma"/>
            <family val="2"/>
          </rPr>
          <t>AC - Actual Cost</t>
        </r>
      </text>
    </comment>
    <comment ref="L24" authorId="0" shapeId="0">
      <text>
        <r>
          <rPr>
            <b/>
            <sz val="9"/>
            <color indexed="81"/>
            <rFont val="Tahoma"/>
            <family val="2"/>
          </rPr>
          <t>Earned Value - Budget / Actual Completion</t>
        </r>
      </text>
    </comment>
    <comment ref="M24" authorId="0" shapeId="0">
      <text>
        <r>
          <rPr>
            <b/>
            <sz val="9"/>
            <color indexed="81"/>
            <rFont val="Tahoma"/>
            <family val="2"/>
          </rPr>
          <t>Cost Performance Index - Earned Value / Actual Cost</t>
        </r>
      </text>
    </comment>
    <comment ref="N24" authorId="0" shapeId="0">
      <text>
        <r>
          <rPr>
            <b/>
            <sz val="9"/>
            <color indexed="81"/>
            <rFont val="Tahoma"/>
            <family val="2"/>
          </rPr>
          <t>Budget to completion / Estimate to completion</t>
        </r>
      </text>
    </comment>
    <comment ref="O24" authorId="0" shapeId="0">
      <text>
        <r>
          <rPr>
            <b/>
            <sz val="9"/>
            <color indexed="81"/>
            <rFont val="Tahoma"/>
            <family val="2"/>
          </rPr>
          <t>Schedule Performance Index - Earned Value / Planned Value</t>
        </r>
      </text>
    </comment>
    <comment ref="L27" authorId="1" shapeId="0">
      <text>
        <r>
          <rPr>
            <sz val="8"/>
            <color indexed="81"/>
            <rFont val="CG Omega"/>
            <family val="2"/>
          </rPr>
          <t>weighted risk in relation to BAC
- green: 0% - 4%
- yellow: &lt; 8%
- red: &gt;= 8%</t>
        </r>
      </text>
    </comment>
    <comment ref="M27" authorId="1" shapeId="0">
      <text>
        <r>
          <rPr>
            <sz val="8"/>
            <color indexed="81"/>
            <rFont val="CG Omega"/>
            <family val="2"/>
          </rPr>
          <t>Shows how many % the project is under or over budget
- green: &lt; 1%
- yellow: -1% - -10%
- red: &lt; -10%</t>
        </r>
      </text>
    </comment>
    <comment ref="N27" authorId="1" shapeId="0">
      <text>
        <r>
          <rPr>
            <sz val="8"/>
            <color indexed="81"/>
            <rFont val="CG Omega"/>
            <family val="2"/>
          </rPr>
          <t>Shows how many % the project will finish under or over budget
- green: &lt; 1%
- yellow: -1% - -10%
- red: &lt; -10%</t>
        </r>
      </text>
    </comment>
    <comment ref="O27" authorId="1" shapeId="0">
      <text>
        <r>
          <rPr>
            <sz val="8"/>
            <color indexed="81"/>
            <rFont val="CG Omega"/>
            <family val="2"/>
          </rPr>
          <t>Shows how many % the project is ahead or behind project schedule
- green: &lt; 1%
- yellow: -1% - -10%
- red: &lt; -10%</t>
        </r>
      </text>
    </comment>
  </commentList>
</comments>
</file>

<file path=xl/comments10.xml><?xml version="1.0" encoding="utf-8"?>
<comments xmlns="http://schemas.openxmlformats.org/spreadsheetml/2006/main">
  <authors>
    <author>gid</author>
  </authors>
  <commentList>
    <comment ref="A7" authorId="0" shapeId="0">
      <text>
        <r>
          <rPr>
            <sz val="8"/>
            <rFont val="Tahoma"/>
            <family val="2"/>
          </rPr>
          <t>Enthält die Offertanfrage des Kunden Angaben zu Mengengerüsten (Benutzer, Daten, Operationen, Schnittstellen, Verfügbarkeit, …)?</t>
        </r>
      </text>
    </comment>
    <comment ref="B7" authorId="0" shapeId="0">
      <text>
        <r>
          <rPr>
            <b/>
            <sz val="8"/>
            <rFont val="Tahoma"/>
            <family val="2"/>
          </rPr>
          <t>keine</t>
        </r>
        <r>
          <rPr>
            <sz val="8"/>
            <rFont val="Tahoma"/>
            <family val="2"/>
          </rPr>
          <t xml:space="preserve"> / 
</t>
        </r>
        <r>
          <rPr>
            <b/>
            <sz val="8"/>
            <rFont val="Tahoma"/>
            <family val="2"/>
          </rPr>
          <t>teilweise</t>
        </r>
        <r>
          <rPr>
            <sz val="8"/>
            <rFont val="Tahoma"/>
            <family val="2"/>
          </rPr>
          <t xml:space="preserve"> / 
</t>
        </r>
        <r>
          <rPr>
            <b/>
            <sz val="8"/>
            <rFont val="Tahoma"/>
            <family val="2"/>
          </rPr>
          <t>vollständig</t>
        </r>
        <r>
          <rPr>
            <sz val="8"/>
            <rFont val="Tahoma"/>
            <family val="2"/>
          </rPr>
          <t xml:space="preserve">
Für eine detaillierte Erhebung der Mengengerüste sind mögliche Dimensionen im triwicki https://intranet.trivadis.com/wiki/bin/view/Technologies/APMTechAreaHome#BID_Performance_Risks erfasst. </t>
        </r>
      </text>
    </comment>
    <comment ref="A8" authorId="0" shapeId="0">
      <text>
        <r>
          <rPr>
            <sz val="8"/>
            <rFont val="Tahoma"/>
            <family val="2"/>
          </rPr>
          <t>Sind Performance Anforderungen (PA) explizit genannt?</t>
        </r>
      </text>
    </comment>
    <comment ref="B8" authorId="0" shapeId="0">
      <text>
        <r>
          <rPr>
            <b/>
            <sz val="8"/>
            <rFont val="Tahoma"/>
            <family val="2"/>
          </rPr>
          <t>ja</t>
        </r>
        <r>
          <rPr>
            <sz val="8"/>
            <rFont val="Tahoma"/>
            <family val="2"/>
          </rPr>
          <t xml:space="preserve"> / 
</t>
        </r>
        <r>
          <rPr>
            <b/>
            <sz val="8"/>
            <rFont val="Tahoma"/>
            <family val="2"/>
          </rPr>
          <t>teilweise</t>
        </r>
        <r>
          <rPr>
            <sz val="8"/>
            <rFont val="Tahoma"/>
            <family val="2"/>
          </rPr>
          <t xml:space="preserve"> / 
</t>
        </r>
        <r>
          <rPr>
            <b/>
            <sz val="8"/>
            <rFont val="Tahoma"/>
            <family val="2"/>
          </rPr>
          <t>nein</t>
        </r>
        <r>
          <rPr>
            <sz val="8"/>
            <rFont val="Tahoma"/>
            <family val="2"/>
          </rPr>
          <t xml:space="preserve">, d.h. nur implizite Annahmen
</t>
        </r>
        <r>
          <rPr>
            <sz val="8"/>
            <rFont val="Tahoma"/>
            <family val="2"/>
          </rPr>
          <t xml:space="preserve">Für eine detaillierte Erhebung der PA sind mögliche Dimensionen je nach Werktyp im triwicki https://intranet.trivadis.com/wiki/bin/view/Technologies/APMTechAreaHome#BID_Performance_Risks erfasst. </t>
        </r>
      </text>
    </comment>
    <comment ref="A9" authorId="0" shapeId="0">
      <text>
        <r>
          <rPr>
            <sz val="8"/>
            <rFont val="Tahoma"/>
            <family val="2"/>
          </rPr>
          <t>Habe ich insgesamt ein klares Bild vom Gesamtumfang der PA des Kundenprojekts?</t>
        </r>
      </text>
    </comment>
    <comment ref="B9" authorId="0" shapeId="0">
      <text>
        <r>
          <rPr>
            <b/>
            <sz val="8"/>
            <rFont val="Tahoma"/>
            <family val="2"/>
          </rPr>
          <t>ja</t>
        </r>
        <r>
          <rPr>
            <sz val="8"/>
            <rFont val="Tahoma"/>
            <family val="2"/>
          </rPr>
          <t xml:space="preserve"> (erlaubt das Ergebnis 2.11 zu formulieren) / 
</t>
        </r>
        <r>
          <rPr>
            <b/>
            <sz val="8"/>
            <rFont val="Tahoma"/>
            <family val="2"/>
          </rPr>
          <t>nein</t>
        </r>
        <r>
          <rPr>
            <sz val="8"/>
            <rFont val="Tahoma"/>
            <family val="2"/>
          </rPr>
          <t xml:space="preserve"> (Versuch die Erhebung noch einmal zu vertiefen oder sonst müssen die Ergebnisse/Empfehlungen entsprechend vorsichtig ausfallen )</t>
        </r>
      </text>
    </comment>
    <comment ref="A10" authorId="0" shapeId="0">
      <text>
        <r>
          <rPr>
            <sz val="8"/>
            <rFont val="Tahoma"/>
            <family val="2"/>
          </rPr>
          <t xml:space="preserve">Sind einige der PA für den Kunden als unternehmenskritisch einzustufen und kann ich die (max. 3) kritischsten PA benennen? </t>
        </r>
      </text>
    </comment>
    <comment ref="B10" authorId="0" shapeId="0">
      <text>
        <r>
          <rPr>
            <b/>
            <sz val="8"/>
            <rFont val="Tahoma"/>
            <family val="2"/>
          </rPr>
          <t>ja</t>
        </r>
        <r>
          <rPr>
            <sz val="8"/>
            <rFont val="Tahoma"/>
            <family val="2"/>
          </rPr>
          <t xml:space="preserve"> (erlaubt das Ergebnis 2.11 zu formulieren) / 
</t>
        </r>
        <r>
          <rPr>
            <b/>
            <sz val="8"/>
            <rFont val="Tahoma"/>
            <family val="2"/>
          </rPr>
          <t>nein</t>
        </r>
        <r>
          <rPr>
            <sz val="8"/>
            <rFont val="Tahoma"/>
            <family val="2"/>
          </rPr>
          <t xml:space="preserve"> (Versuch die Erhebung noch einmal zu vertiefen oder sonst müssen die Ergebnisse/Empfehlungen entsprechend vorsichtig ausfallen )</t>
        </r>
      </text>
    </comment>
    <comment ref="A11" authorId="0" shapeId="0">
      <text>
        <r>
          <rPr>
            <sz val="8"/>
            <rFont val="Tahoma"/>
            <family val="2"/>
          </rPr>
          <t>Kenne ich vergleichbare Projekte (TVD oder andere Marktanbieter), in dem solche PA realisiert wurden bzw. auch nicht realisiert werden konnten?</t>
        </r>
      </text>
    </comment>
    <comment ref="B11" authorId="0" shapeId="0">
      <text>
        <r>
          <rPr>
            <b/>
            <sz val="8"/>
            <rFont val="Tahoma"/>
            <family val="2"/>
          </rPr>
          <t>erfolgreiches Projekt</t>
        </r>
        <r>
          <rPr>
            <sz val="8"/>
            <rFont val="Tahoma"/>
            <family val="2"/>
          </rPr>
          <t xml:space="preserve"> /
</t>
        </r>
        <r>
          <rPr>
            <b/>
            <sz val="8"/>
            <rFont val="Tahoma"/>
            <family val="2"/>
          </rPr>
          <t>kein Projekt</t>
        </r>
        <r>
          <rPr>
            <sz val="8"/>
            <rFont val="Tahoma"/>
            <family val="2"/>
          </rPr>
          <t xml:space="preserve"> / 
</t>
        </r>
        <r>
          <rPr>
            <b/>
            <sz val="8"/>
            <rFont val="Tahoma"/>
            <family val="2"/>
          </rPr>
          <t>gescheitertes Projekt</t>
        </r>
        <r>
          <rPr>
            <sz val="8"/>
            <rFont val="Tahoma"/>
            <family val="2"/>
          </rPr>
          <t xml:space="preserve"> 
(erlaubt das Ergebnis 2.14 zu formulieren)</t>
        </r>
      </text>
    </comment>
    <comment ref="A14" authorId="0" shapeId="0">
      <text>
        <r>
          <rPr>
            <sz val="8"/>
            <rFont val="Tahoma"/>
            <family val="2"/>
          </rPr>
          <t>Formulierung der wahrgenommenen PA des Kundenprojekts</t>
        </r>
      </text>
    </comment>
    <comment ref="B14" authorId="0" shapeId="0">
      <text>
        <r>
          <rPr>
            <sz val="8"/>
            <rFont val="Tahoma"/>
            <family val="2"/>
          </rPr>
          <t>kurzes Statement, das die für den Kunden wichtigsten PA nach der persönlichen Wahrnehmung und Einschätzung zusammenfasst; 
wenn möglich eine Quantifizierung der PA; Klassifizierung und Trennung von kritischen und unkritischen PA; Angabe der (max. 3) kritischsten PA</t>
        </r>
      </text>
    </comment>
    <comment ref="B15" authorId="0" shapeId="0">
      <text>
        <r>
          <rPr>
            <sz val="8"/>
            <rFont val="Tahoma"/>
            <family val="2"/>
          </rPr>
          <t xml:space="preserve">Vorschlag zur Architektur und Technologie für die Projektumsetzung </t>
        </r>
      </text>
    </comment>
    <comment ref="B16" authorId="0" shapeId="0">
      <text>
        <r>
          <rPr>
            <sz val="8"/>
            <rFont val="Tahoma"/>
            <family val="2"/>
          </rPr>
          <t xml:space="preserve">Vorschlag zu Entwicklungssystemen (Werkzeuge, Frameworks) und Produkten oder Komponenten für die Projektumsetzung </t>
        </r>
      </text>
    </comment>
    <comment ref="B17" authorId="0" shapeId="0">
      <text>
        <r>
          <rPr>
            <sz val="8"/>
            <rFont val="Tahoma"/>
            <family val="2"/>
          </rPr>
          <t xml:space="preserve">Hinweise auf ähnliche, vergleichbare Projekte (erfolgreich oder auch nicht), Kontaktpersonen, etc. </t>
        </r>
      </text>
    </comment>
    <comment ref="A20" authorId="0" shapeId="0">
      <text>
        <r>
          <rPr>
            <sz val="8"/>
            <rFont val="Tahoma"/>
            <family val="2"/>
          </rPr>
          <t>''No Go' zur Offerte aus TVD APM Sicht empfohlen</t>
        </r>
      </text>
    </comment>
    <comment ref="B20" authorId="0" shapeId="0">
      <text>
        <r>
          <rPr>
            <b/>
            <sz val="8"/>
            <rFont val="Tahoma"/>
            <family val="2"/>
          </rPr>
          <t>ja</t>
        </r>
        <r>
          <rPr>
            <sz val="8"/>
            <rFont val="Tahoma"/>
            <family val="2"/>
          </rPr>
          <t xml:space="preserve"> / </t>
        </r>
        <r>
          <rPr>
            <b/>
            <sz val="8"/>
            <rFont val="Tahoma"/>
            <family val="2"/>
          </rPr>
          <t>nein</t>
        </r>
        <r>
          <rPr>
            <sz val="8"/>
            <rFont val="Tahoma"/>
            <family val="2"/>
          </rPr>
          <t xml:space="preserve">
==&gt; Übertrag auf Blatt 1 - Lead Qualifikation (Review)</t>
        </r>
      </text>
    </comment>
    <comment ref="A21" authorId="0" shapeId="0">
      <text>
        <r>
          <rPr>
            <sz val="8"/>
            <rFont val="Tahoma"/>
            <family val="2"/>
          </rPr>
          <t>Beteiligung von TVD APM am Review der Offerte empfohlen</t>
        </r>
      </text>
    </comment>
    <comment ref="B21" authorId="0" shapeId="0">
      <text>
        <r>
          <rPr>
            <b/>
            <sz val="8"/>
            <rFont val="Tahoma"/>
            <family val="2"/>
          </rPr>
          <t>ja</t>
        </r>
        <r>
          <rPr>
            <sz val="8"/>
            <rFont val="Tahoma"/>
            <family val="2"/>
          </rPr>
          <t xml:space="preserve"> (falls das Risiko aus TVD APM Sicht überdurchschnittlich ist) / 
</t>
        </r>
        <r>
          <rPr>
            <b/>
            <sz val="8"/>
            <rFont val="Tahoma"/>
            <family val="2"/>
          </rPr>
          <t>nein</t>
        </r>
        <r>
          <rPr>
            <sz val="8"/>
            <rFont val="Tahoma"/>
            <family val="2"/>
          </rPr>
          <t xml:space="preserve"> (sonst)</t>
        </r>
      </text>
    </comment>
    <comment ref="A22" authorId="0" shapeId="0">
      <text>
        <r>
          <rPr>
            <sz val="8"/>
            <rFont val="Tahoma"/>
            <family val="2"/>
          </rPr>
          <t>Erstellung einer Fein-/Detailspezifikation im Rahmen eines gestuften Projektvorgehens zwingend empfohlen</t>
        </r>
      </text>
    </comment>
    <comment ref="B22" authorId="0" shapeId="0">
      <text>
        <r>
          <rPr>
            <b/>
            <sz val="8"/>
            <rFont val="Tahoma"/>
            <family val="2"/>
          </rPr>
          <t>ja</t>
        </r>
        <r>
          <rPr>
            <sz val="8"/>
            <rFont val="Tahoma"/>
            <family val="2"/>
          </rPr>
          <t xml:space="preserve"> (falls das Risiko aus TVD APM Sicht aufgrund von unvollständigen PA nicht ausreichend eingeschätzt werden kann) / 
</t>
        </r>
        <r>
          <rPr>
            <b/>
            <sz val="8"/>
            <rFont val="Tahoma"/>
            <family val="2"/>
          </rPr>
          <t>nein</t>
        </r>
        <r>
          <rPr>
            <sz val="8"/>
            <rFont val="Tahoma"/>
            <family val="2"/>
          </rPr>
          <t xml:space="preserve"> (sonst)</t>
        </r>
      </text>
    </comment>
    <comment ref="A23" authorId="0" shapeId="0">
      <text>
        <r>
          <rPr>
            <sz val="8"/>
            <rFont val="Tahoma"/>
            <family val="2"/>
          </rPr>
          <t>Beteiligung von TVD APM am Review der Fein-/Detailspezifikation empfohlen</t>
        </r>
      </text>
    </comment>
    <comment ref="B23" authorId="0" shapeId="0">
      <text>
        <r>
          <rPr>
            <b/>
            <sz val="8"/>
            <rFont val="Tahoma"/>
            <family val="2"/>
          </rPr>
          <t>ja</t>
        </r>
        <r>
          <rPr>
            <sz val="8"/>
            <rFont val="Tahoma"/>
            <family val="2"/>
          </rPr>
          <t xml:space="preserve"> (falls sich das Risiko aus TVD APM Sicht nach der Fein-/Detailspezifikation vermutlich als erheblich darstellen wird) / 
</t>
        </r>
        <r>
          <rPr>
            <b/>
            <sz val="8"/>
            <rFont val="Tahoma"/>
            <family val="2"/>
          </rPr>
          <t>nein</t>
        </r>
        <r>
          <rPr>
            <sz val="8"/>
            <rFont val="Tahoma"/>
            <family val="2"/>
          </rPr>
          <t xml:space="preserve"> (sonst)</t>
        </r>
      </text>
    </comment>
  </commentList>
</comments>
</file>

<file path=xl/comments11.xml><?xml version="1.0" encoding="utf-8"?>
<comments xmlns="http://schemas.openxmlformats.org/spreadsheetml/2006/main">
  <authors>
    <author>Christoph Kappler</author>
  </authors>
  <commentList>
    <comment ref="G31" authorId="0" shapeId="0">
      <text>
        <r>
          <rPr>
            <b/>
            <sz val="9"/>
            <color indexed="81"/>
            <rFont val="Tahoma"/>
            <family val="2"/>
          </rPr>
          <t>Christoph Kappler:</t>
        </r>
        <r>
          <rPr>
            <sz val="9"/>
            <color indexed="81"/>
            <rFont val="Tahoma"/>
            <family val="2"/>
          </rPr>
          <t xml:space="preserve">
Verweis auf Masterdata Sheet</t>
        </r>
      </text>
    </comment>
  </commentList>
</comments>
</file>

<file path=xl/connections.xml><?xml version="1.0" encoding="utf-8"?>
<connections xmlns="http://schemas.openxmlformats.org/spreadsheetml/2006/main">
  <connection id="1" odcFile="C:\Users\kac\Documents\My Data Sources\TrimaranCubeConnect.odc" keepAlive="1" name="TrimaranCubeConnect" description="Cube Connection to SSAS Cube Trimaran2 which contains TVD SAP data" type="5" refreshedVersion="4" background="1">
    <dbPr connection="Provider=MSOLAP.5;Integrated Security=SSPI;Persist Security Info=True;Initial Catalog=Trimaran 2;Data Source=VAPS023;MDX Compatibility=1;Safety Options=2;MDX Missing Member Mode=Error" command="Trimaran"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rimaranCubeConnect"/>
    <s v="{[Service].[Charging].&amp;[Chargeable]}"/>
    <s v="{[Account].[Account Main Group].&amp;[100 Erträge]}"/>
    <s v="{[Order].[Order].&amp;[BDS/PSR Release [5027077]]]}"/>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<sst xmlns="http://schemas.openxmlformats.org/spreadsheetml/2006/main" count="3052" uniqueCount="1615">
  <si>
    <t>Workpackages</t>
  </si>
  <si>
    <t>Duration</t>
  </si>
  <si>
    <t>Effort (in days)</t>
  </si>
  <si>
    <t>Cost and Price</t>
  </si>
  <si>
    <t>Position No.</t>
  </si>
  <si>
    <t>Title</t>
  </si>
  <si>
    <t>Start</t>
  </si>
  <si>
    <t>End</t>
  </si>
  <si>
    <t>Activity type</t>
  </si>
  <si>
    <t>Project phase</t>
  </si>
  <si>
    <t>Optimal</t>
  </si>
  <si>
    <t>Probably</t>
  </si>
  <si>
    <t>Pessimis-tically</t>
  </si>
  <si>
    <t>Expected</t>
  </si>
  <si>
    <t>Internal Cost</t>
  </si>
  <si>
    <t>External Price</t>
  </si>
  <si>
    <t>Assumptions, Notes</t>
  </si>
  <si>
    <t>Technical Master Data</t>
  </si>
  <si>
    <t>Rating</t>
  </si>
  <si>
    <t>TMDPeriodValueType</t>
  </si>
  <si>
    <t>TMDYesNo</t>
  </si>
  <si>
    <t>TMDSAPReportLayout</t>
  </si>
  <si>
    <t>forecast</t>
  </si>
  <si>
    <t>yes</t>
  </si>
  <si>
    <t>01 geleistet, verrechnet, Ansatz, Wert</t>
  </si>
  <si>
    <t>Risk Rating</t>
  </si>
  <si>
    <t>reported</t>
  </si>
  <si>
    <t>no</t>
  </si>
  <si>
    <t>02 verrechnet, Ansatz, Wert</t>
  </si>
  <si>
    <t>03 verrechnet</t>
  </si>
  <si>
    <t>Probability</t>
  </si>
  <si>
    <t>very low</t>
  </si>
  <si>
    <t>04 Wert</t>
  </si>
  <si>
    <t>low</t>
  </si>
  <si>
    <t>TMDProjectPhase</t>
  </si>
  <si>
    <t>TMDTrafficLight</t>
  </si>
  <si>
    <t>05 geleistet</t>
  </si>
  <si>
    <t>medium</t>
  </si>
  <si>
    <t>Project Setup</t>
  </si>
  <si>
    <t>Red</t>
  </si>
  <si>
    <t>06 geleistet, verrechnet</t>
  </si>
  <si>
    <t>high</t>
  </si>
  <si>
    <t>Analysis</t>
  </si>
  <si>
    <t>Yellow</t>
  </si>
  <si>
    <t>11 Faktor auf Stundensatz, gel., verr., Ansatz, Wert</t>
  </si>
  <si>
    <t>very high</t>
  </si>
  <si>
    <t>Specification</t>
  </si>
  <si>
    <t>Green</t>
  </si>
  <si>
    <t>12 Faktor auf Stundensatz, verrechnet, Ansatz, Wert</t>
  </si>
  <si>
    <t>Realisation</t>
  </si>
  <si>
    <t>13 Faktor auf Stundensatz, verrechnet</t>
  </si>
  <si>
    <t>very low</t>
  </si>
  <si>
    <t>low</t>
  </si>
  <si>
    <t>medium</t>
  </si>
  <si>
    <t>high</t>
  </si>
  <si>
    <t>very high</t>
  </si>
  <si>
    <t>Testing</t>
  </si>
  <si>
    <t>14 Faktor auf Stundensatz, Wert</t>
  </si>
  <si>
    <t>Rollout</t>
  </si>
  <si>
    <t>15 Faktor auf Stundensatz, geleistet</t>
  </si>
  <si>
    <t>Impact</t>
  </si>
  <si>
    <t>Ongoing Task</t>
  </si>
  <si>
    <t>TMDCurrency</t>
  </si>
  <si>
    <t>16 Faktor auf Stundensatz, geleistet, verrechnet</t>
  </si>
  <si>
    <t>Change (fix)</t>
  </si>
  <si>
    <t>CHF</t>
  </si>
  <si>
    <t>21 Faktor auf Stunde, gel., verr., Ansatz, Wert</t>
  </si>
  <si>
    <t>Classification of risk</t>
  </si>
  <si>
    <t>projektgefährdende Risiken</t>
  </si>
  <si>
    <t>sofortige Aufmerksamkeit</t>
  </si>
  <si>
    <t>&gt;</t>
  </si>
  <si>
    <t>Change (T&amp;M)</t>
  </si>
  <si>
    <t>T&amp;M</t>
  </si>
  <si>
    <t>EUR</t>
  </si>
  <si>
    <t>22 Faktor auf Stunde, verrechnet, Ansatz, Wert</t>
  </si>
  <si>
    <t>schwerwiegende Risiken</t>
  </si>
  <si>
    <t>regelmässige Prüfung</t>
  </si>
  <si>
    <t>bis</t>
  </si>
  <si>
    <t>USD</t>
  </si>
  <si>
    <t>23 Faktor auf Stunde, verrechnet</t>
  </si>
  <si>
    <t>unbedeutende Risiken</t>
  </si>
  <si>
    <t>im Auge behalten</t>
  </si>
  <si>
    <t>&lt;</t>
  </si>
  <si>
    <t>TMDContractType</t>
  </si>
  <si>
    <t>24 Faktor auf Stunde, Wert</t>
  </si>
  <si>
    <t>Fixpreis</t>
  </si>
  <si>
    <t>TMDAllocationType</t>
  </si>
  <si>
    <t>25 Faktor auf Stunde, geleistet</t>
  </si>
  <si>
    <t>Aufwand ohne Kostendach</t>
  </si>
  <si>
    <t>26 Faktor auf Stunde, geleistet, verrechnet</t>
  </si>
  <si>
    <t>Aufwand mit Kostendach</t>
  </si>
  <si>
    <t>nach Aufwand</t>
  </si>
  <si>
    <t xml:space="preserve"> Financial Rating (typically project volume between 300000 and 1000000 CHF)</t>
  </si>
  <si>
    <t>fix</t>
  </si>
  <si>
    <t>TMDLocArea</t>
  </si>
  <si>
    <t>TMDOrderType</t>
  </si>
  <si>
    <t>nicht verrechenbar</t>
  </si>
  <si>
    <t>BE-AD</t>
  </si>
  <si>
    <t>Budget vs. A&amp;F</t>
  </si>
  <si>
    <t>Planned vs. A&amp;F</t>
  </si>
  <si>
    <t>Current Planned vs. Actual</t>
  </si>
  <si>
    <t>Projektauftrag (ZST1)</t>
  </si>
  <si>
    <t>BE-BI</t>
  </si>
  <si>
    <t>Yellow</t>
  </si>
  <si>
    <t>Yellow</t>
  </si>
  <si>
    <t>Yellow</t>
  </si>
  <si>
    <t>FlexSourcing (ZLV1)</t>
  </si>
  <si>
    <t>BE-IMS</t>
  </si>
  <si>
    <t>Red</t>
  </si>
  <si>
    <t>Red</t>
  </si>
  <si>
    <t>Red</t>
  </si>
  <si>
    <t>Lizenzverkauf (ZST3)</t>
  </si>
  <si>
    <t>BE-SEC</t>
  </si>
  <si>
    <t>Marketing (ZSC1)</t>
  </si>
  <si>
    <t>TMDTechnology</t>
  </si>
  <si>
    <t>BE-TR</t>
  </si>
  <si>
    <t>Infrastruktur (ZSC3)</t>
  </si>
  <si>
    <t>IBM</t>
  </si>
  <si>
    <t>BS-AD</t>
  </si>
  <si>
    <t>Trainings (ZSC5)</t>
  </si>
  <si>
    <t>Microsoft</t>
  </si>
  <si>
    <t>BS-BI</t>
  </si>
  <si>
    <t>Time Rating</t>
  </si>
  <si>
    <t>Oracle</t>
  </si>
  <si>
    <t>BS-IMS</t>
  </si>
  <si>
    <t>TMDSolutionArea</t>
  </si>
  <si>
    <t>Others / Diverse</t>
  </si>
  <si>
    <t>BS-TR</t>
  </si>
  <si>
    <t>Milestones</t>
  </si>
  <si>
    <t>AD</t>
  </si>
  <si>
    <t>not applicable</t>
  </si>
  <si>
    <t>DF-AD</t>
  </si>
  <si>
    <t>AMS</t>
  </si>
  <si>
    <t>DF-IMS</t>
  </si>
  <si>
    <t>TMDReportPeriod</t>
  </si>
  <si>
    <t>DF-SEC</t>
  </si>
  <si>
    <t>Monthly</t>
  </si>
  <si>
    <t>DF-TR</t>
  </si>
  <si>
    <t>BI</t>
  </si>
  <si>
    <t>Twoweekly</t>
  </si>
  <si>
    <t>FF-AD</t>
  </si>
  <si>
    <t>Weekly</t>
  </si>
  <si>
    <t>Version</t>
  </si>
  <si>
    <t>FF-IMS</t>
  </si>
  <si>
    <t>FF-TR</t>
  </si>
  <si>
    <t>IMS</t>
  </si>
  <si>
    <t>FR-AD</t>
  </si>
  <si>
    <t>TMDRisktype</t>
  </si>
  <si>
    <t>FR-BI</t>
  </si>
  <si>
    <t>TR</t>
  </si>
  <si>
    <t>FR-TR</t>
  </si>
  <si>
    <t>not applicable</t>
  </si>
  <si>
    <t>Customer/Partner</t>
  </si>
  <si>
    <t>HH-AD</t>
  </si>
  <si>
    <t>Ressources</t>
  </si>
  <si>
    <t>HH-IMS</t>
  </si>
  <si>
    <t>TMDLanguage</t>
  </si>
  <si>
    <t>Technology</t>
  </si>
  <si>
    <t>HH-TR</t>
  </si>
  <si>
    <t>Deutsch</t>
  </si>
  <si>
    <t>Contract</t>
  </si>
  <si>
    <t>LS-AD</t>
  </si>
  <si>
    <t>Englisch</t>
  </si>
  <si>
    <t>LS-BI</t>
  </si>
  <si>
    <t>Franzözisch</t>
  </si>
  <si>
    <t>LS-IMS</t>
  </si>
  <si>
    <t>LS-TR</t>
  </si>
  <si>
    <t>MU-AD</t>
  </si>
  <si>
    <t>MU-IMS</t>
  </si>
  <si>
    <t>MU-TR</t>
  </si>
  <si>
    <t>TMDRiskStatus</t>
  </si>
  <si>
    <t>ST-AD</t>
  </si>
  <si>
    <t>not handled</t>
  </si>
  <si>
    <t>ST-BI</t>
  </si>
  <si>
    <t>action in work</t>
  </si>
  <si>
    <t>ST-IMS</t>
  </si>
  <si>
    <t>reduced</t>
  </si>
  <si>
    <t>TMDDecisionStatus</t>
  </si>
  <si>
    <t>ST-TR</t>
  </si>
  <si>
    <t>solved</t>
  </si>
  <si>
    <t>open</t>
  </si>
  <si>
    <t>WI-IMS</t>
  </si>
  <si>
    <t>pending</t>
  </si>
  <si>
    <t>WI-TR</t>
  </si>
  <si>
    <t>decided</t>
  </si>
  <si>
    <t>ZH-AD</t>
  </si>
  <si>
    <t>TMDChangeStatus</t>
  </si>
  <si>
    <t>open</t>
  </si>
  <si>
    <t>ZH-BI</t>
  </si>
  <si>
    <t>offered</t>
  </si>
  <si>
    <t>ZH-IMS</t>
  </si>
  <si>
    <t>in work</t>
  </si>
  <si>
    <t>ZH-PSD</t>
  </si>
  <si>
    <t>declined</t>
  </si>
  <si>
    <t>ZH-SEC</t>
  </si>
  <si>
    <t>closed</t>
  </si>
  <si>
    <t>ZH-TR</t>
  </si>
  <si>
    <t>TA</t>
  </si>
  <si>
    <t>TR</t>
  </si>
  <si>
    <t>other</t>
  </si>
  <si>
    <t>Activity Type</t>
  </si>
  <si>
    <t>ID</t>
  </si>
  <si>
    <t>Description</t>
  </si>
  <si>
    <t>Cost vs. Price</t>
  </si>
  <si>
    <t>Effort</t>
  </si>
  <si>
    <t>Total</t>
  </si>
  <si>
    <t>Cost per day</t>
  </si>
  <si>
    <t>Price per day</t>
  </si>
  <si>
    <t>In days</t>
  </si>
  <si>
    <t>In %</t>
  </si>
  <si>
    <t>Cost in currency</t>
  </si>
  <si>
    <t>Cost in %</t>
  </si>
  <si>
    <t>Price in currency</t>
  </si>
  <si>
    <t>Price in %</t>
  </si>
  <si>
    <t>Profit in currency</t>
  </si>
  <si>
    <t>Profit in %</t>
  </si>
  <si>
    <t>Total</t>
  </si>
  <si>
    <t>Project phase</t>
  </si>
  <si>
    <t>Description</t>
  </si>
  <si>
    <t>Effort</t>
  </si>
  <si>
    <t>Total</t>
  </si>
  <si>
    <t>In days</t>
  </si>
  <si>
    <t>In %</t>
  </si>
  <si>
    <t>Cost in currency</t>
  </si>
  <si>
    <t>Cost in %</t>
  </si>
  <si>
    <t>Price in currency</t>
  </si>
  <si>
    <t>Price in %</t>
  </si>
  <si>
    <t>Profit in currency</t>
  </si>
  <si>
    <t>Profit in %</t>
  </si>
  <si>
    <t>Total</t>
  </si>
  <si>
    <t>SD Positions</t>
  </si>
  <si>
    <t>SD Pos.</t>
  </si>
  <si>
    <t>Title</t>
  </si>
  <si>
    <t>Start</t>
  </si>
  <si>
    <t>End</t>
  </si>
  <si>
    <t>T&amp;M</t>
  </si>
  <si>
    <t>Total</t>
  </si>
  <si>
    <t>In %</t>
  </si>
  <si>
    <t>Cost in currency</t>
  </si>
  <si>
    <t>Cost in %</t>
  </si>
  <si>
    <t>Price in currency</t>
  </si>
  <si>
    <t>Price in %</t>
  </si>
  <si>
    <t>Profit in currency</t>
  </si>
  <si>
    <t>Profit in %</t>
  </si>
  <si>
    <t>Total</t>
  </si>
  <si>
    <t>Reporting date</t>
  </si>
  <si>
    <t>Quality</t>
  </si>
  <si>
    <t>Open items</t>
  </si>
  <si>
    <t>Next steps</t>
  </si>
  <si>
    <t>Reporting date</t>
  </si>
  <si>
    <t>Open items</t>
  </si>
  <si>
    <t>Next steps</t>
  </si>
  <si>
    <t>Master Data</t>
  </si>
  <si>
    <t>Contact</t>
  </si>
  <si>
    <t>Account Manager</t>
  </si>
  <si>
    <t>Project term</t>
  </si>
  <si>
    <t>Project type</t>
  </si>
  <si>
    <t>Project Owner</t>
  </si>
  <si>
    <t>SAP Nummer</t>
  </si>
  <si>
    <t>Contract type</t>
  </si>
  <si>
    <t>Project Manager</t>
  </si>
  <si>
    <t>Contract Currency</t>
  </si>
  <si>
    <t>Budget</t>
  </si>
  <si>
    <t>Travel billable</t>
  </si>
  <si>
    <t>Personal billable</t>
  </si>
  <si>
    <t>Travel non billable</t>
  </si>
  <si>
    <t>Travel</t>
  </si>
  <si>
    <t>Personal</t>
  </si>
  <si>
    <t>Completion</t>
  </si>
  <si>
    <t>Incoming Payments</t>
  </si>
  <si>
    <t>Detail Financials</t>
  </si>
  <si>
    <t>Topic</t>
  </si>
  <si>
    <t>Revenue</t>
  </si>
  <si>
    <t>Effort</t>
  </si>
  <si>
    <t>Rating in %</t>
  </si>
  <si>
    <t>Planned</t>
  </si>
  <si>
    <t>Actual</t>
  </si>
  <si>
    <t>Forecast</t>
  </si>
  <si>
    <t>Pl vs. A&amp;F</t>
  </si>
  <si>
    <t>Indicator</t>
  </si>
  <si>
    <t>Planned</t>
  </si>
  <si>
    <t>Actual</t>
  </si>
  <si>
    <t>Forecast</t>
  </si>
  <si>
    <t>Pl vs. A&amp;F</t>
  </si>
  <si>
    <t>Indicator</t>
  </si>
  <si>
    <t>Actual Completion</t>
  </si>
  <si>
    <t>Actual Revenue</t>
  </si>
  <si>
    <t>Actual Effort</t>
  </si>
  <si>
    <t>Revenue to Complete</t>
  </si>
  <si>
    <t>Master Data</t>
  </si>
  <si>
    <t>Customer</t>
  </si>
  <si>
    <t>Customer Contact</t>
  </si>
  <si>
    <t>Project Title</t>
  </si>
  <si>
    <t>Project Description</t>
  </si>
  <si>
    <t>Project term</t>
  </si>
  <si>
    <t>Account Manager</t>
  </si>
  <si>
    <t>Project Owner</t>
  </si>
  <si>
    <t>Project Manager</t>
  </si>
  <si>
    <t>Description</t>
  </si>
  <si>
    <t>Milestones</t>
  </si>
  <si>
    <t>Indicator</t>
  </si>
  <si>
    <t>Milestone Trend Analysis</t>
  </si>
  <si>
    <t>Top 5 Risks</t>
  </si>
  <si>
    <t>Date</t>
  </si>
  <si>
    <t>Severity</t>
  </si>
  <si>
    <t>Responsible</t>
  </si>
  <si>
    <t>Status</t>
  </si>
  <si>
    <t>Reason</t>
  </si>
  <si>
    <t>Effect</t>
  </si>
  <si>
    <t>Action</t>
  </si>
  <si>
    <t>Master Data</t>
  </si>
  <si>
    <t>Customer</t>
  </si>
  <si>
    <t>Customer Contact</t>
  </si>
  <si>
    <t>Project Title</t>
  </si>
  <si>
    <t>Project Description</t>
  </si>
  <si>
    <t>Project term</t>
  </si>
  <si>
    <t>Account Manager</t>
  </si>
  <si>
    <t>Project Owner</t>
  </si>
  <si>
    <t>Project Manager</t>
  </si>
  <si>
    <t>Description</t>
  </si>
  <si>
    <t>Milestones</t>
  </si>
  <si>
    <t>Indicator</t>
  </si>
  <si>
    <t>Milestone Trend Analysis</t>
  </si>
  <si>
    <t>Internal Summary</t>
  </si>
  <si>
    <t>Overall Budget</t>
  </si>
  <si>
    <t xml:space="preserve">Current Planned vs. Actual </t>
  </si>
  <si>
    <t>Time</t>
  </si>
  <si>
    <t>Risk</t>
  </si>
  <si>
    <t>Internal Financials</t>
  </si>
  <si>
    <t>Budget</t>
  </si>
  <si>
    <t>Actual</t>
  </si>
  <si>
    <t>Forecast</t>
  </si>
  <si>
    <t>Delta</t>
  </si>
  <si>
    <t>Delta in %</t>
  </si>
  <si>
    <t>Indicator</t>
  </si>
  <si>
    <t>Internal Financial Charts</t>
  </si>
  <si>
    <t>Top 5 Risks</t>
  </si>
  <si>
    <t>Title</t>
  </si>
  <si>
    <t>Date</t>
  </si>
  <si>
    <t>Amount</t>
  </si>
  <si>
    <t>Severity</t>
  </si>
  <si>
    <t>Responsible</t>
  </si>
  <si>
    <t>Status</t>
  </si>
  <si>
    <t>Description</t>
  </si>
  <si>
    <t>Reason</t>
  </si>
  <si>
    <t>Effect</t>
  </si>
  <si>
    <t>Action</t>
  </si>
  <si>
    <t>Title</t>
  </si>
  <si>
    <t>Date</t>
  </si>
  <si>
    <t>Amount</t>
  </si>
  <si>
    <t>Severity</t>
  </si>
  <si>
    <t>Responsible</t>
  </si>
  <si>
    <t>Status</t>
  </si>
  <si>
    <t>Description</t>
  </si>
  <si>
    <t>Reason</t>
  </si>
  <si>
    <t>Effect</t>
  </si>
  <si>
    <t>Action</t>
  </si>
  <si>
    <t>Title</t>
  </si>
  <si>
    <t>Date</t>
  </si>
  <si>
    <t>Amount</t>
  </si>
  <si>
    <t>Severity</t>
  </si>
  <si>
    <t>Responsible</t>
  </si>
  <si>
    <t>Status</t>
  </si>
  <si>
    <t>Description</t>
  </si>
  <si>
    <t>Reason</t>
  </si>
  <si>
    <t>Effect</t>
  </si>
  <si>
    <t>Action</t>
  </si>
  <si>
    <t>Title</t>
  </si>
  <si>
    <t>Date</t>
  </si>
  <si>
    <t>Amount</t>
  </si>
  <si>
    <t>Severity</t>
  </si>
  <si>
    <t>Responsible</t>
  </si>
  <si>
    <t>Status</t>
  </si>
  <si>
    <t>Description</t>
  </si>
  <si>
    <t>Reason</t>
  </si>
  <si>
    <t>Effect</t>
  </si>
  <si>
    <t>Action</t>
  </si>
  <si>
    <t>Title</t>
  </si>
  <si>
    <t>Date</t>
  </si>
  <si>
    <t>Amount</t>
  </si>
  <si>
    <t>Severity</t>
  </si>
  <si>
    <t>Responsible</t>
  </si>
  <si>
    <t>Status</t>
  </si>
  <si>
    <t>Description</t>
  </si>
  <si>
    <t>Reason</t>
  </si>
  <si>
    <t>Effect</t>
  </si>
  <si>
    <t>Action</t>
  </si>
  <si>
    <t>Top 5 Risks Chart</t>
  </si>
  <si>
    <t>Internal Description</t>
  </si>
  <si>
    <t>Reporting date</t>
  </si>
  <si>
    <t>Milestone</t>
  </si>
  <si>
    <t>Approved</t>
  </si>
  <si>
    <t>Planned</t>
  </si>
  <si>
    <t>Expected</t>
  </si>
  <si>
    <t>no</t>
  </si>
  <si>
    <t>no</t>
  </si>
  <si>
    <t>no</t>
  </si>
  <si>
    <t>no</t>
  </si>
  <si>
    <t>no</t>
  </si>
  <si>
    <t>no</t>
  </si>
  <si>
    <t>no</t>
  </si>
  <si>
    <t>no</t>
  </si>
  <si>
    <t>no</t>
  </si>
  <si>
    <t>no</t>
  </si>
  <si>
    <t>no</t>
  </si>
  <si>
    <t>Cost calculation</t>
  </si>
  <si>
    <t>Price calculation</t>
  </si>
  <si>
    <t>Position</t>
  </si>
  <si>
    <t>Effort in days</t>
  </si>
  <si>
    <t>Total
cost</t>
  </si>
  <si>
    <t xml:space="preserve"> Surcharge</t>
  </si>
  <si>
    <t>Total
price</t>
  </si>
  <si>
    <t>Calculated price (minimum)</t>
  </si>
  <si>
    <t>Activity price</t>
  </si>
  <si>
    <t>Component price</t>
  </si>
  <si>
    <t>Risk charge explicit</t>
  </si>
  <si>
    <t>Negotiable price</t>
  </si>
  <si>
    <t>Price offered</t>
  </si>
  <si>
    <t>Calculated contribution margin</t>
  </si>
  <si>
    <t>Cost (activity + components)</t>
  </si>
  <si>
    <t>Price (incl. risk, margin &amp; other)</t>
  </si>
  <si>
    <t>Contribution margin</t>
  </si>
  <si>
    <t>Total/Average</t>
  </si>
  <si>
    <t>Components</t>
  </si>
  <si>
    <t>Count</t>
  </si>
  <si>
    <t>Internal
unit cost</t>
  </si>
  <si>
    <t>Total
cost</t>
  </si>
  <si>
    <t xml:space="preserve"> Surcharge</t>
  </si>
  <si>
    <t>External
unit price</t>
  </si>
  <si>
    <t>Total
price</t>
  </si>
  <si>
    <t>Total</t>
  </si>
  <si>
    <t>Calculated</t>
  </si>
  <si>
    <t xml:space="preserve">Offered </t>
  </si>
  <si>
    <t>Opened</t>
  </si>
  <si>
    <t>In progress</t>
  </si>
  <si>
    <t>Finance</t>
  </si>
  <si>
    <t>Back to overview</t>
  </si>
  <si>
    <t>No Go</t>
  </si>
  <si>
    <t>TVD APM</t>
  </si>
  <si>
    <t>Master Data</t>
  </si>
  <si>
    <t>Customer</t>
  </si>
  <si>
    <t>Customer Contact</t>
  </si>
  <si>
    <t>Project Name</t>
  </si>
  <si>
    <t>Project Description</t>
  </si>
  <si>
    <t>Contract Type</t>
  </si>
  <si>
    <t>Contract Currency</t>
  </si>
  <si>
    <t>SAP Number</t>
  </si>
  <si>
    <t>Estimated Contract Volume</t>
  </si>
  <si>
    <t>Project Business Manager</t>
  </si>
  <si>
    <t>Project Manager</t>
  </si>
  <si>
    <t xml:space="preserve">Project Owner </t>
  </si>
  <si>
    <t>Account Manager</t>
  </si>
  <si>
    <t>Lead Owner</t>
  </si>
  <si>
    <t>Solution Manager</t>
  </si>
  <si>
    <t>Bid Manager</t>
  </si>
  <si>
    <t>Project Start</t>
  </si>
  <si>
    <t>Project End (planned)</t>
  </si>
  <si>
    <t>Project Type</t>
  </si>
  <si>
    <t>Reporting Period</t>
  </si>
  <si>
    <t>Activity Type</t>
  </si>
  <si>
    <t>ID</t>
  </si>
  <si>
    <t>Description</t>
  </si>
  <si>
    <t>Internal cost</t>
  </si>
  <si>
    <t>External price</t>
  </si>
  <si>
    <t>per hour</t>
  </si>
  <si>
    <t>per day</t>
  </si>
  <si>
    <t>per hour</t>
  </si>
  <si>
    <t>per day</t>
  </si>
  <si>
    <t>Possible reporting dates</t>
  </si>
  <si>
    <t>Real reporting dates</t>
  </si>
  <si>
    <t>Project Totals</t>
  </si>
  <si>
    <t>Revenue billable</t>
  </si>
  <si>
    <t>Revenue non billable</t>
  </si>
  <si>
    <t>Revenue</t>
  </si>
  <si>
    <t>Effort</t>
  </si>
  <si>
    <t>Completion</t>
  </si>
  <si>
    <t xml:space="preserve">Travel </t>
  </si>
  <si>
    <t xml:space="preserve">Personal   </t>
  </si>
  <si>
    <t>Subtotal</t>
  </si>
  <si>
    <t xml:space="preserve">Travel </t>
  </si>
  <si>
    <t xml:space="preserve">Personal  </t>
  </si>
  <si>
    <t xml:space="preserve">Subtotal </t>
  </si>
  <si>
    <t>planned</t>
  </si>
  <si>
    <t>balance</t>
  </si>
  <si>
    <t>Title</t>
  </si>
  <si>
    <t>SD No.</t>
  </si>
  <si>
    <t>Reported</t>
  </si>
  <si>
    <t>Balanced</t>
  </si>
  <si>
    <t>Last Reported Period</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</si>
  <si>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</si>
  <si>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</si>
  <si>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</si>
  <si>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</si>
  <si>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</si>
  <si>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</si>
  <si>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</si>
  <si>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</si>
  <si>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</si>
  <si>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</si>
  <si>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</si>
  <si>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</si>
  <si>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</si>
  <si>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</si>
  <si>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</si>
  <si>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</si>
  <si>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</si>
  <si>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</si>
  <si>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</si>
  <si>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</si>
  <si>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</si>
  <si>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</si>
  <si>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</si>
  <si>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</si>
  <si>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</si>
  <si>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</si>
  <si>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</si>
  <si>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</si>
  <si>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forecast</t>
  </si>
  <si>
    <t>Incoming payments</t>
  </si>
  <si>
    <t>billable</t>
  </si>
  <si>
    <t>non billable</t>
  </si>
  <si>
    <t>Completion (%)</t>
  </si>
  <si>
    <t>Reported / … / Total Share / Reported Share</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</si>
  <si>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</si>
  <si>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</si>
  <si>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</si>
  <si>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</si>
  <si>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</si>
  <si>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</si>
  <si>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</si>
  <si>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</si>
  <si>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</si>
  <si>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</si>
  <si>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</si>
  <si>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</si>
  <si>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</si>
  <si>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</si>
  <si>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</si>
  <si>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</si>
  <si>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</si>
  <si>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</si>
  <si>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</si>
  <si>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</si>
  <si>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</si>
  <si>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</si>
  <si>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</si>
  <si>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</si>
  <si>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</si>
  <si>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</si>
  <si>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</si>
  <si>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</si>
  <si>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</si>
  <si>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</si>
  <si>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</si>
  <si>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</si>
  <si>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</si>
  <si>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</si>
  <si>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</si>
  <si>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</si>
  <si>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</si>
  <si>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</si>
  <si>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</si>
  <si>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</si>
  <si>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</si>
  <si>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</si>
  <si>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</si>
  <si>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</si>
  <si>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</si>
  <si>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</si>
  <si>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</si>
  <si>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</si>
  <si>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</si>
  <si>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</si>
  <si>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</si>
  <si>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</si>
  <si>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</si>
  <si>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</si>
  <si>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</si>
  <si>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</si>
  <si>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</si>
  <si>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</si>
  <si>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</si>
  <si>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</si>
  <si>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</si>
  <si>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</si>
  <si>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</si>
  <si>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</si>
  <si>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</si>
  <si>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</si>
  <si>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</si>
  <si>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</si>
  <si>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</si>
  <si>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</si>
  <si>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</si>
  <si>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</si>
  <si>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</si>
  <si>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</si>
  <si>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</si>
  <si>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</si>
  <si>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</si>
  <si>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</si>
  <si>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</si>
  <si>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</si>
  <si>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</si>
  <si>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</si>
  <si>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</si>
  <si>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</si>
  <si>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</si>
  <si>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</si>
  <si>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</si>
  <si>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</si>
  <si>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</si>
  <si>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</si>
  <si>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</si>
  <si>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</si>
  <si>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</si>
  <si>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</si>
  <si>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</si>
  <si>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</si>
  <si>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</si>
  <si>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</si>
  <si>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</si>
  <si>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</si>
  <si>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</si>
  <si>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</si>
  <si>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</si>
  <si>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</si>
  <si>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</si>
  <si>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</si>
  <si>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</si>
  <si>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</si>
  <si>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</si>
  <si>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</si>
  <si>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</si>
  <si>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</si>
  <si>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</si>
  <si>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</si>
  <si>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</si>
  <si>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Completion (%)</t>
  </si>
  <si>
    <t>Effort (h)</t>
  </si>
  <si>
    <t>Revenue billable</t>
  </si>
  <si>
    <t>Revenue non billable</t>
  </si>
  <si>
    <t>Reported values</t>
  </si>
  <si>
    <t>Total billable</t>
  </si>
  <si>
    <t>Personal  non billable</t>
  </si>
  <si>
    <t>Total non clearable</t>
  </si>
  <si>
    <t>Project Revenue</t>
  </si>
  <si>
    <t>Project Effort</t>
  </si>
  <si>
    <t>Forecasted values</t>
  </si>
  <si>
    <t>Total non billable</t>
  </si>
  <si>
    <t>Reported planned values</t>
  </si>
  <si>
    <t>Forecasted planned values</t>
  </si>
  <si>
    <t xml:space="preserve">Personal </t>
  </si>
  <si>
    <t>Totals for financial chart</t>
  </si>
  <si>
    <t>Actual Cost &amp; Forecast</t>
  </si>
  <si>
    <t>Actual billable</t>
  </si>
  <si>
    <t>Actual non billable</t>
  </si>
  <si>
    <t>Forecast billable</t>
  </si>
  <si>
    <t>Forecast non billable</t>
  </si>
  <si>
    <t>Actual Payments</t>
  </si>
  <si>
    <t>Forcasted Payments</t>
  </si>
  <si>
    <t>1. Kunde</t>
  </si>
  <si>
    <t>Bemerkungen, Ergänzungen</t>
  </si>
  <si>
    <t>Firmenname</t>
  </si>
  <si>
    <t>Bestell-Nr.</t>
  </si>
  <si>
    <t>Zusatz</t>
  </si>
  <si>
    <t>Sprache</t>
  </si>
  <si>
    <t>Strasse / Nr.</t>
  </si>
  <si>
    <t>Telefon-Nr.</t>
  </si>
  <si>
    <t>Postfach</t>
  </si>
  <si>
    <t>Fax-Nr.</t>
  </si>
  <si>
    <t>PLZ / Ort</t>
  </si>
  <si>
    <t>Land</t>
  </si>
  <si>
    <t>2. Rapportadresse</t>
  </si>
  <si>
    <t>3. Rechnungsadresse</t>
  </si>
  <si>
    <t>Empfänger</t>
  </si>
  <si>
    <t>e-mail</t>
  </si>
  <si>
    <t>4. Projektangaben</t>
  </si>
  <si>
    <t>Bereich</t>
  </si>
  <si>
    <t>Auftragsart</t>
  </si>
  <si>
    <t>Projektbez.</t>
  </si>
  <si>
    <t>Projektverantw.</t>
  </si>
  <si>
    <t>Stundenansatz</t>
  </si>
  <si>
    <t>Rapport-Layout</t>
  </si>
  <si>
    <t>Projektleiter/in</t>
  </si>
  <si>
    <t>Startdatum</t>
  </si>
  <si>
    <t>Mitarbeitende</t>
  </si>
  <si>
    <t>Enddatum</t>
  </si>
  <si>
    <t>Steuerung</t>
  </si>
  <si>
    <t>Währung</t>
  </si>
  <si>
    <t>Grenzwertmail
in Stunden</t>
  </si>
  <si>
    <t>Person</t>
  </si>
  <si>
    <t>%</t>
  </si>
  <si>
    <t>5. Positionen</t>
  </si>
  <si>
    <t>Positons-Nr.</t>
  </si>
  <si>
    <t>Bezeichnung</t>
  </si>
  <si>
    <t>Verrechnungsart</t>
  </si>
  <si>
    <t>Onsite</t>
  </si>
  <si>
    <t>Onsite kurz</t>
  </si>
  <si>
    <t>Remote</t>
  </si>
  <si>
    <t>NachtSaSoFeiertage</t>
  </si>
  <si>
    <t>Reisezeit</t>
  </si>
  <si>
    <t>Budget Wert</t>
  </si>
  <si>
    <t>Budget in Stunden</t>
  </si>
  <si>
    <t>Mitarbeiter</t>
  </si>
  <si>
    <t>Grenzwertmail in Stunden</t>
  </si>
  <si>
    <t>Fakturaplan für Fixpreisprojekte</t>
  </si>
  <si>
    <t>Bemerkungen</t>
  </si>
  <si>
    <t>Datum</t>
  </si>
  <si>
    <t>Tranchen Preis</t>
  </si>
  <si>
    <t>Technologie</t>
  </si>
  <si>
    <t>Solution Area</t>
  </si>
  <si>
    <t>Pauschalspesen</t>
  </si>
  <si>
    <t>Master Data</t>
  </si>
  <si>
    <t>Contact</t>
  </si>
  <si>
    <t>Account Manager</t>
  </si>
  <si>
    <t>Project term</t>
  </si>
  <si>
    <t>Project type</t>
  </si>
  <si>
    <t>Project Owner</t>
  </si>
  <si>
    <t>Contract type</t>
  </si>
  <si>
    <t>Project Manager</t>
  </si>
  <si>
    <t>Contract Currency</t>
  </si>
  <si>
    <t>Summary</t>
  </si>
  <si>
    <t>Time</t>
  </si>
  <si>
    <t>Risk</t>
  </si>
  <si>
    <t>Quality</t>
  </si>
  <si>
    <t>Financials</t>
  </si>
  <si>
    <t>Actual</t>
  </si>
  <si>
    <t>Forecast</t>
  </si>
  <si>
    <t>Delta</t>
  </si>
  <si>
    <t>Delta in %</t>
  </si>
  <si>
    <t>Indicator</t>
  </si>
  <si>
    <t>Planned</t>
  </si>
  <si>
    <t>Actual</t>
  </si>
  <si>
    <t>Delta</t>
  </si>
  <si>
    <t>Delta in %</t>
  </si>
  <si>
    <t>Indicator</t>
  </si>
  <si>
    <t>Travel billable</t>
  </si>
  <si>
    <t xml:space="preserve">Travel </t>
  </si>
  <si>
    <t>Personal billable</t>
  </si>
  <si>
    <t>Personal</t>
  </si>
  <si>
    <t>Personal non billable</t>
  </si>
  <si>
    <t>Project totals</t>
  </si>
  <si>
    <t>Travel non billable</t>
  </si>
  <si>
    <t>Effort</t>
  </si>
  <si>
    <t>Risk amount of loss</t>
  </si>
  <si>
    <t>Completion</t>
  </si>
  <si>
    <t>Project totals</t>
  </si>
  <si>
    <t>Effort</t>
  </si>
  <si>
    <t>Milestones</t>
  </si>
  <si>
    <t>Indicator</t>
  </si>
  <si>
    <t>Indicator</t>
  </si>
  <si>
    <t>Risk</t>
  </si>
  <si>
    <t>Title</t>
  </si>
  <si>
    <t>Risk type</t>
  </si>
  <si>
    <t>Short description</t>
  </si>
  <si>
    <t>Reason</t>
  </si>
  <si>
    <t>Effect</t>
  </si>
  <si>
    <t>Amount</t>
  </si>
  <si>
    <t>Severity</t>
  </si>
  <si>
    <t>Date</t>
  </si>
  <si>
    <t>Responsible</t>
  </si>
  <si>
    <t>Action</t>
  </si>
  <si>
    <t>Status</t>
  </si>
  <si>
    <t>Description</t>
  </si>
  <si>
    <t>SAP SD Summary</t>
  </si>
  <si>
    <t>Budget</t>
  </si>
  <si>
    <t>PSP Element</t>
  </si>
  <si>
    <t>Revenue</t>
  </si>
  <si>
    <t>Effort</t>
  </si>
  <si>
    <t xml:space="preserve">Travel </t>
  </si>
  <si>
    <t>billable</t>
  </si>
  <si>
    <t>Personal</t>
  </si>
  <si>
    <t>billable</t>
  </si>
  <si>
    <t>Totals</t>
  </si>
  <si>
    <t>SAP SD PSP Workpackages</t>
  </si>
  <si>
    <t>Budget</t>
  </si>
  <si>
    <t>SD No.</t>
  </si>
  <si>
    <t>PSP Element</t>
  </si>
  <si>
    <t xml:space="preserve">From </t>
  </si>
  <si>
    <t>To</t>
  </si>
  <si>
    <t>T&amp;M</t>
  </si>
  <si>
    <t>Revenue</t>
  </si>
  <si>
    <t>Effort</t>
  </si>
  <si>
    <t>Travel</t>
  </si>
  <si>
    <t>Travel effort</t>
  </si>
  <si>
    <t>Effortpart</t>
  </si>
  <si>
    <t>Totals</t>
  </si>
  <si>
    <t>Calculated planning Travel cost for workpackages</t>
  </si>
  <si>
    <t>PSP Element</t>
  </si>
  <si>
    <t xml:space="preserve">From </t>
  </si>
  <si>
    <t>To</t>
  </si>
  <si>
    <t>Travel</t>
  </si>
  <si>
    <t xml:space="preserve"> Calc.From </t>
  </si>
  <si>
    <t>Calc.To</t>
  </si>
  <si>
    <t>Periods</t>
  </si>
  <si>
    <t>per Period</t>
  </si>
  <si>
    <t>Total</t>
  </si>
  <si>
    <t>Totals</t>
  </si>
  <si>
    <t>Calculated planning Personal Expenses for workpackages</t>
  </si>
  <si>
    <t>PSP Element</t>
  </si>
  <si>
    <t xml:space="preserve">From </t>
  </si>
  <si>
    <t>To</t>
  </si>
  <si>
    <t>Revenue</t>
  </si>
  <si>
    <t xml:space="preserve"> Calc.From </t>
  </si>
  <si>
    <t>Calc.To</t>
  </si>
  <si>
    <t>Total</t>
  </si>
  <si>
    <t>Totals</t>
  </si>
  <si>
    <t>Calculated planning Effort for workpackages</t>
  </si>
  <si>
    <t>PSP Element</t>
  </si>
  <si>
    <t xml:space="preserve">From </t>
  </si>
  <si>
    <t>To</t>
  </si>
  <si>
    <t>Effort</t>
  </si>
  <si>
    <t xml:space="preserve"> Calc.From </t>
  </si>
  <si>
    <t>Calc.To</t>
  </si>
  <si>
    <t>Total</t>
  </si>
  <si>
    <t>Totals</t>
  </si>
  <si>
    <t>Overall calculated planning Completion for workpackages</t>
  </si>
  <si>
    <t>PSP Element</t>
  </si>
  <si>
    <t xml:space="preserve">From </t>
  </si>
  <si>
    <t>To</t>
  </si>
  <si>
    <t>T&amp;M</t>
  </si>
  <si>
    <t>Completion</t>
  </si>
  <si>
    <t>Totals</t>
  </si>
  <si>
    <t>Partly calculated planning Completion for workpackages</t>
  </si>
  <si>
    <t>PSP Element</t>
  </si>
  <si>
    <t xml:space="preserve">From </t>
  </si>
  <si>
    <t>To</t>
  </si>
  <si>
    <t>T&amp;M</t>
  </si>
  <si>
    <t>Totals</t>
  </si>
  <si>
    <t>No</t>
  </si>
  <si>
    <t>Position</t>
  </si>
  <si>
    <t>Positionsbezeichnung</t>
  </si>
  <si>
    <t>Budget in 
CHF</t>
  </si>
  <si>
    <t>Budget in Stunden</t>
  </si>
  <si>
    <t>Additional Margin</t>
  </si>
  <si>
    <t>Overall estimate at completion</t>
  </si>
  <si>
    <t>Overall estimate</t>
  </si>
  <si>
    <t>Current Situation</t>
  </si>
  <si>
    <t>Current situation</t>
  </si>
  <si>
    <t>EV</t>
  </si>
  <si>
    <t>CPI</t>
  </si>
  <si>
    <t>SPI</t>
  </si>
  <si>
    <t>BTC/ETC</t>
  </si>
  <si>
    <t>Budget Personal</t>
  </si>
  <si>
    <t>Budget Travel</t>
  </si>
  <si>
    <t>Budget Risk</t>
  </si>
  <si>
    <t>Budget Additional</t>
  </si>
  <si>
    <t>Sales</t>
  </si>
  <si>
    <t>Bid Size Rating</t>
  </si>
  <si>
    <t>small</t>
  </si>
  <si>
    <t>middle</t>
  </si>
  <si>
    <t>large</t>
  </si>
  <si>
    <t>CoS CHF</t>
  </si>
  <si>
    <t>CoS EUR</t>
  </si>
  <si>
    <t>min. Value</t>
  </si>
  <si>
    <t>Customer contact</t>
  </si>
  <si>
    <t>Name of project</t>
  </si>
  <si>
    <t>Description of project</t>
  </si>
  <si>
    <t>Type of contract</t>
  </si>
  <si>
    <t>Project currency</t>
  </si>
  <si>
    <t>SAP number</t>
  </si>
  <si>
    <t>Order volume / expenditure</t>
  </si>
  <si>
    <t>Lead Owner recommendation</t>
  </si>
  <si>
    <t>Bid Management recommendation</t>
  </si>
  <si>
    <t>Bid Management check items</t>
  </si>
  <si>
    <t>CI/CD relevant points observed?</t>
  </si>
  <si>
    <t>Customer's topic adhered to?</t>
  </si>
  <si>
    <t>Is the bid linguistically consistent?</t>
  </si>
  <si>
    <t>Prevent acceptance</t>
  </si>
  <si>
    <t>Capital structures?</t>
  </si>
  <si>
    <t>Performance</t>
  </si>
  <si>
    <t>Sales target</t>
  </si>
  <si>
    <t>Contractual situation</t>
  </si>
  <si>
    <t>Lead Owner information</t>
  </si>
  <si>
    <t>Bidder</t>
  </si>
  <si>
    <t>Chance of winning</t>
  </si>
  <si>
    <t>3. Opinion</t>
  </si>
  <si>
    <t>ISM or AMS</t>
  </si>
  <si>
    <t>Phase of the tender</t>
  </si>
  <si>
    <t>Offer Sign Off</t>
  </si>
  <si>
    <t>PBM Initials/Date</t>
  </si>
  <si>
    <t>PM Initials/Date</t>
  </si>
  <si>
    <t>PO Initials/Date</t>
  </si>
  <si>
    <t>AM Initials/Date</t>
  </si>
  <si>
    <t>LO Initials/Date</t>
  </si>
  <si>
    <t>SO Initials/Date</t>
  </si>
  <si>
    <t>BM Initials/Date</t>
  </si>
  <si>
    <t>Other Initials/Date</t>
  </si>
  <si>
    <t>Position of Trivadis</t>
  </si>
  <si>
    <t>Business profile of interested party</t>
  </si>
  <si>
    <t>Opportunity profile</t>
  </si>
  <si>
    <t>Mandatory event</t>
  </si>
  <si>
    <t>Our solution</t>
  </si>
  <si>
    <t>USP</t>
  </si>
  <si>
    <t>Relationship strategy</t>
  </si>
  <si>
    <t>Strengths and weaknesses</t>
  </si>
  <si>
    <t>Long-term objective</t>
  </si>
  <si>
    <t>Competitive strategy</t>
  </si>
  <si>
    <t>Critical factors for success</t>
  </si>
  <si>
    <t>General issues</t>
  </si>
  <si>
    <t>Milestones in the buying process</t>
  </si>
  <si>
    <t>Our sales strategy</t>
  </si>
  <si>
    <t>What associates do we have?</t>
  </si>
  <si>
    <t>Is there an opportunity?</t>
  </si>
  <si>
    <t>Trivadis</t>
  </si>
  <si>
    <t>Competition</t>
  </si>
  <si>
    <t>Customer task or project clear/unclear?</t>
  </si>
  <si>
    <t>Financial situation of the customer strong/weak?</t>
  </si>
  <si>
    <t>Do we meet all mandatory criteria?</t>
  </si>
  <si>
    <t>Mandatory event clear/unclear?</t>
  </si>
  <si>
    <t>Competitiveness</t>
  </si>
  <si>
    <t>Formal decision-making criteria clear/unclear?</t>
  </si>
  <si>
    <t>Suitability of the solution good/unsatisfactory?</t>
  </si>
  <si>
    <t>Sales expenses required low/high?</t>
  </si>
  <si>
    <t>Current business relations strong/weak?</t>
  </si>
  <si>
    <t>Unique transaction value for the customer strong/weak?</t>
  </si>
  <si>
    <t>Can we win?</t>
  </si>
  <si>
    <t>Internal support strong/weak?</t>
  </si>
  <si>
    <t>Credibility with management strong/weak?</t>
  </si>
  <si>
    <t>Cultural compatibility good/unsatisfactory?</t>
  </si>
  <si>
    <t>Informal decision-making criteria clear/unclear?</t>
  </si>
  <si>
    <t>Political alliances strong/weak?</t>
  </si>
  <si>
    <t>Is it worth winning?</t>
  </si>
  <si>
    <t>Short-term sales potential high/low?</t>
  </si>
  <si>
    <t>Future sales potential high/low?</t>
  </si>
  <si>
    <t>Profit potential high/low?</t>
  </si>
  <si>
    <t>Risk potential high/low?</t>
  </si>
  <si>
    <t>Strategic value yes/no?</t>
  </si>
  <si>
    <t>Action (enter all measures that are important in addition to preparing the bid in order to acquire the customer)</t>
  </si>
  <si>
    <t>Identifier</t>
  </si>
  <si>
    <t>Who / responsible party</t>
  </si>
  <si>
    <t>Comment</t>
  </si>
  <si>
    <t>---</t>
  </si>
  <si>
    <t>Notes</t>
  </si>
  <si>
    <t>Performance Risk Assessment</t>
  </si>
  <si>
    <t>Detailed assessment of performance risk within the project</t>
  </si>
  <si>
    <t>The following detailed assessment of the performance risk may serve to create a summarized statement.</t>
  </si>
  <si>
    <t>Surveys</t>
  </si>
  <si>
    <t>As a basis for results and recommendations</t>
  </si>
  <si>
    <t>Volume frameworks</t>
  </si>
  <si>
    <t>Performance requirements</t>
  </si>
  <si>
    <t>Everything understood?</t>
  </si>
  <si>
    <t>Enterprise-critical performance requirements</t>
  </si>
  <si>
    <t>Comparable projects</t>
  </si>
  <si>
    <t>Results</t>
  </si>
  <si>
    <t>As a conclusion of the surveys and the corresponding TVD APM assessment</t>
  </si>
  <si>
    <t>Overall performance requirements assessment</t>
  </si>
  <si>
    <t>Project solution proposal</t>
  </si>
  <si>
    <t>Proposal on project development</t>
  </si>
  <si>
    <t>References</t>
  </si>
  <si>
    <t>Recommendations</t>
  </si>
  <si>
    <t>TVD APM in request for quote review</t>
  </si>
  <si>
    <t>Specification mandatory</t>
  </si>
  <si>
    <t>TVD APM in specification review</t>
  </si>
  <si>
    <t>Legend:</t>
  </si>
  <si>
    <t>Performance requirement</t>
  </si>
  <si>
    <t>Performance requirement, also called performance-relevant, non-functional requirements</t>
  </si>
  <si>
    <t>Trivadis Technology Area—
Application Performance Management</t>
  </si>
  <si>
    <t>Price total</t>
  </si>
  <si>
    <t>Opportunity ID</t>
  </si>
  <si>
    <t>Recommendation</t>
  </si>
  <si>
    <t>Adjust for same values</t>
  </si>
  <si>
    <t>Rowindex</t>
  </si>
  <si>
    <t>Top 5 Risk</t>
  </si>
  <si>
    <t>Amount of loss weighted</t>
  </si>
  <si>
    <t>Respon-sible</t>
  </si>
  <si>
    <t>Title for Riskchart</t>
  </si>
  <si>
    <t>Probability for Riskchart</t>
  </si>
  <si>
    <t>Impact for Riskchart</t>
  </si>
  <si>
    <t>Expenses for Riskchart</t>
  </si>
  <si>
    <t>Weighted Amount for risk show to customer</t>
  </si>
  <si>
    <t>Workhours per day</t>
  </si>
  <si>
    <t>PERT Expected</t>
  </si>
  <si>
    <t>Manual correction</t>
  </si>
  <si>
    <t>Manual corrected</t>
  </si>
  <si>
    <t>Final
expected</t>
  </si>
  <si>
    <t>Other calculation items</t>
  </si>
  <si>
    <t>Fromdate as string</t>
  </si>
  <si>
    <t>Todate as string</t>
  </si>
  <si>
    <t>Projectterm</t>
  </si>
  <si>
    <t>Staff member</t>
  </si>
  <si>
    <t>Competitor</t>
  </si>
  <si>
    <t>Warranty cost</t>
  </si>
  <si>
    <t>Daycount</t>
  </si>
  <si>
    <t>Effortperday</t>
  </si>
  <si>
    <t>Day count</t>
  </si>
  <si>
    <t>Effort/Day</t>
  </si>
  <si>
    <t>Revenue/Day</t>
  </si>
  <si>
    <t>Travel/Day</t>
  </si>
  <si>
    <t>Manuel corrected</t>
  </si>
  <si>
    <t>Show to customer</t>
  </si>
  <si>
    <t>Release Notes:</t>
  </si>
  <si>
    <t>Ver. 1.22</t>
  </si>
  <si>
    <t>Die Formel in N24 auf project Summary wurde so geändert, dass der Risikoforcast nicht mehr eingerechnet wird.</t>
  </si>
  <si>
    <t>Ver. 1.23</t>
  </si>
  <si>
    <t>Ergänzungen Projektklassen gem. Project Governance in Master Data</t>
  </si>
  <si>
    <t>Project Class</t>
  </si>
  <si>
    <t>TVD Project Class</t>
  </si>
  <si>
    <t>Support Request</t>
  </si>
  <si>
    <t>Change Request</t>
  </si>
  <si>
    <t>Small Project</t>
  </si>
  <si>
    <t>Standard Project</t>
  </si>
  <si>
    <t>Large Project</t>
  </si>
  <si>
    <t>Nova Terra Project</t>
  </si>
  <si>
    <t>TMDProjectClass</t>
  </si>
  <si>
    <t>BIS</t>
  </si>
  <si>
    <t>FF-BIS</t>
  </si>
  <si>
    <t>ZH-BIS</t>
  </si>
  <si>
    <t>Start Date Opportunity</t>
  </si>
  <si>
    <t>Price Change (+/-)</t>
  </si>
  <si>
    <t>Ver. 2.00 Draft</t>
  </si>
  <si>
    <t>Nicht funktionale Erweiterungen zur späternen Entwicklung</t>
  </si>
  <si>
    <t>CCFS</t>
  </si>
  <si>
    <t>Integration</t>
  </si>
  <si>
    <t>Scope</t>
  </si>
  <si>
    <t>Cost</t>
  </si>
  <si>
    <t>Human Resource</t>
  </si>
  <si>
    <t>Communication</t>
  </si>
  <si>
    <t>Procurement</t>
  </si>
  <si>
    <t>-</t>
  </si>
  <si>
    <t>PM</t>
  </si>
  <si>
    <t>Category</t>
  </si>
  <si>
    <t>Approval</t>
  </si>
  <si>
    <t>Date of Submission</t>
  </si>
  <si>
    <t>SAP Position</t>
  </si>
  <si>
    <t>PD</t>
  </si>
  <si>
    <t>Total Approved CRs</t>
  </si>
  <si>
    <t>Invoice Trigger</t>
  </si>
  <si>
    <t>Plan</t>
  </si>
  <si>
    <t>Progress</t>
  </si>
  <si>
    <t>Costs</t>
  </si>
  <si>
    <t>t'</t>
  </si>
  <si>
    <t>Project snapshot today</t>
  </si>
  <si>
    <t>t-Plan</t>
  </si>
  <si>
    <t>In the contract agreed delivery date</t>
  </si>
  <si>
    <t>t-Exp</t>
  </si>
  <si>
    <t>Forecasted delivery date</t>
  </si>
  <si>
    <t>PV</t>
  </si>
  <si>
    <t>Planned Value</t>
  </si>
  <si>
    <t>As of today, what is the estimated value of the work planned to be done.</t>
  </si>
  <si>
    <t>Earned Value</t>
  </si>
  <si>
    <t>As of today, what ist the estimated value of the work actually accomplished.</t>
  </si>
  <si>
    <t>AC</t>
  </si>
  <si>
    <t>Actual Costs</t>
  </si>
  <si>
    <t>As of today, what is the actual cost incurred for the work accomplished (value from SAP).</t>
  </si>
  <si>
    <t>BAC</t>
  </si>
  <si>
    <t>Budget At Completion</t>
  </si>
  <si>
    <t>What is the total budget.</t>
  </si>
  <si>
    <t>EAC</t>
  </si>
  <si>
    <t>Estimate At Completion</t>
  </si>
  <si>
    <t xml:space="preserve">What do we currently expect the TOTAL project to cost (a forecast). </t>
  </si>
  <si>
    <t>ETC</t>
  </si>
  <si>
    <t>Estimate To Complete</t>
  </si>
  <si>
    <t>From this point on, how much MORE do we expect it to cost to finish the project (a forecast).</t>
  </si>
  <si>
    <t>CV</t>
  </si>
  <si>
    <t>Cost Variance</t>
  </si>
  <si>
    <t>EV - AC: Determines whether a project is behind or ahead of budget.</t>
  </si>
  <si>
    <t>CV%</t>
  </si>
  <si>
    <t>Cost Variance Ratio</t>
  </si>
  <si>
    <t>CV / EV: Determines the ratio of the cost variance to the value of the accomplished work.</t>
  </si>
  <si>
    <t>SV</t>
  </si>
  <si>
    <t>Schedule Variance</t>
  </si>
  <si>
    <t>EV - PV: Determines whether a project is behind or ahead of schedule.</t>
  </si>
  <si>
    <t>SV%</t>
  </si>
  <si>
    <t>Schedule Variance Ratio</t>
  </si>
  <si>
    <t>SV / PV: Determines the ratio of the schedule variance to originally planned work.</t>
  </si>
  <si>
    <t>VAC</t>
  </si>
  <si>
    <t>Variance at Completion</t>
  </si>
  <si>
    <t>BAC - EAC: Expected Cost Variance at completion of the project.</t>
  </si>
  <si>
    <t>VAC%</t>
  </si>
  <si>
    <t>Variance at Completion Ratio</t>
  </si>
  <si>
    <t>VAC / BAC: Ratio of expected Cost Variance at completion of the project.</t>
  </si>
  <si>
    <t>DAC</t>
  </si>
  <si>
    <t>Delay at Completion</t>
  </si>
  <si>
    <t>Expected delay of the project at Completion.</t>
  </si>
  <si>
    <t>TMDCRType</t>
  </si>
  <si>
    <t>Schedule</t>
  </si>
  <si>
    <t>Organization</t>
  </si>
  <si>
    <t>Resources</t>
  </si>
  <si>
    <t>TMDCRStatus</t>
  </si>
  <si>
    <t>in progress</t>
  </si>
  <si>
    <t>completed</t>
  </si>
  <si>
    <t>TMDCRApproval</t>
  </si>
  <si>
    <t xml:space="preserve">approved </t>
  </si>
  <si>
    <t>deferred</t>
  </si>
  <si>
    <t>rejected</t>
  </si>
  <si>
    <r>
      <rPr>
        <b/>
        <sz val="20"/>
        <color rgb="FFC00000"/>
        <rFont val="CG Omega"/>
        <family val="2"/>
      </rPr>
      <t>C</t>
    </r>
    <r>
      <rPr>
        <b/>
        <sz val="20"/>
        <color theme="1"/>
        <rFont val="CG Omega"/>
        <family val="2"/>
      </rPr>
      <t>hange</t>
    </r>
    <r>
      <rPr>
        <b/>
        <sz val="20"/>
        <color rgb="FFC00000"/>
        <rFont val="CG Omega"/>
        <family val="2"/>
      </rPr>
      <t>l</t>
    </r>
    <r>
      <rPr>
        <b/>
        <sz val="20"/>
        <color theme="1"/>
        <rFont val="CG Omega"/>
        <family val="2"/>
      </rPr>
      <t>og</t>
    </r>
  </si>
  <si>
    <r>
      <rPr>
        <b/>
        <sz val="25"/>
        <color rgb="FFC00000"/>
        <rFont val="CG Omega"/>
        <family val="2"/>
      </rPr>
      <t>PSR</t>
    </r>
    <r>
      <rPr>
        <b/>
        <sz val="25"/>
        <color theme="1"/>
        <rFont val="CG Omega"/>
        <family val="2"/>
      </rPr>
      <t>Tool</t>
    </r>
  </si>
  <si>
    <t>RESOURCE PLAN</t>
  </si>
  <si>
    <t>PROJECT TEAM</t>
  </si>
  <si>
    <t>Project Role</t>
  </si>
  <si>
    <t>Workload</t>
  </si>
  <si>
    <t>Name</t>
  </si>
  <si>
    <t>Load</t>
  </si>
  <si>
    <t>Head Count</t>
  </si>
  <si>
    <r>
      <t>O</t>
    </r>
    <r>
      <rPr>
        <b/>
        <sz val="20"/>
        <color theme="1"/>
        <rFont val="CG Omega"/>
        <family val="2"/>
      </rPr>
      <t>P-</t>
    </r>
    <r>
      <rPr>
        <b/>
        <sz val="20"/>
        <color rgb="FFC00000"/>
        <rFont val="CG Omega"/>
        <family val="2"/>
      </rPr>
      <t>S</t>
    </r>
    <r>
      <rPr>
        <b/>
        <sz val="20"/>
        <color theme="1"/>
        <rFont val="CG Omega"/>
        <family val="2"/>
      </rPr>
      <t>ummary</t>
    </r>
  </si>
  <si>
    <t>Functionality / Quality</t>
  </si>
  <si>
    <r>
      <t>E</t>
    </r>
    <r>
      <rPr>
        <b/>
        <sz val="20"/>
        <color theme="1"/>
        <rFont val="CG Omega"/>
        <family val="2"/>
      </rPr>
      <t>arned</t>
    </r>
    <r>
      <rPr>
        <b/>
        <sz val="20"/>
        <color rgb="FFC00000"/>
        <rFont val="CG Omega"/>
        <family val="2"/>
      </rPr>
      <t xml:space="preserve"> V</t>
    </r>
    <r>
      <rPr>
        <b/>
        <sz val="20"/>
        <color theme="1"/>
        <rFont val="CG Omega"/>
        <family val="2"/>
      </rPr>
      <t>alue</t>
    </r>
    <r>
      <rPr>
        <b/>
        <sz val="20"/>
        <color rgb="FFC00000"/>
        <rFont val="CG Omega"/>
        <family val="2"/>
      </rPr>
      <t xml:space="preserve"> M</t>
    </r>
    <r>
      <rPr>
        <b/>
        <sz val="20"/>
        <color theme="1"/>
        <rFont val="CG Omega"/>
        <family val="2"/>
      </rPr>
      <t>ethod</t>
    </r>
  </si>
  <si>
    <t>Kürzel</t>
  </si>
  <si>
    <t>Name, Vorname</t>
  </si>
  <si>
    <t>x</t>
  </si>
  <si>
    <t>Portfolio-Element</t>
  </si>
  <si>
    <t>AD.Application modernization</t>
  </si>
  <si>
    <t>AD.Consulting Software Architecture</t>
  </si>
  <si>
    <t>AD.Consulting Software Configuration Mgt</t>
  </si>
  <si>
    <t>AD.Consulting Software Design</t>
  </si>
  <si>
    <t>AD.Consulting Software Devlp Process</t>
  </si>
  <si>
    <t>AD.Consulting Software Quality Mgt</t>
  </si>
  <si>
    <t>AD.Consulting Software Requirements Mgt</t>
  </si>
  <si>
    <t>AD.Consulting Software Testing</t>
  </si>
  <si>
    <t>AD.Custom AMS</t>
  </si>
  <si>
    <t xml:space="preserve">AD.Microsoft MDS CI (Trivadis.XMLMD) </t>
  </si>
  <si>
    <t>AD.Real. von BPM-/Service-/ Integr.-Lösg</t>
  </si>
  <si>
    <t>AD.Real. von Collab/Portal/Mashup Lösg</t>
  </si>
  <si>
    <t>AD.Real. von Reporting Applikationen</t>
  </si>
  <si>
    <t>AD.Real. von Rich Client Applikationen</t>
  </si>
  <si>
    <t>AD.Real. von Rich Internet Appl. (RIA)</t>
  </si>
  <si>
    <t>AD.Realisierung / Software-Development</t>
  </si>
  <si>
    <t>AD.Realisierung von ECM Lösungen</t>
  </si>
  <si>
    <t>AD.Realisierung von Mobile Applikationen</t>
  </si>
  <si>
    <t>AD.Realisierung von Web Applikationen</t>
  </si>
  <si>
    <t>AD.Requirements Engineering Health Check</t>
  </si>
  <si>
    <t>AD.Trivadis Application Builder (TAB)</t>
  </si>
  <si>
    <t>AD.Trivadis Application Care</t>
  </si>
  <si>
    <t>AD.Trivadis Managed Data Access (TMDA)</t>
  </si>
  <si>
    <t>APM.Measurement, Sizing and Forecasting</t>
  </si>
  <si>
    <t>APM.Performance Design &amp; Project Setup</t>
  </si>
  <si>
    <t>APM.Performance Optimization</t>
  </si>
  <si>
    <t>APM.Performance Reviews &amp; Testing</t>
  </si>
  <si>
    <t>BI Architecture Review</t>
  </si>
  <si>
    <t>BI.Architecture and Methods</t>
  </si>
  <si>
    <t>BI.BI Data Quality Check</t>
  </si>
  <si>
    <t>BI.BI Health Check</t>
  </si>
  <si>
    <t>BI.BI im SAP-Umfeld</t>
  </si>
  <si>
    <t>BI.BI Performance Analysis</t>
  </si>
  <si>
    <t>BI.BI Security Audit</t>
  </si>
  <si>
    <t>BI.BI/DWH Architecture and Methods</t>
  </si>
  <si>
    <t>BI.BI/DWH Business Objects Front Ends</t>
  </si>
  <si>
    <t>BI.BI/DWH Cons DWH Appliances &amp; MPP Sys</t>
  </si>
  <si>
    <t>BI.BI/DWH Data Integr. Open Source Tech</t>
  </si>
  <si>
    <t>BI.BI/DWH Data Integration with Oracle</t>
  </si>
  <si>
    <t>BI.BI/DWH IBM Cognos Front Ends</t>
  </si>
  <si>
    <t>BI.BI/DWH Oracle BI Front Ends</t>
  </si>
  <si>
    <t>BI.biGenius (AB; DOT; vNext)</t>
  </si>
  <si>
    <t>BI.BI-Strategie und BI Competence Center</t>
  </si>
  <si>
    <t>BI.Data Integration</t>
  </si>
  <si>
    <t>BI.FrontEnds, Applications and MOLAP</t>
  </si>
  <si>
    <t>BI.Master Data Management</t>
  </si>
  <si>
    <t>BI.Microsoft DWH Partition Manager</t>
  </si>
  <si>
    <t xml:space="preserve">BI.MSD BI &amp; DWH Architecture and Methods </t>
  </si>
  <si>
    <t>BI.MSD BI &amp; Front Ends</t>
  </si>
  <si>
    <t>BI.MSD Data Integration with Microsoft</t>
  </si>
  <si>
    <t>BI.MSD MDM mit Microsoft</t>
  </si>
  <si>
    <t>BI.RepGene</t>
  </si>
  <si>
    <t>BI.TVD-AnalyticsTester</t>
  </si>
  <si>
    <t>BI.TVD-ETL Cockpit</t>
  </si>
  <si>
    <t>BI.TVD-OWB Automation Framework</t>
  </si>
  <si>
    <t>BI.VNext (DOT+AB)</t>
  </si>
  <si>
    <t>BIS.Business &amp; IT Alignment</t>
  </si>
  <si>
    <t>BIS.Compliance</t>
  </si>
  <si>
    <t>BIS.CRM Implementation Services</t>
  </si>
  <si>
    <t>BIS.CRM Managed Services</t>
  </si>
  <si>
    <t>BIS.Lead2Success</t>
  </si>
  <si>
    <t>BIS.Licensing</t>
  </si>
  <si>
    <t>BIS.Microsoft Lizenzvertrieb</t>
  </si>
  <si>
    <t>BIS.Oracle Lizenzvertrieb</t>
  </si>
  <si>
    <t>BIS.OracleLicenseCompliance</t>
  </si>
  <si>
    <t>BIS.Reporting nach SUCCESS-Regeln</t>
  </si>
  <si>
    <t>INFR.Administration</t>
  </si>
  <si>
    <t>INFR.Audit/Review</t>
  </si>
  <si>
    <t>INFR.Backup/Recovery</t>
  </si>
  <si>
    <t>INFR.Consolidation/Sizing/Capacity</t>
  </si>
  <si>
    <t>INFR.High Availability</t>
  </si>
  <si>
    <t>INFR.Installation/Configuration</t>
  </si>
  <si>
    <t>INFR.Migration</t>
  </si>
  <si>
    <t>INFR.Monitoring</t>
  </si>
  <si>
    <t>INFR.Patchmanagement</t>
  </si>
  <si>
    <t>INFR.Standardization/Automatization</t>
  </si>
  <si>
    <t>INFR.TVD.EnterpriseSLA</t>
  </si>
  <si>
    <t>INFR.TVD.ServicePackages</t>
  </si>
  <si>
    <t>INFR.TVD.SmallBusinessSLA</t>
  </si>
  <si>
    <t>INFR.TVD.StandardSLA</t>
  </si>
  <si>
    <t>INFR.TVD-Admin</t>
  </si>
  <si>
    <t>INFR.TVD-AS</t>
  </si>
  <si>
    <t>INFR.TVD-Backup</t>
  </si>
  <si>
    <t>INFR.TVD-BasEnv</t>
  </si>
  <si>
    <t>INFR.TVD-CapMan</t>
  </si>
  <si>
    <t>INFR.TVD-ConfMan</t>
  </si>
  <si>
    <t>INFR.TVD-Expert</t>
  </si>
  <si>
    <t>INFR.TVD-HA</t>
  </si>
  <si>
    <t>INFR.TVD-InstallServer</t>
  </si>
  <si>
    <t>INFR.TVD-ProcessChain</t>
  </si>
  <si>
    <t>INFR.TVD-Standby</t>
  </si>
  <si>
    <t>INFR.Virtualization</t>
  </si>
  <si>
    <t>SEC.Cloud Security</t>
  </si>
  <si>
    <t>SEC.Secure Database</t>
  </si>
  <si>
    <t>SEC.Secure Development</t>
  </si>
  <si>
    <t>SEC.Secure Infrastructure</t>
  </si>
  <si>
    <t>SEC.TVD-CriticalPatchReport</t>
  </si>
  <si>
    <t>SEC.TVD-SecAudit</t>
  </si>
  <si>
    <t>TR.Microsoft AD</t>
  </si>
  <si>
    <t>TR.Microsoft BI</t>
  </si>
  <si>
    <t>TR.Microsoft IMS</t>
  </si>
  <si>
    <t>TR.Microsoft Middleware</t>
  </si>
  <si>
    <t>TR.Oracle AD</t>
  </si>
  <si>
    <t>TR.Oracle BI</t>
  </si>
  <si>
    <t>TR.Oracle IMS</t>
  </si>
  <si>
    <t>TR.Prozess und Methodenthemen</t>
  </si>
  <si>
    <t>TMDPortfolioElement</t>
  </si>
  <si>
    <t>Pauschalspesen/Tag</t>
  </si>
  <si>
    <t>TMDInvoiceStatus</t>
  </si>
  <si>
    <t>Clarification with customer in progress</t>
  </si>
  <si>
    <t>OP has order to send invoice</t>
  </si>
  <si>
    <t>invoiced</t>
  </si>
  <si>
    <t>Order</t>
  </si>
  <si>
    <t>Hours</t>
  </si>
  <si>
    <t>Customer Project No</t>
  </si>
  <si>
    <t>Owner</t>
  </si>
  <si>
    <t>Deliverable</t>
  </si>
  <si>
    <t>Template</t>
  </si>
  <si>
    <t>Tool</t>
  </si>
  <si>
    <t>Client Release</t>
  </si>
  <si>
    <t>Trivadis Release</t>
  </si>
  <si>
    <t>Beschrieb</t>
  </si>
  <si>
    <t>Initial Planning</t>
  </si>
  <si>
    <t>Planning</t>
  </si>
  <si>
    <t>Build &amp; Control</t>
  </si>
  <si>
    <t>SignOff</t>
  </si>
  <si>
    <t>Link Deutsch</t>
  </si>
  <si>
    <t>Link English</t>
  </si>
  <si>
    <t>Expample</t>
  </si>
  <si>
    <t>Remarks</t>
  </si>
  <si>
    <t>LO</t>
  </si>
  <si>
    <t>Bid Prozess Doks</t>
  </si>
  <si>
    <t>BM</t>
  </si>
  <si>
    <t>Vorgehen gemäss Bid Management Prozess</t>
  </si>
  <si>
    <t>Guidelines based on the Bid Management Process</t>
  </si>
  <si>
    <t>Link</t>
  </si>
  <si>
    <t>Project Folder</t>
  </si>
  <si>
    <t>Standard Verzeichnisstruktur für Projekte</t>
  </si>
  <si>
    <t>Standard folder structure for projects</t>
  </si>
  <si>
    <t>Project Opening</t>
  </si>
  <si>
    <t>PO</t>
  </si>
  <si>
    <t>Enthält die notwendigen Angaben zur Projekteröffnung im SAP-ERP gemäss Projekteröffnungstemplate</t>
  </si>
  <si>
    <t>Contains the necessary informations to open the project in SAP-ERP according the F&amp;A Opening Template</t>
  </si>
  <si>
    <t>Project Reporting</t>
  </si>
  <si>
    <t>PO/PBS</t>
  </si>
  <si>
    <t>Periodisch rapportierter Stand und Trend des Projektes. Festgehalten werden Aussagen zu den Kennzahlen des Projektes (Risiken, Budget, Zeit und Qualität). Der Projektfortschrift wird als Statusbericht aus dem PSR generiert und ins Projekt Cockpit übertragen. Als Alternative kann auch der Word Status Report benutzt werden.</t>
  </si>
  <si>
    <t>Periodically reported state and trend of the project. Expected were statements on the key figures of the project (risks, budget, time and quality). The project progress is generated as a status report from the PSR ans will be transfered to the project cockpit. As well, the document based status report can be used.</t>
  </si>
  <si>
    <t>Project Cockpit</t>
  </si>
  <si>
    <t>PBS</t>
  </si>
  <si>
    <t>Projektportfolio, welches periodisch nachzuführen ist (vgl. Projekt Reporting)</t>
  </si>
  <si>
    <t>Project Portfolio view, which has to be periodically updated (see Project Reporting)</t>
  </si>
  <si>
    <t>Stakeholder Register</t>
  </si>
  <si>
    <t>Auflistung der Personen und Organisationen welche das Projekt beeinflussen, inkl. Dokumentation deren Interessen, deren Beteiligung und deren Einfluss auf den Projekterfolg. Ist Teil des PSR (neue Version) oder Excel-File gemäss template.</t>
  </si>
  <si>
    <t>List of peoples and organizations which influence the project, including the documentation of there interest, their participation and their impact on the project success. The register is part of the PSR (new version) or Excel Template.</t>
  </si>
  <si>
    <t>(x)</t>
  </si>
  <si>
    <t>Project Management Plan (Project Handbook)</t>
  </si>
  <si>
    <t>Der Projektmanagementplan beschreibt die PM-Aktivitäten zur planung, Durchführung, Überwachung, Steuerung und zum Abschluss des Projektes. Zusätzlich werden weitere relevante, projektspezifische Informationen festgehalten, welche zum Management des Projektes notwendig sind.</t>
  </si>
  <si>
    <t>The project management plan describes the PM activities for planning, implementation, monitoring, control and completion of the project. In addition, more relevant project specific information is stored, which are necessary for the management of the project.</t>
  </si>
  <si>
    <t>Project Plan</t>
  </si>
  <si>
    <t>Strukturierte planung (Meilensteine, Phasen, Ergebnisse, Arbeitspakete) aller zu erstellenden Ergebnisse im Rahmen des Projektes.</t>
  </si>
  <si>
    <t>Structured planning (milestones, phases, results, work packages) of all results within the project.</t>
  </si>
  <si>
    <t>Risk Log</t>
  </si>
  <si>
    <t>Mögliche Risiken im Projekt werden beschrieben (Begründungen, Eintrittswahrscheinlichkeit, Auswirkungen) und getroffene Massnahmen festgehalten. Das Risk Log ist Teil der PMWorkbench oder des PSR und wird darum periodisch aktualisiert.</t>
  </si>
  <si>
    <t>Possible risks in the project are described (justifications, probability, impact) and the taken measures. The risk log ist part of the PSR and therefore ist updated periodically.</t>
  </si>
  <si>
    <t>See PSR</t>
  </si>
  <si>
    <t>Meeting Protocol</t>
  </si>
  <si>
    <t>Jedes offizielle Meeting muss protokolliert werden.</t>
  </si>
  <si>
    <t>Each official meeting has to be documented.</t>
  </si>
  <si>
    <t>Schriftliche Dokumentation eines Änderungsantrages. Beschrieben werden die gewünschten Änderungen und deren Auswirkungen.</t>
  </si>
  <si>
    <t>Written documentation of an change request. It describes the changes and their impact.</t>
  </si>
  <si>
    <t>Lessons Learned in triwiki</t>
  </si>
  <si>
    <t>In Projekten gemachte Erfahrungen werden als Lessons Learned im TriWiki dokumentiert. Beschrieben werden die Probleme / Herausforderungen, getroffene Massnahmen und die daraus abgeleiteten Empfehlungen.</t>
  </si>
  <si>
    <t>In the project made experiences will be documented as lessons learned in TriWiki. Described are the problem and challanges, measures taken and the resulting recommendations.</t>
  </si>
  <si>
    <t>Project Closing Report</t>
  </si>
  <si>
    <t>Im Abschlussbericht wird der finale Projekterfolg bezogen auf die Projektziele, positive und negative Ereignisse, gemachte Erfahrungen und die erreichten Resultate festgehalten. Das Do-kument repräsentiert den Abschluss des Projektes.</t>
  </si>
  <si>
    <t>The final report documents the the success of the project related to the project goals, recorded positive and negative trends, past experiences and the results achieved. The document represents the completion of the project</t>
  </si>
  <si>
    <t>Acceptance Protocol</t>
  </si>
  <si>
    <t>Am Schluss des Projekts oder definierter Phasen, wird das Abnahmeprotokoll in Zusammenarbeit mit dem Kunden erstellt.</t>
  </si>
  <si>
    <t>At the end of the project or a defined phase, the acceptance report in collaboration with the customer will be created.</t>
  </si>
  <si>
    <t>QM</t>
  </si>
  <si>
    <t>Quality Concept</t>
  </si>
  <si>
    <t>Das Qualitätskonzept definiert den Rahmen des in einem Projekt anzuwendenden Qualitätsmanagements und sichert die organisa-torische und instrumentelle Machbarkeit.</t>
  </si>
  <si>
    <t>The quality concept defines the scope of the law applicable in a project quality management and ensure the organizational and instrumental feasability.</t>
  </si>
  <si>
    <t>May be covered under certain circumstances using the project management plan</t>
  </si>
  <si>
    <t>Quality Plan</t>
  </si>
  <si>
    <t>Im Qualitätsplan werden die Qualitätsziele und –aktivitäten der Qualitätssicherung für das konkrete Projekt definiert. Er ist in einem Projekt das zentrale Dokument zur planung und Lenkung der definierten Prozess- und Lösungsqualität.</t>
  </si>
  <si>
    <t>The quality plan defines the quality objects and activities of quality assurance for the specific project. He is the key document for planning and directing the defined process- and solution quality in a project.</t>
  </si>
  <si>
    <t>Inspection Plan</t>
  </si>
  <si>
    <t>Der Prüfplan legt den organisatorischen und zeitlichen Ablauf der Prüfungen fest und ergänzt den Projekt- und Qualitätsplan als Handlungsgrundlage.</t>
  </si>
  <si>
    <t>The test plan defines the organization adn timing of the exames and completed the project and quality plan as a base for action.</t>
  </si>
  <si>
    <t>May be covered under certain circumstances using the quality plan.</t>
  </si>
  <si>
    <t>Quality Report</t>
  </si>
  <si>
    <t>Der Q-Bericht fasst die projektbezogenen Berichte wie Prüf- und Testberichte/-protokolle zusammen. Er rapportiert den allgemei-nen QS-Status des Projekts und schlägt allfällige Massnahmen vor, welche vom Auftraggeber eingeleitet werden sollten.</t>
  </si>
  <si>
    <t>The quality report summarizes the project related test reports and test logs. He reports to the general QA status of the project and suggests possible measures, which should be initiated by the client.</t>
  </si>
  <si>
    <t>Project Audit</t>
  </si>
  <si>
    <t xml:space="preserve">Mittels Projekt-Audits wird die Qualität eines Projekts bezüglich formaler und inhaltlicher Aspekte anhand einer Checkliste überprüft und festgehalten.  </t>
  </si>
  <si>
    <t>Through project audits the quality of a project in terms of form and content aspects will be audited using a checklist and noted.</t>
  </si>
  <si>
    <t>Normally will be dispatched by BDS-PBS</t>
  </si>
  <si>
    <t>Project Review</t>
  </si>
  <si>
    <t xml:space="preserve">Mittels Projekt-Reviews wird die Qualität eines Projekts bezüglich formaler Aspekte anhander einer Checkliste überprüft und festgehalten.  </t>
  </si>
  <si>
    <t>Through project reviews the quality of a project in terms of form and content aspects will be reviewed using a checklist and noted.</t>
  </si>
  <si>
    <t>TM</t>
  </si>
  <si>
    <t>Test Concept</t>
  </si>
  <si>
    <t>Dokument, das den Umfang, die Vorgehensweise, die Einsatzmittel und die Zeitplanung der beabsichtigten Tests (inklusive aller Aktivitäten) beschreibt.</t>
  </si>
  <si>
    <t>Document that describes the scope, approach, the use of funds and the timing of the proposed tests (including all activities).</t>
  </si>
  <si>
    <t>By default, this topic will documented as customer responibility in the offer document</t>
  </si>
  <si>
    <t>Test Plan</t>
  </si>
  <si>
    <t>1. Zeitliche planung der Testdurchführung (Zuordnung der Testfälle zu Testern und Festlegung des Durchführungszeitpunktes)
2. Verzeichnis aller Testfälle, in der Regel thematisch bzw. nach Testzielen gruppiert.</t>
  </si>
  <si>
    <t>1. Planning of the test prcedure (mapping the test cases to testers and determine the execution time point)
2. List of all test cases, usually grouped thematically or by test objectives</t>
  </si>
  <si>
    <t>Test Case</t>
  </si>
  <si>
    <t>Umfasst Angaben zu den für die Ausführung notwendigen Vorbe-dingungen, zur Menge der Eingabewerte oder Inputs und zur Menge der erwarteten Sollwerte, zu Prüfanweisungen sowie zu dokumentiertendes Resultat.</t>
  </si>
  <si>
    <t>Includes the necessary informations for the execution preconditions, to the amound of inputs values or inputs and the amount of the expected target values, to test procedures and the expected results.</t>
  </si>
  <si>
    <t>Test Data</t>
  </si>
  <si>
    <t>Eingabe- und Zustandswerte für ein Testobjekt und Sollwerte nach Ausführung des betreffenden Testfalls.</t>
  </si>
  <si>
    <t>Input and state values for a test object, expected values after execution of the test case</t>
  </si>
  <si>
    <t>Test Report</t>
  </si>
  <si>
    <t>Dokument, das die Testaktivitäten und –ergebnisse zusammen-fasst und eine darauf basierende Bewertung der Testobjekte enthält.</t>
  </si>
  <si>
    <t>Document, that summarize the test activities and results and includs an assassment, based on the results, of the test objects.</t>
  </si>
  <si>
    <t>Legende:</t>
  </si>
  <si>
    <t>LO=Lead Owner, BM = Bid-Manager; PM = Projekt-Manager; TM = Test-Manager; QM = Qualitäts-Manager, PBS=Project Business Support, PO=Project Owner</t>
  </si>
  <si>
    <t>x = mandatory; (x) = optional on project needs</t>
  </si>
  <si>
    <t>Ressourcen</t>
  </si>
  <si>
    <t>Technik</t>
  </si>
  <si>
    <t>Meilensteine</t>
  </si>
  <si>
    <t>Reached Goals</t>
  </si>
  <si>
    <t>Row Labels</t>
  </si>
  <si>
    <t>Grand Total</t>
  </si>
  <si>
    <t>0</t>
  </si>
  <si>
    <t>201303</t>
  </si>
  <si>
    <t>201304</t>
  </si>
  <si>
    <t>10</t>
  </si>
  <si>
    <t>20</t>
  </si>
  <si>
    <t>Charging</t>
  </si>
  <si>
    <t>Chargeable</t>
  </si>
  <si>
    <t>201313</t>
  </si>
  <si>
    <t>201314</t>
  </si>
  <si>
    <t>Effort weekly TRIMARAN</t>
  </si>
  <si>
    <t>Effort twoweekly TRIMARAN</t>
  </si>
  <si>
    <t>Effort monthly TRIMARAN</t>
  </si>
  <si>
    <t>Drittleistung</t>
  </si>
  <si>
    <t>Verrechenbar</t>
  </si>
  <si>
    <t>Nicht verrechenbar</t>
  </si>
  <si>
    <t>TMDDrittleistung</t>
  </si>
  <si>
    <r>
      <t>T</t>
    </r>
    <r>
      <rPr>
        <b/>
        <sz val="20"/>
        <color theme="1"/>
        <rFont val="CG Omega"/>
        <family val="2"/>
      </rPr>
      <t>rimaran</t>
    </r>
  </si>
  <si>
    <t>% total</t>
  </si>
  <si>
    <t>Status Payments</t>
  </si>
  <si>
    <t>Account Main Group</t>
  </si>
  <si>
    <t>100 Erträge</t>
  </si>
  <si>
    <t>Invoicing Plan Berechnungen</t>
  </si>
  <si>
    <t>201315</t>
  </si>
  <si>
    <t>BDS/PSR Release [5027077]</t>
  </si>
  <si>
    <t>search inside</t>
  </si>
  <si>
    <t>Server</t>
  </si>
  <si>
    <t>Kosten VM</t>
  </si>
  <si>
    <t>Kostenart</t>
  </si>
  <si>
    <t>Initial Setup</t>
  </si>
  <si>
    <t>CPU</t>
  </si>
  <si>
    <t>1 GB MEMORY</t>
  </si>
  <si>
    <t>1 GB DISK (inkl. Backup)</t>
  </si>
  <si>
    <t>Windows</t>
  </si>
  <si>
    <t>Linux</t>
  </si>
  <si>
    <t>Memory</t>
  </si>
  <si>
    <t>Disk in GB</t>
  </si>
  <si>
    <t>OS</t>
  </si>
  <si>
    <t>Ende</t>
  </si>
  <si>
    <t>Kosten CPU</t>
  </si>
  <si>
    <t>Kosten Memory</t>
  </si>
  <si>
    <t>Kosten Disk</t>
  </si>
  <si>
    <t>Kosten OS</t>
  </si>
  <si>
    <t>Initial Kosten</t>
  </si>
  <si>
    <t>Gesatmkosten der VM</t>
  </si>
  <si>
    <t>Server 1</t>
  </si>
  <si>
    <t>Server 2</t>
  </si>
  <si>
    <t>Server 3</t>
  </si>
  <si>
    <t>Month CHF</t>
  </si>
  <si>
    <t>Month EUR</t>
  </si>
  <si>
    <t>D%$&amp;01_703471a0610b4c78946dd8acb3f403a2</t>
  </si>
  <si>
    <t>Exchange Rate (CHF -- EUR)</t>
  </si>
  <si>
    <t>Emanuel Boetsch_4454_Trivadis AG_Windows (32-bit) NT 6.01_LTEMB02_emb$$$23042013</t>
  </si>
  <si>
    <t>"$&amp;;D!134"</t>
  </si>
  <si>
    <t>approved CR</t>
  </si>
  <si>
    <t>Project Status</t>
  </si>
  <si>
    <t>CV in %</t>
  </si>
  <si>
    <t>VAC in %</t>
  </si>
  <si>
    <t>SV in %</t>
  </si>
  <si>
    <t>DAC in CD</t>
  </si>
  <si>
    <t>ä</t>
  </si>
  <si>
    <t>SAP</t>
  </si>
  <si>
    <t>Estimate at Completion</t>
  </si>
  <si>
    <t>Budget at Completion</t>
  </si>
  <si>
    <t>Risk Ratio %</t>
  </si>
  <si>
    <t>Cost Variance %</t>
  </si>
  <si>
    <t>Variance At Completion %</t>
  </si>
  <si>
    <t>Schedule Variance %</t>
  </si>
  <si>
    <t>Risk Ratio in %</t>
  </si>
  <si>
    <t>201316</t>
  </si>
  <si>
    <t>201318</t>
  </si>
  <si>
    <t>201320</t>
  </si>
  <si>
    <t>201305</t>
  </si>
  <si>
    <t>EV0</t>
  </si>
  <si>
    <t>PV0</t>
  </si>
  <si>
    <t>AC0</t>
  </si>
  <si>
    <t>Christoph Kappler_6126_Trivadis AG_Windows (32-bit) NT 6.01_LTKAC01_kac$$$17052013</t>
  </si>
  <si>
    <t>"AM:!95727"</t>
  </si>
  <si>
    <t>PMCockpit</t>
  </si>
  <si>
    <t>Please review this checklist as a way to identify project risks.</t>
  </si>
  <si>
    <t>Schedule Risks</t>
  </si>
  <si>
    <t>Sample data is not available for each source at the start of the project</t>
  </si>
  <si>
    <t>Source of data changes during the project</t>
  </si>
  <si>
    <t>Project team does not know the tasks on the critical path for the project</t>
  </si>
  <si>
    <t>Source systems are under development and may be delayed</t>
  </si>
  <si>
    <t>Customer standards and processes may add unplanned time to the project</t>
  </si>
  <si>
    <t>Time has not been planned for customer approval cycles</t>
  </si>
  <si>
    <t>Customer decisions take longer than anticipated</t>
  </si>
  <si>
    <t>Unexpected lead time for a component or delivery delay</t>
  </si>
  <si>
    <t>Delays caused by required government approval (e.g. import delays, …)</t>
  </si>
  <si>
    <t>Insufficient time planned for test and rework phases</t>
  </si>
  <si>
    <t>Roll-out plan is based on general assumptions</t>
  </si>
  <si>
    <t>Scope Risks</t>
  </si>
  <si>
    <t>Scope / requirements not fully understood, described and agreed upon</t>
  </si>
  <si>
    <t>Requirements are not specific and do not include formulats for calculations and/or transformations</t>
  </si>
  <si>
    <t>Requirements do not include validation criteria for each feature.</t>
  </si>
  <si>
    <t>Scope is based on estimates of staffing and not on effort to create each deliverable</t>
  </si>
  <si>
    <t>Scope creep because scope baseline is vague</t>
  </si>
  <si>
    <t>Change Management process not established</t>
  </si>
  <si>
    <t>Changes in legislation cause additional requirements</t>
  </si>
  <si>
    <t>Acceptance criteria not defined, test plan unrealistic or not detailed enough, causing problems during the acceptance test</t>
  </si>
  <si>
    <t>Technical Risks</t>
  </si>
  <si>
    <t>New development required</t>
  </si>
  <si>
    <t>Use of new versions of software</t>
  </si>
  <si>
    <t>Customer environment uses infrastructure components that are new to the team</t>
  </si>
  <si>
    <t>Availability requirements</t>
  </si>
  <si>
    <t>Resource Risks</t>
  </si>
  <si>
    <t>Lack of resources (at the time they are needed)</t>
  </si>
  <si>
    <t>Sub-contractor resources are spread too thin across concurrent projects</t>
  </si>
  <si>
    <t>Resources are not adequately trained / don't have sufficient experience for their task</t>
  </si>
  <si>
    <t>Customer resources for the project are not planned and allocated in advance</t>
  </si>
  <si>
    <t>Customer's project management is insufficient</t>
  </si>
  <si>
    <t>Customer doesn't have enough resources to fulfil his obligations</t>
  </si>
  <si>
    <t>Delays due to obtaining visas, work permits, customer approval</t>
  </si>
  <si>
    <t>Legal Risks</t>
  </si>
  <si>
    <t>No back-to-back contract with sub-contractors</t>
  </si>
  <si>
    <t>Data Access Security has not been addressed for Sensitive data</t>
  </si>
  <si>
    <t>Penalty clauses</t>
  </si>
  <si>
    <t>Liability; (unlimited) damages</t>
  </si>
  <si>
    <t>Provisions for project management are missing (change management, acceptance process incl. how to handle incidents)</t>
  </si>
  <si>
    <t>Sub-Contractor Risks</t>
  </si>
  <si>
    <t>No integrated planning</t>
  </si>
  <si>
    <t>Sub-contractor has other priorities and pulls needed resources</t>
  </si>
  <si>
    <t>Inadequate communication &amp; coordination of project status information</t>
  </si>
  <si>
    <t>Unknown or unmanaged project dependencies</t>
  </si>
  <si>
    <t>Sub-contractor's lack of financial strength</t>
  </si>
  <si>
    <t>Inadequate control over quality, schedule and cost performance of a sub-contractor</t>
  </si>
  <si>
    <t>Financial Risks</t>
  </si>
  <si>
    <t>Unexpectedly severe exchange rate fluctuation</t>
  </si>
  <si>
    <t>Unexpected level of inflation (especially on long-term projects)</t>
  </si>
  <si>
    <t>Funding for a long-term project requires year-to-year approval</t>
  </si>
  <si>
    <t>New taxes / labour agreements etc. can  increase costs</t>
  </si>
  <si>
    <t>Fixed price offer for a deliverable for which the requirements are not clearly defined.</t>
  </si>
  <si>
    <t xml:space="preserve">Risks in the Project Plan </t>
  </si>
  <si>
    <t>Task specific risks</t>
  </si>
  <si>
    <t>Project Plan Checklist has not been used to improve the quality of the project schedule</t>
  </si>
  <si>
    <t>Task dependencies</t>
  </si>
  <si>
    <t>Fast-tracked tasks (parallel tasks that would normally be done sequentially) risk rework</t>
  </si>
  <si>
    <t>Operational Risks</t>
  </si>
  <si>
    <t>Inadequate level of operational support through service organisation  or subcontractors</t>
  </si>
  <si>
    <t>Planning of hand-off and of the operational phase missing or inadequate</t>
  </si>
  <si>
    <t>External Risks</t>
  </si>
  <si>
    <t>Force majeure events such as natural disasters, war and unrest, strikes, …</t>
  </si>
  <si>
    <t>Customer management change that affects project sponsorship</t>
  </si>
  <si>
    <t>Major change in the political environment</t>
  </si>
  <si>
    <t>Customer undergoes merger or acquisition</t>
  </si>
  <si>
    <t>Major reorganisation within any of the involved organisations</t>
  </si>
  <si>
    <t>Changes in the customer's strategic objectives or the market situation make the project obsolete or change its priority</t>
  </si>
  <si>
    <t>Assumptions – all assumptions are risks!</t>
  </si>
  <si>
    <t>6. Opportunity-ID</t>
  </si>
  <si>
    <t>7. Fakturaauslösung</t>
  </si>
  <si>
    <t>ohne Kundenunterschrift</t>
  </si>
  <si>
    <t>mit Kundenunterschrift</t>
  </si>
  <si>
    <t>TMDFaktura</t>
  </si>
  <si>
    <t>Over-optimistic duration estimates or estimates not verified by a consultant with experience</t>
  </si>
  <si>
    <t>Team Member or Customer consultant vacation or time has not been planned</t>
  </si>
  <si>
    <t>Scope does not include things needed for a viable solution:  User or IT Training, production mentoring for several weeks after a move to production, managed services, Operational Run Book, data cleansing, state of health monitoring &amp; reporting …</t>
  </si>
  <si>
    <t>Scope was estimated based on 40 or more productive hours a week instead of around 30</t>
  </si>
  <si>
    <t>WBS (work breakdown structure) doesn't contain the full scope of work</t>
  </si>
  <si>
    <t>Interfaces are unknown, documentation is poor, no consultants available, more complicated than planned, changing, …</t>
  </si>
  <si>
    <t>Use of a tool without experienced staff</t>
  </si>
  <si>
    <t xml:space="preserve">Resources are planned but not committed - may result in increased project costs. </t>
  </si>
  <si>
    <t>Team does not maintain the financial information for the project to meet the defined rules (e.g. SOX)</t>
  </si>
  <si>
    <r>
      <t>O</t>
    </r>
    <r>
      <rPr>
        <b/>
        <sz val="20"/>
        <color theme="1"/>
        <rFont val="Arial"/>
        <family val="2"/>
      </rPr>
      <t>ver</t>
    </r>
    <r>
      <rPr>
        <b/>
        <sz val="20"/>
        <color rgb="FFC00000"/>
        <rFont val="Arial"/>
        <family val="2"/>
      </rPr>
      <t>v</t>
    </r>
    <r>
      <rPr>
        <b/>
        <sz val="20"/>
        <color theme="1"/>
        <rFont val="Arial"/>
        <family val="2"/>
      </rPr>
      <t>iew</t>
    </r>
  </si>
  <si>
    <r>
      <rPr>
        <b/>
        <sz val="20"/>
        <color rgb="FFC00000"/>
        <rFont val="Arial"/>
        <family val="2"/>
      </rPr>
      <t>M</t>
    </r>
    <r>
      <rPr>
        <b/>
        <sz val="20"/>
        <color theme="1"/>
        <rFont val="Arial"/>
        <family val="2"/>
      </rPr>
      <t xml:space="preserve">aster </t>
    </r>
    <r>
      <rPr>
        <b/>
        <sz val="20"/>
        <color rgb="FFC00000"/>
        <rFont val="Arial"/>
        <family val="2"/>
      </rPr>
      <t>D</t>
    </r>
    <r>
      <rPr>
        <b/>
        <sz val="20"/>
        <color theme="1"/>
        <rFont val="Arial"/>
        <family val="2"/>
      </rPr>
      <t>ata</t>
    </r>
  </si>
  <si>
    <r>
      <rPr>
        <b/>
        <sz val="25"/>
        <color rgb="FFC00000"/>
        <rFont val="Arial"/>
        <family val="2"/>
      </rPr>
      <t>PSR</t>
    </r>
    <r>
      <rPr>
        <b/>
        <sz val="25"/>
        <color theme="1"/>
        <rFont val="Arial"/>
        <family val="2"/>
      </rPr>
      <t>Tool</t>
    </r>
  </si>
  <si>
    <r>
      <rPr>
        <b/>
        <sz val="20"/>
        <color rgb="FFC00000"/>
        <rFont val="Arial"/>
        <family val="2"/>
      </rPr>
      <t>Opportunity</t>
    </r>
    <r>
      <rPr>
        <b/>
        <sz val="20"/>
        <color theme="1"/>
        <rFont val="Arial"/>
        <family val="2"/>
      </rPr>
      <t xml:space="preserve"> </t>
    </r>
    <r>
      <rPr>
        <b/>
        <sz val="20"/>
        <color rgb="FFC00000"/>
        <rFont val="Arial"/>
        <family val="2"/>
      </rPr>
      <t>Q</t>
    </r>
    <r>
      <rPr>
        <b/>
        <sz val="20"/>
        <rFont val="Arial"/>
        <family val="2"/>
      </rPr>
      <t>u</t>
    </r>
    <r>
      <rPr>
        <b/>
        <sz val="20"/>
        <color theme="1"/>
        <rFont val="Arial"/>
        <family val="2"/>
      </rPr>
      <t>alification</t>
    </r>
  </si>
  <si>
    <t>Opportunity Sign Off</t>
  </si>
  <si>
    <r>
      <rPr>
        <b/>
        <sz val="20"/>
        <color rgb="FFC00000"/>
        <rFont val="Arial"/>
        <family val="2"/>
      </rPr>
      <t>E</t>
    </r>
    <r>
      <rPr>
        <b/>
        <sz val="20"/>
        <color theme="1"/>
        <rFont val="Arial"/>
        <family val="2"/>
      </rPr>
      <t xml:space="preserve">ffort </t>
    </r>
    <r>
      <rPr>
        <b/>
        <sz val="20"/>
        <color rgb="FFC00000"/>
        <rFont val="Arial"/>
        <family val="2"/>
      </rPr>
      <t>E</t>
    </r>
    <r>
      <rPr>
        <b/>
        <sz val="20"/>
        <color theme="1"/>
        <rFont val="Arial"/>
        <family val="2"/>
      </rPr>
      <t>stimation</t>
    </r>
  </si>
  <si>
    <r>
      <t>O</t>
    </r>
    <r>
      <rPr>
        <b/>
        <sz val="20"/>
        <color theme="1"/>
        <rFont val="Arial"/>
        <family val="2"/>
      </rPr>
      <t xml:space="preserve">ffer </t>
    </r>
    <r>
      <rPr>
        <b/>
        <sz val="20"/>
        <color rgb="FFC00000"/>
        <rFont val="Arial"/>
        <family val="2"/>
      </rPr>
      <t>Q</t>
    </r>
    <r>
      <rPr>
        <b/>
        <sz val="20"/>
        <color theme="1"/>
        <rFont val="Arial"/>
        <family val="2"/>
      </rPr>
      <t>ualification</t>
    </r>
  </si>
  <si>
    <r>
      <t xml:space="preserve">Risks </t>
    </r>
    <r>
      <rPr>
        <b/>
        <sz val="10"/>
        <color rgb="FFFFC000"/>
        <rFont val="Arial"/>
        <family val="2"/>
      </rPr>
      <t>(Insurance needed?)</t>
    </r>
  </si>
  <si>
    <r>
      <t>E</t>
    </r>
    <r>
      <rPr>
        <b/>
        <sz val="20"/>
        <color theme="1"/>
        <rFont val="Arial"/>
        <family val="2"/>
      </rPr>
      <t>ffort</t>
    </r>
    <r>
      <rPr>
        <b/>
        <sz val="20"/>
        <color rgb="FFC00000"/>
        <rFont val="Arial"/>
        <family val="2"/>
      </rPr>
      <t xml:space="preserve"> S</t>
    </r>
    <r>
      <rPr>
        <b/>
        <sz val="20"/>
        <color theme="1"/>
        <rFont val="Arial"/>
        <family val="2"/>
      </rPr>
      <t>tatistics</t>
    </r>
  </si>
  <si>
    <r>
      <rPr>
        <b/>
        <sz val="20"/>
        <color rgb="FFC00000"/>
        <rFont val="Arial"/>
        <family val="2"/>
      </rPr>
      <t>P</t>
    </r>
    <r>
      <rPr>
        <b/>
        <sz val="20"/>
        <color theme="1"/>
        <rFont val="Arial"/>
        <family val="2"/>
      </rPr>
      <t xml:space="preserve">rice </t>
    </r>
    <r>
      <rPr>
        <b/>
        <sz val="20"/>
        <color rgb="FFC00000"/>
        <rFont val="Arial"/>
        <family val="2"/>
      </rPr>
      <t>C</t>
    </r>
    <r>
      <rPr>
        <b/>
        <sz val="20"/>
        <color theme="1"/>
        <rFont val="Arial"/>
        <family val="2"/>
      </rPr>
      <t>alculation</t>
    </r>
  </si>
  <si>
    <r>
      <t>Cost of Sales</t>
    </r>
    <r>
      <rPr>
        <sz val="8"/>
        <rFont val="Arial"/>
        <family val="2"/>
      </rPr>
      <t xml:space="preserve"> (not presale)</t>
    </r>
  </si>
  <si>
    <t>Results from Opportunity Qualification</t>
  </si>
  <si>
    <r>
      <t>O</t>
    </r>
    <r>
      <rPr>
        <b/>
        <sz val="20"/>
        <color theme="1"/>
        <rFont val="Arial"/>
        <family val="2"/>
      </rPr>
      <t xml:space="preserve">pening </t>
    </r>
    <r>
      <rPr>
        <b/>
        <sz val="20"/>
        <color rgb="FFC00000"/>
        <rFont val="Arial"/>
        <family val="2"/>
      </rPr>
      <t>T</t>
    </r>
    <r>
      <rPr>
        <b/>
        <sz val="20"/>
        <color theme="1"/>
        <rFont val="Arial"/>
        <family val="2"/>
      </rPr>
      <t>emplate</t>
    </r>
  </si>
  <si>
    <r>
      <rPr>
        <b/>
        <sz val="20"/>
        <color rgb="FFC00000"/>
        <rFont val="Arial"/>
        <family val="2"/>
      </rPr>
      <t>D</t>
    </r>
    <r>
      <rPr>
        <b/>
        <sz val="20"/>
        <color theme="1"/>
        <rFont val="Arial"/>
        <family val="2"/>
      </rPr>
      <t xml:space="preserve">elivery </t>
    </r>
    <r>
      <rPr>
        <b/>
        <sz val="20"/>
        <color rgb="FFC00000"/>
        <rFont val="Arial"/>
        <family val="2"/>
      </rPr>
      <t>C</t>
    </r>
    <r>
      <rPr>
        <b/>
        <sz val="20"/>
        <color theme="1"/>
        <rFont val="Arial"/>
        <family val="2"/>
      </rPr>
      <t>alculation</t>
    </r>
  </si>
  <si>
    <r>
      <t>A</t>
    </r>
    <r>
      <rPr>
        <b/>
        <sz val="20"/>
        <color theme="1"/>
        <rFont val="Arial"/>
        <family val="2"/>
      </rPr>
      <t>ctual</t>
    </r>
    <r>
      <rPr>
        <b/>
        <sz val="20"/>
        <color rgb="FFC00000"/>
        <rFont val="Arial"/>
        <family val="2"/>
      </rPr>
      <t xml:space="preserve"> V</t>
    </r>
    <r>
      <rPr>
        <b/>
        <sz val="20"/>
        <color theme="1"/>
        <rFont val="Arial"/>
        <family val="2"/>
      </rPr>
      <t>alue</t>
    </r>
  </si>
  <si>
    <r>
      <rPr>
        <b/>
        <sz val="20"/>
        <color rgb="FFC00000"/>
        <rFont val="Arial"/>
        <family val="2"/>
      </rPr>
      <t>R</t>
    </r>
    <r>
      <rPr>
        <b/>
        <sz val="20"/>
        <color theme="1"/>
        <rFont val="Arial"/>
        <family val="2"/>
      </rPr>
      <t xml:space="preserve">essource </t>
    </r>
    <r>
      <rPr>
        <b/>
        <sz val="20"/>
        <color rgb="FFC00000"/>
        <rFont val="Arial"/>
        <family val="2"/>
      </rPr>
      <t>P</t>
    </r>
    <r>
      <rPr>
        <b/>
        <sz val="20"/>
        <color theme="1"/>
        <rFont val="Arial"/>
        <family val="2"/>
      </rPr>
      <t>lan</t>
    </r>
  </si>
  <si>
    <r>
      <rPr>
        <b/>
        <sz val="20"/>
        <color rgb="FFC00000"/>
        <rFont val="Arial"/>
        <family val="2"/>
      </rPr>
      <t>M</t>
    </r>
    <r>
      <rPr>
        <b/>
        <sz val="20"/>
        <color theme="1"/>
        <rFont val="Arial"/>
        <family val="2"/>
      </rPr>
      <t>ile</t>
    </r>
    <r>
      <rPr>
        <b/>
        <sz val="20"/>
        <color rgb="FFC00000"/>
        <rFont val="Arial"/>
        <family val="2"/>
      </rPr>
      <t>s</t>
    </r>
    <r>
      <rPr>
        <b/>
        <sz val="20"/>
        <color theme="1"/>
        <rFont val="Arial"/>
        <family val="2"/>
      </rPr>
      <t>tones</t>
    </r>
  </si>
  <si>
    <r>
      <rPr>
        <b/>
        <sz val="20"/>
        <color rgb="FFC00000"/>
        <rFont val="Arial"/>
        <family val="2"/>
      </rPr>
      <t>I</t>
    </r>
    <r>
      <rPr>
        <b/>
        <sz val="20"/>
        <color rgb="FF535353"/>
        <rFont val="Arial"/>
        <family val="2"/>
      </rPr>
      <t>nvoicing</t>
    </r>
    <r>
      <rPr>
        <b/>
        <sz val="20"/>
        <color rgb="FFCC0000"/>
        <rFont val="Arial"/>
        <family val="2"/>
      </rPr>
      <t xml:space="preserve"> P</t>
    </r>
    <r>
      <rPr>
        <b/>
        <sz val="20"/>
        <color rgb="FF535353"/>
        <rFont val="Arial"/>
        <family val="2"/>
      </rPr>
      <t>lan</t>
    </r>
  </si>
  <si>
    <r>
      <rPr>
        <b/>
        <sz val="20"/>
        <color rgb="FFC00000"/>
        <rFont val="Arial"/>
        <family val="2"/>
      </rPr>
      <t>R</t>
    </r>
    <r>
      <rPr>
        <b/>
        <sz val="20"/>
        <color theme="1"/>
        <rFont val="Arial"/>
        <family val="2"/>
      </rPr>
      <t>isk</t>
    </r>
    <r>
      <rPr>
        <b/>
        <sz val="20"/>
        <color rgb="FFC00000"/>
        <rFont val="Arial"/>
        <family val="2"/>
      </rPr>
      <t>l</t>
    </r>
    <r>
      <rPr>
        <b/>
        <sz val="20"/>
        <color theme="1"/>
        <rFont val="Arial"/>
        <family val="2"/>
      </rPr>
      <t>og</t>
    </r>
  </si>
  <si>
    <t>Risk
type</t>
  </si>
  <si>
    <r>
      <t xml:space="preserve">Amount of loss max.
</t>
    </r>
    <r>
      <rPr>
        <b/>
        <sz val="8"/>
        <color theme="1"/>
        <rFont val="Arial"/>
        <family val="2"/>
      </rPr>
      <t>(if it's relevant)</t>
    </r>
  </si>
  <si>
    <t>TMDRiskShow</t>
  </si>
  <si>
    <t>CUSTOMER</t>
  </si>
  <si>
    <t>INTERNAL</t>
  </si>
  <si>
    <r>
      <rPr>
        <b/>
        <sz val="20"/>
        <color rgb="FFC00000"/>
        <rFont val="Arial"/>
        <family val="2"/>
      </rPr>
      <t>D</t>
    </r>
    <r>
      <rPr>
        <b/>
        <sz val="20"/>
        <color theme="1"/>
        <rFont val="Arial"/>
        <family val="2"/>
      </rPr>
      <t>escription</t>
    </r>
  </si>
  <si>
    <r>
      <rPr>
        <b/>
        <sz val="20"/>
        <color rgb="FFC00000"/>
        <rFont val="Arial"/>
        <family val="2"/>
      </rPr>
      <t>P</t>
    </r>
    <r>
      <rPr>
        <b/>
        <sz val="20"/>
        <color theme="1"/>
        <rFont val="Arial"/>
        <family val="2"/>
      </rPr>
      <t xml:space="preserve">roject </t>
    </r>
    <r>
      <rPr>
        <b/>
        <sz val="20"/>
        <color rgb="FFC00000"/>
        <rFont val="Arial"/>
        <family val="2"/>
      </rPr>
      <t>S</t>
    </r>
    <r>
      <rPr>
        <b/>
        <sz val="20"/>
        <color theme="1"/>
        <rFont val="Arial"/>
        <family val="2"/>
      </rPr>
      <t>ummary</t>
    </r>
  </si>
  <si>
    <t>Team/Ressourcen</t>
  </si>
  <si>
    <r>
      <rPr>
        <b/>
        <sz val="20"/>
        <color rgb="FFC00000"/>
        <rFont val="Arial"/>
        <family val="2"/>
      </rPr>
      <t>P</t>
    </r>
    <r>
      <rPr>
        <b/>
        <sz val="20"/>
        <color theme="1"/>
        <rFont val="Arial"/>
        <family val="2"/>
      </rPr>
      <t xml:space="preserve">roject </t>
    </r>
    <r>
      <rPr>
        <b/>
        <sz val="20"/>
        <color rgb="FFC00000"/>
        <rFont val="Arial"/>
        <family val="2"/>
      </rPr>
      <t>C</t>
    </r>
    <r>
      <rPr>
        <b/>
        <sz val="20"/>
        <color theme="1"/>
        <rFont val="Arial"/>
        <family val="2"/>
      </rPr>
      <t>harts</t>
    </r>
  </si>
  <si>
    <r>
      <rPr>
        <b/>
        <sz val="20"/>
        <color rgb="FFC00000"/>
        <rFont val="Arial"/>
        <family val="2"/>
      </rPr>
      <t>D</t>
    </r>
    <r>
      <rPr>
        <b/>
        <sz val="20"/>
        <color theme="1"/>
        <rFont val="Arial"/>
        <family val="2"/>
      </rPr>
      <t>etails</t>
    </r>
  </si>
  <si>
    <r>
      <t>P</t>
    </r>
    <r>
      <rPr>
        <b/>
        <sz val="20"/>
        <color theme="1"/>
        <rFont val="Arial"/>
        <family val="2"/>
      </rPr>
      <t>rintable</t>
    </r>
    <r>
      <rPr>
        <b/>
        <sz val="20"/>
        <color rgb="FFC00000"/>
        <rFont val="Arial"/>
        <family val="2"/>
      </rPr>
      <t xml:space="preserve"> O</t>
    </r>
    <r>
      <rPr>
        <b/>
        <sz val="20"/>
        <color theme="1"/>
        <rFont val="Arial"/>
        <family val="2"/>
      </rPr>
      <t>verview</t>
    </r>
  </si>
  <si>
    <r>
      <t>P</t>
    </r>
    <r>
      <rPr>
        <b/>
        <sz val="20"/>
        <color theme="1"/>
        <rFont val="Arial"/>
        <family val="2"/>
      </rPr>
      <t>rintable</t>
    </r>
    <r>
      <rPr>
        <b/>
        <sz val="20"/>
        <color rgb="FFC00000"/>
        <rFont val="Arial"/>
        <family val="2"/>
      </rPr>
      <t xml:space="preserve"> C</t>
    </r>
    <r>
      <rPr>
        <b/>
        <sz val="20"/>
        <color theme="1"/>
        <rFont val="Arial"/>
        <family val="2"/>
      </rPr>
      <t xml:space="preserve">ustomer </t>
    </r>
    <r>
      <rPr>
        <b/>
        <sz val="20"/>
        <color rgb="FFC00000"/>
        <rFont val="Arial"/>
        <family val="2"/>
      </rPr>
      <t>R</t>
    </r>
    <r>
      <rPr>
        <b/>
        <sz val="20"/>
        <color theme="1"/>
        <rFont val="Arial"/>
        <family val="2"/>
      </rPr>
      <t>eport</t>
    </r>
  </si>
  <si>
    <r>
      <t>P</t>
    </r>
    <r>
      <rPr>
        <b/>
        <sz val="20"/>
        <color theme="1"/>
        <rFont val="Arial"/>
        <family val="2"/>
      </rPr>
      <t>roject</t>
    </r>
    <r>
      <rPr>
        <b/>
        <sz val="20"/>
        <color rgb="FFC00000"/>
        <rFont val="Arial"/>
        <family val="2"/>
      </rPr>
      <t xml:space="preserve"> B</t>
    </r>
    <r>
      <rPr>
        <b/>
        <sz val="20"/>
        <color theme="1"/>
        <rFont val="Arial"/>
        <family val="2"/>
      </rPr>
      <t>usiness</t>
    </r>
    <r>
      <rPr>
        <b/>
        <sz val="20"/>
        <color rgb="FFC00000"/>
        <rFont val="Arial"/>
        <family val="2"/>
      </rPr>
      <t xml:space="preserve"> C</t>
    </r>
    <r>
      <rPr>
        <b/>
        <sz val="20"/>
        <color theme="1"/>
        <rFont val="Arial"/>
        <family val="2"/>
      </rPr>
      <t>hecklist</t>
    </r>
  </si>
  <si>
    <t>Time Rating Milestones</t>
  </si>
  <si>
    <t>Ver. 2.1</t>
  </si>
  <si>
    <t>Ver 2.1.1</t>
  </si>
  <si>
    <t>Änderung Risklog (09:30)</t>
  </si>
  <si>
    <t>Ver 2.1.2</t>
  </si>
  <si>
    <t>Link Opportunity Qualification in Reiter Overview (15:02)</t>
  </si>
  <si>
    <t>Ver 2.1.3</t>
  </si>
  <si>
    <t>EMB</t>
  </si>
  <si>
    <t>KAC</t>
  </si>
  <si>
    <t>Textliche Veränderungen</t>
  </si>
  <si>
    <t>Änderungen basierend auf Anforderungen CER / EMB</t>
  </si>
  <si>
    <t>Anpassungen für Drucklayout / Fehleranpassung Datumsdarstellung / Anpassung der Aktualisierung auf "Automatisch ohne Datentabellen"</t>
  </si>
  <si>
    <t>Opportunity Analysis (rate your positions with +, ++, +++ or -, --, --- instead of yes/no, clear/unclear, strong/weak if possible. 
If you are not sure, enter ?. Rate the position of the competition. 
Repeat this analysis for critical milestones of the sales campaign.)</t>
  </si>
  <si>
    <t>Ver 2.1.4</t>
  </si>
  <si>
    <t>Date of Lead Sign Off</t>
  </si>
  <si>
    <t>Anpassungen Layout / Verformelung Risklog / Anpassung beschreibbare Zellen gemäß PSR Dokument</t>
  </si>
  <si>
    <t>Total Workload PD</t>
  </si>
  <si>
    <t>Workdays per Month</t>
  </si>
  <si>
    <t>Total Planned PD</t>
  </si>
  <si>
    <t>Average Workload</t>
  </si>
  <si>
    <t>Load &gt; 0</t>
  </si>
  <si>
    <t>Count &gt; 0</t>
  </si>
  <si>
    <t>Total Avg Workload per Planned Head</t>
  </si>
  <si>
    <t>Total Heads</t>
  </si>
  <si>
    <t>Version 2.1.4</t>
  </si>
  <si>
    <t>Medium</t>
  </si>
  <si>
    <t>Claude-Alain Glauser</t>
  </si>
  <si>
    <t>Martin Luckow</t>
  </si>
  <si>
    <t>Project Management</t>
  </si>
  <si>
    <t>ARCH</t>
  </si>
  <si>
    <t>Architecture</t>
  </si>
  <si>
    <t>?</t>
  </si>
  <si>
    <t>None</t>
  </si>
  <si>
    <t>- Quality of the offer
- Qauality of the profiles provided</t>
  </si>
  <si>
    <t>++</t>
  </si>
  <si>
    <t>+++</t>
  </si>
  <si>
    <t>+</t>
  </si>
  <si>
    <t>GO if we can provide in this short term period an offer of good quality</t>
  </si>
  <si>
    <t>Knowledge of the customer</t>
  </si>
  <si>
    <t>No knowledge of the customer environment.</t>
  </si>
  <si>
    <t>Never worked there</t>
  </si>
  <si>
    <t>Time needed to understand their environment and working procedure</t>
  </si>
  <si>
    <t>Penalty if delivery is late</t>
  </si>
  <si>
    <t>0.5% of the total price per day of delay, with a maxium of 10%</t>
  </si>
  <si>
    <t>Contractual</t>
  </si>
  <si>
    <t>Decrease available budget</t>
  </si>
  <si>
    <t>Lack of Sharepoint ressources speaking French</t>
  </si>
  <si>
    <t>No Sharepoint ressources available in Lausanne to handle the project. Only Sharepoint ressource (RBI) is leaving the company mid-June and is fully booked till there</t>
  </si>
  <si>
    <t>Lake of ressource</t>
  </si>
  <si>
    <t>Understanding of the proejct</t>
  </si>
  <si>
    <t>OFISA</t>
  </si>
  <si>
    <t>Stefan Mittermayr</t>
  </si>
  <si>
    <t>Migration GEFI</t>
  </si>
  <si>
    <t>Migration from Oracle Froms 6i to 11gR2</t>
  </si>
  <si>
    <t>Gille di Domenico</t>
  </si>
  <si>
    <t>DEV</t>
  </si>
  <si>
    <t>Development</t>
  </si>
  <si>
    <t>PEP</t>
  </si>
  <si>
    <t>Pakull, Perry</t>
  </si>
  <si>
    <t>LAF</t>
  </si>
  <si>
    <t>Felahi, Lazhar</t>
  </si>
  <si>
    <t>DDG</t>
  </si>
  <si>
    <t>di Domenico, Gille</t>
  </si>
  <si>
    <t>Modernization</t>
  </si>
  <si>
    <t>Automation of the migration process with specific Trivadis VM</t>
  </si>
  <si>
    <t>Oracle knowledge and expertise</t>
  </si>
  <si>
    <t>Long term relationship with customer as many applications to modernize</t>
  </si>
  <si>
    <t>Strengths: 
- Already run the Basis Analysis
- Quality of work already demonstrated to the customer
Weakness:
- Price of the migration could be too high for the final customer. OFISA being a software editor they will have to sell this migration to the final customer</t>
  </si>
  <si>
    <t>Building a strong partnership with OFISA and demonstrate our capabilities in the modernization field</t>
  </si>
  <si>
    <t>Flexible offer</t>
  </si>
  <si>
    <t>Provide expertise and secure the way the migration will be done</t>
  </si>
  <si>
    <t>Management of OFISA</t>
  </si>
  <si>
    <t>Not requested</t>
  </si>
  <si>
    <t>Also help them in the Java field</t>
  </si>
  <si>
    <t>n/a</t>
  </si>
  <si>
    <t>Application to be migrated is very big</t>
  </si>
  <si>
    <t>GEFI Migration</t>
  </si>
  <si>
    <t>Setup - Test Envrionment Installation</t>
  </si>
  <si>
    <t>Setup - Documentation</t>
  </si>
  <si>
    <t>Setup - Coaching</t>
  </si>
  <si>
    <t>Migration 1:1</t>
  </si>
  <si>
    <t>Tests</t>
  </si>
  <si>
    <t>TST</t>
  </si>
  <si>
    <t>Test</t>
  </si>
  <si>
    <t>Update Layout</t>
  </si>
  <si>
    <t>Update Navigation</t>
  </si>
  <si>
    <t>Complexity of application</t>
  </si>
  <si>
    <t>GEFI application is big and has been writen during a very long period. Estimating the exact volume of work and problem that we could have seems difficult</t>
  </si>
  <si>
    <t>Number of Forms and Reports</t>
  </si>
  <si>
    <t>Risk to have more work to complete during the migration</t>
  </si>
  <si>
    <t>I have increased the number of days from 18 days to 25 days for the migration and added 25 days more for Layout and navigation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</si>
</sst>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64" formatCode="_(* #,##0.00_);_(* \(#,##0.00\);_(* &quot;-&quot;??_);_(@_)"/>
    <numFmt numFmtId="165" formatCode="dd/mm/yy;@"/>
    <numFmt numFmtId="166" formatCode="mm\/yy"/>
    <numFmt numFmtId="167" formatCode="#"/>
    <numFmt numFmtId="168" formatCode="dd/mm/yy;dd/mm/yy;#"/>
    <numFmt numFmtId="169" formatCode="0.0"/>
    <numFmt numFmtId="170" formatCode="#,##0.0"/>
    <numFmt numFmtId="171" formatCode="dd/mm/yy"/>
    <numFmt numFmtId="172" formatCode="#,###"/>
    <numFmt numFmtId="173" formatCode="0\ &quot;day(s)&quot;"/>
    <numFmt numFmtId="174" formatCode="#;#;#"/>
    <numFmt numFmtId="175" formatCode="#,##0;\-#,##0;#"/>
    <numFmt numFmtId="176" formatCode="0.00%;\-0.00%;#"/>
    <numFmt numFmtId="177" formatCode="0.00%;\-0.00%;#.0"/>
    <numFmt numFmtId="178" formatCode="#,##0.00;\-#,##0.00;#"/>
    <numFmt numFmtId="179" formatCode="dd/mm/yy;#;#"/>
    <numFmt numFmtId="180" formatCode="_(* #,##0_);_(* \(#,##0\);_(* &quot;-&quot;??_);_(@_)"/>
    <numFmt numFmtId="181" formatCode="dd/mm/yyyy;@"/>
    <numFmt numFmtId="182" formatCode="0.00_ ;[Red]\-0.00\ "/>
    <numFmt numFmtId="183" formatCode="#,##0.00\ &quot;€&quot;"/>
    <numFmt numFmtId="184" formatCode="0.0%"/>
    <numFmt numFmtId="185" formatCode="#,##0.00\ _€"/>
    <numFmt numFmtId="186" formatCode="#,##0.00\ [$CHF]"/>
  </numFmts>
  <fonts count="119">
    <font>
      <sz val="11"/>
      <color theme="1"/>
      <name val="Calibri"/>
      <family val="2"/>
      <scheme val="minor"/>
    </font>
    <font>
      <b/>
      <sz val="11"/>
      <color theme="1"/>
      <name val="Calibri"/>
      <family val="2"/>
      <scheme val="minor"/>
    </font>
    <font>
      <b/>
      <sz val="14"/>
      <color theme="1"/>
      <name val="Calibri"/>
      <family val="2"/>
      <scheme val="minor"/>
    </font>
    <font>
      <sz val="10"/>
      <name val="Arial"/>
      <family val="2"/>
    </font>
    <font>
      <b/>
      <sz val="10"/>
      <name val="Arial"/>
      <family val="2"/>
    </font>
    <font>
      <sz val="10"/>
      <name val="Arial"/>
      <family val="2"/>
    </font>
    <font>
      <b/>
      <sz val="12"/>
      <color theme="1"/>
      <name val="Calibri"/>
      <family val="2"/>
      <scheme val="minor"/>
    </font>
    <font>
      <sz val="11"/>
      <color theme="1"/>
      <name val="Calibri"/>
      <family val="2"/>
      <scheme val="minor"/>
    </font>
    <font>
      <sz val="10"/>
      <name val="CG Omega"/>
      <family val="2"/>
    </font>
    <font>
      <sz val="10"/>
      <name val="CG Omega"/>
      <family val="2"/>
    </font>
    <font>
      <b/>
      <sz val="10"/>
      <name val="CG Omega"/>
      <family val="2"/>
    </font>
    <font>
      <sz val="8"/>
      <name val="CG Omega"/>
      <family val="2"/>
    </font>
    <font>
      <b/>
      <sz val="12"/>
      <name val="CG Omega"/>
      <family val="2"/>
    </font>
    <font>
      <u/>
      <sz val="11"/>
      <color theme="10"/>
      <name val="Calibri"/>
      <family val="2"/>
    </font>
    <font>
      <b/>
      <sz val="16"/>
      <color theme="1"/>
      <name val="CG Omega"/>
      <family val="2"/>
    </font>
    <font>
      <sz val="11"/>
      <color theme="1"/>
      <name val="CG Omega"/>
      <family val="2"/>
    </font>
    <font>
      <b/>
      <sz val="11"/>
      <color theme="0"/>
      <name val="CG Omega"/>
      <family val="2"/>
    </font>
    <font>
      <sz val="12"/>
      <color theme="1"/>
      <name val="CG Omega"/>
      <family val="2"/>
    </font>
    <font>
      <sz val="10"/>
      <color theme="1"/>
      <name val="CG Omega"/>
      <family val="2"/>
    </font>
    <font>
      <sz val="11"/>
      <color rgb="FF9C0006"/>
      <name val="Calibri"/>
      <family val="2"/>
      <scheme val="minor"/>
    </font>
    <font>
      <sz val="11"/>
      <color rgb="FF9C6500"/>
      <name val="Calibri"/>
      <family val="2"/>
      <scheme val="minor"/>
    </font>
    <font>
      <b/>
      <i/>
      <sz val="11"/>
      <color indexed="8"/>
      <name val="Calibri"/>
      <family val="2"/>
    </font>
    <font>
      <b/>
      <sz val="11"/>
      <color indexed="8"/>
      <name val="Calibri"/>
      <family val="2"/>
    </font>
    <font>
      <i/>
      <sz val="8"/>
      <name val="Arial"/>
      <family val="2"/>
    </font>
    <font>
      <sz val="11"/>
      <name val="Calibri"/>
      <family val="2"/>
      <scheme val="minor"/>
    </font>
    <font>
      <sz val="10"/>
      <color theme="1"/>
      <name val="Arial"/>
      <family val="2"/>
    </font>
    <font>
      <sz val="10"/>
      <color theme="0" tint="-4.9989318521683403E-2"/>
      <name val="Arial"/>
      <family val="2"/>
    </font>
    <font>
      <sz val="11"/>
      <color theme="0" tint="-4.9989318521683403E-2"/>
      <name val="Calibri"/>
      <family val="2"/>
      <scheme val="minor"/>
    </font>
    <font>
      <b/>
      <sz val="8"/>
      <name val="Tahoma"/>
      <family val="2"/>
    </font>
    <font>
      <sz val="8"/>
      <name val="Tahoma"/>
      <family val="2"/>
    </font>
    <font>
      <b/>
      <sz val="8"/>
      <color theme="1"/>
      <name val="Tahoma"/>
      <family val="2"/>
    </font>
    <font>
      <sz val="8"/>
      <color theme="1"/>
      <name val="Tahoma"/>
      <family val="2"/>
    </font>
    <font>
      <b/>
      <sz val="9"/>
      <color indexed="81"/>
      <name val="Tahoma"/>
      <family val="2"/>
    </font>
    <font>
      <sz val="10"/>
      <name val="Arial"/>
      <family val="2"/>
    </font>
    <font>
      <sz val="10"/>
      <name val="CG Omega"/>
      <family val="2"/>
    </font>
    <font>
      <sz val="10"/>
      <color theme="2"/>
      <name val="Arial"/>
      <family val="2"/>
    </font>
    <font>
      <b/>
      <sz val="11"/>
      <color theme="0"/>
      <name val="Calibri"/>
      <family val="2"/>
      <scheme val="minor"/>
    </font>
    <font>
      <b/>
      <sz val="10"/>
      <color theme="0"/>
      <name val="CG Omega"/>
      <family val="2"/>
    </font>
    <font>
      <b/>
      <sz val="20"/>
      <color theme="1"/>
      <name val="CG Omega"/>
      <family val="2"/>
    </font>
    <font>
      <b/>
      <sz val="20"/>
      <color rgb="FFC00000"/>
      <name val="CG Omega"/>
      <family val="2"/>
    </font>
    <font>
      <b/>
      <sz val="25"/>
      <color theme="1"/>
      <name val="CG Omega"/>
      <family val="2"/>
    </font>
    <font>
      <b/>
      <sz val="25"/>
      <color rgb="FFC00000"/>
      <name val="CG Omega"/>
      <family val="2"/>
    </font>
    <font>
      <sz val="9"/>
      <color indexed="81"/>
      <name val="Tahoma"/>
      <family val="2"/>
    </font>
    <font>
      <u/>
      <sz val="11"/>
      <color theme="10"/>
      <name val="Calibri"/>
      <family val="2"/>
      <scheme val="minor"/>
    </font>
    <font>
      <sz val="11"/>
      <color rgb="FF000000"/>
      <name val="Calibri"/>
      <family val="2"/>
    </font>
    <font>
      <sz val="8"/>
      <color indexed="81"/>
      <name val="CG Omega"/>
      <family val="2"/>
    </font>
    <font>
      <sz val="11"/>
      <color rgb="FFFF0000"/>
      <name val="Calibri"/>
      <family val="2"/>
      <scheme val="minor"/>
    </font>
    <font>
      <b/>
      <sz val="15"/>
      <color theme="3"/>
      <name val="Calibri"/>
      <family val="2"/>
      <scheme val="minor"/>
    </font>
    <font>
      <b/>
      <sz val="11"/>
      <color theme="3"/>
      <name val="Calibri"/>
      <family val="2"/>
      <scheme val="minor"/>
    </font>
    <font>
      <sz val="11"/>
      <color rgb="FF006100"/>
      <name val="Calibri"/>
      <family val="2"/>
      <scheme val="minor"/>
    </font>
    <font>
      <b/>
      <sz val="18"/>
      <color theme="3"/>
      <name val="Cambria"/>
      <family val="2"/>
      <scheme val="major"/>
    </font>
    <font>
      <b/>
      <sz val="13"/>
      <color theme="3"/>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0"/>
      <color theme="1" tint="0.249977111117893"/>
      <name val="Wingdings"/>
      <charset val="2"/>
    </font>
    <font>
      <b/>
      <sz val="11"/>
      <color theme="0" tint="-4.9989318521683403E-2"/>
      <name val="Calibri"/>
      <family val="2"/>
      <scheme val="minor"/>
    </font>
    <font>
      <b/>
      <i/>
      <sz val="12"/>
      <name val="Arial"/>
      <family val="2"/>
    </font>
    <font>
      <b/>
      <sz val="12"/>
      <name val="Arial"/>
      <family val="2"/>
    </font>
    <font>
      <sz val="12"/>
      <name val="Arial"/>
      <family val="2"/>
    </font>
    <font>
      <b/>
      <sz val="16"/>
      <color theme="1"/>
      <name val="Arial"/>
      <family val="2"/>
    </font>
    <font>
      <sz val="12"/>
      <color theme="1"/>
      <name val="Arial"/>
      <family val="2"/>
    </font>
    <font>
      <sz val="11"/>
      <color theme="1"/>
      <name val="Arial"/>
      <family val="2"/>
    </font>
    <font>
      <b/>
      <sz val="25"/>
      <color rgb="FFC00000"/>
      <name val="Arial"/>
      <family val="2"/>
    </font>
    <font>
      <b/>
      <sz val="20"/>
      <color rgb="FFC00000"/>
      <name val="Arial"/>
      <family val="2"/>
    </font>
    <font>
      <b/>
      <sz val="20"/>
      <color theme="1"/>
      <name val="Arial"/>
      <family val="2"/>
    </font>
    <font>
      <b/>
      <sz val="14"/>
      <color theme="1"/>
      <name val="Arial"/>
      <family val="2"/>
    </font>
    <font>
      <b/>
      <sz val="12"/>
      <color rgb="FFFF0000"/>
      <name val="Arial"/>
      <family val="2"/>
    </font>
    <font>
      <b/>
      <sz val="11"/>
      <color theme="1" tint="0.34998626667073579"/>
      <name val="Arial"/>
      <family val="2"/>
    </font>
    <font>
      <sz val="11"/>
      <name val="Arial"/>
      <family val="2"/>
    </font>
    <font>
      <b/>
      <sz val="12"/>
      <color theme="1" tint="0.249977111117893"/>
      <name val="Arial"/>
      <family val="2"/>
    </font>
    <font>
      <b/>
      <sz val="11"/>
      <color theme="1" tint="0.249977111117893"/>
      <name val="Arial"/>
      <family val="2"/>
    </font>
    <font>
      <sz val="11"/>
      <color theme="1" tint="0.249977111117893"/>
      <name val="Arial"/>
      <family val="2"/>
    </font>
    <font>
      <sz val="10"/>
      <color theme="1" tint="0.249977111117893"/>
      <name val="Arial"/>
      <family val="2"/>
    </font>
    <font>
      <b/>
      <sz val="10"/>
      <color theme="1" tint="0.249977111117893"/>
      <name val="Arial"/>
      <family val="2"/>
    </font>
    <font>
      <b/>
      <sz val="11"/>
      <color theme="0" tint="-4.9989318521683403E-2"/>
      <name val="Arial"/>
      <family val="2"/>
    </font>
    <font>
      <b/>
      <sz val="10"/>
      <color theme="0" tint="-4.9989318521683403E-2"/>
      <name val="Arial"/>
      <family val="2"/>
    </font>
    <font>
      <b/>
      <sz val="12"/>
      <color theme="0"/>
      <name val="Arial"/>
      <family val="2"/>
    </font>
    <font>
      <b/>
      <sz val="11"/>
      <color theme="1"/>
      <name val="Arial"/>
      <family val="2"/>
    </font>
    <font>
      <u/>
      <sz val="11"/>
      <color theme="10"/>
      <name val="Arial"/>
      <family val="2"/>
    </font>
    <font>
      <b/>
      <sz val="12"/>
      <color theme="1"/>
      <name val="Arial"/>
      <family val="2"/>
    </font>
    <font>
      <b/>
      <sz val="10"/>
      <color theme="1"/>
      <name val="Arial"/>
      <family val="2"/>
    </font>
    <font>
      <b/>
      <sz val="25"/>
      <color theme="1"/>
      <name val="Arial"/>
      <family val="2"/>
    </font>
    <font>
      <b/>
      <sz val="20"/>
      <name val="Arial"/>
      <family val="2"/>
    </font>
    <font>
      <b/>
      <sz val="14"/>
      <name val="Arial"/>
      <family val="2"/>
    </font>
    <font>
      <b/>
      <sz val="10"/>
      <color rgb="FFFFC000"/>
      <name val="Arial"/>
      <family val="2"/>
    </font>
    <font>
      <sz val="8"/>
      <name val="Arial"/>
      <family val="2"/>
    </font>
    <font>
      <b/>
      <sz val="8"/>
      <name val="Arial"/>
      <family val="2"/>
    </font>
    <font>
      <b/>
      <sz val="15"/>
      <color theme="3"/>
      <name val="Arial"/>
      <family val="2"/>
    </font>
    <font>
      <b/>
      <sz val="11"/>
      <color theme="3"/>
      <name val="Arial"/>
      <family val="2"/>
    </font>
    <font>
      <sz val="11"/>
      <color theme="3"/>
      <name val="Arial"/>
      <family val="2"/>
    </font>
    <font>
      <b/>
      <sz val="10"/>
      <color theme="0"/>
      <name val="Arial"/>
      <family val="2"/>
    </font>
    <font>
      <b/>
      <sz val="12"/>
      <color indexed="9"/>
      <name val="Arial"/>
      <family val="2"/>
    </font>
    <font>
      <b/>
      <sz val="10"/>
      <color indexed="9"/>
      <name val="Arial"/>
      <family val="2"/>
    </font>
    <font>
      <b/>
      <sz val="11"/>
      <color rgb="FFFF0000"/>
      <name val="Arial"/>
      <family val="2"/>
    </font>
    <font>
      <sz val="11"/>
      <color theme="0" tint="-4.9989318521683403E-2"/>
      <name val="Arial"/>
      <family val="2"/>
    </font>
    <font>
      <b/>
      <sz val="9"/>
      <color rgb="FFFF0000"/>
      <name val="Arial"/>
      <family val="2"/>
    </font>
    <font>
      <b/>
      <sz val="9"/>
      <color theme="1"/>
      <name val="Arial"/>
      <family val="2"/>
    </font>
    <font>
      <sz val="9"/>
      <color theme="1"/>
      <name val="Arial"/>
      <family val="2"/>
    </font>
    <font>
      <sz val="9"/>
      <color theme="0" tint="-4.9989318521683403E-2"/>
      <name val="Arial"/>
      <family val="2"/>
    </font>
    <font>
      <sz val="9"/>
      <name val="Arial"/>
      <family val="2"/>
    </font>
    <font>
      <b/>
      <sz val="9"/>
      <color theme="0" tint="-4.9989318521683403E-2"/>
      <name val="Arial"/>
      <family val="2"/>
    </font>
    <font>
      <sz val="10"/>
      <color theme="0"/>
      <name val="Arial"/>
      <family val="2"/>
    </font>
    <font>
      <b/>
      <sz val="20"/>
      <color theme="1" tint="0.249977111117893"/>
      <name val="Arial"/>
      <family val="2"/>
    </font>
    <font>
      <b/>
      <sz val="20"/>
      <color rgb="FF535353"/>
      <name val="Arial"/>
      <family val="2"/>
    </font>
    <font>
      <b/>
      <sz val="20"/>
      <color rgb="FFCC0000"/>
      <name val="Arial"/>
      <family val="2"/>
    </font>
    <font>
      <sz val="11"/>
      <color rgb="FFFF0000"/>
      <name val="Arial"/>
      <family val="2"/>
    </font>
    <font>
      <b/>
      <sz val="8"/>
      <color theme="1"/>
      <name val="Arial"/>
      <family val="2"/>
    </font>
    <font>
      <b/>
      <sz val="11"/>
      <name val="Arial"/>
      <family val="2"/>
    </font>
    <font>
      <sz val="8"/>
      <color theme="1"/>
      <name val="Arial"/>
      <family val="2"/>
    </font>
    <font>
      <b/>
      <u/>
      <sz val="11"/>
      <color theme="1"/>
      <name val="Arial"/>
      <family val="2"/>
    </font>
    <font>
      <b/>
      <sz val="11"/>
      <color theme="0"/>
      <name val="Arial"/>
      <family val="2"/>
    </font>
    <font>
      <sz val="10.15"/>
      <color theme="1"/>
      <name val="Arial"/>
      <family val="2"/>
    </font>
    <font>
      <b/>
      <sz val="9"/>
      <name val="Arial"/>
      <family val="2"/>
    </font>
    <font>
      <sz val="8"/>
      <color theme="0" tint="-4.9989318521683403E-2"/>
      <name val="Arial"/>
      <family val="2"/>
    </font>
  </fonts>
  <fills count="52">
    <fill>
      <patternFill patternType="none"/>
    </fill>
    <fill>
      <patternFill patternType="gray125"/>
    </fill>
    <fill>
      <patternFill patternType="solid">
        <fgColor theme="2"/>
        <bgColor indexed="64"/>
      </patternFill>
    </fill>
    <fill>
      <patternFill patternType="solid">
        <fgColor indexed="10"/>
        <bgColor indexed="64"/>
      </patternFill>
    </fill>
    <fill>
      <patternFill patternType="solid">
        <fgColor theme="0"/>
        <bgColor indexed="64"/>
      </patternFill>
    </fill>
    <fill>
      <patternFill patternType="solid">
        <fgColor rgb="FFFFFF99"/>
        <bgColor indexed="64"/>
      </patternFill>
    </fill>
    <fill>
      <patternFill patternType="solid">
        <fgColor indexed="43"/>
        <bgColor indexed="64"/>
      </patternFill>
    </fill>
    <fill>
      <patternFill patternType="solid">
        <fgColor indexed="9"/>
        <bgColor indexed="64"/>
      </patternFill>
    </fill>
    <fill>
      <patternFill patternType="solid">
        <fgColor rgb="FFFFFFFF"/>
        <bgColor indexed="64"/>
      </patternFill>
    </fill>
    <fill>
      <patternFill patternType="solid">
        <fgColor rgb="FFFFC7CE"/>
      </patternFill>
    </fill>
    <fill>
      <patternFill patternType="solid">
        <fgColor rgb="FFFFEB9C"/>
      </patternFill>
    </fill>
    <fill>
      <patternFill patternType="solid">
        <fgColor theme="0" tint="-4.9989318521683403E-2"/>
        <bgColor indexed="64"/>
      </patternFill>
    </fill>
    <fill>
      <patternFill patternType="solid">
        <fgColor rgb="FFFFFFCC"/>
        <bgColor indexed="64"/>
      </patternFill>
    </fill>
    <fill>
      <patternFill patternType="solid">
        <fgColor rgb="FF002060"/>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00000"/>
        <bgColor indexed="64"/>
      </patternFill>
    </fill>
    <fill>
      <patternFill patternType="solid">
        <fgColor rgb="FF535353"/>
        <bgColor indexed="64"/>
      </patternFill>
    </fill>
    <fill>
      <patternFill patternType="solid">
        <fgColor theme="0" tint="-0.499984740745262"/>
        <bgColor indexed="64"/>
      </patternFill>
    </fill>
    <fill>
      <patternFill patternType="solid">
        <fgColor rgb="FFC8C8C8"/>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C6EF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1"/>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hair">
        <color indexed="64"/>
      </left>
      <right style="hair">
        <color indexed="64"/>
      </right>
      <top style="hair">
        <color indexed="64"/>
      </top>
      <bottom style="hair">
        <color indexed="64"/>
      </bottom>
      <diagonal/>
    </border>
    <border>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thin">
        <color indexed="64"/>
      </left>
      <right/>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top style="hair">
        <color indexed="64"/>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top style="thin">
        <color indexed="64"/>
      </top>
      <bottom style="hair">
        <color indexed="64"/>
      </bottom>
      <diagonal/>
    </border>
    <border>
      <left style="hair">
        <color indexed="64"/>
      </left>
      <right/>
      <top style="thin">
        <color indexed="64"/>
      </top>
      <bottom style="thin">
        <color indexed="64"/>
      </bottom>
      <diagonal/>
    </border>
    <border>
      <left style="hair">
        <color indexed="64"/>
      </left>
      <right/>
      <top style="thin">
        <color indexed="64"/>
      </top>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right/>
      <top/>
      <bottom style="hair">
        <color indexed="64"/>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style="thin">
        <color rgb="FFC8C8C8"/>
      </left>
      <right style="thin">
        <color rgb="FFC8C8C8"/>
      </right>
      <top style="thin">
        <color rgb="FFC8C8C8"/>
      </top>
      <bottom/>
      <diagonal/>
    </border>
    <border>
      <left/>
      <right style="thin">
        <color rgb="FFC8C8C8"/>
      </right>
      <top style="thin">
        <color rgb="FFC8C8C8"/>
      </top>
      <bottom/>
      <diagonal/>
    </border>
    <border>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style="thin">
        <color rgb="FFC8C8C8"/>
      </left>
      <right style="thin">
        <color rgb="FFC8C8C8"/>
      </right>
      <top/>
      <bottom/>
      <diagonal/>
    </border>
    <border>
      <left/>
      <right style="thin">
        <color rgb="FFC8C8C8"/>
      </right>
      <top/>
      <bottom/>
      <diagonal/>
    </border>
    <border>
      <left/>
      <right style="thin">
        <color rgb="FFC8C8C8"/>
      </right>
      <top style="thin">
        <color rgb="FFC8C8C8"/>
      </top>
      <bottom style="double">
        <color rgb="FFC8C8C8"/>
      </bottom>
      <diagonal/>
    </border>
    <border>
      <left style="thin">
        <color rgb="FFC8C8C8"/>
      </left>
      <right/>
      <top style="thin">
        <color rgb="FFC8C8C8"/>
      </top>
      <bottom style="double">
        <color rgb="FFC8C8C8"/>
      </bottom>
      <diagonal/>
    </border>
    <border>
      <left style="thin">
        <color rgb="FFC8C8C8"/>
      </left>
      <right style="thin">
        <color rgb="FFC8C8C8"/>
      </right>
      <top/>
      <bottom style="thin">
        <color rgb="FFC8C8C8"/>
      </bottom>
      <diagonal/>
    </border>
    <border>
      <left style="thin">
        <color rgb="FFC8C8C8"/>
      </left>
      <right style="thin">
        <color rgb="FFC8C8C8"/>
      </right>
      <top style="thin">
        <color rgb="FFC8C8C8"/>
      </top>
      <bottom style="thin">
        <color rgb="FFC8C8C8"/>
      </bottom>
      <diagonal/>
    </border>
    <border>
      <left style="medium">
        <color rgb="FFCC0000"/>
      </left>
      <right/>
      <top/>
      <bottom/>
      <diagonal/>
    </border>
    <border>
      <left style="thin">
        <color rgb="FFC00000"/>
      </left>
      <right style="thin">
        <color rgb="FFC00000"/>
      </right>
      <top style="thin">
        <color rgb="FFC00000"/>
      </top>
      <bottom style="thin">
        <color rgb="FFC0000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thin">
        <color rgb="FFC00000"/>
      </left>
      <right/>
      <top/>
      <bottom/>
      <diagonal/>
    </border>
    <border>
      <left style="thin">
        <color rgb="FFC8C8C8"/>
      </left>
      <right/>
      <top/>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thin">
        <color rgb="FF535353"/>
      </left>
      <right/>
      <top style="thin">
        <color rgb="FF535353"/>
      </top>
      <bottom/>
      <diagonal/>
    </border>
    <border>
      <left/>
      <right style="thin">
        <color rgb="FF535353"/>
      </right>
      <top style="thin">
        <color rgb="FF535353"/>
      </top>
      <bottom/>
      <diagonal/>
    </border>
    <border>
      <left style="thin">
        <color rgb="FF535353"/>
      </left>
      <right style="thin">
        <color rgb="FF535353"/>
      </right>
      <top style="thin">
        <color rgb="FF535353"/>
      </top>
      <bottom/>
      <diagonal/>
    </border>
    <border>
      <left style="thin">
        <color rgb="FF535353"/>
      </left>
      <right style="thin">
        <color rgb="FF535353"/>
      </right>
      <top/>
      <bottom/>
      <diagonal/>
    </border>
    <border>
      <left style="thin">
        <color rgb="FF535353"/>
      </left>
      <right/>
      <top/>
      <bottom/>
      <diagonal/>
    </border>
    <border>
      <left/>
      <right style="thin">
        <color rgb="FF535353"/>
      </right>
      <top/>
      <bottom/>
      <diagonal/>
    </border>
    <border>
      <left/>
      <right/>
      <top style="thin">
        <color rgb="FFC8C8C8"/>
      </top>
      <bottom style="thin">
        <color rgb="FFC8C8C8"/>
      </bottom>
      <diagonal/>
    </border>
    <border>
      <left style="thin">
        <color rgb="FFC8C8C8"/>
      </left>
      <right/>
      <top/>
      <bottom style="thin">
        <color rgb="FFC8C8C8"/>
      </bottom>
      <diagonal/>
    </border>
    <border>
      <left/>
      <right/>
      <top/>
      <bottom style="thin">
        <color rgb="FFC8C8C8"/>
      </bottom>
      <diagonal/>
    </border>
    <border>
      <left/>
      <right style="medium">
        <color rgb="FFC00000"/>
      </right>
      <top/>
      <bottom/>
      <diagonal/>
    </border>
    <border>
      <left style="medium">
        <color rgb="FFC00000"/>
      </left>
      <right/>
      <top/>
      <bottom/>
      <diagonal/>
    </border>
    <border>
      <left style="thin">
        <color indexed="64"/>
      </left>
      <right style="thin">
        <color indexed="64"/>
      </right>
      <top style="medium">
        <color indexed="64"/>
      </top>
      <bottom style="thin">
        <color indexed="64"/>
      </bottom>
      <diagonal/>
    </border>
    <border>
      <left style="medium">
        <color rgb="FFC00000"/>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theme="1"/>
      </left>
      <right style="thin">
        <color theme="1"/>
      </right>
      <top style="thin">
        <color theme="1"/>
      </top>
      <bottom style="thin">
        <color theme="1"/>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rgb="FF535353"/>
      </left>
      <right/>
      <top style="thin">
        <color rgb="FF535353"/>
      </top>
      <bottom style="thin">
        <color rgb="FF535353"/>
      </bottom>
      <diagonal/>
    </border>
    <border>
      <left/>
      <right/>
      <top style="thin">
        <color rgb="FF535353"/>
      </top>
      <bottom style="thin">
        <color rgb="FF535353"/>
      </bottom>
      <diagonal/>
    </border>
    <border>
      <left/>
      <right style="thin">
        <color rgb="FF535353"/>
      </right>
      <top style="thin">
        <color rgb="FF535353"/>
      </top>
      <bottom style="thin">
        <color rgb="FF535353"/>
      </bottom>
      <diagonal/>
    </border>
    <border>
      <left style="medium">
        <color rgb="FFC00000"/>
      </left>
      <right style="medium">
        <color rgb="FFC00000"/>
      </right>
      <top style="medium">
        <color rgb="FFC00000"/>
      </top>
      <bottom/>
      <diagonal/>
    </border>
    <border>
      <left style="medium">
        <color rgb="FFC00000"/>
      </left>
      <right style="medium">
        <color rgb="FFC00000"/>
      </right>
      <top/>
      <bottom/>
      <diagonal/>
    </border>
    <border>
      <left style="medium">
        <color rgb="FFC00000"/>
      </left>
      <right style="medium">
        <color rgb="FFC00000"/>
      </right>
      <top/>
      <bottom style="medium">
        <color rgb="FFC00000"/>
      </bottom>
      <diagonal/>
    </border>
    <border>
      <left/>
      <right/>
      <top/>
      <bottom style="thick">
        <color theme="4"/>
      </bottom>
      <diagonal/>
    </border>
    <border>
      <left/>
      <right/>
      <top/>
      <bottom style="medium">
        <color theme="4" tint="0.39997558519241921"/>
      </bottom>
      <diagonal/>
    </border>
    <border>
      <left style="medium">
        <color indexed="64"/>
      </left>
      <right/>
      <top/>
      <bottom style="thin">
        <color theme="1"/>
      </bottom>
      <diagonal/>
    </border>
    <border>
      <left/>
      <right style="thin">
        <color indexed="64"/>
      </right>
      <top/>
      <bottom style="thin">
        <color theme="1"/>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right/>
      <top/>
      <bottom style="thin">
        <color indexed="23"/>
      </bottom>
      <diagonal/>
    </border>
    <border>
      <left style="thin">
        <color indexed="23"/>
      </left>
      <right style="thin">
        <color indexed="23"/>
      </right>
      <top/>
      <bottom style="thin">
        <color indexed="23"/>
      </bottom>
      <diagonal/>
    </border>
    <border>
      <left style="thin">
        <color indexed="23"/>
      </left>
      <right/>
      <top/>
      <bottom style="thin">
        <color indexed="23"/>
      </bottom>
      <diagonal/>
    </border>
    <border>
      <left/>
      <right style="thin">
        <color indexed="23"/>
      </right>
      <top/>
      <bottom style="thin">
        <color indexed="23"/>
      </bottom>
      <diagonal/>
    </border>
    <border>
      <left style="thick">
        <color indexed="23"/>
      </left>
      <right/>
      <top/>
      <bottom style="thin">
        <color indexed="23"/>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tint="0.499984740745262"/>
      </left>
      <right/>
      <top/>
      <bottom style="thin">
        <color theme="1"/>
      </bottom>
      <diagonal/>
    </border>
    <border>
      <left/>
      <right style="thin">
        <color theme="1" tint="0.499984740745262"/>
      </right>
      <top/>
      <bottom style="thin">
        <color theme="1"/>
      </bottom>
      <diagonal/>
    </border>
  </borders>
  <cellStyleXfs count="767">
    <xf numFmtId="0" fontId="0" fillId="0" borderId="0"/>
    <xf numFmtId="0" fontId="3" fillId="0" borderId="0"/>
    <xf numFmtId="164" fontId="3" fillId="0" borderId="0" applyFont="0" applyFill="0" applyBorder="0" applyAlignment="0" applyProtection="0"/>
    <xf numFmtId="9" fontId="7" fillId="0" borderId="0" applyFont="0" applyFill="0" applyBorder="0" applyAlignment="0" applyProtection="0"/>
    <xf numFmtId="0" fontId="8" fillId="0" borderId="0"/>
    <xf numFmtId="0" fontId="5" fillId="0" borderId="0"/>
    <xf numFmtId="9" fontId="8" fillId="0" borderId="0" applyFont="0" applyFill="0" applyBorder="0" applyAlignment="0" applyProtection="0"/>
    <xf numFmtId="0" fontId="3" fillId="0" borderId="0"/>
    <xf numFmtId="0" fontId="8" fillId="0" borderId="0"/>
    <xf numFmtId="0" fontId="13" fillId="0" borderId="0" applyNumberFormat="0" applyFill="0" applyBorder="0" applyAlignment="0" applyProtection="0">
      <alignment vertical="top"/>
      <protection locked="0"/>
    </xf>
    <xf numFmtId="164" fontId="7" fillId="0" borderId="0" applyFont="0" applyFill="0" applyBorder="0" applyAlignment="0" applyProtection="0"/>
    <xf numFmtId="0" fontId="19" fillId="9" borderId="0" applyNumberFormat="0" applyBorder="0" applyAlignment="0" applyProtection="0"/>
    <xf numFmtId="0" fontId="20" fillId="10" borderId="0" applyNumberFormat="0" applyBorder="0" applyAlignment="0" applyProtection="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0" fontId="33" fillId="0" borderId="0"/>
    <xf numFmtId="9" fontId="34" fillId="0" borderId="0" applyFont="0" applyFill="0" applyBorder="0" applyAlignment="0" applyProtection="0"/>
    <xf numFmtId="0" fontId="33" fillId="0" borderId="0"/>
    <xf numFmtId="164" fontId="33" fillId="0" borderId="0" applyFont="0" applyFill="0" applyBorder="0" applyAlignment="0" applyProtection="0"/>
    <xf numFmtId="0" fontId="34" fillId="0" borderId="0"/>
    <xf numFmtId="164" fontId="33" fillId="0" borderId="0" applyFont="0" applyFill="0" applyBorder="0" applyAlignment="0" applyProtection="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3" fillId="0" borderId="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0" fontId="33" fillId="0" borderId="0"/>
    <xf numFmtId="164" fontId="33" fillId="0" borderId="0" applyFont="0" applyFill="0" applyBorder="0" applyAlignment="0" applyProtection="0"/>
    <xf numFmtId="164" fontId="33" fillId="0" borderId="0" applyFont="0" applyFill="0" applyBorder="0" applyAlignment="0" applyProtection="0"/>
    <xf numFmtId="0" fontId="34" fillId="0" borderId="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0" fontId="33" fillId="0" borderId="0"/>
    <xf numFmtId="9" fontId="34" fillId="0" borderId="0" applyFont="0" applyFill="0" applyBorder="0" applyAlignment="0" applyProtection="0"/>
    <xf numFmtId="0" fontId="33" fillId="0" borderId="0"/>
    <xf numFmtId="164" fontId="33" fillId="0" borderId="0" applyFont="0" applyFill="0" applyBorder="0" applyAlignment="0" applyProtection="0"/>
    <xf numFmtId="0" fontId="34" fillId="0" borderId="0"/>
    <xf numFmtId="164" fontId="33" fillId="0" borderId="0" applyFont="0" applyFill="0" applyBorder="0" applyAlignment="0" applyProtection="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0" fontId="33" fillId="0" borderId="0"/>
    <xf numFmtId="9" fontId="34" fillId="0" borderId="0" applyFont="0" applyFill="0" applyBorder="0" applyAlignment="0" applyProtection="0"/>
    <xf numFmtId="0" fontId="33" fillId="0" borderId="0"/>
    <xf numFmtId="0" fontId="33" fillId="0" borderId="0"/>
    <xf numFmtId="0" fontId="34" fillId="0" borderId="0"/>
    <xf numFmtId="164" fontId="33" fillId="0" borderId="0" applyFont="0" applyFill="0" applyBorder="0" applyAlignment="0" applyProtection="0"/>
    <xf numFmtId="0" fontId="3" fillId="0" borderId="0"/>
    <xf numFmtId="9" fontId="34" fillId="0" borderId="0" applyFont="0" applyFill="0" applyBorder="0" applyAlignment="0" applyProtection="0"/>
    <xf numFmtId="0" fontId="33" fillId="0" borderId="0"/>
    <xf numFmtId="164" fontId="33" fillId="0" borderId="0" applyFont="0" applyFill="0" applyBorder="0" applyAlignment="0" applyProtection="0"/>
    <xf numFmtId="0" fontId="34" fillId="0" borderId="0"/>
    <xf numFmtId="164" fontId="33" fillId="0" borderId="0" applyFont="0" applyFill="0" applyBorder="0" applyAlignment="0" applyProtection="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0" fontId="33" fillId="0" borderId="0"/>
    <xf numFmtId="9" fontId="34" fillId="0" borderId="0" applyFont="0" applyFill="0" applyBorder="0" applyAlignment="0" applyProtection="0"/>
    <xf numFmtId="0" fontId="33" fillId="0" borderId="0"/>
    <xf numFmtId="164" fontId="33" fillId="0" borderId="0" applyFont="0" applyFill="0" applyBorder="0" applyAlignment="0" applyProtection="0"/>
    <xf numFmtId="0" fontId="34" fillId="0" borderId="0"/>
    <xf numFmtId="164" fontId="33" fillId="0" borderId="0" applyFont="0" applyFill="0" applyBorder="0" applyAlignment="0" applyProtection="0"/>
    <xf numFmtId="0" fontId="3" fillId="0" borderId="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164" fontId="33" fillId="0" borderId="0" applyFont="0" applyFill="0" applyBorder="0" applyAlignment="0" applyProtection="0"/>
    <xf numFmtId="9" fontId="34" fillId="0" borderId="0" applyFont="0" applyFill="0" applyBorder="0" applyAlignment="0" applyProtection="0"/>
    <xf numFmtId="0" fontId="33" fillId="0" borderId="0"/>
    <xf numFmtId="0" fontId="34" fillId="0" borderId="0"/>
    <xf numFmtId="0" fontId="3" fillId="0" borderId="0"/>
    <xf numFmtId="0" fontId="33" fillId="0" borderId="0"/>
    <xf numFmtId="9" fontId="34" fillId="0" borderId="0" applyFont="0" applyFill="0" applyBorder="0" applyAlignment="0" applyProtection="0"/>
    <xf numFmtId="0" fontId="33" fillId="0" borderId="0"/>
    <xf numFmtId="164" fontId="7"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3" fillId="0" borderId="0" applyNumberFormat="0" applyFill="0" applyBorder="0" applyAlignment="0" applyProtection="0"/>
    <xf numFmtId="164" fontId="7" fillId="0" borderId="0" applyFont="0" applyFill="0" applyBorder="0" applyAlignment="0" applyProtection="0"/>
    <xf numFmtId="0" fontId="47" fillId="0" borderId="120" applyNumberFormat="0" applyFill="0" applyAlignment="0" applyProtection="0"/>
    <xf numFmtId="0" fontId="48" fillId="0" borderId="121" applyNumberFormat="0" applyFill="0" applyAlignment="0" applyProtection="0"/>
    <xf numFmtId="0" fontId="50" fillId="0" borderId="0" applyNumberFormat="0" applyFill="0" applyBorder="0" applyAlignment="0" applyProtection="0"/>
    <xf numFmtId="0" fontId="51" fillId="0" borderId="124" applyNumberFormat="0" applyFill="0" applyAlignment="0" applyProtection="0"/>
    <xf numFmtId="0" fontId="48" fillId="0" borderId="0" applyNumberFormat="0" applyFill="0" applyBorder="0" applyAlignment="0" applyProtection="0"/>
    <xf numFmtId="0" fontId="49" fillId="22" borderId="0" applyNumberFormat="0" applyBorder="0" applyAlignment="0" applyProtection="0"/>
    <xf numFmtId="0" fontId="52" fillId="23" borderId="125" applyNumberFormat="0" applyAlignment="0" applyProtection="0"/>
    <xf numFmtId="0" fontId="53" fillId="24" borderId="126" applyNumberFormat="0" applyAlignment="0" applyProtection="0"/>
    <xf numFmtId="0" fontId="54" fillId="24" borderId="125" applyNumberFormat="0" applyAlignment="0" applyProtection="0"/>
    <xf numFmtId="0" fontId="55" fillId="0" borderId="127" applyNumberFormat="0" applyFill="0" applyAlignment="0" applyProtection="0"/>
    <xf numFmtId="0" fontId="36" fillId="25" borderId="128" applyNumberFormat="0" applyAlignment="0" applyProtection="0"/>
    <xf numFmtId="0" fontId="46" fillId="0" borderId="0" applyNumberFormat="0" applyFill="0" applyBorder="0" applyAlignment="0" applyProtection="0"/>
    <xf numFmtId="0" fontId="56" fillId="0" borderId="0" applyNumberFormat="0" applyFill="0" applyBorder="0" applyAlignment="0" applyProtection="0"/>
    <xf numFmtId="0" fontId="1" fillId="0" borderId="130" applyNumberFormat="0" applyFill="0" applyAlignment="0" applyProtection="0"/>
    <xf numFmtId="0" fontId="57" fillId="27"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57" fillId="30" borderId="0" applyNumberFormat="0" applyBorder="0" applyAlignment="0" applyProtection="0"/>
    <xf numFmtId="0" fontId="57"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57" fillId="34" borderId="0" applyNumberFormat="0" applyBorder="0" applyAlignment="0" applyProtection="0"/>
    <xf numFmtId="0" fontId="57"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57" fillId="38" borderId="0" applyNumberFormat="0" applyBorder="0" applyAlignment="0" applyProtection="0"/>
    <xf numFmtId="0" fontId="57"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57" fillId="42" borderId="0" applyNumberFormat="0" applyBorder="0" applyAlignment="0" applyProtection="0"/>
    <xf numFmtId="0" fontId="57"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57" fillId="46" borderId="0" applyNumberFormat="0" applyBorder="0" applyAlignment="0" applyProtection="0"/>
    <xf numFmtId="0" fontId="57"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57" fillId="50" borderId="0" applyNumberFormat="0" applyBorder="0" applyAlignment="0" applyProtection="0"/>
    <xf numFmtId="0" fontId="58" fillId="0" borderId="0"/>
    <xf numFmtId="0" fontId="7" fillId="0" borderId="0"/>
    <xf numFmtId="0" fontId="7" fillId="26" borderId="129" applyNumberFormat="0" applyFont="0" applyAlignment="0" applyProtection="0"/>
    <xf numFmtId="0" fontId="7" fillId="0" borderId="0"/>
    <xf numFmtId="0" fontId="7" fillId="26" borderId="129" applyNumberFormat="0" applyFont="0" applyAlignment="0" applyProtection="0"/>
    <xf numFmtId="0" fontId="7" fillId="28" borderId="0" applyNumberFormat="0" applyBorder="0" applyAlignment="0" applyProtection="0"/>
    <xf numFmtId="0" fontId="7" fillId="29"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0" borderId="0"/>
    <xf numFmtId="0" fontId="7" fillId="26" borderId="129" applyNumberFormat="0" applyFont="0" applyAlignment="0" applyProtection="0"/>
    <xf numFmtId="0" fontId="7" fillId="28" borderId="0" applyNumberFormat="0" applyBorder="0" applyAlignment="0" applyProtection="0"/>
    <xf numFmtId="0" fontId="7" fillId="29"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cellStyleXfs>
  <cellXfs count="1388">
    <xf numFmtId="0" fontId="0" fillId="0" borderId="0" xfId="0"/>
    <xf numFmtId="0" fontId="9" fillId="8" borderId="19" xfId="8" applyFont="1" applyFill="1" applyBorder="1" applyAlignment="1">
      <alignment vertical="center"/>
    </xf>
    <xf numFmtId="0" fontId="9" fillId="8" borderId="20" xfId="8" applyFont="1" applyFill="1" applyBorder="1" applyAlignment="1">
      <alignment vertical="center"/>
    </xf>
    <xf numFmtId="0" fontId="9" fillId="8" borderId="20" xfId="7" applyFont="1" applyFill="1" applyBorder="1" applyAlignment="1">
      <alignment vertical="center"/>
    </xf>
    <xf numFmtId="0" fontId="9" fillId="8" borderId="6" xfId="7" applyFont="1" applyFill="1" applyBorder="1" applyAlignment="1">
      <alignment vertical="center"/>
    </xf>
    <xf numFmtId="0" fontId="9" fillId="8" borderId="6" xfId="8" applyFont="1" applyFill="1" applyBorder="1" applyAlignment="1">
      <alignment vertical="center"/>
    </xf>
    <xf numFmtId="0" fontId="0" fillId="4" borderId="19" xfId="0" applyFill="1" applyBorder="1"/>
    <xf numFmtId="0" fontId="0" fillId="4" borderId="20" xfId="0" applyFill="1" applyBorder="1"/>
    <xf numFmtId="0" fontId="0" fillId="4" borderId="6" xfId="0" applyFill="1" applyBorder="1"/>
    <xf numFmtId="0" fontId="0" fillId="0" borderId="0" xfId="0" applyFill="1"/>
    <xf numFmtId="0" fontId="20" fillId="10" borderId="1" xfId="12" applyBorder="1" applyProtection="1"/>
    <xf numFmtId="0" fontId="19" fillId="9" borderId="1" xfId="11" applyBorder="1" applyProtection="1"/>
    <xf numFmtId="0" fontId="15" fillId="11" borderId="0" xfId="0" applyFont="1" applyFill="1"/>
    <xf numFmtId="0" fontId="0" fillId="11" borderId="0" xfId="0" applyFill="1"/>
    <xf numFmtId="0" fontId="0" fillId="0" borderId="0" xfId="0" applyAlignment="1">
      <alignment vertical="top" wrapText="1"/>
    </xf>
    <xf numFmtId="0" fontId="9" fillId="11" borderId="0" xfId="1" applyFont="1" applyFill="1" applyProtection="1"/>
    <xf numFmtId="0" fontId="9" fillId="11" borderId="0" xfId="1" applyFont="1" applyFill="1" applyBorder="1" applyProtection="1"/>
    <xf numFmtId="0" fontId="15" fillId="11" borderId="0" xfId="0" applyFont="1" applyFill="1" applyAlignment="1">
      <alignment horizontal="center"/>
    </xf>
    <xf numFmtId="0" fontId="2" fillId="11" borderId="0" xfId="0" applyFont="1" applyFill="1"/>
    <xf numFmtId="0" fontId="6" fillId="11" borderId="0" xfId="0" applyFont="1" applyFill="1" applyBorder="1" applyAlignment="1"/>
    <xf numFmtId="0" fontId="12" fillId="11" borderId="18" xfId="1" applyFont="1" applyFill="1" applyBorder="1" applyProtection="1"/>
    <xf numFmtId="0" fontId="9" fillId="11" borderId="15" xfId="1" applyFont="1" applyFill="1" applyBorder="1" applyProtection="1"/>
    <xf numFmtId="0" fontId="9" fillId="11" borderId="11" xfId="1" applyFont="1" applyFill="1" applyBorder="1" applyProtection="1"/>
    <xf numFmtId="0" fontId="9" fillId="11" borderId="32" xfId="1" applyFont="1" applyFill="1" applyBorder="1" applyProtection="1"/>
    <xf numFmtId="0" fontId="9" fillId="11" borderId="7" xfId="1" applyFont="1" applyFill="1" applyBorder="1" applyProtection="1"/>
    <xf numFmtId="0" fontId="9" fillId="11" borderId="32" xfId="1" applyFont="1" applyFill="1" applyBorder="1" applyAlignment="1" applyProtection="1">
      <alignment horizontal="center" vertical="center"/>
    </xf>
    <xf numFmtId="0" fontId="9" fillId="11" borderId="8" xfId="1" applyFont="1" applyFill="1" applyBorder="1" applyAlignment="1" applyProtection="1">
      <alignment horizontal="center" vertical="center"/>
    </xf>
    <xf numFmtId="0" fontId="9" fillId="11" borderId="9" xfId="1" applyFont="1" applyFill="1" applyBorder="1" applyAlignment="1" applyProtection="1">
      <alignment horizontal="center" vertical="center"/>
    </xf>
    <xf numFmtId="9" fontId="9" fillId="11" borderId="10" xfId="1" applyNumberFormat="1" applyFont="1" applyFill="1" applyBorder="1" applyAlignment="1" applyProtection="1">
      <alignment horizontal="center" vertical="center"/>
    </xf>
    <xf numFmtId="9" fontId="9" fillId="11" borderId="11" xfId="1" applyNumberFormat="1" applyFont="1" applyFill="1" applyBorder="1" applyAlignment="1" applyProtection="1">
      <alignment horizontal="center" vertical="center"/>
    </xf>
    <xf numFmtId="0" fontId="9" fillId="11" borderId="7" xfId="1" applyFont="1" applyFill="1" applyBorder="1" applyAlignment="1" applyProtection="1">
      <alignment horizontal="center" vertical="center"/>
    </xf>
    <xf numFmtId="0" fontId="9" fillId="11" borderId="0" xfId="1" applyFont="1" applyFill="1" applyAlignment="1" applyProtection="1">
      <alignment horizontal="left" vertical="center"/>
    </xf>
    <xf numFmtId="0" fontId="6" fillId="11" borderId="0" xfId="0" applyFont="1" applyFill="1"/>
    <xf numFmtId="0" fontId="9" fillId="11" borderId="0" xfId="1" applyFont="1" applyFill="1" applyAlignment="1" applyProtection="1">
      <alignment horizontal="center" vertical="center"/>
    </xf>
    <xf numFmtId="0" fontId="9" fillId="11" borderId="12" xfId="1" applyFont="1" applyFill="1" applyBorder="1" applyAlignment="1" applyProtection="1">
      <alignment horizontal="center" vertical="center"/>
    </xf>
    <xf numFmtId="0" fontId="9" fillId="11" borderId="13" xfId="1" applyFont="1" applyFill="1" applyBorder="1" applyAlignment="1" applyProtection="1">
      <alignment horizontal="center" vertical="center"/>
    </xf>
    <xf numFmtId="9" fontId="9" fillId="11" borderId="14" xfId="1" applyNumberFormat="1" applyFont="1" applyFill="1" applyBorder="1" applyAlignment="1" applyProtection="1">
      <alignment horizontal="center" vertical="center"/>
    </xf>
    <xf numFmtId="0" fontId="9" fillId="11" borderId="0" xfId="1" applyFont="1" applyFill="1" applyBorder="1" applyAlignment="1" applyProtection="1">
      <alignment horizontal="center" vertical="center" textRotation="90"/>
    </xf>
    <xf numFmtId="0" fontId="9" fillId="11" borderId="0" xfId="1" applyFont="1" applyFill="1" applyBorder="1" applyAlignment="1" applyProtection="1">
      <alignment horizontal="center" vertical="center"/>
    </xf>
    <xf numFmtId="9" fontId="9" fillId="11" borderId="0" xfId="1" applyNumberFormat="1" applyFont="1" applyFill="1" applyBorder="1" applyAlignment="1" applyProtection="1">
      <alignment horizontal="center" vertical="center"/>
    </xf>
    <xf numFmtId="9" fontId="9" fillId="11" borderId="1" xfId="1" applyNumberFormat="1" applyFont="1" applyFill="1" applyBorder="1" applyAlignment="1" applyProtection="1">
      <alignment horizontal="center" vertical="center"/>
    </xf>
    <xf numFmtId="0" fontId="9" fillId="11" borderId="1" xfId="1" applyFont="1" applyFill="1" applyBorder="1" applyAlignment="1" applyProtection="1">
      <alignment horizontal="center" vertical="center"/>
    </xf>
    <xf numFmtId="0" fontId="9" fillId="11" borderId="32" xfId="1" applyFont="1" applyFill="1" applyBorder="1" applyAlignment="1" applyProtection="1">
      <alignment horizontal="center" vertical="center" textRotation="90"/>
    </xf>
    <xf numFmtId="0" fontId="10" fillId="11" borderId="7" xfId="1" applyFont="1" applyFill="1" applyBorder="1" applyAlignment="1" applyProtection="1">
      <alignment horizontal="center" vertical="center"/>
    </xf>
    <xf numFmtId="0" fontId="10" fillId="11" borderId="0" xfId="1" applyFont="1" applyFill="1" applyBorder="1" applyAlignment="1" applyProtection="1">
      <alignment horizontal="center" vertical="center"/>
    </xf>
    <xf numFmtId="0" fontId="9" fillId="11" borderId="32" xfId="1" applyFont="1" applyFill="1" applyBorder="1" applyAlignment="1" applyProtection="1">
      <alignment vertical="center"/>
    </xf>
    <xf numFmtId="0" fontId="9" fillId="11" borderId="0" xfId="1" applyFont="1" applyFill="1" applyBorder="1" applyAlignment="1" applyProtection="1">
      <alignment vertical="center"/>
    </xf>
    <xf numFmtId="0" fontId="9" fillId="11" borderId="12" xfId="1" applyFont="1" applyFill="1" applyBorder="1" applyProtection="1"/>
    <xf numFmtId="0" fontId="9" fillId="11" borderId="13" xfId="1" applyFont="1" applyFill="1" applyBorder="1" applyProtection="1"/>
    <xf numFmtId="0" fontId="9" fillId="11" borderId="14" xfId="1" applyFont="1" applyFill="1" applyBorder="1" applyProtection="1"/>
    <xf numFmtId="0" fontId="9" fillId="11" borderId="0" xfId="1" applyFont="1" applyFill="1" applyBorder="1" applyAlignment="1" applyProtection="1">
      <alignment horizontal="center"/>
    </xf>
    <xf numFmtId="10" fontId="9" fillId="11" borderId="0" xfId="1" applyNumberFormat="1" applyFont="1" applyFill="1" applyBorder="1" applyProtection="1"/>
    <xf numFmtId="0" fontId="1" fillId="11" borderId="0" xfId="0" applyFont="1" applyFill="1"/>
    <xf numFmtId="0" fontId="15" fillId="0" borderId="0" xfId="0" applyFont="1" applyFill="1"/>
    <xf numFmtId="0" fontId="0" fillId="11" borderId="1" xfId="0" applyFill="1" applyBorder="1" applyAlignment="1">
      <alignment vertical="top" wrapText="1"/>
    </xf>
    <xf numFmtId="0" fontId="0" fillId="11" borderId="0" xfId="0" applyFill="1" applyAlignment="1">
      <alignment vertical="top" wrapText="1"/>
    </xf>
    <xf numFmtId="0" fontId="22" fillId="11" borderId="1" xfId="0" applyFont="1" applyFill="1" applyBorder="1" applyAlignment="1">
      <alignment vertical="top" wrapText="1"/>
    </xf>
    <xf numFmtId="0" fontId="21" fillId="11" borderId="0" xfId="0" applyFont="1" applyFill="1" applyBorder="1" applyAlignment="1">
      <alignment vertical="top" wrapText="1"/>
    </xf>
    <xf numFmtId="0" fontId="0" fillId="5" borderId="1" xfId="0" applyFill="1" applyBorder="1" applyAlignment="1" applyProtection="1">
      <alignment vertical="top" wrapText="1"/>
      <protection locked="0"/>
    </xf>
    <xf numFmtId="0" fontId="0" fillId="4" borderId="19" xfId="0" applyFill="1" applyBorder="1" applyAlignment="1"/>
    <xf numFmtId="0" fontId="0" fillId="4" borderId="6" xfId="0" applyFill="1" applyBorder="1" applyAlignment="1"/>
    <xf numFmtId="0" fontId="9" fillId="11" borderId="1" xfId="1" applyFont="1" applyFill="1" applyBorder="1" applyAlignment="1" applyProtection="1">
      <alignment vertical="center"/>
    </xf>
    <xf numFmtId="0" fontId="0" fillId="11" borderId="15" xfId="0" applyFill="1" applyBorder="1"/>
    <xf numFmtId="0" fontId="0" fillId="11" borderId="11" xfId="0" applyFill="1" applyBorder="1"/>
    <xf numFmtId="0" fontId="0" fillId="11" borderId="12" xfId="0" applyFill="1" applyBorder="1"/>
    <xf numFmtId="0" fontId="0" fillId="11" borderId="13" xfId="0" applyFill="1" applyBorder="1"/>
    <xf numFmtId="0" fontId="0" fillId="11" borderId="14" xfId="0" applyFill="1" applyBorder="1"/>
    <xf numFmtId="10" fontId="9" fillId="15" borderId="1" xfId="1" applyNumberFormat="1" applyFont="1" applyFill="1" applyBorder="1" applyProtection="1"/>
    <xf numFmtId="173" fontId="9" fillId="15" borderId="1" xfId="1" applyNumberFormat="1" applyFont="1" applyFill="1" applyBorder="1" applyProtection="1"/>
    <xf numFmtId="0" fontId="9" fillId="15" borderId="1" xfId="1" applyFont="1" applyFill="1" applyBorder="1" applyAlignment="1" applyProtection="1">
      <alignment horizontal="center" vertical="center"/>
    </xf>
    <xf numFmtId="9" fontId="9" fillId="15" borderId="1" xfId="1" applyNumberFormat="1" applyFont="1" applyFill="1" applyBorder="1" applyAlignment="1" applyProtection="1">
      <alignment horizontal="center" vertical="center"/>
    </xf>
    <xf numFmtId="0" fontId="0" fillId="11" borderId="0" xfId="0" applyFill="1" applyAlignment="1">
      <alignment vertical="top"/>
    </xf>
    <xf numFmtId="0" fontId="8" fillId="11" borderId="6" xfId="1" applyFont="1" applyFill="1" applyBorder="1" applyAlignment="1" applyProtection="1"/>
    <xf numFmtId="0" fontId="8" fillId="11" borderId="6" xfId="1" applyFont="1" applyFill="1" applyBorder="1" applyAlignment="1" applyProtection="1">
      <alignment horizontal="right"/>
    </xf>
    <xf numFmtId="3" fontId="9" fillId="11" borderId="1" xfId="1" applyNumberFormat="1" applyFont="1" applyFill="1" applyBorder="1" applyProtection="1"/>
    <xf numFmtId="0" fontId="8" fillId="8" borderId="20" xfId="8" applyFont="1" applyFill="1" applyBorder="1" applyAlignment="1">
      <alignment vertical="center"/>
    </xf>
    <xf numFmtId="0" fontId="8" fillId="8" borderId="6" xfId="8" quotePrefix="1" applyFont="1" applyFill="1" applyBorder="1" applyAlignment="1">
      <alignment vertical="center"/>
    </xf>
    <xf numFmtId="17" fontId="0" fillId="11" borderId="0" xfId="0" applyNumberFormat="1" applyFill="1"/>
    <xf numFmtId="14" fontId="0" fillId="11" borderId="0" xfId="0" applyNumberFormat="1" applyFill="1"/>
    <xf numFmtId="0" fontId="8" fillId="8" borderId="19" xfId="8" applyFont="1" applyFill="1" applyBorder="1" applyAlignment="1">
      <alignment vertical="center"/>
    </xf>
    <xf numFmtId="0" fontId="37" fillId="18" borderId="78" xfId="0" applyFont="1" applyFill="1" applyBorder="1" applyAlignment="1">
      <alignment horizontal="left" vertical="top"/>
    </xf>
    <xf numFmtId="0" fontId="37" fillId="18" borderId="0" xfId="0" applyFont="1" applyFill="1" applyBorder="1" applyAlignment="1">
      <alignment horizontal="left" vertical="top"/>
    </xf>
    <xf numFmtId="0" fontId="37" fillId="18" borderId="0" xfId="0" applyFont="1" applyFill="1" applyBorder="1" applyAlignment="1">
      <alignment horizontal="center" vertical="top" wrapText="1"/>
    </xf>
    <xf numFmtId="0" fontId="18" fillId="11" borderId="0" xfId="0" applyFont="1" applyFill="1" applyBorder="1" applyAlignment="1">
      <alignment horizontal="center"/>
    </xf>
    <xf numFmtId="0" fontId="40" fillId="11" borderId="0" xfId="0" applyFont="1" applyFill="1"/>
    <xf numFmtId="0" fontId="39" fillId="11" borderId="0" xfId="0" applyFont="1" applyFill="1"/>
    <xf numFmtId="0" fontId="0" fillId="11" borderId="0" xfId="0" applyFill="1" applyBorder="1" applyAlignment="1">
      <alignment vertical="top"/>
    </xf>
    <xf numFmtId="0" fontId="1" fillId="11" borderId="85" xfId="0" applyFont="1" applyFill="1" applyBorder="1"/>
    <xf numFmtId="0" fontId="0" fillId="11" borderId="89" xfId="0" applyFill="1" applyBorder="1" applyAlignment="1">
      <alignment horizontal="left"/>
    </xf>
    <xf numFmtId="0" fontId="24" fillId="11" borderId="0" xfId="0" applyFont="1" applyFill="1"/>
    <xf numFmtId="0" fontId="27" fillId="11" borderId="0" xfId="0" applyFont="1" applyFill="1"/>
    <xf numFmtId="0" fontId="0" fillId="11" borderId="0" xfId="0" applyFill="1"/>
    <xf numFmtId="0" fontId="0" fillId="4" borderId="0" xfId="0" applyFill="1" applyProtection="1">
      <protection locked="0"/>
    </xf>
    <xf numFmtId="0" fontId="0" fillId="4" borderId="0" xfId="0" applyFill="1" applyAlignment="1" applyProtection="1">
      <alignment horizontal="left"/>
      <protection locked="0"/>
    </xf>
    <xf numFmtId="3" fontId="0" fillId="4" borderId="0" xfId="0" applyNumberFormat="1" applyFill="1" applyProtection="1">
      <protection locked="0"/>
    </xf>
    <xf numFmtId="0" fontId="0" fillId="4" borderId="0" xfId="0" applyFill="1" applyAlignment="1" applyProtection="1">
      <alignment horizontal="left" indent="1"/>
      <protection locked="0"/>
    </xf>
    <xf numFmtId="0" fontId="0" fillId="11" borderId="0" xfId="0" applyFill="1"/>
    <xf numFmtId="3" fontId="0" fillId="0" borderId="0" xfId="0" applyNumberFormat="1"/>
    <xf numFmtId="14" fontId="0" fillId="0" borderId="0" xfId="0" applyNumberFormat="1"/>
    <xf numFmtId="2" fontId="0" fillId="0" borderId="0" xfId="0" applyNumberFormat="1"/>
    <xf numFmtId="10" fontId="0" fillId="0" borderId="0" xfId="0" applyNumberFormat="1"/>
    <xf numFmtId="1" fontId="0" fillId="0" borderId="0" xfId="0" applyNumberFormat="1"/>
    <xf numFmtId="39" fontId="0" fillId="0" borderId="0" xfId="0" applyNumberFormat="1"/>
    <xf numFmtId="4" fontId="0" fillId="0" borderId="0" xfId="0" applyNumberFormat="1"/>
    <xf numFmtId="49" fontId="0" fillId="0" borderId="0" xfId="0" applyNumberFormat="1"/>
    <xf numFmtId="9" fontId="0" fillId="0" borderId="0" xfId="0" applyNumberFormat="1"/>
    <xf numFmtId="17" fontId="0" fillId="0" borderId="0" xfId="0" applyNumberFormat="1"/>
    <xf numFmtId="0" fontId="59" fillId="11" borderId="131" xfId="736" applyFont="1" applyFill="1" applyBorder="1" applyAlignment="1" applyProtection="1">
      <alignment horizontal="center" vertical="top"/>
    </xf>
    <xf numFmtId="0" fontId="27" fillId="11" borderId="89" xfId="0" applyFont="1" applyFill="1" applyBorder="1" applyAlignment="1">
      <alignment horizontal="left"/>
    </xf>
    <xf numFmtId="0" fontId="27" fillId="11" borderId="140" xfId="0" applyFont="1" applyFill="1" applyBorder="1" applyAlignment="1">
      <alignment horizontal="left"/>
    </xf>
    <xf numFmtId="0" fontId="27" fillId="11" borderId="140" xfId="0" applyFont="1" applyFill="1" applyBorder="1"/>
    <xf numFmtId="0" fontId="0" fillId="11" borderId="0" xfId="0" applyFill="1"/>
    <xf numFmtId="0" fontId="62" fillId="51" borderId="142" xfId="0" applyFont="1" applyFill="1" applyBorder="1" applyAlignment="1">
      <alignment horizontal="left" vertical="top" wrapText="1"/>
    </xf>
    <xf numFmtId="0" fontId="0" fillId="11" borderId="0" xfId="0" applyFill="1"/>
    <xf numFmtId="0" fontId="66" fillId="11" borderId="0" xfId="0" applyFont="1" applyFill="1"/>
    <xf numFmtId="0" fontId="68" fillId="11" borderId="0" xfId="0" applyFont="1" applyFill="1"/>
    <xf numFmtId="0" fontId="66" fillId="11" borderId="0" xfId="0" applyFont="1" applyFill="1" applyBorder="1"/>
    <xf numFmtId="0" fontId="76" fillId="11" borderId="132" xfId="736" applyFont="1" applyFill="1" applyBorder="1" applyAlignment="1" applyProtection="1">
      <alignment horizontal="center" vertical="top" wrapText="1"/>
    </xf>
    <xf numFmtId="0" fontId="76" fillId="11" borderId="131" xfId="736" applyFont="1" applyFill="1" applyBorder="1" applyAlignment="1" applyProtection="1">
      <alignment horizontal="center" vertical="top"/>
    </xf>
    <xf numFmtId="0" fontId="76" fillId="11" borderId="131" xfId="736" applyFont="1" applyFill="1" applyBorder="1" applyAlignment="1" applyProtection="1">
      <alignment horizontal="center" vertical="top" wrapText="1"/>
    </xf>
    <xf numFmtId="184" fontId="77" fillId="11" borderId="132" xfId="736" applyNumberFormat="1" applyFont="1" applyFill="1" applyBorder="1" applyAlignment="1" applyProtection="1">
      <alignment horizontal="center" vertical="top" wrapText="1"/>
    </xf>
    <xf numFmtId="0" fontId="25" fillId="5" borderId="1" xfId="0" applyFont="1" applyFill="1" applyBorder="1" applyAlignment="1" applyProtection="1">
      <alignment vertical="top" wrapText="1"/>
      <protection locked="0"/>
    </xf>
    <xf numFmtId="0" fontId="78" fillId="11" borderId="0" xfId="736" applyFont="1" applyFill="1" applyBorder="1" applyAlignment="1" applyProtection="1">
      <alignment horizontal="left" vertical="top" wrapText="1"/>
    </xf>
    <xf numFmtId="0" fontId="78" fillId="11" borderId="0" xfId="736" applyFont="1" applyFill="1" applyBorder="1" applyAlignment="1" applyProtection="1">
      <alignment horizontal="left" vertical="top"/>
    </xf>
    <xf numFmtId="0" fontId="25" fillId="11" borderId="0" xfId="0" applyFont="1" applyFill="1" applyBorder="1" applyAlignment="1">
      <alignment horizontal="center"/>
    </xf>
    <xf numFmtId="0" fontId="69" fillId="11" borderId="0" xfId="0" applyFont="1" applyFill="1"/>
    <xf numFmtId="0" fontId="66" fillId="11" borderId="0" xfId="0" applyFont="1" applyFill="1" applyAlignment="1">
      <alignment vertical="top"/>
    </xf>
    <xf numFmtId="0" fontId="66" fillId="11" borderId="0" xfId="0" applyFont="1" applyFill="1" applyBorder="1" applyAlignment="1">
      <alignment vertical="top"/>
    </xf>
    <xf numFmtId="0" fontId="67" fillId="11" borderId="0" xfId="0" applyFont="1" applyFill="1" applyAlignment="1">
      <alignment vertical="top"/>
    </xf>
    <xf numFmtId="0" fontId="68" fillId="11" borderId="0" xfId="0" applyFont="1" applyFill="1" applyAlignment="1">
      <alignment vertical="top"/>
    </xf>
    <xf numFmtId="0" fontId="70" fillId="11" borderId="0" xfId="0" applyFont="1" applyFill="1" applyAlignment="1">
      <alignment vertical="top"/>
    </xf>
    <xf numFmtId="0" fontId="71" fillId="11" borderId="0" xfId="0" applyFont="1" applyFill="1" applyAlignment="1">
      <alignment vertical="top"/>
    </xf>
    <xf numFmtId="14" fontId="66" fillId="11" borderId="0" xfId="0" applyNumberFormat="1" applyFont="1" applyFill="1" applyBorder="1" applyAlignment="1">
      <alignment horizontal="left" vertical="top"/>
    </xf>
    <xf numFmtId="0" fontId="66" fillId="11" borderId="0" xfId="0" applyFont="1" applyFill="1" applyBorder="1" applyAlignment="1">
      <alignment horizontal="left" vertical="top"/>
    </xf>
    <xf numFmtId="167" fontId="66" fillId="11" borderId="0" xfId="0" applyNumberFormat="1" applyFont="1" applyFill="1" applyBorder="1" applyAlignment="1">
      <alignment horizontal="left" vertical="top"/>
    </xf>
    <xf numFmtId="0" fontId="72" fillId="11" borderId="0" xfId="0" applyFont="1" applyFill="1" applyBorder="1" applyAlignment="1">
      <alignment horizontal="right" vertical="top" wrapText="1"/>
    </xf>
    <xf numFmtId="0" fontId="73" fillId="11" borderId="1" xfId="0" applyFont="1" applyFill="1" applyBorder="1" applyAlignment="1">
      <alignment horizontal="center" vertical="top"/>
    </xf>
    <xf numFmtId="166" fontId="73" fillId="11" borderId="1" xfId="0" applyNumberFormat="1" applyFont="1" applyFill="1" applyBorder="1" applyAlignment="1">
      <alignment horizontal="center" vertical="top" wrapText="1"/>
    </xf>
    <xf numFmtId="0" fontId="73" fillId="11" borderId="0" xfId="0" applyFont="1" applyFill="1" applyBorder="1" applyAlignment="1" applyProtection="1">
      <alignment horizontal="center" vertical="top"/>
    </xf>
    <xf numFmtId="0" fontId="66" fillId="11" borderId="0" xfId="0" applyFont="1" applyFill="1" applyBorder="1" applyAlignment="1" applyProtection="1">
      <alignment horizontal="left" vertical="top"/>
    </xf>
    <xf numFmtId="166" fontId="73" fillId="11" borderId="0" xfId="0" applyNumberFormat="1" applyFont="1" applyFill="1" applyBorder="1" applyAlignment="1" applyProtection="1">
      <alignment horizontal="center" vertical="top" wrapText="1"/>
    </xf>
    <xf numFmtId="0" fontId="66" fillId="11" borderId="0" xfId="0" applyFont="1" applyFill="1" applyAlignment="1" applyProtection="1">
      <alignment vertical="top"/>
    </xf>
    <xf numFmtId="0" fontId="66" fillId="11" borderId="0" xfId="0" applyFont="1" applyFill="1" applyBorder="1" applyAlignment="1" applyProtection="1">
      <alignment horizontal="right" vertical="top"/>
    </xf>
    <xf numFmtId="0" fontId="66" fillId="11" borderId="0" xfId="0" applyFont="1" applyFill="1" applyBorder="1" applyAlignment="1" applyProtection="1">
      <alignment vertical="top"/>
    </xf>
    <xf numFmtId="0" fontId="75" fillId="11" borderId="139" xfId="736" applyFont="1" applyFill="1" applyBorder="1" applyAlignment="1" applyProtection="1">
      <alignment horizontal="center" vertical="top"/>
    </xf>
    <xf numFmtId="0" fontId="66" fillId="11" borderId="0" xfId="0" applyFont="1" applyFill="1" applyAlignment="1" applyProtection="1">
      <alignment vertical="top" wrapText="1"/>
    </xf>
    <xf numFmtId="0" fontId="66" fillId="11" borderId="0" xfId="0" applyFont="1" applyFill="1" applyBorder="1" applyAlignment="1" applyProtection="1">
      <alignment horizontal="right" vertical="top" wrapText="1"/>
    </xf>
    <xf numFmtId="0" fontId="66" fillId="11" borderId="0" xfId="0" applyFont="1" applyFill="1" applyBorder="1" applyAlignment="1" applyProtection="1">
      <alignment vertical="top" wrapText="1"/>
    </xf>
    <xf numFmtId="2" fontId="66" fillId="11" borderId="0" xfId="0" applyNumberFormat="1" applyFont="1" applyFill="1" applyBorder="1" applyAlignment="1" applyProtection="1">
      <alignment horizontal="left" vertical="top"/>
    </xf>
    <xf numFmtId="14" fontId="66" fillId="11" borderId="0" xfId="0" applyNumberFormat="1" applyFont="1" applyFill="1" applyBorder="1" applyAlignment="1" applyProtection="1">
      <alignment horizontal="left" vertical="top"/>
    </xf>
    <xf numFmtId="0" fontId="25" fillId="11" borderId="0" xfId="0" applyFont="1" applyFill="1" applyBorder="1" applyAlignment="1" applyProtection="1">
      <alignment horizontal="left" vertical="top"/>
    </xf>
    <xf numFmtId="0" fontId="25" fillId="11" borderId="0" xfId="0" applyFont="1" applyFill="1" applyBorder="1" applyAlignment="1" applyProtection="1">
      <alignment horizontal="left" vertical="top"/>
      <protection locked="0"/>
    </xf>
    <xf numFmtId="0" fontId="25" fillId="11" borderId="0" xfId="0" applyFont="1" applyFill="1" applyAlignment="1" applyProtection="1">
      <alignment vertical="top"/>
    </xf>
    <xf numFmtId="0" fontId="25" fillId="11" borderId="0" xfId="0" applyFont="1" applyFill="1" applyBorder="1" applyAlignment="1">
      <alignment horizontal="center" vertical="top"/>
    </xf>
    <xf numFmtId="0" fontId="69" fillId="11" borderId="0" xfId="0" applyFont="1" applyFill="1" applyAlignment="1">
      <alignment vertical="top"/>
    </xf>
    <xf numFmtId="0" fontId="66" fillId="11" borderId="0" xfId="0" applyFont="1" applyFill="1" applyAlignment="1" applyProtection="1">
      <alignment vertical="top"/>
      <protection locked="0"/>
    </xf>
    <xf numFmtId="0" fontId="82" fillId="11" borderId="0" xfId="0" applyFont="1" applyFill="1" applyAlignment="1" applyProtection="1">
      <alignment horizontal="right" vertical="top"/>
    </xf>
    <xf numFmtId="0" fontId="82" fillId="11" borderId="0" xfId="0" applyFont="1" applyFill="1" applyAlignment="1" applyProtection="1">
      <alignment vertical="top"/>
      <protection locked="0"/>
    </xf>
    <xf numFmtId="0" fontId="66" fillId="5" borderId="0" xfId="0" applyFont="1" applyFill="1" applyAlignment="1" applyProtection="1">
      <alignment vertical="top"/>
      <protection locked="0"/>
    </xf>
    <xf numFmtId="0" fontId="84" fillId="11" borderId="66" xfId="0" applyFont="1" applyFill="1" applyBorder="1" applyAlignment="1" applyProtection="1">
      <alignment vertical="top"/>
    </xf>
    <xf numFmtId="0" fontId="25" fillId="5" borderId="1" xfId="0" applyFont="1" applyFill="1" applyBorder="1" applyAlignment="1" applyProtection="1">
      <alignment vertical="top"/>
      <protection locked="0"/>
    </xf>
    <xf numFmtId="0" fontId="4" fillId="11" borderId="1" xfId="4" applyFont="1" applyFill="1" applyBorder="1" applyAlignment="1" applyProtection="1">
      <alignment horizontal="right" vertical="top" wrapText="1"/>
    </xf>
    <xf numFmtId="2" fontId="3" fillId="5" borderId="1" xfId="51" applyNumberFormat="1" applyFont="1" applyFill="1" applyBorder="1" applyAlignment="1" applyProtection="1">
      <alignment vertical="top"/>
      <protection locked="0"/>
    </xf>
    <xf numFmtId="178" fontId="3" fillId="11" borderId="1" xfId="4" applyNumberFormat="1" applyFont="1" applyFill="1" applyBorder="1" applyAlignment="1" applyProtection="1">
      <alignment vertical="top"/>
    </xf>
    <xf numFmtId="2" fontId="3" fillId="5" borderId="1" xfId="58" applyNumberFormat="1" applyFont="1" applyFill="1" applyBorder="1" applyAlignment="1" applyProtection="1">
      <alignment vertical="top"/>
      <protection locked="0"/>
    </xf>
    <xf numFmtId="2" fontId="3" fillId="5" borderId="1" xfId="4" applyNumberFormat="1" applyFont="1" applyFill="1" applyBorder="1" applyAlignment="1" applyProtection="1">
      <alignment vertical="top"/>
      <protection locked="0"/>
    </xf>
    <xf numFmtId="171" fontId="25" fillId="11" borderId="1" xfId="0" applyNumberFormat="1" applyFont="1" applyFill="1" applyBorder="1" applyAlignment="1" applyProtection="1">
      <alignment vertical="top"/>
    </xf>
    <xf numFmtId="0" fontId="66" fillId="11" borderId="8" xfId="0" applyFont="1" applyFill="1" applyBorder="1" applyAlignment="1" applyProtection="1">
      <alignment vertical="top"/>
    </xf>
    <xf numFmtId="0" fontId="66" fillId="11" borderId="10" xfId="0" applyFont="1" applyFill="1" applyBorder="1" applyAlignment="1" applyProtection="1">
      <alignment vertical="top"/>
    </xf>
    <xf numFmtId="0" fontId="3" fillId="5" borderId="1" xfId="51" applyFont="1" applyFill="1" applyBorder="1" applyAlignment="1" applyProtection="1">
      <alignment horizontal="left" vertical="top"/>
      <protection locked="0"/>
    </xf>
    <xf numFmtId="0" fontId="3" fillId="5" borderId="1" xfId="4" applyFont="1" applyFill="1" applyBorder="1" applyAlignment="1" applyProtection="1">
      <alignment horizontal="left" vertical="top"/>
      <protection locked="0"/>
    </xf>
    <xf numFmtId="0" fontId="18" fillId="11" borderId="0" xfId="0" applyFont="1" applyFill="1" applyBorder="1" applyAlignment="1">
      <alignment horizontal="center" vertical="top"/>
    </xf>
    <xf numFmtId="0" fontId="40" fillId="11" borderId="0" xfId="0" applyFont="1" applyFill="1" applyAlignment="1">
      <alignment vertical="top"/>
    </xf>
    <xf numFmtId="0" fontId="38" fillId="11" borderId="0" xfId="0" applyFont="1" applyFill="1" applyAlignment="1">
      <alignment vertical="top"/>
    </xf>
    <xf numFmtId="165" fontId="23" fillId="11" borderId="1" xfId="7" applyNumberFormat="1" applyFont="1" applyFill="1" applyBorder="1" applyAlignment="1" applyProtection="1">
      <alignment horizontal="left" vertical="top" wrapText="1"/>
    </xf>
    <xf numFmtId="0" fontId="85" fillId="11" borderId="108" xfId="0" applyFont="1" applyFill="1" applyBorder="1" applyAlignment="1" applyProtection="1">
      <alignment horizontal="left" vertical="top"/>
    </xf>
    <xf numFmtId="0" fontId="25" fillId="5" borderId="1" xfId="0" applyFont="1" applyFill="1" applyBorder="1" applyAlignment="1" applyProtection="1">
      <alignment horizontal="left" vertical="top"/>
      <protection locked="0"/>
    </xf>
    <xf numFmtId="0" fontId="86" fillId="11" borderId="0" xfId="0" applyFont="1" applyFill="1"/>
    <xf numFmtId="0" fontId="25" fillId="5" borderId="6" xfId="0" applyFont="1" applyFill="1" applyBorder="1" applyAlignment="1" applyProtection="1">
      <alignment vertical="top" wrapText="1"/>
      <protection locked="0"/>
    </xf>
    <xf numFmtId="0" fontId="25" fillId="11" borderId="0" xfId="0" applyFont="1" applyFill="1" applyBorder="1" applyAlignment="1">
      <alignment vertical="top"/>
    </xf>
    <xf numFmtId="0" fontId="85" fillId="11" borderId="6" xfId="0" applyFont="1" applyFill="1" applyBorder="1" applyAlignment="1">
      <alignment vertical="top"/>
    </xf>
    <xf numFmtId="0" fontId="25" fillId="11" borderId="6" xfId="0" applyFont="1" applyFill="1" applyBorder="1" applyAlignment="1">
      <alignment vertical="top"/>
    </xf>
    <xf numFmtId="0" fontId="25" fillId="11" borderId="6" xfId="0" applyFont="1" applyFill="1" applyBorder="1" applyAlignment="1">
      <alignment horizontal="left" vertical="top" wrapText="1"/>
    </xf>
    <xf numFmtId="0" fontId="25" fillId="11" borderId="1" xfId="0" applyFont="1" applyFill="1" applyBorder="1" applyAlignment="1">
      <alignment horizontal="left" vertical="top" wrapText="1"/>
    </xf>
    <xf numFmtId="0" fontId="25" fillId="5" borderId="1" xfId="0" applyFont="1" applyFill="1" applyBorder="1" applyAlignment="1" applyProtection="1">
      <alignment horizontal="left" vertical="top" wrapText="1"/>
      <protection locked="0"/>
    </xf>
    <xf numFmtId="0" fontId="25" fillId="5" borderId="6" xfId="0" applyFont="1" applyFill="1" applyBorder="1" applyAlignment="1" applyProtection="1">
      <alignment horizontal="left" vertical="top" wrapText="1"/>
      <protection locked="0"/>
    </xf>
    <xf numFmtId="0" fontId="25" fillId="11" borderId="0" xfId="0" applyFont="1" applyFill="1" applyBorder="1" applyAlignment="1">
      <alignment horizontal="left" vertical="top"/>
    </xf>
    <xf numFmtId="0" fontId="66" fillId="11" borderId="0" xfId="0" applyFont="1" applyFill="1" applyAlignment="1">
      <alignment horizontal="left" vertical="top"/>
    </xf>
    <xf numFmtId="0" fontId="85" fillId="11" borderId="12" xfId="0" applyFont="1" applyFill="1" applyBorder="1" applyAlignment="1">
      <alignment horizontal="left" vertical="top"/>
    </xf>
    <xf numFmtId="0" fontId="85" fillId="11" borderId="6" xfId="0" applyFont="1" applyFill="1" applyBorder="1" applyAlignment="1">
      <alignment horizontal="left" vertical="top"/>
    </xf>
    <xf numFmtId="0" fontId="85" fillId="11" borderId="8" xfId="0" applyFont="1" applyFill="1" applyBorder="1" applyAlignment="1">
      <alignment horizontal="left" vertical="top"/>
    </xf>
    <xf numFmtId="0" fontId="25" fillId="11" borderId="6" xfId="0" applyFont="1" applyFill="1" applyBorder="1" applyAlignment="1">
      <alignment horizontal="center" vertical="top"/>
    </xf>
    <xf numFmtId="14" fontId="25" fillId="5" borderId="1" xfId="0" applyNumberFormat="1" applyFont="1" applyFill="1" applyBorder="1" applyAlignment="1" applyProtection="1">
      <alignment horizontal="center" vertical="top" wrapText="1"/>
      <protection locked="0"/>
    </xf>
    <xf numFmtId="0" fontId="86" fillId="11" borderId="0" xfId="0" applyFont="1" applyFill="1" applyAlignment="1">
      <alignment vertical="top"/>
    </xf>
    <xf numFmtId="0" fontId="62" fillId="11" borderId="0" xfId="4" applyFont="1" applyFill="1" applyAlignment="1">
      <alignment vertical="top"/>
    </xf>
    <xf numFmtId="0" fontId="3" fillId="11" borderId="0" xfId="4" applyFont="1" applyFill="1" applyAlignment="1">
      <alignment vertical="top"/>
    </xf>
    <xf numFmtId="0" fontId="88" fillId="11" borderId="0" xfId="4" applyFont="1" applyFill="1" applyAlignment="1" applyProtection="1">
      <alignment vertical="top"/>
    </xf>
    <xf numFmtId="0" fontId="3" fillId="11" borderId="0" xfId="4" applyFont="1" applyFill="1" applyAlignment="1" applyProtection="1">
      <alignment vertical="top"/>
    </xf>
    <xf numFmtId="0" fontId="4" fillId="11" borderId="13" xfId="4" applyFont="1" applyFill="1" applyBorder="1" applyAlignment="1">
      <alignment horizontal="center" vertical="top"/>
    </xf>
    <xf numFmtId="169" fontId="4" fillId="11" borderId="6" xfId="5" applyNumberFormat="1" applyFont="1" applyFill="1" applyBorder="1" applyAlignment="1" applyProtection="1">
      <alignment horizontal="right" vertical="top" wrapText="1"/>
    </xf>
    <xf numFmtId="169" fontId="4" fillId="11" borderId="1" xfId="5" applyNumberFormat="1" applyFont="1" applyFill="1" applyBorder="1" applyAlignment="1" applyProtection="1">
      <alignment horizontal="right" vertical="top" wrapText="1"/>
    </xf>
    <xf numFmtId="2" fontId="3" fillId="11" borderId="1" xfId="5" applyNumberFormat="1" applyFont="1" applyFill="1" applyBorder="1" applyAlignment="1" applyProtection="1">
      <alignment horizontal="right" vertical="top"/>
    </xf>
    <xf numFmtId="0" fontId="23" fillId="11" borderId="1" xfId="4" applyFont="1" applyFill="1" applyBorder="1" applyAlignment="1" applyProtection="1">
      <alignment horizontal="right" vertical="top"/>
    </xf>
    <xf numFmtId="2" fontId="23" fillId="12" borderId="6" xfId="179" applyNumberFormat="1" applyFont="1" applyFill="1" applyBorder="1" applyAlignment="1" applyProtection="1">
      <alignment horizontal="center" vertical="top"/>
      <protection locked="0"/>
    </xf>
    <xf numFmtId="2" fontId="23" fillId="11" borderId="1" xfId="5" applyNumberFormat="1" applyFont="1" applyFill="1" applyBorder="1" applyAlignment="1" applyProtection="1">
      <alignment horizontal="right" vertical="top"/>
    </xf>
    <xf numFmtId="2" fontId="23" fillId="11" borderId="6" xfId="5" applyNumberFormat="1" applyFont="1" applyFill="1" applyBorder="1" applyAlignment="1" applyProtection="1">
      <alignment horizontal="right" vertical="top"/>
    </xf>
    <xf numFmtId="169" fontId="23" fillId="12" borderId="6" xfId="5" applyNumberFormat="1" applyFont="1" applyFill="1" applyBorder="1" applyAlignment="1" applyProtection="1">
      <alignment horizontal="center" vertical="top"/>
      <protection locked="0"/>
    </xf>
    <xf numFmtId="2" fontId="23" fillId="12" borderId="6" xfId="5" applyNumberFormat="1" applyFont="1" applyFill="1" applyBorder="1" applyAlignment="1" applyProtection="1">
      <alignment horizontal="center" vertical="top"/>
      <protection locked="0"/>
    </xf>
    <xf numFmtId="169" fontId="3" fillId="11" borderId="0" xfId="4" applyNumberFormat="1" applyFont="1" applyFill="1" applyAlignment="1" applyProtection="1">
      <alignment vertical="top"/>
    </xf>
    <xf numFmtId="0" fontId="4" fillId="11" borderId="1" xfId="4" applyFont="1" applyFill="1" applyBorder="1" applyAlignment="1">
      <alignment horizontal="center" vertical="top" wrapText="1"/>
    </xf>
    <xf numFmtId="165" fontId="3" fillId="5" borderId="1" xfId="120" applyNumberFormat="1" applyFont="1" applyFill="1" applyBorder="1" applyAlignment="1" applyProtection="1">
      <alignment horizontal="center" vertical="top" wrapText="1"/>
      <protection locked="0"/>
    </xf>
    <xf numFmtId="165" fontId="23" fillId="11" borderId="1" xfId="7" applyNumberFormat="1" applyFont="1" applyFill="1" applyBorder="1" applyAlignment="1" applyProtection="1">
      <alignment horizontal="center" vertical="top" wrapText="1"/>
    </xf>
    <xf numFmtId="165" fontId="3" fillId="5" borderId="1" xfId="126" applyNumberFormat="1" applyFont="1" applyFill="1" applyBorder="1" applyAlignment="1" applyProtection="1">
      <alignment horizontal="center" vertical="top" wrapText="1"/>
      <protection locked="0"/>
    </xf>
    <xf numFmtId="165" fontId="3" fillId="5" borderId="1" xfId="132" applyNumberFormat="1" applyFont="1" applyFill="1" applyBorder="1" applyAlignment="1" applyProtection="1">
      <alignment horizontal="center" vertical="top" wrapText="1"/>
      <protection locked="0"/>
    </xf>
    <xf numFmtId="165" fontId="3" fillId="5" borderId="1" xfId="138" applyNumberFormat="1" applyFont="1" applyFill="1" applyBorder="1" applyAlignment="1" applyProtection="1">
      <alignment horizontal="center" vertical="top" wrapText="1"/>
      <protection locked="0"/>
    </xf>
    <xf numFmtId="165" fontId="3" fillId="5" borderId="1" xfId="144" applyNumberFormat="1" applyFont="1" applyFill="1" applyBorder="1" applyAlignment="1" applyProtection="1">
      <alignment horizontal="center" vertical="top" wrapText="1"/>
      <protection locked="0"/>
    </xf>
    <xf numFmtId="165" fontId="3" fillId="5" borderId="1" xfId="150" applyNumberFormat="1" applyFont="1" applyFill="1" applyBorder="1" applyAlignment="1" applyProtection="1">
      <alignment horizontal="center" vertical="top" wrapText="1"/>
      <protection locked="0"/>
    </xf>
    <xf numFmtId="165" fontId="3" fillId="5" borderId="1" xfId="156" applyNumberFormat="1" applyFont="1" applyFill="1" applyBorder="1" applyAlignment="1" applyProtection="1">
      <alignment horizontal="center" vertical="top" wrapText="1"/>
      <protection locked="0"/>
    </xf>
    <xf numFmtId="165" fontId="3" fillId="5" borderId="1" xfId="162" applyNumberFormat="1" applyFont="1" applyFill="1" applyBorder="1" applyAlignment="1" applyProtection="1">
      <alignment horizontal="center" vertical="top" wrapText="1"/>
      <protection locked="0"/>
    </xf>
    <xf numFmtId="165" fontId="3" fillId="5" borderId="1" xfId="168" applyNumberFormat="1" applyFont="1" applyFill="1" applyBorder="1" applyAlignment="1" applyProtection="1">
      <alignment horizontal="center" vertical="top" wrapText="1"/>
      <protection locked="0"/>
    </xf>
    <xf numFmtId="165" fontId="3" fillId="5" borderId="1" xfId="7" applyNumberFormat="1" applyFont="1" applyFill="1" applyBorder="1" applyAlignment="1" applyProtection="1">
      <alignment horizontal="center" vertical="top" wrapText="1"/>
      <protection locked="0"/>
    </xf>
    <xf numFmtId="169" fontId="4" fillId="11" borderId="1" xfId="5" applyNumberFormat="1" applyFont="1" applyFill="1" applyBorder="1" applyAlignment="1" applyProtection="1">
      <alignment horizontal="left" vertical="top" wrapText="1"/>
    </xf>
    <xf numFmtId="169" fontId="3" fillId="11" borderId="1" xfId="5" applyNumberFormat="1" applyFont="1" applyFill="1" applyBorder="1" applyAlignment="1" applyProtection="1">
      <alignment horizontal="left" vertical="top"/>
    </xf>
    <xf numFmtId="169" fontId="23" fillId="12" borderId="6" xfId="191" applyNumberFormat="1" applyFont="1" applyFill="1" applyBorder="1" applyAlignment="1" applyProtection="1">
      <alignment horizontal="left" vertical="top"/>
      <protection locked="0"/>
    </xf>
    <xf numFmtId="169" fontId="23" fillId="12" borderId="6" xfId="179" applyNumberFormat="1" applyFont="1" applyFill="1" applyBorder="1" applyAlignment="1" applyProtection="1">
      <alignment horizontal="left" vertical="top"/>
      <protection locked="0"/>
    </xf>
    <xf numFmtId="169" fontId="23" fillId="12" borderId="6" xfId="5" applyNumberFormat="1" applyFont="1" applyFill="1" applyBorder="1" applyAlignment="1" applyProtection="1">
      <alignment horizontal="left" vertical="top"/>
      <protection locked="0"/>
    </xf>
    <xf numFmtId="169" fontId="23" fillId="12" borderId="6" xfId="203" applyNumberFormat="1" applyFont="1" applyFill="1" applyBorder="1" applyAlignment="1" applyProtection="1">
      <alignment horizontal="left" vertical="top"/>
      <protection locked="0"/>
    </xf>
    <xf numFmtId="169" fontId="23" fillId="12" borderId="6" xfId="215" applyNumberFormat="1" applyFont="1" applyFill="1" applyBorder="1" applyAlignment="1" applyProtection="1">
      <alignment horizontal="left" vertical="top"/>
      <protection locked="0"/>
    </xf>
    <xf numFmtId="169" fontId="23" fillId="12" borderId="6" xfId="227" applyNumberFormat="1" applyFont="1" applyFill="1" applyBorder="1" applyAlignment="1" applyProtection="1">
      <alignment horizontal="left" vertical="top"/>
      <protection locked="0"/>
    </xf>
    <xf numFmtId="169" fontId="23" fillId="12" borderId="6" xfId="239" applyNumberFormat="1" applyFont="1" applyFill="1" applyBorder="1" applyAlignment="1" applyProtection="1">
      <alignment horizontal="left" vertical="top"/>
      <protection locked="0"/>
    </xf>
    <xf numFmtId="169" fontId="23" fillId="12" borderId="6" xfId="251" applyNumberFormat="1" applyFont="1" applyFill="1" applyBorder="1" applyAlignment="1" applyProtection="1">
      <alignment horizontal="left" vertical="top"/>
      <protection locked="0"/>
    </xf>
    <xf numFmtId="169" fontId="23" fillId="12" borderId="6" xfId="263" applyNumberFormat="1" applyFont="1" applyFill="1" applyBorder="1" applyAlignment="1" applyProtection="1">
      <alignment horizontal="left" vertical="top"/>
      <protection locked="0"/>
    </xf>
    <xf numFmtId="169" fontId="23" fillId="12" borderId="6" xfId="275" applyNumberFormat="1" applyFont="1" applyFill="1" applyBorder="1" applyAlignment="1" applyProtection="1">
      <alignment horizontal="left" vertical="top"/>
      <protection locked="0"/>
    </xf>
    <xf numFmtId="0" fontId="4" fillId="11" borderId="6" xfId="5" applyFont="1" applyFill="1" applyBorder="1" applyAlignment="1" applyProtection="1">
      <alignment horizontal="right" vertical="top" wrapText="1"/>
    </xf>
    <xf numFmtId="2" fontId="3" fillId="11" borderId="6" xfId="5" applyNumberFormat="1" applyFont="1" applyFill="1" applyBorder="1" applyAlignment="1" applyProtection="1">
      <alignment horizontal="right" vertical="top"/>
    </xf>
    <xf numFmtId="2" fontId="23" fillId="12" borderId="6" xfId="179" applyNumberFormat="1" applyFont="1" applyFill="1" applyBorder="1" applyAlignment="1" applyProtection="1">
      <alignment horizontal="right" vertical="top"/>
      <protection locked="0"/>
    </xf>
    <xf numFmtId="2" fontId="23" fillId="12" borderId="6" xfId="191" applyNumberFormat="1" applyFont="1" applyFill="1" applyBorder="1" applyAlignment="1" applyProtection="1">
      <alignment horizontal="right" vertical="top"/>
      <protection locked="0"/>
    </xf>
    <xf numFmtId="2" fontId="23" fillId="12" borderId="6" xfId="5" applyNumberFormat="1" applyFont="1" applyFill="1" applyBorder="1" applyAlignment="1" applyProtection="1">
      <alignment horizontal="right" vertical="top"/>
      <protection locked="0"/>
    </xf>
    <xf numFmtId="2" fontId="23" fillId="12" borderId="6" xfId="203" applyNumberFormat="1" applyFont="1" applyFill="1" applyBorder="1" applyAlignment="1" applyProtection="1">
      <alignment horizontal="right" vertical="top"/>
      <protection locked="0"/>
    </xf>
    <xf numFmtId="2" fontId="23" fillId="12" borderId="6" xfId="215" applyNumberFormat="1" applyFont="1" applyFill="1" applyBorder="1" applyAlignment="1" applyProtection="1">
      <alignment horizontal="right" vertical="top"/>
      <protection locked="0"/>
    </xf>
    <xf numFmtId="2" fontId="23" fillId="12" borderId="6" xfId="227" applyNumberFormat="1" applyFont="1" applyFill="1" applyBorder="1" applyAlignment="1" applyProtection="1">
      <alignment horizontal="right" vertical="top"/>
      <protection locked="0"/>
    </xf>
    <xf numFmtId="2" fontId="23" fillId="12" borderId="6" xfId="239" applyNumberFormat="1" applyFont="1" applyFill="1" applyBorder="1" applyAlignment="1" applyProtection="1">
      <alignment horizontal="right" vertical="top"/>
      <protection locked="0"/>
    </xf>
    <xf numFmtId="2" fontId="23" fillId="12" borderId="6" xfId="251" applyNumberFormat="1" applyFont="1" applyFill="1" applyBorder="1" applyAlignment="1" applyProtection="1">
      <alignment horizontal="right" vertical="top"/>
      <protection locked="0"/>
    </xf>
    <xf numFmtId="2" fontId="23" fillId="12" borderId="6" xfId="263" applyNumberFormat="1" applyFont="1" applyFill="1" applyBorder="1" applyAlignment="1" applyProtection="1">
      <alignment horizontal="right" vertical="top"/>
      <protection locked="0"/>
    </xf>
    <xf numFmtId="2" fontId="23" fillId="12" borderId="6" xfId="275" applyNumberFormat="1" applyFont="1" applyFill="1" applyBorder="1" applyAlignment="1" applyProtection="1">
      <alignment horizontal="right" vertical="top"/>
      <protection locked="0"/>
    </xf>
    <xf numFmtId="169" fontId="23" fillId="12" borderId="8" xfId="5" applyNumberFormat="1" applyFont="1" applyFill="1" applyBorder="1" applyAlignment="1" applyProtection="1">
      <alignment horizontal="left" vertical="top"/>
      <protection locked="0"/>
    </xf>
    <xf numFmtId="169" fontId="23" fillId="12" borderId="9" xfId="5" applyNumberFormat="1" applyFont="1" applyFill="1" applyBorder="1" applyAlignment="1" applyProtection="1">
      <alignment horizontal="left" vertical="top"/>
      <protection locked="0"/>
    </xf>
    <xf numFmtId="169" fontId="23" fillId="12" borderId="10" xfId="5" applyNumberFormat="1" applyFont="1" applyFill="1" applyBorder="1" applyAlignment="1" applyProtection="1">
      <alignment horizontal="left" vertical="top"/>
      <protection locked="0"/>
    </xf>
    <xf numFmtId="2" fontId="88" fillId="11" borderId="1" xfId="4" applyNumberFormat="1" applyFont="1" applyFill="1" applyBorder="1" applyAlignment="1" applyProtection="1">
      <alignment horizontal="right" vertical="top"/>
    </xf>
    <xf numFmtId="0" fontId="39" fillId="11" borderId="0" xfId="0" applyFont="1" applyFill="1" applyAlignment="1">
      <alignment vertical="top"/>
    </xf>
    <xf numFmtId="0" fontId="4" fillId="11" borderId="0" xfId="7" applyFont="1" applyFill="1" applyAlignment="1">
      <alignment horizontal="right" vertical="top" wrapText="1"/>
    </xf>
    <xf numFmtId="0" fontId="4" fillId="11" borderId="0" xfId="7" applyFont="1" applyFill="1" applyAlignment="1">
      <alignment vertical="top" wrapText="1"/>
    </xf>
    <xf numFmtId="0" fontId="3" fillId="11" borderId="65" xfId="7" applyFill="1" applyBorder="1" applyAlignment="1">
      <alignment horizontal="right" vertical="top" wrapText="1"/>
    </xf>
    <xf numFmtId="0" fontId="3" fillId="11" borderId="65" xfId="7" applyFill="1" applyBorder="1" applyAlignment="1">
      <alignment vertical="top" wrapText="1"/>
    </xf>
    <xf numFmtId="0" fontId="3" fillId="11" borderId="65" xfId="7" applyFill="1" applyBorder="1" applyAlignment="1">
      <alignment horizontal="left" vertical="top" wrapText="1"/>
    </xf>
    <xf numFmtId="4" fontId="3" fillId="11" borderId="65" xfId="7" applyNumberFormat="1" applyFill="1" applyBorder="1" applyAlignment="1">
      <alignment horizontal="right" vertical="top" wrapText="1"/>
    </xf>
    <xf numFmtId="0" fontId="3" fillId="11" borderId="53" xfId="7" applyFill="1" applyBorder="1" applyAlignment="1">
      <alignment horizontal="right" vertical="top" wrapText="1"/>
    </xf>
    <xf numFmtId="0" fontId="3" fillId="11" borderId="53" xfId="7" applyFill="1" applyBorder="1" applyAlignment="1">
      <alignment vertical="top" wrapText="1"/>
    </xf>
    <xf numFmtId="0" fontId="3" fillId="11" borderId="53" xfId="7" applyFill="1" applyBorder="1" applyAlignment="1">
      <alignment horizontal="left" vertical="top" wrapText="1"/>
    </xf>
    <xf numFmtId="4" fontId="3" fillId="11" borderId="53" xfId="7" applyNumberFormat="1" applyFill="1" applyBorder="1" applyAlignment="1">
      <alignment horizontal="right" vertical="top" wrapText="1"/>
    </xf>
    <xf numFmtId="0" fontId="66" fillId="11" borderId="6" xfId="0" applyFont="1" applyFill="1" applyBorder="1" applyAlignment="1">
      <alignment vertical="top" wrapText="1"/>
    </xf>
    <xf numFmtId="0" fontId="66" fillId="11" borderId="6" xfId="0" applyFont="1" applyFill="1" applyBorder="1" applyAlignment="1">
      <alignment vertical="top"/>
    </xf>
    <xf numFmtId="0" fontId="66" fillId="11" borderId="1" xfId="0" applyFont="1" applyFill="1" applyBorder="1" applyAlignment="1">
      <alignment vertical="top"/>
    </xf>
    <xf numFmtId="0" fontId="66" fillId="11" borderId="1" xfId="0" applyFont="1" applyFill="1" applyBorder="1" applyAlignment="1">
      <alignment vertical="top" wrapText="1"/>
    </xf>
    <xf numFmtId="0" fontId="25" fillId="5" borderId="0" xfId="0" applyFont="1" applyFill="1" applyBorder="1" applyAlignment="1" applyProtection="1">
      <alignment vertical="top" wrapText="1"/>
      <protection locked="0"/>
    </xf>
    <xf numFmtId="0" fontId="4" fillId="11" borderId="1" xfId="4" applyFont="1" applyFill="1" applyBorder="1" applyAlignment="1">
      <alignment horizontal="right" vertical="top" wrapText="1"/>
    </xf>
    <xf numFmtId="0" fontId="3" fillId="5" borderId="1" xfId="116" applyFont="1" applyFill="1" applyBorder="1" applyAlignment="1" applyProtection="1">
      <alignment horizontal="right" vertical="top"/>
      <protection locked="0"/>
    </xf>
    <xf numFmtId="0" fontId="3" fillId="5" borderId="1" xfId="123" applyFont="1" applyFill="1" applyBorder="1" applyAlignment="1" applyProtection="1">
      <alignment horizontal="right" vertical="top"/>
      <protection locked="0"/>
    </xf>
    <xf numFmtId="0" fontId="3" fillId="5" borderId="1" xfId="4" applyFont="1" applyFill="1" applyBorder="1" applyAlignment="1" applyProtection="1">
      <alignment horizontal="right" vertical="top"/>
      <protection locked="0"/>
    </xf>
    <xf numFmtId="0" fontId="80" fillId="11" borderId="0" xfId="4" applyFont="1" applyFill="1" applyBorder="1" applyAlignment="1" applyProtection="1">
      <alignment vertical="top" wrapText="1"/>
    </xf>
    <xf numFmtId="176" fontId="3" fillId="11" borderId="1" xfId="3" applyNumberFormat="1" applyFont="1" applyFill="1" applyBorder="1" applyAlignment="1" applyProtection="1">
      <alignment vertical="top"/>
    </xf>
    <xf numFmtId="0" fontId="4" fillId="11" borderId="8" xfId="4" applyFont="1" applyFill="1" applyBorder="1" applyAlignment="1" applyProtection="1">
      <alignment vertical="top"/>
    </xf>
    <xf numFmtId="0" fontId="4" fillId="11" borderId="9" xfId="4" applyFont="1" applyFill="1" applyBorder="1" applyAlignment="1" applyProtection="1">
      <alignment vertical="top"/>
    </xf>
    <xf numFmtId="178" fontId="4" fillId="11" borderId="9" xfId="4" applyNumberFormat="1" applyFont="1" applyFill="1" applyBorder="1" applyAlignment="1" applyProtection="1">
      <alignment vertical="top"/>
    </xf>
    <xf numFmtId="178" fontId="4" fillId="11" borderId="10" xfId="4" applyNumberFormat="1" applyFont="1" applyFill="1" applyBorder="1" applyAlignment="1" applyProtection="1">
      <alignment vertical="top"/>
    </xf>
    <xf numFmtId="178" fontId="4" fillId="11" borderId="1" xfId="4" applyNumberFormat="1" applyFont="1" applyFill="1" applyBorder="1" applyAlignment="1" applyProtection="1">
      <alignment vertical="top"/>
    </xf>
    <xf numFmtId="176" fontId="4" fillId="11" borderId="1" xfId="3" applyNumberFormat="1" applyFont="1" applyFill="1" applyBorder="1" applyAlignment="1" applyProtection="1">
      <alignment vertical="top"/>
    </xf>
    <xf numFmtId="10" fontId="4" fillId="11" borderId="1" xfId="3" applyNumberFormat="1" applyFont="1" applyFill="1" applyBorder="1" applyAlignment="1" applyProtection="1">
      <alignment vertical="top"/>
    </xf>
    <xf numFmtId="167" fontId="3" fillId="11" borderId="1" xfId="4" applyNumberFormat="1" applyFont="1" applyFill="1" applyBorder="1" applyAlignment="1">
      <alignment vertical="top"/>
    </xf>
    <xf numFmtId="179" fontId="3" fillId="11" borderId="1" xfId="4" applyNumberFormat="1" applyFont="1" applyFill="1" applyBorder="1" applyAlignment="1">
      <alignment horizontal="center" vertical="top"/>
    </xf>
    <xf numFmtId="167" fontId="26" fillId="11" borderId="0" xfId="4" applyNumberFormat="1" applyFont="1" applyFill="1" applyBorder="1" applyAlignment="1">
      <alignment vertical="top"/>
    </xf>
    <xf numFmtId="0" fontId="91" fillId="11" borderId="9" xfId="4" applyFont="1" applyFill="1" applyBorder="1" applyAlignment="1" applyProtection="1">
      <alignment vertical="top"/>
    </xf>
    <xf numFmtId="0" fontId="91" fillId="11" borderId="10" xfId="4" applyFont="1" applyFill="1" applyBorder="1" applyAlignment="1" applyProtection="1">
      <alignment vertical="top"/>
    </xf>
    <xf numFmtId="0" fontId="26" fillId="11" borderId="0" xfId="4" applyFont="1" applyFill="1" applyAlignment="1">
      <alignment vertical="top"/>
    </xf>
    <xf numFmtId="174" fontId="3" fillId="11" borderId="1" xfId="4" applyNumberFormat="1" applyFont="1" applyFill="1" applyBorder="1" applyAlignment="1" applyProtection="1">
      <alignment horizontal="right" vertical="top"/>
    </xf>
    <xf numFmtId="178" fontId="4" fillId="11" borderId="1" xfId="4" applyNumberFormat="1" applyFont="1" applyFill="1" applyBorder="1" applyAlignment="1" applyProtection="1">
      <alignment horizontal="right" vertical="top"/>
    </xf>
    <xf numFmtId="176" fontId="4" fillId="11" borderId="1" xfId="3" applyNumberFormat="1" applyFont="1" applyFill="1" applyBorder="1" applyAlignment="1" applyProtection="1">
      <alignment horizontal="right" vertical="top"/>
    </xf>
    <xf numFmtId="178" fontId="3" fillId="11" borderId="1" xfId="4" applyNumberFormat="1" applyFont="1" applyFill="1" applyBorder="1" applyAlignment="1" applyProtection="1">
      <alignment horizontal="right" vertical="top"/>
    </xf>
    <xf numFmtId="176" fontId="3" fillId="11" borderId="1" xfId="3" applyNumberFormat="1" applyFont="1" applyFill="1" applyBorder="1" applyAlignment="1" applyProtection="1">
      <alignment horizontal="right" vertical="top"/>
    </xf>
    <xf numFmtId="10" fontId="4" fillId="11" borderId="1" xfId="3" applyNumberFormat="1" applyFont="1" applyFill="1" applyBorder="1" applyAlignment="1" applyProtection="1">
      <alignment horizontal="right" vertical="top"/>
    </xf>
    <xf numFmtId="167" fontId="90" fillId="11" borderId="1" xfId="4" applyNumberFormat="1" applyFont="1" applyFill="1" applyBorder="1" applyAlignment="1">
      <alignment horizontal="left" vertical="top"/>
    </xf>
    <xf numFmtId="177" fontId="3" fillId="11" borderId="69" xfId="3" applyNumberFormat="1" applyFont="1" applyFill="1" applyBorder="1" applyAlignment="1" applyProtection="1">
      <alignment horizontal="right" vertical="top"/>
    </xf>
    <xf numFmtId="3" fontId="3" fillId="5" borderId="0" xfId="5" applyNumberFormat="1" applyFont="1" applyFill="1" applyBorder="1" applyAlignment="1" applyProtection="1">
      <alignment horizontal="right" vertical="top"/>
      <protection locked="0"/>
    </xf>
    <xf numFmtId="177" fontId="3" fillId="11" borderId="67" xfId="3" applyNumberFormat="1" applyFont="1" applyFill="1" applyBorder="1" applyAlignment="1" applyProtection="1">
      <alignment horizontal="right" vertical="top"/>
    </xf>
    <xf numFmtId="0" fontId="3" fillId="6" borderId="0" xfId="63" applyFont="1" applyFill="1" applyBorder="1" applyAlignment="1" applyProtection="1">
      <alignment horizontal="right" vertical="top"/>
      <protection locked="0"/>
    </xf>
    <xf numFmtId="176" fontId="3" fillId="11" borderId="67" xfId="3" applyNumberFormat="1" applyFont="1" applyFill="1" applyBorder="1" applyAlignment="1" applyProtection="1">
      <alignment horizontal="right" vertical="top"/>
    </xf>
    <xf numFmtId="0" fontId="3" fillId="6" borderId="0" xfId="5" applyFont="1" applyFill="1" applyBorder="1" applyAlignment="1" applyProtection="1">
      <alignment horizontal="right" vertical="top"/>
      <protection locked="0"/>
    </xf>
    <xf numFmtId="0" fontId="3" fillId="6" borderId="13" xfId="5" applyFont="1" applyFill="1" applyBorder="1" applyAlignment="1" applyProtection="1">
      <alignment horizontal="right" vertical="top"/>
      <protection locked="0"/>
    </xf>
    <xf numFmtId="176" fontId="3" fillId="11" borderId="122" xfId="3" applyNumberFormat="1" applyFont="1" applyFill="1" applyBorder="1" applyAlignment="1" applyProtection="1">
      <alignment horizontal="right" vertical="top"/>
    </xf>
    <xf numFmtId="3" fontId="4" fillId="5" borderId="0" xfId="5" applyNumberFormat="1" applyFont="1" applyFill="1" applyBorder="1" applyAlignment="1" applyProtection="1">
      <alignment horizontal="right" vertical="top"/>
      <protection locked="0"/>
    </xf>
    <xf numFmtId="0" fontId="3" fillId="11" borderId="34" xfId="5" applyFont="1" applyFill="1" applyBorder="1" applyAlignment="1" applyProtection="1">
      <alignment horizontal="right" vertical="top"/>
    </xf>
    <xf numFmtId="3" fontId="3" fillId="11" borderId="34" xfId="5" applyNumberFormat="1" applyFont="1" applyFill="1" applyBorder="1" applyAlignment="1" applyProtection="1">
      <alignment horizontal="right" vertical="top"/>
    </xf>
    <xf numFmtId="0" fontId="93" fillId="11" borderId="1" xfId="699" applyFont="1" applyFill="1" applyBorder="1" applyAlignment="1" applyProtection="1">
      <alignment horizontal="right" vertical="top"/>
    </xf>
    <xf numFmtId="0" fontId="93" fillId="11" borderId="8" xfId="699" applyFont="1" applyFill="1" applyBorder="1" applyAlignment="1" applyProtection="1">
      <alignment horizontal="right" vertical="top"/>
    </xf>
    <xf numFmtId="39" fontId="94" fillId="11" borderId="1" xfId="699" applyNumberFormat="1" applyFont="1" applyFill="1" applyBorder="1" applyAlignment="1">
      <alignment horizontal="right" vertical="top"/>
    </xf>
    <xf numFmtId="39" fontId="94" fillId="11" borderId="8" xfId="699" applyNumberFormat="1" applyFont="1" applyFill="1" applyBorder="1" applyAlignment="1">
      <alignment horizontal="right" vertical="top"/>
    </xf>
    <xf numFmtId="0" fontId="4" fillId="11" borderId="13" xfId="4" applyFont="1" applyFill="1" applyBorder="1" applyAlignment="1" applyProtection="1">
      <alignment horizontal="right" vertical="top" wrapText="1"/>
    </xf>
    <xf numFmtId="0" fontId="4" fillId="11" borderId="30" xfId="4" applyFont="1" applyFill="1" applyBorder="1" applyAlignment="1" applyProtection="1">
      <alignment horizontal="right" vertical="top" wrapText="1"/>
    </xf>
    <xf numFmtId="0" fontId="4" fillId="11" borderId="68" xfId="4" applyFont="1" applyFill="1" applyBorder="1" applyAlignment="1" applyProtection="1">
      <alignment horizontal="right" vertical="top" wrapText="1"/>
    </xf>
    <xf numFmtId="0" fontId="4" fillId="11" borderId="13" xfId="4" applyFont="1" applyFill="1" applyBorder="1" applyAlignment="1" applyProtection="1">
      <alignment horizontal="center" vertical="top" wrapText="1"/>
    </xf>
    <xf numFmtId="0" fontId="4" fillId="11" borderId="14" xfId="4" applyFont="1" applyFill="1" applyBorder="1" applyAlignment="1" applyProtection="1">
      <alignment horizontal="right" vertical="top" wrapText="1"/>
    </xf>
    <xf numFmtId="0" fontId="3" fillId="11" borderId="0" xfId="4" applyFont="1" applyFill="1" applyAlignment="1">
      <alignment vertical="top" wrapText="1"/>
    </xf>
    <xf numFmtId="167" fontId="3" fillId="11" borderId="69" xfId="4" applyNumberFormat="1" applyFont="1" applyFill="1" applyBorder="1" applyAlignment="1" applyProtection="1">
      <alignment vertical="top"/>
    </xf>
    <xf numFmtId="167" fontId="3" fillId="11" borderId="15" xfId="4" applyNumberFormat="1" applyFont="1" applyFill="1" applyBorder="1" applyAlignment="1" applyProtection="1">
      <alignment vertical="top"/>
    </xf>
    <xf numFmtId="175" fontId="3" fillId="11" borderId="15" xfId="4" applyNumberFormat="1" applyFont="1" applyFill="1" applyBorder="1" applyAlignment="1" applyProtection="1">
      <alignment horizontal="right" vertical="top"/>
    </xf>
    <xf numFmtId="175" fontId="3" fillId="11" borderId="31" xfId="4" applyNumberFormat="1" applyFont="1" applyFill="1" applyBorder="1" applyAlignment="1" applyProtection="1">
      <alignment vertical="top"/>
    </xf>
    <xf numFmtId="175" fontId="90" fillId="11" borderId="15" xfId="4" applyNumberFormat="1" applyFont="1" applyFill="1" applyBorder="1" applyAlignment="1" applyProtection="1">
      <alignment horizontal="center" vertical="top"/>
    </xf>
    <xf numFmtId="175" fontId="3" fillId="11" borderId="11" xfId="4" applyNumberFormat="1" applyFont="1" applyFill="1" applyBorder="1" applyAlignment="1" applyProtection="1">
      <alignment vertical="top"/>
    </xf>
    <xf numFmtId="176" fontId="3" fillId="11" borderId="0" xfId="4" applyNumberFormat="1" applyFont="1" applyFill="1" applyBorder="1" applyAlignment="1" applyProtection="1">
      <alignment vertical="top"/>
    </xf>
    <xf numFmtId="10" fontId="3" fillId="11" borderId="26" xfId="3" applyNumberFormat="1" applyFont="1" applyFill="1" applyBorder="1" applyAlignment="1" applyProtection="1">
      <alignment vertical="top"/>
    </xf>
    <xf numFmtId="167" fontId="3" fillId="11" borderId="67" xfId="4" applyNumberFormat="1" applyFont="1" applyFill="1" applyBorder="1" applyAlignment="1" applyProtection="1">
      <alignment vertical="top"/>
    </xf>
    <xf numFmtId="167" fontId="3" fillId="11" borderId="0" xfId="4" applyNumberFormat="1" applyFont="1" applyFill="1" applyBorder="1" applyAlignment="1" applyProtection="1">
      <alignment vertical="top"/>
    </xf>
    <xf numFmtId="175" fontId="3" fillId="11" borderId="0" xfId="4" applyNumberFormat="1" applyFont="1" applyFill="1" applyBorder="1" applyAlignment="1" applyProtection="1">
      <alignment horizontal="right" vertical="top"/>
    </xf>
    <xf numFmtId="175" fontId="3" fillId="11" borderId="26" xfId="4" applyNumberFormat="1" applyFont="1" applyFill="1" applyBorder="1" applyAlignment="1" applyProtection="1">
      <alignment vertical="top"/>
    </xf>
    <xf numFmtId="175" fontId="90" fillId="11" borderId="0" xfId="4" applyNumberFormat="1" applyFont="1" applyFill="1" applyBorder="1" applyAlignment="1" applyProtection="1">
      <alignment horizontal="center" vertical="top"/>
    </xf>
    <xf numFmtId="175" fontId="3" fillId="11" borderId="7" xfId="4" applyNumberFormat="1" applyFont="1" applyFill="1" applyBorder="1" applyAlignment="1" applyProtection="1">
      <alignment vertical="top"/>
    </xf>
    <xf numFmtId="175" fontId="3" fillId="11" borderId="0" xfId="4" applyNumberFormat="1" applyFont="1" applyFill="1" applyBorder="1" applyAlignment="1" applyProtection="1">
      <alignment vertical="top"/>
    </xf>
    <xf numFmtId="175" fontId="4" fillId="11" borderId="9" xfId="4" applyNumberFormat="1" applyFont="1" applyFill="1" applyBorder="1" applyAlignment="1" applyProtection="1">
      <alignment vertical="top"/>
    </xf>
    <xf numFmtId="10" fontId="4" fillId="11" borderId="29" xfId="3" applyNumberFormat="1" applyFont="1" applyFill="1" applyBorder="1" applyAlignment="1" applyProtection="1">
      <alignment vertical="top"/>
    </xf>
    <xf numFmtId="175" fontId="3" fillId="11" borderId="32" xfId="4" applyNumberFormat="1" applyFont="1" applyFill="1" applyBorder="1" applyAlignment="1" applyProtection="1">
      <alignment vertical="top"/>
    </xf>
    <xf numFmtId="0" fontId="3" fillId="11" borderId="18" xfId="4" applyFont="1" applyFill="1" applyBorder="1" applyAlignment="1" applyProtection="1">
      <alignment vertical="top"/>
    </xf>
    <xf numFmtId="0" fontId="3" fillId="11" borderId="15" xfId="4" applyFont="1" applyFill="1" applyBorder="1" applyAlignment="1" applyProtection="1">
      <alignment vertical="top"/>
    </xf>
    <xf numFmtId="3" fontId="3" fillId="11" borderId="0" xfId="4" applyNumberFormat="1" applyFont="1" applyFill="1" applyAlignment="1" applyProtection="1">
      <alignment vertical="top"/>
    </xf>
    <xf numFmtId="175" fontId="4" fillId="11" borderId="31" xfId="4" applyNumberFormat="1" applyFont="1" applyFill="1" applyBorder="1" applyAlignment="1" applyProtection="1">
      <alignment vertical="top"/>
    </xf>
    <xf numFmtId="176" fontId="3" fillId="11" borderId="32" xfId="4" applyNumberFormat="1" applyFont="1" applyFill="1" applyBorder="1" applyAlignment="1" applyProtection="1">
      <alignment vertical="top"/>
    </xf>
    <xf numFmtId="176" fontId="3" fillId="11" borderId="26" xfId="4" applyNumberFormat="1" applyFont="1" applyFill="1" applyBorder="1" applyAlignment="1" applyProtection="1">
      <alignment vertical="top"/>
    </xf>
    <xf numFmtId="175" fontId="3" fillId="11" borderId="13" xfId="4" applyNumberFormat="1" applyFont="1" applyFill="1" applyBorder="1" applyAlignment="1" applyProtection="1">
      <alignment vertical="top"/>
    </xf>
    <xf numFmtId="10" fontId="3" fillId="11" borderId="30" xfId="3" applyNumberFormat="1" applyFont="1" applyFill="1" applyBorder="1" applyAlignment="1" applyProtection="1">
      <alignment vertical="top"/>
    </xf>
    <xf numFmtId="0" fontId="3" fillId="11" borderId="0" xfId="4" applyFont="1" applyFill="1" applyBorder="1" applyAlignment="1" applyProtection="1">
      <alignment vertical="top"/>
    </xf>
    <xf numFmtId="0" fontId="3" fillId="11" borderId="26" xfId="4" applyFont="1" applyFill="1" applyBorder="1" applyAlignment="1" applyProtection="1">
      <alignment vertical="top"/>
    </xf>
    <xf numFmtId="167" fontId="3" fillId="11" borderId="68" xfId="4" applyNumberFormat="1" applyFont="1" applyFill="1" applyBorder="1" applyAlignment="1" applyProtection="1">
      <alignment vertical="top"/>
    </xf>
    <xf numFmtId="167" fontId="3" fillId="11" borderId="13" xfId="4" applyNumberFormat="1" applyFont="1" applyFill="1" applyBorder="1" applyAlignment="1" applyProtection="1">
      <alignment vertical="top"/>
    </xf>
    <xf numFmtId="175" fontId="3" fillId="11" borderId="13" xfId="4" applyNumberFormat="1" applyFont="1" applyFill="1" applyBorder="1" applyAlignment="1" applyProtection="1">
      <alignment horizontal="right" vertical="top"/>
    </xf>
    <xf numFmtId="175" fontId="3" fillId="11" borderId="30" xfId="4" applyNumberFormat="1" applyFont="1" applyFill="1" applyBorder="1" applyAlignment="1" applyProtection="1">
      <alignment vertical="top"/>
    </xf>
    <xf numFmtId="175" fontId="4" fillId="11" borderId="29" xfId="4" applyNumberFormat="1" applyFont="1" applyFill="1" applyBorder="1" applyAlignment="1" applyProtection="1">
      <alignment vertical="top"/>
    </xf>
    <xf numFmtId="176" fontId="4" fillId="11" borderId="70" xfId="3" applyNumberFormat="1" applyFont="1" applyFill="1" applyBorder="1" applyAlignment="1" applyProtection="1">
      <alignment vertical="top"/>
    </xf>
    <xf numFmtId="175" fontId="4" fillId="11" borderId="10" xfId="4" applyNumberFormat="1" applyFont="1" applyFill="1" applyBorder="1" applyAlignment="1" applyProtection="1">
      <alignment vertical="top"/>
    </xf>
    <xf numFmtId="170" fontId="4" fillId="11" borderId="67" xfId="4" applyNumberFormat="1" applyFont="1" applyFill="1" applyBorder="1" applyAlignment="1" applyProtection="1">
      <alignment horizontal="left" vertical="top"/>
    </xf>
    <xf numFmtId="170" fontId="4" fillId="11" borderId="0" xfId="4" applyNumberFormat="1" applyFont="1" applyFill="1" applyBorder="1" applyAlignment="1" applyProtection="1">
      <alignment horizontal="left" vertical="top"/>
    </xf>
    <xf numFmtId="3" fontId="4" fillId="11" borderId="0" xfId="4" applyNumberFormat="1" applyFont="1" applyFill="1" applyBorder="1" applyAlignment="1" applyProtection="1">
      <alignment vertical="top"/>
    </xf>
    <xf numFmtId="1" fontId="4" fillId="11" borderId="0" xfId="4" applyNumberFormat="1" applyFont="1" applyFill="1" applyBorder="1" applyAlignment="1" applyProtection="1">
      <alignment vertical="top"/>
    </xf>
    <xf numFmtId="3" fontId="4" fillId="11" borderId="26" xfId="4" applyNumberFormat="1" applyFont="1" applyFill="1" applyBorder="1" applyAlignment="1" applyProtection="1">
      <alignment vertical="top"/>
    </xf>
    <xf numFmtId="170" fontId="4" fillId="11" borderId="67" xfId="4" applyNumberFormat="1" applyFont="1" applyFill="1" applyBorder="1" applyAlignment="1" applyProtection="1">
      <alignment vertical="top"/>
    </xf>
    <xf numFmtId="3" fontId="4" fillId="11" borderId="7" xfId="4" applyNumberFormat="1" applyFont="1" applyFill="1" applyBorder="1" applyAlignment="1" applyProtection="1">
      <alignment vertical="top"/>
    </xf>
    <xf numFmtId="0" fontId="4" fillId="11" borderId="9" xfId="4" applyFont="1" applyFill="1" applyBorder="1" applyAlignment="1" applyProtection="1">
      <alignment horizontal="right" vertical="top" wrapText="1"/>
    </xf>
    <xf numFmtId="0" fontId="4" fillId="11" borderId="29" xfId="4" applyFont="1" applyFill="1" applyBorder="1" applyAlignment="1" applyProtection="1">
      <alignment horizontal="right" vertical="top" wrapText="1"/>
    </xf>
    <xf numFmtId="0" fontId="4" fillId="11" borderId="70" xfId="4" applyFont="1" applyFill="1" applyBorder="1" applyAlignment="1" applyProtection="1">
      <alignment horizontal="right" vertical="top" wrapText="1"/>
    </xf>
    <xf numFmtId="0" fontId="4" fillId="11" borderId="10" xfId="4" applyFont="1" applyFill="1" applyBorder="1" applyAlignment="1" applyProtection="1">
      <alignment horizontal="right" vertical="top" wrapText="1"/>
    </xf>
    <xf numFmtId="175" fontId="3" fillId="11" borderId="123" xfId="4" applyNumberFormat="1" applyFont="1" applyFill="1" applyBorder="1" applyAlignment="1" applyProtection="1">
      <alignment vertical="top"/>
    </xf>
    <xf numFmtId="3" fontId="4" fillId="11" borderId="33" xfId="4" applyNumberFormat="1" applyFont="1" applyFill="1" applyBorder="1" applyAlignment="1" applyProtection="1">
      <alignment vertical="top"/>
    </xf>
    <xf numFmtId="10" fontId="4" fillId="11" borderId="4" xfId="3" applyNumberFormat="1" applyFont="1" applyFill="1" applyBorder="1" applyAlignment="1" applyProtection="1">
      <alignment vertical="top"/>
    </xf>
    <xf numFmtId="3" fontId="4" fillId="11" borderId="34" xfId="4" applyNumberFormat="1" applyFont="1" applyFill="1" applyBorder="1" applyAlignment="1" applyProtection="1">
      <alignment vertical="top"/>
    </xf>
    <xf numFmtId="3" fontId="4" fillId="11" borderId="72" xfId="4" applyNumberFormat="1" applyFont="1" applyFill="1" applyBorder="1" applyAlignment="1" applyProtection="1">
      <alignment vertical="top"/>
    </xf>
    <xf numFmtId="0" fontId="3" fillId="11" borderId="24" xfId="4" applyFont="1" applyFill="1" applyBorder="1" applyAlignment="1" applyProtection="1">
      <alignment vertical="top"/>
    </xf>
    <xf numFmtId="0" fontId="3" fillId="11" borderId="5" xfId="4" applyFont="1" applyFill="1" applyBorder="1" applyAlignment="1" applyProtection="1">
      <alignment vertical="top"/>
    </xf>
    <xf numFmtId="0" fontId="92" fillId="11" borderId="120" xfId="698" applyFont="1" applyFill="1" applyAlignment="1">
      <alignment vertical="top"/>
    </xf>
    <xf numFmtId="0" fontId="93" fillId="11" borderId="1" xfId="699" applyFont="1" applyFill="1" applyBorder="1" applyAlignment="1" applyProtection="1">
      <alignment vertical="top"/>
    </xf>
    <xf numFmtId="0" fontId="94" fillId="11" borderId="1" xfId="699" applyFont="1" applyFill="1" applyBorder="1" applyAlignment="1">
      <alignment vertical="top"/>
    </xf>
    <xf numFmtId="0" fontId="94" fillId="5" borderId="1" xfId="699" applyFont="1" applyFill="1" applyBorder="1" applyAlignment="1" applyProtection="1">
      <alignment vertical="top"/>
      <protection locked="0"/>
    </xf>
    <xf numFmtId="14" fontId="94" fillId="5" borderId="1" xfId="699" applyNumberFormat="1" applyFont="1" applyFill="1" applyBorder="1" applyAlignment="1" applyProtection="1">
      <alignment vertical="top"/>
      <protection locked="0"/>
    </xf>
    <xf numFmtId="0" fontId="96" fillId="3" borderId="8" xfId="7" applyFont="1" applyFill="1" applyBorder="1" applyAlignment="1" applyProtection="1">
      <alignment horizontal="left" vertical="center"/>
    </xf>
    <xf numFmtId="0" fontId="96" fillId="3" borderId="9" xfId="7" applyFont="1" applyFill="1" applyBorder="1" applyAlignment="1" applyProtection="1">
      <alignment horizontal="left" vertical="center"/>
    </xf>
    <xf numFmtId="0" fontId="96" fillId="3" borderId="10" xfId="7" applyFont="1" applyFill="1" applyBorder="1" applyAlignment="1" applyProtection="1">
      <alignment horizontal="left" vertical="center"/>
    </xf>
    <xf numFmtId="0" fontId="3" fillId="11" borderId="0" xfId="7" applyFont="1" applyFill="1" applyAlignment="1" applyProtection="1">
      <alignment horizontal="left" vertical="center"/>
    </xf>
    <xf numFmtId="0" fontId="66" fillId="18" borderId="91" xfId="0" applyFont="1" applyFill="1" applyBorder="1"/>
    <xf numFmtId="0" fontId="66" fillId="18" borderId="92" xfId="0" applyFont="1" applyFill="1" applyBorder="1"/>
    <xf numFmtId="0" fontId="66" fillId="18" borderId="93" xfId="0" applyFont="1" applyFill="1" applyBorder="1"/>
    <xf numFmtId="0" fontId="3" fillId="11" borderId="0" xfId="7" applyFont="1" applyFill="1" applyAlignment="1">
      <alignment horizontal="left" vertical="center"/>
    </xf>
    <xf numFmtId="0" fontId="4" fillId="4" borderId="8" xfId="7" applyFont="1" applyFill="1" applyBorder="1" applyAlignment="1" applyProtection="1">
      <alignment horizontal="center" vertical="center"/>
    </xf>
    <xf numFmtId="0" fontId="4" fillId="4" borderId="9" xfId="7" applyFont="1" applyFill="1" applyBorder="1" applyAlignment="1" applyProtection="1">
      <alignment horizontal="center" vertical="center"/>
    </xf>
    <xf numFmtId="0" fontId="4" fillId="4" borderId="10" xfId="7" applyFont="1" applyFill="1" applyBorder="1" applyAlignment="1" applyProtection="1">
      <alignment horizontal="center" vertical="center"/>
    </xf>
    <xf numFmtId="0" fontId="66" fillId="18" borderId="107" xfId="0" applyFont="1" applyFill="1" applyBorder="1"/>
    <xf numFmtId="0" fontId="66" fillId="18" borderId="0" xfId="0" applyFont="1" applyFill="1" applyBorder="1"/>
    <xf numFmtId="0" fontId="66" fillId="18" borderId="106" xfId="0" applyFont="1" applyFill="1" applyBorder="1"/>
    <xf numFmtId="0" fontId="3" fillId="2" borderId="59" xfId="7" applyFont="1" applyFill="1" applyBorder="1" applyAlignment="1" applyProtection="1">
      <alignment horizontal="left" vertical="center"/>
    </xf>
    <xf numFmtId="0" fontId="3" fillId="5" borderId="18" xfId="7" applyFont="1" applyFill="1" applyBorder="1" applyAlignment="1" applyProtection="1">
      <alignment vertical="top" wrapText="1"/>
      <protection locked="0"/>
    </xf>
    <xf numFmtId="0" fontId="3" fillId="5" borderId="15" xfId="7" applyFont="1" applyFill="1" applyBorder="1" applyAlignment="1" applyProtection="1">
      <alignment vertical="top" wrapText="1"/>
      <protection locked="0"/>
    </xf>
    <xf numFmtId="0" fontId="3" fillId="5" borderId="11" xfId="7" applyFont="1" applyFill="1" applyBorder="1" applyAlignment="1" applyProtection="1">
      <alignment vertical="top" wrapText="1"/>
      <protection locked="0"/>
    </xf>
    <xf numFmtId="0" fontId="3" fillId="5" borderId="32" xfId="7" applyFont="1" applyFill="1" applyBorder="1" applyAlignment="1" applyProtection="1">
      <alignment vertical="top" wrapText="1"/>
      <protection locked="0"/>
    </xf>
    <xf numFmtId="0" fontId="3" fillId="5" borderId="0" xfId="7" applyFont="1" applyFill="1" applyBorder="1" applyAlignment="1" applyProtection="1">
      <alignment vertical="top" wrapText="1"/>
      <protection locked="0"/>
    </xf>
    <xf numFmtId="0" fontId="3" fillId="5" borderId="7" xfId="7" applyFont="1" applyFill="1" applyBorder="1" applyAlignment="1" applyProtection="1">
      <alignment vertical="top" wrapText="1"/>
      <protection locked="0"/>
    </xf>
    <xf numFmtId="0" fontId="3" fillId="18" borderId="94" xfId="7" applyFont="1" applyFill="1" applyBorder="1" applyAlignment="1">
      <alignment horizontal="left" vertical="center"/>
    </xf>
    <xf numFmtId="0" fontId="3" fillId="18" borderId="95" xfId="7" applyFont="1" applyFill="1" applyBorder="1" applyAlignment="1">
      <alignment horizontal="left" vertical="center"/>
    </xf>
    <xf numFmtId="0" fontId="3" fillId="18" borderId="96" xfId="7" applyFont="1" applyFill="1" applyBorder="1" applyAlignment="1">
      <alignment horizontal="left" vertical="center"/>
    </xf>
    <xf numFmtId="0" fontId="3" fillId="2" borderId="64" xfId="7" applyFont="1" applyFill="1" applyBorder="1" applyAlignment="1" applyProtection="1">
      <alignment horizontal="left" vertical="center"/>
    </xf>
    <xf numFmtId="0" fontId="4" fillId="7" borderId="8" xfId="7" applyFont="1" applyFill="1" applyBorder="1" applyAlignment="1" applyProtection="1">
      <alignment vertical="center"/>
    </xf>
    <xf numFmtId="0" fontId="4" fillId="7" borderId="9" xfId="7" applyFont="1" applyFill="1" applyBorder="1" applyAlignment="1" applyProtection="1">
      <alignment vertical="center"/>
    </xf>
    <xf numFmtId="0" fontId="3" fillId="4" borderId="9" xfId="7" applyFont="1" applyFill="1" applyBorder="1" applyAlignment="1" applyProtection="1">
      <alignment vertical="center"/>
    </xf>
    <xf numFmtId="0" fontId="3" fillId="4" borderId="0" xfId="7" applyFont="1" applyFill="1" applyAlignment="1" applyProtection="1">
      <alignment horizontal="left" vertical="center"/>
    </xf>
    <xf numFmtId="0" fontId="4" fillId="3" borderId="10" xfId="7" applyFont="1" applyFill="1" applyBorder="1" applyAlignment="1" applyProtection="1">
      <alignment vertical="top" wrapText="1"/>
    </xf>
    <xf numFmtId="0" fontId="4" fillId="4" borderId="10" xfId="7" applyFont="1" applyFill="1" applyBorder="1" applyAlignment="1" applyProtection="1">
      <alignment vertical="top" wrapText="1"/>
    </xf>
    <xf numFmtId="0" fontId="4" fillId="4" borderId="32" xfId="7" applyFont="1" applyFill="1" applyBorder="1" applyAlignment="1" applyProtection="1">
      <alignment vertical="top" textRotation="180" wrapText="1"/>
    </xf>
    <xf numFmtId="0" fontId="4" fillId="4" borderId="0" xfId="7" applyFont="1" applyFill="1" applyBorder="1" applyAlignment="1" applyProtection="1">
      <alignment vertical="top" textRotation="180" wrapText="1"/>
    </xf>
    <xf numFmtId="0" fontId="3" fillId="2" borderId="63" xfId="7" applyFont="1" applyFill="1" applyBorder="1" applyAlignment="1" applyProtection="1">
      <alignment vertical="center"/>
    </xf>
    <xf numFmtId="0" fontId="4" fillId="2" borderId="1" xfId="7" applyFont="1" applyFill="1" applyBorder="1" applyAlignment="1" applyProtection="1">
      <alignment vertical="top" wrapText="1"/>
    </xf>
    <xf numFmtId="0" fontId="3" fillId="2" borderId="8" xfId="7" applyFont="1" applyFill="1" applyBorder="1" applyAlignment="1" applyProtection="1">
      <alignment horizontal="left" vertical="center"/>
    </xf>
    <xf numFmtId="0" fontId="3" fillId="2" borderId="7" xfId="7" applyFont="1" applyFill="1" applyBorder="1" applyAlignment="1" applyProtection="1">
      <alignment vertical="center"/>
    </xf>
    <xf numFmtId="4" fontId="90" fillId="5" borderId="54" xfId="7" applyNumberFormat="1" applyFont="1" applyFill="1" applyBorder="1" applyAlignment="1" applyProtection="1">
      <alignment horizontal="right" vertical="center"/>
      <protection locked="0"/>
    </xf>
    <xf numFmtId="0" fontId="3" fillId="2" borderId="45" xfId="7" applyFont="1" applyFill="1" applyBorder="1" applyAlignment="1" applyProtection="1">
      <alignment horizontal="left" vertical="center"/>
    </xf>
    <xf numFmtId="0" fontId="3" fillId="5" borderId="43" xfId="7" applyFont="1" applyFill="1" applyBorder="1" applyAlignment="1" applyProtection="1">
      <alignment horizontal="left" vertical="center"/>
      <protection locked="0"/>
    </xf>
    <xf numFmtId="0" fontId="3" fillId="5" borderId="38" xfId="7" applyFont="1" applyFill="1" applyBorder="1" applyAlignment="1" applyProtection="1">
      <alignment horizontal="left" vertical="center"/>
      <protection locked="0"/>
    </xf>
    <xf numFmtId="0" fontId="3" fillId="2" borderId="1" xfId="7" applyFont="1" applyFill="1" applyBorder="1" applyAlignment="1" applyProtection="1">
      <alignment horizontal="left" vertical="center"/>
    </xf>
    <xf numFmtId="0" fontId="96" fillId="3" borderId="18" xfId="7" applyFont="1" applyFill="1" applyBorder="1" applyAlignment="1" applyProtection="1">
      <alignment horizontal="left" vertical="center"/>
    </xf>
    <xf numFmtId="0" fontId="96" fillId="3" borderId="15" xfId="7" applyFont="1" applyFill="1" applyBorder="1" applyAlignment="1" applyProtection="1">
      <alignment horizontal="left" vertical="center"/>
    </xf>
    <xf numFmtId="0" fontId="96" fillId="3" borderId="11" xfId="7" applyFont="1" applyFill="1" applyBorder="1" applyAlignment="1" applyProtection="1">
      <alignment horizontal="left" vertical="center"/>
    </xf>
    <xf numFmtId="0" fontId="4" fillId="2" borderId="8" xfId="7" applyFont="1" applyFill="1" applyBorder="1" applyAlignment="1" applyProtection="1">
      <alignment horizontal="center" vertical="center"/>
    </xf>
    <xf numFmtId="0" fontId="4" fillId="2" borderId="9" xfId="7" applyFont="1" applyFill="1" applyBorder="1" applyAlignment="1" applyProtection="1">
      <alignment horizontal="center" vertical="center"/>
    </xf>
    <xf numFmtId="0" fontId="4" fillId="2" borderId="10" xfId="7" applyFont="1" applyFill="1" applyBorder="1" applyAlignment="1" applyProtection="1">
      <alignment horizontal="center" vertical="center"/>
    </xf>
    <xf numFmtId="0" fontId="3" fillId="2" borderId="48" xfId="7" applyFont="1" applyFill="1" applyBorder="1" applyAlignment="1" applyProtection="1">
      <alignment horizontal="left" vertical="center"/>
    </xf>
    <xf numFmtId="0" fontId="91" fillId="11" borderId="0" xfId="7" applyFont="1" applyFill="1" applyAlignment="1" applyProtection="1">
      <alignment horizontal="left" vertical="center"/>
    </xf>
    <xf numFmtId="0" fontId="91" fillId="11" borderId="0" xfId="7" applyFont="1" applyFill="1" applyAlignment="1">
      <alignment horizontal="left" vertical="center"/>
    </xf>
    <xf numFmtId="0" fontId="3" fillId="5" borderId="6" xfId="7" applyFont="1" applyFill="1" applyBorder="1" applyAlignment="1" applyProtection="1">
      <alignment horizontal="left" vertical="center"/>
      <protection locked="0"/>
    </xf>
    <xf numFmtId="4" fontId="3" fillId="5" borderId="6" xfId="7" applyNumberFormat="1" applyFont="1" applyFill="1" applyBorder="1" applyAlignment="1" applyProtection="1">
      <alignment horizontal="right" vertical="center"/>
      <protection locked="0"/>
    </xf>
    <xf numFmtId="0" fontId="90" fillId="11" borderId="0" xfId="7" applyFont="1" applyFill="1" applyAlignment="1" applyProtection="1">
      <alignment horizontal="left" vertical="center"/>
    </xf>
    <xf numFmtId="0" fontId="90" fillId="11" borderId="0" xfId="7" applyFont="1" applyFill="1" applyAlignment="1">
      <alignment horizontal="left" vertical="center"/>
    </xf>
    <xf numFmtId="14" fontId="3" fillId="5" borderId="12" xfId="7" applyNumberFormat="1" applyFont="1" applyFill="1" applyBorder="1" applyAlignment="1" applyProtection="1">
      <alignment horizontal="left" vertical="center"/>
      <protection locked="0"/>
    </xf>
    <xf numFmtId="0" fontId="3" fillId="2" borderId="43" xfId="7" applyFont="1" applyFill="1" applyBorder="1" applyAlignment="1" applyProtection="1">
      <alignment horizontal="left" vertical="center"/>
    </xf>
    <xf numFmtId="0" fontId="3" fillId="2" borderId="44" xfId="7" applyFont="1" applyFill="1" applyBorder="1" applyAlignment="1" applyProtection="1">
      <alignment horizontal="left" vertical="center"/>
    </xf>
    <xf numFmtId="14" fontId="3" fillId="5" borderId="44" xfId="7" applyNumberFormat="1" applyFont="1" applyFill="1" applyBorder="1" applyAlignment="1" applyProtection="1">
      <alignment horizontal="left" vertical="center"/>
      <protection locked="0"/>
    </xf>
    <xf numFmtId="4" fontId="3" fillId="5" borderId="43" xfId="7" applyNumberFormat="1" applyFont="1" applyFill="1" applyBorder="1" applyAlignment="1" applyProtection="1">
      <alignment horizontal="right" vertical="center"/>
      <protection locked="0"/>
    </xf>
    <xf numFmtId="0" fontId="3" fillId="5" borderId="40" xfId="7" applyFont="1" applyFill="1" applyBorder="1" applyAlignment="1" applyProtection="1">
      <alignment horizontal="left" vertical="center"/>
      <protection locked="0"/>
    </xf>
    <xf numFmtId="4" fontId="3" fillId="5" borderId="38" xfId="7" applyNumberFormat="1" applyFont="1" applyFill="1" applyBorder="1" applyAlignment="1" applyProtection="1">
      <alignment horizontal="right" vertical="center"/>
      <protection locked="0"/>
    </xf>
    <xf numFmtId="0" fontId="3" fillId="11" borderId="0" xfId="7" applyFont="1" applyFill="1" applyBorder="1" applyAlignment="1" applyProtection="1">
      <alignment horizontal="left" vertical="center"/>
    </xf>
    <xf numFmtId="0" fontId="3" fillId="11" borderId="0" xfId="7" applyFont="1" applyFill="1" applyBorder="1" applyAlignment="1">
      <alignment horizontal="left" vertical="center"/>
    </xf>
    <xf numFmtId="0" fontId="3" fillId="5" borderId="44" xfId="7" applyFont="1" applyFill="1" applyBorder="1" applyAlignment="1" applyProtection="1">
      <alignment horizontal="left" vertical="center"/>
      <protection locked="0"/>
    </xf>
    <xf numFmtId="0" fontId="4" fillId="2" borderId="15" xfId="7" applyFont="1" applyFill="1" applyBorder="1" applyAlignment="1" applyProtection="1">
      <alignment vertical="center"/>
    </xf>
    <xf numFmtId="0" fontId="84" fillId="11" borderId="0" xfId="0" applyFont="1" applyFill="1" applyBorder="1" applyAlignment="1" applyProtection="1">
      <alignment horizontal="left" vertical="top"/>
    </xf>
    <xf numFmtId="0" fontId="85" fillId="11" borderId="0" xfId="0" applyFont="1" applyFill="1" applyBorder="1" applyAlignment="1" applyProtection="1">
      <alignment horizontal="left" vertical="top"/>
    </xf>
    <xf numFmtId="0" fontId="85" fillId="11" borderId="8" xfId="0" applyFont="1" applyFill="1" applyBorder="1" applyAlignment="1" applyProtection="1">
      <alignment vertical="top"/>
    </xf>
    <xf numFmtId="0" fontId="85" fillId="11" borderId="9" xfId="0" applyFont="1" applyFill="1" applyBorder="1" applyAlignment="1" applyProtection="1">
      <alignment vertical="top"/>
    </xf>
    <xf numFmtId="0" fontId="85" fillId="11" borderId="1" xfId="0" applyFont="1" applyFill="1" applyBorder="1" applyAlignment="1" applyProtection="1">
      <alignment vertical="top"/>
    </xf>
    <xf numFmtId="0" fontId="85" fillId="11" borderId="1" xfId="0" applyFont="1" applyFill="1" applyBorder="1" applyAlignment="1" applyProtection="1">
      <alignment horizontal="right" vertical="top"/>
    </xf>
    <xf numFmtId="0" fontId="25" fillId="11" borderId="8" xfId="0" applyFont="1" applyFill="1" applyBorder="1" applyAlignment="1" applyProtection="1">
      <alignment vertical="top"/>
    </xf>
    <xf numFmtId="0" fontId="25" fillId="11" borderId="9" xfId="0" applyFont="1" applyFill="1" applyBorder="1" applyAlignment="1" applyProtection="1">
      <alignment vertical="top"/>
    </xf>
    <xf numFmtId="0" fontId="25" fillId="11" borderId="1" xfId="0" applyFont="1" applyFill="1" applyBorder="1" applyAlignment="1" applyProtection="1">
      <alignment vertical="top"/>
    </xf>
    <xf numFmtId="3" fontId="25" fillId="11" borderId="1" xfId="0" applyNumberFormat="1" applyFont="1" applyFill="1" applyBorder="1" applyAlignment="1" applyProtection="1">
      <alignment vertical="top"/>
    </xf>
    <xf numFmtId="3" fontId="25" fillId="11" borderId="1" xfId="0" applyNumberFormat="1" applyFont="1" applyFill="1" applyBorder="1" applyAlignment="1" applyProtection="1">
      <alignment horizontal="right" vertical="top"/>
    </xf>
    <xf numFmtId="0" fontId="98" fillId="11" borderId="0" xfId="0" applyFont="1" applyFill="1" applyAlignment="1" applyProtection="1">
      <alignment vertical="top"/>
    </xf>
    <xf numFmtId="3" fontId="85" fillId="11" borderId="1" xfId="0" applyNumberFormat="1" applyFont="1" applyFill="1" applyBorder="1" applyAlignment="1" applyProtection="1">
      <alignment horizontal="right" vertical="top"/>
    </xf>
    <xf numFmtId="0" fontId="25" fillId="11" borderId="0" xfId="0" applyFont="1" applyFill="1" applyBorder="1" applyAlignment="1" applyProtection="1">
      <alignment vertical="top"/>
    </xf>
    <xf numFmtId="0" fontId="84" fillId="11" borderId="13" xfId="0" applyFont="1" applyFill="1" applyBorder="1" applyAlignment="1" applyProtection="1">
      <alignment vertical="top"/>
    </xf>
    <xf numFmtId="0" fontId="79" fillId="11" borderId="0" xfId="0" applyFont="1" applyFill="1" applyBorder="1" applyAlignment="1" applyProtection="1">
      <alignment vertical="top"/>
    </xf>
    <xf numFmtId="0" fontId="99" fillId="11" borderId="0" xfId="0" applyFont="1" applyFill="1" applyAlignment="1" applyProtection="1">
      <alignment vertical="top"/>
    </xf>
    <xf numFmtId="0" fontId="82" fillId="11" borderId="1" xfId="0" applyFont="1" applyFill="1" applyBorder="1" applyAlignment="1" applyProtection="1">
      <alignment horizontal="center" vertical="top" wrapText="1"/>
    </xf>
    <xf numFmtId="0" fontId="82" fillId="11" borderId="1" xfId="0" applyFont="1" applyFill="1" applyBorder="1" applyAlignment="1" applyProtection="1">
      <alignment horizontal="right" vertical="top" wrapText="1"/>
    </xf>
    <xf numFmtId="0" fontId="79" fillId="11" borderId="0" xfId="0" applyFont="1" applyFill="1" applyBorder="1" applyAlignment="1" applyProtection="1">
      <alignment vertical="top" wrapText="1"/>
    </xf>
    <xf numFmtId="0" fontId="79" fillId="11" borderId="0" xfId="0" applyFont="1" applyFill="1" applyBorder="1" applyAlignment="1" applyProtection="1">
      <alignment horizontal="right" vertical="top" wrapText="1"/>
    </xf>
    <xf numFmtId="172" fontId="66" fillId="11" borderId="1" xfId="0" applyNumberFormat="1" applyFont="1" applyFill="1" applyBorder="1" applyAlignment="1" applyProtection="1">
      <alignment horizontal="center" vertical="top"/>
    </xf>
    <xf numFmtId="168" fontId="66" fillId="11" borderId="8" xfId="0" applyNumberFormat="1" applyFont="1" applyFill="1" applyBorder="1" applyAlignment="1" applyProtection="1">
      <alignment vertical="top"/>
    </xf>
    <xf numFmtId="172" fontId="66" fillId="11" borderId="1" xfId="0" applyNumberFormat="1" applyFont="1" applyFill="1" applyBorder="1" applyAlignment="1" applyProtection="1">
      <alignment horizontal="right" vertical="top"/>
    </xf>
    <xf numFmtId="10" fontId="99" fillId="11" borderId="0" xfId="3" applyNumberFormat="1" applyFont="1" applyFill="1" applyBorder="1" applyAlignment="1" applyProtection="1">
      <alignment vertical="top"/>
    </xf>
    <xf numFmtId="168" fontId="99" fillId="11" borderId="0" xfId="0" applyNumberFormat="1" applyFont="1" applyFill="1" applyAlignment="1" applyProtection="1">
      <alignment vertical="top"/>
    </xf>
    <xf numFmtId="0" fontId="82" fillId="11" borderId="9" xfId="0" applyFont="1" applyFill="1" applyBorder="1" applyAlignment="1" applyProtection="1">
      <alignment vertical="top"/>
    </xf>
    <xf numFmtId="0" fontId="82" fillId="11" borderId="10" xfId="0" applyFont="1" applyFill="1" applyBorder="1" applyAlignment="1" applyProtection="1">
      <alignment vertical="top"/>
    </xf>
    <xf numFmtId="1" fontId="82" fillId="11" borderId="10" xfId="0" applyNumberFormat="1" applyFont="1" applyFill="1" applyBorder="1" applyAlignment="1" applyProtection="1">
      <alignment vertical="top"/>
    </xf>
    <xf numFmtId="1" fontId="82" fillId="11" borderId="1" xfId="0" applyNumberFormat="1" applyFont="1" applyFill="1" applyBorder="1" applyAlignment="1" applyProtection="1">
      <alignment vertical="top"/>
    </xf>
    <xf numFmtId="171" fontId="85" fillId="11" borderId="1" xfId="0" applyNumberFormat="1" applyFont="1" applyFill="1" applyBorder="1" applyAlignment="1" applyProtection="1">
      <alignment vertical="top"/>
    </xf>
    <xf numFmtId="14" fontId="25" fillId="11" borderId="1" xfId="0" applyNumberFormat="1" applyFont="1" applyFill="1" applyBorder="1" applyAlignment="1" applyProtection="1">
      <alignment vertical="top"/>
    </xf>
    <xf numFmtId="4" fontId="25" fillId="11" borderId="1" xfId="0" applyNumberFormat="1" applyFont="1" applyFill="1" applyBorder="1" applyAlignment="1" applyProtection="1">
      <alignment horizontal="right" vertical="top"/>
    </xf>
    <xf numFmtId="2" fontId="25" fillId="11" borderId="1" xfId="0" applyNumberFormat="1" applyFont="1" applyFill="1" applyBorder="1" applyAlignment="1" applyProtection="1">
      <alignment vertical="top"/>
    </xf>
    <xf numFmtId="1" fontId="25" fillId="11" borderId="1" xfId="0" applyNumberFormat="1" applyFont="1" applyFill="1" applyBorder="1" applyAlignment="1" applyProtection="1">
      <alignment vertical="top"/>
    </xf>
    <xf numFmtId="165" fontId="66" fillId="11" borderId="0" xfId="0" applyNumberFormat="1" applyFont="1" applyFill="1" applyAlignment="1" applyProtection="1">
      <alignment vertical="top"/>
    </xf>
    <xf numFmtId="0" fontId="85" fillId="11" borderId="1" xfId="0" applyFont="1" applyFill="1" applyBorder="1" applyAlignment="1" applyProtection="1">
      <alignment horizontal="left" vertical="top"/>
    </xf>
    <xf numFmtId="10" fontId="25" fillId="11" borderId="1" xfId="3" applyNumberFormat="1" applyFont="1" applyFill="1" applyBorder="1" applyAlignment="1" applyProtection="1">
      <alignment horizontal="right" vertical="top"/>
    </xf>
    <xf numFmtId="10" fontId="25" fillId="11" borderId="1" xfId="3" applyNumberFormat="1" applyFont="1" applyFill="1" applyBorder="1" applyAlignment="1" applyProtection="1">
      <alignment vertical="top"/>
    </xf>
    <xf numFmtId="10" fontId="85" fillId="11" borderId="1" xfId="3" applyNumberFormat="1" applyFont="1" applyFill="1" applyBorder="1" applyAlignment="1" applyProtection="1">
      <alignment vertical="top"/>
    </xf>
    <xf numFmtId="0" fontId="25" fillId="11" borderId="1" xfId="0" applyNumberFormat="1" applyFont="1" applyFill="1" applyBorder="1" applyAlignment="1" applyProtection="1">
      <alignment vertical="top"/>
    </xf>
    <xf numFmtId="0" fontId="66" fillId="11" borderId="0" xfId="0" applyFont="1" applyFill="1" applyBorder="1" applyAlignment="1" applyProtection="1">
      <alignment horizontal="left" vertical="top" wrapText="1"/>
    </xf>
    <xf numFmtId="0" fontId="26" fillId="11" borderId="0" xfId="0" applyFont="1" applyFill="1" applyBorder="1" applyAlignment="1">
      <alignment horizontal="right" vertical="top"/>
    </xf>
    <xf numFmtId="0" fontId="26" fillId="11" borderId="0" xfId="0" applyFont="1" applyFill="1" applyBorder="1" applyAlignment="1">
      <alignment horizontal="center" vertical="top"/>
    </xf>
    <xf numFmtId="0" fontId="100" fillId="11" borderId="0" xfId="0" applyFont="1" applyFill="1" applyAlignment="1" applyProtection="1">
      <alignment vertical="top"/>
    </xf>
    <xf numFmtId="0" fontId="99" fillId="11" borderId="0" xfId="0" applyFont="1" applyFill="1" applyAlignment="1" applyProtection="1">
      <alignment horizontal="right" vertical="top"/>
    </xf>
    <xf numFmtId="166" fontId="101" fillId="11" borderId="1" xfId="0" applyNumberFormat="1" applyFont="1" applyFill="1" applyBorder="1" applyAlignment="1" applyProtection="1">
      <alignment horizontal="right" vertical="top" wrapText="1"/>
    </xf>
    <xf numFmtId="0" fontId="66" fillId="11" borderId="0" xfId="0" applyFont="1" applyFill="1" applyBorder="1" applyAlignment="1" applyProtection="1">
      <alignment horizontal="center" vertical="top"/>
    </xf>
    <xf numFmtId="0" fontId="101" fillId="11" borderId="1" xfId="0" applyFont="1" applyFill="1" applyBorder="1" applyAlignment="1" applyProtection="1">
      <alignment horizontal="center" vertical="top"/>
    </xf>
    <xf numFmtId="3" fontId="102" fillId="11" borderId="1" xfId="0" applyNumberFormat="1" applyFont="1" applyFill="1" applyBorder="1" applyAlignment="1" applyProtection="1">
      <alignment vertical="top"/>
    </xf>
    <xf numFmtId="10" fontId="102" fillId="11" borderId="1" xfId="3" applyNumberFormat="1" applyFont="1" applyFill="1" applyBorder="1" applyAlignment="1" applyProtection="1">
      <alignment vertical="top"/>
    </xf>
    <xf numFmtId="3" fontId="102" fillId="11" borderId="0" xfId="0" applyNumberFormat="1" applyFont="1" applyFill="1" applyBorder="1" applyAlignment="1" applyProtection="1">
      <alignment vertical="top"/>
    </xf>
    <xf numFmtId="166" fontId="82" fillId="11" borderId="0" xfId="0" applyNumberFormat="1" applyFont="1" applyFill="1" applyAlignment="1" applyProtection="1">
      <alignment vertical="top"/>
    </xf>
    <xf numFmtId="9" fontId="102" fillId="11" borderId="0" xfId="3" applyFont="1" applyFill="1" applyBorder="1" applyAlignment="1" applyProtection="1">
      <alignment vertical="top"/>
    </xf>
    <xf numFmtId="0" fontId="66" fillId="11" borderId="0" xfId="0" applyFont="1" applyFill="1" applyBorder="1" applyAlignment="1">
      <alignment horizontal="center" vertical="top"/>
    </xf>
    <xf numFmtId="3" fontId="101" fillId="11" borderId="1" xfId="0" applyNumberFormat="1" applyFont="1" applyFill="1" applyBorder="1" applyAlignment="1" applyProtection="1">
      <alignment vertical="top"/>
    </xf>
    <xf numFmtId="10" fontId="101" fillId="11" borderId="1" xfId="3" applyNumberFormat="1" applyFont="1" applyFill="1" applyBorder="1" applyAlignment="1" applyProtection="1">
      <alignment vertical="top"/>
    </xf>
    <xf numFmtId="3" fontId="101" fillId="11" borderId="0" xfId="0" applyNumberFormat="1" applyFont="1" applyFill="1" applyBorder="1" applyAlignment="1" applyProtection="1">
      <alignment vertical="top"/>
    </xf>
    <xf numFmtId="0" fontId="101" fillId="11" borderId="0" xfId="0" applyFont="1" applyFill="1" applyBorder="1" applyAlignment="1" applyProtection="1">
      <alignment horizontal="center" vertical="top"/>
    </xf>
    <xf numFmtId="10" fontId="101" fillId="11" borderId="0" xfId="3" applyNumberFormat="1" applyFont="1" applyFill="1" applyBorder="1" applyAlignment="1" applyProtection="1">
      <alignment vertical="top"/>
    </xf>
    <xf numFmtId="0" fontId="102" fillId="11" borderId="0" xfId="0" applyFont="1" applyFill="1" applyBorder="1" applyAlignment="1" applyProtection="1">
      <alignment vertical="top"/>
    </xf>
    <xf numFmtId="0" fontId="82" fillId="11" borderId="1" xfId="0" applyFont="1" applyFill="1" applyBorder="1" applyAlignment="1" applyProtection="1">
      <alignment vertical="top"/>
    </xf>
    <xf numFmtId="0" fontId="82" fillId="11" borderId="1" xfId="0" applyFont="1" applyFill="1" applyBorder="1" applyAlignment="1" applyProtection="1">
      <alignment horizontal="center" vertical="top"/>
    </xf>
    <xf numFmtId="0" fontId="102" fillId="11" borderId="1" xfId="0" applyFont="1" applyFill="1" applyBorder="1" applyAlignment="1" applyProtection="1">
      <alignment vertical="top"/>
    </xf>
    <xf numFmtId="171" fontId="82" fillId="11" borderId="1" xfId="0" applyNumberFormat="1" applyFont="1" applyFill="1" applyBorder="1" applyAlignment="1" applyProtection="1">
      <alignment vertical="top"/>
    </xf>
    <xf numFmtId="0" fontId="102" fillId="11" borderId="0" xfId="0" applyFont="1" applyFill="1" applyAlignment="1" applyProtection="1">
      <alignment vertical="top"/>
    </xf>
    <xf numFmtId="166" fontId="79" fillId="11" borderId="0" xfId="0" applyNumberFormat="1" applyFont="1" applyFill="1" applyBorder="1" applyAlignment="1" applyProtection="1">
      <alignment horizontal="right" vertical="top"/>
    </xf>
    <xf numFmtId="0" fontId="79" fillId="11" borderId="0" xfId="0" applyFont="1" applyFill="1" applyBorder="1" applyAlignment="1" applyProtection="1">
      <alignment horizontal="right" vertical="top"/>
    </xf>
    <xf numFmtId="166" fontId="79" fillId="11" borderId="0" xfId="0" applyNumberFormat="1" applyFont="1" applyFill="1" applyBorder="1" applyAlignment="1" applyProtection="1">
      <alignment horizontal="left" vertical="top"/>
    </xf>
    <xf numFmtId="0" fontId="99" fillId="11" borderId="0" xfId="0" applyFont="1" applyFill="1" applyBorder="1" applyAlignment="1" applyProtection="1">
      <alignment horizontal="right" vertical="top"/>
    </xf>
    <xf numFmtId="171" fontId="79" fillId="11" borderId="0" xfId="0" applyNumberFormat="1" applyFont="1" applyFill="1" applyBorder="1" applyAlignment="1" applyProtection="1">
      <alignment vertical="top"/>
    </xf>
    <xf numFmtId="0" fontId="99" fillId="11" borderId="0" xfId="0" applyFont="1" applyFill="1" applyAlignment="1">
      <alignment vertical="top"/>
    </xf>
    <xf numFmtId="0" fontId="66" fillId="11" borderId="1" xfId="0" applyFont="1" applyFill="1" applyBorder="1" applyAlignment="1" applyProtection="1">
      <alignment vertical="top"/>
    </xf>
    <xf numFmtId="3" fontId="102" fillId="5" borderId="10" xfId="0" applyNumberFormat="1" applyFont="1" applyFill="1" applyBorder="1" applyAlignment="1" applyProtection="1">
      <alignment vertical="top"/>
      <protection locked="0"/>
    </xf>
    <xf numFmtId="0" fontId="99" fillId="11" borderId="0" xfId="0" applyFont="1" applyFill="1" applyBorder="1" applyAlignment="1" applyProtection="1">
      <alignment vertical="top"/>
    </xf>
    <xf numFmtId="0" fontId="82" fillId="11" borderId="0" xfId="0" applyFont="1" applyFill="1" applyBorder="1" applyAlignment="1" applyProtection="1">
      <alignment vertical="top"/>
    </xf>
    <xf numFmtId="0" fontId="82" fillId="11" borderId="0" xfId="0" applyFont="1" applyFill="1" applyBorder="1" applyAlignment="1" applyProtection="1">
      <alignment horizontal="center" vertical="top"/>
    </xf>
    <xf numFmtId="166" fontId="82" fillId="11" borderId="0" xfId="0" applyNumberFormat="1" applyFont="1" applyFill="1" applyBorder="1" applyAlignment="1" applyProtection="1">
      <alignment vertical="top"/>
    </xf>
    <xf numFmtId="0" fontId="66" fillId="11" borderId="18" xfId="0" applyFont="1" applyFill="1" applyBorder="1" applyAlignment="1" applyProtection="1">
      <alignment vertical="top"/>
    </xf>
    <xf numFmtId="0" fontId="66" fillId="11" borderId="12" xfId="0" applyFont="1" applyFill="1" applyBorder="1" applyAlignment="1" applyProtection="1">
      <alignment vertical="top"/>
    </xf>
    <xf numFmtId="3" fontId="102" fillId="11" borderId="0" xfId="0" applyNumberFormat="1" applyFont="1" applyFill="1" applyBorder="1" applyAlignment="1" applyProtection="1">
      <alignment vertical="top"/>
      <protection locked="0"/>
    </xf>
    <xf numFmtId="0" fontId="66" fillId="11" borderId="0" xfId="0" applyFont="1" applyFill="1" applyAlignment="1" applyProtection="1">
      <alignment horizontal="center" vertical="top"/>
    </xf>
    <xf numFmtId="9" fontId="102" fillId="5" borderId="10" xfId="3" applyNumberFormat="1" applyFont="1" applyFill="1" applyBorder="1" applyAlignment="1" applyProtection="1">
      <alignment vertical="top"/>
      <protection locked="0"/>
    </xf>
    <xf numFmtId="10" fontId="99" fillId="11" borderId="0" xfId="3" applyNumberFormat="1" applyFont="1" applyFill="1" applyBorder="1" applyAlignment="1" applyProtection="1">
      <alignment horizontal="right" vertical="top"/>
    </xf>
    <xf numFmtId="10" fontId="99" fillId="11" borderId="0" xfId="0" applyNumberFormat="1" applyFont="1" applyFill="1" applyBorder="1" applyAlignment="1" applyProtection="1">
      <alignment horizontal="right" vertical="top"/>
    </xf>
    <xf numFmtId="10" fontId="79" fillId="11" borderId="0" xfId="0" applyNumberFormat="1" applyFont="1" applyFill="1" applyBorder="1" applyAlignment="1" applyProtection="1">
      <alignment horizontal="right" vertical="top"/>
    </xf>
    <xf numFmtId="1" fontId="99" fillId="11" borderId="0" xfId="0" applyNumberFormat="1" applyFont="1" applyFill="1" applyBorder="1" applyAlignment="1" applyProtection="1">
      <alignment horizontal="right" vertical="top"/>
    </xf>
    <xf numFmtId="3" fontId="99" fillId="11" borderId="0" xfId="0" applyNumberFormat="1" applyFont="1" applyFill="1" applyBorder="1" applyAlignment="1" applyProtection="1">
      <alignment horizontal="right" vertical="top"/>
    </xf>
    <xf numFmtId="14" fontId="102" fillId="11" borderId="0" xfId="0" applyNumberFormat="1" applyFont="1" applyFill="1" applyAlignment="1" applyProtection="1">
      <alignment vertical="top"/>
    </xf>
    <xf numFmtId="10" fontId="99" fillId="11" borderId="0" xfId="0" applyNumberFormat="1" applyFont="1" applyFill="1" applyBorder="1" applyAlignment="1" applyProtection="1">
      <alignment vertical="top"/>
    </xf>
    <xf numFmtId="14" fontId="104" fillId="11" borderId="0" xfId="0" applyNumberFormat="1" applyFont="1" applyFill="1" applyAlignment="1" applyProtection="1">
      <alignment vertical="top"/>
    </xf>
    <xf numFmtId="0" fontId="104" fillId="11" borderId="0" xfId="0" applyFont="1" applyFill="1" applyAlignment="1" applyProtection="1">
      <alignment vertical="top"/>
    </xf>
    <xf numFmtId="0" fontId="73" fillId="11" borderId="0" xfId="0" applyFont="1" applyFill="1" applyAlignment="1">
      <alignment vertical="top"/>
    </xf>
    <xf numFmtId="14" fontId="99" fillId="11" borderId="0" xfId="0" applyNumberFormat="1" applyFont="1" applyFill="1" applyAlignment="1" applyProtection="1">
      <alignment vertical="top"/>
    </xf>
    <xf numFmtId="14" fontId="103" fillId="11" borderId="0" xfId="0" applyNumberFormat="1" applyFont="1" applyFill="1" applyAlignment="1" applyProtection="1">
      <alignment vertical="top"/>
    </xf>
    <xf numFmtId="0" fontId="103" fillId="11" borderId="0" xfId="0" applyFont="1" applyFill="1" applyAlignment="1" applyProtection="1">
      <alignment vertical="top"/>
    </xf>
    <xf numFmtId="3" fontId="99" fillId="11" borderId="0" xfId="0" applyNumberFormat="1" applyFont="1" applyFill="1" applyAlignment="1" applyProtection="1">
      <alignment vertical="top"/>
    </xf>
    <xf numFmtId="10" fontId="99" fillId="11" borderId="0" xfId="3" applyNumberFormat="1" applyFont="1" applyFill="1" applyAlignment="1" applyProtection="1">
      <alignment vertical="top"/>
    </xf>
    <xf numFmtId="3" fontId="99" fillId="11" borderId="0" xfId="3" applyNumberFormat="1" applyFont="1" applyFill="1" applyAlignment="1" applyProtection="1">
      <alignment vertical="top"/>
    </xf>
    <xf numFmtId="0" fontId="99" fillId="11" borderId="0" xfId="0" applyNumberFormat="1" applyFont="1" applyFill="1" applyAlignment="1">
      <alignment vertical="top"/>
    </xf>
    <xf numFmtId="10" fontId="66" fillId="11" borderId="0" xfId="0" applyNumberFormat="1" applyFont="1" applyFill="1" applyAlignment="1" applyProtection="1">
      <alignment vertical="top"/>
    </xf>
    <xf numFmtId="172" fontId="99" fillId="11" borderId="0" xfId="0" applyNumberFormat="1" applyFont="1" applyFill="1" applyAlignment="1" applyProtection="1">
      <alignment vertical="top"/>
    </xf>
    <xf numFmtId="0" fontId="73" fillId="11" borderId="0" xfId="0" applyFont="1" applyFill="1" applyAlignment="1" applyProtection="1">
      <alignment vertical="top"/>
    </xf>
    <xf numFmtId="0" fontId="99" fillId="11" borderId="0" xfId="0" applyFont="1" applyFill="1" applyAlignment="1">
      <alignment horizontal="right" vertical="top"/>
    </xf>
    <xf numFmtId="0" fontId="73" fillId="11" borderId="0" xfId="0" applyNumberFormat="1" applyFont="1" applyFill="1" applyAlignment="1">
      <alignment vertical="top"/>
    </xf>
    <xf numFmtId="0" fontId="66" fillId="11" borderId="0" xfId="0" applyNumberFormat="1" applyFont="1" applyFill="1" applyAlignment="1">
      <alignment vertical="top"/>
    </xf>
    <xf numFmtId="166" fontId="102" fillId="5" borderId="1" xfId="0" applyNumberFormat="1" applyFont="1" applyFill="1" applyBorder="1" applyAlignment="1" applyProtection="1">
      <alignment horizontal="right" vertical="top"/>
      <protection locked="0"/>
    </xf>
    <xf numFmtId="0" fontId="95" fillId="17" borderId="109" xfId="0" applyFont="1" applyFill="1" applyBorder="1" applyAlignment="1" applyProtection="1">
      <alignment horizontal="center" vertical="top"/>
    </xf>
    <xf numFmtId="0" fontId="95" fillId="17" borderId="110" xfId="0" applyFont="1" applyFill="1" applyBorder="1" applyAlignment="1" applyProtection="1">
      <alignment horizontal="center" vertical="top"/>
    </xf>
    <xf numFmtId="165" fontId="77" fillId="5" borderId="111" xfId="0" applyNumberFormat="1" applyFont="1" applyFill="1" applyBorder="1" applyAlignment="1" applyProtection="1">
      <alignment vertical="top"/>
      <protection locked="0"/>
    </xf>
    <xf numFmtId="0" fontId="84" fillId="11" borderId="8" xfId="0" applyFont="1" applyFill="1" applyBorder="1" applyAlignment="1" applyProtection="1">
      <alignment vertical="top"/>
    </xf>
    <xf numFmtId="0" fontId="84" fillId="11" borderId="9" xfId="0" applyFont="1" applyFill="1" applyBorder="1" applyAlignment="1" applyProtection="1">
      <alignment vertical="top"/>
    </xf>
    <xf numFmtId="0" fontId="66" fillId="11" borderId="9" xfId="0" applyFont="1" applyFill="1" applyBorder="1" applyAlignment="1" applyProtection="1">
      <alignment vertical="top"/>
    </xf>
    <xf numFmtId="0" fontId="85" fillId="11" borderId="6" xfId="0" applyFont="1" applyFill="1" applyBorder="1" applyAlignment="1" applyProtection="1">
      <alignment horizontal="center" vertical="top"/>
    </xf>
    <xf numFmtId="165" fontId="25" fillId="5" borderId="1" xfId="0" applyNumberFormat="1" applyFont="1" applyFill="1" applyBorder="1" applyAlignment="1" applyProtection="1">
      <alignment horizontal="center" vertical="top"/>
      <protection locked="0"/>
    </xf>
    <xf numFmtId="165" fontId="99" fillId="11" borderId="0" xfId="0" applyNumberFormat="1" applyFont="1" applyFill="1" applyAlignment="1" applyProtection="1">
      <alignment vertical="top"/>
    </xf>
    <xf numFmtId="0" fontId="107" fillId="11" borderId="84" xfId="0" applyFont="1" applyFill="1" applyBorder="1" applyAlignment="1" applyProtection="1">
      <alignment horizontal="left" vertical="top"/>
    </xf>
    <xf numFmtId="167" fontId="109" fillId="11" borderId="0" xfId="0" applyNumberFormat="1" applyFont="1" applyFill="1" applyBorder="1" applyAlignment="1" applyProtection="1">
      <alignment horizontal="right" vertical="top"/>
    </xf>
    <xf numFmtId="2" fontId="99" fillId="11" borderId="0" xfId="0" applyNumberFormat="1" applyFont="1" applyFill="1" applyAlignment="1" applyProtection="1">
      <alignment vertical="top"/>
    </xf>
    <xf numFmtId="9" fontId="66" fillId="11" borderId="0" xfId="0" applyNumberFormat="1" applyFont="1" applyFill="1" applyAlignment="1" applyProtection="1">
      <alignment vertical="top"/>
    </xf>
    <xf numFmtId="0" fontId="110" fillId="11" borderId="0" xfId="0" applyFont="1" applyFill="1" applyAlignment="1">
      <alignment vertical="top"/>
    </xf>
    <xf numFmtId="2" fontId="110" fillId="11" borderId="0" xfId="0" applyNumberFormat="1" applyFont="1" applyFill="1" applyAlignment="1" applyProtection="1">
      <alignment vertical="top"/>
    </xf>
    <xf numFmtId="0" fontId="25" fillId="11" borderId="0" xfId="0" applyFont="1" applyFill="1" applyBorder="1" applyAlignment="1" applyProtection="1">
      <alignment horizontal="center" vertical="top"/>
    </xf>
    <xf numFmtId="0" fontId="86" fillId="11" borderId="0" xfId="0" applyFont="1" applyFill="1" applyAlignment="1" applyProtection="1">
      <alignment vertical="top"/>
    </xf>
    <xf numFmtId="0" fontId="69" fillId="11" borderId="0" xfId="0" applyFont="1" applyFill="1" applyAlignment="1" applyProtection="1">
      <alignment vertical="top"/>
    </xf>
    <xf numFmtId="0" fontId="3" fillId="11" borderId="0" xfId="0" applyFont="1" applyFill="1" applyAlignment="1" applyProtection="1">
      <alignment vertical="top"/>
    </xf>
    <xf numFmtId="0" fontId="95" fillId="17" borderId="97" xfId="0" applyFont="1" applyFill="1" applyBorder="1" applyAlignment="1" applyProtection="1">
      <alignment vertical="top"/>
    </xf>
    <xf numFmtId="0" fontId="106" fillId="17" borderId="98" xfId="0" applyFont="1" applyFill="1" applyBorder="1" applyAlignment="1" applyProtection="1">
      <alignment vertical="top"/>
    </xf>
    <xf numFmtId="0" fontId="3" fillId="11" borderId="106" xfId="0" applyFont="1" applyFill="1" applyBorder="1" applyAlignment="1" applyProtection="1">
      <alignment vertical="top"/>
    </xf>
    <xf numFmtId="0" fontId="3" fillId="11" borderId="107" xfId="0" applyFont="1" applyFill="1" applyBorder="1" applyAlignment="1" applyProtection="1">
      <alignment vertical="top"/>
    </xf>
    <xf numFmtId="0" fontId="4" fillId="19" borderId="99" xfId="0" applyFont="1" applyFill="1" applyBorder="1" applyAlignment="1" applyProtection="1">
      <alignment horizontal="center" vertical="top"/>
    </xf>
    <xf numFmtId="0" fontId="4" fillId="19" borderId="100" xfId="0" applyFont="1" applyFill="1" applyBorder="1" applyAlignment="1" applyProtection="1">
      <alignment horizontal="center" vertical="top"/>
    </xf>
    <xf numFmtId="0" fontId="4" fillId="11" borderId="106" xfId="0" applyFont="1" applyFill="1" applyBorder="1" applyAlignment="1" applyProtection="1">
      <alignment vertical="top"/>
    </xf>
    <xf numFmtId="0" fontId="4" fillId="11" borderId="107" xfId="0" applyFont="1" applyFill="1" applyBorder="1" applyAlignment="1" applyProtection="1">
      <alignment vertical="top"/>
    </xf>
    <xf numFmtId="0" fontId="4" fillId="19" borderId="101" xfId="0" applyFont="1" applyFill="1" applyBorder="1" applyAlignment="1" applyProtection="1">
      <alignment horizontal="left" vertical="top"/>
    </xf>
    <xf numFmtId="0" fontId="4" fillId="19" borderId="102" xfId="0" applyFont="1" applyFill="1" applyBorder="1" applyAlignment="1" applyProtection="1">
      <alignment horizontal="right" vertical="top"/>
    </xf>
    <xf numFmtId="0" fontId="26" fillId="11" borderId="0" xfId="0" applyFont="1" applyFill="1" applyAlignment="1" applyProtection="1">
      <alignment vertical="top"/>
    </xf>
    <xf numFmtId="0" fontId="3" fillId="11" borderId="83" xfId="4" applyNumberFormat="1" applyFont="1" applyFill="1" applyBorder="1" applyAlignment="1" applyProtection="1">
      <alignment vertical="top"/>
    </xf>
    <xf numFmtId="169" fontId="3" fillId="11" borderId="83" xfId="4" applyNumberFormat="1" applyFont="1" applyFill="1" applyBorder="1" applyAlignment="1" applyProtection="1">
      <alignment vertical="top"/>
    </xf>
    <xf numFmtId="0" fontId="3" fillId="5" borderId="83" xfId="0" applyFont="1" applyFill="1" applyBorder="1" applyAlignment="1" applyProtection="1">
      <alignment horizontal="left" vertical="top"/>
      <protection locked="0"/>
    </xf>
    <xf numFmtId="9" fontId="3" fillId="5" borderId="83" xfId="0" applyNumberFormat="1" applyFont="1" applyFill="1" applyBorder="1" applyAlignment="1" applyProtection="1">
      <alignment horizontal="right" vertical="top"/>
      <protection locked="0"/>
    </xf>
    <xf numFmtId="9" fontId="25" fillId="5" borderId="83" xfId="0" applyNumberFormat="1" applyFont="1" applyFill="1" applyBorder="1" applyAlignment="1" applyProtection="1">
      <alignment horizontal="right" vertical="top"/>
      <protection locked="0"/>
    </xf>
    <xf numFmtId="0" fontId="95" fillId="17" borderId="77" xfId="0" applyFont="1" applyFill="1" applyBorder="1" applyAlignment="1" applyProtection="1">
      <alignment vertical="top"/>
    </xf>
    <xf numFmtId="0" fontId="106" fillId="17" borderId="103" xfId="0" applyFont="1" applyFill="1" applyBorder="1" applyAlignment="1" applyProtection="1">
      <alignment vertical="top"/>
    </xf>
    <xf numFmtId="0" fontId="3" fillId="19" borderId="104" xfId="0" applyFont="1" applyFill="1" applyBorder="1" applyAlignment="1" applyProtection="1">
      <alignment vertical="top"/>
    </xf>
    <xf numFmtId="0" fontId="3" fillId="19" borderId="105" xfId="0" applyFont="1" applyFill="1" applyBorder="1" applyAlignment="1" applyProtection="1">
      <alignment horizontal="center" vertical="top"/>
    </xf>
    <xf numFmtId="9" fontId="3" fillId="11" borderId="0" xfId="0" applyNumberFormat="1" applyFont="1" applyFill="1" applyAlignment="1" applyProtection="1">
      <alignment horizontal="right" vertical="top"/>
    </xf>
    <xf numFmtId="0" fontId="66" fillId="11" borderId="106" xfId="0" applyFont="1" applyFill="1" applyBorder="1" applyAlignment="1" applyProtection="1">
      <alignment vertical="top"/>
    </xf>
    <xf numFmtId="0" fontId="66" fillId="11" borderId="107" xfId="0" applyFont="1" applyFill="1" applyBorder="1" applyAlignment="1" applyProtection="1">
      <alignment vertical="top"/>
    </xf>
    <xf numFmtId="14" fontId="66" fillId="11" borderId="0" xfId="0" applyNumberFormat="1" applyFont="1" applyFill="1" applyAlignment="1" applyProtection="1">
      <alignment vertical="top"/>
    </xf>
    <xf numFmtId="0" fontId="85" fillId="11" borderId="6" xfId="0" applyFont="1" applyFill="1" applyBorder="1" applyAlignment="1" applyProtection="1">
      <alignment horizontal="left" vertical="top"/>
    </xf>
    <xf numFmtId="165" fontId="25" fillId="5" borderId="1" xfId="0" applyNumberFormat="1" applyFont="1" applyFill="1" applyBorder="1" applyAlignment="1" applyProtection="1">
      <alignment horizontal="left" vertical="top"/>
      <protection locked="0"/>
    </xf>
    <xf numFmtId="171" fontId="85" fillId="11" borderId="1" xfId="0" applyNumberFormat="1" applyFont="1" applyFill="1" applyBorder="1" applyAlignment="1" applyProtection="1">
      <alignment horizontal="center" vertical="top"/>
    </xf>
    <xf numFmtId="171" fontId="85" fillId="2" borderId="1" xfId="0" applyNumberFormat="1" applyFont="1" applyFill="1" applyBorder="1" applyAlignment="1" applyProtection="1">
      <alignment horizontal="center" vertical="top"/>
    </xf>
    <xf numFmtId="0" fontId="85" fillId="11" borderId="0" xfId="0" applyFont="1" applyFill="1" applyAlignment="1" applyProtection="1">
      <alignment horizontal="center" vertical="top"/>
    </xf>
    <xf numFmtId="165" fontId="25" fillId="11" borderId="0" xfId="0" applyNumberFormat="1" applyFont="1" applyFill="1" applyAlignment="1" applyProtection="1">
      <alignment horizontal="center" vertical="top"/>
    </xf>
    <xf numFmtId="165" fontId="77" fillId="5" borderId="111" xfId="0" applyNumberFormat="1" applyFont="1" applyFill="1" applyBorder="1" applyAlignment="1" applyProtection="1">
      <alignment horizontal="center" vertical="top"/>
      <protection locked="0"/>
    </xf>
    <xf numFmtId="0" fontId="95" fillId="17" borderId="110" xfId="0" applyFont="1" applyFill="1" applyBorder="1" applyAlignment="1" applyProtection="1">
      <alignment horizontal="right" vertical="top"/>
    </xf>
    <xf numFmtId="182" fontId="77" fillId="5" borderId="111" xfId="0" applyNumberFormat="1" applyFont="1" applyFill="1" applyBorder="1" applyAlignment="1" applyProtection="1">
      <alignment horizontal="right" vertical="top"/>
      <protection locked="0"/>
    </xf>
    <xf numFmtId="9" fontId="77" fillId="5" borderId="111" xfId="0" applyNumberFormat="1" applyFont="1" applyFill="1" applyBorder="1" applyAlignment="1" applyProtection="1">
      <alignment horizontal="right" vertical="top"/>
      <protection locked="0"/>
    </xf>
    <xf numFmtId="3" fontId="3" fillId="5" borderId="1" xfId="10" applyNumberFormat="1" applyFont="1" applyFill="1" applyBorder="1" applyAlignment="1" applyProtection="1">
      <alignment horizontal="right" vertical="top" wrapText="1"/>
      <protection locked="0"/>
    </xf>
    <xf numFmtId="3" fontId="3" fillId="11" borderId="1" xfId="1" applyNumberFormat="1" applyFont="1" applyFill="1" applyBorder="1" applyAlignment="1" applyProtection="1">
      <alignment horizontal="right" vertical="top" wrapText="1"/>
    </xf>
    <xf numFmtId="0" fontId="3" fillId="5" borderId="1" xfId="381" applyFont="1" applyFill="1" applyBorder="1" applyAlignment="1" applyProtection="1">
      <alignment horizontal="center" vertical="top" wrapText="1"/>
      <protection locked="0"/>
    </xf>
    <xf numFmtId="0" fontId="3" fillId="11" borderId="1" xfId="1" applyFont="1" applyFill="1" applyBorder="1" applyAlignment="1" applyProtection="1">
      <alignment horizontal="right" vertical="top"/>
    </xf>
    <xf numFmtId="0" fontId="3" fillId="5" borderId="1" xfId="1" applyFont="1" applyFill="1" applyBorder="1" applyAlignment="1" applyProtection="1">
      <alignment horizontal="center" vertical="top" wrapText="1"/>
      <protection locked="0"/>
    </xf>
    <xf numFmtId="0" fontId="93" fillId="11" borderId="1" xfId="699" applyFont="1" applyFill="1" applyBorder="1"/>
    <xf numFmtId="0" fontId="66" fillId="11" borderId="1" xfId="0" applyFont="1" applyFill="1" applyBorder="1"/>
    <xf numFmtId="186" fontId="66" fillId="11" borderId="1" xfId="0" applyNumberFormat="1" applyFont="1" applyFill="1" applyBorder="1"/>
    <xf numFmtId="183" fontId="66" fillId="11" borderId="1" xfId="0" applyNumberFormat="1" applyFont="1" applyFill="1" applyBorder="1"/>
    <xf numFmtId="185" fontId="66" fillId="11" borderId="1" xfId="0" applyNumberFormat="1" applyFont="1" applyFill="1" applyBorder="1"/>
    <xf numFmtId="0" fontId="3" fillId="5" borderId="1" xfId="341" applyFont="1" applyFill="1" applyBorder="1" applyAlignment="1" applyProtection="1">
      <alignment horizontal="left" vertical="top" wrapText="1"/>
      <protection locked="0"/>
    </xf>
    <xf numFmtId="0" fontId="3" fillId="5" borderId="1" xfId="359" applyFont="1" applyFill="1" applyBorder="1" applyAlignment="1" applyProtection="1">
      <alignment horizontal="left" vertical="top" wrapText="1"/>
      <protection locked="0"/>
    </xf>
    <xf numFmtId="0" fontId="3" fillId="5" borderId="1" xfId="371" applyFont="1" applyFill="1" applyBorder="1" applyAlignment="1" applyProtection="1">
      <alignment horizontal="left" vertical="top" wrapText="1"/>
      <protection locked="0"/>
    </xf>
    <xf numFmtId="0" fontId="3" fillId="5" borderId="1" xfId="1" applyFont="1" applyFill="1" applyBorder="1" applyAlignment="1" applyProtection="1">
      <alignment horizontal="left" vertical="top" wrapText="1"/>
      <protection locked="0"/>
    </xf>
    <xf numFmtId="0" fontId="83" fillId="11" borderId="0" xfId="9" applyFont="1" applyFill="1" applyAlignment="1" applyProtection="1">
      <alignment vertical="top"/>
    </xf>
    <xf numFmtId="0" fontId="4" fillId="11" borderId="8" xfId="1" applyFont="1" applyFill="1" applyBorder="1" applyAlignment="1" applyProtection="1">
      <alignment vertical="top"/>
    </xf>
    <xf numFmtId="0" fontId="3" fillId="11" borderId="9" xfId="1" applyFont="1" applyFill="1" applyBorder="1" applyAlignment="1" applyProtection="1">
      <alignment vertical="top"/>
    </xf>
    <xf numFmtId="0" fontId="3" fillId="11" borderId="10" xfId="1" applyFont="1" applyFill="1" applyBorder="1" applyAlignment="1" applyProtection="1">
      <alignment vertical="top"/>
    </xf>
    <xf numFmtId="3" fontId="4" fillId="11" borderId="1" xfId="1" applyNumberFormat="1" applyFont="1" applyFill="1" applyBorder="1" applyAlignment="1" applyProtection="1">
      <alignment vertical="top"/>
    </xf>
    <xf numFmtId="0" fontId="82" fillId="11" borderId="1" xfId="0" applyFont="1" applyFill="1" applyBorder="1" applyAlignment="1" applyProtection="1">
      <alignment horizontal="left" vertical="top" wrapText="1"/>
    </xf>
    <xf numFmtId="0" fontId="3" fillId="11" borderId="0" xfId="1" applyFont="1" applyFill="1" applyAlignment="1" applyProtection="1">
      <alignment vertical="top"/>
    </xf>
    <xf numFmtId="0" fontId="3" fillId="11" borderId="0" xfId="1" applyFont="1" applyFill="1" applyAlignment="1">
      <alignment vertical="top"/>
    </xf>
    <xf numFmtId="0" fontId="3" fillId="11" borderId="1" xfId="1" applyFont="1" applyFill="1" applyBorder="1" applyAlignment="1" applyProtection="1">
      <alignment horizontal="right" vertical="top" wrapText="1"/>
    </xf>
    <xf numFmtId="0" fontId="3" fillId="11" borderId="0" xfId="1" applyFont="1" applyFill="1" applyBorder="1" applyAlignment="1">
      <alignment vertical="top"/>
    </xf>
    <xf numFmtId="0" fontId="3" fillId="11" borderId="0" xfId="1" applyFont="1" applyFill="1" applyBorder="1" applyAlignment="1" applyProtection="1">
      <alignment vertical="top"/>
    </xf>
    <xf numFmtId="0" fontId="35" fillId="11" borderId="0" xfId="1" applyFont="1" applyFill="1" applyBorder="1" applyAlignment="1" applyProtection="1">
      <alignment vertical="top"/>
    </xf>
    <xf numFmtId="0" fontId="35" fillId="11" borderId="0" xfId="1" applyFont="1" applyFill="1" applyAlignment="1" applyProtection="1">
      <alignment vertical="top"/>
    </xf>
    <xf numFmtId="0" fontId="26" fillId="11" borderId="0" xfId="1" applyFont="1" applyFill="1" applyAlignment="1" applyProtection="1">
      <alignment vertical="top"/>
    </xf>
    <xf numFmtId="0" fontId="26" fillId="11" borderId="0" xfId="1" applyFont="1" applyFill="1" applyAlignment="1">
      <alignment vertical="top"/>
    </xf>
    <xf numFmtId="0" fontId="25" fillId="11" borderId="0" xfId="1" applyFont="1" applyFill="1" applyBorder="1" applyAlignment="1">
      <alignment vertical="top"/>
    </xf>
    <xf numFmtId="0" fontId="25" fillId="11" borderId="0" xfId="1" applyFont="1" applyFill="1" applyAlignment="1">
      <alignment vertical="top"/>
    </xf>
    <xf numFmtId="9" fontId="3" fillId="11" borderId="1" xfId="1" applyNumberFormat="1" applyFont="1" applyFill="1" applyBorder="1" applyAlignment="1" applyProtection="1">
      <alignment horizontal="right" vertical="top" wrapText="1"/>
    </xf>
    <xf numFmtId="14" fontId="3" fillId="5" borderId="1" xfId="381" applyNumberFormat="1" applyFont="1" applyFill="1" applyBorder="1" applyAlignment="1" applyProtection="1">
      <alignment horizontal="center" vertical="top" wrapText="1"/>
      <protection locked="0"/>
    </xf>
    <xf numFmtId="0" fontId="3" fillId="5" borderId="1" xfId="381" applyFont="1" applyFill="1" applyBorder="1" applyAlignment="1" applyProtection="1">
      <alignment horizontal="left" vertical="top" wrapText="1"/>
      <protection locked="0"/>
    </xf>
    <xf numFmtId="14" fontId="3" fillId="5" borderId="1" xfId="381" applyNumberFormat="1" applyFont="1" applyFill="1" applyBorder="1" applyAlignment="1" applyProtection="1">
      <alignment horizontal="left" vertical="top" wrapText="1"/>
      <protection locked="0"/>
    </xf>
    <xf numFmtId="14" fontId="3" fillId="5" borderId="1" xfId="1" applyNumberFormat="1" applyFont="1" applyFill="1" applyBorder="1" applyAlignment="1" applyProtection="1">
      <alignment horizontal="left" vertical="top" wrapText="1"/>
      <protection locked="0"/>
    </xf>
    <xf numFmtId="0" fontId="3" fillId="11" borderId="0" xfId="1" applyFont="1" applyFill="1" applyBorder="1" applyAlignment="1" applyProtection="1">
      <alignment vertical="top" wrapText="1"/>
    </xf>
    <xf numFmtId="0" fontId="3" fillId="11" borderId="0" xfId="0" applyFont="1" applyFill="1" applyBorder="1" applyAlignment="1" applyProtection="1">
      <alignment vertical="top" wrapText="1"/>
    </xf>
    <xf numFmtId="0" fontId="3" fillId="11" borderId="0" xfId="10" applyNumberFormat="1" applyFont="1" applyFill="1" applyBorder="1" applyAlignment="1" applyProtection="1">
      <alignment vertical="top"/>
    </xf>
    <xf numFmtId="0" fontId="3" fillId="11" borderId="0" xfId="3" applyNumberFormat="1" applyFont="1" applyFill="1" applyBorder="1" applyAlignment="1" applyProtection="1">
      <alignment vertical="top"/>
    </xf>
    <xf numFmtId="3" fontId="3" fillId="11" borderId="0" xfId="1" applyNumberFormat="1" applyFont="1" applyFill="1" applyBorder="1" applyAlignment="1" applyProtection="1">
      <alignment horizontal="right" vertical="top" wrapText="1"/>
    </xf>
    <xf numFmtId="9" fontId="3" fillId="11" borderId="0" xfId="3" applyFont="1" applyFill="1" applyBorder="1" applyAlignment="1" applyProtection="1">
      <alignment vertical="top"/>
    </xf>
    <xf numFmtId="165" fontId="3" fillId="11" borderId="0" xfId="1" applyNumberFormat="1" applyFont="1" applyFill="1" applyBorder="1" applyAlignment="1" applyProtection="1">
      <alignment vertical="top"/>
    </xf>
    <xf numFmtId="0" fontId="37" fillId="18" borderId="75" xfId="0" applyFont="1" applyFill="1" applyBorder="1" applyAlignment="1">
      <alignment horizontal="left" vertical="top"/>
    </xf>
    <xf numFmtId="0" fontId="37" fillId="18" borderId="79" xfId="0" applyFont="1" applyFill="1" applyBorder="1" applyAlignment="1">
      <alignment horizontal="left" vertical="top"/>
    </xf>
    <xf numFmtId="0" fontId="37" fillId="18" borderId="76" xfId="0" applyFont="1" applyFill="1" applyBorder="1" applyAlignment="1">
      <alignment horizontal="right" vertical="top" wrapText="1"/>
    </xf>
    <xf numFmtId="0" fontId="37" fillId="18" borderId="77" xfId="0" applyFont="1" applyFill="1" applyBorder="1" applyAlignment="1">
      <alignment horizontal="right" vertical="top" wrapText="1"/>
    </xf>
    <xf numFmtId="0" fontId="0" fillId="11" borderId="0" xfId="0" applyFill="1" applyAlignment="1">
      <alignment horizontal="left" vertical="top"/>
    </xf>
    <xf numFmtId="0" fontId="18" fillId="11" borderId="0" xfId="0" applyFont="1" applyFill="1" applyBorder="1" applyAlignment="1">
      <alignment horizontal="left" vertical="top"/>
    </xf>
    <xf numFmtId="0" fontId="0" fillId="11" borderId="0" xfId="0" applyFill="1" applyBorder="1" applyAlignment="1">
      <alignment horizontal="left" vertical="top"/>
    </xf>
    <xf numFmtId="0" fontId="0" fillId="11" borderId="0" xfId="0" applyFill="1" applyAlignment="1">
      <alignment horizontal="right" vertical="top"/>
    </xf>
    <xf numFmtId="0" fontId="0" fillId="11" borderId="0" xfId="0" applyFill="1" applyBorder="1" applyAlignment="1">
      <alignment horizontal="right" vertical="top"/>
    </xf>
    <xf numFmtId="166" fontId="82" fillId="5" borderId="8" xfId="0" applyNumberFormat="1" applyFont="1" applyFill="1" applyBorder="1" applyAlignment="1" applyProtection="1">
      <alignment horizontal="center" vertical="top" textRotation="90" wrapText="1"/>
      <protection locked="0"/>
    </xf>
    <xf numFmtId="0" fontId="82" fillId="11" borderId="8" xfId="0" applyFont="1" applyFill="1" applyBorder="1" applyAlignment="1" applyProtection="1">
      <alignment vertical="top"/>
    </xf>
    <xf numFmtId="0" fontId="82" fillId="11" borderId="111" xfId="0" applyFont="1" applyFill="1" applyBorder="1" applyAlignment="1" applyProtection="1">
      <alignment vertical="top"/>
    </xf>
    <xf numFmtId="166" fontId="25" fillId="11" borderId="1" xfId="0" applyNumberFormat="1" applyFont="1" applyFill="1" applyBorder="1" applyAlignment="1" applyProtection="1">
      <alignment horizontal="center" vertical="top" wrapText="1"/>
    </xf>
    <xf numFmtId="167" fontId="25" fillId="11" borderId="1" xfId="0" applyNumberFormat="1" applyFont="1" applyFill="1" applyBorder="1" applyAlignment="1" applyProtection="1">
      <alignment horizontal="center" vertical="top" wrapText="1"/>
    </xf>
    <xf numFmtId="167" fontId="25" fillId="11" borderId="6" xfId="0" applyNumberFormat="1" applyFont="1" applyFill="1" applyBorder="1" applyAlignment="1" applyProtection="1">
      <alignment horizontal="center" vertical="top" wrapText="1"/>
    </xf>
    <xf numFmtId="181" fontId="66" fillId="11" borderId="0" xfId="0" applyNumberFormat="1" applyFont="1" applyFill="1" applyAlignment="1">
      <alignment vertical="top"/>
    </xf>
    <xf numFmtId="171" fontId="82" fillId="11" borderId="1" xfId="0" applyNumberFormat="1" applyFont="1" applyFill="1" applyBorder="1" applyAlignment="1" applyProtection="1">
      <alignment horizontal="center" vertical="top"/>
    </xf>
    <xf numFmtId="171" fontId="112" fillId="11" borderId="1" xfId="0" applyNumberFormat="1" applyFont="1" applyFill="1" applyBorder="1" applyAlignment="1" applyProtection="1">
      <alignment horizontal="center" vertical="top"/>
    </xf>
    <xf numFmtId="0" fontId="85" fillId="11" borderId="6" xfId="0" applyFont="1" applyFill="1" applyBorder="1" applyAlignment="1">
      <alignment horizontal="left" vertical="top" wrapText="1"/>
    </xf>
    <xf numFmtId="0" fontId="25" fillId="11" borderId="0" xfId="0" applyFont="1" applyFill="1" applyBorder="1" applyAlignment="1">
      <alignment horizontal="left" vertical="top" wrapText="1"/>
    </xf>
    <xf numFmtId="0" fontId="85" fillId="11" borderId="12" xfId="0" applyFont="1" applyFill="1" applyBorder="1" applyAlignment="1">
      <alignment vertical="top" wrapText="1"/>
    </xf>
    <xf numFmtId="0" fontId="85" fillId="11" borderId="1" xfId="0" applyFont="1" applyFill="1" applyBorder="1" applyAlignment="1">
      <alignment horizontal="left" vertical="top" wrapText="1"/>
    </xf>
    <xf numFmtId="0" fontId="85" fillId="11" borderId="8" xfId="0" applyFont="1" applyFill="1" applyBorder="1" applyAlignment="1">
      <alignment vertical="top" wrapText="1"/>
    </xf>
    <xf numFmtId="14" fontId="102" fillId="11" borderId="0" xfId="0" applyNumberFormat="1" applyFont="1" applyFill="1" applyAlignment="1">
      <alignment vertical="top"/>
    </xf>
    <xf numFmtId="0" fontId="25" fillId="11" borderId="1" xfId="0" applyFont="1" applyFill="1" applyBorder="1" applyAlignment="1">
      <alignment vertical="top"/>
    </xf>
    <xf numFmtId="0" fontId="102" fillId="11" borderId="0" xfId="0" applyFont="1" applyFill="1" applyAlignment="1">
      <alignment vertical="top"/>
    </xf>
    <xf numFmtId="0" fontId="25" fillId="11" borderId="0" xfId="0" applyFont="1" applyFill="1" applyAlignment="1">
      <alignment vertical="top"/>
    </xf>
    <xf numFmtId="0" fontId="85" fillId="11" borderId="6" xfId="0" applyFont="1" applyFill="1" applyBorder="1" applyAlignment="1">
      <alignment horizontal="right" vertical="top"/>
    </xf>
    <xf numFmtId="0" fontId="85" fillId="11" borderId="6" xfId="0" applyFont="1" applyFill="1" applyBorder="1" applyAlignment="1">
      <alignment horizontal="center" vertical="top"/>
    </xf>
    <xf numFmtId="0" fontId="85" fillId="11" borderId="0" xfId="0" applyFont="1" applyFill="1" applyBorder="1" applyAlignment="1">
      <alignment vertical="top"/>
    </xf>
    <xf numFmtId="3" fontId="25" fillId="11" borderId="1" xfId="0" applyNumberFormat="1" applyFont="1" applyFill="1" applyBorder="1" applyAlignment="1">
      <alignment vertical="top"/>
    </xf>
    <xf numFmtId="10" fontId="25" fillId="11" borderId="1" xfId="3" applyNumberFormat="1" applyFont="1" applyFill="1" applyBorder="1" applyAlignment="1">
      <alignment horizontal="right" vertical="top"/>
    </xf>
    <xf numFmtId="166" fontId="3" fillId="11" borderId="1" xfId="0" applyNumberFormat="1" applyFont="1" applyFill="1" applyBorder="1" applyAlignment="1">
      <alignment horizontal="center" vertical="top" wrapText="1"/>
    </xf>
    <xf numFmtId="3" fontId="85" fillId="11" borderId="1" xfId="0" applyNumberFormat="1" applyFont="1" applyFill="1" applyBorder="1" applyAlignment="1">
      <alignment vertical="top"/>
    </xf>
    <xf numFmtId="10" fontId="85" fillId="11" borderId="1" xfId="3" applyNumberFormat="1" applyFont="1" applyFill="1" applyBorder="1" applyAlignment="1">
      <alignment horizontal="right" vertical="top"/>
    </xf>
    <xf numFmtId="166" fontId="4" fillId="11" borderId="1" xfId="0" applyNumberFormat="1" applyFont="1" applyFill="1" applyBorder="1" applyAlignment="1">
      <alignment horizontal="center" vertical="top" wrapText="1"/>
    </xf>
    <xf numFmtId="10" fontId="85" fillId="11" borderId="1" xfId="3" applyNumberFormat="1" applyFont="1" applyFill="1" applyBorder="1" applyAlignment="1">
      <alignment vertical="top"/>
    </xf>
    <xf numFmtId="0" fontId="82" fillId="11" borderId="1" xfId="0" applyFont="1" applyFill="1" applyBorder="1" applyAlignment="1">
      <alignment vertical="top"/>
    </xf>
    <xf numFmtId="10" fontId="85" fillId="11" borderId="0" xfId="3" applyNumberFormat="1" applyFont="1" applyFill="1" applyBorder="1" applyAlignment="1">
      <alignment vertical="top"/>
    </xf>
    <xf numFmtId="0" fontId="82" fillId="11" borderId="0" xfId="0" applyFont="1" applyFill="1" applyBorder="1" applyAlignment="1">
      <alignment vertical="top"/>
    </xf>
    <xf numFmtId="166" fontId="4" fillId="11" borderId="0" xfId="0" applyNumberFormat="1" applyFont="1" applyFill="1" applyBorder="1" applyAlignment="1">
      <alignment horizontal="center" vertical="top" wrapText="1"/>
    </xf>
    <xf numFmtId="0" fontId="82" fillId="11" borderId="1" xfId="0" applyFont="1" applyFill="1" applyBorder="1" applyAlignment="1">
      <alignment horizontal="right" vertical="top"/>
    </xf>
    <xf numFmtId="4" fontId="85" fillId="11" borderId="1" xfId="0" applyNumberFormat="1" applyFont="1" applyFill="1" applyBorder="1" applyAlignment="1">
      <alignment vertical="top"/>
    </xf>
    <xf numFmtId="3" fontId="85" fillId="11" borderId="0" xfId="0" applyNumberFormat="1" applyFont="1" applyFill="1" applyBorder="1" applyAlignment="1">
      <alignment vertical="top"/>
    </xf>
    <xf numFmtId="10" fontId="85" fillId="11" borderId="0" xfId="3" applyNumberFormat="1" applyFont="1" applyFill="1" applyBorder="1" applyAlignment="1">
      <alignment horizontal="right" vertical="top"/>
    </xf>
    <xf numFmtId="4" fontId="85" fillId="11" borderId="0" xfId="0" applyNumberFormat="1" applyFont="1" applyFill="1" applyBorder="1" applyAlignment="1">
      <alignment vertical="top"/>
    </xf>
    <xf numFmtId="0" fontId="85" fillId="11" borderId="1" xfId="0" applyFont="1" applyFill="1" applyBorder="1" applyAlignment="1">
      <alignment horizontal="right" vertical="top" wrapText="1"/>
    </xf>
    <xf numFmtId="0" fontId="85" fillId="11" borderId="1" xfId="0" applyFont="1" applyFill="1" applyBorder="1" applyAlignment="1">
      <alignment horizontal="right" vertical="top"/>
    </xf>
    <xf numFmtId="167" fontId="85" fillId="11" borderId="6" xfId="0" applyNumberFormat="1" applyFont="1" applyFill="1" applyBorder="1" applyAlignment="1">
      <alignment horizontal="center" vertical="top"/>
    </xf>
    <xf numFmtId="168" fontId="25" fillId="11" borderId="1" xfId="0" applyNumberFormat="1" applyFont="1" applyFill="1" applyBorder="1" applyAlignment="1">
      <alignment horizontal="center" vertical="top"/>
    </xf>
    <xf numFmtId="167" fontId="113" fillId="11" borderId="1" xfId="0" applyNumberFormat="1" applyFont="1" applyFill="1" applyBorder="1" applyAlignment="1">
      <alignment vertical="top" wrapText="1"/>
    </xf>
    <xf numFmtId="165" fontId="113" fillId="11" borderId="1" xfId="0" applyNumberFormat="1" applyFont="1" applyFill="1" applyBorder="1" applyAlignment="1">
      <alignment horizontal="center" vertical="top" wrapText="1"/>
    </xf>
    <xf numFmtId="166" fontId="85" fillId="5" borderId="12" xfId="0" applyNumberFormat="1" applyFont="1" applyFill="1" applyBorder="1" applyAlignment="1">
      <alignment horizontal="center" vertical="top" textRotation="90" wrapText="1"/>
    </xf>
    <xf numFmtId="166" fontId="85" fillId="5" borderId="8" xfId="0" applyNumberFormat="1" applyFont="1" applyFill="1" applyBorder="1" applyAlignment="1">
      <alignment horizontal="center" vertical="top" textRotation="90" wrapText="1"/>
    </xf>
    <xf numFmtId="167" fontId="85" fillId="11" borderId="6" xfId="0" applyNumberFormat="1" applyFont="1" applyFill="1" applyBorder="1" applyAlignment="1">
      <alignment horizontal="left" vertical="top"/>
    </xf>
    <xf numFmtId="167" fontId="25" fillId="11" borderId="1" xfId="0" applyNumberFormat="1" applyFont="1" applyFill="1" applyBorder="1" applyAlignment="1">
      <alignment horizontal="left" vertical="top"/>
    </xf>
    <xf numFmtId="167" fontId="113" fillId="11" borderId="1" xfId="0" applyNumberFormat="1" applyFont="1" applyFill="1" applyBorder="1" applyAlignment="1">
      <alignment horizontal="right" vertical="top" wrapText="1"/>
    </xf>
    <xf numFmtId="9" fontId="90" fillId="11" borderId="2" xfId="3" applyNumberFormat="1" applyFont="1" applyFill="1" applyBorder="1" applyAlignment="1" applyProtection="1">
      <alignment horizontal="right" vertical="top" wrapText="1"/>
    </xf>
    <xf numFmtId="167" fontId="113" fillId="11" borderId="1" xfId="0" applyNumberFormat="1" applyFont="1" applyFill="1" applyBorder="1" applyAlignment="1">
      <alignment horizontal="left" vertical="top" wrapText="1"/>
    </xf>
    <xf numFmtId="0" fontId="112" fillId="11" borderId="0" xfId="0" applyFont="1" applyFill="1" applyAlignment="1">
      <alignment vertical="top"/>
    </xf>
    <xf numFmtId="14" fontId="73" fillId="11" borderId="0" xfId="0" applyNumberFormat="1" applyFont="1" applyFill="1" applyAlignment="1">
      <alignment vertical="top"/>
    </xf>
    <xf numFmtId="0" fontId="112" fillId="11" borderId="0" xfId="0" applyFont="1" applyFill="1" applyAlignment="1">
      <alignment horizontal="right" vertical="top"/>
    </xf>
    <xf numFmtId="0" fontId="4" fillId="11" borderId="0" xfId="736" applyFont="1" applyFill="1" applyBorder="1" applyAlignment="1" applyProtection="1">
      <alignment horizontal="right" vertical="top"/>
    </xf>
    <xf numFmtId="0" fontId="104" fillId="11" borderId="0" xfId="0" applyFont="1" applyFill="1" applyAlignment="1">
      <alignment vertical="top"/>
    </xf>
    <xf numFmtId="167" fontId="25" fillId="11" borderId="6" xfId="0" applyNumberFormat="1" applyFont="1" applyFill="1" applyBorder="1" applyAlignment="1">
      <alignment vertical="top"/>
    </xf>
    <xf numFmtId="9" fontId="85" fillId="11" borderId="0" xfId="3" applyFont="1" applyFill="1" applyBorder="1" applyAlignment="1">
      <alignment vertical="top"/>
    </xf>
    <xf numFmtId="0" fontId="85" fillId="11" borderId="6" xfId="0" applyFont="1" applyFill="1" applyBorder="1" applyAlignment="1">
      <alignment horizontal="right" vertical="top" wrapText="1"/>
    </xf>
    <xf numFmtId="172" fontId="85" fillId="11" borderId="1" xfId="0" applyNumberFormat="1" applyFont="1" applyFill="1" applyBorder="1" applyAlignment="1">
      <alignment horizontal="right" vertical="top"/>
    </xf>
    <xf numFmtId="172" fontId="25" fillId="11" borderId="1" xfId="0" applyNumberFormat="1" applyFont="1" applyFill="1" applyBorder="1" applyAlignment="1">
      <alignment horizontal="right" vertical="top"/>
    </xf>
    <xf numFmtId="172" fontId="3" fillId="11" borderId="1" xfId="0" applyNumberFormat="1" applyFont="1" applyFill="1" applyBorder="1" applyAlignment="1">
      <alignment horizontal="right" vertical="top" wrapText="1"/>
    </xf>
    <xf numFmtId="3" fontId="85" fillId="11" borderId="1" xfId="0" applyNumberFormat="1" applyFont="1" applyFill="1" applyBorder="1" applyAlignment="1">
      <alignment horizontal="right" vertical="top"/>
    </xf>
    <xf numFmtId="10" fontId="25" fillId="11" borderId="1" xfId="0" applyNumberFormat="1" applyFont="1" applyFill="1" applyBorder="1" applyAlignment="1">
      <alignment horizontal="right" vertical="top"/>
    </xf>
    <xf numFmtId="0" fontId="113" fillId="0" borderId="0" xfId="0" applyFont="1" applyFill="1" applyBorder="1" applyAlignment="1">
      <alignment horizontal="left" vertical="top" wrapText="1"/>
    </xf>
    <xf numFmtId="0" fontId="66" fillId="18" borderId="91" xfId="0" applyFont="1" applyFill="1" applyBorder="1" applyAlignment="1">
      <alignment vertical="top"/>
    </xf>
    <xf numFmtId="0" fontId="66" fillId="18" borderId="92" xfId="0" applyFont="1" applyFill="1" applyBorder="1" applyAlignment="1">
      <alignment vertical="top"/>
    </xf>
    <xf numFmtId="0" fontId="66" fillId="18" borderId="93" xfId="0" applyFont="1" applyFill="1" applyBorder="1" applyAlignment="1">
      <alignment vertical="top"/>
    </xf>
    <xf numFmtId="0" fontId="66" fillId="18" borderId="107" xfId="0" applyFont="1" applyFill="1" applyBorder="1" applyAlignment="1">
      <alignment vertical="top"/>
    </xf>
    <xf numFmtId="0" fontId="66" fillId="18" borderId="0" xfId="0" applyFont="1" applyFill="1" applyBorder="1" applyAlignment="1">
      <alignment vertical="top"/>
    </xf>
    <xf numFmtId="0" fontId="66" fillId="18" borderId="106" xfId="0" applyFont="1" applyFill="1" applyBorder="1" applyAlignment="1">
      <alignment vertical="top"/>
    </xf>
    <xf numFmtId="0" fontId="66" fillId="0" borderId="0" xfId="0" applyFont="1" applyFill="1" applyAlignment="1">
      <alignment vertical="top"/>
    </xf>
    <xf numFmtId="0" fontId="66" fillId="18" borderId="94" xfId="0" applyFont="1" applyFill="1" applyBorder="1" applyAlignment="1">
      <alignment vertical="top"/>
    </xf>
    <xf numFmtId="0" fontId="66" fillId="18" borderId="95" xfId="0" applyFont="1" applyFill="1" applyBorder="1" applyAlignment="1">
      <alignment vertical="top"/>
    </xf>
    <xf numFmtId="0" fontId="66" fillId="18" borderId="96" xfId="0" applyFont="1" applyFill="1" applyBorder="1" applyAlignment="1">
      <alignment vertical="top"/>
    </xf>
    <xf numFmtId="0" fontId="84" fillId="0" borderId="0" xfId="0" applyFont="1" applyFill="1" applyBorder="1" applyAlignment="1">
      <alignment vertical="top"/>
    </xf>
    <xf numFmtId="167" fontId="66" fillId="0" borderId="0" xfId="0" applyNumberFormat="1" applyFont="1" applyFill="1" applyAlignment="1">
      <alignment vertical="top"/>
    </xf>
    <xf numFmtId="167" fontId="84" fillId="0" borderId="13" xfId="0" applyNumberFormat="1" applyFont="1" applyFill="1" applyBorder="1" applyAlignment="1">
      <alignment horizontal="center" vertical="top"/>
    </xf>
    <xf numFmtId="167" fontId="84" fillId="0" borderId="0" xfId="0" applyNumberFormat="1" applyFont="1" applyFill="1" applyBorder="1" applyAlignment="1">
      <alignment horizontal="center" vertical="top"/>
    </xf>
    <xf numFmtId="165" fontId="65" fillId="0" borderId="13" xfId="0" applyNumberFormat="1" applyFont="1" applyFill="1" applyBorder="1" applyAlignment="1">
      <alignment horizontal="center" vertical="top"/>
    </xf>
    <xf numFmtId="166" fontId="4" fillId="0" borderId="9" xfId="0" applyNumberFormat="1" applyFont="1" applyFill="1" applyBorder="1" applyAlignment="1">
      <alignment horizontal="center" vertical="top" wrapText="1"/>
    </xf>
    <xf numFmtId="165" fontId="65" fillId="0" borderId="9" xfId="0" applyNumberFormat="1" applyFont="1" applyFill="1" applyBorder="1" applyAlignment="1">
      <alignment horizontal="center" vertical="top"/>
    </xf>
    <xf numFmtId="0" fontId="85" fillId="0" borderId="6" xfId="0" applyFont="1" applyFill="1" applyBorder="1" applyAlignment="1">
      <alignment horizontal="right" vertical="top"/>
    </xf>
    <xf numFmtId="0" fontId="85" fillId="0" borderId="6" xfId="0" applyFont="1" applyFill="1" applyBorder="1" applyAlignment="1">
      <alignment horizontal="center" vertical="top"/>
    </xf>
    <xf numFmtId="175" fontId="25" fillId="0" borderId="1" xfId="0" applyNumberFormat="1" applyFont="1" applyFill="1" applyBorder="1" applyAlignment="1">
      <alignment vertical="top"/>
    </xf>
    <xf numFmtId="176" fontId="25" fillId="0" borderId="1" xfId="3" applyNumberFormat="1" applyFont="1" applyFill="1" applyBorder="1" applyAlignment="1">
      <alignment horizontal="right" vertical="top"/>
    </xf>
    <xf numFmtId="166" fontId="4" fillId="0" borderId="1" xfId="0" applyNumberFormat="1" applyFont="1" applyFill="1" applyBorder="1" applyAlignment="1">
      <alignment horizontal="center" vertical="top" wrapText="1"/>
    </xf>
    <xf numFmtId="175" fontId="85" fillId="0" borderId="1" xfId="0" applyNumberFormat="1" applyFont="1" applyFill="1" applyBorder="1" applyAlignment="1">
      <alignment horizontal="center" vertical="top"/>
    </xf>
    <xf numFmtId="175" fontId="85" fillId="0" borderId="1" xfId="0" applyNumberFormat="1" applyFont="1" applyFill="1" applyBorder="1" applyAlignment="1">
      <alignment vertical="top"/>
    </xf>
    <xf numFmtId="176" fontId="85" fillId="0" borderId="1" xfId="3" applyNumberFormat="1" applyFont="1" applyFill="1" applyBorder="1" applyAlignment="1">
      <alignment horizontal="right" vertical="top"/>
    </xf>
    <xf numFmtId="0" fontId="25" fillId="0" borderId="0" xfId="0" applyFont="1" applyFill="1" applyAlignment="1">
      <alignment vertical="top"/>
    </xf>
    <xf numFmtId="0" fontId="85" fillId="0" borderId="1" xfId="0" applyFont="1" applyFill="1" applyBorder="1" applyAlignment="1">
      <alignment horizontal="center" vertical="top"/>
    </xf>
    <xf numFmtId="165" fontId="25" fillId="0" borderId="1" xfId="0" applyNumberFormat="1" applyFont="1" applyFill="1" applyBorder="1" applyAlignment="1">
      <alignment horizontal="center" vertical="top"/>
    </xf>
    <xf numFmtId="0" fontId="114" fillId="11" borderId="0" xfId="0" applyFont="1" applyFill="1" applyAlignment="1">
      <alignment vertical="top"/>
    </xf>
    <xf numFmtId="0" fontId="113" fillId="11" borderId="0" xfId="0" applyFont="1" applyFill="1" applyAlignment="1">
      <alignment vertical="top"/>
    </xf>
    <xf numFmtId="167" fontId="84" fillId="0" borderId="13" xfId="0" applyNumberFormat="1" applyFont="1" applyFill="1" applyBorder="1" applyAlignment="1">
      <alignment horizontal="left" vertical="top"/>
    </xf>
    <xf numFmtId="167" fontId="65" fillId="0" borderId="13" xfId="0" applyNumberFormat="1" applyFont="1" applyFill="1" applyBorder="1" applyAlignment="1">
      <alignment horizontal="left" vertical="top"/>
    </xf>
    <xf numFmtId="167" fontId="65" fillId="0" borderId="9" xfId="0" applyNumberFormat="1" applyFont="1" applyFill="1" applyBorder="1" applyAlignment="1">
      <alignment horizontal="left" vertical="top"/>
    </xf>
    <xf numFmtId="0" fontId="85" fillId="0" borderId="1" xfId="0" applyFont="1" applyFill="1" applyBorder="1" applyAlignment="1">
      <alignment horizontal="right" vertical="top"/>
    </xf>
    <xf numFmtId="0" fontId="25" fillId="0" borderId="1" xfId="0" applyFont="1" applyFill="1" applyBorder="1" applyAlignment="1">
      <alignment horizontal="right" vertical="top"/>
    </xf>
    <xf numFmtId="9" fontId="25" fillId="0" borderId="1" xfId="0" applyNumberFormat="1" applyFont="1" applyFill="1" applyBorder="1" applyAlignment="1">
      <alignment horizontal="right" vertical="top"/>
    </xf>
    <xf numFmtId="0" fontId="85" fillId="0" borderId="1" xfId="0" applyFont="1" applyFill="1" applyBorder="1" applyAlignment="1">
      <alignment horizontal="left" vertical="top"/>
    </xf>
    <xf numFmtId="0" fontId="25" fillId="0" borderId="1" xfId="0" applyFont="1" applyFill="1" applyBorder="1" applyAlignment="1">
      <alignment horizontal="left" vertical="top"/>
    </xf>
    <xf numFmtId="0" fontId="25" fillId="0" borderId="0" xfId="0" applyFont="1" applyFill="1" applyAlignment="1">
      <alignment horizontal="left" vertical="top"/>
    </xf>
    <xf numFmtId="0" fontId="66" fillId="0" borderId="0" xfId="0" applyFont="1" applyFill="1" applyAlignment="1">
      <alignment horizontal="left" vertical="top"/>
    </xf>
    <xf numFmtId="0" fontId="65" fillId="0" borderId="0" xfId="0" applyFont="1" applyFill="1" applyBorder="1" applyAlignment="1">
      <alignment horizontal="left" vertical="top"/>
    </xf>
    <xf numFmtId="0" fontId="65" fillId="0" borderId="0" xfId="0" applyFont="1" applyFill="1" applyAlignment="1">
      <alignment vertical="top"/>
    </xf>
    <xf numFmtId="166" fontId="63" fillId="0" borderId="13" xfId="0" applyNumberFormat="1" applyFont="1" applyFill="1" applyBorder="1" applyAlignment="1">
      <alignment horizontal="center" vertical="top" wrapText="1"/>
    </xf>
    <xf numFmtId="3" fontId="25" fillId="0" borderId="1" xfId="0" applyNumberFormat="1" applyFont="1" applyFill="1" applyBorder="1" applyAlignment="1">
      <alignment horizontal="right" vertical="top"/>
    </xf>
    <xf numFmtId="0" fontId="115" fillId="16" borderId="1" xfId="0" applyFont="1" applyFill="1" applyBorder="1" applyAlignment="1">
      <alignment vertical="top" wrapText="1"/>
    </xf>
    <xf numFmtId="0" fontId="112" fillId="0" borderId="0" xfId="0" applyFont="1" applyAlignment="1">
      <alignment vertical="top" wrapText="1"/>
    </xf>
    <xf numFmtId="0" fontId="73" fillId="0" borderId="1" xfId="0" applyFont="1" applyBorder="1" applyAlignment="1">
      <alignment vertical="top" wrapText="1"/>
    </xf>
    <xf numFmtId="0" fontId="73" fillId="0" borderId="1" xfId="0" applyFont="1" applyBorder="1" applyAlignment="1">
      <alignment horizontal="center" vertical="top" wrapText="1"/>
    </xf>
    <xf numFmtId="0" fontId="73" fillId="0" borderId="0" xfId="0" applyFont="1" applyAlignment="1">
      <alignment vertical="top" wrapText="1"/>
    </xf>
    <xf numFmtId="0" fontId="66" fillId="0" borderId="1" xfId="0" applyFont="1" applyBorder="1" applyAlignment="1">
      <alignment vertical="top" wrapText="1"/>
    </xf>
    <xf numFmtId="0" fontId="116" fillId="0" borderId="1" xfId="0" applyFont="1" applyFill="1" applyBorder="1" applyAlignment="1">
      <alignment vertical="top" wrapText="1"/>
    </xf>
    <xf numFmtId="0" fontId="116" fillId="0" borderId="1" xfId="0" applyFont="1" applyFill="1" applyBorder="1" applyAlignment="1">
      <alignment horizontal="center" vertical="top" wrapText="1"/>
    </xf>
    <xf numFmtId="0" fontId="82" fillId="0" borderId="1" xfId="0" applyFont="1" applyBorder="1" applyAlignment="1">
      <alignment vertical="top" wrapText="1"/>
    </xf>
    <xf numFmtId="0" fontId="66" fillId="0" borderId="0" xfId="0" applyFont="1" applyAlignment="1">
      <alignment vertical="top" wrapText="1"/>
    </xf>
    <xf numFmtId="0" fontId="66" fillId="0" borderId="1" xfId="0" applyFont="1" applyBorder="1" applyAlignment="1">
      <alignment horizontal="center" vertical="top" wrapText="1"/>
    </xf>
    <xf numFmtId="0" fontId="116" fillId="0" borderId="0" xfId="0" applyFont="1" applyFill="1" applyBorder="1" applyAlignment="1">
      <alignment horizontal="center" vertical="top" wrapText="1"/>
    </xf>
    <xf numFmtId="0" fontId="66" fillId="0" borderId="0" xfId="0" applyFont="1" applyAlignment="1">
      <alignment vertical="top"/>
    </xf>
    <xf numFmtId="0" fontId="115" fillId="16" borderId="1" xfId="0" applyFont="1" applyFill="1" applyBorder="1" applyAlignment="1">
      <alignment horizontal="left" vertical="top" textRotation="90" wrapText="1"/>
    </xf>
    <xf numFmtId="0" fontId="115" fillId="16" borderId="1" xfId="0" applyFont="1" applyFill="1" applyBorder="1" applyAlignment="1">
      <alignment horizontal="center" vertical="top" wrapText="1"/>
    </xf>
    <xf numFmtId="0" fontId="82" fillId="0" borderId="1" xfId="0" applyFont="1" applyBorder="1" applyAlignment="1">
      <alignment horizontal="center" vertical="top" wrapText="1"/>
    </xf>
    <xf numFmtId="0" fontId="112" fillId="0" borderId="1" xfId="0" applyFont="1" applyBorder="1" applyAlignment="1">
      <alignment horizontal="center" vertical="top" wrapText="1"/>
    </xf>
    <xf numFmtId="0" fontId="83" fillId="0" borderId="1" xfId="696" applyFont="1" applyFill="1" applyBorder="1" applyAlignment="1">
      <alignment horizontal="center" vertical="top" wrapText="1"/>
    </xf>
    <xf numFmtId="0" fontId="83" fillId="0" borderId="1" xfId="696" applyFont="1" applyBorder="1" applyAlignment="1">
      <alignment horizontal="center" vertical="top" wrapText="1"/>
    </xf>
    <xf numFmtId="0" fontId="66" fillId="0" borderId="0" xfId="0" applyFont="1" applyAlignment="1">
      <alignment horizontal="center" vertical="top" wrapText="1"/>
    </xf>
    <xf numFmtId="0" fontId="83" fillId="0" borderId="1" xfId="696" applyFont="1" applyBorder="1" applyAlignment="1">
      <alignment horizontal="center" vertical="top"/>
    </xf>
    <xf numFmtId="0" fontId="61" fillId="0" borderId="141" xfId="0" applyFont="1" applyBorder="1" applyAlignment="1">
      <alignment horizontal="left" vertical="top"/>
    </xf>
    <xf numFmtId="0" fontId="3" fillId="0" borderId="142" xfId="0" applyFont="1" applyBorder="1" applyAlignment="1">
      <alignment horizontal="left" vertical="top" wrapText="1"/>
    </xf>
    <xf numFmtId="0" fontId="63" fillId="0" borderId="142" xfId="0" applyFont="1" applyBorder="1" applyAlignment="1">
      <alignment horizontal="left" vertical="top" wrapText="1"/>
    </xf>
    <xf numFmtId="0" fontId="66" fillId="11" borderId="0" xfId="0" applyFont="1" applyFill="1" applyAlignment="1">
      <alignment vertical="top"/>
    </xf>
    <xf numFmtId="178" fontId="3" fillId="11" borderId="0" xfId="4" applyNumberFormat="1" applyFont="1" applyFill="1" applyBorder="1" applyAlignment="1" applyProtection="1">
      <alignment vertical="top"/>
    </xf>
    <xf numFmtId="0" fontId="66" fillId="11" borderId="0" xfId="0" applyFont="1" applyFill="1" applyAlignment="1">
      <alignment vertical="top"/>
    </xf>
    <xf numFmtId="175" fontId="3" fillId="11" borderId="32" xfId="4" applyNumberFormat="1" applyFont="1" applyFill="1" applyBorder="1" applyAlignment="1" applyProtection="1">
      <alignment vertical="top"/>
    </xf>
    <xf numFmtId="175" fontId="3" fillId="11" borderId="0" xfId="4" applyNumberFormat="1" applyFont="1" applyFill="1" applyBorder="1" applyAlignment="1" applyProtection="1">
      <alignment vertical="top"/>
    </xf>
    <xf numFmtId="166" fontId="73" fillId="5" borderId="1" xfId="0" applyNumberFormat="1" applyFont="1" applyFill="1" applyBorder="1" applyAlignment="1" applyProtection="1">
      <alignment horizontal="center" vertical="top" wrapText="1"/>
      <protection locked="0"/>
    </xf>
    <xf numFmtId="0" fontId="8" fillId="5" borderId="83" xfId="0" applyFont="1" applyFill="1" applyBorder="1" applyAlignment="1" applyProtection="1">
      <alignment horizontal="right" vertical="top"/>
      <protection locked="0"/>
    </xf>
    <xf numFmtId="0" fontId="8" fillId="5" borderId="83" xfId="0" applyFont="1" applyFill="1" applyBorder="1" applyAlignment="1" applyProtection="1">
      <alignment horizontal="left" vertical="top"/>
      <protection locked="0"/>
    </xf>
    <xf numFmtId="3" fontId="8" fillId="5" borderId="83" xfId="0" applyNumberFormat="1" applyFont="1" applyFill="1" applyBorder="1" applyAlignment="1" applyProtection="1">
      <alignment horizontal="right" vertical="top"/>
      <protection locked="0"/>
    </xf>
    <xf numFmtId="181" fontId="8" fillId="5" borderId="83" xfId="0" applyNumberFormat="1" applyFont="1" applyFill="1" applyBorder="1" applyAlignment="1" applyProtection="1">
      <alignment horizontal="center" vertical="top"/>
      <protection locked="0"/>
    </xf>
    <xf numFmtId="181" fontId="8" fillId="5" borderId="83" xfId="0" applyNumberFormat="1" applyFont="1" applyFill="1" applyBorder="1" applyAlignment="1" applyProtection="1">
      <alignment horizontal="left" vertical="top"/>
      <protection locked="0"/>
    </xf>
    <xf numFmtId="180" fontId="10" fillId="11" borderId="80" xfId="10" applyNumberFormat="1" applyFont="1" applyFill="1" applyBorder="1" applyAlignment="1">
      <alignment horizontal="center" vertical="top" wrapText="1"/>
    </xf>
    <xf numFmtId="180" fontId="10" fillId="11" borderId="81" xfId="10" applyNumberFormat="1" applyFont="1" applyFill="1" applyBorder="1" applyAlignment="1">
      <alignment horizontal="center" vertical="top" wrapText="1"/>
    </xf>
    <xf numFmtId="0" fontId="112" fillId="11" borderId="0" xfId="0" applyFont="1" applyFill="1" applyBorder="1" applyAlignment="1" applyProtection="1">
      <alignment vertical="top"/>
    </xf>
    <xf numFmtId="0" fontId="112" fillId="11" borderId="0" xfId="0" applyFont="1" applyFill="1" applyBorder="1" applyAlignment="1" applyProtection="1">
      <alignment horizontal="center" vertical="top"/>
    </xf>
    <xf numFmtId="166" fontId="112" fillId="11" borderId="0" xfId="0" applyNumberFormat="1" applyFont="1" applyFill="1" applyBorder="1" applyAlignment="1" applyProtection="1">
      <alignment vertical="top"/>
    </xf>
    <xf numFmtId="166" fontId="112" fillId="11" borderId="0" xfId="0" applyNumberFormat="1" applyFont="1" applyFill="1" applyBorder="1" applyAlignment="1" applyProtection="1">
      <alignment horizontal="right" vertical="top"/>
    </xf>
    <xf numFmtId="0" fontId="117" fillId="11" borderId="0" xfId="0" applyFont="1" applyFill="1" applyBorder="1" applyAlignment="1" applyProtection="1">
      <alignment vertical="top"/>
    </xf>
    <xf numFmtId="0" fontId="112" fillId="11" borderId="0" xfId="0" applyFont="1" applyFill="1" applyBorder="1" applyAlignment="1" applyProtection="1">
      <alignment horizontal="right" vertical="top"/>
    </xf>
    <xf numFmtId="168" fontId="112" fillId="11" borderId="0" xfId="0" applyNumberFormat="1" applyFont="1" applyFill="1" applyAlignment="1" applyProtection="1">
      <alignment vertical="top"/>
    </xf>
    <xf numFmtId="0" fontId="112" fillId="11" borderId="0" xfId="0" applyFont="1" applyFill="1" applyAlignment="1" applyProtection="1">
      <alignment vertical="top"/>
    </xf>
    <xf numFmtId="0" fontId="4" fillId="11" borderId="0" xfId="0" applyFont="1" applyFill="1" applyAlignment="1" applyProtection="1">
      <alignment vertical="top"/>
    </xf>
    <xf numFmtId="169" fontId="4" fillId="11" borderId="0" xfId="0" applyNumberFormat="1" applyFont="1" applyFill="1" applyAlignment="1" applyProtection="1">
      <alignment vertical="top"/>
    </xf>
    <xf numFmtId="9" fontId="3" fillId="11" borderId="0" xfId="0" applyNumberFormat="1" applyFont="1" applyFill="1" applyAlignment="1" applyProtection="1">
      <alignment vertical="top"/>
    </xf>
    <xf numFmtId="0" fontId="3" fillId="11" borderId="1" xfId="0" applyFont="1" applyFill="1" applyBorder="1" applyAlignment="1" applyProtection="1">
      <alignment vertical="top"/>
    </xf>
    <xf numFmtId="0" fontId="80" fillId="11" borderId="0" xfId="0" applyFont="1" applyFill="1" applyAlignment="1" applyProtection="1">
      <alignment vertical="top"/>
    </xf>
    <xf numFmtId="9" fontId="26" fillId="11" borderId="0" xfId="0" applyNumberFormat="1" applyFont="1" applyFill="1" applyAlignment="1" applyProtection="1">
      <alignment vertical="top"/>
    </xf>
    <xf numFmtId="169" fontId="4" fillId="11" borderId="11" xfId="0" applyNumberFormat="1" applyFont="1" applyFill="1" applyBorder="1" applyAlignment="1" applyProtection="1">
      <alignment horizontal="right" vertical="top"/>
    </xf>
    <xf numFmtId="169" fontId="4" fillId="11" borderId="7" xfId="0" applyNumberFormat="1" applyFont="1" applyFill="1" applyBorder="1" applyAlignment="1" applyProtection="1">
      <alignment horizontal="right" vertical="top"/>
    </xf>
    <xf numFmtId="9" fontId="4" fillId="11" borderId="14" xfId="0" applyNumberFormat="1" applyFont="1" applyFill="1" applyBorder="1" applyAlignment="1" applyProtection="1">
      <alignment horizontal="right" vertical="top"/>
    </xf>
    <xf numFmtId="0" fontId="118" fillId="11" borderId="0" xfId="0" applyFont="1" applyFill="1" applyAlignment="1" applyProtection="1">
      <alignment vertical="top"/>
    </xf>
    <xf numFmtId="14" fontId="25" fillId="5" borderId="1" xfId="0" applyNumberFormat="1" applyFont="1" applyFill="1" applyBorder="1" applyAlignment="1" applyProtection="1">
      <alignment horizontal="left" vertical="top" wrapText="1"/>
      <protection locked="0"/>
    </xf>
    <xf numFmtId="0" fontId="25" fillId="5" borderId="1" xfId="0" quotePrefix="1" applyFont="1" applyFill="1" applyBorder="1" applyAlignment="1" applyProtection="1">
      <alignment horizontal="left" vertical="top" wrapText="1"/>
      <protection locked="0"/>
    </xf>
    <xf numFmtId="0" fontId="66" fillId="11" borderId="1" xfId="0" applyFont="1" applyFill="1" applyBorder="1" applyAlignment="1">
      <alignment vertical="top"/>
    </xf>
    <xf numFmtId="167" fontId="66" fillId="11" borderId="1" xfId="0" applyNumberFormat="1" applyFont="1" applyFill="1" applyBorder="1" applyAlignment="1">
      <alignment horizontal="left" vertical="top"/>
    </xf>
    <xf numFmtId="0" fontId="75" fillId="11" borderId="137" xfId="736" applyFont="1" applyFill="1" applyBorder="1" applyAlignment="1" applyProtection="1">
      <alignment horizontal="center" vertical="top"/>
    </xf>
    <xf numFmtId="0" fontId="75" fillId="11" borderId="138" xfId="736" applyFont="1" applyFill="1" applyBorder="1" applyAlignment="1" applyProtection="1">
      <alignment horizontal="center" vertical="top"/>
    </xf>
    <xf numFmtId="0" fontId="75" fillId="11" borderId="136" xfId="736" applyFont="1" applyFill="1" applyBorder="1" applyAlignment="1" applyProtection="1">
      <alignment horizontal="center" vertical="top"/>
    </xf>
    <xf numFmtId="0" fontId="75" fillId="11" borderId="135" xfId="736" applyFont="1" applyFill="1" applyBorder="1" applyAlignment="1" applyProtection="1">
      <alignment horizontal="center" vertical="top"/>
    </xf>
    <xf numFmtId="0" fontId="74" fillId="11" borderId="133" xfId="736" applyFont="1" applyFill="1" applyBorder="1" applyAlignment="1" applyProtection="1">
      <alignment horizontal="center" vertical="top"/>
    </xf>
    <xf numFmtId="0" fontId="74" fillId="11" borderId="134" xfId="736" applyFont="1" applyFill="1" applyBorder="1" applyAlignment="1" applyProtection="1">
      <alignment horizontal="center" vertical="top"/>
    </xf>
    <xf numFmtId="0" fontId="74" fillId="11" borderId="132" xfId="736" applyFont="1" applyFill="1" applyBorder="1" applyAlignment="1" applyProtection="1">
      <alignment horizontal="center" vertical="top"/>
    </xf>
    <xf numFmtId="0" fontId="66" fillId="11" borderId="1" xfId="0" applyFont="1" applyFill="1" applyBorder="1" applyAlignment="1">
      <alignment horizontal="left" vertical="top"/>
    </xf>
    <xf numFmtId="167" fontId="64" fillId="8" borderId="91" xfId="0" applyNumberFormat="1" applyFont="1" applyFill="1" applyBorder="1" applyAlignment="1" applyProtection="1">
      <alignment horizontal="left" vertical="top"/>
    </xf>
    <xf numFmtId="167" fontId="64" fillId="8" borderId="92" xfId="0" applyNumberFormat="1" applyFont="1" applyFill="1" applyBorder="1" applyAlignment="1" applyProtection="1">
      <alignment horizontal="left" vertical="top"/>
    </xf>
    <xf numFmtId="167" fontId="64" fillId="8" borderId="93" xfId="0" applyNumberFormat="1" applyFont="1" applyFill="1" applyBorder="1" applyAlignment="1" applyProtection="1">
      <alignment horizontal="left" vertical="top"/>
    </xf>
    <xf numFmtId="167" fontId="65" fillId="8" borderId="94" xfId="0" applyNumberFormat="1" applyFont="1" applyFill="1" applyBorder="1" applyAlignment="1" applyProtection="1">
      <alignment horizontal="left" vertical="top"/>
    </xf>
    <xf numFmtId="167" fontId="65" fillId="8" borderId="95" xfId="0" applyNumberFormat="1" applyFont="1" applyFill="1" applyBorder="1" applyAlignment="1" applyProtection="1">
      <alignment horizontal="left" vertical="top"/>
    </xf>
    <xf numFmtId="167" fontId="65" fillId="8" borderId="96" xfId="0" applyNumberFormat="1" applyFont="1" applyFill="1" applyBorder="1" applyAlignment="1" applyProtection="1">
      <alignment horizontal="left" vertical="top"/>
    </xf>
    <xf numFmtId="0" fontId="66" fillId="11" borderId="1" xfId="0" applyFont="1" applyFill="1" applyBorder="1" applyAlignment="1">
      <alignment horizontal="right" vertical="top"/>
    </xf>
    <xf numFmtId="0" fontId="66" fillId="11" borderId="8" xfId="0" applyFont="1" applyFill="1" applyBorder="1" applyAlignment="1">
      <alignment horizontal="right" vertical="top"/>
    </xf>
    <xf numFmtId="0" fontId="66" fillId="11" borderId="10" xfId="0" applyFont="1" applyFill="1" applyBorder="1" applyAlignment="1">
      <alignment horizontal="right" vertical="top"/>
    </xf>
    <xf numFmtId="0" fontId="72" fillId="11" borderId="0" xfId="0" applyFont="1" applyFill="1" applyBorder="1" applyAlignment="1">
      <alignment horizontal="right" vertical="top" wrapText="1"/>
    </xf>
    <xf numFmtId="14" fontId="66" fillId="11" borderId="1" xfId="0" applyNumberFormat="1" applyFont="1" applyFill="1" applyBorder="1" applyAlignment="1">
      <alignment horizontal="left" vertical="top"/>
    </xf>
    <xf numFmtId="0" fontId="3" fillId="5" borderId="8" xfId="4" applyFont="1" applyFill="1" applyBorder="1" applyAlignment="1" applyProtection="1">
      <alignment horizontal="left" vertical="top"/>
      <protection locked="0"/>
    </xf>
    <xf numFmtId="0" fontId="3" fillId="5" borderId="10" xfId="4" applyFont="1" applyFill="1" applyBorder="1" applyAlignment="1" applyProtection="1">
      <alignment horizontal="left" vertical="top"/>
      <protection locked="0"/>
    </xf>
    <xf numFmtId="0" fontId="81" fillId="18" borderId="2" xfId="0" applyFont="1" applyFill="1" applyBorder="1" applyAlignment="1" applyProtection="1">
      <alignment horizontal="center" vertical="top"/>
    </xf>
    <xf numFmtId="0" fontId="81" fillId="18" borderId="16" xfId="0" applyFont="1" applyFill="1" applyBorder="1" applyAlignment="1" applyProtection="1">
      <alignment horizontal="center" vertical="top"/>
    </xf>
    <xf numFmtId="0" fontId="25" fillId="5" borderId="8" xfId="0" applyFont="1" applyFill="1" applyBorder="1" applyAlignment="1" applyProtection="1">
      <alignment horizontal="left" vertical="top"/>
      <protection locked="0"/>
    </xf>
    <xf numFmtId="0" fontId="25" fillId="5" borderId="9" xfId="0" applyFont="1" applyFill="1" applyBorder="1" applyAlignment="1" applyProtection="1">
      <alignment horizontal="left" vertical="top"/>
      <protection locked="0"/>
    </xf>
    <xf numFmtId="0" fontId="25" fillId="5" borderId="10" xfId="0" applyFont="1" applyFill="1" applyBorder="1" applyAlignment="1" applyProtection="1">
      <alignment horizontal="left" vertical="top"/>
      <protection locked="0"/>
    </xf>
    <xf numFmtId="0" fontId="25" fillId="11" borderId="1" xfId="0" applyFont="1" applyFill="1" applyBorder="1" applyAlignment="1" applyProtection="1">
      <alignment horizontal="left" vertical="top"/>
    </xf>
    <xf numFmtId="0" fontId="3" fillId="5" borderId="8" xfId="51" applyFont="1" applyFill="1" applyBorder="1" applyAlignment="1" applyProtection="1">
      <alignment horizontal="left" vertical="top"/>
      <protection locked="0"/>
    </xf>
    <xf numFmtId="0" fontId="3" fillId="5" borderId="10" xfId="51" applyFont="1" applyFill="1" applyBorder="1" applyAlignment="1" applyProtection="1">
      <alignment horizontal="left" vertical="top"/>
      <protection locked="0"/>
    </xf>
    <xf numFmtId="0" fontId="4" fillId="11" borderId="6" xfId="4" applyFont="1" applyFill="1" applyBorder="1" applyAlignment="1" applyProtection="1">
      <alignment horizontal="left" vertical="top" wrapText="1"/>
    </xf>
    <xf numFmtId="0" fontId="4" fillId="11" borderId="1" xfId="4" applyFont="1" applyFill="1" applyBorder="1" applyAlignment="1" applyProtection="1">
      <alignment horizontal="left" vertical="top" wrapText="1"/>
    </xf>
    <xf numFmtId="0" fontId="4" fillId="11" borderId="32" xfId="4" applyFont="1" applyFill="1" applyBorder="1" applyAlignment="1" applyProtection="1">
      <alignment horizontal="left" vertical="top" wrapText="1"/>
    </xf>
    <xf numFmtId="0" fontId="4" fillId="11" borderId="7" xfId="4" applyFont="1" applyFill="1" applyBorder="1" applyAlignment="1" applyProtection="1">
      <alignment horizontal="left" vertical="top" wrapText="1"/>
    </xf>
    <xf numFmtId="0" fontId="4" fillId="11" borderId="12" xfId="4" applyFont="1" applyFill="1" applyBorder="1" applyAlignment="1" applyProtection="1">
      <alignment horizontal="left" vertical="top" wrapText="1"/>
    </xf>
    <xf numFmtId="0" fontId="4" fillId="11" borderId="14" xfId="4" applyFont="1" applyFill="1" applyBorder="1" applyAlignment="1" applyProtection="1">
      <alignment horizontal="left" vertical="top" wrapText="1"/>
    </xf>
    <xf numFmtId="0" fontId="4" fillId="11" borderId="32" xfId="4" applyFont="1" applyFill="1" applyBorder="1" applyAlignment="1" applyProtection="1">
      <alignment horizontal="center" vertical="top" wrapText="1"/>
    </xf>
    <xf numFmtId="0" fontId="4" fillId="11" borderId="0" xfId="4" applyFont="1" applyFill="1" applyBorder="1" applyAlignment="1" applyProtection="1">
      <alignment horizontal="center" vertical="top" wrapText="1"/>
    </xf>
    <xf numFmtId="0" fontId="4" fillId="11" borderId="6" xfId="4" applyFont="1" applyFill="1" applyBorder="1" applyAlignment="1" applyProtection="1">
      <alignment horizontal="center" vertical="top" wrapText="1"/>
    </xf>
    <xf numFmtId="0" fontId="3" fillId="5" borderId="1" xfId="51" applyFont="1" applyFill="1" applyBorder="1" applyAlignment="1" applyProtection="1">
      <alignment horizontal="left" vertical="top"/>
      <protection locked="0"/>
    </xf>
    <xf numFmtId="0" fontId="81" fillId="18" borderId="3" xfId="0" applyFont="1" applyFill="1" applyBorder="1" applyAlignment="1" applyProtection="1">
      <alignment horizontal="center" vertical="top"/>
    </xf>
    <xf numFmtId="0" fontId="66" fillId="18" borderId="91" xfId="0" applyFont="1" applyFill="1" applyBorder="1" applyAlignment="1">
      <alignment horizontal="center" vertical="top"/>
    </xf>
    <xf numFmtId="0" fontId="66" fillId="18" borderId="93" xfId="0" applyFont="1" applyFill="1" applyBorder="1" applyAlignment="1">
      <alignment horizontal="center" vertical="top"/>
    </xf>
    <xf numFmtId="0" fontId="66" fillId="18" borderId="107" xfId="0" applyFont="1" applyFill="1" applyBorder="1" applyAlignment="1">
      <alignment horizontal="center" vertical="top"/>
    </xf>
    <xf numFmtId="0" fontId="66" fillId="18" borderId="106" xfId="0" applyFont="1" applyFill="1" applyBorder="1" applyAlignment="1">
      <alignment horizontal="center" vertical="top"/>
    </xf>
    <xf numFmtId="0" fontId="66" fillId="18" borderId="94" xfId="0" applyFont="1" applyFill="1" applyBorder="1" applyAlignment="1">
      <alignment horizontal="center" vertical="top"/>
    </xf>
    <xf numFmtId="0" fontId="66" fillId="18" borderId="96" xfId="0" applyFont="1" applyFill="1" applyBorder="1" applyAlignment="1">
      <alignment horizontal="center" vertical="top"/>
    </xf>
    <xf numFmtId="0" fontId="85" fillId="11" borderId="17" xfId="0" applyFont="1" applyFill="1" applyBorder="1" applyAlignment="1" applyProtection="1">
      <alignment horizontal="left" vertical="top"/>
    </xf>
    <xf numFmtId="0" fontId="85" fillId="11" borderId="27" xfId="0" applyFont="1" applyFill="1" applyBorder="1" applyAlignment="1" applyProtection="1">
      <alignment horizontal="left" vertical="top"/>
    </xf>
    <xf numFmtId="0" fontId="85" fillId="11" borderId="28" xfId="0" applyFont="1" applyFill="1" applyBorder="1" applyAlignment="1" applyProtection="1">
      <alignment horizontal="left" vertical="top"/>
    </xf>
    <xf numFmtId="0" fontId="25" fillId="5" borderId="1" xfId="0" applyFont="1" applyFill="1" applyBorder="1" applyAlignment="1" applyProtection="1">
      <alignment vertical="top"/>
      <protection locked="0"/>
    </xf>
    <xf numFmtId="0" fontId="3" fillId="5" borderId="8" xfId="0" applyFont="1" applyFill="1" applyBorder="1" applyAlignment="1" applyProtection="1">
      <alignment horizontal="left" vertical="top"/>
      <protection locked="0"/>
    </xf>
    <xf numFmtId="0" fontId="3" fillId="5" borderId="9" xfId="0" applyFont="1" applyFill="1" applyBorder="1" applyAlignment="1" applyProtection="1">
      <alignment horizontal="left" vertical="top"/>
      <protection locked="0"/>
    </xf>
    <xf numFmtId="0" fontId="3" fillId="5" borderId="10" xfId="0" applyFont="1" applyFill="1" applyBorder="1" applyAlignment="1" applyProtection="1">
      <alignment horizontal="left" vertical="top"/>
      <protection locked="0"/>
    </xf>
    <xf numFmtId="14" fontId="25" fillId="5" borderId="8" xfId="0" applyNumberFormat="1" applyFont="1" applyFill="1" applyBorder="1" applyAlignment="1" applyProtection="1">
      <alignment horizontal="left" vertical="top"/>
      <protection locked="0"/>
    </xf>
    <xf numFmtId="14" fontId="25" fillId="5" borderId="9" xfId="0" applyNumberFormat="1" applyFont="1" applyFill="1" applyBorder="1" applyAlignment="1" applyProtection="1">
      <alignment horizontal="left" vertical="top"/>
      <protection locked="0"/>
    </xf>
    <xf numFmtId="14" fontId="25" fillId="5" borderId="10" xfId="0" applyNumberFormat="1" applyFont="1" applyFill="1" applyBorder="1" applyAlignment="1" applyProtection="1">
      <alignment horizontal="left" vertical="top"/>
      <protection locked="0"/>
    </xf>
    <xf numFmtId="0" fontId="25" fillId="5" borderId="1" xfId="0" applyFont="1" applyFill="1" applyBorder="1" applyAlignment="1" applyProtection="1">
      <alignment horizontal="left" vertical="top"/>
      <protection locked="0"/>
    </xf>
    <xf numFmtId="2" fontId="25" fillId="5" borderId="8" xfId="0" applyNumberFormat="1" applyFont="1" applyFill="1" applyBorder="1" applyAlignment="1" applyProtection="1">
      <alignment horizontal="left" vertical="top"/>
      <protection locked="0"/>
    </xf>
    <xf numFmtId="2" fontId="25" fillId="5" borderId="9" xfId="0" applyNumberFormat="1" applyFont="1" applyFill="1" applyBorder="1" applyAlignment="1" applyProtection="1">
      <alignment horizontal="left" vertical="top"/>
      <protection locked="0"/>
    </xf>
    <xf numFmtId="167" fontId="64" fillId="4" borderId="91" xfId="0" applyNumberFormat="1" applyFont="1" applyFill="1" applyBorder="1" applyAlignment="1" applyProtection="1">
      <alignment horizontal="left" vertical="top"/>
    </xf>
    <xf numFmtId="167" fontId="64" fillId="4" borderId="92" xfId="0" applyNumberFormat="1" applyFont="1" applyFill="1" applyBorder="1" applyAlignment="1" applyProtection="1">
      <alignment horizontal="left" vertical="top"/>
    </xf>
    <xf numFmtId="167" fontId="64" fillId="4" borderId="93" xfId="0" applyNumberFormat="1" applyFont="1" applyFill="1" applyBorder="1" applyAlignment="1" applyProtection="1">
      <alignment horizontal="left" vertical="top"/>
    </xf>
    <xf numFmtId="167" fontId="65" fillId="4" borderId="94" xfId="0" applyNumberFormat="1" applyFont="1" applyFill="1" applyBorder="1" applyAlignment="1" applyProtection="1">
      <alignment horizontal="left" vertical="top"/>
    </xf>
    <xf numFmtId="167" fontId="65" fillId="4" borderId="95" xfId="0" applyNumberFormat="1" applyFont="1" applyFill="1" applyBorder="1" applyAlignment="1" applyProtection="1">
      <alignment horizontal="left" vertical="top"/>
    </xf>
    <xf numFmtId="167" fontId="65" fillId="4" borderId="96" xfId="0" applyNumberFormat="1" applyFont="1" applyFill="1" applyBorder="1" applyAlignment="1" applyProtection="1">
      <alignment horizontal="left" vertical="top"/>
    </xf>
    <xf numFmtId="0" fontId="66" fillId="11" borderId="8" xfId="0" applyFont="1" applyFill="1" applyBorder="1" applyAlignment="1" applyProtection="1">
      <alignment vertical="top"/>
    </xf>
    <xf numFmtId="0" fontId="66" fillId="11" borderId="10" xfId="0" applyFont="1" applyFill="1" applyBorder="1" applyAlignment="1" applyProtection="1">
      <alignment vertical="top"/>
    </xf>
    <xf numFmtId="0" fontId="25" fillId="11" borderId="1" xfId="0" applyFont="1" applyFill="1" applyBorder="1" applyAlignment="1" applyProtection="1">
      <alignment vertical="top"/>
    </xf>
    <xf numFmtId="0" fontId="3" fillId="5" borderId="1" xfId="4" applyFont="1" applyFill="1" applyBorder="1" applyAlignment="1" applyProtection="1">
      <alignment horizontal="left" vertical="top"/>
      <protection locked="0"/>
    </xf>
    <xf numFmtId="0" fontId="25" fillId="11" borderId="8" xfId="0" applyFont="1" applyFill="1" applyBorder="1" applyAlignment="1" applyProtection="1">
      <alignment vertical="top"/>
    </xf>
    <xf numFmtId="0" fontId="25" fillId="11" borderId="9" xfId="0" applyFont="1" applyFill="1" applyBorder="1" applyAlignment="1" applyProtection="1">
      <alignment vertical="top"/>
    </xf>
    <xf numFmtId="0" fontId="25" fillId="11" borderId="10" xfId="0" applyFont="1" applyFill="1" applyBorder="1" applyAlignment="1" applyProtection="1">
      <alignment vertical="top"/>
    </xf>
    <xf numFmtId="0" fontId="25" fillId="11" borderId="6" xfId="0" applyFont="1" applyFill="1" applyBorder="1" applyAlignment="1" applyProtection="1">
      <alignment horizontal="left" vertical="top"/>
    </xf>
    <xf numFmtId="0" fontId="84" fillId="11" borderId="2" xfId="0" applyFont="1" applyFill="1" applyBorder="1" applyAlignment="1" applyProtection="1">
      <alignment horizontal="center" vertical="top"/>
    </xf>
    <xf numFmtId="0" fontId="84" fillId="11" borderId="3" xfId="0" applyFont="1" applyFill="1" applyBorder="1" applyAlignment="1" applyProtection="1">
      <alignment horizontal="center" vertical="top"/>
    </xf>
    <xf numFmtId="0" fontId="25" fillId="5" borderId="17" xfId="0" applyFont="1" applyFill="1" applyBorder="1" applyAlignment="1" applyProtection="1">
      <alignment horizontal="left" vertical="top"/>
      <protection locked="0"/>
    </xf>
    <xf numFmtId="0" fontId="25" fillId="5" borderId="27" xfId="0" applyFont="1" applyFill="1" applyBorder="1" applyAlignment="1" applyProtection="1">
      <alignment horizontal="left" vertical="top"/>
      <protection locked="0"/>
    </xf>
    <xf numFmtId="0" fontId="25" fillId="5" borderId="28" xfId="0" applyFont="1" applyFill="1" applyBorder="1" applyAlignment="1" applyProtection="1">
      <alignment horizontal="left" vertical="top"/>
      <protection locked="0"/>
    </xf>
    <xf numFmtId="167" fontId="64" fillId="4" borderId="91" xfId="0" applyNumberFormat="1" applyFont="1" applyFill="1" applyBorder="1" applyAlignment="1" applyProtection="1">
      <alignment horizontal="left" vertical="center"/>
    </xf>
    <xf numFmtId="167" fontId="64" fillId="4" borderId="92" xfId="0" applyNumberFormat="1" applyFont="1" applyFill="1" applyBorder="1" applyAlignment="1" applyProtection="1">
      <alignment horizontal="left" vertical="center"/>
    </xf>
    <xf numFmtId="167" fontId="64" fillId="4" borderId="93" xfId="0" applyNumberFormat="1" applyFont="1" applyFill="1" applyBorder="1" applyAlignment="1" applyProtection="1">
      <alignment horizontal="left" vertical="center"/>
    </xf>
    <xf numFmtId="167" fontId="65" fillId="4" borderId="94" xfId="0" applyNumberFormat="1" applyFont="1" applyFill="1" applyBorder="1" applyAlignment="1" applyProtection="1">
      <alignment horizontal="left" vertical="center"/>
    </xf>
    <xf numFmtId="167" fontId="65" fillId="4" borderId="95" xfId="0" applyNumberFormat="1" applyFont="1" applyFill="1" applyBorder="1" applyAlignment="1" applyProtection="1">
      <alignment horizontal="left" vertical="center"/>
    </xf>
    <xf numFmtId="167" fontId="65" fillId="4" borderId="96" xfId="0" applyNumberFormat="1" applyFont="1" applyFill="1" applyBorder="1" applyAlignment="1" applyProtection="1">
      <alignment horizontal="left" vertical="center"/>
    </xf>
    <xf numFmtId="0" fontId="84" fillId="11" borderId="2" xfId="0" applyFont="1" applyFill="1" applyBorder="1" applyAlignment="1" applyProtection="1">
      <alignment horizontal="left" vertical="top" wrapText="1"/>
    </xf>
    <xf numFmtId="0" fontId="84" fillId="11" borderId="16" xfId="0" applyFont="1" applyFill="1" applyBorder="1" applyAlignment="1" applyProtection="1">
      <alignment horizontal="left" vertical="top"/>
    </xf>
    <xf numFmtId="0" fontId="84" fillId="11" borderId="3" xfId="0" applyFont="1" applyFill="1" applyBorder="1" applyAlignment="1" applyProtection="1">
      <alignment horizontal="left" vertical="top"/>
    </xf>
    <xf numFmtId="0" fontId="84" fillId="11" borderId="2" xfId="0" applyFont="1" applyFill="1" applyBorder="1" applyAlignment="1" applyProtection="1">
      <alignment horizontal="left" vertical="top"/>
    </xf>
    <xf numFmtId="0" fontId="84" fillId="11" borderId="2" xfId="0" applyFont="1" applyFill="1" applyBorder="1" applyAlignment="1" applyProtection="1">
      <alignment vertical="top"/>
    </xf>
    <xf numFmtId="0" fontId="84" fillId="11" borderId="16" xfId="0" applyFont="1" applyFill="1" applyBorder="1" applyAlignment="1" applyProtection="1">
      <alignment vertical="top"/>
    </xf>
    <xf numFmtId="0" fontId="84" fillId="11" borderId="3" xfId="0" applyFont="1" applyFill="1" applyBorder="1" applyAlignment="1" applyProtection="1">
      <alignment vertical="top"/>
    </xf>
    <xf numFmtId="0" fontId="25" fillId="11" borderId="12" xfId="0" applyFont="1" applyFill="1" applyBorder="1" applyAlignment="1">
      <alignment horizontal="left" vertical="top"/>
    </xf>
    <xf numFmtId="0" fontId="25" fillId="11" borderId="13" xfId="0" applyFont="1" applyFill="1" applyBorder="1" applyAlignment="1">
      <alignment horizontal="left" vertical="top"/>
    </xf>
    <xf numFmtId="0" fontId="25" fillId="11" borderId="14" xfId="0" applyFont="1" applyFill="1" applyBorder="1" applyAlignment="1">
      <alignment horizontal="left" vertical="top"/>
    </xf>
    <xf numFmtId="0" fontId="25" fillId="11" borderId="8" xfId="0" applyFont="1" applyFill="1" applyBorder="1" applyAlignment="1">
      <alignment horizontal="left" vertical="top"/>
    </xf>
    <xf numFmtId="0" fontId="25" fillId="11" borderId="9" xfId="0" applyFont="1" applyFill="1" applyBorder="1" applyAlignment="1">
      <alignment horizontal="left" vertical="top"/>
    </xf>
    <xf numFmtId="0" fontId="25" fillId="11" borderId="10" xfId="0" applyFont="1" applyFill="1" applyBorder="1" applyAlignment="1">
      <alignment horizontal="left" vertical="top"/>
    </xf>
    <xf numFmtId="0" fontId="25" fillId="11" borderId="1" xfId="0" applyFont="1" applyFill="1" applyBorder="1" applyAlignment="1">
      <alignment horizontal="left" vertical="top"/>
    </xf>
    <xf numFmtId="0" fontId="85" fillId="11" borderId="12" xfId="0" applyFont="1" applyFill="1" applyBorder="1" applyAlignment="1">
      <alignment horizontal="left" vertical="top"/>
    </xf>
    <xf numFmtId="0" fontId="85" fillId="11" borderId="13" xfId="0" applyFont="1" applyFill="1" applyBorder="1" applyAlignment="1">
      <alignment horizontal="left" vertical="top"/>
    </xf>
    <xf numFmtId="0" fontId="85" fillId="11" borderId="14" xfId="0" applyFont="1" applyFill="1" applyBorder="1" applyAlignment="1">
      <alignment horizontal="left" vertical="top"/>
    </xf>
    <xf numFmtId="0" fontId="85" fillId="11" borderId="8" xfId="0" applyFont="1" applyFill="1" applyBorder="1" applyAlignment="1">
      <alignment horizontal="left" vertical="top"/>
    </xf>
    <xf numFmtId="0" fontId="85" fillId="11" borderId="9" xfId="0" applyFont="1" applyFill="1" applyBorder="1" applyAlignment="1">
      <alignment horizontal="left" vertical="top"/>
    </xf>
    <xf numFmtId="0" fontId="85" fillId="11" borderId="10" xfId="0" applyFont="1" applyFill="1" applyBorder="1" applyAlignment="1">
      <alignment horizontal="left" vertical="top"/>
    </xf>
    <xf numFmtId="0" fontId="25" fillId="5" borderId="8" xfId="0" applyFont="1" applyFill="1" applyBorder="1" applyAlignment="1" applyProtection="1">
      <alignment horizontal="left" vertical="top" wrapText="1"/>
      <protection locked="0"/>
    </xf>
    <xf numFmtId="0" fontId="25" fillId="5" borderId="9" xfId="0" applyFont="1" applyFill="1" applyBorder="1" applyAlignment="1" applyProtection="1">
      <alignment horizontal="left" vertical="top" wrapText="1"/>
      <protection locked="0"/>
    </xf>
    <xf numFmtId="0" fontId="25" fillId="5" borderId="10" xfId="0" applyFont="1" applyFill="1" applyBorder="1" applyAlignment="1" applyProtection="1">
      <alignment horizontal="left" vertical="top" wrapText="1"/>
      <protection locked="0"/>
    </xf>
    <xf numFmtId="0" fontId="25" fillId="11" borderId="0" xfId="0" applyFont="1" applyFill="1" applyBorder="1" applyAlignment="1">
      <alignment horizontal="left" vertical="top"/>
    </xf>
    <xf numFmtId="0" fontId="23" fillId="12" borderId="8" xfId="5" applyFont="1" applyFill="1" applyBorder="1" applyAlignment="1" applyProtection="1">
      <alignment horizontal="left" vertical="top"/>
      <protection locked="0"/>
    </xf>
    <xf numFmtId="0" fontId="23" fillId="12" borderId="9" xfId="5" applyFont="1" applyFill="1" applyBorder="1" applyAlignment="1" applyProtection="1">
      <alignment horizontal="left" vertical="top"/>
      <protection locked="0"/>
    </xf>
    <xf numFmtId="0" fontId="23" fillId="12" borderId="10" xfId="5" applyFont="1" applyFill="1" applyBorder="1" applyAlignment="1" applyProtection="1">
      <alignment horizontal="left" vertical="top"/>
      <protection locked="0"/>
    </xf>
    <xf numFmtId="169" fontId="23" fillId="12" borderId="8" xfId="5" applyNumberFormat="1" applyFont="1" applyFill="1" applyBorder="1" applyAlignment="1" applyProtection="1">
      <alignment horizontal="left" vertical="top"/>
      <protection locked="0"/>
    </xf>
    <xf numFmtId="169" fontId="23" fillId="12" borderId="9" xfId="5" applyNumberFormat="1" applyFont="1" applyFill="1" applyBorder="1" applyAlignment="1" applyProtection="1">
      <alignment horizontal="left" vertical="top"/>
      <protection locked="0"/>
    </xf>
    <xf numFmtId="169" fontId="23" fillId="12" borderId="10" xfId="5" applyNumberFormat="1" applyFont="1" applyFill="1" applyBorder="1" applyAlignment="1" applyProtection="1">
      <alignment horizontal="left" vertical="top"/>
      <protection locked="0"/>
    </xf>
    <xf numFmtId="169" fontId="23" fillId="12" borderId="8" xfId="5" applyNumberFormat="1" applyFont="1" applyFill="1" applyBorder="1" applyAlignment="1" applyProtection="1">
      <alignment horizontal="center" vertical="top"/>
      <protection locked="0"/>
    </xf>
    <xf numFmtId="169" fontId="23" fillId="12" borderId="9" xfId="5" applyNumberFormat="1" applyFont="1" applyFill="1" applyBorder="1" applyAlignment="1" applyProtection="1">
      <alignment horizontal="center" vertical="top"/>
      <protection locked="0"/>
    </xf>
    <xf numFmtId="169" fontId="23" fillId="12" borderId="10" xfId="5" applyNumberFormat="1" applyFont="1" applyFill="1" applyBorder="1" applyAlignment="1" applyProtection="1">
      <alignment horizontal="center" vertical="top"/>
      <protection locked="0"/>
    </xf>
    <xf numFmtId="0" fontId="3" fillId="5" borderId="12" xfId="5" applyFont="1" applyFill="1" applyBorder="1" applyAlignment="1" applyProtection="1">
      <alignment horizontal="left" vertical="top"/>
      <protection locked="0"/>
    </xf>
    <xf numFmtId="0" fontId="3" fillId="5" borderId="13" xfId="5" applyFont="1" applyFill="1" applyBorder="1" applyAlignment="1" applyProtection="1">
      <alignment horizontal="left" vertical="top"/>
      <protection locked="0"/>
    </xf>
    <xf numFmtId="0" fontId="3" fillId="5" borderId="14" xfId="5" applyFont="1" applyFill="1" applyBorder="1" applyAlignment="1" applyProtection="1">
      <alignment horizontal="left" vertical="top"/>
      <protection locked="0"/>
    </xf>
    <xf numFmtId="0" fontId="3" fillId="5" borderId="1" xfId="5" applyFont="1" applyFill="1" applyBorder="1" applyAlignment="1" applyProtection="1">
      <alignment horizontal="left" vertical="top" wrapText="1"/>
      <protection locked="0"/>
    </xf>
    <xf numFmtId="169" fontId="3" fillId="5" borderId="1" xfId="5" applyNumberFormat="1" applyFont="1" applyFill="1" applyBorder="1" applyAlignment="1" applyProtection="1">
      <alignment horizontal="left" vertical="top"/>
      <protection locked="0"/>
    </xf>
    <xf numFmtId="0" fontId="23" fillId="12" borderId="8" xfId="255" applyFont="1" applyFill="1" applyBorder="1" applyAlignment="1" applyProtection="1">
      <alignment horizontal="left" vertical="top"/>
      <protection locked="0"/>
    </xf>
    <xf numFmtId="0" fontId="23" fillId="12" borderId="9" xfId="255" applyFont="1" applyFill="1" applyBorder="1" applyAlignment="1" applyProtection="1">
      <alignment horizontal="left" vertical="top"/>
      <protection locked="0"/>
    </xf>
    <xf numFmtId="0" fontId="23" fillId="12" borderId="10" xfId="255" applyFont="1" applyFill="1" applyBorder="1" applyAlignment="1" applyProtection="1">
      <alignment horizontal="left" vertical="top"/>
      <protection locked="0"/>
    </xf>
    <xf numFmtId="0" fontId="23" fillId="12" borderId="8" xfId="63" applyFont="1" applyFill="1" applyBorder="1" applyAlignment="1" applyProtection="1">
      <alignment horizontal="left" vertical="top"/>
      <protection locked="0"/>
    </xf>
    <xf numFmtId="0" fontId="23" fillId="12" borderId="9" xfId="63" applyFont="1" applyFill="1" applyBorder="1" applyAlignment="1" applyProtection="1">
      <alignment horizontal="left" vertical="top"/>
      <protection locked="0"/>
    </xf>
    <xf numFmtId="0" fontId="23" fillId="12" borderId="10" xfId="63" applyFont="1" applyFill="1" applyBorder="1" applyAlignment="1" applyProtection="1">
      <alignment horizontal="left" vertical="top"/>
      <protection locked="0"/>
    </xf>
    <xf numFmtId="0" fontId="3" fillId="5" borderId="12" xfId="136" applyFont="1" applyFill="1" applyBorder="1" applyAlignment="1" applyProtection="1">
      <alignment horizontal="left" vertical="top"/>
      <protection locked="0"/>
    </xf>
    <xf numFmtId="0" fontId="3" fillId="5" borderId="13" xfId="136" applyFont="1" applyFill="1" applyBorder="1" applyAlignment="1" applyProtection="1">
      <alignment horizontal="left" vertical="top"/>
      <protection locked="0"/>
    </xf>
    <xf numFmtId="0" fontId="3" fillId="5" borderId="14" xfId="136" applyFont="1" applyFill="1" applyBorder="1" applyAlignment="1" applyProtection="1">
      <alignment horizontal="left" vertical="top"/>
      <protection locked="0"/>
    </xf>
    <xf numFmtId="0" fontId="23" fillId="12" borderId="8" xfId="207" applyFont="1" applyFill="1" applyBorder="1" applyAlignment="1" applyProtection="1">
      <alignment horizontal="left" vertical="top"/>
      <protection locked="0"/>
    </xf>
    <xf numFmtId="0" fontId="23" fillId="12" borderId="9" xfId="207" applyFont="1" applyFill="1" applyBorder="1" applyAlignment="1" applyProtection="1">
      <alignment horizontal="left" vertical="top"/>
      <protection locked="0"/>
    </xf>
    <xf numFmtId="0" fontId="23" fillId="12" borderId="10" xfId="207" applyFont="1" applyFill="1" applyBorder="1" applyAlignment="1" applyProtection="1">
      <alignment horizontal="left" vertical="top"/>
      <protection locked="0"/>
    </xf>
    <xf numFmtId="0" fontId="3" fillId="5" borderId="8" xfId="5" applyFont="1" applyFill="1" applyBorder="1" applyAlignment="1" applyProtection="1">
      <alignment horizontal="left" vertical="top" wrapText="1"/>
      <protection locked="0"/>
    </xf>
    <xf numFmtId="0" fontId="3" fillId="5" borderId="9" xfId="5" applyFont="1" applyFill="1" applyBorder="1" applyAlignment="1" applyProtection="1">
      <alignment horizontal="left" vertical="top" wrapText="1"/>
      <protection locked="0"/>
    </xf>
    <xf numFmtId="0" fontId="3" fillId="5" borderId="10" xfId="5" applyFont="1" applyFill="1" applyBorder="1" applyAlignment="1" applyProtection="1">
      <alignment horizontal="left" vertical="top" wrapText="1"/>
      <protection locked="0"/>
    </xf>
    <xf numFmtId="0" fontId="23" fillId="12" borderId="8" xfId="195" applyFont="1" applyFill="1" applyBorder="1" applyAlignment="1" applyProtection="1">
      <alignment horizontal="left" vertical="top"/>
      <protection locked="0"/>
    </xf>
    <xf numFmtId="0" fontId="23" fillId="12" borderId="9" xfId="195" applyFont="1" applyFill="1" applyBorder="1" applyAlignment="1" applyProtection="1">
      <alignment horizontal="left" vertical="top"/>
      <protection locked="0"/>
    </xf>
    <xf numFmtId="0" fontId="23" fillId="12" borderId="10" xfId="195" applyFont="1" applyFill="1" applyBorder="1" applyAlignment="1" applyProtection="1">
      <alignment horizontal="left" vertical="top"/>
      <protection locked="0"/>
    </xf>
    <xf numFmtId="169" fontId="4" fillId="11" borderId="1" xfId="5" applyNumberFormat="1" applyFont="1" applyFill="1" applyBorder="1" applyAlignment="1" applyProtection="1">
      <alignment horizontal="left" vertical="top" wrapText="1"/>
    </xf>
    <xf numFmtId="169" fontId="4" fillId="2" borderId="1" xfId="5" applyNumberFormat="1" applyFont="1" applyFill="1" applyBorder="1" applyAlignment="1" applyProtection="1">
      <alignment horizontal="left" vertical="top" wrapText="1"/>
    </xf>
    <xf numFmtId="0" fontId="4" fillId="11" borderId="1" xfId="4" applyFont="1" applyFill="1" applyBorder="1" applyAlignment="1">
      <alignment horizontal="left" vertical="top" wrapText="1"/>
    </xf>
    <xf numFmtId="0" fontId="4" fillId="2" borderId="1" xfId="4" applyFont="1" applyFill="1" applyBorder="1" applyAlignment="1">
      <alignment horizontal="left" vertical="top" wrapText="1"/>
    </xf>
    <xf numFmtId="0" fontId="3" fillId="5" borderId="12" xfId="117" applyFont="1" applyFill="1" applyBorder="1" applyAlignment="1" applyProtection="1">
      <alignment horizontal="left" vertical="top"/>
      <protection locked="0"/>
    </xf>
    <xf numFmtId="0" fontId="3" fillId="5" borderId="13" xfId="117" applyFont="1" applyFill="1" applyBorder="1" applyAlignment="1" applyProtection="1">
      <alignment horizontal="left" vertical="top"/>
      <protection locked="0"/>
    </xf>
    <xf numFmtId="0" fontId="3" fillId="5" borderId="14" xfId="117" applyFont="1" applyFill="1" applyBorder="1" applyAlignment="1" applyProtection="1">
      <alignment horizontal="left" vertical="top"/>
      <protection locked="0"/>
    </xf>
    <xf numFmtId="0" fontId="23" fillId="12" borderId="8" xfId="183" applyFont="1" applyFill="1" applyBorder="1" applyAlignment="1" applyProtection="1">
      <alignment horizontal="left" vertical="top"/>
      <protection locked="0"/>
    </xf>
    <xf numFmtId="0" fontId="23" fillId="12" borderId="9" xfId="183" applyFont="1" applyFill="1" applyBorder="1" applyAlignment="1" applyProtection="1">
      <alignment horizontal="left" vertical="top"/>
      <protection locked="0"/>
    </xf>
    <xf numFmtId="0" fontId="23" fillId="12" borderId="10" xfId="183" applyFont="1" applyFill="1" applyBorder="1" applyAlignment="1" applyProtection="1">
      <alignment horizontal="left" vertical="top"/>
      <protection locked="0"/>
    </xf>
    <xf numFmtId="0" fontId="23" fillId="12" borderId="8" xfId="172" applyFont="1" applyFill="1" applyBorder="1" applyAlignment="1" applyProtection="1">
      <alignment horizontal="left" vertical="top"/>
      <protection locked="0"/>
    </xf>
    <xf numFmtId="0" fontId="23" fillId="12" borderId="9" xfId="172" applyFont="1" applyFill="1" applyBorder="1" applyAlignment="1" applyProtection="1">
      <alignment horizontal="left" vertical="top"/>
      <protection locked="0"/>
    </xf>
    <xf numFmtId="0" fontId="23" fillId="12" borderId="10" xfId="172" applyFont="1" applyFill="1" applyBorder="1" applyAlignment="1" applyProtection="1">
      <alignment horizontal="left" vertical="top"/>
      <protection locked="0"/>
    </xf>
    <xf numFmtId="169" fontId="3" fillId="5" borderId="6" xfId="5" applyNumberFormat="1" applyFont="1" applyFill="1" applyBorder="1" applyAlignment="1" applyProtection="1">
      <alignment horizontal="left" vertical="top"/>
      <protection locked="0"/>
    </xf>
    <xf numFmtId="0" fontId="3" fillId="5" borderId="12" xfId="130" applyFont="1" applyFill="1" applyBorder="1" applyAlignment="1" applyProtection="1">
      <alignment horizontal="left" vertical="top"/>
      <protection locked="0"/>
    </xf>
    <xf numFmtId="0" fontId="3" fillId="5" borderId="13" xfId="130" applyFont="1" applyFill="1" applyBorder="1" applyAlignment="1" applyProtection="1">
      <alignment horizontal="left" vertical="top"/>
      <protection locked="0"/>
    </xf>
    <xf numFmtId="0" fontId="3" fillId="5" borderId="14" xfId="130" applyFont="1" applyFill="1" applyBorder="1" applyAlignment="1" applyProtection="1">
      <alignment horizontal="left" vertical="top"/>
      <protection locked="0"/>
    </xf>
    <xf numFmtId="0" fontId="23" fillId="12" borderId="8" xfId="219" applyFont="1" applyFill="1" applyBorder="1" applyAlignment="1" applyProtection="1">
      <alignment horizontal="left" vertical="top"/>
      <protection locked="0"/>
    </xf>
    <xf numFmtId="0" fontId="23" fillId="12" borderId="9" xfId="219" applyFont="1" applyFill="1" applyBorder="1" applyAlignment="1" applyProtection="1">
      <alignment horizontal="left" vertical="top"/>
      <protection locked="0"/>
    </xf>
    <xf numFmtId="0" fontId="23" fillId="12" borderId="10" xfId="219" applyFont="1" applyFill="1" applyBorder="1" applyAlignment="1" applyProtection="1">
      <alignment horizontal="left" vertical="top"/>
      <protection locked="0"/>
    </xf>
    <xf numFmtId="0" fontId="23" fillId="12" borderId="8" xfId="267" applyFont="1" applyFill="1" applyBorder="1" applyAlignment="1" applyProtection="1">
      <alignment horizontal="left" vertical="top"/>
      <protection locked="0"/>
    </xf>
    <xf numFmtId="0" fontId="23" fillId="12" borderId="9" xfId="267" applyFont="1" applyFill="1" applyBorder="1" applyAlignment="1" applyProtection="1">
      <alignment horizontal="left" vertical="top"/>
      <protection locked="0"/>
    </xf>
    <xf numFmtId="0" fontId="23" fillId="12" borderId="10" xfId="267" applyFont="1" applyFill="1" applyBorder="1" applyAlignment="1" applyProtection="1">
      <alignment horizontal="left" vertical="top"/>
      <protection locked="0"/>
    </xf>
    <xf numFmtId="0" fontId="23" fillId="12" borderId="8" xfId="243" applyFont="1" applyFill="1" applyBorder="1" applyAlignment="1" applyProtection="1">
      <alignment horizontal="left" vertical="top"/>
      <protection locked="0"/>
    </xf>
    <xf numFmtId="0" fontId="23" fillId="12" borderId="9" xfId="243" applyFont="1" applyFill="1" applyBorder="1" applyAlignment="1" applyProtection="1">
      <alignment horizontal="left" vertical="top"/>
      <protection locked="0"/>
    </xf>
    <xf numFmtId="0" fontId="23" fillId="12" borderId="10" xfId="243" applyFont="1" applyFill="1" applyBorder="1" applyAlignment="1" applyProtection="1">
      <alignment horizontal="left" vertical="top"/>
      <protection locked="0"/>
    </xf>
    <xf numFmtId="0" fontId="23" fillId="12" borderId="8" xfId="231" applyFont="1" applyFill="1" applyBorder="1" applyAlignment="1" applyProtection="1">
      <alignment horizontal="left" vertical="top"/>
      <protection locked="0"/>
    </xf>
    <xf numFmtId="0" fontId="23" fillId="12" borderId="9" xfId="231" applyFont="1" applyFill="1" applyBorder="1" applyAlignment="1" applyProtection="1">
      <alignment horizontal="left" vertical="top"/>
      <protection locked="0"/>
    </xf>
    <xf numFmtId="0" fontId="23" fillId="12" borderId="10" xfId="231" applyFont="1" applyFill="1" applyBorder="1" applyAlignment="1" applyProtection="1">
      <alignment horizontal="left" vertical="top"/>
      <protection locked="0"/>
    </xf>
    <xf numFmtId="0" fontId="3" fillId="5" borderId="12" xfId="148" applyFont="1" applyFill="1" applyBorder="1" applyAlignment="1" applyProtection="1">
      <alignment horizontal="left" vertical="top"/>
      <protection locked="0"/>
    </xf>
    <xf numFmtId="0" fontId="3" fillId="5" borderId="13" xfId="148" applyFont="1" applyFill="1" applyBorder="1" applyAlignment="1" applyProtection="1">
      <alignment horizontal="left" vertical="top"/>
      <protection locked="0"/>
    </xf>
    <xf numFmtId="0" fontId="3" fillId="5" borderId="14" xfId="148" applyFont="1" applyFill="1" applyBorder="1" applyAlignment="1" applyProtection="1">
      <alignment horizontal="left" vertical="top"/>
      <protection locked="0"/>
    </xf>
    <xf numFmtId="169" fontId="3" fillId="5" borderId="8" xfId="5" applyNumberFormat="1" applyFont="1" applyFill="1" applyBorder="1" applyAlignment="1" applyProtection="1">
      <alignment horizontal="left" vertical="top"/>
      <protection locked="0"/>
    </xf>
    <xf numFmtId="169" fontId="3" fillId="5" borderId="9" xfId="5" applyNumberFormat="1" applyFont="1" applyFill="1" applyBorder="1" applyAlignment="1" applyProtection="1">
      <alignment horizontal="left" vertical="top"/>
      <protection locked="0"/>
    </xf>
    <xf numFmtId="169" fontId="3" fillId="5" borderId="10" xfId="5" applyNumberFormat="1" applyFont="1" applyFill="1" applyBorder="1" applyAlignment="1" applyProtection="1">
      <alignment horizontal="left" vertical="top"/>
      <protection locked="0"/>
    </xf>
    <xf numFmtId="0" fontId="3" fillId="5" borderId="12" xfId="142" applyFont="1" applyFill="1" applyBorder="1" applyAlignment="1" applyProtection="1">
      <alignment horizontal="left" vertical="top"/>
      <protection locked="0"/>
    </xf>
    <xf numFmtId="0" fontId="3" fillId="5" borderId="13" xfId="142" applyFont="1" applyFill="1" applyBorder="1" applyAlignment="1" applyProtection="1">
      <alignment horizontal="left" vertical="top"/>
      <protection locked="0"/>
    </xf>
    <xf numFmtId="0" fontId="3" fillId="5" borderId="14" xfId="142" applyFont="1" applyFill="1" applyBorder="1" applyAlignment="1" applyProtection="1">
      <alignment horizontal="left" vertical="top"/>
      <protection locked="0"/>
    </xf>
    <xf numFmtId="0" fontId="4" fillId="11" borderId="9" xfId="4" applyFont="1" applyFill="1" applyBorder="1" applyAlignment="1">
      <alignment horizontal="center" vertical="top"/>
    </xf>
    <xf numFmtId="0" fontId="4" fillId="11" borderId="10" xfId="4" applyFont="1" applyFill="1" applyBorder="1" applyAlignment="1">
      <alignment horizontal="center" vertical="top"/>
    </xf>
    <xf numFmtId="0" fontId="4" fillId="11" borderId="8" xfId="4" applyFont="1" applyFill="1" applyBorder="1" applyAlignment="1">
      <alignment horizontal="center" vertical="top"/>
    </xf>
    <xf numFmtId="0" fontId="4" fillId="11" borderId="1" xfId="4" applyFont="1" applyFill="1" applyBorder="1" applyAlignment="1">
      <alignment horizontal="center" vertical="top"/>
    </xf>
    <xf numFmtId="0" fontId="3" fillId="5" borderId="12" xfId="160" applyFont="1" applyFill="1" applyBorder="1" applyAlignment="1" applyProtection="1">
      <alignment horizontal="left" vertical="top"/>
      <protection locked="0"/>
    </xf>
    <xf numFmtId="0" fontId="3" fillId="5" borderId="13" xfId="160" applyFont="1" applyFill="1" applyBorder="1" applyAlignment="1" applyProtection="1">
      <alignment horizontal="left" vertical="top"/>
      <protection locked="0"/>
    </xf>
    <xf numFmtId="0" fontId="3" fillId="5" borderId="14" xfId="160" applyFont="1" applyFill="1" applyBorder="1" applyAlignment="1" applyProtection="1">
      <alignment horizontal="left" vertical="top"/>
      <protection locked="0"/>
    </xf>
    <xf numFmtId="0" fontId="3" fillId="5" borderId="12" xfId="154" applyFont="1" applyFill="1" applyBorder="1" applyAlignment="1" applyProtection="1">
      <alignment horizontal="left" vertical="top"/>
      <protection locked="0"/>
    </xf>
    <xf numFmtId="0" fontId="3" fillId="5" borderId="13" xfId="154" applyFont="1" applyFill="1" applyBorder="1" applyAlignment="1" applyProtection="1">
      <alignment horizontal="left" vertical="top"/>
      <protection locked="0"/>
    </xf>
    <xf numFmtId="0" fontId="3" fillId="5" borderId="14" xfId="154" applyFont="1" applyFill="1" applyBorder="1" applyAlignment="1" applyProtection="1">
      <alignment horizontal="left" vertical="top"/>
      <protection locked="0"/>
    </xf>
    <xf numFmtId="0" fontId="3" fillId="5" borderId="12" xfId="166" applyFont="1" applyFill="1" applyBorder="1" applyAlignment="1" applyProtection="1">
      <alignment horizontal="left" vertical="top"/>
      <protection locked="0"/>
    </xf>
    <xf numFmtId="0" fontId="3" fillId="5" borderId="13" xfId="166" applyFont="1" applyFill="1" applyBorder="1" applyAlignment="1" applyProtection="1">
      <alignment horizontal="left" vertical="top"/>
      <protection locked="0"/>
    </xf>
    <xf numFmtId="0" fontId="3" fillId="5" borderId="14" xfId="166" applyFont="1" applyFill="1" applyBorder="1" applyAlignment="1" applyProtection="1">
      <alignment horizontal="left" vertical="top"/>
      <protection locked="0"/>
    </xf>
    <xf numFmtId="169" fontId="3" fillId="5" borderId="1" xfId="5" applyNumberFormat="1" applyFont="1" applyFill="1" applyBorder="1" applyAlignment="1" applyProtection="1">
      <alignment horizontal="left" vertical="top" wrapText="1"/>
      <protection locked="0"/>
    </xf>
    <xf numFmtId="0" fontId="62" fillId="14" borderId="2" xfId="4" applyFont="1" applyFill="1" applyBorder="1" applyAlignment="1" applyProtection="1">
      <alignment vertical="top"/>
    </xf>
    <xf numFmtId="0" fontId="62" fillId="14" borderId="16" xfId="4" applyFont="1" applyFill="1" applyBorder="1" applyAlignment="1" applyProtection="1">
      <alignment vertical="top"/>
    </xf>
    <xf numFmtId="0" fontId="62" fillId="14" borderId="3" xfId="4" applyFont="1" applyFill="1" applyBorder="1" applyAlignment="1" applyProtection="1">
      <alignment vertical="top"/>
    </xf>
    <xf numFmtId="0" fontId="4" fillId="11" borderId="73" xfId="4" applyFont="1" applyFill="1" applyBorder="1" applyAlignment="1" applyProtection="1">
      <alignment horizontal="left" vertical="top" wrapText="1"/>
    </xf>
    <xf numFmtId="0" fontId="4" fillId="11" borderId="22" xfId="4" applyFont="1" applyFill="1" applyBorder="1" applyAlignment="1" applyProtection="1">
      <alignment horizontal="left" vertical="top" wrapText="1"/>
    </xf>
    <xf numFmtId="0" fontId="4" fillId="11" borderId="35" xfId="4" applyFont="1" applyFill="1" applyBorder="1" applyAlignment="1" applyProtection="1">
      <alignment horizontal="left" vertical="top" wrapText="1"/>
    </xf>
    <xf numFmtId="0" fontId="4" fillId="11" borderId="13" xfId="4" applyFont="1" applyFill="1" applyBorder="1" applyAlignment="1" applyProtection="1">
      <alignment horizontal="left" vertical="top" wrapText="1"/>
    </xf>
    <xf numFmtId="0" fontId="4" fillId="11" borderId="17" xfId="4" applyFont="1" applyFill="1" applyBorder="1" applyAlignment="1" applyProtection="1">
      <alignment horizontal="center" vertical="top"/>
    </xf>
    <xf numFmtId="0" fontId="4" fillId="11" borderId="28" xfId="4" applyFont="1" applyFill="1" applyBorder="1" applyAlignment="1" applyProtection="1">
      <alignment horizontal="center" vertical="top"/>
    </xf>
    <xf numFmtId="174" fontId="3" fillId="11" borderId="8" xfId="4" applyNumberFormat="1" applyFont="1" applyFill="1" applyBorder="1" applyAlignment="1" applyProtection="1">
      <alignment vertical="top"/>
    </xf>
    <xf numFmtId="174" fontId="3" fillId="11" borderId="9" xfId="4" applyNumberFormat="1" applyFont="1" applyFill="1" applyBorder="1" applyAlignment="1" applyProtection="1">
      <alignment vertical="top"/>
    </xf>
    <xf numFmtId="174" fontId="3" fillId="11" borderId="10" xfId="4" applyNumberFormat="1" applyFont="1" applyFill="1" applyBorder="1" applyAlignment="1" applyProtection="1">
      <alignment vertical="top"/>
    </xf>
    <xf numFmtId="0" fontId="4" fillId="11" borderId="6" xfId="4" applyFont="1" applyFill="1" applyBorder="1" applyAlignment="1" applyProtection="1">
      <alignment horizontal="center" vertical="top"/>
    </xf>
    <xf numFmtId="0" fontId="4" fillId="11" borderId="20" xfId="4" applyFont="1" applyFill="1" applyBorder="1" applyAlignment="1" applyProtection="1">
      <alignment horizontal="right" vertical="top" wrapText="1"/>
    </xf>
    <xf numFmtId="0" fontId="4" fillId="11" borderId="6" xfId="4" applyFont="1" applyFill="1" applyBorder="1" applyAlignment="1" applyProtection="1">
      <alignment horizontal="right" vertical="top" wrapText="1"/>
    </xf>
    <xf numFmtId="0" fontId="4" fillId="11" borderId="0" xfId="4" applyFont="1" applyFill="1" applyBorder="1" applyAlignment="1" applyProtection="1">
      <alignment horizontal="left" vertical="top" wrapText="1"/>
    </xf>
    <xf numFmtId="0" fontId="3" fillId="11" borderId="8" xfId="4" applyFont="1" applyFill="1" applyBorder="1" applyAlignment="1" applyProtection="1">
      <alignment vertical="top"/>
    </xf>
    <xf numFmtId="0" fontId="3" fillId="11" borderId="9" xfId="4" applyFont="1" applyFill="1" applyBorder="1" applyAlignment="1" applyProtection="1">
      <alignment vertical="top"/>
    </xf>
    <xf numFmtId="0" fontId="3" fillId="11" borderId="10" xfId="4" applyFont="1" applyFill="1" applyBorder="1" applyAlignment="1" applyProtection="1">
      <alignment vertical="top"/>
    </xf>
    <xf numFmtId="167" fontId="90" fillId="11" borderId="8" xfId="4" applyNumberFormat="1" applyFont="1" applyFill="1" applyBorder="1" applyAlignment="1">
      <alignment vertical="top"/>
    </xf>
    <xf numFmtId="167" fontId="90" fillId="11" borderId="10" xfId="4" applyNumberFormat="1" applyFont="1" applyFill="1" applyBorder="1" applyAlignment="1">
      <alignment vertical="top"/>
    </xf>
    <xf numFmtId="0" fontId="4" fillId="11" borderId="8" xfId="4" applyFont="1" applyFill="1" applyBorder="1" applyAlignment="1" applyProtection="1">
      <alignment vertical="top"/>
    </xf>
    <xf numFmtId="0" fontId="4" fillId="11" borderId="9" xfId="4" applyFont="1" applyFill="1" applyBorder="1" applyAlignment="1" applyProtection="1">
      <alignment vertical="top"/>
    </xf>
    <xf numFmtId="0" fontId="4" fillId="11" borderId="10" xfId="4" applyFont="1" applyFill="1" applyBorder="1" applyAlignment="1" applyProtection="1">
      <alignment vertical="top"/>
    </xf>
    <xf numFmtId="0" fontId="80" fillId="11" borderId="0" xfId="4" applyFont="1" applyFill="1" applyBorder="1" applyAlignment="1" applyProtection="1">
      <alignment horizontal="right" vertical="top" wrapText="1"/>
    </xf>
    <xf numFmtId="0" fontId="4" fillId="11" borderId="27" xfId="4" applyFont="1" applyFill="1" applyBorder="1" applyAlignment="1" applyProtection="1">
      <alignment horizontal="center" vertical="top"/>
    </xf>
    <xf numFmtId="0" fontId="4" fillId="11" borderId="1" xfId="4" applyFont="1" applyFill="1" applyBorder="1" applyAlignment="1" applyProtection="1">
      <alignment horizontal="right" vertical="top" wrapText="1"/>
    </xf>
    <xf numFmtId="0" fontId="4" fillId="11" borderId="1" xfId="4" applyFont="1" applyFill="1" applyBorder="1" applyAlignment="1" applyProtection="1">
      <alignment horizontal="center" vertical="top" wrapText="1"/>
    </xf>
    <xf numFmtId="0" fontId="93" fillId="11" borderId="111" xfId="699" applyFont="1" applyFill="1" applyBorder="1" applyAlignment="1" applyProtection="1">
      <alignment horizontal="right" vertical="top"/>
    </xf>
    <xf numFmtId="39" fontId="93" fillId="11" borderId="111" xfId="699" applyNumberFormat="1" applyFont="1" applyFill="1" applyBorder="1" applyAlignment="1">
      <alignment horizontal="right" vertical="top"/>
    </xf>
    <xf numFmtId="3" fontId="3" fillId="6" borderId="15" xfId="63" applyNumberFormat="1" applyFont="1" applyFill="1" applyBorder="1" applyAlignment="1" applyProtection="1">
      <alignment horizontal="center" vertical="top"/>
      <protection locked="0"/>
    </xf>
    <xf numFmtId="3" fontId="3" fillId="6" borderId="0" xfId="63" applyNumberFormat="1" applyFont="1" applyFill="1" applyBorder="1" applyAlignment="1" applyProtection="1">
      <alignment horizontal="center" vertical="top"/>
      <protection locked="0"/>
    </xf>
    <xf numFmtId="3" fontId="3" fillId="11" borderId="0" xfId="5" applyNumberFormat="1" applyFont="1" applyFill="1" applyBorder="1" applyAlignment="1" applyProtection="1">
      <alignment horizontal="center" vertical="top"/>
    </xf>
    <xf numFmtId="0" fontId="4" fillId="11" borderId="68" xfId="4" applyFont="1" applyFill="1" applyBorder="1" applyAlignment="1" applyProtection="1">
      <alignment horizontal="left" vertical="top" wrapText="1"/>
    </xf>
    <xf numFmtId="0" fontId="3" fillId="6" borderId="69" xfId="63" applyFont="1" applyFill="1" applyBorder="1" applyAlignment="1" applyProtection="1">
      <alignment horizontal="left" vertical="top"/>
      <protection locked="0"/>
    </xf>
    <xf numFmtId="0" fontId="3" fillId="6" borderId="15" xfId="63" applyFont="1" applyFill="1" applyBorder="1" applyAlignment="1" applyProtection="1">
      <alignment horizontal="left" vertical="top"/>
      <protection locked="0"/>
    </xf>
    <xf numFmtId="0" fontId="62" fillId="11" borderId="2" xfId="4" applyFont="1" applyFill="1" applyBorder="1" applyAlignment="1" applyProtection="1">
      <alignment vertical="top"/>
    </xf>
    <xf numFmtId="0" fontId="62" fillId="11" borderId="16" xfId="4" applyFont="1" applyFill="1" applyBorder="1" applyAlignment="1" applyProtection="1">
      <alignment vertical="top"/>
    </xf>
    <xf numFmtId="0" fontId="62" fillId="11" borderId="3" xfId="4" applyFont="1" applyFill="1" applyBorder="1" applyAlignment="1" applyProtection="1">
      <alignment vertical="top"/>
    </xf>
    <xf numFmtId="3" fontId="4" fillId="11" borderId="16" xfId="5" applyNumberFormat="1" applyFont="1" applyFill="1" applyBorder="1" applyAlignment="1" applyProtection="1">
      <alignment horizontal="right" vertical="top"/>
    </xf>
    <xf numFmtId="3" fontId="4" fillId="11" borderId="3" xfId="5" applyNumberFormat="1" applyFont="1" applyFill="1" applyBorder="1" applyAlignment="1" applyProtection="1">
      <alignment horizontal="right" vertical="top"/>
    </xf>
    <xf numFmtId="175" fontId="4" fillId="11" borderId="2" xfId="4" applyNumberFormat="1" applyFont="1" applyFill="1" applyBorder="1" applyAlignment="1" applyProtection="1">
      <alignment vertical="top"/>
    </xf>
    <xf numFmtId="175" fontId="4" fillId="11" borderId="16" xfId="4" applyNumberFormat="1" applyFont="1" applyFill="1" applyBorder="1" applyAlignment="1" applyProtection="1">
      <alignment vertical="top"/>
    </xf>
    <xf numFmtId="0" fontId="3" fillId="11" borderId="32" xfId="4" applyFont="1" applyFill="1" applyBorder="1" applyAlignment="1" applyProtection="1">
      <alignment vertical="top"/>
    </xf>
    <xf numFmtId="0" fontId="3" fillId="2" borderId="0" xfId="4" applyFont="1" applyFill="1" applyBorder="1" applyAlignment="1" applyProtection="1">
      <alignment vertical="top"/>
    </xf>
    <xf numFmtId="175" fontId="3" fillId="5" borderId="32" xfId="4" applyNumberFormat="1" applyFont="1" applyFill="1" applyBorder="1" applyAlignment="1" applyProtection="1">
      <alignment vertical="top"/>
      <protection locked="0"/>
    </xf>
    <xf numFmtId="175" fontId="3" fillId="5" borderId="0" xfId="4" applyNumberFormat="1" applyFont="1" applyFill="1" applyBorder="1" applyAlignment="1" applyProtection="1">
      <alignment vertical="top"/>
      <protection locked="0"/>
    </xf>
    <xf numFmtId="175" fontId="4" fillId="11" borderId="8" xfId="4" applyNumberFormat="1" applyFont="1" applyFill="1" applyBorder="1" applyAlignment="1" applyProtection="1">
      <alignment vertical="top"/>
    </xf>
    <xf numFmtId="175" fontId="4" fillId="2" borderId="9" xfId="4" applyNumberFormat="1" applyFont="1" applyFill="1" applyBorder="1" applyAlignment="1" applyProtection="1">
      <alignment vertical="top"/>
    </xf>
    <xf numFmtId="175" fontId="3" fillId="11" borderId="32" xfId="4" applyNumberFormat="1" applyFont="1" applyFill="1" applyBorder="1" applyAlignment="1" applyProtection="1">
      <alignment vertical="top"/>
    </xf>
    <xf numFmtId="175" fontId="3" fillId="11" borderId="0" xfId="4" applyNumberFormat="1" applyFont="1" applyFill="1" applyBorder="1" applyAlignment="1" applyProtection="1">
      <alignment vertical="top"/>
    </xf>
    <xf numFmtId="0" fontId="4" fillId="11" borderId="30" xfId="4" applyFont="1" applyFill="1" applyBorder="1" applyAlignment="1" applyProtection="1">
      <alignment horizontal="left" vertical="top" wrapText="1"/>
    </xf>
    <xf numFmtId="0" fontId="4" fillId="11" borderId="8" xfId="4" applyFont="1" applyFill="1" applyBorder="1" applyAlignment="1" applyProtection="1">
      <alignment horizontal="left" vertical="top" wrapText="1"/>
    </xf>
    <xf numFmtId="0" fontId="4" fillId="11" borderId="9" xfId="4" applyFont="1" applyFill="1" applyBorder="1" applyAlignment="1" applyProtection="1">
      <alignment horizontal="left" vertical="top" wrapText="1"/>
    </xf>
    <xf numFmtId="0" fontId="4" fillId="11" borderId="29" xfId="4" applyFont="1" applyFill="1" applyBorder="1" applyAlignment="1" applyProtection="1">
      <alignment horizontal="left" vertical="top" wrapText="1"/>
    </xf>
    <xf numFmtId="0" fontId="4" fillId="11" borderId="71" xfId="4" applyFont="1" applyFill="1" applyBorder="1" applyAlignment="1" applyProtection="1">
      <alignment horizontal="left" vertical="top"/>
    </xf>
    <xf numFmtId="0" fontId="4" fillId="2" borderId="34" xfId="4" applyFont="1" applyFill="1" applyBorder="1" applyAlignment="1" applyProtection="1">
      <alignment horizontal="left" vertical="top"/>
    </xf>
    <xf numFmtId="0" fontId="4" fillId="11" borderId="70" xfId="4" applyFont="1" applyFill="1" applyBorder="1" applyAlignment="1" applyProtection="1">
      <alignment horizontal="left" vertical="top"/>
    </xf>
    <xf numFmtId="0" fontId="4" fillId="2" borderId="9" xfId="4" applyFont="1" applyFill="1" applyBorder="1" applyAlignment="1" applyProtection="1">
      <alignment horizontal="left" vertical="top"/>
    </xf>
    <xf numFmtId="0" fontId="4" fillId="11" borderId="70" xfId="4" applyFont="1" applyFill="1" applyBorder="1" applyAlignment="1" applyProtection="1">
      <alignment horizontal="left" vertical="top" wrapText="1"/>
    </xf>
    <xf numFmtId="0" fontId="4" fillId="2" borderId="9" xfId="4" applyFont="1" applyFill="1" applyBorder="1" applyAlignment="1" applyProtection="1">
      <alignment horizontal="left" vertical="top" wrapText="1"/>
    </xf>
    <xf numFmtId="0" fontId="3" fillId="6" borderId="67" xfId="279" applyFont="1" applyFill="1" applyBorder="1" applyAlignment="1" applyProtection="1">
      <alignment horizontal="left" vertical="top"/>
      <protection locked="0"/>
    </xf>
    <xf numFmtId="0" fontId="3" fillId="6" borderId="0" xfId="279" applyFont="1" applyFill="1" applyBorder="1" applyAlignment="1" applyProtection="1">
      <alignment horizontal="left" vertical="top"/>
      <protection locked="0"/>
    </xf>
    <xf numFmtId="0" fontId="3" fillId="11" borderId="67" xfId="279" applyFont="1" applyFill="1" applyBorder="1" applyAlignment="1" applyProtection="1">
      <alignment horizontal="left" vertical="top"/>
    </xf>
    <xf numFmtId="0" fontId="3" fillId="11" borderId="0" xfId="279" applyFont="1" applyFill="1" applyBorder="1" applyAlignment="1" applyProtection="1">
      <alignment horizontal="left" vertical="top"/>
    </xf>
    <xf numFmtId="175" fontId="4" fillId="11" borderId="12" xfId="4" applyNumberFormat="1" applyFont="1" applyFill="1" applyBorder="1" applyAlignment="1" applyProtection="1">
      <alignment vertical="top"/>
    </xf>
    <xf numFmtId="175" fontId="4" fillId="11" borderId="13" xfId="4" applyNumberFormat="1" applyFont="1" applyFill="1" applyBorder="1" applyAlignment="1" applyProtection="1">
      <alignment vertical="top"/>
    </xf>
    <xf numFmtId="0" fontId="25" fillId="11" borderId="8" xfId="0" applyFont="1" applyFill="1" applyBorder="1" applyAlignment="1">
      <alignment vertical="top"/>
    </xf>
    <xf numFmtId="0" fontId="25" fillId="11" borderId="9" xfId="0" applyFont="1" applyFill="1" applyBorder="1" applyAlignment="1">
      <alignment vertical="top"/>
    </xf>
    <xf numFmtId="0" fontId="25" fillId="11" borderId="10" xfId="0" applyFont="1" applyFill="1" applyBorder="1" applyAlignment="1">
      <alignment vertical="top"/>
    </xf>
    <xf numFmtId="0" fontId="25" fillId="11" borderId="17" xfId="0" applyFont="1" applyFill="1" applyBorder="1" applyAlignment="1">
      <alignment vertical="top"/>
    </xf>
    <xf numFmtId="0" fontId="25" fillId="11" borderId="27" xfId="0" applyFont="1" applyFill="1" applyBorder="1" applyAlignment="1">
      <alignment vertical="top"/>
    </xf>
    <xf numFmtId="0" fontId="25" fillId="11" borderId="28" xfId="0" applyFont="1" applyFill="1" applyBorder="1" applyAlignment="1">
      <alignment vertical="top"/>
    </xf>
    <xf numFmtId="0" fontId="66" fillId="11" borderId="8" xfId="0" applyFont="1" applyFill="1" applyBorder="1" applyAlignment="1">
      <alignment vertical="top"/>
    </xf>
    <xf numFmtId="0" fontId="66" fillId="11" borderId="9" xfId="0" applyFont="1" applyFill="1" applyBorder="1" applyAlignment="1">
      <alignment vertical="top"/>
    </xf>
    <xf numFmtId="0" fontId="66" fillId="11" borderId="10" xfId="0" applyFont="1" applyFill="1" applyBorder="1" applyAlignment="1">
      <alignment vertical="top"/>
    </xf>
    <xf numFmtId="0" fontId="3" fillId="11" borderId="17" xfId="0" applyFont="1" applyFill="1" applyBorder="1" applyAlignment="1" applyProtection="1">
      <alignment horizontal="left" vertical="top" wrapText="1"/>
    </xf>
    <xf numFmtId="0" fontId="3" fillId="11" borderId="27" xfId="0" applyFont="1" applyFill="1" applyBorder="1" applyAlignment="1" applyProtection="1">
      <alignment horizontal="left" vertical="top" wrapText="1"/>
    </xf>
    <xf numFmtId="0" fontId="3" fillId="11" borderId="28" xfId="0" applyFont="1" applyFill="1" applyBorder="1" applyAlignment="1" applyProtection="1">
      <alignment horizontal="left" vertical="top" wrapText="1"/>
    </xf>
    <xf numFmtId="0" fontId="66" fillId="11" borderId="17" xfId="0" applyFont="1" applyFill="1" applyBorder="1" applyAlignment="1">
      <alignment vertical="top"/>
    </xf>
    <xf numFmtId="0" fontId="66" fillId="11" borderId="27" xfId="0" applyFont="1" applyFill="1" applyBorder="1" applyAlignment="1">
      <alignment vertical="top"/>
    </xf>
    <xf numFmtId="0" fontId="66" fillId="11" borderId="28" xfId="0" applyFont="1" applyFill="1" applyBorder="1" applyAlignment="1">
      <alignment vertical="top"/>
    </xf>
    <xf numFmtId="0" fontId="97" fillId="3" borderId="8" xfId="7" applyFont="1" applyFill="1" applyBorder="1" applyAlignment="1" applyProtection="1">
      <alignment horizontal="left" vertical="center"/>
    </xf>
    <xf numFmtId="0" fontId="97" fillId="3" borderId="9" xfId="7" applyFont="1" applyFill="1" applyBorder="1" applyAlignment="1" applyProtection="1">
      <alignment horizontal="left" vertical="center"/>
    </xf>
    <xf numFmtId="167" fontId="3" fillId="5" borderId="58" xfId="7" applyNumberFormat="1" applyFont="1" applyFill="1" applyBorder="1" applyAlignment="1" applyProtection="1">
      <alignment horizontal="left" vertical="center"/>
      <protection locked="0"/>
    </xf>
    <xf numFmtId="167" fontId="3" fillId="5" borderId="57" xfId="7" applyNumberFormat="1" applyFont="1" applyFill="1" applyBorder="1" applyAlignment="1" applyProtection="1">
      <alignment horizontal="left" vertical="center"/>
      <protection locked="0"/>
    </xf>
    <xf numFmtId="0" fontId="3" fillId="5" borderId="58" xfId="7" applyFont="1" applyFill="1" applyBorder="1" applyAlignment="1" applyProtection="1">
      <alignment horizontal="left" vertical="center"/>
      <protection locked="0"/>
    </xf>
    <xf numFmtId="0" fontId="3" fillId="5" borderId="57" xfId="7" applyFont="1" applyFill="1" applyBorder="1" applyAlignment="1" applyProtection="1">
      <alignment horizontal="left" vertical="center"/>
      <protection locked="0"/>
    </xf>
    <xf numFmtId="0" fontId="3" fillId="5" borderId="61" xfId="7" applyFont="1" applyFill="1" applyBorder="1" applyAlignment="1" applyProtection="1">
      <alignment horizontal="left" vertical="center"/>
      <protection locked="0"/>
    </xf>
    <xf numFmtId="0" fontId="3" fillId="5" borderId="9" xfId="7" applyFont="1" applyFill="1" applyBorder="1" applyAlignment="1" applyProtection="1">
      <alignment horizontal="left" vertical="center"/>
      <protection locked="0"/>
    </xf>
    <xf numFmtId="0" fontId="3" fillId="5" borderId="10" xfId="7" applyFont="1" applyFill="1" applyBorder="1" applyAlignment="1" applyProtection="1">
      <alignment horizontal="left" vertical="center"/>
      <protection locked="0"/>
    </xf>
    <xf numFmtId="0" fontId="3" fillId="4" borderId="18" xfId="7" applyFont="1" applyFill="1" applyBorder="1" applyAlignment="1" applyProtection="1">
      <alignment horizontal="center" vertical="center"/>
    </xf>
    <xf numFmtId="0" fontId="3" fillId="4" borderId="15" xfId="7" applyFont="1" applyFill="1" applyBorder="1" applyAlignment="1" applyProtection="1">
      <alignment horizontal="center" vertical="center"/>
    </xf>
    <xf numFmtId="0" fontId="3" fillId="4" borderId="11" xfId="7" applyFont="1" applyFill="1" applyBorder="1" applyAlignment="1" applyProtection="1">
      <alignment horizontal="center" vertical="center"/>
    </xf>
    <xf numFmtId="0" fontId="3" fillId="4" borderId="32" xfId="7" applyFont="1" applyFill="1" applyBorder="1" applyAlignment="1" applyProtection="1">
      <alignment horizontal="center" vertical="center"/>
    </xf>
    <xf numFmtId="0" fontId="3" fillId="4" borderId="0" xfId="7" applyFont="1" applyFill="1" applyBorder="1" applyAlignment="1" applyProtection="1">
      <alignment horizontal="center" vertical="center"/>
    </xf>
    <xf numFmtId="0" fontId="3" fillId="4" borderId="7" xfId="7" applyFont="1" applyFill="1" applyBorder="1" applyAlignment="1" applyProtection="1">
      <alignment horizontal="center" vertical="center"/>
    </xf>
    <xf numFmtId="0" fontId="3" fillId="4" borderId="13" xfId="7" applyFont="1" applyFill="1" applyBorder="1" applyAlignment="1" applyProtection="1">
      <alignment horizontal="left" vertical="center"/>
    </xf>
    <xf numFmtId="0" fontId="97" fillId="3" borderId="10" xfId="7" applyFont="1" applyFill="1" applyBorder="1" applyAlignment="1" applyProtection="1">
      <alignment horizontal="left" vertical="center"/>
    </xf>
    <xf numFmtId="167" fontId="3" fillId="2" borderId="58" xfId="7" applyNumberFormat="1" applyFont="1" applyFill="1" applyBorder="1" applyAlignment="1" applyProtection="1">
      <alignment horizontal="left" vertical="center"/>
    </xf>
    <xf numFmtId="167" fontId="3" fillId="2" borderId="57" xfId="7" applyNumberFormat="1" applyFont="1" applyFill="1" applyBorder="1" applyAlignment="1" applyProtection="1">
      <alignment horizontal="left" vertical="center"/>
    </xf>
    <xf numFmtId="0" fontId="3" fillId="5" borderId="56" xfId="556" applyFont="1" applyFill="1" applyBorder="1" applyAlignment="1" applyProtection="1">
      <alignment horizontal="left" vertical="center"/>
      <protection locked="0"/>
    </xf>
    <xf numFmtId="0" fontId="3" fillId="5" borderId="53" xfId="556" applyFont="1" applyFill="1" applyBorder="1" applyAlignment="1" applyProtection="1">
      <alignment horizontal="left" vertical="center"/>
      <protection locked="0"/>
    </xf>
    <xf numFmtId="0" fontId="3" fillId="5" borderId="41" xfId="556" applyFont="1" applyFill="1" applyBorder="1" applyAlignment="1" applyProtection="1">
      <alignment horizontal="left" vertical="center"/>
      <protection locked="0"/>
    </xf>
    <xf numFmtId="0" fontId="3" fillId="5" borderId="62" xfId="7" applyFont="1" applyFill="1" applyBorder="1" applyAlignment="1" applyProtection="1">
      <alignment horizontal="left" vertical="center"/>
      <protection locked="0"/>
    </xf>
    <xf numFmtId="0" fontId="3" fillId="5" borderId="52" xfId="556" applyFont="1" applyFill="1" applyBorder="1" applyAlignment="1" applyProtection="1">
      <alignment horizontal="left" vertical="center"/>
      <protection locked="0"/>
    </xf>
    <xf numFmtId="0" fontId="3" fillId="5" borderId="36" xfId="556" applyFont="1" applyFill="1" applyBorder="1" applyAlignment="1" applyProtection="1">
      <alignment horizontal="left" vertical="center"/>
      <protection locked="0"/>
    </xf>
    <xf numFmtId="4" fontId="90" fillId="4" borderId="32" xfId="7" applyNumberFormat="1" applyFont="1" applyFill="1" applyBorder="1" applyAlignment="1" applyProtection="1">
      <alignment horizontal="center" vertical="center"/>
      <protection locked="0"/>
    </xf>
    <xf numFmtId="4" fontId="90" fillId="4" borderId="0" xfId="7" applyNumberFormat="1" applyFont="1" applyFill="1" applyBorder="1" applyAlignment="1" applyProtection="1">
      <alignment horizontal="center" vertical="center"/>
      <protection locked="0"/>
    </xf>
    <xf numFmtId="0" fontId="3" fillId="4" borderId="13" xfId="7" applyFont="1" applyFill="1" applyBorder="1" applyAlignment="1" applyProtection="1">
      <alignment horizontal="center" vertical="center"/>
    </xf>
    <xf numFmtId="0" fontId="3" fillId="4" borderId="9" xfId="7" applyFont="1" applyFill="1" applyBorder="1" applyAlignment="1" applyProtection="1">
      <alignment horizontal="center" vertical="center"/>
    </xf>
    <xf numFmtId="0" fontId="3" fillId="2" borderId="51" xfId="7" applyFont="1" applyFill="1" applyBorder="1" applyAlignment="1" applyProtection="1">
      <alignment horizontal="left" vertical="center"/>
    </xf>
    <xf numFmtId="0" fontId="3" fillId="2" borderId="50" xfId="7" applyFont="1" applyFill="1" applyBorder="1" applyAlignment="1" applyProtection="1">
      <alignment horizontal="left" vertical="center"/>
    </xf>
    <xf numFmtId="0" fontId="3" fillId="2" borderId="49" xfId="7" applyFont="1" applyFill="1" applyBorder="1" applyAlignment="1" applyProtection="1">
      <alignment horizontal="left" vertical="center"/>
    </xf>
    <xf numFmtId="0" fontId="3" fillId="2" borderId="47" xfId="7" applyFont="1" applyFill="1" applyBorder="1" applyAlignment="1" applyProtection="1">
      <alignment horizontal="left" vertical="center" wrapText="1"/>
    </xf>
    <xf numFmtId="0" fontId="3" fillId="2" borderId="44" xfId="7" applyFont="1" applyFill="1" applyBorder="1" applyAlignment="1" applyProtection="1">
      <alignment horizontal="left" vertical="center"/>
    </xf>
    <xf numFmtId="0" fontId="3" fillId="2" borderId="40" xfId="7" applyFont="1" applyFill="1" applyBorder="1" applyAlignment="1" applyProtection="1">
      <alignment horizontal="left" vertical="center"/>
    </xf>
    <xf numFmtId="0" fontId="3" fillId="2" borderId="46" xfId="7" applyFont="1" applyFill="1" applyBorder="1" applyAlignment="1" applyProtection="1">
      <alignment horizontal="left" vertical="center"/>
    </xf>
    <xf numFmtId="49" fontId="3" fillId="5" borderId="25" xfId="7" applyNumberFormat="1" applyFont="1" applyFill="1" applyBorder="1" applyAlignment="1" applyProtection="1">
      <alignment horizontal="left" vertical="center"/>
      <protection locked="0"/>
    </xf>
    <xf numFmtId="49" fontId="3" fillId="5" borderId="39" xfId="7" applyNumberFormat="1" applyFont="1" applyFill="1" applyBorder="1" applyAlignment="1" applyProtection="1">
      <alignment horizontal="left" vertical="center"/>
      <protection locked="0"/>
    </xf>
    <xf numFmtId="0" fontId="3" fillId="5" borderId="55" xfId="556" applyFont="1" applyFill="1" applyBorder="1" applyAlignment="1" applyProtection="1">
      <alignment horizontal="left" vertical="center"/>
      <protection locked="0"/>
    </xf>
    <xf numFmtId="0" fontId="3" fillId="7" borderId="18" xfId="7" applyFont="1" applyFill="1" applyBorder="1" applyAlignment="1" applyProtection="1">
      <alignment horizontal="center" vertical="center" textRotation="180" wrapText="1"/>
    </xf>
    <xf numFmtId="0" fontId="3" fillId="7" borderId="11" xfId="7" applyFont="1" applyFill="1" applyBorder="1" applyAlignment="1" applyProtection="1">
      <alignment horizontal="center" vertical="center" textRotation="180" wrapText="1"/>
    </xf>
    <xf numFmtId="0" fontId="3" fillId="7" borderId="32" xfId="7" applyFont="1" applyFill="1" applyBorder="1" applyAlignment="1" applyProtection="1">
      <alignment horizontal="center" vertical="center" textRotation="180" wrapText="1"/>
    </xf>
    <xf numFmtId="0" fontId="3" fillId="7" borderId="7" xfId="7" applyFont="1" applyFill="1" applyBorder="1" applyAlignment="1" applyProtection="1">
      <alignment horizontal="center" vertical="center" textRotation="180" wrapText="1"/>
    </xf>
    <xf numFmtId="0" fontId="3" fillId="7" borderId="12" xfId="7" applyFont="1" applyFill="1" applyBorder="1" applyAlignment="1" applyProtection="1">
      <alignment horizontal="center" vertical="center" textRotation="180" wrapText="1"/>
    </xf>
    <xf numFmtId="0" fontId="3" fillId="7" borderId="14" xfId="7" applyFont="1" applyFill="1" applyBorder="1" applyAlignment="1" applyProtection="1">
      <alignment horizontal="center" vertical="center" textRotation="180" wrapText="1"/>
    </xf>
    <xf numFmtId="167" fontId="3" fillId="2" borderId="61" xfId="7" applyNumberFormat="1" applyFont="1" applyFill="1" applyBorder="1" applyAlignment="1" applyProtection="1">
      <alignment horizontal="left" vertical="center"/>
    </xf>
    <xf numFmtId="167" fontId="3" fillId="2" borderId="9" xfId="7" applyNumberFormat="1" applyFont="1" applyFill="1" applyBorder="1" applyAlignment="1" applyProtection="1">
      <alignment horizontal="left" vertical="center"/>
    </xf>
    <xf numFmtId="167" fontId="3" fillId="2" borderId="10" xfId="7" applyNumberFormat="1" applyFont="1" applyFill="1" applyBorder="1" applyAlignment="1" applyProtection="1">
      <alignment horizontal="left" vertical="center"/>
    </xf>
    <xf numFmtId="14" fontId="3" fillId="2" borderId="58" xfId="7" applyNumberFormat="1" applyFont="1" applyFill="1" applyBorder="1" applyAlignment="1" applyProtection="1">
      <alignment horizontal="left" vertical="center"/>
    </xf>
    <xf numFmtId="0" fontId="3" fillId="2" borderId="58" xfId="7" applyFont="1" applyFill="1" applyBorder="1" applyAlignment="1" applyProtection="1">
      <alignment horizontal="left" vertical="center"/>
    </xf>
    <xf numFmtId="0" fontId="3" fillId="2" borderId="57" xfId="7" applyFont="1" applyFill="1" applyBorder="1" applyAlignment="1" applyProtection="1">
      <alignment horizontal="left" vertical="center"/>
    </xf>
    <xf numFmtId="0" fontId="3" fillId="2" borderId="18" xfId="7" applyFont="1" applyFill="1" applyBorder="1" applyAlignment="1" applyProtection="1">
      <alignment horizontal="left" vertical="center"/>
    </xf>
    <xf numFmtId="0" fontId="3" fillId="2" borderId="32" xfId="7" applyFont="1" applyFill="1" applyBorder="1" applyAlignment="1" applyProtection="1">
      <alignment horizontal="left" vertical="center"/>
    </xf>
    <xf numFmtId="0" fontId="3" fillId="2" borderId="12" xfId="7" applyFont="1" applyFill="1" applyBorder="1" applyAlignment="1" applyProtection="1">
      <alignment horizontal="left" vertical="center"/>
    </xf>
    <xf numFmtId="0" fontId="3" fillId="5" borderId="60" xfId="556" applyFont="1" applyFill="1" applyBorder="1" applyAlignment="1" applyProtection="1">
      <alignment horizontal="left" vertical="center"/>
      <protection locked="0"/>
    </xf>
    <xf numFmtId="0" fontId="3" fillId="5" borderId="50" xfId="556" applyFont="1" applyFill="1" applyBorder="1" applyAlignment="1" applyProtection="1">
      <alignment horizontal="left" vertical="center"/>
      <protection locked="0"/>
    </xf>
    <xf numFmtId="0" fontId="3" fillId="5" borderId="49" xfId="556" applyFont="1" applyFill="1" applyBorder="1" applyAlignment="1" applyProtection="1">
      <alignment horizontal="left" vertical="center"/>
      <protection locked="0"/>
    </xf>
    <xf numFmtId="0" fontId="3" fillId="5" borderId="42" xfId="7" applyFont="1" applyFill="1" applyBorder="1" applyAlignment="1" applyProtection="1">
      <alignment horizontal="left" vertical="center"/>
      <protection locked="0"/>
    </xf>
    <xf numFmtId="0" fontId="3" fillId="5" borderId="41" xfId="7" applyFont="1" applyFill="1" applyBorder="1" applyAlignment="1" applyProtection="1">
      <alignment horizontal="left" vertical="center"/>
      <protection locked="0"/>
    </xf>
    <xf numFmtId="0" fontId="3" fillId="5" borderId="37" xfId="7" applyFont="1" applyFill="1" applyBorder="1" applyAlignment="1" applyProtection="1">
      <alignment horizontal="left" vertical="center"/>
      <protection locked="0"/>
    </xf>
    <xf numFmtId="0" fontId="3" fillId="5" borderId="36" xfId="7" applyFont="1" applyFill="1" applyBorder="1" applyAlignment="1" applyProtection="1">
      <alignment horizontal="left" vertical="center"/>
      <protection locked="0"/>
    </xf>
    <xf numFmtId="0" fontId="4" fillId="4" borderId="15" xfId="7" applyFont="1" applyFill="1" applyBorder="1" applyAlignment="1" applyProtection="1">
      <alignment horizontal="center" vertical="center"/>
    </xf>
    <xf numFmtId="0" fontId="3" fillId="5" borderId="20" xfId="7" applyFont="1" applyFill="1" applyBorder="1" applyAlignment="1" applyProtection="1">
      <alignment horizontal="center" vertical="center"/>
      <protection locked="0"/>
    </xf>
    <xf numFmtId="0" fontId="3" fillId="5" borderId="6" xfId="7" applyFont="1" applyFill="1" applyBorder="1" applyAlignment="1" applyProtection="1">
      <alignment horizontal="center" vertical="center"/>
      <protection locked="0"/>
    </xf>
    <xf numFmtId="0" fontId="3" fillId="5" borderId="12" xfId="7" applyFont="1" applyFill="1" applyBorder="1" applyAlignment="1" applyProtection="1">
      <alignment horizontal="left" vertical="center"/>
      <protection locked="0"/>
    </xf>
    <xf numFmtId="0" fontId="3" fillId="5" borderId="13" xfId="7" applyFont="1" applyFill="1" applyBorder="1" applyAlignment="1" applyProtection="1">
      <alignment horizontal="left" vertical="center"/>
      <protection locked="0"/>
    </xf>
    <xf numFmtId="0" fontId="3" fillId="5" borderId="14" xfId="7" applyFont="1" applyFill="1" applyBorder="1" applyAlignment="1" applyProtection="1">
      <alignment horizontal="left" vertical="center"/>
      <protection locked="0"/>
    </xf>
    <xf numFmtId="0" fontId="3" fillId="2" borderId="47" xfId="7" applyFont="1" applyFill="1" applyBorder="1" applyAlignment="1" applyProtection="1">
      <alignment horizontal="left" vertical="center"/>
    </xf>
    <xf numFmtId="0" fontId="3" fillId="2" borderId="45" xfId="7" applyFont="1" applyFill="1" applyBorder="1" applyAlignment="1" applyProtection="1">
      <alignment horizontal="left" vertical="center"/>
    </xf>
    <xf numFmtId="0" fontId="3" fillId="5" borderId="37" xfId="7" applyFont="1" applyFill="1" applyBorder="1" applyAlignment="1" applyProtection="1">
      <alignment horizontal="center" vertical="center"/>
      <protection locked="0"/>
    </xf>
    <xf numFmtId="0" fontId="3" fillId="5" borderId="52" xfId="7" applyFont="1" applyFill="1" applyBorder="1" applyAlignment="1" applyProtection="1">
      <alignment horizontal="center" vertical="center"/>
      <protection locked="0"/>
    </xf>
    <xf numFmtId="0" fontId="3" fillId="5" borderId="36" xfId="7" applyFont="1" applyFill="1" applyBorder="1" applyAlignment="1" applyProtection="1">
      <alignment horizontal="center" vertical="center"/>
      <protection locked="0"/>
    </xf>
    <xf numFmtId="0" fontId="3" fillId="2" borderId="25" xfId="7" applyFont="1" applyFill="1" applyBorder="1" applyAlignment="1" applyProtection="1">
      <alignment horizontal="left" vertical="center"/>
    </xf>
    <xf numFmtId="167" fontId="3" fillId="5" borderId="44" xfId="7" applyNumberFormat="1" applyFont="1" applyFill="1" applyBorder="1" applyAlignment="1" applyProtection="1">
      <alignment horizontal="left" vertical="top" wrapText="1"/>
      <protection locked="0"/>
    </xf>
    <xf numFmtId="167" fontId="3" fillId="5" borderId="25" xfId="7" applyNumberFormat="1" applyFont="1" applyFill="1" applyBorder="1" applyAlignment="1" applyProtection="1">
      <alignment horizontal="left" vertical="top" wrapText="1"/>
      <protection locked="0"/>
    </xf>
    <xf numFmtId="167" fontId="3" fillId="5" borderId="43" xfId="7" applyNumberFormat="1" applyFont="1" applyFill="1" applyBorder="1" applyAlignment="1" applyProtection="1">
      <alignment horizontal="left" vertical="top" wrapText="1"/>
      <protection locked="0"/>
    </xf>
    <xf numFmtId="167" fontId="3" fillId="5" borderId="40" xfId="7" applyNumberFormat="1" applyFont="1" applyFill="1" applyBorder="1" applyAlignment="1" applyProtection="1">
      <alignment horizontal="left" vertical="top" wrapText="1"/>
      <protection locked="0"/>
    </xf>
    <xf numFmtId="167" fontId="3" fillId="5" borderId="39" xfId="7" applyNumberFormat="1" applyFont="1" applyFill="1" applyBorder="1" applyAlignment="1" applyProtection="1">
      <alignment horizontal="left" vertical="top" wrapText="1"/>
      <protection locked="0"/>
    </xf>
    <xf numFmtId="167" fontId="3" fillId="5" borderId="38" xfId="7" applyNumberFormat="1" applyFont="1" applyFill="1" applyBorder="1" applyAlignment="1" applyProtection="1">
      <alignment horizontal="left" vertical="top" wrapText="1"/>
      <protection locked="0"/>
    </xf>
    <xf numFmtId="0" fontId="4" fillId="4" borderId="8" xfId="7" applyFont="1" applyFill="1" applyBorder="1" applyAlignment="1" applyProtection="1">
      <alignment horizontal="center" vertical="center"/>
    </xf>
    <xf numFmtId="0" fontId="4" fillId="4" borderId="9" xfId="7" applyFont="1" applyFill="1" applyBorder="1" applyAlignment="1" applyProtection="1">
      <alignment horizontal="center" vertical="center"/>
    </xf>
    <xf numFmtId="0" fontId="4" fillId="4" borderId="10" xfId="7" applyFont="1" applyFill="1" applyBorder="1" applyAlignment="1" applyProtection="1">
      <alignment horizontal="center" vertical="center"/>
    </xf>
    <xf numFmtId="0" fontId="4" fillId="2" borderId="8" xfId="7" applyFont="1" applyFill="1" applyBorder="1" applyAlignment="1" applyProtection="1">
      <alignment horizontal="center" vertical="center"/>
    </xf>
    <xf numFmtId="0" fontId="4" fillId="2" borderId="9" xfId="7" applyFont="1" applyFill="1" applyBorder="1" applyAlignment="1" applyProtection="1">
      <alignment horizontal="center" vertical="center"/>
    </xf>
    <xf numFmtId="0" fontId="4" fillId="2" borderId="10" xfId="7" applyFont="1" applyFill="1" applyBorder="1" applyAlignment="1" applyProtection="1">
      <alignment horizontal="center" vertical="center"/>
    </xf>
    <xf numFmtId="49" fontId="3" fillId="5" borderId="37" xfId="7" applyNumberFormat="1" applyFont="1" applyFill="1" applyBorder="1" applyAlignment="1" applyProtection="1">
      <alignment horizontal="left" vertical="center"/>
      <protection locked="0"/>
    </xf>
    <xf numFmtId="49" fontId="3" fillId="5" borderId="113" xfId="7" applyNumberFormat="1" applyFont="1" applyFill="1" applyBorder="1" applyAlignment="1" applyProtection="1">
      <alignment horizontal="left" vertical="center"/>
      <protection locked="0"/>
    </xf>
    <xf numFmtId="49" fontId="3" fillId="5" borderId="42" xfId="7" applyNumberFormat="1" applyFont="1" applyFill="1" applyBorder="1" applyAlignment="1" applyProtection="1">
      <alignment horizontal="left" vertical="center"/>
      <protection locked="0"/>
    </xf>
    <xf numFmtId="49" fontId="3" fillId="5" borderId="112" xfId="7" applyNumberFormat="1" applyFont="1" applyFill="1" applyBorder="1" applyAlignment="1" applyProtection="1">
      <alignment horizontal="left" vertical="center"/>
      <protection locked="0"/>
    </xf>
    <xf numFmtId="0" fontId="79" fillId="11" borderId="0" xfId="0" applyFont="1" applyFill="1" applyBorder="1" applyAlignment="1" applyProtection="1">
      <alignment horizontal="right" vertical="top"/>
    </xf>
    <xf numFmtId="166" fontId="105" fillId="11" borderId="0" xfId="0" applyNumberFormat="1" applyFont="1" applyFill="1" applyBorder="1" applyAlignment="1" applyProtection="1">
      <alignment horizontal="right" vertical="top" wrapText="1"/>
    </xf>
    <xf numFmtId="0" fontId="66" fillId="11" borderId="19" xfId="0" applyFont="1" applyFill="1" applyBorder="1" applyAlignment="1" applyProtection="1">
      <alignment horizontal="center" vertical="top"/>
    </xf>
    <xf numFmtId="0" fontId="66" fillId="2" borderId="20" xfId="0" applyFont="1" applyFill="1" applyBorder="1" applyAlignment="1" applyProtection="1">
      <alignment horizontal="center" vertical="top"/>
    </xf>
    <xf numFmtId="0" fontId="66" fillId="2" borderId="6" xfId="0" applyFont="1" applyFill="1" applyBorder="1" applyAlignment="1" applyProtection="1">
      <alignment horizontal="center" vertical="top"/>
    </xf>
    <xf numFmtId="0" fontId="66" fillId="11" borderId="19" xfId="0" applyFont="1" applyFill="1" applyBorder="1" applyAlignment="1" applyProtection="1">
      <alignment horizontal="left" vertical="top" wrapText="1"/>
    </xf>
    <xf numFmtId="0" fontId="66" fillId="2" borderId="20" xfId="0" applyFont="1" applyFill="1" applyBorder="1" applyAlignment="1" applyProtection="1">
      <alignment horizontal="left" vertical="top" wrapText="1"/>
    </xf>
    <xf numFmtId="0" fontId="66" fillId="2" borderId="6" xfId="0" applyFont="1" applyFill="1" applyBorder="1" applyAlignment="1" applyProtection="1">
      <alignment horizontal="left" vertical="top" wrapText="1"/>
    </xf>
    <xf numFmtId="0" fontId="101" fillId="11" borderId="13" xfId="0" applyFont="1" applyFill="1" applyBorder="1" applyAlignment="1" applyProtection="1">
      <alignment horizontal="left" vertical="top"/>
    </xf>
    <xf numFmtId="0" fontId="101" fillId="2" borderId="13" xfId="0" applyFont="1" applyFill="1" applyBorder="1" applyAlignment="1" applyProtection="1">
      <alignment horizontal="left" vertical="top"/>
    </xf>
    <xf numFmtId="0" fontId="66" fillId="18" borderId="117" xfId="0" applyFont="1" applyFill="1" applyBorder="1" applyAlignment="1">
      <alignment horizontal="center" vertical="top"/>
    </xf>
    <xf numFmtId="0" fontId="66" fillId="18" borderId="118" xfId="0" applyFont="1" applyFill="1" applyBorder="1" applyAlignment="1">
      <alignment horizontal="center" vertical="top"/>
    </xf>
    <xf numFmtId="0" fontId="66" fillId="18" borderId="119" xfId="0" applyFont="1" applyFill="1" applyBorder="1" applyAlignment="1">
      <alignment horizontal="center" vertical="top"/>
    </xf>
    <xf numFmtId="0" fontId="82" fillId="11" borderId="15" xfId="0" applyFont="1" applyFill="1" applyBorder="1" applyAlignment="1" applyProtection="1">
      <alignment horizontal="center" vertical="top"/>
    </xf>
    <xf numFmtId="0" fontId="82" fillId="11" borderId="11" xfId="0" applyFont="1" applyFill="1" applyBorder="1" applyAlignment="1" applyProtection="1">
      <alignment horizontal="center" vertical="top"/>
    </xf>
    <xf numFmtId="0" fontId="4" fillId="11" borderId="12" xfId="0" applyFont="1" applyFill="1" applyBorder="1" applyAlignment="1" applyProtection="1">
      <alignment horizontal="left" vertical="top"/>
    </xf>
    <xf numFmtId="0" fontId="4" fillId="11" borderId="13" xfId="0" applyFont="1" applyFill="1" applyBorder="1" applyAlignment="1" applyProtection="1">
      <alignment horizontal="left" vertical="top"/>
    </xf>
    <xf numFmtId="0" fontId="4" fillId="11" borderId="32" xfId="0" applyFont="1" applyFill="1" applyBorder="1" applyAlignment="1" applyProtection="1">
      <alignment horizontal="left" vertical="top"/>
    </xf>
    <xf numFmtId="0" fontId="4" fillId="11" borderId="0" xfId="0" applyFont="1" applyFill="1" applyBorder="1" applyAlignment="1" applyProtection="1">
      <alignment horizontal="left" vertical="top"/>
    </xf>
    <xf numFmtId="0" fontId="4" fillId="11" borderId="18" xfId="0" applyFont="1" applyFill="1" applyBorder="1" applyAlignment="1" applyProtection="1">
      <alignment horizontal="left" vertical="top"/>
    </xf>
    <xf numFmtId="0" fontId="4" fillId="11" borderId="15" xfId="0" applyFont="1" applyFill="1" applyBorder="1" applyAlignment="1" applyProtection="1">
      <alignment horizontal="left" vertical="top"/>
    </xf>
    <xf numFmtId="14" fontId="4" fillId="19" borderId="97" xfId="0" applyNumberFormat="1" applyFont="1" applyFill="1" applyBorder="1" applyAlignment="1" applyProtection="1">
      <alignment horizontal="center" vertical="top"/>
    </xf>
    <xf numFmtId="0" fontId="4" fillId="19" borderId="98" xfId="0" applyFont="1" applyFill="1" applyBorder="1" applyAlignment="1" applyProtection="1">
      <alignment horizontal="center" vertical="top"/>
    </xf>
    <xf numFmtId="0" fontId="95" fillId="17" borderId="114" xfId="0" applyFont="1" applyFill="1" applyBorder="1" applyAlignment="1" applyProtection="1">
      <alignment horizontal="left" vertical="top"/>
    </xf>
    <xf numFmtId="0" fontId="95" fillId="17" borderId="115" xfId="0" applyFont="1" applyFill="1" applyBorder="1" applyAlignment="1" applyProtection="1">
      <alignment horizontal="left" vertical="top"/>
    </xf>
    <xf numFmtId="0" fontId="95" fillId="17" borderId="116" xfId="0" applyFont="1" applyFill="1" applyBorder="1" applyAlignment="1" applyProtection="1">
      <alignment horizontal="left" vertical="top"/>
    </xf>
    <xf numFmtId="0" fontId="4" fillId="19" borderId="99" xfId="0" applyFont="1" applyFill="1" applyBorder="1" applyAlignment="1" applyProtection="1">
      <alignment horizontal="left" vertical="top"/>
    </xf>
    <xf numFmtId="0" fontId="4" fillId="19" borderId="100" xfId="0" applyFont="1" applyFill="1" applyBorder="1" applyAlignment="1" applyProtection="1">
      <alignment horizontal="left" vertical="top"/>
    </xf>
    <xf numFmtId="165" fontId="25" fillId="5" borderId="8" xfId="0" applyNumberFormat="1" applyFont="1" applyFill="1" applyBorder="1" applyAlignment="1" applyProtection="1">
      <alignment horizontal="left" vertical="top"/>
      <protection locked="0"/>
    </xf>
    <xf numFmtId="165" fontId="25" fillId="5" borderId="9" xfId="0" applyNumberFormat="1" applyFont="1" applyFill="1" applyBorder="1" applyAlignment="1" applyProtection="1">
      <alignment horizontal="left" vertical="top"/>
      <protection locked="0"/>
    </xf>
    <xf numFmtId="165" fontId="25" fillId="5" borderId="10" xfId="0" applyNumberFormat="1" applyFont="1" applyFill="1" applyBorder="1" applyAlignment="1" applyProtection="1">
      <alignment horizontal="left" vertical="top"/>
      <protection locked="0"/>
    </xf>
    <xf numFmtId="0" fontId="85" fillId="11" borderId="8" xfId="0" applyFont="1" applyFill="1" applyBorder="1" applyAlignment="1" applyProtection="1">
      <alignment horizontal="left" vertical="top"/>
    </xf>
    <xf numFmtId="0" fontId="85" fillId="11" borderId="9" xfId="0" applyFont="1" applyFill="1" applyBorder="1" applyAlignment="1" applyProtection="1">
      <alignment horizontal="left" vertical="top"/>
    </xf>
    <xf numFmtId="0" fontId="85" fillId="11" borderId="10" xfId="0" applyFont="1" applyFill="1" applyBorder="1" applyAlignment="1" applyProtection="1">
      <alignment horizontal="left" vertical="top"/>
    </xf>
    <xf numFmtId="0" fontId="95" fillId="17" borderId="143" xfId="0" applyFont="1" applyFill="1" applyBorder="1" applyAlignment="1" applyProtection="1">
      <alignment horizontal="left" vertical="top"/>
    </xf>
    <xf numFmtId="0" fontId="95" fillId="17" borderId="144" xfId="0" applyFont="1" applyFill="1" applyBorder="1" applyAlignment="1" applyProtection="1">
      <alignment horizontal="left" vertical="top"/>
    </xf>
    <xf numFmtId="0" fontId="77" fillId="5" borderId="111" xfId="0" applyNumberFormat="1" applyFont="1" applyFill="1" applyBorder="1" applyAlignment="1" applyProtection="1">
      <alignment horizontal="left" vertical="top" wrapText="1"/>
      <protection locked="0"/>
    </xf>
    <xf numFmtId="0" fontId="82" fillId="11" borderId="1" xfId="0" applyFont="1" applyFill="1" applyBorder="1" applyAlignment="1" applyProtection="1">
      <alignment horizontal="left" vertical="top" wrapText="1"/>
    </xf>
    <xf numFmtId="0" fontId="82" fillId="2" borderId="1" xfId="0" applyFont="1" applyFill="1" applyBorder="1" applyAlignment="1" applyProtection="1">
      <alignment horizontal="left" vertical="top" wrapText="1"/>
    </xf>
    <xf numFmtId="0" fontId="3" fillId="5" borderId="1" xfId="333" applyFont="1" applyFill="1" applyBorder="1" applyAlignment="1" applyProtection="1">
      <alignment horizontal="left" vertical="top" wrapText="1"/>
      <protection locked="0"/>
    </xf>
    <xf numFmtId="0" fontId="90" fillId="5" borderId="1" xfId="345" applyFont="1" applyFill="1" applyBorder="1" applyAlignment="1" applyProtection="1">
      <alignment horizontal="left" vertical="top" wrapText="1"/>
      <protection locked="0"/>
    </xf>
    <xf numFmtId="0" fontId="90" fillId="5" borderId="1" xfId="353" applyFont="1" applyFill="1" applyBorder="1" applyAlignment="1" applyProtection="1">
      <alignment horizontal="left" vertical="top" wrapText="1"/>
      <protection locked="0"/>
    </xf>
    <xf numFmtId="0" fontId="90" fillId="5" borderId="1" xfId="363" applyFont="1" applyFill="1" applyBorder="1" applyAlignment="1" applyProtection="1">
      <alignment horizontal="left" vertical="top" wrapText="1"/>
      <protection locked="0"/>
    </xf>
    <xf numFmtId="0" fontId="90" fillId="5" borderId="1" xfId="381" applyFont="1" applyFill="1" applyBorder="1" applyAlignment="1" applyProtection="1">
      <alignment horizontal="left" vertical="top" wrapText="1"/>
      <protection locked="0"/>
    </xf>
    <xf numFmtId="0" fontId="3" fillId="5" borderId="1" xfId="1" applyFont="1" applyFill="1" applyBorder="1" applyAlignment="1" applyProtection="1">
      <alignment horizontal="left" vertical="top" wrapText="1"/>
      <protection locked="0"/>
    </xf>
    <xf numFmtId="0" fontId="90" fillId="5" borderId="1" xfId="1" applyFont="1" applyFill="1" applyBorder="1" applyAlignment="1" applyProtection="1">
      <alignment horizontal="left" vertical="top" wrapText="1"/>
      <protection locked="0"/>
    </xf>
    <xf numFmtId="0" fontId="37" fillId="18" borderId="74" xfId="0" applyFont="1" applyFill="1" applyBorder="1" applyAlignment="1">
      <alignment horizontal="left" vertical="top" wrapText="1"/>
    </xf>
    <xf numFmtId="0" fontId="37" fillId="18" borderId="78" xfId="0" applyFont="1" applyFill="1" applyBorder="1" applyAlignment="1">
      <alignment horizontal="left" vertical="top" wrapText="1"/>
    </xf>
    <xf numFmtId="0" fontId="37" fillId="18" borderId="82" xfId="0" applyFont="1" applyFill="1" applyBorder="1" applyAlignment="1">
      <alignment horizontal="left" vertical="top" wrapText="1"/>
    </xf>
    <xf numFmtId="0" fontId="37" fillId="18" borderId="74" xfId="0" applyFont="1" applyFill="1" applyBorder="1" applyAlignment="1">
      <alignment horizontal="right" vertical="top"/>
    </xf>
    <xf numFmtId="0" fontId="37" fillId="18" borderId="78" xfId="0" applyFont="1" applyFill="1" applyBorder="1" applyAlignment="1">
      <alignment horizontal="right" vertical="top"/>
    </xf>
    <xf numFmtId="0" fontId="37" fillId="18" borderId="82" xfId="0" applyFont="1" applyFill="1" applyBorder="1" applyAlignment="1">
      <alignment horizontal="right" vertical="top"/>
    </xf>
    <xf numFmtId="0" fontId="37" fillId="18" borderId="90" xfId="0" applyFont="1" applyFill="1" applyBorder="1" applyAlignment="1">
      <alignment horizontal="right" vertical="top"/>
    </xf>
    <xf numFmtId="0" fontId="37" fillId="18" borderId="79" xfId="0" applyFont="1" applyFill="1" applyBorder="1" applyAlignment="1">
      <alignment horizontal="right" vertical="top"/>
    </xf>
    <xf numFmtId="167" fontId="14" fillId="8" borderId="91" xfId="0" applyNumberFormat="1" applyFont="1" applyFill="1" applyBorder="1" applyAlignment="1" applyProtection="1">
      <alignment horizontal="left" vertical="top"/>
    </xf>
    <xf numFmtId="167" fontId="14" fillId="8" borderId="92" xfId="0" applyNumberFormat="1" applyFont="1" applyFill="1" applyBorder="1" applyAlignment="1" applyProtection="1">
      <alignment horizontal="left" vertical="top"/>
    </xf>
    <xf numFmtId="167" fontId="14" fillId="8" borderId="93" xfId="0" applyNumberFormat="1" applyFont="1" applyFill="1" applyBorder="1" applyAlignment="1" applyProtection="1">
      <alignment horizontal="left" vertical="top"/>
    </xf>
    <xf numFmtId="167" fontId="17" fillId="8" borderId="94" xfId="0" applyNumberFormat="1" applyFont="1" applyFill="1" applyBorder="1" applyAlignment="1" applyProtection="1">
      <alignment horizontal="left" vertical="top"/>
    </xf>
    <xf numFmtId="167" fontId="17" fillId="8" borderId="95" xfId="0" applyNumberFormat="1" applyFont="1" applyFill="1" applyBorder="1" applyAlignment="1" applyProtection="1">
      <alignment horizontal="left" vertical="top"/>
    </xf>
    <xf numFmtId="167" fontId="17" fillId="8" borderId="96" xfId="0" applyNumberFormat="1" applyFont="1" applyFill="1" applyBorder="1" applyAlignment="1" applyProtection="1">
      <alignment horizontal="left" vertical="top"/>
    </xf>
    <xf numFmtId="0" fontId="37" fillId="18" borderId="74" xfId="0" applyFont="1" applyFill="1" applyBorder="1" applyAlignment="1">
      <alignment horizontal="left" vertical="top"/>
    </xf>
    <xf numFmtId="0" fontId="37" fillId="18" borderId="78" xfId="0" applyFont="1" applyFill="1" applyBorder="1" applyAlignment="1">
      <alignment horizontal="left" vertical="top"/>
    </xf>
    <xf numFmtId="0" fontId="37" fillId="18" borderId="74" xfId="0" applyFont="1" applyFill="1" applyBorder="1" applyAlignment="1">
      <alignment horizontal="center" vertical="top" wrapText="1"/>
    </xf>
    <xf numFmtId="0" fontId="37" fillId="18" borderId="78" xfId="0" applyFont="1" applyFill="1" applyBorder="1" applyAlignment="1">
      <alignment horizontal="center" vertical="top" wrapText="1"/>
    </xf>
    <xf numFmtId="0" fontId="37" fillId="18" borderId="82" xfId="0" applyFont="1" applyFill="1" applyBorder="1" applyAlignment="1">
      <alignment horizontal="center" vertical="top" wrapText="1"/>
    </xf>
    <xf numFmtId="166" fontId="82" fillId="5" borderId="8" xfId="0" applyNumberFormat="1" applyFont="1" applyFill="1" applyBorder="1" applyAlignment="1" applyProtection="1">
      <alignment horizontal="left" vertical="top" wrapText="1"/>
      <protection locked="0"/>
    </xf>
    <xf numFmtId="166" fontId="82" fillId="5" borderId="9" xfId="0" applyNumberFormat="1" applyFont="1" applyFill="1" applyBorder="1" applyAlignment="1" applyProtection="1">
      <alignment horizontal="left" vertical="top" wrapText="1"/>
      <protection locked="0"/>
    </xf>
    <xf numFmtId="166" fontId="82" fillId="5" borderId="10" xfId="0" applyNumberFormat="1" applyFont="1" applyFill="1" applyBorder="1" applyAlignment="1" applyProtection="1">
      <alignment horizontal="left" vertical="top" wrapText="1"/>
      <protection locked="0"/>
    </xf>
    <xf numFmtId="0" fontId="82" fillId="11" borderId="8" xfId="0" applyFont="1" applyFill="1" applyBorder="1" applyAlignment="1" applyProtection="1">
      <alignment horizontal="left" vertical="top" wrapText="1"/>
    </xf>
    <xf numFmtId="0" fontId="82" fillId="2" borderId="9" xfId="0" applyFont="1" applyFill="1" applyBorder="1" applyAlignment="1" applyProtection="1">
      <alignment horizontal="left" vertical="top" wrapText="1"/>
    </xf>
    <xf numFmtId="0" fontId="82" fillId="2" borderId="10" xfId="0" applyFont="1" applyFill="1" applyBorder="1" applyAlignment="1" applyProtection="1">
      <alignment horizontal="left" vertical="top" wrapText="1"/>
    </xf>
    <xf numFmtId="0" fontId="82" fillId="11" borderId="8" xfId="0" applyFont="1" applyFill="1" applyBorder="1" applyAlignment="1" applyProtection="1">
      <alignment vertical="top" wrapText="1"/>
    </xf>
    <xf numFmtId="0" fontId="82" fillId="2" borderId="9" xfId="0" applyFont="1" applyFill="1" applyBorder="1" applyAlignment="1" applyProtection="1">
      <alignment vertical="top" wrapText="1"/>
    </xf>
    <xf numFmtId="0" fontId="82" fillId="2" borderId="10" xfId="0" applyFont="1" applyFill="1" applyBorder="1" applyAlignment="1" applyProtection="1">
      <alignment vertical="top" wrapText="1"/>
    </xf>
    <xf numFmtId="0" fontId="82" fillId="11" borderId="1" xfId="0" applyFont="1" applyFill="1" applyBorder="1" applyAlignment="1" applyProtection="1">
      <alignment vertical="top" wrapText="1"/>
    </xf>
    <xf numFmtId="0" fontId="82" fillId="2" borderId="1" xfId="0" applyFont="1" applyFill="1" applyBorder="1" applyAlignment="1" applyProtection="1">
      <alignment vertical="top" wrapText="1"/>
    </xf>
    <xf numFmtId="0" fontId="82" fillId="11" borderId="8" xfId="0" applyFont="1" applyFill="1" applyBorder="1" applyAlignment="1" applyProtection="1">
      <alignment horizontal="center" vertical="top"/>
    </xf>
    <xf numFmtId="0" fontId="82" fillId="11" borderId="10" xfId="0" applyFont="1" applyFill="1" applyBorder="1" applyAlignment="1" applyProtection="1">
      <alignment horizontal="center" vertical="top"/>
    </xf>
    <xf numFmtId="167" fontId="113" fillId="11" borderId="8" xfId="0" applyNumberFormat="1" applyFont="1" applyFill="1" applyBorder="1" applyAlignment="1">
      <alignment vertical="top" wrapText="1"/>
    </xf>
    <xf numFmtId="167" fontId="113" fillId="11" borderId="10" xfId="0" applyNumberFormat="1" applyFont="1" applyFill="1" applyBorder="1" applyAlignment="1">
      <alignment vertical="top" wrapText="1"/>
    </xf>
    <xf numFmtId="0" fontId="25" fillId="11" borderId="6" xfId="0" applyFont="1" applyFill="1" applyBorder="1" applyAlignment="1">
      <alignment horizontal="left" vertical="top"/>
    </xf>
    <xf numFmtId="0" fontId="84" fillId="11" borderId="2" xfId="0" applyFont="1" applyFill="1" applyBorder="1" applyAlignment="1">
      <alignment vertical="top"/>
    </xf>
    <xf numFmtId="0" fontId="84" fillId="11" borderId="16" xfId="0" applyFont="1" applyFill="1" applyBorder="1" applyAlignment="1">
      <alignment vertical="top"/>
    </xf>
    <xf numFmtId="0" fontId="84" fillId="11" borderId="3" xfId="0" applyFont="1" applyFill="1" applyBorder="1" applyAlignment="1">
      <alignment vertical="top"/>
    </xf>
    <xf numFmtId="0" fontId="85" fillId="11" borderId="2" xfId="0" applyFont="1" applyFill="1" applyBorder="1" applyAlignment="1">
      <alignment vertical="top"/>
    </xf>
    <xf numFmtId="0" fontId="85" fillId="11" borderId="16" xfId="0" applyFont="1" applyFill="1" applyBorder="1" applyAlignment="1">
      <alignment vertical="top"/>
    </xf>
    <xf numFmtId="0" fontId="85" fillId="11" borderId="3" xfId="0" applyFont="1" applyFill="1" applyBorder="1" applyAlignment="1">
      <alignment vertical="top"/>
    </xf>
    <xf numFmtId="0" fontId="85" fillId="11" borderId="21" xfId="0" applyFont="1" applyFill="1" applyBorder="1" applyAlignment="1">
      <alignment vertical="top"/>
    </xf>
    <xf numFmtId="0" fontId="85" fillId="11" borderId="22" xfId="0" applyFont="1" applyFill="1" applyBorder="1" applyAlignment="1">
      <alignment vertical="top"/>
    </xf>
    <xf numFmtId="0" fontId="85" fillId="11" borderId="8" xfId="0" applyFont="1" applyFill="1" applyBorder="1" applyAlignment="1">
      <alignment horizontal="center" vertical="top"/>
    </xf>
    <xf numFmtId="0" fontId="85" fillId="11" borderId="10" xfId="0" applyFont="1" applyFill="1" applyBorder="1" applyAlignment="1">
      <alignment horizontal="center" vertical="top"/>
    </xf>
    <xf numFmtId="0" fontId="84" fillId="11" borderId="21" xfId="0" applyFont="1" applyFill="1" applyBorder="1" applyAlignment="1">
      <alignment vertical="top"/>
    </xf>
    <xf numFmtId="0" fontId="84" fillId="11" borderId="22" xfId="0" applyFont="1" applyFill="1" applyBorder="1" applyAlignment="1">
      <alignment vertical="top"/>
    </xf>
    <xf numFmtId="167" fontId="85" fillId="11" borderId="1" xfId="0" applyNumberFormat="1" applyFont="1" applyFill="1" applyBorder="1" applyAlignment="1">
      <alignment horizontal="left" vertical="top"/>
    </xf>
    <xf numFmtId="167" fontId="25" fillId="11" borderId="1" xfId="0" applyNumberFormat="1" applyFont="1" applyFill="1" applyBorder="1" applyAlignment="1">
      <alignment horizontal="left" vertical="top"/>
    </xf>
    <xf numFmtId="0" fontId="25" fillId="11" borderId="1" xfId="0" applyFont="1" applyFill="1" applyBorder="1" applyAlignment="1">
      <alignment vertical="top"/>
    </xf>
    <xf numFmtId="0" fontId="85" fillId="11" borderId="8" xfId="0" applyFont="1" applyFill="1" applyBorder="1" applyAlignment="1">
      <alignment vertical="top"/>
    </xf>
    <xf numFmtId="0" fontId="85" fillId="11" borderId="10" xfId="0" applyFont="1" applyFill="1" applyBorder="1" applyAlignment="1">
      <alignment vertical="top"/>
    </xf>
    <xf numFmtId="14" fontId="85" fillId="11" borderId="6" xfId="0" applyNumberFormat="1" applyFont="1" applyFill="1" applyBorder="1" applyAlignment="1">
      <alignment horizontal="center" vertical="top"/>
    </xf>
    <xf numFmtId="166" fontId="4" fillId="11" borderId="1" xfId="0" applyNumberFormat="1" applyFont="1" applyFill="1" applyBorder="1" applyAlignment="1">
      <alignment vertical="top" wrapText="1"/>
    </xf>
    <xf numFmtId="0" fontId="85" fillId="11" borderId="6" xfId="0" applyFont="1" applyFill="1" applyBorder="1" applyAlignment="1">
      <alignment horizontal="center" vertical="top"/>
    </xf>
    <xf numFmtId="166" fontId="4" fillId="11" borderId="1" xfId="0" applyNumberFormat="1" applyFont="1" applyFill="1" applyBorder="1" applyAlignment="1">
      <alignment horizontal="center" vertical="top" wrapText="1"/>
    </xf>
    <xf numFmtId="0" fontId="25" fillId="11" borderId="6" xfId="0" applyFont="1" applyFill="1" applyBorder="1" applyAlignment="1">
      <alignment vertical="top"/>
    </xf>
    <xf numFmtId="14" fontId="25" fillId="11" borderId="6" xfId="0" applyNumberFormat="1" applyFont="1" applyFill="1" applyBorder="1" applyAlignment="1">
      <alignment horizontal="left" vertical="top"/>
    </xf>
    <xf numFmtId="167" fontId="25" fillId="11" borderId="6" xfId="0" applyNumberFormat="1" applyFont="1" applyFill="1" applyBorder="1" applyAlignment="1">
      <alignment horizontal="left" vertical="top"/>
    </xf>
    <xf numFmtId="167" fontId="25" fillId="11" borderId="8" xfId="0" applyNumberFormat="1" applyFont="1" applyFill="1" applyBorder="1" applyAlignment="1">
      <alignment vertical="top" wrapText="1"/>
    </xf>
    <xf numFmtId="167" fontId="25" fillId="11" borderId="9" xfId="0" applyNumberFormat="1" applyFont="1" applyFill="1" applyBorder="1" applyAlignment="1">
      <alignment vertical="top" wrapText="1"/>
    </xf>
    <xf numFmtId="167" fontId="25" fillId="11" borderId="10" xfId="0" applyNumberFormat="1" applyFont="1" applyFill="1" applyBorder="1" applyAlignment="1">
      <alignment vertical="top" wrapText="1"/>
    </xf>
    <xf numFmtId="167" fontId="25" fillId="11" borderId="1" xfId="0" applyNumberFormat="1" applyFont="1" applyFill="1" applyBorder="1" applyAlignment="1">
      <alignment horizontal="left" vertical="top" wrapText="1"/>
    </xf>
    <xf numFmtId="0" fontId="85" fillId="11" borderId="6" xfId="0" applyFont="1" applyFill="1" applyBorder="1" applyAlignment="1">
      <alignment horizontal="left" vertical="top"/>
    </xf>
    <xf numFmtId="0" fontId="85" fillId="11" borderId="12" xfId="0" applyFont="1" applyFill="1" applyBorder="1" applyAlignment="1">
      <alignment vertical="top"/>
    </xf>
    <xf numFmtId="0" fontId="85" fillId="11" borderId="14" xfId="0" applyFont="1" applyFill="1" applyBorder="1" applyAlignment="1">
      <alignment vertical="top"/>
    </xf>
    <xf numFmtId="167" fontId="113" fillId="11" borderId="8" xfId="0" applyNumberFormat="1" applyFont="1" applyFill="1" applyBorder="1" applyAlignment="1">
      <alignment horizontal="left" vertical="top" wrapText="1"/>
    </xf>
    <xf numFmtId="167" fontId="113" fillId="11" borderId="10" xfId="0" applyNumberFormat="1" applyFont="1" applyFill="1" applyBorder="1" applyAlignment="1">
      <alignment horizontal="left" vertical="top" wrapText="1"/>
    </xf>
    <xf numFmtId="167" fontId="113" fillId="11" borderId="1" xfId="0" applyNumberFormat="1" applyFont="1" applyFill="1" applyBorder="1" applyAlignment="1">
      <alignment horizontal="left" vertical="top" wrapText="1"/>
    </xf>
    <xf numFmtId="167" fontId="25" fillId="11" borderId="17" xfId="0" applyNumberFormat="1" applyFont="1" applyFill="1" applyBorder="1" applyAlignment="1">
      <alignment horizontal="center" vertical="top" wrapText="1"/>
    </xf>
    <xf numFmtId="167" fontId="25" fillId="11" borderId="27" xfId="0" applyNumberFormat="1" applyFont="1" applyFill="1" applyBorder="1" applyAlignment="1">
      <alignment horizontal="center" vertical="top" wrapText="1"/>
    </xf>
    <xf numFmtId="167" fontId="25" fillId="11" borderId="28" xfId="0" applyNumberFormat="1" applyFont="1" applyFill="1" applyBorder="1" applyAlignment="1">
      <alignment horizontal="center" vertical="top" wrapText="1"/>
    </xf>
    <xf numFmtId="0" fontId="85" fillId="11" borderId="6" xfId="0" applyFont="1" applyFill="1" applyBorder="1" applyAlignment="1">
      <alignment vertical="top"/>
    </xf>
    <xf numFmtId="0" fontId="85" fillId="11" borderId="1" xfId="0" applyFont="1" applyFill="1" applyBorder="1" applyAlignment="1">
      <alignment vertical="top"/>
    </xf>
    <xf numFmtId="167" fontId="25" fillId="11" borderId="17" xfId="0" applyNumberFormat="1" applyFont="1" applyFill="1" applyBorder="1" applyAlignment="1">
      <alignment vertical="top" wrapText="1"/>
    </xf>
    <xf numFmtId="167" fontId="25" fillId="11" borderId="27" xfId="0" applyNumberFormat="1" applyFont="1" applyFill="1" applyBorder="1" applyAlignment="1">
      <alignment vertical="top" wrapText="1"/>
    </xf>
    <xf numFmtId="167" fontId="25" fillId="11" borderId="28" xfId="0" applyNumberFormat="1" applyFont="1" applyFill="1" applyBorder="1" applyAlignment="1">
      <alignment vertical="top" wrapText="1"/>
    </xf>
    <xf numFmtId="0" fontId="85" fillId="11" borderId="9" xfId="0" applyFont="1" applyFill="1" applyBorder="1" applyAlignment="1">
      <alignment horizontal="center" vertical="top"/>
    </xf>
    <xf numFmtId="0" fontId="85" fillId="11" borderId="1" xfId="0" applyFont="1" applyFill="1" applyBorder="1" applyAlignment="1">
      <alignment horizontal="center" vertical="top"/>
    </xf>
    <xf numFmtId="0" fontId="85" fillId="11" borderId="22" xfId="0" applyFont="1" applyFill="1" applyBorder="1" applyAlignment="1">
      <alignment horizontal="center" vertical="top"/>
    </xf>
    <xf numFmtId="0" fontId="85" fillId="11" borderId="35" xfId="0" applyFont="1" applyFill="1" applyBorder="1" applyAlignment="1">
      <alignment horizontal="center" vertical="top"/>
    </xf>
    <xf numFmtId="0" fontId="85" fillId="11" borderId="13" xfId="0" applyFont="1" applyFill="1" applyBorder="1" applyAlignment="1">
      <alignment horizontal="center" vertical="top"/>
    </xf>
    <xf numFmtId="0" fontId="85" fillId="11" borderId="14" xfId="0" applyFont="1" applyFill="1" applyBorder="1" applyAlignment="1">
      <alignment horizontal="center" vertical="top"/>
    </xf>
    <xf numFmtId="0" fontId="84" fillId="11" borderId="23" xfId="0" applyFont="1" applyFill="1" applyBorder="1" applyAlignment="1">
      <alignment vertical="top"/>
    </xf>
    <xf numFmtId="172" fontId="25" fillId="11" borderId="1" xfId="0" applyNumberFormat="1" applyFont="1" applyFill="1" applyBorder="1" applyAlignment="1">
      <alignment horizontal="left" vertical="top"/>
    </xf>
    <xf numFmtId="0" fontId="84" fillId="0" borderId="0" xfId="0" applyFont="1" applyFill="1" applyAlignment="1">
      <alignment horizontal="left" vertical="top" wrapText="1"/>
    </xf>
    <xf numFmtId="167" fontId="65" fillId="0" borderId="1" xfId="0" applyNumberFormat="1" applyFont="1" applyFill="1" applyBorder="1" applyAlignment="1">
      <alignment horizontal="left" vertical="top"/>
    </xf>
    <xf numFmtId="167" fontId="84" fillId="0" borderId="13" xfId="0" applyNumberFormat="1" applyFont="1" applyFill="1" applyBorder="1" applyAlignment="1">
      <alignment horizontal="left" vertical="top"/>
    </xf>
    <xf numFmtId="167" fontId="65" fillId="0" borderId="13" xfId="0" applyNumberFormat="1" applyFont="1" applyFill="1" applyBorder="1" applyAlignment="1">
      <alignment horizontal="left" vertical="top"/>
    </xf>
    <xf numFmtId="167" fontId="65" fillId="0" borderId="9" xfId="0" applyNumberFormat="1" applyFont="1" applyFill="1" applyBorder="1" applyAlignment="1">
      <alignment horizontal="left" vertical="top"/>
    </xf>
    <xf numFmtId="0" fontId="70" fillId="20" borderId="0" xfId="0" applyFont="1" applyFill="1" applyBorder="1" applyAlignment="1">
      <alignment vertical="top"/>
    </xf>
    <xf numFmtId="0" fontId="84" fillId="0" borderId="0" xfId="0" applyFont="1" applyFill="1" applyBorder="1" applyAlignment="1">
      <alignment horizontal="left" vertical="top"/>
    </xf>
    <xf numFmtId="0" fontId="84" fillId="0" borderId="0" xfId="0" applyFont="1" applyFill="1" applyBorder="1" applyAlignment="1">
      <alignment vertical="top"/>
    </xf>
    <xf numFmtId="167" fontId="65" fillId="0" borderId="1" xfId="0" applyNumberFormat="1" applyFont="1" applyFill="1" applyBorder="1" applyAlignment="1">
      <alignment vertical="top"/>
    </xf>
    <xf numFmtId="0" fontId="85" fillId="0" borderId="0" xfId="0" applyFont="1" applyFill="1" applyBorder="1" applyAlignment="1">
      <alignment vertical="top"/>
    </xf>
    <xf numFmtId="0" fontId="85" fillId="0" borderId="1" xfId="0" applyFont="1" applyFill="1" applyBorder="1" applyAlignment="1">
      <alignment horizontal="left" vertical="top"/>
    </xf>
    <xf numFmtId="0" fontId="113" fillId="0" borderId="1" xfId="0" applyFont="1" applyFill="1" applyBorder="1" applyAlignment="1">
      <alignment horizontal="left" vertical="top" wrapText="1"/>
    </xf>
    <xf numFmtId="0" fontId="85" fillId="0" borderId="1" xfId="0" applyFont="1" applyFill="1" applyBorder="1" applyAlignment="1">
      <alignment horizontal="center" vertical="top"/>
    </xf>
    <xf numFmtId="166" fontId="4" fillId="0" borderId="8" xfId="0" applyNumberFormat="1" applyFont="1" applyFill="1" applyBorder="1" applyAlignment="1">
      <alignment horizontal="center" vertical="top" wrapText="1"/>
    </xf>
    <xf numFmtId="166" fontId="4" fillId="0" borderId="10" xfId="0" applyNumberFormat="1" applyFont="1" applyFill="1" applyBorder="1" applyAlignment="1">
      <alignment horizontal="center" vertical="top" wrapText="1"/>
    </xf>
    <xf numFmtId="0" fontId="85" fillId="0" borderId="0" xfId="0" applyFont="1" applyFill="1" applyBorder="1" applyAlignment="1">
      <alignment horizontal="left" vertical="top" wrapText="1"/>
    </xf>
    <xf numFmtId="166" fontId="85" fillId="0" borderId="1" xfId="0" applyNumberFormat="1" applyFont="1" applyFill="1" applyBorder="1" applyAlignment="1">
      <alignment horizontal="center" vertical="top" textRotation="90" wrapText="1"/>
    </xf>
    <xf numFmtId="167" fontId="25" fillId="0" borderId="1" xfId="0" applyNumberFormat="1" applyFont="1" applyFill="1" applyBorder="1" applyAlignment="1">
      <alignment horizontal="left" vertical="top" wrapText="1"/>
    </xf>
    <xf numFmtId="0" fontId="25" fillId="0" borderId="1" xfId="0" applyFont="1" applyFill="1" applyBorder="1" applyAlignment="1">
      <alignment horizontal="left" vertical="top"/>
    </xf>
    <xf numFmtId="167" fontId="64" fillId="0" borderId="0" xfId="0" applyNumberFormat="1" applyFont="1" applyFill="1" applyBorder="1" applyAlignment="1">
      <alignment horizontal="left" vertical="top"/>
    </xf>
    <xf numFmtId="0" fontId="64" fillId="0" borderId="0" xfId="0" applyFont="1" applyFill="1" applyBorder="1" applyAlignment="1">
      <alignment horizontal="left" vertical="top"/>
    </xf>
    <xf numFmtId="0" fontId="70" fillId="20" borderId="0" xfId="0" applyFont="1" applyFill="1" applyBorder="1" applyAlignment="1">
      <alignment horizontal="left" vertical="top"/>
    </xf>
    <xf numFmtId="0" fontId="85" fillId="0" borderId="6" xfId="0" applyFont="1" applyFill="1" applyBorder="1" applyAlignment="1">
      <alignment vertical="top"/>
    </xf>
    <xf numFmtId="0" fontId="25" fillId="0" borderId="6" xfId="0" applyFont="1" applyFill="1" applyBorder="1" applyAlignment="1">
      <alignment vertical="top"/>
    </xf>
    <xf numFmtId="0" fontId="70" fillId="21" borderId="0" xfId="0" applyFont="1" applyFill="1" applyBorder="1" applyAlignment="1">
      <alignment vertical="top"/>
    </xf>
    <xf numFmtId="0" fontId="66" fillId="11" borderId="0" xfId="0" applyFont="1" applyFill="1" applyAlignment="1">
      <alignment vertical="top"/>
    </xf>
    <xf numFmtId="0" fontId="25" fillId="11" borderId="1" xfId="0" applyNumberFormat="1" applyFont="1" applyFill="1" applyBorder="1" applyAlignment="1" applyProtection="1">
      <alignment vertical="top"/>
    </xf>
    <xf numFmtId="0" fontId="85" fillId="11" borderId="8" xfId="0" applyFont="1" applyFill="1" applyBorder="1" applyAlignment="1" applyProtection="1">
      <alignment vertical="top"/>
    </xf>
    <xf numFmtId="0" fontId="85" fillId="11" borderId="9" xfId="0" applyFont="1" applyFill="1" applyBorder="1" applyAlignment="1" applyProtection="1">
      <alignment vertical="top"/>
    </xf>
    <xf numFmtId="0" fontId="85" fillId="11" borderId="10" xfId="0" applyFont="1" applyFill="1" applyBorder="1" applyAlignment="1" applyProtection="1">
      <alignment vertical="top"/>
    </xf>
    <xf numFmtId="0" fontId="85" fillId="11" borderId="1" xfId="0" applyFont="1" applyFill="1" applyBorder="1" applyAlignment="1" applyProtection="1">
      <alignment vertical="top"/>
    </xf>
    <xf numFmtId="0" fontId="84" fillId="11" borderId="0" xfId="0" applyFont="1" applyFill="1" applyBorder="1" applyAlignment="1" applyProtection="1">
      <alignment vertical="top" wrapText="1"/>
    </xf>
    <xf numFmtId="172" fontId="66" fillId="11" borderId="8" xfId="0" applyNumberFormat="1" applyFont="1" applyFill="1" applyBorder="1" applyAlignment="1" applyProtection="1">
      <alignment vertical="top"/>
    </xf>
    <xf numFmtId="172" fontId="66" fillId="11" borderId="9" xfId="0" applyNumberFormat="1" applyFont="1" applyFill="1" applyBorder="1" applyAlignment="1" applyProtection="1">
      <alignment vertical="top"/>
    </xf>
    <xf numFmtId="172" fontId="66" fillId="11" borderId="10" xfId="0" applyNumberFormat="1" applyFont="1" applyFill="1" applyBorder="1" applyAlignment="1" applyProtection="1">
      <alignment vertical="top"/>
    </xf>
    <xf numFmtId="0" fontId="82" fillId="11" borderId="8" xfId="0" applyFont="1" applyFill="1" applyBorder="1" applyAlignment="1" applyProtection="1">
      <alignment vertical="top"/>
    </xf>
    <xf numFmtId="0" fontId="82" fillId="11" borderId="9" xfId="0" applyFont="1" applyFill="1" applyBorder="1" applyAlignment="1" applyProtection="1">
      <alignment vertical="top"/>
    </xf>
    <xf numFmtId="0" fontId="85" fillId="11" borderId="1" xfId="0" applyFont="1" applyFill="1" applyBorder="1" applyAlignment="1" applyProtection="1">
      <alignment horizontal="center" vertical="top"/>
    </xf>
    <xf numFmtId="0" fontId="82" fillId="11" borderId="9" xfId="0" applyFont="1" applyFill="1" applyBorder="1" applyAlignment="1" applyProtection="1">
      <alignment horizontal="center" vertical="top"/>
    </xf>
    <xf numFmtId="0" fontId="83" fillId="0" borderId="8" xfId="696" applyFont="1" applyFill="1" applyBorder="1" applyAlignment="1">
      <alignment horizontal="center" vertical="top" wrapText="1"/>
    </xf>
    <xf numFmtId="0" fontId="83" fillId="0" borderId="10" xfId="696" applyFont="1" applyFill="1" applyBorder="1" applyAlignment="1">
      <alignment horizontal="center" vertical="top" wrapText="1"/>
    </xf>
    <xf numFmtId="0" fontId="83" fillId="0" borderId="8" xfId="696" applyFont="1" applyBorder="1" applyAlignment="1">
      <alignment horizontal="center" vertical="top" wrapText="1"/>
    </xf>
    <xf numFmtId="0" fontId="83" fillId="0" borderId="10" xfId="696" applyFont="1" applyBorder="1" applyAlignment="1">
      <alignment horizontal="center" vertical="top" wrapText="1"/>
    </xf>
    <xf numFmtId="0" fontId="60" fillId="11" borderId="140" xfId="0" applyFont="1" applyFill="1" applyBorder="1" applyAlignment="1">
      <alignment horizontal="center"/>
    </xf>
    <xf numFmtId="0" fontId="0" fillId="11" borderId="85" xfId="0" applyFill="1" applyBorder="1" applyAlignment="1">
      <alignment horizontal="left"/>
    </xf>
    <xf numFmtId="0" fontId="0" fillId="11" borderId="86" xfId="0" applyFont="1" applyFill="1" applyBorder="1" applyAlignment="1">
      <alignment horizontal="left"/>
    </xf>
    <xf numFmtId="0" fontId="0" fillId="11" borderId="87" xfId="0" applyFont="1" applyFill="1" applyBorder="1" applyAlignment="1">
      <alignment horizontal="left"/>
    </xf>
    <xf numFmtId="0" fontId="0" fillId="11" borderId="88" xfId="0" applyFont="1" applyFill="1" applyBorder="1" applyAlignment="1">
      <alignment horizontal="left"/>
    </xf>
    <xf numFmtId="0" fontId="0" fillId="11" borderId="86" xfId="0" applyFill="1" applyBorder="1" applyAlignment="1">
      <alignment horizontal="left"/>
    </xf>
    <xf numFmtId="167" fontId="14" fillId="8" borderId="91" xfId="0" applyNumberFormat="1" applyFont="1" applyFill="1" applyBorder="1" applyAlignment="1" applyProtection="1">
      <alignment horizontal="left" vertical="center"/>
    </xf>
    <xf numFmtId="167" fontId="14" fillId="8" borderId="92" xfId="0" applyNumberFormat="1" applyFont="1" applyFill="1" applyBorder="1" applyAlignment="1" applyProtection="1">
      <alignment horizontal="left" vertical="center"/>
    </xf>
    <xf numFmtId="167" fontId="14" fillId="8" borderId="93" xfId="0" applyNumberFormat="1" applyFont="1" applyFill="1" applyBorder="1" applyAlignment="1" applyProtection="1">
      <alignment horizontal="left" vertical="center"/>
    </xf>
    <xf numFmtId="167" fontId="17" fillId="8" borderId="94" xfId="0" applyNumberFormat="1" applyFont="1" applyFill="1" applyBorder="1" applyAlignment="1" applyProtection="1">
      <alignment horizontal="left" vertical="center"/>
    </xf>
    <xf numFmtId="167" fontId="17" fillId="8" borderId="95" xfId="0" applyNumberFormat="1" applyFont="1" applyFill="1" applyBorder="1" applyAlignment="1" applyProtection="1">
      <alignment horizontal="left" vertical="center"/>
    </xf>
    <xf numFmtId="167" fontId="17" fillId="8" borderId="96" xfId="0" applyNumberFormat="1" applyFont="1" applyFill="1" applyBorder="1" applyAlignment="1" applyProtection="1">
      <alignment horizontal="left" vertical="center"/>
    </xf>
    <xf numFmtId="0" fontId="16" fillId="13" borderId="67" xfId="9" applyFont="1" applyFill="1" applyBorder="1" applyAlignment="1" applyProtection="1">
      <alignment horizontal="center" vertical="center" wrapText="1"/>
    </xf>
    <xf numFmtId="0" fontId="16" fillId="13" borderId="0" xfId="9" applyFont="1" applyFill="1" applyBorder="1" applyAlignment="1" applyProtection="1">
      <alignment horizontal="center" vertical="center" wrapText="1"/>
    </xf>
    <xf numFmtId="0" fontId="0" fillId="11" borderId="8" xfId="0" applyFill="1" applyBorder="1" applyAlignment="1">
      <alignment horizontal="left" vertical="center" wrapText="1"/>
    </xf>
    <xf numFmtId="0" fontId="0" fillId="11" borderId="10" xfId="0" applyFill="1" applyBorder="1" applyAlignment="1">
      <alignment horizontal="left" vertical="center" wrapText="1"/>
    </xf>
    <xf numFmtId="0" fontId="14" fillId="4" borderId="21" xfId="0" applyFont="1" applyFill="1" applyBorder="1" applyAlignment="1" applyProtection="1">
      <alignment vertical="center"/>
    </xf>
    <xf numFmtId="0" fontId="14" fillId="4" borderId="23" xfId="0" applyFont="1" applyFill="1" applyBorder="1" applyAlignment="1" applyProtection="1">
      <alignment vertical="center"/>
    </xf>
    <xf numFmtId="0" fontId="17" fillId="4" borderId="4" xfId="0" applyFont="1" applyFill="1" applyBorder="1" applyAlignment="1" applyProtection="1">
      <alignment vertical="center"/>
    </xf>
    <xf numFmtId="0" fontId="17" fillId="4" borderId="5" xfId="0" applyFont="1" applyFill="1" applyBorder="1" applyAlignment="1" applyProtection="1">
      <alignment vertical="center"/>
    </xf>
    <xf numFmtId="0" fontId="6" fillId="11" borderId="13" xfId="0" applyFont="1" applyFill="1" applyBorder="1" applyAlignment="1">
      <alignment horizontal="left"/>
    </xf>
    <xf numFmtId="0" fontId="8" fillId="8" borderId="32" xfId="8" applyFont="1" applyFill="1" applyBorder="1" applyAlignment="1">
      <alignment horizontal="left" vertical="center"/>
    </xf>
    <xf numFmtId="0" fontId="8" fillId="8" borderId="0" xfId="8" applyFont="1" applyFill="1" applyBorder="1" applyAlignment="1">
      <alignment horizontal="left" vertical="center"/>
    </xf>
    <xf numFmtId="0" fontId="8" fillId="8" borderId="7" xfId="8" applyFont="1" applyFill="1" applyBorder="1" applyAlignment="1">
      <alignment horizontal="left" vertical="center"/>
    </xf>
    <xf numFmtId="0" fontId="9" fillId="11" borderId="1" xfId="1" applyFont="1" applyFill="1" applyBorder="1" applyAlignment="1" applyProtection="1">
      <alignment horizontal="center"/>
    </xf>
    <xf numFmtId="0" fontId="9" fillId="2" borderId="1" xfId="1" applyFont="1" applyFill="1" applyBorder="1" applyAlignment="1" applyProtection="1">
      <alignment horizontal="center"/>
    </xf>
    <xf numFmtId="0" fontId="9" fillId="11" borderId="7" xfId="1" applyFont="1" applyFill="1" applyBorder="1" applyAlignment="1" applyProtection="1">
      <alignment horizontal="center" vertical="center" textRotation="90"/>
    </xf>
    <xf numFmtId="0" fontId="9" fillId="2" borderId="7" xfId="1" applyFont="1" applyFill="1" applyBorder="1" applyAlignment="1" applyProtection="1">
      <alignment horizontal="center" vertical="center" textRotation="90"/>
    </xf>
    <xf numFmtId="0" fontId="9" fillId="2" borderId="7" xfId="1" applyFont="1" applyFill="1" applyBorder="1" applyAlignment="1" applyProtection="1">
      <alignment horizontal="center" vertical="center"/>
    </xf>
    <xf numFmtId="0" fontId="9" fillId="11" borderId="15" xfId="1" applyFont="1" applyFill="1" applyBorder="1" applyAlignment="1" applyProtection="1">
      <alignment horizontal="center" vertical="center"/>
    </xf>
    <xf numFmtId="0" fontId="9" fillId="2" borderId="15" xfId="1" applyFont="1" applyFill="1" applyBorder="1" applyAlignment="1" applyProtection="1">
      <alignment horizontal="center" vertical="center"/>
    </xf>
    <xf numFmtId="0" fontId="9" fillId="11" borderId="1" xfId="1" applyFont="1" applyFill="1" applyBorder="1" applyAlignment="1" applyProtection="1">
      <alignment vertical="center"/>
    </xf>
    <xf numFmtId="0" fontId="9" fillId="2" borderId="1" xfId="1" applyFont="1" applyFill="1" applyBorder="1" applyAlignment="1" applyProtection="1">
      <alignment vertical="center"/>
    </xf>
    <xf numFmtId="0" fontId="8" fillId="8" borderId="12" xfId="8" applyFont="1" applyFill="1" applyBorder="1" applyAlignment="1">
      <alignment horizontal="left" vertical="center"/>
    </xf>
    <xf numFmtId="0" fontId="8" fillId="8" borderId="13" xfId="8" applyFont="1" applyFill="1" applyBorder="1" applyAlignment="1">
      <alignment horizontal="left" vertical="center"/>
    </xf>
    <xf numFmtId="0" fontId="8" fillId="8" borderId="14" xfId="8" applyFont="1" applyFill="1" applyBorder="1" applyAlignment="1">
      <alignment horizontal="left" vertical="center"/>
    </xf>
  </cellXfs>
  <cellStyles count="767">
    <cellStyle name="20% - Accent1" xfId="713" builtinId="30" customBuiltin="1"/>
    <cellStyle name="20% - Accent1 2" xfId="741"/>
    <cellStyle name="20% - Accent1 3" xfId="755"/>
    <cellStyle name="20% - Accent2" xfId="717" builtinId="34" customBuiltin="1"/>
    <cellStyle name="20% - Accent2 2" xfId="743"/>
    <cellStyle name="20% - Accent2 3" xfId="757"/>
    <cellStyle name="20% - Accent3" xfId="721" builtinId="38" customBuiltin="1"/>
    <cellStyle name="20% - Accent3 2" xfId="745"/>
    <cellStyle name="20% - Accent3 3" xfId="759"/>
    <cellStyle name="20% - Accent4" xfId="725" builtinId="42" customBuiltin="1"/>
    <cellStyle name="20% - Accent4 2" xfId="747"/>
    <cellStyle name="20% - Accent4 3" xfId="761"/>
    <cellStyle name="20% - Accent5" xfId="729" builtinId="46" customBuiltin="1"/>
    <cellStyle name="20% - Accent5 2" xfId="749"/>
    <cellStyle name="20% - Accent5 3" xfId="763"/>
    <cellStyle name="20% - Accent6" xfId="733" builtinId="50" customBuiltin="1"/>
    <cellStyle name="20% - Accent6 2" xfId="751"/>
    <cellStyle name="20% - Accent6 3" xfId="765"/>
    <cellStyle name="40% - Accent1" xfId="714" builtinId="31" customBuiltin="1"/>
    <cellStyle name="40% - Accent1 2" xfId="742"/>
    <cellStyle name="40% - Accent1 3" xfId="756"/>
    <cellStyle name="40% - Accent2" xfId="718" builtinId="35" customBuiltin="1"/>
    <cellStyle name="40% - Accent2 2" xfId="744"/>
    <cellStyle name="40% - Accent2 3" xfId="758"/>
    <cellStyle name="40% - Accent3" xfId="722" builtinId="39" customBuiltin="1"/>
    <cellStyle name="40% - Accent3 2" xfId="746"/>
    <cellStyle name="40% - Accent3 3" xfId="760"/>
    <cellStyle name="40% - Accent4" xfId="726" builtinId="43" customBuiltin="1"/>
    <cellStyle name="40% - Accent4 2" xfId="748"/>
    <cellStyle name="40% - Accent4 3" xfId="762"/>
    <cellStyle name="40% - Accent5" xfId="730" builtinId="47" customBuiltin="1"/>
    <cellStyle name="40% - Accent5 2" xfId="750"/>
    <cellStyle name="40% - Accent5 3" xfId="764"/>
    <cellStyle name="40% - Accent6" xfId="734" builtinId="51" customBuiltin="1"/>
    <cellStyle name="40% - Accent6 2" xfId="752"/>
    <cellStyle name="40% - Accent6 3" xfId="766"/>
    <cellStyle name="60% - Accent1" xfId="715" builtinId="32" customBuiltin="1"/>
    <cellStyle name="60% - Accent2" xfId="719" builtinId="36" customBuiltin="1"/>
    <cellStyle name="60% - Accent3" xfId="723" builtinId="40" customBuiltin="1"/>
    <cellStyle name="60% - Accent4" xfId="727" builtinId="44" customBuiltin="1"/>
    <cellStyle name="60% - Accent5" xfId="731" builtinId="48" customBuiltin="1"/>
    <cellStyle name="60% - Accent6" xfId="735" builtinId="52" customBuiltin="1"/>
    <cellStyle name="Accent1" xfId="712" builtinId="29" customBuiltin="1"/>
    <cellStyle name="Accent2" xfId="716" builtinId="33" customBuiltin="1"/>
    <cellStyle name="Accent3" xfId="720" builtinId="37" customBuiltin="1"/>
    <cellStyle name="Accent4" xfId="724" builtinId="41" customBuiltin="1"/>
    <cellStyle name="Accent5" xfId="728" builtinId="45" customBuiltin="1"/>
    <cellStyle name="Accent6" xfId="732" builtinId="49" customBuiltin="1"/>
    <cellStyle name="Bad" xfId="11" builtinId="27" customBuiltin="1"/>
    <cellStyle name="Calculation" xfId="706" builtinId="22" customBuiltin="1"/>
    <cellStyle name="Check Cell" xfId="708" builtinId="23" customBuiltin="1"/>
    <cellStyle name="Comma" xfId="10" builtinId="3"/>
    <cellStyle name="Dezimal 2" xfId="2"/>
    <cellStyle name="Dezimal 2 10" xfId="57"/>
    <cellStyle name="Dezimal 2 10 2" xfId="386"/>
    <cellStyle name="Dezimal 2 11" xfId="65"/>
    <cellStyle name="Dezimal 2 11 2" xfId="387"/>
    <cellStyle name="Dezimal 2 12" xfId="76"/>
    <cellStyle name="Dezimal 2 12 2" xfId="388"/>
    <cellStyle name="Dezimal 2 13" xfId="74"/>
    <cellStyle name="Dezimal 2 13 2" xfId="389"/>
    <cellStyle name="Dezimal 2 14" xfId="83"/>
    <cellStyle name="Dezimal 2 14 2" xfId="390"/>
    <cellStyle name="Dezimal 2 15" xfId="89"/>
    <cellStyle name="Dezimal 2 15 2" xfId="391"/>
    <cellStyle name="Dezimal 2 16" xfId="95"/>
    <cellStyle name="Dezimal 2 16 2" xfId="392"/>
    <cellStyle name="Dezimal 2 17" xfId="101"/>
    <cellStyle name="Dezimal 2 17 2" xfId="393"/>
    <cellStyle name="Dezimal 2 18" xfId="107"/>
    <cellStyle name="Dezimal 2 18 2" xfId="394"/>
    <cellStyle name="Dezimal 2 19" xfId="113"/>
    <cellStyle name="Dezimal 2 19 2" xfId="395"/>
    <cellStyle name="Dezimal 2 2" xfId="14"/>
    <cellStyle name="Dezimal 2 2 2" xfId="396"/>
    <cellStyle name="Dezimal 2 20" xfId="122"/>
    <cellStyle name="Dezimal 2 20 2" xfId="397"/>
    <cellStyle name="Dezimal 2 21" xfId="128"/>
    <cellStyle name="Dezimal 2 21 2" xfId="398"/>
    <cellStyle name="Dezimal 2 22" xfId="134"/>
    <cellStyle name="Dezimal 2 22 2" xfId="399"/>
    <cellStyle name="Dezimal 2 23" xfId="140"/>
    <cellStyle name="Dezimal 2 23 2" xfId="400"/>
    <cellStyle name="Dezimal 2 24" xfId="146"/>
    <cellStyle name="Dezimal 2 24 2" xfId="401"/>
    <cellStyle name="Dezimal 2 25" xfId="152"/>
    <cellStyle name="Dezimal 2 25 2" xfId="402"/>
    <cellStyle name="Dezimal 2 26" xfId="158"/>
    <cellStyle name="Dezimal 2 26 2" xfId="403"/>
    <cellStyle name="Dezimal 2 27" xfId="164"/>
    <cellStyle name="Dezimal 2 27 2" xfId="404"/>
    <cellStyle name="Dezimal 2 28" xfId="170"/>
    <cellStyle name="Dezimal 2 28 2" xfId="405"/>
    <cellStyle name="Dezimal 2 29" xfId="176"/>
    <cellStyle name="Dezimal 2 29 2" xfId="406"/>
    <cellStyle name="Dezimal 2 3" xfId="15"/>
    <cellStyle name="Dezimal 2 3 2" xfId="407"/>
    <cellStyle name="Dezimal 2 30" xfId="177"/>
    <cellStyle name="Dezimal 2 30 2" xfId="408"/>
    <cellStyle name="Dezimal 2 31" xfId="188"/>
    <cellStyle name="Dezimal 2 31 2" xfId="409"/>
    <cellStyle name="Dezimal 2 32" xfId="189"/>
    <cellStyle name="Dezimal 2 32 2" xfId="410"/>
    <cellStyle name="Dezimal 2 33" xfId="200"/>
    <cellStyle name="Dezimal 2 33 2" xfId="411"/>
    <cellStyle name="Dezimal 2 34" xfId="201"/>
    <cellStyle name="Dezimal 2 34 2" xfId="412"/>
    <cellStyle name="Dezimal 2 35" xfId="212"/>
    <cellStyle name="Dezimal 2 35 2" xfId="413"/>
    <cellStyle name="Dezimal 2 36" xfId="213"/>
    <cellStyle name="Dezimal 2 36 2" xfId="414"/>
    <cellStyle name="Dezimal 2 37" xfId="224"/>
    <cellStyle name="Dezimal 2 37 2" xfId="415"/>
    <cellStyle name="Dezimal 2 38" xfId="225"/>
    <cellStyle name="Dezimal 2 38 2" xfId="416"/>
    <cellStyle name="Dezimal 2 39" xfId="236"/>
    <cellStyle name="Dezimal 2 39 2" xfId="417"/>
    <cellStyle name="Dezimal 2 4" xfId="23"/>
    <cellStyle name="Dezimal 2 4 2" xfId="418"/>
    <cellStyle name="Dezimal 2 40" xfId="237"/>
    <cellStyle name="Dezimal 2 40 2" xfId="419"/>
    <cellStyle name="Dezimal 2 41" xfId="248"/>
    <cellStyle name="Dezimal 2 41 2" xfId="420"/>
    <cellStyle name="Dezimal 2 42" xfId="249"/>
    <cellStyle name="Dezimal 2 42 2" xfId="421"/>
    <cellStyle name="Dezimal 2 43" xfId="260"/>
    <cellStyle name="Dezimal 2 43 2" xfId="422"/>
    <cellStyle name="Dezimal 2 44" xfId="261"/>
    <cellStyle name="Dezimal 2 44 2" xfId="423"/>
    <cellStyle name="Dezimal 2 45" xfId="272"/>
    <cellStyle name="Dezimal 2 45 2" xfId="424"/>
    <cellStyle name="Dezimal 2 46" xfId="273"/>
    <cellStyle name="Dezimal 2 46 2" xfId="425"/>
    <cellStyle name="Dezimal 2 47" xfId="283"/>
    <cellStyle name="Dezimal 2 47 2" xfId="426"/>
    <cellStyle name="Dezimal 2 48" xfId="284"/>
    <cellStyle name="Dezimal 2 48 2" xfId="427"/>
    <cellStyle name="Dezimal 2 49" xfId="296"/>
    <cellStyle name="Dezimal 2 49 2" xfId="428"/>
    <cellStyle name="Dezimal 2 5" xfId="29"/>
    <cellStyle name="Dezimal 2 5 2" xfId="429"/>
    <cellStyle name="Dezimal 2 50" xfId="297"/>
    <cellStyle name="Dezimal 2 50 2" xfId="430"/>
    <cellStyle name="Dezimal 2 51" xfId="305"/>
    <cellStyle name="Dezimal 2 51 2" xfId="431"/>
    <cellStyle name="Dezimal 2 52" xfId="311"/>
    <cellStyle name="Dezimal 2 52 2" xfId="432"/>
    <cellStyle name="Dezimal 2 53" xfId="320"/>
    <cellStyle name="Dezimal 2 53 2" xfId="433"/>
    <cellStyle name="Dezimal 2 54" xfId="321"/>
    <cellStyle name="Dezimal 2 54 2" xfId="434"/>
    <cellStyle name="Dezimal 2 55" xfId="329"/>
    <cellStyle name="Dezimal 2 55 2" xfId="435"/>
    <cellStyle name="Dezimal 2 56" xfId="340"/>
    <cellStyle name="Dezimal 2 56 2" xfId="436"/>
    <cellStyle name="Dezimal 2 57" xfId="338"/>
    <cellStyle name="Dezimal 2 57 2" xfId="437"/>
    <cellStyle name="Dezimal 2 58" xfId="352"/>
    <cellStyle name="Dezimal 2 58 2" xfId="438"/>
    <cellStyle name="Dezimal 2 59" xfId="358"/>
    <cellStyle name="Dezimal 2 59 2" xfId="439"/>
    <cellStyle name="Dezimal 2 6" xfId="35"/>
    <cellStyle name="Dezimal 2 6 2" xfId="440"/>
    <cellStyle name="Dezimal 2 60" xfId="356"/>
    <cellStyle name="Dezimal 2 60 2" xfId="441"/>
    <cellStyle name="Dezimal 2 61" xfId="370"/>
    <cellStyle name="Dezimal 2 61 2" xfId="442"/>
    <cellStyle name="Dezimal 2 62" xfId="368"/>
    <cellStyle name="Dezimal 2 62 2" xfId="443"/>
    <cellStyle name="Dezimal 2 63" xfId="377"/>
    <cellStyle name="Dezimal 2 63 2" xfId="444"/>
    <cellStyle name="Dezimal 2 7" xfId="41"/>
    <cellStyle name="Dezimal 2 7 2" xfId="445"/>
    <cellStyle name="Dezimal 2 8" xfId="50"/>
    <cellStyle name="Dezimal 2 8 2" xfId="446"/>
    <cellStyle name="Dezimal 2 9" xfId="56"/>
    <cellStyle name="Dezimal 2 9 2" xfId="447"/>
    <cellStyle name="Explanatory Text" xfId="710" builtinId="53" customBuiltin="1"/>
    <cellStyle name="Good" xfId="703" builtinId="26" customBuiltin="1"/>
    <cellStyle name="Heading 1" xfId="698" builtinId="16" customBuiltin="1"/>
    <cellStyle name="Heading 2" xfId="701" builtinId="17" customBuiltin="1"/>
    <cellStyle name="Heading 3" xfId="699" builtinId="18" customBuiltin="1"/>
    <cellStyle name="Heading 4" xfId="702" builtinId="19" customBuiltin="1"/>
    <cellStyle name="Hyperlink" xfId="9" builtinId="8"/>
    <cellStyle name="Hyperlink 2" xfId="696"/>
    <cellStyle name="Input" xfId="704" builtinId="20" customBuiltin="1"/>
    <cellStyle name="Komma 2" xfId="385"/>
    <cellStyle name="Komma 2 2" xfId="697"/>
    <cellStyle name="Linked Cell" xfId="707" builtinId="24" customBuiltin="1"/>
    <cellStyle name="Neutral" xfId="12" builtinId="28" customBuiltin="1"/>
    <cellStyle name="Normal" xfId="0" builtinId="0"/>
    <cellStyle name="Normal 2" xfId="4"/>
    <cellStyle name="Normal 2 10" xfId="62"/>
    <cellStyle name="Normal 2 10 2" xfId="448"/>
    <cellStyle name="Normal 2 11" xfId="68"/>
    <cellStyle name="Normal 2 11 2" xfId="449"/>
    <cellStyle name="Normal 2 12" xfId="75"/>
    <cellStyle name="Normal 2 12 2" xfId="450"/>
    <cellStyle name="Normal 2 13" xfId="80"/>
    <cellStyle name="Normal 2 13 2" xfId="451"/>
    <cellStyle name="Normal 2 14" xfId="86"/>
    <cellStyle name="Normal 2 14 2" xfId="452"/>
    <cellStyle name="Normal 2 15" xfId="92"/>
    <cellStyle name="Normal 2 15 2" xfId="453"/>
    <cellStyle name="Normal 2 16" xfId="98"/>
    <cellStyle name="Normal 2 16 2" xfId="454"/>
    <cellStyle name="Normal 2 17" xfId="104"/>
    <cellStyle name="Normal 2 17 2" xfId="455"/>
    <cellStyle name="Normal 2 18" xfId="110"/>
    <cellStyle name="Normal 2 18 2" xfId="456"/>
    <cellStyle name="Normal 2 19" xfId="116"/>
    <cellStyle name="Normal 2 19 2" xfId="457"/>
    <cellStyle name="Normal 2 2" xfId="16"/>
    <cellStyle name="Normal 2 2 2" xfId="458"/>
    <cellStyle name="Normal 2 20" xfId="123"/>
    <cellStyle name="Normal 2 20 2" xfId="459"/>
    <cellStyle name="Normal 2 21" xfId="129"/>
    <cellStyle name="Normal 2 21 2" xfId="460"/>
    <cellStyle name="Normal 2 22" xfId="135"/>
    <cellStyle name="Normal 2 22 2" xfId="461"/>
    <cellStyle name="Normal 2 23" xfId="141"/>
    <cellStyle name="Normal 2 23 2" xfId="462"/>
    <cellStyle name="Normal 2 24" xfId="147"/>
    <cellStyle name="Normal 2 24 2" xfId="463"/>
    <cellStyle name="Normal 2 25" xfId="153"/>
    <cellStyle name="Normal 2 25 2" xfId="464"/>
    <cellStyle name="Normal 2 26" xfId="159"/>
    <cellStyle name="Normal 2 26 2" xfId="465"/>
    <cellStyle name="Normal 2 27" xfId="165"/>
    <cellStyle name="Normal 2 27 2" xfId="466"/>
    <cellStyle name="Normal 2 28" xfId="171"/>
    <cellStyle name="Normal 2 28 2" xfId="467"/>
    <cellStyle name="Normal 2 29" xfId="178"/>
    <cellStyle name="Normal 2 29 2" xfId="468"/>
    <cellStyle name="Normal 2 3" xfId="20"/>
    <cellStyle name="Normal 2 3 2" xfId="469"/>
    <cellStyle name="Normal 2 30" xfId="182"/>
    <cellStyle name="Normal 2 30 2" xfId="470"/>
    <cellStyle name="Normal 2 31" xfId="190"/>
    <cellStyle name="Normal 2 31 2" xfId="471"/>
    <cellStyle name="Normal 2 32" xfId="194"/>
    <cellStyle name="Normal 2 32 2" xfId="472"/>
    <cellStyle name="Normal 2 33" xfId="202"/>
    <cellStyle name="Normal 2 33 2" xfId="473"/>
    <cellStyle name="Normal 2 34" xfId="206"/>
    <cellStyle name="Normal 2 34 2" xfId="474"/>
    <cellStyle name="Normal 2 35" xfId="214"/>
    <cellStyle name="Normal 2 35 2" xfId="475"/>
    <cellStyle name="Normal 2 36" xfId="218"/>
    <cellStyle name="Normal 2 36 2" xfId="476"/>
    <cellStyle name="Normal 2 37" xfId="226"/>
    <cellStyle name="Normal 2 37 2" xfId="477"/>
    <cellStyle name="Normal 2 38" xfId="230"/>
    <cellStyle name="Normal 2 38 2" xfId="478"/>
    <cellStyle name="Normal 2 39" xfId="238"/>
    <cellStyle name="Normal 2 39 2" xfId="479"/>
    <cellStyle name="Normal 2 4" xfId="26"/>
    <cellStyle name="Normal 2 4 2" xfId="480"/>
    <cellStyle name="Normal 2 40" xfId="242"/>
    <cellStyle name="Normal 2 40 2" xfId="481"/>
    <cellStyle name="Normal 2 41" xfId="250"/>
    <cellStyle name="Normal 2 41 2" xfId="482"/>
    <cellStyle name="Normal 2 42" xfId="254"/>
    <cellStyle name="Normal 2 42 2" xfId="483"/>
    <cellStyle name="Normal 2 43" xfId="262"/>
    <cellStyle name="Normal 2 43 2" xfId="484"/>
    <cellStyle name="Normal 2 44" xfId="266"/>
    <cellStyle name="Normal 2 44 2" xfId="485"/>
    <cellStyle name="Normal 2 45" xfId="274"/>
    <cellStyle name="Normal 2 45 2" xfId="486"/>
    <cellStyle name="Normal 2 46" xfId="278"/>
    <cellStyle name="Normal 2 46 2" xfId="487"/>
    <cellStyle name="Normal 2 47" xfId="286"/>
    <cellStyle name="Normal 2 47 2" xfId="488"/>
    <cellStyle name="Normal 2 48" xfId="290"/>
    <cellStyle name="Normal 2 48 2" xfId="489"/>
    <cellStyle name="Normal 2 49" xfId="298"/>
    <cellStyle name="Normal 2 49 2" xfId="490"/>
    <cellStyle name="Normal 2 5" xfId="32"/>
    <cellStyle name="Normal 2 5 2" xfId="491"/>
    <cellStyle name="Normal 2 50" xfId="302"/>
    <cellStyle name="Normal 2 50 2" xfId="492"/>
    <cellStyle name="Normal 2 51" xfId="308"/>
    <cellStyle name="Normal 2 51 2" xfId="493"/>
    <cellStyle name="Normal 2 52" xfId="314"/>
    <cellStyle name="Normal 2 52 2" xfId="494"/>
    <cellStyle name="Normal 2 53" xfId="322"/>
    <cellStyle name="Normal 2 53 2" xfId="495"/>
    <cellStyle name="Normal 2 54" xfId="326"/>
    <cellStyle name="Normal 2 54 2" xfId="496"/>
    <cellStyle name="Normal 2 55" xfId="332"/>
    <cellStyle name="Normal 2 55 2" xfId="497"/>
    <cellStyle name="Normal 2 56" xfId="339"/>
    <cellStyle name="Normal 2 56 2" xfId="498"/>
    <cellStyle name="Normal 2 57" xfId="344"/>
    <cellStyle name="Normal 2 57 2" xfId="499"/>
    <cellStyle name="Normal 2 58" xfId="351"/>
    <cellStyle name="Normal 2 58 2" xfId="500"/>
    <cellStyle name="Normal 2 59" xfId="357"/>
    <cellStyle name="Normal 2 59 2" xfId="501"/>
    <cellStyle name="Normal 2 6" xfId="38"/>
    <cellStyle name="Normal 2 6 2" xfId="502"/>
    <cellStyle name="Normal 2 60" xfId="362"/>
    <cellStyle name="Normal 2 60 2" xfId="503"/>
    <cellStyle name="Normal 2 61" xfId="369"/>
    <cellStyle name="Normal 2 61 2" xfId="504"/>
    <cellStyle name="Normal 2 62" xfId="374"/>
    <cellStyle name="Normal 2 62 2" xfId="505"/>
    <cellStyle name="Normal 2 63" xfId="380"/>
    <cellStyle name="Normal 2 63 2" xfId="506"/>
    <cellStyle name="Normal 2 64" xfId="737"/>
    <cellStyle name="Normal 2 7" xfId="44"/>
    <cellStyle name="Normal 2 7 2" xfId="507"/>
    <cellStyle name="Normal 2 8" xfId="51"/>
    <cellStyle name="Normal 2 8 2" xfId="508"/>
    <cellStyle name="Normal 2 9" xfId="58"/>
    <cellStyle name="Normal 2 9 2" xfId="509"/>
    <cellStyle name="Normal 3" xfId="7"/>
    <cellStyle name="Normal 3 10" xfId="67"/>
    <cellStyle name="Normal 3 10 2" xfId="510"/>
    <cellStyle name="Normal 3 11" xfId="73"/>
    <cellStyle name="Normal 3 11 2" xfId="511"/>
    <cellStyle name="Normal 3 12" xfId="79"/>
    <cellStyle name="Normal 3 12 2" xfId="512"/>
    <cellStyle name="Normal 3 13" xfId="85"/>
    <cellStyle name="Normal 3 13 2" xfId="513"/>
    <cellStyle name="Normal 3 14" xfId="91"/>
    <cellStyle name="Normal 3 14 2" xfId="514"/>
    <cellStyle name="Normal 3 15" xfId="97"/>
    <cellStyle name="Normal 3 15 2" xfId="515"/>
    <cellStyle name="Normal 3 16" xfId="103"/>
    <cellStyle name="Normal 3 16 2" xfId="516"/>
    <cellStyle name="Normal 3 17" xfId="109"/>
    <cellStyle name="Normal 3 17 2" xfId="517"/>
    <cellStyle name="Normal 3 18" xfId="115"/>
    <cellStyle name="Normal 3 18 2" xfId="518"/>
    <cellStyle name="Normal 3 19" xfId="120"/>
    <cellStyle name="Normal 3 19 2" xfId="519"/>
    <cellStyle name="Normal 3 2" xfId="19"/>
    <cellStyle name="Normal 3 2 2" xfId="520"/>
    <cellStyle name="Normal 3 20" xfId="126"/>
    <cellStyle name="Normal 3 20 2" xfId="521"/>
    <cellStyle name="Normal 3 21" xfId="132"/>
    <cellStyle name="Normal 3 21 2" xfId="522"/>
    <cellStyle name="Normal 3 22" xfId="138"/>
    <cellStyle name="Normal 3 22 2" xfId="523"/>
    <cellStyle name="Normal 3 23" xfId="144"/>
    <cellStyle name="Normal 3 23 2" xfId="524"/>
    <cellStyle name="Normal 3 24" xfId="150"/>
    <cellStyle name="Normal 3 24 2" xfId="525"/>
    <cellStyle name="Normal 3 25" xfId="156"/>
    <cellStyle name="Normal 3 25 2" xfId="526"/>
    <cellStyle name="Normal 3 26" xfId="162"/>
    <cellStyle name="Normal 3 26 2" xfId="527"/>
    <cellStyle name="Normal 3 27" xfId="168"/>
    <cellStyle name="Normal 3 27 2" xfId="528"/>
    <cellStyle name="Normal 3 28" xfId="174"/>
    <cellStyle name="Normal 3 28 2" xfId="529"/>
    <cellStyle name="Normal 3 29" xfId="181"/>
    <cellStyle name="Normal 3 29 2" xfId="530"/>
    <cellStyle name="Normal 3 3" xfId="25"/>
    <cellStyle name="Normal 3 3 2" xfId="531"/>
    <cellStyle name="Normal 3 30" xfId="186"/>
    <cellStyle name="Normal 3 30 2" xfId="532"/>
    <cellStyle name="Normal 3 31" xfId="193"/>
    <cellStyle name="Normal 3 31 2" xfId="533"/>
    <cellStyle name="Normal 3 32" xfId="198"/>
    <cellStyle name="Normal 3 32 2" xfId="534"/>
    <cellStyle name="Normal 3 33" xfId="205"/>
    <cellStyle name="Normal 3 33 2" xfId="535"/>
    <cellStyle name="Normal 3 34" xfId="210"/>
    <cellStyle name="Normal 3 34 2" xfId="536"/>
    <cellStyle name="Normal 3 35" xfId="217"/>
    <cellStyle name="Normal 3 35 2" xfId="537"/>
    <cellStyle name="Normal 3 36" xfId="222"/>
    <cellStyle name="Normal 3 36 2" xfId="538"/>
    <cellStyle name="Normal 3 37" xfId="229"/>
    <cellStyle name="Normal 3 37 2" xfId="539"/>
    <cellStyle name="Normal 3 38" xfId="234"/>
    <cellStyle name="Normal 3 38 2" xfId="540"/>
    <cellStyle name="Normal 3 39" xfId="241"/>
    <cellStyle name="Normal 3 39 2" xfId="541"/>
    <cellStyle name="Normal 3 4" xfId="31"/>
    <cellStyle name="Normal 3 4 2" xfId="542"/>
    <cellStyle name="Normal 3 40" xfId="246"/>
    <cellStyle name="Normal 3 40 2" xfId="543"/>
    <cellStyle name="Normal 3 41" xfId="253"/>
    <cellStyle name="Normal 3 41 2" xfId="544"/>
    <cellStyle name="Normal 3 42" xfId="258"/>
    <cellStyle name="Normal 3 42 2" xfId="545"/>
    <cellStyle name="Normal 3 43" xfId="265"/>
    <cellStyle name="Normal 3 43 2" xfId="546"/>
    <cellStyle name="Normal 3 44" xfId="270"/>
    <cellStyle name="Normal 3 44 2" xfId="547"/>
    <cellStyle name="Normal 3 45" xfId="277"/>
    <cellStyle name="Normal 3 45 2" xfId="548"/>
    <cellStyle name="Normal 3 46" xfId="282"/>
    <cellStyle name="Normal 3 46 2" xfId="549"/>
    <cellStyle name="Normal 3 47" xfId="289"/>
    <cellStyle name="Normal 3 47 2" xfId="550"/>
    <cellStyle name="Normal 3 48" xfId="294"/>
    <cellStyle name="Normal 3 48 2" xfId="551"/>
    <cellStyle name="Normal 3 49" xfId="301"/>
    <cellStyle name="Normal 3 49 2" xfId="552"/>
    <cellStyle name="Normal 3 5" xfId="37"/>
    <cellStyle name="Normal 3 5 2" xfId="553"/>
    <cellStyle name="Normal 3 50" xfId="307"/>
    <cellStyle name="Normal 3 50 2" xfId="554"/>
    <cellStyle name="Normal 3 51" xfId="313"/>
    <cellStyle name="Normal 3 51 2" xfId="555"/>
    <cellStyle name="Normal 3 52" xfId="318"/>
    <cellStyle name="Normal 3 52 2" xfId="556"/>
    <cellStyle name="Normal 3 53" xfId="325"/>
    <cellStyle name="Normal 3 53 2" xfId="557"/>
    <cellStyle name="Normal 3 54" xfId="331"/>
    <cellStyle name="Normal 3 54 2" xfId="558"/>
    <cellStyle name="Normal 3 55" xfId="337"/>
    <cellStyle name="Normal 3 55 2" xfId="559"/>
    <cellStyle name="Normal 3 56" xfId="343"/>
    <cellStyle name="Normal 3 56 2" xfId="560"/>
    <cellStyle name="Normal 3 57" xfId="349"/>
    <cellStyle name="Normal 3 57 2" xfId="561"/>
    <cellStyle name="Normal 3 58" xfId="355"/>
    <cellStyle name="Normal 3 58 2" xfId="562"/>
    <cellStyle name="Normal 3 59" xfId="361"/>
    <cellStyle name="Normal 3 59 2" xfId="563"/>
    <cellStyle name="Normal 3 6" xfId="43"/>
    <cellStyle name="Normal 3 6 2" xfId="564"/>
    <cellStyle name="Normal 3 60" xfId="367"/>
    <cellStyle name="Normal 3 60 2" xfId="565"/>
    <cellStyle name="Normal 3 61" xfId="373"/>
    <cellStyle name="Normal 3 61 2" xfId="566"/>
    <cellStyle name="Normal 3 62" xfId="379"/>
    <cellStyle name="Normal 3 62 2" xfId="567"/>
    <cellStyle name="Normal 3 63" xfId="384"/>
    <cellStyle name="Normal 3 63 2" xfId="568"/>
    <cellStyle name="Normal 3 64" xfId="739"/>
    <cellStyle name="Normal 3 7" xfId="48"/>
    <cellStyle name="Normal 3 7 2" xfId="569"/>
    <cellStyle name="Normal 3 8" xfId="54"/>
    <cellStyle name="Normal 3 8 2" xfId="570"/>
    <cellStyle name="Normal 3 9" xfId="61"/>
    <cellStyle name="Normal 3 9 2" xfId="571"/>
    <cellStyle name="Normal 4" xfId="753"/>
    <cellStyle name="Normal 5" xfId="736"/>
    <cellStyle name="Note 2" xfId="738"/>
    <cellStyle name="Note 3" xfId="740"/>
    <cellStyle name="Note 4" xfId="754"/>
    <cellStyle name="Output" xfId="705" builtinId="21" customBuiltin="1"/>
    <cellStyle name="Percent" xfId="3" builtinId="5"/>
    <cellStyle name="Percent 2" xfId="6"/>
    <cellStyle name="Percent 2 10" xfId="66"/>
    <cellStyle name="Percent 2 10 2" xfId="572"/>
    <cellStyle name="Percent 2 11" xfId="72"/>
    <cellStyle name="Percent 2 11 2" xfId="573"/>
    <cellStyle name="Percent 2 12" xfId="78"/>
    <cellStyle name="Percent 2 12 2" xfId="574"/>
    <cellStyle name="Percent 2 13" xfId="84"/>
    <cellStyle name="Percent 2 13 2" xfId="575"/>
    <cellStyle name="Percent 2 14" xfId="90"/>
    <cellStyle name="Percent 2 14 2" xfId="576"/>
    <cellStyle name="Percent 2 15" xfId="96"/>
    <cellStyle name="Percent 2 15 2" xfId="577"/>
    <cellStyle name="Percent 2 16" xfId="102"/>
    <cellStyle name="Percent 2 16 2" xfId="578"/>
    <cellStyle name="Percent 2 17" xfId="108"/>
    <cellStyle name="Percent 2 17 2" xfId="579"/>
    <cellStyle name="Percent 2 18" xfId="114"/>
    <cellStyle name="Percent 2 18 2" xfId="580"/>
    <cellStyle name="Percent 2 19" xfId="119"/>
    <cellStyle name="Percent 2 19 2" xfId="581"/>
    <cellStyle name="Percent 2 2" xfId="18"/>
    <cellStyle name="Percent 2 2 2" xfId="582"/>
    <cellStyle name="Percent 2 20" xfId="125"/>
    <cellStyle name="Percent 2 20 2" xfId="583"/>
    <cellStyle name="Percent 2 21" xfId="131"/>
    <cellStyle name="Percent 2 21 2" xfId="584"/>
    <cellStyle name="Percent 2 22" xfId="137"/>
    <cellStyle name="Percent 2 22 2" xfId="585"/>
    <cellStyle name="Percent 2 23" xfId="143"/>
    <cellStyle name="Percent 2 23 2" xfId="586"/>
    <cellStyle name="Percent 2 24" xfId="149"/>
    <cellStyle name="Percent 2 24 2" xfId="587"/>
    <cellStyle name="Percent 2 25" xfId="155"/>
    <cellStyle name="Percent 2 25 2" xfId="588"/>
    <cellStyle name="Percent 2 26" xfId="161"/>
    <cellStyle name="Percent 2 26 2" xfId="589"/>
    <cellStyle name="Percent 2 27" xfId="167"/>
    <cellStyle name="Percent 2 27 2" xfId="590"/>
    <cellStyle name="Percent 2 28" xfId="173"/>
    <cellStyle name="Percent 2 28 2" xfId="591"/>
    <cellStyle name="Percent 2 29" xfId="180"/>
    <cellStyle name="Percent 2 29 2" xfId="592"/>
    <cellStyle name="Percent 2 3" xfId="24"/>
    <cellStyle name="Percent 2 3 2" xfId="593"/>
    <cellStyle name="Percent 2 30" xfId="185"/>
    <cellStyle name="Percent 2 30 2" xfId="594"/>
    <cellStyle name="Percent 2 31" xfId="192"/>
    <cellStyle name="Percent 2 31 2" xfId="595"/>
    <cellStyle name="Percent 2 32" xfId="197"/>
    <cellStyle name="Percent 2 32 2" xfId="596"/>
    <cellStyle name="Percent 2 33" xfId="204"/>
    <cellStyle name="Percent 2 33 2" xfId="597"/>
    <cellStyle name="Percent 2 34" xfId="209"/>
    <cellStyle name="Percent 2 34 2" xfId="598"/>
    <cellStyle name="Percent 2 35" xfId="216"/>
    <cellStyle name="Percent 2 35 2" xfId="599"/>
    <cellStyle name="Percent 2 36" xfId="221"/>
    <cellStyle name="Percent 2 36 2" xfId="600"/>
    <cellStyle name="Percent 2 37" xfId="228"/>
    <cellStyle name="Percent 2 37 2" xfId="601"/>
    <cellStyle name="Percent 2 38" xfId="233"/>
    <cellStyle name="Percent 2 38 2" xfId="602"/>
    <cellStyle name="Percent 2 39" xfId="240"/>
    <cellStyle name="Percent 2 39 2" xfId="603"/>
    <cellStyle name="Percent 2 4" xfId="30"/>
    <cellStyle name="Percent 2 4 2" xfId="604"/>
    <cellStyle name="Percent 2 40" xfId="245"/>
    <cellStyle name="Percent 2 40 2" xfId="605"/>
    <cellStyle name="Percent 2 41" xfId="252"/>
    <cellStyle name="Percent 2 41 2" xfId="606"/>
    <cellStyle name="Percent 2 42" xfId="257"/>
    <cellStyle name="Percent 2 42 2" xfId="607"/>
    <cellStyle name="Percent 2 43" xfId="264"/>
    <cellStyle name="Percent 2 43 2" xfId="608"/>
    <cellStyle name="Percent 2 44" xfId="269"/>
    <cellStyle name="Percent 2 44 2" xfId="609"/>
    <cellStyle name="Percent 2 45" xfId="276"/>
    <cellStyle name="Percent 2 45 2" xfId="610"/>
    <cellStyle name="Percent 2 46" xfId="281"/>
    <cellStyle name="Percent 2 46 2" xfId="611"/>
    <cellStyle name="Percent 2 47" xfId="288"/>
    <cellStyle name="Percent 2 47 2" xfId="612"/>
    <cellStyle name="Percent 2 48" xfId="293"/>
    <cellStyle name="Percent 2 48 2" xfId="613"/>
    <cellStyle name="Percent 2 49" xfId="300"/>
    <cellStyle name="Percent 2 49 2" xfId="614"/>
    <cellStyle name="Percent 2 5" xfId="36"/>
    <cellStyle name="Percent 2 5 2" xfId="615"/>
    <cellStyle name="Percent 2 50" xfId="306"/>
    <cellStyle name="Percent 2 50 2" xfId="616"/>
    <cellStyle name="Percent 2 51" xfId="312"/>
    <cellStyle name="Percent 2 51 2" xfId="617"/>
    <cellStyle name="Percent 2 52" xfId="317"/>
    <cellStyle name="Percent 2 52 2" xfId="618"/>
    <cellStyle name="Percent 2 53" xfId="324"/>
    <cellStyle name="Percent 2 53 2" xfId="619"/>
    <cellStyle name="Percent 2 54" xfId="330"/>
    <cellStyle name="Percent 2 54 2" xfId="620"/>
    <cellStyle name="Percent 2 55" xfId="336"/>
    <cellStyle name="Percent 2 55 2" xfId="621"/>
    <cellStyle name="Percent 2 56" xfId="342"/>
    <cellStyle name="Percent 2 56 2" xfId="622"/>
    <cellStyle name="Percent 2 57" xfId="348"/>
    <cellStyle name="Percent 2 57 2" xfId="623"/>
    <cellStyle name="Percent 2 58" xfId="354"/>
    <cellStyle name="Percent 2 58 2" xfId="624"/>
    <cellStyle name="Percent 2 59" xfId="360"/>
    <cellStyle name="Percent 2 59 2" xfId="625"/>
    <cellStyle name="Percent 2 6" xfId="42"/>
    <cellStyle name="Percent 2 6 2" xfId="626"/>
    <cellStyle name="Percent 2 60" xfId="366"/>
    <cellStyle name="Percent 2 60 2" xfId="627"/>
    <cellStyle name="Percent 2 61" xfId="372"/>
    <cellStyle name="Percent 2 61 2" xfId="628"/>
    <cellStyle name="Percent 2 62" xfId="378"/>
    <cellStyle name="Percent 2 62 2" xfId="629"/>
    <cellStyle name="Percent 2 63" xfId="383"/>
    <cellStyle name="Percent 2 63 2" xfId="630"/>
    <cellStyle name="Percent 2 7" xfId="47"/>
    <cellStyle name="Percent 2 7 2" xfId="631"/>
    <cellStyle name="Percent 2 8" xfId="53"/>
    <cellStyle name="Percent 2 8 2" xfId="632"/>
    <cellStyle name="Percent 2 9" xfId="60"/>
    <cellStyle name="Percent 2 9 2" xfId="633"/>
    <cellStyle name="Standard 2" xfId="1"/>
    <cellStyle name="Standard 2 10" xfId="55"/>
    <cellStyle name="Standard 2 10 2" xfId="634"/>
    <cellStyle name="Standard 2 11" xfId="64"/>
    <cellStyle name="Standard 2 11 2" xfId="635"/>
    <cellStyle name="Standard 2 12" xfId="70"/>
    <cellStyle name="Standard 2 12 2" xfId="636"/>
    <cellStyle name="Standard 2 13" xfId="71"/>
    <cellStyle name="Standard 2 13 2" xfId="637"/>
    <cellStyle name="Standard 2 14" xfId="82"/>
    <cellStyle name="Standard 2 14 2" xfId="638"/>
    <cellStyle name="Standard 2 15" xfId="88"/>
    <cellStyle name="Standard 2 15 2" xfId="639"/>
    <cellStyle name="Standard 2 16" xfId="94"/>
    <cellStyle name="Standard 2 16 2" xfId="640"/>
    <cellStyle name="Standard 2 17" xfId="100"/>
    <cellStyle name="Standard 2 17 2" xfId="641"/>
    <cellStyle name="Standard 2 18" xfId="106"/>
    <cellStyle name="Standard 2 18 2" xfId="642"/>
    <cellStyle name="Standard 2 19" xfId="112"/>
    <cellStyle name="Standard 2 19 2" xfId="643"/>
    <cellStyle name="Standard 2 2" xfId="5"/>
    <cellStyle name="Standard 2 2 10" xfId="63"/>
    <cellStyle name="Standard 2 2 11" xfId="69"/>
    <cellStyle name="Standard 2 2 12" xfId="77"/>
    <cellStyle name="Standard 2 2 13" xfId="81"/>
    <cellStyle name="Standard 2 2 14" xfId="87"/>
    <cellStyle name="Standard 2 2 15" xfId="93"/>
    <cellStyle name="Standard 2 2 16" xfId="99"/>
    <cellStyle name="Standard 2 2 17" xfId="105"/>
    <cellStyle name="Standard 2 2 18" xfId="111"/>
    <cellStyle name="Standard 2 2 19" xfId="117"/>
    <cellStyle name="Standard 2 2 2" xfId="17"/>
    <cellStyle name="Standard 2 2 20" xfId="124"/>
    <cellStyle name="Standard 2 2 21" xfId="130"/>
    <cellStyle name="Standard 2 2 22" xfId="136"/>
    <cellStyle name="Standard 2 2 23" xfId="142"/>
    <cellStyle name="Standard 2 2 24" xfId="148"/>
    <cellStyle name="Standard 2 2 25" xfId="154"/>
    <cellStyle name="Standard 2 2 26" xfId="160"/>
    <cellStyle name="Standard 2 2 27" xfId="166"/>
    <cellStyle name="Standard 2 2 28" xfId="172"/>
    <cellStyle name="Standard 2 2 29" xfId="179"/>
    <cellStyle name="Standard 2 2 3" xfId="21"/>
    <cellStyle name="Standard 2 2 30" xfId="183"/>
    <cellStyle name="Standard 2 2 31" xfId="191"/>
    <cellStyle name="Standard 2 2 32" xfId="195"/>
    <cellStyle name="Standard 2 2 33" xfId="203"/>
    <cellStyle name="Standard 2 2 34" xfId="207"/>
    <cellStyle name="Standard 2 2 35" xfId="215"/>
    <cellStyle name="Standard 2 2 36" xfId="219"/>
    <cellStyle name="Standard 2 2 37" xfId="227"/>
    <cellStyle name="Standard 2 2 38" xfId="231"/>
    <cellStyle name="Standard 2 2 39" xfId="239"/>
    <cellStyle name="Standard 2 2 4" xfId="27"/>
    <cellStyle name="Standard 2 2 40" xfId="243"/>
    <cellStyle name="Standard 2 2 41" xfId="251"/>
    <cellStyle name="Standard 2 2 42" xfId="255"/>
    <cellStyle name="Standard 2 2 43" xfId="263"/>
    <cellStyle name="Standard 2 2 44" xfId="267"/>
    <cellStyle name="Standard 2 2 45" xfId="275"/>
    <cellStyle name="Standard 2 2 46" xfId="279"/>
    <cellStyle name="Standard 2 2 47" xfId="287"/>
    <cellStyle name="Standard 2 2 48" xfId="291"/>
    <cellStyle name="Standard 2 2 49" xfId="299"/>
    <cellStyle name="Standard 2 2 5" xfId="33"/>
    <cellStyle name="Standard 2 2 50" xfId="303"/>
    <cellStyle name="Standard 2 2 51" xfId="309"/>
    <cellStyle name="Standard 2 2 52" xfId="315"/>
    <cellStyle name="Standard 2 2 53" xfId="323"/>
    <cellStyle name="Standard 2 2 54" xfId="327"/>
    <cellStyle name="Standard 2 2 55" xfId="333"/>
    <cellStyle name="Standard 2 2 56" xfId="341"/>
    <cellStyle name="Standard 2 2 57" xfId="345"/>
    <cellStyle name="Standard 2 2 58" xfId="353"/>
    <cellStyle name="Standard 2 2 59" xfId="359"/>
    <cellStyle name="Standard 2 2 6" xfId="39"/>
    <cellStyle name="Standard 2 2 60" xfId="363"/>
    <cellStyle name="Standard 2 2 61" xfId="371"/>
    <cellStyle name="Standard 2 2 62" xfId="375"/>
    <cellStyle name="Standard 2 2 63" xfId="381"/>
    <cellStyle name="Standard 2 2 7" xfId="45"/>
    <cellStyle name="Standard 2 2 8" xfId="52"/>
    <cellStyle name="Standard 2 2 9" xfId="59"/>
    <cellStyle name="Standard 2 20" xfId="118"/>
    <cellStyle name="Standard 2 20 2" xfId="644"/>
    <cellStyle name="Standard 2 21" xfId="121"/>
    <cellStyle name="Standard 2 21 2" xfId="645"/>
    <cellStyle name="Standard 2 22" xfId="127"/>
    <cellStyle name="Standard 2 22 2" xfId="646"/>
    <cellStyle name="Standard 2 23" xfId="133"/>
    <cellStyle name="Standard 2 23 2" xfId="647"/>
    <cellStyle name="Standard 2 24" xfId="139"/>
    <cellStyle name="Standard 2 24 2" xfId="648"/>
    <cellStyle name="Standard 2 25" xfId="145"/>
    <cellStyle name="Standard 2 25 2" xfId="649"/>
    <cellStyle name="Standard 2 26" xfId="151"/>
    <cellStyle name="Standard 2 26 2" xfId="650"/>
    <cellStyle name="Standard 2 27" xfId="157"/>
    <cellStyle name="Standard 2 27 2" xfId="651"/>
    <cellStyle name="Standard 2 28" xfId="163"/>
    <cellStyle name="Standard 2 28 2" xfId="652"/>
    <cellStyle name="Standard 2 29" xfId="169"/>
    <cellStyle name="Standard 2 29 2" xfId="653"/>
    <cellStyle name="Standard 2 3" xfId="13"/>
    <cellStyle name="Standard 2 3 2" xfId="654"/>
    <cellStyle name="Standard 2 30" xfId="175"/>
    <cellStyle name="Standard 2 30 2" xfId="655"/>
    <cellStyle name="Standard 2 31" xfId="184"/>
    <cellStyle name="Standard 2 31 2" xfId="656"/>
    <cellStyle name="Standard 2 32" xfId="187"/>
    <cellStyle name="Standard 2 32 2" xfId="657"/>
    <cellStyle name="Standard 2 33" xfId="196"/>
    <cellStyle name="Standard 2 33 2" xfId="658"/>
    <cellStyle name="Standard 2 34" xfId="199"/>
    <cellStyle name="Standard 2 34 2" xfId="659"/>
    <cellStyle name="Standard 2 35" xfId="208"/>
    <cellStyle name="Standard 2 35 2" xfId="660"/>
    <cellStyle name="Standard 2 36" xfId="211"/>
    <cellStyle name="Standard 2 36 2" xfId="661"/>
    <cellStyle name="Standard 2 37" xfId="220"/>
    <cellStyle name="Standard 2 37 2" xfId="662"/>
    <cellStyle name="Standard 2 38" xfId="223"/>
    <cellStyle name="Standard 2 38 2" xfId="663"/>
    <cellStyle name="Standard 2 39" xfId="232"/>
    <cellStyle name="Standard 2 39 2" xfId="664"/>
    <cellStyle name="Standard 2 4" xfId="22"/>
    <cellStyle name="Standard 2 4 2" xfId="665"/>
    <cellStyle name="Standard 2 40" xfId="235"/>
    <cellStyle name="Standard 2 40 2" xfId="666"/>
    <cellStyle name="Standard 2 41" xfId="244"/>
    <cellStyle name="Standard 2 41 2" xfId="667"/>
    <cellStyle name="Standard 2 42" xfId="247"/>
    <cellStyle name="Standard 2 42 2" xfId="668"/>
    <cellStyle name="Standard 2 43" xfId="256"/>
    <cellStyle name="Standard 2 43 2" xfId="669"/>
    <cellStyle name="Standard 2 44" xfId="259"/>
    <cellStyle name="Standard 2 44 2" xfId="670"/>
    <cellStyle name="Standard 2 45" xfId="268"/>
    <cellStyle name="Standard 2 45 2" xfId="671"/>
    <cellStyle name="Standard 2 46" xfId="271"/>
    <cellStyle name="Standard 2 46 2" xfId="672"/>
    <cellStyle name="Standard 2 47" xfId="280"/>
    <cellStyle name="Standard 2 47 2" xfId="673"/>
    <cellStyle name="Standard 2 48" xfId="285"/>
    <cellStyle name="Standard 2 48 2" xfId="674"/>
    <cellStyle name="Standard 2 49" xfId="292"/>
    <cellStyle name="Standard 2 49 2" xfId="675"/>
    <cellStyle name="Standard 2 5" xfId="28"/>
    <cellStyle name="Standard 2 5 2" xfId="676"/>
    <cellStyle name="Standard 2 50" xfId="295"/>
    <cellStyle name="Standard 2 50 2" xfId="677"/>
    <cellStyle name="Standard 2 51" xfId="304"/>
    <cellStyle name="Standard 2 51 2" xfId="678"/>
    <cellStyle name="Standard 2 52" xfId="310"/>
    <cellStyle name="Standard 2 52 2" xfId="679"/>
    <cellStyle name="Standard 2 53" xfId="316"/>
    <cellStyle name="Standard 2 53 2" xfId="680"/>
    <cellStyle name="Standard 2 54" xfId="319"/>
    <cellStyle name="Standard 2 54 2" xfId="681"/>
    <cellStyle name="Standard 2 55" xfId="328"/>
    <cellStyle name="Standard 2 55 2" xfId="682"/>
    <cellStyle name="Standard 2 56" xfId="334"/>
    <cellStyle name="Standard 2 56 2" xfId="683"/>
    <cellStyle name="Standard 2 57" xfId="335"/>
    <cellStyle name="Standard 2 57 2" xfId="684"/>
    <cellStyle name="Standard 2 58" xfId="346"/>
    <cellStyle name="Standard 2 58 2" xfId="685"/>
    <cellStyle name="Standard 2 59" xfId="347"/>
    <cellStyle name="Standard 2 59 2" xfId="686"/>
    <cellStyle name="Standard 2 6" xfId="34"/>
    <cellStyle name="Standard 2 6 2" xfId="687"/>
    <cellStyle name="Standard 2 60" xfId="350"/>
    <cellStyle name="Standard 2 60 2" xfId="688"/>
    <cellStyle name="Standard 2 61" xfId="364"/>
    <cellStyle name="Standard 2 61 2" xfId="689"/>
    <cellStyle name="Standard 2 62" xfId="365"/>
    <cellStyle name="Standard 2 62 2" xfId="690"/>
    <cellStyle name="Standard 2 63" xfId="376"/>
    <cellStyle name="Standard 2 63 2" xfId="691"/>
    <cellStyle name="Standard 2 64" xfId="382"/>
    <cellStyle name="Standard 2 64 2" xfId="692"/>
    <cellStyle name="Standard 2 7" xfId="40"/>
    <cellStyle name="Standard 2 7 2" xfId="693"/>
    <cellStyle name="Standard 2 8" xfId="46"/>
    <cellStyle name="Standard 2 8 2" xfId="694"/>
    <cellStyle name="Standard 2 9" xfId="49"/>
    <cellStyle name="Standard 2 9 2" xfId="695"/>
    <cellStyle name="Standard_Stammdaten" xfId="8"/>
    <cellStyle name="Title" xfId="700" builtinId="15" customBuiltin="1"/>
    <cellStyle name="Total" xfId="711" builtinId="25" customBuiltin="1"/>
    <cellStyle name="Warning Text" xfId="709" builtinId="11" customBuiltin="1"/>
  </cellStyles>
  <dxfs count="156">
    <dxf>
      <font>
        <color rgb="FF006100"/>
      </font>
      <fill>
        <patternFill>
          <bgColor rgb="FFC6EFCE"/>
        </patternFill>
      </fill>
    </dxf>
    <dxf>
      <font>
        <color rgb="FF9C6500"/>
      </font>
      <fill>
        <patternFill>
          <bgColor rgb="FFFFEB9C"/>
        </patternFill>
      </fill>
    </dxf>
    <dxf>
      <font>
        <color rgb="FF9C0000"/>
      </font>
      <fill>
        <patternFill>
          <bgColor rgb="FFFFC7CE"/>
        </patternFill>
      </fill>
    </dxf>
    <dxf>
      <protection locked="0"/>
    </dxf>
    <dxf>
      <fill>
        <patternFill>
          <bgColor theme="0"/>
        </patternFill>
      </fill>
    </dxf>
    <dxf>
      <fill>
        <patternFill patternType="solid">
          <bgColor theme="0" tint="-4.9989318521683403E-2"/>
        </patternFill>
      </fill>
    </dxf>
    <dxf>
      <fill>
        <patternFill>
          <bgColor theme="0"/>
        </patternFill>
      </fill>
    </dxf>
    <dxf>
      <protection locked="0"/>
    </dxf>
    <dxf>
      <fill>
        <patternFill patternType="solid">
          <bgColor theme="0" tint="-4.9989318521683403E-2"/>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0"/>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0"/>
      </font>
      <fill>
        <patternFill>
          <bgColor rgb="FFFFC7CE"/>
        </patternFill>
      </fill>
    </dxf>
    <dxf>
      <font>
        <color rgb="FF006100"/>
      </font>
      <fill>
        <patternFill>
          <bgColor rgb="FFC6EFCE"/>
        </patternFill>
      </fill>
    </dxf>
    <dxf>
      <font>
        <color rgb="FF9C6500"/>
      </font>
      <fill>
        <patternFill>
          <bgColor rgb="FFFFEB9C"/>
        </patternFill>
      </fill>
    </dxf>
    <dxf>
      <font>
        <color rgb="FF9C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lor theme="5" tint="-0.499984740745262"/>
      </font>
      <fill>
        <patternFill>
          <bgColor theme="9" tint="0.59996337778862885"/>
        </patternFill>
      </fill>
    </dxf>
    <dxf>
      <font>
        <color theme="5" tint="-0.499984740745262"/>
      </font>
      <fill>
        <patternFill>
          <bgColor theme="9" tint="0.59996337778862885"/>
        </patternFill>
      </fill>
    </dxf>
    <dxf>
      <font>
        <color theme="5" tint="-0.499984740745262"/>
      </font>
      <fill>
        <patternFill>
          <bgColor theme="9" tint="0.59996337778862885"/>
        </patternFill>
      </fill>
    </dxf>
    <dxf>
      <font>
        <color theme="5" tint="-0.499984740745262"/>
      </font>
      <fill>
        <patternFill>
          <bgColor theme="9" tint="0.59996337778862885"/>
        </patternFill>
      </fill>
    </dxf>
    <dxf>
      <font>
        <color theme="0"/>
      </font>
    </dxf>
    <dxf>
      <font>
        <color rgb="FFFFFF99"/>
      </font>
    </dxf>
    <dxf>
      <font>
        <color theme="5" tint="-0.499984740745262"/>
      </font>
      <fill>
        <patternFill>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font>
        <color theme="5" tint="-0.499984740745262"/>
      </font>
      <fill>
        <patternFill patternType="solid">
          <bgColor theme="9" tint="0.59996337778862885"/>
        </patternFill>
      </fill>
    </dxf>
    <dxf>
      <protection locked="0"/>
    </dxf>
    <dxf>
      <font>
        <b/>
      </font>
    </dxf>
    <dxf>
      <protection locked="0"/>
    </dxf>
    <dxf>
      <fill>
        <patternFill patternType="solid">
          <bgColor rgb="FFFFFF99"/>
        </patternFill>
      </fill>
    </dxf>
    <dxf>
      <fill>
        <patternFill patternType="solid">
          <bgColor theme="0" tint="-4.9989318521683403E-2"/>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9" defaultPivotStyle="PivotStyleLight16"/>
  <colors>
    <mruColors>
      <color rgb="FFFFFF99"/>
      <color rgb="FFFFC7CE"/>
      <color rgb="FF9C0006"/>
      <color rgb="FF9C6500"/>
      <color rgb="FFFFEB9C"/>
      <color rgb="FFC6EFCE"/>
      <color rgb="FF006100"/>
      <color rgb="FF9BBB59"/>
      <color rgb="FFFFFFCC"/>
      <color rgb="FFF37E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4.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71437865568801E-2"/>
          <c:y val="5.1759998531652078E-2"/>
          <c:w val="0.67058869997504422"/>
          <c:h val="0.8964800029366955"/>
        </c:manualLayout>
      </c:layout>
      <c:scatterChart>
        <c:scatterStyle val="lineMarker"/>
        <c:varyColors val="0"/>
        <c:ser>
          <c:idx val="0"/>
          <c:order val="0"/>
          <c:tx>
            <c:strRef>
              <c:f>Milestones!$A$7</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Milestones!$G$7:$AR$7</c:f>
              <c:numCache>
                <c:formatCode>dd/mm/yy;@</c:formatCode>
                <c:ptCount val="38"/>
              </c:numCache>
            </c:numRef>
          </c:yVal>
          <c:smooth val="0"/>
        </c:ser>
        <c:ser>
          <c:idx val="1"/>
          <c:order val="1"/>
          <c:tx>
            <c:strRef>
              <c:f>Milestones!$A$8</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Milestones!$G$8:$AR$8</c:f>
              <c:numCache>
                <c:formatCode>dd/mm/yy;@</c:formatCode>
                <c:ptCount val="38"/>
              </c:numCache>
            </c:numRef>
          </c:yVal>
          <c:smooth val="0"/>
        </c:ser>
        <c:ser>
          <c:idx val="2"/>
          <c:order val="2"/>
          <c:tx>
            <c:strRef>
              <c:f>Milestones!$A$9</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Milestones!$G$9:$AR$9</c:f>
              <c:numCache>
                <c:formatCode>dd/mm/yy;@</c:formatCode>
                <c:ptCount val="38"/>
              </c:numCache>
            </c:numRef>
          </c:yVal>
          <c:smooth val="0"/>
        </c:ser>
        <c:ser>
          <c:idx val="3"/>
          <c:order val="3"/>
          <c:tx>
            <c:strRef>
              <c:f>Milestones!$A$10</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Milestones!$G$10:$AR$10</c:f>
              <c:numCache>
                <c:formatCode>dd/mm/yy;@</c:formatCode>
                <c:ptCount val="38"/>
              </c:numCache>
            </c:numRef>
          </c:yVal>
          <c:smooth val="0"/>
        </c:ser>
        <c:ser>
          <c:idx val="4"/>
          <c:order val="4"/>
          <c:tx>
            <c:strRef>
              <c:f>Milestones!$A$11</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Milestones!$G$11:$AR$11</c:f>
              <c:numCache>
                <c:formatCode>dd/mm/yy;@</c:formatCode>
                <c:ptCount val="38"/>
              </c:numCache>
            </c:numRef>
          </c:yVal>
          <c:smooth val="0"/>
        </c:ser>
        <c:ser>
          <c:idx val="5"/>
          <c:order val="5"/>
          <c:tx>
            <c:strRef>
              <c:f>Milestones!$A$12</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Milestones!$G$12:$AR$12</c:f>
              <c:numCache>
                <c:formatCode>dd/mm/yy;@</c:formatCode>
                <c:ptCount val="38"/>
              </c:numCache>
            </c:numRef>
          </c:yVal>
          <c:smooth val="0"/>
        </c:ser>
        <c:ser>
          <c:idx val="6"/>
          <c:order val="6"/>
          <c:tx>
            <c:strRef>
              <c:f>Milestones!$A$13</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Milestones!$G$13:$AR$13</c:f>
              <c:numCache>
                <c:formatCode>dd/mm/yy;@</c:formatCode>
                <c:ptCount val="38"/>
              </c:numCache>
            </c:numRef>
          </c:yVal>
          <c:smooth val="0"/>
        </c:ser>
        <c:ser>
          <c:idx val="7"/>
          <c:order val="7"/>
          <c:tx>
            <c:strRef>
              <c:f>Milestones!$A$14</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Milestones!$G$14:$AR$14</c:f>
              <c:numCache>
                <c:formatCode>dd/mm/yy;@</c:formatCode>
                <c:ptCount val="38"/>
              </c:numCache>
            </c:numRef>
          </c:yVal>
          <c:smooth val="0"/>
        </c:ser>
        <c:ser>
          <c:idx val="8"/>
          <c:order val="8"/>
          <c:tx>
            <c:strRef>
              <c:f>Milestones!$A$15</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Milestones!$G$15:$AR$15</c:f>
              <c:numCache>
                <c:formatCode>dd/mm/yy;@</c:formatCode>
                <c:ptCount val="38"/>
              </c:numCache>
            </c:numRef>
          </c:yVal>
          <c:smooth val="0"/>
        </c:ser>
        <c:ser>
          <c:idx val="9"/>
          <c:order val="9"/>
          <c:tx>
            <c:strRef>
              <c:f>Milestones!$A$16</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Milestones!$G$16:$AR$16</c:f>
              <c:numCache>
                <c:formatCode>dd/mm/yy;@</c:formatCode>
                <c:ptCount val="38"/>
              </c:numCache>
            </c:numRef>
          </c:yVal>
          <c:smooth val="0"/>
        </c:ser>
        <c:ser>
          <c:idx val="10"/>
          <c:order val="10"/>
          <c:tx>
            <c:strRef>
              <c:f>Milestones!$A$17</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Milestones!$G$17:$AR$17</c:f>
              <c:numCache>
                <c:formatCode>dd/mm/yy;@</c:formatCode>
                <c:ptCount val="38"/>
              </c:numCache>
            </c:numRef>
          </c:yVal>
          <c:smooth val="0"/>
        </c:ser>
        <c:ser>
          <c:idx val="11"/>
          <c:order val="11"/>
          <c:tx>
            <c:strRef>
              <c:f>Milestones!$A$18</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Milestones!$G$18:$AR$18</c:f>
              <c:numCache>
                <c:formatCode>dd/mm/yy;@</c:formatCode>
                <c:ptCount val="38"/>
              </c:numCache>
            </c:numRef>
          </c:yVal>
          <c:smooth val="0"/>
        </c:ser>
        <c:dLbls>
          <c:showLegendKey val="0"/>
          <c:showVal val="0"/>
          <c:showCatName val="0"/>
          <c:showSerName val="0"/>
          <c:showPercent val="0"/>
          <c:showBubbleSize val="0"/>
        </c:dLbls>
        <c:axId val="383734888"/>
        <c:axId val="383736848"/>
      </c:scatterChart>
      <c:valAx>
        <c:axId val="383734888"/>
        <c:scaling>
          <c:orientation val="minMax"/>
        </c:scaling>
        <c:delete val="1"/>
        <c:axPos val="b"/>
        <c:numFmt formatCode="dd/mm/yy" sourceLinked="1"/>
        <c:majorTickMark val="out"/>
        <c:minorTickMark val="none"/>
        <c:tickLblPos val="none"/>
        <c:crossAx val="383736848"/>
        <c:crosses val="autoZero"/>
        <c:crossBetween val="midCat"/>
      </c:valAx>
      <c:valAx>
        <c:axId val="383736848"/>
        <c:scaling>
          <c:orientation val="minMax"/>
        </c:scaling>
        <c:delete val="0"/>
        <c:axPos val="l"/>
        <c:majorGridlines/>
        <c:numFmt formatCode="mm\/yy;@" sourceLinked="0"/>
        <c:majorTickMark val="out"/>
        <c:minorTickMark val="none"/>
        <c:tickLblPos val="nextTo"/>
        <c:crossAx val="383734888"/>
        <c:crosses val="autoZero"/>
        <c:crossBetween val="midCat"/>
      </c:valAx>
      <c:spPr>
        <a:solidFill>
          <a:schemeClr val="bg1">
            <a:lumMod val="95000"/>
          </a:schemeClr>
        </a:solidFill>
      </c:spPr>
    </c:plotArea>
    <c:legend>
      <c:legendPos val="r"/>
      <c:layout>
        <c:manualLayout>
          <c:xMode val="edge"/>
          <c:yMode val="edge"/>
          <c:x val="0.72060752548660767"/>
          <c:y val="7.848686746324543E-2"/>
          <c:w val="0.26757562485799391"/>
          <c:h val="0.84302626507350964"/>
        </c:manualLayout>
      </c:layout>
      <c:overlay val="0"/>
      <c:spPr>
        <a:solidFill>
          <a:schemeClr val="bg1">
            <a:lumMod val="95000"/>
          </a:schemeClr>
        </a:solidFill>
        <a:ln>
          <a:solidFill>
            <a:schemeClr val="tx1"/>
          </a:solidFill>
        </a:ln>
      </c:spPr>
    </c:legend>
    <c:plotVisOnly val="1"/>
    <c:dispBlanksAs val="gap"/>
    <c:showDLblsOverMax val="0"/>
  </c:chart>
  <c:spPr>
    <a:solidFill>
      <a:schemeClr val="bg1">
        <a:lumMod val="75000"/>
      </a:schemeClr>
    </a:solidFill>
  </c:spPr>
  <c:txPr>
    <a:bodyPr/>
    <a:lstStyle/>
    <a:p>
      <a:pPr>
        <a:defRPr sz="800" baseline="0">
          <a:latin typeface="Arial" panose="020B0604020202020204" pitchFamily="34" charset="0"/>
        </a:defRPr>
      </a:pPr>
      <a:endParaRPr lang="fr-FR"/>
    </a:p>
  </c:txPr>
  <c:printSettings>
    <c:headerFooter/>
    <c:pageMargins b="0.78740157480314954" l="0.70866141732283905" r="0.70866141732283905" t="0.78740157480314954" header="0.3149606299212635" footer="0.3149606299212635"/>
    <c:pageSetup paperSize="9" orientation="portrait" horizontalDpi="-4"/>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555728826753327E-2"/>
          <c:y val="4.6698696334189112E-2"/>
          <c:w val="0.66727136368094864"/>
          <c:h val="0.8623281984378367"/>
        </c:manualLayout>
      </c:layout>
      <c:bubbleChart>
        <c:varyColors val="0"/>
        <c:ser>
          <c:idx val="0"/>
          <c:order val="0"/>
          <c:tx>
            <c:strRef>
              <c:f>Risklog!$T$52</c:f>
              <c:strCache>
                <c:ptCount val="1"/>
              </c:strCache>
            </c:strRef>
          </c:tx>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Risklog!$U$52</c:f>
            </c:numRef>
          </c:xVal>
          <c:yVal>
            <c:numRef>
              <c:f>Risklog!$V$52</c:f>
            </c:numRef>
          </c:yVal>
          <c:bubbleSize>
            <c:numRef>
              <c:f>Risklog!$W$52</c:f>
            </c:numRef>
          </c:bubbleSize>
          <c:bubble3D val="1"/>
        </c:ser>
        <c:ser>
          <c:idx val="1"/>
          <c:order val="1"/>
          <c:tx>
            <c:strRef>
              <c:f>Risklog!$T$53</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Risklog!$U$53</c:f>
            </c:numRef>
          </c:xVal>
          <c:yVal>
            <c:numRef>
              <c:f>Risklog!$V$53</c:f>
            </c:numRef>
          </c:yVal>
          <c:bubbleSize>
            <c:numRef>
              <c:f>Risklog!$W$53</c:f>
            </c:numRef>
          </c:bubbleSize>
          <c:bubble3D val="1"/>
        </c:ser>
        <c:ser>
          <c:idx val="2"/>
          <c:order val="2"/>
          <c:tx>
            <c:strRef>
              <c:f>Risklog!$T$54</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Risklog!$U$54</c:f>
            </c:numRef>
          </c:xVal>
          <c:yVal>
            <c:numRef>
              <c:f>Risklog!$V$54</c:f>
            </c:numRef>
          </c:yVal>
          <c:bubbleSize>
            <c:numRef>
              <c:f>Risklog!$W$54</c:f>
            </c:numRef>
          </c:bubbleSize>
          <c:bubble3D val="1"/>
        </c:ser>
        <c:ser>
          <c:idx val="3"/>
          <c:order val="3"/>
          <c:tx>
            <c:strRef>
              <c:f>Risklog!$T$55</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Risklog!$U$55</c:f>
            </c:numRef>
          </c:xVal>
          <c:yVal>
            <c:numRef>
              <c:f>Risklog!$V$55</c:f>
            </c:numRef>
          </c:yVal>
          <c:bubbleSize>
            <c:numRef>
              <c:f>Risklog!$W$55</c:f>
            </c:numRef>
          </c:bubbleSize>
          <c:bubble3D val="1"/>
        </c:ser>
        <c:ser>
          <c:idx val="4"/>
          <c:order val="4"/>
          <c:tx>
            <c:strRef>
              <c:f>Risklog!$T$56</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Risklog!$U$56</c:f>
            </c:numRef>
          </c:xVal>
          <c:yVal>
            <c:numRef>
              <c:f>Risklog!$V$56</c:f>
            </c:numRef>
          </c:yVal>
          <c:bubbleSize>
            <c:numRef>
              <c:f>Risklog!$W$56</c:f>
            </c:numRef>
          </c:bubbleSize>
          <c:bubble3D val="1"/>
        </c:ser>
        <c:dLbls>
          <c:showLegendKey val="0"/>
          <c:showVal val="0"/>
          <c:showCatName val="0"/>
          <c:showSerName val="0"/>
          <c:showPercent val="0"/>
          <c:showBubbleSize val="0"/>
        </c:dLbls>
        <c:bubbleScale val="100"/>
        <c:showNegBubbles val="0"/>
        <c:axId val="383734496"/>
        <c:axId val="383737240"/>
      </c:bubbleChart>
      <c:valAx>
        <c:axId val="383734496"/>
        <c:scaling>
          <c:orientation val="minMax"/>
          <c:max val="6"/>
          <c:min val="0"/>
        </c:scaling>
        <c:delete val="0"/>
        <c:axPos val="b"/>
        <c:majorGridlines/>
        <c:title>
          <c:tx>
            <c:rich>
              <a:bodyPr/>
              <a:lstStyle/>
              <a:p>
                <a:pPr>
                  <a:defRPr lang="de-CH"/>
                </a:pPr>
                <a:r>
                  <a:rPr lang="en-US"/>
                  <a:t>Probabilty</a:t>
                </a:r>
              </a:p>
            </c:rich>
          </c:tx>
          <c:overlay val="0"/>
        </c:title>
        <c:numFmt formatCode="General" sourceLinked="1"/>
        <c:majorTickMark val="none"/>
        <c:minorTickMark val="none"/>
        <c:tickLblPos val="none"/>
        <c:spPr>
          <a:ln>
            <a:solidFill>
              <a:srgbClr val="4F81BD"/>
            </a:solidFill>
          </a:ln>
        </c:spPr>
        <c:txPr>
          <a:bodyPr/>
          <a:lstStyle/>
          <a:p>
            <a:pPr>
              <a:defRPr lang="de-CH"/>
            </a:pPr>
            <a:endParaRPr lang="fr-FR"/>
          </a:p>
        </c:txPr>
        <c:crossAx val="383737240"/>
        <c:crosses val="autoZero"/>
        <c:crossBetween val="midCat"/>
        <c:majorUnit val="2"/>
        <c:minorUnit val="0.2"/>
      </c:valAx>
      <c:valAx>
        <c:axId val="383737240"/>
        <c:scaling>
          <c:orientation val="minMax"/>
          <c:max val="6"/>
          <c:min val="0"/>
        </c:scaling>
        <c:delete val="0"/>
        <c:axPos val="l"/>
        <c:majorGridlines/>
        <c:title>
          <c:tx>
            <c:rich>
              <a:bodyPr rot="-5400000" vert="horz"/>
              <a:lstStyle/>
              <a:p>
                <a:pPr>
                  <a:defRPr lang="de-CH"/>
                </a:pPr>
                <a:r>
                  <a:rPr lang="en-US"/>
                  <a:t>Impact</a:t>
                </a:r>
              </a:p>
            </c:rich>
          </c:tx>
          <c:overlay val="0"/>
        </c:title>
        <c:numFmt formatCode="General" sourceLinked="1"/>
        <c:majorTickMark val="none"/>
        <c:minorTickMark val="none"/>
        <c:tickLblPos val="none"/>
        <c:txPr>
          <a:bodyPr/>
          <a:lstStyle/>
          <a:p>
            <a:pPr>
              <a:defRPr lang="de-CH"/>
            </a:pPr>
            <a:endParaRPr lang="fr-FR"/>
          </a:p>
        </c:txPr>
        <c:crossAx val="383734496"/>
        <c:crosses val="autoZero"/>
        <c:crossBetween val="midCat"/>
        <c:majorUnit val="2"/>
        <c:minorUnit val="0.2"/>
      </c:valAx>
      <c:spPr>
        <a:gradFill flip="none" rotWithShape="1">
          <a:gsLst>
            <a:gs pos="0">
              <a:srgbClr val="C0504D">
                <a:lumMod val="20000"/>
                <a:lumOff val="80000"/>
              </a:srgbClr>
            </a:gs>
            <a:gs pos="70000">
              <a:srgbClr val="E8645A"/>
            </a:gs>
            <a:gs pos="100000">
              <a:srgbClr val="FF0000"/>
            </a:gs>
          </a:gsLst>
          <a:lin ang="18900000" scaled="0"/>
          <a:tileRect/>
        </a:gradFill>
      </c:spPr>
    </c:plotArea>
    <c:legend>
      <c:legendPos val="r"/>
      <c:layout>
        <c:manualLayout>
          <c:xMode val="edge"/>
          <c:yMode val="edge"/>
          <c:x val="0.72094932279707702"/>
          <c:y val="5.0724344581958396E-2"/>
          <c:w val="0.26288725725883189"/>
          <c:h val="0.85652211642904263"/>
        </c:manualLayout>
      </c:layout>
      <c:overlay val="0"/>
      <c:spPr>
        <a:solidFill>
          <a:schemeClr val="bg1">
            <a:lumMod val="95000"/>
          </a:schemeClr>
        </a:solidFill>
        <a:ln>
          <a:solidFill>
            <a:schemeClr val="tx1"/>
          </a:solidFill>
        </a:ln>
      </c:spPr>
      <c:txPr>
        <a:bodyPr/>
        <a:lstStyle/>
        <a:p>
          <a:pPr>
            <a:defRPr lang="de-CH"/>
          </a:pPr>
          <a:endParaRPr lang="fr-FR"/>
        </a:p>
      </c:txPr>
    </c:legend>
    <c:plotVisOnly val="1"/>
    <c:dispBlanksAs val="gap"/>
    <c:showDLblsOverMax val="0"/>
  </c:chart>
  <c:spPr>
    <a:solidFill>
      <a:srgbClr val="C0C0C0"/>
    </a:solidFill>
  </c:spPr>
  <c:printSettings>
    <c:headerFooter/>
    <c:pageMargins b="0.78740157499999996" l="0.70000000000000062" r="0.70000000000000062" t="0.78740157499999996"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225525429279365E-2"/>
          <c:y val="3.8830784779333015E-2"/>
          <c:w val="0.80567121393312935"/>
          <c:h val="0.85772617264384499"/>
        </c:manualLayout>
      </c:layout>
      <c:barChart>
        <c:barDir val="col"/>
        <c:grouping val="stacked"/>
        <c:varyColors val="0"/>
        <c:ser>
          <c:idx val="1"/>
          <c:order val="0"/>
          <c:tx>
            <c:strRef>
              <c:f>'Actual Value'!$B$399</c:f>
              <c:strCache>
                <c:ptCount val="1"/>
                <c:pt idx="0">
                  <c:v>Actual billable</c:v>
                </c:pt>
              </c:strCache>
            </c:strRef>
          </c:tx>
          <c:spPr>
            <a:solidFill>
              <a:schemeClr val="accent6">
                <a:lumMod val="20000"/>
                <a:lumOff val="80000"/>
              </a:schemeClr>
            </a:solidFill>
            <a:ln>
              <a:solidFill>
                <a:schemeClr val="tx1">
                  <a:lumMod val="75000"/>
                  <a:lumOff val="25000"/>
                </a:schemeClr>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Value'!$D$399:$F$399</c:f>
              <c:numCache>
                <c:formatCode>#\ ###</c:formatCode>
                <c:ptCount val="3"/>
                <c:pt idx="0">
                  <c:v>0</c:v>
                </c:pt>
                <c:pt idx="1">
                  <c:v>0</c:v>
                </c:pt>
                <c:pt idx="2">
                  <c:v>0</c:v>
                </c:pt>
              </c:numCache>
            </c:numRef>
          </c:val>
        </c:ser>
        <c:ser>
          <c:idx val="2"/>
          <c:order val="1"/>
          <c:tx>
            <c:strRef>
              <c:f>'Actual Value'!$B$400</c:f>
              <c:strCache>
                <c:ptCount val="1"/>
                <c:pt idx="0">
                  <c:v>Actual non billable</c:v>
                </c:pt>
              </c:strCache>
            </c:strRef>
          </c:tx>
          <c:spPr>
            <a:solidFill>
              <a:schemeClr val="accent2">
                <a:lumMod val="40000"/>
                <a:lumOff val="60000"/>
              </a:schemeClr>
            </a:solidFill>
            <a:ln>
              <a:solidFill>
                <a:schemeClr val="tx1">
                  <a:lumMod val="75000"/>
                  <a:lumOff val="25000"/>
                </a:schemeClr>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Value'!$D$400:$F$400</c:f>
              <c:numCache>
                <c:formatCode>#\ ###</c:formatCode>
                <c:ptCount val="3"/>
                <c:pt idx="0">
                  <c:v>0</c:v>
                </c:pt>
                <c:pt idx="1">
                  <c:v>0</c:v>
                </c:pt>
                <c:pt idx="2">
                  <c:v>0</c:v>
                </c:pt>
              </c:numCache>
            </c:numRef>
          </c:val>
        </c:ser>
        <c:ser>
          <c:idx val="3"/>
          <c:order val="2"/>
          <c:tx>
            <c:strRef>
              <c:f>'Actual Value'!$B$401</c:f>
              <c:strCache>
                <c:ptCount val="1"/>
                <c:pt idx="0">
                  <c:v>Forecast billable</c:v>
                </c:pt>
              </c:strCache>
            </c:strRef>
          </c:tx>
          <c:spPr>
            <a:solidFill>
              <a:schemeClr val="accent6">
                <a:lumMod val="60000"/>
                <a:lumOff val="40000"/>
              </a:schemeClr>
            </a:solidFill>
            <a:ln>
              <a:solidFill>
                <a:schemeClr val="tx1">
                  <a:lumMod val="75000"/>
                  <a:lumOff val="25000"/>
                </a:schemeClr>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Value'!$D$401:$F$401</c:f>
              <c:numCache>
                <c:formatCode>#\ ###</c:formatCode>
                <c:ptCount val="3"/>
                <c:pt idx="0">
                  <c:v>0</c:v>
                </c:pt>
                <c:pt idx="1">
                  <c:v>0</c:v>
                </c:pt>
                <c:pt idx="2">
                  <c:v>0</c:v>
                </c:pt>
              </c:numCache>
            </c:numRef>
          </c:val>
        </c:ser>
        <c:ser>
          <c:idx val="4"/>
          <c:order val="3"/>
          <c:tx>
            <c:strRef>
              <c:f>'Actual Value'!$B$402</c:f>
              <c:strCache>
                <c:ptCount val="1"/>
                <c:pt idx="0">
                  <c:v>Forecast non billable</c:v>
                </c:pt>
              </c:strCache>
            </c:strRef>
          </c:tx>
          <c:spPr>
            <a:solidFill>
              <a:schemeClr val="accent2">
                <a:lumMod val="60000"/>
                <a:lumOff val="40000"/>
              </a:schemeClr>
            </a:solidFill>
            <a:ln>
              <a:solidFill>
                <a:schemeClr val="tx1">
                  <a:lumMod val="75000"/>
                  <a:lumOff val="25000"/>
                </a:schemeClr>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Value'!$D$402:$F$402</c:f>
              <c:numCache>
                <c:formatCode>#\ ###</c:formatCode>
                <c:ptCount val="3"/>
                <c:pt idx="0">
                  <c:v>0</c:v>
                </c:pt>
                <c:pt idx="1">
                  <c:v>0</c:v>
                </c:pt>
                <c:pt idx="2">
                  <c:v>0</c:v>
                </c:pt>
              </c:numCache>
            </c:numRef>
          </c:val>
        </c:ser>
        <c:ser>
          <c:idx val="6"/>
          <c:order val="4"/>
          <c:tx>
            <c:strRef>
              <c:f>'Actual Value'!$B$407</c:f>
              <c:strCache>
                <c:ptCount val="1"/>
                <c:pt idx="0">
                  <c:v>Actual Payments</c:v>
                </c:pt>
              </c:strCache>
            </c:strRef>
          </c:tx>
          <c:spPr>
            <a:solidFill>
              <a:schemeClr val="tx2">
                <a:lumMod val="60000"/>
                <a:lumOff val="40000"/>
              </a:schemeClr>
            </a:solidFill>
            <a:ln>
              <a:solidFill>
                <a:schemeClr val="tx1">
                  <a:lumMod val="75000"/>
                  <a:lumOff val="25000"/>
                </a:schemeClr>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Value'!$D$407:$F$407</c:f>
              <c:numCache>
                <c:formatCode>#\ ###</c:formatCode>
                <c:ptCount val="3"/>
                <c:pt idx="0">
                  <c:v>0</c:v>
                </c:pt>
                <c:pt idx="1">
                  <c:v>0</c:v>
                </c:pt>
                <c:pt idx="2">
                  <c:v>0</c:v>
                </c:pt>
              </c:numCache>
            </c:numRef>
          </c:val>
        </c:ser>
        <c:ser>
          <c:idx val="7"/>
          <c:order val="5"/>
          <c:tx>
            <c:strRef>
              <c:f>'Actual Value'!$B$408</c:f>
              <c:strCache>
                <c:ptCount val="1"/>
                <c:pt idx="0">
                  <c:v>Forcasted Payments</c:v>
                </c:pt>
              </c:strCache>
            </c:strRef>
          </c:tx>
          <c:spPr>
            <a:solidFill>
              <a:schemeClr val="accent1">
                <a:lumMod val="60000"/>
                <a:lumOff val="40000"/>
              </a:schemeClr>
            </a:solidFill>
            <a:ln>
              <a:solidFill>
                <a:schemeClr val="tx1">
                  <a:lumMod val="75000"/>
                  <a:lumOff val="25000"/>
                </a:schemeClr>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Value'!$D$408:$F$408</c:f>
              <c:numCache>
                <c:formatCode>#\ ###</c:formatCode>
                <c:ptCount val="3"/>
                <c:pt idx="0">
                  <c:v>0</c:v>
                </c:pt>
                <c:pt idx="1">
                  <c:v>0</c:v>
                </c:pt>
                <c:pt idx="2">
                  <c:v>0</c:v>
                </c:pt>
              </c:numCache>
            </c:numRef>
          </c:val>
        </c:ser>
        <c:ser>
          <c:idx val="5"/>
          <c:order val="6"/>
          <c:tx>
            <c:strRef>
              <c:f>'Actual Value'!$B$403</c:f>
              <c:strCache>
                <c:ptCount val="1"/>
                <c:pt idx="0">
                  <c:v>Budget Personal</c:v>
                </c:pt>
              </c:strCache>
            </c:strRef>
          </c:tx>
          <c:spPr>
            <a:ln>
              <a:solidFill>
                <a:schemeClr val="tx1"/>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Value'!$D$403:$F$403</c:f>
              <c:numCache>
                <c:formatCode>#\ ###</c:formatCode>
                <c:ptCount val="3"/>
                <c:pt idx="0">
                  <c:v>93800</c:v>
                </c:pt>
              </c:numCache>
            </c:numRef>
          </c:val>
        </c:ser>
        <c:ser>
          <c:idx val="0"/>
          <c:order val="7"/>
          <c:tx>
            <c:strRef>
              <c:f>'Actual Value'!$B$404</c:f>
              <c:strCache>
                <c:ptCount val="1"/>
                <c:pt idx="0">
                  <c:v>Budget Travel</c:v>
                </c:pt>
              </c:strCache>
            </c:strRef>
          </c:tx>
          <c:invertIfNegative val="0"/>
          <c:cat>
            <c:strRef>
              <c:f>'Actual Value'!$D$398:$F$398</c:f>
              <c:strCache>
                <c:ptCount val="3"/>
                <c:pt idx="0">
                  <c:v>Budget</c:v>
                </c:pt>
                <c:pt idx="1">
                  <c:v>Actual Cost &amp; Forecast</c:v>
                </c:pt>
                <c:pt idx="2">
                  <c:v>Incoming payments</c:v>
                </c:pt>
              </c:strCache>
            </c:strRef>
          </c:cat>
          <c:val>
            <c:numRef>
              <c:f>'Actual Value'!$D$404:$F$404</c:f>
              <c:numCache>
                <c:formatCode>#\ ###</c:formatCode>
                <c:ptCount val="3"/>
                <c:pt idx="0">
                  <c:v>0</c:v>
                </c:pt>
              </c:numCache>
            </c:numRef>
          </c:val>
        </c:ser>
        <c:ser>
          <c:idx val="8"/>
          <c:order val="8"/>
          <c:tx>
            <c:strRef>
              <c:f>'Actual Value'!$B$405</c:f>
              <c:strCache>
                <c:ptCount val="1"/>
                <c:pt idx="0">
                  <c:v>Budget Risk</c:v>
                </c:pt>
              </c:strCache>
            </c:strRef>
          </c:tx>
          <c:spPr>
            <a:ln>
              <a:solidFill>
                <a:prstClr val="black"/>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Value'!$D$405:$F$405</c:f>
              <c:numCache>
                <c:formatCode>#\ ###</c:formatCode>
                <c:ptCount val="3"/>
                <c:pt idx="0">
                  <c:v>0</c:v>
                </c:pt>
              </c:numCache>
            </c:numRef>
          </c:val>
        </c:ser>
        <c:ser>
          <c:idx val="9"/>
          <c:order val="9"/>
          <c:tx>
            <c:strRef>
              <c:f>'Actual Value'!$B$406</c:f>
              <c:strCache>
                <c:ptCount val="1"/>
                <c:pt idx="0">
                  <c:v>Budget Additional</c:v>
                </c:pt>
              </c:strCache>
            </c:strRef>
          </c:tx>
          <c:spPr>
            <a:ln>
              <a:solidFill>
                <a:prstClr val="black"/>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Value'!$D$406:$F$406</c:f>
              <c:numCache>
                <c:formatCode>#\ ###</c:formatCode>
                <c:ptCount val="3"/>
                <c:pt idx="0">
                  <c:v>0</c:v>
                </c:pt>
              </c:numCache>
            </c:numRef>
          </c:val>
        </c:ser>
        <c:dLbls>
          <c:showLegendKey val="0"/>
          <c:showVal val="0"/>
          <c:showCatName val="0"/>
          <c:showSerName val="0"/>
          <c:showPercent val="0"/>
          <c:showBubbleSize val="0"/>
        </c:dLbls>
        <c:gapWidth val="50"/>
        <c:overlap val="100"/>
        <c:axId val="383735280"/>
        <c:axId val="383730968"/>
      </c:barChart>
      <c:catAx>
        <c:axId val="383735280"/>
        <c:scaling>
          <c:orientation val="minMax"/>
        </c:scaling>
        <c:delete val="0"/>
        <c:axPos val="b"/>
        <c:numFmt formatCode="General" sourceLinked="0"/>
        <c:majorTickMark val="out"/>
        <c:minorTickMark val="none"/>
        <c:tickLblPos val="nextTo"/>
        <c:crossAx val="383730968"/>
        <c:crosses val="autoZero"/>
        <c:auto val="1"/>
        <c:lblAlgn val="ctr"/>
        <c:lblOffset val="100"/>
        <c:noMultiLvlLbl val="0"/>
      </c:catAx>
      <c:valAx>
        <c:axId val="383730968"/>
        <c:scaling>
          <c:orientation val="minMax"/>
        </c:scaling>
        <c:delete val="0"/>
        <c:axPos val="l"/>
        <c:majorGridlines/>
        <c:numFmt formatCode="#,##0" sourceLinked="0"/>
        <c:majorTickMark val="out"/>
        <c:minorTickMark val="none"/>
        <c:tickLblPos val="nextTo"/>
        <c:crossAx val="383735280"/>
        <c:crosses val="autoZero"/>
        <c:crossBetween val="between"/>
      </c:valAx>
      <c:spPr>
        <a:solidFill>
          <a:schemeClr val="bg1">
            <a:lumMod val="95000"/>
          </a:schemeClr>
        </a:solidFill>
      </c:spPr>
    </c:plotArea>
    <c:legend>
      <c:legendPos val="r"/>
      <c:layout>
        <c:manualLayout>
          <c:xMode val="edge"/>
          <c:yMode val="edge"/>
          <c:x val="0.86962229932493362"/>
          <c:y val="3.6372242965637992E-2"/>
          <c:w val="0.12446436595005662"/>
          <c:h val="0.86724402326956906"/>
        </c:manualLayout>
      </c:layout>
      <c:overlay val="0"/>
      <c:spPr>
        <a:solidFill>
          <a:schemeClr val="bg1">
            <a:lumMod val="95000"/>
          </a:schemeClr>
        </a:solidFill>
        <a:ln>
          <a:solidFill>
            <a:schemeClr val="tx1"/>
          </a:solidFill>
        </a:ln>
      </c:spPr>
    </c:legend>
    <c:plotVisOnly val="0"/>
    <c:dispBlanksAs val="zero"/>
    <c:showDLblsOverMax val="0"/>
  </c:chart>
  <c:spPr>
    <a:solidFill>
      <a:schemeClr val="bg1">
        <a:lumMod val="75000"/>
      </a:schemeClr>
    </a:solidFill>
  </c:spPr>
  <c:txPr>
    <a:bodyPr/>
    <a:lstStyle/>
    <a:p>
      <a:pPr>
        <a:defRPr sz="800" baseline="0">
          <a:latin typeface="Arial" panose="020B0604020202020204" pitchFamily="34" charset="0"/>
        </a:defRPr>
      </a:pPr>
      <a:endParaRPr lang="fr-FR"/>
    </a:p>
  </c:txPr>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CH"/>
            </a:pPr>
            <a:r>
              <a:rPr lang="en-US"/>
              <a:t>Milestone Trend Analysis</a:t>
            </a:r>
          </a:p>
        </c:rich>
      </c:tx>
      <c:overlay val="0"/>
    </c:title>
    <c:autoTitleDeleted val="0"/>
    <c:plotArea>
      <c:layout>
        <c:manualLayout>
          <c:layoutTarget val="inner"/>
          <c:xMode val="edge"/>
          <c:yMode val="edge"/>
          <c:x val="8.7475778969283227E-2"/>
          <c:y val="9.3257817796021727E-2"/>
          <c:w val="0.88894715990689843"/>
          <c:h val="0.67622223244382007"/>
        </c:manualLayout>
      </c:layout>
      <c:scatterChart>
        <c:scatterStyle val="lineMarker"/>
        <c:varyColors val="0"/>
        <c:ser>
          <c:idx val="0"/>
          <c:order val="0"/>
          <c:tx>
            <c:strRef>
              <c:f>Milestones!$A$7</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Milestones!$G$7:$AR$7</c:f>
              <c:numCache>
                <c:formatCode>dd/mm/yy;@</c:formatCode>
                <c:ptCount val="38"/>
              </c:numCache>
            </c:numRef>
          </c:yVal>
          <c:smooth val="0"/>
        </c:ser>
        <c:ser>
          <c:idx val="1"/>
          <c:order val="1"/>
          <c:tx>
            <c:strRef>
              <c:f>Milestones!$A$8</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Milestones!$G$8:$AR$8</c:f>
              <c:numCache>
                <c:formatCode>dd/mm/yy;@</c:formatCode>
                <c:ptCount val="38"/>
              </c:numCache>
            </c:numRef>
          </c:yVal>
          <c:smooth val="0"/>
        </c:ser>
        <c:ser>
          <c:idx val="2"/>
          <c:order val="2"/>
          <c:tx>
            <c:strRef>
              <c:f>Milestones!$A$9</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Milestones!$G$9:$AR$9</c:f>
              <c:numCache>
                <c:formatCode>dd/mm/yy;@</c:formatCode>
                <c:ptCount val="38"/>
              </c:numCache>
            </c:numRef>
          </c:yVal>
          <c:smooth val="0"/>
        </c:ser>
        <c:ser>
          <c:idx val="3"/>
          <c:order val="3"/>
          <c:tx>
            <c:strRef>
              <c:f>Milestones!$A$10</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Milestones!$G$10:$AR$10</c:f>
              <c:numCache>
                <c:formatCode>dd/mm/yy;@</c:formatCode>
                <c:ptCount val="38"/>
              </c:numCache>
            </c:numRef>
          </c:yVal>
          <c:smooth val="0"/>
        </c:ser>
        <c:ser>
          <c:idx val="4"/>
          <c:order val="4"/>
          <c:tx>
            <c:strRef>
              <c:f>Milestones!$A$11</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Milestones!$G$11:$AR$11</c:f>
              <c:numCache>
                <c:formatCode>dd/mm/yy;@</c:formatCode>
                <c:ptCount val="38"/>
              </c:numCache>
            </c:numRef>
          </c:yVal>
          <c:smooth val="0"/>
        </c:ser>
        <c:ser>
          <c:idx val="5"/>
          <c:order val="5"/>
          <c:tx>
            <c:strRef>
              <c:f>Milestones!$A$12</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Milestones!$G$12:$AR$12</c:f>
              <c:numCache>
                <c:formatCode>dd/mm/yy;@</c:formatCode>
                <c:ptCount val="38"/>
              </c:numCache>
            </c:numRef>
          </c:yVal>
          <c:smooth val="0"/>
        </c:ser>
        <c:ser>
          <c:idx val="6"/>
          <c:order val="6"/>
          <c:tx>
            <c:strRef>
              <c:f>Milestones!$A$13</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Milestones!$G$13:$AR$13</c:f>
              <c:numCache>
                <c:formatCode>dd/mm/yy;@</c:formatCode>
                <c:ptCount val="38"/>
              </c:numCache>
            </c:numRef>
          </c:yVal>
          <c:smooth val="0"/>
        </c:ser>
        <c:ser>
          <c:idx val="7"/>
          <c:order val="7"/>
          <c:tx>
            <c:strRef>
              <c:f>Milestones!$A$14</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Milestones!$G$14:$AR$14</c:f>
              <c:numCache>
                <c:formatCode>dd/mm/yy;@</c:formatCode>
                <c:ptCount val="38"/>
              </c:numCache>
            </c:numRef>
          </c:yVal>
          <c:smooth val="0"/>
        </c:ser>
        <c:ser>
          <c:idx val="8"/>
          <c:order val="8"/>
          <c:tx>
            <c:strRef>
              <c:f>Milestones!$A$15</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Milestones!$G$15:$AR$15</c:f>
              <c:numCache>
                <c:formatCode>dd/mm/yy;@</c:formatCode>
                <c:ptCount val="38"/>
              </c:numCache>
            </c:numRef>
          </c:yVal>
          <c:smooth val="0"/>
        </c:ser>
        <c:ser>
          <c:idx val="9"/>
          <c:order val="9"/>
          <c:tx>
            <c:strRef>
              <c:f>Milestones!$A$16</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Milestones!$G$16:$AR$16</c:f>
              <c:numCache>
                <c:formatCode>dd/mm/yy;@</c:formatCode>
                <c:ptCount val="38"/>
              </c:numCache>
            </c:numRef>
          </c:yVal>
          <c:smooth val="0"/>
        </c:ser>
        <c:ser>
          <c:idx val="10"/>
          <c:order val="10"/>
          <c:tx>
            <c:strRef>
              <c:f>Milestones!$A$17</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Milestones!$G$17:$AR$17</c:f>
              <c:numCache>
                <c:formatCode>dd/mm/yy;@</c:formatCode>
                <c:ptCount val="38"/>
              </c:numCache>
            </c:numRef>
          </c:yVal>
          <c:smooth val="0"/>
        </c:ser>
        <c:ser>
          <c:idx val="11"/>
          <c:order val="11"/>
          <c:tx>
            <c:strRef>
              <c:f>Milestones!$A$18</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Milestones!$G$18:$AR$18</c:f>
              <c:numCache>
                <c:formatCode>dd/mm/yy;@</c:formatCode>
                <c:ptCount val="38"/>
              </c:numCache>
            </c:numRef>
          </c:yVal>
          <c:smooth val="0"/>
        </c:ser>
        <c:dLbls>
          <c:showLegendKey val="0"/>
          <c:showVal val="0"/>
          <c:showCatName val="0"/>
          <c:showSerName val="0"/>
          <c:showPercent val="0"/>
          <c:showBubbleSize val="0"/>
        </c:dLbls>
        <c:axId val="407808448"/>
        <c:axId val="407804528"/>
      </c:scatterChart>
      <c:valAx>
        <c:axId val="407808448"/>
        <c:scaling>
          <c:orientation val="minMax"/>
        </c:scaling>
        <c:delete val="0"/>
        <c:axPos val="b"/>
        <c:numFmt formatCode="dd/mm/yy" sourceLinked="1"/>
        <c:majorTickMark val="none"/>
        <c:minorTickMark val="none"/>
        <c:tickLblPos val="none"/>
        <c:txPr>
          <a:bodyPr/>
          <a:lstStyle/>
          <a:p>
            <a:pPr>
              <a:defRPr lang="de-CH"/>
            </a:pPr>
            <a:endParaRPr lang="fr-FR"/>
          </a:p>
        </c:txPr>
        <c:crossAx val="407804528"/>
        <c:crosses val="autoZero"/>
        <c:crossBetween val="midCat"/>
      </c:valAx>
      <c:valAx>
        <c:axId val="407804528"/>
        <c:scaling>
          <c:orientation val="minMax"/>
        </c:scaling>
        <c:delete val="0"/>
        <c:axPos val="l"/>
        <c:majorGridlines/>
        <c:numFmt formatCode="mm\/yy;@" sourceLinked="0"/>
        <c:majorTickMark val="out"/>
        <c:minorTickMark val="none"/>
        <c:tickLblPos val="nextTo"/>
        <c:txPr>
          <a:bodyPr/>
          <a:lstStyle/>
          <a:p>
            <a:pPr>
              <a:defRPr lang="de-CH"/>
            </a:pPr>
            <a:endParaRPr lang="fr-FR"/>
          </a:p>
        </c:txPr>
        <c:crossAx val="407808448"/>
        <c:crosses val="autoZero"/>
        <c:crossBetween val="midCat"/>
      </c:valAx>
      <c:spPr>
        <a:solidFill>
          <a:schemeClr val="bg1">
            <a:lumMod val="95000"/>
          </a:schemeClr>
        </a:solidFill>
      </c:spPr>
    </c:plotArea>
    <c:legend>
      <c:legendPos val="b"/>
      <c:layout>
        <c:manualLayout>
          <c:xMode val="edge"/>
          <c:yMode val="edge"/>
          <c:x val="8.8532494758910868E-2"/>
          <c:y val="0.78984642275178274"/>
          <c:w val="0.88373165618451521"/>
          <c:h val="0.19100072162530832"/>
        </c:manualLayout>
      </c:layout>
      <c:overlay val="0"/>
      <c:spPr>
        <a:solidFill>
          <a:schemeClr val="bg1">
            <a:lumMod val="95000"/>
          </a:schemeClr>
        </a:solidFill>
        <a:ln>
          <a:solidFill>
            <a:schemeClr val="tx1"/>
          </a:solidFill>
        </a:ln>
      </c:spPr>
      <c:txPr>
        <a:bodyPr/>
        <a:lstStyle/>
        <a:p>
          <a:pPr>
            <a:defRPr lang="de-CH"/>
          </a:pPr>
          <a:endParaRPr lang="fr-FR"/>
        </a:p>
      </c:txPr>
    </c:legend>
    <c:plotVisOnly val="1"/>
    <c:dispBlanksAs val="gap"/>
    <c:showDLblsOverMax val="0"/>
  </c:chart>
  <c:spPr>
    <a:solidFill>
      <a:schemeClr val="bg1">
        <a:lumMod val="95000"/>
      </a:schemeClr>
    </a:solidFill>
  </c:spPr>
  <c:txPr>
    <a:bodyPr/>
    <a:lstStyle/>
    <a:p>
      <a:pPr>
        <a:defRPr sz="800"/>
      </a:pPr>
      <a:endParaRPr lang="fr-FR"/>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CH" sz="1000"/>
            </a:pPr>
            <a:r>
              <a:rPr lang="en-US" sz="1000"/>
              <a:t>Top 5 Risks</a:t>
            </a:r>
          </a:p>
        </c:rich>
      </c:tx>
      <c:overlay val="0"/>
    </c:title>
    <c:autoTitleDeleted val="0"/>
    <c:plotArea>
      <c:layout>
        <c:manualLayout>
          <c:layoutTarget val="inner"/>
          <c:xMode val="edge"/>
          <c:yMode val="edge"/>
          <c:x val="6.0276388910146514E-2"/>
          <c:y val="0.10691730040086635"/>
          <c:w val="0.888428355907116"/>
          <c:h val="0.7292135473584308"/>
        </c:manualLayout>
      </c:layout>
      <c:bubbleChart>
        <c:varyColors val="0"/>
        <c:ser>
          <c:idx val="0"/>
          <c:order val="0"/>
          <c:tx>
            <c:strRef>
              <c:f>Risklog!$T$52</c:f>
              <c:strCache>
                <c:ptCount val="1"/>
              </c:strCache>
            </c:strRef>
          </c:tx>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Risklog!$U$52</c:f>
            </c:numRef>
          </c:xVal>
          <c:yVal>
            <c:numRef>
              <c:f>Risklog!$V$52</c:f>
            </c:numRef>
          </c:yVal>
          <c:bubbleSize>
            <c:numRef>
              <c:f>Risklog!$W$52</c:f>
            </c:numRef>
          </c:bubbleSize>
          <c:bubble3D val="1"/>
        </c:ser>
        <c:ser>
          <c:idx val="1"/>
          <c:order val="1"/>
          <c:tx>
            <c:strRef>
              <c:f>Risklog!$T$53</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Risklog!$U$53</c:f>
            </c:numRef>
          </c:xVal>
          <c:yVal>
            <c:numRef>
              <c:f>Risklog!$V$53</c:f>
            </c:numRef>
          </c:yVal>
          <c:bubbleSize>
            <c:numRef>
              <c:f>Risklog!$W$53</c:f>
            </c:numRef>
          </c:bubbleSize>
          <c:bubble3D val="1"/>
        </c:ser>
        <c:ser>
          <c:idx val="2"/>
          <c:order val="2"/>
          <c:tx>
            <c:strRef>
              <c:f>Risklog!$T$54</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Risklog!$U$54</c:f>
            </c:numRef>
          </c:xVal>
          <c:yVal>
            <c:numRef>
              <c:f>Risklog!$V$54</c:f>
            </c:numRef>
          </c:yVal>
          <c:bubbleSize>
            <c:numRef>
              <c:f>Risklog!$W$54</c:f>
            </c:numRef>
          </c:bubbleSize>
          <c:bubble3D val="1"/>
        </c:ser>
        <c:ser>
          <c:idx val="3"/>
          <c:order val="3"/>
          <c:tx>
            <c:strRef>
              <c:f>Risklog!$T$55</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Risklog!$U$55</c:f>
            </c:numRef>
          </c:xVal>
          <c:yVal>
            <c:numRef>
              <c:f>Risklog!$V$55</c:f>
            </c:numRef>
          </c:yVal>
          <c:bubbleSize>
            <c:numRef>
              <c:f>Risklog!$W$55</c:f>
            </c:numRef>
          </c:bubbleSize>
          <c:bubble3D val="1"/>
        </c:ser>
        <c:ser>
          <c:idx val="4"/>
          <c:order val="4"/>
          <c:tx>
            <c:strRef>
              <c:f>Risklog!$T$56</c:f>
              <c:strCache>
                <c:ptCount val="1"/>
              </c:strCache>
            </c:strRef>
          </c:tx>
          <c:spPr>
            <a:ln w="25400">
              <a:noFill/>
            </a:ln>
          </c:spPr>
          <c:invertIfNegative val="0"/>
          <c:dLbls>
            <c:spPr>
              <a:noFill/>
            </c:spPr>
            <c:txPr>
              <a:bodyPr/>
              <a:lstStyle/>
              <a:p>
                <a:pPr>
                  <a:defRPr lang="de-CH" b="1">
                    <a:solidFill>
                      <a:schemeClr val="bg1"/>
                    </a:solidFill>
                  </a:defRPr>
                </a:pPr>
                <a:endParaRPr lang="fr-F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Risklog!$U$56</c:f>
            </c:numRef>
          </c:xVal>
          <c:yVal>
            <c:numRef>
              <c:f>Risklog!$V$56</c:f>
            </c:numRef>
          </c:yVal>
          <c:bubbleSize>
            <c:numRef>
              <c:f>Risklog!$W$56</c:f>
            </c:numRef>
          </c:bubbleSize>
          <c:bubble3D val="1"/>
        </c:ser>
        <c:dLbls>
          <c:showLegendKey val="0"/>
          <c:showVal val="0"/>
          <c:showCatName val="0"/>
          <c:showSerName val="0"/>
          <c:showPercent val="0"/>
          <c:showBubbleSize val="0"/>
        </c:dLbls>
        <c:bubbleScale val="100"/>
        <c:showNegBubbles val="0"/>
        <c:axId val="407810408"/>
        <c:axId val="407803744"/>
      </c:bubbleChart>
      <c:valAx>
        <c:axId val="407810408"/>
        <c:scaling>
          <c:orientation val="minMax"/>
          <c:max val="6"/>
          <c:min val="0"/>
        </c:scaling>
        <c:delete val="0"/>
        <c:axPos val="b"/>
        <c:majorGridlines/>
        <c:title>
          <c:tx>
            <c:rich>
              <a:bodyPr/>
              <a:lstStyle/>
              <a:p>
                <a:pPr>
                  <a:defRPr lang="de-CH"/>
                </a:pPr>
                <a:r>
                  <a:rPr lang="en-US"/>
                  <a:t>Probabilty</a:t>
                </a:r>
              </a:p>
            </c:rich>
          </c:tx>
          <c:overlay val="0"/>
        </c:title>
        <c:numFmt formatCode="General" sourceLinked="1"/>
        <c:majorTickMark val="none"/>
        <c:minorTickMark val="none"/>
        <c:tickLblPos val="none"/>
        <c:spPr>
          <a:ln>
            <a:solidFill>
              <a:srgbClr val="4F81BD"/>
            </a:solidFill>
          </a:ln>
        </c:spPr>
        <c:txPr>
          <a:bodyPr/>
          <a:lstStyle/>
          <a:p>
            <a:pPr>
              <a:defRPr lang="de-CH"/>
            </a:pPr>
            <a:endParaRPr lang="fr-FR"/>
          </a:p>
        </c:txPr>
        <c:crossAx val="407803744"/>
        <c:crosses val="autoZero"/>
        <c:crossBetween val="midCat"/>
        <c:majorUnit val="2"/>
        <c:minorUnit val="0.2"/>
      </c:valAx>
      <c:valAx>
        <c:axId val="407803744"/>
        <c:scaling>
          <c:orientation val="minMax"/>
          <c:max val="6"/>
          <c:min val="0"/>
        </c:scaling>
        <c:delete val="0"/>
        <c:axPos val="l"/>
        <c:majorGridlines/>
        <c:title>
          <c:tx>
            <c:rich>
              <a:bodyPr rot="-5400000" vert="horz"/>
              <a:lstStyle/>
              <a:p>
                <a:pPr>
                  <a:defRPr lang="de-CH"/>
                </a:pPr>
                <a:r>
                  <a:rPr lang="en-US"/>
                  <a:t>Impact</a:t>
                </a:r>
              </a:p>
            </c:rich>
          </c:tx>
          <c:overlay val="0"/>
        </c:title>
        <c:numFmt formatCode="General" sourceLinked="1"/>
        <c:majorTickMark val="none"/>
        <c:minorTickMark val="none"/>
        <c:tickLblPos val="none"/>
        <c:txPr>
          <a:bodyPr/>
          <a:lstStyle/>
          <a:p>
            <a:pPr>
              <a:defRPr lang="de-CH"/>
            </a:pPr>
            <a:endParaRPr lang="fr-FR"/>
          </a:p>
        </c:txPr>
        <c:crossAx val="407810408"/>
        <c:crosses val="autoZero"/>
        <c:crossBetween val="midCat"/>
        <c:majorUnit val="2"/>
        <c:minorUnit val="0.2"/>
      </c:valAx>
      <c:spPr>
        <a:gradFill flip="none" rotWithShape="1">
          <a:gsLst>
            <a:gs pos="0">
              <a:srgbClr val="C0504D">
                <a:lumMod val="20000"/>
                <a:lumOff val="80000"/>
              </a:srgbClr>
            </a:gs>
            <a:gs pos="70000">
              <a:srgbClr val="E8645A"/>
            </a:gs>
            <a:gs pos="100000">
              <a:srgbClr val="FF0000"/>
            </a:gs>
          </a:gsLst>
          <a:lin ang="18900000" scaled="0"/>
          <a:tileRect/>
        </a:gradFill>
      </c:spPr>
    </c:plotArea>
    <c:legend>
      <c:legendPos val="b"/>
      <c:layout>
        <c:manualLayout>
          <c:xMode val="edge"/>
          <c:yMode val="edge"/>
          <c:x val="6.5768059571847517E-2"/>
          <c:y val="0.89646422360084144"/>
          <c:w val="0.88309434716199497"/>
          <c:h val="9.0858180879840225E-2"/>
        </c:manualLayout>
      </c:layout>
      <c:overlay val="0"/>
      <c:spPr>
        <a:solidFill>
          <a:schemeClr val="bg1">
            <a:lumMod val="95000"/>
          </a:schemeClr>
        </a:solidFill>
        <a:ln>
          <a:solidFill>
            <a:schemeClr val="tx1"/>
          </a:solidFill>
        </a:ln>
      </c:spPr>
      <c:txPr>
        <a:bodyPr/>
        <a:lstStyle/>
        <a:p>
          <a:pPr>
            <a:defRPr lang="de-CH" sz="800"/>
          </a:pPr>
          <a:endParaRPr lang="fr-FR"/>
        </a:p>
      </c:txPr>
    </c:legend>
    <c:plotVisOnly val="1"/>
    <c:dispBlanksAs val="gap"/>
    <c:showDLblsOverMax val="0"/>
  </c:chart>
  <c:spPr>
    <a:solidFill>
      <a:schemeClr val="bg1">
        <a:lumMod val="95000"/>
      </a:schemeClr>
    </a:solidFill>
  </c:spPr>
  <c:printSettings>
    <c:headerFooter/>
    <c:pageMargins b="0.78740157499999996" l="0.70000000000000062" r="0.70000000000000062" t="0.78740157499999996" header="0.30000000000000032" footer="0.30000000000000032"/>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225525429279365E-2"/>
          <c:y val="3.8830784779333015E-2"/>
          <c:w val="0.76571333946032771"/>
          <c:h val="0.85772617264384543"/>
        </c:manualLayout>
      </c:layout>
      <c:barChart>
        <c:barDir val="col"/>
        <c:grouping val="stacked"/>
        <c:varyColors val="0"/>
        <c:ser>
          <c:idx val="1"/>
          <c:order val="0"/>
          <c:tx>
            <c:strRef>
              <c:f>'Actual Value'!$B$399</c:f>
              <c:strCache>
                <c:ptCount val="1"/>
                <c:pt idx="0">
                  <c:v>Actual billable</c:v>
                </c:pt>
              </c:strCache>
            </c:strRef>
          </c:tx>
          <c:spPr>
            <a:solidFill>
              <a:schemeClr val="accent6">
                <a:lumMod val="20000"/>
                <a:lumOff val="80000"/>
              </a:schemeClr>
            </a:solidFill>
            <a:ln>
              <a:solidFill>
                <a:schemeClr val="tx1">
                  <a:lumMod val="75000"/>
                  <a:lumOff val="25000"/>
                </a:schemeClr>
              </a:solidFill>
            </a:ln>
          </c:spPr>
          <c:invertIfNegative val="0"/>
          <c:dLbls>
            <c:spPr>
              <a:noFill/>
              <a:ln>
                <a:noFill/>
              </a:ln>
              <a:effectLst/>
            </c:spPr>
            <c:txPr>
              <a:bodyPr/>
              <a:lstStyle/>
              <a:p>
                <a:pPr>
                  <a:defRPr lang="de-CH"/>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Value'!$D$399:$F$399</c:f>
              <c:numCache>
                <c:formatCode>#\ ###</c:formatCode>
                <c:ptCount val="3"/>
                <c:pt idx="0">
                  <c:v>0</c:v>
                </c:pt>
                <c:pt idx="1">
                  <c:v>0</c:v>
                </c:pt>
                <c:pt idx="2">
                  <c:v>0</c:v>
                </c:pt>
              </c:numCache>
            </c:numRef>
          </c:val>
        </c:ser>
        <c:ser>
          <c:idx val="2"/>
          <c:order val="1"/>
          <c:tx>
            <c:strRef>
              <c:f>'Actual Value'!$B$400</c:f>
              <c:strCache>
                <c:ptCount val="1"/>
                <c:pt idx="0">
                  <c:v>Actual non billable</c:v>
                </c:pt>
              </c:strCache>
            </c:strRef>
          </c:tx>
          <c:spPr>
            <a:solidFill>
              <a:schemeClr val="accent2">
                <a:lumMod val="40000"/>
                <a:lumOff val="60000"/>
              </a:schemeClr>
            </a:solidFill>
            <a:ln>
              <a:solidFill>
                <a:schemeClr val="tx1">
                  <a:lumMod val="75000"/>
                  <a:lumOff val="25000"/>
                </a:schemeClr>
              </a:solidFill>
            </a:ln>
          </c:spPr>
          <c:invertIfNegative val="0"/>
          <c:dLbls>
            <c:spPr>
              <a:noFill/>
              <a:ln>
                <a:noFill/>
              </a:ln>
              <a:effectLst/>
            </c:spPr>
            <c:txPr>
              <a:bodyPr/>
              <a:lstStyle/>
              <a:p>
                <a:pPr>
                  <a:defRPr lang="de-CH"/>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Value'!$D$400:$F$400</c:f>
              <c:numCache>
                <c:formatCode>#\ ###</c:formatCode>
                <c:ptCount val="3"/>
                <c:pt idx="0">
                  <c:v>0</c:v>
                </c:pt>
                <c:pt idx="1">
                  <c:v>0</c:v>
                </c:pt>
                <c:pt idx="2">
                  <c:v>0</c:v>
                </c:pt>
              </c:numCache>
            </c:numRef>
          </c:val>
        </c:ser>
        <c:ser>
          <c:idx val="3"/>
          <c:order val="2"/>
          <c:tx>
            <c:strRef>
              <c:f>'Actual Value'!$B$401</c:f>
              <c:strCache>
                <c:ptCount val="1"/>
                <c:pt idx="0">
                  <c:v>Forecast billable</c:v>
                </c:pt>
              </c:strCache>
            </c:strRef>
          </c:tx>
          <c:spPr>
            <a:solidFill>
              <a:schemeClr val="accent6">
                <a:lumMod val="60000"/>
                <a:lumOff val="40000"/>
              </a:schemeClr>
            </a:solidFill>
            <a:ln>
              <a:solidFill>
                <a:schemeClr val="tx1">
                  <a:lumMod val="75000"/>
                  <a:lumOff val="25000"/>
                </a:schemeClr>
              </a:solidFill>
            </a:ln>
          </c:spPr>
          <c:invertIfNegative val="0"/>
          <c:dLbls>
            <c:spPr>
              <a:noFill/>
              <a:ln>
                <a:noFill/>
              </a:ln>
              <a:effectLst/>
            </c:spPr>
            <c:txPr>
              <a:bodyPr/>
              <a:lstStyle/>
              <a:p>
                <a:pPr>
                  <a:defRPr lang="de-CH"/>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Value'!$D$401:$F$401</c:f>
              <c:numCache>
                <c:formatCode>#\ ###</c:formatCode>
                <c:ptCount val="3"/>
                <c:pt idx="0">
                  <c:v>0</c:v>
                </c:pt>
                <c:pt idx="1">
                  <c:v>0</c:v>
                </c:pt>
                <c:pt idx="2">
                  <c:v>0</c:v>
                </c:pt>
              </c:numCache>
            </c:numRef>
          </c:val>
        </c:ser>
        <c:ser>
          <c:idx val="4"/>
          <c:order val="3"/>
          <c:tx>
            <c:strRef>
              <c:f>'Actual Value'!$B$402</c:f>
              <c:strCache>
                <c:ptCount val="1"/>
                <c:pt idx="0">
                  <c:v>Forecast non billable</c:v>
                </c:pt>
              </c:strCache>
            </c:strRef>
          </c:tx>
          <c:spPr>
            <a:solidFill>
              <a:schemeClr val="accent2">
                <a:lumMod val="60000"/>
                <a:lumOff val="40000"/>
              </a:schemeClr>
            </a:solidFill>
            <a:ln>
              <a:solidFill>
                <a:schemeClr val="tx1">
                  <a:lumMod val="75000"/>
                  <a:lumOff val="25000"/>
                </a:schemeClr>
              </a:solidFill>
            </a:ln>
          </c:spPr>
          <c:invertIfNegative val="0"/>
          <c:dLbls>
            <c:spPr>
              <a:noFill/>
              <a:ln>
                <a:noFill/>
              </a:ln>
              <a:effectLst/>
            </c:spPr>
            <c:txPr>
              <a:bodyPr/>
              <a:lstStyle/>
              <a:p>
                <a:pPr>
                  <a:defRPr lang="de-CH"/>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Value'!$D$402:$F$402</c:f>
              <c:numCache>
                <c:formatCode>#\ ###</c:formatCode>
                <c:ptCount val="3"/>
                <c:pt idx="0">
                  <c:v>0</c:v>
                </c:pt>
                <c:pt idx="1">
                  <c:v>0</c:v>
                </c:pt>
                <c:pt idx="2">
                  <c:v>0</c:v>
                </c:pt>
              </c:numCache>
            </c:numRef>
          </c:val>
        </c:ser>
        <c:ser>
          <c:idx val="6"/>
          <c:order val="4"/>
          <c:tx>
            <c:strRef>
              <c:f>'Actual Value'!$B$407</c:f>
              <c:strCache>
                <c:ptCount val="1"/>
                <c:pt idx="0">
                  <c:v>Actual Payments</c:v>
                </c:pt>
              </c:strCache>
            </c:strRef>
          </c:tx>
          <c:spPr>
            <a:solidFill>
              <a:schemeClr val="tx2">
                <a:lumMod val="60000"/>
                <a:lumOff val="40000"/>
              </a:schemeClr>
            </a:solidFill>
            <a:ln>
              <a:solidFill>
                <a:schemeClr val="tx1">
                  <a:lumMod val="75000"/>
                  <a:lumOff val="25000"/>
                </a:schemeClr>
              </a:solidFill>
            </a:ln>
          </c:spPr>
          <c:invertIfNegative val="0"/>
          <c:dLbls>
            <c:spPr>
              <a:noFill/>
              <a:ln>
                <a:noFill/>
              </a:ln>
              <a:effectLst/>
            </c:spPr>
            <c:txPr>
              <a:bodyPr/>
              <a:lstStyle/>
              <a:p>
                <a:pPr>
                  <a:defRPr lang="de-CH"/>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Value'!$D$407:$F$407</c:f>
              <c:numCache>
                <c:formatCode>#\ ###</c:formatCode>
                <c:ptCount val="3"/>
                <c:pt idx="0">
                  <c:v>0</c:v>
                </c:pt>
                <c:pt idx="1">
                  <c:v>0</c:v>
                </c:pt>
                <c:pt idx="2">
                  <c:v>0</c:v>
                </c:pt>
              </c:numCache>
            </c:numRef>
          </c:val>
        </c:ser>
        <c:ser>
          <c:idx val="7"/>
          <c:order val="5"/>
          <c:tx>
            <c:strRef>
              <c:f>'Actual Value'!$B$408</c:f>
              <c:strCache>
                <c:ptCount val="1"/>
                <c:pt idx="0">
                  <c:v>Forcasted Payments</c:v>
                </c:pt>
              </c:strCache>
            </c:strRef>
          </c:tx>
          <c:spPr>
            <a:solidFill>
              <a:schemeClr val="accent1">
                <a:lumMod val="60000"/>
                <a:lumOff val="40000"/>
              </a:schemeClr>
            </a:solidFill>
            <a:ln>
              <a:solidFill>
                <a:schemeClr val="tx1">
                  <a:lumMod val="75000"/>
                  <a:lumOff val="25000"/>
                </a:schemeClr>
              </a:solidFill>
            </a:ln>
          </c:spPr>
          <c:invertIfNegative val="0"/>
          <c:dLbls>
            <c:spPr>
              <a:noFill/>
              <a:ln>
                <a:noFill/>
              </a:ln>
              <a:effectLst/>
            </c:spPr>
            <c:txPr>
              <a:bodyPr/>
              <a:lstStyle/>
              <a:p>
                <a:pPr>
                  <a:defRPr lang="de-CH"/>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Value'!$D$408:$F$408</c:f>
              <c:numCache>
                <c:formatCode>#\ ###</c:formatCode>
                <c:ptCount val="3"/>
                <c:pt idx="0">
                  <c:v>0</c:v>
                </c:pt>
                <c:pt idx="1">
                  <c:v>0</c:v>
                </c:pt>
                <c:pt idx="2">
                  <c:v>0</c:v>
                </c:pt>
              </c:numCache>
            </c:numRef>
          </c:val>
        </c:ser>
        <c:ser>
          <c:idx val="5"/>
          <c:order val="6"/>
          <c:tx>
            <c:strRef>
              <c:f>'Actual Value'!$B$403</c:f>
              <c:strCache>
                <c:ptCount val="1"/>
                <c:pt idx="0">
                  <c:v>Budget Personal</c:v>
                </c:pt>
              </c:strCache>
            </c:strRef>
          </c:tx>
          <c:spPr>
            <a:ln>
              <a:solidFill>
                <a:prstClr val="black"/>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Value'!$D$403:$F$403</c:f>
              <c:numCache>
                <c:formatCode>#\ ###</c:formatCode>
                <c:ptCount val="3"/>
                <c:pt idx="0">
                  <c:v>93800</c:v>
                </c:pt>
              </c:numCache>
            </c:numRef>
          </c:val>
        </c:ser>
        <c:ser>
          <c:idx val="0"/>
          <c:order val="7"/>
          <c:tx>
            <c:strRef>
              <c:f>'Actual Value'!$B$404</c:f>
              <c:strCache>
                <c:ptCount val="1"/>
                <c:pt idx="0">
                  <c:v>Budget Travel</c:v>
                </c:pt>
              </c:strCache>
            </c:strRef>
          </c:tx>
          <c:invertIfNegative val="0"/>
          <c:cat>
            <c:strRef>
              <c:f>'Actual Value'!$D$398:$F$398</c:f>
              <c:strCache>
                <c:ptCount val="3"/>
                <c:pt idx="0">
                  <c:v>Budget</c:v>
                </c:pt>
                <c:pt idx="1">
                  <c:v>Actual Cost &amp; Forecast</c:v>
                </c:pt>
                <c:pt idx="2">
                  <c:v>Incoming payments</c:v>
                </c:pt>
              </c:strCache>
            </c:strRef>
          </c:cat>
          <c:val>
            <c:numRef>
              <c:f>'Actual Value'!$D$404:$F$404</c:f>
              <c:numCache>
                <c:formatCode>#\ ###</c:formatCode>
                <c:ptCount val="3"/>
                <c:pt idx="0">
                  <c:v>0</c:v>
                </c:pt>
              </c:numCache>
            </c:numRef>
          </c:val>
        </c:ser>
        <c:ser>
          <c:idx val="8"/>
          <c:order val="8"/>
          <c:tx>
            <c:strRef>
              <c:f>'Actual Value'!$B$405</c:f>
              <c:strCache>
                <c:ptCount val="1"/>
                <c:pt idx="0">
                  <c:v>Budget Risk</c:v>
                </c:pt>
              </c:strCache>
            </c:strRef>
          </c:tx>
          <c:spPr>
            <a:ln>
              <a:solidFill>
                <a:prstClr val="black"/>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Value'!$D$405:$F$405</c:f>
              <c:numCache>
                <c:formatCode>#\ ###</c:formatCode>
                <c:ptCount val="3"/>
                <c:pt idx="0">
                  <c:v>0</c:v>
                </c:pt>
              </c:numCache>
            </c:numRef>
          </c:val>
        </c:ser>
        <c:ser>
          <c:idx val="9"/>
          <c:order val="9"/>
          <c:tx>
            <c:strRef>
              <c:f>'Actual Value'!$B$406</c:f>
              <c:strCache>
                <c:ptCount val="1"/>
                <c:pt idx="0">
                  <c:v>Budget Additional</c:v>
                </c:pt>
              </c:strCache>
            </c:strRef>
          </c:tx>
          <c:spPr>
            <a:ln>
              <a:solidFill>
                <a:prstClr val="black"/>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'Actual Value'!$D$398:$F$398</c:f>
              <c:strCache>
                <c:ptCount val="3"/>
                <c:pt idx="0">
                  <c:v>Budget</c:v>
                </c:pt>
                <c:pt idx="1">
                  <c:v>Actual Cost &amp; Forecast</c:v>
                </c:pt>
                <c:pt idx="2">
                  <c:v>Incoming payments</c:v>
                </c:pt>
              </c:strCache>
            </c:strRef>
          </c:cat>
          <c:val>
            <c:numRef>
              <c:f>'Actual Value'!$D$406:$F$406</c:f>
              <c:numCache>
                <c:formatCode>#\ ###</c:formatCode>
                <c:ptCount val="3"/>
                <c:pt idx="0">
                  <c:v>0</c:v>
                </c:pt>
              </c:numCache>
            </c:numRef>
          </c:val>
        </c:ser>
        <c:dLbls>
          <c:showLegendKey val="0"/>
          <c:showVal val="0"/>
          <c:showCatName val="0"/>
          <c:showSerName val="0"/>
          <c:showPercent val="0"/>
          <c:showBubbleSize val="0"/>
        </c:dLbls>
        <c:gapWidth val="50"/>
        <c:overlap val="100"/>
        <c:axId val="407807272"/>
        <c:axId val="407808840"/>
      </c:barChart>
      <c:catAx>
        <c:axId val="407807272"/>
        <c:scaling>
          <c:orientation val="minMax"/>
        </c:scaling>
        <c:delete val="0"/>
        <c:axPos val="b"/>
        <c:numFmt formatCode="General" sourceLinked="0"/>
        <c:majorTickMark val="out"/>
        <c:minorTickMark val="none"/>
        <c:tickLblPos val="nextTo"/>
        <c:txPr>
          <a:bodyPr/>
          <a:lstStyle/>
          <a:p>
            <a:pPr>
              <a:defRPr lang="de-CH"/>
            </a:pPr>
            <a:endParaRPr lang="fr-FR"/>
          </a:p>
        </c:txPr>
        <c:crossAx val="407808840"/>
        <c:crosses val="autoZero"/>
        <c:auto val="1"/>
        <c:lblAlgn val="ctr"/>
        <c:lblOffset val="100"/>
        <c:noMultiLvlLbl val="0"/>
      </c:catAx>
      <c:valAx>
        <c:axId val="407808840"/>
        <c:scaling>
          <c:orientation val="minMax"/>
        </c:scaling>
        <c:delete val="0"/>
        <c:axPos val="l"/>
        <c:majorGridlines/>
        <c:numFmt formatCode="#,##0" sourceLinked="0"/>
        <c:majorTickMark val="out"/>
        <c:minorTickMark val="none"/>
        <c:tickLblPos val="nextTo"/>
        <c:txPr>
          <a:bodyPr/>
          <a:lstStyle/>
          <a:p>
            <a:pPr>
              <a:defRPr lang="de-CH"/>
            </a:pPr>
            <a:endParaRPr lang="fr-FR"/>
          </a:p>
        </c:txPr>
        <c:crossAx val="407807272"/>
        <c:crosses val="autoZero"/>
        <c:crossBetween val="between"/>
      </c:valAx>
      <c:spPr>
        <a:solidFill>
          <a:schemeClr val="bg1">
            <a:lumMod val="95000"/>
          </a:schemeClr>
        </a:solidFill>
      </c:spPr>
    </c:plotArea>
    <c:legend>
      <c:legendPos val="r"/>
      <c:layout>
        <c:manualLayout>
          <c:xMode val="edge"/>
          <c:yMode val="edge"/>
          <c:x val="0.8591071147652285"/>
          <c:y val="3.6372242965637992E-2"/>
          <c:w val="0.1349796732821647"/>
          <c:h val="0.86724402326956951"/>
        </c:manualLayout>
      </c:layout>
      <c:overlay val="0"/>
      <c:spPr>
        <a:solidFill>
          <a:schemeClr val="bg1">
            <a:lumMod val="95000"/>
          </a:schemeClr>
        </a:solidFill>
        <a:ln>
          <a:solidFill>
            <a:schemeClr val="tx1"/>
          </a:solidFill>
        </a:ln>
      </c:spPr>
      <c:txPr>
        <a:bodyPr/>
        <a:lstStyle/>
        <a:p>
          <a:pPr>
            <a:defRPr lang="de-CH" sz="900"/>
          </a:pPr>
          <a:endParaRPr lang="fr-FR"/>
        </a:p>
      </c:txPr>
    </c:legend>
    <c:plotVisOnly val="0"/>
    <c:dispBlanksAs val="zero"/>
    <c:showDLblsOverMax val="0"/>
  </c:chart>
  <c:spPr>
    <a:solidFill>
      <a:schemeClr val="bg1">
        <a:lumMod val="75000"/>
      </a:schemeClr>
    </a:solidFill>
  </c:spPr>
  <c:txPr>
    <a:bodyPr/>
    <a:lstStyle/>
    <a:p>
      <a:pPr>
        <a:defRPr sz="800"/>
      </a:pPr>
      <a:endParaRPr lang="fr-FR"/>
    </a:p>
  </c:txPr>
  <c:printSettings>
    <c:headerFooter/>
    <c:pageMargins b="0.78740157499999996" l="0.70000000000000062" r="0.70000000000000062" t="0.7874015749999999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CH"/>
            </a:pPr>
            <a:r>
              <a:rPr lang="en-US"/>
              <a:t>Milestone Trend Analysis</a:t>
            </a:r>
          </a:p>
        </c:rich>
      </c:tx>
      <c:overlay val="0"/>
    </c:title>
    <c:autoTitleDeleted val="0"/>
    <c:plotArea>
      <c:layout>
        <c:manualLayout>
          <c:layoutTarget val="inner"/>
          <c:xMode val="edge"/>
          <c:yMode val="edge"/>
          <c:x val="8.7475778969283227E-2"/>
          <c:y val="9.3257817796021727E-2"/>
          <c:w val="0.88894715990689843"/>
          <c:h val="0.67622223244382074"/>
        </c:manualLayout>
      </c:layout>
      <c:scatterChart>
        <c:scatterStyle val="lineMarker"/>
        <c:varyColors val="0"/>
        <c:ser>
          <c:idx val="0"/>
          <c:order val="0"/>
          <c:tx>
            <c:strRef>
              <c:f>Milestones!$A$7</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Milestones!$G$7:$AR$7</c:f>
              <c:numCache>
                <c:formatCode>dd/mm/yy;@</c:formatCode>
                <c:ptCount val="38"/>
              </c:numCache>
            </c:numRef>
          </c:yVal>
          <c:smooth val="0"/>
        </c:ser>
        <c:ser>
          <c:idx val="1"/>
          <c:order val="1"/>
          <c:tx>
            <c:strRef>
              <c:f>Milestones!$A$8</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Milestones!$G$8:$AR$8</c:f>
              <c:numCache>
                <c:formatCode>dd/mm/yy;@</c:formatCode>
                <c:ptCount val="38"/>
              </c:numCache>
            </c:numRef>
          </c:yVal>
          <c:smooth val="0"/>
        </c:ser>
        <c:ser>
          <c:idx val="2"/>
          <c:order val="2"/>
          <c:tx>
            <c:strRef>
              <c:f>Milestones!$A$9</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Milestones!$G$9:$AR$9</c:f>
              <c:numCache>
                <c:formatCode>dd/mm/yy;@</c:formatCode>
                <c:ptCount val="38"/>
              </c:numCache>
            </c:numRef>
          </c:yVal>
          <c:smooth val="0"/>
        </c:ser>
        <c:ser>
          <c:idx val="3"/>
          <c:order val="3"/>
          <c:tx>
            <c:strRef>
              <c:f>Milestones!$A$10</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Milestones!$G$10:$AR$10</c:f>
              <c:numCache>
                <c:formatCode>dd/mm/yy;@</c:formatCode>
                <c:ptCount val="38"/>
              </c:numCache>
            </c:numRef>
          </c:yVal>
          <c:smooth val="0"/>
        </c:ser>
        <c:ser>
          <c:idx val="4"/>
          <c:order val="4"/>
          <c:tx>
            <c:strRef>
              <c:f>Milestones!$A$11</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Milestones!$G$11:$AR$11</c:f>
              <c:numCache>
                <c:formatCode>dd/mm/yy;@</c:formatCode>
                <c:ptCount val="38"/>
              </c:numCache>
            </c:numRef>
          </c:yVal>
          <c:smooth val="0"/>
        </c:ser>
        <c:ser>
          <c:idx val="5"/>
          <c:order val="5"/>
          <c:tx>
            <c:strRef>
              <c:f>Milestones!$A$12</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Milestones!$G$12:$AR$12</c:f>
              <c:numCache>
                <c:formatCode>dd/mm/yy;@</c:formatCode>
                <c:ptCount val="38"/>
              </c:numCache>
            </c:numRef>
          </c:yVal>
          <c:smooth val="0"/>
        </c:ser>
        <c:ser>
          <c:idx val="6"/>
          <c:order val="6"/>
          <c:tx>
            <c:strRef>
              <c:f>Milestones!$A$13</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Milestones!$G$13:$AR$13</c:f>
              <c:numCache>
                <c:formatCode>dd/mm/yy;@</c:formatCode>
                <c:ptCount val="38"/>
              </c:numCache>
            </c:numRef>
          </c:yVal>
          <c:smooth val="0"/>
        </c:ser>
        <c:ser>
          <c:idx val="7"/>
          <c:order val="7"/>
          <c:tx>
            <c:strRef>
              <c:f>Milestones!$A$14</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Milestones!$G$14:$AR$14</c:f>
              <c:numCache>
                <c:formatCode>dd/mm/yy;@</c:formatCode>
                <c:ptCount val="38"/>
              </c:numCache>
            </c:numRef>
          </c:yVal>
          <c:smooth val="0"/>
        </c:ser>
        <c:ser>
          <c:idx val="8"/>
          <c:order val="8"/>
          <c:tx>
            <c:strRef>
              <c:f>Milestones!$A$15</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Milestones!$G$15:$AR$15</c:f>
              <c:numCache>
                <c:formatCode>dd/mm/yy;@</c:formatCode>
                <c:ptCount val="38"/>
              </c:numCache>
            </c:numRef>
          </c:yVal>
          <c:smooth val="0"/>
        </c:ser>
        <c:ser>
          <c:idx val="9"/>
          <c:order val="9"/>
          <c:tx>
            <c:strRef>
              <c:f>Milestones!$A$16</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Milestones!$G$16:$AR$16</c:f>
              <c:numCache>
                <c:formatCode>dd/mm/yy;@</c:formatCode>
                <c:ptCount val="38"/>
              </c:numCache>
            </c:numRef>
          </c:yVal>
          <c:smooth val="0"/>
        </c:ser>
        <c:ser>
          <c:idx val="10"/>
          <c:order val="10"/>
          <c:tx>
            <c:strRef>
              <c:f>Milestones!$A$17</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Milestones!$G$17:$AR$17</c:f>
              <c:numCache>
                <c:formatCode>dd/mm/yy;@</c:formatCode>
                <c:ptCount val="38"/>
              </c:numCache>
            </c:numRef>
          </c:yVal>
          <c:smooth val="0"/>
        </c:ser>
        <c:ser>
          <c:idx val="11"/>
          <c:order val="11"/>
          <c:tx>
            <c:strRef>
              <c:f>Milestones!$A$18</c:f>
              <c:strCache>
                <c:ptCount val="1"/>
              </c:strCache>
            </c:strRef>
          </c:tx>
          <c:spPr>
            <a:ln w="19050"/>
          </c:spPr>
          <c:marker>
            <c:symbol val="circle"/>
            <c:size val="5"/>
          </c:marker>
          <c:xVal>
            <c:numRef>
              <c:f>Milestones!$G$6:$AR$6</c:f>
              <c:numCache>
                <c:formatCode>dd/mm/yy</c:formatCode>
                <c:ptCount val="38"/>
                <c:pt idx="0">
                  <c:v>41774</c:v>
                </c:pt>
                <c:pt idx="1">
                  <c:v>41788</c:v>
                </c:pt>
                <c:pt idx="2">
                  <c:v>41802</c:v>
                </c:pt>
                <c:pt idx="3">
                  <c:v>41816</c:v>
                </c:pt>
                <c:pt idx="4">
                  <c:v>41830</c:v>
                </c:pt>
                <c:pt idx="5">
                  <c:v>41844</c:v>
                </c:pt>
                <c:pt idx="6">
                  <c:v>41858</c:v>
                </c:pt>
                <c:pt idx="7">
                  <c:v>41872</c:v>
                </c:pt>
                <c:pt idx="8">
                  <c:v>41886</c:v>
                </c:pt>
                <c:pt idx="9">
                  <c:v>41900</c:v>
                </c:pt>
                <c:pt idx="10">
                  <c:v>41914</c:v>
                </c:pt>
                <c:pt idx="11">
                  <c:v>41928</c:v>
                </c:pt>
                <c:pt idx="12">
                  <c:v>41942</c:v>
                </c:pt>
                <c:pt idx="13">
                  <c:v>41956</c:v>
                </c:pt>
                <c:pt idx="14">
                  <c:v>41970</c:v>
                </c:pt>
                <c:pt idx="15">
                  <c:v>41984</c:v>
                </c:pt>
                <c:pt idx="16">
                  <c:v>41998</c:v>
                </c:pt>
                <c:pt idx="17">
                  <c:v>42012</c:v>
                </c:pt>
                <c:pt idx="18">
                  <c:v>42026</c:v>
                </c:pt>
                <c:pt idx="19">
                  <c:v>42040</c:v>
                </c:pt>
                <c:pt idx="20">
                  <c:v>42054</c:v>
                </c:pt>
                <c:pt idx="21">
                  <c:v>42068</c:v>
                </c:pt>
                <c:pt idx="22">
                  <c:v>42082</c:v>
                </c:pt>
                <c:pt idx="23">
                  <c:v>42096</c:v>
                </c:pt>
                <c:pt idx="24">
                  <c:v>42110</c:v>
                </c:pt>
                <c:pt idx="25">
                  <c:v>42124</c:v>
                </c:pt>
                <c:pt idx="26">
                  <c:v>42138</c:v>
                </c:pt>
                <c:pt idx="27">
                  <c:v>42152</c:v>
                </c:pt>
                <c:pt idx="28">
                  <c:v>42166</c:v>
                </c:pt>
                <c:pt idx="29">
                  <c:v>42180</c:v>
                </c:pt>
                <c:pt idx="30">
                  <c:v>42194</c:v>
                </c:pt>
                <c:pt idx="31">
                  <c:v>42208</c:v>
                </c:pt>
                <c:pt idx="32">
                  <c:v>42222</c:v>
                </c:pt>
                <c:pt idx="33">
                  <c:v>42236</c:v>
                </c:pt>
                <c:pt idx="34">
                  <c:v>42250</c:v>
                </c:pt>
                <c:pt idx="35">
                  <c:v>42264</c:v>
                </c:pt>
                <c:pt idx="36">
                  <c:v>42278</c:v>
                </c:pt>
                <c:pt idx="37">
                  <c:v>42292</c:v>
                </c:pt>
              </c:numCache>
            </c:numRef>
          </c:xVal>
          <c:yVal>
            <c:numRef>
              <c:f>Milestones!$G$18:$AR$18</c:f>
              <c:numCache>
                <c:formatCode>dd/mm/yy;@</c:formatCode>
                <c:ptCount val="38"/>
              </c:numCache>
            </c:numRef>
          </c:yVal>
          <c:smooth val="0"/>
        </c:ser>
        <c:dLbls>
          <c:showLegendKey val="0"/>
          <c:showVal val="0"/>
          <c:showCatName val="0"/>
          <c:showSerName val="0"/>
          <c:showPercent val="0"/>
          <c:showBubbleSize val="0"/>
        </c:dLbls>
        <c:axId val="407804136"/>
        <c:axId val="407806880"/>
      </c:scatterChart>
      <c:valAx>
        <c:axId val="407804136"/>
        <c:scaling>
          <c:orientation val="minMax"/>
        </c:scaling>
        <c:delete val="0"/>
        <c:axPos val="b"/>
        <c:numFmt formatCode="dd/mm/yy" sourceLinked="1"/>
        <c:majorTickMark val="none"/>
        <c:minorTickMark val="none"/>
        <c:tickLblPos val="none"/>
        <c:txPr>
          <a:bodyPr/>
          <a:lstStyle/>
          <a:p>
            <a:pPr>
              <a:defRPr lang="de-CH"/>
            </a:pPr>
            <a:endParaRPr lang="fr-FR"/>
          </a:p>
        </c:txPr>
        <c:crossAx val="407806880"/>
        <c:crosses val="autoZero"/>
        <c:crossBetween val="midCat"/>
      </c:valAx>
      <c:valAx>
        <c:axId val="407806880"/>
        <c:scaling>
          <c:orientation val="minMax"/>
        </c:scaling>
        <c:delete val="0"/>
        <c:axPos val="l"/>
        <c:majorGridlines/>
        <c:numFmt formatCode="mm\/yy;@" sourceLinked="0"/>
        <c:majorTickMark val="out"/>
        <c:minorTickMark val="none"/>
        <c:tickLblPos val="nextTo"/>
        <c:txPr>
          <a:bodyPr/>
          <a:lstStyle/>
          <a:p>
            <a:pPr>
              <a:defRPr lang="de-CH"/>
            </a:pPr>
            <a:endParaRPr lang="fr-FR"/>
          </a:p>
        </c:txPr>
        <c:crossAx val="407804136"/>
        <c:crosses val="autoZero"/>
        <c:crossBetween val="midCat"/>
      </c:valAx>
      <c:spPr>
        <a:solidFill>
          <a:schemeClr val="bg1">
            <a:lumMod val="95000"/>
          </a:schemeClr>
        </a:solidFill>
      </c:spPr>
    </c:plotArea>
    <c:legend>
      <c:legendPos val="b"/>
      <c:layout>
        <c:manualLayout>
          <c:xMode val="edge"/>
          <c:yMode val="edge"/>
          <c:x val="8.8532494758910868E-2"/>
          <c:y val="0.78984642275178274"/>
          <c:w val="0.88373165618451566"/>
          <c:h val="0.19100072162530832"/>
        </c:manualLayout>
      </c:layout>
      <c:overlay val="0"/>
      <c:spPr>
        <a:solidFill>
          <a:schemeClr val="bg1">
            <a:lumMod val="95000"/>
          </a:schemeClr>
        </a:solidFill>
        <a:ln>
          <a:solidFill>
            <a:schemeClr val="tx1"/>
          </a:solidFill>
        </a:ln>
      </c:spPr>
      <c:txPr>
        <a:bodyPr/>
        <a:lstStyle/>
        <a:p>
          <a:pPr>
            <a:defRPr lang="de-CH"/>
          </a:pPr>
          <a:endParaRPr lang="fr-FR"/>
        </a:p>
      </c:txPr>
    </c:legend>
    <c:plotVisOnly val="1"/>
    <c:dispBlanksAs val="gap"/>
    <c:showDLblsOverMax val="0"/>
  </c:chart>
  <c:spPr>
    <a:solidFill>
      <a:schemeClr val="bg1">
        <a:lumMod val="95000"/>
      </a:schemeClr>
    </a:solidFill>
  </c:spPr>
  <c:txPr>
    <a:bodyPr/>
    <a:lstStyle/>
    <a:p>
      <a:pPr>
        <a:defRPr sz="800"/>
      </a:pPr>
      <a:endParaRPr lang="fr-FR"/>
    </a:p>
  </c:txPr>
  <c:printSettings>
    <c:headerFooter/>
    <c:pageMargins b="0.78740157499999996" l="0.70000000000000062" r="0.70000000000000062" t="0.78740157499999996"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LandingPointCharts"/><Relationship Id="rId13" Type="http://schemas.openxmlformats.org/officeDocument/2006/relationships/hyperlink" Target="#LandingPointMilestones"/><Relationship Id="rId18" Type="http://schemas.openxmlformats.org/officeDocument/2006/relationships/hyperlink" Target="#'Effort Statistics'!A1"/><Relationship Id="rId3" Type="http://schemas.openxmlformats.org/officeDocument/2006/relationships/hyperlink" Target="#'Price Calculation'!A1"/><Relationship Id="rId21" Type="http://schemas.openxmlformats.org/officeDocument/2006/relationships/hyperlink" Target="#EVM!A1"/><Relationship Id="rId7" Type="http://schemas.openxmlformats.org/officeDocument/2006/relationships/hyperlink" Target="#'Project Summary'!A1"/><Relationship Id="rId12" Type="http://schemas.openxmlformats.org/officeDocument/2006/relationships/hyperlink" Target="#LandingPointActualValue"/><Relationship Id="rId17" Type="http://schemas.openxmlformats.org/officeDocument/2006/relationships/hyperlink" Target="#LandingPointDescription"/><Relationship Id="rId2" Type="http://schemas.openxmlformats.org/officeDocument/2006/relationships/hyperlink" Target="#LandingPointEffortEstimation"/><Relationship Id="rId16" Type="http://schemas.openxmlformats.org/officeDocument/2006/relationships/hyperlink" Target="#'Ressource Plan'!A1"/><Relationship Id="rId20" Type="http://schemas.openxmlformats.org/officeDocument/2006/relationships/hyperlink" Target="#LandingPointDeliveryCalculation"/><Relationship Id="rId1" Type="http://schemas.openxmlformats.org/officeDocument/2006/relationships/hyperlink" Target="#LandingPointStartPage"/><Relationship Id="rId6" Type="http://schemas.openxmlformats.org/officeDocument/2006/relationships/hyperlink" Target="#LandingPointOpeningTemplate"/><Relationship Id="rId11" Type="http://schemas.openxmlformats.org/officeDocument/2006/relationships/hyperlink" Target="#LandingPointCustomerReport"/><Relationship Id="rId5" Type="http://schemas.openxmlformats.org/officeDocument/2006/relationships/hyperlink" Target="#landingPointOfferQualification"/><Relationship Id="rId15" Type="http://schemas.openxmlformats.org/officeDocument/2006/relationships/hyperlink" Target="#ChangeLog!A1"/><Relationship Id="rId23" Type="http://schemas.openxmlformats.org/officeDocument/2006/relationships/image" Target="../media/image2.png"/><Relationship Id="rId10" Type="http://schemas.openxmlformats.org/officeDocument/2006/relationships/hyperlink" Target="#LandingPointProjectDescription"/><Relationship Id="rId19" Type="http://schemas.openxmlformats.org/officeDocument/2006/relationships/hyperlink" Target="#LandingPointOPSummary"/><Relationship Id="rId4" Type="http://schemas.openxmlformats.org/officeDocument/2006/relationships/hyperlink" Target="#'Opportunity Qualification'!A1"/><Relationship Id="rId9" Type="http://schemas.openxmlformats.org/officeDocument/2006/relationships/hyperlink" Target="#Details!A1"/><Relationship Id="rId14" Type="http://schemas.openxmlformats.org/officeDocument/2006/relationships/hyperlink" Target="#LandingPointRisklog"/><Relationship Id="rId22" Type="http://schemas.openxmlformats.org/officeDocument/2006/relationships/hyperlink" Target="#'Project Business Checklist'!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12.xml.rels><?xml version="1.0" encoding="UTF-8" standalone="yes"?>
<Relationships xmlns="http://schemas.openxmlformats.org/package/2006/relationships"><Relationship Id="rId3" Type="http://schemas.openxmlformats.org/officeDocument/2006/relationships/hyperlink" Target="#RiskChecklist!A1"/><Relationship Id="rId2" Type="http://schemas.openxmlformats.org/officeDocument/2006/relationships/image" Target="../media/image2.png"/><Relationship Id="rId1" Type="http://schemas.openxmlformats.org/officeDocument/2006/relationships/hyperlink" Target="#Overview!A1"/></Relationships>
</file>

<file path=xl/drawings/_rels/drawing1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hyperlink" Target="#Overview!A1"/></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1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hyperlink" Target="#Overview!A1"/></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Overview!A1"/><Relationship Id="rId1" Type="http://schemas.openxmlformats.org/officeDocument/2006/relationships/chart" Target="../charts/chart7.xml"/></Relationships>
</file>

<file path=xl/drawings/_rels/drawing2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2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2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2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Overview!A1"/></Relationships>
</file>

<file path=xl/drawings/_rels/drawing2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hyperlink" Target="#Overview!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0</xdr:col>
      <xdr:colOff>104776</xdr:colOff>
      <xdr:row>19</xdr:row>
      <xdr:rowOff>175481</xdr:rowOff>
    </xdr:from>
    <xdr:to>
      <xdr:col>1</xdr:col>
      <xdr:colOff>223608</xdr:colOff>
      <xdr:row>22</xdr:row>
      <xdr:rowOff>179981</xdr:rowOff>
    </xdr:to>
    <xdr:sp macro="" textlink="">
      <xdr:nvSpPr>
        <xdr:cNvPr id="3" name="Pentagon 9"/>
        <xdr:cNvSpPr>
          <a:spLocks noChangeAspect="1"/>
        </xdr:cNvSpPr>
      </xdr:nvSpPr>
      <xdr:spPr>
        <a:xfrm>
          <a:off x="104776" y="4471256"/>
          <a:ext cx="1595207" cy="576000"/>
        </a:xfrm>
        <a:prstGeom prst="homePlate">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de-DE" sz="1400" b="1">
              <a:latin typeface="Arial" panose="020B0604020202020204" pitchFamily="34" charset="0"/>
              <a:cs typeface="Arial" panose="020B0604020202020204" pitchFamily="34" charset="0"/>
            </a:rPr>
            <a:t>Sales </a:t>
          </a:r>
        </a:p>
        <a:p>
          <a:pPr algn="ctr"/>
          <a:r>
            <a:rPr lang="de-DE" sz="800" b="1">
              <a:latin typeface="Arial" panose="020B0604020202020204" pitchFamily="34" charset="0"/>
              <a:cs typeface="Arial" panose="020B0604020202020204" pitchFamily="34" charset="0"/>
            </a:rPr>
            <a:t>until project  is offered</a:t>
          </a:r>
        </a:p>
      </xdr:txBody>
    </xdr:sp>
    <xdr:clientData/>
  </xdr:twoCellAnchor>
  <xdr:twoCellAnchor>
    <xdr:from>
      <xdr:col>1</xdr:col>
      <xdr:colOff>1868</xdr:colOff>
      <xdr:row>19</xdr:row>
      <xdr:rowOff>175383</xdr:rowOff>
    </xdr:from>
    <xdr:to>
      <xdr:col>2</xdr:col>
      <xdr:colOff>712442</xdr:colOff>
      <xdr:row>22</xdr:row>
      <xdr:rowOff>179883</xdr:rowOff>
    </xdr:to>
    <xdr:sp macro="" textlink="">
      <xdr:nvSpPr>
        <xdr:cNvPr id="7" name="Chevron 13">
          <a:hlinkClick xmlns:r="http://schemas.openxmlformats.org/officeDocument/2006/relationships" r:id="rId1"/>
        </xdr:cNvPr>
        <xdr:cNvSpPr>
          <a:spLocks noChangeAspect="1"/>
        </xdr:cNvSpPr>
      </xdr:nvSpPr>
      <xdr:spPr>
        <a:xfrm>
          <a:off x="1478243" y="4471158"/>
          <a:ext cx="1596399" cy="576000"/>
        </a:xfrm>
        <a:prstGeom prst="chevron">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Master Data</a:t>
          </a:r>
          <a:endParaRPr lang="de-DE" sz="1000">
            <a:latin typeface="Arial" panose="020B0604020202020204" pitchFamily="34" charset="0"/>
            <a:cs typeface="Arial" panose="020B0604020202020204" pitchFamily="34" charset="0"/>
          </a:endParaRPr>
        </a:p>
      </xdr:txBody>
    </xdr:sp>
    <xdr:clientData/>
  </xdr:twoCellAnchor>
  <xdr:twoCellAnchor>
    <xdr:from>
      <xdr:col>4</xdr:col>
      <xdr:colOff>29454</xdr:colOff>
      <xdr:row>19</xdr:row>
      <xdr:rowOff>173429</xdr:rowOff>
    </xdr:from>
    <xdr:to>
      <xdr:col>6</xdr:col>
      <xdr:colOff>5411</xdr:colOff>
      <xdr:row>22</xdr:row>
      <xdr:rowOff>177929</xdr:rowOff>
    </xdr:to>
    <xdr:sp macro="" textlink="">
      <xdr:nvSpPr>
        <xdr:cNvPr id="13" name="Chevron 34">
          <a:hlinkClick xmlns:r="http://schemas.openxmlformats.org/officeDocument/2006/relationships" r:id="rId2"/>
        </xdr:cNvPr>
        <xdr:cNvSpPr>
          <a:spLocks noChangeAspect="1"/>
        </xdr:cNvSpPr>
      </xdr:nvSpPr>
      <xdr:spPr>
        <a:xfrm>
          <a:off x="4220454" y="4469204"/>
          <a:ext cx="1595207" cy="576000"/>
        </a:xfrm>
        <a:prstGeom prst="chevron">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Effort Estimation</a:t>
          </a:r>
        </a:p>
      </xdr:txBody>
    </xdr:sp>
    <xdr:clientData/>
  </xdr:twoCellAnchor>
  <xdr:twoCellAnchor>
    <xdr:from>
      <xdr:col>6</xdr:col>
      <xdr:colOff>1194865</xdr:colOff>
      <xdr:row>19</xdr:row>
      <xdr:rowOff>175579</xdr:rowOff>
    </xdr:from>
    <xdr:to>
      <xdr:col>8</xdr:col>
      <xdr:colOff>708858</xdr:colOff>
      <xdr:row>22</xdr:row>
      <xdr:rowOff>180079</xdr:rowOff>
    </xdr:to>
    <xdr:sp macro="" textlink="">
      <xdr:nvSpPr>
        <xdr:cNvPr id="15" name="Chevron 38">
          <a:hlinkClick xmlns:r="http://schemas.openxmlformats.org/officeDocument/2006/relationships" r:id="rId3"/>
        </xdr:cNvPr>
        <xdr:cNvSpPr>
          <a:spLocks noChangeAspect="1"/>
        </xdr:cNvSpPr>
      </xdr:nvSpPr>
      <xdr:spPr>
        <a:xfrm>
          <a:off x="7005115" y="4471354"/>
          <a:ext cx="1590443" cy="576000"/>
        </a:xfrm>
        <a:prstGeom prst="chevron">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Price Calculation</a:t>
          </a:r>
        </a:p>
      </xdr:txBody>
    </xdr:sp>
    <xdr:clientData/>
  </xdr:twoCellAnchor>
  <xdr:twoCellAnchor>
    <xdr:from>
      <xdr:col>2</xdr:col>
      <xdr:colOff>488854</xdr:colOff>
      <xdr:row>19</xdr:row>
      <xdr:rowOff>173636</xdr:rowOff>
    </xdr:from>
    <xdr:to>
      <xdr:col>4</xdr:col>
      <xdr:colOff>254070</xdr:colOff>
      <xdr:row>22</xdr:row>
      <xdr:rowOff>176776</xdr:rowOff>
    </xdr:to>
    <xdr:sp macro="" textlink="">
      <xdr:nvSpPr>
        <xdr:cNvPr id="17" name="Chevron 21">
          <a:hlinkClick xmlns:r="http://schemas.openxmlformats.org/officeDocument/2006/relationships" r:id="rId4"/>
        </xdr:cNvPr>
        <xdr:cNvSpPr>
          <a:spLocks noChangeAspect="1"/>
        </xdr:cNvSpPr>
      </xdr:nvSpPr>
      <xdr:spPr>
        <a:xfrm>
          <a:off x="2851054" y="4469411"/>
          <a:ext cx="1594016" cy="574640"/>
        </a:xfrm>
        <a:prstGeom prst="chevron">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0" tIns="36000" rIns="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Opportunity</a:t>
          </a:r>
          <a:r>
            <a:rPr lang="de-DE" sz="1000" baseline="0">
              <a:solidFill>
                <a:schemeClr val="tx1"/>
              </a:solidFill>
              <a:latin typeface="Arial" panose="020B0604020202020204" pitchFamily="34" charset="0"/>
              <a:ea typeface="+mn-ea"/>
              <a:cs typeface="Arial" panose="020B0604020202020204" pitchFamily="34" charset="0"/>
            </a:rPr>
            <a:t> Qualification</a:t>
          </a:r>
          <a:endParaRPr lang="de-DE" sz="1000">
            <a:solidFill>
              <a:schemeClr val="tx1"/>
            </a:solidFill>
            <a:latin typeface="Arial" panose="020B0604020202020204" pitchFamily="34" charset="0"/>
            <a:ea typeface="+mn-ea"/>
            <a:cs typeface="Arial" panose="020B0604020202020204" pitchFamily="34" charset="0"/>
          </a:endParaRPr>
        </a:p>
      </xdr:txBody>
    </xdr:sp>
    <xdr:clientData/>
  </xdr:twoCellAnchor>
  <xdr:twoCellAnchor>
    <xdr:from>
      <xdr:col>8</xdr:col>
      <xdr:colOff>483930</xdr:colOff>
      <xdr:row>19</xdr:row>
      <xdr:rowOff>173636</xdr:rowOff>
    </xdr:from>
    <xdr:to>
      <xdr:col>10</xdr:col>
      <xdr:colOff>112223</xdr:colOff>
      <xdr:row>22</xdr:row>
      <xdr:rowOff>176776</xdr:rowOff>
    </xdr:to>
    <xdr:sp macro="" textlink="">
      <xdr:nvSpPr>
        <xdr:cNvPr id="18" name="Chevron 22">
          <a:hlinkClick xmlns:r="http://schemas.openxmlformats.org/officeDocument/2006/relationships" r:id="rId5"/>
        </xdr:cNvPr>
        <xdr:cNvSpPr>
          <a:spLocks noChangeAspect="1"/>
        </xdr:cNvSpPr>
      </xdr:nvSpPr>
      <xdr:spPr>
        <a:xfrm>
          <a:off x="8370630" y="4469411"/>
          <a:ext cx="1590443" cy="574640"/>
        </a:xfrm>
        <a:prstGeom prst="chevron">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0" tIns="36000" rIns="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Offer Qualification</a:t>
          </a:r>
        </a:p>
      </xdr:txBody>
    </xdr:sp>
    <xdr:clientData/>
  </xdr:twoCellAnchor>
  <xdr:twoCellAnchor>
    <xdr:from>
      <xdr:col>0</xdr:col>
      <xdr:colOff>95250</xdr:colOff>
      <xdr:row>23</xdr:row>
      <xdr:rowOff>144060</xdr:rowOff>
    </xdr:from>
    <xdr:to>
      <xdr:col>3</xdr:col>
      <xdr:colOff>154284</xdr:colOff>
      <xdr:row>26</xdr:row>
      <xdr:rowOff>148560</xdr:rowOff>
    </xdr:to>
    <xdr:grpSp>
      <xdr:nvGrpSpPr>
        <xdr:cNvPr id="25" name="Group 24" descr=" +[@$$]m!%#i]"/>
        <xdr:cNvGrpSpPr/>
      </xdr:nvGrpSpPr>
      <xdr:grpSpPr>
        <a:xfrm>
          <a:off x="95250" y="4883700"/>
          <a:ext cx="3267054" cy="530280"/>
          <a:chOff x="95250" y="3858810"/>
          <a:chExt cx="3173709" cy="576000"/>
        </a:xfrm>
      </xdr:grpSpPr>
      <xdr:sp macro="" textlink="">
        <xdr:nvSpPr>
          <xdr:cNvPr id="21" name="Chevron 32">
            <a:hlinkClick xmlns:r="http://schemas.openxmlformats.org/officeDocument/2006/relationships" r:id="rId6"/>
          </xdr:cNvPr>
          <xdr:cNvSpPr>
            <a:spLocks noChangeAspect="1"/>
          </xdr:cNvSpPr>
        </xdr:nvSpPr>
        <xdr:spPr>
          <a:xfrm>
            <a:off x="1573629" y="3858810"/>
            <a:ext cx="1695330" cy="576000"/>
          </a:xfrm>
          <a:prstGeom prst="chevron">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Opening Template</a:t>
            </a:r>
          </a:p>
        </xdr:txBody>
      </xdr:sp>
      <xdr:sp macro="" textlink="">
        <xdr:nvSpPr>
          <xdr:cNvPr id="22" name="Pentagon 36"/>
          <xdr:cNvSpPr>
            <a:spLocks noChangeAspect="1"/>
          </xdr:cNvSpPr>
        </xdr:nvSpPr>
        <xdr:spPr>
          <a:xfrm>
            <a:off x="95250" y="3858810"/>
            <a:ext cx="1703364" cy="576000"/>
          </a:xfrm>
          <a:prstGeom prst="homePlate">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de-DE" sz="1400" b="1">
                <a:latin typeface="Arial" panose="020B0604020202020204" pitchFamily="34" charset="0"/>
                <a:cs typeface="Arial" panose="020B0604020202020204" pitchFamily="34" charset="0"/>
              </a:rPr>
              <a:t>Contract </a:t>
            </a:r>
          </a:p>
          <a:p>
            <a:pPr algn="ctr"/>
            <a:r>
              <a:rPr lang="de-DE" sz="800" b="1">
                <a:latin typeface="Arial" panose="020B0604020202020204" pitchFamily="34" charset="0"/>
                <a:cs typeface="Arial" panose="020B0604020202020204" pitchFamily="34" charset="0"/>
              </a:rPr>
              <a:t>only once  after contract signed</a:t>
            </a:r>
          </a:p>
        </xdr:txBody>
      </xdr:sp>
    </xdr:grpSp>
    <xdr:clientData/>
  </xdr:twoCellAnchor>
  <xdr:twoCellAnchor>
    <xdr:from>
      <xdr:col>0</xdr:col>
      <xdr:colOff>104776</xdr:colOff>
      <xdr:row>31</xdr:row>
      <xdr:rowOff>65661</xdr:rowOff>
    </xdr:from>
    <xdr:to>
      <xdr:col>8</xdr:col>
      <xdr:colOff>699900</xdr:colOff>
      <xdr:row>34</xdr:row>
      <xdr:rowOff>78951</xdr:rowOff>
    </xdr:to>
    <xdr:grpSp>
      <xdr:nvGrpSpPr>
        <xdr:cNvPr id="28" name="Group 27" descr=" +[@$$]m!&amp;t']"/>
        <xdr:cNvGrpSpPr/>
      </xdr:nvGrpSpPr>
      <xdr:grpSpPr>
        <a:xfrm>
          <a:off x="104776" y="6207381"/>
          <a:ext cx="8702804" cy="539070"/>
          <a:chOff x="104776" y="5304411"/>
          <a:chExt cx="8481824" cy="584790"/>
        </a:xfrm>
      </xdr:grpSpPr>
      <xdr:sp macro="" textlink="">
        <xdr:nvSpPr>
          <xdr:cNvPr id="5" name="Pentagon 11"/>
          <xdr:cNvSpPr>
            <a:spLocks noChangeAspect="1"/>
          </xdr:cNvSpPr>
        </xdr:nvSpPr>
        <xdr:spPr>
          <a:xfrm>
            <a:off x="104776" y="5305425"/>
            <a:ext cx="1594649" cy="577657"/>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de-DE" sz="1400" b="1">
                <a:latin typeface="Arial" panose="020B0604020202020204" pitchFamily="34" charset="0"/>
                <a:cs typeface="Arial" panose="020B0604020202020204" pitchFamily="34" charset="0"/>
              </a:rPr>
              <a:t>Reports</a:t>
            </a:r>
          </a:p>
          <a:p>
            <a:pPr algn="ctr"/>
            <a:r>
              <a:rPr lang="de-DE" sz="800" b="1">
                <a:latin typeface="Arial" panose="020B0604020202020204" pitchFamily="34" charset="0"/>
                <a:cs typeface="Arial" panose="020B0604020202020204" pitchFamily="34" charset="0"/>
              </a:rPr>
              <a:t>every time</a:t>
            </a:r>
          </a:p>
        </xdr:txBody>
      </xdr:sp>
      <xdr:sp macro="" textlink="">
        <xdr:nvSpPr>
          <xdr:cNvPr id="6" name="Chevron 12">
            <a:hlinkClick xmlns:r="http://schemas.openxmlformats.org/officeDocument/2006/relationships" r:id="rId7"/>
          </xdr:cNvPr>
          <xdr:cNvSpPr>
            <a:spLocks noChangeAspect="1"/>
          </xdr:cNvSpPr>
        </xdr:nvSpPr>
        <xdr:spPr>
          <a:xfrm>
            <a:off x="1478733" y="5305425"/>
            <a:ext cx="1594649" cy="577657"/>
          </a:xfrm>
          <a:prstGeom prst="chevron">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Summary</a:t>
            </a:r>
          </a:p>
        </xdr:txBody>
      </xdr:sp>
      <xdr:sp macro="" textlink="">
        <xdr:nvSpPr>
          <xdr:cNvPr id="8" name="Chevron 25">
            <a:hlinkClick xmlns:r="http://schemas.openxmlformats.org/officeDocument/2006/relationships" r:id="rId8"/>
          </xdr:cNvPr>
          <xdr:cNvSpPr>
            <a:spLocks noChangeAspect="1"/>
          </xdr:cNvSpPr>
        </xdr:nvSpPr>
        <xdr:spPr>
          <a:xfrm>
            <a:off x="2853348" y="5306520"/>
            <a:ext cx="1594649" cy="577657"/>
          </a:xfrm>
          <a:prstGeom prst="chevron">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Charts</a:t>
            </a:r>
          </a:p>
        </xdr:txBody>
      </xdr:sp>
      <xdr:sp macro="" textlink="">
        <xdr:nvSpPr>
          <xdr:cNvPr id="10" name="Chevron 29">
            <a:hlinkClick xmlns:r="http://schemas.openxmlformats.org/officeDocument/2006/relationships" r:id="rId9"/>
          </xdr:cNvPr>
          <xdr:cNvSpPr>
            <a:spLocks noChangeAspect="1"/>
          </xdr:cNvSpPr>
        </xdr:nvSpPr>
        <xdr:spPr>
          <a:xfrm>
            <a:off x="4240885" y="5311544"/>
            <a:ext cx="1594650" cy="577657"/>
          </a:xfrm>
          <a:prstGeom prst="chevron">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Details</a:t>
            </a:r>
          </a:p>
        </xdr:txBody>
      </xdr:sp>
      <xdr:sp macro="" textlink="">
        <xdr:nvSpPr>
          <xdr:cNvPr id="12" name="Chevron 33">
            <a:hlinkClick xmlns:r="http://schemas.openxmlformats.org/officeDocument/2006/relationships" r:id="rId10"/>
          </xdr:cNvPr>
          <xdr:cNvSpPr>
            <a:spLocks noChangeAspect="1"/>
          </xdr:cNvSpPr>
        </xdr:nvSpPr>
        <xdr:spPr>
          <a:xfrm>
            <a:off x="5618164" y="5304411"/>
            <a:ext cx="1594649" cy="577657"/>
          </a:xfrm>
          <a:prstGeom prst="chevron">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Printable Overview </a:t>
            </a:r>
          </a:p>
        </xdr:txBody>
      </xdr:sp>
      <xdr:sp macro="" textlink="">
        <xdr:nvSpPr>
          <xdr:cNvPr id="45" name="Chevron 33">
            <a:hlinkClick xmlns:r="http://schemas.openxmlformats.org/officeDocument/2006/relationships" r:id="rId11"/>
          </xdr:cNvPr>
          <xdr:cNvSpPr>
            <a:spLocks noChangeAspect="1"/>
          </xdr:cNvSpPr>
        </xdr:nvSpPr>
        <xdr:spPr>
          <a:xfrm>
            <a:off x="6993928" y="5305425"/>
            <a:ext cx="1592672" cy="577657"/>
          </a:xfrm>
          <a:prstGeom prst="chevron">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Printable Customer Report </a:t>
            </a:r>
          </a:p>
        </xdr:txBody>
      </xdr:sp>
    </xdr:grpSp>
    <xdr:clientData/>
  </xdr:twoCellAnchor>
  <xdr:twoCellAnchor>
    <xdr:from>
      <xdr:col>0</xdr:col>
      <xdr:colOff>95250</xdr:colOff>
      <xdr:row>27</xdr:row>
      <xdr:rowOff>116449</xdr:rowOff>
    </xdr:from>
    <xdr:to>
      <xdr:col>10</xdr:col>
      <xdr:colOff>242005</xdr:colOff>
      <xdr:row>30</xdr:row>
      <xdr:rowOff>132300</xdr:rowOff>
    </xdr:to>
    <xdr:grpSp>
      <xdr:nvGrpSpPr>
        <xdr:cNvPr id="19" name="Group 18"/>
        <xdr:cNvGrpSpPr/>
      </xdr:nvGrpSpPr>
      <xdr:grpSpPr>
        <a:xfrm>
          <a:off x="95250" y="5557129"/>
          <a:ext cx="10273735" cy="541631"/>
          <a:chOff x="95250" y="5717149"/>
          <a:chExt cx="9995605" cy="558776"/>
        </a:xfrm>
      </xdr:grpSpPr>
      <xdr:sp macro="" textlink="">
        <xdr:nvSpPr>
          <xdr:cNvPr id="4" name="Pentagon 10"/>
          <xdr:cNvSpPr>
            <a:spLocks noChangeAspect="1"/>
          </xdr:cNvSpPr>
        </xdr:nvSpPr>
        <xdr:spPr>
          <a:xfrm>
            <a:off x="95250" y="5717149"/>
            <a:ext cx="1618984" cy="546048"/>
          </a:xfrm>
          <a:prstGeom prst="homePlate">
            <a:avLst/>
          </a:prstGeom>
          <a:solidFill>
            <a:schemeClr val="accent3"/>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de-DE" sz="1400" b="1">
                <a:latin typeface="Arial" panose="020B0604020202020204" pitchFamily="34" charset="0"/>
                <a:cs typeface="Arial" panose="020B0604020202020204" pitchFamily="34" charset="0"/>
              </a:rPr>
              <a:t>Delivery</a:t>
            </a:r>
          </a:p>
          <a:p>
            <a:pPr algn="ctr"/>
            <a:r>
              <a:rPr lang="de-DE" sz="800" b="1">
                <a:latin typeface="Arial" panose="020B0604020202020204" pitchFamily="34" charset="0"/>
                <a:cs typeface="Arial" panose="020B0604020202020204" pitchFamily="34" charset="0"/>
              </a:rPr>
              <a:t>once every report period</a:t>
            </a:r>
          </a:p>
        </xdr:txBody>
      </xdr:sp>
      <xdr:sp macro="" textlink="">
        <xdr:nvSpPr>
          <xdr:cNvPr id="9" name="Chevron 27">
            <a:hlinkClick xmlns:r="http://schemas.openxmlformats.org/officeDocument/2006/relationships" r:id="rId12"/>
          </xdr:cNvPr>
          <xdr:cNvSpPr>
            <a:spLocks noChangeAspect="1"/>
          </xdr:cNvSpPr>
        </xdr:nvSpPr>
        <xdr:spPr>
          <a:xfrm>
            <a:off x="1491293" y="5718231"/>
            <a:ext cx="1618984" cy="546724"/>
          </a:xfrm>
          <a:prstGeom prst="chevron">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Actual Value</a:t>
            </a:r>
          </a:p>
        </xdr:txBody>
      </xdr:sp>
      <xdr:sp macro="" textlink="">
        <xdr:nvSpPr>
          <xdr:cNvPr id="11" name="Chevron 31">
            <a:hlinkClick xmlns:r="http://schemas.openxmlformats.org/officeDocument/2006/relationships" r:id="rId13"/>
          </xdr:cNvPr>
          <xdr:cNvSpPr>
            <a:spLocks noChangeAspect="1"/>
          </xdr:cNvSpPr>
        </xdr:nvSpPr>
        <xdr:spPr>
          <a:xfrm>
            <a:off x="4284136" y="5728675"/>
            <a:ext cx="1618986" cy="546724"/>
          </a:xfrm>
          <a:prstGeom prst="chevron">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Milestones</a:t>
            </a:r>
          </a:p>
        </xdr:txBody>
      </xdr:sp>
      <xdr:sp macro="" textlink="">
        <xdr:nvSpPr>
          <xdr:cNvPr id="14" name="Chevron 35">
            <a:hlinkClick xmlns:r="http://schemas.openxmlformats.org/officeDocument/2006/relationships" r:id="rId14"/>
          </xdr:cNvPr>
          <xdr:cNvSpPr>
            <a:spLocks noChangeAspect="1"/>
          </xdr:cNvSpPr>
        </xdr:nvSpPr>
        <xdr:spPr>
          <a:xfrm>
            <a:off x="5680511" y="5720531"/>
            <a:ext cx="1618984" cy="546724"/>
          </a:xfrm>
          <a:prstGeom prst="chevron">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Risklog</a:t>
            </a:r>
          </a:p>
        </xdr:txBody>
      </xdr:sp>
      <xdr:sp macro="" textlink="">
        <xdr:nvSpPr>
          <xdr:cNvPr id="16" name="Chevron 47">
            <a:hlinkClick xmlns:r="http://schemas.openxmlformats.org/officeDocument/2006/relationships" r:id="rId15"/>
          </xdr:cNvPr>
          <xdr:cNvSpPr>
            <a:spLocks noChangeAspect="1"/>
          </xdr:cNvSpPr>
        </xdr:nvSpPr>
        <xdr:spPr>
          <a:xfrm>
            <a:off x="7071618" y="5729201"/>
            <a:ext cx="1618984" cy="546724"/>
          </a:xfrm>
          <a:prstGeom prst="chevron">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Changelog</a:t>
            </a:r>
          </a:p>
        </xdr:txBody>
      </xdr:sp>
      <xdr:sp macro="" textlink="">
        <xdr:nvSpPr>
          <xdr:cNvPr id="43" name="Chevron 47">
            <a:hlinkClick xmlns:r="http://schemas.openxmlformats.org/officeDocument/2006/relationships" r:id="rId16"/>
          </xdr:cNvPr>
          <xdr:cNvSpPr>
            <a:spLocks noChangeAspect="1"/>
          </xdr:cNvSpPr>
        </xdr:nvSpPr>
        <xdr:spPr>
          <a:xfrm>
            <a:off x="2891965" y="5720138"/>
            <a:ext cx="1618984" cy="546724"/>
          </a:xfrm>
          <a:prstGeom prst="chevron">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Ressource Plan</a:t>
            </a:r>
          </a:p>
        </xdr:txBody>
      </xdr:sp>
      <xdr:sp macro="" textlink="">
        <xdr:nvSpPr>
          <xdr:cNvPr id="39" name="Chevron 47">
            <a:hlinkClick xmlns:r="http://schemas.openxmlformats.org/officeDocument/2006/relationships" r:id="rId17"/>
          </xdr:cNvPr>
          <xdr:cNvSpPr>
            <a:spLocks noChangeAspect="1"/>
          </xdr:cNvSpPr>
        </xdr:nvSpPr>
        <xdr:spPr>
          <a:xfrm>
            <a:off x="8471871" y="5729201"/>
            <a:ext cx="1618984" cy="546724"/>
          </a:xfrm>
          <a:prstGeom prst="chevron">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Description</a:t>
            </a:r>
          </a:p>
        </xdr:txBody>
      </xdr:sp>
    </xdr:grpSp>
    <xdr:clientData/>
  </xdr:twoCellAnchor>
  <xdr:twoCellAnchor>
    <xdr:from>
      <xdr:col>11</xdr:col>
      <xdr:colOff>401203</xdr:colOff>
      <xdr:row>23</xdr:row>
      <xdr:rowOff>144240</xdr:rowOff>
    </xdr:from>
    <xdr:to>
      <xdr:col>12</xdr:col>
      <xdr:colOff>745120</xdr:colOff>
      <xdr:row>25</xdr:row>
      <xdr:rowOff>10890</xdr:rowOff>
    </xdr:to>
    <xdr:sp macro="" textlink="">
      <xdr:nvSpPr>
        <xdr:cNvPr id="44" name="Rounded Rectangle 24">
          <a:hlinkClick xmlns:r="http://schemas.openxmlformats.org/officeDocument/2006/relationships" r:id="rId18"/>
        </xdr:cNvPr>
        <xdr:cNvSpPr/>
      </xdr:nvSpPr>
      <xdr:spPr>
        <a:xfrm>
          <a:off x="11374003" y="5202015"/>
          <a:ext cx="1105917" cy="247650"/>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Effort Statistics</a:t>
          </a:r>
        </a:p>
      </xdr:txBody>
    </xdr:sp>
    <xdr:clientData/>
  </xdr:twoCellAnchor>
  <xdr:twoCellAnchor>
    <xdr:from>
      <xdr:col>11</xdr:col>
      <xdr:colOff>392873</xdr:colOff>
      <xdr:row>21</xdr:row>
      <xdr:rowOff>157299</xdr:rowOff>
    </xdr:from>
    <xdr:to>
      <xdr:col>12</xdr:col>
      <xdr:colOff>738533</xdr:colOff>
      <xdr:row>23</xdr:row>
      <xdr:rowOff>23949</xdr:rowOff>
    </xdr:to>
    <xdr:sp macro="" textlink="">
      <xdr:nvSpPr>
        <xdr:cNvPr id="46" name="Rounded Rectangle 24">
          <a:hlinkClick xmlns:r="http://schemas.openxmlformats.org/officeDocument/2006/relationships" r:id="rId19"/>
        </xdr:cNvPr>
        <xdr:cNvSpPr/>
      </xdr:nvSpPr>
      <xdr:spPr>
        <a:xfrm>
          <a:off x="11365673" y="4834074"/>
          <a:ext cx="1107660" cy="247650"/>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OP</a:t>
          </a:r>
          <a:r>
            <a:rPr lang="de-DE" sz="1000" baseline="0">
              <a:solidFill>
                <a:schemeClr val="tx1"/>
              </a:solidFill>
              <a:latin typeface="Arial" panose="020B0604020202020204" pitchFamily="34" charset="0"/>
              <a:ea typeface="+mn-ea"/>
              <a:cs typeface="Arial" panose="020B0604020202020204" pitchFamily="34" charset="0"/>
            </a:rPr>
            <a:t> Summary</a:t>
          </a:r>
          <a:endParaRPr lang="de-DE" sz="1000">
            <a:solidFill>
              <a:schemeClr val="tx1"/>
            </a:solidFill>
            <a:latin typeface="Arial" panose="020B0604020202020204" pitchFamily="34" charset="0"/>
            <a:ea typeface="+mn-ea"/>
            <a:cs typeface="Arial" panose="020B0604020202020204" pitchFamily="34" charset="0"/>
          </a:endParaRPr>
        </a:p>
      </xdr:txBody>
    </xdr:sp>
    <xdr:clientData/>
  </xdr:twoCellAnchor>
  <xdr:twoCellAnchor>
    <xdr:from>
      <xdr:col>11</xdr:col>
      <xdr:colOff>397290</xdr:colOff>
      <xdr:row>25</xdr:row>
      <xdr:rowOff>117466</xdr:rowOff>
    </xdr:from>
    <xdr:to>
      <xdr:col>12</xdr:col>
      <xdr:colOff>742950</xdr:colOff>
      <xdr:row>26</xdr:row>
      <xdr:rowOff>174616</xdr:rowOff>
    </xdr:to>
    <xdr:sp macro="" textlink="">
      <xdr:nvSpPr>
        <xdr:cNvPr id="47" name="Rounded Rectangle 24">
          <a:hlinkClick xmlns:r="http://schemas.openxmlformats.org/officeDocument/2006/relationships" r:id="rId20"/>
        </xdr:cNvPr>
        <xdr:cNvSpPr/>
      </xdr:nvSpPr>
      <xdr:spPr>
        <a:xfrm>
          <a:off x="11370090" y="5556241"/>
          <a:ext cx="1107660" cy="247650"/>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Delivery</a:t>
          </a:r>
          <a:r>
            <a:rPr lang="de-DE" sz="1000" baseline="0">
              <a:solidFill>
                <a:schemeClr val="tx1"/>
              </a:solidFill>
              <a:latin typeface="Arial" panose="020B0604020202020204" pitchFamily="34" charset="0"/>
              <a:ea typeface="+mn-ea"/>
              <a:cs typeface="Arial" panose="020B0604020202020204" pitchFamily="34" charset="0"/>
            </a:rPr>
            <a:t> Calc.</a:t>
          </a:r>
          <a:endParaRPr lang="de-DE" sz="1000">
            <a:solidFill>
              <a:schemeClr val="tx1"/>
            </a:solidFill>
            <a:latin typeface="Arial" panose="020B0604020202020204" pitchFamily="34" charset="0"/>
            <a:ea typeface="+mn-ea"/>
            <a:cs typeface="Arial" panose="020B0604020202020204" pitchFamily="34" charset="0"/>
          </a:endParaRPr>
        </a:p>
      </xdr:txBody>
    </xdr:sp>
    <xdr:clientData/>
  </xdr:twoCellAnchor>
  <xdr:twoCellAnchor>
    <xdr:from>
      <xdr:col>11</xdr:col>
      <xdr:colOff>397290</xdr:colOff>
      <xdr:row>27</xdr:row>
      <xdr:rowOff>98416</xdr:rowOff>
    </xdr:from>
    <xdr:to>
      <xdr:col>12</xdr:col>
      <xdr:colOff>742950</xdr:colOff>
      <xdr:row>28</xdr:row>
      <xdr:rowOff>155566</xdr:rowOff>
    </xdr:to>
    <xdr:sp macro="" textlink="">
      <xdr:nvSpPr>
        <xdr:cNvPr id="37" name="Rounded Rectangle 24">
          <a:hlinkClick xmlns:r="http://schemas.openxmlformats.org/officeDocument/2006/relationships" r:id="rId21"/>
        </xdr:cNvPr>
        <xdr:cNvSpPr/>
      </xdr:nvSpPr>
      <xdr:spPr>
        <a:xfrm>
          <a:off x="11370090" y="5918191"/>
          <a:ext cx="1107660" cy="247650"/>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EVM</a:t>
          </a:r>
        </a:p>
      </xdr:txBody>
    </xdr:sp>
    <xdr:clientData/>
  </xdr:twoCellAnchor>
  <xdr:twoCellAnchor>
    <xdr:from>
      <xdr:col>11</xdr:col>
      <xdr:colOff>392873</xdr:colOff>
      <xdr:row>19</xdr:row>
      <xdr:rowOff>166824</xdr:rowOff>
    </xdr:from>
    <xdr:to>
      <xdr:col>12</xdr:col>
      <xdr:colOff>738533</xdr:colOff>
      <xdr:row>21</xdr:row>
      <xdr:rowOff>33474</xdr:rowOff>
    </xdr:to>
    <xdr:sp macro="" textlink="">
      <xdr:nvSpPr>
        <xdr:cNvPr id="35" name="Rounded Rectangle 24">
          <a:hlinkClick xmlns:r="http://schemas.openxmlformats.org/officeDocument/2006/relationships" r:id="rId22"/>
        </xdr:cNvPr>
        <xdr:cNvSpPr/>
      </xdr:nvSpPr>
      <xdr:spPr>
        <a:xfrm>
          <a:off x="11365673" y="4462599"/>
          <a:ext cx="1107660" cy="247650"/>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PM</a:t>
          </a:r>
          <a:r>
            <a:rPr lang="de-DE" sz="1000" baseline="0">
              <a:solidFill>
                <a:schemeClr val="tx1"/>
              </a:solidFill>
              <a:latin typeface="Arial" panose="020B0604020202020204" pitchFamily="34" charset="0"/>
              <a:ea typeface="+mn-ea"/>
              <a:cs typeface="Arial" panose="020B0604020202020204" pitchFamily="34" charset="0"/>
            </a:rPr>
            <a:t> Checkliste</a:t>
          </a:r>
          <a:endParaRPr lang="de-DE" sz="1000">
            <a:solidFill>
              <a:schemeClr val="tx1"/>
            </a:solidFill>
            <a:latin typeface="Arial" panose="020B0604020202020204" pitchFamily="34" charset="0"/>
            <a:ea typeface="+mn-ea"/>
            <a:cs typeface="Arial" panose="020B0604020202020204" pitchFamily="34" charset="0"/>
          </a:endParaRPr>
        </a:p>
      </xdr:txBody>
    </xdr:sp>
    <xdr:clientData/>
  </xdr:twoCellAnchor>
  <xdr:twoCellAnchor>
    <xdr:from>
      <xdr:col>12</xdr:col>
      <xdr:colOff>66675</xdr:colOff>
      <xdr:row>0</xdr:row>
      <xdr:rowOff>190500</xdr:rowOff>
    </xdr:from>
    <xdr:to>
      <xdr:col>13</xdr:col>
      <xdr:colOff>37606</xdr:colOff>
      <xdr:row>2</xdr:row>
      <xdr:rowOff>183033</xdr:rowOff>
    </xdr:to>
    <xdr:pic>
      <xdr:nvPicPr>
        <xdr:cNvPr id="36" name="Grafik 23" descr=" +[@}x&amp;!']"/>
        <xdr:cNvPicPr>
          <a:picLocks noChangeAspect="1"/>
        </xdr:cNvPicPr>
      </xdr:nvPicPr>
      <xdr:blipFill>
        <a:blip xmlns:r="http://schemas.openxmlformats.org/officeDocument/2006/relationships" r:embed="rId23"/>
        <a:stretch>
          <a:fillRect/>
        </a:stretch>
      </xdr:blipFill>
      <xdr:spPr>
        <a:xfrm>
          <a:off x="11801475" y="190500"/>
          <a:ext cx="732931" cy="659283"/>
        </a:xfrm>
        <a:prstGeom prst="rect">
          <a:avLst/>
        </a:prstGeom>
      </xdr:spPr>
    </xdr:pic>
    <xdr:clientData/>
  </xdr:twoCellAnchor>
  <xdr:twoCellAnchor>
    <xdr:from>
      <xdr:col>5</xdr:col>
      <xdr:colOff>737036</xdr:colOff>
      <xdr:row>19</xdr:row>
      <xdr:rowOff>168115</xdr:rowOff>
    </xdr:from>
    <xdr:to>
      <xdr:col>7</xdr:col>
      <xdr:colOff>136695</xdr:colOff>
      <xdr:row>22</xdr:row>
      <xdr:rowOff>171255</xdr:rowOff>
    </xdr:to>
    <xdr:sp macro="" textlink="">
      <xdr:nvSpPr>
        <xdr:cNvPr id="38" name="Chevron 35">
          <a:hlinkClick xmlns:r="http://schemas.openxmlformats.org/officeDocument/2006/relationships" r:id="rId14"/>
        </xdr:cNvPr>
        <xdr:cNvSpPr>
          <a:spLocks noChangeAspect="1"/>
        </xdr:cNvSpPr>
      </xdr:nvSpPr>
      <xdr:spPr>
        <a:xfrm>
          <a:off x="5604311" y="4463890"/>
          <a:ext cx="1618984" cy="574640"/>
        </a:xfrm>
        <a:prstGeom prst="chevron">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cs typeface="Arial" panose="020B0604020202020204" pitchFamily="34" charset="0"/>
            </a:rPr>
            <a:t>Risklog</a:t>
          </a:r>
        </a:p>
      </xdr:txBody>
    </xdr:sp>
    <xdr:clientData/>
  </xdr:twoCellAnchor>
  <mc:AlternateContent xmlns:mc="http://schemas.openxmlformats.org/markup-compatibility/2006">
    <mc:Choice xmlns:a14="http://schemas.microsoft.com/office/drawing/2010/main" Requires="a14">
      <xdr:twoCellAnchor editAs="oneCell">
        <xdr:from>
          <xdr:col>10</xdr:col>
          <xdr:colOff>876300</xdr:colOff>
          <xdr:row>0</xdr:row>
          <xdr:rowOff>190500</xdr:rowOff>
        </xdr:from>
        <xdr:to>
          <xdr:col>11</xdr:col>
          <xdr:colOff>670560</xdr:colOff>
          <xdr:row>2</xdr:row>
          <xdr:rowOff>220980</xdr:rowOff>
        </xdr:to>
        <xdr:sp macro="" textlink="">
          <xdr:nvSpPr>
            <xdr:cNvPr id="1035" name="Object 10" hidden="1">
              <a:extLst>
                <a:ext uri="{63B3BB69-23CF-44E3-9099-C40C66FF867C}">
                  <a14:compatExt spid="_x0000_s103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285750</xdr:colOff>
      <xdr:row>1</xdr:row>
      <xdr:rowOff>22229</xdr:rowOff>
    </xdr:from>
    <xdr:to>
      <xdr:col>6</xdr:col>
      <xdr:colOff>692550</xdr:colOff>
      <xdr:row>2</xdr:row>
      <xdr:rowOff>259562</xdr:rowOff>
    </xdr:to>
    <xdr:sp macro="" textlink="">
      <xdr:nvSpPr>
        <xdr:cNvPr id="2" name="Left Arrow 1" descr=" +[@$$]m!vU]">
          <a:hlinkClick xmlns:r="http://schemas.openxmlformats.org/officeDocument/2006/relationships" r:id="rId1" tooltip="Project Overview"/>
        </xdr:cNvPr>
        <xdr:cNvSpPr/>
      </xdr:nvSpPr>
      <xdr:spPr>
        <a:xfrm>
          <a:off x="4857750" y="27622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18</xdr:col>
      <xdr:colOff>1239211</xdr:colOff>
      <xdr:row>0</xdr:row>
      <xdr:rowOff>211660</xdr:rowOff>
    </xdr:from>
    <xdr:to>
      <xdr:col>19</xdr:col>
      <xdr:colOff>45975</xdr:colOff>
      <xdr:row>2</xdr:row>
      <xdr:rowOff>278276</xdr:rowOff>
    </xdr:to>
    <xdr:pic>
      <xdr:nvPicPr>
        <xdr:cNvPr id="5" name="Grafik 23" descr=" +[@}x&amp;!']"/>
        <xdr:cNvPicPr>
          <a:picLocks noChangeAspect="1"/>
        </xdr:cNvPicPr>
      </xdr:nvPicPr>
      <xdr:blipFill>
        <a:blip xmlns:r="http://schemas.openxmlformats.org/officeDocument/2006/relationships" r:embed="rId2"/>
        <a:stretch>
          <a:fillRect/>
        </a:stretch>
      </xdr:blipFill>
      <xdr:spPr>
        <a:xfrm>
          <a:off x="15240961" y="211660"/>
          <a:ext cx="732931" cy="659283"/>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114300</xdr:colOff>
          <xdr:row>4</xdr:row>
          <xdr:rowOff>76200</xdr:rowOff>
        </xdr:from>
        <xdr:to>
          <xdr:col>18</xdr:col>
          <xdr:colOff>1821180</xdr:colOff>
          <xdr:row>6</xdr:row>
          <xdr:rowOff>152400</xdr:rowOff>
        </xdr:to>
        <xdr:sp macro="" textlink="">
          <xdr:nvSpPr>
            <xdr:cNvPr id="12296" name="Button 8"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Refresh SAP data</a:t>
              </a:r>
            </a:p>
          </xdr:txBody>
        </xdr:sp>
        <xdr:clientData fPrintsWithSheet="0"/>
      </xdr:twoCellAnchor>
    </mc:Choice>
    <mc:Fallback/>
  </mc:AlternateContent>
  <xdr:twoCellAnchor editAs="oneCell">
    <xdr:from>
      <xdr:col>15</xdr:col>
      <xdr:colOff>735539</xdr:colOff>
      <xdr:row>10</xdr:row>
      <xdr:rowOff>137582</xdr:rowOff>
    </xdr:from>
    <xdr:to>
      <xdr:col>19</xdr:col>
      <xdr:colOff>21165</xdr:colOff>
      <xdr:row>20</xdr:row>
      <xdr:rowOff>116416</xdr:rowOff>
    </xdr:to>
    <mc:AlternateContent xmlns:mc="http://schemas.openxmlformats.org/markup-compatibility/2006" xmlns:a14="http://schemas.microsoft.com/office/drawing/2010/main">
      <mc:Choice Requires="a14">
        <xdr:graphicFrame macro="">
          <xdr:nvGraphicFramePr>
            <xdr:cNvPr id="6" name="Order" descr=" +[@$$]m!$io]"/>
            <xdr:cNvGraphicFramePr>
              <a:graphicFrameLocks noChangeAspect="1"/>
            </xdr:cNvGraphicFramePr>
          </xdr:nvGraphicFramePr>
          <xdr:xfrm>
            <a:off x="0" y="0"/>
            <a:ext cx="0" cy="0"/>
          </xdr:xfrm>
          <a:graphic>
            <a:graphicData uri="http://schemas.microsoft.com/office/drawing/2010/slicer">
              <sle:slicer xmlns:sle="http://schemas.microsoft.com/office/drawing/2010/slicer" name="Order"/>
            </a:graphicData>
          </a:graphic>
        </xdr:graphicFrame>
      </mc:Choice>
      <mc:Fallback xmlns="">
        <xdr:sp macro="" textlink="">
          <xdr:nvSpPr>
            <xdr:cNvPr id="0" name=""/>
            <xdr:cNvSpPr>
              <a:spLocks noTextEdit="1"/>
            </xdr:cNvSpPr>
          </xdr:nvSpPr>
          <xdr:spPr>
            <a:xfrm>
              <a:off x="11403539" y="2434165"/>
              <a:ext cx="4545543" cy="1873250"/>
            </a:xfrm>
            <a:prstGeom prst="rect">
              <a:avLst/>
            </a:prstGeom>
            <a:solidFill>
              <a:prstClr val="white"/>
            </a:solidFill>
            <a:ln w="1">
              <a:solidFill>
                <a:prstClr val="green"/>
              </a:solidFill>
            </a:ln>
          </xdr:spPr>
          <xdr:txBody>
            <a:bodyPr vertOverflow="clip" horzOverflow="clip"/>
            <a:lstStyle/>
            <a:p>
              <a:r>
                <a:rPr lang="de-DE"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1017147</xdr:colOff>
      <xdr:row>6</xdr:row>
      <xdr:rowOff>82486</xdr:rowOff>
    </xdr:from>
    <xdr:to>
      <xdr:col>17</xdr:col>
      <xdr:colOff>383326</xdr:colOff>
      <xdr:row>9</xdr:row>
      <xdr:rowOff>144784</xdr:rowOff>
    </xdr:to>
    <xdr:sp macro="" textlink="">
      <xdr:nvSpPr>
        <xdr:cNvPr id="7" name="Curved Left Arrow 6" descr=" +[@$$]m!%&amp;)]"/>
        <xdr:cNvSpPr/>
      </xdr:nvSpPr>
      <xdr:spPr>
        <a:xfrm rot="4703787" flipH="1" flipV="1">
          <a:off x="12903421" y="1139629"/>
          <a:ext cx="612631" cy="1525179"/>
        </a:xfrm>
        <a:prstGeom prst="curvedLeftArrow">
          <a:avLst>
            <a:gd name="adj1" fmla="val 25000"/>
            <a:gd name="adj2" fmla="val 46279"/>
            <a:gd name="adj3" fmla="val 23969"/>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285750</xdr:colOff>
      <xdr:row>1</xdr:row>
      <xdr:rowOff>28574</xdr:rowOff>
    </xdr:from>
    <xdr:to>
      <xdr:col>6</xdr:col>
      <xdr:colOff>692550</xdr:colOff>
      <xdr:row>2</xdr:row>
      <xdr:rowOff>271199</xdr:rowOff>
    </xdr:to>
    <xdr:sp macro="" textlink="">
      <xdr:nvSpPr>
        <xdr:cNvPr id="2" name="Left Arrow 1" descr=" +[@AM:!3?L]">
          <a:hlinkClick xmlns:r="http://schemas.openxmlformats.org/officeDocument/2006/relationships" r:id="rId1" tooltip="Project Overview"/>
        </xdr:cNvPr>
        <xdr:cNvSpPr/>
      </xdr:nvSpPr>
      <xdr:spPr>
        <a:xfrm>
          <a:off x="7143750" y="28574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7</xdr:col>
      <xdr:colOff>2514600</xdr:colOff>
      <xdr:row>0</xdr:row>
      <xdr:rowOff>9525</xdr:rowOff>
    </xdr:from>
    <xdr:to>
      <xdr:col>8</xdr:col>
      <xdr:colOff>18556</xdr:colOff>
      <xdr:row>2</xdr:row>
      <xdr:rowOff>78258</xdr:rowOff>
    </xdr:to>
    <xdr:pic>
      <xdr:nvPicPr>
        <xdr:cNvPr id="5" name="Grafik 23" descr=" +[@}x&amp;!']"/>
        <xdr:cNvPicPr>
          <a:picLocks noChangeAspect="1"/>
        </xdr:cNvPicPr>
      </xdr:nvPicPr>
      <xdr:blipFill>
        <a:blip xmlns:r="http://schemas.openxmlformats.org/officeDocument/2006/relationships" r:embed="rId2"/>
        <a:stretch>
          <a:fillRect/>
        </a:stretch>
      </xdr:blipFill>
      <xdr:spPr>
        <a:xfrm>
          <a:off x="10134600" y="9525"/>
          <a:ext cx="732931" cy="6592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285750</xdr:colOff>
      <xdr:row>0</xdr:row>
      <xdr:rowOff>257174</xdr:rowOff>
    </xdr:from>
    <xdr:to>
      <xdr:col>6</xdr:col>
      <xdr:colOff>692550</xdr:colOff>
      <xdr:row>2</xdr:row>
      <xdr:rowOff>242624</xdr:rowOff>
    </xdr:to>
    <xdr:sp macro="" textlink="">
      <xdr:nvSpPr>
        <xdr:cNvPr id="2" name="Left Arrow 1" descr=" +[@AM:!3?N]">
          <a:hlinkClick xmlns:r="http://schemas.openxmlformats.org/officeDocument/2006/relationships" r:id="rId1" tooltip="Project Overview"/>
        </xdr:cNvPr>
        <xdr:cNvSpPr/>
      </xdr:nvSpPr>
      <xdr:spPr>
        <a:xfrm>
          <a:off x="4857750" y="257174"/>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19</xdr:col>
      <xdr:colOff>66675</xdr:colOff>
      <xdr:row>0</xdr:row>
      <xdr:rowOff>180975</xdr:rowOff>
    </xdr:from>
    <xdr:to>
      <xdr:col>20</xdr:col>
      <xdr:colOff>37606</xdr:colOff>
      <xdr:row>2</xdr:row>
      <xdr:rowOff>249708</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14554200" y="180975"/>
          <a:ext cx="732931" cy="6592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285750</xdr:colOff>
      <xdr:row>0</xdr:row>
      <xdr:rowOff>247649</xdr:rowOff>
    </xdr:from>
    <xdr:to>
      <xdr:col>6</xdr:col>
      <xdr:colOff>692550</xdr:colOff>
      <xdr:row>2</xdr:row>
      <xdr:rowOff>233099</xdr:rowOff>
    </xdr:to>
    <xdr:sp macro="" textlink="">
      <xdr:nvSpPr>
        <xdr:cNvPr id="2" name="Left Arrow 1" descr=" +[@$$]m!$it]">
          <a:hlinkClick xmlns:r="http://schemas.openxmlformats.org/officeDocument/2006/relationships" r:id="rId1" tooltip="Project Overview"/>
        </xdr:cNvPr>
        <xdr:cNvSpPr/>
      </xdr:nvSpPr>
      <xdr:spPr>
        <a:xfrm>
          <a:off x="4857750" y="24764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14</xdr:col>
      <xdr:colOff>57150</xdr:colOff>
      <xdr:row>0</xdr:row>
      <xdr:rowOff>190500</xdr:rowOff>
    </xdr:from>
    <xdr:to>
      <xdr:col>15</xdr:col>
      <xdr:colOff>28081</xdr:colOff>
      <xdr:row>2</xdr:row>
      <xdr:rowOff>259233</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10848975" y="190500"/>
          <a:ext cx="732931" cy="65928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285750</xdr:colOff>
      <xdr:row>0</xdr:row>
      <xdr:rowOff>251164</xdr:rowOff>
    </xdr:from>
    <xdr:to>
      <xdr:col>6</xdr:col>
      <xdr:colOff>692550</xdr:colOff>
      <xdr:row>2</xdr:row>
      <xdr:rowOff>235611</xdr:rowOff>
    </xdr:to>
    <xdr:sp macro="" textlink="">
      <xdr:nvSpPr>
        <xdr:cNvPr id="2" name="Left Arrow 1" descr=" +[@$$]m!$iv]">
          <a:hlinkClick xmlns:r="http://schemas.openxmlformats.org/officeDocument/2006/relationships" r:id="rId1" tooltip="Project Overview"/>
        </xdr:cNvPr>
        <xdr:cNvSpPr/>
      </xdr:nvSpPr>
      <xdr:spPr>
        <a:xfrm>
          <a:off x="4857750" y="251164"/>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13</xdr:col>
      <xdr:colOff>70184</xdr:colOff>
      <xdr:row>0</xdr:row>
      <xdr:rowOff>200520</xdr:rowOff>
    </xdr:from>
    <xdr:to>
      <xdr:col>14</xdr:col>
      <xdr:colOff>41115</xdr:colOff>
      <xdr:row>2</xdr:row>
      <xdr:rowOff>268250</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9976184" y="200520"/>
          <a:ext cx="732931" cy="65928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285750</xdr:colOff>
      <xdr:row>1</xdr:row>
      <xdr:rowOff>9524</xdr:rowOff>
    </xdr:from>
    <xdr:to>
      <xdr:col>5</xdr:col>
      <xdr:colOff>692550</xdr:colOff>
      <xdr:row>2</xdr:row>
      <xdr:rowOff>252149</xdr:rowOff>
    </xdr:to>
    <xdr:sp macro="" textlink="">
      <xdr:nvSpPr>
        <xdr:cNvPr id="2" name="Left Arrow 1" descr=" +[@AM:!3?T]">
          <a:hlinkClick xmlns:r="http://schemas.openxmlformats.org/officeDocument/2006/relationships" r:id="rId1" tooltip="Project Overview"/>
        </xdr:cNvPr>
        <xdr:cNvSpPr/>
      </xdr:nvSpPr>
      <xdr:spPr>
        <a:xfrm>
          <a:off x="6381750" y="26669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7</xdr:col>
      <xdr:colOff>2352675</xdr:colOff>
      <xdr:row>0</xdr:row>
      <xdr:rowOff>190500</xdr:rowOff>
    </xdr:from>
    <xdr:to>
      <xdr:col>8</xdr:col>
      <xdr:colOff>37606</xdr:colOff>
      <xdr:row>2</xdr:row>
      <xdr:rowOff>259233</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9972675" y="190500"/>
          <a:ext cx="732931" cy="65928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476250</xdr:colOff>
      <xdr:row>1</xdr:row>
      <xdr:rowOff>19049</xdr:rowOff>
    </xdr:from>
    <xdr:to>
      <xdr:col>5</xdr:col>
      <xdr:colOff>883050</xdr:colOff>
      <xdr:row>2</xdr:row>
      <xdr:rowOff>261674</xdr:rowOff>
    </xdr:to>
    <xdr:sp macro="" textlink="">
      <xdr:nvSpPr>
        <xdr:cNvPr id="2" name="Left Arrow 1" descr=" +[@$$]m!$iz]">
          <a:hlinkClick xmlns:r="http://schemas.openxmlformats.org/officeDocument/2006/relationships" r:id="rId1" tooltip="Project Overview"/>
        </xdr:cNvPr>
        <xdr:cNvSpPr/>
      </xdr:nvSpPr>
      <xdr:spPr>
        <a:xfrm>
          <a:off x="5429250" y="276224"/>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mc:AlternateContent xmlns:mc="http://schemas.openxmlformats.org/markup-compatibility/2006">
    <mc:Choice xmlns:a14="http://schemas.microsoft.com/office/drawing/2010/main" Requires="a14">
      <xdr:twoCellAnchor>
        <xdr:from>
          <xdr:col>12</xdr:col>
          <xdr:colOff>114300</xdr:colOff>
          <xdr:row>4</xdr:row>
          <xdr:rowOff>76200</xdr:rowOff>
        </xdr:from>
        <xdr:to>
          <xdr:col>14</xdr:col>
          <xdr:colOff>640080</xdr:colOff>
          <xdr:row>7</xdr:row>
          <xdr:rowOff>114300</xdr:rowOff>
        </xdr:to>
        <xdr:sp macro="" textlink="">
          <xdr:nvSpPr>
            <xdr:cNvPr id="5626" name="Button 506" hidden="1">
              <a:extLst>
                <a:ext uri="{63B3BB69-23CF-44E3-9099-C40C66FF867C}">
                  <a14:compatExt spid="_x0000_s56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Export to new Excel</a:t>
              </a:r>
            </a:p>
          </xdr:txBody>
        </xdr:sp>
        <xdr:clientData fPrintsWithSheet="0"/>
      </xdr:twoCellAnchor>
    </mc:Choice>
    <mc:Fallback/>
  </mc:AlternateContent>
  <xdr:twoCellAnchor>
    <xdr:from>
      <xdr:col>10</xdr:col>
      <xdr:colOff>361950</xdr:colOff>
      <xdr:row>0</xdr:row>
      <xdr:rowOff>200025</xdr:rowOff>
    </xdr:from>
    <xdr:to>
      <xdr:col>11</xdr:col>
      <xdr:colOff>47131</xdr:colOff>
      <xdr:row>2</xdr:row>
      <xdr:rowOff>268758</xdr:rowOff>
    </xdr:to>
    <xdr:pic>
      <xdr:nvPicPr>
        <xdr:cNvPr id="7" name="Grafik 23" descr=" +[@}x&amp;!']"/>
        <xdr:cNvPicPr>
          <a:picLocks noChangeAspect="1"/>
        </xdr:cNvPicPr>
      </xdr:nvPicPr>
      <xdr:blipFill>
        <a:blip xmlns:r="http://schemas.openxmlformats.org/officeDocument/2006/relationships" r:embed="rId2"/>
        <a:stretch>
          <a:fillRect/>
        </a:stretch>
      </xdr:blipFill>
      <xdr:spPr>
        <a:xfrm>
          <a:off x="10553700" y="200025"/>
          <a:ext cx="732931" cy="6592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180975</xdr:colOff>
      <xdr:row>1</xdr:row>
      <xdr:rowOff>9524</xdr:rowOff>
    </xdr:from>
    <xdr:to>
      <xdr:col>6</xdr:col>
      <xdr:colOff>587775</xdr:colOff>
      <xdr:row>2</xdr:row>
      <xdr:rowOff>252149</xdr:rowOff>
    </xdr:to>
    <xdr:sp macro="" textlink="">
      <xdr:nvSpPr>
        <xdr:cNvPr id="2" name="Left Arrow 1" descr=" +[@$$]m!%&amp;T]">
          <a:hlinkClick xmlns:r="http://schemas.openxmlformats.org/officeDocument/2006/relationships" r:id="rId1" tooltip="Project Overview"/>
        </xdr:cNvPr>
        <xdr:cNvSpPr/>
      </xdr:nvSpPr>
      <xdr:spPr>
        <a:xfrm>
          <a:off x="5772150" y="26669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mc:AlternateContent xmlns:mc="http://schemas.openxmlformats.org/markup-compatibility/2006">
    <mc:Choice xmlns:a14="http://schemas.microsoft.com/office/drawing/2010/main" Requires="a14">
      <xdr:twoCellAnchor>
        <xdr:from>
          <xdr:col>0</xdr:col>
          <xdr:colOff>114300</xdr:colOff>
          <xdr:row>6</xdr:row>
          <xdr:rowOff>144780</xdr:rowOff>
        </xdr:from>
        <xdr:to>
          <xdr:col>0</xdr:col>
          <xdr:colOff>1447800</xdr:colOff>
          <xdr:row>8</xdr:row>
          <xdr:rowOff>68580</xdr:rowOff>
        </xdr:to>
        <xdr:sp macro="" textlink="">
          <xdr:nvSpPr>
            <xdr:cNvPr id="20489" name="Button 9" hidden="1">
              <a:extLst>
                <a:ext uri="{63B3BB69-23CF-44E3-9099-C40C66FF867C}">
                  <a14:compatExt spid="_x0000_s204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Refresh SAP data</a:t>
              </a:r>
            </a:p>
          </xdr:txBody>
        </xdr:sp>
        <xdr:clientData fPrintsWithSheet="0"/>
      </xdr:twoCellAnchor>
    </mc:Choice>
    <mc:Fallback/>
  </mc:AlternateContent>
  <xdr:twoCellAnchor>
    <xdr:from>
      <xdr:col>40</xdr:col>
      <xdr:colOff>19050</xdr:colOff>
      <xdr:row>0</xdr:row>
      <xdr:rowOff>219075</xdr:rowOff>
    </xdr:from>
    <xdr:to>
      <xdr:col>41</xdr:col>
      <xdr:colOff>37606</xdr:colOff>
      <xdr:row>2</xdr:row>
      <xdr:rowOff>287808</xdr:rowOff>
    </xdr:to>
    <xdr:pic>
      <xdr:nvPicPr>
        <xdr:cNvPr id="7" name="Grafik 23" descr=" +[@}x&amp;!']"/>
        <xdr:cNvPicPr>
          <a:picLocks noChangeAspect="1"/>
        </xdr:cNvPicPr>
      </xdr:nvPicPr>
      <xdr:blipFill>
        <a:blip xmlns:r="http://schemas.openxmlformats.org/officeDocument/2006/relationships" r:embed="rId2"/>
        <a:stretch>
          <a:fillRect/>
        </a:stretch>
      </xdr:blipFill>
      <xdr:spPr>
        <a:xfrm>
          <a:off x="29898975" y="219075"/>
          <a:ext cx="732931" cy="65928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142875</xdr:colOff>
      <xdr:row>1</xdr:row>
      <xdr:rowOff>19049</xdr:rowOff>
    </xdr:from>
    <xdr:to>
      <xdr:col>6</xdr:col>
      <xdr:colOff>549675</xdr:colOff>
      <xdr:row>2</xdr:row>
      <xdr:rowOff>261674</xdr:rowOff>
    </xdr:to>
    <xdr:sp macro="" textlink="">
      <xdr:nvSpPr>
        <xdr:cNvPr id="5" name="Left Arrow 4" descr=" +[@$$]m!$[r]">
          <a:hlinkClick xmlns:r="http://schemas.openxmlformats.org/officeDocument/2006/relationships" r:id="rId1" tooltip="Project Overview"/>
        </xdr:cNvPr>
        <xdr:cNvSpPr/>
      </xdr:nvSpPr>
      <xdr:spPr>
        <a:xfrm>
          <a:off x="3590925" y="276224"/>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79</xdr:col>
      <xdr:colOff>523875</xdr:colOff>
      <xdr:row>0</xdr:row>
      <xdr:rowOff>209550</xdr:rowOff>
    </xdr:from>
    <xdr:to>
      <xdr:col>81</xdr:col>
      <xdr:colOff>37606</xdr:colOff>
      <xdr:row>2</xdr:row>
      <xdr:rowOff>278283</xdr:rowOff>
    </xdr:to>
    <xdr:pic>
      <xdr:nvPicPr>
        <xdr:cNvPr id="9" name="Grafik 23" descr=" +[@}x&amp;!']"/>
        <xdr:cNvPicPr>
          <a:picLocks noChangeAspect="1"/>
        </xdr:cNvPicPr>
      </xdr:nvPicPr>
      <xdr:blipFill>
        <a:blip xmlns:r="http://schemas.openxmlformats.org/officeDocument/2006/relationships" r:embed="rId2"/>
        <a:stretch>
          <a:fillRect/>
        </a:stretch>
      </xdr:blipFill>
      <xdr:spPr>
        <a:xfrm>
          <a:off x="48472725" y="209550"/>
          <a:ext cx="732931" cy="65928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276225</xdr:colOff>
      <xdr:row>1</xdr:row>
      <xdr:rowOff>28574</xdr:rowOff>
    </xdr:from>
    <xdr:to>
      <xdr:col>6</xdr:col>
      <xdr:colOff>683025</xdr:colOff>
      <xdr:row>2</xdr:row>
      <xdr:rowOff>271199</xdr:rowOff>
    </xdr:to>
    <xdr:sp macro="" textlink="">
      <xdr:nvSpPr>
        <xdr:cNvPr id="2" name="Left Arrow 1" descr=" +[@$$]m!$&amp;\]">
          <a:hlinkClick xmlns:r="http://schemas.openxmlformats.org/officeDocument/2006/relationships" r:id="rId1" tooltip="Project Overview"/>
        </xdr:cNvPr>
        <xdr:cNvSpPr/>
      </xdr:nvSpPr>
      <xdr:spPr>
        <a:xfrm>
          <a:off x="5734050" y="28574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43</xdr:col>
      <xdr:colOff>76200</xdr:colOff>
      <xdr:row>0</xdr:row>
      <xdr:rowOff>209550</xdr:rowOff>
    </xdr:from>
    <xdr:to>
      <xdr:col>44</xdr:col>
      <xdr:colOff>47131</xdr:colOff>
      <xdr:row>2</xdr:row>
      <xdr:rowOff>278283</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33728025" y="209550"/>
          <a:ext cx="732931" cy="6592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274544</xdr:colOff>
      <xdr:row>1</xdr:row>
      <xdr:rowOff>12884</xdr:rowOff>
    </xdr:from>
    <xdr:to>
      <xdr:col>6</xdr:col>
      <xdr:colOff>681344</xdr:colOff>
      <xdr:row>2</xdr:row>
      <xdr:rowOff>252707</xdr:rowOff>
    </xdr:to>
    <xdr:sp macro="" textlink="">
      <xdr:nvSpPr>
        <xdr:cNvPr id="2" name="Left Arrow 1" descr=" +[@$$]m!$j:]">
          <a:hlinkClick xmlns:r="http://schemas.openxmlformats.org/officeDocument/2006/relationships" r:id="rId1" tooltip="Project Overview"/>
        </xdr:cNvPr>
        <xdr:cNvSpPr/>
      </xdr:nvSpPr>
      <xdr:spPr>
        <a:xfrm>
          <a:off x="4846544" y="27061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24</xdr:col>
      <xdr:colOff>89647</xdr:colOff>
      <xdr:row>0</xdr:row>
      <xdr:rowOff>224120</xdr:rowOff>
    </xdr:from>
    <xdr:to>
      <xdr:col>26</xdr:col>
      <xdr:colOff>60578</xdr:colOff>
      <xdr:row>2</xdr:row>
      <xdr:rowOff>289491</xdr:rowOff>
    </xdr:to>
    <xdr:pic>
      <xdr:nvPicPr>
        <xdr:cNvPr id="7" name="Grafik 23" descr=" +[@}x&amp;!']"/>
        <xdr:cNvPicPr>
          <a:picLocks noChangeAspect="1"/>
        </xdr:cNvPicPr>
      </xdr:nvPicPr>
      <xdr:blipFill>
        <a:blip xmlns:r="http://schemas.openxmlformats.org/officeDocument/2006/relationships" r:embed="rId2"/>
        <a:stretch>
          <a:fillRect/>
        </a:stretch>
      </xdr:blipFill>
      <xdr:spPr>
        <a:xfrm>
          <a:off x="18377647" y="224120"/>
          <a:ext cx="732931" cy="659283"/>
        </a:xfrm>
        <a:prstGeom prst="rect">
          <a:avLst/>
        </a:prstGeom>
      </xdr:spPr>
    </xdr:pic>
    <xdr:clientData/>
  </xdr:twoCellAnchor>
  <xdr:twoCellAnchor>
    <xdr:from>
      <xdr:col>19</xdr:col>
      <xdr:colOff>0</xdr:colOff>
      <xdr:row>1</xdr:row>
      <xdr:rowOff>0</xdr:rowOff>
    </xdr:from>
    <xdr:to>
      <xdr:col>20</xdr:col>
      <xdr:colOff>345660</xdr:colOff>
      <xdr:row>1</xdr:row>
      <xdr:rowOff>228600</xdr:rowOff>
    </xdr:to>
    <xdr:sp macro="" textlink="">
      <xdr:nvSpPr>
        <xdr:cNvPr id="4" name="Rounded Rectangle 24">
          <a:hlinkClick xmlns:r="http://schemas.openxmlformats.org/officeDocument/2006/relationships" r:id="rId3"/>
        </xdr:cNvPr>
        <xdr:cNvSpPr/>
      </xdr:nvSpPr>
      <xdr:spPr>
        <a:xfrm>
          <a:off x="14478000" y="257735"/>
          <a:ext cx="1107660" cy="228600"/>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36000" tIns="36000" rIns="36000" bIns="36000" rtlCol="0" anchor="ctr"/>
        <a:lstStyle/>
        <a:p>
          <a:pPr algn="ctr"/>
          <a:r>
            <a:rPr lang="de-DE" sz="1000">
              <a:solidFill>
                <a:schemeClr val="tx1"/>
              </a:solidFill>
              <a:latin typeface="Arial" panose="020B0604020202020204" pitchFamily="34" charset="0"/>
              <a:ea typeface="+mn-ea"/>
              <a:cs typeface="Arial" panose="020B0604020202020204" pitchFamily="34" charset="0"/>
            </a:rPr>
            <a:t>Risk </a:t>
          </a:r>
          <a:r>
            <a:rPr lang="de-DE" sz="1000" baseline="0">
              <a:solidFill>
                <a:schemeClr val="tx1"/>
              </a:solidFill>
              <a:latin typeface="Arial" panose="020B0604020202020204" pitchFamily="34" charset="0"/>
              <a:ea typeface="+mn-ea"/>
              <a:cs typeface="Arial" panose="020B0604020202020204" pitchFamily="34" charset="0"/>
            </a:rPr>
            <a:t>Checkliste</a:t>
          </a:r>
          <a:endParaRPr lang="de-DE" sz="1000">
            <a:solidFill>
              <a:schemeClr val="tx1"/>
            </a:solidFill>
            <a:latin typeface="Arial" panose="020B0604020202020204" pitchFamily="34" charset="0"/>
            <a:ea typeface="+mn-ea"/>
            <a:cs typeface="Arial" panose="020B06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257175</xdr:colOff>
      <xdr:row>1</xdr:row>
      <xdr:rowOff>19049</xdr:rowOff>
    </xdr:from>
    <xdr:to>
      <xdr:col>6</xdr:col>
      <xdr:colOff>663975</xdr:colOff>
      <xdr:row>2</xdr:row>
      <xdr:rowOff>261674</xdr:rowOff>
    </xdr:to>
    <xdr:sp macro="" textlink="">
      <xdr:nvSpPr>
        <xdr:cNvPr id="3" name="Left Arrow 2" descr=" +[@$$]m!$4&amp;]">
          <a:hlinkClick xmlns:r="http://schemas.openxmlformats.org/officeDocument/2006/relationships" r:id="rId1" tooltip="Project Overview"/>
        </xdr:cNvPr>
        <xdr:cNvSpPr/>
      </xdr:nvSpPr>
      <xdr:spPr>
        <a:xfrm>
          <a:off x="4257675" y="276224"/>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9</xdr:col>
      <xdr:colOff>57150</xdr:colOff>
      <xdr:row>0</xdr:row>
      <xdr:rowOff>123825</xdr:rowOff>
    </xdr:from>
    <xdr:to>
      <xdr:col>10</xdr:col>
      <xdr:colOff>37606</xdr:colOff>
      <xdr:row>2</xdr:row>
      <xdr:rowOff>192558</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6553200" y="123825"/>
          <a:ext cx="732931" cy="65928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265016</xdr:colOff>
      <xdr:row>0</xdr:row>
      <xdr:rowOff>257174</xdr:rowOff>
    </xdr:from>
    <xdr:to>
      <xdr:col>9</xdr:col>
      <xdr:colOff>671816</xdr:colOff>
      <xdr:row>2</xdr:row>
      <xdr:rowOff>242624</xdr:rowOff>
    </xdr:to>
    <xdr:sp macro="" textlink="">
      <xdr:nvSpPr>
        <xdr:cNvPr id="2" name="Left Arrow 1" descr=" +[@$$]m!$Zv]">
          <a:hlinkClick xmlns:r="http://schemas.openxmlformats.org/officeDocument/2006/relationships" r:id="rId1" tooltip="Project Overview"/>
        </xdr:cNvPr>
        <xdr:cNvSpPr/>
      </xdr:nvSpPr>
      <xdr:spPr>
        <a:xfrm>
          <a:off x="6361016" y="257174"/>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31</xdr:col>
      <xdr:colOff>66675</xdr:colOff>
      <xdr:row>0</xdr:row>
      <xdr:rowOff>200025</xdr:rowOff>
    </xdr:from>
    <xdr:to>
      <xdr:col>32</xdr:col>
      <xdr:colOff>37606</xdr:colOff>
      <xdr:row>2</xdr:row>
      <xdr:rowOff>268758</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22174200" y="200025"/>
          <a:ext cx="732931" cy="65928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xdr:col>
      <xdr:colOff>235620</xdr:colOff>
      <xdr:row>1</xdr:row>
      <xdr:rowOff>10532</xdr:rowOff>
    </xdr:from>
    <xdr:to>
      <xdr:col>6</xdr:col>
      <xdr:colOff>642420</xdr:colOff>
      <xdr:row>2</xdr:row>
      <xdr:rowOff>255663</xdr:rowOff>
    </xdr:to>
    <xdr:sp macro="" textlink="">
      <xdr:nvSpPr>
        <xdr:cNvPr id="7" name="Left Arrow 6" descr=" +[@AM:!3@w]">
          <a:hlinkClick xmlns:r="http://schemas.openxmlformats.org/officeDocument/2006/relationships" r:id="rId1" tooltip="Project Overview"/>
        </xdr:cNvPr>
        <xdr:cNvSpPr/>
      </xdr:nvSpPr>
      <xdr:spPr>
        <a:xfrm>
          <a:off x="4827673" y="271216"/>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15</xdr:col>
      <xdr:colOff>70183</xdr:colOff>
      <xdr:row>0</xdr:row>
      <xdr:rowOff>200520</xdr:rowOff>
    </xdr:from>
    <xdr:to>
      <xdr:col>16</xdr:col>
      <xdr:colOff>41114</xdr:colOff>
      <xdr:row>2</xdr:row>
      <xdr:rowOff>268250</xdr:rowOff>
    </xdr:to>
    <xdr:pic>
      <xdr:nvPicPr>
        <xdr:cNvPr id="8" name="Grafik 23" descr=" +[@}x&amp;!']"/>
        <xdr:cNvPicPr>
          <a:picLocks noChangeAspect="1"/>
        </xdr:cNvPicPr>
      </xdr:nvPicPr>
      <xdr:blipFill>
        <a:blip xmlns:r="http://schemas.openxmlformats.org/officeDocument/2006/relationships" r:embed="rId2"/>
        <a:stretch>
          <a:fillRect/>
        </a:stretch>
      </xdr:blipFill>
      <xdr:spPr>
        <a:xfrm>
          <a:off x="11520236" y="200520"/>
          <a:ext cx="732931" cy="65928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56026</xdr:colOff>
      <xdr:row>43</xdr:row>
      <xdr:rowOff>166381</xdr:rowOff>
    </xdr:from>
    <xdr:to>
      <xdr:col>14</xdr:col>
      <xdr:colOff>0</xdr:colOff>
      <xdr:row>62</xdr:row>
      <xdr:rowOff>179294</xdr:rowOff>
    </xdr:to>
    <xdr:graphicFrame macro="">
      <xdr:nvGraphicFramePr>
        <xdr:cNvPr id="6" name="Diagramm 5" descr=" +[@AM:!3@y]"/>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66373</xdr:colOff>
      <xdr:row>23</xdr:row>
      <xdr:rowOff>179536</xdr:rowOff>
    </xdr:from>
    <xdr:to>
      <xdr:col>14</xdr:col>
      <xdr:colOff>0</xdr:colOff>
      <xdr:row>42</xdr:row>
      <xdr:rowOff>179294</xdr:rowOff>
    </xdr:to>
    <xdr:graphicFrame macro="">
      <xdr:nvGraphicFramePr>
        <xdr:cNvPr id="8" name="Diagramm 7" descr=" +[@AM:!3@z]"/>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67870</xdr:colOff>
      <xdr:row>4</xdr:row>
      <xdr:rowOff>21839</xdr:rowOff>
    </xdr:from>
    <xdr:to>
      <xdr:col>14</xdr:col>
      <xdr:colOff>11206</xdr:colOff>
      <xdr:row>23</xdr:row>
      <xdr:rowOff>0</xdr:rowOff>
    </xdr:to>
    <xdr:graphicFrame macro="">
      <xdr:nvGraphicFramePr>
        <xdr:cNvPr id="9" name="Diagramm 8" descr=" +[@AM:!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134471</xdr:colOff>
      <xdr:row>4</xdr:row>
      <xdr:rowOff>22412</xdr:rowOff>
    </xdr:from>
    <xdr:to>
      <xdr:col>14</xdr:col>
      <xdr:colOff>504265</xdr:colOff>
      <xdr:row>23</xdr:row>
      <xdr:rowOff>11206</xdr:rowOff>
    </xdr:to>
    <xdr:sp macro="" textlink="">
      <xdr:nvSpPr>
        <xdr:cNvPr id="10" name="Textfeld 9" descr=" +[@AM:!3@|]"/>
        <xdr:cNvSpPr txBox="1"/>
      </xdr:nvSpPr>
      <xdr:spPr>
        <a:xfrm>
          <a:off x="13077265" y="672353"/>
          <a:ext cx="369794" cy="3608294"/>
        </a:xfrm>
        <a:prstGeom prst="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vert="vert270" wrap="square" rtlCol="0" anchor="ctr" anchorCtr="1"/>
        <a:lstStyle/>
        <a:p>
          <a:r>
            <a:rPr lang="de-DE" sz="2400" b="1">
              <a:solidFill>
                <a:schemeClr val="bg1">
                  <a:lumMod val="95000"/>
                </a:schemeClr>
              </a:solidFill>
              <a:latin typeface="Arial" panose="020B0604020202020204" pitchFamily="34" charset="0"/>
              <a:cs typeface="Arial" panose="020B0604020202020204" pitchFamily="34" charset="0"/>
            </a:rPr>
            <a:t>Financial</a:t>
          </a:r>
        </a:p>
      </xdr:txBody>
    </xdr:sp>
    <xdr:clientData/>
  </xdr:twoCellAnchor>
  <xdr:twoCellAnchor>
    <xdr:from>
      <xdr:col>14</xdr:col>
      <xdr:colOff>129987</xdr:colOff>
      <xdr:row>23</xdr:row>
      <xdr:rowOff>174850</xdr:rowOff>
    </xdr:from>
    <xdr:to>
      <xdr:col>14</xdr:col>
      <xdr:colOff>499781</xdr:colOff>
      <xdr:row>42</xdr:row>
      <xdr:rowOff>163644</xdr:rowOff>
    </xdr:to>
    <xdr:sp macro="" textlink="">
      <xdr:nvSpPr>
        <xdr:cNvPr id="11" name="Textfeld 10" descr=" +[@AM:!3@}]"/>
        <xdr:cNvSpPr txBox="1"/>
      </xdr:nvSpPr>
      <xdr:spPr>
        <a:xfrm>
          <a:off x="13072781" y="4444291"/>
          <a:ext cx="369794" cy="3608294"/>
        </a:xfrm>
        <a:prstGeom prst="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vert="vert270" wrap="square" rtlCol="0" anchor="ctr" anchorCtr="1"/>
        <a:lstStyle/>
        <a:p>
          <a:r>
            <a:rPr lang="de-DE" sz="2400" b="1">
              <a:solidFill>
                <a:schemeClr val="bg1">
                  <a:lumMod val="95000"/>
                </a:schemeClr>
              </a:solidFill>
              <a:latin typeface="Arial" panose="020B0604020202020204" pitchFamily="34" charset="0"/>
              <a:cs typeface="Arial" panose="020B0604020202020204" pitchFamily="34" charset="0"/>
            </a:rPr>
            <a:t>Risk</a:t>
          </a:r>
        </a:p>
      </xdr:txBody>
    </xdr:sp>
    <xdr:clientData/>
  </xdr:twoCellAnchor>
  <xdr:twoCellAnchor>
    <xdr:from>
      <xdr:col>14</xdr:col>
      <xdr:colOff>136709</xdr:colOff>
      <xdr:row>43</xdr:row>
      <xdr:rowOff>181612</xdr:rowOff>
    </xdr:from>
    <xdr:to>
      <xdr:col>14</xdr:col>
      <xdr:colOff>506503</xdr:colOff>
      <xdr:row>62</xdr:row>
      <xdr:rowOff>170406</xdr:rowOff>
    </xdr:to>
    <xdr:sp macro="" textlink="">
      <xdr:nvSpPr>
        <xdr:cNvPr id="12" name="Textfeld 11" descr=" +[@AM:!3@~]"/>
        <xdr:cNvSpPr txBox="1"/>
      </xdr:nvSpPr>
      <xdr:spPr>
        <a:xfrm>
          <a:off x="13079503" y="8261053"/>
          <a:ext cx="369794" cy="3608294"/>
        </a:xfrm>
        <a:prstGeom prst="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vert="vert270" wrap="square" rtlCol="0" anchor="ctr" anchorCtr="1"/>
        <a:lstStyle/>
        <a:p>
          <a:r>
            <a:rPr lang="de-DE" sz="2400" b="1">
              <a:solidFill>
                <a:schemeClr val="bg1">
                  <a:lumMod val="95000"/>
                </a:schemeClr>
              </a:solidFill>
              <a:latin typeface="Arial" panose="020B0604020202020204" pitchFamily="34" charset="0"/>
              <a:cs typeface="Arial" panose="020B0604020202020204" pitchFamily="34" charset="0"/>
            </a:rPr>
            <a:t>Milestones</a:t>
          </a:r>
        </a:p>
      </xdr:txBody>
    </xdr:sp>
    <xdr:clientData/>
  </xdr:twoCellAnchor>
  <xdr:twoCellAnchor editAs="oneCell">
    <xdr:from>
      <xdr:col>6</xdr:col>
      <xdr:colOff>285750</xdr:colOff>
      <xdr:row>1</xdr:row>
      <xdr:rowOff>12884</xdr:rowOff>
    </xdr:from>
    <xdr:to>
      <xdr:col>6</xdr:col>
      <xdr:colOff>692550</xdr:colOff>
      <xdr:row>2</xdr:row>
      <xdr:rowOff>252707</xdr:rowOff>
    </xdr:to>
    <xdr:sp macro="" textlink="">
      <xdr:nvSpPr>
        <xdr:cNvPr id="13" name="Left Arrow 12" descr=" +[@AM:!3A#]">
          <a:hlinkClick xmlns:r="http://schemas.openxmlformats.org/officeDocument/2006/relationships" r:id="rId4" tooltip="Project Overview"/>
        </xdr:cNvPr>
        <xdr:cNvSpPr/>
      </xdr:nvSpPr>
      <xdr:spPr>
        <a:xfrm>
          <a:off x="6919632" y="27061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13</xdr:col>
      <xdr:colOff>605118</xdr:colOff>
      <xdr:row>0</xdr:row>
      <xdr:rowOff>224120</xdr:rowOff>
    </xdr:from>
    <xdr:to>
      <xdr:col>14</xdr:col>
      <xdr:colOff>576049</xdr:colOff>
      <xdr:row>2</xdr:row>
      <xdr:rowOff>289491</xdr:rowOff>
    </xdr:to>
    <xdr:pic>
      <xdr:nvPicPr>
        <xdr:cNvPr id="17" name="Grafik 23" descr=" +[@}x&amp;!']"/>
        <xdr:cNvPicPr>
          <a:picLocks noChangeAspect="1"/>
        </xdr:cNvPicPr>
      </xdr:nvPicPr>
      <xdr:blipFill>
        <a:blip xmlns:r="http://schemas.openxmlformats.org/officeDocument/2006/relationships" r:embed="rId5"/>
        <a:stretch>
          <a:fillRect/>
        </a:stretch>
      </xdr:blipFill>
      <xdr:spPr>
        <a:xfrm>
          <a:off x="12785912" y="224120"/>
          <a:ext cx="732931" cy="659283"/>
        </a:xfrm>
        <a:prstGeom prst="rect">
          <a:avLst/>
        </a:prstGeom>
      </xdr:spPr>
    </xdr:pic>
    <xdr:clientData/>
  </xdr:twoCellAnchor>
</xdr:wsDr>
</file>

<file path=xl/drawings/drawing17.xml><?xml version="1.0" encoding="utf-8"?>
<c:userShapes xmlns:c="http://schemas.openxmlformats.org/drawingml/2006/chart">
  <cdr:relSizeAnchor xmlns:cdr="http://schemas.openxmlformats.org/drawingml/2006/chartDrawing">
    <cdr:from>
      <cdr:x>0.04252</cdr:x>
      <cdr:y>0.907</cdr:y>
    </cdr:from>
    <cdr:to>
      <cdr:x>0.10203</cdr:x>
      <cdr:y>0.96864</cdr:y>
    </cdr:to>
    <cdr:sp macro="" textlink="">
      <cdr:nvSpPr>
        <cdr:cNvPr id="2" name="Textfeld 1"/>
        <cdr:cNvSpPr txBox="1"/>
      </cdr:nvSpPr>
      <cdr:spPr>
        <a:xfrm xmlns:a="http://schemas.openxmlformats.org/drawingml/2006/main">
          <a:off x="266961" y="2466636"/>
          <a:ext cx="373603" cy="167639"/>
        </a:xfrm>
        <a:prstGeom xmlns:a="http://schemas.openxmlformats.org/drawingml/2006/main" prst="rect">
          <a:avLst/>
        </a:prstGeom>
      </cdr:spPr>
      <cdr:txBody>
        <a:bodyPr xmlns:a="http://schemas.openxmlformats.org/drawingml/2006/main" vertOverflow="clip" wrap="none" lIns="36000" tIns="36000" rIns="36000" bIns="36000" rtlCol="0" anchor="ctr"/>
        <a:lstStyle xmlns:a="http://schemas.openxmlformats.org/drawingml/2006/main"/>
        <a:p xmlns:a="http://schemas.openxmlformats.org/drawingml/2006/main">
          <a:pPr algn="l"/>
          <a:r>
            <a:rPr lang="de-DE" sz="800">
              <a:latin typeface="Arial" panose="020B0604020202020204" pitchFamily="34" charset="0"/>
              <a:cs typeface="Arial" panose="020B0604020202020204" pitchFamily="34" charset="0"/>
            </a:rPr>
            <a:t>low</a:t>
          </a:r>
        </a:p>
      </cdr:txBody>
    </cdr:sp>
  </cdr:relSizeAnchor>
  <cdr:relSizeAnchor xmlns:cdr="http://schemas.openxmlformats.org/drawingml/2006/chartDrawing">
    <cdr:from>
      <cdr:x>0.00121</cdr:x>
      <cdr:y>0.04623</cdr:y>
    </cdr:from>
    <cdr:to>
      <cdr:x>0.04519</cdr:x>
      <cdr:y>0.12436</cdr:y>
    </cdr:to>
    <cdr:sp macro="" textlink="">
      <cdr:nvSpPr>
        <cdr:cNvPr id="3" name="Textfeld 1"/>
        <cdr:cNvSpPr txBox="1"/>
      </cdr:nvSpPr>
      <cdr:spPr>
        <a:xfrm xmlns:a="http://schemas.openxmlformats.org/drawingml/2006/main">
          <a:off x="7620" y="125730"/>
          <a:ext cx="276079" cy="212480"/>
        </a:xfrm>
        <a:prstGeom xmlns:a="http://schemas.openxmlformats.org/drawingml/2006/main" prst="rect">
          <a:avLst/>
        </a:prstGeom>
      </cdr:spPr>
      <cdr:txBody>
        <a:bodyPr xmlns:a="http://schemas.openxmlformats.org/drawingml/2006/main" wrap="none" lIns="36000" tIns="36000" rIns="36000" bIns="3600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r>
            <a:rPr lang="de-DE" sz="800">
              <a:latin typeface="Arial" panose="020B0604020202020204" pitchFamily="34" charset="0"/>
              <a:ea typeface="+mn-ea"/>
              <a:cs typeface="Arial" panose="020B0604020202020204" pitchFamily="34" charset="0"/>
            </a:rPr>
            <a:t>high</a:t>
          </a:r>
        </a:p>
      </cdr:txBody>
    </cdr:sp>
  </cdr:relSizeAnchor>
  <cdr:relSizeAnchor xmlns:cdr="http://schemas.openxmlformats.org/drawingml/2006/chartDrawing">
    <cdr:from>
      <cdr:x>0.00061</cdr:x>
      <cdr:y>0.82786</cdr:y>
    </cdr:from>
    <cdr:to>
      <cdr:x>0.04398</cdr:x>
      <cdr:y>0.90599</cdr:y>
    </cdr:to>
    <cdr:sp macro="" textlink="">
      <cdr:nvSpPr>
        <cdr:cNvPr id="4" name="Textfeld 1"/>
        <cdr:cNvSpPr txBox="1"/>
      </cdr:nvSpPr>
      <cdr:spPr>
        <a:xfrm xmlns:a="http://schemas.openxmlformats.org/drawingml/2006/main">
          <a:off x="3810" y="2251417"/>
          <a:ext cx="272269" cy="212480"/>
        </a:xfrm>
        <a:prstGeom xmlns:a="http://schemas.openxmlformats.org/drawingml/2006/main" prst="rect">
          <a:avLst/>
        </a:prstGeom>
      </cdr:spPr>
      <cdr:txBody>
        <a:bodyPr xmlns:a="http://schemas.openxmlformats.org/drawingml/2006/main" wrap="none" lIns="36000" tIns="36000" rIns="36000" bIns="36000"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de-DE" sz="800">
              <a:latin typeface="Arial" panose="020B0604020202020204" pitchFamily="34" charset="0"/>
              <a:cs typeface="Arial" panose="020B0604020202020204" pitchFamily="34" charset="0"/>
            </a:rPr>
            <a:t>low</a:t>
          </a:r>
        </a:p>
      </cdr:txBody>
    </cdr:sp>
  </cdr:relSizeAnchor>
  <cdr:relSizeAnchor xmlns:cdr="http://schemas.openxmlformats.org/drawingml/2006/chartDrawing">
    <cdr:from>
      <cdr:x>0.46431</cdr:x>
      <cdr:y>0.9084</cdr:y>
    </cdr:from>
    <cdr:to>
      <cdr:x>0.52382</cdr:x>
      <cdr:y>0.97004</cdr:y>
    </cdr:to>
    <cdr:sp macro="" textlink="">
      <cdr:nvSpPr>
        <cdr:cNvPr id="5" name="Textfeld 4"/>
        <cdr:cNvSpPr txBox="1"/>
      </cdr:nvSpPr>
      <cdr:spPr>
        <a:xfrm xmlns:a="http://schemas.openxmlformats.org/drawingml/2006/main">
          <a:off x="2914911" y="2470446"/>
          <a:ext cx="373603" cy="167639"/>
        </a:xfrm>
        <a:prstGeom xmlns:a="http://schemas.openxmlformats.org/drawingml/2006/main" prst="rect">
          <a:avLst/>
        </a:prstGeom>
      </cdr:spPr>
      <cdr:txBody>
        <a:bodyPr xmlns:a="http://schemas.openxmlformats.org/drawingml/2006/main" vertOverflow="clip" wrap="none" lIns="36000" tIns="36000" rIns="36000" bIns="36000" rtlCol="0" anchor="ctr"/>
        <a:lstStyle xmlns:a="http://schemas.openxmlformats.org/drawingml/2006/main"/>
        <a:p xmlns:a="http://schemas.openxmlformats.org/drawingml/2006/main">
          <a:pPr algn="r"/>
          <a:r>
            <a:rPr lang="de-DE" sz="800">
              <a:latin typeface="Arial" panose="020B0604020202020204" pitchFamily="34" charset="0"/>
              <a:cs typeface="Arial" panose="020B0604020202020204" pitchFamily="34" charset="0"/>
            </a:rPr>
            <a:t>high</a:t>
          </a:r>
        </a:p>
      </cdr:txBody>
    </cdr:sp>
  </cdr:relSizeAnchor>
</c:userShapes>
</file>

<file path=xl/drawings/drawing18.xml><?xml version="1.0" encoding="utf-8"?>
<xdr:wsDr xmlns:xdr="http://schemas.openxmlformats.org/drawingml/2006/spreadsheetDrawing" xmlns:a="http://schemas.openxmlformats.org/drawingml/2006/main">
  <xdr:twoCellAnchor editAs="oneCell">
    <xdr:from>
      <xdr:col>6</xdr:col>
      <xdr:colOff>275724</xdr:colOff>
      <xdr:row>1</xdr:row>
      <xdr:rowOff>506</xdr:rowOff>
    </xdr:from>
    <xdr:to>
      <xdr:col>6</xdr:col>
      <xdr:colOff>682524</xdr:colOff>
      <xdr:row>2</xdr:row>
      <xdr:rowOff>245637</xdr:rowOff>
    </xdr:to>
    <xdr:sp macro="" textlink="">
      <xdr:nvSpPr>
        <xdr:cNvPr id="2" name="Left Arrow 1" descr=" +[@AM:!3A%]">
          <a:hlinkClick xmlns:r="http://schemas.openxmlformats.org/officeDocument/2006/relationships" r:id="rId1" tooltip="Project Overview"/>
        </xdr:cNvPr>
        <xdr:cNvSpPr/>
      </xdr:nvSpPr>
      <xdr:spPr>
        <a:xfrm>
          <a:off x="4847724" y="261190"/>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15</xdr:col>
      <xdr:colOff>70183</xdr:colOff>
      <xdr:row>0</xdr:row>
      <xdr:rowOff>210546</xdr:rowOff>
    </xdr:from>
    <xdr:to>
      <xdr:col>16</xdr:col>
      <xdr:colOff>41114</xdr:colOff>
      <xdr:row>2</xdr:row>
      <xdr:rowOff>278276</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11500183" y="210546"/>
          <a:ext cx="732931" cy="65928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76200</xdr:colOff>
          <xdr:row>9</xdr:row>
          <xdr:rowOff>45720</xdr:rowOff>
        </xdr:from>
        <xdr:to>
          <xdr:col>15</xdr:col>
          <xdr:colOff>228600</xdr:colOff>
          <xdr:row>13</xdr:row>
          <xdr:rowOff>60960</xdr:rowOff>
        </xdr:to>
        <xdr:sp macro="" textlink="">
          <xdr:nvSpPr>
            <xdr:cNvPr id="27656" name="Templates_StatusreportDE" hidden="1">
              <a:extLst>
                <a:ext uri="{63B3BB69-23CF-44E3-9099-C40C66FF867C}">
                  <a14:compatExt spid="_x0000_s2765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0</xdr:col>
      <xdr:colOff>0</xdr:colOff>
      <xdr:row>74</xdr:row>
      <xdr:rowOff>21981</xdr:rowOff>
    </xdr:from>
    <xdr:to>
      <xdr:col>7</xdr:col>
      <xdr:colOff>723900</xdr:colOff>
      <xdr:row>98</xdr:row>
      <xdr:rowOff>183173</xdr:rowOff>
    </xdr:to>
    <xdr:graphicFrame macro="">
      <xdr:nvGraphicFramePr>
        <xdr:cNvPr id="2" name="Diagramm 1" descr=" +[@$$]m!u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211</xdr:row>
      <xdr:rowOff>187543</xdr:rowOff>
    </xdr:from>
    <xdr:to>
      <xdr:col>7</xdr:col>
      <xdr:colOff>742293</xdr:colOff>
      <xdr:row>233</xdr:row>
      <xdr:rowOff>3612</xdr:rowOff>
    </xdr:to>
    <xdr:graphicFrame macro="">
      <xdr:nvGraphicFramePr>
        <xdr:cNvPr id="3" name="Diagramm 2" descr=" +[@$$]m!uP]"/>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123</xdr:row>
      <xdr:rowOff>19050</xdr:rowOff>
    </xdr:from>
    <xdr:to>
      <xdr:col>7</xdr:col>
      <xdr:colOff>752475</xdr:colOff>
      <xdr:row>152</xdr:row>
      <xdr:rowOff>9525</xdr:rowOff>
    </xdr:to>
    <xdr:graphicFrame macro="">
      <xdr:nvGraphicFramePr>
        <xdr:cNvPr id="6" name="Diagramm 5" descr=" +[@$$]m!uQ]"/>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9</xdr:col>
          <xdr:colOff>121920</xdr:colOff>
          <xdr:row>4</xdr:row>
          <xdr:rowOff>68580</xdr:rowOff>
        </xdr:from>
        <xdr:to>
          <xdr:col>11</xdr:col>
          <xdr:colOff>647700</xdr:colOff>
          <xdr:row>6</xdr:row>
          <xdr:rowOff>68580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Export to Wordtemplate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9</xdr:row>
          <xdr:rowOff>68580</xdr:rowOff>
        </xdr:from>
        <xdr:to>
          <xdr:col>11</xdr:col>
          <xdr:colOff>647700</xdr:colOff>
          <xdr:row>11</xdr:row>
          <xdr:rowOff>121920</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In die Wordvorlage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6</xdr:row>
          <xdr:rowOff>144780</xdr:rowOff>
        </xdr:from>
        <xdr:to>
          <xdr:col>11</xdr:col>
          <xdr:colOff>647700</xdr:colOff>
          <xdr:row>8</xdr:row>
          <xdr:rowOff>182880</xdr:rowOff>
        </xdr:to>
        <xdr:sp macro="" textlink="">
          <xdr:nvSpPr>
            <xdr:cNvPr id="27651" name="Button 3" hidden="1">
              <a:extLst>
                <a:ext uri="{63B3BB69-23CF-44E3-9099-C40C66FF867C}">
                  <a14:compatExt spid="_x0000_s276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Exporte au modèle du Word</a:t>
              </a:r>
            </a:p>
          </xdr:txBody>
        </xdr:sp>
        <xdr:clientData fPrintsWithSheet="0"/>
      </xdr:twoCellAnchor>
    </mc:Choice>
    <mc:Fallback/>
  </mc:AlternateContent>
  <xdr:twoCellAnchor editAs="oneCell">
    <xdr:from>
      <xdr:col>6</xdr:col>
      <xdr:colOff>257175</xdr:colOff>
      <xdr:row>1</xdr:row>
      <xdr:rowOff>0</xdr:rowOff>
    </xdr:from>
    <xdr:to>
      <xdr:col>6</xdr:col>
      <xdr:colOff>663975</xdr:colOff>
      <xdr:row>2</xdr:row>
      <xdr:rowOff>242625</xdr:rowOff>
    </xdr:to>
    <xdr:sp macro="" textlink="">
      <xdr:nvSpPr>
        <xdr:cNvPr id="9" name="Left Arrow 8" descr=" +[@$$]m!$l7]">
          <a:hlinkClick xmlns:r="http://schemas.openxmlformats.org/officeDocument/2006/relationships" r:id="rId4" tooltip="Project Overview"/>
        </xdr:cNvPr>
        <xdr:cNvSpPr/>
      </xdr:nvSpPr>
      <xdr:spPr>
        <a:xfrm>
          <a:off x="4829175" y="257175"/>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mc:AlternateContent xmlns:mc="http://schemas.openxmlformats.org/markup-compatibility/2006">
    <mc:Choice xmlns:a14="http://schemas.microsoft.com/office/drawing/2010/main" Requires="a14">
      <xdr:twoCellAnchor>
        <xdr:from>
          <xdr:col>9</xdr:col>
          <xdr:colOff>114300</xdr:colOff>
          <xdr:row>12</xdr:row>
          <xdr:rowOff>7620</xdr:rowOff>
        </xdr:from>
        <xdr:to>
          <xdr:col>11</xdr:col>
          <xdr:colOff>640080</xdr:colOff>
          <xdr:row>14</xdr:row>
          <xdr:rowOff>83820</xdr:rowOff>
        </xdr:to>
        <xdr:sp macro="" textlink="">
          <xdr:nvSpPr>
            <xdr:cNvPr id="27652" name="Button 4" hidden="1">
              <a:extLst>
                <a:ext uri="{63B3BB69-23CF-44E3-9099-C40C66FF867C}">
                  <a14:compatExt spid="_x0000_s276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Drucken</a:t>
              </a:r>
            </a:p>
          </xdr:txBody>
        </xdr:sp>
        <xdr:clientData fPrintsWithSheet="0"/>
      </xdr:twoCellAnchor>
    </mc:Choice>
    <mc:Fallback/>
  </mc:AlternateContent>
  <xdr:twoCellAnchor>
    <xdr:from>
      <xdr:col>11</xdr:col>
      <xdr:colOff>66675</xdr:colOff>
      <xdr:row>0</xdr:row>
      <xdr:rowOff>200025</xdr:rowOff>
    </xdr:from>
    <xdr:to>
      <xdr:col>12</xdr:col>
      <xdr:colOff>37606</xdr:colOff>
      <xdr:row>2</xdr:row>
      <xdr:rowOff>268758</xdr:rowOff>
    </xdr:to>
    <xdr:pic>
      <xdr:nvPicPr>
        <xdr:cNvPr id="13" name="Grafik 23" descr=" +[@}x&amp;!']"/>
        <xdr:cNvPicPr>
          <a:picLocks noChangeAspect="1"/>
        </xdr:cNvPicPr>
      </xdr:nvPicPr>
      <xdr:blipFill>
        <a:blip xmlns:r="http://schemas.openxmlformats.org/officeDocument/2006/relationships" r:embed="rId5"/>
        <a:stretch>
          <a:fillRect/>
        </a:stretch>
      </xdr:blipFill>
      <xdr:spPr>
        <a:xfrm>
          <a:off x="8448675" y="200025"/>
          <a:ext cx="732931" cy="65928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76200</xdr:colOff>
          <xdr:row>6</xdr:row>
          <xdr:rowOff>99060</xdr:rowOff>
        </xdr:from>
        <xdr:to>
          <xdr:col>15</xdr:col>
          <xdr:colOff>228600</xdr:colOff>
          <xdr:row>9</xdr:row>
          <xdr:rowOff>175260</xdr:rowOff>
        </xdr:to>
        <xdr:sp macro="" textlink="">
          <xdr:nvSpPr>
            <xdr:cNvPr id="27657" name="Templates_StatusreportFR" hidden="1">
              <a:extLst>
                <a:ext uri="{63B3BB69-23CF-44E3-9099-C40C66FF867C}">
                  <a14:compatExt spid="_x0000_s2765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3</xdr:row>
          <xdr:rowOff>137160</xdr:rowOff>
        </xdr:from>
        <xdr:to>
          <xdr:col>15</xdr:col>
          <xdr:colOff>213360</xdr:colOff>
          <xdr:row>6</xdr:row>
          <xdr:rowOff>114300</xdr:rowOff>
        </xdr:to>
        <xdr:sp macro="" textlink="">
          <xdr:nvSpPr>
            <xdr:cNvPr id="27658" name="Templates_StatusreportEN" hidden="1">
              <a:extLst>
                <a:ext uri="{63B3BB69-23CF-44E3-9099-C40C66FF867C}">
                  <a14:compatExt spid="_x0000_s2765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13</xdr:col>
      <xdr:colOff>638175</xdr:colOff>
      <xdr:row>0</xdr:row>
      <xdr:rowOff>238125</xdr:rowOff>
    </xdr:from>
    <xdr:to>
      <xdr:col>17</xdr:col>
      <xdr:colOff>76200</xdr:colOff>
      <xdr:row>14</xdr:row>
      <xdr:rowOff>47625</xdr:rowOff>
    </xdr:to>
    <xdr:sp macro="" textlink="">
      <xdr:nvSpPr>
        <xdr:cNvPr id="4" name="Rectangle 3"/>
        <xdr:cNvSpPr/>
      </xdr:nvSpPr>
      <xdr:spPr>
        <a:xfrm>
          <a:off x="10620375" y="238125"/>
          <a:ext cx="1724025" cy="29908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20.xml><?xml version="1.0" encoding="utf-8"?>
<c:userShapes xmlns:c="http://schemas.openxmlformats.org/drawingml/2006/chart">
  <cdr:relSizeAnchor xmlns:cdr="http://schemas.openxmlformats.org/drawingml/2006/chartDrawing">
    <cdr:from>
      <cdr:x>0.05982</cdr:x>
      <cdr:y>0.83979</cdr:y>
    </cdr:from>
    <cdr:to>
      <cdr:x>0.11933</cdr:x>
      <cdr:y>0.90143</cdr:y>
    </cdr:to>
    <cdr:sp macro="" textlink="">
      <cdr:nvSpPr>
        <cdr:cNvPr id="2" name="Textfeld 1"/>
        <cdr:cNvSpPr txBox="1"/>
      </cdr:nvSpPr>
      <cdr:spPr>
        <a:xfrm xmlns:a="http://schemas.openxmlformats.org/drawingml/2006/main">
          <a:off x="363468" y="3365085"/>
          <a:ext cx="361600" cy="246995"/>
        </a:xfrm>
        <a:prstGeom xmlns:a="http://schemas.openxmlformats.org/drawingml/2006/main" prst="rect">
          <a:avLst/>
        </a:prstGeom>
      </cdr:spPr>
      <cdr:txBody>
        <a:bodyPr xmlns:a="http://schemas.openxmlformats.org/drawingml/2006/main" vertOverflow="clip" wrap="none" lIns="36000" tIns="36000" rIns="36000" bIns="36000" rtlCol="0" anchor="ctr"/>
        <a:lstStyle xmlns:a="http://schemas.openxmlformats.org/drawingml/2006/main"/>
        <a:p xmlns:a="http://schemas.openxmlformats.org/drawingml/2006/main">
          <a:pPr algn="l"/>
          <a:r>
            <a:rPr lang="de-DE" sz="800"/>
            <a:t>low</a:t>
          </a:r>
        </a:p>
      </cdr:txBody>
    </cdr:sp>
  </cdr:relSizeAnchor>
  <cdr:relSizeAnchor xmlns:cdr="http://schemas.openxmlformats.org/drawingml/2006/chartDrawing">
    <cdr:from>
      <cdr:x>0.01418</cdr:x>
      <cdr:y>0.10689</cdr:y>
    </cdr:from>
    <cdr:to>
      <cdr:x>0.05816</cdr:x>
      <cdr:y>0.18502</cdr:y>
    </cdr:to>
    <cdr:sp macro="" textlink="">
      <cdr:nvSpPr>
        <cdr:cNvPr id="3" name="Textfeld 1"/>
        <cdr:cNvSpPr txBox="1"/>
      </cdr:nvSpPr>
      <cdr:spPr>
        <a:xfrm xmlns:a="http://schemas.openxmlformats.org/drawingml/2006/main">
          <a:off x="86180" y="365809"/>
          <a:ext cx="267236" cy="267394"/>
        </a:xfrm>
        <a:prstGeom xmlns:a="http://schemas.openxmlformats.org/drawingml/2006/main" prst="rect">
          <a:avLst/>
        </a:prstGeom>
      </cdr:spPr>
      <cdr:txBody>
        <a:bodyPr xmlns:a="http://schemas.openxmlformats.org/drawingml/2006/main" wrap="none" lIns="36000" tIns="36000" rIns="36000" bIns="3600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r>
            <a:rPr lang="de-DE" sz="800">
              <a:latin typeface="+mn-lt"/>
              <a:ea typeface="+mn-ea"/>
              <a:cs typeface="+mn-cs"/>
            </a:rPr>
            <a:t>high</a:t>
          </a:r>
        </a:p>
      </cdr:txBody>
    </cdr:sp>
  </cdr:relSizeAnchor>
  <cdr:relSizeAnchor xmlns:cdr="http://schemas.openxmlformats.org/drawingml/2006/chartDrawing">
    <cdr:from>
      <cdr:x>0.0173</cdr:x>
      <cdr:y>0.75409</cdr:y>
    </cdr:from>
    <cdr:to>
      <cdr:x>0.06067</cdr:x>
      <cdr:y>0.83222</cdr:y>
    </cdr:to>
    <cdr:sp macro="" textlink="">
      <cdr:nvSpPr>
        <cdr:cNvPr id="4" name="Textfeld 1"/>
        <cdr:cNvSpPr txBox="1"/>
      </cdr:nvSpPr>
      <cdr:spPr>
        <a:xfrm xmlns:a="http://schemas.openxmlformats.org/drawingml/2006/main">
          <a:off x="105103" y="3021689"/>
          <a:ext cx="263528" cy="313072"/>
        </a:xfrm>
        <a:prstGeom xmlns:a="http://schemas.openxmlformats.org/drawingml/2006/main" prst="rect">
          <a:avLst/>
        </a:prstGeom>
      </cdr:spPr>
      <cdr:txBody>
        <a:bodyPr xmlns:a="http://schemas.openxmlformats.org/drawingml/2006/main" wrap="none" lIns="36000" tIns="36000" rIns="36000" bIns="36000"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de-DE" sz="800"/>
            <a:t>low</a:t>
          </a:r>
        </a:p>
      </cdr:txBody>
    </cdr:sp>
  </cdr:relSizeAnchor>
  <cdr:relSizeAnchor xmlns:cdr="http://schemas.openxmlformats.org/drawingml/2006/chartDrawing">
    <cdr:from>
      <cdr:x>0.88701</cdr:x>
      <cdr:y>0.84119</cdr:y>
    </cdr:from>
    <cdr:to>
      <cdr:x>0.94652</cdr:x>
      <cdr:y>0.90283</cdr:y>
    </cdr:to>
    <cdr:sp macro="" textlink="">
      <cdr:nvSpPr>
        <cdr:cNvPr id="5" name="Textfeld 4"/>
        <cdr:cNvSpPr txBox="1"/>
      </cdr:nvSpPr>
      <cdr:spPr>
        <a:xfrm xmlns:a="http://schemas.openxmlformats.org/drawingml/2006/main">
          <a:off x="5389749" y="3370694"/>
          <a:ext cx="361600" cy="246996"/>
        </a:xfrm>
        <a:prstGeom xmlns:a="http://schemas.openxmlformats.org/drawingml/2006/main" prst="rect">
          <a:avLst/>
        </a:prstGeom>
      </cdr:spPr>
      <cdr:txBody>
        <a:bodyPr xmlns:a="http://schemas.openxmlformats.org/drawingml/2006/main" vertOverflow="clip" wrap="none" lIns="36000" tIns="36000" rIns="36000" bIns="36000" rtlCol="0" anchor="ctr"/>
        <a:lstStyle xmlns:a="http://schemas.openxmlformats.org/drawingml/2006/main"/>
        <a:p xmlns:a="http://schemas.openxmlformats.org/drawingml/2006/main">
          <a:pPr algn="r"/>
          <a:r>
            <a:rPr lang="de-DE" sz="800"/>
            <a:t>high</a:t>
          </a:r>
        </a:p>
      </cdr:txBody>
    </cdr:sp>
  </cdr:relSizeAnchor>
</c:userShapes>
</file>

<file path=xl/drawings/drawing21.xml><?xml version="1.0" encoding="utf-8"?>
<xdr:wsDr xmlns:xdr="http://schemas.openxmlformats.org/drawingml/2006/spreadsheetDrawing" xmlns:a="http://schemas.openxmlformats.org/drawingml/2006/main">
  <xdr:twoCellAnchor>
    <xdr:from>
      <xdr:col>0</xdr:col>
      <xdr:colOff>0</xdr:colOff>
      <xdr:row>76</xdr:row>
      <xdr:rowOff>21981</xdr:rowOff>
    </xdr:from>
    <xdr:to>
      <xdr:col>7</xdr:col>
      <xdr:colOff>723900</xdr:colOff>
      <xdr:row>100</xdr:row>
      <xdr:rowOff>183173</xdr:rowOff>
    </xdr:to>
    <xdr:graphicFrame macro="">
      <xdr:nvGraphicFramePr>
        <xdr:cNvPr id="2" name="Diagramm 1" descr=" +[@}x&amp;!jI]"/>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238125</xdr:colOff>
      <xdr:row>1</xdr:row>
      <xdr:rowOff>38100</xdr:rowOff>
    </xdr:from>
    <xdr:to>
      <xdr:col>6</xdr:col>
      <xdr:colOff>644925</xdr:colOff>
      <xdr:row>2</xdr:row>
      <xdr:rowOff>280725</xdr:rowOff>
    </xdr:to>
    <xdr:sp macro="" textlink="">
      <xdr:nvSpPr>
        <xdr:cNvPr id="3" name="Left Arrow 2" descr=" +[@$$]m!$n&lt;]">
          <a:hlinkClick xmlns:r="http://schemas.openxmlformats.org/officeDocument/2006/relationships" r:id="rId2" tooltip="Project Overview"/>
        </xdr:cNvPr>
        <xdr:cNvSpPr/>
      </xdr:nvSpPr>
      <xdr:spPr>
        <a:xfrm>
          <a:off x="4810125" y="295275"/>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mc:AlternateContent xmlns:mc="http://schemas.openxmlformats.org/markup-compatibility/2006">
    <mc:Choice xmlns:a14="http://schemas.microsoft.com/office/drawing/2010/main" Requires="a14">
      <xdr:twoCellAnchor>
        <xdr:from>
          <xdr:col>9</xdr:col>
          <xdr:colOff>114300</xdr:colOff>
          <xdr:row>5</xdr:row>
          <xdr:rowOff>76200</xdr:rowOff>
        </xdr:from>
        <xdr:to>
          <xdr:col>11</xdr:col>
          <xdr:colOff>640080</xdr:colOff>
          <xdr:row>7</xdr:row>
          <xdr:rowOff>152400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H" sz="1100" b="0" i="0" u="none" strike="noStrike" baseline="0">
                  <a:solidFill>
                    <a:srgbClr val="000000"/>
                  </a:solidFill>
                  <a:latin typeface="Calibri"/>
                </a:rPr>
                <a:t>Drucken</a:t>
              </a:r>
            </a:p>
          </xdr:txBody>
        </xdr:sp>
        <xdr:clientData fPrintsWithSheet="0"/>
      </xdr:twoCellAnchor>
    </mc:Choice>
    <mc:Fallback/>
  </mc:AlternateContent>
  <xdr:twoCellAnchor>
    <xdr:from>
      <xdr:col>11</xdr:col>
      <xdr:colOff>47625</xdr:colOff>
      <xdr:row>0</xdr:row>
      <xdr:rowOff>9525</xdr:rowOff>
    </xdr:from>
    <xdr:to>
      <xdr:col>12</xdr:col>
      <xdr:colOff>18556</xdr:colOff>
      <xdr:row>2</xdr:row>
      <xdr:rowOff>78258</xdr:rowOff>
    </xdr:to>
    <xdr:pic>
      <xdr:nvPicPr>
        <xdr:cNvPr id="8" name="Grafik 23" descr=" +[@}x&amp;!']"/>
        <xdr:cNvPicPr>
          <a:picLocks noChangeAspect="1"/>
        </xdr:cNvPicPr>
      </xdr:nvPicPr>
      <xdr:blipFill>
        <a:blip xmlns:r="http://schemas.openxmlformats.org/officeDocument/2006/relationships" r:embed="rId3"/>
        <a:stretch>
          <a:fillRect/>
        </a:stretch>
      </xdr:blipFill>
      <xdr:spPr>
        <a:xfrm>
          <a:off x="8429625" y="9525"/>
          <a:ext cx="732931" cy="659283"/>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6</xdr:col>
      <xdr:colOff>400050</xdr:colOff>
      <xdr:row>0</xdr:row>
      <xdr:rowOff>257174</xdr:rowOff>
    </xdr:from>
    <xdr:to>
      <xdr:col>6</xdr:col>
      <xdr:colOff>806850</xdr:colOff>
      <xdr:row>2</xdr:row>
      <xdr:rowOff>242624</xdr:rowOff>
    </xdr:to>
    <xdr:sp macro="" textlink="">
      <xdr:nvSpPr>
        <xdr:cNvPr id="2" name="Left Arrow 1" descr=" +[@AM:!3A2]">
          <a:hlinkClick xmlns:r="http://schemas.openxmlformats.org/officeDocument/2006/relationships" r:id="rId1" tooltip="Project Overview"/>
        </xdr:cNvPr>
        <xdr:cNvSpPr/>
      </xdr:nvSpPr>
      <xdr:spPr>
        <a:xfrm>
          <a:off x="5010150" y="257174"/>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11</xdr:col>
      <xdr:colOff>523875</xdr:colOff>
      <xdr:row>0</xdr:row>
      <xdr:rowOff>190500</xdr:rowOff>
    </xdr:from>
    <xdr:to>
      <xdr:col>13</xdr:col>
      <xdr:colOff>37606</xdr:colOff>
      <xdr:row>2</xdr:row>
      <xdr:rowOff>259233</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8372475" y="190500"/>
          <a:ext cx="732931" cy="659283"/>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285750</xdr:colOff>
      <xdr:row>1</xdr:row>
      <xdr:rowOff>9524</xdr:rowOff>
    </xdr:from>
    <xdr:to>
      <xdr:col>6</xdr:col>
      <xdr:colOff>692550</xdr:colOff>
      <xdr:row>2</xdr:row>
      <xdr:rowOff>252149</xdr:rowOff>
    </xdr:to>
    <xdr:sp macro="" textlink="">
      <xdr:nvSpPr>
        <xdr:cNvPr id="2" name="Left Arrow 1" descr=" +[@AM:!3?X]">
          <a:hlinkClick xmlns:r="http://schemas.openxmlformats.org/officeDocument/2006/relationships" r:id="rId1" tooltip="Project Overview"/>
        </xdr:cNvPr>
        <xdr:cNvSpPr/>
      </xdr:nvSpPr>
      <xdr:spPr>
        <a:xfrm>
          <a:off x="4857750" y="26669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11</xdr:col>
      <xdr:colOff>66675</xdr:colOff>
      <xdr:row>0</xdr:row>
      <xdr:rowOff>209550</xdr:rowOff>
    </xdr:from>
    <xdr:to>
      <xdr:col>12</xdr:col>
      <xdr:colOff>37606</xdr:colOff>
      <xdr:row>2</xdr:row>
      <xdr:rowOff>278283</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8448675" y="209550"/>
          <a:ext cx="732931" cy="659283"/>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6</xdr:col>
      <xdr:colOff>3619500</xdr:colOff>
      <xdr:row>1</xdr:row>
      <xdr:rowOff>40821</xdr:rowOff>
    </xdr:from>
    <xdr:to>
      <xdr:col>6</xdr:col>
      <xdr:colOff>4027714</xdr:colOff>
      <xdr:row>2</xdr:row>
      <xdr:rowOff>285750</xdr:rowOff>
    </xdr:to>
    <xdr:sp macro="" textlink="">
      <xdr:nvSpPr>
        <xdr:cNvPr id="2" name="Left Arrow 1" descr=" +[@$$]m!&amp;yK]">
          <a:hlinkClick xmlns:r="http://schemas.openxmlformats.org/officeDocument/2006/relationships" r:id="rId1" tooltip="Project Overview"/>
        </xdr:cNvPr>
        <xdr:cNvSpPr/>
      </xdr:nvSpPr>
      <xdr:spPr>
        <a:xfrm>
          <a:off x="7656635" y="297263"/>
          <a:ext cx="408214" cy="581968"/>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17</xdr:col>
      <xdr:colOff>1748119</xdr:colOff>
      <xdr:row>0</xdr:row>
      <xdr:rowOff>224120</xdr:rowOff>
    </xdr:from>
    <xdr:to>
      <xdr:col>18</xdr:col>
      <xdr:colOff>38168</xdr:colOff>
      <xdr:row>2</xdr:row>
      <xdr:rowOff>289491</xdr:rowOff>
    </xdr:to>
    <xdr:pic>
      <xdr:nvPicPr>
        <xdr:cNvPr id="6" name="Grafik 23" descr=" +[@}x&amp;!']"/>
        <xdr:cNvPicPr>
          <a:picLocks noChangeAspect="1"/>
        </xdr:cNvPicPr>
      </xdr:nvPicPr>
      <xdr:blipFill>
        <a:blip xmlns:r="http://schemas.openxmlformats.org/officeDocument/2006/relationships" r:embed="rId2"/>
        <a:stretch>
          <a:fillRect/>
        </a:stretch>
      </xdr:blipFill>
      <xdr:spPr>
        <a:xfrm>
          <a:off x="21593737" y="224120"/>
          <a:ext cx="732931" cy="659283"/>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342555</xdr:colOff>
      <xdr:row>28</xdr:row>
      <xdr:rowOff>160852</xdr:rowOff>
    </xdr:from>
    <xdr:to>
      <xdr:col>12</xdr:col>
      <xdr:colOff>574388</xdr:colOff>
      <xdr:row>28</xdr:row>
      <xdr:rowOff>160853</xdr:rowOff>
    </xdr:to>
    <xdr:cxnSp macro="">
      <xdr:nvCxnSpPr>
        <xdr:cNvPr id="2" name="Straight Arrow Connector 26" descr=" +[@}x&amp;!.{R]"/>
        <xdr:cNvCxnSpPr/>
      </xdr:nvCxnSpPr>
      <xdr:spPr bwMode="auto">
        <a:xfrm flipV="1">
          <a:off x="723555" y="5371027"/>
          <a:ext cx="6937433" cy="1"/>
        </a:xfrm>
        <a:prstGeom prst="straightConnector1">
          <a:avLst/>
        </a:prstGeom>
        <a:ln>
          <a:headEnd type="none" w="med" len="med"/>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341761</xdr:colOff>
      <xdr:row>4</xdr:row>
      <xdr:rowOff>1</xdr:rowOff>
    </xdr:from>
    <xdr:to>
      <xdr:col>1</xdr:col>
      <xdr:colOff>343349</xdr:colOff>
      <xdr:row>28</xdr:row>
      <xdr:rowOff>161646</xdr:rowOff>
    </xdr:to>
    <xdr:cxnSp macro="">
      <xdr:nvCxnSpPr>
        <xdr:cNvPr id="3" name="Straight Arrow Connector 27" descr=" +[@}x&amp;!.{S]"/>
        <xdr:cNvCxnSpPr/>
      </xdr:nvCxnSpPr>
      <xdr:spPr bwMode="auto">
        <a:xfrm flipV="1">
          <a:off x="722761" y="638176"/>
          <a:ext cx="1588" cy="4733645"/>
        </a:xfrm>
        <a:prstGeom prst="straightConnector1">
          <a:avLst/>
        </a:prstGeom>
        <a:ln>
          <a:headEnd type="none" w="med" len="med"/>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343349</xdr:colOff>
      <xdr:row>21</xdr:row>
      <xdr:rowOff>47691</xdr:rowOff>
    </xdr:from>
    <xdr:to>
      <xdr:col>6</xdr:col>
      <xdr:colOff>453621</xdr:colOff>
      <xdr:row>28</xdr:row>
      <xdr:rowOff>160852</xdr:rowOff>
    </xdr:to>
    <xdr:cxnSp macro="">
      <xdr:nvCxnSpPr>
        <xdr:cNvPr id="4" name="Straight Arrow Connector 28" descr=" +[@}x&amp;!.{T]"/>
        <xdr:cNvCxnSpPr/>
      </xdr:nvCxnSpPr>
      <xdr:spPr bwMode="auto">
        <a:xfrm flipV="1">
          <a:off x="724349" y="3924366"/>
          <a:ext cx="3158272" cy="1446661"/>
        </a:xfrm>
        <a:prstGeom prst="straightConnector1">
          <a:avLst/>
        </a:prstGeom>
        <a:ln>
          <a:solidFill>
            <a:srgbClr val="0070C0"/>
          </a:solidFill>
          <a:prstDash val="sysDash"/>
          <a:headEnd type="none" w="med" len="med"/>
          <a:tailEnd type="oval"/>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343349</xdr:colOff>
      <xdr:row>13</xdr:row>
      <xdr:rowOff>63500</xdr:rowOff>
    </xdr:from>
    <xdr:to>
      <xdr:col>6</xdr:col>
      <xdr:colOff>465667</xdr:colOff>
      <xdr:row>28</xdr:row>
      <xdr:rowOff>160851</xdr:rowOff>
    </xdr:to>
    <xdr:cxnSp macro="">
      <xdr:nvCxnSpPr>
        <xdr:cNvPr id="5" name="Straight Arrow Connector 29" descr=" +[@}x&amp;!.{U]"/>
        <xdr:cNvCxnSpPr/>
      </xdr:nvCxnSpPr>
      <xdr:spPr bwMode="auto">
        <a:xfrm flipV="1">
          <a:off x="724349" y="2416175"/>
          <a:ext cx="3170318" cy="2954851"/>
        </a:xfrm>
        <a:prstGeom prst="straightConnector1">
          <a:avLst/>
        </a:prstGeom>
        <a:ln>
          <a:solidFill>
            <a:srgbClr val="00B050"/>
          </a:solidFill>
          <a:prstDash val="sysDot"/>
          <a:headEnd type="none" w="med" len="med"/>
          <a:tailEnd type="oval"/>
        </a:ln>
      </xdr:spPr>
      <xdr:style>
        <a:lnRef idx="3">
          <a:schemeClr val="dk1"/>
        </a:lnRef>
        <a:fillRef idx="0">
          <a:schemeClr val="dk1"/>
        </a:fillRef>
        <a:effectRef idx="2">
          <a:schemeClr val="dk1"/>
        </a:effectRef>
        <a:fontRef idx="minor">
          <a:schemeClr val="tx1"/>
        </a:fontRef>
      </xdr:style>
    </xdr:cxnSp>
    <xdr:clientData/>
  </xdr:twoCellAnchor>
  <xdr:twoCellAnchor>
    <xdr:from>
      <xdr:col>6</xdr:col>
      <xdr:colOff>453621</xdr:colOff>
      <xdr:row>13</xdr:row>
      <xdr:rowOff>63500</xdr:rowOff>
    </xdr:from>
    <xdr:to>
      <xdr:col>6</xdr:col>
      <xdr:colOff>455083</xdr:colOff>
      <xdr:row>28</xdr:row>
      <xdr:rowOff>133333</xdr:rowOff>
    </xdr:to>
    <xdr:cxnSp macro="">
      <xdr:nvCxnSpPr>
        <xdr:cNvPr id="6" name="Straight Connector 30" descr=" +[@}x&amp;!.{V]"/>
        <xdr:cNvCxnSpPr/>
      </xdr:nvCxnSpPr>
      <xdr:spPr bwMode="auto">
        <a:xfrm flipH="1">
          <a:off x="3882621" y="2416175"/>
          <a:ext cx="1462" cy="2927333"/>
        </a:xfrm>
        <a:prstGeom prst="line">
          <a:avLst/>
        </a:prstGeom>
        <a:solidFill>
          <a:schemeClr val="bg1"/>
        </a:solidFill>
        <a:ln w="9525" cap="flat" cmpd="sng" algn="ctr">
          <a:solidFill>
            <a:srgbClr val="878787"/>
          </a:solidFill>
          <a:prstDash val="lgDash"/>
          <a:round/>
          <a:headEnd type="none" w="med" len="med"/>
          <a:tailEnd type="none" w="med" len="med"/>
        </a:ln>
        <a:effectLst/>
      </xdr:spPr>
    </xdr:cxnSp>
    <xdr:clientData/>
  </xdr:twoCellAnchor>
  <xdr:twoCellAnchor>
    <xdr:from>
      <xdr:col>8</xdr:col>
      <xdr:colOff>251161</xdr:colOff>
      <xdr:row>10</xdr:row>
      <xdr:rowOff>31293</xdr:rowOff>
    </xdr:from>
    <xdr:to>
      <xdr:col>9</xdr:col>
      <xdr:colOff>404912</xdr:colOff>
      <xdr:row>11</xdr:row>
      <xdr:rowOff>169088</xdr:rowOff>
    </xdr:to>
    <xdr:sp macro="" textlink="">
      <xdr:nvSpPr>
        <xdr:cNvPr id="7" name="TextBox 22" descr=" +[@}x&amp;!.{W]"/>
        <xdr:cNvSpPr txBox="1"/>
      </xdr:nvSpPr>
      <xdr:spPr>
        <a:xfrm>
          <a:off x="4899361" y="1812468"/>
          <a:ext cx="763351"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BAC</a:t>
          </a:r>
        </a:p>
      </xdr:txBody>
    </xdr:sp>
    <xdr:clientData/>
  </xdr:twoCellAnchor>
  <xdr:twoCellAnchor>
    <xdr:from>
      <xdr:col>6</xdr:col>
      <xdr:colOff>46880</xdr:colOff>
      <xdr:row>19</xdr:row>
      <xdr:rowOff>162102</xdr:rowOff>
    </xdr:from>
    <xdr:to>
      <xdr:col>6</xdr:col>
      <xdr:colOff>610882</xdr:colOff>
      <xdr:row>21</xdr:row>
      <xdr:rowOff>109397</xdr:rowOff>
    </xdr:to>
    <xdr:sp macro="" textlink="">
      <xdr:nvSpPr>
        <xdr:cNvPr id="8" name="TextBox 23" descr=" +[@}x&amp;!.{X]"/>
        <xdr:cNvSpPr txBox="1"/>
      </xdr:nvSpPr>
      <xdr:spPr>
        <a:xfrm>
          <a:off x="3475880" y="3657777"/>
          <a:ext cx="564002"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EV</a:t>
          </a:r>
        </a:p>
      </xdr:txBody>
    </xdr:sp>
    <xdr:clientData/>
  </xdr:twoCellAnchor>
  <xdr:twoCellAnchor>
    <xdr:from>
      <xdr:col>6</xdr:col>
      <xdr:colOff>18916</xdr:colOff>
      <xdr:row>11</xdr:row>
      <xdr:rowOff>188784</xdr:rowOff>
    </xdr:from>
    <xdr:to>
      <xdr:col>6</xdr:col>
      <xdr:colOff>598948</xdr:colOff>
      <xdr:row>13</xdr:row>
      <xdr:rowOff>136079</xdr:rowOff>
    </xdr:to>
    <xdr:sp macro="" textlink="">
      <xdr:nvSpPr>
        <xdr:cNvPr id="9" name="TextBox 24" descr=" +[@}x&amp;!.{Y]"/>
        <xdr:cNvSpPr txBox="1"/>
      </xdr:nvSpPr>
      <xdr:spPr>
        <a:xfrm>
          <a:off x="3447916" y="2160459"/>
          <a:ext cx="580032"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AC</a:t>
          </a:r>
        </a:p>
      </xdr:txBody>
    </xdr:sp>
    <xdr:clientData/>
  </xdr:twoCellAnchor>
  <xdr:twoCellAnchor>
    <xdr:from>
      <xdr:col>1</xdr:col>
      <xdr:colOff>0</xdr:colOff>
      <xdr:row>5</xdr:row>
      <xdr:rowOff>2854</xdr:rowOff>
    </xdr:from>
    <xdr:to>
      <xdr:col>1</xdr:col>
      <xdr:colOff>341760</xdr:colOff>
      <xdr:row>7</xdr:row>
      <xdr:rowOff>52741</xdr:rowOff>
    </xdr:to>
    <xdr:sp macro="" textlink="">
      <xdr:nvSpPr>
        <xdr:cNvPr id="10" name="TextBox 25" descr=" +[@}x&amp;!.{Z]"/>
        <xdr:cNvSpPr txBox="1"/>
      </xdr:nvSpPr>
      <xdr:spPr>
        <a:xfrm>
          <a:off x="381000" y="831529"/>
          <a:ext cx="341760" cy="430887"/>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a:t>$</a:t>
          </a:r>
        </a:p>
      </xdr:txBody>
    </xdr:sp>
    <xdr:clientData/>
  </xdr:twoCellAnchor>
  <xdr:twoCellAnchor>
    <xdr:from>
      <xdr:col>12</xdr:col>
      <xdr:colOff>504717</xdr:colOff>
      <xdr:row>27</xdr:row>
      <xdr:rowOff>136701</xdr:rowOff>
    </xdr:from>
    <xdr:to>
      <xdr:col>13</xdr:col>
      <xdr:colOff>158332</xdr:colOff>
      <xdr:row>29</xdr:row>
      <xdr:rowOff>186588</xdr:rowOff>
    </xdr:to>
    <xdr:sp macro="" textlink="">
      <xdr:nvSpPr>
        <xdr:cNvPr id="11" name="TextBox 26" descr=" +[@}x&amp;!.{[]"/>
        <xdr:cNvSpPr txBox="1"/>
      </xdr:nvSpPr>
      <xdr:spPr>
        <a:xfrm>
          <a:off x="7591317" y="5156376"/>
          <a:ext cx="263215" cy="430887"/>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a:t>t</a:t>
          </a:r>
        </a:p>
      </xdr:txBody>
    </xdr:sp>
    <xdr:clientData/>
  </xdr:twoCellAnchor>
  <xdr:twoCellAnchor>
    <xdr:from>
      <xdr:col>6</xdr:col>
      <xdr:colOff>16639</xdr:colOff>
      <xdr:row>15</xdr:row>
      <xdr:rowOff>184102</xdr:rowOff>
    </xdr:from>
    <xdr:to>
      <xdr:col>6</xdr:col>
      <xdr:colOff>580641</xdr:colOff>
      <xdr:row>17</xdr:row>
      <xdr:rowOff>131397</xdr:rowOff>
    </xdr:to>
    <xdr:sp macro="" textlink="">
      <xdr:nvSpPr>
        <xdr:cNvPr id="12" name="TextBox 28" descr=" +[@}x&amp;!.{\]"/>
        <xdr:cNvSpPr txBox="1"/>
      </xdr:nvSpPr>
      <xdr:spPr>
        <a:xfrm>
          <a:off x="3445639" y="2917777"/>
          <a:ext cx="564002"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PV</a:t>
          </a:r>
        </a:p>
      </xdr:txBody>
    </xdr:sp>
    <xdr:clientData/>
  </xdr:twoCellAnchor>
  <xdr:twoCellAnchor>
    <xdr:from>
      <xdr:col>6</xdr:col>
      <xdr:colOff>371736</xdr:colOff>
      <xdr:row>16</xdr:row>
      <xdr:rowOff>132575</xdr:rowOff>
    </xdr:from>
    <xdr:to>
      <xdr:col>6</xdr:col>
      <xdr:colOff>535509</xdr:colOff>
      <xdr:row>17</xdr:row>
      <xdr:rowOff>127303</xdr:rowOff>
    </xdr:to>
    <xdr:sp macro="" textlink="">
      <xdr:nvSpPr>
        <xdr:cNvPr id="13" name="Oval 37" descr=" +[@}x&amp;!.{]]"/>
        <xdr:cNvSpPr/>
      </xdr:nvSpPr>
      <xdr:spPr bwMode="auto">
        <a:xfrm>
          <a:off x="3800736" y="3056750"/>
          <a:ext cx="163773" cy="185228"/>
        </a:xfrm>
        <a:prstGeom prst="ellipse">
          <a:avLst/>
        </a:prstGeom>
        <a:solidFill>
          <a:srgbClr val="FF0000"/>
        </a:solidFill>
        <a:ln w="9525" cap="flat" cmpd="sng" algn="ctr">
          <a:solidFill>
            <a:schemeClr val="tx1"/>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pPr marL="0" marR="0" indent="0" algn="l" defTabSz="914400" rtl="0" eaLnBrk="1" fontAlgn="base" latinLnBrk="0" hangingPunct="1">
            <a:lnSpc>
              <a:spcPct val="100000"/>
            </a:lnSpc>
            <a:spcBef>
              <a:spcPct val="0"/>
            </a:spcBef>
            <a:spcAft>
              <a:spcPct val="0"/>
            </a:spcAft>
            <a:buClrTx/>
            <a:buSzTx/>
            <a:buFontTx/>
            <a:buNone/>
            <a:tabLst/>
          </a:pPr>
          <a:endParaRPr kumimoji="0" lang="en-US" sz="2200" b="0" i="0" u="none" strike="noStrike" cap="none" normalizeH="0" baseline="0">
            <a:ln>
              <a:noFill/>
            </a:ln>
            <a:solidFill>
              <a:schemeClr val="tx1"/>
            </a:solidFill>
            <a:effectLst/>
            <a:latin typeface="Arial" charset="0"/>
          </a:endParaRPr>
        </a:p>
      </xdr:txBody>
    </xdr:sp>
    <xdr:clientData/>
  </xdr:twoCellAnchor>
  <xdr:twoCellAnchor>
    <xdr:from>
      <xdr:col>6</xdr:col>
      <xdr:colOff>453621</xdr:colOff>
      <xdr:row>13</xdr:row>
      <xdr:rowOff>51520</xdr:rowOff>
    </xdr:from>
    <xdr:to>
      <xdr:col>10</xdr:col>
      <xdr:colOff>158288</xdr:colOff>
      <xdr:row>13</xdr:row>
      <xdr:rowOff>51522</xdr:rowOff>
    </xdr:to>
    <xdr:cxnSp macro="">
      <xdr:nvCxnSpPr>
        <xdr:cNvPr id="14" name="Straight Connector 38" descr=" +[@}x&amp;!.{^]"/>
        <xdr:cNvCxnSpPr/>
      </xdr:nvCxnSpPr>
      <xdr:spPr bwMode="auto">
        <a:xfrm flipV="1">
          <a:off x="3882621" y="2404195"/>
          <a:ext cx="2143067" cy="2"/>
        </a:xfrm>
        <a:prstGeom prst="line">
          <a:avLst/>
        </a:prstGeom>
        <a:solidFill>
          <a:schemeClr val="bg1"/>
        </a:solidFill>
        <a:ln w="9525" cap="flat" cmpd="sng" algn="ctr">
          <a:solidFill>
            <a:srgbClr val="878787"/>
          </a:solidFill>
          <a:prstDash val="solid"/>
          <a:round/>
          <a:headEnd type="none" w="med" len="med"/>
          <a:tailEnd type="none" w="med" len="med"/>
        </a:ln>
        <a:effectLst/>
      </xdr:spPr>
    </xdr:cxnSp>
    <xdr:clientData/>
  </xdr:twoCellAnchor>
  <xdr:twoCellAnchor>
    <xdr:from>
      <xdr:col>9</xdr:col>
      <xdr:colOff>21163</xdr:colOff>
      <xdr:row>4</xdr:row>
      <xdr:rowOff>35983</xdr:rowOff>
    </xdr:from>
    <xdr:to>
      <xdr:col>10</xdr:col>
      <xdr:colOff>66232</xdr:colOff>
      <xdr:row>5</xdr:row>
      <xdr:rowOff>173778</xdr:rowOff>
    </xdr:to>
    <xdr:sp macro="" textlink="">
      <xdr:nvSpPr>
        <xdr:cNvPr id="15" name="TextBox 53" descr=" +[@}x&amp;!.{_]"/>
        <xdr:cNvSpPr txBox="1"/>
      </xdr:nvSpPr>
      <xdr:spPr>
        <a:xfrm>
          <a:off x="5278963" y="674158"/>
          <a:ext cx="654669"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EAC</a:t>
          </a:r>
        </a:p>
      </xdr:txBody>
    </xdr:sp>
    <xdr:clientData/>
  </xdr:twoCellAnchor>
  <xdr:twoCellAnchor>
    <xdr:from>
      <xdr:col>10</xdr:col>
      <xdr:colOff>72383</xdr:colOff>
      <xdr:row>5</xdr:row>
      <xdr:rowOff>24944</xdr:rowOff>
    </xdr:from>
    <xdr:to>
      <xdr:col>10</xdr:col>
      <xdr:colOff>508001</xdr:colOff>
      <xdr:row>13</xdr:row>
      <xdr:rowOff>52917</xdr:rowOff>
    </xdr:to>
    <xdr:sp macro="" textlink="">
      <xdr:nvSpPr>
        <xdr:cNvPr id="16" name="Right Brace 42" descr=" +[@}x&amp;!.{`]"/>
        <xdr:cNvSpPr/>
      </xdr:nvSpPr>
      <xdr:spPr bwMode="auto">
        <a:xfrm>
          <a:off x="5939783" y="853619"/>
          <a:ext cx="435618" cy="1551973"/>
        </a:xfrm>
        <a:prstGeom prst="rightBrace">
          <a:avLst>
            <a:gd name="adj1" fmla="val 21147"/>
            <a:gd name="adj2" fmla="val 49856"/>
          </a:avLst>
        </a:prstGeom>
        <a:solidFill>
          <a:schemeClr val="bg1">
            <a:lumMod val="95000"/>
          </a:schemeClr>
        </a:solidFill>
        <a:ln w="9525" cap="flat" cmpd="sng" algn="ctr">
          <a:solidFill>
            <a:srgbClr val="878787"/>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pPr marL="0" marR="0" indent="0" algn="l" defTabSz="914400" rtl="0" eaLnBrk="1" fontAlgn="base" latinLnBrk="0" hangingPunct="1">
            <a:lnSpc>
              <a:spcPct val="100000"/>
            </a:lnSpc>
            <a:spcBef>
              <a:spcPct val="0"/>
            </a:spcBef>
            <a:spcAft>
              <a:spcPct val="0"/>
            </a:spcAft>
            <a:buClrTx/>
            <a:buSzTx/>
            <a:buFontTx/>
            <a:buNone/>
            <a:tabLst/>
          </a:pPr>
          <a:endParaRPr kumimoji="0" lang="en-US" sz="2200" b="0" i="0" u="none" strike="noStrike" cap="none" normalizeH="0" baseline="0">
            <a:ln>
              <a:noFill/>
            </a:ln>
            <a:solidFill>
              <a:schemeClr val="tx1"/>
            </a:solidFill>
            <a:effectLst/>
            <a:latin typeface="Arial" charset="0"/>
          </a:endParaRPr>
        </a:p>
      </xdr:txBody>
    </xdr:sp>
    <xdr:clientData/>
  </xdr:twoCellAnchor>
  <xdr:twoCellAnchor>
    <xdr:from>
      <xdr:col>10</xdr:col>
      <xdr:colOff>422401</xdr:colOff>
      <xdr:row>8</xdr:row>
      <xdr:rowOff>68804</xdr:rowOff>
    </xdr:from>
    <xdr:to>
      <xdr:col>11</xdr:col>
      <xdr:colOff>561723</xdr:colOff>
      <xdr:row>10</xdr:row>
      <xdr:rowOff>16099</xdr:rowOff>
    </xdr:to>
    <xdr:sp macro="" textlink="">
      <xdr:nvSpPr>
        <xdr:cNvPr id="17" name="TextBox 68" descr=" +[@}x&amp;!.{a]"/>
        <xdr:cNvSpPr txBox="1"/>
      </xdr:nvSpPr>
      <xdr:spPr>
        <a:xfrm>
          <a:off x="6289801" y="1468979"/>
          <a:ext cx="748922"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ETC</a:t>
          </a:r>
        </a:p>
      </xdr:txBody>
    </xdr:sp>
    <xdr:clientData/>
  </xdr:twoCellAnchor>
  <xdr:twoCellAnchor>
    <xdr:from>
      <xdr:col>6</xdr:col>
      <xdr:colOff>465667</xdr:colOff>
      <xdr:row>5</xdr:row>
      <xdr:rowOff>9631</xdr:rowOff>
    </xdr:from>
    <xdr:to>
      <xdr:col>10</xdr:col>
      <xdr:colOff>66232</xdr:colOff>
      <xdr:row>13</xdr:row>
      <xdr:rowOff>31750</xdr:rowOff>
    </xdr:to>
    <xdr:cxnSp macro="">
      <xdr:nvCxnSpPr>
        <xdr:cNvPr id="18" name="Straight Arrow Connector 44" descr=" +[@}x&amp;!.{b]"/>
        <xdr:cNvCxnSpPr>
          <a:endCxn id="15" idx="3"/>
        </xdr:cNvCxnSpPr>
      </xdr:nvCxnSpPr>
      <xdr:spPr bwMode="auto">
        <a:xfrm flipV="1">
          <a:off x="3894667" y="838306"/>
          <a:ext cx="2038965" cy="1546119"/>
        </a:xfrm>
        <a:prstGeom prst="straightConnector1">
          <a:avLst/>
        </a:prstGeom>
        <a:ln>
          <a:solidFill>
            <a:srgbClr val="00B050"/>
          </a:solidFill>
          <a:prstDash val="sysDot"/>
          <a:headEnd type="none" w="med" len="med"/>
          <a:tailEnd type="oval"/>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341760</xdr:colOff>
      <xdr:row>11</xdr:row>
      <xdr:rowOff>123891</xdr:rowOff>
    </xdr:from>
    <xdr:to>
      <xdr:col>9</xdr:col>
      <xdr:colOff>169719</xdr:colOff>
      <xdr:row>28</xdr:row>
      <xdr:rowOff>160852</xdr:rowOff>
    </xdr:to>
    <xdr:cxnSp macro="">
      <xdr:nvCxnSpPr>
        <xdr:cNvPr id="19" name="Straight Arrow Connector 46" descr=" +[@}x&amp;!.{c]"/>
        <xdr:cNvCxnSpPr/>
      </xdr:nvCxnSpPr>
      <xdr:spPr bwMode="auto">
        <a:xfrm flipV="1">
          <a:off x="722760" y="2095566"/>
          <a:ext cx="4704759" cy="3275461"/>
        </a:xfrm>
        <a:prstGeom prst="straightConnector1">
          <a:avLst/>
        </a:prstGeom>
        <a:ln>
          <a:solidFill>
            <a:srgbClr val="FF0000"/>
          </a:solidFill>
          <a:headEnd type="none" w="med" len="med"/>
          <a:tailEnd type="oval"/>
        </a:ln>
      </xdr:spPr>
      <xdr:style>
        <a:lnRef idx="3">
          <a:schemeClr val="dk1"/>
        </a:lnRef>
        <a:fillRef idx="0">
          <a:schemeClr val="dk1"/>
        </a:fillRef>
        <a:effectRef idx="2">
          <a:schemeClr val="dk1"/>
        </a:effectRef>
        <a:fontRef idx="minor">
          <a:schemeClr val="tx1"/>
        </a:fontRef>
      </xdr:style>
    </xdr:cxnSp>
    <xdr:clientData/>
  </xdr:twoCellAnchor>
  <xdr:twoCellAnchor>
    <xdr:from>
      <xdr:col>6</xdr:col>
      <xdr:colOff>334915</xdr:colOff>
      <xdr:row>28</xdr:row>
      <xdr:rowOff>158751</xdr:rowOff>
    </xdr:from>
    <xdr:to>
      <xdr:col>8</xdr:col>
      <xdr:colOff>454543</xdr:colOff>
      <xdr:row>30</xdr:row>
      <xdr:rowOff>106046</xdr:rowOff>
    </xdr:to>
    <xdr:sp macro="" textlink="">
      <xdr:nvSpPr>
        <xdr:cNvPr id="20" name="TextBox 33" descr=" +[@}x&amp;!.{d]"/>
        <xdr:cNvSpPr txBox="1"/>
      </xdr:nvSpPr>
      <xdr:spPr>
        <a:xfrm>
          <a:off x="3763915" y="5368926"/>
          <a:ext cx="1338828"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t‘</a:t>
          </a:r>
        </a:p>
      </xdr:txBody>
    </xdr:sp>
    <xdr:clientData/>
  </xdr:twoCellAnchor>
  <xdr:twoCellAnchor>
    <xdr:from>
      <xdr:col>3</xdr:col>
      <xdr:colOff>74083</xdr:colOff>
      <xdr:row>9</xdr:row>
      <xdr:rowOff>94192</xdr:rowOff>
    </xdr:from>
    <xdr:to>
      <xdr:col>3</xdr:col>
      <xdr:colOff>506083</xdr:colOff>
      <xdr:row>9</xdr:row>
      <xdr:rowOff>103717</xdr:rowOff>
    </xdr:to>
    <xdr:cxnSp macro="">
      <xdr:nvCxnSpPr>
        <xdr:cNvPr id="21" name="Straight Arrow Connector 48" descr=" +[@}x&amp;!.{e]"/>
        <xdr:cNvCxnSpPr/>
      </xdr:nvCxnSpPr>
      <xdr:spPr bwMode="auto">
        <a:xfrm flipV="1">
          <a:off x="1674283" y="1684867"/>
          <a:ext cx="432000" cy="9525"/>
        </a:xfrm>
        <a:prstGeom prst="straightConnector1">
          <a:avLst/>
        </a:prstGeom>
        <a:ln>
          <a:solidFill>
            <a:srgbClr val="0070C0"/>
          </a:solidFill>
          <a:prstDash val="sysDash"/>
          <a:headEnd type="none" w="med" len="med"/>
          <a:tailEnd type="oval"/>
        </a:ln>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74083</xdr:colOff>
      <xdr:row>8</xdr:row>
      <xdr:rowOff>94192</xdr:rowOff>
    </xdr:from>
    <xdr:to>
      <xdr:col>3</xdr:col>
      <xdr:colOff>506083</xdr:colOff>
      <xdr:row>8</xdr:row>
      <xdr:rowOff>103717</xdr:rowOff>
    </xdr:to>
    <xdr:cxnSp macro="">
      <xdr:nvCxnSpPr>
        <xdr:cNvPr id="22" name="Straight Arrow Connector 49" descr=" +[@}x&amp;!.{f]"/>
        <xdr:cNvCxnSpPr/>
      </xdr:nvCxnSpPr>
      <xdr:spPr bwMode="auto">
        <a:xfrm flipV="1">
          <a:off x="1674283" y="1494367"/>
          <a:ext cx="432000" cy="9525"/>
        </a:xfrm>
        <a:prstGeom prst="straightConnector1">
          <a:avLst/>
        </a:prstGeom>
        <a:ln>
          <a:solidFill>
            <a:srgbClr val="FF0000"/>
          </a:solidFill>
          <a:headEnd type="none" w="med" len="med"/>
          <a:tailEnd type="oval"/>
        </a:ln>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74083</xdr:colOff>
      <xdr:row>10</xdr:row>
      <xdr:rowOff>103717</xdr:rowOff>
    </xdr:from>
    <xdr:to>
      <xdr:col>3</xdr:col>
      <xdr:colOff>506083</xdr:colOff>
      <xdr:row>10</xdr:row>
      <xdr:rowOff>113242</xdr:rowOff>
    </xdr:to>
    <xdr:cxnSp macro="">
      <xdr:nvCxnSpPr>
        <xdr:cNvPr id="23" name="Straight Arrow Connector 50" descr=" +[@}x&amp;!.{g]"/>
        <xdr:cNvCxnSpPr/>
      </xdr:nvCxnSpPr>
      <xdr:spPr bwMode="auto">
        <a:xfrm flipV="1">
          <a:off x="1674283" y="1884892"/>
          <a:ext cx="432000" cy="9525"/>
        </a:xfrm>
        <a:prstGeom prst="straightConnector1">
          <a:avLst/>
        </a:prstGeom>
        <a:ln>
          <a:solidFill>
            <a:srgbClr val="00B050"/>
          </a:solidFill>
          <a:prstDash val="sysDot"/>
          <a:headEnd type="none" w="med" len="med"/>
          <a:tailEnd type="oval"/>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105884</xdr:colOff>
      <xdr:row>13</xdr:row>
      <xdr:rowOff>52917</xdr:rowOff>
    </xdr:from>
    <xdr:to>
      <xdr:col>8</xdr:col>
      <xdr:colOff>601437</xdr:colOff>
      <xdr:row>21</xdr:row>
      <xdr:rowOff>52917</xdr:rowOff>
    </xdr:to>
    <xdr:sp macro="" textlink="">
      <xdr:nvSpPr>
        <xdr:cNvPr id="25" name="Right Brace 52" descr=" +[@}x&amp;!.{i]"/>
        <xdr:cNvSpPr/>
      </xdr:nvSpPr>
      <xdr:spPr bwMode="auto">
        <a:xfrm>
          <a:off x="4754084" y="2405592"/>
          <a:ext cx="495553" cy="1524000"/>
        </a:xfrm>
        <a:prstGeom prst="rightBrace">
          <a:avLst>
            <a:gd name="adj1" fmla="val 25418"/>
            <a:gd name="adj2" fmla="val 50206"/>
          </a:avLst>
        </a:prstGeom>
        <a:noFill/>
        <a:ln w="9525" cap="flat" cmpd="sng" algn="ctr">
          <a:solidFill>
            <a:srgbClr val="878787"/>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pPr marL="0" marR="0" indent="0" algn="l" defTabSz="914400" rtl="0" eaLnBrk="1" fontAlgn="base" latinLnBrk="0" hangingPunct="1">
            <a:lnSpc>
              <a:spcPct val="100000"/>
            </a:lnSpc>
            <a:spcBef>
              <a:spcPct val="0"/>
            </a:spcBef>
            <a:spcAft>
              <a:spcPct val="0"/>
            </a:spcAft>
            <a:buClrTx/>
            <a:buSzTx/>
            <a:buFontTx/>
            <a:buNone/>
            <a:tabLst/>
          </a:pPr>
          <a:endParaRPr kumimoji="0" lang="en-US" sz="2200" b="0" i="0" u="none" strike="noStrike" cap="none" normalizeH="0" baseline="0">
            <a:ln>
              <a:noFill/>
            </a:ln>
            <a:solidFill>
              <a:schemeClr val="tx1"/>
            </a:solidFill>
            <a:effectLst/>
            <a:latin typeface="Arial" charset="0"/>
          </a:endParaRPr>
        </a:p>
      </xdr:txBody>
    </xdr:sp>
    <xdr:clientData/>
  </xdr:twoCellAnchor>
  <xdr:twoCellAnchor>
    <xdr:from>
      <xdr:col>6</xdr:col>
      <xdr:colOff>502305</xdr:colOff>
      <xdr:row>21</xdr:row>
      <xdr:rowOff>51514</xdr:rowOff>
    </xdr:from>
    <xdr:to>
      <xdr:col>8</xdr:col>
      <xdr:colOff>105884</xdr:colOff>
      <xdr:row>21</xdr:row>
      <xdr:rowOff>52917</xdr:rowOff>
    </xdr:to>
    <xdr:cxnSp macro="">
      <xdr:nvCxnSpPr>
        <xdr:cNvPr id="26" name="Straight Connector 53" descr=" +[@}x&amp;!.{j]"/>
        <xdr:cNvCxnSpPr>
          <a:endCxn id="25" idx="2"/>
        </xdr:cNvCxnSpPr>
      </xdr:nvCxnSpPr>
      <xdr:spPr bwMode="auto">
        <a:xfrm>
          <a:off x="3931305" y="3928189"/>
          <a:ext cx="822779" cy="1403"/>
        </a:xfrm>
        <a:prstGeom prst="line">
          <a:avLst/>
        </a:prstGeom>
        <a:solidFill>
          <a:schemeClr val="bg1"/>
        </a:solidFill>
        <a:ln w="9525" cap="flat" cmpd="sng" algn="ctr">
          <a:solidFill>
            <a:srgbClr val="878787"/>
          </a:solidFill>
          <a:prstDash val="solid"/>
          <a:round/>
          <a:headEnd type="none" w="med" len="med"/>
          <a:tailEnd type="none" w="med" len="med"/>
        </a:ln>
        <a:effectLst/>
      </xdr:spPr>
    </xdr:cxnSp>
    <xdr:clientData/>
  </xdr:twoCellAnchor>
  <xdr:twoCellAnchor>
    <xdr:from>
      <xdr:col>8</xdr:col>
      <xdr:colOff>539806</xdr:colOff>
      <xdr:row>16</xdr:row>
      <xdr:rowOff>95247</xdr:rowOff>
    </xdr:from>
    <xdr:to>
      <xdr:col>10</xdr:col>
      <xdr:colOff>65296</xdr:colOff>
      <xdr:row>18</xdr:row>
      <xdr:rowOff>42542</xdr:rowOff>
    </xdr:to>
    <xdr:sp macro="" textlink="">
      <xdr:nvSpPr>
        <xdr:cNvPr id="27" name="TextBox 68" descr=" +[@}x&amp;!.{k]"/>
        <xdr:cNvSpPr txBox="1"/>
      </xdr:nvSpPr>
      <xdr:spPr>
        <a:xfrm>
          <a:off x="5188006" y="3019422"/>
          <a:ext cx="744690"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CV</a:t>
          </a:r>
        </a:p>
      </xdr:txBody>
    </xdr:sp>
    <xdr:clientData/>
  </xdr:twoCellAnchor>
  <xdr:twoCellAnchor>
    <xdr:from>
      <xdr:col>7</xdr:col>
      <xdr:colOff>190525</xdr:colOff>
      <xdr:row>17</xdr:row>
      <xdr:rowOff>21167</xdr:rowOff>
    </xdr:from>
    <xdr:to>
      <xdr:col>7</xdr:col>
      <xdr:colOff>571501</xdr:colOff>
      <xdr:row>21</xdr:row>
      <xdr:rowOff>52917</xdr:rowOff>
    </xdr:to>
    <xdr:sp macro="" textlink="">
      <xdr:nvSpPr>
        <xdr:cNvPr id="28" name="Right Brace 55" descr=" +[@}x&amp;!.{l]"/>
        <xdr:cNvSpPr/>
      </xdr:nvSpPr>
      <xdr:spPr bwMode="auto">
        <a:xfrm>
          <a:off x="4229125" y="3135842"/>
          <a:ext cx="380976" cy="793750"/>
        </a:xfrm>
        <a:prstGeom prst="rightBrace">
          <a:avLst>
            <a:gd name="adj1" fmla="val 27779"/>
            <a:gd name="adj2" fmla="val 49446"/>
          </a:avLst>
        </a:prstGeom>
        <a:solidFill>
          <a:schemeClr val="bg1">
            <a:lumMod val="95000"/>
          </a:schemeClr>
        </a:solidFill>
        <a:ln w="9525" cap="flat" cmpd="sng" algn="ctr">
          <a:solidFill>
            <a:srgbClr val="878787"/>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pPr marL="0" marR="0" indent="0" algn="l" defTabSz="914400" rtl="0" eaLnBrk="1" fontAlgn="base" latinLnBrk="0" hangingPunct="1">
            <a:lnSpc>
              <a:spcPct val="100000"/>
            </a:lnSpc>
            <a:spcBef>
              <a:spcPct val="0"/>
            </a:spcBef>
            <a:spcAft>
              <a:spcPct val="0"/>
            </a:spcAft>
            <a:buClrTx/>
            <a:buSzTx/>
            <a:buFontTx/>
            <a:buNone/>
            <a:tabLst/>
          </a:pPr>
          <a:endParaRPr kumimoji="0" lang="en-US" sz="2200" b="0" i="0" u="none" strike="noStrike" cap="none" normalizeH="0" baseline="0">
            <a:ln>
              <a:noFill/>
            </a:ln>
            <a:solidFill>
              <a:schemeClr val="tx1"/>
            </a:solidFill>
            <a:effectLst/>
            <a:latin typeface="Arial" charset="0"/>
          </a:endParaRPr>
        </a:p>
      </xdr:txBody>
    </xdr:sp>
    <xdr:clientData/>
  </xdr:twoCellAnchor>
  <xdr:twoCellAnchor>
    <xdr:from>
      <xdr:col>6</xdr:col>
      <xdr:colOff>470557</xdr:colOff>
      <xdr:row>17</xdr:row>
      <xdr:rowOff>30347</xdr:rowOff>
    </xdr:from>
    <xdr:to>
      <xdr:col>7</xdr:col>
      <xdr:colOff>252724</xdr:colOff>
      <xdr:row>17</xdr:row>
      <xdr:rowOff>31750</xdr:rowOff>
    </xdr:to>
    <xdr:cxnSp macro="">
      <xdr:nvCxnSpPr>
        <xdr:cNvPr id="29" name="Straight Connector 56" descr=" +[@}x&amp;!.{m]"/>
        <xdr:cNvCxnSpPr/>
      </xdr:nvCxnSpPr>
      <xdr:spPr bwMode="auto">
        <a:xfrm>
          <a:off x="3899557" y="3145022"/>
          <a:ext cx="391767" cy="1403"/>
        </a:xfrm>
        <a:prstGeom prst="line">
          <a:avLst/>
        </a:prstGeom>
        <a:solidFill>
          <a:schemeClr val="bg1"/>
        </a:solidFill>
        <a:ln w="9525" cap="flat" cmpd="sng" algn="ctr">
          <a:solidFill>
            <a:srgbClr val="878787"/>
          </a:solidFill>
          <a:prstDash val="solid"/>
          <a:round/>
          <a:headEnd type="none" w="med" len="med"/>
          <a:tailEnd type="none" w="med" len="med"/>
        </a:ln>
        <a:effectLst/>
      </xdr:spPr>
    </xdr:cxnSp>
    <xdr:clientData/>
  </xdr:twoCellAnchor>
  <xdr:twoCellAnchor>
    <xdr:from>
      <xdr:col>7</xdr:col>
      <xdr:colOff>508029</xdr:colOff>
      <xdr:row>18</xdr:row>
      <xdr:rowOff>63495</xdr:rowOff>
    </xdr:from>
    <xdr:to>
      <xdr:col>9</xdr:col>
      <xdr:colOff>33518</xdr:colOff>
      <xdr:row>20</xdr:row>
      <xdr:rowOff>10790</xdr:rowOff>
    </xdr:to>
    <xdr:sp macro="" textlink="">
      <xdr:nvSpPr>
        <xdr:cNvPr id="30" name="TextBox 68" descr=" +[@}x&amp;!.{n]"/>
        <xdr:cNvSpPr txBox="1"/>
      </xdr:nvSpPr>
      <xdr:spPr>
        <a:xfrm>
          <a:off x="4546629" y="3368670"/>
          <a:ext cx="744689"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SV</a:t>
          </a:r>
        </a:p>
      </xdr:txBody>
    </xdr:sp>
    <xdr:clientData/>
  </xdr:twoCellAnchor>
  <xdr:twoCellAnchor>
    <xdr:from>
      <xdr:col>9</xdr:col>
      <xdr:colOff>148167</xdr:colOff>
      <xdr:row>11</xdr:row>
      <xdr:rowOff>148167</xdr:rowOff>
    </xdr:from>
    <xdr:to>
      <xdr:col>9</xdr:col>
      <xdr:colOff>158751</xdr:colOff>
      <xdr:row>28</xdr:row>
      <xdr:rowOff>132951</xdr:rowOff>
    </xdr:to>
    <xdr:cxnSp macro="">
      <xdr:nvCxnSpPr>
        <xdr:cNvPr id="31" name="Straight Connector 40" descr=" +[@}x&amp;!.{o]"/>
        <xdr:cNvCxnSpPr/>
      </xdr:nvCxnSpPr>
      <xdr:spPr bwMode="auto">
        <a:xfrm>
          <a:off x="5405967" y="2119842"/>
          <a:ext cx="10584" cy="3223284"/>
        </a:xfrm>
        <a:prstGeom prst="line">
          <a:avLst/>
        </a:prstGeom>
        <a:solidFill>
          <a:schemeClr val="bg1"/>
        </a:solidFill>
        <a:ln w="9525" cap="flat" cmpd="sng" algn="ctr">
          <a:solidFill>
            <a:srgbClr val="878787"/>
          </a:solidFill>
          <a:prstDash val="lgDash"/>
          <a:round/>
          <a:headEnd type="none" w="med" len="med"/>
          <a:tailEnd type="none" w="med" len="med"/>
        </a:ln>
        <a:effectLst/>
      </xdr:spPr>
    </xdr:cxnSp>
    <xdr:clientData/>
  </xdr:twoCellAnchor>
  <xdr:twoCellAnchor>
    <xdr:from>
      <xdr:col>10</xdr:col>
      <xdr:colOff>66232</xdr:colOff>
      <xdr:row>5</xdr:row>
      <xdr:rowOff>9631</xdr:rowOff>
    </xdr:from>
    <xdr:to>
      <xdr:col>10</xdr:col>
      <xdr:colOff>67730</xdr:colOff>
      <xdr:row>28</xdr:row>
      <xdr:rowOff>137184</xdr:rowOff>
    </xdr:to>
    <xdr:cxnSp macro="">
      <xdr:nvCxnSpPr>
        <xdr:cNvPr id="32" name="Straight Connector 41" descr=" +[@}x&amp;!.{p]"/>
        <xdr:cNvCxnSpPr>
          <a:stCxn id="15" idx="3"/>
        </xdr:cNvCxnSpPr>
      </xdr:nvCxnSpPr>
      <xdr:spPr bwMode="auto">
        <a:xfrm>
          <a:off x="5933632" y="838306"/>
          <a:ext cx="1498" cy="4509053"/>
        </a:xfrm>
        <a:prstGeom prst="line">
          <a:avLst/>
        </a:prstGeom>
        <a:solidFill>
          <a:schemeClr val="bg1"/>
        </a:solidFill>
        <a:ln w="9525" cap="flat" cmpd="sng" algn="ctr">
          <a:solidFill>
            <a:srgbClr val="878787"/>
          </a:solidFill>
          <a:prstDash val="lgDash"/>
          <a:round/>
          <a:headEnd type="none" w="med" len="med"/>
          <a:tailEnd type="none" w="med" len="med"/>
        </a:ln>
        <a:effectLst/>
      </xdr:spPr>
    </xdr:cxnSp>
    <xdr:clientData/>
  </xdr:twoCellAnchor>
  <xdr:twoCellAnchor>
    <xdr:from>
      <xdr:col>8</xdr:col>
      <xdr:colOff>402166</xdr:colOff>
      <xdr:row>28</xdr:row>
      <xdr:rowOff>158751</xdr:rowOff>
    </xdr:from>
    <xdr:to>
      <xdr:col>13</xdr:col>
      <xdr:colOff>306917</xdr:colOff>
      <xdr:row>30</xdr:row>
      <xdr:rowOff>106046</xdr:rowOff>
    </xdr:to>
    <xdr:sp macro="" textlink="">
      <xdr:nvSpPr>
        <xdr:cNvPr id="33" name="TextBox 33" descr=" +[@}x&amp;!.{q]"/>
        <xdr:cNvSpPr txBox="1"/>
      </xdr:nvSpPr>
      <xdr:spPr>
        <a:xfrm>
          <a:off x="5050366" y="5368926"/>
          <a:ext cx="2952751"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t-Plan  t-Forecast  </a:t>
          </a:r>
        </a:p>
      </xdr:txBody>
    </xdr:sp>
    <xdr:clientData/>
  </xdr:twoCellAnchor>
  <xdr:twoCellAnchor>
    <xdr:from>
      <xdr:col>9</xdr:col>
      <xdr:colOff>164031</xdr:colOff>
      <xdr:row>27</xdr:row>
      <xdr:rowOff>52916</xdr:rowOff>
    </xdr:from>
    <xdr:to>
      <xdr:col>10</xdr:col>
      <xdr:colOff>52920</xdr:colOff>
      <xdr:row>28</xdr:row>
      <xdr:rowOff>126999</xdr:rowOff>
    </xdr:to>
    <xdr:sp macro="" textlink="">
      <xdr:nvSpPr>
        <xdr:cNvPr id="34" name="Right Brace 58" descr=" +[@}x&amp;!.{r]"/>
        <xdr:cNvSpPr/>
      </xdr:nvSpPr>
      <xdr:spPr bwMode="auto">
        <a:xfrm rot="16200000">
          <a:off x="5538784" y="4955638"/>
          <a:ext cx="264583" cy="498489"/>
        </a:xfrm>
        <a:prstGeom prst="rightBrace">
          <a:avLst>
            <a:gd name="adj1" fmla="val 27779"/>
            <a:gd name="adj2" fmla="val 48113"/>
          </a:avLst>
        </a:prstGeom>
        <a:solidFill>
          <a:schemeClr val="bg1">
            <a:lumMod val="95000"/>
          </a:schemeClr>
        </a:solidFill>
        <a:ln w="9525" cap="flat" cmpd="sng" algn="ctr">
          <a:solidFill>
            <a:schemeClr val="tx1"/>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pPr marL="0" marR="0" indent="0" algn="l" defTabSz="914400" rtl="0" eaLnBrk="1" fontAlgn="base" latinLnBrk="0" hangingPunct="1">
            <a:lnSpc>
              <a:spcPct val="100000"/>
            </a:lnSpc>
            <a:spcBef>
              <a:spcPct val="0"/>
            </a:spcBef>
            <a:spcAft>
              <a:spcPct val="0"/>
            </a:spcAft>
            <a:buClrTx/>
            <a:buSzTx/>
            <a:buFontTx/>
            <a:buNone/>
            <a:tabLst/>
          </a:pPr>
          <a:endParaRPr kumimoji="0" lang="en-US" sz="2200" b="0" i="0" u="none" strike="noStrike" cap="none" normalizeH="0" baseline="0">
            <a:ln>
              <a:noFill/>
            </a:ln>
            <a:solidFill>
              <a:schemeClr val="tx1"/>
            </a:solidFill>
            <a:effectLst/>
            <a:latin typeface="Arial" charset="0"/>
          </a:endParaRPr>
        </a:p>
      </xdr:txBody>
    </xdr:sp>
    <xdr:clientData/>
  </xdr:twoCellAnchor>
  <xdr:twoCellAnchor>
    <xdr:from>
      <xdr:col>9</xdr:col>
      <xdr:colOff>105832</xdr:colOff>
      <xdr:row>25</xdr:row>
      <xdr:rowOff>169332</xdr:rowOff>
    </xdr:from>
    <xdr:to>
      <xdr:col>10</xdr:col>
      <xdr:colOff>245155</xdr:colOff>
      <xdr:row>27</xdr:row>
      <xdr:rowOff>116627</xdr:rowOff>
    </xdr:to>
    <xdr:sp macro="" textlink="">
      <xdr:nvSpPr>
        <xdr:cNvPr id="35" name="TextBox 68" descr=" +[@}x&amp;!.{s]"/>
        <xdr:cNvSpPr txBox="1"/>
      </xdr:nvSpPr>
      <xdr:spPr>
        <a:xfrm>
          <a:off x="5363632" y="4808007"/>
          <a:ext cx="748923"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DAC</a:t>
          </a:r>
        </a:p>
      </xdr:txBody>
    </xdr:sp>
    <xdr:clientData/>
  </xdr:twoCellAnchor>
  <xdr:twoCellAnchor>
    <xdr:from>
      <xdr:col>10</xdr:col>
      <xdr:colOff>76868</xdr:colOff>
      <xdr:row>5</xdr:row>
      <xdr:rowOff>23995</xdr:rowOff>
    </xdr:from>
    <xdr:to>
      <xdr:col>11</xdr:col>
      <xdr:colOff>219034</xdr:colOff>
      <xdr:row>5</xdr:row>
      <xdr:rowOff>23997</xdr:rowOff>
    </xdr:to>
    <xdr:cxnSp macro="">
      <xdr:nvCxnSpPr>
        <xdr:cNvPr id="36" name="Straight Connector 60" descr=" +[@}x&amp;!.{t]"/>
        <xdr:cNvCxnSpPr/>
      </xdr:nvCxnSpPr>
      <xdr:spPr bwMode="auto">
        <a:xfrm flipV="1">
          <a:off x="5944268" y="852670"/>
          <a:ext cx="751766" cy="2"/>
        </a:xfrm>
        <a:prstGeom prst="line">
          <a:avLst/>
        </a:prstGeom>
        <a:solidFill>
          <a:schemeClr val="bg1"/>
        </a:solidFill>
        <a:ln w="9525" cap="flat" cmpd="sng" algn="ctr">
          <a:solidFill>
            <a:srgbClr val="878787"/>
          </a:solidFill>
          <a:prstDash val="solid"/>
          <a:round/>
          <a:headEnd type="none" w="med" len="med"/>
          <a:tailEnd type="none" w="med" len="med"/>
        </a:ln>
        <a:effectLst/>
      </xdr:spPr>
    </xdr:cxnSp>
    <xdr:clientData/>
  </xdr:twoCellAnchor>
  <xdr:twoCellAnchor>
    <xdr:from>
      <xdr:col>11</xdr:col>
      <xdr:colOff>205385</xdr:colOff>
      <xdr:row>5</xdr:row>
      <xdr:rowOff>25401</xdr:rowOff>
    </xdr:from>
    <xdr:to>
      <xdr:col>12</xdr:col>
      <xdr:colOff>87105</xdr:colOff>
      <xdr:row>11</xdr:row>
      <xdr:rowOff>105833</xdr:rowOff>
    </xdr:to>
    <xdr:sp macro="" textlink="">
      <xdr:nvSpPr>
        <xdr:cNvPr id="37" name="Right Brace 61" descr=" +[@}x&amp;!.{u]"/>
        <xdr:cNvSpPr/>
      </xdr:nvSpPr>
      <xdr:spPr bwMode="auto">
        <a:xfrm>
          <a:off x="6682385" y="854076"/>
          <a:ext cx="491320" cy="1223432"/>
        </a:xfrm>
        <a:prstGeom prst="rightBrace">
          <a:avLst>
            <a:gd name="adj1" fmla="val 25418"/>
            <a:gd name="adj2" fmla="val 47198"/>
          </a:avLst>
        </a:prstGeom>
        <a:noFill/>
        <a:ln w="9525" cap="flat" cmpd="sng" algn="ctr">
          <a:solidFill>
            <a:srgbClr val="878787"/>
          </a:solid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pPr marL="0" marR="0" indent="0" algn="l" defTabSz="914400" rtl="0" eaLnBrk="1" fontAlgn="base" latinLnBrk="0" hangingPunct="1">
            <a:lnSpc>
              <a:spcPct val="100000"/>
            </a:lnSpc>
            <a:spcBef>
              <a:spcPct val="0"/>
            </a:spcBef>
            <a:spcAft>
              <a:spcPct val="0"/>
            </a:spcAft>
            <a:buClrTx/>
            <a:buSzTx/>
            <a:buFontTx/>
            <a:buNone/>
            <a:tabLst/>
          </a:pPr>
          <a:endParaRPr kumimoji="0" lang="en-US" sz="2200" b="0" i="0" u="none" strike="noStrike" cap="none" normalizeH="0" baseline="0">
            <a:ln>
              <a:noFill/>
            </a:ln>
            <a:solidFill>
              <a:schemeClr val="tx1"/>
            </a:solidFill>
            <a:effectLst/>
            <a:latin typeface="Arial" charset="0"/>
          </a:endParaRPr>
        </a:p>
      </xdr:txBody>
    </xdr:sp>
    <xdr:clientData/>
  </xdr:twoCellAnchor>
  <xdr:twoCellAnchor>
    <xdr:from>
      <xdr:col>9</xdr:col>
      <xdr:colOff>179969</xdr:colOff>
      <xdr:row>11</xdr:row>
      <xdr:rowOff>116425</xdr:rowOff>
    </xdr:from>
    <xdr:to>
      <xdr:col>11</xdr:col>
      <xdr:colOff>212302</xdr:colOff>
      <xdr:row>11</xdr:row>
      <xdr:rowOff>116425</xdr:rowOff>
    </xdr:to>
    <xdr:cxnSp macro="">
      <xdr:nvCxnSpPr>
        <xdr:cNvPr id="38" name="Straight Connector 63" descr=" +[@}x&amp;!.{v]"/>
        <xdr:cNvCxnSpPr/>
      </xdr:nvCxnSpPr>
      <xdr:spPr bwMode="auto">
        <a:xfrm flipV="1">
          <a:off x="5437769" y="2088100"/>
          <a:ext cx="1251533" cy="0"/>
        </a:xfrm>
        <a:prstGeom prst="line">
          <a:avLst/>
        </a:prstGeom>
        <a:solidFill>
          <a:schemeClr val="bg1"/>
        </a:solidFill>
        <a:ln w="9525" cap="flat" cmpd="sng" algn="ctr">
          <a:solidFill>
            <a:srgbClr val="878787"/>
          </a:solidFill>
          <a:prstDash val="solid"/>
          <a:round/>
          <a:headEnd type="none" w="med" len="med"/>
          <a:tailEnd type="none" w="med" len="med"/>
        </a:ln>
        <a:effectLst/>
      </xdr:spPr>
    </xdr:cxnSp>
    <xdr:clientData/>
  </xdr:twoCellAnchor>
  <xdr:twoCellAnchor>
    <xdr:from>
      <xdr:col>12</xdr:col>
      <xdr:colOff>0</xdr:colOff>
      <xdr:row>7</xdr:row>
      <xdr:rowOff>42327</xdr:rowOff>
    </xdr:from>
    <xdr:to>
      <xdr:col>13</xdr:col>
      <xdr:colOff>139323</xdr:colOff>
      <xdr:row>8</xdr:row>
      <xdr:rowOff>180122</xdr:rowOff>
    </xdr:to>
    <xdr:sp macro="" textlink="">
      <xdr:nvSpPr>
        <xdr:cNvPr id="39" name="TextBox 68" descr=" +[@}x&amp;!.{w]"/>
        <xdr:cNvSpPr txBox="1"/>
      </xdr:nvSpPr>
      <xdr:spPr>
        <a:xfrm>
          <a:off x="7086600" y="1252002"/>
          <a:ext cx="748923" cy="328295"/>
        </a:xfrm>
        <a:prstGeom prst="rect">
          <a:avLst/>
        </a:prstGeom>
        <a:noFill/>
      </xdr:spPr>
      <xdr:txBody>
        <a:bodyPr wrap="square" rtlCol="0">
          <a:spAutoFit/>
        </a:bodyPr>
        <a:lstStyle>
          <a:defPPr>
            <a:defRPr lang="de-DE"/>
          </a:defPPr>
          <a:lvl1pPr algn="l" rtl="0" fontAlgn="base">
            <a:spcBef>
              <a:spcPct val="0"/>
            </a:spcBef>
            <a:spcAft>
              <a:spcPct val="0"/>
            </a:spcAft>
            <a:defRPr sz="2200" kern="1200">
              <a:solidFill>
                <a:schemeClr val="tx1"/>
              </a:solidFill>
              <a:latin typeface="Arial" charset="0"/>
              <a:ea typeface="+mn-ea"/>
              <a:cs typeface="+mn-cs"/>
            </a:defRPr>
          </a:lvl1pPr>
          <a:lvl2pPr marL="457200" algn="l" rtl="0" fontAlgn="base">
            <a:spcBef>
              <a:spcPct val="0"/>
            </a:spcBef>
            <a:spcAft>
              <a:spcPct val="0"/>
            </a:spcAft>
            <a:defRPr sz="2200" kern="1200">
              <a:solidFill>
                <a:schemeClr val="tx1"/>
              </a:solidFill>
              <a:latin typeface="Arial" charset="0"/>
              <a:ea typeface="+mn-ea"/>
              <a:cs typeface="+mn-cs"/>
            </a:defRPr>
          </a:lvl2pPr>
          <a:lvl3pPr marL="914400" algn="l" rtl="0" fontAlgn="base">
            <a:spcBef>
              <a:spcPct val="0"/>
            </a:spcBef>
            <a:spcAft>
              <a:spcPct val="0"/>
            </a:spcAft>
            <a:defRPr sz="2200" kern="1200">
              <a:solidFill>
                <a:schemeClr val="tx1"/>
              </a:solidFill>
              <a:latin typeface="Arial" charset="0"/>
              <a:ea typeface="+mn-ea"/>
              <a:cs typeface="+mn-cs"/>
            </a:defRPr>
          </a:lvl3pPr>
          <a:lvl4pPr marL="1371600" algn="l" rtl="0" fontAlgn="base">
            <a:spcBef>
              <a:spcPct val="0"/>
            </a:spcBef>
            <a:spcAft>
              <a:spcPct val="0"/>
            </a:spcAft>
            <a:defRPr sz="2200" kern="1200">
              <a:solidFill>
                <a:schemeClr val="tx1"/>
              </a:solidFill>
              <a:latin typeface="Arial" charset="0"/>
              <a:ea typeface="+mn-ea"/>
              <a:cs typeface="+mn-cs"/>
            </a:defRPr>
          </a:lvl4pPr>
          <a:lvl5pPr marL="1828800" algn="l" rtl="0" fontAlgn="base">
            <a:spcBef>
              <a:spcPct val="0"/>
            </a:spcBef>
            <a:spcAft>
              <a:spcPct val="0"/>
            </a:spcAft>
            <a:defRPr sz="2200" kern="1200">
              <a:solidFill>
                <a:schemeClr val="tx1"/>
              </a:solidFill>
              <a:latin typeface="Arial" charset="0"/>
              <a:ea typeface="+mn-ea"/>
              <a:cs typeface="+mn-cs"/>
            </a:defRPr>
          </a:lvl5pPr>
          <a:lvl6pPr marL="2286000" algn="l" defTabSz="914400" rtl="0" eaLnBrk="1" latinLnBrk="0" hangingPunct="1">
            <a:defRPr sz="2200" kern="1200">
              <a:solidFill>
                <a:schemeClr val="tx1"/>
              </a:solidFill>
              <a:latin typeface="Arial" charset="0"/>
              <a:ea typeface="+mn-ea"/>
              <a:cs typeface="+mn-cs"/>
            </a:defRPr>
          </a:lvl6pPr>
          <a:lvl7pPr marL="2743200" algn="l" defTabSz="914400" rtl="0" eaLnBrk="1" latinLnBrk="0" hangingPunct="1">
            <a:defRPr sz="2200" kern="1200">
              <a:solidFill>
                <a:schemeClr val="tx1"/>
              </a:solidFill>
              <a:latin typeface="Arial" charset="0"/>
              <a:ea typeface="+mn-ea"/>
              <a:cs typeface="+mn-cs"/>
            </a:defRPr>
          </a:lvl7pPr>
          <a:lvl8pPr marL="3200400" algn="l" defTabSz="914400" rtl="0" eaLnBrk="1" latinLnBrk="0" hangingPunct="1">
            <a:defRPr sz="2200" kern="1200">
              <a:solidFill>
                <a:schemeClr val="tx1"/>
              </a:solidFill>
              <a:latin typeface="Arial" charset="0"/>
              <a:ea typeface="+mn-ea"/>
              <a:cs typeface="+mn-cs"/>
            </a:defRPr>
          </a:lvl8pPr>
          <a:lvl9pPr marL="3657600" algn="l" defTabSz="914400" rtl="0" eaLnBrk="1" latinLnBrk="0" hangingPunct="1">
            <a:defRPr sz="2200" kern="1200">
              <a:solidFill>
                <a:schemeClr val="tx1"/>
              </a:solidFill>
              <a:latin typeface="Arial" charset="0"/>
              <a:ea typeface="+mn-ea"/>
              <a:cs typeface="+mn-cs"/>
            </a:defRPr>
          </a:lvl9pPr>
        </a:lstStyle>
        <a:p>
          <a:r>
            <a:rPr lang="en-US" sz="1600"/>
            <a:t>VAC</a:t>
          </a:r>
        </a:p>
      </xdr:txBody>
    </xdr:sp>
    <xdr:clientData/>
  </xdr:twoCellAnchor>
  <xdr:twoCellAnchor editAs="oneCell">
    <xdr:from>
      <xdr:col>6</xdr:col>
      <xdr:colOff>59536</xdr:colOff>
      <xdr:row>0</xdr:row>
      <xdr:rowOff>252416</xdr:rowOff>
    </xdr:from>
    <xdr:to>
      <xdr:col>6</xdr:col>
      <xdr:colOff>466336</xdr:colOff>
      <xdr:row>2</xdr:row>
      <xdr:rowOff>233103</xdr:rowOff>
    </xdr:to>
    <xdr:sp macro="" textlink="">
      <xdr:nvSpPr>
        <xdr:cNvPr id="40" name="Left Arrow 39" descr=" +[@$$]m!&amp;s6]">
          <a:hlinkClick xmlns:r="http://schemas.openxmlformats.org/officeDocument/2006/relationships" r:id="rId1" tooltip="Project Overview"/>
        </xdr:cNvPr>
        <xdr:cNvSpPr/>
      </xdr:nvSpPr>
      <xdr:spPr>
        <a:xfrm>
          <a:off x="3476630" y="252416"/>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14</xdr:col>
      <xdr:colOff>511969</xdr:colOff>
      <xdr:row>0</xdr:row>
      <xdr:rowOff>226214</xdr:rowOff>
    </xdr:from>
    <xdr:to>
      <xdr:col>16</xdr:col>
      <xdr:colOff>30463</xdr:colOff>
      <xdr:row>2</xdr:row>
      <xdr:rowOff>290184</xdr:rowOff>
    </xdr:to>
    <xdr:pic>
      <xdr:nvPicPr>
        <xdr:cNvPr id="44" name="Grafik 23" descr=" +[@}x&amp;!']"/>
        <xdr:cNvPicPr>
          <a:picLocks noChangeAspect="1"/>
        </xdr:cNvPicPr>
      </xdr:nvPicPr>
      <xdr:blipFill>
        <a:blip xmlns:r="http://schemas.openxmlformats.org/officeDocument/2006/relationships" r:embed="rId2"/>
        <a:stretch>
          <a:fillRect/>
        </a:stretch>
      </xdr:blipFill>
      <xdr:spPr>
        <a:xfrm>
          <a:off x="8786813" y="226214"/>
          <a:ext cx="732931" cy="65928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17</xdr:col>
      <xdr:colOff>285750</xdr:colOff>
      <xdr:row>1</xdr:row>
      <xdr:rowOff>9524</xdr:rowOff>
    </xdr:from>
    <xdr:to>
      <xdr:col>17</xdr:col>
      <xdr:colOff>692550</xdr:colOff>
      <xdr:row>2</xdr:row>
      <xdr:rowOff>252149</xdr:rowOff>
    </xdr:to>
    <xdr:sp macro="" textlink="">
      <xdr:nvSpPr>
        <xdr:cNvPr id="6" name="Left Arrow 5" descr=" +[@$$]m!&amp;s6]">
          <a:hlinkClick xmlns:r="http://schemas.openxmlformats.org/officeDocument/2006/relationships" r:id="rId1" tooltip="Project Overview"/>
        </xdr:cNvPr>
        <xdr:cNvSpPr/>
      </xdr:nvSpPr>
      <xdr:spPr>
        <a:xfrm>
          <a:off x="3933825" y="266699"/>
          <a:ext cx="406800" cy="576000"/>
        </a:xfrm>
        <a:prstGeom prst="leftArrow">
          <a:avLst/>
        </a:prstGeom>
        <a:solidFill>
          <a:srgbClr val="878787"/>
        </a:solidFill>
        <a:ln w="19050">
          <a:solidFill>
            <a:srgbClr val="CC0000"/>
          </a:solid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CH" sz="1100"/>
        </a:p>
      </xdr:txBody>
    </xdr:sp>
    <xdr:clientData/>
  </xdr:twoCellAnchor>
  <xdr:twoCellAnchor>
    <xdr:from>
      <xdr:col>24</xdr:col>
      <xdr:colOff>554840</xdr:colOff>
      <xdr:row>0</xdr:row>
      <xdr:rowOff>121445</xdr:rowOff>
    </xdr:from>
    <xdr:to>
      <xdr:col>29</xdr:col>
      <xdr:colOff>545786</xdr:colOff>
      <xdr:row>2</xdr:row>
      <xdr:rowOff>177997</xdr:rowOff>
    </xdr:to>
    <xdr:grpSp>
      <xdr:nvGrpSpPr>
        <xdr:cNvPr id="7" name="Group 6" descr=" +[@$$]m!&amp;s7]"/>
        <xdr:cNvGrpSpPr/>
      </xdr:nvGrpSpPr>
      <xdr:grpSpPr>
        <a:xfrm>
          <a:off x="18433265" y="121445"/>
          <a:ext cx="3038946" cy="647102"/>
          <a:chOff x="9173577" y="159418"/>
          <a:chExt cx="3038946" cy="770927"/>
        </a:xfrm>
      </xdr:grpSpPr>
      <xdr:pic>
        <xdr:nvPicPr>
          <xdr:cNvPr id="8" name="Grafik 22" descr=" +[@}x&amp;!&amp;]"/>
          <xdr:cNvPicPr>
            <a:picLocks noChangeAspect="1"/>
          </xdr:cNvPicPr>
        </xdr:nvPicPr>
        <xdr:blipFill>
          <a:blip xmlns:r="http://schemas.openxmlformats.org/officeDocument/2006/relationships" r:embed="rId2"/>
          <a:stretch>
            <a:fillRect/>
          </a:stretch>
        </xdr:blipFill>
        <xdr:spPr>
          <a:xfrm>
            <a:off x="9173577" y="159418"/>
            <a:ext cx="2163600" cy="770483"/>
          </a:xfrm>
          <a:prstGeom prst="rect">
            <a:avLst/>
          </a:prstGeom>
        </xdr:spPr>
      </xdr:pic>
      <xdr:pic>
        <xdr:nvPicPr>
          <xdr:cNvPr id="9" name="Grafik 23" descr=" +[@}x&amp;!']"/>
          <xdr:cNvPicPr>
            <a:picLocks noChangeAspect="1"/>
          </xdr:cNvPicPr>
        </xdr:nvPicPr>
        <xdr:blipFill>
          <a:blip xmlns:r="http://schemas.openxmlformats.org/officeDocument/2006/relationships" r:embed="rId3"/>
          <a:stretch>
            <a:fillRect/>
          </a:stretch>
        </xdr:blipFill>
        <xdr:spPr>
          <a:xfrm>
            <a:off x="11419974" y="180472"/>
            <a:ext cx="792549" cy="749873"/>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02%20Trivadis\03%20Internals\1%20PMO\1%20Continuous%20Improvement\PSR\PSR+\PSR-v1.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Project Summary"/>
      <sheetName val="Project Charts"/>
      <sheetName val="Details"/>
      <sheetName val="Printable Overview"/>
      <sheetName val="Printable Customer Report"/>
      <sheetName val="OP-Summary"/>
      <sheetName val="Master Data"/>
      <sheetName val="Lead Qualification"/>
      <sheetName val="Effort Estimation"/>
      <sheetName val="Effort Statistics"/>
      <sheetName val="Price Calculation"/>
      <sheetName val="Offer Qualification"/>
      <sheetName val="OpeningTemplate"/>
      <sheetName val="Delivery Calculation"/>
      <sheetName val="Actual Value"/>
      <sheetName val="Milestones"/>
      <sheetName val="Risklog"/>
      <sheetName val="Descriptions"/>
      <sheetName val="Performance Risikobewertung"/>
      <sheetName val="Technical Master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Christoph Kappler" refreshedDate="41410.502150578701" backgroundQuery="1" createdVersion="4" refreshedVersion="4" minRefreshableVersion="3" recordCount="0" supportSubquery="1" supportAdvancedDrill="1">
  <cacheSource type="external" connectionId="1"/>
  <cacheFields count="10">
    <cacheField name="[Order].[Order].[Order]" caption="Order" numFmtId="0" hierarchy="76" level="1">
      <sharedItems containsSemiMixedTypes="0" containsString="0"/>
    </cacheField>
    <cacheField name="[Measures].[Hours]" caption="Hours" numFmtId="0" hierarchy="235" level="32767"/>
    <cacheField name="[Employee].[Employee Number].[Employee Number]" caption="Employee Number" numFmtId="0" hierarchy="34" level="1">
      <sharedItems count="1">
        <s v="[Employee].[Employee Number].&amp;[11517]" c="11517"/>
      </sharedItems>
    </cacheField>
    <cacheField name="[Measures].[EUR]" caption="EUR" numFmtId="0" hierarchy="234" level="32767"/>
    <cacheField name="[Measures].[CHF]" caption="CHF" numFmtId="0" hierarchy="233" level="32767"/>
    <cacheField name="[Order].[Position Number].[Position Number]" caption="Position Number" numFmtId="0" hierarchy="101" level="1">
      <sharedItems count="3">
        <s v="[Order].[Position Number].&amp;[0]" c="0"/>
        <s v="[Order].[Position Number].&amp;[10]" c="10"/>
        <s v="[Order].[Position Number].&amp;[20]" c="20"/>
      </sharedItems>
    </cacheField>
    <cacheField name="[Service].[Charging].[Charging]" caption="Charging" numFmtId="0" hierarchy="124" level="1">
      <sharedItems containsSemiMixedTypes="0" containsString="0"/>
    </cacheField>
    <cacheField name="[Period].[Week].[Week]" caption="Week" numFmtId="0" hierarchy="119" level="1">
      <sharedItems count="6">
        <s v="[Period].[Week].&amp;[201313]" c="201313"/>
        <s v="[Period].[Week].&amp;[201314]" c="201314"/>
        <s v="[Period].[Week].&amp;[201315]" c="201315"/>
        <s v="[Period].[Week].&amp;[201316]" c="201316"/>
        <s v="[Period].[Week].&amp;[201318]" c="201318"/>
        <s v="[Period].[Week].&amp;[201320]" c="201320"/>
      </sharedItems>
    </cacheField>
    <cacheField name="[Account].[Account Main Group].[Account Main Group]" caption="Account Main Group" numFmtId="0" hierarchy="3" level="1">
      <sharedItems containsSemiMixedTypes="0" containsString="0"/>
    </cacheField>
    <cacheField name="[Account].[Account Main Group].[Account Main Group].[CM1]" caption="CM1" propertyName="CM1" numFmtId="0" hierarchy="3" level="1" memberPropertyField="1">
      <sharedItems containsSemiMixedTypes="0" containsString="0"/>
    </cacheField>
  </cacheFields>
  <cacheHierarchies count="285">
    <cacheHierarchy uniqueName="[Account].[Account]" caption="Account" attribute="1" defaultMemberUniqueName="[Account].[Account].[All]" allUniqueName="[Account].[Account].[All]" dimensionUniqueName="[Account]" displayFolder="Account" count="0" unbalanced="0"/>
    <cacheHierarchy uniqueName="[Account].[Account Group]" caption="Account Group" attribute="1" defaultMemberUniqueName="[Account].[Account Group].[All]" allUniqueName="[Account].[Account Group].[All]" dimensionUniqueName="[Account]" displayFolder="Account Structure" count="0" unbalanced="0"/>
    <cacheHierarchy uniqueName="[Account].[Account Group New]" caption="Account Group New" attribute="1" defaultMemberUniqueName="[Account].[Account Group New].[All]" allUniqueName="[Account].[Account Group New].[All]" dimensionUniqueName="[Account]" displayFolder="Account Structure" count="0" unbalanced="0"/>
    <cacheHierarchy uniqueName="[Account].[Account Main Group]" caption="Account Main Group" attribute="1" defaultMemberUniqueName="[Account].[Account Main Group].[All]" allUniqueName="[Account].[Account Main Group].[All]" dimensionUniqueName="[Account]" displayFolder="Account Structure" count="2" unbalanced="0">
      <fieldsUsage count="2">
        <fieldUsage x="-1"/>
        <fieldUsage x="8"/>
      </fieldsUsage>
    </cacheHierarchy>
    <cacheHierarchy uniqueName="[Account].[Account Type]" caption="Account Type" attribute="1" defaultMemberUniqueName="[Account].[Account Type].[All]" allUniqueName="[Account].[Account Type].[All]" dimensionUniqueName="[Account]" displayFolder="Account" count="0" unbalanced="0"/>
    <cacheHierarchy uniqueName="[Account].[Account View]" caption="Account View" attribute="1" defaultMemberUniqueName="[Account].[Account View].[All]" allUniqueName="[Account].[Account View].[All]" dimensionUniqueName="[Account]" displayFolder="Account" count="0" unbalanced="0"/>
    <cacheHierarchy uniqueName="[Account].[Accountnumber]" caption="Accountnumber" attribute="1" defaultMemberUniqueName="[Account].[Accountnumber].[All]" allUniqueName="[Account].[Accountnumber].[All]" dimensionUniqueName="[Account]" displayFolder="Account" count="0" unbalanced="0"/>
    <cacheHierarchy uniqueName="[Account].[Accounts Hierarchy]" caption="Accounts Hierarchy" defaultMemberUniqueName="[Account].[Accounts Hierarchy].[All]" allUniqueName="[Account].[Accounts Hierarchy].[All]" dimensionUniqueName="[Account]" displayFolder="" count="0" unbalanced="0"/>
    <cacheHierarchy uniqueName="[Account].[CM1]" caption="CM1" attribute="1" defaultMemberUniqueName="[Account].[CM1].[All]" allUniqueName="[Account].[CM1].[All]" dimensionUniqueName="[Account]" displayFolder="Account Structure" count="0" unbalanced="0"/>
    <cacheHierarchy uniqueName="[Account].[CM2]" caption="CM2" attribute="1" defaultMemberUniqueName="[Account].[CM2].[All]" allUniqueName="[Account].[CM2].[All]" dimensionUniqueName="[Account]" displayFolder="Account Structure" count="0" unbalanced="0"/>
    <cacheHierarchy uniqueName="[Account].[CM3]" caption="CM3" attribute="1" defaultMemberUniqueName="[Account].[CM3].[All]" allUniqueName="[Account].[CM3].[All]" dimensionUniqueName="[Account]" displayFolder="Account Structure" count="0" unbalanced="0"/>
    <cacheHierarchy uniqueName="[Account].[EBDIT]" caption="EBDIT" attribute="1" defaultMemberUniqueName="[Account].[EBDIT].[All]" allUniqueName="[Account].[EBDIT].[All]" dimensionUniqueName="[Account]" displayFolder="Account Structure" count="0" unbalanced="0"/>
    <cacheHierarchy uniqueName="[Account].[EBIT]" caption="EBIT" attribute="1" defaultMemberUniqueName="[Account].[EBIT].[All]" allUniqueName="[Account].[EBIT].[All]" dimensionUniqueName="[Account]" displayFolder="Account Structure" count="0" unbalanced="0"/>
    <cacheHierarchy uniqueName="[Account].[IBT]" caption="IBT" attribute="1" defaultMemberUniqueName="[Account].[IBT].[All]" allUniqueName="[Account].[IBT].[All]" dimensionUniqueName="[Account]" displayFolder="Account Structure" count="0" unbalanced="0"/>
    <cacheHierarchy uniqueName="[Account].[Net Income]" caption="Net Income" attribute="1" defaultMemberUniqueName="[Account].[Net Income].[All]" allUniqueName="[Account].[Net Income].[All]" dimensionUniqueName="[Account]" displayFolder="Account Structure" count="0" unbalanced="0"/>
    <cacheHierarchy uniqueName="[Employee].[Age]" caption="Age" attribute="1" defaultMemberUniqueName="[Employee].[Age].[All]" allUniqueName="[Employee].[Age].[All]" dimensionUniqueName="[Employee]" displayFolder="Employee" count="0" unbalanced="0"/>
    <cacheHierarchy uniqueName="[Employee].[Agegroup]" caption="Agegroup" attribute="1" defaultMemberUniqueName="[Employee].[Agegroup].[All]" allUniqueName="[Employee].[Agegroup].[All]" dimensionUniqueName="[Employee]" displayFolder="Employee" count="0" unbalanced="0"/>
    <cacheHierarchy uniqueName="[Employee].[Birthday]" caption="Birthday" attribute="1" defaultMemberUniqueName="[Employee].[Birthday].[All]" allUniqueName="[Employee].[Birthday].[All]" dimensionUniqueName="[Employee]" displayFolder="Employee" count="0" unbalanced="0"/>
    <cacheHierarchy uniqueName="[Employee].[Cost Unit]" caption="Cost Unit" attribute="1" defaultMemberUniqueName="[Employee].[Cost Unit].[All]" allUniqueName="[Employee].[Cost Unit].[All]" dimensionUniqueName="[Employee]" displayFolder="Employee Organisation" count="0" unbalanced="0"/>
    <cacheHierarchy uniqueName="[Employee].[Current Status]" caption="Current Status" attribute="1" defaultMemberUniqueName="[Employee].[Current Status].[All]" allUniqueName="[Employee].[Current Status].[All]" dimensionUniqueName="[Employee]" displayFolder="Employee" count="0" unbalanced="0"/>
    <cacheHierarchy uniqueName="[Employee].[Education Category]" caption="Education Category" attribute="1" defaultMemberUniqueName="[Employee].[Education Category].[All]" allUniqueName="[Employee].[Education Category].[All]" dimensionUniqueName="[Employee]" displayFolder="Employee" count="0" unbalanced="0"/>
    <cacheHierarchy uniqueName="[Employee].[Email]" caption="Email" attribute="1" defaultMemberUniqueName="[Employee].[Email].[All]" allUniqueName="[Employee].[Email].[All]" dimensionUniqueName="[Employee]" displayFolder="Employee" count="0" unbalanced="0"/>
    <cacheHierarchy uniqueName="[Employee].[Employee]" caption="Employee" attribute="1" defaultMemberUniqueName="[Employee].[Employee].[All]" allUniqueName="[Employee].[Employee].[All]" dimensionUniqueName="[Employee]" displayFolder="Employee" count="0" unbalanced="0"/>
    <cacheHierarchy uniqueName="[Employee].[Employee Code]" caption="Employee Code" attribute="1" defaultMemberUniqueName="[Employee].[Employee Code].[All]" allUniqueName="[Employee].[Employee Code].[All]" dimensionUniqueName="[Employee]" displayFolder="Employee" count="0" unbalanced="0"/>
    <cacheHierarchy uniqueName="[Employee].[Employee Company]" caption="Employee Company" attribute="1" defaultMemberUniqueName="[Employee].[Employee Company].[All]" allUniqueName="[Employee].[Employee Company].[All]" dimensionUniqueName="[Employee]" displayFolder="Employee Organisation" count="0" unbalanced="0"/>
    <cacheHierarchy uniqueName="[Employee].[Employee Country]" caption="Employee Country" attribute="1" defaultMemberUniqueName="[Employee].[Employee Country].[All]" allUniqueName="[Employee].[Employee Country].[All]" dimensionUniqueName="[Employee]" displayFolder="Employee Organisation" count="0" unbalanced="0"/>
    <cacheHierarchy uniqueName="[Employee].[Employee Division]" caption="Employee Division" attribute="1" defaultMemberUniqueName="[Employee].[Employee Division].[All]" allUniqueName="[Employee].[Employee Division].[All]" dimensionUniqueName="[Employee]" displayFolder="Employee Organisation" count="0" unbalanced="0"/>
    <cacheHierarchy uniqueName="[Employee].[Employee Entry]" caption="Employee Entry" attribute="1" defaultMemberUniqueName="[Employee].[Employee Entry].[All]" allUniqueName="[Employee].[Employee Entry].[All]" dimensionUniqueName="[Employee]" displayFolder="Employee" count="0" unbalanced="0"/>
    <cacheHierarchy uniqueName="[Employee].[Employee Exit]" caption="Employee Exit" attribute="1" defaultMemberUniqueName="[Employee].[Employee Exit].[All]" allUniqueName="[Employee].[Employee Exit].[All]" dimensionUniqueName="[Employee]" displayFolder="Employee" count="0" unbalanced="0"/>
    <cacheHierarchy uniqueName="[Employee].[Employee Function]" caption="Employee Function" attribute="1" defaultMemberUniqueName="[Employee].[Employee Function].[All]" allUniqueName="[Employee].[Employee Function].[All]" dimensionUniqueName="[Employee]" displayFolder="Employee Function" count="0" unbalanced="0"/>
    <cacheHierarchy uniqueName="[Employee].[Employee Function Group]" caption="Employee Function Group" attribute="1" defaultMemberUniqueName="[Employee].[Employee Function Group].[All]" allUniqueName="[Employee].[Employee Function Group].[All]" dimensionUniqueName="[Employee]" displayFolder="Employee Function" count="0" unbalanced="0"/>
    <cacheHierarchy uniqueName="[Employee].[Employee Hierarchy]" caption="Employee Hierarchy" defaultMemberUniqueName="[Employee].[Employee Hierarchy].[All]" allUniqueName="[Employee].[Employee Hierarchy].[All]" dimensionUniqueName="[Employee]" displayFolder="" count="0" unbalanced="0"/>
    <cacheHierarchy uniqueName="[Employee].[Employee Location]" caption="Employee Location" attribute="1" defaultMemberUniqueName="[Employee].[Employee Location].[All]" allUniqueName="[Employee].[Employee Location].[All]" dimensionUniqueName="[Employee]" displayFolder="Employee Organisation" count="0" unbalanced="0"/>
    <cacheHierarchy uniqueName="[Employee].[Employee Location Code]" caption="Employee Location Code" attribute="1" defaultMemberUniqueName="[Employee].[Employee Location Code].[All]" allUniqueName="[Employee].[Employee Location Code].[All]" dimensionUniqueName="[Employee]" displayFolder="Employee Organisation" count="0" unbalanced="0"/>
    <cacheHierarchy uniqueName="[Employee].[Employee Number]" caption="Employee Number" attribute="1" defaultMemberUniqueName="[Employee].[Employee Number].[All]" allUniqueName="[Employee].[Employee Number].[All]" dimensionUniqueName="[Employee]" displayFolder="Employee" count="2" unbalanced="0">
      <fieldsUsage count="2">
        <fieldUsage x="-1"/>
        <fieldUsage x="2"/>
      </fieldsUsage>
    </cacheHierarchy>
    <cacheHierarchy uniqueName="[Employee].[Employee Solution]" caption="Employee Solution" attribute="1" defaultMemberUniqueName="[Employee].[Employee Solution].[All]" allUniqueName="[Employee].[Employee Solution].[All]" dimensionUniqueName="[Employee]" displayFolder="Employee Organisation" count="0" unbalanced="0"/>
    <cacheHierarchy uniqueName="[Employee].[Employee Team]" caption="Employee Team" attribute="1" defaultMemberUniqueName="[Employee].[Employee Team].[All]" allUniqueName="[Employee].[Employee Team].[All]" dimensionUniqueName="[Employee]" displayFolder="Employee Organisation" count="0" unbalanced="0"/>
    <cacheHierarchy uniqueName="[Employee].[Employee Unit]" caption="Employee Unit" attribute="1" defaultMemberUniqueName="[Employee].[Employee Unit].[All]" allUniqueName="[Employee].[Employee Unit].[All]" dimensionUniqueName="[Employee]" displayFolder="Employee Organisation" count="0" unbalanced="0"/>
    <cacheHierarchy uniqueName="[Employee].[Employee Unit Code]" caption="Employee Unit Code" attribute="1" defaultMemberUniqueName="[Employee].[Employee Unit Code].[All]" allUniqueName="[Employee].[Employee Unit Code].[All]" dimensionUniqueName="[Employee]" displayFolder="Employee Organisation" count="0" unbalanced="0"/>
    <cacheHierarchy uniqueName="[Employee].[Employment Duration]" caption="Employment Duration" attribute="1" defaultMemberUniqueName="[Employee].[Employment Duration].[All]" allUniqueName="[Employee].[Employment Duration].[All]" dimensionUniqueName="[Employee]" displayFolder="Employee" count="0" unbalanced="0"/>
    <cacheHierarchy uniqueName="[Employee].[Nationality]" caption="Nationality" attribute="1" defaultMemberUniqueName="[Employee].[Nationality].[All]" allUniqueName="[Employee].[Nationality].[All]" dimensionUniqueName="[Employee]" displayFolder="Employee" count="0" unbalanced="0"/>
    <cacheHierarchy uniqueName="[Employee].[Sex]" caption="Sex" attribute="1" defaultMemberUniqueName="[Employee].[Sex].[All]" allUniqueName="[Employee].[Sex].[All]" dimensionUniqueName="[Employee]" displayFolder="Employee" count="0" unbalanced="0"/>
    <cacheHierarchy uniqueName="[Invoice].[Days Due]" caption="Days Due" attribute="1" defaultMemberUniqueName="[Invoice].[Days Due].[All]" allUniqueName="[Invoice].[Days Due].[All]" dimensionUniqueName="[Invoice]" displayFolder="Invoice Info" count="0" unbalanced="0"/>
    <cacheHierarchy uniqueName="[Invoice].[Days To Invoice]" caption="Days To Invoice" attribute="1" defaultMemberUniqueName="[Invoice].[Days To Invoice].[All]" allUniqueName="[Invoice].[Days To Invoice].[All]" dimensionUniqueName="[Invoice]" displayFolder="Invoice Info" count="0" unbalanced="0"/>
    <cacheHierarchy uniqueName="[Invoice].[Days To Pay]" caption="Days To Pay" attribute="1" defaultMemberUniqueName="[Invoice].[Days To Pay].[All]" allUniqueName="[Invoice].[Days To Pay].[All]" dimensionUniqueName="[Invoice]" displayFolder="Invoice Info" count="0" unbalanced="0"/>
    <cacheHierarchy uniqueName="[Invoice].[Due Date]" caption="Due Date" attribute="1" defaultMemberUniqueName="[Invoice].[Due Date].[All]" allUniqueName="[Invoice].[Due Date].[All]" dimensionUniqueName="[Invoice]" displayFolder="Invoice Info" count="0" unbalanced="0"/>
    <cacheHierarchy uniqueName="[Invoice].[Dunning Level]" caption="Dunning Level" attribute="1" defaultMemberUniqueName="[Invoice].[Dunning Level].[All]" allUniqueName="[Invoice].[Dunning Level].[All]" dimensionUniqueName="[Invoice]" displayFolder="Invoice Info" count="0" unbalanced="0"/>
    <cacheHierarchy uniqueName="[Invoice].[Invoice]" caption="Invoice" attribute="1" defaultMemberUniqueName="[Invoice].[Invoice].[All]" allUniqueName="[Invoice].[Invoice].[All]" dimensionUniqueName="[Invoice]" displayFolder="" count="0" unbalanced="0"/>
    <cacheHierarchy uniqueName="[Invoice].[Invoice Date]" caption="Invoice Date" attribute="1" defaultMemberUniqueName="[Invoice].[Invoice Date].[All]" allUniqueName="[Invoice].[Invoice Date].[All]" dimensionUniqueName="[Invoice]" displayFolder="Invoice Period" count="0" unbalanced="0"/>
    <cacheHierarchy uniqueName="[Invoice].[Invoice Month]" caption="Invoice Month" attribute="1" defaultMemberUniqueName="[Invoice].[Invoice Month].[All]" allUniqueName="[Invoice].[Invoice Month].[All]" dimensionUniqueName="[Invoice]" displayFolder="Invoice Period" count="0" unbalanced="0"/>
    <cacheHierarchy uniqueName="[Invoice].[Invoice Year]" caption="Invoice Year" attribute="1" defaultMemberUniqueName="[Invoice].[Invoice Year].[All]" allUniqueName="[Invoice].[Invoice Year].[All]" dimensionUniqueName="[Invoice]" displayFolder="Invoice Period" count="0" unbalanced="0"/>
    <cacheHierarchy uniqueName="[Invoice].[Payment Date]" caption="Payment Date" attribute="1" defaultMemberUniqueName="[Invoice].[Payment Date].[All]" allUniqueName="[Invoice].[Payment Date].[All]" dimensionUniqueName="[Invoice]" displayFolder="Invoice Info" count="0" unbalanced="0"/>
    <cacheHierarchy uniqueName="[Invoice].[Payment Terms]" caption="Payment Terms" attribute="1" defaultMemberUniqueName="[Invoice].[Payment Terms].[All]" allUniqueName="[Invoice].[Payment Terms].[All]" dimensionUniqueName="[Invoice]" displayFolder="Invoice Info" count="0" unbalanced="0"/>
    <cacheHierarchy uniqueName="[Invoice].[Time To Invoice]" caption="Time To Invoice" attribute="1" defaultMemberUniqueName="[Invoice].[Time To Invoice].[All]" allUniqueName="[Invoice].[Time To Invoice].[All]" dimensionUniqueName="[Invoice]" displayFolder="Invoice Info" count="0" unbalanced="0"/>
    <cacheHierarchy uniqueName="[Invoice].[Time To Pay]" caption="Time To Pay" attribute="1" defaultMemberUniqueName="[Invoice].[Time To Pay].[All]" allUniqueName="[Invoice].[Time To Pay].[All]" dimensionUniqueName="[Invoice]" displayFolder="Invoice Info" count="0" unbalanced="0"/>
    <cacheHierarchy uniqueName="[Order].[Customer]" caption="Customer" attribute="1" defaultMemberUniqueName="[Order].[Customer].[All]" allUniqueName="[Order].[Customer].[All]" dimensionUniqueName="[Order]" displayFolder="Customer" count="0" unbalanced="0"/>
    <cacheHierarchy uniqueName="[Order].[Customer Class]" caption="Customer Class" attribute="1" defaultMemberUniqueName="[Order].[Customer Class].[All]" allUniqueName="[Order].[Customer Class].[All]" dimensionUniqueName="[Order]" displayFolder="Customer" count="0" unbalanced="0"/>
    <cacheHierarchy uniqueName="[Order].[Customer Company]" caption="Customer Company" attribute="1" defaultMemberUniqueName="[Order].[Customer Company].[All]" allUniqueName="[Order].[Customer Company].[All]" dimensionUniqueName="[Order]" displayFolder="Customer Organisation" count="0" unbalanced="0"/>
    <cacheHierarchy uniqueName="[Order].[Customer Contact]" caption="Customer Contact" attribute="1" defaultMemberUniqueName="[Order].[Customer Contact].[All]" allUniqueName="[Order].[Customer Contact].[All]" dimensionUniqueName="[Order]" displayFolder="Opportunity" count="0" unbalanced="0"/>
    <cacheHierarchy uniqueName="[Order].[Customer Division]" caption="Customer Division" attribute="1" defaultMemberUniqueName="[Order].[Customer Division].[All]" allUniqueName="[Order].[Customer Division].[All]" dimensionUniqueName="[Order]" displayFolder="Customer Organisation" count="0" unbalanced="0"/>
    <cacheHierarchy uniqueName="[Order].[Customer Hierarchy]" caption="Customer Hierarchy" defaultMemberUniqueName="[Order].[Customer Hierarchy].[All]" allUniqueName="[Order].[Customer Hierarchy].[All]" dimensionUniqueName="[Order]" displayFolder="" count="0" unbalanced="0"/>
    <cacheHierarchy uniqueName="[Order].[Customer Industry]" caption="Customer Industry" attribute="1" defaultMemberUniqueName="[Order].[Customer Industry].[All]" allUniqueName="[Order].[Customer Industry].[All]" dimensionUniqueName="[Order]" displayFolder="Customer" count="0" unbalanced="0"/>
    <cacheHierarchy uniqueName="[Order].[Customer Location]" caption="Customer Location" attribute="1" defaultMemberUniqueName="[Order].[Customer Location].[All]" allUniqueName="[Order].[Customer Location].[All]" dimensionUniqueName="[Order]" displayFolder="Customer Organisation" count="0" unbalanced="0"/>
    <cacheHierarchy uniqueName="[Order].[Customer Number]" caption="Customer Number" attribute="1" defaultMemberUniqueName="[Order].[Customer Number].[All]" allUniqueName="[Order].[Customer Number].[All]" dimensionUniqueName="[Order]" displayFolder="Customer" count="0" unbalanced="0"/>
    <cacheHierarchy uniqueName="[Order].[Customer Solution]" caption="Customer Solution" attribute="1" defaultMemberUniqueName="[Order].[Customer Solution].[All]" allUniqueName="[Order].[Customer Solution].[All]" dimensionUniqueName="[Order]" displayFolder="Customer Organisation" count="0" unbalanced="0"/>
    <cacheHierarchy uniqueName="[Order].[Customer Type]" caption="Customer Type" attribute="1" defaultMemberUniqueName="[Order].[Customer Type].[All]" allUniqueName="[Order].[Customer Type].[All]" dimensionUniqueName="[Order]" displayFolder="Customer" count="0" unbalanced="0"/>
    <cacheHierarchy uniqueName="[Order].[Customer Unit]" caption="Customer Unit" attribute="1" defaultMemberUniqueName="[Order].[Customer Unit].[All]" allUniqueName="[Order].[Customer Unit].[All]" dimensionUniqueName="[Order]" displayFolder="Customer Organisation" count="0" unbalanced="0"/>
    <cacheHierarchy uniqueName="[Order].[Key Account Manager]" caption="Key Account Manager" attribute="1" defaultMemberUniqueName="[Order].[Key Account Manager].[All]" allUniqueName="[Order].[Key Account Manager].[All]" dimensionUniqueName="[Order]" displayFolder="Customer Organisation" count="0" unbalanced="0"/>
    <cacheHierarchy uniqueName="[Order].[Lead Identifier]" caption="Lead Identifier" attribute="1" defaultMemberUniqueName="[Order].[Lead Identifier].[All]" allUniqueName="[Order].[Lead Identifier].[All]" dimensionUniqueName="[Order]" displayFolder="Opportunity" count="0" unbalanced="0"/>
    <cacheHierarchy uniqueName="[Order].[Lead Owner]" caption="Lead Owner" attribute="1" defaultMemberUniqueName="[Order].[Lead Owner].[All]" allUniqueName="[Order].[Lead Owner].[All]" dimensionUniqueName="[Order]" displayFolder="Opportunity" count="0" unbalanced="0"/>
    <cacheHierarchy uniqueName="[Order].[Material]" caption="Material" attribute="1" defaultMemberUniqueName="[Order].[Material].[All]" allUniqueName="[Order].[Material].[All]" dimensionUniqueName="[Order]" displayFolder="Position Material" count="0" unbalanced="0"/>
    <cacheHierarchy uniqueName="[Order].[Material Number]" caption="Material Number" attribute="1" defaultMemberUniqueName="[Order].[Material Number].[All]" allUniqueName="[Order].[Material Number].[All]" dimensionUniqueName="[Order]" displayFolder="Position Material" count="0" unbalanced="0"/>
    <cacheHierarchy uniqueName="[Order].[Material Type]" caption="Material Type" attribute="1" defaultMemberUniqueName="[Order].[Material Type].[All]" allUniqueName="[Order].[Material Type].[All]" dimensionUniqueName="[Order]" displayFolder="Position Material" count="0" unbalanced="0"/>
    <cacheHierarchy uniqueName="[Order].[New Customer]" caption="New Customer" attribute="1" defaultMemberUniqueName="[Order].[New Customer].[All]" allUniqueName="[Order].[New Customer].[All]" dimensionUniqueName="[Order]" displayFolder="Customer" count="0" unbalanced="0"/>
    <cacheHierarchy uniqueName="[Order].[Opportunity]" caption="Opportunity" attribute="1" defaultMemberUniqueName="[Order].[Opportunity].[All]" allUniqueName="[Order].[Opportunity].[All]" dimensionUniqueName="[Order]" displayFolder="Opportunity" count="0" unbalanced="0"/>
    <cacheHierarchy uniqueName="[Order].[Opportunity Number]" caption="Opportunity Number" attribute="1" defaultMemberUniqueName="[Order].[Opportunity Number].[All]" allUniqueName="[Order].[Opportunity Number].[All]" dimensionUniqueName="[Order]" displayFolder="Opportunity" count="0" unbalanced="0"/>
    <cacheHierarchy uniqueName="[Order].[Order]" caption="Order" attribute="1" defaultMemberUniqueName="[Order].[Order].[All]" allUniqueName="[Order].[Order].[All]" dimensionUniqueName="[Order]" displayFolder="Order" count="2" unbalanced="0">
      <fieldsUsage count="2">
        <fieldUsage x="-1"/>
        <fieldUsage x="0"/>
      </fieldsUsage>
    </cacheHierarchy>
    <cacheHierarchy uniqueName="[Order].[Order Category]" caption="Order Category" attribute="1" defaultMemberUniqueName="[Order].[Order Category].[All]" allUniqueName="[Order].[Order Category].[All]" dimensionUniqueName="[Order]" displayFolder="Order" count="0" unbalanced="0"/>
    <cacheHierarchy uniqueName="[Order].[Order Company]" caption="Order Company" attribute="1" defaultMemberUniqueName="[Order].[Order Company].[All]" allUniqueName="[Order].[Order Company].[All]" dimensionUniqueName="[Order]" displayFolder="Order Organisation" count="0" unbalanced="0"/>
    <cacheHierarchy uniqueName="[Order].[Order Country]" caption="Order Country" attribute="1" defaultMemberUniqueName="[Order].[Order Country].[All]" allUniqueName="[Order].[Order Country].[All]" dimensionUniqueName="[Order]" displayFolder="Order Organisation" count="0" unbalanced="0"/>
    <cacheHierarchy uniqueName="[Order].[Order Currency]" caption="Order Currency" attribute="1" defaultMemberUniqueName="[Order].[Order Currency].[All]" allUniqueName="[Order].[Order Currency].[All]" dimensionUniqueName="[Order]" displayFolder="Order" count="0" unbalanced="0"/>
    <cacheHierarchy uniqueName="[Order].[Order Division]" caption="Order Division" attribute="1" defaultMemberUniqueName="[Order].[Order Division].[All]" allUniqueName="[Order].[Order Division].[All]" dimensionUniqueName="[Order]" displayFolder="Order Organisation" count="0" unbalanced="0"/>
    <cacheHierarchy uniqueName="[Order].[Order End Day]" caption="Order End Day" attribute="1" defaultMemberUniqueName="[Order].[Order End Day].[All]" allUniqueName="[Order].[Order End Day].[All]" dimensionUniqueName="[Order]" displayFolder="Order Period" count="0" unbalanced="0"/>
    <cacheHierarchy uniqueName="[Order].[Order End Month]" caption="Order End Month" attribute="1" defaultMemberUniqueName="[Order].[Order End Month].[All]" allUniqueName="[Order].[Order End Month].[All]" dimensionUniqueName="[Order]" displayFolder="Order Period" count="0" unbalanced="0"/>
    <cacheHierarchy uniqueName="[Order].[Order End Year]" caption="Order End Year" attribute="1" defaultMemberUniqueName="[Order].[Order End Year].[All]" allUniqueName="[Order].[Order End Year].[All]" dimensionUniqueName="[Order]" displayFolder="Order Period" count="0" unbalanced="0"/>
    <cacheHierarchy uniqueName="[Order].[Order Hierarchy]" caption="Order Hierarchy" defaultMemberUniqueName="[Order].[Order Hierarchy].[All]" allUniqueName="[Order].[Order Hierarchy].[All]" dimensionUniqueName="[Order]" displayFolder="" count="0" unbalanced="0"/>
    <cacheHierarchy uniqueName="[Order].[Order Location]" caption="Order Location" attribute="1" defaultMemberUniqueName="[Order].[Order Location].[All]" allUniqueName="[Order].[Order Location].[All]" dimensionUniqueName="[Order]" displayFolder="Order Organisation" count="0" unbalanced="0"/>
    <cacheHierarchy uniqueName="[Order].[Order Management]" caption="Order Management" attribute="1" defaultMemberUniqueName="[Order].[Order Management].[All]" allUniqueName="[Order].[Order Management].[All]" dimensionUniqueName="[Order]" displayFolder="Order" count="0" unbalanced="0"/>
    <cacheHierarchy uniqueName="[Order].[Order Number]" caption="Order Number" attribute="1" defaultMemberUniqueName="[Order].[Order Number].[All]" allUniqueName="[Order].[Order Number].[All]" dimensionUniqueName="[Order]" displayFolder="Order" count="0" unbalanced="0"/>
    <cacheHierarchy uniqueName="[Order].[Order Solution]" caption="Order Solution" attribute="1" defaultMemberUniqueName="[Order].[Order Solution].[All]" allUniqueName="[Order].[Order Solution].[All]" dimensionUniqueName="[Order]" displayFolder="Order" count="0" unbalanced="0"/>
    <cacheHierarchy uniqueName="[Order].[Order Start Day]" caption="Order Start Day" attribute="1" defaultMemberUniqueName="[Order].[Order Start Day].[All]" allUniqueName="[Order].[Order Start Day].[All]" dimensionUniqueName="[Order]" displayFolder="Order Period" count="0" unbalanced="0"/>
    <cacheHierarchy uniqueName="[Order].[Order Start Month]" caption="Order Start Month" attribute="1" defaultMemberUniqueName="[Order].[Order Start Month].[All]" allUniqueName="[Order].[Order Start Month].[All]" dimensionUniqueName="[Order]" displayFolder="Order Period" count="0" unbalanced="0"/>
    <cacheHierarchy uniqueName="[Order].[Order Start Year]" caption="Order Start Year" attribute="1" defaultMemberUniqueName="[Order].[Order Start Year].[All]" allUniqueName="[Order].[Order Start Year].[All]" dimensionUniqueName="[Order]" displayFolder="Order Period" count="0" unbalanced="0"/>
    <cacheHierarchy uniqueName="[Order].[Order Status]" caption="Order Status" attribute="1" defaultMemberUniqueName="[Order].[Order Status].[All]" allUniqueName="[Order].[Order Status].[All]" dimensionUniqueName="[Order]" displayFolder="Order" count="0" unbalanced="0"/>
    <cacheHierarchy uniqueName="[Order].[Order Team]" caption="Order Team" attribute="1" defaultMemberUniqueName="[Order].[Order Team].[All]" allUniqueName="[Order].[Order Team].[All]" dimensionUniqueName="[Order]" displayFolder="Order Organisation" count="0" unbalanced="0"/>
    <cacheHierarchy uniqueName="[Order].[Order Type]" caption="Order Type" attribute="1" defaultMemberUniqueName="[Order].[Order Type].[All]" allUniqueName="[Order].[Order Type].[All]" dimensionUniqueName="[Order]" displayFolder="Order Type" count="0" unbalanced="0"/>
    <cacheHierarchy uniqueName="[Order].[Order Unit]" caption="Order Unit" attribute="1" defaultMemberUniqueName="[Order].[Order Unit].[All]" allUniqueName="[Order].[Order Unit].[All]" dimensionUniqueName="[Order]" displayFolder="Order Organisation" count="0" unbalanced="0"/>
    <cacheHierarchy uniqueName="[Order].[Portfolio Element]" caption="Portfolio Element" attribute="1" defaultMemberUniqueName="[Order].[Portfolio Element].[All]" allUniqueName="[Order].[Portfolio Element].[All]" dimensionUniqueName="[Order]" displayFolder="Position" count="0" unbalanced="0"/>
    <cacheHierarchy uniqueName="[Order].[Portfolio Theme]" caption="Portfolio Theme" attribute="1" defaultMemberUniqueName="[Order].[Portfolio Theme].[All]" allUniqueName="[Order].[Portfolio Theme].[All]" dimensionUniqueName="[Order]" displayFolder="Position" count="0" unbalanced="0"/>
    <cacheHierarchy uniqueName="[Order].[Position]" caption="Position" attribute="1" defaultMemberUniqueName="[Order].[Position].[All]" allUniqueName="[Order].[Position].[All]" dimensionUniqueName="[Order]" displayFolder="Position" count="0" unbalanced="0"/>
    <cacheHierarchy uniqueName="[Order].[Position End Day]" caption="Position End Day" attribute="1" defaultMemberUniqueName="[Order].[Position End Day].[All]" allUniqueName="[Order].[Position End Day].[All]" dimensionUniqueName="[Order]" displayFolder="Position" count="0" unbalanced="0"/>
    <cacheHierarchy uniqueName="[Order].[Position Number]" caption="Position Number" attribute="1" defaultMemberUniqueName="[Order].[Position Number].[All]" allUniqueName="[Order].[Position Number].[All]" dimensionUniqueName="[Order]" displayFolder="Position" count="2" unbalanced="0">
      <fieldsUsage count="2">
        <fieldUsage x="-1"/>
        <fieldUsage x="5"/>
      </fieldsUsage>
    </cacheHierarchy>
    <cacheHierarchy uniqueName="[Order].[Position Solution]" caption="Position Solution" attribute="1" defaultMemberUniqueName="[Order].[Position Solution].[All]" allUniqueName="[Order].[Position Solution].[All]" dimensionUniqueName="[Order]" displayFolder="Position" count="0" unbalanced="0"/>
    <cacheHierarchy uniqueName="[Order].[Position Start Day]" caption="Position Start Day" attribute="1" defaultMemberUniqueName="[Order].[Position Start Day].[All]" allUniqueName="[Order].[Position Start Day].[All]" dimensionUniqueName="[Order]" displayFolder="Position" count="0" unbalanced="0"/>
    <cacheHierarchy uniqueName="[Order].[Position Status]" caption="Position Status" attribute="1" defaultMemberUniqueName="[Order].[Position Status].[All]" allUniqueName="[Order].[Position Status].[All]" dimensionUniqueName="[Order]" displayFolder="Position" count="0" unbalanced="0"/>
    <cacheHierarchy uniqueName="[Order].[Position Technology]" caption="Position Technology" attribute="1" defaultMemberUniqueName="[Order].[Position Technology].[All]" allUniqueName="[Order].[Position Technology].[All]" dimensionUniqueName="[Order]" displayFolder="Position" count="0" unbalanced="0"/>
    <cacheHierarchy uniqueName="[Order].[Position Type]" caption="Position Type" attribute="1" defaultMemberUniqueName="[Order].[Position Type].[All]" allUniqueName="[Order].[Position Type].[All]" dimensionUniqueName="[Order]" displayFolder="Position" count="0" unbalanced="0"/>
    <cacheHierarchy uniqueName="[Order].[Project Manager]" caption="Project Manager" attribute="1" defaultMemberUniqueName="[Order].[Project Manager].[All]" allUniqueName="[Order].[Project Manager].[All]" dimensionUniqueName="[Order]" displayFolder="Order Organisation" count="0" unbalanced="0"/>
    <cacheHierarchy uniqueName="[Order].[Project Responsible]" caption="Project Responsible" attribute="1" defaultMemberUniqueName="[Order].[Project Responsible].[All]" allUniqueName="[Order].[Project Responsible].[All]" dimensionUniqueName="[Order]" displayFolder="Order Organisation" count="0" unbalanced="0"/>
    <cacheHierarchy uniqueName="[Order].[Reference Number]" caption="Reference Number" attribute="1" defaultMemberUniqueName="[Order].[Reference Number].[All]" allUniqueName="[Order].[Reference Number].[All]" dimensionUniqueName="[Order]" displayFolder="Order" count="0" unbalanced="0"/>
    <cacheHierarchy uniqueName="[Order].[Revenue Class]" caption="Revenue Class" attribute="1" defaultMemberUniqueName="[Order].[Revenue Class].[All]" allUniqueName="[Order].[Revenue Class].[All]" dimensionUniqueName="[Order]" displayFolder="Customer" count="0" unbalanced="0"/>
    <cacheHierarchy uniqueName="[Order].[Signature]" caption="Signature" attribute="1" defaultMemberUniqueName="[Order].[Signature].[All]" allUniqueName="[Order].[Signature].[All]" dimensionUniqueName="[Order]" displayFolder="Order" count="0" unbalanced="0"/>
    <cacheHierarchy uniqueName="[Order].[Training Type]" caption="Training Type" attribute="1" defaultMemberUniqueName="[Order].[Training Type].[All]" allUniqueName="[Order].[Training Type].[All]" dimensionUniqueName="[Order]" displayFolder="Order Type" count="0" unbalanced="0"/>
    <cacheHierarchy uniqueName="[Period].[Day]" caption="Day" attribute="1" time="1" defaultMemberUniqueName="[Period].[Day].[All]" allUniqueName="[Period].[Day].[All]" dimensionUniqueName="[Period]" displayFolder="Period" count="0" unbalanced="0"/>
    <cacheHierarchy uniqueName="[Period].[Month]" caption="Month" attribute="1" time="1" defaultMemberUniqueName="[Period].[Month].[All]" allUniqueName="[Period].[Month].[All]" dimensionUniqueName="[Period]" displayFolder="Period" count="0" unbalanced="0"/>
    <cacheHierarchy uniqueName="[Period].[Month Description]" caption="Month Description" attribute="1" time="1" defaultMemberUniqueName="[Period].[Month Description].[All]" allUniqueName="[Period].[Month Description].[All]" dimensionUniqueName="[Period]" displayFolder="Period" count="0" unbalanced="0"/>
    <cacheHierarchy uniqueName="[Period].[Month Short]" caption="Month Short" attribute="1" time="1" defaultMemberUniqueName="[Period].[Month Short].[All]" allUniqueName="[Period].[Month Short].[All]" dimensionUniqueName="[Period]" displayFolder="Period" count="0" unbalanced="0"/>
    <cacheHierarchy uniqueName="[Period].[Period Hierarchy]" caption="Period Hierarchy" time="1" defaultMemberUniqueName="[Period].[Period Hierarchy].[All]" allUniqueName="[Period].[Period Hierarchy].[All]" dimensionUniqueName="[Period]" displayFolder="" count="0" unbalanced="0"/>
    <cacheHierarchy uniqueName="[Period].[Quarter]" caption="Quarter" attribute="1" time="1" defaultMemberUniqueName="[Period].[Quarter].[All]" allUniqueName="[Period].[Quarter].[All]" dimensionUniqueName="[Period]" displayFolder="Period" count="0" unbalanced="0"/>
    <cacheHierarchy uniqueName="[Period].[Week]" caption="Week" attribute="1" time="1" defaultMemberUniqueName="[Period].[Week].[All]" allUniqueName="[Period].[Week].[All]" dimensionUniqueName="[Period]" displayFolder="Period" count="2" unbalanced="0">
      <fieldsUsage count="2">
        <fieldUsage x="-1"/>
        <fieldUsage x="7"/>
      </fieldsUsage>
    </cacheHierarchy>
    <cacheHierarchy uniqueName="[Period].[Week Description]" caption="Week Description" attribute="1" time="1" defaultMemberUniqueName="[Period].[Week Description].[All]" allUniqueName="[Period].[Week Description].[All]" dimensionUniqueName="[Period]" displayFolder="Period" count="0" unbalanced="0"/>
    <cacheHierarchy uniqueName="[Period].[Year]" caption="Year" attribute="1" time="1" defaultMemberUniqueName="[Period].[Year].[All]" allUniqueName="[Period].[Year].[All]" dimensionUniqueName="[Period]" displayFolder="Period" count="0" unbalanced="0"/>
    <cacheHierarchy uniqueName="[Period].[YTD]" caption="YTD" attribute="1" time="1" defaultMemberUniqueName="[Period].[YTD].[All]" allUniqueName="[Period].[YTD].[All]" dimensionUniqueName="[Period]" displayFolder="Period" count="0" unbalanced="0"/>
    <cacheHierarchy uniqueName="[Scenario].[Scenario]" caption="Scenario" attribute="1" defaultMemberUniqueName="[Scenario].[Scenario].&amp;[Actual]" allUniqueName="[Scenario].[Scenario].[All]" dimensionUniqueName="[Scenario]" displayFolder="" count="0" unbalanced="0"/>
    <cacheHierarchy uniqueName="[Service].[Charging]" caption="Charging" attribute="1" defaultMemberUniqueName="[Service].[Charging].[All]" allUniqueName="[Service].[Charging].[All]" dimensionUniqueName="[Service]" displayFolder="Service" count="2" unbalanced="0">
      <fieldsUsage count="2">
        <fieldUsage x="-1"/>
        <fieldUsage x="6"/>
      </fieldsUsage>
    </cacheHierarchy>
    <cacheHierarchy uniqueName="[Service].[Invoicing]" caption="Invoicing" attribute="1" defaultMemberUniqueName="[Service].[Invoicing].[All]" allUniqueName="[Service].[Invoicing].[All]" dimensionUniqueName="[Service]" displayFolder="Status" count="0" unbalanced="0"/>
    <cacheHierarchy uniqueName="[Service].[Level A]" caption="Level A" attribute="1" defaultMemberUniqueName="[Service].[Level A].[All]" allUniqueName="[Service].[Level A].[All]" dimensionUniqueName="[Service]" displayFolder="Service Category" count="0" unbalanced="0"/>
    <cacheHierarchy uniqueName="[Service].[Level B]" caption="Level B" attribute="1" defaultMemberUniqueName="[Service].[Level B].[All]" allUniqueName="[Service].[Level B].[All]" dimensionUniqueName="[Service]" displayFolder="Service Category" count="0" unbalanced="0"/>
    <cacheHierarchy uniqueName="[Service].[Level C]" caption="Level C" attribute="1" defaultMemberUniqueName="[Service].[Level C].[All]" allUniqueName="[Service].[Level C].[All]" dimensionUniqueName="[Service]" displayFolder="Service Category" count="0" unbalanced="0"/>
    <cacheHierarchy uniqueName="[Service].[Monthly Closure]" caption="Monthly Closure" attribute="1" defaultMemberUniqueName="[Service].[Monthly Closure].[All]" allUniqueName="[Service].[Monthly Closure].[All]" dimensionUniqueName="[Service]" displayFolder="Status" count="0" unbalanced="0"/>
    <cacheHierarchy uniqueName="[Service].[Payment]" caption="Payment" attribute="1" defaultMemberUniqueName="[Service].[Payment].[All]" allUniqueName="[Service].[Payment].[All]" dimensionUniqueName="[Service]" displayFolder="Status" count="0" unbalanced="0"/>
    <cacheHierarchy uniqueName="[Service].[Service Category]" caption="Service Category" attribute="1" defaultMemberUniqueName="[Service].[Service Category].[All]" allUniqueName="[Service].[Service Category].[All]" dimensionUniqueName="[Service]" displayFolder="Service Category" count="0" unbalanced="0"/>
    <cacheHierarchy uniqueName="[Service].[Service Category Code]" caption="Service Category Code" attribute="1" defaultMemberUniqueName="[Service].[Service Category Code].[All]" allUniqueName="[Service].[Service Category Code].[All]" dimensionUniqueName="[Service]" displayFolder="Service Category" count="0" unbalanced="0"/>
    <cacheHierarchy uniqueName="[Service].[Service Definition]" caption="Service Definition" attribute="1" defaultMemberUniqueName="[Service].[Service Definition].[All]" allUniqueName="[Service].[Service Definition].[All]" dimensionUniqueName="[Service]" displayFolder="Service" count="0" unbalanced="0"/>
    <cacheHierarchy uniqueName="[Service].[Service Status]" caption="Service Status" attribute="1" defaultMemberUniqueName="[Service].[Service Status].[All]" allUniqueName="[Service].[Service Status].[All]" dimensionUniqueName="[Service]" displayFolder="Status" count="0" unbalanced="0"/>
    <cacheHierarchy uniqueName="[Service].[Service Type]" caption="Service Type" attribute="1" defaultMemberUniqueName="[Service].[Service Type].[All]" allUniqueName="[Service].[Service Type].[All]" dimensionUniqueName="[Service]" displayFolder="Service" count="0" unbalanced="0"/>
    <cacheHierarchy uniqueName="[Service].[Status Number]" caption="Status Number" attribute="1" defaultMemberUniqueName="[Service].[Status Number].[All]" allUniqueName="[Service].[Status Number].[All]" dimensionUniqueName="[Service]" displayFolder="Status" count="0" unbalanced="0"/>
    <cacheHierarchy uniqueName="[Service Text].[Service Text]" caption="Service Text" attribute="1" defaultMemberUniqueName="[Service Text].[Service Text].[All]" allUniqueName="[Service Text].[Service Text].[All]" dimensionUniqueName="[Service Text]" displayFolder="" count="0" unbalanced="0"/>
    <cacheHierarchy uniqueName="[Account].[Account Id]" caption="Account Id" attribute="1" keyAttribute="1" defaultMemberUniqueName="[Account].[Account Id].[All]" allUniqueName="[Account].[Account Id].[All]" dimensionUniqueName="[Account]" displayFolder="" count="0" unbalanced="0" hidden="1"/>
    <cacheHierarchy uniqueName="[Employee].[Employee Hierarchy Forecast]" caption="Employee Hierarchy Forecast" defaultMemberUniqueName="[Employee].[Employee Hierarchy Forecast].[All]" allUniqueName="[Employee].[Employee Hierarchy Forecast].[All]" dimensionUniqueName="[Employee]" displayFolder="" count="0" unbalanced="0" hidden="1"/>
    <cacheHierarchy uniqueName="[Employee].[Employee Id]" caption="Employee Id" attribute="1" keyAttribute="1" defaultMemberUniqueName="[Employee].[Employee Id].[All]" allUniqueName="[Employee].[Employee Id].[All]" dimensionUniqueName="[Employee]" displayFolder="" count="0" unbalanced="0" hidden="1"/>
    <cacheHierarchy uniqueName="[Employee].[Team Hierarchie]" caption="Team Hierarchie" attribute="1" defaultMemberUniqueName="[Employee].[Team Hierarchie].[All]" allUniqueName="[Employee].[Team Hierarchie].[All]" dimensionUniqueName="[Employee]" displayFolder="" count="0" unbalanced="0" hidden="1"/>
    <cacheHierarchy uniqueName="[Forecast Transformation].[Forecast Load Date Id]" caption="Forecast Load Date Id" attribute="1" keyAttribute="1" defaultMemberUniqueName="[Forecast Transformation].[Forecast Load Date Id].[All]" allUniqueName="[Forecast Transformation].[Forecast Load Date Id].[All]" dimensionUniqueName="[Forecast Transformation]" displayFolder="" count="0" unbalanced="0" hidden="1"/>
    <cacheHierarchy uniqueName="[Forecast Transformation].[Transformation Time]" caption="Transformation Time" attribute="1" defaultMemberUniqueName="[Forecast Transformation].[Transformation Time].[All]" allUniqueName="[Forecast Transformation].[Transformation Time].[All]" dimensionUniqueName="[Forecast Transformation]" displayFolder="" count="0" unbalanced="0" hidden="1"/>
    <cacheHierarchy uniqueName="[Invoice].[Invoice Id]" caption="Invoice Id" attribute="1" keyAttribute="1" defaultMemberUniqueName="[Invoice].[Invoice Id].[All]" allUniqueName="[Invoice].[Invoice Id].[All]" dimensionUniqueName="[Invoice]" displayFolder="" count="0" unbalanced="0" hidden="1"/>
    <cacheHierarchy uniqueName="[Order].[KAM Code]" caption="KAM Code" attribute="1" defaultMemberUniqueName="[Order].[KAM Code].[All]" allUniqueName="[Order].[KAM Code].[All]" dimensionUniqueName="[Order]" displayFolder="" count="0" unbalanced="0" hidden="1"/>
    <cacheHierarchy uniqueName="[Order].[Order Position Id]" caption="Order Position Id" attribute="1" keyAttribute="1" defaultMemberUniqueName="[Order].[Order Position Id].[All]" allUniqueName="[Order].[Order Position Id].[All]" dimensionUniqueName="[Order]" displayFolder="" count="0" unbalanced="0" hidden="1"/>
    <cacheHierarchy uniqueName="[Order].[OrderCustomerH]" caption="OrderCustomerH" attribute="1" defaultMemberUniqueName="[Order].[OrderCustomerH].[All]" allUniqueName="[Order].[OrderCustomerH].[All]" dimensionUniqueName="[Order]" displayFolder="" count="0" unbalanced="0" hidden="1"/>
    <cacheHierarchy uniqueName="[Order].[OrderUnitH]" caption="OrderUnitH" attribute="1" defaultMemberUniqueName="[Order].[OrderUnitH].[All]" allUniqueName="[Order].[OrderUnitH].[All]" dimensionUniqueName="[Order]" displayFolder="" count="0" unbalanced="0" hidden="1"/>
    <cacheHierarchy uniqueName="[Order].[Project Manager Code]" caption="Project Manager Code" attribute="1" defaultMemberUniqueName="[Order].[Project Manager Code].[All]" allUniqueName="[Order].[Project Manager Code].[All]" dimensionUniqueName="[Order]" displayFolder="Order Organisation" count="0" unbalanced="0" hidden="1"/>
    <cacheHierarchy uniqueName="[Period].[Month Long]" caption="Month Long" attribute="1" time="1" defaultMemberUniqueName="[Period].[Month Long].[All]" allUniqueName="[Period].[Month Long].[All]" dimensionUniqueName="[Period]" displayFolder="Period" count="0" unbalanced="0" hidden="1"/>
    <cacheHierarchy uniqueName="[Period].[Month of Year]" caption="Month of Year" attribute="1" time="1" defaultMemberUniqueName="[Period].[Month of Year].[All]" allUniqueName="[Period].[Month of Year].[All]" dimensionUniqueName="[Period]" displayFolder="Period" count="0" unbalanced="0" hidden="1"/>
    <cacheHierarchy uniqueName="[Period].[Service Period Id]" caption="Service Period Id" attribute="1" time="1" keyAttribute="1" defaultMemberUniqueName="[Period].[Service Period Id].[All]" allUniqueName="[Period].[Service Period Id].[All]" dimensionUniqueName="[Period]" displayFolder="" count="0" unbalanced="0" hidden="1"/>
    <cacheHierarchy uniqueName="[Scenario].[Scenario Group]" caption="Scenario Group" attribute="1" defaultMemberUniqueName="[Scenario].[Scenario Group].[All]" allUniqueName="[Scenario].[Scenario Group].[All]" dimensionUniqueName="[Scenario]" displayFolder="" count="0" unbalanced="0" hidden="1"/>
    <cacheHierarchy uniqueName="[Scenario].[Scenario Id]" caption="Scenario Id" attribute="1" keyAttribute="1" defaultMemberUniqueName="[Scenario].[Scenario Id].[All]" allUniqueName="[Scenario].[Scenario Id].[All]" dimensionUniqueName="[Scenario]" displayFolder="" count="0" unbalanced="0" hidden="1"/>
    <cacheHierarchy uniqueName="[Service].[Service Id]" caption="Service Id" attribute="1" keyAttribute="1" defaultMemberUniqueName="[Service].[Service Id].[All]" allUniqueName="[Service].[Service Id].[All]" dimensionUniqueName="[Service]" displayFolder="" count="0" unbalanced="0" hidden="1"/>
    <cacheHierarchy uniqueName="[Service Text].[Servicetext Id]" caption="Servicetext Id" attribute="1" keyAttribute="1" defaultMemberUniqueName="[Service Text].[Servicetext Id].[All]" allUniqueName="[Service Text].[Servicetext Id].[All]" dimensionUniqueName="[Service Text]" displayFolder="" count="0" unbalanced="0" hidden="1"/>
    <cacheHierarchy uniqueName="[Transformation].[Load Date Id]" caption="Load Date Id" attribute="1" keyAttribute="1" defaultMemberUniqueName="[Transformation].[Load Date Id].[All]" allUniqueName="[Transformation].[Load Date Id].[All]" dimensionUniqueName="[Transformation]" displayFolder="" count="0" unbalanced="0" hidden="1"/>
    <cacheHierarchy uniqueName="[Transformation].[Transformation Date]" caption="Transformation Date" attribute="1" defaultMemberUniqueName="[Transformation].[Transformation Date].[All]" allUniqueName="[Transformation].[Transformation Date].[All]" dimensionUniqueName="[Transformation]" displayFolder="" count="0" unbalanced="0" hidden="1"/>
    <cacheHierarchy uniqueName="[User Access].[Access Id]" caption="Access Id" attribute="1" keyAttribute="1" defaultMemberUniqueName="[User Access].[Access Id].[All]" allUniqueName="[User Access].[Access Id].[All]" dimensionUniqueName="[User Access]" displayFolder="Access" count="0" unbalanced="0" hidden="1"/>
    <cacheHierarchy uniqueName="[User Access].[BDSAS]" caption="BDSAS" attribute="1" defaultMemberUniqueName="[User Access].[BDSAS].[All]" allUniqueName="[User Access].[BDSAS].[All]" dimensionUniqueName="[User Access]" displayFolder="Access" count="0" unbalanced="0" hidden="1"/>
    <cacheHierarchy uniqueName="[User Access].[BE]" caption="BE" attribute="1" defaultMemberUniqueName="[User Access].[BE].[All]" allUniqueName="[User Access].[BE].[All]" dimensionUniqueName="[User Access]" displayFolder="Access" count="0" unbalanced="0" hidden="1"/>
    <cacheHierarchy uniqueName="[User Access].[BEAD]" caption="BEAD" attribute="1" defaultMemberUniqueName="[User Access].[BEAD].[All]" allUniqueName="[User Access].[BEAD].[All]" dimensionUniqueName="[User Access]" displayFolder="Access" count="0" unbalanced="0" hidden="1"/>
    <cacheHierarchy uniqueName="[User Access].[BEAS]" caption="BEAS" attribute="1" defaultMemberUniqueName="[User Access].[BEAS].[All]" allUniqueName="[User Access].[BEAS].[All]" dimensionUniqueName="[User Access]" displayFolder="Access" count="0" unbalanced="0" hidden="1"/>
    <cacheHierarchy uniqueName="[User Access].[BEBI]" caption="BEBI" attribute="1" defaultMemberUniqueName="[User Access].[BEBI].[All]" allUniqueName="[User Access].[BEBI].[All]" dimensionUniqueName="[User Access]" displayFolder="Access" count="0" unbalanced="0" hidden="1"/>
    <cacheHierarchy uniqueName="[User Access].[BEIMS]" caption="BEIMS" attribute="1" defaultMemberUniqueName="[User Access].[BEIMS].[All]" allUniqueName="[User Access].[BEIMS].[All]" dimensionUniqueName="[User Access]" displayFolder="Access" count="0" unbalanced="0" hidden="1"/>
    <cacheHierarchy uniqueName="[User Access].[BIS]" caption="BIS" attribute="1" defaultMemberUniqueName="[User Access].[BIS].[All]" allUniqueName="[User Access].[BIS].[All]" dimensionUniqueName="[User Access]" displayFolder="Access" count="0" unbalanced="0" hidden="1"/>
    <cacheHierarchy uniqueName="[User Access].[BISAS]" caption="BISAS" attribute="1" defaultMemberUniqueName="[User Access].[BISAS].[All]" allUniqueName="[User Access].[BISAS].[All]" dimensionUniqueName="[User Access]" displayFolder="Access" count="0" unbalanced="0" hidden="1"/>
    <cacheHierarchy uniqueName="[User Access].[BS]" caption="BS" attribute="1" defaultMemberUniqueName="[User Access].[BS].[All]" allUniqueName="[User Access].[BS].[All]" dimensionUniqueName="[User Access]" displayFolder="Access" count="0" unbalanced="0" hidden="1"/>
    <cacheHierarchy uniqueName="[User Access].[BSAD]" caption="BSAD" attribute="1" defaultMemberUniqueName="[User Access].[BSAD].[All]" allUniqueName="[User Access].[BSAD].[All]" dimensionUniqueName="[User Access]" displayFolder="Access" count="0" unbalanced="0" hidden="1"/>
    <cacheHierarchy uniqueName="[User Access].[BSAS]" caption="BSAS" attribute="1" defaultMemberUniqueName="[User Access].[BSAS].[All]" allUniqueName="[User Access].[BSAS].[All]" dimensionUniqueName="[User Access]" displayFolder="Access" count="0" unbalanced="0" hidden="1"/>
    <cacheHierarchy uniqueName="[User Access].[BSBI]" caption="BSBI" attribute="1" defaultMemberUniqueName="[User Access].[BSBI].[All]" allUniqueName="[User Access].[BSBI].[All]" dimensionUniqueName="[User Access]" displayFolder="Access" count="0" unbalanced="0" hidden="1"/>
    <cacheHierarchy uniqueName="[User Access].[BSIMS]" caption="BSIMS" attribute="1" defaultMemberUniqueName="[User Access].[BSIMS].[All]" allUniqueName="[User Access].[BSIMS].[All]" dimensionUniqueName="[User Access]" displayFolder="Access" count="0" unbalanced="0" hidden="1"/>
    <cacheHierarchy uniqueName="[User Access].[BSPSD]" caption="BSPSD" attribute="1" defaultMemberUniqueName="[User Access].[BSPSD].[All]" allUniqueName="[User Access].[BSPSD].[All]" dimensionUniqueName="[User Access]" displayFolder="Access" count="0" unbalanced="0" hidden="1"/>
    <cacheHierarchy uniqueName="[User Access].[CCFS]" caption="CCFS" attribute="1" defaultMemberUniqueName="[User Access].[CCFS].[All]" allUniqueName="[User Access].[CCFS].[All]" dimensionUniqueName="[User Access]" displayFolder="Access" count="0" unbalanced="0" hidden="1"/>
    <cacheHierarchy uniqueName="[User Access].[CH]" caption="CH" attribute="1" defaultMemberUniqueName="[User Access].[CH].[All]" allUniqueName="[User Access].[CH].[All]" dimensionUniqueName="[User Access]" displayFolder="Access" count="0" unbalanced="0" hidden="1"/>
    <cacheHierarchy uniqueName="[User Access].[DE]" caption="DE" attribute="1" defaultMemberUniqueName="[User Access].[DE].[All]" allUniqueName="[User Access].[DE].[All]" dimensionUniqueName="[User Access]" displayFolder="Access" count="0" unbalanced="0" hidden="1"/>
    <cacheHierarchy uniqueName="[User Access].[DF]" caption="DF" attribute="1" defaultMemberUniqueName="[User Access].[DF].[All]" allUniqueName="[User Access].[DF].[All]" dimensionUniqueName="[User Access]" displayFolder="Access" count="0" unbalanced="0" hidden="1"/>
    <cacheHierarchy uniqueName="[User Access].[DFAD]" caption="DFAD" attribute="1" defaultMemberUniqueName="[User Access].[DFAD].[All]" allUniqueName="[User Access].[DFAD].[All]" dimensionUniqueName="[User Access]" displayFolder="Access" count="0" unbalanced="0" hidden="1"/>
    <cacheHierarchy uniqueName="[User Access].[DFAS]" caption="DFAS" attribute="1" defaultMemberUniqueName="[User Access].[DFAS].[All]" allUniqueName="[User Access].[DFAS].[All]" dimensionUniqueName="[User Access]" displayFolder="Access" count="0" unbalanced="0" hidden="1"/>
    <cacheHierarchy uniqueName="[User Access].[DFBI]" caption="DFBI" attribute="1" defaultMemberUniqueName="[User Access].[DFBI].[All]" allUniqueName="[User Access].[DFBI].[All]" dimensionUniqueName="[User Access]" displayFolder="Access" count="0" unbalanced="0" hidden="1"/>
    <cacheHierarchy uniqueName="[User Access].[DFIMS]" caption="DFIMS" attribute="1" defaultMemberUniqueName="[User Access].[DFIMS].[All]" allUniqueName="[User Access].[DFIMS].[All]" dimensionUniqueName="[User Access]" displayFolder="Access" count="0" unbalanced="0" hidden="1"/>
    <cacheHierarchy uniqueName="[User Access].[FAIT]" caption="FAIT" attribute="1" defaultMemberUniqueName="[User Access].[FAIT].[All]" allUniqueName="[User Access].[FAIT].[All]" dimensionUniqueName="[User Access]" displayFolder="Access" count="0" unbalanced="0" hidden="1"/>
    <cacheHierarchy uniqueName="[User Access].[FF]" caption="FF" attribute="1" defaultMemberUniqueName="[User Access].[FF].[All]" allUniqueName="[User Access].[FF].[All]" dimensionUniqueName="[User Access]" displayFolder="Access" count="0" unbalanced="0" hidden="1"/>
    <cacheHierarchy uniqueName="[User Access].[FFAD]" caption="FFAD" attribute="1" defaultMemberUniqueName="[User Access].[FFAD].[All]" allUniqueName="[User Access].[FFAD].[All]" dimensionUniqueName="[User Access]" displayFolder="Access" count="0" unbalanced="0" hidden="1"/>
    <cacheHierarchy uniqueName="[User Access].[FFAS]" caption="FFAS" attribute="1" defaultMemberUniqueName="[User Access].[FFAS].[All]" allUniqueName="[User Access].[FFAS].[All]" dimensionUniqueName="[User Access]" displayFolder="Access" count="0" unbalanced="0" hidden="1"/>
    <cacheHierarchy uniqueName="[User Access].[FFIMS]" caption="FFIMS" attribute="1" defaultMemberUniqueName="[User Access].[FFIMS].[All]" allUniqueName="[User Access].[FFIMS].[All]" dimensionUniqueName="[User Access]" displayFolder="Access" count="0" unbalanced="0" hidden="1"/>
    <cacheHierarchy uniqueName="[User Access].[FR]" caption="FR" attribute="1" defaultMemberUniqueName="[User Access].[FR].[All]" allUniqueName="[User Access].[FR].[All]" dimensionUniqueName="[User Access]" displayFolder="Access" count="0" unbalanced="0" hidden="1"/>
    <cacheHierarchy uniqueName="[User Access].[FRAS]" caption="FRAS" attribute="1" defaultMemberUniqueName="[User Access].[FRAS].[All]" allUniqueName="[User Access].[FRAS].[All]" dimensionUniqueName="[User Access]" displayFolder="Access" count="0" unbalanced="0" hidden="1"/>
    <cacheHierarchy uniqueName="[User Access].[HH]" caption="HH" attribute="1" defaultMemberUniqueName="[User Access].[HH].[All]" allUniqueName="[User Access].[HH].[All]" dimensionUniqueName="[User Access]" displayFolder="Access" count="0" unbalanced="0" hidden="1"/>
    <cacheHierarchy uniqueName="[User Access].[HHAD]" caption="HHAD" attribute="1" defaultMemberUniqueName="[User Access].[HHAD].[All]" allUniqueName="[User Access].[HHAD].[All]" dimensionUniqueName="[User Access]" displayFolder="Access" count="0" unbalanced="0" hidden="1"/>
    <cacheHierarchy uniqueName="[User Access].[HHAS]" caption="HHAS" attribute="1" defaultMemberUniqueName="[User Access].[HHAS].[All]" allUniqueName="[User Access].[HHAS].[All]" dimensionUniqueName="[User Access]" displayFolder="Access" count="0" unbalanced="0" hidden="1"/>
    <cacheHierarchy uniqueName="[User Access].[HHBI]" caption="HHBI" attribute="1" defaultMemberUniqueName="[User Access].[HHBI].[All]" allUniqueName="[User Access].[HHBI].[All]" dimensionUniqueName="[User Access]" displayFolder="Access" count="0" unbalanced="0" hidden="1"/>
    <cacheHierarchy uniqueName="[User Access].[HHIMS]" caption="HHIMS" attribute="1" defaultMemberUniqueName="[User Access].[HHIMS].[All]" allUniqueName="[User Access].[HHIMS].[All]" dimensionUniqueName="[User Access]" displayFolder="Access" count="0" unbalanced="0" hidden="1"/>
    <cacheHierarchy uniqueName="[User Access].[LS]" caption="LS" attribute="1" defaultMemberUniqueName="[User Access].[LS].[All]" allUniqueName="[User Access].[LS].[All]" dimensionUniqueName="[User Access]" displayFolder="Access" count="0" unbalanced="0" hidden="1"/>
    <cacheHierarchy uniqueName="[User Access].[LSAD]" caption="LSAD" attribute="1" defaultMemberUniqueName="[User Access].[LSAD].[All]" allUniqueName="[User Access].[LSAD].[All]" dimensionUniqueName="[User Access]" displayFolder="Access" count="0" unbalanced="0" hidden="1"/>
    <cacheHierarchy uniqueName="[User Access].[LSAS]" caption="LSAS" attribute="1" defaultMemberUniqueName="[User Access].[LSAS].[All]" allUniqueName="[User Access].[LSAS].[All]" dimensionUniqueName="[User Access]" displayFolder="Access" count="0" unbalanced="0" hidden="1"/>
    <cacheHierarchy uniqueName="[User Access].[LSBI]" caption="LSBI" attribute="1" defaultMemberUniqueName="[User Access].[LSBI].[All]" allUniqueName="[User Access].[LSBI].[All]" dimensionUniqueName="[User Access]" displayFolder="Access" count="0" unbalanced="0" hidden="1"/>
    <cacheHierarchy uniqueName="[User Access].[LSIMS]" caption="LSIMS" attribute="1" defaultMemberUniqueName="[User Access].[LSIMS].[All]" allUniqueName="[User Access].[LSIMS].[All]" dimensionUniqueName="[User Access]" displayFolder="Access" count="0" unbalanced="0" hidden="1"/>
    <cacheHierarchy uniqueName="[User Access].[MC]" caption="MC" attribute="1" defaultMemberUniqueName="[User Access].[MC].[All]" allUniqueName="[User Access].[MC].[All]" dimensionUniqueName="[User Access]" displayFolder="Access" count="0" unbalanced="0" hidden="1"/>
    <cacheHierarchy uniqueName="[User Access].[MU]" caption="MU" attribute="1" defaultMemberUniqueName="[User Access].[MU].[All]" allUniqueName="[User Access].[MU].[All]" dimensionUniqueName="[User Access]" displayFolder="Access" count="0" unbalanced="0" hidden="1"/>
    <cacheHierarchy uniqueName="[User Access].[MUAD]" caption="MUAD" attribute="1" defaultMemberUniqueName="[User Access].[MUAD].[All]" allUniqueName="[User Access].[MUAD].[All]" dimensionUniqueName="[User Access]" displayFolder="Access" count="0" unbalanced="0" hidden="1"/>
    <cacheHierarchy uniqueName="[User Access].[MUAS]" caption="MUAS" attribute="1" defaultMemberUniqueName="[User Access].[MUAS].[All]" allUniqueName="[User Access].[MUAS].[All]" dimensionUniqueName="[User Access]" displayFolder="Access" count="0" unbalanced="0" hidden="1"/>
    <cacheHierarchy uniqueName="[User Access].[MUBI]" caption="MUBI" attribute="1" defaultMemberUniqueName="[User Access].[MUBI].[All]" allUniqueName="[User Access].[MUBI].[All]" dimensionUniqueName="[User Access]" displayFolder="Access" count="0" unbalanced="0" hidden="1"/>
    <cacheHierarchy uniqueName="[User Access].[MUIMS]" caption="MUIMS" attribute="1" defaultMemberUniqueName="[User Access].[MUIMS].[All]" allUniqueName="[User Access].[MUIMS].[All]" dimensionUniqueName="[User Access]" displayFolder="Access" count="0" unbalanced="0" hidden="1"/>
    <cacheHierarchy uniqueName="[User Access].[ST]" caption="ST" attribute="1" defaultMemberUniqueName="[User Access].[ST].[All]" allUniqueName="[User Access].[ST].[All]" dimensionUniqueName="[User Access]" displayFolder="Access" count="0" unbalanced="0" hidden="1"/>
    <cacheHierarchy uniqueName="[User Access].[STAD]" caption="STAD" attribute="1" defaultMemberUniqueName="[User Access].[STAD].[All]" allUniqueName="[User Access].[STAD].[All]" dimensionUniqueName="[User Access]" displayFolder="Access" count="0" unbalanced="0" hidden="1"/>
    <cacheHierarchy uniqueName="[User Access].[STAFF]" caption="STAFF" attribute="1" defaultMemberUniqueName="[User Access].[STAFF].[All]" allUniqueName="[User Access].[STAFF].[All]" dimensionUniqueName="[User Access]" displayFolder="Access" count="0" unbalanced="0" hidden="1"/>
    <cacheHierarchy uniqueName="[User Access].[STAS]" caption="STAS" attribute="1" defaultMemberUniqueName="[User Access].[STAS].[All]" allUniqueName="[User Access].[STAS].[All]" dimensionUniqueName="[User Access]" displayFolder="Access" count="0" unbalanced="0" hidden="1"/>
    <cacheHierarchy uniqueName="[User Access].[STBI]" caption="STBI" attribute="1" defaultMemberUniqueName="[User Access].[STBI].[All]" allUniqueName="[User Access].[STBI].[All]" dimensionUniqueName="[User Access]" displayFolder="Access" count="0" unbalanced="0" hidden="1"/>
    <cacheHierarchy uniqueName="[User Access].[STIMS]" caption="STIMS" attribute="1" defaultMemberUniqueName="[User Access].[STIMS].[All]" allUniqueName="[User Access].[STIMS].[All]" dimensionUniqueName="[User Access]" displayFolder="Access" count="0" unbalanced="0" hidden="1"/>
    <cacheHierarchy uniqueName="[User Access].[TR]" caption="TR" attribute="1" defaultMemberUniqueName="[User Access].[TR].[All]" allUniqueName="[User Access].[TR].[All]" dimensionUniqueName="[User Access]" displayFolder="Access" count="0" unbalanced="0" hidden="1"/>
    <cacheHierarchy uniqueName="[User Access].[TRAS]" caption="TRAS" attribute="1" defaultMemberUniqueName="[User Access].[TRAS].[All]" allUniqueName="[User Access].[TRAS].[All]" dimensionUniqueName="[User Access]" displayFolder="Access" count="0" unbalanced="0" hidden="1"/>
    <cacheHierarchy uniqueName="[User Access].[TRCH]" caption="TRCH" attribute="1" defaultMemberUniqueName="[User Access].[TRCH].[All]" allUniqueName="[User Access].[TRCH].[All]" dimensionUniqueName="[User Access]" displayFolder="Access" count="0" unbalanced="0" hidden="1"/>
    <cacheHierarchy uniqueName="[User Access].[TRDE]" caption="TRDE" attribute="1" defaultMemberUniqueName="[User Access].[TRDE].[All]" allUniqueName="[User Access].[TRDE].[All]" dimensionUniqueName="[User Access]" displayFolder="Access" count="0" unbalanced="0" hidden="1"/>
    <cacheHierarchy uniqueName="[User Access].[WI]" caption="WI" attribute="1" defaultMemberUniqueName="[User Access].[WI].[All]" allUniqueName="[User Access].[WI].[All]" dimensionUniqueName="[User Access]" displayFolder="Access" count="0" unbalanced="0" hidden="1"/>
    <cacheHierarchy uniqueName="[User Access].[WIAD]" caption="WIAD" attribute="1" defaultMemberUniqueName="[User Access].[WIAD].[All]" allUniqueName="[User Access].[WIAD].[All]" dimensionUniqueName="[User Access]" displayFolder="Access" count="0" unbalanced="0" hidden="1"/>
    <cacheHierarchy uniqueName="[User Access].[WIAS]" caption="WIAS" attribute="1" defaultMemberUniqueName="[User Access].[WIAS].[All]" allUniqueName="[User Access].[WIAS].[All]" dimensionUniqueName="[User Access]" displayFolder="Access" count="0" unbalanced="0" hidden="1"/>
    <cacheHierarchy uniqueName="[User Access].[WIBI]" caption="WIBI" attribute="1" defaultMemberUniqueName="[User Access].[WIBI].[All]" allUniqueName="[User Access].[WIBI].[All]" dimensionUniqueName="[User Access]" displayFolder="Access" count="0" unbalanced="0" hidden="1"/>
    <cacheHierarchy uniqueName="[User Access].[WIIMS]" caption="WIIMS" attribute="1" defaultMemberUniqueName="[User Access].[WIIMS].[All]" allUniqueName="[User Access].[WIIMS].[All]" dimensionUniqueName="[User Access]" displayFolder="Access" count="0" unbalanced="0" hidden="1"/>
    <cacheHierarchy uniqueName="[User Access].[ZH]" caption="ZH" attribute="1" defaultMemberUniqueName="[User Access].[ZH].[All]" allUniqueName="[User Access].[ZH].[All]" dimensionUniqueName="[User Access]" displayFolder="Access" count="0" unbalanced="0" hidden="1"/>
    <cacheHierarchy uniqueName="[User Access].[ZHAD]" caption="ZHAD" attribute="1" defaultMemberUniqueName="[User Access].[ZHAD].[All]" allUniqueName="[User Access].[ZHAD].[All]" dimensionUniqueName="[User Access]" displayFolder="Access" count="0" unbalanced="0" hidden="1"/>
    <cacheHierarchy uniqueName="[User Access].[ZHAS]" caption="ZHAS" attribute="1" defaultMemberUniqueName="[User Access].[ZHAS].[All]" allUniqueName="[User Access].[ZHAS].[All]" dimensionUniqueName="[User Access]" displayFolder="Access" count="0" unbalanced="0" hidden="1"/>
    <cacheHierarchy uniqueName="[User Access].[ZHBI]" caption="ZHBI" attribute="1" defaultMemberUniqueName="[User Access].[ZHBI].[All]" allUniqueName="[User Access].[ZHBI].[All]" dimensionUniqueName="[User Access]" displayFolder="Access" count="0" unbalanced="0" hidden="1"/>
    <cacheHierarchy uniqueName="[User Access].[ZHIMS]" caption="ZHIMS" attribute="1" defaultMemberUniqueName="[User Access].[ZHIMS].[All]" allUniqueName="[User Access].[ZHIMS].[All]" dimensionUniqueName="[User Access]" displayFolder="Access" count="0" unbalanced="0" hidden="1"/>
    <cacheHierarchy uniqueName="[User Access].[ZHPSD]" caption="ZHPSD" attribute="1" defaultMemberUniqueName="[User Access].[ZHPSD].[All]" allUniqueName="[User Access].[ZHPSD].[All]" dimensionUniqueName="[User Access]" displayFolder="Access" count="0" unbalanced="0" hidden="1"/>
    <cacheHierarchy uniqueName="[Measures].[HC]" caption="HC" measure="1" displayFolder="Employee Measures" measureGroup="Trimaran" count="0"/>
    <cacheHierarchy uniqueName="[Measures].[Employee Entries]" caption="Employee Entries" measure="1" displayFolder="Employee Measures" measureGroup="Trimaran" count="0"/>
    <cacheHierarchy uniqueName="[Measures].[Employee Exits]" caption="Employee Exits" measure="1" displayFolder="Employee Measures" measureGroup="Trimaran" count="0"/>
    <cacheHierarchy uniqueName="[Measures].[CHF incl VAT]" caption="CHF incl VAT" measure="1" displayFolder="Calculated Measures" measureGroup="Trimaran" count="0"/>
    <cacheHierarchy uniqueName="[Measures].[EUR incl VAT]" caption="EUR incl VAT" measure="1" displayFolder="Calculated Measures" measureGroup="Trimaran" count="0"/>
    <cacheHierarchy uniqueName="[Measures].[Orders]" caption="Orders" measure="1" displayFolder="Opportunity Measures" measureGroup="Trimaran" count="0"/>
    <cacheHierarchy uniqueName="[Measures].[Order Completion]" caption="Order Completion" measure="1" displayFolder="Calculated Measures" measureGroup="Trimaran" count="0"/>
    <cacheHierarchy uniqueName="[Measures].[CHF]" caption="CHF" measure="1" displayFolder="Calculated Measures" count="0" oneField="1">
      <fieldsUsage count="1">
        <fieldUsage x="4"/>
      </fieldsUsage>
    </cacheHierarchy>
    <cacheHierarchy uniqueName="[Measures].[EUR]" caption="EUR" measure="1" displayFolder="Calculated Measures" count="0" oneField="1">
      <fieldsUsage count="1">
        <fieldUsage x="3"/>
      </fieldsUsage>
    </cacheHierarchy>
    <cacheHierarchy uniqueName="[Measures].[Hours]" caption="Hours" measure="1" displayFolder="" count="0" oneField="1">
      <fieldsUsage count="1">
        <fieldUsage x="1"/>
      </fieldsUsage>
    </cacheHierarchy>
    <cacheHierarchy uniqueName="[Measures].[Regular Working Hours]" caption="Regular Working Hours" measure="1" displayFolder="Utilisation Measures" count="0"/>
    <cacheHierarchy uniqueName="[Measures].[Employee Yearly Fluctuation]" caption="Employee Yearly Fluctuation" measure="1" displayFolder="Employee Measures" count="0"/>
    <cacheHierarchy uniqueName="[Measures].[Employee Monthly Fluctuation]" caption="Employee Monthly Fluctuation" measure="1" displayFolder="Employee Measures" count="0"/>
    <cacheHierarchy uniqueName="[Measures].[FTE]" caption="FTE" measure="1" displayFolder="" count="0"/>
    <cacheHierarchy uniqueName="[Measures].[CHF / Employee]" caption="CHF / Employee" measure="1" displayFolder="Employee Measures" count="0"/>
    <cacheHierarchy uniqueName="[Measures].[Hours / Employee]" caption="Hours / Employee" measure="1" displayFolder="Employee Measures" measureGroup="Trimaran" count="0"/>
    <cacheHierarchy uniqueName="[Measures].[mio CHF]" caption="mio CHF" measure="1" displayFolder="Calculated Measures" count="0"/>
    <cacheHierarchy uniqueName="[Measures].[Employee Net Entries/Exits]" caption="Employee Net Entries/Exits" measure="1" displayFolder="Employee Measures" count="0"/>
    <cacheHierarchy uniqueName="[Measures].[mio EUR]" caption="mio EUR" measure="1" displayFolder="Calculated Measures" count="0"/>
    <cacheHierarchy uniqueName="[Measures].[k CHF]" caption="k CHF" measure="1" displayFolder="" count="0"/>
    <cacheHierarchy uniqueName="[Measures].[k EUR]" caption="k EUR" measure="1" displayFolder="" count="0"/>
    <cacheHierarchy uniqueName="[Measures].[B Utilisation]" caption="B Utilisation" measure="1" displayFolder="Utilisation Measures" count="0"/>
    <cacheHierarchy uniqueName="[Measures].[C Utilisation]" caption="C Utilisation" measure="1" displayFolder="Utilisation Measures" count="0"/>
    <cacheHierarchy uniqueName="[Measures].[A Utilisation]" caption="A Utilisation" measure="1" displayFolder="Utilisation Measures" count="0"/>
    <cacheHierarchy uniqueName="[Measures].[Utilisation Signal]" caption="Utilisation Signal" measure="1" displayFolder="Utilisation Measures" count="0"/>
    <cacheHierarchy uniqueName="[Measures].[B Utilisation Signal]" caption="B Utilisation Signal" measure="1" displayFolder="Utilisation Measures" count="0"/>
    <cacheHierarchy uniqueName="[Measures].[A Utilisation Signal]" caption="A Utilisation Signal" measure="1" displayFolder="Utilisation Measures" count="0"/>
    <cacheHierarchy uniqueName="[Measures].[C Utilisation Signal]" caption="C Utilisation Signal" measure="1" displayFolder="Utilisation Measures" count="0"/>
    <cacheHierarchy uniqueName="[Measures].[Hourly rate CHF]" caption="Hourly rate CHF" measure="1" displayFolder="Calculated Measures" count="0"/>
    <cacheHierarchy uniqueName="[Measures].[Expected hours (internal)]" caption="Expected hours (internal)" measure="1" displayFolder="Calculated Measures" count="0"/>
    <cacheHierarchy uniqueName="[Measures].[Open hours (internal)]" caption="Open hours (internal)" measure="1" displayFolder="Calculated Measures" count="0"/>
    <cacheHierarchy uniqueName="[Measures].[Open Revenue CHF]" caption="Open Revenue CHF" measure="1" displayFolder="Calculated Measures" count="0"/>
    <cacheHierarchy uniqueName="[Measures].[Open Revenue EUR]" caption="Open Revenue EUR" measure="1" displayFolder="Calculated Measures" count="0"/>
    <cacheHierarchy uniqueName="[Measures].[Hourly rate EUR]" caption="Hourly rate EUR" measure="1" displayFolder="Calculated Measures" count="0"/>
    <cacheHierarchy uniqueName="[Measures].[Utilisation]" caption="Utilisation" measure="1" displayFolder="Utilisation Measures" count="0"/>
    <cacheHierarchy uniqueName="[Measures].[Order Entry CHF]" caption="Order Entry CHF" measure="1" displayFolder="Calculated Measures" measureGroup="Trimaran" count="0"/>
    <cacheHierarchy uniqueName="[Measures].[Order Entry k CHF]" caption="Order Entry k CHF" measure="1" displayFolder="" count="0"/>
    <cacheHierarchy uniqueName="[Measures].[Order Entry EUR]" caption="Order Entry EUR" measure="1" displayFolder="Calculated Measures" measureGroup="Trimaran" count="0"/>
    <cacheHierarchy uniqueName="[Measures].[Order Entry k EUR]" caption="Order Entry k EUR" measure="1" displayFolder="" count="0"/>
    <cacheHierarchy uniqueName="[Measures].[Order Entry Weight CHF]" caption="Order Entry Weight CHF" measure="1" displayFolder="Opportunity Measures" measureGroup="Trimaran" count="0"/>
    <cacheHierarchy uniqueName="[Measures].[Order Entry Weight k CHF]" caption="Order Entry Weight k CHF" measure="1" displayFolder="Opportunity Measures" measureGroup="Trimaran" count="0"/>
    <cacheHierarchy uniqueName="[Measures].[Order Entry Weight EUR]" caption="Order Entry Weight EUR" measure="1" displayFolder="Opportunity Measures" measureGroup="Trimaran" count="0"/>
    <cacheHierarchy uniqueName="[Measures].[Order Entry Weight k EUR]" caption="Order Entry Weight k EUR" measure="1" displayFolder="Opportunity Measures" measureGroup="Trimaran" count="0"/>
    <cacheHierarchy uniqueName="[Measures].[Revenue % of Order Entry]" caption="Revenue % of Order Entry" measure="1" displayFolder="Calculated Measures" measureGroup="Trimaran" count="0"/>
    <cacheHierarchy uniqueName="[Measures].[Probability]" caption="Probability" measure="1" displayFolder="Opportunity Measures" count="0"/>
    <cacheHierarchy uniqueName="[Measures].[CHF_Measure]" caption="CHF_Measure" measure="1" displayFolder="" measureGroup="Trimaran" count="0" hidden="1"/>
    <cacheHierarchy uniqueName="[Measures].[EUR_Measure]" caption="EUR_Measure" measure="1" displayFolder="" measureGroup="Trimaran" count="0" hidden="1"/>
    <cacheHierarchy uniqueName="[Measures].[Hours_Measure]" caption="Hours_Measure" measure="1" displayFolder="" measureGroup="Trimaran" count="0" hidden="1"/>
    <cacheHierarchy uniqueName="[Measures].[RegularWorkingHours_Measure]" caption="RegularWorkingHours_Measure" measure="1" displayFolder="" measureGroup="Trimaran" count="0" hidden="1"/>
    <cacheHierarchy uniqueName="[Measures].[FTE_Measure]" caption="FTE_Measure" measure="1" displayFolder="" measureGroup="Trimaran" count="0" hidden="1"/>
    <cacheHierarchy uniqueName="[Measures].[Expected Revenue CHF_Measure]" caption="Expected Revenue CHF_Measure" measure="1" displayFolder="" measureGroup="Trimaran" count="0" hidden="1"/>
    <cacheHierarchy uniqueName="[Measures].[Expected Revenue EUR_Measure]" caption="Expected Revenue EUR_Measure" measure="1" displayFolder="" measureGroup="Trimaran" count="0" hidden="1"/>
    <cacheHierarchy uniqueName="[Measures].[Level A Hours]" caption="Level A Hours" measure="1" displayFolder="" measureGroup="Trimaran" count="0" hidden="1"/>
    <cacheHierarchy uniqueName="[Measures].[Level B Hours]" caption="Level B Hours" measure="1" displayFolder="" measureGroup="Trimaran" count="0" hidden="1"/>
    <cacheHierarchy uniqueName="[Measures].[Level C Hours]" caption="Level C Hours" measure="1" displayFolder="" measureGroup="Trimaran" count="0" hidden="1"/>
    <cacheHierarchy uniqueName="[Measures].[Total Access]" caption="Total Access" measure="1" displayFolder="" measureGroup="Trimaran" count="0" hidden="1"/>
    <cacheHierarchy uniqueName="[Measures].[Limited Access]" caption="Limited Access" measure="1" displayFolder="" measureGroup="Trimaran" count="0" hidden="1"/>
    <cacheHierarchy uniqueName="[Measures].[Expected Revenue Weight CHF_Measure]" caption="Expected Revenue Weight CHF_Measure" measure="1" displayFolder="Opportunity Measures" measureGroup="Trimaran" count="0" hidden="1"/>
    <cacheHierarchy uniqueName="[Measures].[Expected Revenue Weight EUR_Measure]" caption="Expected Revenue Weight EUR_Measure" measure="1" displayFolder="Opportunity Measures" measureGroup="Trimaran" count="0" hidden="1"/>
  </cacheHierarchies>
  <kpis count="0"/>
  <dimensions count="9">
    <dimension name="Account" uniqueName="[Account]" caption="Account"/>
    <dimension name="Employee" uniqueName="[Employee]" caption="Employee"/>
    <dimension name="Invoice" uniqueName="[Invoice]" caption="Invoice"/>
    <dimension measure="1" name="Measures" uniqueName="[Measures]" caption="Measures"/>
    <dimension name="Order" uniqueName="[Order]" caption="Order"/>
    <dimension name="Period" uniqueName="[Period]" caption="Period"/>
    <dimension name="Scenario" uniqueName="[Scenario]" caption="Scenario"/>
    <dimension name="Service" uniqueName="[Service]" caption="Service"/>
    <dimension name="Service Text" uniqueName="[Service Text]" caption="Service Text"/>
  </dimensions>
  <measureGroups count="1">
    <measureGroup name="Trimaran" caption="Trimaran"/>
  </measureGroups>
  <maps count="8">
    <map measureGroup="0" dimension="0"/>
    <map measureGroup="0" dimension="1"/>
    <map measureGroup="0" dimension="2"/>
    <map measureGroup="0" dimension="4"/>
    <map measureGroup="0" dimension="5"/>
    <map measureGroup="0" dimension="6"/>
    <map measureGroup="0" dimension="7"/>
    <map measureGroup="0"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Christoph Kappler" refreshedDate="41410.502172337961" backgroundQuery="1" createdVersion="4" refreshedVersion="4" minRefreshableVersion="3" recordCount="0" supportSubquery="1" supportAdvancedDrill="1">
  <cacheSource type="external" connectionId="1"/>
  <cacheFields count="1">
    <cacheField name="[Order].[Order].[Order]" caption="Order" numFmtId="0" hierarchy="76" level="1">
      <sharedItems containsSemiMixedTypes="0" containsString="0"/>
    </cacheField>
  </cacheFields>
  <cacheHierarchies count="285">
    <cacheHierarchy uniqueName="[Account].[Account]" caption="Account" attribute="1" defaultMemberUniqueName="[Account].[Account].[All]" allUniqueName="[Account].[Account].[All]" dimensionUniqueName="[Account]" displayFolder="Account" count="0" unbalanced="0"/>
    <cacheHierarchy uniqueName="[Account].[Account Group]" caption="Account Group" attribute="1" defaultMemberUniqueName="[Account].[Account Group].[All]" allUniqueName="[Account].[Account Group].[All]" dimensionUniqueName="[Account]" displayFolder="Account Structure" count="0" unbalanced="0"/>
    <cacheHierarchy uniqueName="[Account].[Account Group New]" caption="Account Group New" attribute="1" defaultMemberUniqueName="[Account].[Account Group New].[All]" allUniqueName="[Account].[Account Group New].[All]" dimensionUniqueName="[Account]" displayFolder="Account Structure" count="0" unbalanced="0"/>
    <cacheHierarchy uniqueName="[Account].[Account Main Group]" caption="Account Main Group" attribute="1" defaultMemberUniqueName="[Account].[Account Main Group].[All]" allUniqueName="[Account].[Account Main Group].[All]" dimensionUniqueName="[Account]" displayFolder="Account Structure" count="0" unbalanced="0"/>
    <cacheHierarchy uniqueName="[Account].[Account Type]" caption="Account Type" attribute="1" defaultMemberUniqueName="[Account].[Account Type].[All]" allUniqueName="[Account].[Account Type].[All]" dimensionUniqueName="[Account]" displayFolder="Account" count="0" unbalanced="0"/>
    <cacheHierarchy uniqueName="[Account].[Account View]" caption="Account View" attribute="1" defaultMemberUniqueName="[Account].[Account View].[All]" allUniqueName="[Account].[Account View].[All]" dimensionUniqueName="[Account]" displayFolder="Account" count="0" unbalanced="0"/>
    <cacheHierarchy uniqueName="[Account].[Accountnumber]" caption="Accountnumber" attribute="1" defaultMemberUniqueName="[Account].[Accountnumber].[All]" allUniqueName="[Account].[Accountnumber].[All]" dimensionUniqueName="[Account]" displayFolder="Account" count="0" unbalanced="0"/>
    <cacheHierarchy uniqueName="[Account].[Accounts Hierarchy]" caption="Accounts Hierarchy" defaultMemberUniqueName="[Account].[Accounts Hierarchy].[All]" allUniqueName="[Account].[Accounts Hierarchy].[All]" dimensionUniqueName="[Account]" displayFolder="" count="0" unbalanced="0"/>
    <cacheHierarchy uniqueName="[Account].[CM1]" caption="CM1" attribute="1" defaultMemberUniqueName="[Account].[CM1].[All]" allUniqueName="[Account].[CM1].[All]" dimensionUniqueName="[Account]" displayFolder="Account Structure" count="0" unbalanced="0"/>
    <cacheHierarchy uniqueName="[Account].[CM2]" caption="CM2" attribute="1" defaultMemberUniqueName="[Account].[CM2].[All]" allUniqueName="[Account].[CM2].[All]" dimensionUniqueName="[Account]" displayFolder="Account Structure" count="0" unbalanced="0"/>
    <cacheHierarchy uniqueName="[Account].[CM3]" caption="CM3" attribute="1" defaultMemberUniqueName="[Account].[CM3].[All]" allUniqueName="[Account].[CM3].[All]" dimensionUniqueName="[Account]" displayFolder="Account Structure" count="0" unbalanced="0"/>
    <cacheHierarchy uniqueName="[Account].[EBDIT]" caption="EBDIT" attribute="1" defaultMemberUniqueName="[Account].[EBDIT].[All]" allUniqueName="[Account].[EBDIT].[All]" dimensionUniqueName="[Account]" displayFolder="Account Structure" count="0" unbalanced="0"/>
    <cacheHierarchy uniqueName="[Account].[EBIT]" caption="EBIT" attribute="1" defaultMemberUniqueName="[Account].[EBIT].[All]" allUniqueName="[Account].[EBIT].[All]" dimensionUniqueName="[Account]" displayFolder="Account Structure" count="0" unbalanced="0"/>
    <cacheHierarchy uniqueName="[Account].[IBT]" caption="IBT" attribute="1" defaultMemberUniqueName="[Account].[IBT].[All]" allUniqueName="[Account].[IBT].[All]" dimensionUniqueName="[Account]" displayFolder="Account Structure" count="0" unbalanced="0"/>
    <cacheHierarchy uniqueName="[Account].[Net Income]" caption="Net Income" attribute="1" defaultMemberUniqueName="[Account].[Net Income].[All]" allUniqueName="[Account].[Net Income].[All]" dimensionUniqueName="[Account]" displayFolder="Account Structure" count="0" unbalanced="0"/>
    <cacheHierarchy uniqueName="[Employee].[Age]" caption="Age" attribute="1" defaultMemberUniqueName="[Employee].[Age].[All]" allUniqueName="[Employee].[Age].[All]" dimensionUniqueName="[Employee]" displayFolder="Employee" count="0" unbalanced="0"/>
    <cacheHierarchy uniqueName="[Employee].[Agegroup]" caption="Agegroup" attribute="1" defaultMemberUniqueName="[Employee].[Agegroup].[All]" allUniqueName="[Employee].[Agegroup].[All]" dimensionUniqueName="[Employee]" displayFolder="Employee" count="0" unbalanced="0"/>
    <cacheHierarchy uniqueName="[Employee].[Birthday]" caption="Birthday" attribute="1" defaultMemberUniqueName="[Employee].[Birthday].[All]" allUniqueName="[Employee].[Birthday].[All]" dimensionUniqueName="[Employee]" displayFolder="Employee" count="0" unbalanced="0"/>
    <cacheHierarchy uniqueName="[Employee].[Cost Unit]" caption="Cost Unit" attribute="1" defaultMemberUniqueName="[Employee].[Cost Unit].[All]" allUniqueName="[Employee].[Cost Unit].[All]" dimensionUniqueName="[Employee]" displayFolder="Employee Organisation" count="0" unbalanced="0"/>
    <cacheHierarchy uniqueName="[Employee].[Current Status]" caption="Current Status" attribute="1" defaultMemberUniqueName="[Employee].[Current Status].[All]" allUniqueName="[Employee].[Current Status].[All]" dimensionUniqueName="[Employee]" displayFolder="Employee" count="0" unbalanced="0"/>
    <cacheHierarchy uniqueName="[Employee].[Education Category]" caption="Education Category" attribute="1" defaultMemberUniqueName="[Employee].[Education Category].[All]" allUniqueName="[Employee].[Education Category].[All]" dimensionUniqueName="[Employee]" displayFolder="Employee" count="0" unbalanced="0"/>
    <cacheHierarchy uniqueName="[Employee].[Email]" caption="Email" attribute="1" defaultMemberUniqueName="[Employee].[Email].[All]" allUniqueName="[Employee].[Email].[All]" dimensionUniqueName="[Employee]" displayFolder="Employee" count="0" unbalanced="0"/>
    <cacheHierarchy uniqueName="[Employee].[Employee]" caption="Employee" attribute="1" defaultMemberUniqueName="[Employee].[Employee].[All]" allUniqueName="[Employee].[Employee].[All]" dimensionUniqueName="[Employee]" displayFolder="Employee" count="0" unbalanced="0"/>
    <cacheHierarchy uniqueName="[Employee].[Employee Code]" caption="Employee Code" attribute="1" defaultMemberUniqueName="[Employee].[Employee Code].[All]" allUniqueName="[Employee].[Employee Code].[All]" dimensionUniqueName="[Employee]" displayFolder="Employee" count="0" unbalanced="0"/>
    <cacheHierarchy uniqueName="[Employee].[Employee Company]" caption="Employee Company" attribute="1" defaultMemberUniqueName="[Employee].[Employee Company].[All]" allUniqueName="[Employee].[Employee Company].[All]" dimensionUniqueName="[Employee]" displayFolder="Employee Organisation" count="0" unbalanced="0"/>
    <cacheHierarchy uniqueName="[Employee].[Employee Country]" caption="Employee Country" attribute="1" defaultMemberUniqueName="[Employee].[Employee Country].[All]" allUniqueName="[Employee].[Employee Country].[All]" dimensionUniqueName="[Employee]" displayFolder="Employee Organisation" count="0" unbalanced="0"/>
    <cacheHierarchy uniqueName="[Employee].[Employee Division]" caption="Employee Division" attribute="1" defaultMemberUniqueName="[Employee].[Employee Division].[All]" allUniqueName="[Employee].[Employee Division].[All]" dimensionUniqueName="[Employee]" displayFolder="Employee Organisation" count="0" unbalanced="0"/>
    <cacheHierarchy uniqueName="[Employee].[Employee Entry]" caption="Employee Entry" attribute="1" defaultMemberUniqueName="[Employee].[Employee Entry].[All]" allUniqueName="[Employee].[Employee Entry].[All]" dimensionUniqueName="[Employee]" displayFolder="Employee" count="0" unbalanced="0"/>
    <cacheHierarchy uniqueName="[Employee].[Employee Exit]" caption="Employee Exit" attribute="1" defaultMemberUniqueName="[Employee].[Employee Exit].[All]" allUniqueName="[Employee].[Employee Exit].[All]" dimensionUniqueName="[Employee]" displayFolder="Employee" count="0" unbalanced="0"/>
    <cacheHierarchy uniqueName="[Employee].[Employee Function]" caption="Employee Function" attribute="1" defaultMemberUniqueName="[Employee].[Employee Function].[All]" allUniqueName="[Employee].[Employee Function].[All]" dimensionUniqueName="[Employee]" displayFolder="Employee Function" count="0" unbalanced="0"/>
    <cacheHierarchy uniqueName="[Employee].[Employee Function Group]" caption="Employee Function Group" attribute="1" defaultMemberUniqueName="[Employee].[Employee Function Group].[All]" allUniqueName="[Employee].[Employee Function Group].[All]" dimensionUniqueName="[Employee]" displayFolder="Employee Function" count="0" unbalanced="0"/>
    <cacheHierarchy uniqueName="[Employee].[Employee Hierarchy]" caption="Employee Hierarchy" defaultMemberUniqueName="[Employee].[Employee Hierarchy].[All]" allUniqueName="[Employee].[Employee Hierarchy].[All]" dimensionUniqueName="[Employee]" displayFolder="" count="0" unbalanced="0"/>
    <cacheHierarchy uniqueName="[Employee].[Employee Location]" caption="Employee Location" attribute="1" defaultMemberUniqueName="[Employee].[Employee Location].[All]" allUniqueName="[Employee].[Employee Location].[All]" dimensionUniqueName="[Employee]" displayFolder="Employee Organisation" count="0" unbalanced="0"/>
    <cacheHierarchy uniqueName="[Employee].[Employee Location Code]" caption="Employee Location Code" attribute="1" defaultMemberUniqueName="[Employee].[Employee Location Code].[All]" allUniqueName="[Employee].[Employee Location Code].[All]" dimensionUniqueName="[Employee]" displayFolder="Employee Organisation" count="0" unbalanced="0"/>
    <cacheHierarchy uniqueName="[Employee].[Employee Number]" caption="Employee Number" attribute="1" defaultMemberUniqueName="[Employee].[Employee Number].[All]" allUniqueName="[Employee].[Employee Number].[All]" dimensionUniqueName="[Employee]" displayFolder="Employee" count="0" unbalanced="0"/>
    <cacheHierarchy uniqueName="[Employee].[Employee Solution]" caption="Employee Solution" attribute="1" defaultMemberUniqueName="[Employee].[Employee Solution].[All]" allUniqueName="[Employee].[Employee Solution].[All]" dimensionUniqueName="[Employee]" displayFolder="Employee Organisation" count="0" unbalanced="0"/>
    <cacheHierarchy uniqueName="[Employee].[Employee Team]" caption="Employee Team" attribute="1" defaultMemberUniqueName="[Employee].[Employee Team].[All]" allUniqueName="[Employee].[Employee Team].[All]" dimensionUniqueName="[Employee]" displayFolder="Employee Organisation" count="0" unbalanced="0"/>
    <cacheHierarchy uniqueName="[Employee].[Employee Unit]" caption="Employee Unit" attribute="1" defaultMemberUniqueName="[Employee].[Employee Unit].[All]" allUniqueName="[Employee].[Employee Unit].[All]" dimensionUniqueName="[Employee]" displayFolder="Employee Organisation" count="0" unbalanced="0"/>
    <cacheHierarchy uniqueName="[Employee].[Employee Unit Code]" caption="Employee Unit Code" attribute="1" defaultMemberUniqueName="[Employee].[Employee Unit Code].[All]" allUniqueName="[Employee].[Employee Unit Code].[All]" dimensionUniqueName="[Employee]" displayFolder="Employee Organisation" count="0" unbalanced="0"/>
    <cacheHierarchy uniqueName="[Employee].[Employment Duration]" caption="Employment Duration" attribute="1" defaultMemberUniqueName="[Employee].[Employment Duration].[All]" allUniqueName="[Employee].[Employment Duration].[All]" dimensionUniqueName="[Employee]" displayFolder="Employee" count="0" unbalanced="0"/>
    <cacheHierarchy uniqueName="[Employee].[Nationality]" caption="Nationality" attribute="1" defaultMemberUniqueName="[Employee].[Nationality].[All]" allUniqueName="[Employee].[Nationality].[All]" dimensionUniqueName="[Employee]" displayFolder="Employee" count="0" unbalanced="0"/>
    <cacheHierarchy uniqueName="[Employee].[Sex]" caption="Sex" attribute="1" defaultMemberUniqueName="[Employee].[Sex].[All]" allUniqueName="[Employee].[Sex].[All]" dimensionUniqueName="[Employee]" displayFolder="Employee" count="0" unbalanced="0"/>
    <cacheHierarchy uniqueName="[Invoice].[Days Due]" caption="Days Due" attribute="1" defaultMemberUniqueName="[Invoice].[Days Due].[All]" allUniqueName="[Invoice].[Days Due].[All]" dimensionUniqueName="[Invoice]" displayFolder="Invoice Info" count="0" unbalanced="0"/>
    <cacheHierarchy uniqueName="[Invoice].[Days To Invoice]" caption="Days To Invoice" attribute="1" defaultMemberUniqueName="[Invoice].[Days To Invoice].[All]" allUniqueName="[Invoice].[Days To Invoice].[All]" dimensionUniqueName="[Invoice]" displayFolder="Invoice Info" count="0" unbalanced="0"/>
    <cacheHierarchy uniqueName="[Invoice].[Days To Pay]" caption="Days To Pay" attribute="1" defaultMemberUniqueName="[Invoice].[Days To Pay].[All]" allUniqueName="[Invoice].[Days To Pay].[All]" dimensionUniqueName="[Invoice]" displayFolder="Invoice Info" count="0" unbalanced="0"/>
    <cacheHierarchy uniqueName="[Invoice].[Due Date]" caption="Due Date" attribute="1" defaultMemberUniqueName="[Invoice].[Due Date].[All]" allUniqueName="[Invoice].[Due Date].[All]" dimensionUniqueName="[Invoice]" displayFolder="Invoice Info" count="0" unbalanced="0"/>
    <cacheHierarchy uniqueName="[Invoice].[Dunning Level]" caption="Dunning Level" attribute="1" defaultMemberUniqueName="[Invoice].[Dunning Level].[All]" allUniqueName="[Invoice].[Dunning Level].[All]" dimensionUniqueName="[Invoice]" displayFolder="Invoice Info" count="0" unbalanced="0"/>
    <cacheHierarchy uniqueName="[Invoice].[Invoice]" caption="Invoice" attribute="1" defaultMemberUniqueName="[Invoice].[Invoice].[All]" allUniqueName="[Invoice].[Invoice].[All]" dimensionUniqueName="[Invoice]" displayFolder="" count="0" unbalanced="0"/>
    <cacheHierarchy uniqueName="[Invoice].[Invoice Date]" caption="Invoice Date" attribute="1" defaultMemberUniqueName="[Invoice].[Invoice Date].[All]" allUniqueName="[Invoice].[Invoice Date].[All]" dimensionUniqueName="[Invoice]" displayFolder="Invoice Period" count="0" unbalanced="0"/>
    <cacheHierarchy uniqueName="[Invoice].[Invoice Month]" caption="Invoice Month" attribute="1" defaultMemberUniqueName="[Invoice].[Invoice Month].[All]" allUniqueName="[Invoice].[Invoice Month].[All]" dimensionUniqueName="[Invoice]" displayFolder="Invoice Period" count="0" unbalanced="0"/>
    <cacheHierarchy uniqueName="[Invoice].[Invoice Year]" caption="Invoice Year" attribute="1" defaultMemberUniqueName="[Invoice].[Invoice Year].[All]" allUniqueName="[Invoice].[Invoice Year].[All]" dimensionUniqueName="[Invoice]" displayFolder="Invoice Period" count="0" unbalanced="0"/>
    <cacheHierarchy uniqueName="[Invoice].[Payment Date]" caption="Payment Date" attribute="1" defaultMemberUniqueName="[Invoice].[Payment Date].[All]" allUniqueName="[Invoice].[Payment Date].[All]" dimensionUniqueName="[Invoice]" displayFolder="Invoice Info" count="0" unbalanced="0"/>
    <cacheHierarchy uniqueName="[Invoice].[Payment Terms]" caption="Payment Terms" attribute="1" defaultMemberUniqueName="[Invoice].[Payment Terms].[All]" allUniqueName="[Invoice].[Payment Terms].[All]" dimensionUniqueName="[Invoice]" displayFolder="Invoice Info" count="0" unbalanced="0"/>
    <cacheHierarchy uniqueName="[Invoice].[Time To Invoice]" caption="Time To Invoice" attribute="1" defaultMemberUniqueName="[Invoice].[Time To Invoice].[All]" allUniqueName="[Invoice].[Time To Invoice].[All]" dimensionUniqueName="[Invoice]" displayFolder="Invoice Info" count="0" unbalanced="0"/>
    <cacheHierarchy uniqueName="[Invoice].[Time To Pay]" caption="Time To Pay" attribute="1" defaultMemberUniqueName="[Invoice].[Time To Pay].[All]" allUniqueName="[Invoice].[Time To Pay].[All]" dimensionUniqueName="[Invoice]" displayFolder="Invoice Info" count="0" unbalanced="0"/>
    <cacheHierarchy uniqueName="[Order].[Customer]" caption="Customer" attribute="1" defaultMemberUniqueName="[Order].[Customer].[All]" allUniqueName="[Order].[Customer].[All]" dimensionUniqueName="[Order]" displayFolder="Customer" count="0" unbalanced="0"/>
    <cacheHierarchy uniqueName="[Order].[Customer Class]" caption="Customer Class" attribute="1" defaultMemberUniqueName="[Order].[Customer Class].[All]" allUniqueName="[Order].[Customer Class].[All]" dimensionUniqueName="[Order]" displayFolder="Customer" count="0" unbalanced="0"/>
    <cacheHierarchy uniqueName="[Order].[Customer Company]" caption="Customer Company" attribute="1" defaultMemberUniqueName="[Order].[Customer Company].[All]" allUniqueName="[Order].[Customer Company].[All]" dimensionUniqueName="[Order]" displayFolder="Customer Organisation" count="0" unbalanced="0"/>
    <cacheHierarchy uniqueName="[Order].[Customer Contact]" caption="Customer Contact" attribute="1" defaultMemberUniqueName="[Order].[Customer Contact].[All]" allUniqueName="[Order].[Customer Contact].[All]" dimensionUniqueName="[Order]" displayFolder="Opportunity" count="0" unbalanced="0"/>
    <cacheHierarchy uniqueName="[Order].[Customer Division]" caption="Customer Division" attribute="1" defaultMemberUniqueName="[Order].[Customer Division].[All]" allUniqueName="[Order].[Customer Division].[All]" dimensionUniqueName="[Order]" displayFolder="Customer Organisation" count="0" unbalanced="0"/>
    <cacheHierarchy uniqueName="[Order].[Customer Hierarchy]" caption="Customer Hierarchy" defaultMemberUniqueName="[Order].[Customer Hierarchy].[All]" allUniqueName="[Order].[Customer Hierarchy].[All]" dimensionUniqueName="[Order]" displayFolder="" count="0" unbalanced="0"/>
    <cacheHierarchy uniqueName="[Order].[Customer Industry]" caption="Customer Industry" attribute="1" defaultMemberUniqueName="[Order].[Customer Industry].[All]" allUniqueName="[Order].[Customer Industry].[All]" dimensionUniqueName="[Order]" displayFolder="Customer" count="0" unbalanced="0"/>
    <cacheHierarchy uniqueName="[Order].[Customer Location]" caption="Customer Location" attribute="1" defaultMemberUniqueName="[Order].[Customer Location].[All]" allUniqueName="[Order].[Customer Location].[All]" dimensionUniqueName="[Order]" displayFolder="Customer Organisation" count="0" unbalanced="0"/>
    <cacheHierarchy uniqueName="[Order].[Customer Number]" caption="Customer Number" attribute="1" defaultMemberUniqueName="[Order].[Customer Number].[All]" allUniqueName="[Order].[Customer Number].[All]" dimensionUniqueName="[Order]" displayFolder="Customer" count="0" unbalanced="0"/>
    <cacheHierarchy uniqueName="[Order].[Customer Solution]" caption="Customer Solution" attribute="1" defaultMemberUniqueName="[Order].[Customer Solution].[All]" allUniqueName="[Order].[Customer Solution].[All]" dimensionUniqueName="[Order]" displayFolder="Customer Organisation" count="0" unbalanced="0"/>
    <cacheHierarchy uniqueName="[Order].[Customer Type]" caption="Customer Type" attribute="1" defaultMemberUniqueName="[Order].[Customer Type].[All]" allUniqueName="[Order].[Customer Type].[All]" dimensionUniqueName="[Order]" displayFolder="Customer" count="0" unbalanced="0"/>
    <cacheHierarchy uniqueName="[Order].[Customer Unit]" caption="Customer Unit" attribute="1" defaultMemberUniqueName="[Order].[Customer Unit].[All]" allUniqueName="[Order].[Customer Unit].[All]" dimensionUniqueName="[Order]" displayFolder="Customer Organisation" count="0" unbalanced="0"/>
    <cacheHierarchy uniqueName="[Order].[Key Account Manager]" caption="Key Account Manager" attribute="1" defaultMemberUniqueName="[Order].[Key Account Manager].[All]" allUniqueName="[Order].[Key Account Manager].[All]" dimensionUniqueName="[Order]" displayFolder="Customer Organisation" count="0" unbalanced="0"/>
    <cacheHierarchy uniqueName="[Order].[Lead Identifier]" caption="Lead Identifier" attribute="1" defaultMemberUniqueName="[Order].[Lead Identifier].[All]" allUniqueName="[Order].[Lead Identifier].[All]" dimensionUniqueName="[Order]" displayFolder="Opportunity" count="0" unbalanced="0"/>
    <cacheHierarchy uniqueName="[Order].[Lead Owner]" caption="Lead Owner" attribute="1" defaultMemberUniqueName="[Order].[Lead Owner].[All]" allUniqueName="[Order].[Lead Owner].[All]" dimensionUniqueName="[Order]" displayFolder="Opportunity" count="0" unbalanced="0"/>
    <cacheHierarchy uniqueName="[Order].[Material]" caption="Material" attribute="1" defaultMemberUniqueName="[Order].[Material].[All]" allUniqueName="[Order].[Material].[All]" dimensionUniqueName="[Order]" displayFolder="Position Material" count="0" unbalanced="0"/>
    <cacheHierarchy uniqueName="[Order].[Material Number]" caption="Material Number" attribute="1" defaultMemberUniqueName="[Order].[Material Number].[All]" allUniqueName="[Order].[Material Number].[All]" dimensionUniqueName="[Order]" displayFolder="Position Material" count="0" unbalanced="0"/>
    <cacheHierarchy uniqueName="[Order].[Material Type]" caption="Material Type" attribute="1" defaultMemberUniqueName="[Order].[Material Type].[All]" allUniqueName="[Order].[Material Type].[All]" dimensionUniqueName="[Order]" displayFolder="Position Material" count="0" unbalanced="0"/>
    <cacheHierarchy uniqueName="[Order].[New Customer]" caption="New Customer" attribute="1" defaultMemberUniqueName="[Order].[New Customer].[All]" allUniqueName="[Order].[New Customer].[All]" dimensionUniqueName="[Order]" displayFolder="Customer" count="0" unbalanced="0"/>
    <cacheHierarchy uniqueName="[Order].[Opportunity]" caption="Opportunity" attribute="1" defaultMemberUniqueName="[Order].[Opportunity].[All]" allUniqueName="[Order].[Opportunity].[All]" dimensionUniqueName="[Order]" displayFolder="Opportunity" count="0" unbalanced="0"/>
    <cacheHierarchy uniqueName="[Order].[Opportunity Number]" caption="Opportunity Number" attribute="1" defaultMemberUniqueName="[Order].[Opportunity Number].[All]" allUniqueName="[Order].[Opportunity Number].[All]" dimensionUniqueName="[Order]" displayFolder="Opportunity" count="0" unbalanced="0"/>
    <cacheHierarchy uniqueName="[Order].[Order]" caption="Order" attribute="1" defaultMemberUniqueName="[Order].[Order].[All]" allUniqueName="[Order].[Order].[All]" dimensionUniqueName="[Order]" displayFolder="Order" count="2" unbalanced="0">
      <fieldsUsage count="2">
        <fieldUsage x="-1"/>
        <fieldUsage x="0"/>
      </fieldsUsage>
    </cacheHierarchy>
    <cacheHierarchy uniqueName="[Order].[Order Category]" caption="Order Category" attribute="1" defaultMemberUniqueName="[Order].[Order Category].[All]" allUniqueName="[Order].[Order Category].[All]" dimensionUniqueName="[Order]" displayFolder="Order" count="0" unbalanced="0"/>
    <cacheHierarchy uniqueName="[Order].[Order Company]" caption="Order Company" attribute="1" defaultMemberUniqueName="[Order].[Order Company].[All]" allUniqueName="[Order].[Order Company].[All]" dimensionUniqueName="[Order]" displayFolder="Order Organisation" count="0" unbalanced="0"/>
    <cacheHierarchy uniqueName="[Order].[Order Country]" caption="Order Country" attribute="1" defaultMemberUniqueName="[Order].[Order Country].[All]" allUniqueName="[Order].[Order Country].[All]" dimensionUniqueName="[Order]" displayFolder="Order Organisation" count="0" unbalanced="0"/>
    <cacheHierarchy uniqueName="[Order].[Order Currency]" caption="Order Currency" attribute="1" defaultMemberUniqueName="[Order].[Order Currency].[All]" allUniqueName="[Order].[Order Currency].[All]" dimensionUniqueName="[Order]" displayFolder="Order" count="0" unbalanced="0"/>
    <cacheHierarchy uniqueName="[Order].[Order Division]" caption="Order Division" attribute="1" defaultMemberUniqueName="[Order].[Order Division].[All]" allUniqueName="[Order].[Order Division].[All]" dimensionUniqueName="[Order]" displayFolder="Order Organisation" count="0" unbalanced="0"/>
    <cacheHierarchy uniqueName="[Order].[Order End Day]" caption="Order End Day" attribute="1" defaultMemberUniqueName="[Order].[Order End Day].[All]" allUniqueName="[Order].[Order End Day].[All]" dimensionUniqueName="[Order]" displayFolder="Order Period" count="0" unbalanced="0"/>
    <cacheHierarchy uniqueName="[Order].[Order End Month]" caption="Order End Month" attribute="1" defaultMemberUniqueName="[Order].[Order End Month].[All]" allUniqueName="[Order].[Order End Month].[All]" dimensionUniqueName="[Order]" displayFolder="Order Period" count="0" unbalanced="0"/>
    <cacheHierarchy uniqueName="[Order].[Order End Year]" caption="Order End Year" attribute="1" defaultMemberUniqueName="[Order].[Order End Year].[All]" allUniqueName="[Order].[Order End Year].[All]" dimensionUniqueName="[Order]" displayFolder="Order Period" count="0" unbalanced="0"/>
    <cacheHierarchy uniqueName="[Order].[Order Hierarchy]" caption="Order Hierarchy" defaultMemberUniqueName="[Order].[Order Hierarchy].[All]" allUniqueName="[Order].[Order Hierarchy].[All]" dimensionUniqueName="[Order]" displayFolder="" count="0" unbalanced="0"/>
    <cacheHierarchy uniqueName="[Order].[Order Location]" caption="Order Location" attribute="1" defaultMemberUniqueName="[Order].[Order Location].[All]" allUniqueName="[Order].[Order Location].[All]" dimensionUniqueName="[Order]" displayFolder="Order Organisation" count="0" unbalanced="0"/>
    <cacheHierarchy uniqueName="[Order].[Order Management]" caption="Order Management" attribute="1" defaultMemberUniqueName="[Order].[Order Management].[All]" allUniqueName="[Order].[Order Management].[All]" dimensionUniqueName="[Order]" displayFolder="Order" count="0" unbalanced="0"/>
    <cacheHierarchy uniqueName="[Order].[Order Number]" caption="Order Number" attribute="1" defaultMemberUniqueName="[Order].[Order Number].[All]" allUniqueName="[Order].[Order Number].[All]" dimensionUniqueName="[Order]" displayFolder="Order" count="0" unbalanced="0"/>
    <cacheHierarchy uniqueName="[Order].[Order Solution]" caption="Order Solution" attribute="1" defaultMemberUniqueName="[Order].[Order Solution].[All]" allUniqueName="[Order].[Order Solution].[All]" dimensionUniqueName="[Order]" displayFolder="Order" count="0" unbalanced="0"/>
    <cacheHierarchy uniqueName="[Order].[Order Start Day]" caption="Order Start Day" attribute="1" defaultMemberUniqueName="[Order].[Order Start Day].[All]" allUniqueName="[Order].[Order Start Day].[All]" dimensionUniqueName="[Order]" displayFolder="Order Period" count="0" unbalanced="0"/>
    <cacheHierarchy uniqueName="[Order].[Order Start Month]" caption="Order Start Month" attribute="1" defaultMemberUniqueName="[Order].[Order Start Month].[All]" allUniqueName="[Order].[Order Start Month].[All]" dimensionUniqueName="[Order]" displayFolder="Order Period" count="0" unbalanced="0"/>
    <cacheHierarchy uniqueName="[Order].[Order Start Year]" caption="Order Start Year" attribute="1" defaultMemberUniqueName="[Order].[Order Start Year].[All]" allUniqueName="[Order].[Order Start Year].[All]" dimensionUniqueName="[Order]" displayFolder="Order Period" count="0" unbalanced="0"/>
    <cacheHierarchy uniqueName="[Order].[Order Status]" caption="Order Status" attribute="1" defaultMemberUniqueName="[Order].[Order Status].[All]" allUniqueName="[Order].[Order Status].[All]" dimensionUniqueName="[Order]" displayFolder="Order" count="0" unbalanced="0"/>
    <cacheHierarchy uniqueName="[Order].[Order Team]" caption="Order Team" attribute="1" defaultMemberUniqueName="[Order].[Order Team].[All]" allUniqueName="[Order].[Order Team].[All]" dimensionUniqueName="[Order]" displayFolder="Order Organisation" count="0" unbalanced="0"/>
    <cacheHierarchy uniqueName="[Order].[Order Type]" caption="Order Type" attribute="1" defaultMemberUniqueName="[Order].[Order Type].[All]" allUniqueName="[Order].[Order Type].[All]" dimensionUniqueName="[Order]" displayFolder="Order Type" count="0" unbalanced="0"/>
    <cacheHierarchy uniqueName="[Order].[Order Unit]" caption="Order Unit" attribute="1" defaultMemberUniqueName="[Order].[Order Unit].[All]" allUniqueName="[Order].[Order Unit].[All]" dimensionUniqueName="[Order]" displayFolder="Order Organisation" count="0" unbalanced="0"/>
    <cacheHierarchy uniqueName="[Order].[Portfolio Element]" caption="Portfolio Element" attribute="1" defaultMemberUniqueName="[Order].[Portfolio Element].[All]" allUniqueName="[Order].[Portfolio Element].[All]" dimensionUniqueName="[Order]" displayFolder="Position" count="0" unbalanced="0"/>
    <cacheHierarchy uniqueName="[Order].[Portfolio Theme]" caption="Portfolio Theme" attribute="1" defaultMemberUniqueName="[Order].[Portfolio Theme].[All]" allUniqueName="[Order].[Portfolio Theme].[All]" dimensionUniqueName="[Order]" displayFolder="Position" count="0" unbalanced="0"/>
    <cacheHierarchy uniqueName="[Order].[Position]" caption="Position" attribute="1" defaultMemberUniqueName="[Order].[Position].[All]" allUniqueName="[Order].[Position].[All]" dimensionUniqueName="[Order]" displayFolder="Position" count="0" unbalanced="0"/>
    <cacheHierarchy uniqueName="[Order].[Position End Day]" caption="Position End Day" attribute="1" defaultMemberUniqueName="[Order].[Position End Day].[All]" allUniqueName="[Order].[Position End Day].[All]" dimensionUniqueName="[Order]" displayFolder="Position" count="0" unbalanced="0"/>
    <cacheHierarchy uniqueName="[Order].[Position Number]" caption="Position Number" attribute="1" defaultMemberUniqueName="[Order].[Position Number].[All]" allUniqueName="[Order].[Position Number].[All]" dimensionUniqueName="[Order]" displayFolder="Position" count="0" unbalanced="0"/>
    <cacheHierarchy uniqueName="[Order].[Position Solution]" caption="Position Solution" attribute="1" defaultMemberUniqueName="[Order].[Position Solution].[All]" allUniqueName="[Order].[Position Solution].[All]" dimensionUniqueName="[Order]" displayFolder="Position" count="0" unbalanced="0"/>
    <cacheHierarchy uniqueName="[Order].[Position Start Day]" caption="Position Start Day" attribute="1" defaultMemberUniqueName="[Order].[Position Start Day].[All]" allUniqueName="[Order].[Position Start Day].[All]" dimensionUniqueName="[Order]" displayFolder="Position" count="0" unbalanced="0"/>
    <cacheHierarchy uniqueName="[Order].[Position Status]" caption="Position Status" attribute="1" defaultMemberUniqueName="[Order].[Position Status].[All]" allUniqueName="[Order].[Position Status].[All]" dimensionUniqueName="[Order]" displayFolder="Position" count="0" unbalanced="0"/>
    <cacheHierarchy uniqueName="[Order].[Position Technology]" caption="Position Technology" attribute="1" defaultMemberUniqueName="[Order].[Position Technology].[All]" allUniqueName="[Order].[Position Technology].[All]" dimensionUniqueName="[Order]" displayFolder="Position" count="0" unbalanced="0"/>
    <cacheHierarchy uniqueName="[Order].[Position Type]" caption="Position Type" attribute="1" defaultMemberUniqueName="[Order].[Position Type].[All]" allUniqueName="[Order].[Position Type].[All]" dimensionUniqueName="[Order]" displayFolder="Position" count="0" unbalanced="0"/>
    <cacheHierarchy uniqueName="[Order].[Project Manager]" caption="Project Manager" attribute="1" defaultMemberUniqueName="[Order].[Project Manager].[All]" allUniqueName="[Order].[Project Manager].[All]" dimensionUniqueName="[Order]" displayFolder="Order Organisation" count="0" unbalanced="0"/>
    <cacheHierarchy uniqueName="[Order].[Project Responsible]" caption="Project Responsible" attribute="1" defaultMemberUniqueName="[Order].[Project Responsible].[All]" allUniqueName="[Order].[Project Responsible].[All]" dimensionUniqueName="[Order]" displayFolder="Order Organisation" count="0" unbalanced="0"/>
    <cacheHierarchy uniqueName="[Order].[Reference Number]" caption="Reference Number" attribute="1" defaultMemberUniqueName="[Order].[Reference Number].[All]" allUniqueName="[Order].[Reference Number].[All]" dimensionUniqueName="[Order]" displayFolder="Order" count="0" unbalanced="0"/>
    <cacheHierarchy uniqueName="[Order].[Revenue Class]" caption="Revenue Class" attribute="1" defaultMemberUniqueName="[Order].[Revenue Class].[All]" allUniqueName="[Order].[Revenue Class].[All]" dimensionUniqueName="[Order]" displayFolder="Customer" count="0" unbalanced="0"/>
    <cacheHierarchy uniqueName="[Order].[Signature]" caption="Signature" attribute="1" defaultMemberUniqueName="[Order].[Signature].[All]" allUniqueName="[Order].[Signature].[All]" dimensionUniqueName="[Order]" displayFolder="Order" count="0" unbalanced="0"/>
    <cacheHierarchy uniqueName="[Order].[Training Type]" caption="Training Type" attribute="1" defaultMemberUniqueName="[Order].[Training Type].[All]" allUniqueName="[Order].[Training Type].[All]" dimensionUniqueName="[Order]" displayFolder="Order Type" count="0" unbalanced="0"/>
    <cacheHierarchy uniqueName="[Period].[Day]" caption="Day" attribute="1" time="1" defaultMemberUniqueName="[Period].[Day].[All]" allUniqueName="[Period].[Day].[All]" dimensionUniqueName="[Period]" displayFolder="Period" count="0" unbalanced="0"/>
    <cacheHierarchy uniqueName="[Period].[Month]" caption="Month" attribute="1" time="1" defaultMemberUniqueName="[Period].[Month].[All]" allUniqueName="[Period].[Month].[All]" dimensionUniqueName="[Period]" displayFolder="Period" count="0" unbalanced="0"/>
    <cacheHierarchy uniqueName="[Period].[Month Description]" caption="Month Description" attribute="1" time="1" defaultMemberUniqueName="[Period].[Month Description].[All]" allUniqueName="[Period].[Month Description].[All]" dimensionUniqueName="[Period]" displayFolder="Period" count="0" unbalanced="0"/>
    <cacheHierarchy uniqueName="[Period].[Month Short]" caption="Month Short" attribute="1" time="1" defaultMemberUniqueName="[Period].[Month Short].[All]" allUniqueName="[Period].[Month Short].[All]" dimensionUniqueName="[Period]" displayFolder="Period" count="0" unbalanced="0"/>
    <cacheHierarchy uniqueName="[Period].[Period Hierarchy]" caption="Period Hierarchy" time="1" defaultMemberUniqueName="[Period].[Period Hierarchy].[All]" allUniqueName="[Period].[Period Hierarchy].[All]" dimensionUniqueName="[Period]" displayFolder="" count="0" unbalanced="0"/>
    <cacheHierarchy uniqueName="[Period].[Quarter]" caption="Quarter" attribute="1" time="1" defaultMemberUniqueName="[Period].[Quarter].[All]" allUniqueName="[Period].[Quarter].[All]" dimensionUniqueName="[Period]" displayFolder="Period" count="0" unbalanced="0"/>
    <cacheHierarchy uniqueName="[Period].[Week]" caption="Week" attribute="1" time="1" defaultMemberUniqueName="[Period].[Week].[All]" allUniqueName="[Period].[Week].[All]" dimensionUniqueName="[Period]" displayFolder="Period" count="0" unbalanced="0"/>
    <cacheHierarchy uniqueName="[Period].[Week Description]" caption="Week Description" attribute="1" time="1" defaultMemberUniqueName="[Period].[Week Description].[All]" allUniqueName="[Period].[Week Description].[All]" dimensionUniqueName="[Period]" displayFolder="Period" count="0" unbalanced="0"/>
    <cacheHierarchy uniqueName="[Period].[Year]" caption="Year" attribute="1" time="1" defaultMemberUniqueName="[Period].[Year].[All]" allUniqueName="[Period].[Year].[All]" dimensionUniqueName="[Period]" displayFolder="Period" count="0" unbalanced="0"/>
    <cacheHierarchy uniqueName="[Period].[YTD]" caption="YTD" attribute="1" time="1" defaultMemberUniqueName="[Period].[YTD].[All]" allUniqueName="[Period].[YTD].[All]" dimensionUniqueName="[Period]" displayFolder="Period" count="0" unbalanced="0"/>
    <cacheHierarchy uniqueName="[Scenario].[Scenario]" caption="Scenario" attribute="1" defaultMemberUniqueName="[Scenario].[Scenario].&amp;[Actual]" allUniqueName="[Scenario].[Scenario].[All]" dimensionUniqueName="[Scenario]" displayFolder="" count="0" unbalanced="0"/>
    <cacheHierarchy uniqueName="[Service].[Charging]" caption="Charging" attribute="1" defaultMemberUniqueName="[Service].[Charging].[All]" allUniqueName="[Service].[Charging].[All]" dimensionUniqueName="[Service]" displayFolder="Service" count="0" unbalanced="0"/>
    <cacheHierarchy uniqueName="[Service].[Invoicing]" caption="Invoicing" attribute="1" defaultMemberUniqueName="[Service].[Invoicing].[All]" allUniqueName="[Service].[Invoicing].[All]" dimensionUniqueName="[Service]" displayFolder="Status" count="0" unbalanced="0"/>
    <cacheHierarchy uniqueName="[Service].[Level A]" caption="Level A" attribute="1" defaultMemberUniqueName="[Service].[Level A].[All]" allUniqueName="[Service].[Level A].[All]" dimensionUniqueName="[Service]" displayFolder="Service Category" count="0" unbalanced="0"/>
    <cacheHierarchy uniqueName="[Service].[Level B]" caption="Level B" attribute="1" defaultMemberUniqueName="[Service].[Level B].[All]" allUniqueName="[Service].[Level B].[All]" dimensionUniqueName="[Service]" displayFolder="Service Category" count="0" unbalanced="0"/>
    <cacheHierarchy uniqueName="[Service].[Level C]" caption="Level C" attribute="1" defaultMemberUniqueName="[Service].[Level C].[All]" allUniqueName="[Service].[Level C].[All]" dimensionUniqueName="[Service]" displayFolder="Service Category" count="0" unbalanced="0"/>
    <cacheHierarchy uniqueName="[Service].[Monthly Closure]" caption="Monthly Closure" attribute="1" defaultMemberUniqueName="[Service].[Monthly Closure].[All]" allUniqueName="[Service].[Monthly Closure].[All]" dimensionUniqueName="[Service]" displayFolder="Status" count="0" unbalanced="0"/>
    <cacheHierarchy uniqueName="[Service].[Payment]" caption="Payment" attribute="1" defaultMemberUniqueName="[Service].[Payment].[All]" allUniqueName="[Service].[Payment].[All]" dimensionUniqueName="[Service]" displayFolder="Status" count="0" unbalanced="0"/>
    <cacheHierarchy uniqueName="[Service].[Service Category]" caption="Service Category" attribute="1" defaultMemberUniqueName="[Service].[Service Category].[All]" allUniqueName="[Service].[Service Category].[All]" dimensionUniqueName="[Service]" displayFolder="Service Category" count="0" unbalanced="0"/>
    <cacheHierarchy uniqueName="[Service].[Service Category Code]" caption="Service Category Code" attribute="1" defaultMemberUniqueName="[Service].[Service Category Code].[All]" allUniqueName="[Service].[Service Category Code].[All]" dimensionUniqueName="[Service]" displayFolder="Service Category" count="0" unbalanced="0"/>
    <cacheHierarchy uniqueName="[Service].[Service Definition]" caption="Service Definition" attribute="1" defaultMemberUniqueName="[Service].[Service Definition].[All]" allUniqueName="[Service].[Service Definition].[All]" dimensionUniqueName="[Service]" displayFolder="Service" count="0" unbalanced="0"/>
    <cacheHierarchy uniqueName="[Service].[Service Status]" caption="Service Status" attribute="1" defaultMemberUniqueName="[Service].[Service Status].[All]" allUniqueName="[Service].[Service Status].[All]" dimensionUniqueName="[Service]" displayFolder="Status" count="0" unbalanced="0"/>
    <cacheHierarchy uniqueName="[Service].[Service Type]" caption="Service Type" attribute="1" defaultMemberUniqueName="[Service].[Service Type].[All]" allUniqueName="[Service].[Service Type].[All]" dimensionUniqueName="[Service]" displayFolder="Service" count="0" unbalanced="0"/>
    <cacheHierarchy uniqueName="[Service].[Status Number]" caption="Status Number" attribute="1" defaultMemberUniqueName="[Service].[Status Number].[All]" allUniqueName="[Service].[Status Number].[All]" dimensionUniqueName="[Service]" displayFolder="Status" count="0" unbalanced="0"/>
    <cacheHierarchy uniqueName="[Service Text].[Service Text]" caption="Service Text" attribute="1" defaultMemberUniqueName="[Service Text].[Service Text].[All]" allUniqueName="[Service Text].[Service Text].[All]" dimensionUniqueName="[Service Text]" displayFolder="" count="0" unbalanced="0"/>
    <cacheHierarchy uniqueName="[Account].[Account Id]" caption="Account Id" attribute="1" keyAttribute="1" defaultMemberUniqueName="[Account].[Account Id].[All]" allUniqueName="[Account].[Account Id].[All]" dimensionUniqueName="[Account]" displayFolder="" count="0" unbalanced="0" hidden="1"/>
    <cacheHierarchy uniqueName="[Employee].[Employee Hierarchy Forecast]" caption="Employee Hierarchy Forecast" defaultMemberUniqueName="[Employee].[Employee Hierarchy Forecast].[All]" allUniqueName="[Employee].[Employee Hierarchy Forecast].[All]" dimensionUniqueName="[Employee]" displayFolder="" count="0" unbalanced="0" hidden="1"/>
    <cacheHierarchy uniqueName="[Employee].[Employee Id]" caption="Employee Id" attribute="1" keyAttribute="1" defaultMemberUniqueName="[Employee].[Employee Id].[All]" allUniqueName="[Employee].[Employee Id].[All]" dimensionUniqueName="[Employee]" displayFolder="" count="0" unbalanced="0" hidden="1"/>
    <cacheHierarchy uniqueName="[Employee].[Team Hierarchie]" caption="Team Hierarchie" attribute="1" defaultMemberUniqueName="[Employee].[Team Hierarchie].[All]" allUniqueName="[Employee].[Team Hierarchie].[All]" dimensionUniqueName="[Employee]" displayFolder="" count="0" unbalanced="0" hidden="1"/>
    <cacheHierarchy uniqueName="[Forecast Transformation].[Forecast Load Date Id]" caption="Forecast Load Date Id" attribute="1" keyAttribute="1" defaultMemberUniqueName="[Forecast Transformation].[Forecast Load Date Id].[All]" allUniqueName="[Forecast Transformation].[Forecast Load Date Id].[All]" dimensionUniqueName="[Forecast Transformation]" displayFolder="" count="0" unbalanced="0" hidden="1"/>
    <cacheHierarchy uniqueName="[Forecast Transformation].[Transformation Time]" caption="Transformation Time" attribute="1" defaultMemberUniqueName="[Forecast Transformation].[Transformation Time].[All]" allUniqueName="[Forecast Transformation].[Transformation Time].[All]" dimensionUniqueName="[Forecast Transformation]" displayFolder="" count="0" unbalanced="0" hidden="1"/>
    <cacheHierarchy uniqueName="[Invoice].[Invoice Id]" caption="Invoice Id" attribute="1" keyAttribute="1" defaultMemberUniqueName="[Invoice].[Invoice Id].[All]" allUniqueName="[Invoice].[Invoice Id].[All]" dimensionUniqueName="[Invoice]" displayFolder="" count="0" unbalanced="0" hidden="1"/>
    <cacheHierarchy uniqueName="[Order].[KAM Code]" caption="KAM Code" attribute="1" defaultMemberUniqueName="[Order].[KAM Code].[All]" allUniqueName="[Order].[KAM Code].[All]" dimensionUniqueName="[Order]" displayFolder="" count="0" unbalanced="0" hidden="1"/>
    <cacheHierarchy uniqueName="[Order].[Order Position Id]" caption="Order Position Id" attribute="1" keyAttribute="1" defaultMemberUniqueName="[Order].[Order Position Id].[All]" allUniqueName="[Order].[Order Position Id].[All]" dimensionUniqueName="[Order]" displayFolder="" count="0" unbalanced="0" hidden="1"/>
    <cacheHierarchy uniqueName="[Order].[OrderCustomerH]" caption="OrderCustomerH" attribute="1" defaultMemberUniqueName="[Order].[OrderCustomerH].[All]" allUniqueName="[Order].[OrderCustomerH].[All]" dimensionUniqueName="[Order]" displayFolder="" count="0" unbalanced="0" hidden="1"/>
    <cacheHierarchy uniqueName="[Order].[OrderUnitH]" caption="OrderUnitH" attribute="1" defaultMemberUniqueName="[Order].[OrderUnitH].[All]" allUniqueName="[Order].[OrderUnitH].[All]" dimensionUniqueName="[Order]" displayFolder="" count="0" unbalanced="0" hidden="1"/>
    <cacheHierarchy uniqueName="[Order].[Project Manager Code]" caption="Project Manager Code" attribute="1" defaultMemberUniqueName="[Order].[Project Manager Code].[All]" allUniqueName="[Order].[Project Manager Code].[All]" dimensionUniqueName="[Order]" displayFolder="Order Organisation" count="0" unbalanced="0" hidden="1"/>
    <cacheHierarchy uniqueName="[Period].[Month Long]" caption="Month Long" attribute="1" time="1" defaultMemberUniqueName="[Period].[Month Long].[All]" allUniqueName="[Period].[Month Long].[All]" dimensionUniqueName="[Period]" displayFolder="Period" count="0" unbalanced="0" hidden="1"/>
    <cacheHierarchy uniqueName="[Period].[Month of Year]" caption="Month of Year" attribute="1" time="1" defaultMemberUniqueName="[Period].[Month of Year].[All]" allUniqueName="[Period].[Month of Year].[All]" dimensionUniqueName="[Period]" displayFolder="Period" count="0" unbalanced="0" hidden="1"/>
    <cacheHierarchy uniqueName="[Period].[Service Period Id]" caption="Service Period Id" attribute="1" time="1" keyAttribute="1" defaultMemberUniqueName="[Period].[Service Period Id].[All]" allUniqueName="[Period].[Service Period Id].[All]" dimensionUniqueName="[Period]" displayFolder="" count="0" unbalanced="0" hidden="1"/>
    <cacheHierarchy uniqueName="[Scenario].[Scenario Group]" caption="Scenario Group" attribute="1" defaultMemberUniqueName="[Scenario].[Scenario Group].[All]" allUniqueName="[Scenario].[Scenario Group].[All]" dimensionUniqueName="[Scenario]" displayFolder="" count="0" unbalanced="0" hidden="1"/>
    <cacheHierarchy uniqueName="[Scenario].[Scenario Id]" caption="Scenario Id" attribute="1" keyAttribute="1" defaultMemberUniqueName="[Scenario].[Scenario Id].[All]" allUniqueName="[Scenario].[Scenario Id].[All]" dimensionUniqueName="[Scenario]" displayFolder="" count="0" unbalanced="0" hidden="1"/>
    <cacheHierarchy uniqueName="[Service].[Service Id]" caption="Service Id" attribute="1" keyAttribute="1" defaultMemberUniqueName="[Service].[Service Id].[All]" allUniqueName="[Service].[Service Id].[All]" dimensionUniqueName="[Service]" displayFolder="" count="0" unbalanced="0" hidden="1"/>
    <cacheHierarchy uniqueName="[Service Text].[Servicetext Id]" caption="Servicetext Id" attribute="1" keyAttribute="1" defaultMemberUniqueName="[Service Text].[Servicetext Id].[All]" allUniqueName="[Service Text].[Servicetext Id].[All]" dimensionUniqueName="[Service Text]" displayFolder="" count="0" unbalanced="0" hidden="1"/>
    <cacheHierarchy uniqueName="[Transformation].[Load Date Id]" caption="Load Date Id" attribute="1" keyAttribute="1" defaultMemberUniqueName="[Transformation].[Load Date Id].[All]" allUniqueName="[Transformation].[Load Date Id].[All]" dimensionUniqueName="[Transformation]" displayFolder="" count="0" unbalanced="0" hidden="1"/>
    <cacheHierarchy uniqueName="[Transformation].[Transformation Date]" caption="Transformation Date" attribute="1" defaultMemberUniqueName="[Transformation].[Transformation Date].[All]" allUniqueName="[Transformation].[Transformation Date].[All]" dimensionUniqueName="[Transformation]" displayFolder="" count="0" unbalanced="0" hidden="1"/>
    <cacheHierarchy uniqueName="[User Access].[Access Id]" caption="Access Id" attribute="1" keyAttribute="1" defaultMemberUniqueName="[User Access].[Access Id].[All]" allUniqueName="[User Access].[Access Id].[All]" dimensionUniqueName="[User Access]" displayFolder="Access" count="0" unbalanced="0" hidden="1"/>
    <cacheHierarchy uniqueName="[User Access].[BDSAS]" caption="BDSAS" attribute="1" defaultMemberUniqueName="[User Access].[BDSAS].[All]" allUniqueName="[User Access].[BDSAS].[All]" dimensionUniqueName="[User Access]" displayFolder="Access" count="0" unbalanced="0" hidden="1"/>
    <cacheHierarchy uniqueName="[User Access].[BE]" caption="BE" attribute="1" defaultMemberUniqueName="[User Access].[BE].[All]" allUniqueName="[User Access].[BE].[All]" dimensionUniqueName="[User Access]" displayFolder="Access" count="0" unbalanced="0" hidden="1"/>
    <cacheHierarchy uniqueName="[User Access].[BEAD]" caption="BEAD" attribute="1" defaultMemberUniqueName="[User Access].[BEAD].[All]" allUniqueName="[User Access].[BEAD].[All]" dimensionUniqueName="[User Access]" displayFolder="Access" count="0" unbalanced="0" hidden="1"/>
    <cacheHierarchy uniqueName="[User Access].[BEAS]" caption="BEAS" attribute="1" defaultMemberUniqueName="[User Access].[BEAS].[All]" allUniqueName="[User Access].[BEAS].[All]" dimensionUniqueName="[User Access]" displayFolder="Access" count="0" unbalanced="0" hidden="1"/>
    <cacheHierarchy uniqueName="[User Access].[BEBI]" caption="BEBI" attribute="1" defaultMemberUniqueName="[User Access].[BEBI].[All]" allUniqueName="[User Access].[BEBI].[All]" dimensionUniqueName="[User Access]" displayFolder="Access" count="0" unbalanced="0" hidden="1"/>
    <cacheHierarchy uniqueName="[User Access].[BEIMS]" caption="BEIMS" attribute="1" defaultMemberUniqueName="[User Access].[BEIMS].[All]" allUniqueName="[User Access].[BEIMS].[All]" dimensionUniqueName="[User Access]" displayFolder="Access" count="0" unbalanced="0" hidden="1"/>
    <cacheHierarchy uniqueName="[User Access].[BIS]" caption="BIS" attribute="1" defaultMemberUniqueName="[User Access].[BIS].[All]" allUniqueName="[User Access].[BIS].[All]" dimensionUniqueName="[User Access]" displayFolder="Access" count="0" unbalanced="0" hidden="1"/>
    <cacheHierarchy uniqueName="[User Access].[BISAS]" caption="BISAS" attribute="1" defaultMemberUniqueName="[User Access].[BISAS].[All]" allUniqueName="[User Access].[BISAS].[All]" dimensionUniqueName="[User Access]" displayFolder="Access" count="0" unbalanced="0" hidden="1"/>
    <cacheHierarchy uniqueName="[User Access].[BS]" caption="BS" attribute="1" defaultMemberUniqueName="[User Access].[BS].[All]" allUniqueName="[User Access].[BS].[All]" dimensionUniqueName="[User Access]" displayFolder="Access" count="0" unbalanced="0" hidden="1"/>
    <cacheHierarchy uniqueName="[User Access].[BSAD]" caption="BSAD" attribute="1" defaultMemberUniqueName="[User Access].[BSAD].[All]" allUniqueName="[User Access].[BSAD].[All]" dimensionUniqueName="[User Access]" displayFolder="Access" count="0" unbalanced="0" hidden="1"/>
    <cacheHierarchy uniqueName="[User Access].[BSAS]" caption="BSAS" attribute="1" defaultMemberUniqueName="[User Access].[BSAS].[All]" allUniqueName="[User Access].[BSAS].[All]" dimensionUniqueName="[User Access]" displayFolder="Access" count="0" unbalanced="0" hidden="1"/>
    <cacheHierarchy uniqueName="[User Access].[BSBI]" caption="BSBI" attribute="1" defaultMemberUniqueName="[User Access].[BSBI].[All]" allUniqueName="[User Access].[BSBI].[All]" dimensionUniqueName="[User Access]" displayFolder="Access" count="0" unbalanced="0" hidden="1"/>
    <cacheHierarchy uniqueName="[User Access].[BSIMS]" caption="BSIMS" attribute="1" defaultMemberUniqueName="[User Access].[BSIMS].[All]" allUniqueName="[User Access].[BSIMS].[All]" dimensionUniqueName="[User Access]" displayFolder="Access" count="0" unbalanced="0" hidden="1"/>
    <cacheHierarchy uniqueName="[User Access].[BSPSD]" caption="BSPSD" attribute="1" defaultMemberUniqueName="[User Access].[BSPSD].[All]" allUniqueName="[User Access].[BSPSD].[All]" dimensionUniqueName="[User Access]" displayFolder="Access" count="0" unbalanced="0" hidden="1"/>
    <cacheHierarchy uniqueName="[User Access].[CCFS]" caption="CCFS" attribute="1" defaultMemberUniqueName="[User Access].[CCFS].[All]" allUniqueName="[User Access].[CCFS].[All]" dimensionUniqueName="[User Access]" displayFolder="Access" count="0" unbalanced="0" hidden="1"/>
    <cacheHierarchy uniqueName="[User Access].[CH]" caption="CH" attribute="1" defaultMemberUniqueName="[User Access].[CH].[All]" allUniqueName="[User Access].[CH].[All]" dimensionUniqueName="[User Access]" displayFolder="Access" count="0" unbalanced="0" hidden="1"/>
    <cacheHierarchy uniqueName="[User Access].[DE]" caption="DE" attribute="1" defaultMemberUniqueName="[User Access].[DE].[All]" allUniqueName="[User Access].[DE].[All]" dimensionUniqueName="[User Access]" displayFolder="Access" count="0" unbalanced="0" hidden="1"/>
    <cacheHierarchy uniqueName="[User Access].[DF]" caption="DF" attribute="1" defaultMemberUniqueName="[User Access].[DF].[All]" allUniqueName="[User Access].[DF].[All]" dimensionUniqueName="[User Access]" displayFolder="Access" count="0" unbalanced="0" hidden="1"/>
    <cacheHierarchy uniqueName="[User Access].[DFAD]" caption="DFAD" attribute="1" defaultMemberUniqueName="[User Access].[DFAD].[All]" allUniqueName="[User Access].[DFAD].[All]" dimensionUniqueName="[User Access]" displayFolder="Access" count="0" unbalanced="0" hidden="1"/>
    <cacheHierarchy uniqueName="[User Access].[DFAS]" caption="DFAS" attribute="1" defaultMemberUniqueName="[User Access].[DFAS].[All]" allUniqueName="[User Access].[DFAS].[All]" dimensionUniqueName="[User Access]" displayFolder="Access" count="0" unbalanced="0" hidden="1"/>
    <cacheHierarchy uniqueName="[User Access].[DFBI]" caption="DFBI" attribute="1" defaultMemberUniqueName="[User Access].[DFBI].[All]" allUniqueName="[User Access].[DFBI].[All]" dimensionUniqueName="[User Access]" displayFolder="Access" count="0" unbalanced="0" hidden="1"/>
    <cacheHierarchy uniqueName="[User Access].[DFIMS]" caption="DFIMS" attribute="1" defaultMemberUniqueName="[User Access].[DFIMS].[All]" allUniqueName="[User Access].[DFIMS].[All]" dimensionUniqueName="[User Access]" displayFolder="Access" count="0" unbalanced="0" hidden="1"/>
    <cacheHierarchy uniqueName="[User Access].[FAIT]" caption="FAIT" attribute="1" defaultMemberUniqueName="[User Access].[FAIT].[All]" allUniqueName="[User Access].[FAIT].[All]" dimensionUniqueName="[User Access]" displayFolder="Access" count="0" unbalanced="0" hidden="1"/>
    <cacheHierarchy uniqueName="[User Access].[FF]" caption="FF" attribute="1" defaultMemberUniqueName="[User Access].[FF].[All]" allUniqueName="[User Access].[FF].[All]" dimensionUniqueName="[User Access]" displayFolder="Access" count="0" unbalanced="0" hidden="1"/>
    <cacheHierarchy uniqueName="[User Access].[FFAD]" caption="FFAD" attribute="1" defaultMemberUniqueName="[User Access].[FFAD].[All]" allUniqueName="[User Access].[FFAD].[All]" dimensionUniqueName="[User Access]" displayFolder="Access" count="0" unbalanced="0" hidden="1"/>
    <cacheHierarchy uniqueName="[User Access].[FFAS]" caption="FFAS" attribute="1" defaultMemberUniqueName="[User Access].[FFAS].[All]" allUniqueName="[User Access].[FFAS].[All]" dimensionUniqueName="[User Access]" displayFolder="Access" count="0" unbalanced="0" hidden="1"/>
    <cacheHierarchy uniqueName="[User Access].[FFIMS]" caption="FFIMS" attribute="1" defaultMemberUniqueName="[User Access].[FFIMS].[All]" allUniqueName="[User Access].[FFIMS].[All]" dimensionUniqueName="[User Access]" displayFolder="Access" count="0" unbalanced="0" hidden="1"/>
    <cacheHierarchy uniqueName="[User Access].[FR]" caption="FR" attribute="1" defaultMemberUniqueName="[User Access].[FR].[All]" allUniqueName="[User Access].[FR].[All]" dimensionUniqueName="[User Access]" displayFolder="Access" count="0" unbalanced="0" hidden="1"/>
    <cacheHierarchy uniqueName="[User Access].[FRAS]" caption="FRAS" attribute="1" defaultMemberUniqueName="[User Access].[FRAS].[All]" allUniqueName="[User Access].[FRAS].[All]" dimensionUniqueName="[User Access]" displayFolder="Access" count="0" unbalanced="0" hidden="1"/>
    <cacheHierarchy uniqueName="[User Access].[HH]" caption="HH" attribute="1" defaultMemberUniqueName="[User Access].[HH].[All]" allUniqueName="[User Access].[HH].[All]" dimensionUniqueName="[User Access]" displayFolder="Access" count="0" unbalanced="0" hidden="1"/>
    <cacheHierarchy uniqueName="[User Access].[HHAD]" caption="HHAD" attribute="1" defaultMemberUniqueName="[User Access].[HHAD].[All]" allUniqueName="[User Access].[HHAD].[All]" dimensionUniqueName="[User Access]" displayFolder="Access" count="0" unbalanced="0" hidden="1"/>
    <cacheHierarchy uniqueName="[User Access].[HHAS]" caption="HHAS" attribute="1" defaultMemberUniqueName="[User Access].[HHAS].[All]" allUniqueName="[User Access].[HHAS].[All]" dimensionUniqueName="[User Access]" displayFolder="Access" count="0" unbalanced="0" hidden="1"/>
    <cacheHierarchy uniqueName="[User Access].[HHBI]" caption="HHBI" attribute="1" defaultMemberUniqueName="[User Access].[HHBI].[All]" allUniqueName="[User Access].[HHBI].[All]" dimensionUniqueName="[User Access]" displayFolder="Access" count="0" unbalanced="0" hidden="1"/>
    <cacheHierarchy uniqueName="[User Access].[HHIMS]" caption="HHIMS" attribute="1" defaultMemberUniqueName="[User Access].[HHIMS].[All]" allUniqueName="[User Access].[HHIMS].[All]" dimensionUniqueName="[User Access]" displayFolder="Access" count="0" unbalanced="0" hidden="1"/>
    <cacheHierarchy uniqueName="[User Access].[LS]" caption="LS" attribute="1" defaultMemberUniqueName="[User Access].[LS].[All]" allUniqueName="[User Access].[LS].[All]" dimensionUniqueName="[User Access]" displayFolder="Access" count="0" unbalanced="0" hidden="1"/>
    <cacheHierarchy uniqueName="[User Access].[LSAD]" caption="LSAD" attribute="1" defaultMemberUniqueName="[User Access].[LSAD].[All]" allUniqueName="[User Access].[LSAD].[All]" dimensionUniqueName="[User Access]" displayFolder="Access" count="0" unbalanced="0" hidden="1"/>
    <cacheHierarchy uniqueName="[User Access].[LSAS]" caption="LSAS" attribute="1" defaultMemberUniqueName="[User Access].[LSAS].[All]" allUniqueName="[User Access].[LSAS].[All]" dimensionUniqueName="[User Access]" displayFolder="Access" count="0" unbalanced="0" hidden="1"/>
    <cacheHierarchy uniqueName="[User Access].[LSBI]" caption="LSBI" attribute="1" defaultMemberUniqueName="[User Access].[LSBI].[All]" allUniqueName="[User Access].[LSBI].[All]" dimensionUniqueName="[User Access]" displayFolder="Access" count="0" unbalanced="0" hidden="1"/>
    <cacheHierarchy uniqueName="[User Access].[LSIMS]" caption="LSIMS" attribute="1" defaultMemberUniqueName="[User Access].[LSIMS].[All]" allUniqueName="[User Access].[LSIMS].[All]" dimensionUniqueName="[User Access]" displayFolder="Access" count="0" unbalanced="0" hidden="1"/>
    <cacheHierarchy uniqueName="[User Access].[MC]" caption="MC" attribute="1" defaultMemberUniqueName="[User Access].[MC].[All]" allUniqueName="[User Access].[MC].[All]" dimensionUniqueName="[User Access]" displayFolder="Access" count="0" unbalanced="0" hidden="1"/>
    <cacheHierarchy uniqueName="[User Access].[MU]" caption="MU" attribute="1" defaultMemberUniqueName="[User Access].[MU].[All]" allUniqueName="[User Access].[MU].[All]" dimensionUniqueName="[User Access]" displayFolder="Access" count="0" unbalanced="0" hidden="1"/>
    <cacheHierarchy uniqueName="[User Access].[MUAD]" caption="MUAD" attribute="1" defaultMemberUniqueName="[User Access].[MUAD].[All]" allUniqueName="[User Access].[MUAD].[All]" dimensionUniqueName="[User Access]" displayFolder="Access" count="0" unbalanced="0" hidden="1"/>
    <cacheHierarchy uniqueName="[User Access].[MUAS]" caption="MUAS" attribute="1" defaultMemberUniqueName="[User Access].[MUAS].[All]" allUniqueName="[User Access].[MUAS].[All]" dimensionUniqueName="[User Access]" displayFolder="Access" count="0" unbalanced="0" hidden="1"/>
    <cacheHierarchy uniqueName="[User Access].[MUBI]" caption="MUBI" attribute="1" defaultMemberUniqueName="[User Access].[MUBI].[All]" allUniqueName="[User Access].[MUBI].[All]" dimensionUniqueName="[User Access]" displayFolder="Access" count="0" unbalanced="0" hidden="1"/>
    <cacheHierarchy uniqueName="[User Access].[MUIMS]" caption="MUIMS" attribute="1" defaultMemberUniqueName="[User Access].[MUIMS].[All]" allUniqueName="[User Access].[MUIMS].[All]" dimensionUniqueName="[User Access]" displayFolder="Access" count="0" unbalanced="0" hidden="1"/>
    <cacheHierarchy uniqueName="[User Access].[ST]" caption="ST" attribute="1" defaultMemberUniqueName="[User Access].[ST].[All]" allUniqueName="[User Access].[ST].[All]" dimensionUniqueName="[User Access]" displayFolder="Access" count="0" unbalanced="0" hidden="1"/>
    <cacheHierarchy uniqueName="[User Access].[STAD]" caption="STAD" attribute="1" defaultMemberUniqueName="[User Access].[STAD].[All]" allUniqueName="[User Access].[STAD].[All]" dimensionUniqueName="[User Access]" displayFolder="Access" count="0" unbalanced="0" hidden="1"/>
    <cacheHierarchy uniqueName="[User Access].[STAFF]" caption="STAFF" attribute="1" defaultMemberUniqueName="[User Access].[STAFF].[All]" allUniqueName="[User Access].[STAFF].[All]" dimensionUniqueName="[User Access]" displayFolder="Access" count="0" unbalanced="0" hidden="1"/>
    <cacheHierarchy uniqueName="[User Access].[STAS]" caption="STAS" attribute="1" defaultMemberUniqueName="[User Access].[STAS].[All]" allUniqueName="[User Access].[STAS].[All]" dimensionUniqueName="[User Access]" displayFolder="Access" count="0" unbalanced="0" hidden="1"/>
    <cacheHierarchy uniqueName="[User Access].[STBI]" caption="STBI" attribute="1" defaultMemberUniqueName="[User Access].[STBI].[All]" allUniqueName="[User Access].[STBI].[All]" dimensionUniqueName="[User Access]" displayFolder="Access" count="0" unbalanced="0" hidden="1"/>
    <cacheHierarchy uniqueName="[User Access].[STIMS]" caption="STIMS" attribute="1" defaultMemberUniqueName="[User Access].[STIMS].[All]" allUniqueName="[User Access].[STIMS].[All]" dimensionUniqueName="[User Access]" displayFolder="Access" count="0" unbalanced="0" hidden="1"/>
    <cacheHierarchy uniqueName="[User Access].[TR]" caption="TR" attribute="1" defaultMemberUniqueName="[User Access].[TR].[All]" allUniqueName="[User Access].[TR].[All]" dimensionUniqueName="[User Access]" displayFolder="Access" count="0" unbalanced="0" hidden="1"/>
    <cacheHierarchy uniqueName="[User Access].[TRAS]" caption="TRAS" attribute="1" defaultMemberUniqueName="[User Access].[TRAS].[All]" allUniqueName="[User Access].[TRAS].[All]" dimensionUniqueName="[User Access]" displayFolder="Access" count="0" unbalanced="0" hidden="1"/>
    <cacheHierarchy uniqueName="[User Access].[TRCH]" caption="TRCH" attribute="1" defaultMemberUniqueName="[User Access].[TRCH].[All]" allUniqueName="[User Access].[TRCH].[All]" dimensionUniqueName="[User Access]" displayFolder="Access" count="0" unbalanced="0" hidden="1"/>
    <cacheHierarchy uniqueName="[User Access].[TRDE]" caption="TRDE" attribute="1" defaultMemberUniqueName="[User Access].[TRDE].[All]" allUniqueName="[User Access].[TRDE].[All]" dimensionUniqueName="[User Access]" displayFolder="Access" count="0" unbalanced="0" hidden="1"/>
    <cacheHierarchy uniqueName="[User Access].[WI]" caption="WI" attribute="1" defaultMemberUniqueName="[User Access].[WI].[All]" allUniqueName="[User Access].[WI].[All]" dimensionUniqueName="[User Access]" displayFolder="Access" count="0" unbalanced="0" hidden="1"/>
    <cacheHierarchy uniqueName="[User Access].[WIAD]" caption="WIAD" attribute="1" defaultMemberUniqueName="[User Access].[WIAD].[All]" allUniqueName="[User Access].[WIAD].[All]" dimensionUniqueName="[User Access]" displayFolder="Access" count="0" unbalanced="0" hidden="1"/>
    <cacheHierarchy uniqueName="[User Access].[WIAS]" caption="WIAS" attribute="1" defaultMemberUniqueName="[User Access].[WIAS].[All]" allUniqueName="[User Access].[WIAS].[All]" dimensionUniqueName="[User Access]" displayFolder="Access" count="0" unbalanced="0" hidden="1"/>
    <cacheHierarchy uniqueName="[User Access].[WIBI]" caption="WIBI" attribute="1" defaultMemberUniqueName="[User Access].[WIBI].[All]" allUniqueName="[User Access].[WIBI].[All]" dimensionUniqueName="[User Access]" displayFolder="Access" count="0" unbalanced="0" hidden="1"/>
    <cacheHierarchy uniqueName="[User Access].[WIIMS]" caption="WIIMS" attribute="1" defaultMemberUniqueName="[User Access].[WIIMS].[All]" allUniqueName="[User Access].[WIIMS].[All]" dimensionUniqueName="[User Access]" displayFolder="Access" count="0" unbalanced="0" hidden="1"/>
    <cacheHierarchy uniqueName="[User Access].[ZH]" caption="ZH" attribute="1" defaultMemberUniqueName="[User Access].[ZH].[All]" allUniqueName="[User Access].[ZH].[All]" dimensionUniqueName="[User Access]" displayFolder="Access" count="0" unbalanced="0" hidden="1"/>
    <cacheHierarchy uniqueName="[User Access].[ZHAD]" caption="ZHAD" attribute="1" defaultMemberUniqueName="[User Access].[ZHAD].[All]" allUniqueName="[User Access].[ZHAD].[All]" dimensionUniqueName="[User Access]" displayFolder="Access" count="0" unbalanced="0" hidden="1"/>
    <cacheHierarchy uniqueName="[User Access].[ZHAS]" caption="ZHAS" attribute="1" defaultMemberUniqueName="[User Access].[ZHAS].[All]" allUniqueName="[User Access].[ZHAS].[All]" dimensionUniqueName="[User Access]" displayFolder="Access" count="0" unbalanced="0" hidden="1"/>
    <cacheHierarchy uniqueName="[User Access].[ZHBI]" caption="ZHBI" attribute="1" defaultMemberUniqueName="[User Access].[ZHBI].[All]" allUniqueName="[User Access].[ZHBI].[All]" dimensionUniqueName="[User Access]" displayFolder="Access" count="0" unbalanced="0" hidden="1"/>
    <cacheHierarchy uniqueName="[User Access].[ZHIMS]" caption="ZHIMS" attribute="1" defaultMemberUniqueName="[User Access].[ZHIMS].[All]" allUniqueName="[User Access].[ZHIMS].[All]" dimensionUniqueName="[User Access]" displayFolder="Access" count="0" unbalanced="0" hidden="1"/>
    <cacheHierarchy uniqueName="[User Access].[ZHPSD]" caption="ZHPSD" attribute="1" defaultMemberUniqueName="[User Access].[ZHPSD].[All]" allUniqueName="[User Access].[ZHPSD].[All]" dimensionUniqueName="[User Access]" displayFolder="Access" count="0" unbalanced="0" hidden="1"/>
    <cacheHierarchy uniqueName="[Measures].[HC]" caption="HC" measure="1" displayFolder="Employee Measures" measureGroup="Trimaran" count="0"/>
    <cacheHierarchy uniqueName="[Measures].[Employee Entries]" caption="Employee Entries" measure="1" displayFolder="Employee Measures" measureGroup="Trimaran" count="0"/>
    <cacheHierarchy uniqueName="[Measures].[Employee Exits]" caption="Employee Exits" measure="1" displayFolder="Employee Measures" measureGroup="Trimaran" count="0"/>
    <cacheHierarchy uniqueName="[Measures].[CHF incl VAT]" caption="CHF incl VAT" measure="1" displayFolder="Calculated Measures" measureGroup="Trimaran" count="0"/>
    <cacheHierarchy uniqueName="[Measures].[EUR incl VAT]" caption="EUR incl VAT" measure="1" displayFolder="Calculated Measures" measureGroup="Trimaran" count="0"/>
    <cacheHierarchy uniqueName="[Measures].[Orders]" caption="Orders" measure="1" displayFolder="Opportunity Measures" measureGroup="Trimaran" count="0"/>
    <cacheHierarchy uniqueName="[Measures].[Order Completion]" caption="Order Completion" measure="1" displayFolder="Calculated Measures" measureGroup="Trimaran" count="0"/>
    <cacheHierarchy uniqueName="[Measures].[CHF]" caption="CHF" measure="1" displayFolder="Calculated Measures" count="0"/>
    <cacheHierarchy uniqueName="[Measures].[EUR]" caption="EUR" measure="1" displayFolder="Calculated Measures" count="0"/>
    <cacheHierarchy uniqueName="[Measures].[Hours]" caption="Hours" measure="1" displayFolder="" count="0"/>
    <cacheHierarchy uniqueName="[Measures].[Regular Working Hours]" caption="Regular Working Hours" measure="1" displayFolder="Utilisation Measures" count="0"/>
    <cacheHierarchy uniqueName="[Measures].[Employee Yearly Fluctuation]" caption="Employee Yearly Fluctuation" measure="1" displayFolder="Employee Measures" count="0"/>
    <cacheHierarchy uniqueName="[Measures].[Employee Monthly Fluctuation]" caption="Employee Monthly Fluctuation" measure="1" displayFolder="Employee Measures" count="0"/>
    <cacheHierarchy uniqueName="[Measures].[FTE]" caption="FTE" measure="1" displayFolder="" count="0"/>
    <cacheHierarchy uniqueName="[Measures].[CHF / Employee]" caption="CHF / Employee" measure="1" displayFolder="Employee Measures" count="0"/>
    <cacheHierarchy uniqueName="[Measures].[Hours / Employee]" caption="Hours / Employee" measure="1" displayFolder="Employee Measures" measureGroup="Trimaran" count="0"/>
    <cacheHierarchy uniqueName="[Measures].[mio CHF]" caption="mio CHF" measure="1" displayFolder="Calculated Measures" count="0"/>
    <cacheHierarchy uniqueName="[Measures].[Employee Net Entries/Exits]" caption="Employee Net Entries/Exits" measure="1" displayFolder="Employee Measures" count="0"/>
    <cacheHierarchy uniqueName="[Measures].[mio EUR]" caption="mio EUR" measure="1" displayFolder="Calculated Measures" count="0"/>
    <cacheHierarchy uniqueName="[Measures].[k CHF]" caption="k CHF" measure="1" displayFolder="" count="0"/>
    <cacheHierarchy uniqueName="[Measures].[k EUR]" caption="k EUR" measure="1" displayFolder="" count="0"/>
    <cacheHierarchy uniqueName="[Measures].[B Utilisation]" caption="B Utilisation" measure="1" displayFolder="Utilisation Measures" count="0"/>
    <cacheHierarchy uniqueName="[Measures].[C Utilisation]" caption="C Utilisation" measure="1" displayFolder="Utilisation Measures" count="0"/>
    <cacheHierarchy uniqueName="[Measures].[A Utilisation]" caption="A Utilisation" measure="1" displayFolder="Utilisation Measures" count="0"/>
    <cacheHierarchy uniqueName="[Measures].[Utilisation Signal]" caption="Utilisation Signal" measure="1" displayFolder="Utilisation Measures" count="0"/>
    <cacheHierarchy uniqueName="[Measures].[B Utilisation Signal]" caption="B Utilisation Signal" measure="1" displayFolder="Utilisation Measures" count="0"/>
    <cacheHierarchy uniqueName="[Measures].[A Utilisation Signal]" caption="A Utilisation Signal" measure="1" displayFolder="Utilisation Measures" count="0"/>
    <cacheHierarchy uniqueName="[Measures].[C Utilisation Signal]" caption="C Utilisation Signal" measure="1" displayFolder="Utilisation Measures" count="0"/>
    <cacheHierarchy uniqueName="[Measures].[Hourly rate CHF]" caption="Hourly rate CHF" measure="1" displayFolder="Calculated Measures" count="0"/>
    <cacheHierarchy uniqueName="[Measures].[Expected hours (internal)]" caption="Expected hours (internal)" measure="1" displayFolder="Calculated Measures" count="0"/>
    <cacheHierarchy uniqueName="[Measures].[Open hours (internal)]" caption="Open hours (internal)" measure="1" displayFolder="Calculated Measures" count="0"/>
    <cacheHierarchy uniqueName="[Measures].[Open Revenue CHF]" caption="Open Revenue CHF" measure="1" displayFolder="Calculated Measures" count="0"/>
    <cacheHierarchy uniqueName="[Measures].[Open Revenue EUR]" caption="Open Revenue EUR" measure="1" displayFolder="Calculated Measures" count="0"/>
    <cacheHierarchy uniqueName="[Measures].[Hourly rate EUR]" caption="Hourly rate EUR" measure="1" displayFolder="Calculated Measures" count="0"/>
    <cacheHierarchy uniqueName="[Measures].[Utilisation]" caption="Utilisation" measure="1" displayFolder="Utilisation Measures" count="0"/>
    <cacheHierarchy uniqueName="[Measures].[Order Entry CHF]" caption="Order Entry CHF" measure="1" displayFolder="Calculated Measures" measureGroup="Trimaran" count="0"/>
    <cacheHierarchy uniqueName="[Measures].[Order Entry k CHF]" caption="Order Entry k CHF" measure="1" displayFolder="" count="0"/>
    <cacheHierarchy uniqueName="[Measures].[Order Entry EUR]" caption="Order Entry EUR" measure="1" displayFolder="Calculated Measures" measureGroup="Trimaran" count="0"/>
    <cacheHierarchy uniqueName="[Measures].[Order Entry k EUR]" caption="Order Entry k EUR" measure="1" displayFolder="" count="0"/>
    <cacheHierarchy uniqueName="[Measures].[Order Entry Weight CHF]" caption="Order Entry Weight CHF" measure="1" displayFolder="Opportunity Measures" measureGroup="Trimaran" count="0"/>
    <cacheHierarchy uniqueName="[Measures].[Order Entry Weight k CHF]" caption="Order Entry Weight k CHF" measure="1" displayFolder="Opportunity Measures" measureGroup="Trimaran" count="0"/>
    <cacheHierarchy uniqueName="[Measures].[Order Entry Weight EUR]" caption="Order Entry Weight EUR" measure="1" displayFolder="Opportunity Measures" measureGroup="Trimaran" count="0"/>
    <cacheHierarchy uniqueName="[Measures].[Order Entry Weight k EUR]" caption="Order Entry Weight k EUR" measure="1" displayFolder="Opportunity Measures" measureGroup="Trimaran" count="0"/>
    <cacheHierarchy uniqueName="[Measures].[Revenue % of Order Entry]" caption="Revenue % of Order Entry" measure="1" displayFolder="Calculated Measures" measureGroup="Trimaran" count="0"/>
    <cacheHierarchy uniqueName="[Measures].[Probability]" caption="Probability" measure="1" displayFolder="Opportunity Measures" count="0"/>
    <cacheHierarchy uniqueName="[Measures].[CHF_Measure]" caption="CHF_Measure" measure="1" displayFolder="" measureGroup="Trimaran" count="0" hidden="1"/>
    <cacheHierarchy uniqueName="[Measures].[EUR_Measure]" caption="EUR_Measure" measure="1" displayFolder="" measureGroup="Trimaran" count="0" hidden="1"/>
    <cacheHierarchy uniqueName="[Measures].[Hours_Measure]" caption="Hours_Measure" measure="1" displayFolder="" measureGroup="Trimaran" count="0" hidden="1"/>
    <cacheHierarchy uniqueName="[Measures].[RegularWorkingHours_Measure]" caption="RegularWorkingHours_Measure" measure="1" displayFolder="" measureGroup="Trimaran" count="0" hidden="1"/>
    <cacheHierarchy uniqueName="[Measures].[FTE_Measure]" caption="FTE_Measure" measure="1" displayFolder="" measureGroup="Trimaran" count="0" hidden="1"/>
    <cacheHierarchy uniqueName="[Measures].[Expected Revenue CHF_Measure]" caption="Expected Revenue CHF_Measure" measure="1" displayFolder="" measureGroup="Trimaran" count="0" hidden="1"/>
    <cacheHierarchy uniqueName="[Measures].[Expected Revenue EUR_Measure]" caption="Expected Revenue EUR_Measure" measure="1" displayFolder="" measureGroup="Trimaran" count="0" hidden="1"/>
    <cacheHierarchy uniqueName="[Measures].[Level A Hours]" caption="Level A Hours" measure="1" displayFolder="" measureGroup="Trimaran" count="0" hidden="1"/>
    <cacheHierarchy uniqueName="[Measures].[Level B Hours]" caption="Level B Hours" measure="1" displayFolder="" measureGroup="Trimaran" count="0" hidden="1"/>
    <cacheHierarchy uniqueName="[Measures].[Level C Hours]" caption="Level C Hours" measure="1" displayFolder="" measureGroup="Trimaran" count="0" hidden="1"/>
    <cacheHierarchy uniqueName="[Measures].[Total Access]" caption="Total Access" measure="1" displayFolder="" measureGroup="Trimaran" count="0" hidden="1"/>
    <cacheHierarchy uniqueName="[Measures].[Limited Access]" caption="Limited Access" measure="1" displayFolder="" measureGroup="Trimaran" count="0" hidden="1"/>
    <cacheHierarchy uniqueName="[Measures].[Expected Revenue Weight CHF_Measure]" caption="Expected Revenue Weight CHF_Measure" measure="1" displayFolder="Opportunity Measures" measureGroup="Trimaran" count="0" hidden="1"/>
    <cacheHierarchy uniqueName="[Measures].[Expected Revenue Weight EUR_Measure]" caption="Expected Revenue Weight EUR_Measure" measure="1" displayFolder="Opportunity Measures" measureGroup="Trimaran" count="0" hidden="1"/>
  </cacheHierarchies>
  <kpis count="0"/>
  <dimensions count="9">
    <dimension name="Account" uniqueName="[Account]" caption="Account"/>
    <dimension name="Employee" uniqueName="[Employee]" caption="Employee"/>
    <dimension name="Invoice" uniqueName="[Invoice]" caption="Invoice"/>
    <dimension measure="1" name="Measures" uniqueName="[Measures]" caption="Measures"/>
    <dimension name="Order" uniqueName="[Order]" caption="Order"/>
    <dimension name="Period" uniqueName="[Period]" caption="Period"/>
    <dimension name="Scenario" uniqueName="[Scenario]" caption="Scenario"/>
    <dimension name="Service" uniqueName="[Service]" caption="Service"/>
    <dimension name="Service Text" uniqueName="[Service Text]" caption="Service Text"/>
  </dimensions>
  <measureGroups count="1">
    <measureGroup name="Trimaran" caption="Trimaran"/>
  </measureGroups>
  <maps count="8">
    <map measureGroup="0" dimension="0"/>
    <map measureGroup="0" dimension="1"/>
    <map measureGroup="0" dimension="2"/>
    <map measureGroup="0" dimension="4"/>
    <map measureGroup="0" dimension="5"/>
    <map measureGroup="0" dimension="6"/>
    <map measureGroup="0" dimension="7"/>
    <map measureGroup="0"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Christoph Kappler" refreshedDate="41410.502201736112" backgroundQuery="1" createdVersion="4" refreshedVersion="4" minRefreshableVersion="3" recordCount="0" supportSubquery="1" supportAdvancedDrill="1">
  <cacheSource type="external" connectionId="1"/>
  <cacheFields count="16">
    <cacheField name="[Order].[Order].[Order]" caption="Order" numFmtId="0" hierarchy="76" level="1">
      <sharedItems containsSemiMixedTypes="0" containsString="0"/>
    </cacheField>
    <cacheField name="[Measures].[Hours]" caption="Hours" numFmtId="0" hierarchy="235" level="32767"/>
    <cacheField name="[Employee].[Employee Number].[Employee Number]" caption="Employee Number" numFmtId="0" hierarchy="34" level="1">
      <sharedItems count="1">
        <s v="[Employee].[Employee Number].&amp;[11517]" c="11517"/>
      </sharedItems>
    </cacheField>
    <cacheField name="[Period].[Month].[Month]" caption="Month" numFmtId="0" hierarchy="114" level="1" mappingCount="4">
      <sharedItems count="3">
        <s v="[Period].[Month].&amp;[201303]" c="201303" cp="4">
          <x/>
          <x/>
          <x/>
          <x/>
        </s>
        <s v="[Period].[Month].&amp;[201304]" c="201304" cp="4">
          <x v="1"/>
          <x v="1"/>
          <x v="1"/>
          <x v="1"/>
        </s>
        <s v="[Period].[Month].&amp;[201305]" c="201305" cp="4">
          <x v="2"/>
          <x v="2"/>
          <x v="2"/>
          <x v="1"/>
        </s>
      </sharedItems>
      <mpMap v="4"/>
      <mpMap v="5"/>
      <mpMap v="6"/>
      <mpMap v="7"/>
    </cacheField>
    <cacheField name="[Period].[Month].[Month].[Month Description]" caption="Month Description" propertyName="Month Description" numFmtId="0" hierarchy="114" level="1" memberPropertyField="1">
      <sharedItems count="3">
        <s v="Previous months"/>
        <s v="Last Month"/>
        <s v="Current Month"/>
      </sharedItems>
    </cacheField>
    <cacheField name="[Period].[Month].[Month].[Month Long]" caption="Month Long" propertyName="Month Long" numFmtId="0" hierarchy="114" level="1" memberPropertyField="1">
      <sharedItems count="3">
        <s v="March"/>
        <s v="April"/>
        <s v="May"/>
      </sharedItems>
    </cacheField>
    <cacheField name="[Period].[Month].[Month].[Month Short]" caption="Month Short" propertyName="Month Short" numFmtId="0" hierarchy="114" level="1" memberPropertyField="1">
      <sharedItems count="3">
        <s v="Mar"/>
        <s v="Apr"/>
        <s v="May"/>
      </sharedItems>
    </cacheField>
    <cacheField name="[Period].[Month].[Month].[Quarter]" caption="Quarter" propertyName="Quarter" numFmtId="0" hierarchy="114" level="1" memberPropertyField="1">
      <sharedItems count="2">
        <s v="2013Q1"/>
        <s v="2013Q2"/>
      </sharedItems>
    </cacheField>
    <cacheField name="[Measures].[EUR]" caption="EUR" numFmtId="0" hierarchy="234" level="32767"/>
    <cacheField name="[Measures].[CHF]" caption="CHF" numFmtId="0" hierarchy="233" level="32767"/>
    <cacheField name="[Account].[Account].[Account]" caption="Account" numFmtId="0" level="1">
      <sharedItems count="1">
        <s v="[Account].[Account].&amp;[60105 Umsatz BDS]" c="60105 Umsatz BDS"/>
      </sharedItems>
    </cacheField>
    <cacheField name="[Account].[Account].[Account].[Account Group]" caption="Account Group" propertyName="Account Group" numFmtId="0" level="1" memberPropertyField="1">
      <sharedItems containsSemiMixedTypes="0" containsString="0"/>
    </cacheField>
    <cacheField name="[Order].[Position Number].[Position Number]" caption="Position Number" numFmtId="0" hierarchy="101" level="1">
      <sharedItems count="3">
        <s v="[Order].[Position Number].&amp;[0]" c="0"/>
        <s v="[Order].[Position Number].&amp;[10]" c="10"/>
        <s v="[Order].[Position Number].&amp;[20]" c="20"/>
      </sharedItems>
    </cacheField>
    <cacheField name="[Service].[Charging].[Charging]" caption="Charging" numFmtId="0" hierarchy="124" level="1">
      <sharedItems containsSemiMixedTypes="0" containsString="0"/>
    </cacheField>
    <cacheField name="[Account].[Account Main Group].[Account Main Group]" caption="Account Main Group" numFmtId="0" hierarchy="3" level="1">
      <sharedItems containsSemiMixedTypes="0" containsString="0"/>
    </cacheField>
    <cacheField name="[Account].[Account Main Group].[Account Main Group].[CM1]" caption="CM1" propertyName="CM1" numFmtId="0" hierarchy="3" level="1" memberPropertyField="1">
      <sharedItems containsSemiMixedTypes="0" containsString="0"/>
    </cacheField>
  </cacheFields>
  <cacheHierarchies count="285">
    <cacheHierarchy uniqueName="[Account].[Account]" caption="Account" attribute="1" defaultMemberUniqueName="[Account].[Account].[All]" allUniqueName="[Account].[Account].[All]" dimensionUniqueName="[Account]" displayFolder="Account" count="2" unbalanced="0">
      <fieldsUsage count="2">
        <fieldUsage x="-1"/>
        <fieldUsage x="10"/>
      </fieldsUsage>
    </cacheHierarchy>
    <cacheHierarchy uniqueName="[Account].[Account Group]" caption="Account Group" attribute="1" defaultMemberUniqueName="[Account].[Account Group].[All]" allUniqueName="[Account].[Account Group].[All]" dimensionUniqueName="[Account]" displayFolder="Account Structure" count="0" unbalanced="0"/>
    <cacheHierarchy uniqueName="[Account].[Account Group New]" caption="Account Group New" attribute="1" defaultMemberUniqueName="[Account].[Account Group New].[All]" allUniqueName="[Account].[Account Group New].[All]" dimensionUniqueName="[Account]" displayFolder="Account Structure" count="0" unbalanced="0"/>
    <cacheHierarchy uniqueName="[Account].[Account Main Group]" caption="Account Main Group" attribute="1" defaultMemberUniqueName="[Account].[Account Main Group].[All]" allUniqueName="[Account].[Account Main Group].[All]" dimensionUniqueName="[Account]" displayFolder="Account Structure" count="2" unbalanced="0">
      <fieldsUsage count="2">
        <fieldUsage x="-1"/>
        <fieldUsage x="14"/>
      </fieldsUsage>
    </cacheHierarchy>
    <cacheHierarchy uniqueName="[Account].[Account Type]" caption="Account Type" attribute="1" defaultMemberUniqueName="[Account].[Account Type].[All]" allUniqueName="[Account].[Account Type].[All]" dimensionUniqueName="[Account]" displayFolder="Account" count="0" unbalanced="0"/>
    <cacheHierarchy uniqueName="[Account].[Account View]" caption="Account View" attribute="1" defaultMemberUniqueName="[Account].[Account View].[All]" allUniqueName="[Account].[Account View].[All]" dimensionUniqueName="[Account]" displayFolder="Account" count="0" unbalanced="0"/>
    <cacheHierarchy uniqueName="[Account].[Accountnumber]" caption="Accountnumber" attribute="1" defaultMemberUniqueName="[Account].[Accountnumber].[All]" allUniqueName="[Account].[Accountnumber].[All]" dimensionUniqueName="[Account]" displayFolder="Account" count="0" unbalanced="0"/>
    <cacheHierarchy uniqueName="[Account].[Accounts Hierarchy]" caption="Accounts Hierarchy" defaultMemberUniqueName="[Account].[Accounts Hierarchy].[All]" allUniqueName="[Account].[Accounts Hierarchy].[All]" dimensionUniqueName="[Account]" displayFolder="" count="0" unbalanced="0"/>
    <cacheHierarchy uniqueName="[Account].[CM1]" caption="CM1" attribute="1" defaultMemberUniqueName="[Account].[CM1].[All]" allUniqueName="[Account].[CM1].[All]" dimensionUniqueName="[Account]" displayFolder="Account Structure" count="0" unbalanced="0"/>
    <cacheHierarchy uniqueName="[Account].[CM2]" caption="CM2" attribute="1" defaultMemberUniqueName="[Account].[CM2].[All]" allUniqueName="[Account].[CM2].[All]" dimensionUniqueName="[Account]" displayFolder="Account Structure" count="0" unbalanced="0"/>
    <cacheHierarchy uniqueName="[Account].[CM3]" caption="CM3" attribute="1" defaultMemberUniqueName="[Account].[CM3].[All]" allUniqueName="[Account].[CM3].[All]" dimensionUniqueName="[Account]" displayFolder="Account Structure" count="0" unbalanced="0"/>
    <cacheHierarchy uniqueName="[Account].[EBDIT]" caption="EBDIT" attribute="1" defaultMemberUniqueName="[Account].[EBDIT].[All]" allUniqueName="[Account].[EBDIT].[All]" dimensionUniqueName="[Account]" displayFolder="Account Structure" count="0" unbalanced="0"/>
    <cacheHierarchy uniqueName="[Account].[EBIT]" caption="EBIT" attribute="1" defaultMemberUniqueName="[Account].[EBIT].[All]" allUniqueName="[Account].[EBIT].[All]" dimensionUniqueName="[Account]" displayFolder="Account Structure" count="0" unbalanced="0"/>
    <cacheHierarchy uniqueName="[Account].[IBT]" caption="IBT" attribute="1" defaultMemberUniqueName="[Account].[IBT].[All]" allUniqueName="[Account].[IBT].[All]" dimensionUniqueName="[Account]" displayFolder="Account Structure" count="0" unbalanced="0"/>
    <cacheHierarchy uniqueName="[Account].[Net Income]" caption="Net Income" attribute="1" defaultMemberUniqueName="[Account].[Net Income].[All]" allUniqueName="[Account].[Net Income].[All]" dimensionUniqueName="[Account]" displayFolder="Account Structure" count="0" unbalanced="0"/>
    <cacheHierarchy uniqueName="[Employee].[Age]" caption="Age" attribute="1" defaultMemberUniqueName="[Employee].[Age].[All]" allUniqueName="[Employee].[Age].[All]" dimensionUniqueName="[Employee]" displayFolder="Employee" count="0" unbalanced="0"/>
    <cacheHierarchy uniqueName="[Employee].[Agegroup]" caption="Agegroup" attribute="1" defaultMemberUniqueName="[Employee].[Agegroup].[All]" allUniqueName="[Employee].[Agegroup].[All]" dimensionUniqueName="[Employee]" displayFolder="Employee" count="0" unbalanced="0"/>
    <cacheHierarchy uniqueName="[Employee].[Birthday]" caption="Birthday" attribute="1" defaultMemberUniqueName="[Employee].[Birthday].[All]" allUniqueName="[Employee].[Birthday].[All]" dimensionUniqueName="[Employee]" displayFolder="Employee" count="0" unbalanced="0"/>
    <cacheHierarchy uniqueName="[Employee].[Cost Unit]" caption="Cost Unit" attribute="1" defaultMemberUniqueName="[Employee].[Cost Unit].[All]" allUniqueName="[Employee].[Cost Unit].[All]" dimensionUniqueName="[Employee]" displayFolder="Employee Organisation" count="0" unbalanced="0"/>
    <cacheHierarchy uniqueName="[Employee].[Current Status]" caption="Current Status" attribute="1" defaultMemberUniqueName="[Employee].[Current Status].[All]" allUniqueName="[Employee].[Current Status].[All]" dimensionUniqueName="[Employee]" displayFolder="Employee" count="0" unbalanced="0"/>
    <cacheHierarchy uniqueName="[Employee].[Education Category]" caption="Education Category" attribute="1" defaultMemberUniqueName="[Employee].[Education Category].[All]" allUniqueName="[Employee].[Education Category].[All]" dimensionUniqueName="[Employee]" displayFolder="Employee" count="0" unbalanced="0"/>
    <cacheHierarchy uniqueName="[Employee].[Email]" caption="Email" attribute="1" defaultMemberUniqueName="[Employee].[Email].[All]" allUniqueName="[Employee].[Email].[All]" dimensionUniqueName="[Employee]" displayFolder="Employee" count="0" unbalanced="0"/>
    <cacheHierarchy uniqueName="[Employee].[Employee]" caption="Employee" attribute="1" defaultMemberUniqueName="[Employee].[Employee].[All]" allUniqueName="[Employee].[Employee].[All]" dimensionUniqueName="[Employee]" displayFolder="Employee" count="0" unbalanced="0"/>
    <cacheHierarchy uniqueName="[Employee].[Employee Code]" caption="Employee Code" attribute="1" defaultMemberUniqueName="[Employee].[Employee Code].[All]" allUniqueName="[Employee].[Employee Code].[All]" dimensionUniqueName="[Employee]" displayFolder="Employee" count="0" unbalanced="0"/>
    <cacheHierarchy uniqueName="[Employee].[Employee Company]" caption="Employee Company" attribute="1" defaultMemberUniqueName="[Employee].[Employee Company].[All]" allUniqueName="[Employee].[Employee Company].[All]" dimensionUniqueName="[Employee]" displayFolder="Employee Organisation" count="0" unbalanced="0"/>
    <cacheHierarchy uniqueName="[Employee].[Employee Country]" caption="Employee Country" attribute="1" defaultMemberUniqueName="[Employee].[Employee Country].[All]" allUniqueName="[Employee].[Employee Country].[All]" dimensionUniqueName="[Employee]" displayFolder="Employee Organisation" count="0" unbalanced="0"/>
    <cacheHierarchy uniqueName="[Employee].[Employee Division]" caption="Employee Division" attribute="1" defaultMemberUniqueName="[Employee].[Employee Division].[All]" allUniqueName="[Employee].[Employee Division].[All]" dimensionUniqueName="[Employee]" displayFolder="Employee Organisation" count="0" unbalanced="0"/>
    <cacheHierarchy uniqueName="[Employee].[Employee Entry]" caption="Employee Entry" attribute="1" defaultMemberUniqueName="[Employee].[Employee Entry].[All]" allUniqueName="[Employee].[Employee Entry].[All]" dimensionUniqueName="[Employee]" displayFolder="Employee" count="0" unbalanced="0"/>
    <cacheHierarchy uniqueName="[Employee].[Employee Exit]" caption="Employee Exit" attribute="1" defaultMemberUniqueName="[Employee].[Employee Exit].[All]" allUniqueName="[Employee].[Employee Exit].[All]" dimensionUniqueName="[Employee]" displayFolder="Employee" count="0" unbalanced="0"/>
    <cacheHierarchy uniqueName="[Employee].[Employee Function]" caption="Employee Function" attribute="1" defaultMemberUniqueName="[Employee].[Employee Function].[All]" allUniqueName="[Employee].[Employee Function].[All]" dimensionUniqueName="[Employee]" displayFolder="Employee Function" count="0" unbalanced="0"/>
    <cacheHierarchy uniqueName="[Employee].[Employee Function Group]" caption="Employee Function Group" attribute="1" defaultMemberUniqueName="[Employee].[Employee Function Group].[All]" allUniqueName="[Employee].[Employee Function Group].[All]" dimensionUniqueName="[Employee]" displayFolder="Employee Function" count="0" unbalanced="0"/>
    <cacheHierarchy uniqueName="[Employee].[Employee Hierarchy]" caption="Employee Hierarchy" defaultMemberUniqueName="[Employee].[Employee Hierarchy].[All]" allUniqueName="[Employee].[Employee Hierarchy].[All]" dimensionUniqueName="[Employee]" displayFolder="" count="0" unbalanced="0"/>
    <cacheHierarchy uniqueName="[Employee].[Employee Location]" caption="Employee Location" attribute="1" defaultMemberUniqueName="[Employee].[Employee Location].[All]" allUniqueName="[Employee].[Employee Location].[All]" dimensionUniqueName="[Employee]" displayFolder="Employee Organisation" count="0" unbalanced="0"/>
    <cacheHierarchy uniqueName="[Employee].[Employee Location Code]" caption="Employee Location Code" attribute="1" defaultMemberUniqueName="[Employee].[Employee Location Code].[All]" allUniqueName="[Employee].[Employee Location Code].[All]" dimensionUniqueName="[Employee]" displayFolder="Employee Organisation" count="0" unbalanced="0"/>
    <cacheHierarchy uniqueName="[Employee].[Employee Number]" caption="Employee Number" attribute="1" defaultMemberUniqueName="[Employee].[Employee Number].[All]" allUniqueName="[Employee].[Employee Number].[All]" dimensionUniqueName="[Employee]" displayFolder="Employee" count="2" unbalanced="0">
      <fieldsUsage count="2">
        <fieldUsage x="-1"/>
        <fieldUsage x="2"/>
      </fieldsUsage>
    </cacheHierarchy>
    <cacheHierarchy uniqueName="[Employee].[Employee Solution]" caption="Employee Solution" attribute="1" defaultMemberUniqueName="[Employee].[Employee Solution].[All]" allUniqueName="[Employee].[Employee Solution].[All]" dimensionUniqueName="[Employee]" displayFolder="Employee Organisation" count="0" unbalanced="0"/>
    <cacheHierarchy uniqueName="[Employee].[Employee Team]" caption="Employee Team" attribute="1" defaultMemberUniqueName="[Employee].[Employee Team].[All]" allUniqueName="[Employee].[Employee Team].[All]" dimensionUniqueName="[Employee]" displayFolder="Employee Organisation" count="0" unbalanced="0"/>
    <cacheHierarchy uniqueName="[Employee].[Employee Unit]" caption="Employee Unit" attribute="1" defaultMemberUniqueName="[Employee].[Employee Unit].[All]" allUniqueName="[Employee].[Employee Unit].[All]" dimensionUniqueName="[Employee]" displayFolder="Employee Organisation" count="0" unbalanced="0"/>
    <cacheHierarchy uniqueName="[Employee].[Employee Unit Code]" caption="Employee Unit Code" attribute="1" defaultMemberUniqueName="[Employee].[Employee Unit Code].[All]" allUniqueName="[Employee].[Employee Unit Code].[All]" dimensionUniqueName="[Employee]" displayFolder="Employee Organisation" count="0" unbalanced="0"/>
    <cacheHierarchy uniqueName="[Employee].[Employment Duration]" caption="Employment Duration" attribute="1" defaultMemberUniqueName="[Employee].[Employment Duration].[All]" allUniqueName="[Employee].[Employment Duration].[All]" dimensionUniqueName="[Employee]" displayFolder="Employee" count="0" unbalanced="0"/>
    <cacheHierarchy uniqueName="[Employee].[Nationality]" caption="Nationality" attribute="1" defaultMemberUniqueName="[Employee].[Nationality].[All]" allUniqueName="[Employee].[Nationality].[All]" dimensionUniqueName="[Employee]" displayFolder="Employee" count="0" unbalanced="0"/>
    <cacheHierarchy uniqueName="[Employee].[Sex]" caption="Sex" attribute="1" defaultMemberUniqueName="[Employee].[Sex].[All]" allUniqueName="[Employee].[Sex].[All]" dimensionUniqueName="[Employee]" displayFolder="Employee" count="0" unbalanced="0"/>
    <cacheHierarchy uniqueName="[Invoice].[Days Due]" caption="Days Due" attribute="1" defaultMemberUniqueName="[Invoice].[Days Due].[All]" allUniqueName="[Invoice].[Days Due].[All]" dimensionUniqueName="[Invoice]" displayFolder="Invoice Info" count="0" unbalanced="0"/>
    <cacheHierarchy uniqueName="[Invoice].[Days To Invoice]" caption="Days To Invoice" attribute="1" defaultMemberUniqueName="[Invoice].[Days To Invoice].[All]" allUniqueName="[Invoice].[Days To Invoice].[All]" dimensionUniqueName="[Invoice]" displayFolder="Invoice Info" count="0" unbalanced="0"/>
    <cacheHierarchy uniqueName="[Invoice].[Days To Pay]" caption="Days To Pay" attribute="1" defaultMemberUniqueName="[Invoice].[Days To Pay].[All]" allUniqueName="[Invoice].[Days To Pay].[All]" dimensionUniqueName="[Invoice]" displayFolder="Invoice Info" count="0" unbalanced="0"/>
    <cacheHierarchy uniqueName="[Invoice].[Due Date]" caption="Due Date" attribute="1" defaultMemberUniqueName="[Invoice].[Due Date].[All]" allUniqueName="[Invoice].[Due Date].[All]" dimensionUniqueName="[Invoice]" displayFolder="Invoice Info" count="0" unbalanced="0"/>
    <cacheHierarchy uniqueName="[Invoice].[Dunning Level]" caption="Dunning Level" attribute="1" defaultMemberUniqueName="[Invoice].[Dunning Level].[All]" allUniqueName="[Invoice].[Dunning Level].[All]" dimensionUniqueName="[Invoice]" displayFolder="Invoice Info" count="0" unbalanced="0"/>
    <cacheHierarchy uniqueName="[Invoice].[Invoice]" caption="Invoice" attribute="1" defaultMemberUniqueName="[Invoice].[Invoice].[All]" allUniqueName="[Invoice].[Invoice].[All]" dimensionUniqueName="[Invoice]" displayFolder="" count="0" unbalanced="0"/>
    <cacheHierarchy uniqueName="[Invoice].[Invoice Date]" caption="Invoice Date" attribute="1" defaultMemberUniqueName="[Invoice].[Invoice Date].[All]" allUniqueName="[Invoice].[Invoice Date].[All]" dimensionUniqueName="[Invoice]" displayFolder="Invoice Period" count="0" unbalanced="0"/>
    <cacheHierarchy uniqueName="[Invoice].[Invoice Month]" caption="Invoice Month" attribute="1" defaultMemberUniqueName="[Invoice].[Invoice Month].[All]" allUniqueName="[Invoice].[Invoice Month].[All]" dimensionUniqueName="[Invoice]" displayFolder="Invoice Period" count="0" unbalanced="0"/>
    <cacheHierarchy uniqueName="[Invoice].[Invoice Year]" caption="Invoice Year" attribute="1" defaultMemberUniqueName="[Invoice].[Invoice Year].[All]" allUniqueName="[Invoice].[Invoice Year].[All]" dimensionUniqueName="[Invoice]" displayFolder="Invoice Period" count="0" unbalanced="0"/>
    <cacheHierarchy uniqueName="[Invoice].[Payment Date]" caption="Payment Date" attribute="1" defaultMemberUniqueName="[Invoice].[Payment Date].[All]" allUniqueName="[Invoice].[Payment Date].[All]" dimensionUniqueName="[Invoice]" displayFolder="Invoice Info" count="0" unbalanced="0"/>
    <cacheHierarchy uniqueName="[Invoice].[Payment Terms]" caption="Payment Terms" attribute="1" defaultMemberUniqueName="[Invoice].[Payment Terms].[All]" allUniqueName="[Invoice].[Payment Terms].[All]" dimensionUniqueName="[Invoice]" displayFolder="Invoice Info" count="0" unbalanced="0"/>
    <cacheHierarchy uniqueName="[Invoice].[Time To Invoice]" caption="Time To Invoice" attribute="1" defaultMemberUniqueName="[Invoice].[Time To Invoice].[All]" allUniqueName="[Invoice].[Time To Invoice].[All]" dimensionUniqueName="[Invoice]" displayFolder="Invoice Info" count="0" unbalanced="0"/>
    <cacheHierarchy uniqueName="[Invoice].[Time To Pay]" caption="Time To Pay" attribute="1" defaultMemberUniqueName="[Invoice].[Time To Pay].[All]" allUniqueName="[Invoice].[Time To Pay].[All]" dimensionUniqueName="[Invoice]" displayFolder="Invoice Info" count="0" unbalanced="0"/>
    <cacheHierarchy uniqueName="[Order].[Customer]" caption="Customer" attribute="1" defaultMemberUniqueName="[Order].[Customer].[All]" allUniqueName="[Order].[Customer].[All]" dimensionUniqueName="[Order]" displayFolder="Customer" count="0" unbalanced="0"/>
    <cacheHierarchy uniqueName="[Order].[Customer Class]" caption="Customer Class" attribute="1" defaultMemberUniqueName="[Order].[Customer Class].[All]" allUniqueName="[Order].[Customer Class].[All]" dimensionUniqueName="[Order]" displayFolder="Customer" count="0" unbalanced="0"/>
    <cacheHierarchy uniqueName="[Order].[Customer Company]" caption="Customer Company" attribute="1" defaultMemberUniqueName="[Order].[Customer Company].[All]" allUniqueName="[Order].[Customer Company].[All]" dimensionUniqueName="[Order]" displayFolder="Customer Organisation" count="0" unbalanced="0"/>
    <cacheHierarchy uniqueName="[Order].[Customer Contact]" caption="Customer Contact" attribute="1" defaultMemberUniqueName="[Order].[Customer Contact].[All]" allUniqueName="[Order].[Customer Contact].[All]" dimensionUniqueName="[Order]" displayFolder="Opportunity" count="0" unbalanced="0"/>
    <cacheHierarchy uniqueName="[Order].[Customer Division]" caption="Customer Division" attribute="1" defaultMemberUniqueName="[Order].[Customer Division].[All]" allUniqueName="[Order].[Customer Division].[All]" dimensionUniqueName="[Order]" displayFolder="Customer Organisation" count="0" unbalanced="0"/>
    <cacheHierarchy uniqueName="[Order].[Customer Hierarchy]" caption="Customer Hierarchy" defaultMemberUniqueName="[Order].[Customer Hierarchy].[All]" allUniqueName="[Order].[Customer Hierarchy].[All]" dimensionUniqueName="[Order]" displayFolder="" count="0" unbalanced="0"/>
    <cacheHierarchy uniqueName="[Order].[Customer Industry]" caption="Customer Industry" attribute="1" defaultMemberUniqueName="[Order].[Customer Industry].[All]" allUniqueName="[Order].[Customer Industry].[All]" dimensionUniqueName="[Order]" displayFolder="Customer" count="0" unbalanced="0"/>
    <cacheHierarchy uniqueName="[Order].[Customer Location]" caption="Customer Location" attribute="1" defaultMemberUniqueName="[Order].[Customer Location].[All]" allUniqueName="[Order].[Customer Location].[All]" dimensionUniqueName="[Order]" displayFolder="Customer Organisation" count="0" unbalanced="0"/>
    <cacheHierarchy uniqueName="[Order].[Customer Number]" caption="Customer Number" attribute="1" defaultMemberUniqueName="[Order].[Customer Number].[All]" allUniqueName="[Order].[Customer Number].[All]" dimensionUniqueName="[Order]" displayFolder="Customer" count="0" unbalanced="0"/>
    <cacheHierarchy uniqueName="[Order].[Customer Solution]" caption="Customer Solution" attribute="1" defaultMemberUniqueName="[Order].[Customer Solution].[All]" allUniqueName="[Order].[Customer Solution].[All]" dimensionUniqueName="[Order]" displayFolder="Customer Organisation" count="0" unbalanced="0"/>
    <cacheHierarchy uniqueName="[Order].[Customer Type]" caption="Customer Type" attribute="1" defaultMemberUniqueName="[Order].[Customer Type].[All]" allUniqueName="[Order].[Customer Type].[All]" dimensionUniqueName="[Order]" displayFolder="Customer" count="0" unbalanced="0"/>
    <cacheHierarchy uniqueName="[Order].[Customer Unit]" caption="Customer Unit" attribute="1" defaultMemberUniqueName="[Order].[Customer Unit].[All]" allUniqueName="[Order].[Customer Unit].[All]" dimensionUniqueName="[Order]" displayFolder="Customer Organisation" count="0" unbalanced="0"/>
    <cacheHierarchy uniqueName="[Order].[Key Account Manager]" caption="Key Account Manager" attribute="1" defaultMemberUniqueName="[Order].[Key Account Manager].[All]" allUniqueName="[Order].[Key Account Manager].[All]" dimensionUniqueName="[Order]" displayFolder="Customer Organisation" count="0" unbalanced="0"/>
    <cacheHierarchy uniqueName="[Order].[Lead Identifier]" caption="Lead Identifier" attribute="1" defaultMemberUniqueName="[Order].[Lead Identifier].[All]" allUniqueName="[Order].[Lead Identifier].[All]" dimensionUniqueName="[Order]" displayFolder="Opportunity" count="0" unbalanced="0"/>
    <cacheHierarchy uniqueName="[Order].[Lead Owner]" caption="Lead Owner" attribute="1" defaultMemberUniqueName="[Order].[Lead Owner].[All]" allUniqueName="[Order].[Lead Owner].[All]" dimensionUniqueName="[Order]" displayFolder="Opportunity" count="0" unbalanced="0"/>
    <cacheHierarchy uniqueName="[Order].[Material]" caption="Material" attribute="1" defaultMemberUniqueName="[Order].[Material].[All]" allUniqueName="[Order].[Material].[All]" dimensionUniqueName="[Order]" displayFolder="Position Material" count="0" unbalanced="0"/>
    <cacheHierarchy uniqueName="[Order].[Material Number]" caption="Material Number" attribute="1" defaultMemberUniqueName="[Order].[Material Number].[All]" allUniqueName="[Order].[Material Number].[All]" dimensionUniqueName="[Order]" displayFolder="Position Material" count="0" unbalanced="0"/>
    <cacheHierarchy uniqueName="[Order].[Material Type]" caption="Material Type" attribute="1" defaultMemberUniqueName="[Order].[Material Type].[All]" allUniqueName="[Order].[Material Type].[All]" dimensionUniqueName="[Order]" displayFolder="Position Material" count="0" unbalanced="0"/>
    <cacheHierarchy uniqueName="[Order].[New Customer]" caption="New Customer" attribute="1" defaultMemberUniqueName="[Order].[New Customer].[All]" allUniqueName="[Order].[New Customer].[All]" dimensionUniqueName="[Order]" displayFolder="Customer" count="0" unbalanced="0"/>
    <cacheHierarchy uniqueName="[Order].[Opportunity]" caption="Opportunity" attribute="1" defaultMemberUniqueName="[Order].[Opportunity].[All]" allUniqueName="[Order].[Opportunity].[All]" dimensionUniqueName="[Order]" displayFolder="Opportunity" count="0" unbalanced="0"/>
    <cacheHierarchy uniqueName="[Order].[Opportunity Number]" caption="Opportunity Number" attribute="1" defaultMemberUniqueName="[Order].[Opportunity Number].[All]" allUniqueName="[Order].[Opportunity Number].[All]" dimensionUniqueName="[Order]" displayFolder="Opportunity" count="0" unbalanced="0"/>
    <cacheHierarchy uniqueName="[Order].[Order]" caption="Order" attribute="1" defaultMemberUniqueName="[Order].[Order].[All]" allUniqueName="[Order].[Order].[All]" dimensionUniqueName="[Order]" displayFolder="Order" count="2" unbalanced="0">
      <fieldsUsage count="2">
        <fieldUsage x="-1"/>
        <fieldUsage x="0"/>
      </fieldsUsage>
    </cacheHierarchy>
    <cacheHierarchy uniqueName="[Order].[Order Category]" caption="Order Category" attribute="1" defaultMemberUniqueName="[Order].[Order Category].[All]" allUniqueName="[Order].[Order Category].[All]" dimensionUniqueName="[Order]" displayFolder="Order" count="0" unbalanced="0"/>
    <cacheHierarchy uniqueName="[Order].[Order Company]" caption="Order Company" attribute="1" defaultMemberUniqueName="[Order].[Order Company].[All]" allUniqueName="[Order].[Order Company].[All]" dimensionUniqueName="[Order]" displayFolder="Order Organisation" count="0" unbalanced="0"/>
    <cacheHierarchy uniqueName="[Order].[Order Country]" caption="Order Country" attribute="1" defaultMemberUniqueName="[Order].[Order Country].[All]" allUniqueName="[Order].[Order Country].[All]" dimensionUniqueName="[Order]" displayFolder="Order Organisation" count="0" unbalanced="0"/>
    <cacheHierarchy uniqueName="[Order].[Order Currency]" caption="Order Currency" attribute="1" defaultMemberUniqueName="[Order].[Order Currency].[All]" allUniqueName="[Order].[Order Currency].[All]" dimensionUniqueName="[Order]" displayFolder="Order" count="0" unbalanced="0"/>
    <cacheHierarchy uniqueName="[Order].[Order Division]" caption="Order Division" attribute="1" defaultMemberUniqueName="[Order].[Order Division].[All]" allUniqueName="[Order].[Order Division].[All]" dimensionUniqueName="[Order]" displayFolder="Order Organisation" count="0" unbalanced="0"/>
    <cacheHierarchy uniqueName="[Order].[Order End Day]" caption="Order End Day" attribute="1" defaultMemberUniqueName="[Order].[Order End Day].[All]" allUniqueName="[Order].[Order End Day].[All]" dimensionUniqueName="[Order]" displayFolder="Order Period" count="0" unbalanced="0"/>
    <cacheHierarchy uniqueName="[Order].[Order End Month]" caption="Order End Month" attribute="1" defaultMemberUniqueName="[Order].[Order End Month].[All]" allUniqueName="[Order].[Order End Month].[All]" dimensionUniqueName="[Order]" displayFolder="Order Period" count="0" unbalanced="0"/>
    <cacheHierarchy uniqueName="[Order].[Order End Year]" caption="Order End Year" attribute="1" defaultMemberUniqueName="[Order].[Order End Year].[All]" allUniqueName="[Order].[Order End Year].[All]" dimensionUniqueName="[Order]" displayFolder="Order Period" count="0" unbalanced="0"/>
    <cacheHierarchy uniqueName="[Order].[Order Hierarchy]" caption="Order Hierarchy" defaultMemberUniqueName="[Order].[Order Hierarchy].[All]" allUniqueName="[Order].[Order Hierarchy].[All]" dimensionUniqueName="[Order]" displayFolder="" count="0" unbalanced="0"/>
    <cacheHierarchy uniqueName="[Order].[Order Location]" caption="Order Location" attribute="1" defaultMemberUniqueName="[Order].[Order Location].[All]" allUniqueName="[Order].[Order Location].[All]" dimensionUniqueName="[Order]" displayFolder="Order Organisation" count="0" unbalanced="0"/>
    <cacheHierarchy uniqueName="[Order].[Order Management]" caption="Order Management" attribute="1" defaultMemberUniqueName="[Order].[Order Management].[All]" allUniqueName="[Order].[Order Management].[All]" dimensionUniqueName="[Order]" displayFolder="Order" count="0" unbalanced="0"/>
    <cacheHierarchy uniqueName="[Order].[Order Number]" caption="Order Number" attribute="1" defaultMemberUniqueName="[Order].[Order Number].[All]" allUniqueName="[Order].[Order Number].[All]" dimensionUniqueName="[Order]" displayFolder="Order" count="0" unbalanced="0"/>
    <cacheHierarchy uniqueName="[Order].[Order Solution]" caption="Order Solution" attribute="1" defaultMemberUniqueName="[Order].[Order Solution].[All]" allUniqueName="[Order].[Order Solution].[All]" dimensionUniqueName="[Order]" displayFolder="Order" count="0" unbalanced="0"/>
    <cacheHierarchy uniqueName="[Order].[Order Start Day]" caption="Order Start Day" attribute="1" defaultMemberUniqueName="[Order].[Order Start Day].[All]" allUniqueName="[Order].[Order Start Day].[All]" dimensionUniqueName="[Order]" displayFolder="Order Period" count="0" unbalanced="0"/>
    <cacheHierarchy uniqueName="[Order].[Order Start Month]" caption="Order Start Month" attribute="1" defaultMemberUniqueName="[Order].[Order Start Month].[All]" allUniqueName="[Order].[Order Start Month].[All]" dimensionUniqueName="[Order]" displayFolder="Order Period" count="0" unbalanced="0"/>
    <cacheHierarchy uniqueName="[Order].[Order Start Year]" caption="Order Start Year" attribute="1" defaultMemberUniqueName="[Order].[Order Start Year].[All]" allUniqueName="[Order].[Order Start Year].[All]" dimensionUniqueName="[Order]" displayFolder="Order Period" count="0" unbalanced="0"/>
    <cacheHierarchy uniqueName="[Order].[Order Status]" caption="Order Status" attribute="1" defaultMemberUniqueName="[Order].[Order Status].[All]" allUniqueName="[Order].[Order Status].[All]" dimensionUniqueName="[Order]" displayFolder="Order" count="0" unbalanced="0"/>
    <cacheHierarchy uniqueName="[Order].[Order Team]" caption="Order Team" attribute="1" defaultMemberUniqueName="[Order].[Order Team].[All]" allUniqueName="[Order].[Order Team].[All]" dimensionUniqueName="[Order]" displayFolder="Order Organisation" count="0" unbalanced="0"/>
    <cacheHierarchy uniqueName="[Order].[Order Type]" caption="Order Type" attribute="1" defaultMemberUniqueName="[Order].[Order Type].[All]" allUniqueName="[Order].[Order Type].[All]" dimensionUniqueName="[Order]" displayFolder="Order Type" count="0" unbalanced="0"/>
    <cacheHierarchy uniqueName="[Order].[Order Unit]" caption="Order Unit" attribute="1" defaultMemberUniqueName="[Order].[Order Unit].[All]" allUniqueName="[Order].[Order Unit].[All]" dimensionUniqueName="[Order]" displayFolder="Order Organisation" count="0" unbalanced="0"/>
    <cacheHierarchy uniqueName="[Order].[Portfolio Element]" caption="Portfolio Element" attribute="1" defaultMemberUniqueName="[Order].[Portfolio Element].[All]" allUniqueName="[Order].[Portfolio Element].[All]" dimensionUniqueName="[Order]" displayFolder="Position" count="0" unbalanced="0"/>
    <cacheHierarchy uniqueName="[Order].[Portfolio Theme]" caption="Portfolio Theme" attribute="1" defaultMemberUniqueName="[Order].[Portfolio Theme].[All]" allUniqueName="[Order].[Portfolio Theme].[All]" dimensionUniqueName="[Order]" displayFolder="Position" count="0" unbalanced="0"/>
    <cacheHierarchy uniqueName="[Order].[Position]" caption="Position" attribute="1" defaultMemberUniqueName="[Order].[Position].[All]" allUniqueName="[Order].[Position].[All]" dimensionUniqueName="[Order]" displayFolder="Position" count="0" unbalanced="0"/>
    <cacheHierarchy uniqueName="[Order].[Position End Day]" caption="Position End Day" attribute="1" defaultMemberUniqueName="[Order].[Position End Day].[All]" allUniqueName="[Order].[Position End Day].[All]" dimensionUniqueName="[Order]" displayFolder="Position" count="0" unbalanced="0"/>
    <cacheHierarchy uniqueName="[Order].[Position Number]" caption="Position Number" attribute="1" defaultMemberUniqueName="[Order].[Position Number].[All]" allUniqueName="[Order].[Position Number].[All]" dimensionUniqueName="[Order]" displayFolder="Position" count="2" unbalanced="0">
      <fieldsUsage count="2">
        <fieldUsage x="-1"/>
        <fieldUsage x="12"/>
      </fieldsUsage>
    </cacheHierarchy>
    <cacheHierarchy uniqueName="[Order].[Position Solution]" caption="Position Solution" attribute="1" defaultMemberUniqueName="[Order].[Position Solution].[All]" allUniqueName="[Order].[Position Solution].[All]" dimensionUniqueName="[Order]" displayFolder="Position" count="0" unbalanced="0"/>
    <cacheHierarchy uniqueName="[Order].[Position Start Day]" caption="Position Start Day" attribute="1" defaultMemberUniqueName="[Order].[Position Start Day].[All]" allUniqueName="[Order].[Position Start Day].[All]" dimensionUniqueName="[Order]" displayFolder="Position" count="0" unbalanced="0"/>
    <cacheHierarchy uniqueName="[Order].[Position Status]" caption="Position Status" attribute="1" defaultMemberUniqueName="[Order].[Position Status].[All]" allUniqueName="[Order].[Position Status].[All]" dimensionUniqueName="[Order]" displayFolder="Position" count="0" unbalanced="0"/>
    <cacheHierarchy uniqueName="[Order].[Position Technology]" caption="Position Technology" attribute="1" defaultMemberUniqueName="[Order].[Position Technology].[All]" allUniqueName="[Order].[Position Technology].[All]" dimensionUniqueName="[Order]" displayFolder="Position" count="0" unbalanced="0"/>
    <cacheHierarchy uniqueName="[Order].[Position Type]" caption="Position Type" attribute="1" defaultMemberUniqueName="[Order].[Position Type].[All]" allUniqueName="[Order].[Position Type].[All]" dimensionUniqueName="[Order]" displayFolder="Position" count="0" unbalanced="0"/>
    <cacheHierarchy uniqueName="[Order].[Project Manager]" caption="Project Manager" attribute="1" defaultMemberUniqueName="[Order].[Project Manager].[All]" allUniqueName="[Order].[Project Manager].[All]" dimensionUniqueName="[Order]" displayFolder="Order Organisation" count="0" unbalanced="0"/>
    <cacheHierarchy uniqueName="[Order].[Project Responsible]" caption="Project Responsible" attribute="1" defaultMemberUniqueName="[Order].[Project Responsible].[All]" allUniqueName="[Order].[Project Responsible].[All]" dimensionUniqueName="[Order]" displayFolder="Order Organisation" count="0" unbalanced="0"/>
    <cacheHierarchy uniqueName="[Order].[Reference Number]" caption="Reference Number" attribute="1" defaultMemberUniqueName="[Order].[Reference Number].[All]" allUniqueName="[Order].[Reference Number].[All]" dimensionUniqueName="[Order]" displayFolder="Order" count="0" unbalanced="0"/>
    <cacheHierarchy uniqueName="[Order].[Revenue Class]" caption="Revenue Class" attribute="1" defaultMemberUniqueName="[Order].[Revenue Class].[All]" allUniqueName="[Order].[Revenue Class].[All]" dimensionUniqueName="[Order]" displayFolder="Customer" count="0" unbalanced="0"/>
    <cacheHierarchy uniqueName="[Order].[Signature]" caption="Signature" attribute="1" defaultMemberUniqueName="[Order].[Signature].[All]" allUniqueName="[Order].[Signature].[All]" dimensionUniqueName="[Order]" displayFolder="Order" count="0" unbalanced="0"/>
    <cacheHierarchy uniqueName="[Order].[Training Type]" caption="Training Type" attribute="1" defaultMemberUniqueName="[Order].[Training Type].[All]" allUniqueName="[Order].[Training Type].[All]" dimensionUniqueName="[Order]" displayFolder="Order Type" count="0" unbalanced="0"/>
    <cacheHierarchy uniqueName="[Period].[Day]" caption="Day" attribute="1" time="1" defaultMemberUniqueName="[Period].[Day].[All]" allUniqueName="[Period].[Day].[All]" dimensionUniqueName="[Period]" displayFolder="Period" count="0" unbalanced="0"/>
    <cacheHierarchy uniqueName="[Period].[Month]" caption="Month" attribute="1" time="1" defaultMemberUniqueName="[Period].[Month].[All]" allUniqueName="[Period].[Month].[All]" dimensionUniqueName="[Period]" displayFolder="Period" count="2" unbalanced="0">
      <fieldsUsage count="2">
        <fieldUsage x="-1"/>
        <fieldUsage x="3"/>
      </fieldsUsage>
    </cacheHierarchy>
    <cacheHierarchy uniqueName="[Period].[Month Description]" caption="Month Description" attribute="1" time="1" defaultMemberUniqueName="[Period].[Month Description].[All]" allUniqueName="[Period].[Month Description].[All]" dimensionUniqueName="[Period]" displayFolder="Period" count="0" unbalanced="0"/>
    <cacheHierarchy uniqueName="[Period].[Month Short]" caption="Month Short" attribute="1" time="1" defaultMemberUniqueName="[Period].[Month Short].[All]" allUniqueName="[Period].[Month Short].[All]" dimensionUniqueName="[Period]" displayFolder="Period" count="0" unbalanced="0"/>
    <cacheHierarchy uniqueName="[Period].[Period Hierarchy]" caption="Period Hierarchy" time="1" defaultMemberUniqueName="[Period].[Period Hierarchy].[All]" allUniqueName="[Period].[Period Hierarchy].[All]" dimensionUniqueName="[Period]" displayFolder="" count="0" unbalanced="0"/>
    <cacheHierarchy uniqueName="[Period].[Quarter]" caption="Quarter" attribute="1" time="1" defaultMemberUniqueName="[Period].[Quarter].[All]" allUniqueName="[Period].[Quarter].[All]" dimensionUniqueName="[Period]" displayFolder="Period" count="0" unbalanced="0"/>
    <cacheHierarchy uniqueName="[Period].[Week]" caption="Week" attribute="1" time="1" defaultMemberUniqueName="[Period].[Week].[All]" allUniqueName="[Period].[Week].[All]" dimensionUniqueName="[Period]" displayFolder="Period" count="0" unbalanced="0"/>
    <cacheHierarchy uniqueName="[Period].[Week Description]" caption="Week Description" attribute="1" time="1" defaultMemberUniqueName="[Period].[Week Description].[All]" allUniqueName="[Period].[Week Description].[All]" dimensionUniqueName="[Period]" displayFolder="Period" count="0" unbalanced="0"/>
    <cacheHierarchy uniqueName="[Period].[Year]" caption="Year" attribute="1" time="1" defaultMemberUniqueName="[Period].[Year].[All]" allUniqueName="[Period].[Year].[All]" dimensionUniqueName="[Period]" displayFolder="Period" count="0" unbalanced="0"/>
    <cacheHierarchy uniqueName="[Period].[YTD]" caption="YTD" attribute="1" time="1" defaultMemberUniqueName="[Period].[YTD].[All]" allUniqueName="[Period].[YTD].[All]" dimensionUniqueName="[Period]" displayFolder="Period" count="0" unbalanced="0"/>
    <cacheHierarchy uniqueName="[Scenario].[Scenario]" caption="Scenario" attribute="1" defaultMemberUniqueName="[Scenario].[Scenario].&amp;[Actual]" allUniqueName="[Scenario].[Scenario].[All]" dimensionUniqueName="[Scenario]" displayFolder="" count="0" unbalanced="0"/>
    <cacheHierarchy uniqueName="[Service].[Charging]" caption="Charging" attribute="1" defaultMemberUniqueName="[Service].[Charging].[All]" allUniqueName="[Service].[Charging].[All]" dimensionUniqueName="[Service]" displayFolder="Service" count="2" unbalanced="0">
      <fieldsUsage count="2">
        <fieldUsage x="-1"/>
        <fieldUsage x="13"/>
      </fieldsUsage>
    </cacheHierarchy>
    <cacheHierarchy uniqueName="[Service].[Invoicing]" caption="Invoicing" attribute="1" defaultMemberUniqueName="[Service].[Invoicing].[All]" allUniqueName="[Service].[Invoicing].[All]" dimensionUniqueName="[Service]" displayFolder="Status" count="0" unbalanced="0"/>
    <cacheHierarchy uniqueName="[Service].[Level A]" caption="Level A" attribute="1" defaultMemberUniqueName="[Service].[Level A].[All]" allUniqueName="[Service].[Level A].[All]" dimensionUniqueName="[Service]" displayFolder="Service Category" count="0" unbalanced="0"/>
    <cacheHierarchy uniqueName="[Service].[Level B]" caption="Level B" attribute="1" defaultMemberUniqueName="[Service].[Level B].[All]" allUniqueName="[Service].[Level B].[All]" dimensionUniqueName="[Service]" displayFolder="Service Category" count="0" unbalanced="0"/>
    <cacheHierarchy uniqueName="[Service].[Level C]" caption="Level C" attribute="1" defaultMemberUniqueName="[Service].[Level C].[All]" allUniqueName="[Service].[Level C].[All]" dimensionUniqueName="[Service]" displayFolder="Service Category" count="0" unbalanced="0"/>
    <cacheHierarchy uniqueName="[Service].[Monthly Closure]" caption="Monthly Closure" attribute="1" defaultMemberUniqueName="[Service].[Monthly Closure].[All]" allUniqueName="[Service].[Monthly Closure].[All]" dimensionUniqueName="[Service]" displayFolder="Status" count="0" unbalanced="0"/>
    <cacheHierarchy uniqueName="[Service].[Payment]" caption="Payment" attribute="1" defaultMemberUniqueName="[Service].[Payment].[All]" allUniqueName="[Service].[Payment].[All]" dimensionUniqueName="[Service]" displayFolder="Status" count="0" unbalanced="0"/>
    <cacheHierarchy uniqueName="[Service].[Service Category]" caption="Service Category" attribute="1" defaultMemberUniqueName="[Service].[Service Category].[All]" allUniqueName="[Service].[Service Category].[All]" dimensionUniqueName="[Service]" displayFolder="Service Category" count="0" unbalanced="0"/>
    <cacheHierarchy uniqueName="[Service].[Service Category Code]" caption="Service Category Code" attribute="1" defaultMemberUniqueName="[Service].[Service Category Code].[All]" allUniqueName="[Service].[Service Category Code].[All]" dimensionUniqueName="[Service]" displayFolder="Service Category" count="0" unbalanced="0"/>
    <cacheHierarchy uniqueName="[Service].[Service Definition]" caption="Service Definition" attribute="1" defaultMemberUniqueName="[Service].[Service Definition].[All]" allUniqueName="[Service].[Service Definition].[All]" dimensionUniqueName="[Service]" displayFolder="Service" count="0" unbalanced="0"/>
    <cacheHierarchy uniqueName="[Service].[Service Status]" caption="Service Status" attribute="1" defaultMemberUniqueName="[Service].[Service Status].[All]" allUniqueName="[Service].[Service Status].[All]" dimensionUniqueName="[Service]" displayFolder="Status" count="0" unbalanced="0"/>
    <cacheHierarchy uniqueName="[Service].[Service Type]" caption="Service Type" attribute="1" defaultMemberUniqueName="[Service].[Service Type].[All]" allUniqueName="[Service].[Service Type].[All]" dimensionUniqueName="[Service]" displayFolder="Service" count="0" unbalanced="0"/>
    <cacheHierarchy uniqueName="[Service].[Status Number]" caption="Status Number" attribute="1" defaultMemberUniqueName="[Service].[Status Number].[All]" allUniqueName="[Service].[Status Number].[All]" dimensionUniqueName="[Service]" displayFolder="Status" count="0" unbalanced="0"/>
    <cacheHierarchy uniqueName="[Service Text].[Service Text]" caption="Service Text" attribute="1" defaultMemberUniqueName="[Service Text].[Service Text].[All]" allUniqueName="[Service Text].[Service Text].[All]" dimensionUniqueName="[Service Text]" displayFolder="" count="0" unbalanced="0"/>
    <cacheHierarchy uniqueName="[Account].[Account Id]" caption="Account Id" attribute="1" keyAttribute="1" defaultMemberUniqueName="[Account].[Account Id].[All]" allUniqueName="[Account].[Account Id].[All]" dimensionUniqueName="[Account]" displayFolder="" count="0" unbalanced="0" hidden="1"/>
    <cacheHierarchy uniqueName="[Employee].[Employee Hierarchy Forecast]" caption="Employee Hierarchy Forecast" defaultMemberUniqueName="[Employee].[Employee Hierarchy Forecast].[All]" allUniqueName="[Employee].[Employee Hierarchy Forecast].[All]" dimensionUniqueName="[Employee]" displayFolder="" count="0" unbalanced="0" hidden="1"/>
    <cacheHierarchy uniqueName="[Employee].[Employee Id]" caption="Employee Id" attribute="1" keyAttribute="1" defaultMemberUniqueName="[Employee].[Employee Id].[All]" allUniqueName="[Employee].[Employee Id].[All]" dimensionUniqueName="[Employee]" displayFolder="" count="0" unbalanced="0" hidden="1"/>
    <cacheHierarchy uniqueName="[Employee].[Team Hierarchie]" caption="Team Hierarchie" attribute="1" defaultMemberUniqueName="[Employee].[Team Hierarchie].[All]" allUniqueName="[Employee].[Team Hierarchie].[All]" dimensionUniqueName="[Employee]" displayFolder="" count="0" unbalanced="0" hidden="1"/>
    <cacheHierarchy uniqueName="[Forecast Transformation].[Forecast Load Date Id]" caption="Forecast Load Date Id" attribute="1" keyAttribute="1" defaultMemberUniqueName="[Forecast Transformation].[Forecast Load Date Id].[All]" allUniqueName="[Forecast Transformation].[Forecast Load Date Id].[All]" dimensionUniqueName="[Forecast Transformation]" displayFolder="" count="0" unbalanced="0" hidden="1"/>
    <cacheHierarchy uniqueName="[Forecast Transformation].[Transformation Time]" caption="Transformation Time" attribute="1" defaultMemberUniqueName="[Forecast Transformation].[Transformation Time].[All]" allUniqueName="[Forecast Transformation].[Transformation Time].[All]" dimensionUniqueName="[Forecast Transformation]" displayFolder="" count="0" unbalanced="0" hidden="1"/>
    <cacheHierarchy uniqueName="[Invoice].[Invoice Id]" caption="Invoice Id" attribute="1" keyAttribute="1" defaultMemberUniqueName="[Invoice].[Invoice Id].[All]" allUniqueName="[Invoice].[Invoice Id].[All]" dimensionUniqueName="[Invoice]" displayFolder="" count="0" unbalanced="0" hidden="1"/>
    <cacheHierarchy uniqueName="[Order].[KAM Code]" caption="KAM Code" attribute="1" defaultMemberUniqueName="[Order].[KAM Code].[All]" allUniqueName="[Order].[KAM Code].[All]" dimensionUniqueName="[Order]" displayFolder="" count="0" unbalanced="0" hidden="1"/>
    <cacheHierarchy uniqueName="[Order].[Order Position Id]" caption="Order Position Id" attribute="1" keyAttribute="1" defaultMemberUniqueName="[Order].[Order Position Id].[All]" allUniqueName="[Order].[Order Position Id].[All]" dimensionUniqueName="[Order]" displayFolder="" count="0" unbalanced="0" hidden="1"/>
    <cacheHierarchy uniqueName="[Order].[OrderCustomerH]" caption="OrderCustomerH" attribute="1" defaultMemberUniqueName="[Order].[OrderCustomerH].[All]" allUniqueName="[Order].[OrderCustomerH].[All]" dimensionUniqueName="[Order]" displayFolder="" count="0" unbalanced="0" hidden="1"/>
    <cacheHierarchy uniqueName="[Order].[OrderUnitH]" caption="OrderUnitH" attribute="1" defaultMemberUniqueName="[Order].[OrderUnitH].[All]" allUniqueName="[Order].[OrderUnitH].[All]" dimensionUniqueName="[Order]" displayFolder="" count="0" unbalanced="0" hidden="1"/>
    <cacheHierarchy uniqueName="[Order].[Project Manager Code]" caption="Project Manager Code" attribute="1" defaultMemberUniqueName="[Order].[Project Manager Code].[All]" allUniqueName="[Order].[Project Manager Code].[All]" dimensionUniqueName="[Order]" displayFolder="Order Organisation" count="0" unbalanced="0" hidden="1"/>
    <cacheHierarchy uniqueName="[Period].[Month Long]" caption="Month Long" attribute="1" time="1" defaultMemberUniqueName="[Period].[Month Long].[All]" allUniqueName="[Period].[Month Long].[All]" dimensionUniqueName="[Period]" displayFolder="Period" count="0" unbalanced="0" hidden="1"/>
    <cacheHierarchy uniqueName="[Period].[Month of Year]" caption="Month of Year" attribute="1" time="1" defaultMemberUniqueName="[Period].[Month of Year].[All]" allUniqueName="[Period].[Month of Year].[All]" dimensionUniqueName="[Period]" displayFolder="Period" count="0" unbalanced="0" hidden="1"/>
    <cacheHierarchy uniqueName="[Period].[Service Period Id]" caption="Service Period Id" attribute="1" time="1" keyAttribute="1" defaultMemberUniqueName="[Period].[Service Period Id].[All]" allUniqueName="[Period].[Service Period Id].[All]" dimensionUniqueName="[Period]" displayFolder="" count="0" unbalanced="0" hidden="1"/>
    <cacheHierarchy uniqueName="[Scenario].[Scenario Group]" caption="Scenario Group" attribute="1" defaultMemberUniqueName="[Scenario].[Scenario Group].[All]" allUniqueName="[Scenario].[Scenario Group].[All]" dimensionUniqueName="[Scenario]" displayFolder="" count="0" unbalanced="0" hidden="1"/>
    <cacheHierarchy uniqueName="[Scenario].[Scenario Id]" caption="Scenario Id" attribute="1" keyAttribute="1" defaultMemberUniqueName="[Scenario].[Scenario Id].[All]" allUniqueName="[Scenario].[Scenario Id].[All]" dimensionUniqueName="[Scenario]" displayFolder="" count="0" unbalanced="0" hidden="1"/>
    <cacheHierarchy uniqueName="[Service].[Service Id]" caption="Service Id" attribute="1" keyAttribute="1" defaultMemberUniqueName="[Service].[Service Id].[All]" allUniqueName="[Service].[Service Id].[All]" dimensionUniqueName="[Service]" displayFolder="" count="0" unbalanced="0" hidden="1"/>
    <cacheHierarchy uniqueName="[Service Text].[Servicetext Id]" caption="Servicetext Id" attribute="1" keyAttribute="1" defaultMemberUniqueName="[Service Text].[Servicetext Id].[All]" allUniqueName="[Service Text].[Servicetext Id].[All]" dimensionUniqueName="[Service Text]" displayFolder="" count="0" unbalanced="0" hidden="1"/>
    <cacheHierarchy uniqueName="[Transformation].[Load Date Id]" caption="Load Date Id" attribute="1" keyAttribute="1" defaultMemberUniqueName="[Transformation].[Load Date Id].[All]" allUniqueName="[Transformation].[Load Date Id].[All]" dimensionUniqueName="[Transformation]" displayFolder="" count="0" unbalanced="0" hidden="1"/>
    <cacheHierarchy uniqueName="[Transformation].[Transformation Date]" caption="Transformation Date" attribute="1" defaultMemberUniqueName="[Transformation].[Transformation Date].[All]" allUniqueName="[Transformation].[Transformation Date].[All]" dimensionUniqueName="[Transformation]" displayFolder="" count="0" unbalanced="0" hidden="1"/>
    <cacheHierarchy uniqueName="[User Access].[Access Id]" caption="Access Id" attribute="1" keyAttribute="1" defaultMemberUniqueName="[User Access].[Access Id].[All]" allUniqueName="[User Access].[Access Id].[All]" dimensionUniqueName="[User Access]" displayFolder="Access" count="0" unbalanced="0" hidden="1"/>
    <cacheHierarchy uniqueName="[User Access].[BDSAS]" caption="BDSAS" attribute="1" defaultMemberUniqueName="[User Access].[BDSAS].[All]" allUniqueName="[User Access].[BDSAS].[All]" dimensionUniqueName="[User Access]" displayFolder="Access" count="0" unbalanced="0" hidden="1"/>
    <cacheHierarchy uniqueName="[User Access].[BE]" caption="BE" attribute="1" defaultMemberUniqueName="[User Access].[BE].[All]" allUniqueName="[User Access].[BE].[All]" dimensionUniqueName="[User Access]" displayFolder="Access" count="0" unbalanced="0" hidden="1"/>
    <cacheHierarchy uniqueName="[User Access].[BEAD]" caption="BEAD" attribute="1" defaultMemberUniqueName="[User Access].[BEAD].[All]" allUniqueName="[User Access].[BEAD].[All]" dimensionUniqueName="[User Access]" displayFolder="Access" count="0" unbalanced="0" hidden="1"/>
    <cacheHierarchy uniqueName="[User Access].[BEAS]" caption="BEAS" attribute="1" defaultMemberUniqueName="[User Access].[BEAS].[All]" allUniqueName="[User Access].[BEAS].[All]" dimensionUniqueName="[User Access]" displayFolder="Access" count="0" unbalanced="0" hidden="1"/>
    <cacheHierarchy uniqueName="[User Access].[BEBI]" caption="BEBI" attribute="1" defaultMemberUniqueName="[User Access].[BEBI].[All]" allUniqueName="[User Access].[BEBI].[All]" dimensionUniqueName="[User Access]" displayFolder="Access" count="0" unbalanced="0" hidden="1"/>
    <cacheHierarchy uniqueName="[User Access].[BEIMS]" caption="BEIMS" attribute="1" defaultMemberUniqueName="[User Access].[BEIMS].[All]" allUniqueName="[User Access].[BEIMS].[All]" dimensionUniqueName="[User Access]" displayFolder="Access" count="0" unbalanced="0" hidden="1"/>
    <cacheHierarchy uniqueName="[User Access].[BIS]" caption="BIS" attribute="1" defaultMemberUniqueName="[User Access].[BIS].[All]" allUniqueName="[User Access].[BIS].[All]" dimensionUniqueName="[User Access]" displayFolder="Access" count="0" unbalanced="0" hidden="1"/>
    <cacheHierarchy uniqueName="[User Access].[BISAS]" caption="BISAS" attribute="1" defaultMemberUniqueName="[User Access].[BISAS].[All]" allUniqueName="[User Access].[BISAS].[All]" dimensionUniqueName="[User Access]" displayFolder="Access" count="0" unbalanced="0" hidden="1"/>
    <cacheHierarchy uniqueName="[User Access].[BS]" caption="BS" attribute="1" defaultMemberUniqueName="[User Access].[BS].[All]" allUniqueName="[User Access].[BS].[All]" dimensionUniqueName="[User Access]" displayFolder="Access" count="0" unbalanced="0" hidden="1"/>
    <cacheHierarchy uniqueName="[User Access].[BSAD]" caption="BSAD" attribute="1" defaultMemberUniqueName="[User Access].[BSAD].[All]" allUniqueName="[User Access].[BSAD].[All]" dimensionUniqueName="[User Access]" displayFolder="Access" count="0" unbalanced="0" hidden="1"/>
    <cacheHierarchy uniqueName="[User Access].[BSAS]" caption="BSAS" attribute="1" defaultMemberUniqueName="[User Access].[BSAS].[All]" allUniqueName="[User Access].[BSAS].[All]" dimensionUniqueName="[User Access]" displayFolder="Access" count="0" unbalanced="0" hidden="1"/>
    <cacheHierarchy uniqueName="[User Access].[BSBI]" caption="BSBI" attribute="1" defaultMemberUniqueName="[User Access].[BSBI].[All]" allUniqueName="[User Access].[BSBI].[All]" dimensionUniqueName="[User Access]" displayFolder="Access" count="0" unbalanced="0" hidden="1"/>
    <cacheHierarchy uniqueName="[User Access].[BSIMS]" caption="BSIMS" attribute="1" defaultMemberUniqueName="[User Access].[BSIMS].[All]" allUniqueName="[User Access].[BSIMS].[All]" dimensionUniqueName="[User Access]" displayFolder="Access" count="0" unbalanced="0" hidden="1"/>
    <cacheHierarchy uniqueName="[User Access].[BSPSD]" caption="BSPSD" attribute="1" defaultMemberUniqueName="[User Access].[BSPSD].[All]" allUniqueName="[User Access].[BSPSD].[All]" dimensionUniqueName="[User Access]" displayFolder="Access" count="0" unbalanced="0" hidden="1"/>
    <cacheHierarchy uniqueName="[User Access].[CCFS]" caption="CCFS" attribute="1" defaultMemberUniqueName="[User Access].[CCFS].[All]" allUniqueName="[User Access].[CCFS].[All]" dimensionUniqueName="[User Access]" displayFolder="Access" count="0" unbalanced="0" hidden="1"/>
    <cacheHierarchy uniqueName="[User Access].[CH]" caption="CH" attribute="1" defaultMemberUniqueName="[User Access].[CH].[All]" allUniqueName="[User Access].[CH].[All]" dimensionUniqueName="[User Access]" displayFolder="Access" count="0" unbalanced="0" hidden="1"/>
    <cacheHierarchy uniqueName="[User Access].[DE]" caption="DE" attribute="1" defaultMemberUniqueName="[User Access].[DE].[All]" allUniqueName="[User Access].[DE].[All]" dimensionUniqueName="[User Access]" displayFolder="Access" count="0" unbalanced="0" hidden="1"/>
    <cacheHierarchy uniqueName="[User Access].[DF]" caption="DF" attribute="1" defaultMemberUniqueName="[User Access].[DF].[All]" allUniqueName="[User Access].[DF].[All]" dimensionUniqueName="[User Access]" displayFolder="Access" count="0" unbalanced="0" hidden="1"/>
    <cacheHierarchy uniqueName="[User Access].[DFAD]" caption="DFAD" attribute="1" defaultMemberUniqueName="[User Access].[DFAD].[All]" allUniqueName="[User Access].[DFAD].[All]" dimensionUniqueName="[User Access]" displayFolder="Access" count="0" unbalanced="0" hidden="1"/>
    <cacheHierarchy uniqueName="[User Access].[DFAS]" caption="DFAS" attribute="1" defaultMemberUniqueName="[User Access].[DFAS].[All]" allUniqueName="[User Access].[DFAS].[All]" dimensionUniqueName="[User Access]" displayFolder="Access" count="0" unbalanced="0" hidden="1"/>
    <cacheHierarchy uniqueName="[User Access].[DFBI]" caption="DFBI" attribute="1" defaultMemberUniqueName="[User Access].[DFBI].[All]" allUniqueName="[User Access].[DFBI].[All]" dimensionUniqueName="[User Access]" displayFolder="Access" count="0" unbalanced="0" hidden="1"/>
    <cacheHierarchy uniqueName="[User Access].[DFIMS]" caption="DFIMS" attribute="1" defaultMemberUniqueName="[User Access].[DFIMS].[All]" allUniqueName="[User Access].[DFIMS].[All]" dimensionUniqueName="[User Access]" displayFolder="Access" count="0" unbalanced="0" hidden="1"/>
    <cacheHierarchy uniqueName="[User Access].[FAIT]" caption="FAIT" attribute="1" defaultMemberUniqueName="[User Access].[FAIT].[All]" allUniqueName="[User Access].[FAIT].[All]" dimensionUniqueName="[User Access]" displayFolder="Access" count="0" unbalanced="0" hidden="1"/>
    <cacheHierarchy uniqueName="[User Access].[FF]" caption="FF" attribute="1" defaultMemberUniqueName="[User Access].[FF].[All]" allUniqueName="[User Access].[FF].[All]" dimensionUniqueName="[User Access]" displayFolder="Access" count="0" unbalanced="0" hidden="1"/>
    <cacheHierarchy uniqueName="[User Access].[FFAD]" caption="FFAD" attribute="1" defaultMemberUniqueName="[User Access].[FFAD].[All]" allUniqueName="[User Access].[FFAD].[All]" dimensionUniqueName="[User Access]" displayFolder="Access" count="0" unbalanced="0" hidden="1"/>
    <cacheHierarchy uniqueName="[User Access].[FFAS]" caption="FFAS" attribute="1" defaultMemberUniqueName="[User Access].[FFAS].[All]" allUniqueName="[User Access].[FFAS].[All]" dimensionUniqueName="[User Access]" displayFolder="Access" count="0" unbalanced="0" hidden="1"/>
    <cacheHierarchy uniqueName="[User Access].[FFIMS]" caption="FFIMS" attribute="1" defaultMemberUniqueName="[User Access].[FFIMS].[All]" allUniqueName="[User Access].[FFIMS].[All]" dimensionUniqueName="[User Access]" displayFolder="Access" count="0" unbalanced="0" hidden="1"/>
    <cacheHierarchy uniqueName="[User Access].[FR]" caption="FR" attribute="1" defaultMemberUniqueName="[User Access].[FR].[All]" allUniqueName="[User Access].[FR].[All]" dimensionUniqueName="[User Access]" displayFolder="Access" count="0" unbalanced="0" hidden="1"/>
    <cacheHierarchy uniqueName="[User Access].[FRAS]" caption="FRAS" attribute="1" defaultMemberUniqueName="[User Access].[FRAS].[All]" allUniqueName="[User Access].[FRAS].[All]" dimensionUniqueName="[User Access]" displayFolder="Access" count="0" unbalanced="0" hidden="1"/>
    <cacheHierarchy uniqueName="[User Access].[HH]" caption="HH" attribute="1" defaultMemberUniqueName="[User Access].[HH].[All]" allUniqueName="[User Access].[HH].[All]" dimensionUniqueName="[User Access]" displayFolder="Access" count="0" unbalanced="0" hidden="1"/>
    <cacheHierarchy uniqueName="[User Access].[HHAD]" caption="HHAD" attribute="1" defaultMemberUniqueName="[User Access].[HHAD].[All]" allUniqueName="[User Access].[HHAD].[All]" dimensionUniqueName="[User Access]" displayFolder="Access" count="0" unbalanced="0" hidden="1"/>
    <cacheHierarchy uniqueName="[User Access].[HHAS]" caption="HHAS" attribute="1" defaultMemberUniqueName="[User Access].[HHAS].[All]" allUniqueName="[User Access].[HHAS].[All]" dimensionUniqueName="[User Access]" displayFolder="Access" count="0" unbalanced="0" hidden="1"/>
    <cacheHierarchy uniqueName="[User Access].[HHBI]" caption="HHBI" attribute="1" defaultMemberUniqueName="[User Access].[HHBI].[All]" allUniqueName="[User Access].[HHBI].[All]" dimensionUniqueName="[User Access]" displayFolder="Access" count="0" unbalanced="0" hidden="1"/>
    <cacheHierarchy uniqueName="[User Access].[HHIMS]" caption="HHIMS" attribute="1" defaultMemberUniqueName="[User Access].[HHIMS].[All]" allUniqueName="[User Access].[HHIMS].[All]" dimensionUniqueName="[User Access]" displayFolder="Access" count="0" unbalanced="0" hidden="1"/>
    <cacheHierarchy uniqueName="[User Access].[LS]" caption="LS" attribute="1" defaultMemberUniqueName="[User Access].[LS].[All]" allUniqueName="[User Access].[LS].[All]" dimensionUniqueName="[User Access]" displayFolder="Access" count="0" unbalanced="0" hidden="1"/>
    <cacheHierarchy uniqueName="[User Access].[LSAD]" caption="LSAD" attribute="1" defaultMemberUniqueName="[User Access].[LSAD].[All]" allUniqueName="[User Access].[LSAD].[All]" dimensionUniqueName="[User Access]" displayFolder="Access" count="0" unbalanced="0" hidden="1"/>
    <cacheHierarchy uniqueName="[User Access].[LSAS]" caption="LSAS" attribute="1" defaultMemberUniqueName="[User Access].[LSAS].[All]" allUniqueName="[User Access].[LSAS].[All]" dimensionUniqueName="[User Access]" displayFolder="Access" count="0" unbalanced="0" hidden="1"/>
    <cacheHierarchy uniqueName="[User Access].[LSBI]" caption="LSBI" attribute="1" defaultMemberUniqueName="[User Access].[LSBI].[All]" allUniqueName="[User Access].[LSBI].[All]" dimensionUniqueName="[User Access]" displayFolder="Access" count="0" unbalanced="0" hidden="1"/>
    <cacheHierarchy uniqueName="[User Access].[LSIMS]" caption="LSIMS" attribute="1" defaultMemberUniqueName="[User Access].[LSIMS].[All]" allUniqueName="[User Access].[LSIMS].[All]" dimensionUniqueName="[User Access]" displayFolder="Access" count="0" unbalanced="0" hidden="1"/>
    <cacheHierarchy uniqueName="[User Access].[MC]" caption="MC" attribute="1" defaultMemberUniqueName="[User Access].[MC].[All]" allUniqueName="[User Access].[MC].[All]" dimensionUniqueName="[User Access]" displayFolder="Access" count="0" unbalanced="0" hidden="1"/>
    <cacheHierarchy uniqueName="[User Access].[MU]" caption="MU" attribute="1" defaultMemberUniqueName="[User Access].[MU].[All]" allUniqueName="[User Access].[MU].[All]" dimensionUniqueName="[User Access]" displayFolder="Access" count="0" unbalanced="0" hidden="1"/>
    <cacheHierarchy uniqueName="[User Access].[MUAD]" caption="MUAD" attribute="1" defaultMemberUniqueName="[User Access].[MUAD].[All]" allUniqueName="[User Access].[MUAD].[All]" dimensionUniqueName="[User Access]" displayFolder="Access" count="0" unbalanced="0" hidden="1"/>
    <cacheHierarchy uniqueName="[User Access].[MUAS]" caption="MUAS" attribute="1" defaultMemberUniqueName="[User Access].[MUAS].[All]" allUniqueName="[User Access].[MUAS].[All]" dimensionUniqueName="[User Access]" displayFolder="Access" count="0" unbalanced="0" hidden="1"/>
    <cacheHierarchy uniqueName="[User Access].[MUBI]" caption="MUBI" attribute="1" defaultMemberUniqueName="[User Access].[MUBI].[All]" allUniqueName="[User Access].[MUBI].[All]" dimensionUniqueName="[User Access]" displayFolder="Access" count="0" unbalanced="0" hidden="1"/>
    <cacheHierarchy uniqueName="[User Access].[MUIMS]" caption="MUIMS" attribute="1" defaultMemberUniqueName="[User Access].[MUIMS].[All]" allUniqueName="[User Access].[MUIMS].[All]" dimensionUniqueName="[User Access]" displayFolder="Access" count="0" unbalanced="0" hidden="1"/>
    <cacheHierarchy uniqueName="[User Access].[ST]" caption="ST" attribute="1" defaultMemberUniqueName="[User Access].[ST].[All]" allUniqueName="[User Access].[ST].[All]" dimensionUniqueName="[User Access]" displayFolder="Access" count="0" unbalanced="0" hidden="1"/>
    <cacheHierarchy uniqueName="[User Access].[STAD]" caption="STAD" attribute="1" defaultMemberUniqueName="[User Access].[STAD].[All]" allUniqueName="[User Access].[STAD].[All]" dimensionUniqueName="[User Access]" displayFolder="Access" count="0" unbalanced="0" hidden="1"/>
    <cacheHierarchy uniqueName="[User Access].[STAFF]" caption="STAFF" attribute="1" defaultMemberUniqueName="[User Access].[STAFF].[All]" allUniqueName="[User Access].[STAFF].[All]" dimensionUniqueName="[User Access]" displayFolder="Access" count="0" unbalanced="0" hidden="1"/>
    <cacheHierarchy uniqueName="[User Access].[STAS]" caption="STAS" attribute="1" defaultMemberUniqueName="[User Access].[STAS].[All]" allUniqueName="[User Access].[STAS].[All]" dimensionUniqueName="[User Access]" displayFolder="Access" count="0" unbalanced="0" hidden="1"/>
    <cacheHierarchy uniqueName="[User Access].[STBI]" caption="STBI" attribute="1" defaultMemberUniqueName="[User Access].[STBI].[All]" allUniqueName="[User Access].[STBI].[All]" dimensionUniqueName="[User Access]" displayFolder="Access" count="0" unbalanced="0" hidden="1"/>
    <cacheHierarchy uniqueName="[User Access].[STIMS]" caption="STIMS" attribute="1" defaultMemberUniqueName="[User Access].[STIMS].[All]" allUniqueName="[User Access].[STIMS].[All]" dimensionUniqueName="[User Access]" displayFolder="Access" count="0" unbalanced="0" hidden="1"/>
    <cacheHierarchy uniqueName="[User Access].[TR]" caption="TR" attribute="1" defaultMemberUniqueName="[User Access].[TR].[All]" allUniqueName="[User Access].[TR].[All]" dimensionUniqueName="[User Access]" displayFolder="Access" count="0" unbalanced="0" hidden="1"/>
    <cacheHierarchy uniqueName="[User Access].[TRAS]" caption="TRAS" attribute="1" defaultMemberUniqueName="[User Access].[TRAS].[All]" allUniqueName="[User Access].[TRAS].[All]" dimensionUniqueName="[User Access]" displayFolder="Access" count="0" unbalanced="0" hidden="1"/>
    <cacheHierarchy uniqueName="[User Access].[TRCH]" caption="TRCH" attribute="1" defaultMemberUniqueName="[User Access].[TRCH].[All]" allUniqueName="[User Access].[TRCH].[All]" dimensionUniqueName="[User Access]" displayFolder="Access" count="0" unbalanced="0" hidden="1"/>
    <cacheHierarchy uniqueName="[User Access].[TRDE]" caption="TRDE" attribute="1" defaultMemberUniqueName="[User Access].[TRDE].[All]" allUniqueName="[User Access].[TRDE].[All]" dimensionUniqueName="[User Access]" displayFolder="Access" count="0" unbalanced="0" hidden="1"/>
    <cacheHierarchy uniqueName="[User Access].[WI]" caption="WI" attribute="1" defaultMemberUniqueName="[User Access].[WI].[All]" allUniqueName="[User Access].[WI].[All]" dimensionUniqueName="[User Access]" displayFolder="Access" count="0" unbalanced="0" hidden="1"/>
    <cacheHierarchy uniqueName="[User Access].[WIAD]" caption="WIAD" attribute="1" defaultMemberUniqueName="[User Access].[WIAD].[All]" allUniqueName="[User Access].[WIAD].[All]" dimensionUniqueName="[User Access]" displayFolder="Access" count="0" unbalanced="0" hidden="1"/>
    <cacheHierarchy uniqueName="[User Access].[WIAS]" caption="WIAS" attribute="1" defaultMemberUniqueName="[User Access].[WIAS].[All]" allUniqueName="[User Access].[WIAS].[All]" dimensionUniqueName="[User Access]" displayFolder="Access" count="0" unbalanced="0" hidden="1"/>
    <cacheHierarchy uniqueName="[User Access].[WIBI]" caption="WIBI" attribute="1" defaultMemberUniqueName="[User Access].[WIBI].[All]" allUniqueName="[User Access].[WIBI].[All]" dimensionUniqueName="[User Access]" displayFolder="Access" count="0" unbalanced="0" hidden="1"/>
    <cacheHierarchy uniqueName="[User Access].[WIIMS]" caption="WIIMS" attribute="1" defaultMemberUniqueName="[User Access].[WIIMS].[All]" allUniqueName="[User Access].[WIIMS].[All]" dimensionUniqueName="[User Access]" displayFolder="Access" count="0" unbalanced="0" hidden="1"/>
    <cacheHierarchy uniqueName="[User Access].[ZH]" caption="ZH" attribute="1" defaultMemberUniqueName="[User Access].[ZH].[All]" allUniqueName="[User Access].[ZH].[All]" dimensionUniqueName="[User Access]" displayFolder="Access" count="0" unbalanced="0" hidden="1"/>
    <cacheHierarchy uniqueName="[User Access].[ZHAD]" caption="ZHAD" attribute="1" defaultMemberUniqueName="[User Access].[ZHAD].[All]" allUniqueName="[User Access].[ZHAD].[All]" dimensionUniqueName="[User Access]" displayFolder="Access" count="0" unbalanced="0" hidden="1"/>
    <cacheHierarchy uniqueName="[User Access].[ZHAS]" caption="ZHAS" attribute="1" defaultMemberUniqueName="[User Access].[ZHAS].[All]" allUniqueName="[User Access].[ZHAS].[All]" dimensionUniqueName="[User Access]" displayFolder="Access" count="0" unbalanced="0" hidden="1"/>
    <cacheHierarchy uniqueName="[User Access].[ZHBI]" caption="ZHBI" attribute="1" defaultMemberUniqueName="[User Access].[ZHBI].[All]" allUniqueName="[User Access].[ZHBI].[All]" dimensionUniqueName="[User Access]" displayFolder="Access" count="0" unbalanced="0" hidden="1"/>
    <cacheHierarchy uniqueName="[User Access].[ZHIMS]" caption="ZHIMS" attribute="1" defaultMemberUniqueName="[User Access].[ZHIMS].[All]" allUniqueName="[User Access].[ZHIMS].[All]" dimensionUniqueName="[User Access]" displayFolder="Access" count="0" unbalanced="0" hidden="1"/>
    <cacheHierarchy uniqueName="[User Access].[ZHPSD]" caption="ZHPSD" attribute="1" defaultMemberUniqueName="[User Access].[ZHPSD].[All]" allUniqueName="[User Access].[ZHPSD].[All]" dimensionUniqueName="[User Access]" displayFolder="Access" count="0" unbalanced="0" hidden="1"/>
    <cacheHierarchy uniqueName="[Measures].[HC]" caption="HC" measure="1" displayFolder="Employee Measures" measureGroup="Trimaran" count="0"/>
    <cacheHierarchy uniqueName="[Measures].[Employee Entries]" caption="Employee Entries" measure="1" displayFolder="Employee Measures" measureGroup="Trimaran" count="0"/>
    <cacheHierarchy uniqueName="[Measures].[Employee Exits]" caption="Employee Exits" measure="1" displayFolder="Employee Measures" measureGroup="Trimaran" count="0"/>
    <cacheHierarchy uniqueName="[Measures].[CHF incl VAT]" caption="CHF incl VAT" measure="1" displayFolder="Calculated Measures" measureGroup="Trimaran" count="0"/>
    <cacheHierarchy uniqueName="[Measures].[EUR incl VAT]" caption="EUR incl VAT" measure="1" displayFolder="Calculated Measures" measureGroup="Trimaran" count="0"/>
    <cacheHierarchy uniqueName="[Measures].[Orders]" caption="Orders" measure="1" displayFolder="Opportunity Measures" measureGroup="Trimaran" count="0"/>
    <cacheHierarchy uniqueName="[Measures].[Order Completion]" caption="Order Completion" measure="1" displayFolder="Calculated Measures" measureGroup="Trimaran" count="0"/>
    <cacheHierarchy uniqueName="[Measures].[CHF]" caption="CHF" measure="1" displayFolder="Calculated Measures" count="0" oneField="1">
      <fieldsUsage count="1">
        <fieldUsage x="9"/>
      </fieldsUsage>
    </cacheHierarchy>
    <cacheHierarchy uniqueName="[Measures].[EUR]" caption="EUR" measure="1" displayFolder="Calculated Measures" count="0" oneField="1">
      <fieldsUsage count="1">
        <fieldUsage x="8"/>
      </fieldsUsage>
    </cacheHierarchy>
    <cacheHierarchy uniqueName="[Measures].[Hours]" caption="Hours" measure="1" displayFolder="" count="0" oneField="1">
      <fieldsUsage count="1">
        <fieldUsage x="1"/>
      </fieldsUsage>
    </cacheHierarchy>
    <cacheHierarchy uniqueName="[Measures].[Regular Working Hours]" caption="Regular Working Hours" measure="1" displayFolder="Utilisation Measures" count="0"/>
    <cacheHierarchy uniqueName="[Measures].[Employee Yearly Fluctuation]" caption="Employee Yearly Fluctuation" measure="1" displayFolder="Employee Measures" count="0"/>
    <cacheHierarchy uniqueName="[Measures].[Employee Monthly Fluctuation]" caption="Employee Monthly Fluctuation" measure="1" displayFolder="Employee Measures" count="0"/>
    <cacheHierarchy uniqueName="[Measures].[FTE]" caption="FTE" measure="1" displayFolder="" count="0"/>
    <cacheHierarchy uniqueName="[Measures].[CHF / Employee]" caption="CHF / Employee" measure="1" displayFolder="Employee Measures" count="0"/>
    <cacheHierarchy uniqueName="[Measures].[Hours / Employee]" caption="Hours / Employee" measure="1" displayFolder="Employee Measures" measureGroup="Trimaran" count="0"/>
    <cacheHierarchy uniqueName="[Measures].[mio CHF]" caption="mio CHF" measure="1" displayFolder="Calculated Measures" count="0"/>
    <cacheHierarchy uniqueName="[Measures].[Employee Net Entries/Exits]" caption="Employee Net Entries/Exits" measure="1" displayFolder="Employee Measures" count="0"/>
    <cacheHierarchy uniqueName="[Measures].[mio EUR]" caption="mio EUR" measure="1" displayFolder="Calculated Measures" count="0"/>
    <cacheHierarchy uniqueName="[Measures].[k CHF]" caption="k CHF" measure="1" displayFolder="" count="0"/>
    <cacheHierarchy uniqueName="[Measures].[k EUR]" caption="k EUR" measure="1" displayFolder="" count="0"/>
    <cacheHierarchy uniqueName="[Measures].[B Utilisation]" caption="B Utilisation" measure="1" displayFolder="Utilisation Measures" count="0"/>
    <cacheHierarchy uniqueName="[Measures].[C Utilisation]" caption="C Utilisation" measure="1" displayFolder="Utilisation Measures" count="0"/>
    <cacheHierarchy uniqueName="[Measures].[A Utilisation]" caption="A Utilisation" measure="1" displayFolder="Utilisation Measures" count="0"/>
    <cacheHierarchy uniqueName="[Measures].[Utilisation Signal]" caption="Utilisation Signal" measure="1" displayFolder="Utilisation Measures" count="0"/>
    <cacheHierarchy uniqueName="[Measures].[B Utilisation Signal]" caption="B Utilisation Signal" measure="1" displayFolder="Utilisation Measures" count="0"/>
    <cacheHierarchy uniqueName="[Measures].[A Utilisation Signal]" caption="A Utilisation Signal" measure="1" displayFolder="Utilisation Measures" count="0"/>
    <cacheHierarchy uniqueName="[Measures].[C Utilisation Signal]" caption="C Utilisation Signal" measure="1" displayFolder="Utilisation Measures" count="0"/>
    <cacheHierarchy uniqueName="[Measures].[Hourly rate CHF]" caption="Hourly rate CHF" measure="1" displayFolder="Calculated Measures" count="0"/>
    <cacheHierarchy uniqueName="[Measures].[Expected hours (internal)]" caption="Expected hours (internal)" measure="1" displayFolder="Calculated Measures" count="0"/>
    <cacheHierarchy uniqueName="[Measures].[Open hours (internal)]" caption="Open hours (internal)" measure="1" displayFolder="Calculated Measures" count="0"/>
    <cacheHierarchy uniqueName="[Measures].[Open Revenue CHF]" caption="Open Revenue CHF" measure="1" displayFolder="Calculated Measures" count="0"/>
    <cacheHierarchy uniqueName="[Measures].[Open Revenue EUR]" caption="Open Revenue EUR" measure="1" displayFolder="Calculated Measures" count="0"/>
    <cacheHierarchy uniqueName="[Measures].[Hourly rate EUR]" caption="Hourly rate EUR" measure="1" displayFolder="Calculated Measures" count="0"/>
    <cacheHierarchy uniqueName="[Measures].[Utilisation]" caption="Utilisation" measure="1" displayFolder="Utilisation Measures" count="0"/>
    <cacheHierarchy uniqueName="[Measures].[Order Entry CHF]" caption="Order Entry CHF" measure="1" displayFolder="Calculated Measures" measureGroup="Trimaran" count="0"/>
    <cacheHierarchy uniqueName="[Measures].[Order Entry k CHF]" caption="Order Entry k CHF" measure="1" displayFolder="" count="0"/>
    <cacheHierarchy uniqueName="[Measures].[Order Entry EUR]" caption="Order Entry EUR" measure="1" displayFolder="Calculated Measures" measureGroup="Trimaran" count="0"/>
    <cacheHierarchy uniqueName="[Measures].[Order Entry k EUR]" caption="Order Entry k EUR" measure="1" displayFolder="" count="0"/>
    <cacheHierarchy uniqueName="[Measures].[Order Entry Weight CHF]" caption="Order Entry Weight CHF" measure="1" displayFolder="Opportunity Measures" measureGroup="Trimaran" count="0"/>
    <cacheHierarchy uniqueName="[Measures].[Order Entry Weight k CHF]" caption="Order Entry Weight k CHF" measure="1" displayFolder="Opportunity Measures" measureGroup="Trimaran" count="0"/>
    <cacheHierarchy uniqueName="[Measures].[Order Entry Weight EUR]" caption="Order Entry Weight EUR" measure="1" displayFolder="Opportunity Measures" measureGroup="Trimaran" count="0"/>
    <cacheHierarchy uniqueName="[Measures].[Order Entry Weight k EUR]" caption="Order Entry Weight k EUR" measure="1" displayFolder="Opportunity Measures" measureGroup="Trimaran" count="0"/>
    <cacheHierarchy uniqueName="[Measures].[Revenue % of Order Entry]" caption="Revenue % of Order Entry" measure="1" displayFolder="Calculated Measures" measureGroup="Trimaran" count="0"/>
    <cacheHierarchy uniqueName="[Measures].[Probability]" caption="Probability" measure="1" displayFolder="Opportunity Measures" count="0"/>
    <cacheHierarchy uniqueName="[Measures].[CHF_Measure]" caption="CHF_Measure" measure="1" displayFolder="" measureGroup="Trimaran" count="0" hidden="1"/>
    <cacheHierarchy uniqueName="[Measures].[EUR_Measure]" caption="EUR_Measure" measure="1" displayFolder="" measureGroup="Trimaran" count="0" hidden="1"/>
    <cacheHierarchy uniqueName="[Measures].[Hours_Measure]" caption="Hours_Measure" measure="1" displayFolder="" measureGroup="Trimaran" count="0" hidden="1"/>
    <cacheHierarchy uniqueName="[Measures].[RegularWorkingHours_Measure]" caption="RegularWorkingHours_Measure" measure="1" displayFolder="" measureGroup="Trimaran" count="0" hidden="1"/>
    <cacheHierarchy uniqueName="[Measures].[FTE_Measure]" caption="FTE_Measure" measure="1" displayFolder="" measureGroup="Trimaran" count="0" hidden="1"/>
    <cacheHierarchy uniqueName="[Measures].[Expected Revenue CHF_Measure]" caption="Expected Revenue CHF_Measure" measure="1" displayFolder="" measureGroup="Trimaran" count="0" hidden="1"/>
    <cacheHierarchy uniqueName="[Measures].[Expected Revenue EUR_Measure]" caption="Expected Revenue EUR_Measure" measure="1" displayFolder="" measureGroup="Trimaran" count="0" hidden="1"/>
    <cacheHierarchy uniqueName="[Measures].[Level A Hours]" caption="Level A Hours" measure="1" displayFolder="" measureGroup="Trimaran" count="0" hidden="1"/>
    <cacheHierarchy uniqueName="[Measures].[Level B Hours]" caption="Level B Hours" measure="1" displayFolder="" measureGroup="Trimaran" count="0" hidden="1"/>
    <cacheHierarchy uniqueName="[Measures].[Level C Hours]" caption="Level C Hours" measure="1" displayFolder="" measureGroup="Trimaran" count="0" hidden="1"/>
    <cacheHierarchy uniqueName="[Measures].[Total Access]" caption="Total Access" measure="1" displayFolder="" measureGroup="Trimaran" count="0" hidden="1"/>
    <cacheHierarchy uniqueName="[Measures].[Limited Access]" caption="Limited Access" measure="1" displayFolder="" measureGroup="Trimaran" count="0" hidden="1"/>
    <cacheHierarchy uniqueName="[Measures].[Expected Revenue Weight CHF_Measure]" caption="Expected Revenue Weight CHF_Measure" measure="1" displayFolder="Opportunity Measures" measureGroup="Trimaran" count="0" hidden="1"/>
    <cacheHierarchy uniqueName="[Measures].[Expected Revenue Weight EUR_Measure]" caption="Expected Revenue Weight EUR_Measure" measure="1" displayFolder="Opportunity Measures" measureGroup="Trimaran" count="0" hidden="1"/>
  </cacheHierarchies>
  <kpis count="0"/>
  <dimensions count="9">
    <dimension name="Account" uniqueName="[Account]" caption="Account"/>
    <dimension name="Employee" uniqueName="[Employee]" caption="Employee"/>
    <dimension name="Invoice" uniqueName="[Invoice]" caption="Invoice"/>
    <dimension measure="1" name="Measures" uniqueName="[Measures]" caption="Measures"/>
    <dimension name="Order" uniqueName="[Order]" caption="Order"/>
    <dimension name="Period" uniqueName="[Period]" caption="Period"/>
    <dimension name="Scenario" uniqueName="[Scenario]" caption="Scenario"/>
    <dimension name="Service" uniqueName="[Service]" caption="Service"/>
    <dimension name="Service Text" uniqueName="[Service Text]" caption="Service Text"/>
  </dimensions>
  <measureGroups count="1">
    <measureGroup name="Trimaran" caption="Trimaran"/>
  </measureGroups>
  <maps count="8">
    <map measureGroup="0" dimension="0"/>
    <map measureGroup="0" dimension="1"/>
    <map measureGroup="0" dimension="2"/>
    <map measureGroup="0" dimension="4"/>
    <map measureGroup="0" dimension="5"/>
    <map measureGroup="0" dimension="6"/>
    <map measureGroup="0" dimension="7"/>
    <map measureGroup="0"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Christoph Kappler" refreshedDate="41410.502132175927" backgroundQuery="1" createdVersion="3" refreshedVersion="4" minRefreshableVersion="3" recordCount="0" supportSubquery="1" supportAdvancedDrill="1">
  <cacheSource type="external" connectionId="1">
    <extLst>
      <ext xmlns:x14="http://schemas.microsoft.com/office/spreadsheetml/2009/9/main" uri="{F057638F-6D5F-4e77-A914-E7F072B9BCA8}">
        <x14:sourceConnection name="TrimaranCubeConnect"/>
      </ext>
    </extLst>
  </cacheSource>
  <cacheFields count="0"/>
  <cacheHierarchies count="285">
    <cacheHierarchy uniqueName="[Account].[Account]" caption="Account" attribute="1" defaultMemberUniqueName="[Account].[Account].[All]" allUniqueName="[Account].[Account].[All]" dimensionUniqueName="[Account]" displayFolder="Account" count="0" unbalanced="0"/>
    <cacheHierarchy uniqueName="[Account].[Account Group]" caption="Account Group" attribute="1" defaultMemberUniqueName="[Account].[Account Group].[All]" allUniqueName="[Account].[Account Group].[All]" dimensionUniqueName="[Account]" displayFolder="Account Structure" count="0" unbalanced="0"/>
    <cacheHierarchy uniqueName="[Account].[Account Group New]" caption="Account Group New" attribute="1" defaultMemberUniqueName="[Account].[Account Group New].[All]" allUniqueName="[Account].[Account Group New].[All]" dimensionUniqueName="[Account]" displayFolder="Account Structure" count="0" unbalanced="0"/>
    <cacheHierarchy uniqueName="[Account].[Account Main Group]" caption="Account Main Group" attribute="1" defaultMemberUniqueName="[Account].[Account Main Group].[All]" allUniqueName="[Account].[Account Main Group].[All]" dimensionUniqueName="[Account]" displayFolder="Account Structure" count="0" unbalanced="0"/>
    <cacheHierarchy uniqueName="[Account].[Account Type]" caption="Account Type" attribute="1" defaultMemberUniqueName="[Account].[Account Type].[All]" allUniqueName="[Account].[Account Type].[All]" dimensionUniqueName="[Account]" displayFolder="Account" count="0" unbalanced="0"/>
    <cacheHierarchy uniqueName="[Account].[Account View]" caption="Account View" attribute="1" defaultMemberUniqueName="[Account].[Account View].[All]" allUniqueName="[Account].[Account View].[All]" dimensionUniqueName="[Account]" displayFolder="Account" count="0" unbalanced="0"/>
    <cacheHierarchy uniqueName="[Account].[Accountnumber]" caption="Accountnumber" attribute="1" defaultMemberUniqueName="[Account].[Accountnumber].[All]" allUniqueName="[Account].[Accountnumber].[All]" dimensionUniqueName="[Account]" displayFolder="Account" count="0" unbalanced="0"/>
    <cacheHierarchy uniqueName="[Account].[Accounts Hierarchy]" caption="Accounts Hierarchy" defaultMemberUniqueName="[Account].[Accounts Hierarchy].[All]" allUniqueName="[Account].[Accounts Hierarchy].[All]" dimensionUniqueName="[Account]" displayFolder="" count="0" unbalanced="0"/>
    <cacheHierarchy uniqueName="[Account].[CM1]" caption="CM1" attribute="1" defaultMemberUniqueName="[Account].[CM1].[All]" allUniqueName="[Account].[CM1].[All]" dimensionUniqueName="[Account]" displayFolder="Account Structure" count="0" unbalanced="0"/>
    <cacheHierarchy uniqueName="[Account].[CM2]" caption="CM2" attribute="1" defaultMemberUniqueName="[Account].[CM2].[All]" allUniqueName="[Account].[CM2].[All]" dimensionUniqueName="[Account]" displayFolder="Account Structure" count="0" unbalanced="0"/>
    <cacheHierarchy uniqueName="[Account].[CM3]" caption="CM3" attribute="1" defaultMemberUniqueName="[Account].[CM3].[All]" allUniqueName="[Account].[CM3].[All]" dimensionUniqueName="[Account]" displayFolder="Account Structure" count="0" unbalanced="0"/>
    <cacheHierarchy uniqueName="[Account].[EBDIT]" caption="EBDIT" attribute="1" defaultMemberUniqueName="[Account].[EBDIT].[All]" allUniqueName="[Account].[EBDIT].[All]" dimensionUniqueName="[Account]" displayFolder="Account Structure" count="0" unbalanced="0"/>
    <cacheHierarchy uniqueName="[Account].[EBIT]" caption="EBIT" attribute="1" defaultMemberUniqueName="[Account].[EBIT].[All]" allUniqueName="[Account].[EBIT].[All]" dimensionUniqueName="[Account]" displayFolder="Account Structure" count="0" unbalanced="0"/>
    <cacheHierarchy uniqueName="[Account].[IBT]" caption="IBT" attribute="1" defaultMemberUniqueName="[Account].[IBT].[All]" allUniqueName="[Account].[IBT].[All]" dimensionUniqueName="[Account]" displayFolder="Account Structure" count="0" unbalanced="0"/>
    <cacheHierarchy uniqueName="[Account].[Net Income]" caption="Net Income" attribute="1" defaultMemberUniqueName="[Account].[Net Income].[All]" allUniqueName="[Account].[Net Income].[All]" dimensionUniqueName="[Account]" displayFolder="Account Structure" count="0" unbalanced="0"/>
    <cacheHierarchy uniqueName="[Employee].[Age]" caption="Age" attribute="1" defaultMemberUniqueName="[Employee].[Age].[All]" allUniqueName="[Employee].[Age].[All]" dimensionUniqueName="[Employee]" displayFolder="Employee" count="0" unbalanced="0"/>
    <cacheHierarchy uniqueName="[Employee].[Agegroup]" caption="Agegroup" attribute="1" defaultMemberUniqueName="[Employee].[Agegroup].[All]" allUniqueName="[Employee].[Agegroup].[All]" dimensionUniqueName="[Employee]" displayFolder="Employee" count="0" unbalanced="0"/>
    <cacheHierarchy uniqueName="[Employee].[Birthday]" caption="Birthday" attribute="1" defaultMemberUniqueName="[Employee].[Birthday].[All]" allUniqueName="[Employee].[Birthday].[All]" dimensionUniqueName="[Employee]" displayFolder="Employee" count="0" unbalanced="0"/>
    <cacheHierarchy uniqueName="[Employee].[Cost Unit]" caption="Cost Unit" attribute="1" defaultMemberUniqueName="[Employee].[Cost Unit].[All]" allUniqueName="[Employee].[Cost Unit].[All]" dimensionUniqueName="[Employee]" displayFolder="Employee Organisation" count="0" unbalanced="0"/>
    <cacheHierarchy uniqueName="[Employee].[Current Status]" caption="Current Status" attribute="1" defaultMemberUniqueName="[Employee].[Current Status].[All]" allUniqueName="[Employee].[Current Status].[All]" dimensionUniqueName="[Employee]" displayFolder="Employee" count="0" unbalanced="0"/>
    <cacheHierarchy uniqueName="[Employee].[Education Category]" caption="Education Category" attribute="1" defaultMemberUniqueName="[Employee].[Education Category].[All]" allUniqueName="[Employee].[Education Category].[All]" dimensionUniqueName="[Employee]" displayFolder="Employee" count="0" unbalanced="0"/>
    <cacheHierarchy uniqueName="[Employee].[Email]" caption="Email" attribute="1" defaultMemberUniqueName="[Employee].[Email].[All]" allUniqueName="[Employee].[Email].[All]" dimensionUniqueName="[Employee]" displayFolder="Employee" count="0" unbalanced="0"/>
    <cacheHierarchy uniqueName="[Employee].[Employee]" caption="Employee" attribute="1" defaultMemberUniqueName="[Employee].[Employee].[All]" allUniqueName="[Employee].[Employee].[All]" dimensionUniqueName="[Employee]" displayFolder="Employee" count="0" unbalanced="0"/>
    <cacheHierarchy uniqueName="[Employee].[Employee Code]" caption="Employee Code" attribute="1" defaultMemberUniqueName="[Employee].[Employee Code].[All]" allUniqueName="[Employee].[Employee Code].[All]" dimensionUniqueName="[Employee]" displayFolder="Employee" count="0" unbalanced="0"/>
    <cacheHierarchy uniqueName="[Employee].[Employee Company]" caption="Employee Company" attribute="1" defaultMemberUniqueName="[Employee].[Employee Company].[All]" allUniqueName="[Employee].[Employee Company].[All]" dimensionUniqueName="[Employee]" displayFolder="Employee Organisation" count="0" unbalanced="0"/>
    <cacheHierarchy uniqueName="[Employee].[Employee Country]" caption="Employee Country" attribute="1" defaultMemberUniqueName="[Employee].[Employee Country].[All]" allUniqueName="[Employee].[Employee Country].[All]" dimensionUniqueName="[Employee]" displayFolder="Employee Organisation" count="0" unbalanced="0"/>
    <cacheHierarchy uniqueName="[Employee].[Employee Division]" caption="Employee Division" attribute="1" defaultMemberUniqueName="[Employee].[Employee Division].[All]" allUniqueName="[Employee].[Employee Division].[All]" dimensionUniqueName="[Employee]" displayFolder="Employee Organisation" count="0" unbalanced="0"/>
    <cacheHierarchy uniqueName="[Employee].[Employee Entry]" caption="Employee Entry" attribute="1" defaultMemberUniqueName="[Employee].[Employee Entry].[All]" allUniqueName="[Employee].[Employee Entry].[All]" dimensionUniqueName="[Employee]" displayFolder="Employee" count="0" unbalanced="0"/>
    <cacheHierarchy uniqueName="[Employee].[Employee Exit]" caption="Employee Exit" attribute="1" defaultMemberUniqueName="[Employee].[Employee Exit].[All]" allUniqueName="[Employee].[Employee Exit].[All]" dimensionUniqueName="[Employee]" displayFolder="Employee" count="0" unbalanced="0"/>
    <cacheHierarchy uniqueName="[Employee].[Employee Function]" caption="Employee Function" attribute="1" defaultMemberUniqueName="[Employee].[Employee Function].[All]" allUniqueName="[Employee].[Employee Function].[All]" dimensionUniqueName="[Employee]" displayFolder="Employee Function" count="0" unbalanced="0"/>
    <cacheHierarchy uniqueName="[Employee].[Employee Function Group]" caption="Employee Function Group" attribute="1" defaultMemberUniqueName="[Employee].[Employee Function Group].[All]" allUniqueName="[Employee].[Employee Function Group].[All]" dimensionUniqueName="[Employee]" displayFolder="Employee Function" count="0" unbalanced="0"/>
    <cacheHierarchy uniqueName="[Employee].[Employee Hierarchy]" caption="Employee Hierarchy" defaultMemberUniqueName="[Employee].[Employee Hierarchy].[All]" allUniqueName="[Employee].[Employee Hierarchy].[All]" dimensionUniqueName="[Employee]" displayFolder="" count="0" unbalanced="0"/>
    <cacheHierarchy uniqueName="[Employee].[Employee Location]" caption="Employee Location" attribute="1" defaultMemberUniqueName="[Employee].[Employee Location].[All]" allUniqueName="[Employee].[Employee Location].[All]" dimensionUniqueName="[Employee]" displayFolder="Employee Organisation" count="0" unbalanced="0"/>
    <cacheHierarchy uniqueName="[Employee].[Employee Location Code]" caption="Employee Location Code" attribute="1" defaultMemberUniqueName="[Employee].[Employee Location Code].[All]" allUniqueName="[Employee].[Employee Location Code].[All]" dimensionUniqueName="[Employee]" displayFolder="Employee Organisation" count="0" unbalanced="0"/>
    <cacheHierarchy uniqueName="[Employee].[Employee Number]" caption="Employee Number" attribute="1" defaultMemberUniqueName="[Employee].[Employee Number].[All]" allUniqueName="[Employee].[Employee Number].[All]" dimensionUniqueName="[Employee]" displayFolder="Employee" count="0" unbalanced="0"/>
    <cacheHierarchy uniqueName="[Employee].[Employee Solution]" caption="Employee Solution" attribute="1" defaultMemberUniqueName="[Employee].[Employee Solution].[All]" allUniqueName="[Employee].[Employee Solution].[All]" dimensionUniqueName="[Employee]" displayFolder="Employee Organisation" count="0" unbalanced="0"/>
    <cacheHierarchy uniqueName="[Employee].[Employee Team]" caption="Employee Team" attribute="1" defaultMemberUniqueName="[Employee].[Employee Team].[All]" allUniqueName="[Employee].[Employee Team].[All]" dimensionUniqueName="[Employee]" displayFolder="Employee Organisation" count="0" unbalanced="0"/>
    <cacheHierarchy uniqueName="[Employee].[Employee Unit]" caption="Employee Unit" attribute="1" defaultMemberUniqueName="[Employee].[Employee Unit].[All]" allUniqueName="[Employee].[Employee Unit].[All]" dimensionUniqueName="[Employee]" displayFolder="Employee Organisation" count="0" unbalanced="0"/>
    <cacheHierarchy uniqueName="[Employee].[Employee Unit Code]" caption="Employee Unit Code" attribute="1" defaultMemberUniqueName="[Employee].[Employee Unit Code].[All]" allUniqueName="[Employee].[Employee Unit Code].[All]" dimensionUniqueName="[Employee]" displayFolder="Employee Organisation" count="0" unbalanced="0"/>
    <cacheHierarchy uniqueName="[Employee].[Employment Duration]" caption="Employment Duration" attribute="1" defaultMemberUniqueName="[Employee].[Employment Duration].[All]" allUniqueName="[Employee].[Employment Duration].[All]" dimensionUniqueName="[Employee]" displayFolder="Employee" count="0" unbalanced="0"/>
    <cacheHierarchy uniqueName="[Employee].[Nationality]" caption="Nationality" attribute="1" defaultMemberUniqueName="[Employee].[Nationality].[All]" allUniqueName="[Employee].[Nationality].[All]" dimensionUniqueName="[Employee]" displayFolder="Employee" count="0" unbalanced="0"/>
    <cacheHierarchy uniqueName="[Employee].[Sex]" caption="Sex" attribute="1" defaultMemberUniqueName="[Employee].[Sex].[All]" allUniqueName="[Employee].[Sex].[All]" dimensionUniqueName="[Employee]" displayFolder="Employee" count="0" unbalanced="0"/>
    <cacheHierarchy uniqueName="[Invoice].[Days Due]" caption="Days Due" attribute="1" defaultMemberUniqueName="[Invoice].[Days Due].[All]" allUniqueName="[Invoice].[Days Due].[All]" dimensionUniqueName="[Invoice]" displayFolder="Invoice Info" count="0" unbalanced="0"/>
    <cacheHierarchy uniqueName="[Invoice].[Days To Invoice]" caption="Days To Invoice" attribute="1" defaultMemberUniqueName="[Invoice].[Days To Invoice].[All]" allUniqueName="[Invoice].[Days To Invoice].[All]" dimensionUniqueName="[Invoice]" displayFolder="Invoice Info" count="0" unbalanced="0"/>
    <cacheHierarchy uniqueName="[Invoice].[Days To Pay]" caption="Days To Pay" attribute="1" defaultMemberUniqueName="[Invoice].[Days To Pay].[All]" allUniqueName="[Invoice].[Days To Pay].[All]" dimensionUniqueName="[Invoice]" displayFolder="Invoice Info" count="0" unbalanced="0"/>
    <cacheHierarchy uniqueName="[Invoice].[Due Date]" caption="Due Date" attribute="1" defaultMemberUniqueName="[Invoice].[Due Date].[All]" allUniqueName="[Invoice].[Due Date].[All]" dimensionUniqueName="[Invoice]" displayFolder="Invoice Info" count="0" unbalanced="0"/>
    <cacheHierarchy uniqueName="[Invoice].[Dunning Level]" caption="Dunning Level" attribute="1" defaultMemberUniqueName="[Invoice].[Dunning Level].[All]" allUniqueName="[Invoice].[Dunning Level].[All]" dimensionUniqueName="[Invoice]" displayFolder="Invoice Info" count="0" unbalanced="0"/>
    <cacheHierarchy uniqueName="[Invoice].[Invoice]" caption="Invoice" attribute="1" defaultMemberUniqueName="[Invoice].[Invoice].[All]" allUniqueName="[Invoice].[Invoice].[All]" dimensionUniqueName="[Invoice]" displayFolder="" count="0" unbalanced="0"/>
    <cacheHierarchy uniqueName="[Invoice].[Invoice Date]" caption="Invoice Date" attribute="1" defaultMemberUniqueName="[Invoice].[Invoice Date].[All]" allUniqueName="[Invoice].[Invoice Date].[All]" dimensionUniqueName="[Invoice]" displayFolder="Invoice Period" count="0" unbalanced="0"/>
    <cacheHierarchy uniqueName="[Invoice].[Invoice Month]" caption="Invoice Month" attribute="1" defaultMemberUniqueName="[Invoice].[Invoice Month].[All]" allUniqueName="[Invoice].[Invoice Month].[All]" dimensionUniqueName="[Invoice]" displayFolder="Invoice Period" count="0" unbalanced="0"/>
    <cacheHierarchy uniqueName="[Invoice].[Invoice Year]" caption="Invoice Year" attribute="1" defaultMemberUniqueName="[Invoice].[Invoice Year].[All]" allUniqueName="[Invoice].[Invoice Year].[All]" dimensionUniqueName="[Invoice]" displayFolder="Invoice Period" count="0" unbalanced="0"/>
    <cacheHierarchy uniqueName="[Invoice].[Payment Date]" caption="Payment Date" attribute="1" defaultMemberUniqueName="[Invoice].[Payment Date].[All]" allUniqueName="[Invoice].[Payment Date].[All]" dimensionUniqueName="[Invoice]" displayFolder="Invoice Info" count="0" unbalanced="0"/>
    <cacheHierarchy uniqueName="[Invoice].[Payment Terms]" caption="Payment Terms" attribute="1" defaultMemberUniqueName="[Invoice].[Payment Terms].[All]" allUniqueName="[Invoice].[Payment Terms].[All]" dimensionUniqueName="[Invoice]" displayFolder="Invoice Info" count="0" unbalanced="0"/>
    <cacheHierarchy uniqueName="[Invoice].[Time To Invoice]" caption="Time To Invoice" attribute="1" defaultMemberUniqueName="[Invoice].[Time To Invoice].[All]" allUniqueName="[Invoice].[Time To Invoice].[All]" dimensionUniqueName="[Invoice]" displayFolder="Invoice Info" count="0" unbalanced="0"/>
    <cacheHierarchy uniqueName="[Invoice].[Time To Pay]" caption="Time To Pay" attribute="1" defaultMemberUniqueName="[Invoice].[Time To Pay].[All]" allUniqueName="[Invoice].[Time To Pay].[All]" dimensionUniqueName="[Invoice]" displayFolder="Invoice Info" count="0" unbalanced="0"/>
    <cacheHierarchy uniqueName="[Order].[Customer]" caption="Customer" attribute="1" defaultMemberUniqueName="[Order].[Customer].[All]" allUniqueName="[Order].[Customer].[All]" dimensionUniqueName="[Order]" displayFolder="Customer" count="0" unbalanced="0"/>
    <cacheHierarchy uniqueName="[Order].[Customer Class]" caption="Customer Class" attribute="1" defaultMemberUniqueName="[Order].[Customer Class].[All]" allUniqueName="[Order].[Customer Class].[All]" dimensionUniqueName="[Order]" displayFolder="Customer" count="0" unbalanced="0"/>
    <cacheHierarchy uniqueName="[Order].[Customer Company]" caption="Customer Company" attribute="1" defaultMemberUniqueName="[Order].[Customer Company].[All]" allUniqueName="[Order].[Customer Company].[All]" dimensionUniqueName="[Order]" displayFolder="Customer Organisation" count="0" unbalanced="0"/>
    <cacheHierarchy uniqueName="[Order].[Customer Contact]" caption="Customer Contact" attribute="1" defaultMemberUniqueName="[Order].[Customer Contact].[All]" allUniqueName="[Order].[Customer Contact].[All]" dimensionUniqueName="[Order]" displayFolder="Opportunity" count="0" unbalanced="0"/>
    <cacheHierarchy uniqueName="[Order].[Customer Division]" caption="Customer Division" attribute="1" defaultMemberUniqueName="[Order].[Customer Division].[All]" allUniqueName="[Order].[Customer Division].[All]" dimensionUniqueName="[Order]" displayFolder="Customer Organisation" count="0" unbalanced="0"/>
    <cacheHierarchy uniqueName="[Order].[Customer Hierarchy]" caption="Customer Hierarchy" defaultMemberUniqueName="[Order].[Customer Hierarchy].[All]" allUniqueName="[Order].[Customer Hierarchy].[All]" dimensionUniqueName="[Order]" displayFolder="" count="0" unbalanced="0"/>
    <cacheHierarchy uniqueName="[Order].[Customer Industry]" caption="Customer Industry" attribute="1" defaultMemberUniqueName="[Order].[Customer Industry].[All]" allUniqueName="[Order].[Customer Industry].[All]" dimensionUniqueName="[Order]" displayFolder="Customer" count="0" unbalanced="0"/>
    <cacheHierarchy uniqueName="[Order].[Customer Location]" caption="Customer Location" attribute="1" defaultMemberUniqueName="[Order].[Customer Location].[All]" allUniqueName="[Order].[Customer Location].[All]" dimensionUniqueName="[Order]" displayFolder="Customer Organisation" count="0" unbalanced="0"/>
    <cacheHierarchy uniqueName="[Order].[Customer Number]" caption="Customer Number" attribute="1" defaultMemberUniqueName="[Order].[Customer Number].[All]" allUniqueName="[Order].[Customer Number].[All]" dimensionUniqueName="[Order]" displayFolder="Customer" count="0" unbalanced="0"/>
    <cacheHierarchy uniqueName="[Order].[Customer Solution]" caption="Customer Solution" attribute="1" defaultMemberUniqueName="[Order].[Customer Solution].[All]" allUniqueName="[Order].[Customer Solution].[All]" dimensionUniqueName="[Order]" displayFolder="Customer Organisation" count="0" unbalanced="0"/>
    <cacheHierarchy uniqueName="[Order].[Customer Type]" caption="Customer Type" attribute="1" defaultMemberUniqueName="[Order].[Customer Type].[All]" allUniqueName="[Order].[Customer Type].[All]" dimensionUniqueName="[Order]" displayFolder="Customer" count="0" unbalanced="0"/>
    <cacheHierarchy uniqueName="[Order].[Customer Unit]" caption="Customer Unit" attribute="1" defaultMemberUniqueName="[Order].[Customer Unit].[All]" allUniqueName="[Order].[Customer Unit].[All]" dimensionUniqueName="[Order]" displayFolder="Customer Organisation" count="0" unbalanced="0"/>
    <cacheHierarchy uniqueName="[Order].[Key Account Manager]" caption="Key Account Manager" attribute="1" defaultMemberUniqueName="[Order].[Key Account Manager].[All]" allUniqueName="[Order].[Key Account Manager].[All]" dimensionUniqueName="[Order]" displayFolder="Customer Organisation" count="0" unbalanced="0"/>
    <cacheHierarchy uniqueName="[Order].[Lead Identifier]" caption="Lead Identifier" attribute="1" defaultMemberUniqueName="[Order].[Lead Identifier].[All]" allUniqueName="[Order].[Lead Identifier].[All]" dimensionUniqueName="[Order]" displayFolder="Opportunity" count="0" unbalanced="0"/>
    <cacheHierarchy uniqueName="[Order].[Lead Owner]" caption="Lead Owner" attribute="1" defaultMemberUniqueName="[Order].[Lead Owner].[All]" allUniqueName="[Order].[Lead Owner].[All]" dimensionUniqueName="[Order]" displayFolder="Opportunity" count="0" unbalanced="0"/>
    <cacheHierarchy uniqueName="[Order].[Material]" caption="Material" attribute="1" defaultMemberUniqueName="[Order].[Material].[All]" allUniqueName="[Order].[Material].[All]" dimensionUniqueName="[Order]" displayFolder="Position Material" count="0" unbalanced="0"/>
    <cacheHierarchy uniqueName="[Order].[Material Number]" caption="Material Number" attribute="1" defaultMemberUniqueName="[Order].[Material Number].[All]" allUniqueName="[Order].[Material Number].[All]" dimensionUniqueName="[Order]" displayFolder="Position Material" count="0" unbalanced="0"/>
    <cacheHierarchy uniqueName="[Order].[Material Type]" caption="Material Type" attribute="1" defaultMemberUniqueName="[Order].[Material Type].[All]" allUniqueName="[Order].[Material Type].[All]" dimensionUniqueName="[Order]" displayFolder="Position Material" count="0" unbalanced="0"/>
    <cacheHierarchy uniqueName="[Order].[New Customer]" caption="New Customer" attribute="1" defaultMemberUniqueName="[Order].[New Customer].[All]" allUniqueName="[Order].[New Customer].[All]" dimensionUniqueName="[Order]" displayFolder="Customer" count="0" unbalanced="0"/>
    <cacheHierarchy uniqueName="[Order].[Opportunity]" caption="Opportunity" attribute="1" defaultMemberUniqueName="[Order].[Opportunity].[All]" allUniqueName="[Order].[Opportunity].[All]" dimensionUniqueName="[Order]" displayFolder="Opportunity" count="0" unbalanced="0"/>
    <cacheHierarchy uniqueName="[Order].[Opportunity Number]" caption="Opportunity Number" attribute="1" defaultMemberUniqueName="[Order].[Opportunity Number].[All]" allUniqueName="[Order].[Opportunity Number].[All]" dimensionUniqueName="[Order]" displayFolder="Opportunity" count="0" unbalanced="0"/>
    <cacheHierarchy uniqueName="[Order].[Order]" caption="Order" attribute="1" defaultMemberUniqueName="[Order].[Order].[All]" allUniqueName="[Order].[Order].[All]" dimensionUniqueName="[Order]" displayFolder="Order" count="2" unbalanced="0"/>
    <cacheHierarchy uniqueName="[Order].[Order Category]" caption="Order Category" attribute="1" defaultMemberUniqueName="[Order].[Order Category].[All]" allUniqueName="[Order].[Order Category].[All]" dimensionUniqueName="[Order]" displayFolder="Order" count="0" unbalanced="0"/>
    <cacheHierarchy uniqueName="[Order].[Order Company]" caption="Order Company" attribute="1" defaultMemberUniqueName="[Order].[Order Company].[All]" allUniqueName="[Order].[Order Company].[All]" dimensionUniqueName="[Order]" displayFolder="Order Organisation" count="0" unbalanced="0"/>
    <cacheHierarchy uniqueName="[Order].[Order Country]" caption="Order Country" attribute="1" defaultMemberUniqueName="[Order].[Order Country].[All]" allUniqueName="[Order].[Order Country].[All]" dimensionUniqueName="[Order]" displayFolder="Order Organisation" count="0" unbalanced="0"/>
    <cacheHierarchy uniqueName="[Order].[Order Currency]" caption="Order Currency" attribute="1" defaultMemberUniqueName="[Order].[Order Currency].[All]" allUniqueName="[Order].[Order Currency].[All]" dimensionUniqueName="[Order]" displayFolder="Order" count="0" unbalanced="0"/>
    <cacheHierarchy uniqueName="[Order].[Order Division]" caption="Order Division" attribute="1" defaultMemberUniqueName="[Order].[Order Division].[All]" allUniqueName="[Order].[Order Division].[All]" dimensionUniqueName="[Order]" displayFolder="Order Organisation" count="0" unbalanced="0"/>
    <cacheHierarchy uniqueName="[Order].[Order End Day]" caption="Order End Day" attribute="1" defaultMemberUniqueName="[Order].[Order End Day].[All]" allUniqueName="[Order].[Order End Day].[All]" dimensionUniqueName="[Order]" displayFolder="Order Period" count="0" unbalanced="0"/>
    <cacheHierarchy uniqueName="[Order].[Order End Month]" caption="Order End Month" attribute="1" defaultMemberUniqueName="[Order].[Order End Month].[All]" allUniqueName="[Order].[Order End Month].[All]" dimensionUniqueName="[Order]" displayFolder="Order Period" count="0" unbalanced="0"/>
    <cacheHierarchy uniqueName="[Order].[Order End Year]" caption="Order End Year" attribute="1" defaultMemberUniqueName="[Order].[Order End Year].[All]" allUniqueName="[Order].[Order End Year].[All]" dimensionUniqueName="[Order]" displayFolder="Order Period" count="0" unbalanced="0"/>
    <cacheHierarchy uniqueName="[Order].[Order Hierarchy]" caption="Order Hierarchy" defaultMemberUniqueName="[Order].[Order Hierarchy].[All]" allUniqueName="[Order].[Order Hierarchy].[All]" dimensionUniqueName="[Order]" displayFolder="" count="0" unbalanced="0"/>
    <cacheHierarchy uniqueName="[Order].[Order Location]" caption="Order Location" attribute="1" defaultMemberUniqueName="[Order].[Order Location].[All]" allUniqueName="[Order].[Order Location].[All]" dimensionUniqueName="[Order]" displayFolder="Order Organisation" count="0" unbalanced="0"/>
    <cacheHierarchy uniqueName="[Order].[Order Management]" caption="Order Management" attribute="1" defaultMemberUniqueName="[Order].[Order Management].[All]" allUniqueName="[Order].[Order Management].[All]" dimensionUniqueName="[Order]" displayFolder="Order" count="0" unbalanced="0"/>
    <cacheHierarchy uniqueName="[Order].[Order Number]" caption="Order Number" attribute="1" defaultMemberUniqueName="[Order].[Order Number].[All]" allUniqueName="[Order].[Order Number].[All]" dimensionUniqueName="[Order]" displayFolder="Order" count="0" unbalanced="0"/>
    <cacheHierarchy uniqueName="[Order].[Order Solution]" caption="Order Solution" attribute="1" defaultMemberUniqueName="[Order].[Order Solution].[All]" allUniqueName="[Order].[Order Solution].[All]" dimensionUniqueName="[Order]" displayFolder="Order" count="0" unbalanced="0"/>
    <cacheHierarchy uniqueName="[Order].[Order Start Day]" caption="Order Start Day" attribute="1" defaultMemberUniqueName="[Order].[Order Start Day].[All]" allUniqueName="[Order].[Order Start Day].[All]" dimensionUniqueName="[Order]" displayFolder="Order Period" count="0" unbalanced="0"/>
    <cacheHierarchy uniqueName="[Order].[Order Start Month]" caption="Order Start Month" attribute="1" defaultMemberUniqueName="[Order].[Order Start Month].[All]" allUniqueName="[Order].[Order Start Month].[All]" dimensionUniqueName="[Order]" displayFolder="Order Period" count="0" unbalanced="0"/>
    <cacheHierarchy uniqueName="[Order].[Order Start Year]" caption="Order Start Year" attribute="1" defaultMemberUniqueName="[Order].[Order Start Year].[All]" allUniqueName="[Order].[Order Start Year].[All]" dimensionUniqueName="[Order]" displayFolder="Order Period" count="0" unbalanced="0"/>
    <cacheHierarchy uniqueName="[Order].[Order Status]" caption="Order Status" attribute="1" defaultMemberUniqueName="[Order].[Order Status].[All]" allUniqueName="[Order].[Order Status].[All]" dimensionUniqueName="[Order]" displayFolder="Order" count="0" unbalanced="0"/>
    <cacheHierarchy uniqueName="[Order].[Order Team]" caption="Order Team" attribute="1" defaultMemberUniqueName="[Order].[Order Team].[All]" allUniqueName="[Order].[Order Team].[All]" dimensionUniqueName="[Order]" displayFolder="Order Organisation" count="0" unbalanced="0"/>
    <cacheHierarchy uniqueName="[Order].[Order Type]" caption="Order Type" attribute="1" defaultMemberUniqueName="[Order].[Order Type].[All]" allUniqueName="[Order].[Order Type].[All]" dimensionUniqueName="[Order]" displayFolder="Order Type" count="0" unbalanced="0"/>
    <cacheHierarchy uniqueName="[Order].[Order Unit]" caption="Order Unit" attribute="1" defaultMemberUniqueName="[Order].[Order Unit].[All]" allUniqueName="[Order].[Order Unit].[All]" dimensionUniqueName="[Order]" displayFolder="Order Organisation" count="0" unbalanced="0"/>
    <cacheHierarchy uniqueName="[Order].[Portfolio Element]" caption="Portfolio Element" attribute="1" defaultMemberUniqueName="[Order].[Portfolio Element].[All]" allUniqueName="[Order].[Portfolio Element].[All]" dimensionUniqueName="[Order]" displayFolder="Position" count="0" unbalanced="0"/>
    <cacheHierarchy uniqueName="[Order].[Portfolio Theme]" caption="Portfolio Theme" attribute="1" defaultMemberUniqueName="[Order].[Portfolio Theme].[All]" allUniqueName="[Order].[Portfolio Theme].[All]" dimensionUniqueName="[Order]" displayFolder="Position" count="0" unbalanced="0"/>
    <cacheHierarchy uniqueName="[Order].[Position]" caption="Position" attribute="1" defaultMemberUniqueName="[Order].[Position].[All]" allUniqueName="[Order].[Position].[All]" dimensionUniqueName="[Order]" displayFolder="Position" count="0" unbalanced="0"/>
    <cacheHierarchy uniqueName="[Order].[Position End Day]" caption="Position End Day" attribute="1" defaultMemberUniqueName="[Order].[Position End Day].[All]" allUniqueName="[Order].[Position End Day].[All]" dimensionUniqueName="[Order]" displayFolder="Position" count="0" unbalanced="0"/>
    <cacheHierarchy uniqueName="[Order].[Position Number]" caption="Position Number" attribute="1" defaultMemberUniqueName="[Order].[Position Number].[All]" allUniqueName="[Order].[Position Number].[All]" dimensionUniqueName="[Order]" displayFolder="Position" count="0" unbalanced="0"/>
    <cacheHierarchy uniqueName="[Order].[Position Solution]" caption="Position Solution" attribute="1" defaultMemberUniqueName="[Order].[Position Solution].[All]" allUniqueName="[Order].[Position Solution].[All]" dimensionUniqueName="[Order]" displayFolder="Position" count="0" unbalanced="0"/>
    <cacheHierarchy uniqueName="[Order].[Position Start Day]" caption="Position Start Day" attribute="1" defaultMemberUniqueName="[Order].[Position Start Day].[All]" allUniqueName="[Order].[Position Start Day].[All]" dimensionUniqueName="[Order]" displayFolder="Position" count="0" unbalanced="0"/>
    <cacheHierarchy uniqueName="[Order].[Position Status]" caption="Position Status" attribute="1" defaultMemberUniqueName="[Order].[Position Status].[All]" allUniqueName="[Order].[Position Status].[All]" dimensionUniqueName="[Order]" displayFolder="Position" count="0" unbalanced="0"/>
    <cacheHierarchy uniqueName="[Order].[Position Technology]" caption="Position Technology" attribute="1" defaultMemberUniqueName="[Order].[Position Technology].[All]" allUniqueName="[Order].[Position Technology].[All]" dimensionUniqueName="[Order]" displayFolder="Position" count="0" unbalanced="0"/>
    <cacheHierarchy uniqueName="[Order].[Position Type]" caption="Position Type" attribute="1" defaultMemberUniqueName="[Order].[Position Type].[All]" allUniqueName="[Order].[Position Type].[All]" dimensionUniqueName="[Order]" displayFolder="Position" count="0" unbalanced="0"/>
    <cacheHierarchy uniqueName="[Order].[Project Manager]" caption="Project Manager" attribute="1" defaultMemberUniqueName="[Order].[Project Manager].[All]" allUniqueName="[Order].[Project Manager].[All]" dimensionUniqueName="[Order]" displayFolder="Order Organisation" count="0" unbalanced="0"/>
    <cacheHierarchy uniqueName="[Order].[Project Responsible]" caption="Project Responsible" attribute="1" defaultMemberUniqueName="[Order].[Project Responsible].[All]" allUniqueName="[Order].[Project Responsible].[All]" dimensionUniqueName="[Order]" displayFolder="Order Organisation" count="0" unbalanced="0"/>
    <cacheHierarchy uniqueName="[Order].[Reference Number]" caption="Reference Number" attribute="1" defaultMemberUniqueName="[Order].[Reference Number].[All]" allUniqueName="[Order].[Reference Number].[All]" dimensionUniqueName="[Order]" displayFolder="Order" count="0" unbalanced="0"/>
    <cacheHierarchy uniqueName="[Order].[Revenue Class]" caption="Revenue Class" attribute="1" defaultMemberUniqueName="[Order].[Revenue Class].[All]" allUniqueName="[Order].[Revenue Class].[All]" dimensionUniqueName="[Order]" displayFolder="Customer" count="0" unbalanced="0"/>
    <cacheHierarchy uniqueName="[Order].[Signature]" caption="Signature" attribute="1" defaultMemberUniqueName="[Order].[Signature].[All]" allUniqueName="[Order].[Signature].[All]" dimensionUniqueName="[Order]" displayFolder="Order" count="0" unbalanced="0"/>
    <cacheHierarchy uniqueName="[Order].[Training Type]" caption="Training Type" attribute="1" defaultMemberUniqueName="[Order].[Training Type].[All]" allUniqueName="[Order].[Training Type].[All]" dimensionUniqueName="[Order]" displayFolder="Order Type" count="0" unbalanced="0"/>
    <cacheHierarchy uniqueName="[Period].[Day]" caption="Day" attribute="1" time="1" defaultMemberUniqueName="[Period].[Day].[All]" allUniqueName="[Period].[Day].[All]" dimensionUniqueName="[Period]" displayFolder="Period" count="0" unbalanced="0"/>
    <cacheHierarchy uniqueName="[Period].[Month]" caption="Month" attribute="1" time="1" defaultMemberUniqueName="[Period].[Month].[All]" allUniqueName="[Period].[Month].[All]" dimensionUniqueName="[Period]" displayFolder="Period" count="0" unbalanced="0"/>
    <cacheHierarchy uniqueName="[Period].[Month Description]" caption="Month Description" attribute="1" time="1" defaultMemberUniqueName="[Period].[Month Description].[All]" allUniqueName="[Period].[Month Description].[All]" dimensionUniqueName="[Period]" displayFolder="Period" count="0" unbalanced="0"/>
    <cacheHierarchy uniqueName="[Period].[Month Short]" caption="Month Short" attribute="1" time="1" defaultMemberUniqueName="[Period].[Month Short].[All]" allUniqueName="[Period].[Month Short].[All]" dimensionUniqueName="[Period]" displayFolder="Period" count="0" unbalanced="0"/>
    <cacheHierarchy uniqueName="[Period].[Period Hierarchy]" caption="Period Hierarchy" time="1" defaultMemberUniqueName="[Period].[Period Hierarchy].[All]" allUniqueName="[Period].[Period Hierarchy].[All]" dimensionUniqueName="[Period]" displayFolder="" count="0" unbalanced="0"/>
    <cacheHierarchy uniqueName="[Period].[Quarter]" caption="Quarter" attribute="1" time="1" defaultMemberUniqueName="[Period].[Quarter].[All]" allUniqueName="[Period].[Quarter].[All]" dimensionUniqueName="[Period]" displayFolder="Period" count="0" unbalanced="0"/>
    <cacheHierarchy uniqueName="[Period].[Week]" caption="Week" attribute="1" time="1" defaultMemberUniqueName="[Period].[Week].[All]" allUniqueName="[Period].[Week].[All]" dimensionUniqueName="[Period]" displayFolder="Period" count="0" unbalanced="0"/>
    <cacheHierarchy uniqueName="[Period].[Week Description]" caption="Week Description" attribute="1" time="1" defaultMemberUniqueName="[Period].[Week Description].[All]" allUniqueName="[Period].[Week Description].[All]" dimensionUniqueName="[Period]" displayFolder="Period" count="0" unbalanced="0"/>
    <cacheHierarchy uniqueName="[Period].[Year]" caption="Year" attribute="1" time="1" defaultMemberUniqueName="[Period].[Year].[All]" allUniqueName="[Period].[Year].[All]" dimensionUniqueName="[Period]" displayFolder="Period" count="0" unbalanced="0"/>
    <cacheHierarchy uniqueName="[Period].[YTD]" caption="YTD" attribute="1" time="1" defaultMemberUniqueName="[Period].[YTD].[All]" allUniqueName="[Period].[YTD].[All]" dimensionUniqueName="[Period]" displayFolder="Period" count="0" unbalanced="0"/>
    <cacheHierarchy uniqueName="[Scenario].[Scenario]" caption="Scenario" attribute="1" defaultMemberUniqueName="[Scenario].[Scenario].&amp;[Actual]" allUniqueName="[Scenario].[Scenario].[All]" dimensionUniqueName="[Scenario]" displayFolder="" count="0" unbalanced="0"/>
    <cacheHierarchy uniqueName="[Service].[Charging]" caption="Charging" attribute="1" defaultMemberUniqueName="[Service].[Charging].[All]" allUniqueName="[Service].[Charging].[All]" dimensionUniqueName="[Service]" displayFolder="Service" count="0" unbalanced="0"/>
    <cacheHierarchy uniqueName="[Service].[Invoicing]" caption="Invoicing" attribute="1" defaultMemberUniqueName="[Service].[Invoicing].[All]" allUniqueName="[Service].[Invoicing].[All]" dimensionUniqueName="[Service]" displayFolder="Status" count="0" unbalanced="0"/>
    <cacheHierarchy uniqueName="[Service].[Level A]" caption="Level A" attribute="1" defaultMemberUniqueName="[Service].[Level A].[All]" allUniqueName="[Service].[Level A].[All]" dimensionUniqueName="[Service]" displayFolder="Service Category" count="0" unbalanced="0"/>
    <cacheHierarchy uniqueName="[Service].[Level B]" caption="Level B" attribute="1" defaultMemberUniqueName="[Service].[Level B].[All]" allUniqueName="[Service].[Level B].[All]" dimensionUniqueName="[Service]" displayFolder="Service Category" count="0" unbalanced="0"/>
    <cacheHierarchy uniqueName="[Service].[Level C]" caption="Level C" attribute="1" defaultMemberUniqueName="[Service].[Level C].[All]" allUniqueName="[Service].[Level C].[All]" dimensionUniqueName="[Service]" displayFolder="Service Category" count="0" unbalanced="0"/>
    <cacheHierarchy uniqueName="[Service].[Monthly Closure]" caption="Monthly Closure" attribute="1" defaultMemberUniqueName="[Service].[Monthly Closure].[All]" allUniqueName="[Service].[Monthly Closure].[All]" dimensionUniqueName="[Service]" displayFolder="Status" count="0" unbalanced="0"/>
    <cacheHierarchy uniqueName="[Service].[Payment]" caption="Payment" attribute="1" defaultMemberUniqueName="[Service].[Payment].[All]" allUniqueName="[Service].[Payment].[All]" dimensionUniqueName="[Service]" displayFolder="Status" count="0" unbalanced="0"/>
    <cacheHierarchy uniqueName="[Service].[Service Category]" caption="Service Category" attribute="1" defaultMemberUniqueName="[Service].[Service Category].[All]" allUniqueName="[Service].[Service Category].[All]" dimensionUniqueName="[Service]" displayFolder="Service Category" count="0" unbalanced="0"/>
    <cacheHierarchy uniqueName="[Service].[Service Category Code]" caption="Service Category Code" attribute="1" defaultMemberUniqueName="[Service].[Service Category Code].[All]" allUniqueName="[Service].[Service Category Code].[All]" dimensionUniqueName="[Service]" displayFolder="Service Category" count="0" unbalanced="0"/>
    <cacheHierarchy uniqueName="[Service].[Service Definition]" caption="Service Definition" attribute="1" defaultMemberUniqueName="[Service].[Service Definition].[All]" allUniqueName="[Service].[Service Definition].[All]" dimensionUniqueName="[Service]" displayFolder="Service" count="0" unbalanced="0"/>
    <cacheHierarchy uniqueName="[Service].[Service Status]" caption="Service Status" attribute="1" defaultMemberUniqueName="[Service].[Service Status].[All]" allUniqueName="[Service].[Service Status].[All]" dimensionUniqueName="[Service]" displayFolder="Status" count="0" unbalanced="0"/>
    <cacheHierarchy uniqueName="[Service].[Service Type]" caption="Service Type" attribute="1" defaultMemberUniqueName="[Service].[Service Type].[All]" allUniqueName="[Service].[Service Type].[All]" dimensionUniqueName="[Service]" displayFolder="Service" count="0" unbalanced="0"/>
    <cacheHierarchy uniqueName="[Service].[Status Number]" caption="Status Number" attribute="1" defaultMemberUniqueName="[Service].[Status Number].[All]" allUniqueName="[Service].[Status Number].[All]" dimensionUniqueName="[Service]" displayFolder="Status" count="0" unbalanced="0"/>
    <cacheHierarchy uniqueName="[Service Text].[Service Text]" caption="Service Text" attribute="1" defaultMemberUniqueName="[Service Text].[Service Text].[All]" allUniqueName="[Service Text].[Service Text].[All]" dimensionUniqueName="[Service Text]" displayFolder="" count="0" unbalanced="0"/>
    <cacheHierarchy uniqueName="[Account].[Account Id]" caption="Account Id" attribute="1" keyAttribute="1" defaultMemberUniqueName="[Account].[Account Id].[All]" allUniqueName="[Account].[Account Id].[All]" dimensionUniqueName="[Account]" displayFolder="" count="0" unbalanced="0" hidden="1"/>
    <cacheHierarchy uniqueName="[Employee].[Employee Hierarchy Forecast]" caption="Employee Hierarchy Forecast" defaultMemberUniqueName="[Employee].[Employee Hierarchy Forecast].[All]" allUniqueName="[Employee].[Employee Hierarchy Forecast].[All]" dimensionUniqueName="[Employee]" displayFolder="" count="0" unbalanced="0" hidden="1"/>
    <cacheHierarchy uniqueName="[Employee].[Employee Id]" caption="Employee Id" attribute="1" keyAttribute="1" defaultMemberUniqueName="[Employee].[Employee Id].[All]" allUniqueName="[Employee].[Employee Id].[All]" dimensionUniqueName="[Employee]" displayFolder="" count="0" unbalanced="0" hidden="1"/>
    <cacheHierarchy uniqueName="[Employee].[Team Hierarchie]" caption="Team Hierarchie" attribute="1" defaultMemberUniqueName="[Employee].[Team Hierarchie].[All]" allUniqueName="[Employee].[Team Hierarchie].[All]" dimensionUniqueName="[Employee]" displayFolder="" count="0" unbalanced="0" hidden="1"/>
    <cacheHierarchy uniqueName="[Forecast Transformation].[Forecast Load Date Id]" caption="Forecast Load Date Id" attribute="1" keyAttribute="1" defaultMemberUniqueName="[Forecast Transformation].[Forecast Load Date Id].[All]" allUniqueName="[Forecast Transformation].[Forecast Load Date Id].[All]" dimensionUniqueName="[Forecast Transformation]" displayFolder="" count="0" unbalanced="0" hidden="1"/>
    <cacheHierarchy uniqueName="[Forecast Transformation].[Transformation Time]" caption="Transformation Time" attribute="1" defaultMemberUniqueName="[Forecast Transformation].[Transformation Time].[All]" allUniqueName="[Forecast Transformation].[Transformation Time].[All]" dimensionUniqueName="[Forecast Transformation]" displayFolder="" count="0" unbalanced="0" hidden="1"/>
    <cacheHierarchy uniqueName="[Invoice].[Invoice Id]" caption="Invoice Id" attribute="1" keyAttribute="1" defaultMemberUniqueName="[Invoice].[Invoice Id].[All]" allUniqueName="[Invoice].[Invoice Id].[All]" dimensionUniqueName="[Invoice]" displayFolder="" count="0" unbalanced="0" hidden="1"/>
    <cacheHierarchy uniqueName="[Order].[KAM Code]" caption="KAM Code" attribute="1" defaultMemberUniqueName="[Order].[KAM Code].[All]" allUniqueName="[Order].[KAM Code].[All]" dimensionUniqueName="[Order]" displayFolder="" count="0" unbalanced="0" hidden="1"/>
    <cacheHierarchy uniqueName="[Order].[Order Position Id]" caption="Order Position Id" attribute="1" keyAttribute="1" defaultMemberUniqueName="[Order].[Order Position Id].[All]" allUniqueName="[Order].[Order Position Id].[All]" dimensionUniqueName="[Order]" displayFolder="" count="0" unbalanced="0" hidden="1"/>
    <cacheHierarchy uniqueName="[Order].[OrderCustomerH]" caption="OrderCustomerH" attribute="1" defaultMemberUniqueName="[Order].[OrderCustomerH].[All]" allUniqueName="[Order].[OrderCustomerH].[All]" dimensionUniqueName="[Order]" displayFolder="" count="0" unbalanced="0" hidden="1"/>
    <cacheHierarchy uniqueName="[Order].[OrderUnitH]" caption="OrderUnitH" attribute="1" defaultMemberUniqueName="[Order].[OrderUnitH].[All]" allUniqueName="[Order].[OrderUnitH].[All]" dimensionUniqueName="[Order]" displayFolder="" count="0" unbalanced="0" hidden="1"/>
    <cacheHierarchy uniqueName="[Order].[Project Manager Code]" caption="Project Manager Code" attribute="1" defaultMemberUniqueName="[Order].[Project Manager Code].[All]" allUniqueName="[Order].[Project Manager Code].[All]" dimensionUniqueName="[Order]" displayFolder="Order Organisation" count="0" unbalanced="0" hidden="1"/>
    <cacheHierarchy uniqueName="[Period].[Month Long]" caption="Month Long" attribute="1" time="1" defaultMemberUniqueName="[Period].[Month Long].[All]" allUniqueName="[Period].[Month Long].[All]" dimensionUniqueName="[Period]" displayFolder="Period" count="0" unbalanced="0" hidden="1"/>
    <cacheHierarchy uniqueName="[Period].[Month of Year]" caption="Month of Year" attribute="1" time="1" defaultMemberUniqueName="[Period].[Month of Year].[All]" allUniqueName="[Period].[Month of Year].[All]" dimensionUniqueName="[Period]" displayFolder="Period" count="0" unbalanced="0" hidden="1"/>
    <cacheHierarchy uniqueName="[Period].[Service Period Id]" caption="Service Period Id" attribute="1" time="1" keyAttribute="1" defaultMemberUniqueName="[Period].[Service Period Id].[All]" allUniqueName="[Period].[Service Period Id].[All]" dimensionUniqueName="[Period]" displayFolder="" count="0" unbalanced="0" hidden="1"/>
    <cacheHierarchy uniqueName="[Scenario].[Scenario Group]" caption="Scenario Group" attribute="1" defaultMemberUniqueName="[Scenario].[Scenario Group].[All]" allUniqueName="[Scenario].[Scenario Group].[All]" dimensionUniqueName="[Scenario]" displayFolder="" count="0" unbalanced="0" hidden="1"/>
    <cacheHierarchy uniqueName="[Scenario].[Scenario Id]" caption="Scenario Id" attribute="1" keyAttribute="1" defaultMemberUniqueName="[Scenario].[Scenario Id].[All]" allUniqueName="[Scenario].[Scenario Id].[All]" dimensionUniqueName="[Scenario]" displayFolder="" count="0" unbalanced="0" hidden="1"/>
    <cacheHierarchy uniqueName="[Service].[Service Id]" caption="Service Id" attribute="1" keyAttribute="1" defaultMemberUniqueName="[Service].[Service Id].[All]" allUniqueName="[Service].[Service Id].[All]" dimensionUniqueName="[Service]" displayFolder="" count="0" unbalanced="0" hidden="1"/>
    <cacheHierarchy uniqueName="[Service Text].[Servicetext Id]" caption="Servicetext Id" attribute="1" keyAttribute="1" defaultMemberUniqueName="[Service Text].[Servicetext Id].[All]" allUniqueName="[Service Text].[Servicetext Id].[All]" dimensionUniqueName="[Service Text]" displayFolder="" count="0" unbalanced="0" hidden="1"/>
    <cacheHierarchy uniqueName="[Transformation].[Load Date Id]" caption="Load Date Id" attribute="1" keyAttribute="1" defaultMemberUniqueName="[Transformation].[Load Date Id].[All]" allUniqueName="[Transformation].[Load Date Id].[All]" dimensionUniqueName="[Transformation]" displayFolder="" count="0" unbalanced="0" hidden="1"/>
    <cacheHierarchy uniqueName="[Transformation].[Transformation Date]" caption="Transformation Date" attribute="1" defaultMemberUniqueName="[Transformation].[Transformation Date].[All]" allUniqueName="[Transformation].[Transformation Date].[All]" dimensionUniqueName="[Transformation]" displayFolder="" count="0" unbalanced="0" hidden="1"/>
    <cacheHierarchy uniqueName="[User Access].[Access Id]" caption="Access Id" attribute="1" keyAttribute="1" defaultMemberUniqueName="[User Access].[Access Id].[All]" allUniqueName="[User Access].[Access Id].[All]" dimensionUniqueName="[User Access]" displayFolder="Access" count="0" unbalanced="0" hidden="1"/>
    <cacheHierarchy uniqueName="[User Access].[BDSAS]" caption="BDSAS" attribute="1" defaultMemberUniqueName="[User Access].[BDSAS].[All]" allUniqueName="[User Access].[BDSAS].[All]" dimensionUniqueName="[User Access]" displayFolder="Access" count="0" unbalanced="0" hidden="1"/>
    <cacheHierarchy uniqueName="[User Access].[BE]" caption="BE" attribute="1" defaultMemberUniqueName="[User Access].[BE].[All]" allUniqueName="[User Access].[BE].[All]" dimensionUniqueName="[User Access]" displayFolder="Access" count="0" unbalanced="0" hidden="1"/>
    <cacheHierarchy uniqueName="[User Access].[BEAD]" caption="BEAD" attribute="1" defaultMemberUniqueName="[User Access].[BEAD].[All]" allUniqueName="[User Access].[BEAD].[All]" dimensionUniqueName="[User Access]" displayFolder="Access" count="0" unbalanced="0" hidden="1"/>
    <cacheHierarchy uniqueName="[User Access].[BEAS]" caption="BEAS" attribute="1" defaultMemberUniqueName="[User Access].[BEAS].[All]" allUniqueName="[User Access].[BEAS].[All]" dimensionUniqueName="[User Access]" displayFolder="Access" count="0" unbalanced="0" hidden="1"/>
    <cacheHierarchy uniqueName="[User Access].[BEBI]" caption="BEBI" attribute="1" defaultMemberUniqueName="[User Access].[BEBI].[All]" allUniqueName="[User Access].[BEBI].[All]" dimensionUniqueName="[User Access]" displayFolder="Access" count="0" unbalanced="0" hidden="1"/>
    <cacheHierarchy uniqueName="[User Access].[BEIMS]" caption="BEIMS" attribute="1" defaultMemberUniqueName="[User Access].[BEIMS].[All]" allUniqueName="[User Access].[BEIMS].[All]" dimensionUniqueName="[User Access]" displayFolder="Access" count="0" unbalanced="0" hidden="1"/>
    <cacheHierarchy uniqueName="[User Access].[BIS]" caption="BIS" attribute="1" defaultMemberUniqueName="[User Access].[BIS].[All]" allUniqueName="[User Access].[BIS].[All]" dimensionUniqueName="[User Access]" displayFolder="Access" count="0" unbalanced="0" hidden="1"/>
    <cacheHierarchy uniqueName="[User Access].[BISAS]" caption="BISAS" attribute="1" defaultMemberUniqueName="[User Access].[BISAS].[All]" allUniqueName="[User Access].[BISAS].[All]" dimensionUniqueName="[User Access]" displayFolder="Access" count="0" unbalanced="0" hidden="1"/>
    <cacheHierarchy uniqueName="[User Access].[BS]" caption="BS" attribute="1" defaultMemberUniqueName="[User Access].[BS].[All]" allUniqueName="[User Access].[BS].[All]" dimensionUniqueName="[User Access]" displayFolder="Access" count="0" unbalanced="0" hidden="1"/>
    <cacheHierarchy uniqueName="[User Access].[BSAD]" caption="BSAD" attribute="1" defaultMemberUniqueName="[User Access].[BSAD].[All]" allUniqueName="[User Access].[BSAD].[All]" dimensionUniqueName="[User Access]" displayFolder="Access" count="0" unbalanced="0" hidden="1"/>
    <cacheHierarchy uniqueName="[User Access].[BSAS]" caption="BSAS" attribute="1" defaultMemberUniqueName="[User Access].[BSAS].[All]" allUniqueName="[User Access].[BSAS].[All]" dimensionUniqueName="[User Access]" displayFolder="Access" count="0" unbalanced="0" hidden="1"/>
    <cacheHierarchy uniqueName="[User Access].[BSBI]" caption="BSBI" attribute="1" defaultMemberUniqueName="[User Access].[BSBI].[All]" allUniqueName="[User Access].[BSBI].[All]" dimensionUniqueName="[User Access]" displayFolder="Access" count="0" unbalanced="0" hidden="1"/>
    <cacheHierarchy uniqueName="[User Access].[BSIMS]" caption="BSIMS" attribute="1" defaultMemberUniqueName="[User Access].[BSIMS].[All]" allUniqueName="[User Access].[BSIMS].[All]" dimensionUniqueName="[User Access]" displayFolder="Access" count="0" unbalanced="0" hidden="1"/>
    <cacheHierarchy uniqueName="[User Access].[BSPSD]" caption="BSPSD" attribute="1" defaultMemberUniqueName="[User Access].[BSPSD].[All]" allUniqueName="[User Access].[BSPSD].[All]" dimensionUniqueName="[User Access]" displayFolder="Access" count="0" unbalanced="0" hidden="1"/>
    <cacheHierarchy uniqueName="[User Access].[CCFS]" caption="CCFS" attribute="1" defaultMemberUniqueName="[User Access].[CCFS].[All]" allUniqueName="[User Access].[CCFS].[All]" dimensionUniqueName="[User Access]" displayFolder="Access" count="0" unbalanced="0" hidden="1"/>
    <cacheHierarchy uniqueName="[User Access].[CH]" caption="CH" attribute="1" defaultMemberUniqueName="[User Access].[CH].[All]" allUniqueName="[User Access].[CH].[All]" dimensionUniqueName="[User Access]" displayFolder="Access" count="0" unbalanced="0" hidden="1"/>
    <cacheHierarchy uniqueName="[User Access].[DE]" caption="DE" attribute="1" defaultMemberUniqueName="[User Access].[DE].[All]" allUniqueName="[User Access].[DE].[All]" dimensionUniqueName="[User Access]" displayFolder="Access" count="0" unbalanced="0" hidden="1"/>
    <cacheHierarchy uniqueName="[User Access].[DF]" caption="DF" attribute="1" defaultMemberUniqueName="[User Access].[DF].[All]" allUniqueName="[User Access].[DF].[All]" dimensionUniqueName="[User Access]" displayFolder="Access" count="0" unbalanced="0" hidden="1"/>
    <cacheHierarchy uniqueName="[User Access].[DFAD]" caption="DFAD" attribute="1" defaultMemberUniqueName="[User Access].[DFAD].[All]" allUniqueName="[User Access].[DFAD].[All]" dimensionUniqueName="[User Access]" displayFolder="Access" count="0" unbalanced="0" hidden="1"/>
    <cacheHierarchy uniqueName="[User Access].[DFAS]" caption="DFAS" attribute="1" defaultMemberUniqueName="[User Access].[DFAS].[All]" allUniqueName="[User Access].[DFAS].[All]" dimensionUniqueName="[User Access]" displayFolder="Access" count="0" unbalanced="0" hidden="1"/>
    <cacheHierarchy uniqueName="[User Access].[DFBI]" caption="DFBI" attribute="1" defaultMemberUniqueName="[User Access].[DFBI].[All]" allUniqueName="[User Access].[DFBI].[All]" dimensionUniqueName="[User Access]" displayFolder="Access" count="0" unbalanced="0" hidden="1"/>
    <cacheHierarchy uniqueName="[User Access].[DFIMS]" caption="DFIMS" attribute="1" defaultMemberUniqueName="[User Access].[DFIMS].[All]" allUniqueName="[User Access].[DFIMS].[All]" dimensionUniqueName="[User Access]" displayFolder="Access" count="0" unbalanced="0" hidden="1"/>
    <cacheHierarchy uniqueName="[User Access].[FAIT]" caption="FAIT" attribute="1" defaultMemberUniqueName="[User Access].[FAIT].[All]" allUniqueName="[User Access].[FAIT].[All]" dimensionUniqueName="[User Access]" displayFolder="Access" count="0" unbalanced="0" hidden="1"/>
    <cacheHierarchy uniqueName="[User Access].[FF]" caption="FF" attribute="1" defaultMemberUniqueName="[User Access].[FF].[All]" allUniqueName="[User Access].[FF].[All]" dimensionUniqueName="[User Access]" displayFolder="Access" count="0" unbalanced="0" hidden="1"/>
    <cacheHierarchy uniqueName="[User Access].[FFAD]" caption="FFAD" attribute="1" defaultMemberUniqueName="[User Access].[FFAD].[All]" allUniqueName="[User Access].[FFAD].[All]" dimensionUniqueName="[User Access]" displayFolder="Access" count="0" unbalanced="0" hidden="1"/>
    <cacheHierarchy uniqueName="[User Access].[FFAS]" caption="FFAS" attribute="1" defaultMemberUniqueName="[User Access].[FFAS].[All]" allUniqueName="[User Access].[FFAS].[All]" dimensionUniqueName="[User Access]" displayFolder="Access" count="0" unbalanced="0" hidden="1"/>
    <cacheHierarchy uniqueName="[User Access].[FFIMS]" caption="FFIMS" attribute="1" defaultMemberUniqueName="[User Access].[FFIMS].[All]" allUniqueName="[User Access].[FFIMS].[All]" dimensionUniqueName="[User Access]" displayFolder="Access" count="0" unbalanced="0" hidden="1"/>
    <cacheHierarchy uniqueName="[User Access].[FR]" caption="FR" attribute="1" defaultMemberUniqueName="[User Access].[FR].[All]" allUniqueName="[User Access].[FR].[All]" dimensionUniqueName="[User Access]" displayFolder="Access" count="0" unbalanced="0" hidden="1"/>
    <cacheHierarchy uniqueName="[User Access].[FRAS]" caption="FRAS" attribute="1" defaultMemberUniqueName="[User Access].[FRAS].[All]" allUniqueName="[User Access].[FRAS].[All]" dimensionUniqueName="[User Access]" displayFolder="Access" count="0" unbalanced="0" hidden="1"/>
    <cacheHierarchy uniqueName="[User Access].[HH]" caption="HH" attribute="1" defaultMemberUniqueName="[User Access].[HH].[All]" allUniqueName="[User Access].[HH].[All]" dimensionUniqueName="[User Access]" displayFolder="Access" count="0" unbalanced="0" hidden="1"/>
    <cacheHierarchy uniqueName="[User Access].[HHAD]" caption="HHAD" attribute="1" defaultMemberUniqueName="[User Access].[HHAD].[All]" allUniqueName="[User Access].[HHAD].[All]" dimensionUniqueName="[User Access]" displayFolder="Access" count="0" unbalanced="0" hidden="1"/>
    <cacheHierarchy uniqueName="[User Access].[HHAS]" caption="HHAS" attribute="1" defaultMemberUniqueName="[User Access].[HHAS].[All]" allUniqueName="[User Access].[HHAS].[All]" dimensionUniqueName="[User Access]" displayFolder="Access" count="0" unbalanced="0" hidden="1"/>
    <cacheHierarchy uniqueName="[User Access].[HHBI]" caption="HHBI" attribute="1" defaultMemberUniqueName="[User Access].[HHBI].[All]" allUniqueName="[User Access].[HHBI].[All]" dimensionUniqueName="[User Access]" displayFolder="Access" count="0" unbalanced="0" hidden="1"/>
    <cacheHierarchy uniqueName="[User Access].[HHIMS]" caption="HHIMS" attribute="1" defaultMemberUniqueName="[User Access].[HHIMS].[All]" allUniqueName="[User Access].[HHIMS].[All]" dimensionUniqueName="[User Access]" displayFolder="Access" count="0" unbalanced="0" hidden="1"/>
    <cacheHierarchy uniqueName="[User Access].[LS]" caption="LS" attribute="1" defaultMemberUniqueName="[User Access].[LS].[All]" allUniqueName="[User Access].[LS].[All]" dimensionUniqueName="[User Access]" displayFolder="Access" count="0" unbalanced="0" hidden="1"/>
    <cacheHierarchy uniqueName="[User Access].[LSAD]" caption="LSAD" attribute="1" defaultMemberUniqueName="[User Access].[LSAD].[All]" allUniqueName="[User Access].[LSAD].[All]" dimensionUniqueName="[User Access]" displayFolder="Access" count="0" unbalanced="0" hidden="1"/>
    <cacheHierarchy uniqueName="[User Access].[LSAS]" caption="LSAS" attribute="1" defaultMemberUniqueName="[User Access].[LSAS].[All]" allUniqueName="[User Access].[LSAS].[All]" dimensionUniqueName="[User Access]" displayFolder="Access" count="0" unbalanced="0" hidden="1"/>
    <cacheHierarchy uniqueName="[User Access].[LSBI]" caption="LSBI" attribute="1" defaultMemberUniqueName="[User Access].[LSBI].[All]" allUniqueName="[User Access].[LSBI].[All]" dimensionUniqueName="[User Access]" displayFolder="Access" count="0" unbalanced="0" hidden="1"/>
    <cacheHierarchy uniqueName="[User Access].[LSIMS]" caption="LSIMS" attribute="1" defaultMemberUniqueName="[User Access].[LSIMS].[All]" allUniqueName="[User Access].[LSIMS].[All]" dimensionUniqueName="[User Access]" displayFolder="Access" count="0" unbalanced="0" hidden="1"/>
    <cacheHierarchy uniqueName="[User Access].[MC]" caption="MC" attribute="1" defaultMemberUniqueName="[User Access].[MC].[All]" allUniqueName="[User Access].[MC].[All]" dimensionUniqueName="[User Access]" displayFolder="Access" count="0" unbalanced="0" hidden="1"/>
    <cacheHierarchy uniqueName="[User Access].[MU]" caption="MU" attribute="1" defaultMemberUniqueName="[User Access].[MU].[All]" allUniqueName="[User Access].[MU].[All]" dimensionUniqueName="[User Access]" displayFolder="Access" count="0" unbalanced="0" hidden="1"/>
    <cacheHierarchy uniqueName="[User Access].[MUAD]" caption="MUAD" attribute="1" defaultMemberUniqueName="[User Access].[MUAD].[All]" allUniqueName="[User Access].[MUAD].[All]" dimensionUniqueName="[User Access]" displayFolder="Access" count="0" unbalanced="0" hidden="1"/>
    <cacheHierarchy uniqueName="[User Access].[MUAS]" caption="MUAS" attribute="1" defaultMemberUniqueName="[User Access].[MUAS].[All]" allUniqueName="[User Access].[MUAS].[All]" dimensionUniqueName="[User Access]" displayFolder="Access" count="0" unbalanced="0" hidden="1"/>
    <cacheHierarchy uniqueName="[User Access].[MUBI]" caption="MUBI" attribute="1" defaultMemberUniqueName="[User Access].[MUBI].[All]" allUniqueName="[User Access].[MUBI].[All]" dimensionUniqueName="[User Access]" displayFolder="Access" count="0" unbalanced="0" hidden="1"/>
    <cacheHierarchy uniqueName="[User Access].[MUIMS]" caption="MUIMS" attribute="1" defaultMemberUniqueName="[User Access].[MUIMS].[All]" allUniqueName="[User Access].[MUIMS].[All]" dimensionUniqueName="[User Access]" displayFolder="Access" count="0" unbalanced="0" hidden="1"/>
    <cacheHierarchy uniqueName="[User Access].[ST]" caption="ST" attribute="1" defaultMemberUniqueName="[User Access].[ST].[All]" allUniqueName="[User Access].[ST].[All]" dimensionUniqueName="[User Access]" displayFolder="Access" count="0" unbalanced="0" hidden="1"/>
    <cacheHierarchy uniqueName="[User Access].[STAD]" caption="STAD" attribute="1" defaultMemberUniqueName="[User Access].[STAD].[All]" allUniqueName="[User Access].[STAD].[All]" dimensionUniqueName="[User Access]" displayFolder="Access" count="0" unbalanced="0" hidden="1"/>
    <cacheHierarchy uniqueName="[User Access].[STAFF]" caption="STAFF" attribute="1" defaultMemberUniqueName="[User Access].[STAFF].[All]" allUniqueName="[User Access].[STAFF].[All]" dimensionUniqueName="[User Access]" displayFolder="Access" count="0" unbalanced="0" hidden="1"/>
    <cacheHierarchy uniqueName="[User Access].[STAS]" caption="STAS" attribute="1" defaultMemberUniqueName="[User Access].[STAS].[All]" allUniqueName="[User Access].[STAS].[All]" dimensionUniqueName="[User Access]" displayFolder="Access" count="0" unbalanced="0" hidden="1"/>
    <cacheHierarchy uniqueName="[User Access].[STBI]" caption="STBI" attribute="1" defaultMemberUniqueName="[User Access].[STBI].[All]" allUniqueName="[User Access].[STBI].[All]" dimensionUniqueName="[User Access]" displayFolder="Access" count="0" unbalanced="0" hidden="1"/>
    <cacheHierarchy uniqueName="[User Access].[STIMS]" caption="STIMS" attribute="1" defaultMemberUniqueName="[User Access].[STIMS].[All]" allUniqueName="[User Access].[STIMS].[All]" dimensionUniqueName="[User Access]" displayFolder="Access" count="0" unbalanced="0" hidden="1"/>
    <cacheHierarchy uniqueName="[User Access].[TR]" caption="TR" attribute="1" defaultMemberUniqueName="[User Access].[TR].[All]" allUniqueName="[User Access].[TR].[All]" dimensionUniqueName="[User Access]" displayFolder="Access" count="0" unbalanced="0" hidden="1"/>
    <cacheHierarchy uniqueName="[User Access].[TRAS]" caption="TRAS" attribute="1" defaultMemberUniqueName="[User Access].[TRAS].[All]" allUniqueName="[User Access].[TRAS].[All]" dimensionUniqueName="[User Access]" displayFolder="Access" count="0" unbalanced="0" hidden="1"/>
    <cacheHierarchy uniqueName="[User Access].[TRCH]" caption="TRCH" attribute="1" defaultMemberUniqueName="[User Access].[TRCH].[All]" allUniqueName="[User Access].[TRCH].[All]" dimensionUniqueName="[User Access]" displayFolder="Access" count="0" unbalanced="0" hidden="1"/>
    <cacheHierarchy uniqueName="[User Access].[TRDE]" caption="TRDE" attribute="1" defaultMemberUniqueName="[User Access].[TRDE].[All]" allUniqueName="[User Access].[TRDE].[All]" dimensionUniqueName="[User Access]" displayFolder="Access" count="0" unbalanced="0" hidden="1"/>
    <cacheHierarchy uniqueName="[User Access].[WI]" caption="WI" attribute="1" defaultMemberUniqueName="[User Access].[WI].[All]" allUniqueName="[User Access].[WI].[All]" dimensionUniqueName="[User Access]" displayFolder="Access" count="0" unbalanced="0" hidden="1"/>
    <cacheHierarchy uniqueName="[User Access].[WIAD]" caption="WIAD" attribute="1" defaultMemberUniqueName="[User Access].[WIAD].[All]" allUniqueName="[User Access].[WIAD].[All]" dimensionUniqueName="[User Access]" displayFolder="Access" count="0" unbalanced="0" hidden="1"/>
    <cacheHierarchy uniqueName="[User Access].[WIAS]" caption="WIAS" attribute="1" defaultMemberUniqueName="[User Access].[WIAS].[All]" allUniqueName="[User Access].[WIAS].[All]" dimensionUniqueName="[User Access]" displayFolder="Access" count="0" unbalanced="0" hidden="1"/>
    <cacheHierarchy uniqueName="[User Access].[WIBI]" caption="WIBI" attribute="1" defaultMemberUniqueName="[User Access].[WIBI].[All]" allUniqueName="[User Access].[WIBI].[All]" dimensionUniqueName="[User Access]" displayFolder="Access" count="0" unbalanced="0" hidden="1"/>
    <cacheHierarchy uniqueName="[User Access].[WIIMS]" caption="WIIMS" attribute="1" defaultMemberUniqueName="[User Access].[WIIMS].[All]" allUniqueName="[User Access].[WIIMS].[All]" dimensionUniqueName="[User Access]" displayFolder="Access" count="0" unbalanced="0" hidden="1"/>
    <cacheHierarchy uniqueName="[User Access].[ZH]" caption="ZH" attribute="1" defaultMemberUniqueName="[User Access].[ZH].[All]" allUniqueName="[User Access].[ZH].[All]" dimensionUniqueName="[User Access]" displayFolder="Access" count="0" unbalanced="0" hidden="1"/>
    <cacheHierarchy uniqueName="[User Access].[ZHAD]" caption="ZHAD" attribute="1" defaultMemberUniqueName="[User Access].[ZHAD].[All]" allUniqueName="[User Access].[ZHAD].[All]" dimensionUniqueName="[User Access]" displayFolder="Access" count="0" unbalanced="0" hidden="1"/>
    <cacheHierarchy uniqueName="[User Access].[ZHAS]" caption="ZHAS" attribute="1" defaultMemberUniqueName="[User Access].[ZHAS].[All]" allUniqueName="[User Access].[ZHAS].[All]" dimensionUniqueName="[User Access]" displayFolder="Access" count="0" unbalanced="0" hidden="1"/>
    <cacheHierarchy uniqueName="[User Access].[ZHBI]" caption="ZHBI" attribute="1" defaultMemberUniqueName="[User Access].[ZHBI].[All]" allUniqueName="[User Access].[ZHBI].[All]" dimensionUniqueName="[User Access]" displayFolder="Access" count="0" unbalanced="0" hidden="1"/>
    <cacheHierarchy uniqueName="[User Access].[ZHIMS]" caption="ZHIMS" attribute="1" defaultMemberUniqueName="[User Access].[ZHIMS].[All]" allUniqueName="[User Access].[ZHIMS].[All]" dimensionUniqueName="[User Access]" displayFolder="Access" count="0" unbalanced="0" hidden="1"/>
    <cacheHierarchy uniqueName="[User Access].[ZHPSD]" caption="ZHPSD" attribute="1" defaultMemberUniqueName="[User Access].[ZHPSD].[All]" allUniqueName="[User Access].[ZHPSD].[All]" dimensionUniqueName="[User Access]" displayFolder="Access" count="0" unbalanced="0" hidden="1"/>
    <cacheHierarchy uniqueName="[Measures].[HC]" caption="HC" measure="1" displayFolder="Employee Measures" measureGroup="Trimaran" count="0"/>
    <cacheHierarchy uniqueName="[Measures].[Employee Entries]" caption="Employee Entries" measure="1" displayFolder="Employee Measures" measureGroup="Trimaran" count="0"/>
    <cacheHierarchy uniqueName="[Measures].[Employee Exits]" caption="Employee Exits" measure="1" displayFolder="Employee Measures" measureGroup="Trimaran" count="0"/>
    <cacheHierarchy uniqueName="[Measures].[CHF incl VAT]" caption="CHF incl VAT" measure="1" displayFolder="Calculated Measures" measureGroup="Trimaran" count="0"/>
    <cacheHierarchy uniqueName="[Measures].[EUR incl VAT]" caption="EUR incl VAT" measure="1" displayFolder="Calculated Measures" measureGroup="Trimaran" count="0"/>
    <cacheHierarchy uniqueName="[Measures].[Orders]" caption="Orders" measure="1" displayFolder="Opportunity Measures" measureGroup="Trimaran" count="0"/>
    <cacheHierarchy uniqueName="[Measures].[Order Completion]" caption="Order Completion" measure="1" displayFolder="Calculated Measures" measureGroup="Trimaran" count="0"/>
    <cacheHierarchy uniqueName="[Measures].[CHF]" caption="CHF" measure="1" displayFolder="Calculated Measures" count="0"/>
    <cacheHierarchy uniqueName="[Measures].[EUR]" caption="EUR" measure="1" displayFolder="Calculated Measures" count="0"/>
    <cacheHierarchy uniqueName="[Measures].[Hours]" caption="Hours" measure="1" displayFolder="" count="0"/>
    <cacheHierarchy uniqueName="[Measures].[Regular Working Hours]" caption="Regular Working Hours" measure="1" displayFolder="Utilisation Measures" count="0"/>
    <cacheHierarchy uniqueName="[Measures].[Employee Yearly Fluctuation]" caption="Employee Yearly Fluctuation" measure="1" displayFolder="Employee Measures" count="0"/>
    <cacheHierarchy uniqueName="[Measures].[Employee Monthly Fluctuation]" caption="Employee Monthly Fluctuation" measure="1" displayFolder="Employee Measures" count="0"/>
    <cacheHierarchy uniqueName="[Measures].[FTE]" caption="FTE" measure="1" displayFolder="" count="0"/>
    <cacheHierarchy uniqueName="[Measures].[CHF / Employee]" caption="CHF / Employee" measure="1" displayFolder="Employee Measures" count="0"/>
    <cacheHierarchy uniqueName="[Measures].[Hours / Employee]" caption="Hours / Employee" measure="1" displayFolder="Employee Measures" measureGroup="Trimaran" count="0"/>
    <cacheHierarchy uniqueName="[Measures].[mio CHF]" caption="mio CHF" measure="1" displayFolder="Calculated Measures" count="0"/>
    <cacheHierarchy uniqueName="[Measures].[Employee Net Entries/Exits]" caption="Employee Net Entries/Exits" measure="1" displayFolder="Employee Measures" count="0"/>
    <cacheHierarchy uniqueName="[Measures].[mio EUR]" caption="mio EUR" measure="1" displayFolder="Calculated Measures" count="0"/>
    <cacheHierarchy uniqueName="[Measures].[k CHF]" caption="k CHF" measure="1" displayFolder="" count="0"/>
    <cacheHierarchy uniqueName="[Measures].[k EUR]" caption="k EUR" measure="1" displayFolder="" count="0"/>
    <cacheHierarchy uniqueName="[Measures].[B Utilisation]" caption="B Utilisation" measure="1" displayFolder="Utilisation Measures" count="0"/>
    <cacheHierarchy uniqueName="[Measures].[C Utilisation]" caption="C Utilisation" measure="1" displayFolder="Utilisation Measures" count="0"/>
    <cacheHierarchy uniqueName="[Measures].[A Utilisation]" caption="A Utilisation" measure="1" displayFolder="Utilisation Measures" count="0"/>
    <cacheHierarchy uniqueName="[Measures].[Utilisation Signal]" caption="Utilisation Signal" measure="1" displayFolder="Utilisation Measures" count="0"/>
    <cacheHierarchy uniqueName="[Measures].[B Utilisation Signal]" caption="B Utilisation Signal" measure="1" displayFolder="Utilisation Measures" count="0"/>
    <cacheHierarchy uniqueName="[Measures].[A Utilisation Signal]" caption="A Utilisation Signal" measure="1" displayFolder="Utilisation Measures" count="0"/>
    <cacheHierarchy uniqueName="[Measures].[C Utilisation Signal]" caption="C Utilisation Signal" measure="1" displayFolder="Utilisation Measures" count="0"/>
    <cacheHierarchy uniqueName="[Measures].[Hourly rate CHF]" caption="Hourly rate CHF" measure="1" displayFolder="Calculated Measures" count="0"/>
    <cacheHierarchy uniqueName="[Measures].[Expected hours (internal)]" caption="Expected hours (internal)" measure="1" displayFolder="Calculated Measures" count="0"/>
    <cacheHierarchy uniqueName="[Measures].[Open hours (internal)]" caption="Open hours (internal)" measure="1" displayFolder="Calculated Measures" count="0"/>
    <cacheHierarchy uniqueName="[Measures].[Open Revenue CHF]" caption="Open Revenue CHF" measure="1" displayFolder="Calculated Measures" count="0"/>
    <cacheHierarchy uniqueName="[Measures].[Open Revenue EUR]" caption="Open Revenue EUR" measure="1" displayFolder="Calculated Measures" count="0"/>
    <cacheHierarchy uniqueName="[Measures].[Hourly rate EUR]" caption="Hourly rate EUR" measure="1" displayFolder="Calculated Measures" count="0"/>
    <cacheHierarchy uniqueName="[Measures].[Utilisation]" caption="Utilisation" measure="1" displayFolder="Utilisation Measures" count="0"/>
    <cacheHierarchy uniqueName="[Measures].[Order Entry CHF]" caption="Order Entry CHF" measure="1" displayFolder="Calculated Measures" measureGroup="Trimaran" count="0"/>
    <cacheHierarchy uniqueName="[Measures].[Order Entry k CHF]" caption="Order Entry k CHF" measure="1" displayFolder="" count="0"/>
    <cacheHierarchy uniqueName="[Measures].[Order Entry EUR]" caption="Order Entry EUR" measure="1" displayFolder="Calculated Measures" measureGroup="Trimaran" count="0"/>
    <cacheHierarchy uniqueName="[Measures].[Order Entry k EUR]" caption="Order Entry k EUR" measure="1" displayFolder="" count="0"/>
    <cacheHierarchy uniqueName="[Measures].[Order Entry Weight CHF]" caption="Order Entry Weight CHF" measure="1" displayFolder="Opportunity Measures" measureGroup="Trimaran" count="0"/>
    <cacheHierarchy uniqueName="[Measures].[Order Entry Weight k CHF]" caption="Order Entry Weight k CHF" measure="1" displayFolder="Opportunity Measures" measureGroup="Trimaran" count="0"/>
    <cacheHierarchy uniqueName="[Measures].[Order Entry Weight EUR]" caption="Order Entry Weight EUR" measure="1" displayFolder="Opportunity Measures" measureGroup="Trimaran" count="0"/>
    <cacheHierarchy uniqueName="[Measures].[Order Entry Weight k EUR]" caption="Order Entry Weight k EUR" measure="1" displayFolder="Opportunity Measures" measureGroup="Trimaran" count="0"/>
    <cacheHierarchy uniqueName="[Measures].[Revenue % of Order Entry]" caption="Revenue % of Order Entry" measure="1" displayFolder="Calculated Measures" measureGroup="Trimaran" count="0"/>
    <cacheHierarchy uniqueName="[Measures].[Probability]" caption="Probability" measure="1" displayFolder="Opportunity Measures" count="0"/>
    <cacheHierarchy uniqueName="[Measures].[CHF_Measure]" caption="CHF_Measure" measure="1" displayFolder="" measureGroup="Trimaran" count="0" hidden="1"/>
    <cacheHierarchy uniqueName="[Measures].[EUR_Measure]" caption="EUR_Measure" measure="1" displayFolder="" measureGroup="Trimaran" count="0" hidden="1"/>
    <cacheHierarchy uniqueName="[Measures].[Hours_Measure]" caption="Hours_Measure" measure="1" displayFolder="" measureGroup="Trimaran" count="0" hidden="1"/>
    <cacheHierarchy uniqueName="[Measures].[RegularWorkingHours_Measure]" caption="RegularWorkingHours_Measure" measure="1" displayFolder="" measureGroup="Trimaran" count="0" hidden="1"/>
    <cacheHierarchy uniqueName="[Measures].[FTE_Measure]" caption="FTE_Measure" measure="1" displayFolder="" measureGroup="Trimaran" count="0" hidden="1"/>
    <cacheHierarchy uniqueName="[Measures].[Expected Revenue CHF_Measure]" caption="Expected Revenue CHF_Measure" measure="1" displayFolder="" measureGroup="Trimaran" count="0" hidden="1"/>
    <cacheHierarchy uniqueName="[Measures].[Expected Revenue EUR_Measure]" caption="Expected Revenue EUR_Measure" measure="1" displayFolder="" measureGroup="Trimaran" count="0" hidden="1"/>
    <cacheHierarchy uniqueName="[Measures].[Level A Hours]" caption="Level A Hours" measure="1" displayFolder="" measureGroup="Trimaran" count="0" hidden="1"/>
    <cacheHierarchy uniqueName="[Measures].[Level B Hours]" caption="Level B Hours" measure="1" displayFolder="" measureGroup="Trimaran" count="0" hidden="1"/>
    <cacheHierarchy uniqueName="[Measures].[Level C Hours]" caption="Level C Hours" measure="1" displayFolder="" measureGroup="Trimaran" count="0" hidden="1"/>
    <cacheHierarchy uniqueName="[Measures].[Total Access]" caption="Total Access" measure="1" displayFolder="" measureGroup="Trimaran" count="0" hidden="1"/>
    <cacheHierarchy uniqueName="[Measures].[Limited Access]" caption="Limited Access" measure="1" displayFolder="" measureGroup="Trimaran" count="0" hidden="1"/>
    <cacheHierarchy uniqueName="[Measures].[Expected Revenue Weight CHF_Measure]" caption="Expected Revenue Weight CHF_Measure" measure="1" displayFolder="Opportunity Measures" measureGroup="Trimaran" count="0" hidden="1"/>
    <cacheHierarchy uniqueName="[Measures].[Expected Revenue Weight EUR_Measure]" caption="Expected Revenue Weight EUR_Measure" measure="1" displayFolder="Opportunity Measures" measureGroup="Trimaran" count="0" hidden="1"/>
  </cacheHierarchies>
  <kpis count="0"/>
  <extLst>
    <ext xmlns:x14="http://schemas.microsoft.com/office/spreadsheetml/2009/9/main" uri="{725AE2AE-9491-48be-B2B4-4EB974FC3084}">
      <x14:pivotCacheDefinition slicerData="1" pivotCacheId="1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Orderselection" cacheId="1" applyNumberFormats="0" applyBorderFormats="0" applyFontFormats="0" applyPatternFormats="0" applyAlignmentFormats="0" applyWidthHeightFormats="1" dataCaption="Values" tag=" +[@AM:!3&lt;{]" updatedVersion="4" minRefreshableVersion="3" subtotalHiddenItems="1" itemPrintTitles="1" createdVersion="4" indent="0" outline="1" outlineData="1" multipleFieldFilters="0" fieldListSortAscending="1">
  <location ref="R12" firstHeaderRow="0" firstDataRow="0" firstDataCol="0" rowPageCount="1" colPageCount="1"/>
  <pivotFields count="1">
    <pivotField axis="axisPage" allDrilled="1" showAll="0" dataSourceSort="1" defaultAttributeDrillState="1">
      <items count="1">
        <item t="default"/>
      </items>
    </pivotField>
  </pivotFields>
  <pageFields count="1">
    <pageField fld="0" hier="76" name="[Order].[Order].&amp;[BDS/PSR Release [5027077]]]" cap="BDS/PSR Release [5027077]"/>
  </pageFields>
  <formats count="5">
    <format dxfId="131">
      <pivotArea field="0" type="button" dataOnly="0" labelOnly="1" outline="0" axis="axisPage" fieldPosition="0"/>
    </format>
    <format dxfId="130">
      <pivotArea dataOnly="0" labelOnly="1" outline="0" fieldPosition="0">
        <references count="1">
          <reference field="0" count="0"/>
        </references>
      </pivotArea>
    </format>
    <format dxfId="129">
      <pivotArea dataOnly="0" labelOnly="1" outline="0" fieldPosition="0">
        <references count="1">
          <reference field="0" count="0"/>
        </references>
      </pivotArea>
    </format>
    <format dxfId="128">
      <pivotArea field="0" type="button" dataOnly="0" labelOnly="1" outline="0" axis="axisPage" fieldPosition="0"/>
    </format>
    <format dxfId="127">
      <pivotArea type="all" dataOnly="0" outline="0" fieldPosition="0"/>
    </format>
  </formats>
  <pivotHierarchies count="28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Order].[Order].&amp;[BDS/PSR Release [5027077]]]"/>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TRIMARANmonthly" cacheId="2" applyNumberFormats="0" applyBorderFormats="0" applyFontFormats="0" applyPatternFormats="0" applyAlignmentFormats="0" applyWidthHeightFormats="1" dataCaption="Values" tag=" +[@$$]m!$|[]" updatedVersion="4" minRefreshableVersion="3" useAutoFormatting="1" subtotalHiddenItems="1" itemPrintTitles="1" createdVersion="4" indent="0" outline="1" outlineData="1" multipleFieldFilters="0" fieldListSortAscending="1">
  <location ref="G9:J18" firstHeaderRow="0" firstDataRow="1" firstDataCol="1" rowPageCount="3" colPageCount="1"/>
  <pivotFields count="16">
    <pivotField axis="axisPage" allDrilled="1" showAll="0" dataSourceSort="1" defaultAttributeDrillState="1">
      <items count="1">
        <item t="default"/>
      </items>
    </pivotField>
    <pivotField dataField="1" showAll="0"/>
    <pivotField allDrilled="1" showAll="0" dataSourceSort="1" defaultAttributeDrillState="1">
      <items count="2">
        <item x="0"/>
        <item t="default"/>
      </items>
    </pivotField>
    <pivotField axis="axisRow" allDrilled="1" showAll="0" dataSourceSort="1" defaultAttributeDrillState="1">
      <items count="4">
        <item x="0"/>
        <item x="1"/>
        <item x="2"/>
        <item t="default"/>
      </items>
    </pivotField>
    <pivotField showAll="0" dataSourceSort="1" defaultSubtotal="0" showPropTip="1"/>
    <pivotField showAll="0" dataSourceSort="1" defaultSubtotal="0" showPropTip="1"/>
    <pivotField showAll="0" dataSourceSort="1" defaultSubtotal="0" showPropTip="1"/>
    <pivotField showAll="0" dataSourceSort="1" defaultSubtotal="0" showPropTip="1"/>
    <pivotField dataField="1" showAll="0"/>
    <pivotField dataField="1" showAll="0"/>
    <pivotField compact="0" allDrilled="1" showAll="0" dataSourceSort="1" defaultAttributeDrillState="1">
      <items count="2">
        <item s="1" x="0"/>
        <item t="default"/>
      </items>
    </pivotField>
    <pivotField showAll="0" dataSourceSort="1" defaultSubtotal="0" showPropTip="1"/>
    <pivotField axis="axisRow" allDrilled="1" showAll="0" dataSourceSort="1" defaultAttributeDrillState="1">
      <items count="4">
        <item x="0"/>
        <item x="1"/>
        <item x="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s>
  <rowFields count="2">
    <field x="3"/>
    <field x="12"/>
  </rowFields>
  <rowItems count="9">
    <i>
      <x/>
    </i>
    <i r="1">
      <x/>
    </i>
    <i r="1">
      <x v="1"/>
    </i>
    <i r="1">
      <x v="2"/>
    </i>
    <i>
      <x v="1"/>
    </i>
    <i r="1">
      <x v="1"/>
    </i>
    <i>
      <x v="2"/>
    </i>
    <i r="1">
      <x v="1"/>
    </i>
    <i t="grand">
      <x/>
    </i>
  </rowItems>
  <colFields count="1">
    <field x="-2"/>
  </colFields>
  <colItems count="3">
    <i>
      <x/>
    </i>
    <i i="1">
      <x v="1"/>
    </i>
    <i i="2">
      <x v="2"/>
    </i>
  </colItems>
  <pageFields count="3">
    <pageField fld="0" hier="76" name="[Order].[Order].&amp;[BDS/PSR Release [5027077]]]" cap="BDS/PSR Release [5027077]"/>
    <pageField fld="13" hier="124" name="[Service].[Charging].&amp;[Chargeable]" cap="Chargeable"/>
    <pageField fld="14" hier="3" name="[Account].[Account Main Group].&amp;[100 Erträge]" cap="100 Erträge"/>
  </pageFields>
  <dataFields count="3">
    <dataField fld="1" baseField="0" baseItem="0"/>
    <dataField fld="8" baseField="0" baseItem="0"/>
    <dataField fld="9" baseField="0" baseItem="0"/>
  </dataFields>
  <formats count="3">
    <format dxfId="5">
      <pivotArea type="all" dataOnly="0" outline="0" fieldPosition="0"/>
    </format>
    <format dxfId="4">
      <pivotArea type="all" dataOnly="0" outline="0" fieldPosition="0"/>
    </format>
    <format dxfId="3">
      <pivotArea type="all" dataOnly="0" outline="0" fieldPosition="0"/>
    </format>
  </formats>
  <pivotHierarchies count="285">
    <pivotHierarchy multipleItemSelectionAllowed="1">
      <mps count="1">
        <mp field="11"/>
      </mps>
      <members count="224" level="1">
        <member name="[Account].[Account].&amp;[-]"/>
        <member name="[Account].[Account].&amp;[40000 Löhne]"/>
        <member name="[Account].[Account].&amp;[41000 Miete]"/>
        <member name="[Account].[Account].&amp;[47200 Porti]"/>
        <member name="[Account].[Account].&amp;[42300 Skonti]"/>
        <member name="[Account].[Account].&amp;[47500 Spenden]"/>
        <member name="[Account].[Account].&amp;[40924 Inserate]"/>
        <member name="[Account].[Account].&amp;[47501 Beiträge]"/>
        <member name="[Account].[Account].&amp;[60010 Beratung]"/>
        <member name="[Account].[Account].&amp;[40026 Zielbonus]"/>
        <member name="[Account].[Account].&amp;[46001 Reinigung]"/>
        <member name="[Account].[Account].&amp;[60101 Umsatz TR]"/>
        <member name="[Account].[Account].&amp;[60104 Umsatz TA]"/>
        <member name="[Account].[Account].&amp;[60106 Umsatz IT]"/>
        <member name="[Account].[Account].&amp;[46002 Entsorgung]"/>
        <member name="[Account].[Account].&amp;[48313 Dekoration]"/>
        <member name="[Account].[Account].&amp;[49300 Delkredere]"/>
        <member name="[Account].[Account].&amp;[60102 Umsatz SOL]"/>
        <member name=""/>
        <member name="[Account].[Account].[All].UNKNOWNMEMBER"/>
        <member name="[Account].[Account].&amp;[40010 VR-Honorare]"/>
        <member name="[Account].[Account].&amp;[40020 Sonderbonus]"/>
        <member name="[Account].[Account].&amp;[40025 Umsatzbonus]"/>
        <member name="[Account].[Account].&amp;[40700 AHV, IV, EO]"/>
        <member name="[Account].[Account].&amp;[48000 Werbekosten]"/>
        <member name="[Account].[Account].&amp;[72000 Aktivzinsen]"/>
        <member name="[Account].[Account].&amp;[80101 TR Projekte]"/>
        <member name="[Account].[Account].&amp;[80104 TA Projekte]"/>
        <member name="[Account].[Account].&amp;[80106 IT Projekte]"/>
        <member name="[Account].[Account].&amp;[39000 Wareneinkauf]"/>
        <member name="[Account].[Account].&amp;[40022 OnCall-Bonus]"/>
        <member name="[Account].[Account].&amp;[43205 Benzinkosten]"/>
        <member name="[Account].[Account].&amp;[47000 Büromaterial]"/>
        <member name="[Account].[Account].&amp;[60080 Warenverkauf]"/>
        <member name="[Account].[Account].&amp;[80102 SOL Projekte]"/>
        <member name="[Account].[Account].&amp;[40028 Karrierebonus]"/>
        <member name="[Account].[Account].&amp;[60107 Umsatz Intern]"/>
        <member name="[Account].[Account].&amp;[76000 Ertragssteuer]"/>
        <member name="[Account].[Account].&amp;[76005 Gewerbesteuer]"/>
        <member name="[Account].[Account].&amp;[32000 Kursunterlagen]"/>
        <member name="[Account].[Account].&amp;[40023 Qualitätsbonus]"/>
        <member name="[Account].[Account].&amp;[48310 Repräsentation]"/>
        <member name="[Account].[Account].&amp;[49500 Kapitalsteuern]"/>
        <member name="[Account].[Account].&amp;[60035 Abgrenzung SLA]"/>
        <member name="[Account].[Account].&amp;[73110 Ertrag Anlagen]"/>
        <member name="[Account].[Account].&amp;[40037 Abgrenzung Boni]"/>
        <member name="[Account].[Account].&amp;[40922 Veranstaltungen]"/>
        <member name="[Account].[Account].&amp;[42000 Darlehenszinsen]"/>
        <member name="[Account].[Account].&amp;[43200 Transportkosten]"/>
        <member name="[Account].[Account].&amp;[48308 Übernachtung MA]"/>
        <member name="[Account].[Account].&amp;[49000 Übriger Aufwand]"/>
        <member name="[Account].[Account].&amp;[60090 Diverse Erträge]"/>
        <member name="[Account].[Account].&amp;[72002 Zinsen Darlehen]"/>
        <member name="[Account].[Account].&amp;[73100 Aufwand Anlagen]"/>
        <member name="[Account].[Account].&amp;[39010 SW-Lizenzeinkauf]"/>
        <member name="[Account].[Account].&amp;[40021 Zielbonus Aconto]"/>
        <member name="[Account].[Account].&amp;[48307 Bewirtungskosten]"/>
        <member name="[Account].[Account].&amp;[32010 Schulungsmaterial]"/>
        <member name="[Account].[Account].&amp;[39011 SW-Supporteinkauf]"/>
        <member name="[Account].[Account].&amp;[40003 Schwerbeh. Abgabe]"/>
        <member name="[Account].[Account].&amp;[40031 Zielbonus messbar]"/>
        <member name="[Account].[Account].&amp;[40033 Führungszielbonus]"/>
        <member name="[Account].[Account].&amp;[40910 Ausbildung Dritte]"/>
        <member name="[Account].[Account].&amp;[40930 Reisespesen Salär]"/>
        <member name="[Account].[Account].&amp;[47601 Übrige Beratungen]"/>
        <member name="[Account].[Account].&amp;[60109 Umsatz Intern SLA]"/>
        <member name="[Account].[Account].&amp;[2059600 Umlage Reg / Loc]"/>
        <member name="[Account].[Account].&amp;[40002 Direktversicherung]"/>
        <member name="[Account].[Account].&amp;[40027 SA-SO-Arbeitsbonus]"/>
        <member name="[Account].[Account].&amp;[40921 Sachbezug Salär DE]"/>
        <member name="[Account].[Account].&amp;[47305 Festnetz Telefonie]"/>
        <member name="[Account].[Account].&amp;[48300 Flug - Reisekosten]"/>
        <member name="[Account].[Account].&amp;[48320 Bahn - Reisekosten]"/>
        <member name="[Account].[Account].&amp;[60030 System-Controlling]"/>
        <member name="[Account].[Account].&amp;[60060 SW-Lizenzen fremde]"/>
        <member name="[Account].[Account].&amp;[60062 SW-Lizenzen eigene]"/>
        <member name="[Account].[Account].&amp;[60094 Diverse Erträge HR]"/>
        <member name="[Account].[Account].&amp;[76006 Körperschaftsteuer]"/>
        <member name="[Account].[Account].&amp;[32200 Fremdmiete Schulung]"/>
        <member name="[Account].[Account].&amp;[40016 Dienstjubiläen IFRS]"/>
        <member name="[Account].[Account].&amp;[40024 Consultingtagebonus]"/>
        <member name="[Account].[Account].&amp;[40032 Zielbonus bewertbar]"/>
        <member name="[Account].[Account].&amp;[40510 Berufliche Vorsorge]"/>
        <member name="[Account].[Account].&amp;[60011 Beratung Freelancer]"/>
        <member name="[Account].[Account].&amp;[60050 Spesenrückvergütung]"/>
        <member name="[Account].[Account].&amp;[72150 Wertschriftenertrag]"/>
        <member name="[Account].[Account].&amp;[76004 Sonst.Steuer+Gebühr]"/>
        <member name="[Account].[Account].&amp;[2059200 Mgtkosten verr. KG]"/>
        <member name="[Account].[Account].&amp;[38000 Fremdarbeiten Dritte]"/>
        <member name="[Account].[Account].&amp;[45000 Versicherungsprämien]"/>
        <member name="[Account].[Account].&amp;[48309 Übernachtung Externe]"/>
        <member name="[Account].[Account].&amp;[48311 Geschenke bis EUR 35]"/>
        <member name="[Account].[Account].&amp;[48312 Geschenke über EUR35]"/>
        <member name="[Account].[Account].&amp;[48508 Verpfl.Pausch. MA DE]"/>
        <member name="[Account].[Account].&amp;[60020 Verfügbarkeitsgebühr]"/>
        <member name="[Account].[Account].&amp;[71100 Wertschriftenaufwand]"/>
        <member name="[Account].[Account].&amp;[72300 Sonstiger Zinsertrag]"/>
        <member name="[Account].[Account].&amp;[40039 Lohnart EO Gutschrift]"/>
        <member name="[Account].[Account].&amp;[43130 IT Verbrauchsmaterial]"/>
        <member name="[Account].[Account].&amp;[47304  C-Kommunikation Data]"/>
        <member name="[Account].[Account].&amp;[47306 MA-Kommunikation Data]"/>
        <member name="[Account].[Account].&amp;[47910 verauslagte Kosten MA]"/>
        <member name="[Account].[Account].&amp;[60000 Erlös Schulung Dritte]"/>
        <member name="[Account].[Account].&amp;[60015 Abgrenzung Beratung  ]"/>
        <member name="[Account].[Account].&amp;[60070 Upgrade Rights fremde]"/>
        <member name="[Account].[Account].&amp;[60072 Upgrade Rights eigene]"/>
        <member name="[Account].[Account].&amp;[60096 Periodenfremder Erlös]"/>
        <member name="[Account].[Account].&amp;[60108 Erlös Schulung intern]"/>
        <member name="[Account].[Account].&amp;[71300 Sonstiger Zinsaufwand]"/>
        <member name="[Account].[Account].&amp;[40009 Aufwand Altersvorsorge]"/>
        <member name="[Account].[Account].&amp;[40931 Vertrauensspesen Salär]"/>
        <member name="[Account].[Account].&amp;[43203 KM-Geld Mitarbeiter DE]"/>
        <member name="[Account].[Account].&amp;[43204 Fremdfahrzeuge Leasing]"/>
        <member name="[Account].[Account].&amp;[47307 IT Service und Support]"/>
        <member name="[Account].[Account].&amp;[49501 Zinsabschlagsteuer  DE]"/>
        <member name="[Account].[Account].&amp;[40926 Coaching / Outplacement]"/>
        <member name="[Account].[Account].&amp;[40933 Sonstige Pauschalspesen]"/>
        <member name="[Account].[Account].&amp;[43100 Unterhalt Hardware &lt; 5K]"/>
        <member name="[Account].[Account].&amp;[43110 Unterhalt Software &lt; 5K]"/>
        <member name="[Account].[Account].&amp;[46000 Strom/Wasser/Entsorgung]"/>
        <member name="[Account].[Account].&amp;[49002 Periodenfremder Aufwand]"/>
        <member name="[Account].[Account].&amp;[49003 Betriebsfremder Aufwand]"/>
        <member name="[Account].[Account].&amp;[49502 SolZinsabschl.Steuer DE]"/>
        <member name="[Account].[Account].&amp;[60085 Abgrenzung Warenverkauf]"/>
        <member name="[Account].[Account].&amp;[72001 Aktivzinsen MA-Darlehen]"/>
        <member name="[Account].[Account].&amp;[76008 Körperschsteuer Vorjahr]"/>
        <member name="[Account].[Account].&amp;[32210 Bewirtung Kursteilnehmer]"/>
        <member name="[Account].[Account].&amp;[38011 Fremdarbeiten Freelancer]"/>
        <member name="[Account].[Account].&amp;[48503 Essen MA Salär ohne MWST]"/>
        <member name="[Account].[Account].&amp;[60065 Abgrenzung SW-Lizenzen  ]"/>
        <member name="[Account].[Account].&amp;[66500 Rabatte / Boni an Kunden]"/>
        <member name="[Account].[Account].&amp;[40029 Beratung Mettler / Toledo]"/>
        <member name="[Account].[Account].&amp;[40940 Spesen MA Salär ohne MWST]"/>
        <member name="[Account].[Account].&amp;[47300 Kommunikation - Telefonie]"/>
        <member name="[Account].[Account].&amp;[47600 Treuhand &amp; Rechtsberatung]"/>
        <member name="[Account].[Account].&amp;[48500 Auswärtige Verpflegung MA]"/>
        <member name="[Account].[Account].&amp;[66550 Auftragsabwicklungskosten]"/>
        <member name="[Account].[Account].&amp;[72050 Fusionsgewinn / -verlust ]"/>
        <member name="[Account].[Account].&amp;[76007 Sol.Z. Körperschaftsteuer]"/>
        <member name="[Account].[Account].&amp;[40500 Unfall- + KTG Versicherung]"/>
        <member name="[Account].[Account].&amp;[40920 Sonstiger Personal-Aufwand]"/>
        <member name="[Account].[Account].&amp;[42200 Bank-/PC-Zinsen und Spesen]"/>
        <member name="[Account].[Account].&amp;[43120 IT Reparatur/Wartung/Miete]"/>
        <member name="[Account].[Account].&amp;[47301 Telefon Salär MA ohne MWST]"/>
        <member name="[Account].[Account].&amp;[32020 Schulungsmaterial Microsoft]"/>
        <member name="[Account].[Account].&amp;[40005 pausch.LSt (inkl. Aushilfe)]"/>
        <member name="[Account].[Account].&amp;[40932 Mittagessenspauschale Salär]"/>
        <member name="[Account].[Account].&amp;[44200 Abschreibung auf Fahrzeugen]"/>
        <member name="[Account].[Account].&amp;[44260 Abschreibung auf SAP-System]"/>
        <member name="[Account].[Account].&amp;[48303 Repr. Kunde Salär ohne MWST]"/>
        <member name="[Account].[Account].&amp;[66600 Veränderung angef. Arbeiten]"/>
        <member name="[Account].[Account].&amp;[40008 Erhöhung Rückdeckung Pension]"/>
        <member name="[Account].[Account].&amp;[43000 Unterhalt, Reparatur, Ersatz]"/>
        <member name="[Account].[Account].&amp;[47100 Fachliteratur, Zeitschriften]"/>
        <member name="[Account].[Account].&amp;[73120 Kontrollkonto Anlagenabgänge]"/>
        <member name="[Account].[Account].&amp;[40911 Ausbildungsnebenkosten Dritte]"/>
        <member name="[Account].[Account].&amp;[40925 Rabatt auf Aktien (Zuteilung)]"/>
        <member name="[Account].[Account].&amp;[50910 Ausbildung verrechnet Konzern]"/>
        <member name="[Account].[Account].&amp;[44110 Abschreibung auf Einrichtungen]"/>
        <member name="[Account].[Account].&amp;[48501 Essen MA Salär 7.6% (50%) MWST]"/>
        <member name="[Account].[Account].&amp;[48502 Essen MA Salär 2.4% (50%) MWST]"/>
        <member name="[Account].[Account].&amp;[49400 Debitorenverluste/-minderungen]"/>
        <member name="[Account].[Account].&amp;[60098 Erlös KfZ Gestellung AG Anteil]"/>
        <member name="[Account].[Account].&amp;[60099 Erlös KfZ Gestellung AN Anteil]"/>
        <member name="[Account].[Account].&amp;[76001 Periodenfremde Ertragssteuern ]"/>
        <member name="[Account].[Account].&amp;[40941 Spesen MA Salär inkl. 7.6% MWST]"/>
        <member name="[Account].[Account].&amp;[40942 Spesen MA Salär inkl. 3.6% MWST]"/>
        <member name="[Account].[Account].&amp;[40946 Spesen MA Salär inkl. 2.4% MWST]"/>
        <member name="[Account].[Account].&amp;[43201 Transportkosten Salär ohne MWST]"/>
        <member name="[Account].[Account].&amp;[47916 verauslagte Spesen MA ohne MWST]"/>
        <member name="[Account].[Account].&amp;[48008 Konzeptkosten Marketing &amp; Comm.]"/>
        <member name="[Account].[Account].&amp;[76009 Sol.Z.Körperschafsteuer Vorjahr]"/>
        <member name="[Account].[Account].&amp;[40001 13. Gehalt inkl. mtl. Abgrenzung]"/>
        <member name="[Account].[Account].&amp;[40915 Vermittlungsgebühr Anstellung MA]"/>
        <member name="[Account].[Account].&amp;[47302 Telefon Salär MA inkl. 7.6% MWST]"/>
        <member name="[Account].[Account].&amp;[48003 Verlags-Kosten Marketing &amp; Comm.]"/>
        <member name="[Account].[Account].&amp;[48004 Post &amp; Versand Marketing &amp; Comm.]"/>
        <member name="[Account].[Account].&amp;[48006 Materialkosten Marketing &amp; Comm.]"/>
        <member name="[Account].[Account].&amp;[49200 Aufwand aus Rechtsstreitigkeiten]"/>
        <member name="[Account].[Account].&amp;[49550 Sonstiger Finanzaufwand/-ertrag.]"/>
        <member name="[Account].[Account].&amp;[60005 Abgrenzung Erlös Schulung Dritte]"/>
        <member name="[Account].[Account].&amp;[60045 Abgrenzung FlexSourcing-Wartung ]"/>
        <member name="[Account].[Account].&amp;[40007 Beiträge Rückdeckungsversicherung]"/>
        <member name="[Account].[Account].&amp;[40038 KTG/UV-TG Gutschrift Versicherung]"/>
        <member name="[Account].[Account].&amp;[43115 Soforabschreibung GWG bis EUR 410]"/>
        <member name="[Account].[Account].&amp;[48304 Repr. Kunde Salär inkl. 7.6% MWST]"/>
        <member name="[Account].[Account].&amp;[48305 Repr. Kunde Salär inkl. 3.6% MWST]"/>
        <member name="[Account].[Account].&amp;[48306 Repr. Kunde Salär inkl. 2.4% MWST]"/>
        <member name="[Account].[Account].&amp;[49503 Sonstige Steuern / Stempelabgaben]"/>
        <member name="[Account].[Account].&amp;[60075 Abgrenzung Update-Rights-Wartung ]"/>
        <member name="[Account].[Account].&amp;[44290 Abschreibung auf Software-Lizenzen]"/>
        <member name="[Account].[Account].&amp;[48001 Beratungs-Kosten Marketing &amp; Comm.]"/>
        <member name="[Account].[Account].&amp;[48005 Druckerei-Kosten Marketing &amp; Comm.]"/>
        <member name="[Account].[Account].&amp;[72110 Dividenden + Zinserträge(Obl. +FG)]"/>
        <member name="[Account].[Account].&amp;[44100 Abschreibung auf Mobiliar, Maschinen]"/>
        <member name="[Account].[Account].&amp;[47900 Übriger Büro- und Verwaltungsaufwand]"/>
        <member name="[Account].[Account].&amp;[48009 Übersetzungskosten Marketing &amp; Comm.]"/>
        <member name="[Account].[Account].&amp;[60052 Verr.sonst.Sachbez. 19% (Hotel/Früh)]"/>
        <member name="[Account].[Account].&amp;[40012 Steuerpflichtige Lohnbestandteil (GA)]"/>
        <member name="[Account].[Account].&amp;[40943 Spesen MA Salär inkl. 2.4% (50%) MWST]"/>
        <member name="[Account].[Account].&amp;[40945 Spesen MA Salär inkl. 7.5% (50%) MWST]"/>
        <member name="[Account].[Account].&amp;[43202 Transportkosten Salär inkl. 7.6% MWST]"/>
        <member name="[Account].[Account].&amp;[47911 verauslagte Spesen MA inkl. 7.6% MWST]"/>
        <member name="[Account].[Account].&amp;[47912 verauslagte Spesen MA inkl. 3.6% MWST]"/>
        <member name="[Account].[Account].&amp;[49101 Periodenfremder Aufwand Ertragssteuern]"/>
        <member name="[Account].[Account].&amp;[48007 Veranstaltungs-Kosten Marketing &amp; Comm.]"/>
        <member name="[Account].[Account].&amp;[48301 Repr. Kunde Salär inkl. 7.6% (50%) MWST]"/>
        <member name="[Account].[Account].&amp;[48302 Repr. Kunde Salär inkl. 2.4% (50%) MWST]"/>
        <member name="[Account].[Account].&amp;[71150 Aufwand Verbindlichkeiten Aktionäre ABP]"/>
        <member name="[Account].[Account].&amp;[72200 Ertrag aus realisierten Kursdifferenzen]"/>
        <member name="[Account].[Account].&amp;[43101 Unterhalt HW &lt; 5K IFRS (aus Anlage-BuHa)]"/>
        <member name="[Account].[Account].&amp;[43111 Unterhalt SW &lt; 5K IFRS (aus Anlage-BuHa)]"/>
        <member name="[Account].[Account].&amp;[44150 Abschreibung auf Computeranlage Hardware]"/>
        <member name="[Account].[Account].&amp;[44160 Abschreibung auf Computeranlage Software]"/>
        <member name="[Account].[Account].&amp;[48002 Hotels&amp;Catering-Kosten Marketing &amp; Comm.]"/>
        <member name="[Account].[Account].&amp;[71200 Aufwand aus realisierten Kursdifferenzen]"/>
        <member name="[Account].[Account].&amp;[40501 UVG/KTG Überschussbeteiligung periodenfremd]"/>
        <member name="[Account].[Account].&amp;[40006 Lohnnebenkosten Dienstgeber inkl. Kommunalst]"/>
        <member name="[Account].[Account].&amp;[43001 Unterhalt, Rep., Ersatz IFRS (aus Anlage-BuH]"/>
        <member name="[Account].[Account].&amp;[49001 nicht abzugsfähiger Betr. Aufwand (s.Bew.Ko.]"/>
        <member name="[Account].[Account].&amp;[71210 Aufwand aus nicht-realisierten Kursdifferenz]"/>
        <member name="[Account].[Account].&amp;[72210 Ertrag aus nicht-realisierten Kursdifferenze]"/>
        <member name="[Account].[Account].&amp;[72298 Ertrag nicht-realis.Kursdifferenzen offene P]"/>
        <member name="[Account].[Account].&amp;[72299 Ertrag nicht-realis.Kursdifferenzen offene P]"/>
      </members>
    </pivotHierarchy>
    <pivotHierarchy/>
    <pivotHierarchy/>
    <pivotHierarchy>
      <mps count="1">
        <mp field="1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Order].[Order].&amp;[BDS/PSR Release [5027077]]]"/>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4">
        <mp field="4"/>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aptionNotEqual" evalOrder="-1" id="1" stringValue1="0">
      <autoFilter ref="A1">
        <filterColumn colId="0">
          <customFilters>
            <customFilter operator="notEqual" val="0"/>
          </customFilters>
        </filterColumn>
      </autoFilter>
    </filter>
  </filters>
  <rowHierarchiesUsage count="2">
    <rowHierarchyUsage hierarchyUsage="114"/>
    <rowHierarchyUsage hierarchyUsage="10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3.xml><?xml version="1.0" encoding="utf-8"?>
<pivotTableDefinition xmlns="http://schemas.openxmlformats.org/spreadsheetml/2006/main" name="TRIMARANweekly" cacheId="0" applyNumberFormats="0" applyBorderFormats="0" applyFontFormats="0" applyPatternFormats="0" applyAlignmentFormats="0" applyWidthHeightFormats="1" dataCaption="Values" tag=" +[@$$]m!$|[]" updatedVersion="4" minRefreshableVersion="3" useAutoFormatting="1" subtotalHiddenItems="1" itemPrintTitles="1" createdVersion="4" indent="0" outline="1" outlineData="1" multipleFieldFilters="0" fieldListSortAscending="1">
  <location ref="M9:P24" firstHeaderRow="0" firstDataRow="1" firstDataCol="1" rowPageCount="3" colPageCount="1"/>
  <pivotFields count="10">
    <pivotField axis="axisPage" allDrilled="1" showAll="0" dataSourceSort="1" defaultAttributeDrillState="1">
      <items count="1">
        <item t="default"/>
      </items>
    </pivotField>
    <pivotField dataField="1" showAll="0"/>
    <pivotField allDrilled="1" showAll="0" dataSourceSort="1" defaultAttributeDrillState="1">
      <items count="2">
        <item x="0"/>
        <item t="default"/>
      </items>
    </pivotField>
    <pivotField dataField="1" showAll="0"/>
    <pivotField dataField="1" showAll="0"/>
    <pivotField axis="axisRow" allDrilled="1" showAll="0" dataSourceSort="1" defaultAttributeDrillState="1">
      <items count="4">
        <item x="0"/>
        <item x="1"/>
        <item x="2"/>
        <item t="default"/>
      </items>
    </pivotField>
    <pivotField axis="axisPage" allDrilled="1" showAll="0" dataSourceSort="1" defaultAttributeDrillState="1">
      <items count="1">
        <item t="default"/>
      </items>
    </pivotField>
    <pivotField axis="axisRow" allDrilled="1" showAll="0" dataSourceSort="1" defaultAttributeDrillState="1">
      <items count="7">
        <item x="0"/>
        <item x="1"/>
        <item x="2"/>
        <item x="3"/>
        <item x="4"/>
        <item x="5"/>
        <item t="default"/>
      </items>
    </pivotField>
    <pivotField axis="axisPage" allDrilled="1" showAll="0" dataSourceSort="1" defaultAttributeDrillState="1">
      <items count="1">
        <item t="default"/>
      </items>
    </pivotField>
    <pivotField showAll="0" dataSourceSort="1" defaultSubtotal="0" showPropTip="1"/>
  </pivotFields>
  <rowFields count="2">
    <field x="7"/>
    <field x="5"/>
  </rowFields>
  <rowItems count="15">
    <i>
      <x/>
    </i>
    <i r="1">
      <x/>
    </i>
    <i r="1">
      <x v="1"/>
    </i>
    <i r="1">
      <x v="2"/>
    </i>
    <i>
      <x v="1"/>
    </i>
    <i r="1">
      <x v="1"/>
    </i>
    <i>
      <x v="2"/>
    </i>
    <i r="1">
      <x v="1"/>
    </i>
    <i>
      <x v="3"/>
    </i>
    <i r="1">
      <x v="1"/>
    </i>
    <i>
      <x v="4"/>
    </i>
    <i r="1">
      <x v="1"/>
    </i>
    <i>
      <x v="5"/>
    </i>
    <i r="1">
      <x v="1"/>
    </i>
    <i t="grand">
      <x/>
    </i>
  </rowItems>
  <colFields count="1">
    <field x="-2"/>
  </colFields>
  <colItems count="3">
    <i>
      <x/>
    </i>
    <i i="1">
      <x v="1"/>
    </i>
    <i i="2">
      <x v="2"/>
    </i>
  </colItems>
  <pageFields count="3">
    <pageField fld="0" hier="76" name="[Order].[Order].&amp;[BDS/PSR Release [5027077]]]" cap="BDS/PSR Release [5027077]"/>
    <pageField fld="6" hier="124" name="[Service].[Charging].&amp;[Chargeable]" cap="Chargeable"/>
    <pageField fld="8" hier="3" name="[Account].[Account Main Group].&amp;[100 Erträge]" cap="100 Erträge"/>
  </pageFields>
  <dataFields count="3">
    <dataField fld="1" baseField="0" baseItem="0"/>
    <dataField fld="3" baseField="0" baseItem="0"/>
    <dataField fld="4" baseField="0" baseItem="0"/>
  </dataFields>
  <formats count="3">
    <format dxfId="8">
      <pivotArea type="all" dataOnly="0" outline="0" fieldPosition="0"/>
    </format>
    <format dxfId="7">
      <pivotArea type="all" dataOnly="0" outline="0" fieldPosition="0"/>
    </format>
    <format dxfId="6">
      <pivotArea type="all" dataOnly="0" outline="0" fieldPosition="0"/>
    </format>
  </formats>
  <pivotHierarchies count="285">
    <pivotHierarchy multipleItemSelectionAllowed="1"/>
    <pivotHierarchy/>
    <pivotHierarchy/>
    <pivotHierarchy>
      <mps count="1">
        <mp field="9"/>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Order].[Order].&amp;[BDS/PSR Release [5027077]]]"/>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aptionNotEqual" evalOrder="-1" id="1" stringValue1="0">
      <autoFilter ref="A1">
        <filterColumn colId="0">
          <customFilters>
            <customFilter operator="notEqual" val="0"/>
          </customFilters>
        </filterColumn>
      </autoFilter>
    </filter>
  </filters>
  <rowHierarchiesUsage count="2">
    <rowHierarchyUsage hierarchyUsage="119"/>
    <rowHierarchyUsage hierarchyUsage="10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 sourceName="[Order].[Order]">
  <pivotTables>
    <pivotTable tabId="57" name="TRIMARANmonthly"/>
    <pivotTable tabId="57" name="TRIMARANweekly"/>
    <pivotTable tabId="43" name="Orderselection"/>
  </pivotTables>
  <data>
    <olap pivotCacheId="15">
      <levels count="2">
        <level uniqueName="[Order].[Order].[(All)]" sourceCaption="(All)" count="0"/>
        <level uniqueName="[Order].[Order].[Order]" sourceCaption="Order" count="1">
          <ranges>
            <range startItem="0">
              <i n="[Order].[Order].&amp;[BDS/PSR Release [5027077]]]" c="BDS/PSR Release [5027077]"/>
            </range>
          </ranges>
        </level>
      </levels>
      <selections count="1">
        <selection n="[Order].[Order].&amp;[BDS/PSR Release [5027077]]]"/>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cache="Slicer_Order" caption="Please select corresponding SAP project" level="1"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package" Target="../embeddings/Microsoft_Word_Document1.doc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ustomProperty" Target="../customProperty2.bin"/><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7.bin"/><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8.bin"/><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9.bin"/><Relationship Id="rId1" Type="http://schemas.openxmlformats.org/officeDocument/2006/relationships/printerSettings" Target="../printerSettings/printerSettings9.bin"/><Relationship Id="rId6" Type="http://schemas.openxmlformats.org/officeDocument/2006/relationships/comments" Target="../comments7.xml"/><Relationship Id="rId5" Type="http://schemas.openxmlformats.org/officeDocument/2006/relationships/ctrlProp" Target="../ctrlProps/ctrlProp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11.bin"/><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5.bin"/><Relationship Id="rId1" Type="http://schemas.openxmlformats.org/officeDocument/2006/relationships/printerSettings" Target="../printerSettings/printerSettings15.bin"/><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package" Target="../embeddings/Microsoft_Word_Document3.docx"/><Relationship Id="rId13" Type="http://schemas.openxmlformats.org/officeDocument/2006/relationships/ctrlProp" Target="../ctrlProps/ctrlProp5.xml"/><Relationship Id="rId3" Type="http://schemas.openxmlformats.org/officeDocument/2006/relationships/drawing" Target="../drawings/drawing19.xml"/><Relationship Id="rId7" Type="http://schemas.openxmlformats.org/officeDocument/2006/relationships/image" Target="../media/image3.emf"/><Relationship Id="rId12" Type="http://schemas.openxmlformats.org/officeDocument/2006/relationships/ctrlProp" Target="../ctrlProps/ctrlProp4.xml"/><Relationship Id="rId2" Type="http://schemas.openxmlformats.org/officeDocument/2006/relationships/customProperty" Target="../customProperty18.bin"/><Relationship Id="rId1" Type="http://schemas.openxmlformats.org/officeDocument/2006/relationships/printerSettings" Target="../printerSettings/printerSettings18.bin"/><Relationship Id="rId6" Type="http://schemas.openxmlformats.org/officeDocument/2006/relationships/package" Target="../embeddings/Microsoft_Word_Document2.docx"/><Relationship Id="rId11" Type="http://schemas.openxmlformats.org/officeDocument/2006/relationships/image" Target="../media/image5.emf"/><Relationship Id="rId5" Type="http://schemas.openxmlformats.org/officeDocument/2006/relationships/vmlDrawing" Target="../drawings/vmlDrawing11.vml"/><Relationship Id="rId15" Type="http://schemas.openxmlformats.org/officeDocument/2006/relationships/ctrlProp" Target="../ctrlProps/ctrlProp7.xml"/><Relationship Id="rId10" Type="http://schemas.openxmlformats.org/officeDocument/2006/relationships/package" Target="../embeddings/Microsoft_Word_Document4.docx"/><Relationship Id="rId4" Type="http://schemas.openxmlformats.org/officeDocument/2006/relationships/vmlDrawing" Target="../drawings/vmlDrawing10.vml"/><Relationship Id="rId9" Type="http://schemas.openxmlformats.org/officeDocument/2006/relationships/image" Target="../media/image4.emf"/><Relationship Id="rId1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customProperty" Target="../customProperty19.bin"/><Relationship Id="rId1" Type="http://schemas.openxmlformats.org/officeDocument/2006/relationships/printerSettings" Target="../printerSettings/printerSettings19.bin"/><Relationship Id="rId6" Type="http://schemas.openxmlformats.org/officeDocument/2006/relationships/ctrlProp" Target="../ctrlProps/ctrlProp8.xml"/><Relationship Id="rId5" Type="http://schemas.openxmlformats.org/officeDocument/2006/relationships/vmlDrawing" Target="../drawings/vmlDrawing13.v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8" Type="http://schemas.openxmlformats.org/officeDocument/2006/relationships/hyperlink" Target="https://intranet.trivadis.com/svn/tvd/ctodoc/trunk/PBS/Infrastructure/Templates/Templates%20deutsch/TVD_Template_ChangeRequestForm_de.docx" TargetMode="External"/><Relationship Id="rId13" Type="http://schemas.openxmlformats.org/officeDocument/2006/relationships/hyperlink" Target="https://intranet.trivadis.com/svn/tvd/ctodoc/trunk/PBS/Infrastructure/Templates/Templates%20deutsch/TVD_Template_Testplan_de.xlsx" TargetMode="External"/><Relationship Id="rId18" Type="http://schemas.openxmlformats.org/officeDocument/2006/relationships/hyperlink" Target="https://intranet.trivadis.com/svn/tvd/ctodoc/trunk/PBS/Infrastructure/Templates/Templates%20english/TVD_Template_StakeholderRegister_en.xlsx" TargetMode="External"/><Relationship Id="rId26" Type="http://schemas.openxmlformats.org/officeDocument/2006/relationships/hyperlink" Target="https://intranet.trivadis.com/svn/tvd/ctodoc/trunk/PBS/Infrastructure/Templates/Templates%20english/TVD_Template_AcceptanceProtocol_en.docx" TargetMode="External"/><Relationship Id="rId3" Type="http://schemas.openxmlformats.org/officeDocument/2006/relationships/hyperlink" Target="https://intranet.trivadis.com/svn/tvd/ctodoc/trunk/PBS/Infrastructure/Templates/Templates%20deutsch/TVD_Template_StakeholderRegister_de.xlsx" TargetMode="External"/><Relationship Id="rId21" Type="http://schemas.openxmlformats.org/officeDocument/2006/relationships/hyperlink" Target="https://intranet.trivadis.com/trialog/community/knowhow/pb/bid-management" TargetMode="External"/><Relationship Id="rId7" Type="http://schemas.openxmlformats.org/officeDocument/2006/relationships/hyperlink" Target="https://intranet.trivadis.com/svn/tvd/ctodoc/trunk/PBS/Infrastructure/Templates/Templates%20deutsch/TVD_Template_MeetingMinutes_de.docx" TargetMode="External"/><Relationship Id="rId12" Type="http://schemas.openxmlformats.org/officeDocument/2006/relationships/hyperlink" Target="https://intranet.trivadis.com/svn/tvd/ctodoc/trunk/PBS/Infrastructure/Templates/Templates%20deutsch/TVD_Template_TestConcept_de.docx" TargetMode="External"/><Relationship Id="rId17" Type="http://schemas.openxmlformats.org/officeDocument/2006/relationships/hyperlink" Target="https://intranet.trivadis.com/svn/tvd/ctodoc/trunk/PBS/Infrastructure/Templates/Templates%20english/TVD_Template_StatusReport_en.docx" TargetMode="External"/><Relationship Id="rId25" Type="http://schemas.openxmlformats.org/officeDocument/2006/relationships/hyperlink" Target="https://intranet.trivadis.com/svn/tvd/ctodoc/trunk/PBS/Infrastructure/Templates/Templates%20english/TVD_Template_ProjectCloseOut_en.docx" TargetMode="External"/><Relationship Id="rId2" Type="http://schemas.openxmlformats.org/officeDocument/2006/relationships/hyperlink" Target="https://intranet.trivadis.com/wiki/bin/view/OrderProcessing/OrderProcessingXM" TargetMode="External"/><Relationship Id="rId16" Type="http://schemas.openxmlformats.org/officeDocument/2006/relationships/hyperlink" Target="https://intranet.trivadis.com/wiki/pub/Operations/BidManagement/20091008_-_Projektqualit%e4tssicherungsplan_V1.docx" TargetMode="External"/><Relationship Id="rId20" Type="http://schemas.openxmlformats.org/officeDocument/2006/relationships/hyperlink" Target="https://intranet.trivadis.com/svn/tvd/ctodoc/trunk/PBS/Infrastructure/Templates/Templates%20english/TVD_Template_ProjectPlan_en.mpp" TargetMode="External"/><Relationship Id="rId29" Type="http://schemas.openxmlformats.org/officeDocument/2006/relationships/printerSettings" Target="../printerSettings/printerSettings22.bin"/><Relationship Id="rId1" Type="http://schemas.openxmlformats.org/officeDocument/2006/relationships/hyperlink" Target="https://intranet.trivadis.com/svn/tvd/ctodoc/trunk/PBS/Infrastructure/Templates/Templates%20deutsch/TVD_Template_StatusReport_de.docx" TargetMode="External"/><Relationship Id="rId6" Type="http://schemas.openxmlformats.org/officeDocument/2006/relationships/hyperlink" Target="https://intranet.trivadis.com/svn/tvd/ctodoc/trunk/PBS/Infrastructure/Templates/Templates%20deutsch/TVD_Template_ProjectPlan_de.mpp" TargetMode="External"/><Relationship Id="rId11" Type="http://schemas.openxmlformats.org/officeDocument/2006/relationships/hyperlink" Target="https://intranet.trivadis.com/svn/tvd/ctodoc/trunk/PBS/Infrastructure/Templates/Templates%20deutsch/TVD_Template_AcceptanceProtocol_de.docx" TargetMode="External"/><Relationship Id="rId24" Type="http://schemas.openxmlformats.org/officeDocument/2006/relationships/hyperlink" Target="https://intranet.trivadis.com/svn/tvd/ctodoc/trunk/PBS/Infrastructure/Templates/Templates%20english/TVD_Template_ChangeRequestForm_en.docx" TargetMode="External"/><Relationship Id="rId5" Type="http://schemas.openxmlformats.org/officeDocument/2006/relationships/hyperlink" Target="https://intranet.trivadis.com/svn/tvd/ctodoc/trunk/PBS/Infrastructure/Templates/Templates%20deutsch/TVD_Template_ProjectManagementPlan_de.docx" TargetMode="External"/><Relationship Id="rId15" Type="http://schemas.openxmlformats.org/officeDocument/2006/relationships/hyperlink" Target="https://intranet.trivadis.com/wiki/pub/Operations/BidManagement/20091008_-_Projektqualit%e4tssicherungsplan_V1.docx" TargetMode="External"/><Relationship Id="rId23" Type="http://schemas.openxmlformats.org/officeDocument/2006/relationships/hyperlink" Target="https://intranet.trivadis.com/svn/tvd/ctodoc/trunk/PBS/Infrastructure/Templates/Templates%20english/TVD_Template_MeetingMinutes_en.docx" TargetMode="External"/><Relationship Id="rId28" Type="http://schemas.openxmlformats.org/officeDocument/2006/relationships/hyperlink" Target="https://intranet.trivadis.com/svn/tvd/ctodoc/trunk/PBS/Infrastructure/Templates/Templates%20deutsch/StandardFolderStructure.zip" TargetMode="External"/><Relationship Id="rId10" Type="http://schemas.openxmlformats.org/officeDocument/2006/relationships/hyperlink" Target="https://intranet.trivadis.com/svn/tvd/ctodoc/trunk/PBS/Infrastructure/Templates/Templates%20deutsch/TVD_Template_ProjectCloseOut_de.docx" TargetMode="External"/><Relationship Id="rId19" Type="http://schemas.openxmlformats.org/officeDocument/2006/relationships/hyperlink" Target="https://intranet.trivadis.com/svn/tvd/ctodoc/trunk/PBS/Infrastructure/Templates/Templates%20english/TVD_Template_ProjectManagementPlan_en.docx" TargetMode="External"/><Relationship Id="rId31" Type="http://schemas.openxmlformats.org/officeDocument/2006/relationships/drawing" Target="../drawings/drawing24.xml"/><Relationship Id="rId4" Type="http://schemas.openxmlformats.org/officeDocument/2006/relationships/hyperlink" Target="file:///\\Trivadis.com\tvd_data\tvd_all\35_PROJECTS\Projects_2013\_PROJECT-COCKPIT" TargetMode="External"/><Relationship Id="rId9" Type="http://schemas.openxmlformats.org/officeDocument/2006/relationships/hyperlink" Target="https://intranet.trivadis.com/wiki/bin/view/ProjectCoordination/LessonsLearnedSearch" TargetMode="External"/><Relationship Id="rId14" Type="http://schemas.openxmlformats.org/officeDocument/2006/relationships/hyperlink" Target="https://intranet.trivadis.com/svn/tvd/ctodoc/trunk/PBS/Infrastructure/Templates/Templates%20deutsch/TVD_Template_TestReport_de.docx" TargetMode="External"/><Relationship Id="rId22" Type="http://schemas.openxmlformats.org/officeDocument/2006/relationships/hyperlink" Target="https://intranet.trivadis.com/trialog/docs/DOC-10213" TargetMode="External"/><Relationship Id="rId27" Type="http://schemas.openxmlformats.org/officeDocument/2006/relationships/hyperlink" Target="https://intranet.trivadis.com/svn/tvd/ctodoc/trunk/PBS/Infrastructure/Templates/Templates%20english/TVD_Template_TestConcept_en.docx" TargetMode="External"/><Relationship Id="rId30" Type="http://schemas.openxmlformats.org/officeDocument/2006/relationships/customProperty" Target="../customProperty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customProperty" Target="../customProperty23.bin"/><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customProperty" Target="../customProperty24.bin"/><Relationship Id="rId1" Type="http://schemas.openxmlformats.org/officeDocument/2006/relationships/printerSettings" Target="../printerSettings/printerSettings25.bin"/><Relationship Id="rId4" Type="http://schemas.openxmlformats.org/officeDocument/2006/relationships/comments" Target="../comments10.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customProperty" Target="../customProperty26.bin"/><Relationship Id="rId1" Type="http://schemas.openxmlformats.org/officeDocument/2006/relationships/printerSettings" Target="../printerSettings/printerSettings26.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N59"/>
  <sheetViews>
    <sheetView tabSelected="1" zoomScaleNormal="100" workbookViewId="0">
      <selection activeCell="J6" sqref="J6"/>
    </sheetView>
  </sheetViews>
  <sheetFormatPr defaultColWidth="11.44140625" defaultRowHeight="13.8"/>
  <cols>
    <col min="1" max="1" width="22.109375" style="126" bestFit="1" customWidth="1"/>
    <col min="2" max="2" width="13.33203125" style="126" bestFit="1" customWidth="1"/>
    <col min="3" max="3" width="11.33203125" style="126" bestFit="1" customWidth="1"/>
    <col min="4" max="4" width="16.109375" style="126" bestFit="1" customWidth="1"/>
    <col min="5" max="5" width="10.109375" style="126" bestFit="1" customWidth="1"/>
    <col min="6" max="6" width="14.109375" style="126" bestFit="1" customWidth="1"/>
    <col min="7" max="7" width="19.109375" style="126" bestFit="1" customWidth="1"/>
    <col min="8" max="9" width="12" style="126" bestFit="1" customWidth="1"/>
    <col min="10" max="10" width="17.44140625" style="126" bestFit="1" customWidth="1"/>
    <col min="11" max="11" width="16.88671875" style="126" bestFit="1" customWidth="1"/>
    <col min="12" max="16384" width="11.44140625" style="126"/>
  </cols>
  <sheetData>
    <row r="1" spans="1:14" ht="21">
      <c r="A1" s="823" t="str">
        <f>MDProjektname</f>
        <v>Migration GEFI</v>
      </c>
      <c r="B1" s="824"/>
      <c r="C1" s="824"/>
      <c r="D1" s="824"/>
      <c r="E1" s="825"/>
      <c r="N1" s="127"/>
    </row>
    <row r="2" spans="1:14" ht="32.4" thickBot="1">
      <c r="A2" s="826" t="str">
        <f>MDCustomer</f>
        <v>OFISA</v>
      </c>
      <c r="B2" s="827"/>
      <c r="C2" s="827"/>
      <c r="D2" s="827"/>
      <c r="E2" s="828"/>
      <c r="G2" s="128" t="s">
        <v>1407</v>
      </c>
      <c r="N2" s="127"/>
    </row>
    <row r="3" spans="1:14" ht="24.6">
      <c r="G3" s="129" t="s">
        <v>1492</v>
      </c>
      <c r="N3" s="127"/>
    </row>
    <row r="4" spans="1:14" ht="17.399999999999999">
      <c r="A4" s="130"/>
      <c r="G4" s="131"/>
      <c r="N4" s="127"/>
    </row>
    <row r="5" spans="1:14">
      <c r="A5" s="813" t="s">
        <v>290</v>
      </c>
      <c r="B5" s="813"/>
      <c r="C5" s="814" t="str">
        <f>MDCustomer</f>
        <v>OFISA</v>
      </c>
      <c r="D5" s="814"/>
      <c r="F5" s="822" t="s">
        <v>254</v>
      </c>
      <c r="G5" s="822"/>
      <c r="H5" s="814" t="str">
        <f>MDAccountManager</f>
        <v>Claude-Alain Glauser</v>
      </c>
      <c r="I5" s="814"/>
      <c r="K5" s="832" t="str">
        <f>TMDVersion</f>
        <v>Version 2.1.4</v>
      </c>
      <c r="L5" s="832"/>
      <c r="M5" s="127"/>
      <c r="N5" s="127"/>
    </row>
    <row r="6" spans="1:14">
      <c r="A6" s="813" t="s">
        <v>256</v>
      </c>
      <c r="B6" s="813"/>
      <c r="C6" s="814" t="str">
        <f>MDProjectType</f>
        <v>AD</v>
      </c>
      <c r="D6" s="814"/>
      <c r="F6" s="822" t="s">
        <v>257</v>
      </c>
      <c r="G6" s="822"/>
      <c r="H6" s="814" t="str">
        <f>MDProjectOwner</f>
        <v>Claude-Alain Glauser</v>
      </c>
      <c r="I6" s="814"/>
      <c r="K6" s="832"/>
      <c r="L6" s="832"/>
      <c r="M6" s="127"/>
      <c r="N6" s="127"/>
    </row>
    <row r="7" spans="1:14">
      <c r="A7" s="813" t="s">
        <v>259</v>
      </c>
      <c r="B7" s="813"/>
      <c r="C7" s="814" t="str">
        <f>MDContractType</f>
        <v>Fixpreis</v>
      </c>
      <c r="D7" s="814"/>
      <c r="F7" s="822" t="s">
        <v>260</v>
      </c>
      <c r="G7" s="822"/>
      <c r="H7" s="814" t="str">
        <f>MDProjectManager</f>
        <v>Gille di Domenico</v>
      </c>
      <c r="I7" s="814"/>
      <c r="K7" s="832"/>
      <c r="L7" s="832"/>
      <c r="M7" s="127"/>
      <c r="N7" s="127"/>
    </row>
    <row r="8" spans="1:14">
      <c r="A8" s="813" t="s">
        <v>255</v>
      </c>
      <c r="B8" s="813"/>
      <c r="C8" s="833" t="str">
        <f>MDProjectTerm</f>
        <v>01.05.2014 - 30.08.2014</v>
      </c>
      <c r="D8" s="833"/>
      <c r="F8" s="822" t="s">
        <v>258</v>
      </c>
      <c r="G8" s="822"/>
      <c r="H8" s="814">
        <f>MDSAPNumber</f>
        <v>2849</v>
      </c>
      <c r="I8" s="814"/>
      <c r="K8" s="832"/>
      <c r="L8" s="832"/>
      <c r="M8" s="127"/>
      <c r="N8" s="127"/>
    </row>
    <row r="9" spans="1:14">
      <c r="A9" s="127" t="s">
        <v>1009</v>
      </c>
      <c r="B9" s="127"/>
      <c r="C9" s="132"/>
      <c r="D9" s="132"/>
      <c r="F9" s="133"/>
      <c r="G9" s="133"/>
      <c r="H9" s="134"/>
      <c r="I9" s="134"/>
      <c r="K9" s="135"/>
      <c r="L9" s="135"/>
      <c r="M9" s="127"/>
      <c r="N9" s="127"/>
    </row>
    <row r="10" spans="1:14">
      <c r="A10" s="127"/>
      <c r="B10" s="132"/>
      <c r="C10" s="132"/>
      <c r="D10" s="127"/>
      <c r="E10" s="133"/>
      <c r="F10" s="133"/>
      <c r="G10" s="133"/>
      <c r="H10" s="133"/>
      <c r="N10" s="127"/>
    </row>
    <row r="11" spans="1:14">
      <c r="A11" s="136" t="s">
        <v>431</v>
      </c>
      <c r="B11" s="136" t="s">
        <v>432</v>
      </c>
      <c r="C11" s="136" t="s">
        <v>433</v>
      </c>
      <c r="D11" s="136" t="s">
        <v>434</v>
      </c>
      <c r="E11" s="133"/>
      <c r="F11" s="136" t="s">
        <v>435</v>
      </c>
      <c r="G11" s="136" t="s">
        <v>326</v>
      </c>
      <c r="H11" s="136" t="s">
        <v>327</v>
      </c>
      <c r="K11" s="829" t="s">
        <v>997</v>
      </c>
      <c r="L11" s="829"/>
      <c r="N11" s="127"/>
    </row>
    <row r="12" spans="1:14">
      <c r="A12" s="785"/>
      <c r="B12" s="785"/>
      <c r="C12" s="785"/>
      <c r="D12" s="785"/>
      <c r="E12" s="133"/>
      <c r="F12" s="137" t="str">
        <f ca="1">'Project Summary'!A12</f>
        <v>Green</v>
      </c>
      <c r="G12" s="137" t="str">
        <f>'Project Summary'!E12</f>
        <v>Green</v>
      </c>
      <c r="H12" s="137" t="str">
        <f>'Project Summary'!G12</f>
        <v>Green</v>
      </c>
      <c r="K12" s="830" t="str">
        <f>MDProjectClass</f>
        <v>Medium</v>
      </c>
      <c r="L12" s="831"/>
      <c r="N12" s="127"/>
    </row>
    <row r="13" spans="1:14" s="141" customFormat="1">
      <c r="A13" s="138"/>
      <c r="B13" s="138"/>
      <c r="C13" s="138"/>
      <c r="D13" s="138"/>
      <c r="E13" s="139"/>
      <c r="F13" s="140"/>
      <c r="G13" s="140"/>
      <c r="H13" s="140"/>
      <c r="K13" s="142"/>
      <c r="L13" s="142"/>
      <c r="N13" s="143"/>
    </row>
    <row r="14" spans="1:14" s="141" customFormat="1" ht="15.6">
      <c r="A14" s="819" t="s">
        <v>1384</v>
      </c>
      <c r="B14" s="820"/>
      <c r="C14" s="820"/>
      <c r="D14" s="820"/>
      <c r="E14" s="820"/>
      <c r="F14" s="820"/>
      <c r="G14" s="821"/>
      <c r="H14" s="140"/>
      <c r="K14" s="142"/>
      <c r="L14" s="142"/>
      <c r="N14" s="143"/>
    </row>
    <row r="15" spans="1:14" s="141" customFormat="1">
      <c r="A15" s="144" t="s">
        <v>327</v>
      </c>
      <c r="B15" s="815" t="s">
        <v>262</v>
      </c>
      <c r="C15" s="816"/>
      <c r="D15" s="815" t="s">
        <v>326</v>
      </c>
      <c r="E15" s="818"/>
      <c r="F15" s="817" t="s">
        <v>246</v>
      </c>
      <c r="G15" s="817"/>
      <c r="H15" s="140"/>
      <c r="K15" s="142"/>
      <c r="L15" s="142"/>
      <c r="N15" s="143"/>
    </row>
    <row r="16" spans="1:14" s="141" customFormat="1" ht="27.6">
      <c r="A16" s="117" t="s">
        <v>1397</v>
      </c>
      <c r="B16" s="118" t="s">
        <v>1385</v>
      </c>
      <c r="C16" s="118" t="s">
        <v>1386</v>
      </c>
      <c r="D16" s="118" t="s">
        <v>1387</v>
      </c>
      <c r="E16" s="119" t="s">
        <v>1388</v>
      </c>
      <c r="F16" s="118" t="s">
        <v>276</v>
      </c>
      <c r="G16" s="107" t="s">
        <v>1389</v>
      </c>
      <c r="H16" s="140"/>
      <c r="K16" s="142"/>
      <c r="L16" s="142"/>
      <c r="N16" s="143"/>
    </row>
    <row r="17" spans="1:14" s="141" customFormat="1">
      <c r="A17" s="120">
        <f ca="1">OVRiskRatio</f>
        <v>0</v>
      </c>
      <c r="B17" s="120">
        <f>OVCostVariance</f>
        <v>-1</v>
      </c>
      <c r="C17" s="120">
        <f>OVVarianceAtCompletion</f>
        <v>-8.1607843137254896</v>
      </c>
      <c r="D17" s="120">
        <f>OVScheduleVariance</f>
        <v>0</v>
      </c>
      <c r="E17" s="121"/>
      <c r="F17" s="120" t="str">
        <f>Descriptions!B47</f>
        <v/>
      </c>
      <c r="G17" s="121"/>
      <c r="H17" s="140"/>
      <c r="J17" s="145"/>
      <c r="K17" s="146"/>
      <c r="L17" s="146"/>
      <c r="M17" s="145"/>
      <c r="N17" s="147"/>
    </row>
    <row r="18" spans="1:14" s="141" customFormat="1">
      <c r="A18" s="122"/>
      <c r="C18" s="123"/>
      <c r="D18" s="123"/>
      <c r="E18" s="122"/>
      <c r="F18" s="123"/>
      <c r="G18" s="123"/>
      <c r="H18" s="140"/>
      <c r="K18" s="142"/>
      <c r="L18" s="142"/>
      <c r="M18" s="143"/>
      <c r="N18" s="143"/>
    </row>
    <row r="19" spans="1:14" s="141" customFormat="1">
      <c r="A19" s="143"/>
      <c r="B19" s="148"/>
      <c r="C19" s="149"/>
      <c r="D19" s="143"/>
      <c r="E19" s="139"/>
      <c r="F19" s="139"/>
      <c r="G19" s="139"/>
      <c r="H19" s="139"/>
      <c r="N19" s="143"/>
    </row>
    <row r="20" spans="1:14">
      <c r="A20" s="127"/>
      <c r="B20" s="132"/>
      <c r="C20" s="132"/>
      <c r="D20" s="127"/>
      <c r="E20" s="133"/>
      <c r="F20" s="133"/>
      <c r="G20" s="133"/>
      <c r="H20" s="133"/>
      <c r="N20" s="127"/>
    </row>
    <row r="21" spans="1:14">
      <c r="A21" s="127"/>
      <c r="B21" s="132"/>
      <c r="C21" s="132"/>
      <c r="D21" s="127"/>
      <c r="E21" s="133"/>
      <c r="F21" s="133"/>
      <c r="G21" s="133"/>
      <c r="H21" s="133"/>
      <c r="N21" s="127"/>
    </row>
    <row r="22" spans="1:14">
      <c r="A22" s="127"/>
      <c r="B22" s="132"/>
      <c r="C22" s="132"/>
      <c r="D22" s="127"/>
      <c r="E22" s="127"/>
      <c r="F22" s="127"/>
      <c r="G22" s="133"/>
      <c r="H22" s="133"/>
      <c r="I22" s="133"/>
      <c r="J22" s="133"/>
      <c r="N22" s="127"/>
    </row>
    <row r="23" spans="1:14">
      <c r="B23" s="132"/>
      <c r="C23" s="132"/>
      <c r="D23" s="127"/>
      <c r="E23" s="133"/>
      <c r="F23" s="133"/>
      <c r="G23" s="133"/>
      <c r="H23" s="133"/>
      <c r="N23" s="127"/>
    </row>
    <row r="24" spans="1:14">
      <c r="B24" s="132"/>
      <c r="C24" s="132"/>
      <c r="D24" s="127"/>
      <c r="E24" s="133"/>
      <c r="F24" s="133"/>
      <c r="G24" s="133"/>
      <c r="H24" s="133"/>
      <c r="N24" s="127"/>
    </row>
    <row r="25" spans="1:14">
      <c r="B25" s="132"/>
      <c r="C25" s="132"/>
      <c r="D25" s="127"/>
      <c r="E25" s="133"/>
      <c r="F25" s="133"/>
      <c r="G25" s="133"/>
      <c r="H25" s="133"/>
      <c r="N25" s="127"/>
    </row>
    <row r="26" spans="1:14">
      <c r="B26" s="132"/>
      <c r="C26" s="132"/>
      <c r="D26" s="127"/>
      <c r="E26" s="133"/>
      <c r="F26" s="133"/>
      <c r="G26" s="133"/>
      <c r="H26" s="133"/>
      <c r="N26" s="127"/>
    </row>
    <row r="27" spans="1:14">
      <c r="B27" s="132"/>
      <c r="C27" s="132"/>
      <c r="D27" s="127"/>
      <c r="E27" s="133"/>
      <c r="F27" s="133"/>
      <c r="G27" s="133"/>
      <c r="H27" s="133"/>
      <c r="N27" s="127"/>
    </row>
    <row r="28" spans="1:14">
      <c r="B28" s="132"/>
      <c r="C28" s="132"/>
      <c r="D28" s="127"/>
      <c r="E28" s="133"/>
      <c r="F28" s="133"/>
      <c r="G28" s="133"/>
      <c r="H28" s="133"/>
      <c r="N28" s="127"/>
    </row>
    <row r="29" spans="1:14">
      <c r="N29" s="127"/>
    </row>
    <row r="30" spans="1:14">
      <c r="N30" s="127"/>
    </row>
    <row r="31" spans="1:14">
      <c r="N31" s="127"/>
    </row>
    <row r="32" spans="1:14">
      <c r="N32" s="127"/>
    </row>
    <row r="33" spans="1:14">
      <c r="N33" s="127"/>
    </row>
    <row r="34" spans="1:14">
      <c r="N34" s="127"/>
    </row>
    <row r="35" spans="1:14">
      <c r="N35" s="127"/>
    </row>
    <row r="36" spans="1:14">
      <c r="N36" s="127"/>
    </row>
    <row r="37" spans="1:14">
      <c r="N37" s="127"/>
    </row>
    <row r="38" spans="1:14">
      <c r="N38" s="127"/>
    </row>
    <row r="39" spans="1:14">
      <c r="N39" s="127"/>
    </row>
    <row r="42" spans="1:14" s="528" customFormat="1"/>
    <row r="43" spans="1:14" s="528" customFormat="1"/>
    <row r="44" spans="1:14" s="528" customFormat="1">
      <c r="A44" s="698"/>
      <c r="B44" s="698"/>
    </row>
    <row r="45" spans="1:14" s="528" customFormat="1">
      <c r="A45" s="698"/>
      <c r="B45" s="698"/>
      <c r="E45" s="699"/>
      <c r="G45" s="699"/>
    </row>
    <row r="46" spans="1:14" s="528" customFormat="1">
      <c r="A46" s="698"/>
      <c r="B46" s="698"/>
      <c r="C46" s="698"/>
      <c r="E46" s="699"/>
      <c r="G46" s="699"/>
    </row>
    <row r="47" spans="1:14" s="528" customFormat="1" hidden="1">
      <c r="A47" s="700" t="s">
        <v>1041</v>
      </c>
      <c r="B47" s="701">
        <f>DCBudgetEffProjectTotal*AVReportedCompletion</f>
        <v>0</v>
      </c>
      <c r="C47" s="698"/>
    </row>
    <row r="48" spans="1:14" s="528" customFormat="1" hidden="1">
      <c r="A48" s="700" t="s">
        <v>1391</v>
      </c>
      <c r="B48" s="700">
        <f>AVSAPEffort+AVForecastEffort+AVapprovedCREffort</f>
        <v>63.75</v>
      </c>
      <c r="C48" s="698"/>
    </row>
    <row r="49" spans="1:7" s="528" customFormat="1" hidden="1">
      <c r="A49" s="700" t="s">
        <v>1392</v>
      </c>
      <c r="B49" s="700">
        <f>DCBudgetEffProjectTotal+AVapprovedCREffort</f>
        <v>584</v>
      </c>
      <c r="C49" s="698"/>
    </row>
    <row r="50" spans="1:7" s="528" customFormat="1" hidden="1">
      <c r="A50" s="700" t="s">
        <v>1039</v>
      </c>
      <c r="B50" s="700">
        <f>DCBudgetEffProjectTotal*AVReportedCompletion</f>
        <v>0</v>
      </c>
      <c r="C50" s="698"/>
    </row>
    <row r="51" spans="1:7" s="528" customFormat="1" hidden="1">
      <c r="A51" s="700" t="s">
        <v>1074</v>
      </c>
      <c r="B51" s="700" t="str">
        <f>IF(MILastMilestoneExpected&gt;0,MILastMilestoneExpected-MDProjectEnd,"")</f>
        <v/>
      </c>
      <c r="C51" s="698"/>
      <c r="G51" s="702"/>
    </row>
    <row r="52" spans="1:7" s="528" customFormat="1" hidden="1">
      <c r="A52" s="700"/>
      <c r="B52" s="700"/>
      <c r="C52" s="698"/>
    </row>
    <row r="53" spans="1:7" s="528" customFormat="1" hidden="1">
      <c r="A53" s="700" t="s">
        <v>1393</v>
      </c>
      <c r="B53" s="700">
        <f ca="1">RLLossAmountWeighted/(PCPriceOffered-PCComponentPrice)</f>
        <v>0</v>
      </c>
      <c r="C53" s="698"/>
    </row>
    <row r="54" spans="1:7" s="528" customFormat="1" hidden="1">
      <c r="A54" s="700" t="s">
        <v>1394</v>
      </c>
      <c r="B54" s="700">
        <f>IF(AVSAPEffort&gt;0,(OVEarnedValue-AVSAPEffort)/AVSAPEffort,0)</f>
        <v>-1</v>
      </c>
      <c r="C54" s="698"/>
    </row>
    <row r="55" spans="1:7" s="528" customFormat="1" hidden="1">
      <c r="A55" s="700" t="s">
        <v>1395</v>
      </c>
      <c r="B55" s="700">
        <f>IF(OVEstimateAtCompletion&gt;0,(OVEstimateAtCompletion - OVBudgetAtCompletion) / OVEstimateAtCompletion,OVEstimateAtCompletion)</f>
        <v>-8.1607843137254896</v>
      </c>
      <c r="C55" s="698"/>
    </row>
    <row r="56" spans="1:7" s="528" customFormat="1" hidden="1">
      <c r="A56" s="700" t="s">
        <v>1396</v>
      </c>
      <c r="B56" s="700">
        <f>IF(OVEarnedValue&gt;0,(OVEarnedValue - OVPlannedValue) / OVEarnedValue,0)</f>
        <v>0</v>
      </c>
      <c r="C56" s="698"/>
    </row>
    <row r="57" spans="1:7" s="528" customFormat="1" hidden="1">
      <c r="A57" s="700"/>
      <c r="B57" s="700"/>
      <c r="C57" s="698"/>
    </row>
    <row r="58" spans="1:7" s="528" customFormat="1">
      <c r="A58" s="700"/>
      <c r="B58" s="700"/>
      <c r="C58" s="698"/>
    </row>
    <row r="59" spans="1:7" s="528" customFormat="1">
      <c r="A59" s="700"/>
      <c r="B59" s="700"/>
      <c r="C59" s="698"/>
    </row>
  </sheetData>
  <sheetProtection algorithmName="SHA-512" hashValue="aqGokAbayrVfy5lfw1POKkfDtbYS3WXOMwOsyHe5X9m8tmpVSOWg+x74JK4NFIl1oYww/vqq1phM4/HGrOaCBg==" saltValue="/Sp5GaLUfq+mPvth8pFR5A==" spinCount="100000" sheet="1" scenarios="1" formatCells="0"/>
  <mergeCells count="25">
    <mergeCell ref="A1:E1"/>
    <mergeCell ref="A2:E2"/>
    <mergeCell ref="K11:L11"/>
    <mergeCell ref="K12:L12"/>
    <mergeCell ref="K5:L8"/>
    <mergeCell ref="A8:B8"/>
    <mergeCell ref="C8:D8"/>
    <mergeCell ref="F8:G8"/>
    <mergeCell ref="H8:I8"/>
    <mergeCell ref="A6:B6"/>
    <mergeCell ref="C6:D6"/>
    <mergeCell ref="F6:G6"/>
    <mergeCell ref="H6:I6"/>
    <mergeCell ref="A7:B7"/>
    <mergeCell ref="C7:D7"/>
    <mergeCell ref="H7:I7"/>
    <mergeCell ref="A5:B5"/>
    <mergeCell ref="H5:I5"/>
    <mergeCell ref="B15:C15"/>
    <mergeCell ref="F15:G15"/>
    <mergeCell ref="D15:E15"/>
    <mergeCell ref="A14:G14"/>
    <mergeCell ref="C5:D5"/>
    <mergeCell ref="F5:G5"/>
    <mergeCell ref="F7:G7"/>
  </mergeCells>
  <conditionalFormatting sqref="F12:H12">
    <cfRule type="cellIs" dxfId="155" priority="38" operator="equal">
      <formula>"Green"</formula>
    </cfRule>
    <cfRule type="cellIs" dxfId="154" priority="39" operator="equal">
      <formula>"Yellow"</formula>
    </cfRule>
    <cfRule type="cellIs" dxfId="153" priority="40" operator="equal">
      <formula>"Red"</formula>
    </cfRule>
  </conditionalFormatting>
  <conditionalFormatting sqref="A14">
    <cfRule type="containsText" dxfId="152" priority="27" operator="containsText" text="x">
      <formula>NOT(ISERROR(SEARCH("x",A14)))</formula>
    </cfRule>
  </conditionalFormatting>
  <conditionalFormatting sqref="A14">
    <cfRule type="cellIs" dxfId="151" priority="24" operator="equal">
      <formula>"Green"</formula>
    </cfRule>
    <cfRule type="cellIs" dxfId="150" priority="25" operator="equal">
      <formula>"Yellow"</formula>
    </cfRule>
    <cfRule type="cellIs" dxfId="149" priority="26" operator="equal">
      <formula>"Red"</formula>
    </cfRule>
  </conditionalFormatting>
  <conditionalFormatting sqref="A14">
    <cfRule type="iconSet" priority="23">
      <iconSet iconSet="3TrafficLights2">
        <cfvo type="percent" val="0"/>
        <cfvo type="percent" val="33"/>
        <cfvo type="percent" val="67"/>
      </iconSet>
    </cfRule>
  </conditionalFormatting>
  <conditionalFormatting sqref="A17">
    <cfRule type="cellIs" dxfId="148" priority="20" operator="greaterThan">
      <formula>0.08</formula>
    </cfRule>
    <cfRule type="cellIs" dxfId="147" priority="21" operator="between">
      <formula>0.04</formula>
      <formula>0.08</formula>
    </cfRule>
    <cfRule type="cellIs" dxfId="146" priority="22" operator="lessThan">
      <formula>0.04</formula>
    </cfRule>
  </conditionalFormatting>
  <conditionalFormatting sqref="B17">
    <cfRule type="cellIs" dxfId="145" priority="17" operator="lessThan">
      <formula>-0.1</formula>
    </cfRule>
    <cfRule type="cellIs" dxfId="144" priority="18" operator="between">
      <formula>-0.01</formula>
      <formula>-0.1</formula>
    </cfRule>
    <cfRule type="cellIs" dxfId="143" priority="19" operator="lessThan">
      <formula>0.01</formula>
    </cfRule>
  </conditionalFormatting>
  <conditionalFormatting sqref="F17">
    <cfRule type="cellIs" dxfId="142" priority="14" operator="equal">
      <formula>"Red"</formula>
    </cfRule>
    <cfRule type="cellIs" dxfId="141" priority="15" operator="equal">
      <formula>"Yellow"</formula>
    </cfRule>
    <cfRule type="cellIs" dxfId="140" priority="16" operator="equal">
      <formula>"Green"</formula>
    </cfRule>
  </conditionalFormatting>
  <conditionalFormatting sqref="C17">
    <cfRule type="cellIs" dxfId="139" priority="11" operator="lessThan">
      <formula>-0.1</formula>
    </cfRule>
    <cfRule type="cellIs" dxfId="138" priority="12" operator="between">
      <formula>-0.01</formula>
      <formula>-0.1</formula>
    </cfRule>
    <cfRule type="cellIs" dxfId="137" priority="13" operator="lessThan">
      <formula>0.01</formula>
    </cfRule>
  </conditionalFormatting>
  <conditionalFormatting sqref="D17">
    <cfRule type="cellIs" dxfId="136" priority="8" operator="lessThan">
      <formula>-0.1</formula>
    </cfRule>
    <cfRule type="cellIs" dxfId="135" priority="9" operator="between">
      <formula>-0.01</formula>
      <formula>-0.1</formula>
    </cfRule>
    <cfRule type="cellIs" dxfId="134" priority="10" operator="lessThan">
      <formula>0.01</formula>
    </cfRule>
  </conditionalFormatting>
  <conditionalFormatting sqref="D12">
    <cfRule type="containsText" dxfId="133" priority="7" operator="containsText" text="x">
      <formula>NOT(ISERROR(SEARCH("x",D12)))</formula>
    </cfRule>
  </conditionalFormatting>
  <conditionalFormatting sqref="A12:C12">
    <cfRule type="containsText" dxfId="132" priority="2" operator="containsText" text="x">
      <formula>NOT(ISERROR(SEARCH("x",A12)))</formula>
    </cfRule>
  </conditionalFormatting>
  <pageMargins left="0.7" right="0.7" top="0.78740157499999996" bottom="0.78740157499999996" header="0.3" footer="0.3"/>
  <pageSetup paperSize="9" scale="65" orientation="landscape" horizontalDpi="4294967293" r:id="rId1"/>
  <customProperties>
    <customPr name="Guid" r:id="rId2"/>
  </customProperties>
  <drawing r:id="rId3"/>
  <legacyDrawing r:id="rId4"/>
  <oleObjects>
    <mc:AlternateContent xmlns:mc="http://schemas.openxmlformats.org/markup-compatibility/2006">
      <mc:Choice Requires="x14">
        <oleObject progId="Document" dvAspect="DVASPECT_ICON" shapeId="1035" r:id="rId5">
          <objectPr defaultSize="0" r:id="rId6">
            <anchor moveWithCells="1">
              <from>
                <xdr:col>10</xdr:col>
                <xdr:colOff>876300</xdr:colOff>
                <xdr:row>0</xdr:row>
                <xdr:rowOff>190500</xdr:rowOff>
              </from>
              <to>
                <xdr:col>11</xdr:col>
                <xdr:colOff>670560</xdr:colOff>
                <xdr:row>2</xdr:row>
                <xdr:rowOff>220980</xdr:rowOff>
              </to>
            </anchor>
          </objectPr>
        </oleObject>
      </mc:Choice>
      <mc:Fallback>
        <oleObject progId="Document" dvAspect="DVASPECT_ICON" shapeId="1035"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rgb="FFF79646"/>
    <pageSetUpPr fitToPage="1"/>
  </sheetPr>
  <dimension ref="A1:AP54"/>
  <sheetViews>
    <sheetView zoomScale="90" zoomScaleNormal="90" workbookViewId="0">
      <selection activeCell="A29" sqref="A29"/>
    </sheetView>
  </sheetViews>
  <sheetFormatPr defaultColWidth="11.44140625" defaultRowHeight="13.8"/>
  <cols>
    <col min="1" max="7" width="11.44140625" style="126" customWidth="1"/>
    <col min="8" max="8" width="4.109375" style="780" customWidth="1"/>
    <col min="9" max="9" width="13.88671875" style="126" customWidth="1"/>
    <col min="10" max="10" width="13" style="126" customWidth="1"/>
    <col min="11" max="16" width="11.44140625" style="126" customWidth="1"/>
    <col min="17" max="17" width="32.44140625" style="126" customWidth="1"/>
    <col min="18" max="18" width="6.109375" style="126" customWidth="1"/>
    <col min="19" max="19" width="28.88671875" style="126" customWidth="1"/>
    <col min="20" max="20" width="11.44140625" style="126" customWidth="1"/>
    <col min="21" max="21" width="11.44140625" style="126"/>
    <col min="22" max="22" width="6.109375" style="126" customWidth="1"/>
    <col min="23" max="23" width="6" style="126" customWidth="1"/>
    <col min="24" max="16384" width="11.44140625" style="126"/>
  </cols>
  <sheetData>
    <row r="1" spans="1:42" s="153" customFormat="1" ht="21">
      <c r="A1" s="874" t="str">
        <f>MDProjektname</f>
        <v>Migration GEFI</v>
      </c>
      <c r="B1" s="875"/>
      <c r="C1" s="875"/>
      <c r="D1" s="875"/>
      <c r="E1" s="876"/>
      <c r="F1" s="126"/>
      <c r="G1" s="126"/>
      <c r="H1" s="780"/>
      <c r="I1" s="126"/>
      <c r="J1" s="126"/>
      <c r="K1" s="126"/>
      <c r="L1" s="126"/>
      <c r="M1" s="126"/>
      <c r="N1" s="126"/>
      <c r="O1" s="126"/>
      <c r="P1" s="126"/>
      <c r="Q1" s="126"/>
      <c r="R1" s="126"/>
      <c r="S1" s="126"/>
      <c r="T1" s="126"/>
      <c r="U1" s="126"/>
    </row>
    <row r="2" spans="1:42" s="153" customFormat="1" ht="26.25" customHeight="1" thickBot="1">
      <c r="A2" s="877" t="str">
        <f>MDCustomer</f>
        <v>OFISA</v>
      </c>
      <c r="B2" s="878"/>
      <c r="C2" s="878"/>
      <c r="D2" s="878"/>
      <c r="E2" s="879"/>
      <c r="F2" s="126"/>
      <c r="I2" s="128" t="s">
        <v>1407</v>
      </c>
      <c r="J2" s="126"/>
      <c r="K2" s="126"/>
      <c r="L2" s="126"/>
      <c r="M2" s="126"/>
      <c r="N2" s="126"/>
      <c r="O2" s="126"/>
      <c r="P2" s="126"/>
      <c r="Q2" s="126"/>
      <c r="R2" s="126"/>
      <c r="S2" s="126"/>
      <c r="T2" s="126"/>
      <c r="U2" s="126"/>
    </row>
    <row r="3" spans="1:42" s="153" customFormat="1" ht="26.25" customHeight="1">
      <c r="A3" s="126"/>
      <c r="B3" s="126"/>
      <c r="C3" s="126"/>
      <c r="D3" s="126"/>
      <c r="E3" s="126"/>
      <c r="F3" s="126"/>
      <c r="I3" s="154" t="s">
        <v>1493</v>
      </c>
      <c r="J3" s="126"/>
      <c r="K3" s="126"/>
      <c r="L3" s="126"/>
      <c r="M3" s="126"/>
      <c r="N3" s="126"/>
      <c r="O3" s="126"/>
      <c r="P3" s="126"/>
      <c r="Q3" s="126"/>
      <c r="R3" s="126"/>
      <c r="S3" s="126"/>
      <c r="T3" s="126"/>
      <c r="U3" s="126"/>
    </row>
    <row r="4" spans="1:42" s="153" customFormat="1" ht="15" customHeight="1" thickBot="1">
      <c r="A4" s="126"/>
      <c r="B4" s="126"/>
      <c r="C4" s="126"/>
      <c r="D4" s="126"/>
      <c r="E4" s="126"/>
      <c r="F4" s="126"/>
      <c r="G4" s="126"/>
      <c r="H4" s="780"/>
      <c r="I4" s="126"/>
      <c r="J4" s="126"/>
      <c r="K4" s="126"/>
      <c r="L4" s="126"/>
      <c r="M4" s="126"/>
      <c r="N4" s="126"/>
      <c r="O4" s="126"/>
      <c r="P4" s="126"/>
      <c r="Q4" s="126"/>
      <c r="R4" s="126"/>
      <c r="S4" s="126"/>
      <c r="T4" s="126"/>
      <c r="U4" s="126"/>
    </row>
    <row r="5" spans="1:42" ht="16.2" thickBot="1">
      <c r="A5" s="836" t="s">
        <v>439</v>
      </c>
      <c r="B5" s="837"/>
      <c r="C5" s="837"/>
      <c r="D5" s="837"/>
      <c r="E5" s="837"/>
      <c r="F5" s="837"/>
      <c r="G5" s="837"/>
      <c r="H5" s="837"/>
      <c r="I5" s="837"/>
      <c r="J5" s="837"/>
      <c r="K5" s="837"/>
      <c r="L5" s="837"/>
      <c r="M5" s="837"/>
      <c r="N5" s="837"/>
      <c r="O5" s="837"/>
      <c r="P5" s="141"/>
      <c r="R5" s="855"/>
      <c r="S5" s="856"/>
      <c r="T5" s="141"/>
      <c r="U5" s="141"/>
      <c r="V5" s="141"/>
      <c r="W5" s="141"/>
      <c r="X5" s="141"/>
      <c r="Y5" s="141"/>
      <c r="Z5" s="141"/>
      <c r="AA5" s="141"/>
      <c r="AB5" s="141"/>
      <c r="AC5" s="141"/>
      <c r="AD5" s="141"/>
      <c r="AE5" s="141"/>
      <c r="AF5" s="141"/>
      <c r="AG5" s="141"/>
      <c r="AH5" s="141"/>
      <c r="AI5" s="141"/>
      <c r="AJ5" s="141"/>
      <c r="AK5" s="141"/>
      <c r="AL5" s="141"/>
      <c r="AM5" s="141"/>
      <c r="AN5" s="141"/>
      <c r="AO5" s="141"/>
      <c r="AP5" s="141"/>
    </row>
    <row r="6" spans="1:42">
      <c r="A6" s="887" t="s">
        <v>440</v>
      </c>
      <c r="B6" s="887"/>
      <c r="C6" s="887"/>
      <c r="D6" s="890" t="s">
        <v>1574</v>
      </c>
      <c r="E6" s="891"/>
      <c r="F6" s="891"/>
      <c r="G6" s="891"/>
      <c r="H6" s="892"/>
      <c r="I6" s="887" t="s">
        <v>441</v>
      </c>
      <c r="J6" s="887"/>
      <c r="K6" s="887"/>
      <c r="L6" s="838" t="s">
        <v>1575</v>
      </c>
      <c r="M6" s="839"/>
      <c r="N6" s="839"/>
      <c r="O6" s="839"/>
      <c r="P6" s="141"/>
      <c r="R6" s="857"/>
      <c r="S6" s="858"/>
      <c r="T6" s="141"/>
      <c r="U6" s="141"/>
      <c r="V6" s="141"/>
      <c r="W6" s="141"/>
      <c r="X6" s="141"/>
      <c r="Y6" s="141"/>
      <c r="Z6" s="141"/>
      <c r="AA6" s="141"/>
      <c r="AB6" s="141"/>
      <c r="AC6" s="141"/>
      <c r="AD6" s="141"/>
      <c r="AE6" s="141"/>
      <c r="AF6" s="141"/>
      <c r="AG6" s="141"/>
      <c r="AH6" s="141"/>
      <c r="AI6" s="141"/>
      <c r="AJ6" s="141"/>
      <c r="AK6" s="141"/>
      <c r="AL6" s="141"/>
      <c r="AM6" s="141"/>
      <c r="AN6" s="141"/>
      <c r="AO6" s="141"/>
      <c r="AP6" s="141"/>
    </row>
    <row r="7" spans="1:42" ht="14.4" thickBot="1">
      <c r="A7" s="841" t="s">
        <v>442</v>
      </c>
      <c r="B7" s="841"/>
      <c r="C7" s="841"/>
      <c r="D7" s="838" t="s">
        <v>1576</v>
      </c>
      <c r="E7" s="839"/>
      <c r="F7" s="839"/>
      <c r="G7" s="839"/>
      <c r="H7" s="840"/>
      <c r="I7" s="841" t="s">
        <v>443</v>
      </c>
      <c r="J7" s="841"/>
      <c r="K7" s="841"/>
      <c r="L7" s="838" t="s">
        <v>1577</v>
      </c>
      <c r="M7" s="839"/>
      <c r="N7" s="839"/>
      <c r="O7" s="839"/>
      <c r="P7" s="141"/>
      <c r="R7" s="859"/>
      <c r="S7" s="860"/>
      <c r="T7" s="141"/>
      <c r="U7" s="141"/>
      <c r="V7" s="141"/>
      <c r="W7" s="141"/>
      <c r="X7" s="141"/>
      <c r="Y7" s="141"/>
      <c r="Z7" s="141"/>
      <c r="AA7" s="141"/>
      <c r="AB7" s="141"/>
      <c r="AC7" s="141"/>
      <c r="AD7" s="141"/>
      <c r="AE7" s="141"/>
      <c r="AF7" s="141"/>
      <c r="AG7" s="141"/>
      <c r="AH7" s="141"/>
      <c r="AI7" s="141"/>
      <c r="AJ7" s="141"/>
      <c r="AK7" s="141"/>
      <c r="AL7" s="141"/>
      <c r="AM7" s="141"/>
      <c r="AN7" s="141"/>
      <c r="AO7" s="141"/>
      <c r="AP7" s="141"/>
    </row>
    <row r="8" spans="1:42">
      <c r="A8" s="841" t="s">
        <v>444</v>
      </c>
      <c r="B8" s="841"/>
      <c r="C8" s="841"/>
      <c r="D8" s="838" t="s">
        <v>85</v>
      </c>
      <c r="E8" s="839"/>
      <c r="F8" s="839"/>
      <c r="G8" s="839"/>
      <c r="H8" s="840"/>
      <c r="I8" s="841" t="s">
        <v>445</v>
      </c>
      <c r="J8" s="841"/>
      <c r="K8" s="841"/>
      <c r="L8" s="838" t="s">
        <v>65</v>
      </c>
      <c r="M8" s="839"/>
      <c r="N8" s="839"/>
      <c r="O8" s="839"/>
      <c r="P8" s="141"/>
      <c r="T8" s="141"/>
      <c r="U8" s="141"/>
      <c r="X8" s="141"/>
      <c r="Y8" s="141"/>
      <c r="Z8" s="141"/>
      <c r="AA8" s="141"/>
      <c r="AB8" s="141"/>
      <c r="AC8" s="141"/>
      <c r="AD8" s="141"/>
      <c r="AE8" s="141"/>
      <c r="AF8" s="141"/>
      <c r="AG8" s="141"/>
      <c r="AH8" s="141"/>
      <c r="AI8" s="141"/>
      <c r="AJ8" s="141"/>
      <c r="AK8" s="141"/>
      <c r="AL8" s="141"/>
      <c r="AM8" s="141"/>
      <c r="AN8" s="141"/>
      <c r="AO8" s="141"/>
      <c r="AP8" s="141"/>
    </row>
    <row r="9" spans="1:42">
      <c r="A9" s="841" t="s">
        <v>446</v>
      </c>
      <c r="B9" s="841"/>
      <c r="C9" s="841"/>
      <c r="D9" s="838">
        <v>2849</v>
      </c>
      <c r="E9" s="839"/>
      <c r="F9" s="839"/>
      <c r="G9" s="839"/>
      <c r="H9" s="840"/>
      <c r="I9" s="841" t="s">
        <v>1380</v>
      </c>
      <c r="J9" s="841"/>
      <c r="K9" s="841"/>
      <c r="L9" s="872"/>
      <c r="M9" s="873"/>
      <c r="N9" s="873"/>
      <c r="O9" s="873"/>
      <c r="P9" s="141"/>
      <c r="Q9" s="155"/>
      <c r="R9" s="155"/>
      <c r="S9" s="155"/>
      <c r="T9" s="141"/>
      <c r="U9" s="141"/>
      <c r="V9" s="141"/>
      <c r="W9" s="141"/>
      <c r="X9" s="141"/>
      <c r="Y9" s="141"/>
      <c r="Z9" s="141"/>
      <c r="AA9" s="141"/>
      <c r="AB9" s="141"/>
      <c r="AC9" s="141"/>
      <c r="AD9" s="141"/>
      <c r="AE9" s="141"/>
      <c r="AF9" s="141"/>
      <c r="AG9" s="141"/>
      <c r="AH9" s="141"/>
      <c r="AI9" s="141"/>
      <c r="AJ9" s="141"/>
      <c r="AK9" s="141"/>
      <c r="AL9" s="141"/>
      <c r="AM9" s="141"/>
      <c r="AN9" s="141"/>
      <c r="AO9" s="141"/>
      <c r="AP9" s="141"/>
    </row>
    <row r="10" spans="1:42">
      <c r="A10" s="841" t="s">
        <v>960</v>
      </c>
      <c r="B10" s="841"/>
      <c r="C10" s="841"/>
      <c r="D10" s="838">
        <v>20306</v>
      </c>
      <c r="E10" s="839"/>
      <c r="F10" s="839"/>
      <c r="G10" s="839"/>
      <c r="H10" s="840"/>
      <c r="I10" s="841" t="s">
        <v>972</v>
      </c>
      <c r="J10" s="841"/>
      <c r="K10" s="841"/>
      <c r="L10" s="871">
        <v>8</v>
      </c>
      <c r="M10" s="871"/>
      <c r="N10" s="871"/>
      <c r="O10" s="871"/>
      <c r="P10" s="141"/>
      <c r="Q10" s="156" t="s">
        <v>1354</v>
      </c>
      <c r="R10" s="157" t="s">
        <v>1215</v>
      </c>
      <c r="S10" s="158" t="s" vm="3">
        <v>1353</v>
      </c>
      <c r="T10" s="141"/>
      <c r="U10" s="141"/>
      <c r="Y10" s="141"/>
      <c r="Z10" s="141"/>
      <c r="AA10" s="141"/>
      <c r="AB10" s="141"/>
      <c r="AC10" s="141"/>
      <c r="AD10" s="141"/>
      <c r="AE10" s="141"/>
      <c r="AF10" s="141"/>
      <c r="AG10" s="141"/>
      <c r="AH10" s="141"/>
      <c r="AI10" s="141"/>
      <c r="AJ10" s="141"/>
      <c r="AK10" s="141"/>
      <c r="AL10" s="141"/>
      <c r="AM10" s="141"/>
      <c r="AN10" s="141"/>
      <c r="AO10" s="141"/>
      <c r="AP10" s="141"/>
    </row>
    <row r="11" spans="1:42">
      <c r="A11" s="841" t="s">
        <v>998</v>
      </c>
      <c r="B11" s="841"/>
      <c r="C11" s="841"/>
      <c r="D11" s="838" t="s">
        <v>1549</v>
      </c>
      <c r="E11" s="839"/>
      <c r="F11" s="839"/>
      <c r="G11" s="839"/>
      <c r="H11" s="840"/>
      <c r="I11" s="841" t="s">
        <v>447</v>
      </c>
      <c r="J11" s="841"/>
      <c r="K11" s="841"/>
      <c r="L11" s="871">
        <v>100000</v>
      </c>
      <c r="M11" s="871"/>
      <c r="N11" s="871"/>
      <c r="O11" s="871"/>
      <c r="P11" s="141"/>
      <c r="Q11" s="155"/>
      <c r="R11" s="155"/>
      <c r="S11" s="155"/>
      <c r="T11" s="141"/>
      <c r="U11" s="141"/>
      <c r="Y11" s="141"/>
      <c r="Z11" s="141"/>
      <c r="AA11" s="141"/>
      <c r="AB11" s="141"/>
      <c r="AC11" s="141"/>
      <c r="AD11" s="141"/>
      <c r="AE11" s="141"/>
      <c r="AF11" s="141"/>
      <c r="AG11" s="141"/>
      <c r="AH11" s="141"/>
      <c r="AI11" s="141"/>
      <c r="AJ11" s="141"/>
      <c r="AK11" s="141"/>
      <c r="AL11" s="141"/>
      <c r="AM11" s="141"/>
      <c r="AN11" s="141"/>
      <c r="AO11" s="141"/>
      <c r="AP11" s="141"/>
    </row>
    <row r="12" spans="1:42">
      <c r="A12" s="841" t="s">
        <v>1217</v>
      </c>
      <c r="B12" s="841"/>
      <c r="C12" s="841"/>
      <c r="D12" s="838"/>
      <c r="E12" s="839"/>
      <c r="F12" s="839"/>
      <c r="G12" s="839"/>
      <c r="H12" s="840"/>
      <c r="I12" s="150"/>
      <c r="J12" s="150"/>
      <c r="K12" s="150"/>
      <c r="L12" s="151"/>
      <c r="M12" s="151"/>
      <c r="N12" s="151"/>
      <c r="O12" s="151"/>
      <c r="P12" s="141"/>
      <c r="Q12" s="155"/>
      <c r="S12" s="155"/>
      <c r="T12" s="141"/>
      <c r="U12" s="141"/>
      <c r="Y12" s="141"/>
      <c r="Z12" s="141"/>
      <c r="AA12" s="141"/>
      <c r="AB12" s="141"/>
      <c r="AC12" s="141"/>
      <c r="AD12" s="141"/>
      <c r="AE12" s="141"/>
      <c r="AF12" s="141"/>
      <c r="AG12" s="141"/>
      <c r="AH12" s="141"/>
      <c r="AI12" s="141"/>
      <c r="AJ12" s="141"/>
      <c r="AK12" s="141"/>
      <c r="AL12" s="141"/>
      <c r="AM12" s="141"/>
      <c r="AN12" s="141"/>
      <c r="AO12" s="141"/>
      <c r="AP12" s="141"/>
    </row>
    <row r="13" spans="1:42">
      <c r="A13" s="152"/>
      <c r="B13" s="152"/>
      <c r="C13" s="152"/>
      <c r="D13" s="152"/>
      <c r="E13" s="152"/>
      <c r="F13" s="152"/>
      <c r="G13" s="152"/>
      <c r="H13" s="152"/>
      <c r="I13" s="152"/>
      <c r="J13" s="152"/>
      <c r="K13" s="152"/>
      <c r="L13" s="152"/>
      <c r="M13" s="152"/>
      <c r="N13" s="152"/>
      <c r="O13" s="152"/>
      <c r="P13" s="141"/>
      <c r="Q13" s="155"/>
      <c r="S13" s="155"/>
      <c r="T13" s="141"/>
      <c r="U13" s="141"/>
      <c r="Y13" s="141"/>
      <c r="Z13" s="141"/>
      <c r="AA13" s="141"/>
      <c r="AB13" s="141"/>
      <c r="AC13" s="141"/>
      <c r="AD13" s="141"/>
      <c r="AE13" s="141"/>
      <c r="AF13" s="141"/>
      <c r="AG13" s="141"/>
      <c r="AH13" s="141"/>
      <c r="AI13" s="141"/>
      <c r="AJ13" s="141"/>
      <c r="AK13" s="141"/>
      <c r="AL13" s="141"/>
      <c r="AM13" s="141"/>
      <c r="AN13" s="141"/>
      <c r="AO13" s="141"/>
      <c r="AP13" s="141"/>
    </row>
    <row r="14" spans="1:42">
      <c r="A14" s="841" t="s">
        <v>448</v>
      </c>
      <c r="B14" s="841"/>
      <c r="C14" s="841"/>
      <c r="D14" s="838" t="s">
        <v>1550</v>
      </c>
      <c r="E14" s="839"/>
      <c r="F14" s="839"/>
      <c r="G14" s="839"/>
      <c r="H14" s="840"/>
      <c r="I14" s="841" t="s">
        <v>449</v>
      </c>
      <c r="J14" s="841"/>
      <c r="K14" s="841"/>
      <c r="L14" s="871" t="s">
        <v>1578</v>
      </c>
      <c r="M14" s="871"/>
      <c r="N14" s="871"/>
      <c r="O14" s="871"/>
      <c r="P14" s="141"/>
      <c r="Q14" s="155"/>
      <c r="R14" s="155"/>
      <c r="S14" s="155"/>
      <c r="T14" s="141"/>
      <c r="U14" s="141"/>
      <c r="Y14" s="141"/>
      <c r="Z14" s="141"/>
      <c r="AA14" s="141"/>
      <c r="AB14" s="141"/>
      <c r="AC14" s="141"/>
      <c r="AD14" s="141"/>
      <c r="AE14" s="141"/>
      <c r="AF14" s="141"/>
      <c r="AG14" s="141"/>
      <c r="AH14" s="141"/>
      <c r="AI14" s="141"/>
      <c r="AJ14" s="141"/>
      <c r="AK14" s="141"/>
      <c r="AL14" s="141"/>
      <c r="AM14" s="141"/>
      <c r="AN14" s="141"/>
      <c r="AO14" s="141"/>
      <c r="AP14" s="141"/>
    </row>
    <row r="15" spans="1:42">
      <c r="A15" s="841" t="s">
        <v>450</v>
      </c>
      <c r="B15" s="841"/>
      <c r="C15" s="841"/>
      <c r="D15" s="838" t="s">
        <v>1550</v>
      </c>
      <c r="E15" s="839"/>
      <c r="F15" s="839"/>
      <c r="G15" s="839"/>
      <c r="H15" s="840"/>
      <c r="I15" s="841" t="s">
        <v>451</v>
      </c>
      <c r="J15" s="841"/>
      <c r="K15" s="841"/>
      <c r="L15" s="871" t="s">
        <v>1550</v>
      </c>
      <c r="M15" s="871"/>
      <c r="N15" s="871"/>
      <c r="O15" s="871"/>
      <c r="P15" s="141"/>
      <c r="Q15" s="155"/>
      <c r="R15" s="155"/>
      <c r="S15" s="155"/>
      <c r="T15" s="141"/>
      <c r="U15" s="141"/>
      <c r="Y15" s="141"/>
      <c r="Z15" s="141"/>
      <c r="AA15" s="141"/>
      <c r="AB15" s="141"/>
      <c r="AC15" s="141"/>
      <c r="AD15" s="141"/>
      <c r="AE15" s="141"/>
      <c r="AF15" s="141"/>
      <c r="AG15" s="141"/>
      <c r="AH15" s="141"/>
      <c r="AI15" s="141"/>
      <c r="AJ15" s="141"/>
      <c r="AK15" s="141"/>
      <c r="AL15" s="141"/>
      <c r="AM15" s="141"/>
      <c r="AN15" s="141"/>
      <c r="AO15" s="141"/>
      <c r="AP15" s="141"/>
    </row>
    <row r="16" spans="1:42">
      <c r="A16" s="841" t="s">
        <v>452</v>
      </c>
      <c r="B16" s="841"/>
      <c r="C16" s="841"/>
      <c r="D16" s="838" t="s">
        <v>1550</v>
      </c>
      <c r="E16" s="839"/>
      <c r="F16" s="839"/>
      <c r="G16" s="839"/>
      <c r="H16" s="840"/>
      <c r="I16" s="841" t="s">
        <v>453</v>
      </c>
      <c r="J16" s="841"/>
      <c r="K16" s="841"/>
      <c r="L16" s="864" t="s">
        <v>1551</v>
      </c>
      <c r="M16" s="864"/>
      <c r="N16" s="864"/>
      <c r="O16" s="864"/>
      <c r="P16" s="141"/>
      <c r="Q16" s="155"/>
      <c r="R16" s="155"/>
      <c r="S16" s="155"/>
      <c r="T16" s="141"/>
      <c r="U16" s="141"/>
      <c r="Y16" s="141"/>
      <c r="Z16" s="141"/>
      <c r="AA16" s="141"/>
      <c r="AB16" s="141"/>
      <c r="AC16" s="141"/>
      <c r="AD16" s="141"/>
      <c r="AE16" s="141"/>
      <c r="AF16" s="141"/>
      <c r="AG16" s="141"/>
      <c r="AH16" s="141"/>
      <c r="AI16" s="141"/>
      <c r="AJ16" s="141"/>
      <c r="AK16" s="141"/>
      <c r="AL16" s="141"/>
      <c r="AM16" s="141"/>
      <c r="AN16" s="141"/>
      <c r="AO16" s="141"/>
      <c r="AP16" s="141"/>
    </row>
    <row r="17" spans="1:42">
      <c r="A17" s="841" t="s">
        <v>454</v>
      </c>
      <c r="B17" s="841"/>
      <c r="C17" s="841"/>
      <c r="D17" s="838"/>
      <c r="E17" s="839"/>
      <c r="F17" s="839"/>
      <c r="G17" s="839"/>
      <c r="H17" s="840"/>
      <c r="I17" s="141"/>
      <c r="J17" s="141"/>
      <c r="K17" s="141"/>
      <c r="L17" s="141"/>
      <c r="M17" s="141"/>
      <c r="N17" s="141"/>
      <c r="O17" s="141"/>
      <c r="P17" s="141"/>
      <c r="Q17" s="155"/>
      <c r="R17" s="155"/>
      <c r="S17" s="155"/>
      <c r="T17" s="141"/>
      <c r="U17" s="141"/>
      <c r="Y17" s="141"/>
      <c r="Z17" s="141"/>
      <c r="AA17" s="141"/>
      <c r="AB17" s="141"/>
      <c r="AC17" s="141"/>
      <c r="AD17" s="141"/>
      <c r="AE17" s="141"/>
      <c r="AF17" s="141"/>
      <c r="AG17" s="141"/>
      <c r="AH17" s="141"/>
      <c r="AI17" s="141"/>
      <c r="AJ17" s="141"/>
      <c r="AK17" s="141"/>
      <c r="AL17" s="141"/>
      <c r="AM17" s="141"/>
      <c r="AN17" s="141"/>
      <c r="AO17" s="141"/>
      <c r="AP17" s="141"/>
    </row>
    <row r="18" spans="1:42">
      <c r="A18" s="152"/>
      <c r="B18" s="152"/>
      <c r="C18" s="152"/>
      <c r="D18" s="152"/>
      <c r="E18" s="152"/>
      <c r="F18" s="152"/>
      <c r="G18" s="152"/>
      <c r="H18" s="152"/>
      <c r="I18" s="152"/>
      <c r="J18" s="152"/>
      <c r="K18" s="152"/>
      <c r="L18" s="152"/>
      <c r="M18" s="152"/>
      <c r="N18" s="152"/>
      <c r="O18" s="152"/>
      <c r="P18" s="141"/>
      <c r="Q18" s="155"/>
      <c r="R18" s="155"/>
      <c r="S18" s="155"/>
      <c r="T18" s="141"/>
      <c r="U18" s="141"/>
      <c r="Y18" s="141"/>
      <c r="Z18" s="141"/>
      <c r="AA18" s="141"/>
      <c r="AB18" s="141"/>
      <c r="AC18" s="141"/>
      <c r="AD18" s="141"/>
      <c r="AE18" s="141"/>
      <c r="AF18" s="141"/>
      <c r="AG18" s="141"/>
      <c r="AH18" s="141"/>
      <c r="AI18" s="141"/>
      <c r="AJ18" s="141"/>
      <c r="AK18" s="141"/>
      <c r="AL18" s="141"/>
      <c r="AM18" s="141"/>
      <c r="AN18" s="141"/>
      <c r="AO18" s="141"/>
      <c r="AP18" s="141"/>
    </row>
    <row r="19" spans="1:42">
      <c r="A19" s="841" t="s">
        <v>455</v>
      </c>
      <c r="B19" s="841"/>
      <c r="C19" s="841"/>
      <c r="D19" s="868">
        <v>41760</v>
      </c>
      <c r="E19" s="869"/>
      <c r="F19" s="869"/>
      <c r="G19" s="869"/>
      <c r="H19" s="870"/>
      <c r="I19" s="841" t="s">
        <v>456</v>
      </c>
      <c r="J19" s="841"/>
      <c r="K19" s="841"/>
      <c r="L19" s="868">
        <v>41881</v>
      </c>
      <c r="M19" s="869"/>
      <c r="N19" s="869"/>
      <c r="O19" s="870"/>
      <c r="P19" s="141"/>
      <c r="Q19" s="155"/>
      <c r="R19" s="155"/>
      <c r="S19" s="155"/>
      <c r="T19" s="141"/>
      <c r="U19" s="141"/>
      <c r="Y19" s="141"/>
      <c r="Z19" s="141"/>
      <c r="AA19" s="141"/>
      <c r="AB19" s="141"/>
      <c r="AC19" s="141"/>
      <c r="AD19" s="141"/>
      <c r="AE19" s="141"/>
      <c r="AF19" s="141"/>
      <c r="AG19" s="141"/>
      <c r="AH19" s="141"/>
      <c r="AI19" s="141"/>
      <c r="AJ19" s="141"/>
      <c r="AK19" s="141"/>
      <c r="AL19" s="141"/>
      <c r="AM19" s="141"/>
      <c r="AN19" s="141"/>
      <c r="AO19" s="141"/>
      <c r="AP19" s="141"/>
    </row>
    <row r="20" spans="1:42">
      <c r="A20" s="841" t="s">
        <v>457</v>
      </c>
      <c r="B20" s="841"/>
      <c r="C20" s="841"/>
      <c r="D20" s="838" t="s">
        <v>129</v>
      </c>
      <c r="E20" s="839"/>
      <c r="F20" s="839"/>
      <c r="G20" s="839"/>
      <c r="H20" s="840"/>
      <c r="I20" s="884" t="s">
        <v>458</v>
      </c>
      <c r="J20" s="885"/>
      <c r="K20" s="886"/>
      <c r="L20" s="865" t="s">
        <v>139</v>
      </c>
      <c r="M20" s="866"/>
      <c r="N20" s="866"/>
      <c r="O20" s="867"/>
      <c r="P20" s="150"/>
      <c r="Q20" s="155"/>
      <c r="R20" s="155"/>
      <c r="S20" s="155"/>
      <c r="T20" s="141"/>
      <c r="U20" s="141"/>
      <c r="Y20" s="141"/>
      <c r="Z20" s="141"/>
      <c r="AA20" s="141"/>
      <c r="AB20" s="141"/>
      <c r="AC20" s="141"/>
      <c r="AD20" s="141"/>
      <c r="AE20" s="141"/>
      <c r="AF20" s="141"/>
      <c r="AG20" s="141"/>
      <c r="AH20" s="141"/>
      <c r="AI20" s="141"/>
      <c r="AJ20" s="141"/>
      <c r="AK20" s="141"/>
      <c r="AL20" s="141"/>
      <c r="AM20" s="141"/>
      <c r="AN20" s="141"/>
      <c r="AO20" s="141"/>
      <c r="AP20" s="141"/>
    </row>
    <row r="21" spans="1:42" ht="14.4" thickBot="1">
      <c r="A21" s="150"/>
      <c r="B21" s="150"/>
      <c r="C21" s="150"/>
      <c r="D21" s="150"/>
      <c r="E21" s="150"/>
      <c r="F21" s="150"/>
      <c r="G21" s="150"/>
      <c r="H21" s="150"/>
      <c r="I21" s="150"/>
      <c r="J21" s="150"/>
      <c r="K21" s="150"/>
      <c r="L21" s="150"/>
      <c r="M21" s="150"/>
      <c r="N21" s="150"/>
      <c r="O21" s="150"/>
      <c r="P21" s="141"/>
      <c r="Q21" s="155"/>
      <c r="R21" s="155"/>
      <c r="S21" s="155"/>
      <c r="T21" s="141"/>
      <c r="U21" s="141"/>
      <c r="Y21" s="141"/>
      <c r="Z21" s="141"/>
      <c r="AA21" s="141"/>
      <c r="AB21" s="141"/>
      <c r="AC21" s="141"/>
      <c r="AD21" s="141"/>
      <c r="AE21" s="141"/>
      <c r="AF21" s="141"/>
      <c r="AG21" s="141"/>
      <c r="AH21" s="141"/>
      <c r="AI21" s="141"/>
      <c r="AJ21" s="141"/>
      <c r="AK21" s="141"/>
      <c r="AL21" s="141"/>
      <c r="AM21" s="141"/>
    </row>
    <row r="22" spans="1:42" ht="15.75" customHeight="1" thickBot="1">
      <c r="A22" s="836" t="s">
        <v>459</v>
      </c>
      <c r="B22" s="837"/>
      <c r="C22" s="837"/>
      <c r="D22" s="837"/>
      <c r="E22" s="837"/>
      <c r="F22" s="837"/>
      <c r="G22" s="854"/>
      <c r="H22" s="781"/>
      <c r="I22" s="888" t="s">
        <v>1524</v>
      </c>
      <c r="J22" s="889"/>
      <c r="K22" s="141"/>
      <c r="L22" s="836" t="s">
        <v>981</v>
      </c>
      <c r="M22" s="837"/>
      <c r="N22" s="837"/>
      <c r="O22" s="854"/>
      <c r="P22" s="141"/>
      <c r="Q22" s="159" t="s">
        <v>147</v>
      </c>
      <c r="R22" s="141"/>
      <c r="S22" s="159" t="s">
        <v>34</v>
      </c>
      <c r="T22" s="141"/>
      <c r="U22" s="141"/>
      <c r="Y22" s="141"/>
      <c r="Z22" s="141"/>
      <c r="AA22" s="141"/>
      <c r="AB22" s="141"/>
      <c r="AC22" s="141"/>
      <c r="AD22" s="141"/>
      <c r="AE22" s="141"/>
      <c r="AF22" s="141"/>
      <c r="AG22" s="141"/>
      <c r="AH22" s="141"/>
      <c r="AI22" s="141"/>
      <c r="AJ22" s="141"/>
      <c r="AK22" s="141"/>
      <c r="AL22" s="141"/>
      <c r="AM22" s="141"/>
    </row>
    <row r="23" spans="1:42" ht="15" customHeight="1">
      <c r="A23" s="844" t="s">
        <v>460</v>
      </c>
      <c r="B23" s="846" t="s">
        <v>461</v>
      </c>
      <c r="C23" s="847"/>
      <c r="D23" s="850" t="s">
        <v>462</v>
      </c>
      <c r="E23" s="851"/>
      <c r="F23" s="852" t="s">
        <v>463</v>
      </c>
      <c r="G23" s="852"/>
      <c r="H23" s="781"/>
      <c r="I23" s="10" t="s">
        <v>43</v>
      </c>
      <c r="J23" s="68">
        <v>7</v>
      </c>
      <c r="K23" s="141"/>
      <c r="L23" s="175" t="s">
        <v>1099</v>
      </c>
      <c r="M23" s="861" t="s">
        <v>1100</v>
      </c>
      <c r="N23" s="862"/>
      <c r="O23" s="863"/>
      <c r="P23" s="141"/>
      <c r="Q23" s="160" t="s">
        <v>152</v>
      </c>
      <c r="R23" s="141"/>
      <c r="S23" s="160" t="s">
        <v>38</v>
      </c>
      <c r="T23" s="141"/>
      <c r="U23" s="141"/>
      <c r="Y23" s="141"/>
      <c r="Z23" s="141"/>
      <c r="AA23" s="141"/>
      <c r="AB23" s="141"/>
      <c r="AC23" s="141"/>
      <c r="AD23" s="141"/>
      <c r="AE23" s="141"/>
      <c r="AF23" s="141"/>
      <c r="AG23" s="141"/>
      <c r="AH23" s="141"/>
      <c r="AI23" s="141"/>
      <c r="AJ23" s="141"/>
      <c r="AK23" s="141"/>
      <c r="AL23" s="141"/>
      <c r="AM23" s="141"/>
    </row>
    <row r="24" spans="1:42" ht="14.4">
      <c r="A24" s="845"/>
      <c r="B24" s="848"/>
      <c r="C24" s="849"/>
      <c r="D24" s="161" t="s">
        <v>464</v>
      </c>
      <c r="E24" s="161" t="s">
        <v>465</v>
      </c>
      <c r="F24" s="161" t="s">
        <v>466</v>
      </c>
      <c r="G24" s="161" t="s">
        <v>467</v>
      </c>
      <c r="H24" s="781"/>
      <c r="I24" s="11" t="s">
        <v>39</v>
      </c>
      <c r="J24" s="68">
        <v>14</v>
      </c>
      <c r="K24" s="141"/>
      <c r="L24" s="176" t="s">
        <v>1581</v>
      </c>
      <c r="M24" s="838" t="s">
        <v>1582</v>
      </c>
      <c r="N24" s="839"/>
      <c r="O24" s="840"/>
      <c r="P24" s="141"/>
      <c r="Q24" s="160" t="s">
        <v>154</v>
      </c>
      <c r="R24" s="141"/>
      <c r="S24" s="160" t="s">
        <v>42</v>
      </c>
      <c r="T24" s="141"/>
      <c r="U24" s="141"/>
      <c r="Y24" s="141"/>
      <c r="Z24" s="141"/>
      <c r="AA24" s="141"/>
      <c r="AB24" s="141"/>
      <c r="AC24" s="141"/>
      <c r="AD24" s="141"/>
      <c r="AE24" s="141"/>
      <c r="AF24" s="141"/>
      <c r="AG24" s="141"/>
      <c r="AH24" s="141"/>
      <c r="AI24" s="141"/>
      <c r="AJ24" s="141"/>
      <c r="AK24" s="141"/>
      <c r="AL24" s="141"/>
      <c r="AM24" s="141"/>
    </row>
    <row r="25" spans="1:42">
      <c r="A25" s="169" t="s">
        <v>1021</v>
      </c>
      <c r="B25" s="853" t="s">
        <v>1552</v>
      </c>
      <c r="C25" s="853"/>
      <c r="D25" s="162"/>
      <c r="E25" s="163">
        <f t="shared" ref="E25:E42" si="0">D25*MDWorkhours</f>
        <v>0</v>
      </c>
      <c r="F25" s="164">
        <v>150</v>
      </c>
      <c r="G25" s="163">
        <f t="shared" ref="G25:G34" si="1">F25*MDWorkhours</f>
        <v>1200</v>
      </c>
      <c r="H25" s="781"/>
      <c r="K25" s="141"/>
      <c r="L25" s="176" t="s">
        <v>1583</v>
      </c>
      <c r="M25" s="838" t="s">
        <v>1584</v>
      </c>
      <c r="N25" s="839"/>
      <c r="O25" s="840"/>
      <c r="P25" s="141"/>
      <c r="Q25" s="160" t="s">
        <v>157</v>
      </c>
      <c r="R25" s="141"/>
      <c r="S25" s="160" t="s">
        <v>46</v>
      </c>
      <c r="T25" s="141"/>
      <c r="U25" s="141"/>
      <c r="Y25" s="141"/>
      <c r="Z25" s="141"/>
      <c r="AA25" s="141"/>
      <c r="AB25" s="141"/>
      <c r="AC25" s="141"/>
      <c r="AD25" s="141"/>
      <c r="AE25" s="141"/>
      <c r="AF25" s="141"/>
      <c r="AG25" s="141"/>
      <c r="AH25" s="141"/>
      <c r="AI25" s="141"/>
      <c r="AJ25" s="141"/>
      <c r="AK25" s="141"/>
      <c r="AL25" s="141"/>
      <c r="AM25" s="141"/>
    </row>
    <row r="26" spans="1:42">
      <c r="A26" s="169" t="s">
        <v>1553</v>
      </c>
      <c r="B26" s="853" t="s">
        <v>1554</v>
      </c>
      <c r="C26" s="853"/>
      <c r="D26" s="162"/>
      <c r="E26" s="163">
        <f t="shared" si="0"/>
        <v>0</v>
      </c>
      <c r="F26" s="164">
        <v>175</v>
      </c>
      <c r="G26" s="163">
        <f t="shared" si="1"/>
        <v>1400</v>
      </c>
      <c r="H26" s="781"/>
      <c r="I26" s="141"/>
      <c r="J26" s="141"/>
      <c r="K26" s="141"/>
      <c r="L26" s="176" t="s">
        <v>1585</v>
      </c>
      <c r="M26" s="838" t="s">
        <v>1586</v>
      </c>
      <c r="N26" s="839"/>
      <c r="O26" s="840"/>
      <c r="P26" s="141"/>
      <c r="Q26" s="160" t="s">
        <v>160</v>
      </c>
      <c r="R26" s="141"/>
      <c r="S26" s="160" t="s">
        <v>49</v>
      </c>
      <c r="T26" s="141"/>
      <c r="U26" s="141"/>
      <c r="Y26" s="141"/>
      <c r="Z26" s="141"/>
      <c r="AA26" s="141"/>
      <c r="AB26" s="141"/>
      <c r="AC26" s="141"/>
      <c r="AD26" s="141"/>
      <c r="AE26" s="141"/>
      <c r="AF26" s="141"/>
      <c r="AG26" s="141"/>
      <c r="AH26" s="141"/>
      <c r="AI26" s="141"/>
      <c r="AJ26" s="141"/>
      <c r="AK26" s="141"/>
      <c r="AL26" s="141"/>
      <c r="AM26" s="141"/>
    </row>
    <row r="27" spans="1:42">
      <c r="A27" s="169" t="s">
        <v>1579</v>
      </c>
      <c r="B27" s="853" t="s">
        <v>1580</v>
      </c>
      <c r="C27" s="843"/>
      <c r="D27" s="162"/>
      <c r="E27" s="163">
        <f t="shared" si="0"/>
        <v>0</v>
      </c>
      <c r="F27" s="164">
        <v>150</v>
      </c>
      <c r="G27" s="163">
        <f t="shared" si="1"/>
        <v>1200</v>
      </c>
      <c r="H27" s="781"/>
      <c r="I27" s="141"/>
      <c r="J27" s="141"/>
      <c r="K27" s="141"/>
      <c r="L27" s="176"/>
      <c r="M27" s="838"/>
      <c r="N27" s="839"/>
      <c r="O27" s="840"/>
      <c r="P27" s="141"/>
      <c r="Q27" s="160" t="s">
        <v>1014</v>
      </c>
      <c r="R27" s="141"/>
      <c r="S27" s="160" t="s">
        <v>56</v>
      </c>
      <c r="T27" s="141"/>
      <c r="U27" s="141"/>
      <c r="Y27" s="141"/>
      <c r="Z27" s="141"/>
      <c r="AA27" s="141"/>
      <c r="AB27" s="141"/>
      <c r="AC27" s="141"/>
      <c r="AD27" s="141"/>
      <c r="AE27" s="141"/>
      <c r="AF27" s="141"/>
      <c r="AG27" s="141"/>
      <c r="AH27" s="141"/>
      <c r="AI27" s="141"/>
      <c r="AJ27" s="141"/>
      <c r="AK27" s="141"/>
      <c r="AL27" s="141"/>
      <c r="AM27" s="141"/>
    </row>
    <row r="28" spans="1:42">
      <c r="A28" s="169" t="s">
        <v>1606</v>
      </c>
      <c r="B28" s="842" t="s">
        <v>1607</v>
      </c>
      <c r="C28" s="843"/>
      <c r="D28" s="162"/>
      <c r="E28" s="163">
        <f t="shared" si="0"/>
        <v>0</v>
      </c>
      <c r="F28" s="164">
        <v>150</v>
      </c>
      <c r="G28" s="163">
        <f t="shared" si="1"/>
        <v>1200</v>
      </c>
      <c r="H28" s="781"/>
      <c r="I28" s="141"/>
      <c r="J28" s="141"/>
      <c r="K28" s="141"/>
      <c r="L28" s="176"/>
      <c r="M28" s="838"/>
      <c r="N28" s="839"/>
      <c r="O28" s="840"/>
      <c r="P28" s="141"/>
      <c r="Q28" s="160" t="s">
        <v>1015</v>
      </c>
      <c r="R28" s="141"/>
      <c r="S28" s="160" t="s">
        <v>58</v>
      </c>
      <c r="T28" s="141"/>
      <c r="U28" s="141"/>
      <c r="V28" s="141"/>
      <c r="W28" s="141"/>
      <c r="X28" s="141"/>
      <c r="Y28" s="141"/>
      <c r="Z28" s="141"/>
      <c r="AA28" s="141"/>
      <c r="AB28" s="141"/>
      <c r="AC28" s="141"/>
      <c r="AD28" s="141"/>
      <c r="AE28" s="141"/>
      <c r="AF28" s="141"/>
      <c r="AG28" s="141"/>
      <c r="AH28" s="141"/>
      <c r="AI28" s="141"/>
      <c r="AJ28" s="141"/>
      <c r="AK28" s="141"/>
      <c r="AL28" s="141"/>
      <c r="AM28" s="141"/>
    </row>
    <row r="29" spans="1:42">
      <c r="A29" s="169"/>
      <c r="B29" s="842"/>
      <c r="C29" s="843"/>
      <c r="D29" s="162"/>
      <c r="E29" s="163">
        <f t="shared" si="0"/>
        <v>0</v>
      </c>
      <c r="F29" s="164"/>
      <c r="G29" s="163">
        <f t="shared" si="1"/>
        <v>0</v>
      </c>
      <c r="H29" s="781"/>
      <c r="I29" s="141"/>
      <c r="J29" s="141"/>
      <c r="K29" s="141"/>
      <c r="L29" s="176"/>
      <c r="M29" s="838"/>
      <c r="N29" s="839"/>
      <c r="O29" s="840"/>
      <c r="P29" s="141"/>
      <c r="Q29" s="160" t="s">
        <v>326</v>
      </c>
      <c r="R29" s="141"/>
      <c r="S29" s="160" t="s">
        <v>61</v>
      </c>
      <c r="T29" s="141"/>
      <c r="U29" s="141"/>
      <c r="V29" s="141"/>
      <c r="W29" s="141"/>
      <c r="X29" s="141"/>
      <c r="Y29" s="141"/>
      <c r="Z29" s="141"/>
      <c r="AA29" s="141"/>
      <c r="AB29" s="141"/>
      <c r="AC29" s="141"/>
      <c r="AD29" s="141"/>
      <c r="AE29" s="141"/>
      <c r="AF29" s="141"/>
      <c r="AG29" s="141"/>
      <c r="AH29" s="141"/>
      <c r="AI29" s="141"/>
      <c r="AJ29" s="141"/>
      <c r="AK29" s="141"/>
      <c r="AL29" s="141"/>
      <c r="AM29" s="141"/>
    </row>
    <row r="30" spans="1:42">
      <c r="A30" s="169"/>
      <c r="B30" s="842"/>
      <c r="C30" s="843"/>
      <c r="D30" s="162"/>
      <c r="E30" s="163">
        <f t="shared" si="0"/>
        <v>0</v>
      </c>
      <c r="F30" s="164"/>
      <c r="G30" s="163">
        <f t="shared" si="1"/>
        <v>0</v>
      </c>
      <c r="H30" s="781"/>
      <c r="I30" s="141"/>
      <c r="J30" s="141"/>
      <c r="K30" s="141"/>
      <c r="L30" s="176"/>
      <c r="M30" s="838"/>
      <c r="N30" s="839"/>
      <c r="O30" s="840"/>
      <c r="P30" s="141"/>
      <c r="Q30" s="160" t="s">
        <v>1016</v>
      </c>
      <c r="R30" s="141"/>
      <c r="S30" s="160" t="s">
        <v>64</v>
      </c>
      <c r="T30" s="141"/>
      <c r="U30" s="141"/>
      <c r="V30" s="141"/>
      <c r="W30" s="141"/>
      <c r="X30" s="141"/>
      <c r="Y30" s="141"/>
      <c r="Z30" s="141"/>
      <c r="AA30" s="141"/>
      <c r="AB30" s="141"/>
      <c r="AC30" s="141"/>
      <c r="AD30" s="141"/>
      <c r="AE30" s="141"/>
      <c r="AF30" s="141"/>
      <c r="AG30" s="141"/>
      <c r="AH30" s="141"/>
      <c r="AI30" s="141"/>
      <c r="AJ30" s="141"/>
      <c r="AK30" s="141"/>
      <c r="AL30" s="141"/>
      <c r="AM30" s="141"/>
    </row>
    <row r="31" spans="1:42">
      <c r="A31" s="169"/>
      <c r="B31" s="842"/>
      <c r="C31" s="843"/>
      <c r="D31" s="162"/>
      <c r="E31" s="163">
        <f t="shared" si="0"/>
        <v>0</v>
      </c>
      <c r="F31" s="164"/>
      <c r="G31" s="163">
        <f t="shared" si="1"/>
        <v>0</v>
      </c>
      <c r="H31" s="781"/>
      <c r="I31" s="141"/>
      <c r="J31" s="141"/>
      <c r="K31" s="141"/>
      <c r="L31" s="176"/>
      <c r="M31" s="838"/>
      <c r="N31" s="839"/>
      <c r="O31" s="840"/>
      <c r="P31" s="141"/>
      <c r="Q31" s="160" t="s">
        <v>246</v>
      </c>
      <c r="R31" s="141"/>
      <c r="S31" s="163" t="s">
        <v>71</v>
      </c>
      <c r="T31" s="141"/>
      <c r="U31" s="141"/>
      <c r="V31" s="141"/>
      <c r="W31" s="141"/>
      <c r="X31" s="141"/>
      <c r="Y31" s="141"/>
      <c r="Z31" s="141"/>
      <c r="AA31" s="141"/>
      <c r="AB31" s="141"/>
      <c r="AC31" s="141"/>
      <c r="AD31" s="141"/>
      <c r="AE31" s="141"/>
      <c r="AF31" s="141"/>
      <c r="AG31" s="141"/>
      <c r="AH31" s="141"/>
      <c r="AI31" s="141"/>
      <c r="AJ31" s="141"/>
      <c r="AK31" s="141"/>
      <c r="AL31" s="141"/>
      <c r="AM31" s="141"/>
    </row>
    <row r="32" spans="1:42">
      <c r="A32" s="170"/>
      <c r="B32" s="834"/>
      <c r="C32" s="835"/>
      <c r="D32" s="165"/>
      <c r="E32" s="163">
        <f t="shared" si="0"/>
        <v>0</v>
      </c>
      <c r="F32" s="165"/>
      <c r="G32" s="163">
        <f t="shared" si="1"/>
        <v>0</v>
      </c>
      <c r="H32" s="781"/>
      <c r="I32" s="141"/>
      <c r="J32" s="141"/>
      <c r="K32" s="141"/>
      <c r="L32" s="176"/>
      <c r="M32" s="838"/>
      <c r="N32" s="839"/>
      <c r="O32" s="840"/>
      <c r="P32" s="141"/>
      <c r="Q32" s="160" t="s">
        <v>1017</v>
      </c>
      <c r="R32" s="141"/>
      <c r="S32" s="163" t="s">
        <v>72</v>
      </c>
      <c r="T32" s="141"/>
      <c r="U32" s="141"/>
      <c r="V32" s="141"/>
      <c r="W32" s="141"/>
      <c r="X32" s="141"/>
      <c r="Y32" s="141"/>
      <c r="Z32" s="141"/>
      <c r="AA32" s="141"/>
      <c r="AB32" s="141"/>
      <c r="AC32" s="141"/>
      <c r="AD32" s="141"/>
      <c r="AE32" s="141"/>
      <c r="AF32" s="141"/>
      <c r="AG32" s="141"/>
      <c r="AH32" s="141"/>
      <c r="AI32" s="141"/>
      <c r="AJ32" s="141"/>
      <c r="AK32" s="141"/>
      <c r="AL32" s="141"/>
      <c r="AM32" s="141"/>
    </row>
    <row r="33" spans="1:42">
      <c r="A33" s="170"/>
      <c r="B33" s="883"/>
      <c r="C33" s="883"/>
      <c r="D33" s="165"/>
      <c r="E33" s="163">
        <f t="shared" si="0"/>
        <v>0</v>
      </c>
      <c r="F33" s="165"/>
      <c r="G33" s="163">
        <f t="shared" si="1"/>
        <v>0</v>
      </c>
      <c r="H33" s="781"/>
      <c r="I33" s="141"/>
      <c r="J33" s="141"/>
      <c r="K33" s="141"/>
      <c r="L33" s="176"/>
      <c r="M33" s="838"/>
      <c r="N33" s="839"/>
      <c r="O33" s="840"/>
      <c r="P33" s="141"/>
      <c r="Q33" s="160" t="s">
        <v>1018</v>
      </c>
      <c r="R33" s="141"/>
      <c r="S33" s="160"/>
      <c r="T33" s="141"/>
      <c r="U33" s="141"/>
      <c r="V33" s="141"/>
      <c r="W33" s="141"/>
      <c r="X33" s="141"/>
      <c r="Y33" s="141"/>
      <c r="Z33" s="141"/>
      <c r="AA33" s="141"/>
      <c r="AB33" s="141"/>
      <c r="AC33" s="141"/>
      <c r="AD33" s="141"/>
      <c r="AE33" s="141"/>
      <c r="AF33" s="141"/>
      <c r="AG33" s="141"/>
      <c r="AH33" s="141"/>
      <c r="AI33" s="141"/>
      <c r="AJ33" s="141"/>
      <c r="AK33" s="141"/>
      <c r="AL33" s="141"/>
      <c r="AM33" s="141"/>
    </row>
    <row r="34" spans="1:42">
      <c r="A34" s="170"/>
      <c r="B34" s="834"/>
      <c r="C34" s="835"/>
      <c r="D34" s="165"/>
      <c r="E34" s="163">
        <f t="shared" si="0"/>
        <v>0</v>
      </c>
      <c r="F34" s="165"/>
      <c r="G34" s="163">
        <f t="shared" si="1"/>
        <v>0</v>
      </c>
      <c r="H34" s="781"/>
      <c r="I34" s="141"/>
      <c r="J34" s="141"/>
      <c r="K34" s="141"/>
      <c r="L34" s="176"/>
      <c r="M34" s="838"/>
      <c r="N34" s="839"/>
      <c r="O34" s="840"/>
      <c r="P34" s="141"/>
      <c r="Q34" s="160" t="s">
        <v>1019</v>
      </c>
      <c r="R34" s="141"/>
      <c r="S34" s="160"/>
      <c r="T34" s="141"/>
      <c r="U34" s="141"/>
      <c r="V34" s="141"/>
      <c r="W34" s="141"/>
      <c r="X34" s="141"/>
      <c r="Y34" s="141"/>
      <c r="Z34" s="141"/>
      <c r="AA34" s="141"/>
      <c r="AB34" s="141"/>
      <c r="AC34" s="141"/>
      <c r="AD34" s="141"/>
      <c r="AE34" s="141"/>
      <c r="AF34" s="141"/>
      <c r="AG34" s="141"/>
      <c r="AH34" s="141"/>
      <c r="AI34" s="141"/>
      <c r="AJ34" s="141"/>
      <c r="AK34" s="141"/>
      <c r="AL34" s="141"/>
      <c r="AM34" s="141"/>
    </row>
    <row r="35" spans="1:42">
      <c r="A35" s="170"/>
      <c r="B35" s="834"/>
      <c r="C35" s="835"/>
      <c r="D35" s="165"/>
      <c r="E35" s="163">
        <f t="shared" si="0"/>
        <v>0</v>
      </c>
      <c r="F35" s="165"/>
      <c r="G35" s="163">
        <f t="shared" ref="G35:G42" si="2">F35*MDWorkhours</f>
        <v>0</v>
      </c>
      <c r="H35" s="781"/>
      <c r="I35" s="141"/>
      <c r="J35" s="141"/>
      <c r="K35" s="141"/>
      <c r="L35" s="176"/>
      <c r="M35" s="838"/>
      <c r="N35" s="839"/>
      <c r="O35" s="840"/>
      <c r="P35" s="141"/>
      <c r="Q35" s="160"/>
      <c r="R35" s="141"/>
      <c r="S35" s="160"/>
      <c r="T35" s="141"/>
      <c r="U35" s="141"/>
      <c r="V35" s="141"/>
      <c r="W35" s="141"/>
      <c r="X35" s="141"/>
      <c r="Y35" s="141"/>
      <c r="Z35" s="141"/>
      <c r="AA35" s="141"/>
      <c r="AB35" s="141"/>
      <c r="AC35" s="141"/>
      <c r="AD35" s="141"/>
      <c r="AE35" s="141"/>
      <c r="AF35" s="141"/>
      <c r="AG35" s="141"/>
      <c r="AH35" s="141"/>
      <c r="AI35" s="141"/>
      <c r="AJ35" s="141"/>
      <c r="AK35" s="141"/>
      <c r="AL35" s="141"/>
      <c r="AM35" s="141"/>
    </row>
    <row r="36" spans="1:42">
      <c r="A36" s="170"/>
      <c r="B36" s="834"/>
      <c r="C36" s="835"/>
      <c r="D36" s="165"/>
      <c r="E36" s="163">
        <f t="shared" si="0"/>
        <v>0</v>
      </c>
      <c r="F36" s="165"/>
      <c r="G36" s="163">
        <f t="shared" si="2"/>
        <v>0</v>
      </c>
      <c r="H36" s="781"/>
      <c r="I36" s="141"/>
      <c r="J36" s="141"/>
      <c r="K36" s="141"/>
      <c r="L36" s="176"/>
      <c r="M36" s="838"/>
      <c r="N36" s="839"/>
      <c r="O36" s="840"/>
      <c r="P36" s="141"/>
      <c r="Q36" s="160"/>
      <c r="R36" s="141"/>
      <c r="S36" s="160"/>
      <c r="T36" s="141"/>
      <c r="U36" s="141"/>
      <c r="V36" s="141"/>
      <c r="W36" s="141"/>
      <c r="X36" s="141"/>
      <c r="Y36" s="141"/>
      <c r="Z36" s="141"/>
      <c r="AA36" s="141"/>
      <c r="AB36" s="141"/>
      <c r="AC36" s="141"/>
      <c r="AD36" s="141"/>
      <c r="AE36" s="141"/>
      <c r="AF36" s="141"/>
      <c r="AG36" s="141"/>
      <c r="AH36" s="141"/>
      <c r="AI36" s="141"/>
      <c r="AJ36" s="141"/>
      <c r="AK36" s="141"/>
      <c r="AL36" s="141"/>
    </row>
    <row r="37" spans="1:42">
      <c r="A37" s="170"/>
      <c r="B37" s="834"/>
      <c r="C37" s="835"/>
      <c r="D37" s="165"/>
      <c r="E37" s="163">
        <f t="shared" si="0"/>
        <v>0</v>
      </c>
      <c r="F37" s="165"/>
      <c r="G37" s="163">
        <f t="shared" si="2"/>
        <v>0</v>
      </c>
      <c r="H37" s="781"/>
      <c r="I37" s="141"/>
      <c r="J37" s="141"/>
      <c r="K37" s="141"/>
      <c r="L37" s="176"/>
      <c r="M37" s="838"/>
      <c r="N37" s="839"/>
      <c r="O37" s="840"/>
      <c r="P37" s="141"/>
      <c r="Q37" s="160"/>
      <c r="R37" s="141"/>
      <c r="S37" s="160"/>
      <c r="T37" s="141"/>
      <c r="U37" s="141"/>
      <c r="V37" s="141"/>
      <c r="W37" s="141"/>
      <c r="X37" s="141"/>
      <c r="Y37" s="141"/>
      <c r="Z37" s="141"/>
      <c r="AA37" s="141"/>
      <c r="AB37" s="141"/>
      <c r="AC37" s="141"/>
      <c r="AD37" s="141"/>
      <c r="AE37" s="141"/>
      <c r="AF37" s="141"/>
      <c r="AG37" s="141"/>
      <c r="AH37" s="141"/>
      <c r="AI37" s="141"/>
      <c r="AJ37" s="141"/>
      <c r="AK37" s="141"/>
      <c r="AL37" s="141"/>
    </row>
    <row r="38" spans="1:42">
      <c r="A38" s="170"/>
      <c r="B38" s="834"/>
      <c r="C38" s="835"/>
      <c r="D38" s="165"/>
      <c r="E38" s="163">
        <f t="shared" si="0"/>
        <v>0</v>
      </c>
      <c r="F38" s="165"/>
      <c r="G38" s="163">
        <f t="shared" si="2"/>
        <v>0</v>
      </c>
      <c r="H38" s="781"/>
      <c r="I38" s="141"/>
      <c r="J38" s="141"/>
      <c r="K38" s="141"/>
      <c r="L38" s="176"/>
      <c r="M38" s="838"/>
      <c r="N38" s="839"/>
      <c r="O38" s="840"/>
      <c r="P38" s="141"/>
      <c r="Q38" s="160"/>
      <c r="R38" s="141"/>
      <c r="S38" s="160"/>
      <c r="T38" s="141"/>
      <c r="U38" s="141"/>
      <c r="V38" s="141"/>
      <c r="W38" s="141"/>
      <c r="X38" s="141"/>
      <c r="Y38" s="141"/>
      <c r="Z38" s="141"/>
      <c r="AA38" s="141"/>
      <c r="AB38" s="141"/>
      <c r="AC38" s="141"/>
      <c r="AD38" s="141"/>
      <c r="AE38" s="141"/>
      <c r="AF38" s="141"/>
      <c r="AG38" s="141"/>
      <c r="AH38" s="141"/>
      <c r="AI38" s="141"/>
      <c r="AJ38" s="141"/>
      <c r="AK38" s="141"/>
    </row>
    <row r="39" spans="1:42">
      <c r="A39" s="170"/>
      <c r="B39" s="834"/>
      <c r="C39" s="835"/>
      <c r="D39" s="165"/>
      <c r="E39" s="163">
        <f t="shared" si="0"/>
        <v>0</v>
      </c>
      <c r="F39" s="165"/>
      <c r="G39" s="163">
        <f t="shared" si="2"/>
        <v>0</v>
      </c>
      <c r="H39" s="781"/>
      <c r="I39" s="141"/>
      <c r="J39" s="141"/>
      <c r="K39" s="141"/>
      <c r="L39" s="176"/>
      <c r="M39" s="838"/>
      <c r="N39" s="839"/>
      <c r="O39" s="840"/>
      <c r="P39" s="141"/>
      <c r="Q39" s="160"/>
      <c r="R39" s="141"/>
      <c r="S39" s="160"/>
      <c r="T39" s="141"/>
      <c r="U39" s="141"/>
      <c r="V39" s="141"/>
      <c r="W39" s="141"/>
      <c r="X39" s="141"/>
      <c r="Y39" s="141"/>
      <c r="Z39" s="141"/>
      <c r="AA39" s="141"/>
      <c r="AB39" s="141"/>
      <c r="AC39" s="141"/>
      <c r="AD39" s="141"/>
      <c r="AE39" s="141"/>
      <c r="AF39" s="141"/>
      <c r="AG39" s="141"/>
      <c r="AH39" s="141"/>
      <c r="AI39" s="141"/>
      <c r="AJ39" s="141"/>
      <c r="AK39" s="141"/>
    </row>
    <row r="40" spans="1:42">
      <c r="A40" s="170"/>
      <c r="B40" s="834"/>
      <c r="C40" s="835"/>
      <c r="D40" s="165"/>
      <c r="E40" s="163">
        <f t="shared" si="0"/>
        <v>0</v>
      </c>
      <c r="F40" s="165"/>
      <c r="G40" s="163">
        <f t="shared" si="2"/>
        <v>0</v>
      </c>
      <c r="H40" s="781"/>
      <c r="I40" s="141"/>
      <c r="J40" s="141"/>
      <c r="K40" s="141"/>
      <c r="L40" s="176"/>
      <c r="M40" s="838"/>
      <c r="N40" s="839"/>
      <c r="O40" s="840"/>
      <c r="P40" s="141"/>
      <c r="Q40" s="160"/>
      <c r="R40" s="141"/>
      <c r="S40" s="160"/>
      <c r="T40" s="141"/>
      <c r="U40" s="141"/>
      <c r="V40" s="141"/>
      <c r="W40" s="141"/>
      <c r="X40" s="141"/>
      <c r="Y40" s="141"/>
      <c r="Z40" s="141"/>
      <c r="AA40" s="141"/>
      <c r="AB40" s="141"/>
      <c r="AC40" s="141"/>
      <c r="AD40" s="141"/>
      <c r="AE40" s="141"/>
      <c r="AF40" s="141"/>
      <c r="AG40" s="141"/>
      <c r="AH40" s="141"/>
      <c r="AI40" s="141"/>
      <c r="AJ40" s="141"/>
      <c r="AK40" s="141"/>
    </row>
    <row r="41" spans="1:42">
      <c r="A41" s="170"/>
      <c r="B41" s="834"/>
      <c r="C41" s="835"/>
      <c r="D41" s="165"/>
      <c r="E41" s="163">
        <f t="shared" si="0"/>
        <v>0</v>
      </c>
      <c r="F41" s="165"/>
      <c r="G41" s="163">
        <f t="shared" si="2"/>
        <v>0</v>
      </c>
      <c r="H41" s="781"/>
      <c r="I41" s="141"/>
      <c r="J41" s="141"/>
      <c r="K41" s="141"/>
      <c r="L41" s="176"/>
      <c r="M41" s="838"/>
      <c r="N41" s="839"/>
      <c r="O41" s="840"/>
      <c r="P41" s="141"/>
      <c r="Q41" s="160"/>
      <c r="R41" s="141"/>
      <c r="S41" s="160"/>
      <c r="T41" s="141"/>
      <c r="U41" s="141"/>
      <c r="V41" s="141"/>
      <c r="W41" s="141"/>
      <c r="X41" s="141"/>
      <c r="Y41" s="141"/>
      <c r="Z41" s="141"/>
      <c r="AA41" s="141"/>
      <c r="AB41" s="141"/>
      <c r="AC41" s="141"/>
      <c r="AD41" s="141"/>
      <c r="AE41" s="141"/>
      <c r="AF41" s="141"/>
      <c r="AG41" s="141"/>
      <c r="AH41" s="141"/>
      <c r="AI41" s="141"/>
      <c r="AJ41" s="141"/>
      <c r="AK41" s="141"/>
    </row>
    <row r="42" spans="1:42">
      <c r="A42" s="170"/>
      <c r="B42" s="834"/>
      <c r="C42" s="835"/>
      <c r="D42" s="165"/>
      <c r="E42" s="163">
        <f t="shared" si="0"/>
        <v>0</v>
      </c>
      <c r="F42" s="165"/>
      <c r="G42" s="163">
        <f t="shared" si="2"/>
        <v>0</v>
      </c>
      <c r="H42" s="781"/>
      <c r="I42" s="141"/>
      <c r="J42" s="141"/>
      <c r="K42" s="141"/>
      <c r="L42" s="176"/>
      <c r="M42" s="838"/>
      <c r="N42" s="839"/>
      <c r="O42" s="840"/>
      <c r="P42" s="141"/>
      <c r="Q42" s="160"/>
      <c r="R42" s="141"/>
      <c r="S42" s="160"/>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row>
    <row r="43" spans="1:42">
      <c r="A43" s="141"/>
      <c r="B43" s="141"/>
      <c r="C43" s="141"/>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row>
    <row r="44" spans="1:42" ht="15" customHeight="1">
      <c r="A44" s="141"/>
      <c r="B44" s="141"/>
      <c r="C44" s="141"/>
      <c r="D44" s="141"/>
      <c r="E44" s="141"/>
      <c r="F44" s="141"/>
      <c r="G44" s="141"/>
      <c r="H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row>
    <row r="45" spans="1:42" ht="15" customHeight="1">
      <c r="A45" s="141"/>
      <c r="B45" s="141"/>
      <c r="C45" s="141"/>
      <c r="D45" s="141"/>
      <c r="E45" s="141"/>
      <c r="F45" s="141"/>
      <c r="G45" s="141"/>
      <c r="H45" s="141"/>
      <c r="K45" s="141"/>
      <c r="L45" s="141"/>
      <c r="M45" s="141"/>
      <c r="N45" s="141"/>
      <c r="O45" s="141"/>
      <c r="Q45" s="141"/>
      <c r="R45" s="141"/>
      <c r="S45" s="141"/>
      <c r="AP45" s="141"/>
    </row>
    <row r="46" spans="1:42" ht="15" hidden="1" customHeight="1">
      <c r="A46" s="882" t="s">
        <v>468</v>
      </c>
      <c r="B46" s="882"/>
      <c r="C46" s="166">
        <f>IF(MDReportingPeriod=TMDMonthly,DATE(YEAR(MDProjectStart),MONTH(MDProjectStart)+1,1),IF(MDReportingPeriod=TMDWeekly,MDProjectStart+7,IF(MDReportingPeriod=TMDTwoweekly,MDProjectStart+14,"")))</f>
        <v>41774</v>
      </c>
      <c r="D46" s="166">
        <f t="shared" ref="D46:G46" si="3">IF(MDReportingPeriod=TMDMonthly,DATE(YEAR(C46),MONTH(C46)+1,1),IF(MDReportingPeriod=TMDWeekly,C46+7,IF(MDReportingPeriod=TMDTwoweekly,C46+14,"")))</f>
        <v>41788</v>
      </c>
      <c r="E46" s="166">
        <f>IF(MDReportingPeriod=TMDMonthly,DATE(YEAR(D46),MONTH(D46)+1,1),IF(MDReportingPeriod=TMDWeekly,D46+7,IF(MDReportingPeriod=TMDTwoweekly,D46+14,"")))</f>
        <v>41802</v>
      </c>
      <c r="F46" s="166">
        <f t="shared" si="3"/>
        <v>41816</v>
      </c>
      <c r="G46" s="166">
        <f t="shared" si="3"/>
        <v>41830</v>
      </c>
      <c r="H46" s="166">
        <f t="shared" ref="H46:S46" si="4">IF(MDReportingPeriod=TMDMonthly,DATE(YEAR(G46),MONTH(G46)+1,1),IF(MDReportingPeriod=TMDWeekly,G46+7,IF(MDReportingPeriod=TMDTwoweekly,G46+14,"")))</f>
        <v>41844</v>
      </c>
      <c r="I46" s="166">
        <f t="shared" si="4"/>
        <v>41858</v>
      </c>
      <c r="J46" s="166">
        <f t="shared" si="4"/>
        <v>41872</v>
      </c>
      <c r="K46" s="166">
        <f t="shared" si="4"/>
        <v>41886</v>
      </c>
      <c r="L46" s="166">
        <f t="shared" si="4"/>
        <v>41900</v>
      </c>
      <c r="M46" s="166">
        <f t="shared" si="4"/>
        <v>41914</v>
      </c>
      <c r="N46" s="166">
        <f t="shared" si="4"/>
        <v>41928</v>
      </c>
      <c r="O46" s="166">
        <f t="shared" si="4"/>
        <v>41942</v>
      </c>
      <c r="P46" s="166">
        <f t="shared" si="4"/>
        <v>41956</v>
      </c>
      <c r="Q46" s="166">
        <f t="shared" si="4"/>
        <v>41970</v>
      </c>
      <c r="R46" s="166">
        <f t="shared" si="4"/>
        <v>41984</v>
      </c>
      <c r="S46" s="166">
        <f t="shared" si="4"/>
        <v>41998</v>
      </c>
      <c r="T46" s="166">
        <f t="shared" ref="T46:AN46" si="5">IF(MDReportingPeriod=TMDMonthly,DATE(YEAR(S46),MONTH(S46)+1,1),IF(MDReportingPeriod=TMDWeekly,S46+7,IF(MDReportingPeriod=TMDTwoweekly,S46+14,"")))</f>
        <v>42012</v>
      </c>
      <c r="U46" s="166">
        <f t="shared" si="5"/>
        <v>42026</v>
      </c>
      <c r="V46" s="166">
        <f t="shared" si="5"/>
        <v>42040</v>
      </c>
      <c r="W46" s="166">
        <f t="shared" si="5"/>
        <v>42054</v>
      </c>
      <c r="X46" s="166">
        <f t="shared" si="5"/>
        <v>42068</v>
      </c>
      <c r="Y46" s="166">
        <f t="shared" si="5"/>
        <v>42082</v>
      </c>
      <c r="Z46" s="166">
        <f t="shared" si="5"/>
        <v>42096</v>
      </c>
      <c r="AA46" s="166">
        <f t="shared" si="5"/>
        <v>42110</v>
      </c>
      <c r="AB46" s="166">
        <f t="shared" si="5"/>
        <v>42124</v>
      </c>
      <c r="AC46" s="166">
        <f t="shared" si="5"/>
        <v>42138</v>
      </c>
      <c r="AD46" s="166">
        <f t="shared" si="5"/>
        <v>42152</v>
      </c>
      <c r="AE46" s="166">
        <f t="shared" si="5"/>
        <v>42166</v>
      </c>
      <c r="AF46" s="166">
        <f t="shared" si="5"/>
        <v>42180</v>
      </c>
      <c r="AG46" s="166">
        <f t="shared" si="5"/>
        <v>42194</v>
      </c>
      <c r="AH46" s="166">
        <f t="shared" si="5"/>
        <v>42208</v>
      </c>
      <c r="AI46" s="166">
        <f t="shared" si="5"/>
        <v>42222</v>
      </c>
      <c r="AJ46" s="166">
        <f t="shared" si="5"/>
        <v>42236</v>
      </c>
      <c r="AK46" s="166">
        <f t="shared" si="5"/>
        <v>42250</v>
      </c>
      <c r="AL46" s="166">
        <f t="shared" si="5"/>
        <v>42264</v>
      </c>
      <c r="AM46" s="166">
        <f t="shared" si="5"/>
        <v>42278</v>
      </c>
      <c r="AN46" s="166">
        <f t="shared" si="5"/>
        <v>42292</v>
      </c>
      <c r="AP46" s="141"/>
    </row>
    <row r="47" spans="1:42" hidden="1">
      <c r="A47" s="882" t="s">
        <v>469</v>
      </c>
      <c r="B47" s="882"/>
      <c r="C47" s="166">
        <f>C46</f>
        <v>41774</v>
      </c>
      <c r="D47" s="166">
        <f t="shared" ref="D47:G47" si="6">IF(D46&lt;IF(MDReportingPeriod=TMDMonthly,DATE(YEAR(MDProjectEnd),MONTH(MDProjectEnd)+1,DAY(MDProjectEnd)),IF(MDReportingPeriod=TMDTwoweekly,MDProjectEnd+14,IF(MDReportingPeriod=TMDWeekly,MDProjectEnd+7,""))),D46,"")</f>
        <v>41788</v>
      </c>
      <c r="E47" s="166">
        <f t="shared" si="6"/>
        <v>41802</v>
      </c>
      <c r="F47" s="166">
        <f t="shared" si="6"/>
        <v>41816</v>
      </c>
      <c r="G47" s="166">
        <f t="shared" si="6"/>
        <v>41830</v>
      </c>
      <c r="H47" s="166">
        <f t="shared" ref="H47:R47" si="7">IF(H46&lt;IF(MDReportingPeriod=TMDMonthly,DATE(YEAR(MDProjectEnd),MONTH(MDProjectEnd)+1,DAY(MDProjectEnd)),IF(MDReportingPeriod=TMDTwoweekly,MDProjectEnd+14,IF(MDReportingPeriod=TMDWeekly,MDProjectEnd+7,""))),H46,"")</f>
        <v>41844</v>
      </c>
      <c r="I47" s="166">
        <f t="shared" si="7"/>
        <v>41858</v>
      </c>
      <c r="J47" s="166">
        <f t="shared" si="7"/>
        <v>41872</v>
      </c>
      <c r="K47" s="166">
        <f t="shared" si="7"/>
        <v>41886</v>
      </c>
      <c r="L47" s="166" t="str">
        <f t="shared" si="7"/>
        <v/>
      </c>
      <c r="M47" s="166" t="str">
        <f t="shared" si="7"/>
        <v/>
      </c>
      <c r="N47" s="166" t="str">
        <f t="shared" si="7"/>
        <v/>
      </c>
      <c r="O47" s="166" t="str">
        <f t="shared" si="7"/>
        <v/>
      </c>
      <c r="P47" s="166" t="str">
        <f t="shared" si="7"/>
        <v/>
      </c>
      <c r="Q47" s="166" t="str">
        <f t="shared" si="7"/>
        <v/>
      </c>
      <c r="R47" s="166" t="str">
        <f t="shared" si="7"/>
        <v/>
      </c>
      <c r="S47" s="166" t="str">
        <f t="shared" ref="S47:AN47" si="8">IF(S46&lt;IF(MDReportingPeriod=TMDMonthly,DATE(YEAR(MDProjectEnd),MONTH(MDProjectEnd)+1,DAY(MDProjectEnd)),IF(MDReportingPeriod=TMDTwoweekly,MDProjectEnd+14,IF(MDReportingPeriod=TMDWeekly,MDProjectEnd+7,""))),S46,"")</f>
        <v/>
      </c>
      <c r="T47" s="166" t="str">
        <f t="shared" si="8"/>
        <v/>
      </c>
      <c r="U47" s="166" t="str">
        <f t="shared" si="8"/>
        <v/>
      </c>
      <c r="V47" s="166" t="str">
        <f t="shared" si="8"/>
        <v/>
      </c>
      <c r="W47" s="166" t="str">
        <f t="shared" si="8"/>
        <v/>
      </c>
      <c r="X47" s="166" t="str">
        <f t="shared" si="8"/>
        <v/>
      </c>
      <c r="Y47" s="166" t="str">
        <f t="shared" si="8"/>
        <v/>
      </c>
      <c r="Z47" s="166" t="str">
        <f t="shared" si="8"/>
        <v/>
      </c>
      <c r="AA47" s="166" t="str">
        <f t="shared" si="8"/>
        <v/>
      </c>
      <c r="AB47" s="166" t="str">
        <f t="shared" si="8"/>
        <v/>
      </c>
      <c r="AC47" s="166" t="str">
        <f t="shared" si="8"/>
        <v/>
      </c>
      <c r="AD47" s="166" t="str">
        <f t="shared" si="8"/>
        <v/>
      </c>
      <c r="AE47" s="166" t="str">
        <f t="shared" si="8"/>
        <v/>
      </c>
      <c r="AF47" s="166" t="str">
        <f t="shared" si="8"/>
        <v/>
      </c>
      <c r="AG47" s="166" t="str">
        <f t="shared" si="8"/>
        <v/>
      </c>
      <c r="AH47" s="166" t="str">
        <f t="shared" si="8"/>
        <v/>
      </c>
      <c r="AI47" s="166" t="str">
        <f t="shared" si="8"/>
        <v/>
      </c>
      <c r="AJ47" s="166" t="str">
        <f t="shared" si="8"/>
        <v/>
      </c>
      <c r="AK47" s="166" t="str">
        <f t="shared" si="8"/>
        <v/>
      </c>
      <c r="AL47" s="166" t="str">
        <f t="shared" si="8"/>
        <v/>
      </c>
      <c r="AM47" s="166" t="str">
        <f t="shared" si="8"/>
        <v/>
      </c>
      <c r="AN47" s="166" t="str">
        <f t="shared" si="8"/>
        <v/>
      </c>
      <c r="AO47" s="141"/>
      <c r="AP47" s="141"/>
    </row>
    <row r="48" spans="1:42" hidden="1">
      <c r="A48" s="880" t="s">
        <v>980</v>
      </c>
      <c r="B48" s="881"/>
      <c r="C48" s="167" t="str">
        <f>TEXT(DAY(MDProjectStart),"00") &amp; "." &amp; TEXT(MONTH(MDProjectStart),"00") &amp; "." &amp; TEXT(YEAR(MDProjectStart),"0000") &amp; " - " &amp; TEXT(DAY(MDProjectEnd),"00") &amp; "." &amp; TEXT(MONTH(MDProjectEnd),"00") &amp; "." &amp; TEXT(YEAR(MDProjectEnd),"0000")</f>
        <v>01.05.2014 - 30.08.2014</v>
      </c>
      <c r="D48" s="168"/>
      <c r="E48" s="141"/>
      <c r="F48" s="141"/>
      <c r="G48" s="141"/>
      <c r="H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row>
    <row r="49" spans="1:19" hidden="1">
      <c r="A49" s="141"/>
      <c r="B49" s="141"/>
      <c r="C49" s="141"/>
      <c r="D49" s="141"/>
      <c r="E49" s="141"/>
      <c r="F49" s="141"/>
      <c r="G49" s="141"/>
      <c r="H49" s="141"/>
      <c r="K49" s="141"/>
      <c r="L49" s="141"/>
      <c r="M49" s="141"/>
      <c r="N49" s="141"/>
      <c r="O49" s="141"/>
      <c r="Q49" s="141"/>
      <c r="R49" s="141"/>
      <c r="S49" s="141"/>
    </row>
    <row r="50" spans="1:19">
      <c r="C50" s="166">
        <f>IF(MDReportingPeriod=TMDMonthly,DATE(YEAR(MDProjectStart),MONTH(MDProjectStart)+1,1),IF(MDReportingPeriod=TMDWeekly,MDProjectStart+7,IF(MDReportingPeriod=TMDTwoweekly,MDProjectStart+14,"")))</f>
        <v>41774</v>
      </c>
    </row>
    <row r="51" spans="1:19">
      <c r="C51" s="782"/>
    </row>
    <row r="52" spans="1:19">
      <c r="C52" s="782"/>
    </row>
    <row r="53" spans="1:19">
      <c r="C53" s="782"/>
    </row>
    <row r="54" spans="1:19">
      <c r="C54" s="782"/>
    </row>
  </sheetData>
  <sheetProtection formatCells="0" formatColumns="0" sort="0" autoFilter="0" pivotTables="0"/>
  <mergeCells count="100">
    <mergeCell ref="I8:K8"/>
    <mergeCell ref="I6:K6"/>
    <mergeCell ref="A6:C6"/>
    <mergeCell ref="I22:J22"/>
    <mergeCell ref="D6:H6"/>
    <mergeCell ref="D7:H7"/>
    <mergeCell ref="D8:H8"/>
    <mergeCell ref="D9:H9"/>
    <mergeCell ref="D10:H10"/>
    <mergeCell ref="D11:H11"/>
    <mergeCell ref="D12:H12"/>
    <mergeCell ref="D14:H14"/>
    <mergeCell ref="D15:H15"/>
    <mergeCell ref="D16:H16"/>
    <mergeCell ref="D17:H17"/>
    <mergeCell ref="D19:H19"/>
    <mergeCell ref="A48:B48"/>
    <mergeCell ref="I10:K10"/>
    <mergeCell ref="I11:K11"/>
    <mergeCell ref="I15:K15"/>
    <mergeCell ref="I14:K14"/>
    <mergeCell ref="A10:C10"/>
    <mergeCell ref="A46:B46"/>
    <mergeCell ref="A47:B47"/>
    <mergeCell ref="B34:C34"/>
    <mergeCell ref="B33:C33"/>
    <mergeCell ref="B32:C32"/>
    <mergeCell ref="B30:C30"/>
    <mergeCell ref="I20:K20"/>
    <mergeCell ref="I19:K19"/>
    <mergeCell ref="A12:C12"/>
    <mergeCell ref="D20:H20"/>
    <mergeCell ref="M42:O42"/>
    <mergeCell ref="A1:E1"/>
    <mergeCell ref="A2:E2"/>
    <mergeCell ref="B29:C29"/>
    <mergeCell ref="A9:C9"/>
    <mergeCell ref="A14:C14"/>
    <mergeCell ref="A15:C15"/>
    <mergeCell ref="A11:C11"/>
    <mergeCell ref="A19:C19"/>
    <mergeCell ref="M37:O37"/>
    <mergeCell ref="M38:O38"/>
    <mergeCell ref="M39:O39"/>
    <mergeCell ref="M40:O40"/>
    <mergeCell ref="M41:O41"/>
    <mergeCell ref="L6:O6"/>
    <mergeCell ref="L7:O7"/>
    <mergeCell ref="M32:O32"/>
    <mergeCell ref="M33:O33"/>
    <mergeCell ref="M34:O34"/>
    <mergeCell ref="M35:O35"/>
    <mergeCell ref="M36:O36"/>
    <mergeCell ref="R5:S7"/>
    <mergeCell ref="M23:O23"/>
    <mergeCell ref="M24:O24"/>
    <mergeCell ref="M25:O25"/>
    <mergeCell ref="M26:O26"/>
    <mergeCell ref="L22:O22"/>
    <mergeCell ref="L8:O8"/>
    <mergeCell ref="L16:O16"/>
    <mergeCell ref="L20:O20"/>
    <mergeCell ref="L19:O19"/>
    <mergeCell ref="L14:O14"/>
    <mergeCell ref="L15:O15"/>
    <mergeCell ref="L10:O10"/>
    <mergeCell ref="L9:O9"/>
    <mergeCell ref="L11:O11"/>
    <mergeCell ref="I7:K7"/>
    <mergeCell ref="B31:C31"/>
    <mergeCell ref="A20:C20"/>
    <mergeCell ref="A23:A24"/>
    <mergeCell ref="B23:C24"/>
    <mergeCell ref="D23:E23"/>
    <mergeCell ref="B28:C28"/>
    <mergeCell ref="F23:G23"/>
    <mergeCell ref="B26:C26"/>
    <mergeCell ref="B27:C27"/>
    <mergeCell ref="B25:C25"/>
    <mergeCell ref="A22:G22"/>
    <mergeCell ref="A16:C16"/>
    <mergeCell ref="A17:C17"/>
    <mergeCell ref="I9:K9"/>
    <mergeCell ref="A8:C8"/>
    <mergeCell ref="B40:C40"/>
    <mergeCell ref="B41:C41"/>
    <mergeCell ref="B42:C42"/>
    <mergeCell ref="A5:O5"/>
    <mergeCell ref="B35:C35"/>
    <mergeCell ref="B36:C36"/>
    <mergeCell ref="B37:C37"/>
    <mergeCell ref="B38:C38"/>
    <mergeCell ref="B39:C39"/>
    <mergeCell ref="M31:O31"/>
    <mergeCell ref="M27:O27"/>
    <mergeCell ref="M28:O28"/>
    <mergeCell ref="A7:C7"/>
    <mergeCell ref="I16:K16"/>
    <mergeCell ref="M29:O29"/>
    <mergeCell ref="M30:O30"/>
  </mergeCells>
  <dataValidations count="5">
    <dataValidation type="list" allowBlank="1" showInputMessage="1" showErrorMessage="1" sqref="D8:H8">
      <formula1>TMDContractType</formula1>
    </dataValidation>
    <dataValidation type="list" allowBlank="1" showInputMessage="1" showErrorMessage="1" sqref="L8:O8">
      <formula1>TMDCurrency</formula1>
    </dataValidation>
    <dataValidation type="list" allowBlank="1" showInputMessage="1" showErrorMessage="1" sqref="D20">
      <formula1>"AD, BC, BI, IMS, AMS, "</formula1>
    </dataValidation>
    <dataValidation type="list" allowBlank="1" showInputMessage="1" showErrorMessage="1" sqref="L20:O20">
      <formula1>TMDReportPeriod</formula1>
    </dataValidation>
    <dataValidation type="date" operator="greaterThan" allowBlank="1" showInputMessage="1" showErrorMessage="1" errorTitle="Invalid Date" error="Date must be after Project Start Date" sqref="L19:O19">
      <formula1>MDProjectStart</formula1>
    </dataValidation>
  </dataValidations>
  <pageMargins left="0.70866141732283472" right="0.70866141732283472" top="0.74803149606299213" bottom="0.74803149606299213" header="0.31496062992125984" footer="0.31496062992125984"/>
  <pageSetup paperSize="9" scale="55" orientation="landscape" horizontalDpi="4294967293" r:id="rId2"/>
  <customProperties>
    <customPr name="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2296" r:id="rId6" name="Button 8">
              <controlPr defaultSize="0" print="0" autoFill="0" autoPict="0" macro="[0]!btnRefreshSlicer">
                <anchor moveWithCells="1" sizeWithCells="1">
                  <from>
                    <xdr:col>17</xdr:col>
                    <xdr:colOff>114300</xdr:colOff>
                    <xdr:row>4</xdr:row>
                    <xdr:rowOff>76200</xdr:rowOff>
                  </from>
                  <to>
                    <xdr:col>18</xdr:col>
                    <xdr:colOff>1821180</xdr:colOff>
                    <xdr:row>6</xdr:row>
                    <xdr:rowOff>152400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tabColor rgb="FFF79646"/>
  </sheetPr>
  <dimension ref="A1:T68"/>
  <sheetViews>
    <sheetView topLeftCell="A27" zoomScaleNormal="100" workbookViewId="0">
      <selection activeCell="E57" sqref="E57:G57"/>
    </sheetView>
  </sheetViews>
  <sheetFormatPr defaultColWidth="11.44140625" defaultRowHeight="13.8"/>
  <cols>
    <col min="1" max="3" width="11.44140625" style="126" customWidth="1"/>
    <col min="4" max="4" width="45.6640625" style="126" customWidth="1"/>
    <col min="5" max="7" width="11.44140625" style="126" customWidth="1"/>
    <col min="8" max="8" width="48.44140625" style="126" customWidth="1"/>
    <col min="9" max="10" width="11.44140625" style="126" customWidth="1"/>
    <col min="11" max="11" width="46" style="126" customWidth="1"/>
    <col min="12" max="14" width="11.44140625" style="126" customWidth="1"/>
    <col min="15" max="15" width="45.6640625" style="126" customWidth="1"/>
    <col min="16" max="19" width="11.44140625" style="126" customWidth="1"/>
    <col min="20" max="16384" width="11.44140625" style="126"/>
  </cols>
  <sheetData>
    <row r="1" spans="1:20" s="124" customFormat="1" ht="21">
      <c r="A1" s="893" t="str">
        <f>MDProjektname</f>
        <v>Migration GEFI</v>
      </c>
      <c r="B1" s="894"/>
      <c r="C1" s="894"/>
      <c r="D1" s="894"/>
      <c r="E1" s="895"/>
      <c r="F1" s="114"/>
      <c r="G1" s="114"/>
      <c r="H1" s="114"/>
      <c r="I1" s="114"/>
      <c r="J1" s="114"/>
      <c r="K1" s="114"/>
      <c r="L1" s="114"/>
      <c r="M1" s="114"/>
      <c r="N1" s="114"/>
      <c r="O1" s="114"/>
      <c r="P1" s="114"/>
      <c r="Q1" s="114"/>
      <c r="R1" s="114"/>
      <c r="S1" s="114"/>
      <c r="T1" s="114"/>
    </row>
    <row r="2" spans="1:20" s="124" customFormat="1" ht="26.25" customHeight="1" thickBot="1">
      <c r="A2" s="896" t="str">
        <f>MDCustomer</f>
        <v>OFISA</v>
      </c>
      <c r="B2" s="897"/>
      <c r="C2" s="897"/>
      <c r="D2" s="897"/>
      <c r="E2" s="898"/>
      <c r="F2" s="114"/>
      <c r="H2" s="177" t="s">
        <v>1494</v>
      </c>
      <c r="I2" s="114"/>
      <c r="J2" s="114"/>
      <c r="K2" s="114"/>
      <c r="L2" s="114"/>
      <c r="M2" s="114"/>
      <c r="N2" s="114"/>
      <c r="O2" s="114"/>
      <c r="P2" s="114"/>
      <c r="Q2" s="114"/>
      <c r="R2" s="114"/>
      <c r="S2" s="114"/>
      <c r="T2" s="114"/>
    </row>
    <row r="3" spans="1:20" s="124" customFormat="1" ht="26.25" customHeight="1">
      <c r="A3" s="114"/>
      <c r="B3" s="114"/>
      <c r="C3" s="114"/>
      <c r="D3" s="114"/>
      <c r="E3" s="114"/>
      <c r="F3" s="114"/>
      <c r="H3" s="125" t="s">
        <v>1495</v>
      </c>
      <c r="I3" s="114"/>
      <c r="J3" s="114"/>
      <c r="K3" s="114"/>
      <c r="L3" s="114"/>
      <c r="M3" s="114"/>
      <c r="N3" s="114"/>
      <c r="O3" s="114"/>
      <c r="P3" s="114"/>
      <c r="Q3" s="114"/>
      <c r="R3" s="114"/>
      <c r="S3" s="114"/>
      <c r="T3" s="114"/>
    </row>
    <row r="4" spans="1:20" s="124" customFormat="1" ht="15" customHeight="1" thickBot="1">
      <c r="A4" s="114"/>
      <c r="B4" s="114"/>
      <c r="C4" s="114"/>
      <c r="D4" s="114"/>
      <c r="E4" s="114"/>
      <c r="F4" s="114"/>
      <c r="G4" s="114"/>
      <c r="H4" s="114"/>
      <c r="I4" s="114"/>
      <c r="J4" s="114"/>
      <c r="K4" s="114"/>
      <c r="L4" s="114"/>
      <c r="M4" s="114"/>
      <c r="N4" s="114"/>
      <c r="O4" s="114"/>
      <c r="P4" s="114"/>
      <c r="Q4" s="114"/>
      <c r="R4" s="114"/>
      <c r="S4" s="114"/>
      <c r="T4" s="114"/>
    </row>
    <row r="5" spans="1:20" ht="16.2" thickBot="1">
      <c r="A5" s="903" t="s">
        <v>252</v>
      </c>
      <c r="B5" s="904"/>
      <c r="C5" s="904"/>
      <c r="D5" s="904"/>
      <c r="E5" s="904"/>
      <c r="F5" s="904"/>
      <c r="G5" s="904"/>
      <c r="H5" s="905"/>
    </row>
    <row r="6" spans="1:20">
      <c r="A6" s="906" t="s">
        <v>290</v>
      </c>
      <c r="B6" s="907"/>
      <c r="C6" s="908"/>
      <c r="D6" s="182" t="str">
        <f>MDCustomer</f>
        <v>OFISA</v>
      </c>
      <c r="E6" s="906" t="s">
        <v>856</v>
      </c>
      <c r="F6" s="907"/>
      <c r="G6" s="908"/>
      <c r="H6" s="182" t="str">
        <f>MDCustomerContact</f>
        <v>Stefan Mittermayr</v>
      </c>
    </row>
    <row r="7" spans="1:20">
      <c r="A7" s="909" t="s">
        <v>857</v>
      </c>
      <c r="B7" s="910"/>
      <c r="C7" s="911"/>
      <c r="D7" s="183" t="str">
        <f>MDProjektname</f>
        <v>Migration GEFI</v>
      </c>
      <c r="E7" s="909" t="s">
        <v>858</v>
      </c>
      <c r="F7" s="910"/>
      <c r="G7" s="911"/>
      <c r="H7" s="183" t="str">
        <f>MDProjectDescription</f>
        <v>Migration from Oracle Froms 6i to 11gR2</v>
      </c>
    </row>
    <row r="8" spans="1:20">
      <c r="A8" s="909" t="s">
        <v>859</v>
      </c>
      <c r="B8" s="910"/>
      <c r="C8" s="911"/>
      <c r="D8" s="183" t="str">
        <f>MDContractType</f>
        <v>Fixpreis</v>
      </c>
      <c r="E8" s="909" t="s">
        <v>860</v>
      </c>
      <c r="F8" s="910"/>
      <c r="G8" s="911"/>
      <c r="H8" s="183" t="str">
        <f>MDContractCurrency</f>
        <v>CHF</v>
      </c>
    </row>
    <row r="9" spans="1:20">
      <c r="A9" s="909" t="s">
        <v>861</v>
      </c>
      <c r="B9" s="910"/>
      <c r="C9" s="911"/>
      <c r="D9" s="183">
        <f>MDSAPNumber</f>
        <v>2849</v>
      </c>
      <c r="E9" s="909" t="s">
        <v>862</v>
      </c>
      <c r="F9" s="910"/>
      <c r="G9" s="911"/>
      <c r="H9" s="183">
        <f>MDContractVolume</f>
        <v>100000</v>
      </c>
    </row>
    <row r="10" spans="1:20">
      <c r="A10" s="909" t="s">
        <v>982</v>
      </c>
      <c r="B10" s="910"/>
      <c r="C10" s="911"/>
      <c r="D10" s="184" t="s">
        <v>830</v>
      </c>
      <c r="E10" s="909" t="s">
        <v>876</v>
      </c>
      <c r="F10" s="910"/>
      <c r="G10" s="911"/>
      <c r="H10" s="184">
        <v>80</v>
      </c>
    </row>
    <row r="11" spans="1:20">
      <c r="A11" s="909" t="s">
        <v>1009</v>
      </c>
      <c r="B11" s="910"/>
      <c r="C11" s="911"/>
      <c r="D11" s="811">
        <v>41713</v>
      </c>
      <c r="E11" s="909" t="s">
        <v>1538</v>
      </c>
      <c r="F11" s="910"/>
      <c r="G11" s="911"/>
      <c r="H11" s="811">
        <v>41713</v>
      </c>
    </row>
    <row r="12" spans="1:20" ht="14.4" thickBot="1"/>
    <row r="13" spans="1:20" ht="16.2" thickBot="1">
      <c r="A13" s="903" t="s">
        <v>889</v>
      </c>
      <c r="B13" s="904"/>
      <c r="C13" s="904"/>
      <c r="D13" s="904"/>
      <c r="E13" s="904"/>
      <c r="F13" s="904"/>
      <c r="G13" s="904"/>
      <c r="H13" s="905"/>
    </row>
    <row r="14" spans="1:20">
      <c r="A14" s="906" t="s">
        <v>890</v>
      </c>
      <c r="B14" s="907"/>
      <c r="C14" s="908"/>
      <c r="D14" s="185" t="s">
        <v>1555</v>
      </c>
      <c r="E14" s="906" t="s">
        <v>891</v>
      </c>
      <c r="F14" s="907"/>
      <c r="G14" s="908"/>
      <c r="H14" s="185" t="s">
        <v>1587</v>
      </c>
    </row>
    <row r="15" spans="1:20" ht="26.4">
      <c r="A15" s="909" t="s">
        <v>892</v>
      </c>
      <c r="B15" s="910"/>
      <c r="C15" s="911"/>
      <c r="D15" s="184" t="s">
        <v>1556</v>
      </c>
      <c r="E15" s="909" t="s">
        <v>893</v>
      </c>
      <c r="F15" s="910"/>
      <c r="G15" s="911"/>
      <c r="H15" s="184" t="s">
        <v>1588</v>
      </c>
    </row>
    <row r="16" spans="1:20" ht="26.4">
      <c r="A16" s="909" t="s">
        <v>894</v>
      </c>
      <c r="B16" s="910"/>
      <c r="C16" s="911"/>
      <c r="D16" s="184" t="s">
        <v>1589</v>
      </c>
      <c r="E16" s="909" t="s">
        <v>895</v>
      </c>
      <c r="F16" s="910"/>
      <c r="G16" s="911"/>
      <c r="H16" s="184" t="s">
        <v>1590</v>
      </c>
    </row>
    <row r="17" spans="1:8" ht="105.6">
      <c r="A17" s="909" t="s">
        <v>896</v>
      </c>
      <c r="B17" s="910"/>
      <c r="C17" s="911"/>
      <c r="D17" s="184" t="s">
        <v>1591</v>
      </c>
      <c r="E17" s="909" t="s">
        <v>897</v>
      </c>
      <c r="F17" s="910"/>
      <c r="G17" s="911"/>
      <c r="H17" s="184" t="s">
        <v>1592</v>
      </c>
    </row>
    <row r="18" spans="1:8" ht="26.4">
      <c r="A18" s="909" t="s">
        <v>872</v>
      </c>
      <c r="B18" s="910"/>
      <c r="C18" s="911"/>
      <c r="D18" s="184"/>
      <c r="E18" s="912" t="s">
        <v>898</v>
      </c>
      <c r="F18" s="912"/>
      <c r="G18" s="912"/>
      <c r="H18" s="812" t="s">
        <v>1557</v>
      </c>
    </row>
    <row r="19" spans="1:8">
      <c r="A19" s="909" t="s">
        <v>899</v>
      </c>
      <c r="B19" s="910"/>
      <c r="C19" s="911"/>
      <c r="D19" s="812" t="s">
        <v>1593</v>
      </c>
      <c r="E19" s="922"/>
      <c r="F19" s="922"/>
      <c r="G19" s="922"/>
      <c r="H19" s="186"/>
    </row>
    <row r="20" spans="1:8" ht="14.4" thickBot="1">
      <c r="A20" s="187"/>
      <c r="B20" s="187"/>
      <c r="C20" s="187"/>
      <c r="D20" s="187"/>
      <c r="E20" s="187"/>
      <c r="F20" s="187"/>
      <c r="G20" s="187"/>
      <c r="H20" s="187"/>
    </row>
    <row r="21" spans="1:8" ht="16.2" thickBot="1">
      <c r="A21" s="902" t="s">
        <v>900</v>
      </c>
      <c r="B21" s="900"/>
      <c r="C21" s="900"/>
      <c r="D21" s="900"/>
      <c r="E21" s="900"/>
      <c r="F21" s="900"/>
      <c r="G21" s="900"/>
      <c r="H21" s="901"/>
    </row>
    <row r="22" spans="1:8" ht="26.4">
      <c r="A22" s="906" t="s">
        <v>901</v>
      </c>
      <c r="B22" s="907"/>
      <c r="C22" s="908"/>
      <c r="D22" s="185" t="s">
        <v>1556</v>
      </c>
      <c r="E22" s="906" t="s">
        <v>902</v>
      </c>
      <c r="F22" s="907"/>
      <c r="G22" s="908"/>
      <c r="H22" s="185" t="s">
        <v>1594</v>
      </c>
    </row>
    <row r="23" spans="1:8">
      <c r="A23" s="909" t="s">
        <v>903</v>
      </c>
      <c r="B23" s="910"/>
      <c r="C23" s="911"/>
      <c r="D23" s="184" t="s">
        <v>1595</v>
      </c>
      <c r="E23" s="909"/>
      <c r="F23" s="910"/>
      <c r="G23" s="911"/>
      <c r="H23" s="184"/>
    </row>
    <row r="24" spans="1:8" ht="14.4" thickBot="1">
      <c r="A24" s="187"/>
      <c r="B24" s="187"/>
      <c r="C24" s="187"/>
      <c r="D24" s="187"/>
      <c r="E24" s="187"/>
      <c r="F24" s="187"/>
      <c r="G24" s="187"/>
      <c r="H24" s="187"/>
    </row>
    <row r="25" spans="1:8" ht="31.5" customHeight="1" thickBot="1">
      <c r="A25" s="899" t="s">
        <v>1536</v>
      </c>
      <c r="B25" s="900"/>
      <c r="C25" s="900"/>
      <c r="D25" s="900"/>
      <c r="E25" s="900"/>
      <c r="F25" s="900"/>
      <c r="G25" s="900"/>
      <c r="H25" s="901"/>
    </row>
    <row r="26" spans="1:8">
      <c r="A26" s="913" t="s">
        <v>904</v>
      </c>
      <c r="B26" s="914"/>
      <c r="C26" s="914"/>
      <c r="D26" s="914"/>
      <c r="E26" s="915"/>
      <c r="F26" s="188" t="s">
        <v>905</v>
      </c>
      <c r="G26" s="188" t="s">
        <v>906</v>
      </c>
      <c r="H26" s="189" t="s">
        <v>932</v>
      </c>
    </row>
    <row r="27" spans="1:8">
      <c r="A27" s="909" t="s">
        <v>907</v>
      </c>
      <c r="B27" s="910"/>
      <c r="C27" s="910"/>
      <c r="D27" s="910"/>
      <c r="E27" s="911"/>
      <c r="F27" s="812" t="s">
        <v>1559</v>
      </c>
      <c r="G27" s="812"/>
      <c r="H27" s="184"/>
    </row>
    <row r="28" spans="1:8">
      <c r="A28" s="909" t="s">
        <v>908</v>
      </c>
      <c r="B28" s="910"/>
      <c r="C28" s="910"/>
      <c r="D28" s="910"/>
      <c r="E28" s="911"/>
      <c r="F28" s="812" t="s">
        <v>1558</v>
      </c>
      <c r="G28" s="184"/>
      <c r="H28" s="184"/>
    </row>
    <row r="29" spans="1:8">
      <c r="A29" s="909" t="s">
        <v>909</v>
      </c>
      <c r="B29" s="910"/>
      <c r="C29" s="910"/>
      <c r="D29" s="910"/>
      <c r="E29" s="911"/>
      <c r="F29" s="812" t="s">
        <v>1559</v>
      </c>
      <c r="G29" s="812"/>
      <c r="H29" s="184"/>
    </row>
    <row r="30" spans="1:8">
      <c r="A30" s="909" t="s">
        <v>910</v>
      </c>
      <c r="B30" s="910"/>
      <c r="C30" s="910"/>
      <c r="D30" s="910"/>
      <c r="E30" s="911"/>
      <c r="F30" s="184" t="s">
        <v>1555</v>
      </c>
      <c r="G30" s="184" t="s">
        <v>1555</v>
      </c>
      <c r="H30" s="184" t="s">
        <v>1596</v>
      </c>
    </row>
    <row r="31" spans="1:8">
      <c r="A31" s="916" t="s">
        <v>911</v>
      </c>
      <c r="B31" s="917"/>
      <c r="C31" s="917"/>
      <c r="D31" s="917"/>
      <c r="E31" s="918"/>
      <c r="F31" s="190" t="s">
        <v>905</v>
      </c>
      <c r="G31" s="190" t="s">
        <v>906</v>
      </c>
      <c r="H31" s="189" t="s">
        <v>932</v>
      </c>
    </row>
    <row r="32" spans="1:8">
      <c r="A32" s="909" t="s">
        <v>912</v>
      </c>
      <c r="B32" s="910"/>
      <c r="C32" s="910"/>
      <c r="D32" s="910"/>
      <c r="E32" s="911"/>
      <c r="F32" s="812" t="s">
        <v>1558</v>
      </c>
      <c r="G32" s="812"/>
      <c r="H32" s="184"/>
    </row>
    <row r="33" spans="1:8">
      <c r="A33" s="909" t="s">
        <v>913</v>
      </c>
      <c r="B33" s="910"/>
      <c r="C33" s="910"/>
      <c r="D33" s="910"/>
      <c r="E33" s="911"/>
      <c r="F33" s="812" t="s">
        <v>1558</v>
      </c>
      <c r="G33" s="812"/>
      <c r="H33" s="184"/>
    </row>
    <row r="34" spans="1:8">
      <c r="A34" s="909" t="s">
        <v>914</v>
      </c>
      <c r="B34" s="910"/>
      <c r="C34" s="910"/>
      <c r="D34" s="910"/>
      <c r="E34" s="911"/>
      <c r="F34" s="812" t="s">
        <v>1560</v>
      </c>
      <c r="G34" s="812"/>
      <c r="H34" s="184"/>
    </row>
    <row r="35" spans="1:8">
      <c r="A35" s="909" t="s">
        <v>915</v>
      </c>
      <c r="B35" s="910"/>
      <c r="C35" s="910"/>
      <c r="D35" s="910"/>
      <c r="E35" s="911"/>
      <c r="F35" s="812" t="s">
        <v>1559</v>
      </c>
      <c r="G35" s="812"/>
      <c r="H35" s="184" t="s">
        <v>1597</v>
      </c>
    </row>
    <row r="36" spans="1:8">
      <c r="A36" s="909" t="s">
        <v>916</v>
      </c>
      <c r="B36" s="910"/>
      <c r="C36" s="910"/>
      <c r="D36" s="910"/>
      <c r="E36" s="911"/>
      <c r="F36" s="184"/>
      <c r="G36" s="184"/>
      <c r="H36" s="184"/>
    </row>
    <row r="37" spans="1:8">
      <c r="A37" s="916" t="s">
        <v>917</v>
      </c>
      <c r="B37" s="917"/>
      <c r="C37" s="917"/>
      <c r="D37" s="917"/>
      <c r="E37" s="918"/>
      <c r="F37" s="190" t="s">
        <v>905</v>
      </c>
      <c r="G37" s="190" t="s">
        <v>906</v>
      </c>
      <c r="H37" s="189" t="s">
        <v>932</v>
      </c>
    </row>
    <row r="38" spans="1:8">
      <c r="A38" s="909" t="s">
        <v>918</v>
      </c>
      <c r="B38" s="910"/>
      <c r="C38" s="910"/>
      <c r="D38" s="910"/>
      <c r="E38" s="911"/>
      <c r="F38" s="812" t="s">
        <v>1559</v>
      </c>
      <c r="G38" s="184"/>
      <c r="H38" s="184"/>
    </row>
    <row r="39" spans="1:8">
      <c r="A39" s="909" t="s">
        <v>919</v>
      </c>
      <c r="B39" s="910"/>
      <c r="C39" s="910"/>
      <c r="D39" s="910"/>
      <c r="E39" s="911"/>
      <c r="F39" s="812" t="s">
        <v>1559</v>
      </c>
      <c r="G39" s="812"/>
      <c r="H39" s="184"/>
    </row>
    <row r="40" spans="1:8">
      <c r="A40" s="909" t="s">
        <v>920</v>
      </c>
      <c r="B40" s="910"/>
      <c r="C40" s="910"/>
      <c r="D40" s="910"/>
      <c r="E40" s="911"/>
      <c r="F40" s="812" t="s">
        <v>1559</v>
      </c>
      <c r="G40" s="812"/>
      <c r="H40" s="184"/>
    </row>
    <row r="41" spans="1:8">
      <c r="A41" s="909" t="s">
        <v>921</v>
      </c>
      <c r="B41" s="910"/>
      <c r="C41" s="910"/>
      <c r="D41" s="910"/>
      <c r="E41" s="911"/>
      <c r="F41" s="184" t="s">
        <v>1555</v>
      </c>
      <c r="G41" s="184"/>
      <c r="H41" s="184"/>
    </row>
    <row r="42" spans="1:8">
      <c r="A42" s="909" t="s">
        <v>922</v>
      </c>
      <c r="B42" s="910"/>
      <c r="C42" s="910"/>
      <c r="D42" s="910"/>
      <c r="E42" s="911"/>
      <c r="F42" s="184" t="s">
        <v>1598</v>
      </c>
      <c r="G42" s="184"/>
      <c r="H42" s="184"/>
    </row>
    <row r="43" spans="1:8">
      <c r="A43" s="916" t="s">
        <v>923</v>
      </c>
      <c r="B43" s="917"/>
      <c r="C43" s="917"/>
      <c r="D43" s="917"/>
      <c r="E43" s="918"/>
      <c r="F43" s="190" t="s">
        <v>905</v>
      </c>
      <c r="G43" s="190" t="s">
        <v>906</v>
      </c>
      <c r="H43" s="189" t="s">
        <v>932</v>
      </c>
    </row>
    <row r="44" spans="1:8">
      <c r="A44" s="909" t="s">
        <v>924</v>
      </c>
      <c r="B44" s="910"/>
      <c r="C44" s="910"/>
      <c r="D44" s="910"/>
      <c r="E44" s="911"/>
      <c r="F44" s="812" t="s">
        <v>1558</v>
      </c>
      <c r="G44" s="812"/>
      <c r="H44" s="184"/>
    </row>
    <row r="45" spans="1:8">
      <c r="A45" s="909" t="s">
        <v>925</v>
      </c>
      <c r="B45" s="910"/>
      <c r="C45" s="910"/>
      <c r="D45" s="910"/>
      <c r="E45" s="911"/>
      <c r="F45" s="812" t="s">
        <v>1559</v>
      </c>
      <c r="G45" s="812"/>
      <c r="H45" s="184"/>
    </row>
    <row r="46" spans="1:8">
      <c r="A46" s="909" t="s">
        <v>926</v>
      </c>
      <c r="B46" s="910"/>
      <c r="C46" s="910"/>
      <c r="D46" s="910"/>
      <c r="E46" s="911"/>
      <c r="F46" s="812" t="s">
        <v>1555</v>
      </c>
      <c r="G46" s="812"/>
      <c r="H46" s="184"/>
    </row>
    <row r="47" spans="1:8">
      <c r="A47" s="909" t="s">
        <v>927</v>
      </c>
      <c r="B47" s="910"/>
      <c r="C47" s="910"/>
      <c r="D47" s="910"/>
      <c r="E47" s="911"/>
      <c r="F47" s="812" t="s">
        <v>1559</v>
      </c>
      <c r="G47" s="812"/>
      <c r="H47" s="184" t="s">
        <v>1599</v>
      </c>
    </row>
    <row r="48" spans="1:8">
      <c r="A48" s="909" t="s">
        <v>928</v>
      </c>
      <c r="B48" s="910"/>
      <c r="C48" s="910"/>
      <c r="D48" s="910"/>
      <c r="E48" s="911"/>
      <c r="F48" s="812" t="s">
        <v>1558</v>
      </c>
      <c r="G48" s="812"/>
      <c r="H48" s="184"/>
    </row>
    <row r="49" spans="1:8" ht="14.4" thickBot="1"/>
    <row r="50" spans="1:8" ht="16.2" thickBot="1">
      <c r="A50" s="903" t="s">
        <v>929</v>
      </c>
      <c r="B50" s="904"/>
      <c r="C50" s="904"/>
      <c r="D50" s="904"/>
      <c r="E50" s="904"/>
      <c r="F50" s="904"/>
      <c r="G50" s="904"/>
      <c r="H50" s="905"/>
    </row>
    <row r="51" spans="1:8">
      <c r="A51" s="906" t="s">
        <v>930</v>
      </c>
      <c r="B51" s="907"/>
      <c r="C51" s="907"/>
      <c r="D51" s="908"/>
      <c r="E51" s="906" t="s">
        <v>931</v>
      </c>
      <c r="F51" s="907"/>
      <c r="G51" s="908"/>
      <c r="H51" s="191" t="s">
        <v>303</v>
      </c>
    </row>
    <row r="52" spans="1:8">
      <c r="A52" s="919"/>
      <c r="B52" s="920"/>
      <c r="C52" s="920"/>
      <c r="D52" s="921"/>
      <c r="E52" s="919"/>
      <c r="F52" s="920"/>
      <c r="G52" s="921"/>
      <c r="H52" s="192"/>
    </row>
    <row r="53" spans="1:8">
      <c r="A53" s="919"/>
      <c r="B53" s="920"/>
      <c r="C53" s="920"/>
      <c r="D53" s="921"/>
      <c r="E53" s="919"/>
      <c r="F53" s="920"/>
      <c r="G53" s="921"/>
      <c r="H53" s="192"/>
    </row>
    <row r="54" spans="1:8">
      <c r="A54" s="919"/>
      <c r="B54" s="920"/>
      <c r="C54" s="920"/>
      <c r="D54" s="921"/>
      <c r="E54" s="919"/>
      <c r="F54" s="920"/>
      <c r="G54" s="921"/>
      <c r="H54" s="192"/>
    </row>
    <row r="55" spans="1:8">
      <c r="A55" s="919"/>
      <c r="B55" s="920"/>
      <c r="C55" s="920"/>
      <c r="D55" s="921"/>
      <c r="E55" s="919"/>
      <c r="F55" s="920"/>
      <c r="G55" s="921"/>
      <c r="H55" s="192"/>
    </row>
    <row r="56" spans="1:8">
      <c r="A56" s="919"/>
      <c r="B56" s="920"/>
      <c r="C56" s="920"/>
      <c r="D56" s="921"/>
      <c r="E56" s="919"/>
      <c r="F56" s="920"/>
      <c r="G56" s="921"/>
      <c r="H56" s="192"/>
    </row>
    <row r="57" spans="1:8">
      <c r="A57" s="919"/>
      <c r="B57" s="920"/>
      <c r="C57" s="920"/>
      <c r="D57" s="921"/>
      <c r="E57" s="919"/>
      <c r="F57" s="920"/>
      <c r="G57" s="921"/>
      <c r="H57" s="192"/>
    </row>
    <row r="58" spans="1:8">
      <c r="A58" s="919"/>
      <c r="B58" s="920"/>
      <c r="C58" s="920"/>
      <c r="D58" s="921"/>
      <c r="E58" s="919"/>
      <c r="F58" s="920"/>
      <c r="G58" s="921"/>
      <c r="H58" s="192"/>
    </row>
    <row r="59" spans="1:8">
      <c r="A59" s="919"/>
      <c r="B59" s="920"/>
      <c r="C59" s="920"/>
      <c r="D59" s="921"/>
      <c r="E59" s="919"/>
      <c r="F59" s="920"/>
      <c r="G59" s="921"/>
      <c r="H59" s="192"/>
    </row>
    <row r="60" spans="1:8" ht="14.4" thickBot="1"/>
    <row r="61" spans="1:8" ht="16.2" thickBot="1">
      <c r="A61" s="902" t="s">
        <v>961</v>
      </c>
      <c r="B61" s="900"/>
      <c r="C61" s="900"/>
      <c r="D61" s="900"/>
      <c r="E61" s="900"/>
      <c r="F61" s="900"/>
      <c r="G61" s="900"/>
      <c r="H61" s="901"/>
    </row>
    <row r="62" spans="1:8" ht="26.4">
      <c r="A62" s="909" t="s">
        <v>863</v>
      </c>
      <c r="B62" s="910"/>
      <c r="C62" s="911"/>
      <c r="D62" s="184" t="s">
        <v>1561</v>
      </c>
      <c r="E62" s="909" t="s">
        <v>864</v>
      </c>
      <c r="F62" s="910"/>
      <c r="G62" s="911"/>
      <c r="H62" s="184"/>
    </row>
    <row r="63" spans="1:8" ht="14.4" thickBot="1">
      <c r="A63" s="187"/>
      <c r="B63" s="187"/>
      <c r="C63" s="187"/>
      <c r="D63" s="187"/>
      <c r="E63" s="187"/>
      <c r="F63" s="187"/>
      <c r="G63" s="187"/>
      <c r="H63" s="187"/>
    </row>
    <row r="64" spans="1:8" ht="16.2" thickBot="1">
      <c r="A64" s="902" t="s">
        <v>1496</v>
      </c>
      <c r="B64" s="900"/>
      <c r="C64" s="900"/>
      <c r="D64" s="900"/>
      <c r="E64" s="900"/>
      <c r="F64" s="900"/>
      <c r="G64" s="900"/>
      <c r="H64" s="901"/>
    </row>
    <row r="65" spans="1:8">
      <c r="A65" s="906" t="s">
        <v>881</v>
      </c>
      <c r="B65" s="907"/>
      <c r="C65" s="908"/>
      <c r="D65" s="185"/>
      <c r="E65" s="906" t="s">
        <v>882</v>
      </c>
      <c r="F65" s="907"/>
      <c r="G65" s="908"/>
      <c r="H65" s="185"/>
    </row>
    <row r="66" spans="1:8">
      <c r="A66" s="909" t="s">
        <v>883</v>
      </c>
      <c r="B66" s="910"/>
      <c r="C66" s="911"/>
      <c r="D66" s="184"/>
      <c r="E66" s="909" t="s">
        <v>884</v>
      </c>
      <c r="F66" s="910"/>
      <c r="G66" s="911"/>
      <c r="H66" s="184"/>
    </row>
    <row r="67" spans="1:8">
      <c r="A67" s="909" t="s">
        <v>885</v>
      </c>
      <c r="B67" s="910"/>
      <c r="C67" s="911"/>
      <c r="D67" s="184"/>
      <c r="E67" s="909" t="s">
        <v>886</v>
      </c>
      <c r="F67" s="910"/>
      <c r="G67" s="911"/>
      <c r="H67" s="184"/>
    </row>
    <row r="68" spans="1:8">
      <c r="A68" s="909" t="s">
        <v>887</v>
      </c>
      <c r="B68" s="910"/>
      <c r="C68" s="911"/>
      <c r="D68" s="184"/>
      <c r="E68" s="909" t="s">
        <v>888</v>
      </c>
      <c r="F68" s="910"/>
      <c r="G68" s="911"/>
      <c r="H68" s="184"/>
    </row>
  </sheetData>
  <sheetProtection algorithmName="SHA-512" hashValue="KqiAxtau0rDOYznYZQbLZv0pV3CZOqMXej0Dv53n2fINEMYGcbDXpKNACVSnK7SYH3nEPz2Y6G1ZQrCPVFdO2g==" saltValue="m13kqAv305D3HSGXXj5E3Q==" spinCount="100000" sheet="1" objects="1" scenarios="1" formatCells="0"/>
  <mergeCells count="88">
    <mergeCell ref="E11:G11"/>
    <mergeCell ref="E6:G6"/>
    <mergeCell ref="E7:G7"/>
    <mergeCell ref="E8:G8"/>
    <mergeCell ref="E9:G9"/>
    <mergeCell ref="E62:G62"/>
    <mergeCell ref="A6:C6"/>
    <mergeCell ref="A7:C7"/>
    <mergeCell ref="A8:C8"/>
    <mergeCell ref="A9:C9"/>
    <mergeCell ref="A62:C62"/>
    <mergeCell ref="A61:H61"/>
    <mergeCell ref="A10:C10"/>
    <mergeCell ref="E10:G10"/>
    <mergeCell ref="E19:G19"/>
    <mergeCell ref="A14:C14"/>
    <mergeCell ref="A15:C15"/>
    <mergeCell ref="A16:C16"/>
    <mergeCell ref="A17:C17"/>
    <mergeCell ref="A18:C18"/>
    <mergeCell ref="A19:C19"/>
    <mergeCell ref="A46:E46"/>
    <mergeCell ref="A47:E47"/>
    <mergeCell ref="A48:E48"/>
    <mergeCell ref="A50:H50"/>
    <mergeCell ref="A35:E35"/>
    <mergeCell ref="A40:E40"/>
    <mergeCell ref="A41:E41"/>
    <mergeCell ref="A42:E42"/>
    <mergeCell ref="A43:E43"/>
    <mergeCell ref="A44:E44"/>
    <mergeCell ref="A45:E45"/>
    <mergeCell ref="A36:E36"/>
    <mergeCell ref="A37:E37"/>
    <mergeCell ref="A38:E38"/>
    <mergeCell ref="A39:E39"/>
    <mergeCell ref="E58:G58"/>
    <mergeCell ref="E59:G59"/>
    <mergeCell ref="A51:D51"/>
    <mergeCell ref="A52:D52"/>
    <mergeCell ref="A53:D53"/>
    <mergeCell ref="A54:D54"/>
    <mergeCell ref="A55:D55"/>
    <mergeCell ref="A56:D56"/>
    <mergeCell ref="A66:C66"/>
    <mergeCell ref="A67:C67"/>
    <mergeCell ref="A68:C68"/>
    <mergeCell ref="E65:G65"/>
    <mergeCell ref="E66:G66"/>
    <mergeCell ref="E67:G67"/>
    <mergeCell ref="E68:G68"/>
    <mergeCell ref="A31:E31"/>
    <mergeCell ref="A32:E32"/>
    <mergeCell ref="A33:E33"/>
    <mergeCell ref="A34:E34"/>
    <mergeCell ref="A65:C65"/>
    <mergeCell ref="A64:H64"/>
    <mergeCell ref="A57:D57"/>
    <mergeCell ref="A58:D58"/>
    <mergeCell ref="A59:D59"/>
    <mergeCell ref="E51:G51"/>
    <mergeCell ref="E52:G52"/>
    <mergeCell ref="E53:G53"/>
    <mergeCell ref="E54:G54"/>
    <mergeCell ref="E55:G55"/>
    <mergeCell ref="E56:G56"/>
    <mergeCell ref="E57:G57"/>
    <mergeCell ref="A26:E26"/>
    <mergeCell ref="A27:E27"/>
    <mergeCell ref="A28:E28"/>
    <mergeCell ref="A29:E29"/>
    <mergeCell ref="A30:E30"/>
    <mergeCell ref="A1:E1"/>
    <mergeCell ref="A2:E2"/>
    <mergeCell ref="A25:H25"/>
    <mergeCell ref="A21:H21"/>
    <mergeCell ref="A13:H13"/>
    <mergeCell ref="A5:H5"/>
    <mergeCell ref="A22:C22"/>
    <mergeCell ref="A23:C23"/>
    <mergeCell ref="E22:G22"/>
    <mergeCell ref="E23:G23"/>
    <mergeCell ref="E14:G14"/>
    <mergeCell ref="E15:G15"/>
    <mergeCell ref="E16:G16"/>
    <mergeCell ref="E17:G17"/>
    <mergeCell ref="E18:G18"/>
    <mergeCell ref="A11:C11"/>
  </mergeCells>
  <pageMargins left="0.70866141732283472" right="0.70866141732283472" top="0.74803149606299213" bottom="0.74803149606299213" header="0.31496062992125984" footer="0.31496062992125984"/>
  <pageSetup paperSize="9" scale="55" fitToHeight="4" orientation="portrait" horizontalDpi="4294967293" r:id="rId1"/>
  <rowBreaks count="1" manualBreakCount="1">
    <brk id="68" max="7" man="1"/>
  </rowBreaks>
  <colBreaks count="1" manualBreakCount="1">
    <brk id="8" max="69" man="1"/>
  </colBreaks>
  <customProperties>
    <customPr name="Guid" r:id="rId2"/>
  </customProperties>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9"/>
    <pageSetUpPr fitToPage="1"/>
  </sheetPr>
  <dimension ref="A1:T639"/>
  <sheetViews>
    <sheetView topLeftCell="J1" zoomScaleNormal="100" workbookViewId="0">
      <selection activeCell="N14" sqref="N14"/>
    </sheetView>
  </sheetViews>
  <sheetFormatPr defaultColWidth="11.44140625" defaultRowHeight="13.2" outlineLevelRow="1"/>
  <cols>
    <col min="1" max="1" width="8.33203125" style="195" customWidth="1"/>
    <col min="2" max="9" width="11.44140625" style="195" customWidth="1"/>
    <col min="10" max="10" width="11.5546875" style="195" customWidth="1"/>
    <col min="11" max="19" width="11.44140625" style="195" customWidth="1"/>
    <col min="20" max="16384" width="11.44140625" style="195"/>
  </cols>
  <sheetData>
    <row r="1" spans="1:20"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0"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54" t="s">
        <v>1497</v>
      </c>
      <c r="I3" s="126"/>
      <c r="J3" s="126"/>
      <c r="K3" s="126"/>
      <c r="L3" s="126"/>
      <c r="M3" s="126"/>
      <c r="N3" s="126"/>
      <c r="O3" s="126"/>
      <c r="P3" s="126"/>
      <c r="Q3" s="126"/>
      <c r="R3" s="126"/>
      <c r="S3" s="126"/>
      <c r="T3" s="126"/>
    </row>
    <row r="4" spans="1:20" s="153" customFormat="1" ht="15" customHeight="1">
      <c r="A4" s="126"/>
      <c r="B4" s="126"/>
      <c r="C4" s="126"/>
      <c r="D4" s="126"/>
      <c r="E4" s="126"/>
      <c r="F4" s="126"/>
      <c r="G4" s="126"/>
      <c r="H4" s="126"/>
      <c r="I4" s="126"/>
      <c r="J4" s="126"/>
      <c r="K4" s="126"/>
      <c r="L4" s="126"/>
      <c r="M4" s="126"/>
      <c r="N4" s="126"/>
      <c r="O4" s="126"/>
      <c r="P4" s="126"/>
      <c r="Q4" s="126"/>
      <c r="R4" s="126"/>
      <c r="S4" s="126"/>
      <c r="T4" s="126"/>
    </row>
    <row r="5" spans="1:20" ht="17.399999999999999">
      <c r="A5" s="194" t="s">
        <v>0</v>
      </c>
      <c r="I5" s="196" t="s">
        <v>205</v>
      </c>
      <c r="J5" s="248">
        <f>J8+J29+J50+J71+J92+J113+J134+J155+J176+J197+J218+J239+J260+J281+J302+J323+J344+J365+J386+J407+J428+J449+J470+J491+J512+J533+J554+J575+J596+J617</f>
        <v>46</v>
      </c>
      <c r="K5" s="248">
        <f>K8+K29+K50+K71+K92+K113+K134+K155+K176+K197+K218+K239+K260+K281+K302+K323+K344+K365+K386+K407+K428+K449+K470+K491+K512+K533+K554+K575+K596+K617</f>
        <v>66</v>
      </c>
      <c r="L5" s="248">
        <f>L8+L29+L50+L71+L92+L113+L134+L155+L176+L197+L218+L239+L260+L281+L302+L323+L344+L365+L386+L407+L428+L449+L470+L491+L512+L533+L554+L575+L596+L617</f>
        <v>85</v>
      </c>
      <c r="M5" s="248">
        <f>M8+M29+M50+M71+M92+M113+M134+M155+M176+M197+M218+M239+M260+M281+M302+M323+M344+M365+M386+M407+M428+M449+M470+M491+M512+M533+M554+M575+M596+M617</f>
        <v>65.833333333333343</v>
      </c>
      <c r="N5" s="248">
        <f>N8+N29+N50+N71+N92+N113+N134+N155+N176+N197+N218+N239+N260+N281+N302+N323+N344+N365+N386+N407+N428+N449+N470+N491+N512+N533+N554+N575+N596+N617</f>
        <v>73</v>
      </c>
      <c r="O5" s="197"/>
    </row>
    <row r="6" spans="1:20" ht="15.6">
      <c r="A6" s="194"/>
      <c r="F6" s="996" t="s">
        <v>1</v>
      </c>
      <c r="G6" s="996"/>
      <c r="H6" s="198"/>
      <c r="I6" s="198"/>
      <c r="J6" s="995" t="s">
        <v>2</v>
      </c>
      <c r="K6" s="993"/>
      <c r="L6" s="993"/>
      <c r="M6" s="993"/>
      <c r="N6" s="993"/>
      <c r="O6" s="994"/>
      <c r="P6" s="993" t="s">
        <v>3</v>
      </c>
      <c r="Q6" s="994"/>
    </row>
    <row r="7" spans="1:20" ht="26.4">
      <c r="A7" s="265" t="s">
        <v>4</v>
      </c>
      <c r="B7" s="957" t="s">
        <v>5</v>
      </c>
      <c r="C7" s="958"/>
      <c r="D7" s="958"/>
      <c r="E7" s="958"/>
      <c r="F7" s="209" t="s">
        <v>6</v>
      </c>
      <c r="G7" s="209" t="s">
        <v>7</v>
      </c>
      <c r="H7" s="221" t="s">
        <v>8</v>
      </c>
      <c r="I7" s="221" t="s">
        <v>9</v>
      </c>
      <c r="J7" s="233" t="s">
        <v>10</v>
      </c>
      <c r="K7" s="233" t="s">
        <v>11</v>
      </c>
      <c r="L7" s="233" t="s">
        <v>12</v>
      </c>
      <c r="M7" s="233" t="s">
        <v>973</v>
      </c>
      <c r="N7" s="233" t="s">
        <v>974</v>
      </c>
      <c r="O7" s="199" t="s">
        <v>13</v>
      </c>
      <c r="P7" s="200" t="s">
        <v>14</v>
      </c>
      <c r="Q7" s="200" t="s">
        <v>15</v>
      </c>
      <c r="R7" s="955" t="s">
        <v>16</v>
      </c>
      <c r="S7" s="956"/>
      <c r="T7" s="956"/>
    </row>
    <row r="8" spans="1:20" ht="15" customHeight="1">
      <c r="A8" s="266"/>
      <c r="B8" s="959" t="s">
        <v>1600</v>
      </c>
      <c r="C8" s="960"/>
      <c r="D8" s="960"/>
      <c r="E8" s="961"/>
      <c r="F8" s="210"/>
      <c r="G8" s="210"/>
      <c r="H8" s="222"/>
      <c r="I8" s="222" t="str">
        <f>IF(COUNTIF(I9:I28,TMDPhaseTimeAndMaterial)&gt;0,TMDPhaseTimeAndMaterial,IF(COUNTIF(I9:I28,TMDPhaseChangeTimeAndMaterial)&gt;0,TMDPhaseChangeTimeAndMaterial,""))</f>
        <v/>
      </c>
      <c r="J8" s="234">
        <f t="shared" ref="J8:Q8" si="0">SUM(J9:J28)</f>
        <v>46</v>
      </c>
      <c r="K8" s="234">
        <f t="shared" si="0"/>
        <v>66</v>
      </c>
      <c r="L8" s="234">
        <f t="shared" si="0"/>
        <v>85</v>
      </c>
      <c r="M8" s="201">
        <f t="shared" si="0"/>
        <v>65.833333333333343</v>
      </c>
      <c r="N8" s="201">
        <f t="shared" si="0"/>
        <v>73</v>
      </c>
      <c r="O8" s="201">
        <f t="shared" si="0"/>
        <v>73</v>
      </c>
      <c r="P8" s="201">
        <f t="shared" ca="1" si="0"/>
        <v>0</v>
      </c>
      <c r="Q8" s="201">
        <f t="shared" ca="1" si="0"/>
        <v>93800</v>
      </c>
      <c r="R8" s="968"/>
      <c r="S8" s="968"/>
      <c r="T8" s="968"/>
    </row>
    <row r="9" spans="1:20" ht="15" customHeight="1" outlineLevel="1">
      <c r="A9" s="202" t="str">
        <f>TEXT($A$8,0) &amp; ".1"</f>
        <v>0.1</v>
      </c>
      <c r="B9" s="965" t="s">
        <v>1601</v>
      </c>
      <c r="C9" s="966"/>
      <c r="D9" s="966"/>
      <c r="E9" s="967"/>
      <c r="F9" s="211"/>
      <c r="G9" s="211"/>
      <c r="H9" s="223" t="s">
        <v>1553</v>
      </c>
      <c r="I9" s="224"/>
      <c r="J9" s="235">
        <v>3</v>
      </c>
      <c r="K9" s="235">
        <v>3</v>
      </c>
      <c r="L9" s="235">
        <v>3</v>
      </c>
      <c r="M9" s="204">
        <f>(J9+K9*4+L9)/6</f>
        <v>3</v>
      </c>
      <c r="N9" s="236">
        <f t="shared" ref="N9:O18" si="1">M9</f>
        <v>3</v>
      </c>
      <c r="O9" s="204">
        <f>N9</f>
        <v>3</v>
      </c>
      <c r="P9" s="205">
        <f t="shared" ref="P9:P18" ca="1" si="2">IF(H9&lt;&gt;"",INDEX(MDActivityTypeInternalCostPerDay,MATCH(H9,MDActivityTypeID,0),1)*O9,0)</f>
        <v>0</v>
      </c>
      <c r="Q9" s="205">
        <f t="shared" ref="Q9:Q18" ca="1" si="3">IF(H9&lt;&gt;"",INDEX(MDActivityTypeExternalPricePerDay,MATCH(H9,MDActivityTypeID,0),1)*O9,0)</f>
        <v>4200</v>
      </c>
      <c r="R9" s="926"/>
      <c r="S9" s="927"/>
      <c r="T9" s="928"/>
    </row>
    <row r="10" spans="1:20" ht="15" customHeight="1" outlineLevel="1">
      <c r="A10" s="202" t="str">
        <f>TEXT($A$8,0) &amp; ".2"</f>
        <v>0.2</v>
      </c>
      <c r="B10" s="965" t="s">
        <v>1602</v>
      </c>
      <c r="C10" s="966"/>
      <c r="D10" s="966"/>
      <c r="E10" s="967"/>
      <c r="F10" s="211"/>
      <c r="G10" s="211"/>
      <c r="H10" s="223" t="s">
        <v>1553</v>
      </c>
      <c r="I10" s="224"/>
      <c r="J10" s="235">
        <v>1</v>
      </c>
      <c r="K10" s="235">
        <v>1</v>
      </c>
      <c r="L10" s="235">
        <v>1</v>
      </c>
      <c r="M10" s="204">
        <f t="shared" ref="M10:M28" si="4">(J10+K10*4+L10)/6</f>
        <v>1</v>
      </c>
      <c r="N10" s="236">
        <f t="shared" si="1"/>
        <v>1</v>
      </c>
      <c r="O10" s="204">
        <f t="shared" si="1"/>
        <v>1</v>
      </c>
      <c r="P10" s="205">
        <f t="shared" ca="1" si="2"/>
        <v>0</v>
      </c>
      <c r="Q10" s="205">
        <f t="shared" ca="1" si="3"/>
        <v>1400</v>
      </c>
      <c r="R10" s="926"/>
      <c r="S10" s="927"/>
      <c r="T10" s="928"/>
    </row>
    <row r="11" spans="1:20" ht="15" customHeight="1" outlineLevel="1">
      <c r="A11" s="202" t="str">
        <f>TEXT($A$8,0) &amp; ".3"</f>
        <v>0.3</v>
      </c>
      <c r="B11" s="965" t="s">
        <v>1603</v>
      </c>
      <c r="C11" s="966"/>
      <c r="D11" s="966"/>
      <c r="E11" s="967"/>
      <c r="F11" s="211"/>
      <c r="G11" s="211"/>
      <c r="H11" s="223" t="s">
        <v>1553</v>
      </c>
      <c r="I11" s="224"/>
      <c r="J11" s="235">
        <v>2</v>
      </c>
      <c r="K11" s="235">
        <v>2</v>
      </c>
      <c r="L11" s="235">
        <v>2</v>
      </c>
      <c r="M11" s="204">
        <f t="shared" si="4"/>
        <v>2</v>
      </c>
      <c r="N11" s="236">
        <f t="shared" si="1"/>
        <v>2</v>
      </c>
      <c r="O11" s="204">
        <f t="shared" si="1"/>
        <v>2</v>
      </c>
      <c r="P11" s="205">
        <f t="shared" ca="1" si="2"/>
        <v>0</v>
      </c>
      <c r="Q11" s="205">
        <f t="shared" ca="1" si="3"/>
        <v>2800</v>
      </c>
      <c r="R11" s="926"/>
      <c r="S11" s="927"/>
      <c r="T11" s="928"/>
    </row>
    <row r="12" spans="1:20" ht="15" customHeight="1" outlineLevel="1">
      <c r="A12" s="202" t="str">
        <f>TEXT($A$8,0) &amp; ".4"</f>
        <v>0.4</v>
      </c>
      <c r="B12" s="965" t="s">
        <v>1604</v>
      </c>
      <c r="C12" s="966"/>
      <c r="D12" s="966"/>
      <c r="E12" s="967"/>
      <c r="F12" s="211"/>
      <c r="G12" s="211"/>
      <c r="H12" s="223" t="s">
        <v>1553</v>
      </c>
      <c r="I12" s="224"/>
      <c r="J12" s="235">
        <v>18</v>
      </c>
      <c r="K12" s="235">
        <v>25</v>
      </c>
      <c r="L12" s="235">
        <v>30</v>
      </c>
      <c r="M12" s="204">
        <f t="shared" si="4"/>
        <v>24.666666666666668</v>
      </c>
      <c r="N12" s="236">
        <v>25</v>
      </c>
      <c r="O12" s="204">
        <f t="shared" si="1"/>
        <v>25</v>
      </c>
      <c r="P12" s="205">
        <f t="shared" ca="1" si="2"/>
        <v>0</v>
      </c>
      <c r="Q12" s="205">
        <f t="shared" ca="1" si="3"/>
        <v>35000</v>
      </c>
      <c r="R12" s="926"/>
      <c r="S12" s="927"/>
      <c r="T12" s="928"/>
    </row>
    <row r="13" spans="1:20" ht="15" customHeight="1" outlineLevel="1">
      <c r="A13" s="202" t="str">
        <f>TEXT($A$8,0) &amp; ".5"</f>
        <v>0.5</v>
      </c>
      <c r="B13" s="965" t="s">
        <v>1608</v>
      </c>
      <c r="C13" s="966"/>
      <c r="D13" s="966"/>
      <c r="E13" s="967"/>
      <c r="F13" s="211"/>
      <c r="G13" s="211"/>
      <c r="H13" s="223" t="s">
        <v>1579</v>
      </c>
      <c r="I13" s="224"/>
      <c r="J13" s="235">
        <v>5</v>
      </c>
      <c r="K13" s="235">
        <v>10</v>
      </c>
      <c r="L13" s="235">
        <v>15</v>
      </c>
      <c r="M13" s="204">
        <f t="shared" si="4"/>
        <v>10</v>
      </c>
      <c r="N13" s="236">
        <v>12.5</v>
      </c>
      <c r="O13" s="204">
        <f t="shared" si="1"/>
        <v>12.5</v>
      </c>
      <c r="P13" s="205">
        <f t="shared" ca="1" si="2"/>
        <v>0</v>
      </c>
      <c r="Q13" s="205">
        <f t="shared" ca="1" si="3"/>
        <v>15000</v>
      </c>
      <c r="R13" s="926"/>
      <c r="S13" s="927"/>
      <c r="T13" s="928"/>
    </row>
    <row r="14" spans="1:20" ht="15" customHeight="1" outlineLevel="1">
      <c r="A14" s="202" t="str">
        <f>TEXT($A$8,0) &amp; ".6"</f>
        <v>0.6</v>
      </c>
      <c r="B14" s="965" t="s">
        <v>1609</v>
      </c>
      <c r="C14" s="966"/>
      <c r="D14" s="966"/>
      <c r="E14" s="967"/>
      <c r="F14" s="211"/>
      <c r="G14" s="211"/>
      <c r="H14" s="223" t="s">
        <v>1579</v>
      </c>
      <c r="I14" s="224"/>
      <c r="J14" s="235">
        <v>5</v>
      </c>
      <c r="K14" s="235">
        <v>8</v>
      </c>
      <c r="L14" s="235">
        <v>12</v>
      </c>
      <c r="M14" s="204">
        <f t="shared" si="4"/>
        <v>8.1666666666666661</v>
      </c>
      <c r="N14" s="236">
        <v>12.5</v>
      </c>
      <c r="O14" s="204">
        <f t="shared" si="1"/>
        <v>12.5</v>
      </c>
      <c r="P14" s="205">
        <f t="shared" ca="1" si="2"/>
        <v>0</v>
      </c>
      <c r="Q14" s="205">
        <f t="shared" ca="1" si="3"/>
        <v>15000</v>
      </c>
      <c r="R14" s="926"/>
      <c r="S14" s="927"/>
      <c r="T14" s="928"/>
    </row>
    <row r="15" spans="1:20" ht="15" customHeight="1" outlineLevel="1">
      <c r="A15" s="202" t="str">
        <f>TEXT($A$8,0) &amp; ".7"</f>
        <v>0.7</v>
      </c>
      <c r="B15" s="965" t="s">
        <v>1605</v>
      </c>
      <c r="C15" s="966"/>
      <c r="D15" s="966"/>
      <c r="E15" s="967"/>
      <c r="F15" s="211"/>
      <c r="G15" s="211"/>
      <c r="H15" s="223" t="s">
        <v>1606</v>
      </c>
      <c r="I15" s="224"/>
      <c r="J15" s="235">
        <v>5</v>
      </c>
      <c r="K15" s="235">
        <v>10</v>
      </c>
      <c r="L15" s="235">
        <v>15</v>
      </c>
      <c r="M15" s="204">
        <f t="shared" si="4"/>
        <v>10</v>
      </c>
      <c r="N15" s="236">
        <f t="shared" si="1"/>
        <v>10</v>
      </c>
      <c r="O15" s="204">
        <f t="shared" si="1"/>
        <v>10</v>
      </c>
      <c r="P15" s="205">
        <f t="shared" ca="1" si="2"/>
        <v>0</v>
      </c>
      <c r="Q15" s="205">
        <f t="shared" ca="1" si="3"/>
        <v>12000</v>
      </c>
      <c r="R15" s="926"/>
      <c r="S15" s="927"/>
      <c r="T15" s="928"/>
    </row>
    <row r="16" spans="1:20" ht="15" customHeight="1" outlineLevel="1">
      <c r="A16" s="202" t="str">
        <f>TEXT($A$8,0) &amp; ".8"</f>
        <v>0.8</v>
      </c>
      <c r="B16" s="965" t="s">
        <v>1552</v>
      </c>
      <c r="C16" s="966"/>
      <c r="D16" s="966"/>
      <c r="E16" s="967"/>
      <c r="F16" s="211"/>
      <c r="G16" s="211"/>
      <c r="H16" s="223" t="s">
        <v>1021</v>
      </c>
      <c r="I16" s="224"/>
      <c r="J16" s="235">
        <v>7</v>
      </c>
      <c r="K16" s="235">
        <v>7</v>
      </c>
      <c r="L16" s="235">
        <v>7</v>
      </c>
      <c r="M16" s="204">
        <f t="shared" si="4"/>
        <v>7</v>
      </c>
      <c r="N16" s="236">
        <f t="shared" si="1"/>
        <v>7</v>
      </c>
      <c r="O16" s="204">
        <f t="shared" si="1"/>
        <v>7</v>
      </c>
      <c r="P16" s="205">
        <f t="shared" ca="1" si="2"/>
        <v>0</v>
      </c>
      <c r="Q16" s="205">
        <f t="shared" ca="1" si="3"/>
        <v>8400</v>
      </c>
      <c r="R16" s="926"/>
      <c r="S16" s="927"/>
      <c r="T16" s="928"/>
    </row>
    <row r="17" spans="1:20" ht="15" customHeight="1" outlineLevel="1">
      <c r="A17" s="202" t="str">
        <f>TEXT($A$8,0) &amp; ".9"</f>
        <v>0.9</v>
      </c>
      <c r="B17" s="965"/>
      <c r="C17" s="966"/>
      <c r="D17" s="966"/>
      <c r="E17" s="967"/>
      <c r="F17" s="211"/>
      <c r="G17" s="211"/>
      <c r="H17" s="223"/>
      <c r="I17" s="224"/>
      <c r="J17" s="235"/>
      <c r="K17" s="235"/>
      <c r="L17" s="235"/>
      <c r="M17" s="204">
        <f t="shared" si="4"/>
        <v>0</v>
      </c>
      <c r="N17" s="236">
        <f t="shared" si="1"/>
        <v>0</v>
      </c>
      <c r="O17" s="204">
        <f t="shared" si="1"/>
        <v>0</v>
      </c>
      <c r="P17" s="205">
        <f t="shared" si="2"/>
        <v>0</v>
      </c>
      <c r="Q17" s="205">
        <f t="shared" si="3"/>
        <v>0</v>
      </c>
      <c r="R17" s="926"/>
      <c r="S17" s="927"/>
      <c r="T17" s="928"/>
    </row>
    <row r="18" spans="1:20" ht="15" customHeight="1" outlineLevel="1">
      <c r="A18" s="202" t="str">
        <f>TEXT($A$8,0) &amp; ".10"</f>
        <v>0.10</v>
      </c>
      <c r="B18" s="965"/>
      <c r="C18" s="966"/>
      <c r="D18" s="966"/>
      <c r="E18" s="967"/>
      <c r="F18" s="211"/>
      <c r="G18" s="211"/>
      <c r="H18" s="223"/>
      <c r="I18" s="224"/>
      <c r="J18" s="235"/>
      <c r="K18" s="235"/>
      <c r="L18" s="235"/>
      <c r="M18" s="204">
        <f t="shared" si="4"/>
        <v>0</v>
      </c>
      <c r="N18" s="236">
        <f t="shared" si="1"/>
        <v>0</v>
      </c>
      <c r="O18" s="204">
        <f t="shared" si="1"/>
        <v>0</v>
      </c>
      <c r="P18" s="205">
        <f t="shared" si="2"/>
        <v>0</v>
      </c>
      <c r="Q18" s="205">
        <f t="shared" si="3"/>
        <v>0</v>
      </c>
      <c r="R18" s="926"/>
      <c r="S18" s="927"/>
      <c r="T18" s="928"/>
    </row>
    <row r="19" spans="1:20" ht="15" customHeight="1" outlineLevel="1">
      <c r="A19" s="202" t="str">
        <f>TEXT($A$8,0) &amp; ".11"</f>
        <v>0.11</v>
      </c>
      <c r="B19" s="965"/>
      <c r="C19" s="966"/>
      <c r="D19" s="966"/>
      <c r="E19" s="967"/>
      <c r="F19" s="211"/>
      <c r="G19" s="211"/>
      <c r="H19" s="223"/>
      <c r="I19" s="224"/>
      <c r="J19" s="235"/>
      <c r="K19" s="235"/>
      <c r="L19" s="235"/>
      <c r="M19" s="204">
        <f t="shared" si="4"/>
        <v>0</v>
      </c>
      <c r="N19" s="236">
        <f t="shared" ref="N19:N28" si="5">M19</f>
        <v>0</v>
      </c>
      <c r="O19" s="204">
        <f t="shared" ref="O19:O28" si="6">N19</f>
        <v>0</v>
      </c>
      <c r="P19" s="205">
        <f t="shared" ref="P19:P28" si="7">IF(H19&lt;&gt;"",INDEX(MDActivityTypeInternalCostPerDay,MATCH(H19,MDActivityTypeID,0),1)*O19,0)</f>
        <v>0</v>
      </c>
      <c r="Q19" s="205">
        <f t="shared" ref="Q19:Q28" si="8">IF(H19&lt;&gt;"",INDEX(MDActivityTypeExternalPricePerDay,MATCH(H19,MDActivityTypeID,0),1)*O19,0)</f>
        <v>0</v>
      </c>
      <c r="R19" s="245"/>
      <c r="S19" s="246"/>
      <c r="T19" s="247"/>
    </row>
    <row r="20" spans="1:20" ht="15" customHeight="1" outlineLevel="1">
      <c r="A20" s="202" t="str">
        <f>TEXT($A$8,0) &amp; ".12"</f>
        <v>0.12</v>
      </c>
      <c r="B20" s="965"/>
      <c r="C20" s="966"/>
      <c r="D20" s="966"/>
      <c r="E20" s="967"/>
      <c r="F20" s="211"/>
      <c r="G20" s="211"/>
      <c r="H20" s="223"/>
      <c r="I20" s="224"/>
      <c r="J20" s="235"/>
      <c r="K20" s="235"/>
      <c r="L20" s="235"/>
      <c r="M20" s="204">
        <f t="shared" si="4"/>
        <v>0</v>
      </c>
      <c r="N20" s="236">
        <f t="shared" si="5"/>
        <v>0</v>
      </c>
      <c r="O20" s="204">
        <f t="shared" si="6"/>
        <v>0</v>
      </c>
      <c r="P20" s="205">
        <f t="shared" si="7"/>
        <v>0</v>
      </c>
      <c r="Q20" s="205">
        <f t="shared" si="8"/>
        <v>0</v>
      </c>
      <c r="R20" s="245"/>
      <c r="S20" s="246"/>
      <c r="T20" s="247"/>
    </row>
    <row r="21" spans="1:20" ht="15" customHeight="1" outlineLevel="1">
      <c r="A21" s="202" t="str">
        <f>TEXT($A$8,0) &amp; ".13"</f>
        <v>0.13</v>
      </c>
      <c r="B21" s="965"/>
      <c r="C21" s="966"/>
      <c r="D21" s="966"/>
      <c r="E21" s="967"/>
      <c r="F21" s="211"/>
      <c r="G21" s="211"/>
      <c r="H21" s="223"/>
      <c r="I21" s="224"/>
      <c r="J21" s="235"/>
      <c r="K21" s="235"/>
      <c r="L21" s="235"/>
      <c r="M21" s="204">
        <f t="shared" si="4"/>
        <v>0</v>
      </c>
      <c r="N21" s="236">
        <f t="shared" si="5"/>
        <v>0</v>
      </c>
      <c r="O21" s="204">
        <f t="shared" si="6"/>
        <v>0</v>
      </c>
      <c r="P21" s="205">
        <f t="shared" si="7"/>
        <v>0</v>
      </c>
      <c r="Q21" s="205">
        <f t="shared" si="8"/>
        <v>0</v>
      </c>
      <c r="R21" s="245"/>
      <c r="S21" s="246"/>
      <c r="T21" s="247"/>
    </row>
    <row r="22" spans="1:20" ht="15" customHeight="1" outlineLevel="1">
      <c r="A22" s="202" t="str">
        <f>TEXT($A$8,0) &amp; ".14"</f>
        <v>0.14</v>
      </c>
      <c r="B22" s="965"/>
      <c r="C22" s="966"/>
      <c r="D22" s="966"/>
      <c r="E22" s="967"/>
      <c r="F22" s="211"/>
      <c r="G22" s="211"/>
      <c r="H22" s="223"/>
      <c r="I22" s="224"/>
      <c r="J22" s="235"/>
      <c r="K22" s="235"/>
      <c r="L22" s="235"/>
      <c r="M22" s="204">
        <f t="shared" si="4"/>
        <v>0</v>
      </c>
      <c r="N22" s="236">
        <f t="shared" si="5"/>
        <v>0</v>
      </c>
      <c r="O22" s="204">
        <f t="shared" si="6"/>
        <v>0</v>
      </c>
      <c r="P22" s="205">
        <f t="shared" si="7"/>
        <v>0</v>
      </c>
      <c r="Q22" s="205">
        <f t="shared" si="8"/>
        <v>0</v>
      </c>
      <c r="R22" s="245"/>
      <c r="S22" s="246"/>
      <c r="T22" s="247"/>
    </row>
    <row r="23" spans="1:20" ht="15" customHeight="1" outlineLevel="1">
      <c r="A23" s="202" t="str">
        <f>TEXT($A$8,0) &amp; ".15"</f>
        <v>0.15</v>
      </c>
      <c r="B23" s="965"/>
      <c r="C23" s="966"/>
      <c r="D23" s="966"/>
      <c r="E23" s="967"/>
      <c r="F23" s="211"/>
      <c r="G23" s="211"/>
      <c r="H23" s="223"/>
      <c r="I23" s="224"/>
      <c r="J23" s="235"/>
      <c r="K23" s="235"/>
      <c r="L23" s="235"/>
      <c r="M23" s="204">
        <f t="shared" si="4"/>
        <v>0</v>
      </c>
      <c r="N23" s="236">
        <f t="shared" si="5"/>
        <v>0</v>
      </c>
      <c r="O23" s="204">
        <f t="shared" si="6"/>
        <v>0</v>
      </c>
      <c r="P23" s="205">
        <f t="shared" si="7"/>
        <v>0</v>
      </c>
      <c r="Q23" s="205">
        <f t="shared" si="8"/>
        <v>0</v>
      </c>
      <c r="R23" s="245"/>
      <c r="S23" s="246"/>
      <c r="T23" s="247"/>
    </row>
    <row r="24" spans="1:20" ht="15" customHeight="1" outlineLevel="1">
      <c r="A24" s="202" t="str">
        <f>TEXT($A$8,0) &amp; ".16"</f>
        <v>0.16</v>
      </c>
      <c r="B24" s="965"/>
      <c r="C24" s="966"/>
      <c r="D24" s="966"/>
      <c r="E24" s="967"/>
      <c r="F24" s="211"/>
      <c r="G24" s="211"/>
      <c r="H24" s="223"/>
      <c r="I24" s="224"/>
      <c r="J24" s="235"/>
      <c r="K24" s="235"/>
      <c r="L24" s="235"/>
      <c r="M24" s="204">
        <f t="shared" si="4"/>
        <v>0</v>
      </c>
      <c r="N24" s="236">
        <f t="shared" si="5"/>
        <v>0</v>
      </c>
      <c r="O24" s="204">
        <f t="shared" si="6"/>
        <v>0</v>
      </c>
      <c r="P24" s="205">
        <f t="shared" si="7"/>
        <v>0</v>
      </c>
      <c r="Q24" s="205">
        <f t="shared" si="8"/>
        <v>0</v>
      </c>
      <c r="R24" s="245"/>
      <c r="S24" s="246"/>
      <c r="T24" s="247"/>
    </row>
    <row r="25" spans="1:20" ht="15" customHeight="1" outlineLevel="1">
      <c r="A25" s="202" t="str">
        <f>TEXT($A$8,0) &amp; ".17"</f>
        <v>0.17</v>
      </c>
      <c r="B25" s="965"/>
      <c r="C25" s="966"/>
      <c r="D25" s="966"/>
      <c r="E25" s="967"/>
      <c r="F25" s="211"/>
      <c r="G25" s="211"/>
      <c r="H25" s="225"/>
      <c r="I25" s="225"/>
      <c r="J25" s="235"/>
      <c r="K25" s="235"/>
      <c r="L25" s="235"/>
      <c r="M25" s="204">
        <f t="shared" si="4"/>
        <v>0</v>
      </c>
      <c r="N25" s="236">
        <f t="shared" si="5"/>
        <v>0</v>
      </c>
      <c r="O25" s="204">
        <f t="shared" si="6"/>
        <v>0</v>
      </c>
      <c r="P25" s="205">
        <f t="shared" si="7"/>
        <v>0</v>
      </c>
      <c r="Q25" s="205">
        <f t="shared" si="8"/>
        <v>0</v>
      </c>
      <c r="R25" s="245"/>
      <c r="S25" s="246"/>
      <c r="T25" s="247"/>
    </row>
    <row r="26" spans="1:20" ht="15" customHeight="1" outlineLevel="1">
      <c r="A26" s="202" t="str">
        <f>TEXT($A$8,0) &amp; ".18"</f>
        <v>0.18</v>
      </c>
      <c r="B26" s="965"/>
      <c r="C26" s="966"/>
      <c r="D26" s="966"/>
      <c r="E26" s="967"/>
      <c r="F26" s="211"/>
      <c r="G26" s="211"/>
      <c r="H26" s="225"/>
      <c r="I26" s="225"/>
      <c r="J26" s="235"/>
      <c r="K26" s="235"/>
      <c r="L26" s="235"/>
      <c r="M26" s="204">
        <f t="shared" si="4"/>
        <v>0</v>
      </c>
      <c r="N26" s="236">
        <f t="shared" si="5"/>
        <v>0</v>
      </c>
      <c r="O26" s="204">
        <f t="shared" si="6"/>
        <v>0</v>
      </c>
      <c r="P26" s="205">
        <f t="shared" si="7"/>
        <v>0</v>
      </c>
      <c r="Q26" s="205">
        <f t="shared" si="8"/>
        <v>0</v>
      </c>
      <c r="R26" s="245"/>
      <c r="S26" s="246"/>
      <c r="T26" s="247"/>
    </row>
    <row r="27" spans="1:20" ht="15" customHeight="1" outlineLevel="1">
      <c r="A27" s="202" t="str">
        <f>TEXT($A$8,0) &amp; ".19"</f>
        <v>0.19</v>
      </c>
      <c r="B27" s="965"/>
      <c r="C27" s="966"/>
      <c r="D27" s="966"/>
      <c r="E27" s="967"/>
      <c r="F27" s="211"/>
      <c r="G27" s="211"/>
      <c r="H27" s="225"/>
      <c r="I27" s="225"/>
      <c r="J27" s="235"/>
      <c r="K27" s="235"/>
      <c r="L27" s="235"/>
      <c r="M27" s="204">
        <f t="shared" si="4"/>
        <v>0</v>
      </c>
      <c r="N27" s="236">
        <f t="shared" si="5"/>
        <v>0</v>
      </c>
      <c r="O27" s="204">
        <f t="shared" si="6"/>
        <v>0</v>
      </c>
      <c r="P27" s="205">
        <f t="shared" si="7"/>
        <v>0</v>
      </c>
      <c r="Q27" s="205">
        <f t="shared" si="8"/>
        <v>0</v>
      </c>
      <c r="R27" s="245"/>
      <c r="S27" s="246"/>
      <c r="T27" s="247"/>
    </row>
    <row r="28" spans="1:20" ht="15" customHeight="1" outlineLevel="1">
      <c r="A28" s="202" t="str">
        <f>TEXT($A$8,0) &amp; ".20"</f>
        <v>0.20</v>
      </c>
      <c r="B28" s="965"/>
      <c r="C28" s="966"/>
      <c r="D28" s="966"/>
      <c r="E28" s="967"/>
      <c r="F28" s="211"/>
      <c r="G28" s="211"/>
      <c r="H28" s="225"/>
      <c r="I28" s="225"/>
      <c r="J28" s="235"/>
      <c r="K28" s="235"/>
      <c r="L28" s="235"/>
      <c r="M28" s="204">
        <f t="shared" si="4"/>
        <v>0</v>
      </c>
      <c r="N28" s="236">
        <f t="shared" si="5"/>
        <v>0</v>
      </c>
      <c r="O28" s="204">
        <f t="shared" si="6"/>
        <v>0</v>
      </c>
      <c r="P28" s="205">
        <f t="shared" si="7"/>
        <v>0</v>
      </c>
      <c r="Q28" s="205">
        <f t="shared" si="8"/>
        <v>0</v>
      </c>
      <c r="R28" s="245"/>
      <c r="S28" s="246"/>
      <c r="T28" s="247"/>
    </row>
    <row r="29" spans="1:20" ht="15" customHeight="1">
      <c r="A29" s="267"/>
      <c r="B29" s="959"/>
      <c r="C29" s="960"/>
      <c r="D29" s="960"/>
      <c r="E29" s="961"/>
      <c r="F29" s="212"/>
      <c r="G29" s="212"/>
      <c r="H29" s="222"/>
      <c r="I29" s="222" t="str">
        <f>IF(COUNTIF(I30:I49,TMDPhaseTimeAndMaterial)&gt;0,TMDPhaseTimeAndMaterial,IF(COUNTIF(I30:I49,TMDPhaseChangeTimeAndMaterial)&gt;0,TMDPhaseChangeTimeAndMaterial,""))</f>
        <v/>
      </c>
      <c r="J29" s="234">
        <f t="shared" ref="J29:Q29" si="9">SUM(J30:J49)</f>
        <v>0</v>
      </c>
      <c r="K29" s="234">
        <f t="shared" si="9"/>
        <v>0</v>
      </c>
      <c r="L29" s="234">
        <f t="shared" si="9"/>
        <v>0</v>
      </c>
      <c r="M29" s="201">
        <f t="shared" si="9"/>
        <v>0</v>
      </c>
      <c r="N29" s="201">
        <f t="shared" si="9"/>
        <v>0</v>
      </c>
      <c r="O29" s="201">
        <f t="shared" si="9"/>
        <v>0</v>
      </c>
      <c r="P29" s="201">
        <f t="shared" si="9"/>
        <v>0</v>
      </c>
      <c r="Q29" s="201">
        <f t="shared" si="9"/>
        <v>0</v>
      </c>
      <c r="R29" s="936"/>
      <c r="S29" s="936"/>
      <c r="T29" s="936"/>
    </row>
    <row r="30" spans="1:20" ht="15" hidden="1" customHeight="1" outlineLevel="1">
      <c r="A30" s="202" t="str">
        <f>TEXT($A$29,0) &amp; ".1"</f>
        <v>0.1</v>
      </c>
      <c r="B30" s="962"/>
      <c r="C30" s="963"/>
      <c r="D30" s="963"/>
      <c r="E30" s="964"/>
      <c r="F30" s="211"/>
      <c r="G30" s="211"/>
      <c r="H30" s="223"/>
      <c r="I30" s="223"/>
      <c r="J30" s="236"/>
      <c r="K30" s="236"/>
      <c r="L30" s="236"/>
      <c r="M30" s="204">
        <f>(J30+K30*4+L30)/6</f>
        <v>0</v>
      </c>
      <c r="N30" s="236">
        <f t="shared" ref="N30:O38" si="10">M30</f>
        <v>0</v>
      </c>
      <c r="O30" s="204">
        <f t="shared" si="10"/>
        <v>0</v>
      </c>
      <c r="P30" s="205">
        <f t="shared" ref="P30:P39" si="11">IF(H30&lt;&gt;"",INDEX(MDActivityTypeInternalCostPerDay,MATCH(H30,MDActivityTypeID,0),1)*O30,0)</f>
        <v>0</v>
      </c>
      <c r="Q30" s="205">
        <f t="shared" ref="Q30:Q39" si="12">IF(H30&lt;&gt;"",INDEX(MDActivityTypeExternalPricePerDay,MATCH(H30,MDActivityTypeID,0),1)*O30,0)</f>
        <v>0</v>
      </c>
      <c r="R30" s="926"/>
      <c r="S30" s="927"/>
      <c r="T30" s="928"/>
    </row>
    <row r="31" spans="1:20" ht="15" hidden="1" customHeight="1" outlineLevel="1">
      <c r="A31" s="202" t="str">
        <f>TEXT($A$29,0) &amp; ".2"</f>
        <v>0.2</v>
      </c>
      <c r="B31" s="962"/>
      <c r="C31" s="963"/>
      <c r="D31" s="963"/>
      <c r="E31" s="964"/>
      <c r="F31" s="211"/>
      <c r="G31" s="211"/>
      <c r="H31" s="223"/>
      <c r="I31" s="223"/>
      <c r="J31" s="236"/>
      <c r="K31" s="236"/>
      <c r="L31" s="236"/>
      <c r="M31" s="204">
        <f t="shared" ref="M31:M39" si="13">(J31+K31*4+L31)/6</f>
        <v>0</v>
      </c>
      <c r="N31" s="236">
        <f t="shared" si="10"/>
        <v>0</v>
      </c>
      <c r="O31" s="204">
        <f t="shared" si="10"/>
        <v>0</v>
      </c>
      <c r="P31" s="205">
        <f t="shared" si="11"/>
        <v>0</v>
      </c>
      <c r="Q31" s="205">
        <f t="shared" si="12"/>
        <v>0</v>
      </c>
      <c r="R31" s="926"/>
      <c r="S31" s="927"/>
      <c r="T31" s="928"/>
    </row>
    <row r="32" spans="1:20" ht="15" hidden="1" customHeight="1" outlineLevel="1">
      <c r="A32" s="202" t="str">
        <f>TEXT($A$29,0) &amp; ".3"</f>
        <v>0.3</v>
      </c>
      <c r="B32" s="962"/>
      <c r="C32" s="963"/>
      <c r="D32" s="963"/>
      <c r="E32" s="964"/>
      <c r="F32" s="211"/>
      <c r="G32" s="211"/>
      <c r="H32" s="223"/>
      <c r="I32" s="223"/>
      <c r="J32" s="236"/>
      <c r="K32" s="236"/>
      <c r="L32" s="236"/>
      <c r="M32" s="204">
        <f t="shared" si="13"/>
        <v>0</v>
      </c>
      <c r="N32" s="236">
        <f t="shared" si="10"/>
        <v>0</v>
      </c>
      <c r="O32" s="204">
        <f t="shared" si="10"/>
        <v>0</v>
      </c>
      <c r="P32" s="205">
        <f t="shared" si="11"/>
        <v>0</v>
      </c>
      <c r="Q32" s="205">
        <f t="shared" si="12"/>
        <v>0</v>
      </c>
      <c r="R32" s="926"/>
      <c r="S32" s="927"/>
      <c r="T32" s="928"/>
    </row>
    <row r="33" spans="1:20" ht="15" hidden="1" customHeight="1" outlineLevel="1">
      <c r="A33" s="202" t="str">
        <f>TEXT($A$29,0) &amp; ".4"</f>
        <v>0.4</v>
      </c>
      <c r="B33" s="962"/>
      <c r="C33" s="963"/>
      <c r="D33" s="963"/>
      <c r="E33" s="964"/>
      <c r="F33" s="211"/>
      <c r="G33" s="211"/>
      <c r="H33" s="223"/>
      <c r="I33" s="223"/>
      <c r="J33" s="236"/>
      <c r="K33" s="236"/>
      <c r="L33" s="236"/>
      <c r="M33" s="204">
        <f t="shared" si="13"/>
        <v>0</v>
      </c>
      <c r="N33" s="236">
        <f t="shared" si="10"/>
        <v>0</v>
      </c>
      <c r="O33" s="204">
        <f t="shared" si="10"/>
        <v>0</v>
      </c>
      <c r="P33" s="205">
        <f t="shared" si="11"/>
        <v>0</v>
      </c>
      <c r="Q33" s="205">
        <f t="shared" si="12"/>
        <v>0</v>
      </c>
      <c r="R33" s="926"/>
      <c r="S33" s="927"/>
      <c r="T33" s="928"/>
    </row>
    <row r="34" spans="1:20" ht="15" hidden="1" customHeight="1" outlineLevel="1">
      <c r="A34" s="202" t="str">
        <f>TEXT($A$29,0) &amp; ".5"</f>
        <v>0.5</v>
      </c>
      <c r="B34" s="962"/>
      <c r="C34" s="963"/>
      <c r="D34" s="963"/>
      <c r="E34" s="964"/>
      <c r="F34" s="211"/>
      <c r="G34" s="211"/>
      <c r="H34" s="223"/>
      <c r="I34" s="223"/>
      <c r="J34" s="236"/>
      <c r="K34" s="236"/>
      <c r="L34" s="236"/>
      <c r="M34" s="204">
        <f t="shared" si="13"/>
        <v>0</v>
      </c>
      <c r="N34" s="236">
        <f t="shared" si="10"/>
        <v>0</v>
      </c>
      <c r="O34" s="204">
        <f t="shared" si="10"/>
        <v>0</v>
      </c>
      <c r="P34" s="205">
        <f t="shared" si="11"/>
        <v>0</v>
      </c>
      <c r="Q34" s="205">
        <f t="shared" si="12"/>
        <v>0</v>
      </c>
      <c r="R34" s="926"/>
      <c r="S34" s="927"/>
      <c r="T34" s="928"/>
    </row>
    <row r="35" spans="1:20" ht="15" hidden="1" customHeight="1" outlineLevel="1">
      <c r="A35" s="202" t="str">
        <f>TEXT($A$29,0) &amp; ".6"</f>
        <v>0.6</v>
      </c>
      <c r="B35" s="940"/>
      <c r="C35" s="941"/>
      <c r="D35" s="941"/>
      <c r="E35" s="942"/>
      <c r="F35" s="211"/>
      <c r="G35" s="211"/>
      <c r="H35" s="225"/>
      <c r="I35" s="225"/>
      <c r="J35" s="237"/>
      <c r="K35" s="237"/>
      <c r="L35" s="237"/>
      <c r="M35" s="204">
        <f t="shared" si="13"/>
        <v>0</v>
      </c>
      <c r="N35" s="236">
        <f t="shared" si="10"/>
        <v>0</v>
      </c>
      <c r="O35" s="204">
        <f t="shared" si="10"/>
        <v>0</v>
      </c>
      <c r="P35" s="205">
        <f t="shared" si="11"/>
        <v>0</v>
      </c>
      <c r="Q35" s="205">
        <f t="shared" si="12"/>
        <v>0</v>
      </c>
      <c r="R35" s="926"/>
      <c r="S35" s="927"/>
      <c r="T35" s="928"/>
    </row>
    <row r="36" spans="1:20" ht="15" hidden="1" customHeight="1" outlineLevel="1">
      <c r="A36" s="202" t="str">
        <f>TEXT($A$29,0) &amp; ".7"</f>
        <v>0.7</v>
      </c>
      <c r="B36" s="940"/>
      <c r="C36" s="941"/>
      <c r="D36" s="941"/>
      <c r="E36" s="942"/>
      <c r="F36" s="211"/>
      <c r="G36" s="211"/>
      <c r="H36" s="225"/>
      <c r="I36" s="225"/>
      <c r="J36" s="237"/>
      <c r="K36" s="237"/>
      <c r="L36" s="237"/>
      <c r="M36" s="204">
        <f t="shared" si="13"/>
        <v>0</v>
      </c>
      <c r="N36" s="236">
        <f t="shared" si="10"/>
        <v>0</v>
      </c>
      <c r="O36" s="204">
        <f t="shared" si="10"/>
        <v>0</v>
      </c>
      <c r="P36" s="205">
        <f t="shared" si="11"/>
        <v>0</v>
      </c>
      <c r="Q36" s="205">
        <f t="shared" si="12"/>
        <v>0</v>
      </c>
      <c r="R36" s="926"/>
      <c r="S36" s="927"/>
      <c r="T36" s="928"/>
    </row>
    <row r="37" spans="1:20" ht="15" hidden="1" customHeight="1" outlineLevel="1">
      <c r="A37" s="202" t="str">
        <f>TEXT($A$29,0) &amp; ".8"</f>
        <v>0.8</v>
      </c>
      <c r="B37" s="940"/>
      <c r="C37" s="941"/>
      <c r="D37" s="941"/>
      <c r="E37" s="942"/>
      <c r="F37" s="211"/>
      <c r="G37" s="211"/>
      <c r="H37" s="225"/>
      <c r="I37" s="225"/>
      <c r="J37" s="237"/>
      <c r="K37" s="237"/>
      <c r="L37" s="237"/>
      <c r="M37" s="204">
        <f t="shared" si="13"/>
        <v>0</v>
      </c>
      <c r="N37" s="236">
        <f t="shared" si="10"/>
        <v>0</v>
      </c>
      <c r="O37" s="204">
        <f t="shared" si="10"/>
        <v>0</v>
      </c>
      <c r="P37" s="205">
        <f t="shared" si="11"/>
        <v>0</v>
      </c>
      <c r="Q37" s="205">
        <f t="shared" si="12"/>
        <v>0</v>
      </c>
      <c r="R37" s="926"/>
      <c r="S37" s="927"/>
      <c r="T37" s="928"/>
    </row>
    <row r="38" spans="1:20" ht="15" hidden="1" customHeight="1" outlineLevel="1">
      <c r="A38" s="202" t="str">
        <f>TEXT($A$29,0) &amp; ".9"</f>
        <v>0.9</v>
      </c>
      <c r="B38" s="940"/>
      <c r="C38" s="941"/>
      <c r="D38" s="941"/>
      <c r="E38" s="942"/>
      <c r="F38" s="211"/>
      <c r="G38" s="211"/>
      <c r="H38" s="225"/>
      <c r="I38" s="225"/>
      <c r="J38" s="237"/>
      <c r="K38" s="237"/>
      <c r="L38" s="237"/>
      <c r="M38" s="204">
        <f t="shared" si="13"/>
        <v>0</v>
      </c>
      <c r="N38" s="236">
        <f t="shared" si="10"/>
        <v>0</v>
      </c>
      <c r="O38" s="204">
        <f t="shared" si="10"/>
        <v>0</v>
      </c>
      <c r="P38" s="205">
        <f t="shared" si="11"/>
        <v>0</v>
      </c>
      <c r="Q38" s="205">
        <f t="shared" si="12"/>
        <v>0</v>
      </c>
      <c r="R38" s="926"/>
      <c r="S38" s="927"/>
      <c r="T38" s="928"/>
    </row>
    <row r="39" spans="1:20" ht="15" hidden="1" customHeight="1" outlineLevel="1">
      <c r="A39" s="202" t="str">
        <f>TEXT($A$29,0) &amp; ".10"</f>
        <v>0.10</v>
      </c>
      <c r="B39" s="940"/>
      <c r="C39" s="941"/>
      <c r="D39" s="941"/>
      <c r="E39" s="942"/>
      <c r="F39" s="211"/>
      <c r="G39" s="211"/>
      <c r="H39" s="225"/>
      <c r="I39" s="225"/>
      <c r="J39" s="237"/>
      <c r="K39" s="237"/>
      <c r="L39" s="237"/>
      <c r="M39" s="204">
        <f t="shared" si="13"/>
        <v>0</v>
      </c>
      <c r="N39" s="236">
        <f t="shared" ref="N39:O48" si="14">M39</f>
        <v>0</v>
      </c>
      <c r="O39" s="204">
        <f t="shared" si="14"/>
        <v>0</v>
      </c>
      <c r="P39" s="205">
        <f t="shared" si="11"/>
        <v>0</v>
      </c>
      <c r="Q39" s="205">
        <f t="shared" si="12"/>
        <v>0</v>
      </c>
      <c r="R39" s="926"/>
      <c r="S39" s="927"/>
      <c r="T39" s="928"/>
    </row>
    <row r="40" spans="1:20" ht="15" hidden="1" customHeight="1" outlineLevel="1">
      <c r="A40" s="202" t="str">
        <f>TEXT($A$29,0) &amp; ".11"</f>
        <v>0.11</v>
      </c>
      <c r="B40" s="962"/>
      <c r="C40" s="963"/>
      <c r="D40" s="963"/>
      <c r="E40" s="964"/>
      <c r="F40" s="211"/>
      <c r="G40" s="211"/>
      <c r="H40" s="223"/>
      <c r="I40" s="223"/>
      <c r="J40" s="236"/>
      <c r="K40" s="236"/>
      <c r="L40" s="236"/>
      <c r="M40" s="204">
        <f>(J40+K40*4+L40)/6</f>
        <v>0</v>
      </c>
      <c r="N40" s="236">
        <f t="shared" si="14"/>
        <v>0</v>
      </c>
      <c r="O40" s="204">
        <f>N40</f>
        <v>0</v>
      </c>
      <c r="P40" s="205">
        <f t="shared" ref="P40:P49" si="15">IF(H40&lt;&gt;"",INDEX(MDActivityTypeInternalCostPerDay,MATCH(H40,MDActivityTypeID,0),1)*O40,0)</f>
        <v>0</v>
      </c>
      <c r="Q40" s="205">
        <f t="shared" ref="Q40:Q49" si="16">IF(H40&lt;&gt;"",INDEX(MDActivityTypeExternalPricePerDay,MATCH(H40,MDActivityTypeID,0),1)*O40,0)</f>
        <v>0</v>
      </c>
      <c r="R40" s="926"/>
      <c r="S40" s="927"/>
      <c r="T40" s="928"/>
    </row>
    <row r="41" spans="1:20" ht="15" hidden="1" customHeight="1" outlineLevel="1">
      <c r="A41" s="202" t="str">
        <f>TEXT($A$29,0) &amp; ".12"</f>
        <v>0.12</v>
      </c>
      <c r="B41" s="962"/>
      <c r="C41" s="963"/>
      <c r="D41" s="963"/>
      <c r="E41" s="964"/>
      <c r="F41" s="211"/>
      <c r="G41" s="211"/>
      <c r="H41" s="223"/>
      <c r="I41" s="223"/>
      <c r="J41" s="236"/>
      <c r="K41" s="236"/>
      <c r="L41" s="236"/>
      <c r="M41" s="204">
        <f t="shared" ref="M41:M49" si="17">(J41+K41*4+L41)/6</f>
        <v>0</v>
      </c>
      <c r="N41" s="236">
        <f t="shared" si="14"/>
        <v>0</v>
      </c>
      <c r="O41" s="204">
        <f t="shared" ref="O41:O49" si="18">N41</f>
        <v>0</v>
      </c>
      <c r="P41" s="205">
        <f t="shared" si="15"/>
        <v>0</v>
      </c>
      <c r="Q41" s="205">
        <f t="shared" si="16"/>
        <v>0</v>
      </c>
      <c r="R41" s="926"/>
      <c r="S41" s="927"/>
      <c r="T41" s="928"/>
    </row>
    <row r="42" spans="1:20" ht="15" hidden="1" customHeight="1" outlineLevel="1">
      <c r="A42" s="202" t="str">
        <f>TEXT($A$29,0) &amp; ".13"</f>
        <v>0.13</v>
      </c>
      <c r="B42" s="962"/>
      <c r="C42" s="963"/>
      <c r="D42" s="963"/>
      <c r="E42" s="964"/>
      <c r="F42" s="211"/>
      <c r="G42" s="211"/>
      <c r="H42" s="223"/>
      <c r="I42" s="223"/>
      <c r="J42" s="236"/>
      <c r="K42" s="236"/>
      <c r="L42" s="236"/>
      <c r="M42" s="204">
        <f t="shared" si="17"/>
        <v>0</v>
      </c>
      <c r="N42" s="236">
        <f t="shared" si="14"/>
        <v>0</v>
      </c>
      <c r="O42" s="204">
        <f t="shared" si="18"/>
        <v>0</v>
      </c>
      <c r="P42" s="205">
        <f t="shared" si="15"/>
        <v>0</v>
      </c>
      <c r="Q42" s="205">
        <f t="shared" si="16"/>
        <v>0</v>
      </c>
      <c r="R42" s="926"/>
      <c r="S42" s="927"/>
      <c r="T42" s="928"/>
    </row>
    <row r="43" spans="1:20" ht="15" hidden="1" customHeight="1" outlineLevel="1">
      <c r="A43" s="202" t="str">
        <f>TEXT($A$29,0) &amp; ".14"</f>
        <v>0.14</v>
      </c>
      <c r="B43" s="962"/>
      <c r="C43" s="963"/>
      <c r="D43" s="963"/>
      <c r="E43" s="964"/>
      <c r="F43" s="211"/>
      <c r="G43" s="211"/>
      <c r="H43" s="223"/>
      <c r="I43" s="223"/>
      <c r="J43" s="236"/>
      <c r="K43" s="236"/>
      <c r="L43" s="236"/>
      <c r="M43" s="204">
        <f t="shared" si="17"/>
        <v>0</v>
      </c>
      <c r="N43" s="236">
        <f t="shared" si="14"/>
        <v>0</v>
      </c>
      <c r="O43" s="204">
        <f t="shared" si="18"/>
        <v>0</v>
      </c>
      <c r="P43" s="205">
        <f t="shared" si="15"/>
        <v>0</v>
      </c>
      <c r="Q43" s="205">
        <f t="shared" si="16"/>
        <v>0</v>
      </c>
      <c r="R43" s="926"/>
      <c r="S43" s="927"/>
      <c r="T43" s="928"/>
    </row>
    <row r="44" spans="1:20" ht="15" hidden="1" customHeight="1" outlineLevel="1">
      <c r="A44" s="202" t="str">
        <f>TEXT($A$29,0) &amp; ".15"</f>
        <v>0.15</v>
      </c>
      <c r="B44" s="962"/>
      <c r="C44" s="963"/>
      <c r="D44" s="963"/>
      <c r="E44" s="964"/>
      <c r="F44" s="211"/>
      <c r="G44" s="211"/>
      <c r="H44" s="223"/>
      <c r="I44" s="223"/>
      <c r="J44" s="236"/>
      <c r="K44" s="236"/>
      <c r="L44" s="236"/>
      <c r="M44" s="204">
        <f t="shared" si="17"/>
        <v>0</v>
      </c>
      <c r="N44" s="236">
        <f t="shared" si="14"/>
        <v>0</v>
      </c>
      <c r="O44" s="204">
        <f t="shared" si="18"/>
        <v>0</v>
      </c>
      <c r="P44" s="205">
        <f t="shared" si="15"/>
        <v>0</v>
      </c>
      <c r="Q44" s="205">
        <f t="shared" si="16"/>
        <v>0</v>
      </c>
      <c r="R44" s="926"/>
      <c r="S44" s="927"/>
      <c r="T44" s="928"/>
    </row>
    <row r="45" spans="1:20" ht="15" hidden="1" customHeight="1" outlineLevel="1">
      <c r="A45" s="202" t="str">
        <f>TEXT($A$29,0) &amp; ".16"</f>
        <v>0.16</v>
      </c>
      <c r="B45" s="940"/>
      <c r="C45" s="941"/>
      <c r="D45" s="941"/>
      <c r="E45" s="942"/>
      <c r="F45" s="211"/>
      <c r="G45" s="211"/>
      <c r="H45" s="225"/>
      <c r="I45" s="225"/>
      <c r="J45" s="237"/>
      <c r="K45" s="237"/>
      <c r="L45" s="237"/>
      <c r="M45" s="204">
        <f t="shared" si="17"/>
        <v>0</v>
      </c>
      <c r="N45" s="236">
        <f t="shared" si="14"/>
        <v>0</v>
      </c>
      <c r="O45" s="204">
        <f t="shared" si="18"/>
        <v>0</v>
      </c>
      <c r="P45" s="205">
        <f t="shared" si="15"/>
        <v>0</v>
      </c>
      <c r="Q45" s="205">
        <f t="shared" si="16"/>
        <v>0</v>
      </c>
      <c r="R45" s="926"/>
      <c r="S45" s="927"/>
      <c r="T45" s="928"/>
    </row>
    <row r="46" spans="1:20" ht="15" hidden="1" customHeight="1" outlineLevel="1">
      <c r="A46" s="202" t="str">
        <f>TEXT($A$29,0) &amp; ".17"</f>
        <v>0.17</v>
      </c>
      <c r="B46" s="940"/>
      <c r="C46" s="941"/>
      <c r="D46" s="941"/>
      <c r="E46" s="942"/>
      <c r="F46" s="211"/>
      <c r="G46" s="211"/>
      <c r="H46" s="225"/>
      <c r="I46" s="225"/>
      <c r="J46" s="237"/>
      <c r="K46" s="237"/>
      <c r="L46" s="237"/>
      <c r="M46" s="204">
        <f t="shared" si="17"/>
        <v>0</v>
      </c>
      <c r="N46" s="236">
        <f t="shared" si="14"/>
        <v>0</v>
      </c>
      <c r="O46" s="204">
        <f t="shared" si="18"/>
        <v>0</v>
      </c>
      <c r="P46" s="205">
        <f t="shared" si="15"/>
        <v>0</v>
      </c>
      <c r="Q46" s="205">
        <f t="shared" si="16"/>
        <v>0</v>
      </c>
      <c r="R46" s="926"/>
      <c r="S46" s="927"/>
      <c r="T46" s="928"/>
    </row>
    <row r="47" spans="1:20" ht="15" hidden="1" customHeight="1" outlineLevel="1">
      <c r="A47" s="202" t="str">
        <f>TEXT($A$29,0) &amp; ".18"</f>
        <v>0.18</v>
      </c>
      <c r="B47" s="940"/>
      <c r="C47" s="941"/>
      <c r="D47" s="941"/>
      <c r="E47" s="942"/>
      <c r="F47" s="211"/>
      <c r="G47" s="211"/>
      <c r="H47" s="225"/>
      <c r="I47" s="225"/>
      <c r="J47" s="237"/>
      <c r="K47" s="237"/>
      <c r="L47" s="237"/>
      <c r="M47" s="204">
        <f t="shared" si="17"/>
        <v>0</v>
      </c>
      <c r="N47" s="236">
        <f t="shared" si="14"/>
        <v>0</v>
      </c>
      <c r="O47" s="204">
        <f t="shared" si="18"/>
        <v>0</v>
      </c>
      <c r="P47" s="205">
        <f t="shared" si="15"/>
        <v>0</v>
      </c>
      <c r="Q47" s="205">
        <f t="shared" si="16"/>
        <v>0</v>
      </c>
      <c r="R47" s="926"/>
      <c r="S47" s="927"/>
      <c r="T47" s="928"/>
    </row>
    <row r="48" spans="1:20" ht="15" hidden="1" customHeight="1" outlineLevel="1">
      <c r="A48" s="202" t="str">
        <f>TEXT($A$29,0) &amp; ".19"</f>
        <v>0.19</v>
      </c>
      <c r="B48" s="940"/>
      <c r="C48" s="941"/>
      <c r="D48" s="941"/>
      <c r="E48" s="942"/>
      <c r="F48" s="211"/>
      <c r="G48" s="211"/>
      <c r="H48" s="225"/>
      <c r="I48" s="225"/>
      <c r="J48" s="237"/>
      <c r="K48" s="237"/>
      <c r="L48" s="237"/>
      <c r="M48" s="204">
        <f t="shared" si="17"/>
        <v>0</v>
      </c>
      <c r="N48" s="236">
        <f t="shared" si="14"/>
        <v>0</v>
      </c>
      <c r="O48" s="204">
        <f t="shared" si="18"/>
        <v>0</v>
      </c>
      <c r="P48" s="205">
        <f t="shared" si="15"/>
        <v>0</v>
      </c>
      <c r="Q48" s="205">
        <f t="shared" si="16"/>
        <v>0</v>
      </c>
      <c r="R48" s="926"/>
      <c r="S48" s="927"/>
      <c r="T48" s="928"/>
    </row>
    <row r="49" spans="1:20" ht="15" hidden="1" customHeight="1" outlineLevel="1">
      <c r="A49" s="202" t="str">
        <f>TEXT($A$29,0) &amp; ".20"</f>
        <v>0.20</v>
      </c>
      <c r="B49" s="940"/>
      <c r="C49" s="941"/>
      <c r="D49" s="941"/>
      <c r="E49" s="942"/>
      <c r="F49" s="211"/>
      <c r="G49" s="211"/>
      <c r="H49" s="225"/>
      <c r="I49" s="225"/>
      <c r="J49" s="237"/>
      <c r="K49" s="237"/>
      <c r="L49" s="237"/>
      <c r="M49" s="204">
        <f t="shared" si="17"/>
        <v>0</v>
      </c>
      <c r="N49" s="236">
        <f>M49</f>
        <v>0</v>
      </c>
      <c r="O49" s="204">
        <f t="shared" si="18"/>
        <v>0</v>
      </c>
      <c r="P49" s="205">
        <f t="shared" si="15"/>
        <v>0</v>
      </c>
      <c r="Q49" s="205">
        <f t="shared" si="16"/>
        <v>0</v>
      </c>
      <c r="R49" s="926"/>
      <c r="S49" s="927"/>
      <c r="T49" s="928"/>
    </row>
    <row r="50" spans="1:20" ht="15" customHeight="1" collapsed="1">
      <c r="A50" s="267"/>
      <c r="B50" s="969"/>
      <c r="C50" s="970"/>
      <c r="D50" s="970"/>
      <c r="E50" s="971"/>
      <c r="F50" s="213"/>
      <c r="G50" s="213"/>
      <c r="H50" s="222"/>
      <c r="I50" s="222" t="str">
        <f>IF(COUNTIF(I51:I70,TMDPhaseTimeAndMaterial)&gt;0,TMDPhaseTimeAndMaterial,IF(COUNTIF(I51:I70,TMDPhaseChangeTimeAndMaterial)&gt;0,TMDPhaseChangeTimeAndMaterial,""))</f>
        <v/>
      </c>
      <c r="J50" s="234">
        <f t="shared" ref="J50:Q50" si="19">SUM(J51:J70)</f>
        <v>0</v>
      </c>
      <c r="K50" s="234">
        <f t="shared" si="19"/>
        <v>0</v>
      </c>
      <c r="L50" s="234">
        <f t="shared" si="19"/>
        <v>0</v>
      </c>
      <c r="M50" s="201">
        <f t="shared" si="19"/>
        <v>0</v>
      </c>
      <c r="N50" s="201">
        <f t="shared" si="19"/>
        <v>0</v>
      </c>
      <c r="O50" s="201">
        <f t="shared" si="19"/>
        <v>0</v>
      </c>
      <c r="P50" s="201">
        <f t="shared" si="19"/>
        <v>0</v>
      </c>
      <c r="Q50" s="201">
        <f t="shared" si="19"/>
        <v>0</v>
      </c>
      <c r="R50" s="987"/>
      <c r="S50" s="988"/>
      <c r="T50" s="989"/>
    </row>
    <row r="51" spans="1:20" ht="15" hidden="1" customHeight="1" outlineLevel="1">
      <c r="A51" s="202" t="str">
        <f>TEXT($A$50,0) &amp; ".1"</f>
        <v>0.1</v>
      </c>
      <c r="B51" s="952"/>
      <c r="C51" s="953"/>
      <c r="D51" s="953"/>
      <c r="E51" s="954"/>
      <c r="F51" s="211"/>
      <c r="G51" s="211"/>
      <c r="H51" s="226"/>
      <c r="I51" s="226"/>
      <c r="J51" s="238"/>
      <c r="K51" s="238"/>
      <c r="L51" s="238"/>
      <c r="M51" s="204">
        <f>(J51+K51*4+L51)/6</f>
        <v>0</v>
      </c>
      <c r="N51" s="235">
        <f t="shared" ref="N51:O59" si="20">M51</f>
        <v>0</v>
      </c>
      <c r="O51" s="204">
        <f t="shared" si="20"/>
        <v>0</v>
      </c>
      <c r="P51" s="205">
        <f t="shared" ref="P51:P60" si="21">IF(H51&lt;&gt;"",INDEX(MDActivityTypeInternalCostPerDay,MATCH(H51,MDActivityTypeID,0),1)*O51,0)</f>
        <v>0</v>
      </c>
      <c r="Q51" s="205">
        <f t="shared" ref="Q51:Q60" si="22">IF(H51&lt;&gt;"",INDEX(MDActivityTypeExternalPricePerDay,MATCH(H51,MDActivityTypeID,0),1)*O51,0)</f>
        <v>0</v>
      </c>
      <c r="R51" s="926"/>
      <c r="S51" s="927"/>
      <c r="T51" s="928"/>
    </row>
    <row r="52" spans="1:20" ht="15" hidden="1" customHeight="1" outlineLevel="1">
      <c r="A52" s="202" t="str">
        <f>TEXT($A$50,0) &amp; ".2"</f>
        <v>0.2</v>
      </c>
      <c r="B52" s="952"/>
      <c r="C52" s="953"/>
      <c r="D52" s="953"/>
      <c r="E52" s="954"/>
      <c r="F52" s="211"/>
      <c r="G52" s="211"/>
      <c r="H52" s="226"/>
      <c r="I52" s="226"/>
      <c r="J52" s="238"/>
      <c r="K52" s="238"/>
      <c r="L52" s="238"/>
      <c r="M52" s="204">
        <f t="shared" ref="M52:M60" si="23">(J52+K52*4+L52)/6</f>
        <v>0</v>
      </c>
      <c r="N52" s="235">
        <f t="shared" si="20"/>
        <v>0</v>
      </c>
      <c r="O52" s="204">
        <f t="shared" si="20"/>
        <v>0</v>
      </c>
      <c r="P52" s="205">
        <f t="shared" si="21"/>
        <v>0</v>
      </c>
      <c r="Q52" s="205">
        <f t="shared" si="22"/>
        <v>0</v>
      </c>
      <c r="R52" s="926"/>
      <c r="S52" s="927"/>
      <c r="T52" s="928"/>
    </row>
    <row r="53" spans="1:20" ht="15" hidden="1" customHeight="1" outlineLevel="1">
      <c r="A53" s="202" t="str">
        <f>TEXT($A$50,0) &amp; ".3"</f>
        <v>0.3</v>
      </c>
      <c r="B53" s="952"/>
      <c r="C53" s="953"/>
      <c r="D53" s="953"/>
      <c r="E53" s="954"/>
      <c r="F53" s="211"/>
      <c r="G53" s="211"/>
      <c r="H53" s="226"/>
      <c r="I53" s="226"/>
      <c r="J53" s="238"/>
      <c r="K53" s="238"/>
      <c r="L53" s="238"/>
      <c r="M53" s="204">
        <f t="shared" si="23"/>
        <v>0</v>
      </c>
      <c r="N53" s="235">
        <f t="shared" si="20"/>
        <v>0</v>
      </c>
      <c r="O53" s="204">
        <f t="shared" si="20"/>
        <v>0</v>
      </c>
      <c r="P53" s="205">
        <f t="shared" si="21"/>
        <v>0</v>
      </c>
      <c r="Q53" s="205">
        <f t="shared" si="22"/>
        <v>0</v>
      </c>
      <c r="R53" s="926"/>
      <c r="S53" s="927"/>
      <c r="T53" s="928"/>
    </row>
    <row r="54" spans="1:20" ht="15" hidden="1" customHeight="1" outlineLevel="1">
      <c r="A54" s="202" t="str">
        <f>TEXT($A$50,0) &amp; ".4"</f>
        <v>0.4</v>
      </c>
      <c r="B54" s="952"/>
      <c r="C54" s="953"/>
      <c r="D54" s="953"/>
      <c r="E54" s="954"/>
      <c r="F54" s="211"/>
      <c r="G54" s="211"/>
      <c r="H54" s="226"/>
      <c r="I54" s="226"/>
      <c r="J54" s="238"/>
      <c r="K54" s="238"/>
      <c r="L54" s="238"/>
      <c r="M54" s="204">
        <f t="shared" si="23"/>
        <v>0</v>
      </c>
      <c r="N54" s="235">
        <f t="shared" si="20"/>
        <v>0</v>
      </c>
      <c r="O54" s="204">
        <f t="shared" si="20"/>
        <v>0</v>
      </c>
      <c r="P54" s="205">
        <f t="shared" si="21"/>
        <v>0</v>
      </c>
      <c r="Q54" s="205">
        <f t="shared" si="22"/>
        <v>0</v>
      </c>
      <c r="R54" s="926"/>
      <c r="S54" s="927"/>
      <c r="T54" s="928"/>
    </row>
    <row r="55" spans="1:20" ht="15" hidden="1" customHeight="1" outlineLevel="1">
      <c r="A55" s="202" t="str">
        <f>TEXT($A$50,0) &amp; ".5"</f>
        <v>0.5</v>
      </c>
      <c r="B55" s="952"/>
      <c r="C55" s="953"/>
      <c r="D55" s="953"/>
      <c r="E55" s="954"/>
      <c r="F55" s="211"/>
      <c r="G55" s="211"/>
      <c r="H55" s="226"/>
      <c r="I55" s="226"/>
      <c r="J55" s="238"/>
      <c r="K55" s="238"/>
      <c r="L55" s="238"/>
      <c r="M55" s="204">
        <f t="shared" si="23"/>
        <v>0</v>
      </c>
      <c r="N55" s="235">
        <f t="shared" si="20"/>
        <v>0</v>
      </c>
      <c r="O55" s="204">
        <f t="shared" si="20"/>
        <v>0</v>
      </c>
      <c r="P55" s="205">
        <f t="shared" si="21"/>
        <v>0</v>
      </c>
      <c r="Q55" s="205">
        <f t="shared" si="22"/>
        <v>0</v>
      </c>
      <c r="R55" s="926"/>
      <c r="S55" s="927"/>
      <c r="T55" s="928"/>
    </row>
    <row r="56" spans="1:20" ht="15" hidden="1" customHeight="1" outlineLevel="1">
      <c r="A56" s="202" t="str">
        <f>TEXT($A$50,0) &amp; ".6"</f>
        <v>0.6</v>
      </c>
      <c r="B56" s="940"/>
      <c r="C56" s="941"/>
      <c r="D56" s="941"/>
      <c r="E56" s="942"/>
      <c r="F56" s="211"/>
      <c r="G56" s="211"/>
      <c r="H56" s="225"/>
      <c r="I56" s="225"/>
      <c r="J56" s="237"/>
      <c r="K56" s="237"/>
      <c r="L56" s="237"/>
      <c r="M56" s="204">
        <f t="shared" si="23"/>
        <v>0</v>
      </c>
      <c r="N56" s="235">
        <f t="shared" si="20"/>
        <v>0</v>
      </c>
      <c r="O56" s="204">
        <f t="shared" si="20"/>
        <v>0</v>
      </c>
      <c r="P56" s="205">
        <f t="shared" si="21"/>
        <v>0</v>
      </c>
      <c r="Q56" s="205">
        <f t="shared" si="22"/>
        <v>0</v>
      </c>
      <c r="R56" s="926"/>
      <c r="S56" s="927"/>
      <c r="T56" s="928"/>
    </row>
    <row r="57" spans="1:20" ht="15" hidden="1" customHeight="1" outlineLevel="1">
      <c r="A57" s="202" t="str">
        <f>TEXT($A$50,0) &amp; ".7"</f>
        <v>0.7</v>
      </c>
      <c r="B57" s="940"/>
      <c r="C57" s="941"/>
      <c r="D57" s="941"/>
      <c r="E57" s="942"/>
      <c r="F57" s="211"/>
      <c r="G57" s="211"/>
      <c r="H57" s="225"/>
      <c r="I57" s="225"/>
      <c r="J57" s="237"/>
      <c r="K57" s="237"/>
      <c r="L57" s="237"/>
      <c r="M57" s="204">
        <f t="shared" si="23"/>
        <v>0</v>
      </c>
      <c r="N57" s="235">
        <f t="shared" si="20"/>
        <v>0</v>
      </c>
      <c r="O57" s="204">
        <f t="shared" si="20"/>
        <v>0</v>
      </c>
      <c r="P57" s="205">
        <f t="shared" si="21"/>
        <v>0</v>
      </c>
      <c r="Q57" s="205">
        <f t="shared" si="22"/>
        <v>0</v>
      </c>
      <c r="R57" s="926"/>
      <c r="S57" s="927"/>
      <c r="T57" s="928"/>
    </row>
    <row r="58" spans="1:20" ht="15" hidden="1" customHeight="1" outlineLevel="1">
      <c r="A58" s="202" t="str">
        <f>TEXT($A$50,0) &amp; ".8"</f>
        <v>0.8</v>
      </c>
      <c r="B58" s="940"/>
      <c r="C58" s="941"/>
      <c r="D58" s="941"/>
      <c r="E58" s="942"/>
      <c r="F58" s="211"/>
      <c r="G58" s="211"/>
      <c r="H58" s="225"/>
      <c r="I58" s="225"/>
      <c r="J58" s="237"/>
      <c r="K58" s="237"/>
      <c r="L58" s="237"/>
      <c r="M58" s="204">
        <f t="shared" si="23"/>
        <v>0</v>
      </c>
      <c r="N58" s="235">
        <f t="shared" si="20"/>
        <v>0</v>
      </c>
      <c r="O58" s="204">
        <f t="shared" si="20"/>
        <v>0</v>
      </c>
      <c r="P58" s="205">
        <f t="shared" si="21"/>
        <v>0</v>
      </c>
      <c r="Q58" s="205">
        <f t="shared" si="22"/>
        <v>0</v>
      </c>
      <c r="R58" s="926"/>
      <c r="S58" s="927"/>
      <c r="T58" s="928"/>
    </row>
    <row r="59" spans="1:20" ht="15" hidden="1" customHeight="1" outlineLevel="1">
      <c r="A59" s="202" t="str">
        <f>TEXT($A$50,0) &amp; ".9"</f>
        <v>0.9</v>
      </c>
      <c r="B59" s="940"/>
      <c r="C59" s="941"/>
      <c r="D59" s="941"/>
      <c r="E59" s="942"/>
      <c r="F59" s="211"/>
      <c r="G59" s="211"/>
      <c r="H59" s="225"/>
      <c r="I59" s="225"/>
      <c r="J59" s="237"/>
      <c r="K59" s="237"/>
      <c r="L59" s="237"/>
      <c r="M59" s="204">
        <f t="shared" si="23"/>
        <v>0</v>
      </c>
      <c r="N59" s="235">
        <f t="shared" si="20"/>
        <v>0</v>
      </c>
      <c r="O59" s="204">
        <f t="shared" si="20"/>
        <v>0</v>
      </c>
      <c r="P59" s="205">
        <f t="shared" si="21"/>
        <v>0</v>
      </c>
      <c r="Q59" s="205">
        <f t="shared" si="22"/>
        <v>0</v>
      </c>
      <c r="R59" s="926"/>
      <c r="S59" s="927"/>
      <c r="T59" s="928"/>
    </row>
    <row r="60" spans="1:20" ht="15" hidden="1" customHeight="1" outlineLevel="1">
      <c r="A60" s="202" t="str">
        <f>TEXT($A$50,0) &amp; ".10"</f>
        <v>0.10</v>
      </c>
      <c r="B60" s="940"/>
      <c r="C60" s="941"/>
      <c r="D60" s="941"/>
      <c r="E60" s="942"/>
      <c r="F60" s="211"/>
      <c r="G60" s="211"/>
      <c r="H60" s="225"/>
      <c r="I60" s="225"/>
      <c r="J60" s="237"/>
      <c r="K60" s="237"/>
      <c r="L60" s="237"/>
      <c r="M60" s="204">
        <f t="shared" si="23"/>
        <v>0</v>
      </c>
      <c r="N60" s="235">
        <f t="shared" ref="N60:O69" si="24">M60</f>
        <v>0</v>
      </c>
      <c r="O60" s="204">
        <f t="shared" si="24"/>
        <v>0</v>
      </c>
      <c r="P60" s="205">
        <f t="shared" si="21"/>
        <v>0</v>
      </c>
      <c r="Q60" s="205">
        <f t="shared" si="22"/>
        <v>0</v>
      </c>
      <c r="R60" s="926"/>
      <c r="S60" s="927"/>
      <c r="T60" s="928"/>
    </row>
    <row r="61" spans="1:20" ht="15" hidden="1" customHeight="1" outlineLevel="1">
      <c r="A61" s="202" t="str">
        <f>TEXT($A$50,0) &amp; ".10"</f>
        <v>0.10</v>
      </c>
      <c r="B61" s="952"/>
      <c r="C61" s="953"/>
      <c r="D61" s="953"/>
      <c r="E61" s="954"/>
      <c r="F61" s="211"/>
      <c r="G61" s="211"/>
      <c r="H61" s="226"/>
      <c r="I61" s="226"/>
      <c r="J61" s="238"/>
      <c r="K61" s="238"/>
      <c r="L61" s="238"/>
      <c r="M61" s="204">
        <f>(J61+K61*4+L61)/6</f>
        <v>0</v>
      </c>
      <c r="N61" s="235">
        <f t="shared" si="24"/>
        <v>0</v>
      </c>
      <c r="O61" s="204">
        <f>N61</f>
        <v>0</v>
      </c>
      <c r="P61" s="205">
        <f t="shared" ref="P61:P70" si="25">IF(H61&lt;&gt;"",INDEX(MDActivityTypeInternalCostPerDay,MATCH(H61,MDActivityTypeID,0),1)*O61,0)</f>
        <v>0</v>
      </c>
      <c r="Q61" s="205">
        <f t="shared" ref="Q61:Q70" si="26">IF(H61&lt;&gt;"",INDEX(MDActivityTypeExternalPricePerDay,MATCH(H61,MDActivityTypeID,0),1)*O61,0)</f>
        <v>0</v>
      </c>
      <c r="R61" s="926"/>
      <c r="S61" s="927"/>
      <c r="T61" s="928"/>
    </row>
    <row r="62" spans="1:20" ht="15" hidden="1" customHeight="1" outlineLevel="1">
      <c r="A62" s="202" t="str">
        <f>TEXT($A$50,0) &amp; ".12"</f>
        <v>0.12</v>
      </c>
      <c r="B62" s="952"/>
      <c r="C62" s="953"/>
      <c r="D62" s="953"/>
      <c r="E62" s="954"/>
      <c r="F62" s="211"/>
      <c r="G62" s="211"/>
      <c r="H62" s="226"/>
      <c r="I62" s="226"/>
      <c r="J62" s="238"/>
      <c r="K62" s="238"/>
      <c r="L62" s="238"/>
      <c r="M62" s="204">
        <f t="shared" ref="M62:M70" si="27">(J62+K62*4+L62)/6</f>
        <v>0</v>
      </c>
      <c r="N62" s="235">
        <f t="shared" si="24"/>
        <v>0</v>
      </c>
      <c r="O62" s="204">
        <f t="shared" ref="O62:O70" si="28">N62</f>
        <v>0</v>
      </c>
      <c r="P62" s="205">
        <f t="shared" si="25"/>
        <v>0</v>
      </c>
      <c r="Q62" s="205">
        <f t="shared" si="26"/>
        <v>0</v>
      </c>
      <c r="R62" s="926"/>
      <c r="S62" s="927"/>
      <c r="T62" s="928"/>
    </row>
    <row r="63" spans="1:20" ht="15" hidden="1" customHeight="1" outlineLevel="1">
      <c r="A63" s="202" t="str">
        <f>TEXT($A$50,0) &amp; ".13"</f>
        <v>0.13</v>
      </c>
      <c r="B63" s="952"/>
      <c r="C63" s="953"/>
      <c r="D63" s="953"/>
      <c r="E63" s="954"/>
      <c r="F63" s="211"/>
      <c r="G63" s="211"/>
      <c r="H63" s="226"/>
      <c r="I63" s="226"/>
      <c r="J63" s="238"/>
      <c r="K63" s="238"/>
      <c r="L63" s="238"/>
      <c r="M63" s="204">
        <f t="shared" si="27"/>
        <v>0</v>
      </c>
      <c r="N63" s="235">
        <f t="shared" si="24"/>
        <v>0</v>
      </c>
      <c r="O63" s="204">
        <f t="shared" si="28"/>
        <v>0</v>
      </c>
      <c r="P63" s="205">
        <f t="shared" si="25"/>
        <v>0</v>
      </c>
      <c r="Q63" s="205">
        <f t="shared" si="26"/>
        <v>0</v>
      </c>
      <c r="R63" s="926"/>
      <c r="S63" s="927"/>
      <c r="T63" s="928"/>
    </row>
    <row r="64" spans="1:20" ht="15" hidden="1" customHeight="1" outlineLevel="1">
      <c r="A64" s="202" t="str">
        <f>TEXT($A$50,0) &amp; ".14"</f>
        <v>0.14</v>
      </c>
      <c r="B64" s="952"/>
      <c r="C64" s="953"/>
      <c r="D64" s="953"/>
      <c r="E64" s="954"/>
      <c r="F64" s="211"/>
      <c r="G64" s="211"/>
      <c r="H64" s="226"/>
      <c r="I64" s="226"/>
      <c r="J64" s="238"/>
      <c r="K64" s="238"/>
      <c r="L64" s="238"/>
      <c r="M64" s="204">
        <f t="shared" si="27"/>
        <v>0</v>
      </c>
      <c r="N64" s="235">
        <f t="shared" si="24"/>
        <v>0</v>
      </c>
      <c r="O64" s="204">
        <f t="shared" si="28"/>
        <v>0</v>
      </c>
      <c r="P64" s="205">
        <f t="shared" si="25"/>
        <v>0</v>
      </c>
      <c r="Q64" s="205">
        <f t="shared" si="26"/>
        <v>0</v>
      </c>
      <c r="R64" s="926"/>
      <c r="S64" s="927"/>
      <c r="T64" s="928"/>
    </row>
    <row r="65" spans="1:20" ht="15" hidden="1" customHeight="1" outlineLevel="1">
      <c r="A65" s="202" t="str">
        <f>TEXT($A$50,0) &amp; ".15"</f>
        <v>0.15</v>
      </c>
      <c r="B65" s="952"/>
      <c r="C65" s="953"/>
      <c r="D65" s="953"/>
      <c r="E65" s="954"/>
      <c r="F65" s="211"/>
      <c r="G65" s="211"/>
      <c r="H65" s="226"/>
      <c r="I65" s="226"/>
      <c r="J65" s="238"/>
      <c r="K65" s="238"/>
      <c r="L65" s="238"/>
      <c r="M65" s="204">
        <f t="shared" si="27"/>
        <v>0</v>
      </c>
      <c r="N65" s="235">
        <f t="shared" si="24"/>
        <v>0</v>
      </c>
      <c r="O65" s="204">
        <f t="shared" si="28"/>
        <v>0</v>
      </c>
      <c r="P65" s="205">
        <f t="shared" si="25"/>
        <v>0</v>
      </c>
      <c r="Q65" s="205">
        <f t="shared" si="26"/>
        <v>0</v>
      </c>
      <c r="R65" s="926"/>
      <c r="S65" s="927"/>
      <c r="T65" s="928"/>
    </row>
    <row r="66" spans="1:20" ht="15" hidden="1" customHeight="1" outlineLevel="1">
      <c r="A66" s="202" t="str">
        <f>TEXT($A$50,0) &amp; ".16"</f>
        <v>0.16</v>
      </c>
      <c r="B66" s="940"/>
      <c r="C66" s="941"/>
      <c r="D66" s="941"/>
      <c r="E66" s="942"/>
      <c r="F66" s="211"/>
      <c r="G66" s="211"/>
      <c r="H66" s="225"/>
      <c r="I66" s="225"/>
      <c r="J66" s="237"/>
      <c r="K66" s="237"/>
      <c r="L66" s="237"/>
      <c r="M66" s="204">
        <f t="shared" si="27"/>
        <v>0</v>
      </c>
      <c r="N66" s="235">
        <f t="shared" si="24"/>
        <v>0</v>
      </c>
      <c r="O66" s="204">
        <f t="shared" si="28"/>
        <v>0</v>
      </c>
      <c r="P66" s="205">
        <f t="shared" si="25"/>
        <v>0</v>
      </c>
      <c r="Q66" s="205">
        <f t="shared" si="26"/>
        <v>0</v>
      </c>
      <c r="R66" s="926"/>
      <c r="S66" s="927"/>
      <c r="T66" s="928"/>
    </row>
    <row r="67" spans="1:20" ht="15" hidden="1" customHeight="1" outlineLevel="1">
      <c r="A67" s="202" t="str">
        <f>TEXT($A$50,0) &amp; ".17"</f>
        <v>0.17</v>
      </c>
      <c r="B67" s="940"/>
      <c r="C67" s="941"/>
      <c r="D67" s="941"/>
      <c r="E67" s="942"/>
      <c r="F67" s="211"/>
      <c r="G67" s="211"/>
      <c r="H67" s="225"/>
      <c r="I67" s="225"/>
      <c r="J67" s="237"/>
      <c r="K67" s="237"/>
      <c r="L67" s="237"/>
      <c r="M67" s="204">
        <f t="shared" si="27"/>
        <v>0</v>
      </c>
      <c r="N67" s="235">
        <f t="shared" si="24"/>
        <v>0</v>
      </c>
      <c r="O67" s="204">
        <f t="shared" si="28"/>
        <v>0</v>
      </c>
      <c r="P67" s="205">
        <f t="shared" si="25"/>
        <v>0</v>
      </c>
      <c r="Q67" s="205">
        <f t="shared" si="26"/>
        <v>0</v>
      </c>
      <c r="R67" s="926"/>
      <c r="S67" s="927"/>
      <c r="T67" s="928"/>
    </row>
    <row r="68" spans="1:20" ht="15" hidden="1" customHeight="1" outlineLevel="1">
      <c r="A68" s="202" t="str">
        <f>TEXT($A$50,0) &amp; ".18"</f>
        <v>0.18</v>
      </c>
      <c r="B68" s="940"/>
      <c r="C68" s="941"/>
      <c r="D68" s="941"/>
      <c r="E68" s="942"/>
      <c r="F68" s="211"/>
      <c r="G68" s="211"/>
      <c r="H68" s="225"/>
      <c r="I68" s="225"/>
      <c r="J68" s="237"/>
      <c r="K68" s="237"/>
      <c r="L68" s="237"/>
      <c r="M68" s="204">
        <f t="shared" si="27"/>
        <v>0</v>
      </c>
      <c r="N68" s="235">
        <f t="shared" si="24"/>
        <v>0</v>
      </c>
      <c r="O68" s="204">
        <f t="shared" si="28"/>
        <v>0</v>
      </c>
      <c r="P68" s="205">
        <f t="shared" si="25"/>
        <v>0</v>
      </c>
      <c r="Q68" s="205">
        <f t="shared" si="26"/>
        <v>0</v>
      </c>
      <c r="R68" s="926"/>
      <c r="S68" s="927"/>
      <c r="T68" s="928"/>
    </row>
    <row r="69" spans="1:20" ht="15" hidden="1" customHeight="1" outlineLevel="1">
      <c r="A69" s="202" t="str">
        <f>TEXT($A$50,0) &amp; ".19"</f>
        <v>0.19</v>
      </c>
      <c r="B69" s="940"/>
      <c r="C69" s="941"/>
      <c r="D69" s="941"/>
      <c r="E69" s="942"/>
      <c r="F69" s="211"/>
      <c r="G69" s="211"/>
      <c r="H69" s="225"/>
      <c r="I69" s="225"/>
      <c r="J69" s="237"/>
      <c r="K69" s="237"/>
      <c r="L69" s="237"/>
      <c r="M69" s="204">
        <f t="shared" si="27"/>
        <v>0</v>
      </c>
      <c r="N69" s="235">
        <f t="shared" si="24"/>
        <v>0</v>
      </c>
      <c r="O69" s="204">
        <f t="shared" si="28"/>
        <v>0</v>
      </c>
      <c r="P69" s="205">
        <f t="shared" si="25"/>
        <v>0</v>
      </c>
      <c r="Q69" s="205">
        <f t="shared" si="26"/>
        <v>0</v>
      </c>
      <c r="R69" s="926"/>
      <c r="S69" s="927"/>
      <c r="T69" s="928"/>
    </row>
    <row r="70" spans="1:20" ht="15" hidden="1" customHeight="1" outlineLevel="1">
      <c r="A70" s="202" t="str">
        <f>TEXT($A$50,0) &amp; ".20"</f>
        <v>0.20</v>
      </c>
      <c r="B70" s="940"/>
      <c r="C70" s="941"/>
      <c r="D70" s="941"/>
      <c r="E70" s="942"/>
      <c r="F70" s="211"/>
      <c r="G70" s="211"/>
      <c r="H70" s="225"/>
      <c r="I70" s="225"/>
      <c r="J70" s="237"/>
      <c r="K70" s="237"/>
      <c r="L70" s="237"/>
      <c r="M70" s="204">
        <f t="shared" si="27"/>
        <v>0</v>
      </c>
      <c r="N70" s="235">
        <f>M70</f>
        <v>0</v>
      </c>
      <c r="O70" s="204">
        <f t="shared" si="28"/>
        <v>0</v>
      </c>
      <c r="P70" s="205">
        <f t="shared" si="25"/>
        <v>0</v>
      </c>
      <c r="Q70" s="205">
        <f t="shared" si="26"/>
        <v>0</v>
      </c>
      <c r="R70" s="926"/>
      <c r="S70" s="927"/>
      <c r="T70" s="928"/>
    </row>
    <row r="71" spans="1:20" ht="15" customHeight="1" collapsed="1">
      <c r="A71" s="267"/>
      <c r="B71" s="943"/>
      <c r="C71" s="944"/>
      <c r="D71" s="944"/>
      <c r="E71" s="945"/>
      <c r="F71" s="214"/>
      <c r="G71" s="214"/>
      <c r="H71" s="222"/>
      <c r="I71" s="222" t="str">
        <f>IF(COUNTIF(I72:I91,TMDPhaseTimeAndMaterial)&gt;0,TMDPhaseTimeAndMaterial,IF(COUNTIF(I72:I91,TMDPhaseChangeTimeAndMaterial)&gt;0,TMDPhaseChangeTimeAndMaterial,""))</f>
        <v/>
      </c>
      <c r="J71" s="234">
        <f t="shared" ref="J71:Q71" si="29">SUM(J72:J91)</f>
        <v>0</v>
      </c>
      <c r="K71" s="234">
        <f t="shared" si="29"/>
        <v>0</v>
      </c>
      <c r="L71" s="234">
        <f t="shared" si="29"/>
        <v>0</v>
      </c>
      <c r="M71" s="201">
        <f t="shared" si="29"/>
        <v>0</v>
      </c>
      <c r="N71" s="201">
        <f t="shared" si="29"/>
        <v>0</v>
      </c>
      <c r="O71" s="201">
        <f t="shared" si="29"/>
        <v>0</v>
      </c>
      <c r="P71" s="201">
        <f t="shared" si="29"/>
        <v>0</v>
      </c>
      <c r="Q71" s="201">
        <f t="shared" si="29"/>
        <v>0</v>
      </c>
      <c r="R71" s="949"/>
      <c r="S71" s="950"/>
      <c r="T71" s="951"/>
    </row>
    <row r="72" spans="1:20" ht="15" hidden="1" customHeight="1" outlineLevel="1">
      <c r="A72" s="202" t="str">
        <f>TEXT($A$71,0) &amp; ".1"</f>
        <v>0.1</v>
      </c>
      <c r="B72" s="946"/>
      <c r="C72" s="947"/>
      <c r="D72" s="947"/>
      <c r="E72" s="948"/>
      <c r="F72" s="211"/>
      <c r="G72" s="211"/>
      <c r="H72" s="227"/>
      <c r="I72" s="227"/>
      <c r="J72" s="239"/>
      <c r="K72" s="239"/>
      <c r="L72" s="239"/>
      <c r="M72" s="204">
        <f>(J72+K72*4+L72)/6</f>
        <v>0</v>
      </c>
      <c r="N72" s="235">
        <f t="shared" ref="N72:O80" si="30">M72</f>
        <v>0</v>
      </c>
      <c r="O72" s="204">
        <f t="shared" si="30"/>
        <v>0</v>
      </c>
      <c r="P72" s="205">
        <f t="shared" ref="P72:P81" si="31">IF(H72&lt;&gt;"",INDEX(MDActivityTypeInternalCostPerDay,MATCH(H72,MDActivityTypeID,0),1)*O72,0)</f>
        <v>0</v>
      </c>
      <c r="Q72" s="205">
        <f t="shared" ref="Q72:Q81" si="32">IF(H72&lt;&gt;"",INDEX(MDActivityTypeExternalPricePerDay,MATCH(H72,MDActivityTypeID,0),1)*O72,0)</f>
        <v>0</v>
      </c>
      <c r="R72" s="926"/>
      <c r="S72" s="927"/>
      <c r="T72" s="928"/>
    </row>
    <row r="73" spans="1:20" ht="15" hidden="1" customHeight="1" outlineLevel="1">
      <c r="A73" s="202" t="str">
        <f>TEXT($A$71,0) &amp; ".2"</f>
        <v>0.2</v>
      </c>
      <c r="B73" s="946"/>
      <c r="C73" s="947"/>
      <c r="D73" s="947"/>
      <c r="E73" s="948"/>
      <c r="F73" s="211"/>
      <c r="G73" s="211"/>
      <c r="H73" s="227"/>
      <c r="I73" s="227"/>
      <c r="J73" s="239"/>
      <c r="K73" s="239"/>
      <c r="L73" s="239"/>
      <c r="M73" s="204">
        <f t="shared" ref="M73:M81" si="33">(J73+K73*4+L73)/6</f>
        <v>0</v>
      </c>
      <c r="N73" s="235">
        <f t="shared" si="30"/>
        <v>0</v>
      </c>
      <c r="O73" s="204">
        <f t="shared" si="30"/>
        <v>0</v>
      </c>
      <c r="P73" s="205">
        <f t="shared" si="31"/>
        <v>0</v>
      </c>
      <c r="Q73" s="205">
        <f t="shared" si="32"/>
        <v>0</v>
      </c>
      <c r="R73" s="926"/>
      <c r="S73" s="927"/>
      <c r="T73" s="928"/>
    </row>
    <row r="74" spans="1:20" ht="15" hidden="1" customHeight="1" outlineLevel="1">
      <c r="A74" s="202" t="str">
        <f>TEXT($A$71,0) &amp; ".3"</f>
        <v>0.3</v>
      </c>
      <c r="B74" s="946"/>
      <c r="C74" s="947"/>
      <c r="D74" s="947"/>
      <c r="E74" s="948"/>
      <c r="F74" s="211"/>
      <c r="G74" s="211"/>
      <c r="H74" s="227"/>
      <c r="I74" s="227"/>
      <c r="J74" s="239"/>
      <c r="K74" s="239"/>
      <c r="L74" s="239"/>
      <c r="M74" s="204">
        <f t="shared" si="33"/>
        <v>0</v>
      </c>
      <c r="N74" s="235">
        <f t="shared" si="30"/>
        <v>0</v>
      </c>
      <c r="O74" s="204">
        <f t="shared" si="30"/>
        <v>0</v>
      </c>
      <c r="P74" s="205">
        <f t="shared" si="31"/>
        <v>0</v>
      </c>
      <c r="Q74" s="205">
        <f t="shared" si="32"/>
        <v>0</v>
      </c>
      <c r="R74" s="926"/>
      <c r="S74" s="927"/>
      <c r="T74" s="928"/>
    </row>
    <row r="75" spans="1:20" ht="15" hidden="1" customHeight="1" outlineLevel="1">
      <c r="A75" s="202" t="str">
        <f>TEXT($A$71,0) &amp; ".4"</f>
        <v>0.4</v>
      </c>
      <c r="B75" s="946"/>
      <c r="C75" s="947"/>
      <c r="D75" s="947"/>
      <c r="E75" s="948"/>
      <c r="F75" s="211"/>
      <c r="G75" s="211"/>
      <c r="H75" s="227"/>
      <c r="I75" s="227"/>
      <c r="J75" s="239"/>
      <c r="K75" s="239"/>
      <c r="L75" s="239"/>
      <c r="M75" s="204">
        <f t="shared" si="33"/>
        <v>0</v>
      </c>
      <c r="N75" s="235">
        <f t="shared" si="30"/>
        <v>0</v>
      </c>
      <c r="O75" s="204">
        <f t="shared" si="30"/>
        <v>0</v>
      </c>
      <c r="P75" s="205">
        <f t="shared" si="31"/>
        <v>0</v>
      </c>
      <c r="Q75" s="205">
        <f t="shared" si="32"/>
        <v>0</v>
      </c>
      <c r="R75" s="926"/>
      <c r="S75" s="927"/>
      <c r="T75" s="928"/>
    </row>
    <row r="76" spans="1:20" ht="15" hidden="1" customHeight="1" outlineLevel="1">
      <c r="A76" s="202" t="str">
        <f>TEXT($A$71,0) &amp; ".5"</f>
        <v>0.5</v>
      </c>
      <c r="B76" s="946"/>
      <c r="C76" s="947"/>
      <c r="D76" s="947"/>
      <c r="E76" s="948"/>
      <c r="F76" s="211"/>
      <c r="G76" s="211"/>
      <c r="H76" s="227"/>
      <c r="I76" s="227"/>
      <c r="J76" s="239"/>
      <c r="K76" s="239"/>
      <c r="L76" s="239"/>
      <c r="M76" s="204">
        <f t="shared" si="33"/>
        <v>0</v>
      </c>
      <c r="N76" s="235">
        <f t="shared" si="30"/>
        <v>0</v>
      </c>
      <c r="O76" s="204">
        <f t="shared" si="30"/>
        <v>0</v>
      </c>
      <c r="P76" s="205">
        <f t="shared" si="31"/>
        <v>0</v>
      </c>
      <c r="Q76" s="205">
        <f t="shared" si="32"/>
        <v>0</v>
      </c>
      <c r="R76" s="926"/>
      <c r="S76" s="927"/>
      <c r="T76" s="928"/>
    </row>
    <row r="77" spans="1:20" ht="15" hidden="1" customHeight="1" outlineLevel="1">
      <c r="A77" s="202" t="str">
        <f>TEXT($A$71,0) &amp; ".6"</f>
        <v>0.6</v>
      </c>
      <c r="B77" s="940"/>
      <c r="C77" s="941"/>
      <c r="D77" s="941"/>
      <c r="E77" s="942"/>
      <c r="F77" s="211"/>
      <c r="G77" s="211"/>
      <c r="H77" s="225"/>
      <c r="I77" s="225"/>
      <c r="J77" s="237"/>
      <c r="K77" s="237"/>
      <c r="L77" s="237"/>
      <c r="M77" s="204">
        <f t="shared" si="33"/>
        <v>0</v>
      </c>
      <c r="N77" s="235">
        <f t="shared" si="30"/>
        <v>0</v>
      </c>
      <c r="O77" s="204">
        <f t="shared" si="30"/>
        <v>0</v>
      </c>
      <c r="P77" s="205">
        <f t="shared" si="31"/>
        <v>0</v>
      </c>
      <c r="Q77" s="205">
        <f t="shared" si="32"/>
        <v>0</v>
      </c>
      <c r="R77" s="926"/>
      <c r="S77" s="927"/>
      <c r="T77" s="928"/>
    </row>
    <row r="78" spans="1:20" ht="15" hidden="1" customHeight="1" outlineLevel="1">
      <c r="A78" s="202" t="str">
        <f>TEXT($A$71,0) &amp; ".7"</f>
        <v>0.7</v>
      </c>
      <c r="B78" s="940"/>
      <c r="C78" s="941"/>
      <c r="D78" s="941"/>
      <c r="E78" s="942"/>
      <c r="F78" s="211"/>
      <c r="G78" s="211"/>
      <c r="H78" s="225"/>
      <c r="I78" s="225"/>
      <c r="J78" s="237"/>
      <c r="K78" s="237"/>
      <c r="L78" s="237"/>
      <c r="M78" s="204">
        <f t="shared" si="33"/>
        <v>0</v>
      </c>
      <c r="N78" s="235">
        <f t="shared" si="30"/>
        <v>0</v>
      </c>
      <c r="O78" s="204">
        <f t="shared" si="30"/>
        <v>0</v>
      </c>
      <c r="P78" s="205">
        <f t="shared" si="31"/>
        <v>0</v>
      </c>
      <c r="Q78" s="205">
        <f t="shared" si="32"/>
        <v>0</v>
      </c>
      <c r="R78" s="926"/>
      <c r="S78" s="927"/>
      <c r="T78" s="928"/>
    </row>
    <row r="79" spans="1:20" ht="15" hidden="1" customHeight="1" outlineLevel="1">
      <c r="A79" s="202" t="str">
        <f>TEXT($A$71,0) &amp; ".8"</f>
        <v>0.8</v>
      </c>
      <c r="B79" s="940"/>
      <c r="C79" s="941"/>
      <c r="D79" s="941"/>
      <c r="E79" s="942"/>
      <c r="F79" s="211"/>
      <c r="G79" s="211"/>
      <c r="H79" s="225"/>
      <c r="I79" s="225"/>
      <c r="J79" s="237"/>
      <c r="K79" s="237"/>
      <c r="L79" s="237"/>
      <c r="M79" s="204">
        <f t="shared" si="33"/>
        <v>0</v>
      </c>
      <c r="N79" s="235">
        <f t="shared" si="30"/>
        <v>0</v>
      </c>
      <c r="O79" s="204">
        <f t="shared" si="30"/>
        <v>0</v>
      </c>
      <c r="P79" s="205">
        <f t="shared" si="31"/>
        <v>0</v>
      </c>
      <c r="Q79" s="205">
        <f t="shared" si="32"/>
        <v>0</v>
      </c>
      <c r="R79" s="926"/>
      <c r="S79" s="927"/>
      <c r="T79" s="928"/>
    </row>
    <row r="80" spans="1:20" ht="15" hidden="1" customHeight="1" outlineLevel="1">
      <c r="A80" s="202" t="str">
        <f>TEXT($A$71,0) &amp; ".9"</f>
        <v>0.9</v>
      </c>
      <c r="B80" s="940"/>
      <c r="C80" s="941"/>
      <c r="D80" s="941"/>
      <c r="E80" s="942"/>
      <c r="F80" s="211"/>
      <c r="G80" s="211"/>
      <c r="H80" s="225"/>
      <c r="I80" s="225"/>
      <c r="J80" s="237"/>
      <c r="K80" s="237"/>
      <c r="L80" s="237"/>
      <c r="M80" s="204">
        <f t="shared" si="33"/>
        <v>0</v>
      </c>
      <c r="N80" s="235">
        <f t="shared" si="30"/>
        <v>0</v>
      </c>
      <c r="O80" s="204">
        <f t="shared" si="30"/>
        <v>0</v>
      </c>
      <c r="P80" s="205">
        <f t="shared" si="31"/>
        <v>0</v>
      </c>
      <c r="Q80" s="205">
        <f t="shared" si="32"/>
        <v>0</v>
      </c>
      <c r="R80" s="926"/>
      <c r="S80" s="927"/>
      <c r="T80" s="928"/>
    </row>
    <row r="81" spans="1:20" ht="15" hidden="1" customHeight="1" outlineLevel="1">
      <c r="A81" s="202" t="str">
        <f>TEXT($A$71,0) &amp; ".10"</f>
        <v>0.10</v>
      </c>
      <c r="B81" s="940"/>
      <c r="C81" s="941"/>
      <c r="D81" s="941"/>
      <c r="E81" s="942"/>
      <c r="F81" s="211"/>
      <c r="G81" s="211"/>
      <c r="H81" s="225"/>
      <c r="I81" s="225"/>
      <c r="J81" s="237"/>
      <c r="K81" s="237"/>
      <c r="L81" s="237"/>
      <c r="M81" s="204">
        <f t="shared" si="33"/>
        <v>0</v>
      </c>
      <c r="N81" s="235">
        <f t="shared" ref="N81:O90" si="34">M81</f>
        <v>0</v>
      </c>
      <c r="O81" s="204">
        <f t="shared" si="34"/>
        <v>0</v>
      </c>
      <c r="P81" s="205">
        <f t="shared" si="31"/>
        <v>0</v>
      </c>
      <c r="Q81" s="205">
        <f t="shared" si="32"/>
        <v>0</v>
      </c>
      <c r="R81" s="926"/>
      <c r="S81" s="927"/>
      <c r="T81" s="928"/>
    </row>
    <row r="82" spans="1:20" ht="15" hidden="1" customHeight="1" outlineLevel="1">
      <c r="A82" s="202" t="str">
        <f>TEXT($A$71,0) &amp; ".11"</f>
        <v>0.11</v>
      </c>
      <c r="B82" s="946"/>
      <c r="C82" s="947"/>
      <c r="D82" s="947"/>
      <c r="E82" s="948"/>
      <c r="F82" s="211"/>
      <c r="G82" s="211"/>
      <c r="H82" s="227"/>
      <c r="I82" s="227"/>
      <c r="J82" s="239"/>
      <c r="K82" s="239"/>
      <c r="L82" s="239"/>
      <c r="M82" s="204">
        <f>(J82+K82*4+L82)/6</f>
        <v>0</v>
      </c>
      <c r="N82" s="235">
        <f t="shared" si="34"/>
        <v>0</v>
      </c>
      <c r="O82" s="204">
        <f>N82</f>
        <v>0</v>
      </c>
      <c r="P82" s="205">
        <f t="shared" ref="P82:P91" si="35">IF(H82&lt;&gt;"",INDEX(MDActivityTypeInternalCostPerDay,MATCH(H82,MDActivityTypeID,0),1)*O82,0)</f>
        <v>0</v>
      </c>
      <c r="Q82" s="205">
        <f t="shared" ref="Q82:Q91" si="36">IF(H82&lt;&gt;"",INDEX(MDActivityTypeExternalPricePerDay,MATCH(H82,MDActivityTypeID,0),1)*O82,0)</f>
        <v>0</v>
      </c>
      <c r="R82" s="926"/>
      <c r="S82" s="927"/>
      <c r="T82" s="928"/>
    </row>
    <row r="83" spans="1:20" ht="15" hidden="1" customHeight="1" outlineLevel="1">
      <c r="A83" s="202" t="str">
        <f>TEXT($A$71,0) &amp; ".12"</f>
        <v>0.12</v>
      </c>
      <c r="B83" s="946"/>
      <c r="C83" s="947"/>
      <c r="D83" s="947"/>
      <c r="E83" s="948"/>
      <c r="F83" s="211"/>
      <c r="G83" s="211"/>
      <c r="H83" s="227"/>
      <c r="I83" s="227"/>
      <c r="J83" s="239"/>
      <c r="K83" s="239"/>
      <c r="L83" s="239"/>
      <c r="M83" s="204">
        <f t="shared" ref="M83:M91" si="37">(J83+K83*4+L83)/6</f>
        <v>0</v>
      </c>
      <c r="N83" s="235">
        <f t="shared" si="34"/>
        <v>0</v>
      </c>
      <c r="O83" s="204">
        <f t="shared" ref="O83:O91" si="38">N83</f>
        <v>0</v>
      </c>
      <c r="P83" s="205">
        <f t="shared" si="35"/>
        <v>0</v>
      </c>
      <c r="Q83" s="205">
        <f t="shared" si="36"/>
        <v>0</v>
      </c>
      <c r="R83" s="926"/>
      <c r="S83" s="927"/>
      <c r="T83" s="928"/>
    </row>
    <row r="84" spans="1:20" ht="15" hidden="1" customHeight="1" outlineLevel="1">
      <c r="A84" s="202" t="str">
        <f>TEXT($A$71,0) &amp; ".13"</f>
        <v>0.13</v>
      </c>
      <c r="B84" s="946"/>
      <c r="C84" s="947"/>
      <c r="D84" s="947"/>
      <c r="E84" s="948"/>
      <c r="F84" s="211"/>
      <c r="G84" s="211"/>
      <c r="H84" s="227"/>
      <c r="I84" s="227"/>
      <c r="J84" s="239"/>
      <c r="K84" s="239"/>
      <c r="L84" s="239"/>
      <c r="M84" s="204">
        <f t="shared" si="37"/>
        <v>0</v>
      </c>
      <c r="N84" s="235">
        <f t="shared" si="34"/>
        <v>0</v>
      </c>
      <c r="O84" s="204">
        <f t="shared" si="38"/>
        <v>0</v>
      </c>
      <c r="P84" s="205">
        <f t="shared" si="35"/>
        <v>0</v>
      </c>
      <c r="Q84" s="205">
        <f t="shared" si="36"/>
        <v>0</v>
      </c>
      <c r="R84" s="926"/>
      <c r="S84" s="927"/>
      <c r="T84" s="928"/>
    </row>
    <row r="85" spans="1:20" ht="15" hidden="1" customHeight="1" outlineLevel="1">
      <c r="A85" s="202" t="str">
        <f>TEXT($A$71,0) &amp; ".14"</f>
        <v>0.14</v>
      </c>
      <c r="B85" s="946"/>
      <c r="C85" s="947"/>
      <c r="D85" s="947"/>
      <c r="E85" s="948"/>
      <c r="F85" s="211"/>
      <c r="G85" s="211"/>
      <c r="H85" s="227"/>
      <c r="I85" s="227"/>
      <c r="J85" s="239"/>
      <c r="K85" s="239"/>
      <c r="L85" s="239"/>
      <c r="M85" s="204">
        <f t="shared" si="37"/>
        <v>0</v>
      </c>
      <c r="N85" s="235">
        <f t="shared" si="34"/>
        <v>0</v>
      </c>
      <c r="O85" s="204">
        <f t="shared" si="38"/>
        <v>0</v>
      </c>
      <c r="P85" s="205">
        <f t="shared" si="35"/>
        <v>0</v>
      </c>
      <c r="Q85" s="205">
        <f t="shared" si="36"/>
        <v>0</v>
      </c>
      <c r="R85" s="926"/>
      <c r="S85" s="927"/>
      <c r="T85" s="928"/>
    </row>
    <row r="86" spans="1:20" ht="15" hidden="1" customHeight="1" outlineLevel="1">
      <c r="A86" s="202" t="str">
        <f>TEXT($A$71,0) &amp; ".15"</f>
        <v>0.15</v>
      </c>
      <c r="B86" s="946"/>
      <c r="C86" s="947"/>
      <c r="D86" s="947"/>
      <c r="E86" s="948"/>
      <c r="F86" s="211"/>
      <c r="G86" s="211"/>
      <c r="H86" s="227"/>
      <c r="I86" s="227"/>
      <c r="J86" s="239"/>
      <c r="K86" s="239"/>
      <c r="L86" s="239"/>
      <c r="M86" s="204">
        <f t="shared" si="37"/>
        <v>0</v>
      </c>
      <c r="N86" s="235">
        <f t="shared" si="34"/>
        <v>0</v>
      </c>
      <c r="O86" s="204">
        <f t="shared" si="38"/>
        <v>0</v>
      </c>
      <c r="P86" s="205">
        <f t="shared" si="35"/>
        <v>0</v>
      </c>
      <c r="Q86" s="205">
        <f t="shared" si="36"/>
        <v>0</v>
      </c>
      <c r="R86" s="926"/>
      <c r="S86" s="927"/>
      <c r="T86" s="928"/>
    </row>
    <row r="87" spans="1:20" ht="15" hidden="1" customHeight="1" outlineLevel="1">
      <c r="A87" s="202" t="str">
        <f>TEXT($A$71,0) &amp; ".16"</f>
        <v>0.16</v>
      </c>
      <c r="B87" s="940"/>
      <c r="C87" s="941"/>
      <c r="D87" s="941"/>
      <c r="E87" s="942"/>
      <c r="F87" s="211"/>
      <c r="G87" s="211"/>
      <c r="H87" s="225"/>
      <c r="I87" s="225"/>
      <c r="J87" s="237"/>
      <c r="K87" s="237"/>
      <c r="L87" s="237"/>
      <c r="M87" s="204">
        <f t="shared" si="37"/>
        <v>0</v>
      </c>
      <c r="N87" s="235">
        <f t="shared" si="34"/>
        <v>0</v>
      </c>
      <c r="O87" s="204">
        <f t="shared" si="38"/>
        <v>0</v>
      </c>
      <c r="P87" s="205">
        <f t="shared" si="35"/>
        <v>0</v>
      </c>
      <c r="Q87" s="205">
        <f t="shared" si="36"/>
        <v>0</v>
      </c>
      <c r="R87" s="926"/>
      <c r="S87" s="927"/>
      <c r="T87" s="928"/>
    </row>
    <row r="88" spans="1:20" ht="15" hidden="1" customHeight="1" outlineLevel="1">
      <c r="A88" s="202" t="str">
        <f>TEXT($A$71,0) &amp; ".17"</f>
        <v>0.17</v>
      </c>
      <c r="B88" s="940"/>
      <c r="C88" s="941"/>
      <c r="D88" s="941"/>
      <c r="E88" s="942"/>
      <c r="F88" s="211"/>
      <c r="G88" s="211"/>
      <c r="H88" s="225"/>
      <c r="I88" s="225"/>
      <c r="J88" s="237"/>
      <c r="K88" s="237"/>
      <c r="L88" s="237"/>
      <c r="M88" s="204">
        <f t="shared" si="37"/>
        <v>0</v>
      </c>
      <c r="N88" s="235">
        <f t="shared" si="34"/>
        <v>0</v>
      </c>
      <c r="O88" s="204">
        <f t="shared" si="38"/>
        <v>0</v>
      </c>
      <c r="P88" s="205">
        <f t="shared" si="35"/>
        <v>0</v>
      </c>
      <c r="Q88" s="205">
        <f t="shared" si="36"/>
        <v>0</v>
      </c>
      <c r="R88" s="926"/>
      <c r="S88" s="927"/>
      <c r="T88" s="928"/>
    </row>
    <row r="89" spans="1:20" ht="15" hidden="1" customHeight="1" outlineLevel="1">
      <c r="A89" s="202" t="str">
        <f>TEXT($A$71,0) &amp; ".18"</f>
        <v>0.18</v>
      </c>
      <c r="B89" s="940"/>
      <c r="C89" s="941"/>
      <c r="D89" s="941"/>
      <c r="E89" s="942"/>
      <c r="F89" s="211"/>
      <c r="G89" s="211"/>
      <c r="H89" s="225"/>
      <c r="I89" s="225"/>
      <c r="J89" s="237"/>
      <c r="K89" s="237"/>
      <c r="L89" s="237"/>
      <c r="M89" s="204">
        <f t="shared" si="37"/>
        <v>0</v>
      </c>
      <c r="N89" s="235">
        <f t="shared" si="34"/>
        <v>0</v>
      </c>
      <c r="O89" s="204">
        <f t="shared" si="38"/>
        <v>0</v>
      </c>
      <c r="P89" s="205">
        <f t="shared" si="35"/>
        <v>0</v>
      </c>
      <c r="Q89" s="205">
        <f t="shared" si="36"/>
        <v>0</v>
      </c>
      <c r="R89" s="926"/>
      <c r="S89" s="927"/>
      <c r="T89" s="928"/>
    </row>
    <row r="90" spans="1:20" ht="15" hidden="1" customHeight="1" outlineLevel="1">
      <c r="A90" s="202" t="str">
        <f>TEXT($A$71,0) &amp; ".19"</f>
        <v>0.19</v>
      </c>
      <c r="B90" s="940"/>
      <c r="C90" s="941"/>
      <c r="D90" s="941"/>
      <c r="E90" s="942"/>
      <c r="F90" s="211"/>
      <c r="G90" s="211"/>
      <c r="H90" s="225"/>
      <c r="I90" s="225"/>
      <c r="J90" s="237"/>
      <c r="K90" s="237"/>
      <c r="L90" s="237"/>
      <c r="M90" s="204">
        <f t="shared" si="37"/>
        <v>0</v>
      </c>
      <c r="N90" s="235">
        <f t="shared" si="34"/>
        <v>0</v>
      </c>
      <c r="O90" s="204">
        <f t="shared" si="38"/>
        <v>0</v>
      </c>
      <c r="P90" s="205">
        <f t="shared" si="35"/>
        <v>0</v>
      </c>
      <c r="Q90" s="205">
        <f t="shared" si="36"/>
        <v>0</v>
      </c>
      <c r="R90" s="926"/>
      <c r="S90" s="927"/>
      <c r="T90" s="928"/>
    </row>
    <row r="91" spans="1:20" ht="15" hidden="1" customHeight="1" outlineLevel="1">
      <c r="A91" s="202" t="str">
        <f>TEXT($A$71,0) &amp; ".20"</f>
        <v>0.20</v>
      </c>
      <c r="B91" s="940"/>
      <c r="C91" s="941"/>
      <c r="D91" s="941"/>
      <c r="E91" s="942"/>
      <c r="F91" s="211"/>
      <c r="G91" s="211"/>
      <c r="H91" s="225"/>
      <c r="I91" s="225"/>
      <c r="J91" s="237"/>
      <c r="K91" s="237"/>
      <c r="L91" s="237"/>
      <c r="M91" s="204">
        <f t="shared" si="37"/>
        <v>0</v>
      </c>
      <c r="N91" s="235">
        <f>M91</f>
        <v>0</v>
      </c>
      <c r="O91" s="204">
        <f t="shared" si="38"/>
        <v>0</v>
      </c>
      <c r="P91" s="205">
        <f t="shared" si="35"/>
        <v>0</v>
      </c>
      <c r="Q91" s="205">
        <f t="shared" si="36"/>
        <v>0</v>
      </c>
      <c r="R91" s="926"/>
      <c r="S91" s="927"/>
      <c r="T91" s="928"/>
    </row>
    <row r="92" spans="1:20" ht="15" customHeight="1" collapsed="1">
      <c r="A92" s="267"/>
      <c r="B92" s="990"/>
      <c r="C92" s="991"/>
      <c r="D92" s="991"/>
      <c r="E92" s="992"/>
      <c r="F92" s="215"/>
      <c r="G92" s="215"/>
      <c r="H92" s="222"/>
      <c r="I92" s="222" t="str">
        <f>IF(COUNTIF(I93:I112,TMDPhaseTimeAndMaterial)&gt;0,TMDPhaseTimeAndMaterial,IF(COUNTIF(I93:I112,TMDPhaseChangeTimeAndMaterial)&gt;0,TMDPhaseChangeTimeAndMaterial,""))</f>
        <v/>
      </c>
      <c r="J92" s="234">
        <f t="shared" ref="J92:Q92" si="39">SUM(J93:J112)</f>
        <v>0</v>
      </c>
      <c r="K92" s="234">
        <f t="shared" si="39"/>
        <v>0</v>
      </c>
      <c r="L92" s="234">
        <f t="shared" si="39"/>
        <v>0</v>
      </c>
      <c r="M92" s="201">
        <f t="shared" si="39"/>
        <v>0</v>
      </c>
      <c r="N92" s="201">
        <f t="shared" si="39"/>
        <v>0</v>
      </c>
      <c r="O92" s="201">
        <f t="shared" si="39"/>
        <v>0</v>
      </c>
      <c r="P92" s="201">
        <f t="shared" si="39"/>
        <v>0</v>
      </c>
      <c r="Q92" s="201">
        <f t="shared" si="39"/>
        <v>0</v>
      </c>
      <c r="R92" s="949"/>
      <c r="S92" s="950"/>
      <c r="T92" s="951"/>
    </row>
    <row r="93" spans="1:20" ht="15" hidden="1" customHeight="1" outlineLevel="1">
      <c r="A93" s="202" t="str">
        <f>TEXT($A$92,0) &amp; ".1"</f>
        <v>0.1</v>
      </c>
      <c r="B93" s="972"/>
      <c r="C93" s="973"/>
      <c r="D93" s="973"/>
      <c r="E93" s="974"/>
      <c r="F93" s="211"/>
      <c r="G93" s="211"/>
      <c r="H93" s="228"/>
      <c r="I93" s="228"/>
      <c r="J93" s="240"/>
      <c r="K93" s="240"/>
      <c r="L93" s="240"/>
      <c r="M93" s="204">
        <f>(J93+K93*4+L93)/6</f>
        <v>0</v>
      </c>
      <c r="N93" s="235">
        <f t="shared" ref="N93:O101" si="40">M93</f>
        <v>0</v>
      </c>
      <c r="O93" s="204">
        <f t="shared" si="40"/>
        <v>0</v>
      </c>
      <c r="P93" s="205">
        <f t="shared" ref="P93:P102" si="41">IF(H93&lt;&gt;"",INDEX(MDActivityTypeInternalCostPerDay,MATCH(H93,MDActivityTypeID,0),1)*O93,0)</f>
        <v>0</v>
      </c>
      <c r="Q93" s="205">
        <f t="shared" ref="Q93:Q102" si="42">IF(H93&lt;&gt;"",INDEX(MDActivityTypeExternalPricePerDay,MATCH(H93,MDActivityTypeID,0),1)*O93,0)</f>
        <v>0</v>
      </c>
      <c r="R93" s="926"/>
      <c r="S93" s="927"/>
      <c r="T93" s="928"/>
    </row>
    <row r="94" spans="1:20" ht="15" hidden="1" customHeight="1" outlineLevel="1">
      <c r="A94" s="202" t="str">
        <f>TEXT($A$92,0) &amp; ".2"</f>
        <v>0.2</v>
      </c>
      <c r="B94" s="972"/>
      <c r="C94" s="973"/>
      <c r="D94" s="973"/>
      <c r="E94" s="974"/>
      <c r="F94" s="211"/>
      <c r="G94" s="211"/>
      <c r="H94" s="228"/>
      <c r="I94" s="228"/>
      <c r="J94" s="240"/>
      <c r="K94" s="240"/>
      <c r="L94" s="240"/>
      <c r="M94" s="204">
        <f t="shared" ref="M94:M102" si="43">(J94+K94*4+L94)/6</f>
        <v>0</v>
      </c>
      <c r="N94" s="235">
        <f t="shared" si="40"/>
        <v>0</v>
      </c>
      <c r="O94" s="204">
        <f t="shared" si="40"/>
        <v>0</v>
      </c>
      <c r="P94" s="205">
        <f t="shared" si="41"/>
        <v>0</v>
      </c>
      <c r="Q94" s="205">
        <f t="shared" si="42"/>
        <v>0</v>
      </c>
      <c r="R94" s="926"/>
      <c r="S94" s="927"/>
      <c r="T94" s="928"/>
    </row>
    <row r="95" spans="1:20" ht="15" hidden="1" customHeight="1" outlineLevel="1">
      <c r="A95" s="202" t="str">
        <f>TEXT($A$92,0) &amp; ".3"</f>
        <v>0.3</v>
      </c>
      <c r="B95" s="972"/>
      <c r="C95" s="973"/>
      <c r="D95" s="973"/>
      <c r="E95" s="974"/>
      <c r="F95" s="211"/>
      <c r="G95" s="211"/>
      <c r="H95" s="228"/>
      <c r="I95" s="228"/>
      <c r="J95" s="240"/>
      <c r="K95" s="240"/>
      <c r="L95" s="240"/>
      <c r="M95" s="204">
        <f t="shared" si="43"/>
        <v>0</v>
      </c>
      <c r="N95" s="235">
        <f t="shared" si="40"/>
        <v>0</v>
      </c>
      <c r="O95" s="204">
        <f t="shared" si="40"/>
        <v>0</v>
      </c>
      <c r="P95" s="205">
        <f t="shared" si="41"/>
        <v>0</v>
      </c>
      <c r="Q95" s="205">
        <f t="shared" si="42"/>
        <v>0</v>
      </c>
      <c r="R95" s="926"/>
      <c r="S95" s="927"/>
      <c r="T95" s="928"/>
    </row>
    <row r="96" spans="1:20" ht="15" hidden="1" customHeight="1" outlineLevel="1">
      <c r="A96" s="202" t="str">
        <f>TEXT($A$92,0) &amp; ".4"</f>
        <v>0.4</v>
      </c>
      <c r="B96" s="972"/>
      <c r="C96" s="973"/>
      <c r="D96" s="973"/>
      <c r="E96" s="974"/>
      <c r="F96" s="211"/>
      <c r="G96" s="211"/>
      <c r="H96" s="228"/>
      <c r="I96" s="228"/>
      <c r="J96" s="240"/>
      <c r="K96" s="240"/>
      <c r="L96" s="240"/>
      <c r="M96" s="204">
        <f t="shared" si="43"/>
        <v>0</v>
      </c>
      <c r="N96" s="235">
        <f t="shared" si="40"/>
        <v>0</v>
      </c>
      <c r="O96" s="204">
        <f t="shared" si="40"/>
        <v>0</v>
      </c>
      <c r="P96" s="205">
        <f t="shared" si="41"/>
        <v>0</v>
      </c>
      <c r="Q96" s="205">
        <f t="shared" si="42"/>
        <v>0</v>
      </c>
      <c r="R96" s="926"/>
      <c r="S96" s="927"/>
      <c r="T96" s="928"/>
    </row>
    <row r="97" spans="1:20" ht="15" hidden="1" customHeight="1" outlineLevel="1">
      <c r="A97" s="202" t="str">
        <f>TEXT($A$92,0) &amp; ".5"</f>
        <v>0.5</v>
      </c>
      <c r="B97" s="972"/>
      <c r="C97" s="973"/>
      <c r="D97" s="973"/>
      <c r="E97" s="974"/>
      <c r="F97" s="211"/>
      <c r="G97" s="211"/>
      <c r="H97" s="228"/>
      <c r="I97" s="228"/>
      <c r="J97" s="240"/>
      <c r="K97" s="240"/>
      <c r="L97" s="240"/>
      <c r="M97" s="204">
        <f t="shared" si="43"/>
        <v>0</v>
      </c>
      <c r="N97" s="235">
        <f t="shared" si="40"/>
        <v>0</v>
      </c>
      <c r="O97" s="204">
        <f t="shared" si="40"/>
        <v>0</v>
      </c>
      <c r="P97" s="205">
        <f t="shared" si="41"/>
        <v>0</v>
      </c>
      <c r="Q97" s="205">
        <f t="shared" si="42"/>
        <v>0</v>
      </c>
      <c r="R97" s="926"/>
      <c r="S97" s="927"/>
      <c r="T97" s="928"/>
    </row>
    <row r="98" spans="1:20" ht="15" hidden="1" customHeight="1" outlineLevel="1">
      <c r="A98" s="202" t="str">
        <f>TEXT($A$92,0) &amp; ".6"</f>
        <v>0.6</v>
      </c>
      <c r="B98" s="940"/>
      <c r="C98" s="941"/>
      <c r="D98" s="941"/>
      <c r="E98" s="942"/>
      <c r="F98" s="211"/>
      <c r="G98" s="211"/>
      <c r="H98" s="225"/>
      <c r="I98" s="225"/>
      <c r="J98" s="237"/>
      <c r="K98" s="237"/>
      <c r="L98" s="237"/>
      <c r="M98" s="204">
        <f t="shared" si="43"/>
        <v>0</v>
      </c>
      <c r="N98" s="235">
        <f t="shared" si="40"/>
        <v>0</v>
      </c>
      <c r="O98" s="204">
        <f t="shared" si="40"/>
        <v>0</v>
      </c>
      <c r="P98" s="205">
        <f t="shared" si="41"/>
        <v>0</v>
      </c>
      <c r="Q98" s="205">
        <f t="shared" si="42"/>
        <v>0</v>
      </c>
      <c r="R98" s="926"/>
      <c r="S98" s="927"/>
      <c r="T98" s="928"/>
    </row>
    <row r="99" spans="1:20" ht="15" hidden="1" customHeight="1" outlineLevel="1">
      <c r="A99" s="202" t="str">
        <f>TEXT($A$92,0) &amp; ".7"</f>
        <v>0.7</v>
      </c>
      <c r="B99" s="940"/>
      <c r="C99" s="941"/>
      <c r="D99" s="941"/>
      <c r="E99" s="942"/>
      <c r="F99" s="211"/>
      <c r="G99" s="211"/>
      <c r="H99" s="225"/>
      <c r="I99" s="225"/>
      <c r="J99" s="237"/>
      <c r="K99" s="237"/>
      <c r="L99" s="237"/>
      <c r="M99" s="204">
        <f t="shared" si="43"/>
        <v>0</v>
      </c>
      <c r="N99" s="235">
        <f t="shared" si="40"/>
        <v>0</v>
      </c>
      <c r="O99" s="204">
        <f t="shared" si="40"/>
        <v>0</v>
      </c>
      <c r="P99" s="205">
        <f t="shared" si="41"/>
        <v>0</v>
      </c>
      <c r="Q99" s="205">
        <f t="shared" si="42"/>
        <v>0</v>
      </c>
      <c r="R99" s="926"/>
      <c r="S99" s="927"/>
      <c r="T99" s="928"/>
    </row>
    <row r="100" spans="1:20" ht="15" hidden="1" customHeight="1" outlineLevel="1">
      <c r="A100" s="202" t="str">
        <f>TEXT($A$92,0) &amp; ".8"</f>
        <v>0.8</v>
      </c>
      <c r="B100" s="940"/>
      <c r="C100" s="941"/>
      <c r="D100" s="941"/>
      <c r="E100" s="942"/>
      <c r="F100" s="211"/>
      <c r="G100" s="211"/>
      <c r="H100" s="225"/>
      <c r="I100" s="225"/>
      <c r="J100" s="237"/>
      <c r="K100" s="237"/>
      <c r="L100" s="237"/>
      <c r="M100" s="204">
        <f t="shared" si="43"/>
        <v>0</v>
      </c>
      <c r="N100" s="235">
        <f t="shared" si="40"/>
        <v>0</v>
      </c>
      <c r="O100" s="204">
        <f t="shared" si="40"/>
        <v>0</v>
      </c>
      <c r="P100" s="205">
        <f t="shared" si="41"/>
        <v>0</v>
      </c>
      <c r="Q100" s="205">
        <f t="shared" si="42"/>
        <v>0</v>
      </c>
      <c r="R100" s="926"/>
      <c r="S100" s="927"/>
      <c r="T100" s="928"/>
    </row>
    <row r="101" spans="1:20" ht="15" hidden="1" customHeight="1" outlineLevel="1">
      <c r="A101" s="202" t="str">
        <f>TEXT($A$92,0) &amp; ".9"</f>
        <v>0.9</v>
      </c>
      <c r="B101" s="940"/>
      <c r="C101" s="941"/>
      <c r="D101" s="941"/>
      <c r="E101" s="942"/>
      <c r="F101" s="211"/>
      <c r="G101" s="211"/>
      <c r="H101" s="225"/>
      <c r="I101" s="225"/>
      <c r="J101" s="237"/>
      <c r="K101" s="237"/>
      <c r="L101" s="237"/>
      <c r="M101" s="204">
        <f t="shared" si="43"/>
        <v>0</v>
      </c>
      <c r="N101" s="235">
        <f t="shared" si="40"/>
        <v>0</v>
      </c>
      <c r="O101" s="204">
        <f t="shared" si="40"/>
        <v>0</v>
      </c>
      <c r="P101" s="205">
        <f t="shared" si="41"/>
        <v>0</v>
      </c>
      <c r="Q101" s="205">
        <f t="shared" si="42"/>
        <v>0</v>
      </c>
      <c r="R101" s="926"/>
      <c r="S101" s="927"/>
      <c r="T101" s="928"/>
    </row>
    <row r="102" spans="1:20" ht="15" hidden="1" customHeight="1" outlineLevel="1">
      <c r="A102" s="202" t="str">
        <f>TEXT($A$92,0) &amp; ".10"</f>
        <v>0.10</v>
      </c>
      <c r="B102" s="940"/>
      <c r="C102" s="941"/>
      <c r="D102" s="941"/>
      <c r="E102" s="942"/>
      <c r="F102" s="211"/>
      <c r="G102" s="211"/>
      <c r="H102" s="225"/>
      <c r="I102" s="225"/>
      <c r="J102" s="237"/>
      <c r="K102" s="237"/>
      <c r="L102" s="237"/>
      <c r="M102" s="204">
        <f t="shared" si="43"/>
        <v>0</v>
      </c>
      <c r="N102" s="235">
        <f t="shared" ref="N102:O111" si="44">M102</f>
        <v>0</v>
      </c>
      <c r="O102" s="204">
        <f t="shared" si="44"/>
        <v>0</v>
      </c>
      <c r="P102" s="205">
        <f t="shared" si="41"/>
        <v>0</v>
      </c>
      <c r="Q102" s="205">
        <f t="shared" si="42"/>
        <v>0</v>
      </c>
      <c r="R102" s="926"/>
      <c r="S102" s="927"/>
      <c r="T102" s="928"/>
    </row>
    <row r="103" spans="1:20" ht="15" hidden="1" customHeight="1" outlineLevel="1">
      <c r="A103" s="202" t="str">
        <f>TEXT($A$92,0) &amp; ".11"</f>
        <v>0.11</v>
      </c>
      <c r="B103" s="972"/>
      <c r="C103" s="973"/>
      <c r="D103" s="973"/>
      <c r="E103" s="974"/>
      <c r="F103" s="211"/>
      <c r="G103" s="211"/>
      <c r="H103" s="228"/>
      <c r="I103" s="228"/>
      <c r="J103" s="240"/>
      <c r="K103" s="240"/>
      <c r="L103" s="240"/>
      <c r="M103" s="204">
        <f>(J103+K103*4+L103)/6</f>
        <v>0</v>
      </c>
      <c r="N103" s="235">
        <f t="shared" si="44"/>
        <v>0</v>
      </c>
      <c r="O103" s="204">
        <f>N103</f>
        <v>0</v>
      </c>
      <c r="P103" s="205">
        <f t="shared" ref="P103:P112" si="45">IF(H103&lt;&gt;"",INDEX(MDActivityTypeInternalCostPerDay,MATCH(H103,MDActivityTypeID,0),1)*O103,0)</f>
        <v>0</v>
      </c>
      <c r="Q103" s="205">
        <f t="shared" ref="Q103:Q112" si="46">IF(H103&lt;&gt;"",INDEX(MDActivityTypeExternalPricePerDay,MATCH(H103,MDActivityTypeID,0),1)*O103,0)</f>
        <v>0</v>
      </c>
      <c r="R103" s="926"/>
      <c r="S103" s="927"/>
      <c r="T103" s="928"/>
    </row>
    <row r="104" spans="1:20" ht="15" hidden="1" customHeight="1" outlineLevel="1">
      <c r="A104" s="202" t="str">
        <f>TEXT($A$92,0) &amp; ".12"</f>
        <v>0.12</v>
      </c>
      <c r="B104" s="972"/>
      <c r="C104" s="973"/>
      <c r="D104" s="973"/>
      <c r="E104" s="974"/>
      <c r="F104" s="211"/>
      <c r="G104" s="211"/>
      <c r="H104" s="228"/>
      <c r="I104" s="228"/>
      <c r="J104" s="240"/>
      <c r="K104" s="240"/>
      <c r="L104" s="240"/>
      <c r="M104" s="204">
        <f t="shared" ref="M104:M112" si="47">(J104+K104*4+L104)/6</f>
        <v>0</v>
      </c>
      <c r="N104" s="235">
        <f t="shared" si="44"/>
        <v>0</v>
      </c>
      <c r="O104" s="204">
        <f t="shared" ref="O104:O112" si="48">N104</f>
        <v>0</v>
      </c>
      <c r="P104" s="205">
        <f t="shared" si="45"/>
        <v>0</v>
      </c>
      <c r="Q104" s="205">
        <f t="shared" si="46"/>
        <v>0</v>
      </c>
      <c r="R104" s="926"/>
      <c r="S104" s="927"/>
      <c r="T104" s="928"/>
    </row>
    <row r="105" spans="1:20" ht="15" hidden="1" customHeight="1" outlineLevel="1">
      <c r="A105" s="202" t="str">
        <f>TEXT($A$92,0) &amp; ".13"</f>
        <v>0.13</v>
      </c>
      <c r="B105" s="972"/>
      <c r="C105" s="973"/>
      <c r="D105" s="973"/>
      <c r="E105" s="974"/>
      <c r="F105" s="211"/>
      <c r="G105" s="211"/>
      <c r="H105" s="228"/>
      <c r="I105" s="228"/>
      <c r="J105" s="240"/>
      <c r="K105" s="240"/>
      <c r="L105" s="240"/>
      <c r="M105" s="204">
        <f t="shared" si="47"/>
        <v>0</v>
      </c>
      <c r="N105" s="235">
        <f t="shared" si="44"/>
        <v>0</v>
      </c>
      <c r="O105" s="204">
        <f t="shared" si="48"/>
        <v>0</v>
      </c>
      <c r="P105" s="205">
        <f t="shared" si="45"/>
        <v>0</v>
      </c>
      <c r="Q105" s="205">
        <f t="shared" si="46"/>
        <v>0</v>
      </c>
      <c r="R105" s="926"/>
      <c r="S105" s="927"/>
      <c r="T105" s="928"/>
    </row>
    <row r="106" spans="1:20" ht="15" hidden="1" customHeight="1" outlineLevel="1">
      <c r="A106" s="202" t="str">
        <f>TEXT($A$92,0) &amp; ".14"</f>
        <v>0.14</v>
      </c>
      <c r="B106" s="972"/>
      <c r="C106" s="973"/>
      <c r="D106" s="973"/>
      <c r="E106" s="974"/>
      <c r="F106" s="211"/>
      <c r="G106" s="211"/>
      <c r="H106" s="228"/>
      <c r="I106" s="228"/>
      <c r="J106" s="240"/>
      <c r="K106" s="240"/>
      <c r="L106" s="240"/>
      <c r="M106" s="204">
        <f t="shared" si="47"/>
        <v>0</v>
      </c>
      <c r="N106" s="235">
        <f t="shared" si="44"/>
        <v>0</v>
      </c>
      <c r="O106" s="204">
        <f t="shared" si="48"/>
        <v>0</v>
      </c>
      <c r="P106" s="205">
        <f t="shared" si="45"/>
        <v>0</v>
      </c>
      <c r="Q106" s="205">
        <f t="shared" si="46"/>
        <v>0</v>
      </c>
      <c r="R106" s="926"/>
      <c r="S106" s="927"/>
      <c r="T106" s="928"/>
    </row>
    <row r="107" spans="1:20" ht="15" hidden="1" customHeight="1" outlineLevel="1">
      <c r="A107" s="202" t="str">
        <f>TEXT($A$92,0) &amp; ".15"</f>
        <v>0.15</v>
      </c>
      <c r="B107" s="972"/>
      <c r="C107" s="973"/>
      <c r="D107" s="973"/>
      <c r="E107" s="974"/>
      <c r="F107" s="211"/>
      <c r="G107" s="211"/>
      <c r="H107" s="228"/>
      <c r="I107" s="228"/>
      <c r="J107" s="240"/>
      <c r="K107" s="240"/>
      <c r="L107" s="240"/>
      <c r="M107" s="204">
        <f t="shared" si="47"/>
        <v>0</v>
      </c>
      <c r="N107" s="235">
        <f t="shared" si="44"/>
        <v>0</v>
      </c>
      <c r="O107" s="204">
        <f t="shared" si="48"/>
        <v>0</v>
      </c>
      <c r="P107" s="205">
        <f t="shared" si="45"/>
        <v>0</v>
      </c>
      <c r="Q107" s="205">
        <f t="shared" si="46"/>
        <v>0</v>
      </c>
      <c r="R107" s="926"/>
      <c r="S107" s="927"/>
      <c r="T107" s="928"/>
    </row>
    <row r="108" spans="1:20" ht="15" hidden="1" customHeight="1" outlineLevel="1">
      <c r="A108" s="202" t="str">
        <f>TEXT($A$92,0) &amp; ".16"</f>
        <v>0.16</v>
      </c>
      <c r="B108" s="940"/>
      <c r="C108" s="941"/>
      <c r="D108" s="941"/>
      <c r="E108" s="942"/>
      <c r="F108" s="211"/>
      <c r="G108" s="211"/>
      <c r="H108" s="225"/>
      <c r="I108" s="225"/>
      <c r="J108" s="237"/>
      <c r="K108" s="237"/>
      <c r="L108" s="237"/>
      <c r="M108" s="204">
        <f t="shared" si="47"/>
        <v>0</v>
      </c>
      <c r="N108" s="235">
        <f t="shared" si="44"/>
        <v>0</v>
      </c>
      <c r="O108" s="204">
        <f t="shared" si="48"/>
        <v>0</v>
      </c>
      <c r="P108" s="205">
        <f t="shared" si="45"/>
        <v>0</v>
      </c>
      <c r="Q108" s="205">
        <f t="shared" si="46"/>
        <v>0</v>
      </c>
      <c r="R108" s="926"/>
      <c r="S108" s="927"/>
      <c r="T108" s="928"/>
    </row>
    <row r="109" spans="1:20" ht="15" hidden="1" customHeight="1" outlineLevel="1">
      <c r="A109" s="202" t="str">
        <f>TEXT($A$92,0) &amp; ".17"</f>
        <v>0.17</v>
      </c>
      <c r="B109" s="940"/>
      <c r="C109" s="941"/>
      <c r="D109" s="941"/>
      <c r="E109" s="942"/>
      <c r="F109" s="211"/>
      <c r="G109" s="211"/>
      <c r="H109" s="225"/>
      <c r="I109" s="225"/>
      <c r="J109" s="237"/>
      <c r="K109" s="237"/>
      <c r="L109" s="237"/>
      <c r="M109" s="204">
        <f t="shared" si="47"/>
        <v>0</v>
      </c>
      <c r="N109" s="235">
        <f t="shared" si="44"/>
        <v>0</v>
      </c>
      <c r="O109" s="204">
        <f t="shared" si="48"/>
        <v>0</v>
      </c>
      <c r="P109" s="205">
        <f t="shared" si="45"/>
        <v>0</v>
      </c>
      <c r="Q109" s="205">
        <f t="shared" si="46"/>
        <v>0</v>
      </c>
      <c r="R109" s="926"/>
      <c r="S109" s="927"/>
      <c r="T109" s="928"/>
    </row>
    <row r="110" spans="1:20" ht="15" hidden="1" customHeight="1" outlineLevel="1">
      <c r="A110" s="202" t="str">
        <f>TEXT($A$92,0) &amp; ".18"</f>
        <v>0.18</v>
      </c>
      <c r="B110" s="940"/>
      <c r="C110" s="941"/>
      <c r="D110" s="941"/>
      <c r="E110" s="942"/>
      <c r="F110" s="211"/>
      <c r="G110" s="211"/>
      <c r="H110" s="225"/>
      <c r="I110" s="225"/>
      <c r="J110" s="237"/>
      <c r="K110" s="237"/>
      <c r="L110" s="237"/>
      <c r="M110" s="204">
        <f t="shared" si="47"/>
        <v>0</v>
      </c>
      <c r="N110" s="235">
        <f t="shared" si="44"/>
        <v>0</v>
      </c>
      <c r="O110" s="204">
        <f t="shared" si="48"/>
        <v>0</v>
      </c>
      <c r="P110" s="205">
        <f t="shared" si="45"/>
        <v>0</v>
      </c>
      <c r="Q110" s="205">
        <f t="shared" si="46"/>
        <v>0</v>
      </c>
      <c r="R110" s="926"/>
      <c r="S110" s="927"/>
      <c r="T110" s="928"/>
    </row>
    <row r="111" spans="1:20" ht="15" hidden="1" customHeight="1" outlineLevel="1">
      <c r="A111" s="202" t="str">
        <f>TEXT($A$92,0) &amp; ".19"</f>
        <v>0.19</v>
      </c>
      <c r="B111" s="940"/>
      <c r="C111" s="941"/>
      <c r="D111" s="941"/>
      <c r="E111" s="942"/>
      <c r="F111" s="211"/>
      <c r="G111" s="211"/>
      <c r="H111" s="225"/>
      <c r="I111" s="225"/>
      <c r="J111" s="237"/>
      <c r="K111" s="237"/>
      <c r="L111" s="237"/>
      <c r="M111" s="204">
        <f t="shared" si="47"/>
        <v>0</v>
      </c>
      <c r="N111" s="235">
        <f t="shared" si="44"/>
        <v>0</v>
      </c>
      <c r="O111" s="204">
        <f t="shared" si="48"/>
        <v>0</v>
      </c>
      <c r="P111" s="205">
        <f t="shared" si="45"/>
        <v>0</v>
      </c>
      <c r="Q111" s="205">
        <f t="shared" si="46"/>
        <v>0</v>
      </c>
      <c r="R111" s="926"/>
      <c r="S111" s="927"/>
      <c r="T111" s="928"/>
    </row>
    <row r="112" spans="1:20" ht="15" hidden="1" customHeight="1" outlineLevel="1">
      <c r="A112" s="202" t="str">
        <f>TEXT($A$92,0) &amp; ".20"</f>
        <v>0.20</v>
      </c>
      <c r="B112" s="940"/>
      <c r="C112" s="941"/>
      <c r="D112" s="941"/>
      <c r="E112" s="942"/>
      <c r="F112" s="211"/>
      <c r="G112" s="211"/>
      <c r="H112" s="225"/>
      <c r="I112" s="225"/>
      <c r="J112" s="237"/>
      <c r="K112" s="237"/>
      <c r="L112" s="237"/>
      <c r="M112" s="204">
        <f t="shared" si="47"/>
        <v>0</v>
      </c>
      <c r="N112" s="235">
        <f>M112</f>
        <v>0</v>
      </c>
      <c r="O112" s="204">
        <f t="shared" si="48"/>
        <v>0</v>
      </c>
      <c r="P112" s="205">
        <f t="shared" si="45"/>
        <v>0</v>
      </c>
      <c r="Q112" s="205">
        <f t="shared" si="46"/>
        <v>0</v>
      </c>
      <c r="R112" s="926"/>
      <c r="S112" s="927"/>
      <c r="T112" s="928"/>
    </row>
    <row r="113" spans="1:20" ht="15" customHeight="1" collapsed="1">
      <c r="A113" s="267"/>
      <c r="B113" s="984"/>
      <c r="C113" s="985"/>
      <c r="D113" s="985"/>
      <c r="E113" s="986"/>
      <c r="F113" s="216"/>
      <c r="G113" s="216"/>
      <c r="H113" s="222"/>
      <c r="I113" s="222" t="str">
        <f>IF(COUNTIF(I114:I133,TMDPhaseTimeAndMaterial)&gt;0,TMDPhaseTimeAndMaterial,IF(COUNTIF(I114:I133,TMDPhaseChangeTimeAndMaterial)&gt;0,TMDPhaseChangeTimeAndMaterial,""))</f>
        <v/>
      </c>
      <c r="J113" s="234">
        <f t="shared" ref="J113:Q113" si="49">SUM(J114:J133)</f>
        <v>0</v>
      </c>
      <c r="K113" s="234">
        <f t="shared" si="49"/>
        <v>0</v>
      </c>
      <c r="L113" s="234">
        <f t="shared" si="49"/>
        <v>0</v>
      </c>
      <c r="M113" s="201">
        <f t="shared" si="49"/>
        <v>0</v>
      </c>
      <c r="N113" s="201">
        <f t="shared" si="49"/>
        <v>0</v>
      </c>
      <c r="O113" s="201">
        <f t="shared" si="49"/>
        <v>0</v>
      </c>
      <c r="P113" s="201">
        <f t="shared" si="49"/>
        <v>0</v>
      </c>
      <c r="Q113" s="201">
        <f t="shared" si="49"/>
        <v>0</v>
      </c>
      <c r="R113" s="987"/>
      <c r="S113" s="988"/>
      <c r="T113" s="989"/>
    </row>
    <row r="114" spans="1:20" ht="15" hidden="1" customHeight="1" outlineLevel="1">
      <c r="A114" s="202" t="str">
        <f>TEXT($A$113,0) &amp; ".1"</f>
        <v>0.1</v>
      </c>
      <c r="B114" s="981"/>
      <c r="C114" s="982"/>
      <c r="D114" s="982"/>
      <c r="E114" s="983"/>
      <c r="F114" s="211"/>
      <c r="G114" s="211"/>
      <c r="H114" s="229"/>
      <c r="I114" s="229"/>
      <c r="J114" s="241"/>
      <c r="K114" s="241"/>
      <c r="L114" s="241"/>
      <c r="M114" s="204">
        <f>(J114+K114*4+L114)/6</f>
        <v>0</v>
      </c>
      <c r="N114" s="235">
        <f t="shared" ref="N114:O122" si="50">M114</f>
        <v>0</v>
      </c>
      <c r="O114" s="204">
        <f t="shared" si="50"/>
        <v>0</v>
      </c>
      <c r="P114" s="205">
        <f t="shared" ref="P114:P123" si="51">IF(H114&lt;&gt;"",INDEX(MDActivityTypeInternalCostPerDay,MATCH(H114,MDActivityTypeID,0),1)*O114,0)</f>
        <v>0</v>
      </c>
      <c r="Q114" s="205">
        <f t="shared" ref="Q114:Q123" si="52">IF(H114&lt;&gt;"",INDEX(MDActivityTypeExternalPricePerDay,MATCH(H114,MDActivityTypeID,0),1)*O114,0)</f>
        <v>0</v>
      </c>
      <c r="R114" s="926"/>
      <c r="S114" s="927"/>
      <c r="T114" s="928"/>
    </row>
    <row r="115" spans="1:20" ht="15" hidden="1" customHeight="1" outlineLevel="1">
      <c r="A115" s="202" t="str">
        <f>TEXT($A$113,0) &amp; ".2"</f>
        <v>0.2</v>
      </c>
      <c r="B115" s="981"/>
      <c r="C115" s="982"/>
      <c r="D115" s="982"/>
      <c r="E115" s="983"/>
      <c r="F115" s="211"/>
      <c r="G115" s="211"/>
      <c r="H115" s="229"/>
      <c r="I115" s="229"/>
      <c r="J115" s="241"/>
      <c r="K115" s="241"/>
      <c r="L115" s="241"/>
      <c r="M115" s="204">
        <f t="shared" ref="M115:M123" si="53">(J115+K115*4+L115)/6</f>
        <v>0</v>
      </c>
      <c r="N115" s="235">
        <f t="shared" si="50"/>
        <v>0</v>
      </c>
      <c r="O115" s="204">
        <f t="shared" si="50"/>
        <v>0</v>
      </c>
      <c r="P115" s="205">
        <f t="shared" si="51"/>
        <v>0</v>
      </c>
      <c r="Q115" s="205">
        <f t="shared" si="52"/>
        <v>0</v>
      </c>
      <c r="R115" s="926"/>
      <c r="S115" s="927"/>
      <c r="T115" s="928"/>
    </row>
    <row r="116" spans="1:20" ht="15" hidden="1" customHeight="1" outlineLevel="1">
      <c r="A116" s="202" t="str">
        <f>TEXT($A$113,0) &amp; ".3"</f>
        <v>0.3</v>
      </c>
      <c r="B116" s="940"/>
      <c r="C116" s="941"/>
      <c r="D116" s="941"/>
      <c r="E116" s="942"/>
      <c r="F116" s="211"/>
      <c r="G116" s="211"/>
      <c r="H116" s="225"/>
      <c r="I116" s="225"/>
      <c r="J116" s="237"/>
      <c r="K116" s="237"/>
      <c r="L116" s="237"/>
      <c r="M116" s="204">
        <f t="shared" si="53"/>
        <v>0</v>
      </c>
      <c r="N116" s="235">
        <f t="shared" si="50"/>
        <v>0</v>
      </c>
      <c r="O116" s="204">
        <f t="shared" si="50"/>
        <v>0</v>
      </c>
      <c r="P116" s="205">
        <f t="shared" si="51"/>
        <v>0</v>
      </c>
      <c r="Q116" s="205">
        <f t="shared" si="52"/>
        <v>0</v>
      </c>
      <c r="R116" s="926"/>
      <c r="S116" s="927"/>
      <c r="T116" s="928"/>
    </row>
    <row r="117" spans="1:20" ht="15" hidden="1" customHeight="1" outlineLevel="1">
      <c r="A117" s="202" t="str">
        <f>TEXT($A$113,0) &amp; ".4"</f>
        <v>0.4</v>
      </c>
      <c r="B117" s="940"/>
      <c r="C117" s="941"/>
      <c r="D117" s="941"/>
      <c r="E117" s="942"/>
      <c r="F117" s="211"/>
      <c r="G117" s="211"/>
      <c r="H117" s="225"/>
      <c r="I117" s="225"/>
      <c r="J117" s="237"/>
      <c r="K117" s="237"/>
      <c r="L117" s="237"/>
      <c r="M117" s="204">
        <f t="shared" si="53"/>
        <v>0</v>
      </c>
      <c r="N117" s="235">
        <f t="shared" si="50"/>
        <v>0</v>
      </c>
      <c r="O117" s="204">
        <f t="shared" si="50"/>
        <v>0</v>
      </c>
      <c r="P117" s="205">
        <f t="shared" si="51"/>
        <v>0</v>
      </c>
      <c r="Q117" s="205">
        <f t="shared" si="52"/>
        <v>0</v>
      </c>
      <c r="R117" s="926"/>
      <c r="S117" s="927"/>
      <c r="T117" s="928"/>
    </row>
    <row r="118" spans="1:20" ht="15" hidden="1" customHeight="1" outlineLevel="1">
      <c r="A118" s="202" t="str">
        <f>TEXT($A$113,0) &amp; ".5"</f>
        <v>0.5</v>
      </c>
      <c r="B118" s="940"/>
      <c r="C118" s="941"/>
      <c r="D118" s="941"/>
      <c r="E118" s="942"/>
      <c r="F118" s="211"/>
      <c r="G118" s="211"/>
      <c r="H118" s="225"/>
      <c r="I118" s="225"/>
      <c r="J118" s="237"/>
      <c r="K118" s="237"/>
      <c r="L118" s="237"/>
      <c r="M118" s="204">
        <f t="shared" si="53"/>
        <v>0</v>
      </c>
      <c r="N118" s="235">
        <f t="shared" si="50"/>
        <v>0</v>
      </c>
      <c r="O118" s="204">
        <f t="shared" si="50"/>
        <v>0</v>
      </c>
      <c r="P118" s="205">
        <f t="shared" si="51"/>
        <v>0</v>
      </c>
      <c r="Q118" s="205">
        <f t="shared" si="52"/>
        <v>0</v>
      </c>
      <c r="R118" s="926"/>
      <c r="S118" s="927"/>
      <c r="T118" s="928"/>
    </row>
    <row r="119" spans="1:20" ht="15" hidden="1" customHeight="1" outlineLevel="1">
      <c r="A119" s="202" t="str">
        <f>TEXT($A$113,0) &amp; ".6"</f>
        <v>0.6</v>
      </c>
      <c r="B119" s="940"/>
      <c r="C119" s="941"/>
      <c r="D119" s="941"/>
      <c r="E119" s="942"/>
      <c r="F119" s="211"/>
      <c r="G119" s="211"/>
      <c r="H119" s="225"/>
      <c r="I119" s="225"/>
      <c r="J119" s="237"/>
      <c r="K119" s="237"/>
      <c r="L119" s="237"/>
      <c r="M119" s="204">
        <f t="shared" si="53"/>
        <v>0</v>
      </c>
      <c r="N119" s="235">
        <f t="shared" si="50"/>
        <v>0</v>
      </c>
      <c r="O119" s="204">
        <f t="shared" si="50"/>
        <v>0</v>
      </c>
      <c r="P119" s="205">
        <f t="shared" si="51"/>
        <v>0</v>
      </c>
      <c r="Q119" s="205">
        <f t="shared" si="52"/>
        <v>0</v>
      </c>
      <c r="R119" s="926"/>
      <c r="S119" s="927"/>
      <c r="T119" s="928"/>
    </row>
    <row r="120" spans="1:20" ht="15" hidden="1" customHeight="1" outlineLevel="1">
      <c r="A120" s="202" t="str">
        <f>TEXT($A$113,0) &amp; ".7"</f>
        <v>0.7</v>
      </c>
      <c r="B120" s="940"/>
      <c r="C120" s="941"/>
      <c r="D120" s="941"/>
      <c r="E120" s="942"/>
      <c r="F120" s="211"/>
      <c r="G120" s="211"/>
      <c r="H120" s="225"/>
      <c r="I120" s="225"/>
      <c r="J120" s="237"/>
      <c r="K120" s="237"/>
      <c r="L120" s="237"/>
      <c r="M120" s="204">
        <f t="shared" si="53"/>
        <v>0</v>
      </c>
      <c r="N120" s="235">
        <f t="shared" si="50"/>
        <v>0</v>
      </c>
      <c r="O120" s="204">
        <f t="shared" si="50"/>
        <v>0</v>
      </c>
      <c r="P120" s="205">
        <f t="shared" si="51"/>
        <v>0</v>
      </c>
      <c r="Q120" s="205">
        <f t="shared" si="52"/>
        <v>0</v>
      </c>
      <c r="R120" s="926"/>
      <c r="S120" s="927"/>
      <c r="T120" s="928"/>
    </row>
    <row r="121" spans="1:20" ht="15" hidden="1" customHeight="1" outlineLevel="1">
      <c r="A121" s="202" t="str">
        <f>TEXT($A$113,0) &amp; ".8"</f>
        <v>0.8</v>
      </c>
      <c r="B121" s="940"/>
      <c r="C121" s="941"/>
      <c r="D121" s="941"/>
      <c r="E121" s="942"/>
      <c r="F121" s="211"/>
      <c r="G121" s="211"/>
      <c r="H121" s="225"/>
      <c r="I121" s="225"/>
      <c r="J121" s="237"/>
      <c r="K121" s="237"/>
      <c r="L121" s="237"/>
      <c r="M121" s="204">
        <f t="shared" si="53"/>
        <v>0</v>
      </c>
      <c r="N121" s="235">
        <f t="shared" si="50"/>
        <v>0</v>
      </c>
      <c r="O121" s="204">
        <f t="shared" si="50"/>
        <v>0</v>
      </c>
      <c r="P121" s="205">
        <f t="shared" si="51"/>
        <v>0</v>
      </c>
      <c r="Q121" s="205">
        <f t="shared" si="52"/>
        <v>0</v>
      </c>
      <c r="R121" s="926"/>
      <c r="S121" s="927"/>
      <c r="T121" s="928"/>
    </row>
    <row r="122" spans="1:20" ht="15" hidden="1" customHeight="1" outlineLevel="1">
      <c r="A122" s="202" t="str">
        <f>TEXT($A$113,0) &amp; ".9"</f>
        <v>0.9</v>
      </c>
      <c r="B122" s="940"/>
      <c r="C122" s="941"/>
      <c r="D122" s="941"/>
      <c r="E122" s="942"/>
      <c r="F122" s="211"/>
      <c r="G122" s="211"/>
      <c r="H122" s="225"/>
      <c r="I122" s="225"/>
      <c r="J122" s="237"/>
      <c r="K122" s="237"/>
      <c r="L122" s="237"/>
      <c r="M122" s="204">
        <f t="shared" si="53"/>
        <v>0</v>
      </c>
      <c r="N122" s="235">
        <f t="shared" si="50"/>
        <v>0</v>
      </c>
      <c r="O122" s="204">
        <f t="shared" si="50"/>
        <v>0</v>
      </c>
      <c r="P122" s="205">
        <f t="shared" si="51"/>
        <v>0</v>
      </c>
      <c r="Q122" s="205">
        <f t="shared" si="52"/>
        <v>0</v>
      </c>
      <c r="R122" s="926"/>
      <c r="S122" s="927"/>
      <c r="T122" s="928"/>
    </row>
    <row r="123" spans="1:20" ht="15" hidden="1" customHeight="1" outlineLevel="1">
      <c r="A123" s="202" t="str">
        <f>TEXT($A$113,0) &amp; ".10"</f>
        <v>0.10</v>
      </c>
      <c r="B123" s="940"/>
      <c r="C123" s="941"/>
      <c r="D123" s="941"/>
      <c r="E123" s="942"/>
      <c r="F123" s="211"/>
      <c r="G123" s="211"/>
      <c r="H123" s="225"/>
      <c r="I123" s="225"/>
      <c r="J123" s="237"/>
      <c r="K123" s="237"/>
      <c r="L123" s="237"/>
      <c r="M123" s="204">
        <f t="shared" si="53"/>
        <v>0</v>
      </c>
      <c r="N123" s="235">
        <f t="shared" ref="N123:O132" si="54">M123</f>
        <v>0</v>
      </c>
      <c r="O123" s="204">
        <f t="shared" si="54"/>
        <v>0</v>
      </c>
      <c r="P123" s="205">
        <f t="shared" si="51"/>
        <v>0</v>
      </c>
      <c r="Q123" s="205">
        <f t="shared" si="52"/>
        <v>0</v>
      </c>
      <c r="R123" s="926"/>
      <c r="S123" s="927"/>
      <c r="T123" s="928"/>
    </row>
    <row r="124" spans="1:20" ht="15" hidden="1" customHeight="1" outlineLevel="1">
      <c r="A124" s="202" t="str">
        <f>TEXT($A$113,0) &amp; ".11"</f>
        <v>0.11</v>
      </c>
      <c r="B124" s="981"/>
      <c r="C124" s="982"/>
      <c r="D124" s="982"/>
      <c r="E124" s="983"/>
      <c r="F124" s="211"/>
      <c r="G124" s="211"/>
      <c r="H124" s="229"/>
      <c r="I124" s="229"/>
      <c r="J124" s="241"/>
      <c r="K124" s="241"/>
      <c r="L124" s="241"/>
      <c r="M124" s="204">
        <f>(J124+K124*4+L124)/6</f>
        <v>0</v>
      </c>
      <c r="N124" s="235">
        <f t="shared" si="54"/>
        <v>0</v>
      </c>
      <c r="O124" s="204">
        <f>N124</f>
        <v>0</v>
      </c>
      <c r="P124" s="205">
        <f t="shared" ref="P124:P133" si="55">IF(H124&lt;&gt;"",INDEX(MDActivityTypeInternalCostPerDay,MATCH(H124,MDActivityTypeID,0),1)*O124,0)</f>
        <v>0</v>
      </c>
      <c r="Q124" s="205">
        <f t="shared" ref="Q124:Q133" si="56">IF(H124&lt;&gt;"",INDEX(MDActivityTypeExternalPricePerDay,MATCH(H124,MDActivityTypeID,0),1)*O124,0)</f>
        <v>0</v>
      </c>
      <c r="R124" s="926"/>
      <c r="S124" s="927"/>
      <c r="T124" s="928"/>
    </row>
    <row r="125" spans="1:20" ht="15" hidden="1" customHeight="1" outlineLevel="1">
      <c r="A125" s="202" t="str">
        <f>TEXT($A$113,0) &amp; ".12"</f>
        <v>0.12</v>
      </c>
      <c r="B125" s="981"/>
      <c r="C125" s="982"/>
      <c r="D125" s="982"/>
      <c r="E125" s="983"/>
      <c r="F125" s="211"/>
      <c r="G125" s="211"/>
      <c r="H125" s="229"/>
      <c r="I125" s="229"/>
      <c r="J125" s="241"/>
      <c r="K125" s="241"/>
      <c r="L125" s="241"/>
      <c r="M125" s="204">
        <f t="shared" ref="M125:M133" si="57">(J125+K125*4+L125)/6</f>
        <v>0</v>
      </c>
      <c r="N125" s="235">
        <f t="shared" si="54"/>
        <v>0</v>
      </c>
      <c r="O125" s="204">
        <f t="shared" ref="O125:O133" si="58">N125</f>
        <v>0</v>
      </c>
      <c r="P125" s="205">
        <f t="shared" si="55"/>
        <v>0</v>
      </c>
      <c r="Q125" s="205">
        <f t="shared" si="56"/>
        <v>0</v>
      </c>
      <c r="R125" s="926"/>
      <c r="S125" s="927"/>
      <c r="T125" s="928"/>
    </row>
    <row r="126" spans="1:20" ht="15" hidden="1" customHeight="1" outlineLevel="1">
      <c r="A126" s="202" t="str">
        <f>TEXT($A$113,0) &amp; ".13"</f>
        <v>0.13</v>
      </c>
      <c r="B126" s="940"/>
      <c r="C126" s="941"/>
      <c r="D126" s="941"/>
      <c r="E126" s="942"/>
      <c r="F126" s="211"/>
      <c r="G126" s="211"/>
      <c r="H126" s="225"/>
      <c r="I126" s="225"/>
      <c r="J126" s="237"/>
      <c r="K126" s="237"/>
      <c r="L126" s="237"/>
      <c r="M126" s="204">
        <f t="shared" si="57"/>
        <v>0</v>
      </c>
      <c r="N126" s="235">
        <f t="shared" si="54"/>
        <v>0</v>
      </c>
      <c r="O126" s="204">
        <f t="shared" si="58"/>
        <v>0</v>
      </c>
      <c r="P126" s="205">
        <f t="shared" si="55"/>
        <v>0</v>
      </c>
      <c r="Q126" s="205">
        <f t="shared" si="56"/>
        <v>0</v>
      </c>
      <c r="R126" s="926"/>
      <c r="S126" s="927"/>
      <c r="T126" s="928"/>
    </row>
    <row r="127" spans="1:20" ht="15" hidden="1" customHeight="1" outlineLevel="1">
      <c r="A127" s="202" t="str">
        <f>TEXT($A$113,0) &amp; ".14"</f>
        <v>0.14</v>
      </c>
      <c r="B127" s="940"/>
      <c r="C127" s="941"/>
      <c r="D127" s="941"/>
      <c r="E127" s="942"/>
      <c r="F127" s="211"/>
      <c r="G127" s="211"/>
      <c r="H127" s="225"/>
      <c r="I127" s="225"/>
      <c r="J127" s="237"/>
      <c r="K127" s="237"/>
      <c r="L127" s="237"/>
      <c r="M127" s="204">
        <f t="shared" si="57"/>
        <v>0</v>
      </c>
      <c r="N127" s="235">
        <f t="shared" si="54"/>
        <v>0</v>
      </c>
      <c r="O127" s="204">
        <f t="shared" si="58"/>
        <v>0</v>
      </c>
      <c r="P127" s="205">
        <f t="shared" si="55"/>
        <v>0</v>
      </c>
      <c r="Q127" s="205">
        <f t="shared" si="56"/>
        <v>0</v>
      </c>
      <c r="R127" s="926"/>
      <c r="S127" s="927"/>
      <c r="T127" s="928"/>
    </row>
    <row r="128" spans="1:20" ht="15" hidden="1" customHeight="1" outlineLevel="1">
      <c r="A128" s="202" t="str">
        <f>TEXT($A$113,0) &amp; ".15"</f>
        <v>0.15</v>
      </c>
      <c r="B128" s="940"/>
      <c r="C128" s="941"/>
      <c r="D128" s="941"/>
      <c r="E128" s="942"/>
      <c r="F128" s="211"/>
      <c r="G128" s="211"/>
      <c r="H128" s="225"/>
      <c r="I128" s="225"/>
      <c r="J128" s="237"/>
      <c r="K128" s="237"/>
      <c r="L128" s="237"/>
      <c r="M128" s="204">
        <f t="shared" si="57"/>
        <v>0</v>
      </c>
      <c r="N128" s="235">
        <f t="shared" si="54"/>
        <v>0</v>
      </c>
      <c r="O128" s="204">
        <f t="shared" si="58"/>
        <v>0</v>
      </c>
      <c r="P128" s="205">
        <f t="shared" si="55"/>
        <v>0</v>
      </c>
      <c r="Q128" s="205">
        <f t="shared" si="56"/>
        <v>0</v>
      </c>
      <c r="R128" s="926"/>
      <c r="S128" s="927"/>
      <c r="T128" s="928"/>
    </row>
    <row r="129" spans="1:20" ht="15" hidden="1" customHeight="1" outlineLevel="1">
      <c r="A129" s="202" t="str">
        <f>TEXT($A$113,0) &amp; ".16"</f>
        <v>0.16</v>
      </c>
      <c r="B129" s="940"/>
      <c r="C129" s="941"/>
      <c r="D129" s="941"/>
      <c r="E129" s="942"/>
      <c r="F129" s="211"/>
      <c r="G129" s="211"/>
      <c r="H129" s="225"/>
      <c r="I129" s="225"/>
      <c r="J129" s="237"/>
      <c r="K129" s="237"/>
      <c r="L129" s="237"/>
      <c r="M129" s="204">
        <f t="shared" si="57"/>
        <v>0</v>
      </c>
      <c r="N129" s="235">
        <f t="shared" si="54"/>
        <v>0</v>
      </c>
      <c r="O129" s="204">
        <f t="shared" si="58"/>
        <v>0</v>
      </c>
      <c r="P129" s="205">
        <f t="shared" si="55"/>
        <v>0</v>
      </c>
      <c r="Q129" s="205">
        <f t="shared" si="56"/>
        <v>0</v>
      </c>
      <c r="R129" s="926"/>
      <c r="S129" s="927"/>
      <c r="T129" s="928"/>
    </row>
    <row r="130" spans="1:20" ht="15" hidden="1" customHeight="1" outlineLevel="1">
      <c r="A130" s="202" t="str">
        <f>TEXT($A$113,0) &amp; ".17"</f>
        <v>0.17</v>
      </c>
      <c r="B130" s="940"/>
      <c r="C130" s="941"/>
      <c r="D130" s="941"/>
      <c r="E130" s="942"/>
      <c r="F130" s="211"/>
      <c r="G130" s="211"/>
      <c r="H130" s="225"/>
      <c r="I130" s="225"/>
      <c r="J130" s="237"/>
      <c r="K130" s="237"/>
      <c r="L130" s="237"/>
      <c r="M130" s="204">
        <f t="shared" si="57"/>
        <v>0</v>
      </c>
      <c r="N130" s="235">
        <f t="shared" si="54"/>
        <v>0</v>
      </c>
      <c r="O130" s="204">
        <f t="shared" si="58"/>
        <v>0</v>
      </c>
      <c r="P130" s="205">
        <f t="shared" si="55"/>
        <v>0</v>
      </c>
      <c r="Q130" s="205">
        <f t="shared" si="56"/>
        <v>0</v>
      </c>
      <c r="R130" s="926"/>
      <c r="S130" s="927"/>
      <c r="T130" s="928"/>
    </row>
    <row r="131" spans="1:20" ht="15" hidden="1" customHeight="1" outlineLevel="1">
      <c r="A131" s="202" t="str">
        <f>TEXT($A$113,0) &amp; ".18"</f>
        <v>0.18</v>
      </c>
      <c r="B131" s="940"/>
      <c r="C131" s="941"/>
      <c r="D131" s="941"/>
      <c r="E131" s="942"/>
      <c r="F131" s="211"/>
      <c r="G131" s="211"/>
      <c r="H131" s="225"/>
      <c r="I131" s="225"/>
      <c r="J131" s="237"/>
      <c r="K131" s="237"/>
      <c r="L131" s="237"/>
      <c r="M131" s="204">
        <f t="shared" si="57"/>
        <v>0</v>
      </c>
      <c r="N131" s="235">
        <f t="shared" si="54"/>
        <v>0</v>
      </c>
      <c r="O131" s="204">
        <f t="shared" si="58"/>
        <v>0</v>
      </c>
      <c r="P131" s="205">
        <f t="shared" si="55"/>
        <v>0</v>
      </c>
      <c r="Q131" s="205">
        <f t="shared" si="56"/>
        <v>0</v>
      </c>
      <c r="R131" s="926"/>
      <c r="S131" s="927"/>
      <c r="T131" s="928"/>
    </row>
    <row r="132" spans="1:20" ht="15" hidden="1" customHeight="1" outlineLevel="1">
      <c r="A132" s="202" t="str">
        <f>TEXT($A$113,0) &amp; ".19"</f>
        <v>0.19</v>
      </c>
      <c r="B132" s="940"/>
      <c r="C132" s="941"/>
      <c r="D132" s="941"/>
      <c r="E132" s="942"/>
      <c r="F132" s="211"/>
      <c r="G132" s="211"/>
      <c r="H132" s="225"/>
      <c r="I132" s="225"/>
      <c r="J132" s="237"/>
      <c r="K132" s="237"/>
      <c r="L132" s="237"/>
      <c r="M132" s="204">
        <f t="shared" si="57"/>
        <v>0</v>
      </c>
      <c r="N132" s="235">
        <f t="shared" si="54"/>
        <v>0</v>
      </c>
      <c r="O132" s="204">
        <f t="shared" si="58"/>
        <v>0</v>
      </c>
      <c r="P132" s="205">
        <f t="shared" si="55"/>
        <v>0</v>
      </c>
      <c r="Q132" s="205">
        <f t="shared" si="56"/>
        <v>0</v>
      </c>
      <c r="R132" s="926"/>
      <c r="S132" s="927"/>
      <c r="T132" s="928"/>
    </row>
    <row r="133" spans="1:20" ht="15" hidden="1" customHeight="1" outlineLevel="1">
      <c r="A133" s="202" t="str">
        <f>TEXT($A$113,0) &amp; ".20"</f>
        <v>0.20</v>
      </c>
      <c r="B133" s="940"/>
      <c r="C133" s="941"/>
      <c r="D133" s="941"/>
      <c r="E133" s="942"/>
      <c r="F133" s="211"/>
      <c r="G133" s="211"/>
      <c r="H133" s="225"/>
      <c r="I133" s="225"/>
      <c r="J133" s="237"/>
      <c r="K133" s="237"/>
      <c r="L133" s="237"/>
      <c r="M133" s="204">
        <f t="shared" si="57"/>
        <v>0</v>
      </c>
      <c r="N133" s="235">
        <f>M133</f>
        <v>0</v>
      </c>
      <c r="O133" s="204">
        <f t="shared" si="58"/>
        <v>0</v>
      </c>
      <c r="P133" s="205">
        <f t="shared" si="55"/>
        <v>0</v>
      </c>
      <c r="Q133" s="205">
        <f t="shared" si="56"/>
        <v>0</v>
      </c>
      <c r="R133" s="926"/>
      <c r="S133" s="927"/>
      <c r="T133" s="928"/>
    </row>
    <row r="134" spans="1:20" ht="15" customHeight="1" collapsed="1">
      <c r="A134" s="267"/>
      <c r="B134" s="1000"/>
      <c r="C134" s="1001"/>
      <c r="D134" s="1001"/>
      <c r="E134" s="1002"/>
      <c r="F134" s="217"/>
      <c r="G134" s="217"/>
      <c r="H134" s="222"/>
      <c r="I134" s="222" t="str">
        <f>IF(COUNTIF(I135:I154,TMDPhaseTimeAndMaterial)&gt;0,TMDPhaseTimeAndMaterial,IF(COUNTIF(I135:I154,TMDPhaseChangeTimeAndMaterial)&gt;0,TMDPhaseChangeTimeAndMaterial,""))</f>
        <v/>
      </c>
      <c r="J134" s="234">
        <f t="shared" ref="J134:Q134" si="59">SUM(J135:J154)</f>
        <v>0</v>
      </c>
      <c r="K134" s="234">
        <f t="shared" si="59"/>
        <v>0</v>
      </c>
      <c r="L134" s="234">
        <f t="shared" si="59"/>
        <v>0</v>
      </c>
      <c r="M134" s="201">
        <f t="shared" si="59"/>
        <v>0</v>
      </c>
      <c r="N134" s="201">
        <f t="shared" si="59"/>
        <v>0</v>
      </c>
      <c r="O134" s="201">
        <f t="shared" si="59"/>
        <v>0</v>
      </c>
      <c r="P134" s="201">
        <f t="shared" si="59"/>
        <v>0</v>
      </c>
      <c r="Q134" s="201">
        <f t="shared" si="59"/>
        <v>0</v>
      </c>
      <c r="R134" s="949"/>
      <c r="S134" s="950"/>
      <c r="T134" s="951"/>
    </row>
    <row r="135" spans="1:20" ht="15" hidden="1" customHeight="1" outlineLevel="1">
      <c r="A135" s="202" t="str">
        <f>TEXT($A$134,0) &amp; ".1"</f>
        <v>0.1</v>
      </c>
      <c r="B135" s="978"/>
      <c r="C135" s="979"/>
      <c r="D135" s="979"/>
      <c r="E135" s="980"/>
      <c r="F135" s="211"/>
      <c r="G135" s="211"/>
      <c r="H135" s="230"/>
      <c r="I135" s="230"/>
      <c r="J135" s="242"/>
      <c r="K135" s="242"/>
      <c r="L135" s="242"/>
      <c r="M135" s="204">
        <f>(J135+K135*4+L135)/6</f>
        <v>0</v>
      </c>
      <c r="N135" s="235">
        <f t="shared" ref="N135:O143" si="60">M135</f>
        <v>0</v>
      </c>
      <c r="O135" s="204">
        <f t="shared" si="60"/>
        <v>0</v>
      </c>
      <c r="P135" s="205">
        <f t="shared" ref="P135:P144" si="61">IF(H135&lt;&gt;"",INDEX(MDActivityTypeInternalCostPerDay,MATCH(H135,MDActivityTypeID,0),1)*O135,0)</f>
        <v>0</v>
      </c>
      <c r="Q135" s="205">
        <f t="shared" ref="Q135:Q144" si="62">IF(H135&lt;&gt;"",INDEX(MDActivityTypeExternalPricePerDay,MATCH(H135,MDActivityTypeID,0),1)*O135,0)</f>
        <v>0</v>
      </c>
      <c r="R135" s="926"/>
      <c r="S135" s="927"/>
      <c r="T135" s="928"/>
    </row>
    <row r="136" spans="1:20" ht="15" hidden="1" customHeight="1" outlineLevel="1">
      <c r="A136" s="202" t="str">
        <f>TEXT($A$134,0) &amp; ".2"</f>
        <v>0.2</v>
      </c>
      <c r="B136" s="978"/>
      <c r="C136" s="979"/>
      <c r="D136" s="979"/>
      <c r="E136" s="980"/>
      <c r="F136" s="211"/>
      <c r="G136" s="211"/>
      <c r="H136" s="230"/>
      <c r="I136" s="230"/>
      <c r="J136" s="242"/>
      <c r="K136" s="242"/>
      <c r="L136" s="242"/>
      <c r="M136" s="204">
        <f t="shared" ref="M136:M144" si="63">(J136+K136*4+L136)/6</f>
        <v>0</v>
      </c>
      <c r="N136" s="235">
        <f t="shared" si="60"/>
        <v>0</v>
      </c>
      <c r="O136" s="204">
        <f t="shared" si="60"/>
        <v>0</v>
      </c>
      <c r="P136" s="205">
        <f t="shared" si="61"/>
        <v>0</v>
      </c>
      <c r="Q136" s="205">
        <f t="shared" si="62"/>
        <v>0</v>
      </c>
      <c r="R136" s="926"/>
      <c r="S136" s="927"/>
      <c r="T136" s="928"/>
    </row>
    <row r="137" spans="1:20" ht="15" hidden="1" customHeight="1" outlineLevel="1">
      <c r="A137" s="202" t="str">
        <f>TEXT($A$134,0) &amp; ".3"</f>
        <v>0.3</v>
      </c>
      <c r="B137" s="940"/>
      <c r="C137" s="941"/>
      <c r="D137" s="941"/>
      <c r="E137" s="942"/>
      <c r="F137" s="211"/>
      <c r="G137" s="211"/>
      <c r="H137" s="225"/>
      <c r="I137" s="225"/>
      <c r="J137" s="237"/>
      <c r="K137" s="237"/>
      <c r="L137" s="237"/>
      <c r="M137" s="204">
        <f t="shared" si="63"/>
        <v>0</v>
      </c>
      <c r="N137" s="235">
        <f t="shared" si="60"/>
        <v>0</v>
      </c>
      <c r="O137" s="204">
        <f t="shared" si="60"/>
        <v>0</v>
      </c>
      <c r="P137" s="205">
        <f t="shared" si="61"/>
        <v>0</v>
      </c>
      <c r="Q137" s="205">
        <f t="shared" si="62"/>
        <v>0</v>
      </c>
      <c r="R137" s="926"/>
      <c r="S137" s="927"/>
      <c r="T137" s="928"/>
    </row>
    <row r="138" spans="1:20" ht="15" hidden="1" customHeight="1" outlineLevel="1">
      <c r="A138" s="202" t="str">
        <f>TEXT($A$134,0) &amp; ".4"</f>
        <v>0.4</v>
      </c>
      <c r="B138" s="940"/>
      <c r="C138" s="941"/>
      <c r="D138" s="941"/>
      <c r="E138" s="942"/>
      <c r="F138" s="211"/>
      <c r="G138" s="211"/>
      <c r="H138" s="225"/>
      <c r="I138" s="225"/>
      <c r="J138" s="237"/>
      <c r="K138" s="237"/>
      <c r="L138" s="237"/>
      <c r="M138" s="204">
        <f t="shared" si="63"/>
        <v>0</v>
      </c>
      <c r="N138" s="235">
        <f t="shared" si="60"/>
        <v>0</v>
      </c>
      <c r="O138" s="204">
        <f t="shared" si="60"/>
        <v>0</v>
      </c>
      <c r="P138" s="205">
        <f t="shared" si="61"/>
        <v>0</v>
      </c>
      <c r="Q138" s="205">
        <f t="shared" si="62"/>
        <v>0</v>
      </c>
      <c r="R138" s="926"/>
      <c r="S138" s="927"/>
      <c r="T138" s="928"/>
    </row>
    <row r="139" spans="1:20" ht="15" hidden="1" customHeight="1" outlineLevel="1">
      <c r="A139" s="202" t="str">
        <f>TEXT($A$134,0) &amp; ".5"</f>
        <v>0.5</v>
      </c>
      <c r="B139" s="940"/>
      <c r="C139" s="941"/>
      <c r="D139" s="941"/>
      <c r="E139" s="942"/>
      <c r="F139" s="211"/>
      <c r="G139" s="211"/>
      <c r="H139" s="225"/>
      <c r="I139" s="225"/>
      <c r="J139" s="237"/>
      <c r="K139" s="237"/>
      <c r="L139" s="237"/>
      <c r="M139" s="204">
        <f t="shared" si="63"/>
        <v>0</v>
      </c>
      <c r="N139" s="235">
        <f t="shared" si="60"/>
        <v>0</v>
      </c>
      <c r="O139" s="204">
        <f t="shared" si="60"/>
        <v>0</v>
      </c>
      <c r="P139" s="205">
        <f t="shared" si="61"/>
        <v>0</v>
      </c>
      <c r="Q139" s="205">
        <f t="shared" si="62"/>
        <v>0</v>
      </c>
      <c r="R139" s="926"/>
      <c r="S139" s="927"/>
      <c r="T139" s="928"/>
    </row>
    <row r="140" spans="1:20" ht="15" hidden="1" customHeight="1" outlineLevel="1">
      <c r="A140" s="202" t="str">
        <f>TEXT($A$134,0) &amp; ".6"</f>
        <v>0.6</v>
      </c>
      <c r="B140" s="940"/>
      <c r="C140" s="941"/>
      <c r="D140" s="941"/>
      <c r="E140" s="942"/>
      <c r="F140" s="211"/>
      <c r="G140" s="211"/>
      <c r="H140" s="225"/>
      <c r="I140" s="225"/>
      <c r="J140" s="237"/>
      <c r="K140" s="237"/>
      <c r="L140" s="237"/>
      <c r="M140" s="204">
        <f t="shared" si="63"/>
        <v>0</v>
      </c>
      <c r="N140" s="235">
        <f t="shared" si="60"/>
        <v>0</v>
      </c>
      <c r="O140" s="204">
        <f t="shared" si="60"/>
        <v>0</v>
      </c>
      <c r="P140" s="205">
        <f t="shared" si="61"/>
        <v>0</v>
      </c>
      <c r="Q140" s="205">
        <f t="shared" si="62"/>
        <v>0</v>
      </c>
      <c r="R140" s="926"/>
      <c r="S140" s="927"/>
      <c r="T140" s="928"/>
    </row>
    <row r="141" spans="1:20" ht="15" hidden="1" customHeight="1" outlineLevel="1">
      <c r="A141" s="202" t="str">
        <f>TEXT($A$134,0) &amp; ".7"</f>
        <v>0.7</v>
      </c>
      <c r="B141" s="940"/>
      <c r="C141" s="941"/>
      <c r="D141" s="941"/>
      <c r="E141" s="942"/>
      <c r="F141" s="211"/>
      <c r="G141" s="211"/>
      <c r="H141" s="225"/>
      <c r="I141" s="225"/>
      <c r="J141" s="237"/>
      <c r="K141" s="237"/>
      <c r="L141" s="237"/>
      <c r="M141" s="204">
        <f t="shared" si="63"/>
        <v>0</v>
      </c>
      <c r="N141" s="235">
        <f t="shared" si="60"/>
        <v>0</v>
      </c>
      <c r="O141" s="204">
        <f t="shared" si="60"/>
        <v>0</v>
      </c>
      <c r="P141" s="205">
        <f t="shared" si="61"/>
        <v>0</v>
      </c>
      <c r="Q141" s="205">
        <f t="shared" si="62"/>
        <v>0</v>
      </c>
      <c r="R141" s="926"/>
      <c r="S141" s="927"/>
      <c r="T141" s="928"/>
    </row>
    <row r="142" spans="1:20" ht="15" hidden="1" customHeight="1" outlineLevel="1">
      <c r="A142" s="202" t="str">
        <f>TEXT($A$134,0) &amp; ".8"</f>
        <v>0.8</v>
      </c>
      <c r="B142" s="940"/>
      <c r="C142" s="941"/>
      <c r="D142" s="941"/>
      <c r="E142" s="942"/>
      <c r="F142" s="211"/>
      <c r="G142" s="211"/>
      <c r="H142" s="225"/>
      <c r="I142" s="225"/>
      <c r="J142" s="237"/>
      <c r="K142" s="237"/>
      <c r="L142" s="237"/>
      <c r="M142" s="204">
        <f t="shared" si="63"/>
        <v>0</v>
      </c>
      <c r="N142" s="235">
        <f t="shared" si="60"/>
        <v>0</v>
      </c>
      <c r="O142" s="204">
        <f t="shared" si="60"/>
        <v>0</v>
      </c>
      <c r="P142" s="205">
        <f t="shared" si="61"/>
        <v>0</v>
      </c>
      <c r="Q142" s="205">
        <f t="shared" si="62"/>
        <v>0</v>
      </c>
      <c r="R142" s="926"/>
      <c r="S142" s="927"/>
      <c r="T142" s="928"/>
    </row>
    <row r="143" spans="1:20" ht="15" hidden="1" customHeight="1" outlineLevel="1">
      <c r="A143" s="202" t="str">
        <f>TEXT($A$134,0) &amp; ".9"</f>
        <v>0.9</v>
      </c>
      <c r="B143" s="940"/>
      <c r="C143" s="941"/>
      <c r="D143" s="941"/>
      <c r="E143" s="942"/>
      <c r="F143" s="211"/>
      <c r="G143" s="211"/>
      <c r="H143" s="225"/>
      <c r="I143" s="225"/>
      <c r="J143" s="237"/>
      <c r="K143" s="237"/>
      <c r="L143" s="237"/>
      <c r="M143" s="204">
        <f t="shared" si="63"/>
        <v>0</v>
      </c>
      <c r="N143" s="235">
        <f t="shared" si="60"/>
        <v>0</v>
      </c>
      <c r="O143" s="204">
        <f t="shared" si="60"/>
        <v>0</v>
      </c>
      <c r="P143" s="205">
        <f t="shared" si="61"/>
        <v>0</v>
      </c>
      <c r="Q143" s="205">
        <f t="shared" si="62"/>
        <v>0</v>
      </c>
      <c r="R143" s="926"/>
      <c r="S143" s="927"/>
      <c r="T143" s="928"/>
    </row>
    <row r="144" spans="1:20" ht="15" hidden="1" customHeight="1" outlineLevel="1">
      <c r="A144" s="202" t="str">
        <f>TEXT($A$134,0) &amp; ".10"</f>
        <v>0.10</v>
      </c>
      <c r="B144" s="940"/>
      <c r="C144" s="941"/>
      <c r="D144" s="941"/>
      <c r="E144" s="942"/>
      <c r="F144" s="211"/>
      <c r="G144" s="211"/>
      <c r="H144" s="225"/>
      <c r="I144" s="225"/>
      <c r="J144" s="237"/>
      <c r="K144" s="237"/>
      <c r="L144" s="237"/>
      <c r="M144" s="204">
        <f t="shared" si="63"/>
        <v>0</v>
      </c>
      <c r="N144" s="235">
        <f t="shared" ref="N144:O153" si="64">M144</f>
        <v>0</v>
      </c>
      <c r="O144" s="204">
        <f t="shared" si="64"/>
        <v>0</v>
      </c>
      <c r="P144" s="205">
        <f t="shared" si="61"/>
        <v>0</v>
      </c>
      <c r="Q144" s="205">
        <f t="shared" si="62"/>
        <v>0</v>
      </c>
      <c r="R144" s="926"/>
      <c r="S144" s="927"/>
      <c r="T144" s="928"/>
    </row>
    <row r="145" spans="1:20" ht="15" hidden="1" customHeight="1" outlineLevel="1">
      <c r="A145" s="202" t="str">
        <f>TEXT($A$134,0) &amp; ".11"</f>
        <v>0.11</v>
      </c>
      <c r="B145" s="978"/>
      <c r="C145" s="979"/>
      <c r="D145" s="979"/>
      <c r="E145" s="980"/>
      <c r="F145" s="211"/>
      <c r="G145" s="211"/>
      <c r="H145" s="230"/>
      <c r="I145" s="230"/>
      <c r="J145" s="242"/>
      <c r="K145" s="242"/>
      <c r="L145" s="242"/>
      <c r="M145" s="204">
        <f>(J145+K145*4+L145)/6</f>
        <v>0</v>
      </c>
      <c r="N145" s="235">
        <f t="shared" si="64"/>
        <v>0</v>
      </c>
      <c r="O145" s="204">
        <f>N145</f>
        <v>0</v>
      </c>
      <c r="P145" s="205">
        <f t="shared" ref="P145:P154" si="65">IF(H145&lt;&gt;"",INDEX(MDActivityTypeInternalCostPerDay,MATCH(H145,MDActivityTypeID,0),1)*O145,0)</f>
        <v>0</v>
      </c>
      <c r="Q145" s="205">
        <f t="shared" ref="Q145:Q154" si="66">IF(H145&lt;&gt;"",INDEX(MDActivityTypeExternalPricePerDay,MATCH(H145,MDActivityTypeID,0),1)*O145,0)</f>
        <v>0</v>
      </c>
      <c r="R145" s="926"/>
      <c r="S145" s="927"/>
      <c r="T145" s="928"/>
    </row>
    <row r="146" spans="1:20" ht="15" hidden="1" customHeight="1" outlineLevel="1">
      <c r="A146" s="202" t="str">
        <f>TEXT($A$134,0) &amp; ".12"</f>
        <v>0.12</v>
      </c>
      <c r="B146" s="978"/>
      <c r="C146" s="979"/>
      <c r="D146" s="979"/>
      <c r="E146" s="980"/>
      <c r="F146" s="211"/>
      <c r="G146" s="211"/>
      <c r="H146" s="230"/>
      <c r="I146" s="230"/>
      <c r="J146" s="242"/>
      <c r="K146" s="242"/>
      <c r="L146" s="242"/>
      <c r="M146" s="204">
        <f t="shared" ref="M146:M154" si="67">(J146+K146*4+L146)/6</f>
        <v>0</v>
      </c>
      <c r="N146" s="235">
        <f t="shared" si="64"/>
        <v>0</v>
      </c>
      <c r="O146" s="204">
        <f t="shared" ref="O146:O154" si="68">N146</f>
        <v>0</v>
      </c>
      <c r="P146" s="205">
        <f t="shared" si="65"/>
        <v>0</v>
      </c>
      <c r="Q146" s="205">
        <f t="shared" si="66"/>
        <v>0</v>
      </c>
      <c r="R146" s="926"/>
      <c r="S146" s="927"/>
      <c r="T146" s="928"/>
    </row>
    <row r="147" spans="1:20" ht="15" hidden="1" customHeight="1" outlineLevel="1">
      <c r="A147" s="202" t="str">
        <f>TEXT($A$134,0) &amp; ".13"</f>
        <v>0.13</v>
      </c>
      <c r="B147" s="940"/>
      <c r="C147" s="941"/>
      <c r="D147" s="941"/>
      <c r="E147" s="942"/>
      <c r="F147" s="211"/>
      <c r="G147" s="211"/>
      <c r="H147" s="225"/>
      <c r="I147" s="225"/>
      <c r="J147" s="237"/>
      <c r="K147" s="237"/>
      <c r="L147" s="237"/>
      <c r="M147" s="204">
        <f t="shared" si="67"/>
        <v>0</v>
      </c>
      <c r="N147" s="235">
        <f t="shared" si="64"/>
        <v>0</v>
      </c>
      <c r="O147" s="204">
        <f t="shared" si="68"/>
        <v>0</v>
      </c>
      <c r="P147" s="205">
        <f t="shared" si="65"/>
        <v>0</v>
      </c>
      <c r="Q147" s="205">
        <f t="shared" si="66"/>
        <v>0</v>
      </c>
      <c r="R147" s="926"/>
      <c r="S147" s="927"/>
      <c r="T147" s="928"/>
    </row>
    <row r="148" spans="1:20" ht="15" hidden="1" customHeight="1" outlineLevel="1">
      <c r="A148" s="202" t="str">
        <f>TEXT($A$134,0) &amp; ".14"</f>
        <v>0.14</v>
      </c>
      <c r="B148" s="940"/>
      <c r="C148" s="941"/>
      <c r="D148" s="941"/>
      <c r="E148" s="942"/>
      <c r="F148" s="211"/>
      <c r="G148" s="211"/>
      <c r="H148" s="225"/>
      <c r="I148" s="225"/>
      <c r="J148" s="237"/>
      <c r="K148" s="237"/>
      <c r="L148" s="237"/>
      <c r="M148" s="204">
        <f t="shared" si="67"/>
        <v>0</v>
      </c>
      <c r="N148" s="235">
        <f t="shared" si="64"/>
        <v>0</v>
      </c>
      <c r="O148" s="204">
        <f t="shared" si="68"/>
        <v>0</v>
      </c>
      <c r="P148" s="205">
        <f t="shared" si="65"/>
        <v>0</v>
      </c>
      <c r="Q148" s="205">
        <f t="shared" si="66"/>
        <v>0</v>
      </c>
      <c r="R148" s="926"/>
      <c r="S148" s="927"/>
      <c r="T148" s="928"/>
    </row>
    <row r="149" spans="1:20" ht="15" hidden="1" customHeight="1" outlineLevel="1">
      <c r="A149" s="202" t="str">
        <f>TEXT($A$134,0) &amp; ".15"</f>
        <v>0.15</v>
      </c>
      <c r="B149" s="940"/>
      <c r="C149" s="941"/>
      <c r="D149" s="941"/>
      <c r="E149" s="942"/>
      <c r="F149" s="211"/>
      <c r="G149" s="211"/>
      <c r="H149" s="225"/>
      <c r="I149" s="225"/>
      <c r="J149" s="237"/>
      <c r="K149" s="237"/>
      <c r="L149" s="237"/>
      <c r="M149" s="204">
        <f t="shared" si="67"/>
        <v>0</v>
      </c>
      <c r="N149" s="235">
        <f t="shared" si="64"/>
        <v>0</v>
      </c>
      <c r="O149" s="204">
        <f t="shared" si="68"/>
        <v>0</v>
      </c>
      <c r="P149" s="205">
        <f t="shared" si="65"/>
        <v>0</v>
      </c>
      <c r="Q149" s="205">
        <f t="shared" si="66"/>
        <v>0</v>
      </c>
      <c r="R149" s="926"/>
      <c r="S149" s="927"/>
      <c r="T149" s="928"/>
    </row>
    <row r="150" spans="1:20" ht="15" hidden="1" customHeight="1" outlineLevel="1">
      <c r="A150" s="202" t="str">
        <f>TEXT($A$134,0) &amp; ".16"</f>
        <v>0.16</v>
      </c>
      <c r="B150" s="940"/>
      <c r="C150" s="941"/>
      <c r="D150" s="941"/>
      <c r="E150" s="942"/>
      <c r="F150" s="211"/>
      <c r="G150" s="211"/>
      <c r="H150" s="225"/>
      <c r="I150" s="225"/>
      <c r="J150" s="237"/>
      <c r="K150" s="237"/>
      <c r="L150" s="237"/>
      <c r="M150" s="204">
        <f t="shared" si="67"/>
        <v>0</v>
      </c>
      <c r="N150" s="235">
        <f t="shared" si="64"/>
        <v>0</v>
      </c>
      <c r="O150" s="204">
        <f t="shared" si="68"/>
        <v>0</v>
      </c>
      <c r="P150" s="205">
        <f t="shared" si="65"/>
        <v>0</v>
      </c>
      <c r="Q150" s="205">
        <f t="shared" si="66"/>
        <v>0</v>
      </c>
      <c r="R150" s="926"/>
      <c r="S150" s="927"/>
      <c r="T150" s="928"/>
    </row>
    <row r="151" spans="1:20" ht="15" hidden="1" customHeight="1" outlineLevel="1">
      <c r="A151" s="202" t="str">
        <f>TEXT($A$134,0) &amp; ".17"</f>
        <v>0.17</v>
      </c>
      <c r="B151" s="940"/>
      <c r="C151" s="941"/>
      <c r="D151" s="941"/>
      <c r="E151" s="942"/>
      <c r="F151" s="211"/>
      <c r="G151" s="211"/>
      <c r="H151" s="225"/>
      <c r="I151" s="225"/>
      <c r="J151" s="237"/>
      <c r="K151" s="237"/>
      <c r="L151" s="237"/>
      <c r="M151" s="204">
        <f t="shared" si="67"/>
        <v>0</v>
      </c>
      <c r="N151" s="235">
        <f t="shared" si="64"/>
        <v>0</v>
      </c>
      <c r="O151" s="204">
        <f t="shared" si="68"/>
        <v>0</v>
      </c>
      <c r="P151" s="205">
        <f t="shared" si="65"/>
        <v>0</v>
      </c>
      <c r="Q151" s="205">
        <f t="shared" si="66"/>
        <v>0</v>
      </c>
      <c r="R151" s="926"/>
      <c r="S151" s="927"/>
      <c r="T151" s="928"/>
    </row>
    <row r="152" spans="1:20" ht="15" hidden="1" customHeight="1" outlineLevel="1">
      <c r="A152" s="202" t="str">
        <f>TEXT($A$134,0) &amp; ".18"</f>
        <v>0.18</v>
      </c>
      <c r="B152" s="940"/>
      <c r="C152" s="941"/>
      <c r="D152" s="941"/>
      <c r="E152" s="942"/>
      <c r="F152" s="211"/>
      <c r="G152" s="211"/>
      <c r="H152" s="225"/>
      <c r="I152" s="225"/>
      <c r="J152" s="237"/>
      <c r="K152" s="237"/>
      <c r="L152" s="237"/>
      <c r="M152" s="204">
        <f t="shared" si="67"/>
        <v>0</v>
      </c>
      <c r="N152" s="235">
        <f t="shared" si="64"/>
        <v>0</v>
      </c>
      <c r="O152" s="204">
        <f t="shared" si="68"/>
        <v>0</v>
      </c>
      <c r="P152" s="205">
        <f t="shared" si="65"/>
        <v>0</v>
      </c>
      <c r="Q152" s="205">
        <f t="shared" si="66"/>
        <v>0</v>
      </c>
      <c r="R152" s="926"/>
      <c r="S152" s="927"/>
      <c r="T152" s="928"/>
    </row>
    <row r="153" spans="1:20" ht="15" hidden="1" customHeight="1" outlineLevel="1">
      <c r="A153" s="202" t="str">
        <f>TEXT($A$134,0) &amp; ".19"</f>
        <v>0.19</v>
      </c>
      <c r="B153" s="940"/>
      <c r="C153" s="941"/>
      <c r="D153" s="941"/>
      <c r="E153" s="942"/>
      <c r="F153" s="211"/>
      <c r="G153" s="211"/>
      <c r="H153" s="225"/>
      <c r="I153" s="225"/>
      <c r="J153" s="237"/>
      <c r="K153" s="237"/>
      <c r="L153" s="237"/>
      <c r="M153" s="204">
        <f t="shared" si="67"/>
        <v>0</v>
      </c>
      <c r="N153" s="235">
        <f t="shared" si="64"/>
        <v>0</v>
      </c>
      <c r="O153" s="204">
        <f t="shared" si="68"/>
        <v>0</v>
      </c>
      <c r="P153" s="205">
        <f t="shared" si="65"/>
        <v>0</v>
      </c>
      <c r="Q153" s="205">
        <f t="shared" si="66"/>
        <v>0</v>
      </c>
      <c r="R153" s="926"/>
      <c r="S153" s="927"/>
      <c r="T153" s="928"/>
    </row>
    <row r="154" spans="1:20" ht="15" hidden="1" customHeight="1" outlineLevel="1">
      <c r="A154" s="202" t="str">
        <f>TEXT($A$134,0) &amp; ".20"</f>
        <v>0.20</v>
      </c>
      <c r="B154" s="940"/>
      <c r="C154" s="941"/>
      <c r="D154" s="941"/>
      <c r="E154" s="942"/>
      <c r="F154" s="211"/>
      <c r="G154" s="211"/>
      <c r="H154" s="225"/>
      <c r="I154" s="225"/>
      <c r="J154" s="237"/>
      <c r="K154" s="237"/>
      <c r="L154" s="237"/>
      <c r="M154" s="204">
        <f t="shared" si="67"/>
        <v>0</v>
      </c>
      <c r="N154" s="235">
        <f>M154</f>
        <v>0</v>
      </c>
      <c r="O154" s="204">
        <f t="shared" si="68"/>
        <v>0</v>
      </c>
      <c r="P154" s="205">
        <f t="shared" si="65"/>
        <v>0</v>
      </c>
      <c r="Q154" s="205">
        <f t="shared" si="66"/>
        <v>0</v>
      </c>
      <c r="R154" s="926"/>
      <c r="S154" s="927"/>
      <c r="T154" s="928"/>
    </row>
    <row r="155" spans="1:20" ht="15" customHeight="1" collapsed="1">
      <c r="A155" s="267"/>
      <c r="B155" s="997"/>
      <c r="C155" s="998"/>
      <c r="D155" s="998"/>
      <c r="E155" s="999"/>
      <c r="F155" s="218"/>
      <c r="G155" s="218"/>
      <c r="H155" s="222"/>
      <c r="I155" s="222" t="str">
        <f>IF(COUNTIF(I156:I175,TMDPhaseTimeAndMaterial)&gt;0,TMDPhaseTimeAndMaterial,IF(COUNTIF(I156:I175,TMDPhaseChangeTimeAndMaterial)&gt;0,TMDPhaseChangeTimeAndMaterial,""))</f>
        <v/>
      </c>
      <c r="J155" s="234">
        <f t="shared" ref="J155:Q155" si="69">SUM(J156:J175)</f>
        <v>0</v>
      </c>
      <c r="K155" s="234">
        <f t="shared" si="69"/>
        <v>0</v>
      </c>
      <c r="L155" s="234">
        <f t="shared" si="69"/>
        <v>0</v>
      </c>
      <c r="M155" s="201">
        <f t="shared" si="69"/>
        <v>0</v>
      </c>
      <c r="N155" s="201">
        <f t="shared" si="69"/>
        <v>0</v>
      </c>
      <c r="O155" s="201">
        <f t="shared" si="69"/>
        <v>0</v>
      </c>
      <c r="P155" s="201">
        <f t="shared" si="69"/>
        <v>0</v>
      </c>
      <c r="Q155" s="201">
        <f t="shared" si="69"/>
        <v>0</v>
      </c>
      <c r="R155" s="935"/>
      <c r="S155" s="935"/>
      <c r="T155" s="935"/>
    </row>
    <row r="156" spans="1:20" ht="15" hidden="1" customHeight="1" outlineLevel="1">
      <c r="A156" s="202" t="str">
        <f>TEXT($A$155,0) &amp; ".1"</f>
        <v>0.1</v>
      </c>
      <c r="B156" s="937"/>
      <c r="C156" s="938"/>
      <c r="D156" s="938"/>
      <c r="E156" s="939"/>
      <c r="F156" s="211"/>
      <c r="G156" s="211"/>
      <c r="H156" s="231"/>
      <c r="I156" s="231"/>
      <c r="J156" s="243"/>
      <c r="K156" s="243"/>
      <c r="L156" s="243"/>
      <c r="M156" s="204">
        <f>(J156+K156*4+L156)/6</f>
        <v>0</v>
      </c>
      <c r="N156" s="235">
        <f t="shared" ref="N156:O164" si="70">M156</f>
        <v>0</v>
      </c>
      <c r="O156" s="204">
        <f t="shared" si="70"/>
        <v>0</v>
      </c>
      <c r="P156" s="205">
        <f t="shared" ref="P156:P165" si="71">IF(H156&lt;&gt;"",INDEX(MDActivityTypeInternalCostPerDay,MATCH(H156,MDActivityTypeID,0),1)*O156,0)</f>
        <v>0</v>
      </c>
      <c r="Q156" s="205">
        <f t="shared" ref="Q156:Q165" si="72">IF(H156&lt;&gt;"",INDEX(MDActivityTypeExternalPricePerDay,MATCH(H156,MDActivityTypeID,0),1)*O156,0)</f>
        <v>0</v>
      </c>
      <c r="R156" s="926"/>
      <c r="S156" s="927"/>
      <c r="T156" s="928"/>
    </row>
    <row r="157" spans="1:20" ht="15" hidden="1" customHeight="1" outlineLevel="1">
      <c r="A157" s="202" t="str">
        <f>TEXT($A$155,0) &amp; ".2"</f>
        <v>0.2</v>
      </c>
      <c r="B157" s="937"/>
      <c r="C157" s="938"/>
      <c r="D157" s="938"/>
      <c r="E157" s="939"/>
      <c r="F157" s="211"/>
      <c r="G157" s="211"/>
      <c r="H157" s="231"/>
      <c r="I157" s="231"/>
      <c r="J157" s="243"/>
      <c r="K157" s="243"/>
      <c r="L157" s="243"/>
      <c r="M157" s="204">
        <f t="shared" ref="M157:M165" si="73">(J157+K157*4+L157)/6</f>
        <v>0</v>
      </c>
      <c r="N157" s="235">
        <f t="shared" si="70"/>
        <v>0</v>
      </c>
      <c r="O157" s="204">
        <f t="shared" si="70"/>
        <v>0</v>
      </c>
      <c r="P157" s="205">
        <f t="shared" si="71"/>
        <v>0</v>
      </c>
      <c r="Q157" s="205">
        <f t="shared" si="72"/>
        <v>0</v>
      </c>
      <c r="R157" s="926"/>
      <c r="S157" s="927"/>
      <c r="T157" s="928"/>
    </row>
    <row r="158" spans="1:20" ht="15" hidden="1" customHeight="1" outlineLevel="1">
      <c r="A158" s="202" t="str">
        <f>TEXT($A$155,0) &amp; ".3"</f>
        <v>0.3</v>
      </c>
      <c r="B158" s="937"/>
      <c r="C158" s="938"/>
      <c r="D158" s="938"/>
      <c r="E158" s="939"/>
      <c r="F158" s="211"/>
      <c r="G158" s="211"/>
      <c r="H158" s="231"/>
      <c r="I158" s="231"/>
      <c r="J158" s="243"/>
      <c r="K158" s="243"/>
      <c r="L158" s="243"/>
      <c r="M158" s="204">
        <f t="shared" si="73"/>
        <v>0</v>
      </c>
      <c r="N158" s="235">
        <f t="shared" si="70"/>
        <v>0</v>
      </c>
      <c r="O158" s="204">
        <f t="shared" si="70"/>
        <v>0</v>
      </c>
      <c r="P158" s="205">
        <f t="shared" si="71"/>
        <v>0</v>
      </c>
      <c r="Q158" s="205">
        <f t="shared" si="72"/>
        <v>0</v>
      </c>
      <c r="R158" s="926"/>
      <c r="S158" s="927"/>
      <c r="T158" s="928"/>
    </row>
    <row r="159" spans="1:20" ht="15" hidden="1" customHeight="1" outlineLevel="1">
      <c r="A159" s="202" t="str">
        <f>TEXT($A$155,0) &amp; ".4"</f>
        <v>0.4</v>
      </c>
      <c r="B159" s="937"/>
      <c r="C159" s="938"/>
      <c r="D159" s="938"/>
      <c r="E159" s="939"/>
      <c r="F159" s="211"/>
      <c r="G159" s="211"/>
      <c r="H159" s="231"/>
      <c r="I159" s="231"/>
      <c r="J159" s="243"/>
      <c r="K159" s="243"/>
      <c r="L159" s="243"/>
      <c r="M159" s="204">
        <f t="shared" si="73"/>
        <v>0</v>
      </c>
      <c r="N159" s="235">
        <f t="shared" si="70"/>
        <v>0</v>
      </c>
      <c r="O159" s="204">
        <f t="shared" si="70"/>
        <v>0</v>
      </c>
      <c r="P159" s="205">
        <f t="shared" si="71"/>
        <v>0</v>
      </c>
      <c r="Q159" s="205">
        <f t="shared" si="72"/>
        <v>0</v>
      </c>
      <c r="R159" s="926"/>
      <c r="S159" s="927"/>
      <c r="T159" s="928"/>
    </row>
    <row r="160" spans="1:20" ht="15" hidden="1" customHeight="1" outlineLevel="1">
      <c r="A160" s="202" t="str">
        <f>TEXT($A$155,0) &amp; ".5"</f>
        <v>0.5</v>
      </c>
      <c r="B160" s="937"/>
      <c r="C160" s="938"/>
      <c r="D160" s="938"/>
      <c r="E160" s="939"/>
      <c r="F160" s="211"/>
      <c r="G160" s="211"/>
      <c r="H160" s="231"/>
      <c r="I160" s="231"/>
      <c r="J160" s="243"/>
      <c r="K160" s="243"/>
      <c r="L160" s="243"/>
      <c r="M160" s="204">
        <f t="shared" si="73"/>
        <v>0</v>
      </c>
      <c r="N160" s="235">
        <f t="shared" si="70"/>
        <v>0</v>
      </c>
      <c r="O160" s="204">
        <f t="shared" si="70"/>
        <v>0</v>
      </c>
      <c r="P160" s="205">
        <f t="shared" si="71"/>
        <v>0</v>
      </c>
      <c r="Q160" s="205">
        <f t="shared" si="72"/>
        <v>0</v>
      </c>
      <c r="R160" s="926"/>
      <c r="S160" s="927"/>
      <c r="T160" s="928"/>
    </row>
    <row r="161" spans="1:20" ht="15" hidden="1" customHeight="1" outlineLevel="1">
      <c r="A161" s="202" t="str">
        <f>TEXT($A$155,0) &amp; ".6"</f>
        <v>0.6</v>
      </c>
      <c r="B161" s="937"/>
      <c r="C161" s="938"/>
      <c r="D161" s="938"/>
      <c r="E161" s="939"/>
      <c r="F161" s="211"/>
      <c r="G161" s="211"/>
      <c r="H161" s="231"/>
      <c r="I161" s="231"/>
      <c r="J161" s="243"/>
      <c r="K161" s="243"/>
      <c r="L161" s="243"/>
      <c r="M161" s="204">
        <f t="shared" si="73"/>
        <v>0</v>
      </c>
      <c r="N161" s="235">
        <f t="shared" si="70"/>
        <v>0</v>
      </c>
      <c r="O161" s="204">
        <f t="shared" si="70"/>
        <v>0</v>
      </c>
      <c r="P161" s="205">
        <f t="shared" si="71"/>
        <v>0</v>
      </c>
      <c r="Q161" s="205">
        <f t="shared" si="72"/>
        <v>0</v>
      </c>
      <c r="R161" s="926"/>
      <c r="S161" s="927"/>
      <c r="T161" s="928"/>
    </row>
    <row r="162" spans="1:20" ht="15" hidden="1" customHeight="1" outlineLevel="1">
      <c r="A162" s="202" t="str">
        <f>TEXT($A$155,0) &amp; ".7"</f>
        <v>0.7</v>
      </c>
      <c r="B162" s="937"/>
      <c r="C162" s="938"/>
      <c r="D162" s="938"/>
      <c r="E162" s="939"/>
      <c r="F162" s="211"/>
      <c r="G162" s="211"/>
      <c r="H162" s="231"/>
      <c r="I162" s="231"/>
      <c r="J162" s="243"/>
      <c r="K162" s="243"/>
      <c r="L162" s="243"/>
      <c r="M162" s="204">
        <f t="shared" si="73"/>
        <v>0</v>
      </c>
      <c r="N162" s="235">
        <f t="shared" si="70"/>
        <v>0</v>
      </c>
      <c r="O162" s="204">
        <f t="shared" si="70"/>
        <v>0</v>
      </c>
      <c r="P162" s="205">
        <f t="shared" si="71"/>
        <v>0</v>
      </c>
      <c r="Q162" s="205">
        <f t="shared" si="72"/>
        <v>0</v>
      </c>
      <c r="R162" s="926"/>
      <c r="S162" s="927"/>
      <c r="T162" s="928"/>
    </row>
    <row r="163" spans="1:20" ht="15" hidden="1" customHeight="1" outlineLevel="1">
      <c r="A163" s="202" t="str">
        <f>TEXT($A$155,0) &amp; ".8"</f>
        <v>0.8</v>
      </c>
      <c r="B163" s="937"/>
      <c r="C163" s="938"/>
      <c r="D163" s="938"/>
      <c r="E163" s="939"/>
      <c r="F163" s="211"/>
      <c r="G163" s="211"/>
      <c r="H163" s="231"/>
      <c r="I163" s="231"/>
      <c r="J163" s="243"/>
      <c r="K163" s="243"/>
      <c r="L163" s="243"/>
      <c r="M163" s="204">
        <f t="shared" si="73"/>
        <v>0</v>
      </c>
      <c r="N163" s="235">
        <f t="shared" si="70"/>
        <v>0</v>
      </c>
      <c r="O163" s="204">
        <f t="shared" si="70"/>
        <v>0</v>
      </c>
      <c r="P163" s="205">
        <f t="shared" si="71"/>
        <v>0</v>
      </c>
      <c r="Q163" s="205">
        <f t="shared" si="72"/>
        <v>0</v>
      </c>
      <c r="R163" s="926"/>
      <c r="S163" s="927"/>
      <c r="T163" s="928"/>
    </row>
    <row r="164" spans="1:20" ht="15" hidden="1" customHeight="1" outlineLevel="1">
      <c r="A164" s="202" t="str">
        <f>TEXT($A$155,0) &amp; ".9"</f>
        <v>0.9</v>
      </c>
      <c r="B164" s="937"/>
      <c r="C164" s="938"/>
      <c r="D164" s="938"/>
      <c r="E164" s="939"/>
      <c r="F164" s="211"/>
      <c r="G164" s="211"/>
      <c r="H164" s="225"/>
      <c r="I164" s="225"/>
      <c r="J164" s="237"/>
      <c r="K164" s="237"/>
      <c r="L164" s="237"/>
      <c r="M164" s="204">
        <f t="shared" si="73"/>
        <v>0</v>
      </c>
      <c r="N164" s="235">
        <f t="shared" si="70"/>
        <v>0</v>
      </c>
      <c r="O164" s="204">
        <f t="shared" si="70"/>
        <v>0</v>
      </c>
      <c r="P164" s="205">
        <f t="shared" si="71"/>
        <v>0</v>
      </c>
      <c r="Q164" s="205">
        <f t="shared" si="72"/>
        <v>0</v>
      </c>
      <c r="R164" s="926"/>
      <c r="S164" s="927"/>
      <c r="T164" s="928"/>
    </row>
    <row r="165" spans="1:20" ht="15" hidden="1" customHeight="1" outlineLevel="1">
      <c r="A165" s="202" t="str">
        <f>TEXT($A$155,0) &amp; ".10"</f>
        <v>0.10</v>
      </c>
      <c r="B165" s="940"/>
      <c r="C165" s="941"/>
      <c r="D165" s="941"/>
      <c r="E165" s="942"/>
      <c r="F165" s="211"/>
      <c r="G165" s="211"/>
      <c r="H165" s="225"/>
      <c r="I165" s="225"/>
      <c r="J165" s="237"/>
      <c r="K165" s="237"/>
      <c r="L165" s="237"/>
      <c r="M165" s="204">
        <f t="shared" si="73"/>
        <v>0</v>
      </c>
      <c r="N165" s="235">
        <f t="shared" ref="N165:O174" si="74">M165</f>
        <v>0</v>
      </c>
      <c r="O165" s="204">
        <f t="shared" si="74"/>
        <v>0</v>
      </c>
      <c r="P165" s="205">
        <f t="shared" si="71"/>
        <v>0</v>
      </c>
      <c r="Q165" s="205">
        <f t="shared" si="72"/>
        <v>0</v>
      </c>
      <c r="R165" s="926"/>
      <c r="S165" s="927"/>
      <c r="T165" s="928"/>
    </row>
    <row r="166" spans="1:20" ht="15" hidden="1" customHeight="1" outlineLevel="1">
      <c r="A166" s="202" t="str">
        <f>TEXT($A$155,0) &amp; ".11"</f>
        <v>0.11</v>
      </c>
      <c r="B166" s="937"/>
      <c r="C166" s="938"/>
      <c r="D166" s="938"/>
      <c r="E166" s="939"/>
      <c r="F166" s="211"/>
      <c r="G166" s="211"/>
      <c r="H166" s="231"/>
      <c r="I166" s="231"/>
      <c r="J166" s="243"/>
      <c r="K166" s="243"/>
      <c r="L166" s="243"/>
      <c r="M166" s="204">
        <f>(J166+K166*4+L166)/6</f>
        <v>0</v>
      </c>
      <c r="N166" s="235">
        <f t="shared" si="74"/>
        <v>0</v>
      </c>
      <c r="O166" s="204">
        <f>N166</f>
        <v>0</v>
      </c>
      <c r="P166" s="205">
        <f t="shared" ref="P166:P175" si="75">IF(H166&lt;&gt;"",INDEX(MDActivityTypeInternalCostPerDay,MATCH(H166,MDActivityTypeID,0),1)*O166,0)</f>
        <v>0</v>
      </c>
      <c r="Q166" s="205">
        <f t="shared" ref="Q166:Q175" si="76">IF(H166&lt;&gt;"",INDEX(MDActivityTypeExternalPricePerDay,MATCH(H166,MDActivityTypeID,0),1)*O166,0)</f>
        <v>0</v>
      </c>
      <c r="R166" s="926"/>
      <c r="S166" s="927"/>
      <c r="T166" s="928"/>
    </row>
    <row r="167" spans="1:20" ht="15" hidden="1" customHeight="1" outlineLevel="1">
      <c r="A167" s="202" t="str">
        <f>TEXT($A$155,0) &amp; ".12"</f>
        <v>0.12</v>
      </c>
      <c r="B167" s="937"/>
      <c r="C167" s="938"/>
      <c r="D167" s="938"/>
      <c r="E167" s="939"/>
      <c r="F167" s="211"/>
      <c r="G167" s="211"/>
      <c r="H167" s="231"/>
      <c r="I167" s="231"/>
      <c r="J167" s="243"/>
      <c r="K167" s="243"/>
      <c r="L167" s="243"/>
      <c r="M167" s="204">
        <f t="shared" ref="M167:M175" si="77">(J167+K167*4+L167)/6</f>
        <v>0</v>
      </c>
      <c r="N167" s="235">
        <f t="shared" si="74"/>
        <v>0</v>
      </c>
      <c r="O167" s="204">
        <f t="shared" ref="O167:O175" si="78">N167</f>
        <v>0</v>
      </c>
      <c r="P167" s="205">
        <f t="shared" si="75"/>
        <v>0</v>
      </c>
      <c r="Q167" s="205">
        <f t="shared" si="76"/>
        <v>0</v>
      </c>
      <c r="R167" s="926"/>
      <c r="S167" s="927"/>
      <c r="T167" s="928"/>
    </row>
    <row r="168" spans="1:20" ht="15" hidden="1" customHeight="1" outlineLevel="1">
      <c r="A168" s="202" t="str">
        <f>TEXT($A$155,0) &amp; ".13"</f>
        <v>0.13</v>
      </c>
      <c r="B168" s="937"/>
      <c r="C168" s="938"/>
      <c r="D168" s="938"/>
      <c r="E168" s="939"/>
      <c r="F168" s="211"/>
      <c r="G168" s="211"/>
      <c r="H168" s="231"/>
      <c r="I168" s="231"/>
      <c r="J168" s="243"/>
      <c r="K168" s="243"/>
      <c r="L168" s="243"/>
      <c r="M168" s="204">
        <f t="shared" si="77"/>
        <v>0</v>
      </c>
      <c r="N168" s="235">
        <f t="shared" si="74"/>
        <v>0</v>
      </c>
      <c r="O168" s="204">
        <f t="shared" si="78"/>
        <v>0</v>
      </c>
      <c r="P168" s="205">
        <f t="shared" si="75"/>
        <v>0</v>
      </c>
      <c r="Q168" s="205">
        <f t="shared" si="76"/>
        <v>0</v>
      </c>
      <c r="R168" s="926"/>
      <c r="S168" s="927"/>
      <c r="T168" s="928"/>
    </row>
    <row r="169" spans="1:20" ht="15" hidden="1" customHeight="1" outlineLevel="1">
      <c r="A169" s="202" t="str">
        <f>TEXT($A$155,0) &amp; ".14"</f>
        <v>0.14</v>
      </c>
      <c r="B169" s="937"/>
      <c r="C169" s="938"/>
      <c r="D169" s="938"/>
      <c r="E169" s="939"/>
      <c r="F169" s="211"/>
      <c r="G169" s="211"/>
      <c r="H169" s="231"/>
      <c r="I169" s="231"/>
      <c r="J169" s="243"/>
      <c r="K169" s="243"/>
      <c r="L169" s="243"/>
      <c r="M169" s="204">
        <f t="shared" si="77"/>
        <v>0</v>
      </c>
      <c r="N169" s="235">
        <f t="shared" si="74"/>
        <v>0</v>
      </c>
      <c r="O169" s="204">
        <f t="shared" si="78"/>
        <v>0</v>
      </c>
      <c r="P169" s="205">
        <f t="shared" si="75"/>
        <v>0</v>
      </c>
      <c r="Q169" s="205">
        <f t="shared" si="76"/>
        <v>0</v>
      </c>
      <c r="R169" s="926"/>
      <c r="S169" s="927"/>
      <c r="T169" s="928"/>
    </row>
    <row r="170" spans="1:20" ht="15" hidden="1" customHeight="1" outlineLevel="1">
      <c r="A170" s="202" t="str">
        <f>TEXT($A$155,0) &amp; ".15"</f>
        <v>0.15</v>
      </c>
      <c r="B170" s="937"/>
      <c r="C170" s="938"/>
      <c r="D170" s="938"/>
      <c r="E170" s="939"/>
      <c r="F170" s="211"/>
      <c r="G170" s="211"/>
      <c r="H170" s="231"/>
      <c r="I170" s="231"/>
      <c r="J170" s="243"/>
      <c r="K170" s="243"/>
      <c r="L170" s="243"/>
      <c r="M170" s="204">
        <f t="shared" si="77"/>
        <v>0</v>
      </c>
      <c r="N170" s="235">
        <f t="shared" si="74"/>
        <v>0</v>
      </c>
      <c r="O170" s="204">
        <f t="shared" si="78"/>
        <v>0</v>
      </c>
      <c r="P170" s="205">
        <f t="shared" si="75"/>
        <v>0</v>
      </c>
      <c r="Q170" s="205">
        <f t="shared" si="76"/>
        <v>0</v>
      </c>
      <c r="R170" s="926"/>
      <c r="S170" s="927"/>
      <c r="T170" s="928"/>
    </row>
    <row r="171" spans="1:20" ht="15" hidden="1" customHeight="1" outlineLevel="1">
      <c r="A171" s="202" t="str">
        <f>TEXT($A$155,0) &amp; ".16"</f>
        <v>0.16</v>
      </c>
      <c r="B171" s="937"/>
      <c r="C171" s="938"/>
      <c r="D171" s="938"/>
      <c r="E171" s="939"/>
      <c r="F171" s="211"/>
      <c r="G171" s="211"/>
      <c r="H171" s="231"/>
      <c r="I171" s="231"/>
      <c r="J171" s="243"/>
      <c r="K171" s="243"/>
      <c r="L171" s="243"/>
      <c r="M171" s="204">
        <f t="shared" si="77"/>
        <v>0</v>
      </c>
      <c r="N171" s="235">
        <f t="shared" si="74"/>
        <v>0</v>
      </c>
      <c r="O171" s="204">
        <f t="shared" si="78"/>
        <v>0</v>
      </c>
      <c r="P171" s="205">
        <f t="shared" si="75"/>
        <v>0</v>
      </c>
      <c r="Q171" s="205">
        <f t="shared" si="76"/>
        <v>0</v>
      </c>
      <c r="R171" s="926"/>
      <c r="S171" s="927"/>
      <c r="T171" s="928"/>
    </row>
    <row r="172" spans="1:20" ht="15" hidden="1" customHeight="1" outlineLevel="1">
      <c r="A172" s="202" t="str">
        <f>TEXT($A$155,0) &amp; ".17"</f>
        <v>0.17</v>
      </c>
      <c r="B172" s="937"/>
      <c r="C172" s="938"/>
      <c r="D172" s="938"/>
      <c r="E172" s="939"/>
      <c r="F172" s="211"/>
      <c r="G172" s="211"/>
      <c r="H172" s="231"/>
      <c r="I172" s="231"/>
      <c r="J172" s="243"/>
      <c r="K172" s="243"/>
      <c r="L172" s="243"/>
      <c r="M172" s="204">
        <f t="shared" si="77"/>
        <v>0</v>
      </c>
      <c r="N172" s="235">
        <f t="shared" si="74"/>
        <v>0</v>
      </c>
      <c r="O172" s="204">
        <f t="shared" si="78"/>
        <v>0</v>
      </c>
      <c r="P172" s="205">
        <f t="shared" si="75"/>
        <v>0</v>
      </c>
      <c r="Q172" s="205">
        <f t="shared" si="76"/>
        <v>0</v>
      </c>
      <c r="R172" s="926"/>
      <c r="S172" s="927"/>
      <c r="T172" s="928"/>
    </row>
    <row r="173" spans="1:20" ht="15" hidden="1" customHeight="1" outlineLevel="1">
      <c r="A173" s="202" t="str">
        <f>TEXT($A$155,0) &amp; ".18"</f>
        <v>0.18</v>
      </c>
      <c r="B173" s="937"/>
      <c r="C173" s="938"/>
      <c r="D173" s="938"/>
      <c r="E173" s="939"/>
      <c r="F173" s="211"/>
      <c r="G173" s="211"/>
      <c r="H173" s="231"/>
      <c r="I173" s="231"/>
      <c r="J173" s="243"/>
      <c r="K173" s="243"/>
      <c r="L173" s="243"/>
      <c r="M173" s="204">
        <f t="shared" si="77"/>
        <v>0</v>
      </c>
      <c r="N173" s="235">
        <f t="shared" si="74"/>
        <v>0</v>
      </c>
      <c r="O173" s="204">
        <f t="shared" si="78"/>
        <v>0</v>
      </c>
      <c r="P173" s="205">
        <f t="shared" si="75"/>
        <v>0</v>
      </c>
      <c r="Q173" s="205">
        <f t="shared" si="76"/>
        <v>0</v>
      </c>
      <c r="R173" s="926"/>
      <c r="S173" s="927"/>
      <c r="T173" s="928"/>
    </row>
    <row r="174" spans="1:20" ht="15" hidden="1" customHeight="1" outlineLevel="1">
      <c r="A174" s="202" t="str">
        <f>TEXT($A$155,0) &amp; ".19"</f>
        <v>0.19</v>
      </c>
      <c r="B174" s="937"/>
      <c r="C174" s="938"/>
      <c r="D174" s="938"/>
      <c r="E174" s="939"/>
      <c r="F174" s="211"/>
      <c r="G174" s="211"/>
      <c r="H174" s="225"/>
      <c r="I174" s="225"/>
      <c r="J174" s="237"/>
      <c r="K174" s="237"/>
      <c r="L174" s="237"/>
      <c r="M174" s="204">
        <f t="shared" si="77"/>
        <v>0</v>
      </c>
      <c r="N174" s="235">
        <f t="shared" si="74"/>
        <v>0</v>
      </c>
      <c r="O174" s="204">
        <f t="shared" si="78"/>
        <v>0</v>
      </c>
      <c r="P174" s="205">
        <f t="shared" si="75"/>
        <v>0</v>
      </c>
      <c r="Q174" s="205">
        <f t="shared" si="76"/>
        <v>0</v>
      </c>
      <c r="R174" s="926"/>
      <c r="S174" s="927"/>
      <c r="T174" s="928"/>
    </row>
    <row r="175" spans="1:20" ht="15" hidden="1" customHeight="1" outlineLevel="1">
      <c r="A175" s="202" t="str">
        <f>TEXT($A$155,0) &amp; ".20"</f>
        <v>0.20</v>
      </c>
      <c r="B175" s="940"/>
      <c r="C175" s="941"/>
      <c r="D175" s="941"/>
      <c r="E175" s="942"/>
      <c r="F175" s="211"/>
      <c r="G175" s="211"/>
      <c r="H175" s="225"/>
      <c r="I175" s="225"/>
      <c r="J175" s="237"/>
      <c r="K175" s="237"/>
      <c r="L175" s="237"/>
      <c r="M175" s="204">
        <f t="shared" si="77"/>
        <v>0</v>
      </c>
      <c r="N175" s="235">
        <f>M175</f>
        <v>0</v>
      </c>
      <c r="O175" s="204">
        <f t="shared" si="78"/>
        <v>0</v>
      </c>
      <c r="P175" s="205">
        <f t="shared" si="75"/>
        <v>0</v>
      </c>
      <c r="Q175" s="205">
        <f t="shared" si="76"/>
        <v>0</v>
      </c>
      <c r="R175" s="926"/>
      <c r="S175" s="927"/>
      <c r="T175" s="928"/>
    </row>
    <row r="176" spans="1:20" ht="15" customHeight="1" collapsed="1">
      <c r="A176" s="267"/>
      <c r="B176" s="1003"/>
      <c r="C176" s="1004"/>
      <c r="D176" s="1004"/>
      <c r="E176" s="1005"/>
      <c r="F176" s="219"/>
      <c r="G176" s="219"/>
      <c r="H176" s="222"/>
      <c r="I176" s="222" t="str">
        <f>IF(COUNTIF(I177:I196,TMDPhaseTimeAndMaterial)&gt;0,TMDPhaseTimeAndMaterial,IF(COUNTIF(I177:I196,TMDPhaseChangeTimeAndMaterial)&gt;0,TMDPhaseChangeTimeAndMaterial,""))</f>
        <v/>
      </c>
      <c r="J176" s="234">
        <f t="shared" ref="J176:Q176" si="79">SUM(J177:J196)</f>
        <v>0</v>
      </c>
      <c r="K176" s="234">
        <f t="shared" si="79"/>
        <v>0</v>
      </c>
      <c r="L176" s="234">
        <f t="shared" si="79"/>
        <v>0</v>
      </c>
      <c r="M176" s="201">
        <f t="shared" si="79"/>
        <v>0</v>
      </c>
      <c r="N176" s="201">
        <f t="shared" si="79"/>
        <v>0</v>
      </c>
      <c r="O176" s="201">
        <f t="shared" si="79"/>
        <v>0</v>
      </c>
      <c r="P176" s="201">
        <f t="shared" si="79"/>
        <v>0</v>
      </c>
      <c r="Q176" s="201">
        <f t="shared" si="79"/>
        <v>0</v>
      </c>
      <c r="R176" s="935"/>
      <c r="S176" s="935"/>
      <c r="T176" s="935"/>
    </row>
    <row r="177" spans="1:20" ht="15" hidden="1" customHeight="1" outlineLevel="1">
      <c r="A177" s="202" t="str">
        <f>TEXT($A$176,0) &amp; ".1"</f>
        <v>0.1</v>
      </c>
      <c r="B177" s="975"/>
      <c r="C177" s="976"/>
      <c r="D177" s="976"/>
      <c r="E177" s="977"/>
      <c r="F177" s="211"/>
      <c r="G177" s="211"/>
      <c r="H177" s="232"/>
      <c r="I177" s="232"/>
      <c r="J177" s="244"/>
      <c r="K177" s="244"/>
      <c r="L177" s="244"/>
      <c r="M177" s="204">
        <f>(J177+K177*4+L177)/6</f>
        <v>0</v>
      </c>
      <c r="N177" s="235">
        <f t="shared" ref="N177:O185" si="80">M177</f>
        <v>0</v>
      </c>
      <c r="O177" s="204">
        <f t="shared" si="80"/>
        <v>0</v>
      </c>
      <c r="P177" s="205">
        <f t="shared" ref="P177:P186" si="81">IF(H177&lt;&gt;"",INDEX(MDActivityTypeInternalCostPerDay,MATCH(H177,MDActivityTypeID,0),1)*O177,0)</f>
        <v>0</v>
      </c>
      <c r="Q177" s="205">
        <f t="shared" ref="Q177:Q186" si="82">IF(H177&lt;&gt;"",INDEX(MDActivityTypeExternalPricePerDay,MATCH(H177,MDActivityTypeID,0),1)*O177,0)</f>
        <v>0</v>
      </c>
      <c r="R177" s="926"/>
      <c r="S177" s="927"/>
      <c r="T177" s="928"/>
    </row>
    <row r="178" spans="1:20" ht="15" hidden="1" customHeight="1" outlineLevel="1">
      <c r="A178" s="202" t="str">
        <f>TEXT($A$176,0) &amp; ".2"</f>
        <v>0.2</v>
      </c>
      <c r="B178" s="975"/>
      <c r="C178" s="976"/>
      <c r="D178" s="976"/>
      <c r="E178" s="977"/>
      <c r="F178" s="211"/>
      <c r="G178" s="211"/>
      <c r="H178" s="232"/>
      <c r="I178" s="232"/>
      <c r="J178" s="244"/>
      <c r="K178" s="244"/>
      <c r="L178" s="244"/>
      <c r="M178" s="204">
        <f t="shared" ref="M178:M186" si="83">(J178+K178*4+L178)/6</f>
        <v>0</v>
      </c>
      <c r="N178" s="235">
        <f t="shared" si="80"/>
        <v>0</v>
      </c>
      <c r="O178" s="204">
        <f t="shared" si="80"/>
        <v>0</v>
      </c>
      <c r="P178" s="205">
        <f t="shared" si="81"/>
        <v>0</v>
      </c>
      <c r="Q178" s="205">
        <f t="shared" si="82"/>
        <v>0</v>
      </c>
      <c r="R178" s="926"/>
      <c r="S178" s="927"/>
      <c r="T178" s="928"/>
    </row>
    <row r="179" spans="1:20" ht="15" hidden="1" customHeight="1" outlineLevel="1">
      <c r="A179" s="202" t="str">
        <f>TEXT($A$176,0) &amp; ".3"</f>
        <v>0.3</v>
      </c>
      <c r="B179" s="975"/>
      <c r="C179" s="976"/>
      <c r="D179" s="976"/>
      <c r="E179" s="977"/>
      <c r="F179" s="211"/>
      <c r="G179" s="211"/>
      <c r="H179" s="232"/>
      <c r="I179" s="232"/>
      <c r="J179" s="244"/>
      <c r="K179" s="244"/>
      <c r="L179" s="244"/>
      <c r="M179" s="204">
        <f t="shared" si="83"/>
        <v>0</v>
      </c>
      <c r="N179" s="235">
        <f t="shared" si="80"/>
        <v>0</v>
      </c>
      <c r="O179" s="204">
        <f t="shared" si="80"/>
        <v>0</v>
      </c>
      <c r="P179" s="205">
        <f t="shared" si="81"/>
        <v>0</v>
      </c>
      <c r="Q179" s="205">
        <f t="shared" si="82"/>
        <v>0</v>
      </c>
      <c r="R179" s="926"/>
      <c r="S179" s="927"/>
      <c r="T179" s="928"/>
    </row>
    <row r="180" spans="1:20" ht="15" hidden="1" customHeight="1" outlineLevel="1">
      <c r="A180" s="202" t="str">
        <f>TEXT($A$176,0) &amp; ".4"</f>
        <v>0.4</v>
      </c>
      <c r="B180" s="975"/>
      <c r="C180" s="976"/>
      <c r="D180" s="976"/>
      <c r="E180" s="977"/>
      <c r="F180" s="211"/>
      <c r="G180" s="211"/>
      <c r="H180" s="232"/>
      <c r="I180" s="232"/>
      <c r="J180" s="244"/>
      <c r="K180" s="244"/>
      <c r="L180" s="244"/>
      <c r="M180" s="204">
        <f t="shared" si="83"/>
        <v>0</v>
      </c>
      <c r="N180" s="235">
        <f t="shared" si="80"/>
        <v>0</v>
      </c>
      <c r="O180" s="204">
        <f t="shared" si="80"/>
        <v>0</v>
      </c>
      <c r="P180" s="205">
        <f t="shared" si="81"/>
        <v>0</v>
      </c>
      <c r="Q180" s="205">
        <f t="shared" si="82"/>
        <v>0</v>
      </c>
      <c r="R180" s="926"/>
      <c r="S180" s="927"/>
      <c r="T180" s="928"/>
    </row>
    <row r="181" spans="1:20" ht="15" hidden="1" customHeight="1" outlineLevel="1">
      <c r="A181" s="202" t="str">
        <f>TEXT($A$176,0) &amp; ".5"</f>
        <v>0.5</v>
      </c>
      <c r="B181" s="940"/>
      <c r="C181" s="941"/>
      <c r="D181" s="941"/>
      <c r="E181" s="942"/>
      <c r="F181" s="211"/>
      <c r="G181" s="211"/>
      <c r="H181" s="225"/>
      <c r="I181" s="225"/>
      <c r="J181" s="237"/>
      <c r="K181" s="237"/>
      <c r="L181" s="237"/>
      <c r="M181" s="204">
        <f t="shared" si="83"/>
        <v>0</v>
      </c>
      <c r="N181" s="235">
        <f t="shared" si="80"/>
        <v>0</v>
      </c>
      <c r="O181" s="204">
        <f t="shared" si="80"/>
        <v>0</v>
      </c>
      <c r="P181" s="205">
        <f t="shared" si="81"/>
        <v>0</v>
      </c>
      <c r="Q181" s="205">
        <f t="shared" si="82"/>
        <v>0</v>
      </c>
      <c r="R181" s="926"/>
      <c r="S181" s="927"/>
      <c r="T181" s="928"/>
    </row>
    <row r="182" spans="1:20" ht="15" hidden="1" customHeight="1" outlineLevel="1">
      <c r="A182" s="202" t="str">
        <f>TEXT($A$176,0) &amp; ".6"</f>
        <v>0.6</v>
      </c>
      <c r="B182" s="923"/>
      <c r="C182" s="924"/>
      <c r="D182" s="924"/>
      <c r="E182" s="925"/>
      <c r="F182" s="211"/>
      <c r="G182" s="211"/>
      <c r="H182" s="225"/>
      <c r="I182" s="225"/>
      <c r="J182" s="237"/>
      <c r="K182" s="237"/>
      <c r="L182" s="237"/>
      <c r="M182" s="204">
        <f t="shared" si="83"/>
        <v>0</v>
      </c>
      <c r="N182" s="235">
        <f t="shared" si="80"/>
        <v>0</v>
      </c>
      <c r="O182" s="204">
        <f t="shared" si="80"/>
        <v>0</v>
      </c>
      <c r="P182" s="205">
        <f t="shared" si="81"/>
        <v>0</v>
      </c>
      <c r="Q182" s="205">
        <f t="shared" si="82"/>
        <v>0</v>
      </c>
      <c r="R182" s="926"/>
      <c r="S182" s="927"/>
      <c r="T182" s="928"/>
    </row>
    <row r="183" spans="1:20" ht="15" hidden="1" customHeight="1" outlineLevel="1">
      <c r="A183" s="202" t="str">
        <f>TEXT($A$176,0) &amp; ".7"</f>
        <v>0.7</v>
      </c>
      <c r="B183" s="923"/>
      <c r="C183" s="924"/>
      <c r="D183" s="924"/>
      <c r="E183" s="925"/>
      <c r="F183" s="211"/>
      <c r="G183" s="211"/>
      <c r="H183" s="225"/>
      <c r="I183" s="225"/>
      <c r="J183" s="237"/>
      <c r="K183" s="237"/>
      <c r="L183" s="237"/>
      <c r="M183" s="204">
        <f t="shared" si="83"/>
        <v>0</v>
      </c>
      <c r="N183" s="235">
        <f t="shared" si="80"/>
        <v>0</v>
      </c>
      <c r="O183" s="204">
        <f t="shared" si="80"/>
        <v>0</v>
      </c>
      <c r="P183" s="205">
        <f t="shared" si="81"/>
        <v>0</v>
      </c>
      <c r="Q183" s="205">
        <f t="shared" si="82"/>
        <v>0</v>
      </c>
      <c r="R183" s="926"/>
      <c r="S183" s="927"/>
      <c r="T183" s="928"/>
    </row>
    <row r="184" spans="1:20" ht="15" hidden="1" customHeight="1" outlineLevel="1">
      <c r="A184" s="202" t="str">
        <f>TEXT($A$176,0) &amp; ".8"</f>
        <v>0.8</v>
      </c>
      <c r="B184" s="923"/>
      <c r="C184" s="924"/>
      <c r="D184" s="924"/>
      <c r="E184" s="925"/>
      <c r="F184" s="211"/>
      <c r="G184" s="211"/>
      <c r="H184" s="225"/>
      <c r="I184" s="225"/>
      <c r="J184" s="237"/>
      <c r="K184" s="237"/>
      <c r="L184" s="237"/>
      <c r="M184" s="204">
        <f t="shared" si="83"/>
        <v>0</v>
      </c>
      <c r="N184" s="235">
        <f t="shared" si="80"/>
        <v>0</v>
      </c>
      <c r="O184" s="204">
        <f t="shared" si="80"/>
        <v>0</v>
      </c>
      <c r="P184" s="205">
        <f t="shared" si="81"/>
        <v>0</v>
      </c>
      <c r="Q184" s="205">
        <f t="shared" si="82"/>
        <v>0</v>
      </c>
      <c r="R184" s="926"/>
      <c r="S184" s="927"/>
      <c r="T184" s="928"/>
    </row>
    <row r="185" spans="1:20" ht="15" hidden="1" customHeight="1" outlineLevel="1">
      <c r="A185" s="202" t="str">
        <f>TEXT($A$176,0) &amp; ".9"</f>
        <v>0.9</v>
      </c>
      <c r="B185" s="923"/>
      <c r="C185" s="924"/>
      <c r="D185" s="924"/>
      <c r="E185" s="925"/>
      <c r="F185" s="211"/>
      <c r="G185" s="211"/>
      <c r="H185" s="225"/>
      <c r="I185" s="225"/>
      <c r="J185" s="237"/>
      <c r="K185" s="237"/>
      <c r="L185" s="237"/>
      <c r="M185" s="204">
        <f t="shared" si="83"/>
        <v>0</v>
      </c>
      <c r="N185" s="235">
        <f t="shared" si="80"/>
        <v>0</v>
      </c>
      <c r="O185" s="204">
        <f t="shared" si="80"/>
        <v>0</v>
      </c>
      <c r="P185" s="205">
        <f t="shared" si="81"/>
        <v>0</v>
      </c>
      <c r="Q185" s="205">
        <f t="shared" si="82"/>
        <v>0</v>
      </c>
      <c r="R185" s="926"/>
      <c r="S185" s="927"/>
      <c r="T185" s="928"/>
    </row>
    <row r="186" spans="1:20" ht="15" hidden="1" customHeight="1" outlineLevel="1">
      <c r="A186" s="202" t="str">
        <f>TEXT($A$176,0) &amp; ".10"</f>
        <v>0.10</v>
      </c>
      <c r="B186" s="923"/>
      <c r="C186" s="924"/>
      <c r="D186" s="924"/>
      <c r="E186" s="925"/>
      <c r="F186" s="211"/>
      <c r="G186" s="211"/>
      <c r="H186" s="225"/>
      <c r="I186" s="225"/>
      <c r="J186" s="237"/>
      <c r="K186" s="237"/>
      <c r="L186" s="237"/>
      <c r="M186" s="204">
        <f t="shared" si="83"/>
        <v>0</v>
      </c>
      <c r="N186" s="235">
        <f t="shared" ref="N186:O195" si="84">M186</f>
        <v>0</v>
      </c>
      <c r="O186" s="204">
        <f t="shared" si="84"/>
        <v>0</v>
      </c>
      <c r="P186" s="205">
        <f t="shared" si="81"/>
        <v>0</v>
      </c>
      <c r="Q186" s="205">
        <f t="shared" si="82"/>
        <v>0</v>
      </c>
      <c r="R186" s="926"/>
      <c r="S186" s="927"/>
      <c r="T186" s="928"/>
    </row>
    <row r="187" spans="1:20" ht="15" hidden="1" customHeight="1" outlineLevel="1">
      <c r="A187" s="202" t="str">
        <f>TEXT($A$176,0) &amp; ".11"</f>
        <v>0.11</v>
      </c>
      <c r="B187" s="975"/>
      <c r="C187" s="976"/>
      <c r="D187" s="976"/>
      <c r="E187" s="977"/>
      <c r="F187" s="211"/>
      <c r="G187" s="211"/>
      <c r="H187" s="232"/>
      <c r="I187" s="232"/>
      <c r="J187" s="244"/>
      <c r="K187" s="244"/>
      <c r="L187" s="244"/>
      <c r="M187" s="204">
        <f>(J187+K187*4+L187)/6</f>
        <v>0</v>
      </c>
      <c r="N187" s="235">
        <f t="shared" si="84"/>
        <v>0</v>
      </c>
      <c r="O187" s="204">
        <f>N187</f>
        <v>0</v>
      </c>
      <c r="P187" s="205">
        <f t="shared" ref="P187:P196" si="85">IF(H187&lt;&gt;"",INDEX(MDActivityTypeInternalCostPerDay,MATCH(H187,MDActivityTypeID,0),1)*O187,0)</f>
        <v>0</v>
      </c>
      <c r="Q187" s="205">
        <f t="shared" ref="Q187:Q196" si="86">IF(H187&lt;&gt;"",INDEX(MDActivityTypeExternalPricePerDay,MATCH(H187,MDActivityTypeID,0),1)*O187,0)</f>
        <v>0</v>
      </c>
      <c r="R187" s="926"/>
      <c r="S187" s="927"/>
      <c r="T187" s="928"/>
    </row>
    <row r="188" spans="1:20" ht="15" hidden="1" customHeight="1" outlineLevel="1">
      <c r="A188" s="202" t="str">
        <f>TEXT($A$176,0) &amp; ".12"</f>
        <v>0.12</v>
      </c>
      <c r="B188" s="975"/>
      <c r="C188" s="976"/>
      <c r="D188" s="976"/>
      <c r="E188" s="977"/>
      <c r="F188" s="211"/>
      <c r="G188" s="211"/>
      <c r="H188" s="232"/>
      <c r="I188" s="232"/>
      <c r="J188" s="244"/>
      <c r="K188" s="244"/>
      <c r="L188" s="244"/>
      <c r="M188" s="204">
        <f t="shared" ref="M188:M196" si="87">(J188+K188*4+L188)/6</f>
        <v>0</v>
      </c>
      <c r="N188" s="235">
        <f t="shared" si="84"/>
        <v>0</v>
      </c>
      <c r="O188" s="204">
        <f t="shared" ref="O188:O196" si="88">N188</f>
        <v>0</v>
      </c>
      <c r="P188" s="205">
        <f t="shared" si="85"/>
        <v>0</v>
      </c>
      <c r="Q188" s="205">
        <f t="shared" si="86"/>
        <v>0</v>
      </c>
      <c r="R188" s="926"/>
      <c r="S188" s="927"/>
      <c r="T188" s="928"/>
    </row>
    <row r="189" spans="1:20" ht="15" hidden="1" customHeight="1" outlineLevel="1">
      <c r="A189" s="202" t="str">
        <f>TEXT($A$176,0) &amp; ".13"</f>
        <v>0.13</v>
      </c>
      <c r="B189" s="975"/>
      <c r="C189" s="976"/>
      <c r="D189" s="976"/>
      <c r="E189" s="977"/>
      <c r="F189" s="211"/>
      <c r="G189" s="211"/>
      <c r="H189" s="232"/>
      <c r="I189" s="232"/>
      <c r="J189" s="244"/>
      <c r="K189" s="244"/>
      <c r="L189" s="244"/>
      <c r="M189" s="204">
        <f t="shared" si="87"/>
        <v>0</v>
      </c>
      <c r="N189" s="235">
        <f t="shared" si="84"/>
        <v>0</v>
      </c>
      <c r="O189" s="204">
        <f t="shared" si="88"/>
        <v>0</v>
      </c>
      <c r="P189" s="205">
        <f t="shared" si="85"/>
        <v>0</v>
      </c>
      <c r="Q189" s="205">
        <f t="shared" si="86"/>
        <v>0</v>
      </c>
      <c r="R189" s="926"/>
      <c r="S189" s="927"/>
      <c r="T189" s="928"/>
    </row>
    <row r="190" spans="1:20" ht="15" hidden="1" customHeight="1" outlineLevel="1">
      <c r="A190" s="202" t="str">
        <f>TEXT($A$176,0) &amp; ".14"</f>
        <v>0.14</v>
      </c>
      <c r="B190" s="975"/>
      <c r="C190" s="976"/>
      <c r="D190" s="976"/>
      <c r="E190" s="977"/>
      <c r="F190" s="211"/>
      <c r="G190" s="211"/>
      <c r="H190" s="232"/>
      <c r="I190" s="232"/>
      <c r="J190" s="244"/>
      <c r="K190" s="244"/>
      <c r="L190" s="244"/>
      <c r="M190" s="204">
        <f t="shared" si="87"/>
        <v>0</v>
      </c>
      <c r="N190" s="235">
        <f t="shared" si="84"/>
        <v>0</v>
      </c>
      <c r="O190" s="204">
        <f t="shared" si="88"/>
        <v>0</v>
      </c>
      <c r="P190" s="205">
        <f t="shared" si="85"/>
        <v>0</v>
      </c>
      <c r="Q190" s="205">
        <f t="shared" si="86"/>
        <v>0</v>
      </c>
      <c r="R190" s="926"/>
      <c r="S190" s="927"/>
      <c r="T190" s="928"/>
    </row>
    <row r="191" spans="1:20" ht="15" hidden="1" customHeight="1" outlineLevel="1">
      <c r="A191" s="202" t="str">
        <f>TEXT($A$176,0) &amp; ".15"</f>
        <v>0.15</v>
      </c>
      <c r="B191" s="940"/>
      <c r="C191" s="941"/>
      <c r="D191" s="941"/>
      <c r="E191" s="942"/>
      <c r="F191" s="211"/>
      <c r="G191" s="211"/>
      <c r="H191" s="225"/>
      <c r="I191" s="225"/>
      <c r="J191" s="237"/>
      <c r="K191" s="237"/>
      <c r="L191" s="237"/>
      <c r="M191" s="204">
        <f t="shared" si="87"/>
        <v>0</v>
      </c>
      <c r="N191" s="235">
        <f t="shared" si="84"/>
        <v>0</v>
      </c>
      <c r="O191" s="204">
        <f t="shared" si="88"/>
        <v>0</v>
      </c>
      <c r="P191" s="205">
        <f t="shared" si="85"/>
        <v>0</v>
      </c>
      <c r="Q191" s="205">
        <f t="shared" si="86"/>
        <v>0</v>
      </c>
      <c r="R191" s="926"/>
      <c r="S191" s="927"/>
      <c r="T191" s="928"/>
    </row>
    <row r="192" spans="1:20" ht="15" hidden="1" customHeight="1" outlineLevel="1">
      <c r="A192" s="202" t="str">
        <f>TEXT($A$176,0) &amp; ".16"</f>
        <v>0.16</v>
      </c>
      <c r="B192" s="923"/>
      <c r="C192" s="924"/>
      <c r="D192" s="924"/>
      <c r="E192" s="925"/>
      <c r="F192" s="211"/>
      <c r="G192" s="211"/>
      <c r="H192" s="225"/>
      <c r="I192" s="225"/>
      <c r="J192" s="237"/>
      <c r="K192" s="237"/>
      <c r="L192" s="237"/>
      <c r="M192" s="204">
        <f t="shared" si="87"/>
        <v>0</v>
      </c>
      <c r="N192" s="235">
        <f t="shared" si="84"/>
        <v>0</v>
      </c>
      <c r="O192" s="204">
        <f t="shared" si="88"/>
        <v>0</v>
      </c>
      <c r="P192" s="205">
        <f t="shared" si="85"/>
        <v>0</v>
      </c>
      <c r="Q192" s="205">
        <f t="shared" si="86"/>
        <v>0</v>
      </c>
      <c r="R192" s="926"/>
      <c r="S192" s="927"/>
      <c r="T192" s="928"/>
    </row>
    <row r="193" spans="1:20" ht="15" hidden="1" customHeight="1" outlineLevel="1">
      <c r="A193" s="202" t="str">
        <f>TEXT($A$176,0) &amp; ".17"</f>
        <v>0.17</v>
      </c>
      <c r="B193" s="923"/>
      <c r="C193" s="924"/>
      <c r="D193" s="924"/>
      <c r="E193" s="925"/>
      <c r="F193" s="211"/>
      <c r="G193" s="211"/>
      <c r="H193" s="225"/>
      <c r="I193" s="225"/>
      <c r="J193" s="237"/>
      <c r="K193" s="237"/>
      <c r="L193" s="237"/>
      <c r="M193" s="204">
        <f t="shared" si="87"/>
        <v>0</v>
      </c>
      <c r="N193" s="235">
        <f t="shared" si="84"/>
        <v>0</v>
      </c>
      <c r="O193" s="204">
        <f t="shared" si="88"/>
        <v>0</v>
      </c>
      <c r="P193" s="205">
        <f t="shared" si="85"/>
        <v>0</v>
      </c>
      <c r="Q193" s="205">
        <f t="shared" si="86"/>
        <v>0</v>
      </c>
      <c r="R193" s="926"/>
      <c r="S193" s="927"/>
      <c r="T193" s="928"/>
    </row>
    <row r="194" spans="1:20" ht="15" hidden="1" customHeight="1" outlineLevel="1">
      <c r="A194" s="202" t="str">
        <f>TEXT($A$176,0) &amp; ".18"</f>
        <v>0.18</v>
      </c>
      <c r="B194" s="923"/>
      <c r="C194" s="924"/>
      <c r="D194" s="924"/>
      <c r="E194" s="925"/>
      <c r="F194" s="211"/>
      <c r="G194" s="211"/>
      <c r="H194" s="225"/>
      <c r="I194" s="225"/>
      <c r="J194" s="237"/>
      <c r="K194" s="237"/>
      <c r="L194" s="237"/>
      <c r="M194" s="204">
        <f t="shared" si="87"/>
        <v>0</v>
      </c>
      <c r="N194" s="235">
        <f t="shared" si="84"/>
        <v>0</v>
      </c>
      <c r="O194" s="204">
        <f t="shared" si="88"/>
        <v>0</v>
      </c>
      <c r="P194" s="205">
        <f t="shared" si="85"/>
        <v>0</v>
      </c>
      <c r="Q194" s="205">
        <f t="shared" si="86"/>
        <v>0</v>
      </c>
      <c r="R194" s="926"/>
      <c r="S194" s="927"/>
      <c r="T194" s="928"/>
    </row>
    <row r="195" spans="1:20" ht="15" hidden="1" customHeight="1" outlineLevel="1">
      <c r="A195" s="202" t="str">
        <f>TEXT($A$176,0) &amp; ".19"</f>
        <v>0.19</v>
      </c>
      <c r="B195" s="923"/>
      <c r="C195" s="924"/>
      <c r="D195" s="924"/>
      <c r="E195" s="925"/>
      <c r="F195" s="211"/>
      <c r="G195" s="211"/>
      <c r="H195" s="225"/>
      <c r="I195" s="225"/>
      <c r="J195" s="237"/>
      <c r="K195" s="237"/>
      <c r="L195" s="237"/>
      <c r="M195" s="204">
        <f t="shared" si="87"/>
        <v>0</v>
      </c>
      <c r="N195" s="235">
        <f t="shared" si="84"/>
        <v>0</v>
      </c>
      <c r="O195" s="204">
        <f t="shared" si="88"/>
        <v>0</v>
      </c>
      <c r="P195" s="205">
        <f t="shared" si="85"/>
        <v>0</v>
      </c>
      <c r="Q195" s="205">
        <f t="shared" si="86"/>
        <v>0</v>
      </c>
      <c r="R195" s="926"/>
      <c r="S195" s="927"/>
      <c r="T195" s="928"/>
    </row>
    <row r="196" spans="1:20" ht="15" hidden="1" customHeight="1" outlineLevel="1">
      <c r="A196" s="202" t="str">
        <f>TEXT($A$176,0) &amp; ".20"</f>
        <v>0.20</v>
      </c>
      <c r="B196" s="923"/>
      <c r="C196" s="924"/>
      <c r="D196" s="924"/>
      <c r="E196" s="925"/>
      <c r="F196" s="211"/>
      <c r="G196" s="211"/>
      <c r="H196" s="225"/>
      <c r="I196" s="225"/>
      <c r="J196" s="237"/>
      <c r="K196" s="237"/>
      <c r="L196" s="237"/>
      <c r="M196" s="204">
        <f t="shared" si="87"/>
        <v>0</v>
      </c>
      <c r="N196" s="235">
        <f>M196</f>
        <v>0</v>
      </c>
      <c r="O196" s="204">
        <f t="shared" si="88"/>
        <v>0</v>
      </c>
      <c r="P196" s="205">
        <f t="shared" si="85"/>
        <v>0</v>
      </c>
      <c r="Q196" s="205">
        <f t="shared" si="86"/>
        <v>0</v>
      </c>
      <c r="R196" s="926"/>
      <c r="S196" s="927"/>
      <c r="T196" s="928"/>
    </row>
    <row r="197" spans="1:20" ht="15" customHeight="1" collapsed="1">
      <c r="A197" s="267"/>
      <c r="B197" s="932"/>
      <c r="C197" s="933"/>
      <c r="D197" s="933"/>
      <c r="E197" s="934"/>
      <c r="F197" s="220"/>
      <c r="G197" s="220"/>
      <c r="H197" s="222"/>
      <c r="I197" s="222" t="str">
        <f>IF(COUNTIF(I198:I217,TMDPhaseTimeAndMaterial)&gt;0,TMDPhaseTimeAndMaterial,IF(COUNTIF(I198:I217,TMDPhaseChangeTimeAndMaterial)&gt;0,TMDPhaseChangeTimeAndMaterial,""))</f>
        <v/>
      </c>
      <c r="J197" s="234">
        <f t="shared" ref="J197:Q197" si="89">SUM(J198:J217)</f>
        <v>0</v>
      </c>
      <c r="K197" s="234">
        <f t="shared" si="89"/>
        <v>0</v>
      </c>
      <c r="L197" s="234">
        <f t="shared" si="89"/>
        <v>0</v>
      </c>
      <c r="M197" s="201">
        <f t="shared" si="89"/>
        <v>0</v>
      </c>
      <c r="N197" s="201">
        <f t="shared" si="89"/>
        <v>0</v>
      </c>
      <c r="O197" s="201">
        <f t="shared" si="89"/>
        <v>0</v>
      </c>
      <c r="P197" s="201">
        <f t="shared" si="89"/>
        <v>0</v>
      </c>
      <c r="Q197" s="201">
        <f t="shared" si="89"/>
        <v>0</v>
      </c>
      <c r="R197" s="935"/>
      <c r="S197" s="935"/>
      <c r="T197" s="935"/>
    </row>
    <row r="198" spans="1:20" ht="15" hidden="1" customHeight="1" outlineLevel="1">
      <c r="A198" s="202" t="str">
        <f>TEXT($A$197,0) &amp; ".1"</f>
        <v>0.1</v>
      </c>
      <c r="B198" s="923"/>
      <c r="C198" s="924"/>
      <c r="D198" s="924"/>
      <c r="E198" s="925"/>
      <c r="F198" s="211"/>
      <c r="G198" s="211"/>
      <c r="H198" s="225"/>
      <c r="I198" s="225"/>
      <c r="J198" s="237"/>
      <c r="K198" s="237"/>
      <c r="L198" s="237"/>
      <c r="M198" s="204">
        <f>(J198+K198*4+L198)/6</f>
        <v>0</v>
      </c>
      <c r="N198" s="235">
        <f t="shared" ref="N198:O206" si="90">M198</f>
        <v>0</v>
      </c>
      <c r="O198" s="204">
        <f t="shared" si="90"/>
        <v>0</v>
      </c>
      <c r="P198" s="205">
        <f t="shared" ref="P198:P207" si="91">IF(H198&lt;&gt;"",INDEX(MDActivityTypeInternalCostPerDay,MATCH(H198,MDActivityTypeID,0),1)*O198,0)</f>
        <v>0</v>
      </c>
      <c r="Q198" s="205">
        <f t="shared" ref="Q198:Q207" si="92">IF(H198&lt;&gt;"",INDEX(MDActivityTypeExternalPricePerDay,MATCH(H198,MDActivityTypeID,0),1)*O198,0)</f>
        <v>0</v>
      </c>
      <c r="R198" s="926"/>
      <c r="S198" s="927"/>
      <c r="T198" s="928"/>
    </row>
    <row r="199" spans="1:20" ht="15" hidden="1" customHeight="1" outlineLevel="1">
      <c r="A199" s="202" t="str">
        <f>TEXT($A$197,0) &amp; ".2"</f>
        <v>0.2</v>
      </c>
      <c r="B199" s="923"/>
      <c r="C199" s="924"/>
      <c r="D199" s="924"/>
      <c r="E199" s="925"/>
      <c r="F199" s="211"/>
      <c r="G199" s="211"/>
      <c r="H199" s="225"/>
      <c r="I199" s="225"/>
      <c r="J199" s="237"/>
      <c r="K199" s="237"/>
      <c r="L199" s="237"/>
      <c r="M199" s="204">
        <f t="shared" ref="M199:M207" si="93">(J199+K199*4+L199)/6</f>
        <v>0</v>
      </c>
      <c r="N199" s="235">
        <f t="shared" si="90"/>
        <v>0</v>
      </c>
      <c r="O199" s="204">
        <f t="shared" si="90"/>
        <v>0</v>
      </c>
      <c r="P199" s="205">
        <f t="shared" si="91"/>
        <v>0</v>
      </c>
      <c r="Q199" s="205">
        <f t="shared" si="92"/>
        <v>0</v>
      </c>
      <c r="R199" s="926"/>
      <c r="S199" s="927"/>
      <c r="T199" s="928"/>
    </row>
    <row r="200" spans="1:20" ht="15" hidden="1" customHeight="1" outlineLevel="1">
      <c r="A200" s="202" t="str">
        <f>TEXT($A$197,0) &amp; ".3"</f>
        <v>0.3</v>
      </c>
      <c r="B200" s="923"/>
      <c r="C200" s="924"/>
      <c r="D200" s="924"/>
      <c r="E200" s="925"/>
      <c r="F200" s="211"/>
      <c r="G200" s="211"/>
      <c r="H200" s="225"/>
      <c r="I200" s="225"/>
      <c r="J200" s="237"/>
      <c r="K200" s="237"/>
      <c r="L200" s="237"/>
      <c r="M200" s="204">
        <f t="shared" si="93"/>
        <v>0</v>
      </c>
      <c r="N200" s="235">
        <f t="shared" si="90"/>
        <v>0</v>
      </c>
      <c r="O200" s="204">
        <f t="shared" si="90"/>
        <v>0</v>
      </c>
      <c r="P200" s="205">
        <f t="shared" si="91"/>
        <v>0</v>
      </c>
      <c r="Q200" s="205">
        <f t="shared" si="92"/>
        <v>0</v>
      </c>
      <c r="R200" s="926"/>
      <c r="S200" s="927"/>
      <c r="T200" s="928"/>
    </row>
    <row r="201" spans="1:20" ht="15" hidden="1" customHeight="1" outlineLevel="1">
      <c r="A201" s="202" t="str">
        <f>TEXT($A$197,0) &amp; ".4"</f>
        <v>0.4</v>
      </c>
      <c r="B201" s="923"/>
      <c r="C201" s="924"/>
      <c r="D201" s="924"/>
      <c r="E201" s="925"/>
      <c r="F201" s="211"/>
      <c r="G201" s="211"/>
      <c r="H201" s="225"/>
      <c r="I201" s="225"/>
      <c r="J201" s="237"/>
      <c r="K201" s="237"/>
      <c r="L201" s="237"/>
      <c r="M201" s="204">
        <f t="shared" si="93"/>
        <v>0</v>
      </c>
      <c r="N201" s="235">
        <f t="shared" si="90"/>
        <v>0</v>
      </c>
      <c r="O201" s="204">
        <f t="shared" si="90"/>
        <v>0</v>
      </c>
      <c r="P201" s="205">
        <f t="shared" si="91"/>
        <v>0</v>
      </c>
      <c r="Q201" s="205">
        <f t="shared" si="92"/>
        <v>0</v>
      </c>
      <c r="R201" s="926"/>
      <c r="S201" s="927"/>
      <c r="T201" s="928"/>
    </row>
    <row r="202" spans="1:20" ht="15" hidden="1" customHeight="1" outlineLevel="1">
      <c r="A202" s="202" t="str">
        <f>TEXT($A$197,0) &amp; ".5"</f>
        <v>0.5</v>
      </c>
      <c r="B202" s="923"/>
      <c r="C202" s="924"/>
      <c r="D202" s="924"/>
      <c r="E202" s="925"/>
      <c r="F202" s="211"/>
      <c r="G202" s="211"/>
      <c r="H202" s="225"/>
      <c r="I202" s="225"/>
      <c r="J202" s="237"/>
      <c r="K202" s="237"/>
      <c r="L202" s="237"/>
      <c r="M202" s="204">
        <f t="shared" si="93"/>
        <v>0</v>
      </c>
      <c r="N202" s="235">
        <f t="shared" si="90"/>
        <v>0</v>
      </c>
      <c r="O202" s="204">
        <f t="shared" si="90"/>
        <v>0</v>
      </c>
      <c r="P202" s="205">
        <f t="shared" si="91"/>
        <v>0</v>
      </c>
      <c r="Q202" s="205">
        <f t="shared" si="92"/>
        <v>0</v>
      </c>
      <c r="R202" s="926"/>
      <c r="S202" s="927"/>
      <c r="T202" s="928"/>
    </row>
    <row r="203" spans="1:20" ht="15" hidden="1" customHeight="1" outlineLevel="1">
      <c r="A203" s="202" t="str">
        <f>TEXT($A$197,0) &amp; ".6"</f>
        <v>0.6</v>
      </c>
      <c r="B203" s="923"/>
      <c r="C203" s="924"/>
      <c r="D203" s="924"/>
      <c r="E203" s="925"/>
      <c r="F203" s="211"/>
      <c r="G203" s="211"/>
      <c r="H203" s="225"/>
      <c r="I203" s="225"/>
      <c r="J203" s="237"/>
      <c r="K203" s="237"/>
      <c r="L203" s="237"/>
      <c r="M203" s="204">
        <f t="shared" si="93"/>
        <v>0</v>
      </c>
      <c r="N203" s="235">
        <f t="shared" si="90"/>
        <v>0</v>
      </c>
      <c r="O203" s="204">
        <f t="shared" si="90"/>
        <v>0</v>
      </c>
      <c r="P203" s="205">
        <f t="shared" si="91"/>
        <v>0</v>
      </c>
      <c r="Q203" s="205">
        <f t="shared" si="92"/>
        <v>0</v>
      </c>
      <c r="R203" s="926"/>
      <c r="S203" s="927"/>
      <c r="T203" s="928"/>
    </row>
    <row r="204" spans="1:20" ht="15" hidden="1" customHeight="1" outlineLevel="1">
      <c r="A204" s="202" t="str">
        <f>TEXT($A$197,0) &amp; ".7"</f>
        <v>0.7</v>
      </c>
      <c r="B204" s="923"/>
      <c r="C204" s="924"/>
      <c r="D204" s="924"/>
      <c r="E204" s="925"/>
      <c r="F204" s="211"/>
      <c r="G204" s="211"/>
      <c r="H204" s="225"/>
      <c r="I204" s="225"/>
      <c r="J204" s="237"/>
      <c r="K204" s="237"/>
      <c r="L204" s="237"/>
      <c r="M204" s="204">
        <f t="shared" si="93"/>
        <v>0</v>
      </c>
      <c r="N204" s="235">
        <f t="shared" si="90"/>
        <v>0</v>
      </c>
      <c r="O204" s="204">
        <f t="shared" si="90"/>
        <v>0</v>
      </c>
      <c r="P204" s="205">
        <f t="shared" si="91"/>
        <v>0</v>
      </c>
      <c r="Q204" s="205">
        <f t="shared" si="92"/>
        <v>0</v>
      </c>
      <c r="R204" s="926"/>
      <c r="S204" s="927"/>
      <c r="T204" s="928"/>
    </row>
    <row r="205" spans="1:20" ht="15" hidden="1" customHeight="1" outlineLevel="1">
      <c r="A205" s="202" t="str">
        <f>TEXT($A$197,0) &amp; ".8"</f>
        <v>0.8</v>
      </c>
      <c r="B205" s="923"/>
      <c r="C205" s="924"/>
      <c r="D205" s="924"/>
      <c r="E205" s="925"/>
      <c r="F205" s="211"/>
      <c r="G205" s="211"/>
      <c r="H205" s="225"/>
      <c r="I205" s="225"/>
      <c r="J205" s="237"/>
      <c r="K205" s="237"/>
      <c r="L205" s="237"/>
      <c r="M205" s="204">
        <f t="shared" si="93"/>
        <v>0</v>
      </c>
      <c r="N205" s="235">
        <f t="shared" si="90"/>
        <v>0</v>
      </c>
      <c r="O205" s="204">
        <f t="shared" si="90"/>
        <v>0</v>
      </c>
      <c r="P205" s="205">
        <f t="shared" si="91"/>
        <v>0</v>
      </c>
      <c r="Q205" s="205">
        <f t="shared" si="92"/>
        <v>0</v>
      </c>
      <c r="R205" s="926"/>
      <c r="S205" s="927"/>
      <c r="T205" s="928"/>
    </row>
    <row r="206" spans="1:20" ht="15" hidden="1" customHeight="1" outlineLevel="1">
      <c r="A206" s="202" t="str">
        <f>TEXT($A$197,0) &amp; ".9"</f>
        <v>0.9</v>
      </c>
      <c r="B206" s="923"/>
      <c r="C206" s="924"/>
      <c r="D206" s="924"/>
      <c r="E206" s="925"/>
      <c r="F206" s="211"/>
      <c r="G206" s="211"/>
      <c r="H206" s="225"/>
      <c r="I206" s="225"/>
      <c r="J206" s="237"/>
      <c r="K206" s="237"/>
      <c r="L206" s="237"/>
      <c r="M206" s="204">
        <f t="shared" si="93"/>
        <v>0</v>
      </c>
      <c r="N206" s="235">
        <f t="shared" si="90"/>
        <v>0</v>
      </c>
      <c r="O206" s="204">
        <f t="shared" si="90"/>
        <v>0</v>
      </c>
      <c r="P206" s="205">
        <f t="shared" si="91"/>
        <v>0</v>
      </c>
      <c r="Q206" s="205">
        <f t="shared" si="92"/>
        <v>0</v>
      </c>
      <c r="R206" s="926"/>
      <c r="S206" s="927"/>
      <c r="T206" s="928"/>
    </row>
    <row r="207" spans="1:20" ht="15" hidden="1" customHeight="1" outlineLevel="1">
      <c r="A207" s="202" t="str">
        <f>TEXT($A$197,0) &amp; ".10"</f>
        <v>0.10</v>
      </c>
      <c r="B207" s="923"/>
      <c r="C207" s="924"/>
      <c r="D207" s="924"/>
      <c r="E207" s="925"/>
      <c r="F207" s="211"/>
      <c r="G207" s="211"/>
      <c r="H207" s="225"/>
      <c r="I207" s="225"/>
      <c r="J207" s="237"/>
      <c r="K207" s="237"/>
      <c r="L207" s="237"/>
      <c r="M207" s="204">
        <f t="shared" si="93"/>
        <v>0</v>
      </c>
      <c r="N207" s="235">
        <f t="shared" ref="N207:O216" si="94">M207</f>
        <v>0</v>
      </c>
      <c r="O207" s="204">
        <f t="shared" si="94"/>
        <v>0</v>
      </c>
      <c r="P207" s="205">
        <f t="shared" si="91"/>
        <v>0</v>
      </c>
      <c r="Q207" s="205">
        <f t="shared" si="92"/>
        <v>0</v>
      </c>
      <c r="R207" s="926"/>
      <c r="S207" s="927"/>
      <c r="T207" s="928"/>
    </row>
    <row r="208" spans="1:20" ht="15" hidden="1" customHeight="1" outlineLevel="1">
      <c r="A208" s="202" t="str">
        <f>TEXT($A$197,0) &amp; ".11"</f>
        <v>0.11</v>
      </c>
      <c r="B208" s="923"/>
      <c r="C208" s="924"/>
      <c r="D208" s="924"/>
      <c r="E208" s="925"/>
      <c r="F208" s="211"/>
      <c r="G208" s="211"/>
      <c r="H208" s="225"/>
      <c r="I208" s="225"/>
      <c r="J208" s="237"/>
      <c r="K208" s="237"/>
      <c r="L208" s="237"/>
      <c r="M208" s="204">
        <f>(J208+K208*4+L208)/6</f>
        <v>0</v>
      </c>
      <c r="N208" s="235">
        <f t="shared" si="94"/>
        <v>0</v>
      </c>
      <c r="O208" s="204">
        <f>N208</f>
        <v>0</v>
      </c>
      <c r="P208" s="205">
        <f t="shared" ref="P208:P217" si="95">IF(H208&lt;&gt;"",INDEX(MDActivityTypeInternalCostPerDay,MATCH(H208,MDActivityTypeID,0),1)*O208,0)</f>
        <v>0</v>
      </c>
      <c r="Q208" s="205">
        <f t="shared" ref="Q208:Q217" si="96">IF(H208&lt;&gt;"",INDEX(MDActivityTypeExternalPricePerDay,MATCH(H208,MDActivityTypeID,0),1)*O208,0)</f>
        <v>0</v>
      </c>
      <c r="R208" s="926"/>
      <c r="S208" s="927"/>
      <c r="T208" s="928"/>
    </row>
    <row r="209" spans="1:20" ht="15" hidden="1" customHeight="1" outlineLevel="1">
      <c r="A209" s="202" t="str">
        <f>TEXT($A$197,0) &amp; ".12"</f>
        <v>0.12</v>
      </c>
      <c r="B209" s="923"/>
      <c r="C209" s="924"/>
      <c r="D209" s="924"/>
      <c r="E209" s="925"/>
      <c r="F209" s="211"/>
      <c r="G209" s="211"/>
      <c r="H209" s="225"/>
      <c r="I209" s="225"/>
      <c r="J209" s="237"/>
      <c r="K209" s="237"/>
      <c r="L209" s="237"/>
      <c r="M209" s="204">
        <f t="shared" ref="M209:M217" si="97">(J209+K209*4+L209)/6</f>
        <v>0</v>
      </c>
      <c r="N209" s="235">
        <f t="shared" si="94"/>
        <v>0</v>
      </c>
      <c r="O209" s="204">
        <f t="shared" ref="O209:O217" si="98">N209</f>
        <v>0</v>
      </c>
      <c r="P209" s="205">
        <f t="shared" si="95"/>
        <v>0</v>
      </c>
      <c r="Q209" s="205">
        <f t="shared" si="96"/>
        <v>0</v>
      </c>
      <c r="R209" s="926"/>
      <c r="S209" s="927"/>
      <c r="T209" s="928"/>
    </row>
    <row r="210" spans="1:20" ht="15" hidden="1" customHeight="1" outlineLevel="1">
      <c r="A210" s="202" t="str">
        <f>TEXT($A$197,0) &amp; ".13"</f>
        <v>0.13</v>
      </c>
      <c r="B210" s="923"/>
      <c r="C210" s="924"/>
      <c r="D210" s="924"/>
      <c r="E210" s="925"/>
      <c r="F210" s="211"/>
      <c r="G210" s="211"/>
      <c r="H210" s="225"/>
      <c r="I210" s="225"/>
      <c r="J210" s="237"/>
      <c r="K210" s="237"/>
      <c r="L210" s="237"/>
      <c r="M210" s="204">
        <f t="shared" si="97"/>
        <v>0</v>
      </c>
      <c r="N210" s="235">
        <f t="shared" si="94"/>
        <v>0</v>
      </c>
      <c r="O210" s="204">
        <f t="shared" si="98"/>
        <v>0</v>
      </c>
      <c r="P210" s="205">
        <f t="shared" si="95"/>
        <v>0</v>
      </c>
      <c r="Q210" s="205">
        <f t="shared" si="96"/>
        <v>0</v>
      </c>
      <c r="R210" s="926"/>
      <c r="S210" s="927"/>
      <c r="T210" s="928"/>
    </row>
    <row r="211" spans="1:20" ht="15" hidden="1" customHeight="1" outlineLevel="1">
      <c r="A211" s="202" t="str">
        <f>TEXT($A$197,0) &amp; ".14"</f>
        <v>0.14</v>
      </c>
      <c r="B211" s="923"/>
      <c r="C211" s="924"/>
      <c r="D211" s="924"/>
      <c r="E211" s="925"/>
      <c r="F211" s="211"/>
      <c r="G211" s="211"/>
      <c r="H211" s="225"/>
      <c r="I211" s="225"/>
      <c r="J211" s="237"/>
      <c r="K211" s="237"/>
      <c r="L211" s="237"/>
      <c r="M211" s="204">
        <f t="shared" si="97"/>
        <v>0</v>
      </c>
      <c r="N211" s="235">
        <f t="shared" si="94"/>
        <v>0</v>
      </c>
      <c r="O211" s="204">
        <f t="shared" si="98"/>
        <v>0</v>
      </c>
      <c r="P211" s="205">
        <f t="shared" si="95"/>
        <v>0</v>
      </c>
      <c r="Q211" s="205">
        <f t="shared" si="96"/>
        <v>0</v>
      </c>
      <c r="R211" s="926"/>
      <c r="S211" s="927"/>
      <c r="T211" s="928"/>
    </row>
    <row r="212" spans="1:20" ht="15" hidden="1" customHeight="1" outlineLevel="1">
      <c r="A212" s="202" t="str">
        <f>TEXT($A$197,0) &amp; ".15"</f>
        <v>0.15</v>
      </c>
      <c r="B212" s="923"/>
      <c r="C212" s="924"/>
      <c r="D212" s="924"/>
      <c r="E212" s="925"/>
      <c r="F212" s="211"/>
      <c r="G212" s="211"/>
      <c r="H212" s="225"/>
      <c r="I212" s="225"/>
      <c r="J212" s="237"/>
      <c r="K212" s="237"/>
      <c r="L212" s="237"/>
      <c r="M212" s="204">
        <f t="shared" si="97"/>
        <v>0</v>
      </c>
      <c r="N212" s="235">
        <f t="shared" si="94"/>
        <v>0</v>
      </c>
      <c r="O212" s="204">
        <f t="shared" si="98"/>
        <v>0</v>
      </c>
      <c r="P212" s="205">
        <f t="shared" si="95"/>
        <v>0</v>
      </c>
      <c r="Q212" s="205">
        <f t="shared" si="96"/>
        <v>0</v>
      </c>
      <c r="R212" s="926"/>
      <c r="S212" s="927"/>
      <c r="T212" s="928"/>
    </row>
    <row r="213" spans="1:20" ht="15" hidden="1" customHeight="1" outlineLevel="1">
      <c r="A213" s="202" t="str">
        <f>TEXT($A$197,0) &amp; ".16"</f>
        <v>0.16</v>
      </c>
      <c r="B213" s="923"/>
      <c r="C213" s="924"/>
      <c r="D213" s="924"/>
      <c r="E213" s="925"/>
      <c r="F213" s="211"/>
      <c r="G213" s="211"/>
      <c r="H213" s="225"/>
      <c r="I213" s="225"/>
      <c r="J213" s="237"/>
      <c r="K213" s="237"/>
      <c r="L213" s="237"/>
      <c r="M213" s="204">
        <f t="shared" si="97"/>
        <v>0</v>
      </c>
      <c r="N213" s="235">
        <f t="shared" si="94"/>
        <v>0</v>
      </c>
      <c r="O213" s="204">
        <f t="shared" si="98"/>
        <v>0</v>
      </c>
      <c r="P213" s="205">
        <f t="shared" si="95"/>
        <v>0</v>
      </c>
      <c r="Q213" s="205">
        <f t="shared" si="96"/>
        <v>0</v>
      </c>
      <c r="R213" s="926"/>
      <c r="S213" s="927"/>
      <c r="T213" s="928"/>
    </row>
    <row r="214" spans="1:20" ht="15" hidden="1" customHeight="1" outlineLevel="1">
      <c r="A214" s="202" t="str">
        <f>TEXT($A$197,0) &amp; ".17"</f>
        <v>0.17</v>
      </c>
      <c r="B214" s="923"/>
      <c r="C214" s="924"/>
      <c r="D214" s="924"/>
      <c r="E214" s="925"/>
      <c r="F214" s="211"/>
      <c r="G214" s="211"/>
      <c r="H214" s="225"/>
      <c r="I214" s="225"/>
      <c r="J214" s="237"/>
      <c r="K214" s="237"/>
      <c r="L214" s="237"/>
      <c r="M214" s="204">
        <f t="shared" si="97"/>
        <v>0</v>
      </c>
      <c r="N214" s="235">
        <f t="shared" si="94"/>
        <v>0</v>
      </c>
      <c r="O214" s="204">
        <f t="shared" si="98"/>
        <v>0</v>
      </c>
      <c r="P214" s="205">
        <f t="shared" si="95"/>
        <v>0</v>
      </c>
      <c r="Q214" s="205">
        <f t="shared" si="96"/>
        <v>0</v>
      </c>
      <c r="R214" s="926"/>
      <c r="S214" s="927"/>
      <c r="T214" s="928"/>
    </row>
    <row r="215" spans="1:20" ht="15" hidden="1" customHeight="1" outlineLevel="1">
      <c r="A215" s="202" t="str">
        <f>TEXT($A$197,0) &amp; ".18"</f>
        <v>0.18</v>
      </c>
      <c r="B215" s="923"/>
      <c r="C215" s="924"/>
      <c r="D215" s="924"/>
      <c r="E215" s="925"/>
      <c r="F215" s="211"/>
      <c r="G215" s="211"/>
      <c r="H215" s="225"/>
      <c r="I215" s="225"/>
      <c r="J215" s="237"/>
      <c r="K215" s="237"/>
      <c r="L215" s="237"/>
      <c r="M215" s="204">
        <f t="shared" si="97"/>
        <v>0</v>
      </c>
      <c r="N215" s="235">
        <f t="shared" si="94"/>
        <v>0</v>
      </c>
      <c r="O215" s="204">
        <f t="shared" si="98"/>
        <v>0</v>
      </c>
      <c r="P215" s="205">
        <f t="shared" si="95"/>
        <v>0</v>
      </c>
      <c r="Q215" s="205">
        <f t="shared" si="96"/>
        <v>0</v>
      </c>
      <c r="R215" s="926"/>
      <c r="S215" s="927"/>
      <c r="T215" s="928"/>
    </row>
    <row r="216" spans="1:20" ht="15" hidden="1" customHeight="1" outlineLevel="1">
      <c r="A216" s="202" t="str">
        <f>TEXT($A$197,0) &amp; ".19"</f>
        <v>0.19</v>
      </c>
      <c r="B216" s="923"/>
      <c r="C216" s="924"/>
      <c r="D216" s="924"/>
      <c r="E216" s="925"/>
      <c r="F216" s="211"/>
      <c r="G216" s="211"/>
      <c r="H216" s="225"/>
      <c r="I216" s="225"/>
      <c r="J216" s="237"/>
      <c r="K216" s="237"/>
      <c r="L216" s="237"/>
      <c r="M216" s="204">
        <f t="shared" si="97"/>
        <v>0</v>
      </c>
      <c r="N216" s="235">
        <f t="shared" si="94"/>
        <v>0</v>
      </c>
      <c r="O216" s="204">
        <f t="shared" si="98"/>
        <v>0</v>
      </c>
      <c r="P216" s="205">
        <f t="shared" si="95"/>
        <v>0</v>
      </c>
      <c r="Q216" s="205">
        <f t="shared" si="96"/>
        <v>0</v>
      </c>
      <c r="R216" s="926"/>
      <c r="S216" s="927"/>
      <c r="T216" s="928"/>
    </row>
    <row r="217" spans="1:20" ht="15" hidden="1" customHeight="1" outlineLevel="1">
      <c r="A217" s="202" t="str">
        <f>TEXT($A$197,0) &amp; ".20"</f>
        <v>0.20</v>
      </c>
      <c r="B217" s="923"/>
      <c r="C217" s="924"/>
      <c r="D217" s="924"/>
      <c r="E217" s="925"/>
      <c r="F217" s="211"/>
      <c r="G217" s="211"/>
      <c r="H217" s="225"/>
      <c r="I217" s="225"/>
      <c r="J217" s="237"/>
      <c r="K217" s="237"/>
      <c r="L217" s="237"/>
      <c r="M217" s="204">
        <f t="shared" si="97"/>
        <v>0</v>
      </c>
      <c r="N217" s="235">
        <f>M217</f>
        <v>0</v>
      </c>
      <c r="O217" s="204">
        <f t="shared" si="98"/>
        <v>0</v>
      </c>
      <c r="P217" s="205">
        <f t="shared" si="95"/>
        <v>0</v>
      </c>
      <c r="Q217" s="205">
        <f t="shared" si="96"/>
        <v>0</v>
      </c>
      <c r="R217" s="926"/>
      <c r="S217" s="927"/>
      <c r="T217" s="928"/>
    </row>
    <row r="218" spans="1:20" ht="15" customHeight="1" collapsed="1">
      <c r="A218" s="267"/>
      <c r="B218" s="932"/>
      <c r="C218" s="933"/>
      <c r="D218" s="933"/>
      <c r="E218" s="934"/>
      <c r="F218" s="220"/>
      <c r="G218" s="220"/>
      <c r="H218" s="222"/>
      <c r="I218" s="222" t="str">
        <f>IF(COUNTIF(I219:I238,TMDPhaseTimeAndMaterial)&gt;0,TMDPhaseTimeAndMaterial,IF(COUNTIF(I219:I238,TMDPhaseChangeTimeAndMaterial)&gt;0,TMDPhaseChangeTimeAndMaterial,""))</f>
        <v/>
      </c>
      <c r="J218" s="234">
        <f t="shared" ref="J218:Q218" si="99">SUM(J219:J238)</f>
        <v>0</v>
      </c>
      <c r="K218" s="234">
        <f t="shared" si="99"/>
        <v>0</v>
      </c>
      <c r="L218" s="234">
        <f t="shared" si="99"/>
        <v>0</v>
      </c>
      <c r="M218" s="201">
        <f t="shared" si="99"/>
        <v>0</v>
      </c>
      <c r="N218" s="201">
        <f t="shared" si="99"/>
        <v>0</v>
      </c>
      <c r="O218" s="201">
        <f t="shared" si="99"/>
        <v>0</v>
      </c>
      <c r="P218" s="201">
        <f t="shared" si="99"/>
        <v>0</v>
      </c>
      <c r="Q218" s="201">
        <f t="shared" si="99"/>
        <v>0</v>
      </c>
      <c r="R218" s="936"/>
      <c r="S218" s="936"/>
      <c r="T218" s="936"/>
    </row>
    <row r="219" spans="1:20" ht="15" hidden="1" customHeight="1" outlineLevel="1">
      <c r="A219" s="202" t="str">
        <f>TEXT($A$218,0) &amp; ".1"</f>
        <v>0.1</v>
      </c>
      <c r="B219" s="923"/>
      <c r="C219" s="924"/>
      <c r="D219" s="924"/>
      <c r="E219" s="925"/>
      <c r="F219" s="211"/>
      <c r="G219" s="211"/>
      <c r="H219" s="225"/>
      <c r="I219" s="225"/>
      <c r="J219" s="237"/>
      <c r="K219" s="237"/>
      <c r="L219" s="237"/>
      <c r="M219" s="204">
        <f>(J219+K219*4+L219)/6</f>
        <v>0</v>
      </c>
      <c r="N219" s="235">
        <f t="shared" ref="N219:O227" si="100">M219</f>
        <v>0</v>
      </c>
      <c r="O219" s="204">
        <f t="shared" si="100"/>
        <v>0</v>
      </c>
      <c r="P219" s="205">
        <f t="shared" ref="P219:P228" si="101">IF(H219&lt;&gt;"",INDEX(MDActivityTypeInternalCostPerDay,MATCH(H219,MDActivityTypeID,0),1)*O219,0)</f>
        <v>0</v>
      </c>
      <c r="Q219" s="205">
        <f t="shared" ref="Q219:Q228" si="102">IF(H219&lt;&gt;"",INDEX(MDActivityTypeExternalPricePerDay,MATCH(H219,MDActivityTypeID,0),1)*O219,0)</f>
        <v>0</v>
      </c>
      <c r="R219" s="926"/>
      <c r="S219" s="927"/>
      <c r="T219" s="928"/>
    </row>
    <row r="220" spans="1:20" ht="15" hidden="1" customHeight="1" outlineLevel="1">
      <c r="A220" s="202" t="str">
        <f>TEXT($A$218,0) &amp; ".2"</f>
        <v>0.2</v>
      </c>
      <c r="B220" s="923"/>
      <c r="C220" s="924"/>
      <c r="D220" s="924"/>
      <c r="E220" s="925"/>
      <c r="F220" s="211"/>
      <c r="G220" s="211"/>
      <c r="H220" s="225"/>
      <c r="I220" s="225"/>
      <c r="J220" s="237"/>
      <c r="K220" s="237"/>
      <c r="L220" s="237"/>
      <c r="M220" s="204">
        <f t="shared" ref="M220:M228" si="103">(J220+K220*4+L220)/6</f>
        <v>0</v>
      </c>
      <c r="N220" s="235">
        <f t="shared" si="100"/>
        <v>0</v>
      </c>
      <c r="O220" s="204">
        <f t="shared" si="100"/>
        <v>0</v>
      </c>
      <c r="P220" s="205">
        <f t="shared" si="101"/>
        <v>0</v>
      </c>
      <c r="Q220" s="205">
        <f t="shared" si="102"/>
        <v>0</v>
      </c>
      <c r="R220" s="926"/>
      <c r="S220" s="927"/>
      <c r="T220" s="928"/>
    </row>
    <row r="221" spans="1:20" ht="15" hidden="1" customHeight="1" outlineLevel="1">
      <c r="A221" s="202" t="str">
        <f>TEXT($A$218,0) &amp; ".3"</f>
        <v>0.3</v>
      </c>
      <c r="B221" s="923"/>
      <c r="C221" s="924"/>
      <c r="D221" s="924"/>
      <c r="E221" s="925"/>
      <c r="F221" s="211"/>
      <c r="G221" s="211"/>
      <c r="H221" s="225"/>
      <c r="I221" s="225"/>
      <c r="J221" s="237"/>
      <c r="K221" s="237"/>
      <c r="L221" s="237"/>
      <c r="M221" s="204">
        <f t="shared" si="103"/>
        <v>0</v>
      </c>
      <c r="N221" s="235">
        <f t="shared" si="100"/>
        <v>0</v>
      </c>
      <c r="O221" s="204">
        <f t="shared" si="100"/>
        <v>0</v>
      </c>
      <c r="P221" s="205">
        <f t="shared" si="101"/>
        <v>0</v>
      </c>
      <c r="Q221" s="205">
        <f t="shared" si="102"/>
        <v>0</v>
      </c>
      <c r="R221" s="926"/>
      <c r="S221" s="927"/>
      <c r="T221" s="928"/>
    </row>
    <row r="222" spans="1:20" ht="15" hidden="1" customHeight="1" outlineLevel="1">
      <c r="A222" s="202" t="str">
        <f>TEXT($A$218,0) &amp; ".4"</f>
        <v>0.4</v>
      </c>
      <c r="B222" s="923"/>
      <c r="C222" s="924"/>
      <c r="D222" s="924"/>
      <c r="E222" s="925"/>
      <c r="F222" s="211"/>
      <c r="G222" s="211"/>
      <c r="H222" s="225"/>
      <c r="I222" s="225"/>
      <c r="J222" s="237"/>
      <c r="K222" s="237"/>
      <c r="L222" s="237"/>
      <c r="M222" s="204">
        <f t="shared" si="103"/>
        <v>0</v>
      </c>
      <c r="N222" s="235">
        <f t="shared" si="100"/>
        <v>0</v>
      </c>
      <c r="O222" s="204">
        <f t="shared" si="100"/>
        <v>0</v>
      </c>
      <c r="P222" s="205">
        <f t="shared" si="101"/>
        <v>0</v>
      </c>
      <c r="Q222" s="205">
        <f t="shared" si="102"/>
        <v>0</v>
      </c>
      <c r="R222" s="926"/>
      <c r="S222" s="927"/>
      <c r="T222" s="928"/>
    </row>
    <row r="223" spans="1:20" ht="15" hidden="1" customHeight="1" outlineLevel="1">
      <c r="A223" s="202" t="str">
        <f>TEXT($A$218,0) &amp; ".5"</f>
        <v>0.5</v>
      </c>
      <c r="B223" s="923"/>
      <c r="C223" s="924"/>
      <c r="D223" s="924"/>
      <c r="E223" s="925"/>
      <c r="F223" s="211"/>
      <c r="G223" s="211"/>
      <c r="H223" s="225"/>
      <c r="I223" s="225"/>
      <c r="J223" s="237"/>
      <c r="K223" s="237"/>
      <c r="L223" s="237"/>
      <c r="M223" s="204">
        <f t="shared" si="103"/>
        <v>0</v>
      </c>
      <c r="N223" s="235">
        <f t="shared" si="100"/>
        <v>0</v>
      </c>
      <c r="O223" s="204">
        <f t="shared" si="100"/>
        <v>0</v>
      </c>
      <c r="P223" s="205">
        <f t="shared" si="101"/>
        <v>0</v>
      </c>
      <c r="Q223" s="205">
        <f t="shared" si="102"/>
        <v>0</v>
      </c>
      <c r="R223" s="926"/>
      <c r="S223" s="927"/>
      <c r="T223" s="928"/>
    </row>
    <row r="224" spans="1:20" ht="15" hidden="1" customHeight="1" outlineLevel="1">
      <c r="A224" s="202" t="str">
        <f>TEXT($A$218,0) &amp; ".6"</f>
        <v>0.6</v>
      </c>
      <c r="B224" s="923"/>
      <c r="C224" s="924"/>
      <c r="D224" s="924"/>
      <c r="E224" s="925"/>
      <c r="F224" s="211"/>
      <c r="G224" s="211"/>
      <c r="H224" s="225"/>
      <c r="I224" s="225"/>
      <c r="J224" s="237"/>
      <c r="K224" s="237"/>
      <c r="L224" s="237"/>
      <c r="M224" s="204">
        <f t="shared" si="103"/>
        <v>0</v>
      </c>
      <c r="N224" s="235">
        <f t="shared" si="100"/>
        <v>0</v>
      </c>
      <c r="O224" s="204">
        <f t="shared" si="100"/>
        <v>0</v>
      </c>
      <c r="P224" s="205">
        <f t="shared" si="101"/>
        <v>0</v>
      </c>
      <c r="Q224" s="205">
        <f t="shared" si="102"/>
        <v>0</v>
      </c>
      <c r="R224" s="926"/>
      <c r="S224" s="927"/>
      <c r="T224" s="928"/>
    </row>
    <row r="225" spans="1:20" ht="15" hidden="1" customHeight="1" outlineLevel="1">
      <c r="A225" s="202" t="str">
        <f>TEXT($A$218,0) &amp; ".7"</f>
        <v>0.7</v>
      </c>
      <c r="B225" s="923"/>
      <c r="C225" s="924"/>
      <c r="D225" s="924"/>
      <c r="E225" s="925"/>
      <c r="F225" s="211"/>
      <c r="G225" s="211"/>
      <c r="H225" s="225"/>
      <c r="I225" s="225"/>
      <c r="J225" s="237"/>
      <c r="K225" s="237"/>
      <c r="L225" s="237"/>
      <c r="M225" s="204">
        <f t="shared" si="103"/>
        <v>0</v>
      </c>
      <c r="N225" s="235">
        <f t="shared" si="100"/>
        <v>0</v>
      </c>
      <c r="O225" s="204">
        <f t="shared" si="100"/>
        <v>0</v>
      </c>
      <c r="P225" s="205">
        <f t="shared" si="101"/>
        <v>0</v>
      </c>
      <c r="Q225" s="205">
        <f t="shared" si="102"/>
        <v>0</v>
      </c>
      <c r="R225" s="926"/>
      <c r="S225" s="927"/>
      <c r="T225" s="928"/>
    </row>
    <row r="226" spans="1:20" ht="15" hidden="1" customHeight="1" outlineLevel="1">
      <c r="A226" s="202" t="str">
        <f>TEXT($A$218,0) &amp; ".8"</f>
        <v>0.8</v>
      </c>
      <c r="B226" s="923"/>
      <c r="C226" s="924"/>
      <c r="D226" s="924"/>
      <c r="E226" s="925"/>
      <c r="F226" s="211"/>
      <c r="G226" s="211"/>
      <c r="H226" s="225"/>
      <c r="I226" s="225"/>
      <c r="J226" s="237"/>
      <c r="K226" s="237"/>
      <c r="L226" s="237"/>
      <c r="M226" s="204">
        <f t="shared" si="103"/>
        <v>0</v>
      </c>
      <c r="N226" s="235">
        <f t="shared" si="100"/>
        <v>0</v>
      </c>
      <c r="O226" s="204">
        <f t="shared" si="100"/>
        <v>0</v>
      </c>
      <c r="P226" s="205">
        <f t="shared" si="101"/>
        <v>0</v>
      </c>
      <c r="Q226" s="205">
        <f t="shared" si="102"/>
        <v>0</v>
      </c>
      <c r="R226" s="926"/>
      <c r="S226" s="927"/>
      <c r="T226" s="928"/>
    </row>
    <row r="227" spans="1:20" ht="15" hidden="1" customHeight="1" outlineLevel="1">
      <c r="A227" s="202" t="str">
        <f>TEXT($A$218,0) &amp; ".9"</f>
        <v>0.9</v>
      </c>
      <c r="B227" s="923"/>
      <c r="C227" s="924"/>
      <c r="D227" s="924"/>
      <c r="E227" s="925"/>
      <c r="F227" s="211"/>
      <c r="G227" s="211"/>
      <c r="H227" s="225"/>
      <c r="I227" s="225"/>
      <c r="J227" s="237"/>
      <c r="K227" s="237"/>
      <c r="L227" s="237"/>
      <c r="M227" s="204">
        <f t="shared" si="103"/>
        <v>0</v>
      </c>
      <c r="N227" s="235">
        <f t="shared" si="100"/>
        <v>0</v>
      </c>
      <c r="O227" s="204">
        <f t="shared" si="100"/>
        <v>0</v>
      </c>
      <c r="P227" s="205">
        <f t="shared" si="101"/>
        <v>0</v>
      </c>
      <c r="Q227" s="205">
        <f t="shared" si="102"/>
        <v>0</v>
      </c>
      <c r="R227" s="926"/>
      <c r="S227" s="927"/>
      <c r="T227" s="928"/>
    </row>
    <row r="228" spans="1:20" ht="15" hidden="1" customHeight="1" outlineLevel="1">
      <c r="A228" s="202" t="str">
        <f>TEXT($A$218,0) &amp; ".10"</f>
        <v>0.10</v>
      </c>
      <c r="B228" s="923"/>
      <c r="C228" s="924"/>
      <c r="D228" s="924"/>
      <c r="E228" s="925"/>
      <c r="F228" s="211"/>
      <c r="G228" s="211"/>
      <c r="H228" s="225"/>
      <c r="I228" s="225"/>
      <c r="J228" s="237"/>
      <c r="K228" s="237"/>
      <c r="L228" s="237"/>
      <c r="M228" s="204">
        <f t="shared" si="103"/>
        <v>0</v>
      </c>
      <c r="N228" s="235">
        <f t="shared" ref="N228:O237" si="104">M228</f>
        <v>0</v>
      </c>
      <c r="O228" s="204">
        <f t="shared" si="104"/>
        <v>0</v>
      </c>
      <c r="P228" s="205">
        <f t="shared" si="101"/>
        <v>0</v>
      </c>
      <c r="Q228" s="205">
        <f t="shared" si="102"/>
        <v>0</v>
      </c>
      <c r="R228" s="926"/>
      <c r="S228" s="927"/>
      <c r="T228" s="928"/>
    </row>
    <row r="229" spans="1:20" ht="15" hidden="1" customHeight="1" outlineLevel="1">
      <c r="A229" s="202" t="str">
        <f>TEXT($A$218,0) &amp; ".11"</f>
        <v>0.11</v>
      </c>
      <c r="B229" s="923"/>
      <c r="C229" s="924"/>
      <c r="D229" s="924"/>
      <c r="E229" s="925"/>
      <c r="F229" s="211"/>
      <c r="G229" s="211"/>
      <c r="H229" s="225"/>
      <c r="I229" s="225"/>
      <c r="J229" s="237"/>
      <c r="K229" s="237"/>
      <c r="L229" s="237"/>
      <c r="M229" s="204">
        <f>(J229+K229*4+L229)/6</f>
        <v>0</v>
      </c>
      <c r="N229" s="235">
        <f t="shared" si="104"/>
        <v>0</v>
      </c>
      <c r="O229" s="204">
        <f>N229</f>
        <v>0</v>
      </c>
      <c r="P229" s="205">
        <f t="shared" ref="P229:P238" si="105">IF(H229&lt;&gt;"",INDEX(MDActivityTypeInternalCostPerDay,MATCH(H229,MDActivityTypeID,0),1)*O229,0)</f>
        <v>0</v>
      </c>
      <c r="Q229" s="205">
        <f t="shared" ref="Q229:Q238" si="106">IF(H229&lt;&gt;"",INDEX(MDActivityTypeExternalPricePerDay,MATCH(H229,MDActivityTypeID,0),1)*O229,0)</f>
        <v>0</v>
      </c>
      <c r="R229" s="926"/>
      <c r="S229" s="927"/>
      <c r="T229" s="928"/>
    </row>
    <row r="230" spans="1:20" ht="15" hidden="1" customHeight="1" outlineLevel="1">
      <c r="A230" s="202" t="str">
        <f>TEXT($A$218,0) &amp; ".12"</f>
        <v>0.12</v>
      </c>
      <c r="B230" s="923"/>
      <c r="C230" s="924"/>
      <c r="D230" s="924"/>
      <c r="E230" s="925"/>
      <c r="F230" s="211"/>
      <c r="G230" s="211"/>
      <c r="H230" s="225"/>
      <c r="I230" s="225"/>
      <c r="J230" s="237"/>
      <c r="K230" s="237"/>
      <c r="L230" s="237"/>
      <c r="M230" s="204">
        <f t="shared" ref="M230:M238" si="107">(J230+K230*4+L230)/6</f>
        <v>0</v>
      </c>
      <c r="N230" s="235">
        <f t="shared" si="104"/>
        <v>0</v>
      </c>
      <c r="O230" s="204">
        <f t="shared" ref="O230:O238" si="108">N230</f>
        <v>0</v>
      </c>
      <c r="P230" s="205">
        <f t="shared" si="105"/>
        <v>0</v>
      </c>
      <c r="Q230" s="205">
        <f t="shared" si="106"/>
        <v>0</v>
      </c>
      <c r="R230" s="926"/>
      <c r="S230" s="927"/>
      <c r="T230" s="928"/>
    </row>
    <row r="231" spans="1:20" ht="15" hidden="1" customHeight="1" outlineLevel="1">
      <c r="A231" s="202" t="str">
        <f>TEXT($A$218,0) &amp; ".13"</f>
        <v>0.13</v>
      </c>
      <c r="B231" s="923"/>
      <c r="C231" s="924"/>
      <c r="D231" s="924"/>
      <c r="E231" s="925"/>
      <c r="F231" s="211"/>
      <c r="G231" s="211"/>
      <c r="H231" s="225"/>
      <c r="I231" s="225"/>
      <c r="J231" s="237"/>
      <c r="K231" s="237"/>
      <c r="L231" s="237"/>
      <c r="M231" s="204">
        <f t="shared" si="107"/>
        <v>0</v>
      </c>
      <c r="N231" s="235">
        <f t="shared" si="104"/>
        <v>0</v>
      </c>
      <c r="O231" s="204">
        <f t="shared" si="108"/>
        <v>0</v>
      </c>
      <c r="P231" s="205">
        <f t="shared" si="105"/>
        <v>0</v>
      </c>
      <c r="Q231" s="205">
        <f t="shared" si="106"/>
        <v>0</v>
      </c>
      <c r="R231" s="926"/>
      <c r="S231" s="927"/>
      <c r="T231" s="928"/>
    </row>
    <row r="232" spans="1:20" ht="15" hidden="1" customHeight="1" outlineLevel="1">
      <c r="A232" s="202" t="str">
        <f>TEXT($A$218,0) &amp; ".14"</f>
        <v>0.14</v>
      </c>
      <c r="B232" s="923"/>
      <c r="C232" s="924"/>
      <c r="D232" s="924"/>
      <c r="E232" s="925"/>
      <c r="F232" s="211"/>
      <c r="G232" s="211"/>
      <c r="H232" s="225"/>
      <c r="I232" s="225"/>
      <c r="J232" s="237"/>
      <c r="K232" s="237"/>
      <c r="L232" s="237"/>
      <c r="M232" s="204">
        <f t="shared" si="107"/>
        <v>0</v>
      </c>
      <c r="N232" s="235">
        <f t="shared" si="104"/>
        <v>0</v>
      </c>
      <c r="O232" s="204">
        <f t="shared" si="108"/>
        <v>0</v>
      </c>
      <c r="P232" s="205">
        <f t="shared" si="105"/>
        <v>0</v>
      </c>
      <c r="Q232" s="205">
        <f t="shared" si="106"/>
        <v>0</v>
      </c>
      <c r="R232" s="926"/>
      <c r="S232" s="927"/>
      <c r="T232" s="928"/>
    </row>
    <row r="233" spans="1:20" ht="15" hidden="1" customHeight="1" outlineLevel="1">
      <c r="A233" s="202" t="str">
        <f>TEXT($A$218,0) &amp; ".15"</f>
        <v>0.15</v>
      </c>
      <c r="B233" s="923"/>
      <c r="C233" s="924"/>
      <c r="D233" s="924"/>
      <c r="E233" s="925"/>
      <c r="F233" s="211"/>
      <c r="G233" s="211"/>
      <c r="H233" s="225"/>
      <c r="I233" s="225"/>
      <c r="J233" s="237"/>
      <c r="K233" s="237"/>
      <c r="L233" s="237"/>
      <c r="M233" s="204">
        <f t="shared" si="107"/>
        <v>0</v>
      </c>
      <c r="N233" s="235">
        <f t="shared" si="104"/>
        <v>0</v>
      </c>
      <c r="O233" s="204">
        <f t="shared" si="108"/>
        <v>0</v>
      </c>
      <c r="P233" s="205">
        <f t="shared" si="105"/>
        <v>0</v>
      </c>
      <c r="Q233" s="205">
        <f t="shared" si="106"/>
        <v>0</v>
      </c>
      <c r="R233" s="926"/>
      <c r="S233" s="927"/>
      <c r="T233" s="928"/>
    </row>
    <row r="234" spans="1:20" ht="15" hidden="1" customHeight="1" outlineLevel="1">
      <c r="A234" s="202" t="str">
        <f>TEXT($A$218,0) &amp; ".16"</f>
        <v>0.16</v>
      </c>
      <c r="B234" s="923"/>
      <c r="C234" s="924"/>
      <c r="D234" s="924"/>
      <c r="E234" s="925"/>
      <c r="F234" s="211"/>
      <c r="G234" s="211"/>
      <c r="H234" s="225"/>
      <c r="I234" s="225"/>
      <c r="J234" s="237"/>
      <c r="K234" s="237"/>
      <c r="L234" s="237"/>
      <c r="M234" s="204">
        <f t="shared" si="107"/>
        <v>0</v>
      </c>
      <c r="N234" s="235">
        <f t="shared" si="104"/>
        <v>0</v>
      </c>
      <c r="O234" s="204">
        <f t="shared" si="108"/>
        <v>0</v>
      </c>
      <c r="P234" s="205">
        <f t="shared" si="105"/>
        <v>0</v>
      </c>
      <c r="Q234" s="205">
        <f t="shared" si="106"/>
        <v>0</v>
      </c>
      <c r="R234" s="926"/>
      <c r="S234" s="927"/>
      <c r="T234" s="928"/>
    </row>
    <row r="235" spans="1:20" ht="15" hidden="1" customHeight="1" outlineLevel="1">
      <c r="A235" s="202" t="str">
        <f>TEXT($A$218,0) &amp; ".17"</f>
        <v>0.17</v>
      </c>
      <c r="B235" s="923"/>
      <c r="C235" s="924"/>
      <c r="D235" s="924"/>
      <c r="E235" s="925"/>
      <c r="F235" s="211"/>
      <c r="G235" s="211"/>
      <c r="H235" s="225"/>
      <c r="I235" s="225"/>
      <c r="J235" s="237"/>
      <c r="K235" s="237"/>
      <c r="L235" s="237"/>
      <c r="M235" s="204">
        <f t="shared" si="107"/>
        <v>0</v>
      </c>
      <c r="N235" s="235">
        <f t="shared" si="104"/>
        <v>0</v>
      </c>
      <c r="O235" s="204">
        <f t="shared" si="108"/>
        <v>0</v>
      </c>
      <c r="P235" s="205">
        <f t="shared" si="105"/>
        <v>0</v>
      </c>
      <c r="Q235" s="205">
        <f t="shared" si="106"/>
        <v>0</v>
      </c>
      <c r="R235" s="926"/>
      <c r="S235" s="927"/>
      <c r="T235" s="928"/>
    </row>
    <row r="236" spans="1:20" ht="15" hidden="1" customHeight="1" outlineLevel="1">
      <c r="A236" s="202" t="str">
        <f>TEXT($A$218,0) &amp; ".18"</f>
        <v>0.18</v>
      </c>
      <c r="B236" s="923"/>
      <c r="C236" s="924"/>
      <c r="D236" s="924"/>
      <c r="E236" s="925"/>
      <c r="F236" s="211"/>
      <c r="G236" s="211"/>
      <c r="H236" s="225"/>
      <c r="I236" s="225"/>
      <c r="J236" s="237"/>
      <c r="K236" s="237"/>
      <c r="L236" s="237"/>
      <c r="M236" s="204">
        <f t="shared" si="107"/>
        <v>0</v>
      </c>
      <c r="N236" s="235">
        <f t="shared" si="104"/>
        <v>0</v>
      </c>
      <c r="O236" s="204">
        <f t="shared" si="108"/>
        <v>0</v>
      </c>
      <c r="P236" s="205">
        <f t="shared" si="105"/>
        <v>0</v>
      </c>
      <c r="Q236" s="205">
        <f t="shared" si="106"/>
        <v>0</v>
      </c>
      <c r="R236" s="926"/>
      <c r="S236" s="927"/>
      <c r="T236" s="928"/>
    </row>
    <row r="237" spans="1:20" ht="15" hidden="1" customHeight="1" outlineLevel="1">
      <c r="A237" s="202" t="str">
        <f>TEXT($A$218,0) &amp; ".19"</f>
        <v>0.19</v>
      </c>
      <c r="B237" s="923"/>
      <c r="C237" s="924"/>
      <c r="D237" s="924"/>
      <c r="E237" s="925"/>
      <c r="F237" s="211"/>
      <c r="G237" s="211"/>
      <c r="H237" s="225"/>
      <c r="I237" s="225"/>
      <c r="J237" s="237"/>
      <c r="K237" s="237"/>
      <c r="L237" s="237"/>
      <c r="M237" s="204">
        <f t="shared" si="107"/>
        <v>0</v>
      </c>
      <c r="N237" s="235">
        <f t="shared" si="104"/>
        <v>0</v>
      </c>
      <c r="O237" s="204">
        <f t="shared" si="108"/>
        <v>0</v>
      </c>
      <c r="P237" s="205">
        <f t="shared" si="105"/>
        <v>0</v>
      </c>
      <c r="Q237" s="205">
        <f t="shared" si="106"/>
        <v>0</v>
      </c>
      <c r="R237" s="926"/>
      <c r="S237" s="927"/>
      <c r="T237" s="928"/>
    </row>
    <row r="238" spans="1:20" ht="15" hidden="1" customHeight="1" outlineLevel="1">
      <c r="A238" s="202" t="str">
        <f>TEXT($A$218,0) &amp; ".20"</f>
        <v>0.20</v>
      </c>
      <c r="B238" s="923"/>
      <c r="C238" s="924"/>
      <c r="D238" s="924"/>
      <c r="E238" s="925"/>
      <c r="F238" s="211"/>
      <c r="G238" s="211"/>
      <c r="H238" s="225"/>
      <c r="I238" s="225"/>
      <c r="J238" s="237"/>
      <c r="K238" s="237"/>
      <c r="L238" s="237"/>
      <c r="M238" s="204">
        <f t="shared" si="107"/>
        <v>0</v>
      </c>
      <c r="N238" s="235">
        <f>M238</f>
        <v>0</v>
      </c>
      <c r="O238" s="204">
        <f t="shared" si="108"/>
        <v>0</v>
      </c>
      <c r="P238" s="205">
        <f t="shared" si="105"/>
        <v>0</v>
      </c>
      <c r="Q238" s="205">
        <f t="shared" si="106"/>
        <v>0</v>
      </c>
      <c r="R238" s="926"/>
      <c r="S238" s="927"/>
      <c r="T238" s="928"/>
    </row>
    <row r="239" spans="1:20" ht="15" customHeight="1" collapsed="1">
      <c r="A239" s="267"/>
      <c r="B239" s="932"/>
      <c r="C239" s="933"/>
      <c r="D239" s="933"/>
      <c r="E239" s="934"/>
      <c r="F239" s="220"/>
      <c r="G239" s="220"/>
      <c r="H239" s="222"/>
      <c r="I239" s="222" t="str">
        <f>IF(COUNTIF(I240:I259,TMDPhaseTimeAndMaterial)&gt;0,TMDPhaseTimeAndMaterial,IF(COUNTIF(I240:I259,TMDPhaseChangeTimeAndMaterial)&gt;0,TMDPhaseChangeTimeAndMaterial,""))</f>
        <v/>
      </c>
      <c r="J239" s="234">
        <f t="shared" ref="J239:Q239" si="109">SUM(J240:J259)</f>
        <v>0</v>
      </c>
      <c r="K239" s="234">
        <f t="shared" si="109"/>
        <v>0</v>
      </c>
      <c r="L239" s="234">
        <f t="shared" si="109"/>
        <v>0</v>
      </c>
      <c r="M239" s="201">
        <f t="shared" si="109"/>
        <v>0</v>
      </c>
      <c r="N239" s="201">
        <f t="shared" si="109"/>
        <v>0</v>
      </c>
      <c r="O239" s="201">
        <f t="shared" si="109"/>
        <v>0</v>
      </c>
      <c r="P239" s="201">
        <f t="shared" si="109"/>
        <v>0</v>
      </c>
      <c r="Q239" s="201">
        <f t="shared" si="109"/>
        <v>0</v>
      </c>
      <c r="R239" s="935"/>
      <c r="S239" s="935"/>
      <c r="T239" s="935"/>
    </row>
    <row r="240" spans="1:20" ht="15" hidden="1" customHeight="1" outlineLevel="1">
      <c r="A240" s="202" t="str">
        <f>TEXT($A$239,0) &amp; ".1"</f>
        <v>0.1</v>
      </c>
      <c r="B240" s="923"/>
      <c r="C240" s="924"/>
      <c r="D240" s="924"/>
      <c r="E240" s="925"/>
      <c r="F240" s="211"/>
      <c r="G240" s="211"/>
      <c r="H240" s="225"/>
      <c r="I240" s="225"/>
      <c r="J240" s="237"/>
      <c r="K240" s="237"/>
      <c r="L240" s="237"/>
      <c r="M240" s="204">
        <f>(J240+K240*4+L240)/6</f>
        <v>0</v>
      </c>
      <c r="N240" s="235">
        <f t="shared" ref="N240:O248" si="110">M240</f>
        <v>0</v>
      </c>
      <c r="O240" s="204">
        <f t="shared" si="110"/>
        <v>0</v>
      </c>
      <c r="P240" s="205">
        <f t="shared" ref="P240:P249" si="111">IF(H240&lt;&gt;"",INDEX(MDActivityTypeInternalCostPerDay,MATCH(H240,MDActivityTypeID,0),1)*O240,0)</f>
        <v>0</v>
      </c>
      <c r="Q240" s="205">
        <f t="shared" ref="Q240:Q249" si="112">IF(H240&lt;&gt;"",INDEX(MDActivityTypeExternalPricePerDay,MATCH(H240,MDActivityTypeID,0),1)*O240,0)</f>
        <v>0</v>
      </c>
      <c r="R240" s="926"/>
      <c r="S240" s="927"/>
      <c r="T240" s="928"/>
    </row>
    <row r="241" spans="1:20" ht="15" hidden="1" customHeight="1" outlineLevel="1">
      <c r="A241" s="202" t="str">
        <f>TEXT($A$239,0) &amp; ".2"</f>
        <v>0.2</v>
      </c>
      <c r="B241" s="923"/>
      <c r="C241" s="924"/>
      <c r="D241" s="924"/>
      <c r="E241" s="925"/>
      <c r="F241" s="211"/>
      <c r="G241" s="211"/>
      <c r="H241" s="225"/>
      <c r="I241" s="225"/>
      <c r="J241" s="237"/>
      <c r="K241" s="237"/>
      <c r="L241" s="237"/>
      <c r="M241" s="204">
        <f t="shared" ref="M241:M249" si="113">(J241+K241*4+L241)/6</f>
        <v>0</v>
      </c>
      <c r="N241" s="235">
        <f t="shared" si="110"/>
        <v>0</v>
      </c>
      <c r="O241" s="204">
        <f t="shared" si="110"/>
        <v>0</v>
      </c>
      <c r="P241" s="205">
        <f t="shared" si="111"/>
        <v>0</v>
      </c>
      <c r="Q241" s="205">
        <f t="shared" si="112"/>
        <v>0</v>
      </c>
      <c r="R241" s="926"/>
      <c r="S241" s="927"/>
      <c r="T241" s="928"/>
    </row>
    <row r="242" spans="1:20" ht="15" hidden="1" customHeight="1" outlineLevel="1">
      <c r="A242" s="202" t="str">
        <f>TEXT($A$239,0) &amp; ".3"</f>
        <v>0.3</v>
      </c>
      <c r="B242" s="923"/>
      <c r="C242" s="924"/>
      <c r="D242" s="924"/>
      <c r="E242" s="925"/>
      <c r="F242" s="211"/>
      <c r="G242" s="211"/>
      <c r="H242" s="225"/>
      <c r="I242" s="225"/>
      <c r="J242" s="237"/>
      <c r="K242" s="237"/>
      <c r="L242" s="237"/>
      <c r="M242" s="204">
        <f t="shared" si="113"/>
        <v>0</v>
      </c>
      <c r="N242" s="235">
        <f t="shared" si="110"/>
        <v>0</v>
      </c>
      <c r="O242" s="204">
        <f t="shared" si="110"/>
        <v>0</v>
      </c>
      <c r="P242" s="205">
        <f t="shared" si="111"/>
        <v>0</v>
      </c>
      <c r="Q242" s="205">
        <f t="shared" si="112"/>
        <v>0</v>
      </c>
      <c r="R242" s="926"/>
      <c r="S242" s="927"/>
      <c r="T242" s="928"/>
    </row>
    <row r="243" spans="1:20" ht="15" hidden="1" customHeight="1" outlineLevel="1">
      <c r="A243" s="202" t="str">
        <f>TEXT($A$239,0) &amp; ".4"</f>
        <v>0.4</v>
      </c>
      <c r="B243" s="923"/>
      <c r="C243" s="924"/>
      <c r="D243" s="924"/>
      <c r="E243" s="925"/>
      <c r="F243" s="211"/>
      <c r="G243" s="211"/>
      <c r="H243" s="225"/>
      <c r="I243" s="225"/>
      <c r="J243" s="237"/>
      <c r="K243" s="237"/>
      <c r="L243" s="237"/>
      <c r="M243" s="204">
        <f t="shared" si="113"/>
        <v>0</v>
      </c>
      <c r="N243" s="235">
        <f t="shared" si="110"/>
        <v>0</v>
      </c>
      <c r="O243" s="204">
        <f t="shared" si="110"/>
        <v>0</v>
      </c>
      <c r="P243" s="205">
        <f t="shared" si="111"/>
        <v>0</v>
      </c>
      <c r="Q243" s="205">
        <f t="shared" si="112"/>
        <v>0</v>
      </c>
      <c r="R243" s="926"/>
      <c r="S243" s="927"/>
      <c r="T243" s="928"/>
    </row>
    <row r="244" spans="1:20" ht="15" hidden="1" customHeight="1" outlineLevel="1">
      <c r="A244" s="202" t="str">
        <f>TEXT($A$239,0) &amp; ".5"</f>
        <v>0.5</v>
      </c>
      <c r="B244" s="923"/>
      <c r="C244" s="924"/>
      <c r="D244" s="924"/>
      <c r="E244" s="925"/>
      <c r="F244" s="211"/>
      <c r="G244" s="211"/>
      <c r="H244" s="225"/>
      <c r="I244" s="225"/>
      <c r="J244" s="237"/>
      <c r="K244" s="237"/>
      <c r="L244" s="237"/>
      <c r="M244" s="204">
        <f t="shared" si="113"/>
        <v>0</v>
      </c>
      <c r="N244" s="235">
        <f t="shared" si="110"/>
        <v>0</v>
      </c>
      <c r="O244" s="204">
        <f t="shared" si="110"/>
        <v>0</v>
      </c>
      <c r="P244" s="205">
        <f t="shared" si="111"/>
        <v>0</v>
      </c>
      <c r="Q244" s="205">
        <f t="shared" si="112"/>
        <v>0</v>
      </c>
      <c r="R244" s="926"/>
      <c r="S244" s="927"/>
      <c r="T244" s="928"/>
    </row>
    <row r="245" spans="1:20" ht="15" hidden="1" customHeight="1" outlineLevel="1">
      <c r="A245" s="202" t="str">
        <f>TEXT($A$239,0) &amp; ".6"</f>
        <v>0.6</v>
      </c>
      <c r="B245" s="923"/>
      <c r="C245" s="924"/>
      <c r="D245" s="924"/>
      <c r="E245" s="925"/>
      <c r="F245" s="211"/>
      <c r="G245" s="211"/>
      <c r="H245" s="225"/>
      <c r="I245" s="225"/>
      <c r="J245" s="237"/>
      <c r="K245" s="237"/>
      <c r="L245" s="237"/>
      <c r="M245" s="204">
        <f t="shared" si="113"/>
        <v>0</v>
      </c>
      <c r="N245" s="235">
        <f t="shared" si="110"/>
        <v>0</v>
      </c>
      <c r="O245" s="204">
        <f t="shared" si="110"/>
        <v>0</v>
      </c>
      <c r="P245" s="205">
        <f t="shared" si="111"/>
        <v>0</v>
      </c>
      <c r="Q245" s="205">
        <f t="shared" si="112"/>
        <v>0</v>
      </c>
      <c r="R245" s="926"/>
      <c r="S245" s="927"/>
      <c r="T245" s="928"/>
    </row>
    <row r="246" spans="1:20" ht="15" hidden="1" customHeight="1" outlineLevel="1">
      <c r="A246" s="202" t="str">
        <f>TEXT($A$239,0) &amp; ".7"</f>
        <v>0.7</v>
      </c>
      <c r="B246" s="923"/>
      <c r="C246" s="924"/>
      <c r="D246" s="924"/>
      <c r="E246" s="925"/>
      <c r="F246" s="211"/>
      <c r="G246" s="211"/>
      <c r="H246" s="225"/>
      <c r="I246" s="225"/>
      <c r="J246" s="237"/>
      <c r="K246" s="237"/>
      <c r="L246" s="237"/>
      <c r="M246" s="204">
        <f t="shared" si="113"/>
        <v>0</v>
      </c>
      <c r="N246" s="235">
        <f t="shared" si="110"/>
        <v>0</v>
      </c>
      <c r="O246" s="204">
        <f t="shared" si="110"/>
        <v>0</v>
      </c>
      <c r="P246" s="205">
        <f t="shared" si="111"/>
        <v>0</v>
      </c>
      <c r="Q246" s="205">
        <f t="shared" si="112"/>
        <v>0</v>
      </c>
      <c r="R246" s="926"/>
      <c r="S246" s="927"/>
      <c r="T246" s="928"/>
    </row>
    <row r="247" spans="1:20" ht="15" hidden="1" customHeight="1" outlineLevel="1">
      <c r="A247" s="202" t="str">
        <f>TEXT($A$239,0) &amp; ".8"</f>
        <v>0.8</v>
      </c>
      <c r="B247" s="923"/>
      <c r="C247" s="924"/>
      <c r="D247" s="924"/>
      <c r="E247" s="925"/>
      <c r="F247" s="211"/>
      <c r="G247" s="211"/>
      <c r="H247" s="225"/>
      <c r="I247" s="225"/>
      <c r="J247" s="237"/>
      <c r="K247" s="237"/>
      <c r="L247" s="237"/>
      <c r="M247" s="204">
        <f t="shared" si="113"/>
        <v>0</v>
      </c>
      <c r="N247" s="235">
        <f t="shared" si="110"/>
        <v>0</v>
      </c>
      <c r="O247" s="204">
        <f t="shared" si="110"/>
        <v>0</v>
      </c>
      <c r="P247" s="205">
        <f t="shared" si="111"/>
        <v>0</v>
      </c>
      <c r="Q247" s="205">
        <f t="shared" si="112"/>
        <v>0</v>
      </c>
      <c r="R247" s="926"/>
      <c r="S247" s="927"/>
      <c r="T247" s="928"/>
    </row>
    <row r="248" spans="1:20" ht="15" hidden="1" customHeight="1" outlineLevel="1">
      <c r="A248" s="202" t="str">
        <f>TEXT($A$239,0) &amp; ".9"</f>
        <v>0.9</v>
      </c>
      <c r="B248" s="923"/>
      <c r="C248" s="924"/>
      <c r="D248" s="924"/>
      <c r="E248" s="925"/>
      <c r="F248" s="211"/>
      <c r="G248" s="211"/>
      <c r="H248" s="225"/>
      <c r="I248" s="225"/>
      <c r="J248" s="237"/>
      <c r="K248" s="237"/>
      <c r="L248" s="237"/>
      <c r="M248" s="204">
        <f t="shared" si="113"/>
        <v>0</v>
      </c>
      <c r="N248" s="235">
        <f t="shared" si="110"/>
        <v>0</v>
      </c>
      <c r="O248" s="204">
        <f t="shared" si="110"/>
        <v>0</v>
      </c>
      <c r="P248" s="205">
        <f t="shared" si="111"/>
        <v>0</v>
      </c>
      <c r="Q248" s="205">
        <f t="shared" si="112"/>
        <v>0</v>
      </c>
      <c r="R248" s="926"/>
      <c r="S248" s="927"/>
      <c r="T248" s="928"/>
    </row>
    <row r="249" spans="1:20" ht="15" hidden="1" customHeight="1" outlineLevel="1">
      <c r="A249" s="202" t="str">
        <f>TEXT($A$239,0) &amp; ".10"</f>
        <v>0.10</v>
      </c>
      <c r="B249" s="923"/>
      <c r="C249" s="924"/>
      <c r="D249" s="924"/>
      <c r="E249" s="925"/>
      <c r="F249" s="211"/>
      <c r="G249" s="211"/>
      <c r="H249" s="225"/>
      <c r="I249" s="225"/>
      <c r="J249" s="237"/>
      <c r="K249" s="237"/>
      <c r="L249" s="237"/>
      <c r="M249" s="204">
        <f t="shared" si="113"/>
        <v>0</v>
      </c>
      <c r="N249" s="235">
        <f t="shared" ref="N249:O258" si="114">M249</f>
        <v>0</v>
      </c>
      <c r="O249" s="204">
        <f t="shared" si="114"/>
        <v>0</v>
      </c>
      <c r="P249" s="205">
        <f t="shared" si="111"/>
        <v>0</v>
      </c>
      <c r="Q249" s="205">
        <f t="shared" si="112"/>
        <v>0</v>
      </c>
      <c r="R249" s="926"/>
      <c r="S249" s="927"/>
      <c r="T249" s="928"/>
    </row>
    <row r="250" spans="1:20" ht="15" hidden="1" customHeight="1" outlineLevel="1">
      <c r="A250" s="202" t="str">
        <f>TEXT($A$239,0) &amp; ".11"</f>
        <v>0.11</v>
      </c>
      <c r="B250" s="923"/>
      <c r="C250" s="924"/>
      <c r="D250" s="924"/>
      <c r="E250" s="925"/>
      <c r="F250" s="211"/>
      <c r="G250" s="211"/>
      <c r="H250" s="225"/>
      <c r="I250" s="225"/>
      <c r="J250" s="237"/>
      <c r="K250" s="237"/>
      <c r="L250" s="237"/>
      <c r="M250" s="204">
        <f>(J250+K250*4+L250)/6</f>
        <v>0</v>
      </c>
      <c r="N250" s="235">
        <f t="shared" si="114"/>
        <v>0</v>
      </c>
      <c r="O250" s="204">
        <f>N250</f>
        <v>0</v>
      </c>
      <c r="P250" s="205">
        <f t="shared" ref="P250:P259" si="115">IF(H250&lt;&gt;"",INDEX(MDActivityTypeInternalCostPerDay,MATCH(H250,MDActivityTypeID,0),1)*O250,0)</f>
        <v>0</v>
      </c>
      <c r="Q250" s="205">
        <f t="shared" ref="Q250:Q259" si="116">IF(H250&lt;&gt;"",INDEX(MDActivityTypeExternalPricePerDay,MATCH(H250,MDActivityTypeID,0),1)*O250,0)</f>
        <v>0</v>
      </c>
      <c r="R250" s="926"/>
      <c r="S250" s="927"/>
      <c r="T250" s="928"/>
    </row>
    <row r="251" spans="1:20" ht="15" hidden="1" customHeight="1" outlineLevel="1">
      <c r="A251" s="202" t="str">
        <f>TEXT($A$239,0) &amp; ".12"</f>
        <v>0.12</v>
      </c>
      <c r="B251" s="923"/>
      <c r="C251" s="924"/>
      <c r="D251" s="924"/>
      <c r="E251" s="925"/>
      <c r="F251" s="211"/>
      <c r="G251" s="211"/>
      <c r="H251" s="225"/>
      <c r="I251" s="225"/>
      <c r="J251" s="237"/>
      <c r="K251" s="237"/>
      <c r="L251" s="237"/>
      <c r="M251" s="204">
        <f t="shared" ref="M251:M259" si="117">(J251+K251*4+L251)/6</f>
        <v>0</v>
      </c>
      <c r="N251" s="235">
        <f t="shared" si="114"/>
        <v>0</v>
      </c>
      <c r="O251" s="204">
        <f t="shared" ref="O251:O259" si="118">N251</f>
        <v>0</v>
      </c>
      <c r="P251" s="205">
        <f t="shared" si="115"/>
        <v>0</v>
      </c>
      <c r="Q251" s="205">
        <f t="shared" si="116"/>
        <v>0</v>
      </c>
      <c r="R251" s="926"/>
      <c r="S251" s="927"/>
      <c r="T251" s="928"/>
    </row>
    <row r="252" spans="1:20" ht="15" hidden="1" customHeight="1" outlineLevel="1">
      <c r="A252" s="202" t="str">
        <f>TEXT($A$239,0) &amp; ".13"</f>
        <v>0.13</v>
      </c>
      <c r="B252" s="923"/>
      <c r="C252" s="924"/>
      <c r="D252" s="924"/>
      <c r="E252" s="925"/>
      <c r="F252" s="211"/>
      <c r="G252" s="211"/>
      <c r="H252" s="225"/>
      <c r="I252" s="225"/>
      <c r="J252" s="237"/>
      <c r="K252" s="237"/>
      <c r="L252" s="237"/>
      <c r="M252" s="204">
        <f t="shared" si="117"/>
        <v>0</v>
      </c>
      <c r="N252" s="235">
        <f t="shared" si="114"/>
        <v>0</v>
      </c>
      <c r="O252" s="204">
        <f t="shared" si="118"/>
        <v>0</v>
      </c>
      <c r="P252" s="205">
        <f t="shared" si="115"/>
        <v>0</v>
      </c>
      <c r="Q252" s="205">
        <f t="shared" si="116"/>
        <v>0</v>
      </c>
      <c r="R252" s="926"/>
      <c r="S252" s="927"/>
      <c r="T252" s="928"/>
    </row>
    <row r="253" spans="1:20" ht="15" hidden="1" customHeight="1" outlineLevel="1">
      <c r="A253" s="202" t="str">
        <f>TEXT($A$239,0) &amp; ".14"</f>
        <v>0.14</v>
      </c>
      <c r="B253" s="923"/>
      <c r="C253" s="924"/>
      <c r="D253" s="924"/>
      <c r="E253" s="925"/>
      <c r="F253" s="211"/>
      <c r="G253" s="211"/>
      <c r="H253" s="225"/>
      <c r="I253" s="225"/>
      <c r="J253" s="237"/>
      <c r="K253" s="237"/>
      <c r="L253" s="237"/>
      <c r="M253" s="204">
        <f t="shared" si="117"/>
        <v>0</v>
      </c>
      <c r="N253" s="235">
        <f t="shared" si="114"/>
        <v>0</v>
      </c>
      <c r="O253" s="204">
        <f t="shared" si="118"/>
        <v>0</v>
      </c>
      <c r="P253" s="205">
        <f t="shared" si="115"/>
        <v>0</v>
      </c>
      <c r="Q253" s="205">
        <f t="shared" si="116"/>
        <v>0</v>
      </c>
      <c r="R253" s="926"/>
      <c r="S253" s="927"/>
      <c r="T253" s="928"/>
    </row>
    <row r="254" spans="1:20" ht="15" hidden="1" customHeight="1" outlineLevel="1">
      <c r="A254" s="202" t="str">
        <f>TEXT($A$239,0) &amp; ".15"</f>
        <v>0.15</v>
      </c>
      <c r="B254" s="923"/>
      <c r="C254" s="924"/>
      <c r="D254" s="924"/>
      <c r="E254" s="925"/>
      <c r="F254" s="211"/>
      <c r="G254" s="211"/>
      <c r="H254" s="225"/>
      <c r="I254" s="225"/>
      <c r="J254" s="237"/>
      <c r="K254" s="237"/>
      <c r="L254" s="237"/>
      <c r="M254" s="204">
        <f t="shared" si="117"/>
        <v>0</v>
      </c>
      <c r="N254" s="235">
        <f t="shared" si="114"/>
        <v>0</v>
      </c>
      <c r="O254" s="204">
        <f t="shared" si="118"/>
        <v>0</v>
      </c>
      <c r="P254" s="205">
        <f t="shared" si="115"/>
        <v>0</v>
      </c>
      <c r="Q254" s="205">
        <f t="shared" si="116"/>
        <v>0</v>
      </c>
      <c r="R254" s="926"/>
      <c r="S254" s="927"/>
      <c r="T254" s="928"/>
    </row>
    <row r="255" spans="1:20" ht="15" hidden="1" customHeight="1" outlineLevel="1">
      <c r="A255" s="202" t="str">
        <f>TEXT($A$239,0) &amp; ".16"</f>
        <v>0.16</v>
      </c>
      <c r="B255" s="923"/>
      <c r="C255" s="924"/>
      <c r="D255" s="924"/>
      <c r="E255" s="925"/>
      <c r="F255" s="211"/>
      <c r="G255" s="211"/>
      <c r="H255" s="225"/>
      <c r="I255" s="225"/>
      <c r="J255" s="237"/>
      <c r="K255" s="237"/>
      <c r="L255" s="237"/>
      <c r="M255" s="204">
        <f t="shared" si="117"/>
        <v>0</v>
      </c>
      <c r="N255" s="235">
        <f t="shared" si="114"/>
        <v>0</v>
      </c>
      <c r="O255" s="204">
        <f t="shared" si="118"/>
        <v>0</v>
      </c>
      <c r="P255" s="205">
        <f t="shared" si="115"/>
        <v>0</v>
      </c>
      <c r="Q255" s="205">
        <f t="shared" si="116"/>
        <v>0</v>
      </c>
      <c r="R255" s="926"/>
      <c r="S255" s="927"/>
      <c r="T255" s="928"/>
    </row>
    <row r="256" spans="1:20" ht="15" hidden="1" customHeight="1" outlineLevel="1">
      <c r="A256" s="202" t="str">
        <f>TEXT($A$239,0) &amp; ".17"</f>
        <v>0.17</v>
      </c>
      <c r="B256" s="923"/>
      <c r="C256" s="924"/>
      <c r="D256" s="924"/>
      <c r="E256" s="925"/>
      <c r="F256" s="211"/>
      <c r="G256" s="211"/>
      <c r="H256" s="225"/>
      <c r="I256" s="225"/>
      <c r="J256" s="237"/>
      <c r="K256" s="237"/>
      <c r="L256" s="237"/>
      <c r="M256" s="204">
        <f t="shared" si="117"/>
        <v>0</v>
      </c>
      <c r="N256" s="235">
        <f t="shared" si="114"/>
        <v>0</v>
      </c>
      <c r="O256" s="204">
        <f t="shared" si="118"/>
        <v>0</v>
      </c>
      <c r="P256" s="205">
        <f t="shared" si="115"/>
        <v>0</v>
      </c>
      <c r="Q256" s="205">
        <f t="shared" si="116"/>
        <v>0</v>
      </c>
      <c r="R256" s="926"/>
      <c r="S256" s="927"/>
      <c r="T256" s="928"/>
    </row>
    <row r="257" spans="1:20" ht="15" hidden="1" customHeight="1" outlineLevel="1">
      <c r="A257" s="202" t="str">
        <f>TEXT($A$239,0) &amp; ".18"</f>
        <v>0.18</v>
      </c>
      <c r="B257" s="923"/>
      <c r="C257" s="924"/>
      <c r="D257" s="924"/>
      <c r="E257" s="925"/>
      <c r="F257" s="211"/>
      <c r="G257" s="211"/>
      <c r="H257" s="225"/>
      <c r="I257" s="225"/>
      <c r="J257" s="237"/>
      <c r="K257" s="237"/>
      <c r="L257" s="237"/>
      <c r="M257" s="204">
        <f t="shared" si="117"/>
        <v>0</v>
      </c>
      <c r="N257" s="235">
        <f t="shared" si="114"/>
        <v>0</v>
      </c>
      <c r="O257" s="204">
        <f t="shared" si="118"/>
        <v>0</v>
      </c>
      <c r="P257" s="205">
        <f t="shared" si="115"/>
        <v>0</v>
      </c>
      <c r="Q257" s="205">
        <f t="shared" si="116"/>
        <v>0</v>
      </c>
      <c r="R257" s="926"/>
      <c r="S257" s="927"/>
      <c r="T257" s="928"/>
    </row>
    <row r="258" spans="1:20" ht="15" hidden="1" customHeight="1" outlineLevel="1">
      <c r="A258" s="202" t="str">
        <f>TEXT($A$239,0) &amp; ".19"</f>
        <v>0.19</v>
      </c>
      <c r="B258" s="923"/>
      <c r="C258" s="924"/>
      <c r="D258" s="924"/>
      <c r="E258" s="925"/>
      <c r="F258" s="211"/>
      <c r="G258" s="211"/>
      <c r="H258" s="225"/>
      <c r="I258" s="225"/>
      <c r="J258" s="237"/>
      <c r="K258" s="237"/>
      <c r="L258" s="237"/>
      <c r="M258" s="204">
        <f t="shared" si="117"/>
        <v>0</v>
      </c>
      <c r="N258" s="235">
        <f t="shared" si="114"/>
        <v>0</v>
      </c>
      <c r="O258" s="204">
        <f t="shared" si="118"/>
        <v>0</v>
      </c>
      <c r="P258" s="205">
        <f t="shared" si="115"/>
        <v>0</v>
      </c>
      <c r="Q258" s="205">
        <f t="shared" si="116"/>
        <v>0</v>
      </c>
      <c r="R258" s="926"/>
      <c r="S258" s="927"/>
      <c r="T258" s="928"/>
    </row>
    <row r="259" spans="1:20" ht="15" hidden="1" customHeight="1" outlineLevel="1">
      <c r="A259" s="202" t="str">
        <f>TEXT($A$239,0) &amp; ".20"</f>
        <v>0.20</v>
      </c>
      <c r="B259" s="923"/>
      <c r="C259" s="924"/>
      <c r="D259" s="924"/>
      <c r="E259" s="925"/>
      <c r="F259" s="211"/>
      <c r="G259" s="211"/>
      <c r="H259" s="225"/>
      <c r="I259" s="225"/>
      <c r="J259" s="237"/>
      <c r="K259" s="237"/>
      <c r="L259" s="237"/>
      <c r="M259" s="204">
        <f t="shared" si="117"/>
        <v>0</v>
      </c>
      <c r="N259" s="235">
        <f>M259</f>
        <v>0</v>
      </c>
      <c r="O259" s="204">
        <f t="shared" si="118"/>
        <v>0</v>
      </c>
      <c r="P259" s="205">
        <f t="shared" si="115"/>
        <v>0</v>
      </c>
      <c r="Q259" s="205">
        <f t="shared" si="116"/>
        <v>0</v>
      </c>
      <c r="R259" s="926"/>
      <c r="S259" s="927"/>
      <c r="T259" s="928"/>
    </row>
    <row r="260" spans="1:20" ht="15" customHeight="1" collapsed="1">
      <c r="A260" s="267"/>
      <c r="B260" s="932"/>
      <c r="C260" s="933"/>
      <c r="D260" s="933"/>
      <c r="E260" s="934"/>
      <c r="F260" s="220"/>
      <c r="G260" s="220"/>
      <c r="H260" s="222"/>
      <c r="I260" s="222" t="str">
        <f>IF(COUNTIF(I261:I280,TMDPhaseTimeAndMaterial)&gt;0,TMDPhaseTimeAndMaterial,IF(COUNTIF(I261:I280,TMDPhaseChangeTimeAndMaterial)&gt;0,TMDPhaseChangeTimeAndMaterial,""))</f>
        <v/>
      </c>
      <c r="J260" s="234">
        <f t="shared" ref="J260:Q260" si="119">SUM(J261:J280)</f>
        <v>0</v>
      </c>
      <c r="K260" s="234">
        <f t="shared" si="119"/>
        <v>0</v>
      </c>
      <c r="L260" s="234">
        <f t="shared" si="119"/>
        <v>0</v>
      </c>
      <c r="M260" s="201">
        <f t="shared" si="119"/>
        <v>0</v>
      </c>
      <c r="N260" s="201">
        <f t="shared" si="119"/>
        <v>0</v>
      </c>
      <c r="O260" s="201">
        <f t="shared" si="119"/>
        <v>0</v>
      </c>
      <c r="P260" s="201">
        <f t="shared" si="119"/>
        <v>0</v>
      </c>
      <c r="Q260" s="201">
        <f t="shared" si="119"/>
        <v>0</v>
      </c>
      <c r="R260" s="936"/>
      <c r="S260" s="936"/>
      <c r="T260" s="936"/>
    </row>
    <row r="261" spans="1:20" ht="15" hidden="1" customHeight="1" outlineLevel="1">
      <c r="A261" s="202" t="str">
        <f>TEXT($A$260,0) &amp; ".1"</f>
        <v>0.1</v>
      </c>
      <c r="B261" s="923"/>
      <c r="C261" s="924"/>
      <c r="D261" s="924"/>
      <c r="E261" s="925"/>
      <c r="F261" s="211"/>
      <c r="G261" s="211"/>
      <c r="H261" s="225"/>
      <c r="I261" s="225"/>
      <c r="J261" s="237"/>
      <c r="K261" s="237"/>
      <c r="L261" s="237"/>
      <c r="M261" s="204">
        <f>(J261+K261*4+L261)/6</f>
        <v>0</v>
      </c>
      <c r="N261" s="235">
        <f t="shared" ref="N261:O269" si="120">M261</f>
        <v>0</v>
      </c>
      <c r="O261" s="204">
        <f t="shared" si="120"/>
        <v>0</v>
      </c>
      <c r="P261" s="205">
        <f t="shared" ref="P261:P270" si="121">IF(H261&lt;&gt;"",INDEX(MDActivityTypeInternalCostPerDay,MATCH(H261,MDActivityTypeID,0),1)*O261,0)</f>
        <v>0</v>
      </c>
      <c r="Q261" s="205">
        <f t="shared" ref="Q261:Q270" si="122">IF(H261&lt;&gt;"",INDEX(MDActivityTypeExternalPricePerDay,MATCH(H261,MDActivityTypeID,0),1)*O261,0)</f>
        <v>0</v>
      </c>
      <c r="R261" s="926"/>
      <c r="S261" s="927"/>
      <c r="T261" s="928"/>
    </row>
    <row r="262" spans="1:20" ht="15" hidden="1" customHeight="1" outlineLevel="1">
      <c r="A262" s="202" t="str">
        <f>TEXT($A$260,0) &amp; ".2"</f>
        <v>0.2</v>
      </c>
      <c r="B262" s="923"/>
      <c r="C262" s="924"/>
      <c r="D262" s="924"/>
      <c r="E262" s="925"/>
      <c r="F262" s="211"/>
      <c r="G262" s="211"/>
      <c r="H262" s="225"/>
      <c r="I262" s="225"/>
      <c r="J262" s="237"/>
      <c r="K262" s="237"/>
      <c r="L262" s="237"/>
      <c r="M262" s="204">
        <f t="shared" ref="M262:M270" si="123">(J262+K262*4+L262)/6</f>
        <v>0</v>
      </c>
      <c r="N262" s="235">
        <f t="shared" si="120"/>
        <v>0</v>
      </c>
      <c r="O262" s="204">
        <f t="shared" si="120"/>
        <v>0</v>
      </c>
      <c r="P262" s="205">
        <f t="shared" si="121"/>
        <v>0</v>
      </c>
      <c r="Q262" s="205">
        <f t="shared" si="122"/>
        <v>0</v>
      </c>
      <c r="R262" s="926"/>
      <c r="S262" s="927"/>
      <c r="T262" s="928"/>
    </row>
    <row r="263" spans="1:20" ht="15" hidden="1" customHeight="1" outlineLevel="1">
      <c r="A263" s="202" t="str">
        <f>TEXT($A$260,0) &amp; ".3"</f>
        <v>0.3</v>
      </c>
      <c r="B263" s="923"/>
      <c r="C263" s="924"/>
      <c r="D263" s="924"/>
      <c r="E263" s="925"/>
      <c r="F263" s="211"/>
      <c r="G263" s="211"/>
      <c r="H263" s="225"/>
      <c r="I263" s="225"/>
      <c r="J263" s="237"/>
      <c r="K263" s="237"/>
      <c r="L263" s="237"/>
      <c r="M263" s="204">
        <f t="shared" si="123"/>
        <v>0</v>
      </c>
      <c r="N263" s="235">
        <f t="shared" si="120"/>
        <v>0</v>
      </c>
      <c r="O263" s="204">
        <f t="shared" si="120"/>
        <v>0</v>
      </c>
      <c r="P263" s="205">
        <f t="shared" si="121"/>
        <v>0</v>
      </c>
      <c r="Q263" s="205">
        <f t="shared" si="122"/>
        <v>0</v>
      </c>
      <c r="R263" s="926"/>
      <c r="S263" s="927"/>
      <c r="T263" s="928"/>
    </row>
    <row r="264" spans="1:20" ht="15" hidden="1" customHeight="1" outlineLevel="1">
      <c r="A264" s="202" t="str">
        <f>TEXT($A$260,0) &amp; ".4"</f>
        <v>0.4</v>
      </c>
      <c r="B264" s="923"/>
      <c r="C264" s="924"/>
      <c r="D264" s="924"/>
      <c r="E264" s="925"/>
      <c r="F264" s="211"/>
      <c r="G264" s="211"/>
      <c r="H264" s="225"/>
      <c r="I264" s="225"/>
      <c r="J264" s="237"/>
      <c r="K264" s="237"/>
      <c r="L264" s="237"/>
      <c r="M264" s="204">
        <f t="shared" si="123"/>
        <v>0</v>
      </c>
      <c r="N264" s="235">
        <f t="shared" si="120"/>
        <v>0</v>
      </c>
      <c r="O264" s="204">
        <f t="shared" si="120"/>
        <v>0</v>
      </c>
      <c r="P264" s="205">
        <f t="shared" si="121"/>
        <v>0</v>
      </c>
      <c r="Q264" s="205">
        <f t="shared" si="122"/>
        <v>0</v>
      </c>
      <c r="R264" s="926"/>
      <c r="S264" s="927"/>
      <c r="T264" s="928"/>
    </row>
    <row r="265" spans="1:20" ht="15" hidden="1" customHeight="1" outlineLevel="1">
      <c r="A265" s="202" t="str">
        <f>TEXT($A$260,0) &amp; ".5"</f>
        <v>0.5</v>
      </c>
      <c r="B265" s="923"/>
      <c r="C265" s="924"/>
      <c r="D265" s="924"/>
      <c r="E265" s="925"/>
      <c r="F265" s="211"/>
      <c r="G265" s="211"/>
      <c r="H265" s="225"/>
      <c r="I265" s="225"/>
      <c r="J265" s="237"/>
      <c r="K265" s="237"/>
      <c r="L265" s="237"/>
      <c r="M265" s="204">
        <f t="shared" si="123"/>
        <v>0</v>
      </c>
      <c r="N265" s="235">
        <f t="shared" si="120"/>
        <v>0</v>
      </c>
      <c r="O265" s="204">
        <f t="shared" si="120"/>
        <v>0</v>
      </c>
      <c r="P265" s="205">
        <f t="shared" si="121"/>
        <v>0</v>
      </c>
      <c r="Q265" s="205">
        <f t="shared" si="122"/>
        <v>0</v>
      </c>
      <c r="R265" s="926"/>
      <c r="S265" s="927"/>
      <c r="T265" s="928"/>
    </row>
    <row r="266" spans="1:20" ht="15" hidden="1" customHeight="1" outlineLevel="1">
      <c r="A266" s="202" t="str">
        <f>TEXT($A$260,0) &amp; ".6"</f>
        <v>0.6</v>
      </c>
      <c r="B266" s="923"/>
      <c r="C266" s="924"/>
      <c r="D266" s="924"/>
      <c r="E266" s="925"/>
      <c r="F266" s="211"/>
      <c r="G266" s="211"/>
      <c r="H266" s="225"/>
      <c r="I266" s="225"/>
      <c r="J266" s="237"/>
      <c r="K266" s="237"/>
      <c r="L266" s="237"/>
      <c r="M266" s="204">
        <f t="shared" si="123"/>
        <v>0</v>
      </c>
      <c r="N266" s="235">
        <f t="shared" si="120"/>
        <v>0</v>
      </c>
      <c r="O266" s="204">
        <f t="shared" si="120"/>
        <v>0</v>
      </c>
      <c r="P266" s="205">
        <f t="shared" si="121"/>
        <v>0</v>
      </c>
      <c r="Q266" s="205">
        <f t="shared" si="122"/>
        <v>0</v>
      </c>
      <c r="R266" s="926"/>
      <c r="S266" s="927"/>
      <c r="T266" s="928"/>
    </row>
    <row r="267" spans="1:20" ht="15" hidden="1" customHeight="1" outlineLevel="1">
      <c r="A267" s="202" t="str">
        <f>TEXT($A$260,0) &amp; ".7"</f>
        <v>0.7</v>
      </c>
      <c r="B267" s="923"/>
      <c r="C267" s="924"/>
      <c r="D267" s="924"/>
      <c r="E267" s="925"/>
      <c r="F267" s="211"/>
      <c r="G267" s="211"/>
      <c r="H267" s="225"/>
      <c r="I267" s="225"/>
      <c r="J267" s="237"/>
      <c r="K267" s="237"/>
      <c r="L267" s="237"/>
      <c r="M267" s="204">
        <f t="shared" si="123"/>
        <v>0</v>
      </c>
      <c r="N267" s="235">
        <f t="shared" si="120"/>
        <v>0</v>
      </c>
      <c r="O267" s="204">
        <f t="shared" si="120"/>
        <v>0</v>
      </c>
      <c r="P267" s="205">
        <f t="shared" si="121"/>
        <v>0</v>
      </c>
      <c r="Q267" s="205">
        <f t="shared" si="122"/>
        <v>0</v>
      </c>
      <c r="R267" s="926"/>
      <c r="S267" s="927"/>
      <c r="T267" s="928"/>
    </row>
    <row r="268" spans="1:20" ht="15" hidden="1" customHeight="1" outlineLevel="1">
      <c r="A268" s="202" t="str">
        <f>TEXT($A$260,0) &amp; ".8"</f>
        <v>0.8</v>
      </c>
      <c r="B268" s="923"/>
      <c r="C268" s="924"/>
      <c r="D268" s="924"/>
      <c r="E268" s="925"/>
      <c r="F268" s="211"/>
      <c r="G268" s="211"/>
      <c r="H268" s="225"/>
      <c r="I268" s="225"/>
      <c r="J268" s="237"/>
      <c r="K268" s="237"/>
      <c r="L268" s="237"/>
      <c r="M268" s="204">
        <f t="shared" si="123"/>
        <v>0</v>
      </c>
      <c r="N268" s="235">
        <f t="shared" si="120"/>
        <v>0</v>
      </c>
      <c r="O268" s="204">
        <f t="shared" si="120"/>
        <v>0</v>
      </c>
      <c r="P268" s="205">
        <f t="shared" si="121"/>
        <v>0</v>
      </c>
      <c r="Q268" s="205">
        <f t="shared" si="122"/>
        <v>0</v>
      </c>
      <c r="R268" s="926"/>
      <c r="S268" s="927"/>
      <c r="T268" s="928"/>
    </row>
    <row r="269" spans="1:20" ht="15" hidden="1" customHeight="1" outlineLevel="1">
      <c r="A269" s="202" t="str">
        <f>TEXT($A$260,0) &amp; ".9"</f>
        <v>0.9</v>
      </c>
      <c r="B269" s="923"/>
      <c r="C269" s="924"/>
      <c r="D269" s="924"/>
      <c r="E269" s="925"/>
      <c r="F269" s="211"/>
      <c r="G269" s="211"/>
      <c r="H269" s="225"/>
      <c r="I269" s="225"/>
      <c r="J269" s="237"/>
      <c r="K269" s="237"/>
      <c r="L269" s="237"/>
      <c r="M269" s="204">
        <f t="shared" si="123"/>
        <v>0</v>
      </c>
      <c r="N269" s="235">
        <f t="shared" si="120"/>
        <v>0</v>
      </c>
      <c r="O269" s="204">
        <f t="shared" si="120"/>
        <v>0</v>
      </c>
      <c r="P269" s="205">
        <f t="shared" si="121"/>
        <v>0</v>
      </c>
      <c r="Q269" s="205">
        <f t="shared" si="122"/>
        <v>0</v>
      </c>
      <c r="R269" s="926"/>
      <c r="S269" s="927"/>
      <c r="T269" s="928"/>
    </row>
    <row r="270" spans="1:20" ht="15" hidden="1" customHeight="1" outlineLevel="1">
      <c r="A270" s="202" t="str">
        <f>TEXT($A$260,0) &amp; ".10"</f>
        <v>0.10</v>
      </c>
      <c r="B270" s="923"/>
      <c r="C270" s="924"/>
      <c r="D270" s="924"/>
      <c r="E270" s="925"/>
      <c r="F270" s="211"/>
      <c r="G270" s="211"/>
      <c r="H270" s="225"/>
      <c r="I270" s="225"/>
      <c r="J270" s="237"/>
      <c r="K270" s="237"/>
      <c r="L270" s="237"/>
      <c r="M270" s="204">
        <f t="shared" si="123"/>
        <v>0</v>
      </c>
      <c r="N270" s="235">
        <f t="shared" ref="N270:O279" si="124">M270</f>
        <v>0</v>
      </c>
      <c r="O270" s="204">
        <f t="shared" si="124"/>
        <v>0</v>
      </c>
      <c r="P270" s="205">
        <f t="shared" si="121"/>
        <v>0</v>
      </c>
      <c r="Q270" s="205">
        <f t="shared" si="122"/>
        <v>0</v>
      </c>
      <c r="R270" s="926"/>
      <c r="S270" s="927"/>
      <c r="T270" s="928"/>
    </row>
    <row r="271" spans="1:20" ht="15" hidden="1" customHeight="1" outlineLevel="1">
      <c r="A271" s="202" t="str">
        <f>TEXT($A$260,0) &amp; ".11"</f>
        <v>0.11</v>
      </c>
      <c r="B271" s="923"/>
      <c r="C271" s="924"/>
      <c r="D271" s="924"/>
      <c r="E271" s="925"/>
      <c r="F271" s="211"/>
      <c r="G271" s="211"/>
      <c r="H271" s="225"/>
      <c r="I271" s="225"/>
      <c r="J271" s="237"/>
      <c r="K271" s="237"/>
      <c r="L271" s="237"/>
      <c r="M271" s="204">
        <f>(J271+K271*4+L271)/6</f>
        <v>0</v>
      </c>
      <c r="N271" s="235">
        <f t="shared" si="124"/>
        <v>0</v>
      </c>
      <c r="O271" s="204">
        <f>N271</f>
        <v>0</v>
      </c>
      <c r="P271" s="205">
        <f t="shared" ref="P271:P280" si="125">IF(H271&lt;&gt;"",INDEX(MDActivityTypeInternalCostPerDay,MATCH(H271,MDActivityTypeID,0),1)*O271,0)</f>
        <v>0</v>
      </c>
      <c r="Q271" s="205">
        <f t="shared" ref="Q271:Q280" si="126">IF(H271&lt;&gt;"",INDEX(MDActivityTypeExternalPricePerDay,MATCH(H271,MDActivityTypeID,0),1)*O271,0)</f>
        <v>0</v>
      </c>
      <c r="R271" s="926"/>
      <c r="S271" s="927"/>
      <c r="T271" s="928"/>
    </row>
    <row r="272" spans="1:20" ht="15" hidden="1" customHeight="1" outlineLevel="1">
      <c r="A272" s="202" t="str">
        <f>TEXT($A$260,0) &amp; ".12"</f>
        <v>0.12</v>
      </c>
      <c r="B272" s="923"/>
      <c r="C272" s="924"/>
      <c r="D272" s="924"/>
      <c r="E272" s="925"/>
      <c r="F272" s="211"/>
      <c r="G272" s="211"/>
      <c r="H272" s="225"/>
      <c r="I272" s="225"/>
      <c r="J272" s="237"/>
      <c r="K272" s="237"/>
      <c r="L272" s="237"/>
      <c r="M272" s="204">
        <f t="shared" ref="M272:M280" si="127">(J272+K272*4+L272)/6</f>
        <v>0</v>
      </c>
      <c r="N272" s="235">
        <f t="shared" si="124"/>
        <v>0</v>
      </c>
      <c r="O272" s="204">
        <f t="shared" ref="O272:O280" si="128">N272</f>
        <v>0</v>
      </c>
      <c r="P272" s="205">
        <f t="shared" si="125"/>
        <v>0</v>
      </c>
      <c r="Q272" s="205">
        <f t="shared" si="126"/>
        <v>0</v>
      </c>
      <c r="R272" s="926"/>
      <c r="S272" s="927"/>
      <c r="T272" s="928"/>
    </row>
    <row r="273" spans="1:20" ht="15" hidden="1" customHeight="1" outlineLevel="1">
      <c r="A273" s="202" t="str">
        <f>TEXT($A$260,0) &amp; ".13"</f>
        <v>0.13</v>
      </c>
      <c r="B273" s="923"/>
      <c r="C273" s="924"/>
      <c r="D273" s="924"/>
      <c r="E273" s="925"/>
      <c r="F273" s="211"/>
      <c r="G273" s="211"/>
      <c r="H273" s="225"/>
      <c r="I273" s="225"/>
      <c r="J273" s="237"/>
      <c r="K273" s="237"/>
      <c r="L273" s="237"/>
      <c r="M273" s="204">
        <f t="shared" si="127"/>
        <v>0</v>
      </c>
      <c r="N273" s="235">
        <f t="shared" si="124"/>
        <v>0</v>
      </c>
      <c r="O273" s="204">
        <f t="shared" si="128"/>
        <v>0</v>
      </c>
      <c r="P273" s="205">
        <f t="shared" si="125"/>
        <v>0</v>
      </c>
      <c r="Q273" s="205">
        <f t="shared" si="126"/>
        <v>0</v>
      </c>
      <c r="R273" s="926"/>
      <c r="S273" s="927"/>
      <c r="T273" s="928"/>
    </row>
    <row r="274" spans="1:20" ht="15" hidden="1" customHeight="1" outlineLevel="1">
      <c r="A274" s="202" t="str">
        <f>TEXT($A$260,0) &amp; ".14"</f>
        <v>0.14</v>
      </c>
      <c r="B274" s="923"/>
      <c r="C274" s="924"/>
      <c r="D274" s="924"/>
      <c r="E274" s="925"/>
      <c r="F274" s="211"/>
      <c r="G274" s="211"/>
      <c r="H274" s="225"/>
      <c r="I274" s="225"/>
      <c r="J274" s="237"/>
      <c r="K274" s="237"/>
      <c r="L274" s="237"/>
      <c r="M274" s="204">
        <f t="shared" si="127"/>
        <v>0</v>
      </c>
      <c r="N274" s="235">
        <f t="shared" si="124"/>
        <v>0</v>
      </c>
      <c r="O274" s="204">
        <f t="shared" si="128"/>
        <v>0</v>
      </c>
      <c r="P274" s="205">
        <f t="shared" si="125"/>
        <v>0</v>
      </c>
      <c r="Q274" s="205">
        <f t="shared" si="126"/>
        <v>0</v>
      </c>
      <c r="R274" s="926"/>
      <c r="S274" s="927"/>
      <c r="T274" s="928"/>
    </row>
    <row r="275" spans="1:20" ht="15" hidden="1" customHeight="1" outlineLevel="1">
      <c r="A275" s="202" t="str">
        <f>TEXT($A$260,0) &amp; ".15"</f>
        <v>0.15</v>
      </c>
      <c r="B275" s="923"/>
      <c r="C275" s="924"/>
      <c r="D275" s="924"/>
      <c r="E275" s="925"/>
      <c r="F275" s="211"/>
      <c r="G275" s="211"/>
      <c r="H275" s="225"/>
      <c r="I275" s="225"/>
      <c r="J275" s="237"/>
      <c r="K275" s="237"/>
      <c r="L275" s="237"/>
      <c r="M275" s="204">
        <f t="shared" si="127"/>
        <v>0</v>
      </c>
      <c r="N275" s="235">
        <f t="shared" si="124"/>
        <v>0</v>
      </c>
      <c r="O275" s="204">
        <f t="shared" si="128"/>
        <v>0</v>
      </c>
      <c r="P275" s="205">
        <f t="shared" si="125"/>
        <v>0</v>
      </c>
      <c r="Q275" s="205">
        <f t="shared" si="126"/>
        <v>0</v>
      </c>
      <c r="R275" s="926"/>
      <c r="S275" s="927"/>
      <c r="T275" s="928"/>
    </row>
    <row r="276" spans="1:20" ht="15" hidden="1" customHeight="1" outlineLevel="1">
      <c r="A276" s="202" t="str">
        <f>TEXT($A$260,0) &amp; ".16"</f>
        <v>0.16</v>
      </c>
      <c r="B276" s="923"/>
      <c r="C276" s="924"/>
      <c r="D276" s="924"/>
      <c r="E276" s="925"/>
      <c r="F276" s="211"/>
      <c r="G276" s="211"/>
      <c r="H276" s="225"/>
      <c r="I276" s="225"/>
      <c r="J276" s="237"/>
      <c r="K276" s="237"/>
      <c r="L276" s="237"/>
      <c r="M276" s="204">
        <f t="shared" si="127"/>
        <v>0</v>
      </c>
      <c r="N276" s="235">
        <f t="shared" si="124"/>
        <v>0</v>
      </c>
      <c r="O276" s="204">
        <f t="shared" si="128"/>
        <v>0</v>
      </c>
      <c r="P276" s="205">
        <f t="shared" si="125"/>
        <v>0</v>
      </c>
      <c r="Q276" s="205">
        <f t="shared" si="126"/>
        <v>0</v>
      </c>
      <c r="R276" s="926"/>
      <c r="S276" s="927"/>
      <c r="T276" s="928"/>
    </row>
    <row r="277" spans="1:20" ht="15" hidden="1" customHeight="1" outlineLevel="1">
      <c r="A277" s="202" t="str">
        <f>TEXT($A$260,0) &amp; ".17"</f>
        <v>0.17</v>
      </c>
      <c r="B277" s="923"/>
      <c r="C277" s="924"/>
      <c r="D277" s="924"/>
      <c r="E277" s="925"/>
      <c r="F277" s="211"/>
      <c r="G277" s="211"/>
      <c r="H277" s="225"/>
      <c r="I277" s="225"/>
      <c r="J277" s="237"/>
      <c r="K277" s="237"/>
      <c r="L277" s="237"/>
      <c r="M277" s="204">
        <f t="shared" si="127"/>
        <v>0</v>
      </c>
      <c r="N277" s="235">
        <f t="shared" si="124"/>
        <v>0</v>
      </c>
      <c r="O277" s="204">
        <f t="shared" si="128"/>
        <v>0</v>
      </c>
      <c r="P277" s="205">
        <f t="shared" si="125"/>
        <v>0</v>
      </c>
      <c r="Q277" s="205">
        <f t="shared" si="126"/>
        <v>0</v>
      </c>
      <c r="R277" s="926"/>
      <c r="S277" s="927"/>
      <c r="T277" s="928"/>
    </row>
    <row r="278" spans="1:20" ht="15" hidden="1" customHeight="1" outlineLevel="1">
      <c r="A278" s="202" t="str">
        <f>TEXT($A$260,0) &amp; ".18"</f>
        <v>0.18</v>
      </c>
      <c r="B278" s="923"/>
      <c r="C278" s="924"/>
      <c r="D278" s="924"/>
      <c r="E278" s="925"/>
      <c r="F278" s="211"/>
      <c r="G278" s="211"/>
      <c r="H278" s="225"/>
      <c r="I278" s="225"/>
      <c r="J278" s="237"/>
      <c r="K278" s="237"/>
      <c r="L278" s="237"/>
      <c r="M278" s="204">
        <f t="shared" si="127"/>
        <v>0</v>
      </c>
      <c r="N278" s="235">
        <f t="shared" si="124"/>
        <v>0</v>
      </c>
      <c r="O278" s="204">
        <f t="shared" si="128"/>
        <v>0</v>
      </c>
      <c r="P278" s="205">
        <f t="shared" si="125"/>
        <v>0</v>
      </c>
      <c r="Q278" s="205">
        <f t="shared" si="126"/>
        <v>0</v>
      </c>
      <c r="R278" s="926"/>
      <c r="S278" s="927"/>
      <c r="T278" s="928"/>
    </row>
    <row r="279" spans="1:20" ht="15" hidden="1" customHeight="1" outlineLevel="1">
      <c r="A279" s="202" t="str">
        <f>TEXT($A$260,0) &amp; ".19"</f>
        <v>0.19</v>
      </c>
      <c r="B279" s="923"/>
      <c r="C279" s="924"/>
      <c r="D279" s="924"/>
      <c r="E279" s="925"/>
      <c r="F279" s="211"/>
      <c r="G279" s="211"/>
      <c r="H279" s="225"/>
      <c r="I279" s="225"/>
      <c r="J279" s="237"/>
      <c r="K279" s="237"/>
      <c r="L279" s="237"/>
      <c r="M279" s="204">
        <f t="shared" si="127"/>
        <v>0</v>
      </c>
      <c r="N279" s="235">
        <f t="shared" si="124"/>
        <v>0</v>
      </c>
      <c r="O279" s="204">
        <f t="shared" si="128"/>
        <v>0</v>
      </c>
      <c r="P279" s="205">
        <f t="shared" si="125"/>
        <v>0</v>
      </c>
      <c r="Q279" s="205">
        <f t="shared" si="126"/>
        <v>0</v>
      </c>
      <c r="R279" s="926"/>
      <c r="S279" s="927"/>
      <c r="T279" s="928"/>
    </row>
    <row r="280" spans="1:20" ht="15" hidden="1" customHeight="1" outlineLevel="1">
      <c r="A280" s="202" t="str">
        <f>TEXT($A$260,0) &amp; ".20"</f>
        <v>0.20</v>
      </c>
      <c r="B280" s="923"/>
      <c r="C280" s="924"/>
      <c r="D280" s="924"/>
      <c r="E280" s="925"/>
      <c r="F280" s="211"/>
      <c r="G280" s="211"/>
      <c r="H280" s="225"/>
      <c r="I280" s="225"/>
      <c r="J280" s="237"/>
      <c r="K280" s="237"/>
      <c r="L280" s="237"/>
      <c r="M280" s="204">
        <f t="shared" si="127"/>
        <v>0</v>
      </c>
      <c r="N280" s="235">
        <f>M280</f>
        <v>0</v>
      </c>
      <c r="O280" s="204">
        <f t="shared" si="128"/>
        <v>0</v>
      </c>
      <c r="P280" s="205">
        <f t="shared" si="125"/>
        <v>0</v>
      </c>
      <c r="Q280" s="205">
        <f t="shared" si="126"/>
        <v>0</v>
      </c>
      <c r="R280" s="926"/>
      <c r="S280" s="927"/>
      <c r="T280" s="928"/>
    </row>
    <row r="281" spans="1:20" ht="15" customHeight="1" collapsed="1">
      <c r="A281" s="267"/>
      <c r="B281" s="932"/>
      <c r="C281" s="933"/>
      <c r="D281" s="933"/>
      <c r="E281" s="934"/>
      <c r="F281" s="220"/>
      <c r="G281" s="220"/>
      <c r="H281" s="222"/>
      <c r="I281" s="222" t="str">
        <f>IF(COUNTIF(I282:I301,TMDPhaseTimeAndMaterial)&gt;0,TMDPhaseTimeAndMaterial,IF(COUNTIF(I282:I301,TMDPhaseChangeTimeAndMaterial)&gt;0,TMDPhaseChangeTimeAndMaterial,""))</f>
        <v/>
      </c>
      <c r="J281" s="234">
        <f t="shared" ref="J281:Q281" si="129">SUM(J282:J301)</f>
        <v>0</v>
      </c>
      <c r="K281" s="234">
        <f t="shared" si="129"/>
        <v>0</v>
      </c>
      <c r="L281" s="234">
        <f t="shared" si="129"/>
        <v>0</v>
      </c>
      <c r="M281" s="201">
        <f t="shared" si="129"/>
        <v>0</v>
      </c>
      <c r="N281" s="201">
        <f t="shared" si="129"/>
        <v>0</v>
      </c>
      <c r="O281" s="201">
        <f t="shared" si="129"/>
        <v>0</v>
      </c>
      <c r="P281" s="201">
        <f t="shared" si="129"/>
        <v>0</v>
      </c>
      <c r="Q281" s="201">
        <f t="shared" si="129"/>
        <v>0</v>
      </c>
      <c r="R281" s="936"/>
      <c r="S281" s="936"/>
      <c r="T281" s="936"/>
    </row>
    <row r="282" spans="1:20" ht="15" hidden="1" customHeight="1" outlineLevel="1">
      <c r="A282" s="202" t="str">
        <f>TEXT($A$281,0) &amp; ".1"</f>
        <v>0.1</v>
      </c>
      <c r="B282" s="923"/>
      <c r="C282" s="924"/>
      <c r="D282" s="924"/>
      <c r="E282" s="925"/>
      <c r="F282" s="211"/>
      <c r="G282" s="211"/>
      <c r="H282" s="225"/>
      <c r="I282" s="225"/>
      <c r="J282" s="237"/>
      <c r="K282" s="237"/>
      <c r="L282" s="237"/>
      <c r="M282" s="204">
        <f>(J282+K282*4+L282)/6</f>
        <v>0</v>
      </c>
      <c r="N282" s="235">
        <f t="shared" ref="N282:O290" si="130">M282</f>
        <v>0</v>
      </c>
      <c r="O282" s="204">
        <f t="shared" si="130"/>
        <v>0</v>
      </c>
      <c r="P282" s="205">
        <f t="shared" ref="P282:P291" si="131">IF(H282&lt;&gt;"",INDEX(MDActivityTypeInternalCostPerDay,MATCH(H282,MDActivityTypeID,0),1)*O282,0)</f>
        <v>0</v>
      </c>
      <c r="Q282" s="205">
        <f t="shared" ref="Q282:Q291" si="132">IF(H282&lt;&gt;"",INDEX(MDActivityTypeExternalPricePerDay,MATCH(H282,MDActivityTypeID,0),1)*O282,0)</f>
        <v>0</v>
      </c>
      <c r="R282" s="926"/>
      <c r="S282" s="927"/>
      <c r="T282" s="928"/>
    </row>
    <row r="283" spans="1:20" ht="15" hidden="1" customHeight="1" outlineLevel="1">
      <c r="A283" s="202" t="str">
        <f>TEXT($A$281,0) &amp; ".2"</f>
        <v>0.2</v>
      </c>
      <c r="B283" s="923"/>
      <c r="C283" s="924"/>
      <c r="D283" s="924"/>
      <c r="E283" s="925"/>
      <c r="F283" s="211"/>
      <c r="G283" s="211"/>
      <c r="H283" s="225"/>
      <c r="I283" s="225"/>
      <c r="J283" s="237"/>
      <c r="K283" s="237"/>
      <c r="L283" s="237"/>
      <c r="M283" s="204">
        <f t="shared" ref="M283:M291" si="133">(J283+K283*4+L283)/6</f>
        <v>0</v>
      </c>
      <c r="N283" s="235">
        <f t="shared" si="130"/>
        <v>0</v>
      </c>
      <c r="O283" s="204">
        <f t="shared" si="130"/>
        <v>0</v>
      </c>
      <c r="P283" s="205">
        <f t="shared" si="131"/>
        <v>0</v>
      </c>
      <c r="Q283" s="205">
        <f t="shared" si="132"/>
        <v>0</v>
      </c>
      <c r="R283" s="926"/>
      <c r="S283" s="927"/>
      <c r="T283" s="928"/>
    </row>
    <row r="284" spans="1:20" ht="15" hidden="1" customHeight="1" outlineLevel="1">
      <c r="A284" s="202" t="str">
        <f>TEXT($A$281,0) &amp; ".3"</f>
        <v>0.3</v>
      </c>
      <c r="B284" s="923"/>
      <c r="C284" s="924"/>
      <c r="D284" s="924"/>
      <c r="E284" s="925"/>
      <c r="F284" s="211"/>
      <c r="G284" s="211"/>
      <c r="H284" s="225"/>
      <c r="I284" s="225"/>
      <c r="J284" s="237"/>
      <c r="K284" s="237"/>
      <c r="L284" s="237"/>
      <c r="M284" s="204">
        <f t="shared" si="133"/>
        <v>0</v>
      </c>
      <c r="N284" s="235">
        <f t="shared" si="130"/>
        <v>0</v>
      </c>
      <c r="O284" s="204">
        <f t="shared" si="130"/>
        <v>0</v>
      </c>
      <c r="P284" s="205">
        <f t="shared" si="131"/>
        <v>0</v>
      </c>
      <c r="Q284" s="205">
        <f t="shared" si="132"/>
        <v>0</v>
      </c>
      <c r="R284" s="926"/>
      <c r="S284" s="927"/>
      <c r="T284" s="928"/>
    </row>
    <row r="285" spans="1:20" ht="15" hidden="1" customHeight="1" outlineLevel="1">
      <c r="A285" s="202" t="str">
        <f>TEXT($A$281,0) &amp; ".4"</f>
        <v>0.4</v>
      </c>
      <c r="B285" s="923"/>
      <c r="C285" s="924"/>
      <c r="D285" s="924"/>
      <c r="E285" s="925"/>
      <c r="F285" s="211"/>
      <c r="G285" s="211"/>
      <c r="H285" s="225"/>
      <c r="I285" s="225"/>
      <c r="J285" s="237"/>
      <c r="K285" s="237"/>
      <c r="L285" s="237"/>
      <c r="M285" s="204">
        <f t="shared" si="133"/>
        <v>0</v>
      </c>
      <c r="N285" s="235">
        <f t="shared" si="130"/>
        <v>0</v>
      </c>
      <c r="O285" s="204">
        <f t="shared" si="130"/>
        <v>0</v>
      </c>
      <c r="P285" s="205">
        <f t="shared" si="131"/>
        <v>0</v>
      </c>
      <c r="Q285" s="205">
        <f t="shared" si="132"/>
        <v>0</v>
      </c>
      <c r="R285" s="926"/>
      <c r="S285" s="927"/>
      <c r="T285" s="928"/>
    </row>
    <row r="286" spans="1:20" ht="15" hidden="1" customHeight="1" outlineLevel="1">
      <c r="A286" s="202" t="str">
        <f>TEXT($A$281,0) &amp; ".5"</f>
        <v>0.5</v>
      </c>
      <c r="B286" s="923"/>
      <c r="C286" s="924"/>
      <c r="D286" s="924"/>
      <c r="E286" s="925"/>
      <c r="F286" s="211"/>
      <c r="G286" s="211"/>
      <c r="H286" s="225"/>
      <c r="I286" s="225"/>
      <c r="J286" s="237"/>
      <c r="K286" s="237"/>
      <c r="L286" s="237"/>
      <c r="M286" s="204">
        <f t="shared" si="133"/>
        <v>0</v>
      </c>
      <c r="N286" s="235">
        <f t="shared" si="130"/>
        <v>0</v>
      </c>
      <c r="O286" s="204">
        <f t="shared" si="130"/>
        <v>0</v>
      </c>
      <c r="P286" s="205">
        <f t="shared" si="131"/>
        <v>0</v>
      </c>
      <c r="Q286" s="205">
        <f t="shared" si="132"/>
        <v>0</v>
      </c>
      <c r="R286" s="926"/>
      <c r="S286" s="927"/>
      <c r="T286" s="928"/>
    </row>
    <row r="287" spans="1:20" ht="15" hidden="1" customHeight="1" outlineLevel="1">
      <c r="A287" s="202" t="str">
        <f>TEXT($A$281,0) &amp; ".6"</f>
        <v>0.6</v>
      </c>
      <c r="B287" s="923"/>
      <c r="C287" s="924"/>
      <c r="D287" s="924"/>
      <c r="E287" s="925"/>
      <c r="F287" s="211"/>
      <c r="G287" s="211"/>
      <c r="H287" s="225"/>
      <c r="I287" s="225"/>
      <c r="J287" s="237"/>
      <c r="K287" s="237"/>
      <c r="L287" s="237"/>
      <c r="M287" s="204">
        <f t="shared" si="133"/>
        <v>0</v>
      </c>
      <c r="N287" s="235">
        <f t="shared" si="130"/>
        <v>0</v>
      </c>
      <c r="O287" s="204">
        <f t="shared" si="130"/>
        <v>0</v>
      </c>
      <c r="P287" s="205">
        <f t="shared" si="131"/>
        <v>0</v>
      </c>
      <c r="Q287" s="205">
        <f t="shared" si="132"/>
        <v>0</v>
      </c>
      <c r="R287" s="926"/>
      <c r="S287" s="927"/>
      <c r="T287" s="928"/>
    </row>
    <row r="288" spans="1:20" ht="15" hidden="1" customHeight="1" outlineLevel="1">
      <c r="A288" s="202" t="str">
        <f>TEXT($A$281,0) &amp; ".7"</f>
        <v>0.7</v>
      </c>
      <c r="B288" s="923"/>
      <c r="C288" s="924"/>
      <c r="D288" s="924"/>
      <c r="E288" s="925"/>
      <c r="F288" s="211"/>
      <c r="G288" s="211"/>
      <c r="H288" s="225"/>
      <c r="I288" s="225"/>
      <c r="J288" s="237"/>
      <c r="K288" s="237"/>
      <c r="L288" s="237"/>
      <c r="M288" s="204">
        <f t="shared" si="133"/>
        <v>0</v>
      </c>
      <c r="N288" s="235">
        <f t="shared" si="130"/>
        <v>0</v>
      </c>
      <c r="O288" s="204">
        <f t="shared" si="130"/>
        <v>0</v>
      </c>
      <c r="P288" s="205">
        <f t="shared" si="131"/>
        <v>0</v>
      </c>
      <c r="Q288" s="205">
        <f t="shared" si="132"/>
        <v>0</v>
      </c>
      <c r="R288" s="926"/>
      <c r="S288" s="927"/>
      <c r="T288" s="928"/>
    </row>
    <row r="289" spans="1:20" ht="15" hidden="1" customHeight="1" outlineLevel="1">
      <c r="A289" s="202" t="str">
        <f>TEXT($A$281,0) &amp; ".8"</f>
        <v>0.8</v>
      </c>
      <c r="B289" s="923"/>
      <c r="C289" s="924"/>
      <c r="D289" s="924"/>
      <c r="E289" s="925"/>
      <c r="F289" s="211"/>
      <c r="G289" s="211"/>
      <c r="H289" s="225"/>
      <c r="I289" s="225"/>
      <c r="J289" s="237"/>
      <c r="K289" s="237"/>
      <c r="L289" s="237"/>
      <c r="M289" s="204">
        <f t="shared" si="133"/>
        <v>0</v>
      </c>
      <c r="N289" s="235">
        <f t="shared" si="130"/>
        <v>0</v>
      </c>
      <c r="O289" s="204">
        <f t="shared" si="130"/>
        <v>0</v>
      </c>
      <c r="P289" s="205">
        <f t="shared" si="131"/>
        <v>0</v>
      </c>
      <c r="Q289" s="205">
        <f t="shared" si="132"/>
        <v>0</v>
      </c>
      <c r="R289" s="926"/>
      <c r="S289" s="927"/>
      <c r="T289" s="928"/>
    </row>
    <row r="290" spans="1:20" ht="15" hidden="1" customHeight="1" outlineLevel="1">
      <c r="A290" s="202" t="str">
        <f>TEXT($A$281,0) &amp; ".9"</f>
        <v>0.9</v>
      </c>
      <c r="B290" s="923"/>
      <c r="C290" s="924"/>
      <c r="D290" s="924"/>
      <c r="E290" s="925"/>
      <c r="F290" s="211"/>
      <c r="G290" s="211"/>
      <c r="H290" s="225"/>
      <c r="I290" s="225"/>
      <c r="J290" s="237"/>
      <c r="K290" s="237"/>
      <c r="L290" s="237"/>
      <c r="M290" s="204">
        <f t="shared" si="133"/>
        <v>0</v>
      </c>
      <c r="N290" s="235">
        <f t="shared" si="130"/>
        <v>0</v>
      </c>
      <c r="O290" s="204">
        <f t="shared" si="130"/>
        <v>0</v>
      </c>
      <c r="P290" s="205">
        <f t="shared" si="131"/>
        <v>0</v>
      </c>
      <c r="Q290" s="205">
        <f t="shared" si="132"/>
        <v>0</v>
      </c>
      <c r="R290" s="926"/>
      <c r="S290" s="927"/>
      <c r="T290" s="928"/>
    </row>
    <row r="291" spans="1:20" ht="15" hidden="1" customHeight="1" outlineLevel="1">
      <c r="A291" s="202" t="str">
        <f>TEXT($A$281,0) &amp; ".10"</f>
        <v>0.10</v>
      </c>
      <c r="B291" s="923"/>
      <c r="C291" s="924"/>
      <c r="D291" s="924"/>
      <c r="E291" s="925"/>
      <c r="F291" s="211"/>
      <c r="G291" s="211"/>
      <c r="H291" s="225"/>
      <c r="I291" s="225"/>
      <c r="J291" s="237"/>
      <c r="K291" s="237"/>
      <c r="L291" s="237"/>
      <c r="M291" s="204">
        <f t="shared" si="133"/>
        <v>0</v>
      </c>
      <c r="N291" s="235">
        <f t="shared" ref="N291:O300" si="134">M291</f>
        <v>0</v>
      </c>
      <c r="O291" s="204">
        <f t="shared" si="134"/>
        <v>0</v>
      </c>
      <c r="P291" s="205">
        <f t="shared" si="131"/>
        <v>0</v>
      </c>
      <c r="Q291" s="205">
        <f t="shared" si="132"/>
        <v>0</v>
      </c>
      <c r="R291" s="926"/>
      <c r="S291" s="927"/>
      <c r="T291" s="928"/>
    </row>
    <row r="292" spans="1:20" ht="15" hidden="1" customHeight="1" outlineLevel="1">
      <c r="A292" s="202" t="str">
        <f>TEXT($A$281,0) &amp; ".11"</f>
        <v>0.11</v>
      </c>
      <c r="B292" s="923"/>
      <c r="C292" s="924"/>
      <c r="D292" s="924"/>
      <c r="E292" s="925"/>
      <c r="F292" s="211"/>
      <c r="G292" s="211"/>
      <c r="H292" s="225"/>
      <c r="I292" s="225"/>
      <c r="J292" s="237"/>
      <c r="K292" s="237"/>
      <c r="L292" s="237"/>
      <c r="M292" s="204">
        <f>(J292+K292*4+L292)/6</f>
        <v>0</v>
      </c>
      <c r="N292" s="235">
        <f t="shared" si="134"/>
        <v>0</v>
      </c>
      <c r="O292" s="204">
        <f>N292</f>
        <v>0</v>
      </c>
      <c r="P292" s="205">
        <f t="shared" ref="P292:P301" si="135">IF(H292&lt;&gt;"",INDEX(MDActivityTypeInternalCostPerDay,MATCH(H292,MDActivityTypeID,0),1)*O292,0)</f>
        <v>0</v>
      </c>
      <c r="Q292" s="205">
        <f t="shared" ref="Q292:Q301" si="136">IF(H292&lt;&gt;"",INDEX(MDActivityTypeExternalPricePerDay,MATCH(H292,MDActivityTypeID,0),1)*O292,0)</f>
        <v>0</v>
      </c>
      <c r="R292" s="926"/>
      <c r="S292" s="927"/>
      <c r="T292" s="928"/>
    </row>
    <row r="293" spans="1:20" ht="15" hidden="1" customHeight="1" outlineLevel="1">
      <c r="A293" s="202" t="str">
        <f>TEXT($A$281,0) &amp; ".12"</f>
        <v>0.12</v>
      </c>
      <c r="B293" s="923"/>
      <c r="C293" s="924"/>
      <c r="D293" s="924"/>
      <c r="E293" s="925"/>
      <c r="F293" s="211"/>
      <c r="G293" s="211"/>
      <c r="H293" s="225"/>
      <c r="I293" s="225"/>
      <c r="J293" s="237"/>
      <c r="K293" s="237"/>
      <c r="L293" s="237"/>
      <c r="M293" s="204">
        <f t="shared" ref="M293:M301" si="137">(J293+K293*4+L293)/6</f>
        <v>0</v>
      </c>
      <c r="N293" s="235">
        <f t="shared" si="134"/>
        <v>0</v>
      </c>
      <c r="O293" s="204">
        <f t="shared" ref="O293:O301" si="138">N293</f>
        <v>0</v>
      </c>
      <c r="P293" s="205">
        <f t="shared" si="135"/>
        <v>0</v>
      </c>
      <c r="Q293" s="205">
        <f t="shared" si="136"/>
        <v>0</v>
      </c>
      <c r="R293" s="926"/>
      <c r="S293" s="927"/>
      <c r="T293" s="928"/>
    </row>
    <row r="294" spans="1:20" ht="15" hidden="1" customHeight="1" outlineLevel="1">
      <c r="A294" s="202" t="str">
        <f>TEXT($A$281,0) &amp; ".13"</f>
        <v>0.13</v>
      </c>
      <c r="B294" s="923"/>
      <c r="C294" s="924"/>
      <c r="D294" s="924"/>
      <c r="E294" s="925"/>
      <c r="F294" s="211"/>
      <c r="G294" s="211"/>
      <c r="H294" s="225"/>
      <c r="I294" s="225"/>
      <c r="J294" s="237"/>
      <c r="K294" s="237"/>
      <c r="L294" s="237"/>
      <c r="M294" s="204">
        <f t="shared" si="137"/>
        <v>0</v>
      </c>
      <c r="N294" s="235">
        <f t="shared" si="134"/>
        <v>0</v>
      </c>
      <c r="O294" s="204">
        <f t="shared" si="138"/>
        <v>0</v>
      </c>
      <c r="P294" s="205">
        <f t="shared" si="135"/>
        <v>0</v>
      </c>
      <c r="Q294" s="205">
        <f t="shared" si="136"/>
        <v>0</v>
      </c>
      <c r="R294" s="926"/>
      <c r="S294" s="927"/>
      <c r="T294" s="928"/>
    </row>
    <row r="295" spans="1:20" ht="15" hidden="1" customHeight="1" outlineLevel="1">
      <c r="A295" s="202" t="str">
        <f>TEXT($A$281,0) &amp; ".14"</f>
        <v>0.14</v>
      </c>
      <c r="B295" s="923"/>
      <c r="C295" s="924"/>
      <c r="D295" s="924"/>
      <c r="E295" s="925"/>
      <c r="F295" s="211"/>
      <c r="G295" s="211"/>
      <c r="H295" s="225"/>
      <c r="I295" s="225"/>
      <c r="J295" s="237"/>
      <c r="K295" s="237"/>
      <c r="L295" s="237"/>
      <c r="M295" s="204">
        <f t="shared" si="137"/>
        <v>0</v>
      </c>
      <c r="N295" s="235">
        <f t="shared" si="134"/>
        <v>0</v>
      </c>
      <c r="O295" s="204">
        <f t="shared" si="138"/>
        <v>0</v>
      </c>
      <c r="P295" s="205">
        <f t="shared" si="135"/>
        <v>0</v>
      </c>
      <c r="Q295" s="205">
        <f t="shared" si="136"/>
        <v>0</v>
      </c>
      <c r="R295" s="926"/>
      <c r="S295" s="927"/>
      <c r="T295" s="928"/>
    </row>
    <row r="296" spans="1:20" ht="15" hidden="1" customHeight="1" outlineLevel="1">
      <c r="A296" s="202" t="str">
        <f>TEXT($A$281,0) &amp; ".15"</f>
        <v>0.15</v>
      </c>
      <c r="B296" s="923"/>
      <c r="C296" s="924"/>
      <c r="D296" s="924"/>
      <c r="E296" s="925"/>
      <c r="F296" s="211"/>
      <c r="G296" s="211"/>
      <c r="H296" s="225"/>
      <c r="I296" s="225"/>
      <c r="J296" s="237"/>
      <c r="K296" s="237"/>
      <c r="L296" s="237"/>
      <c r="M296" s="204">
        <f t="shared" si="137"/>
        <v>0</v>
      </c>
      <c r="N296" s="235">
        <f t="shared" si="134"/>
        <v>0</v>
      </c>
      <c r="O296" s="204">
        <f t="shared" si="138"/>
        <v>0</v>
      </c>
      <c r="P296" s="205">
        <f t="shared" si="135"/>
        <v>0</v>
      </c>
      <c r="Q296" s="205">
        <f t="shared" si="136"/>
        <v>0</v>
      </c>
      <c r="R296" s="926"/>
      <c r="S296" s="927"/>
      <c r="T296" s="928"/>
    </row>
    <row r="297" spans="1:20" ht="15" hidden="1" customHeight="1" outlineLevel="1">
      <c r="A297" s="202" t="str">
        <f>TEXT($A$281,0) &amp; ".16"</f>
        <v>0.16</v>
      </c>
      <c r="B297" s="923"/>
      <c r="C297" s="924"/>
      <c r="D297" s="924"/>
      <c r="E297" s="925"/>
      <c r="F297" s="211"/>
      <c r="G297" s="211"/>
      <c r="H297" s="225"/>
      <c r="I297" s="225"/>
      <c r="J297" s="237"/>
      <c r="K297" s="237"/>
      <c r="L297" s="237"/>
      <c r="M297" s="204">
        <f t="shared" si="137"/>
        <v>0</v>
      </c>
      <c r="N297" s="235">
        <f t="shared" si="134"/>
        <v>0</v>
      </c>
      <c r="O297" s="204">
        <f t="shared" si="138"/>
        <v>0</v>
      </c>
      <c r="P297" s="205">
        <f t="shared" si="135"/>
        <v>0</v>
      </c>
      <c r="Q297" s="205">
        <f t="shared" si="136"/>
        <v>0</v>
      </c>
      <c r="R297" s="926"/>
      <c r="S297" s="927"/>
      <c r="T297" s="928"/>
    </row>
    <row r="298" spans="1:20" ht="15" hidden="1" customHeight="1" outlineLevel="1">
      <c r="A298" s="202" t="str">
        <f>TEXT($A$281,0) &amp; ".17"</f>
        <v>0.17</v>
      </c>
      <c r="B298" s="923"/>
      <c r="C298" s="924"/>
      <c r="D298" s="924"/>
      <c r="E298" s="925"/>
      <c r="F298" s="211"/>
      <c r="G298" s="211"/>
      <c r="H298" s="225"/>
      <c r="I298" s="225"/>
      <c r="J298" s="237"/>
      <c r="K298" s="237"/>
      <c r="L298" s="237"/>
      <c r="M298" s="204">
        <f t="shared" si="137"/>
        <v>0</v>
      </c>
      <c r="N298" s="235">
        <f t="shared" si="134"/>
        <v>0</v>
      </c>
      <c r="O298" s="204">
        <f t="shared" si="138"/>
        <v>0</v>
      </c>
      <c r="P298" s="205">
        <f t="shared" si="135"/>
        <v>0</v>
      </c>
      <c r="Q298" s="205">
        <f t="shared" si="136"/>
        <v>0</v>
      </c>
      <c r="R298" s="926"/>
      <c r="S298" s="927"/>
      <c r="T298" s="928"/>
    </row>
    <row r="299" spans="1:20" ht="15" hidden="1" customHeight="1" outlineLevel="1">
      <c r="A299" s="202" t="str">
        <f>TEXT($A$281,0) &amp; ".18"</f>
        <v>0.18</v>
      </c>
      <c r="B299" s="923"/>
      <c r="C299" s="924"/>
      <c r="D299" s="924"/>
      <c r="E299" s="925"/>
      <c r="F299" s="211"/>
      <c r="G299" s="211"/>
      <c r="H299" s="225"/>
      <c r="I299" s="225"/>
      <c r="J299" s="237"/>
      <c r="K299" s="237"/>
      <c r="L299" s="237"/>
      <c r="M299" s="204">
        <f t="shared" si="137"/>
        <v>0</v>
      </c>
      <c r="N299" s="235">
        <f t="shared" si="134"/>
        <v>0</v>
      </c>
      <c r="O299" s="204">
        <f t="shared" si="138"/>
        <v>0</v>
      </c>
      <c r="P299" s="205">
        <f t="shared" si="135"/>
        <v>0</v>
      </c>
      <c r="Q299" s="205">
        <f t="shared" si="136"/>
        <v>0</v>
      </c>
      <c r="R299" s="926"/>
      <c r="S299" s="927"/>
      <c r="T299" s="928"/>
    </row>
    <row r="300" spans="1:20" ht="15" hidden="1" customHeight="1" outlineLevel="1">
      <c r="A300" s="202" t="str">
        <f>TEXT($A$281,0) &amp; ".19"</f>
        <v>0.19</v>
      </c>
      <c r="B300" s="923"/>
      <c r="C300" s="924"/>
      <c r="D300" s="924"/>
      <c r="E300" s="925"/>
      <c r="F300" s="211"/>
      <c r="G300" s="211"/>
      <c r="H300" s="225"/>
      <c r="I300" s="225"/>
      <c r="J300" s="237"/>
      <c r="K300" s="237"/>
      <c r="L300" s="237"/>
      <c r="M300" s="204">
        <f t="shared" si="137"/>
        <v>0</v>
      </c>
      <c r="N300" s="235">
        <f t="shared" si="134"/>
        <v>0</v>
      </c>
      <c r="O300" s="204">
        <f t="shared" si="138"/>
        <v>0</v>
      </c>
      <c r="P300" s="205">
        <f t="shared" si="135"/>
        <v>0</v>
      </c>
      <c r="Q300" s="205">
        <f t="shared" si="136"/>
        <v>0</v>
      </c>
      <c r="R300" s="926"/>
      <c r="S300" s="927"/>
      <c r="T300" s="928"/>
    </row>
    <row r="301" spans="1:20" ht="15" hidden="1" customHeight="1" outlineLevel="1">
      <c r="A301" s="202" t="str">
        <f>TEXT($A$281,0) &amp; ".20"</f>
        <v>0.20</v>
      </c>
      <c r="B301" s="923"/>
      <c r="C301" s="924"/>
      <c r="D301" s="924"/>
      <c r="E301" s="925"/>
      <c r="F301" s="211"/>
      <c r="G301" s="211"/>
      <c r="H301" s="225"/>
      <c r="I301" s="225"/>
      <c r="J301" s="237"/>
      <c r="K301" s="237"/>
      <c r="L301" s="237"/>
      <c r="M301" s="204">
        <f t="shared" si="137"/>
        <v>0</v>
      </c>
      <c r="N301" s="235">
        <f>M301</f>
        <v>0</v>
      </c>
      <c r="O301" s="204">
        <f t="shared" si="138"/>
        <v>0</v>
      </c>
      <c r="P301" s="205">
        <f t="shared" si="135"/>
        <v>0</v>
      </c>
      <c r="Q301" s="205">
        <f t="shared" si="136"/>
        <v>0</v>
      </c>
      <c r="R301" s="926"/>
      <c r="S301" s="927"/>
      <c r="T301" s="928"/>
    </row>
    <row r="302" spans="1:20" ht="15" customHeight="1" collapsed="1">
      <c r="A302" s="267"/>
      <c r="B302" s="932"/>
      <c r="C302" s="933"/>
      <c r="D302" s="933"/>
      <c r="E302" s="934"/>
      <c r="F302" s="220"/>
      <c r="G302" s="220"/>
      <c r="H302" s="222"/>
      <c r="I302" s="222" t="str">
        <f>IF(COUNTIF(I303:I322,TMDPhaseTimeAndMaterial)&gt;0,TMDPhaseTimeAndMaterial,IF(COUNTIF(I303:I322,TMDPhaseChangeTimeAndMaterial)&gt;0,TMDPhaseChangeTimeAndMaterial,""))</f>
        <v/>
      </c>
      <c r="J302" s="234">
        <f t="shared" ref="J302:Q302" si="139">SUM(J303:J322)</f>
        <v>0</v>
      </c>
      <c r="K302" s="234">
        <f t="shared" si="139"/>
        <v>0</v>
      </c>
      <c r="L302" s="234">
        <f t="shared" si="139"/>
        <v>0</v>
      </c>
      <c r="M302" s="201">
        <f t="shared" si="139"/>
        <v>0</v>
      </c>
      <c r="N302" s="201">
        <f t="shared" si="139"/>
        <v>0</v>
      </c>
      <c r="O302" s="201">
        <f t="shared" si="139"/>
        <v>0</v>
      </c>
      <c r="P302" s="201">
        <f t="shared" si="139"/>
        <v>0</v>
      </c>
      <c r="Q302" s="201">
        <f t="shared" si="139"/>
        <v>0</v>
      </c>
      <c r="R302" s="935"/>
      <c r="S302" s="935"/>
      <c r="T302" s="935"/>
    </row>
    <row r="303" spans="1:20" ht="15" hidden="1" customHeight="1" outlineLevel="1">
      <c r="A303" s="202" t="str">
        <f>TEXT($A$302,0) &amp; ".1"</f>
        <v>0.1</v>
      </c>
      <c r="B303" s="923"/>
      <c r="C303" s="924"/>
      <c r="D303" s="924"/>
      <c r="E303" s="925"/>
      <c r="F303" s="211"/>
      <c r="G303" s="211"/>
      <c r="H303" s="225"/>
      <c r="I303" s="225"/>
      <c r="J303" s="237"/>
      <c r="K303" s="237"/>
      <c r="L303" s="237"/>
      <c r="M303" s="204">
        <f>(J303+K303*4+L303)/6</f>
        <v>0</v>
      </c>
      <c r="N303" s="235">
        <f t="shared" ref="N303:O311" si="140">M303</f>
        <v>0</v>
      </c>
      <c r="O303" s="204">
        <f t="shared" si="140"/>
        <v>0</v>
      </c>
      <c r="P303" s="205">
        <f t="shared" ref="P303:P312" si="141">IF(H303&lt;&gt;"",INDEX(MDActivityTypeInternalCostPerDay,MATCH(H303,MDActivityTypeID,0),1)*O303,0)</f>
        <v>0</v>
      </c>
      <c r="Q303" s="205">
        <f t="shared" ref="Q303:Q312" si="142">IF(H303&lt;&gt;"",INDEX(MDActivityTypeExternalPricePerDay,MATCH(H303,MDActivityTypeID,0),1)*O303,0)</f>
        <v>0</v>
      </c>
      <c r="R303" s="926"/>
      <c r="S303" s="927"/>
      <c r="T303" s="928"/>
    </row>
    <row r="304" spans="1:20" ht="15" hidden="1" customHeight="1" outlineLevel="1">
      <c r="A304" s="202" t="str">
        <f>TEXT($A$302,0) &amp; ".2"</f>
        <v>0.2</v>
      </c>
      <c r="B304" s="923"/>
      <c r="C304" s="924"/>
      <c r="D304" s="924"/>
      <c r="E304" s="925"/>
      <c r="F304" s="211"/>
      <c r="G304" s="211"/>
      <c r="H304" s="225"/>
      <c r="I304" s="225"/>
      <c r="J304" s="237"/>
      <c r="K304" s="237"/>
      <c r="L304" s="237"/>
      <c r="M304" s="204">
        <f t="shared" ref="M304:M312" si="143">(J304+K304*4+L304)/6</f>
        <v>0</v>
      </c>
      <c r="N304" s="235">
        <f t="shared" si="140"/>
        <v>0</v>
      </c>
      <c r="O304" s="204">
        <f t="shared" si="140"/>
        <v>0</v>
      </c>
      <c r="P304" s="205">
        <f t="shared" si="141"/>
        <v>0</v>
      </c>
      <c r="Q304" s="205">
        <f t="shared" si="142"/>
        <v>0</v>
      </c>
      <c r="R304" s="926"/>
      <c r="S304" s="927"/>
      <c r="T304" s="928"/>
    </row>
    <row r="305" spans="1:20" ht="15" hidden="1" customHeight="1" outlineLevel="1">
      <c r="A305" s="202" t="str">
        <f>TEXT($A$302,0) &amp; ".3"</f>
        <v>0.3</v>
      </c>
      <c r="B305" s="923"/>
      <c r="C305" s="924"/>
      <c r="D305" s="924"/>
      <c r="E305" s="925"/>
      <c r="F305" s="211"/>
      <c r="G305" s="211"/>
      <c r="H305" s="225"/>
      <c r="I305" s="225"/>
      <c r="J305" s="237"/>
      <c r="K305" s="237"/>
      <c r="L305" s="237"/>
      <c r="M305" s="204">
        <f t="shared" si="143"/>
        <v>0</v>
      </c>
      <c r="N305" s="235">
        <f t="shared" si="140"/>
        <v>0</v>
      </c>
      <c r="O305" s="204">
        <f t="shared" si="140"/>
        <v>0</v>
      </c>
      <c r="P305" s="205">
        <f t="shared" si="141"/>
        <v>0</v>
      </c>
      <c r="Q305" s="205">
        <f t="shared" si="142"/>
        <v>0</v>
      </c>
      <c r="R305" s="926"/>
      <c r="S305" s="927"/>
      <c r="T305" s="928"/>
    </row>
    <row r="306" spans="1:20" ht="15" hidden="1" customHeight="1" outlineLevel="1">
      <c r="A306" s="202" t="str">
        <f>TEXT($A$302,0) &amp; ".4"</f>
        <v>0.4</v>
      </c>
      <c r="B306" s="923"/>
      <c r="C306" s="924"/>
      <c r="D306" s="924"/>
      <c r="E306" s="925"/>
      <c r="F306" s="211"/>
      <c r="G306" s="211"/>
      <c r="H306" s="225"/>
      <c r="I306" s="225"/>
      <c r="J306" s="237"/>
      <c r="K306" s="237"/>
      <c r="L306" s="237"/>
      <c r="M306" s="204">
        <f t="shared" si="143"/>
        <v>0</v>
      </c>
      <c r="N306" s="235">
        <f t="shared" si="140"/>
        <v>0</v>
      </c>
      <c r="O306" s="204">
        <f t="shared" si="140"/>
        <v>0</v>
      </c>
      <c r="P306" s="205">
        <f t="shared" si="141"/>
        <v>0</v>
      </c>
      <c r="Q306" s="205">
        <f t="shared" si="142"/>
        <v>0</v>
      </c>
      <c r="R306" s="926"/>
      <c r="S306" s="927"/>
      <c r="T306" s="928"/>
    </row>
    <row r="307" spans="1:20" ht="15" hidden="1" customHeight="1" outlineLevel="1">
      <c r="A307" s="202" t="str">
        <f>TEXT($A$302,0) &amp; ".5"</f>
        <v>0.5</v>
      </c>
      <c r="B307" s="923"/>
      <c r="C307" s="924"/>
      <c r="D307" s="924"/>
      <c r="E307" s="925"/>
      <c r="F307" s="211"/>
      <c r="G307" s="211"/>
      <c r="H307" s="225"/>
      <c r="I307" s="225"/>
      <c r="J307" s="237"/>
      <c r="K307" s="237"/>
      <c r="L307" s="237"/>
      <c r="M307" s="204">
        <f t="shared" si="143"/>
        <v>0</v>
      </c>
      <c r="N307" s="235">
        <f t="shared" si="140"/>
        <v>0</v>
      </c>
      <c r="O307" s="204">
        <f t="shared" si="140"/>
        <v>0</v>
      </c>
      <c r="P307" s="205">
        <f t="shared" si="141"/>
        <v>0</v>
      </c>
      <c r="Q307" s="205">
        <f t="shared" si="142"/>
        <v>0</v>
      </c>
      <c r="R307" s="926"/>
      <c r="S307" s="927"/>
      <c r="T307" s="928"/>
    </row>
    <row r="308" spans="1:20" ht="15" hidden="1" customHeight="1" outlineLevel="1">
      <c r="A308" s="202" t="str">
        <f>TEXT($A$302,0) &amp; ".6"</f>
        <v>0.6</v>
      </c>
      <c r="B308" s="923"/>
      <c r="C308" s="924"/>
      <c r="D308" s="924"/>
      <c r="E308" s="925"/>
      <c r="F308" s="211"/>
      <c r="G308" s="211"/>
      <c r="H308" s="225"/>
      <c r="I308" s="225"/>
      <c r="J308" s="237"/>
      <c r="K308" s="237"/>
      <c r="L308" s="237"/>
      <c r="M308" s="204">
        <f t="shared" si="143"/>
        <v>0</v>
      </c>
      <c r="N308" s="235">
        <f t="shared" si="140"/>
        <v>0</v>
      </c>
      <c r="O308" s="204">
        <f t="shared" si="140"/>
        <v>0</v>
      </c>
      <c r="P308" s="205">
        <f t="shared" si="141"/>
        <v>0</v>
      </c>
      <c r="Q308" s="205">
        <f t="shared" si="142"/>
        <v>0</v>
      </c>
      <c r="R308" s="926"/>
      <c r="S308" s="927"/>
      <c r="T308" s="928"/>
    </row>
    <row r="309" spans="1:20" ht="15" hidden="1" customHeight="1" outlineLevel="1">
      <c r="A309" s="202" t="str">
        <f>TEXT($A$302,0) &amp; ".7"</f>
        <v>0.7</v>
      </c>
      <c r="B309" s="923"/>
      <c r="C309" s="924"/>
      <c r="D309" s="924"/>
      <c r="E309" s="925"/>
      <c r="F309" s="211"/>
      <c r="G309" s="211"/>
      <c r="H309" s="225"/>
      <c r="I309" s="225"/>
      <c r="J309" s="237"/>
      <c r="K309" s="237"/>
      <c r="L309" s="237"/>
      <c r="M309" s="204">
        <f t="shared" si="143"/>
        <v>0</v>
      </c>
      <c r="N309" s="235">
        <f t="shared" si="140"/>
        <v>0</v>
      </c>
      <c r="O309" s="204">
        <f t="shared" si="140"/>
        <v>0</v>
      </c>
      <c r="P309" s="205">
        <f t="shared" si="141"/>
        <v>0</v>
      </c>
      <c r="Q309" s="205">
        <f t="shared" si="142"/>
        <v>0</v>
      </c>
      <c r="R309" s="926"/>
      <c r="S309" s="927"/>
      <c r="T309" s="928"/>
    </row>
    <row r="310" spans="1:20" ht="15" hidden="1" customHeight="1" outlineLevel="1">
      <c r="A310" s="202" t="str">
        <f>TEXT($A$302,0) &amp; ".8"</f>
        <v>0.8</v>
      </c>
      <c r="B310" s="923"/>
      <c r="C310" s="924"/>
      <c r="D310" s="924"/>
      <c r="E310" s="925"/>
      <c r="F310" s="211"/>
      <c r="G310" s="211"/>
      <c r="H310" s="225"/>
      <c r="I310" s="225"/>
      <c r="J310" s="237"/>
      <c r="K310" s="237"/>
      <c r="L310" s="237"/>
      <c r="M310" s="204">
        <f t="shared" si="143"/>
        <v>0</v>
      </c>
      <c r="N310" s="235">
        <f t="shared" si="140"/>
        <v>0</v>
      </c>
      <c r="O310" s="204">
        <f t="shared" si="140"/>
        <v>0</v>
      </c>
      <c r="P310" s="205">
        <f t="shared" si="141"/>
        <v>0</v>
      </c>
      <c r="Q310" s="205">
        <f t="shared" si="142"/>
        <v>0</v>
      </c>
      <c r="R310" s="926"/>
      <c r="S310" s="927"/>
      <c r="T310" s="928"/>
    </row>
    <row r="311" spans="1:20" ht="15" hidden="1" customHeight="1" outlineLevel="1">
      <c r="A311" s="202" t="str">
        <f>TEXT($A$302,0) &amp; ".9"</f>
        <v>0.9</v>
      </c>
      <c r="B311" s="923"/>
      <c r="C311" s="924"/>
      <c r="D311" s="924"/>
      <c r="E311" s="925"/>
      <c r="F311" s="211"/>
      <c r="G311" s="211"/>
      <c r="H311" s="225"/>
      <c r="I311" s="225"/>
      <c r="J311" s="237"/>
      <c r="K311" s="237"/>
      <c r="L311" s="237"/>
      <c r="M311" s="204">
        <f t="shared" si="143"/>
        <v>0</v>
      </c>
      <c r="N311" s="235">
        <f t="shared" si="140"/>
        <v>0</v>
      </c>
      <c r="O311" s="204">
        <f t="shared" si="140"/>
        <v>0</v>
      </c>
      <c r="P311" s="205">
        <f t="shared" si="141"/>
        <v>0</v>
      </c>
      <c r="Q311" s="205">
        <f t="shared" si="142"/>
        <v>0</v>
      </c>
      <c r="R311" s="926"/>
      <c r="S311" s="927"/>
      <c r="T311" s="928"/>
    </row>
    <row r="312" spans="1:20" ht="15" hidden="1" customHeight="1" outlineLevel="1">
      <c r="A312" s="202" t="str">
        <f>TEXT($A$302,0) &amp; ".10"</f>
        <v>0.10</v>
      </c>
      <c r="B312" s="923"/>
      <c r="C312" s="924"/>
      <c r="D312" s="924"/>
      <c r="E312" s="925"/>
      <c r="F312" s="211"/>
      <c r="G312" s="211"/>
      <c r="H312" s="225"/>
      <c r="I312" s="225"/>
      <c r="J312" s="237"/>
      <c r="K312" s="237"/>
      <c r="L312" s="237"/>
      <c r="M312" s="204">
        <f t="shared" si="143"/>
        <v>0</v>
      </c>
      <c r="N312" s="235">
        <f t="shared" ref="N312:O321" si="144">M312</f>
        <v>0</v>
      </c>
      <c r="O312" s="204">
        <f t="shared" si="144"/>
        <v>0</v>
      </c>
      <c r="P312" s="205">
        <f t="shared" si="141"/>
        <v>0</v>
      </c>
      <c r="Q312" s="205">
        <f t="shared" si="142"/>
        <v>0</v>
      </c>
      <c r="R312" s="926"/>
      <c r="S312" s="927"/>
      <c r="T312" s="928"/>
    </row>
    <row r="313" spans="1:20" ht="15" hidden="1" customHeight="1" outlineLevel="1">
      <c r="A313" s="202" t="str">
        <f>TEXT($A$302,0) &amp; ".11"</f>
        <v>0.11</v>
      </c>
      <c r="B313" s="923"/>
      <c r="C313" s="924"/>
      <c r="D313" s="924"/>
      <c r="E313" s="925"/>
      <c r="F313" s="211"/>
      <c r="G313" s="211"/>
      <c r="H313" s="225"/>
      <c r="I313" s="225"/>
      <c r="J313" s="237"/>
      <c r="K313" s="237"/>
      <c r="L313" s="237"/>
      <c r="M313" s="204">
        <f>(J313+K313*4+L313)/6</f>
        <v>0</v>
      </c>
      <c r="N313" s="235">
        <f t="shared" si="144"/>
        <v>0</v>
      </c>
      <c r="O313" s="204">
        <f>N313</f>
        <v>0</v>
      </c>
      <c r="P313" s="205">
        <f t="shared" ref="P313:P322" si="145">IF(H313&lt;&gt;"",INDEX(MDActivityTypeInternalCostPerDay,MATCH(H313,MDActivityTypeID,0),1)*O313,0)</f>
        <v>0</v>
      </c>
      <c r="Q313" s="205">
        <f t="shared" ref="Q313:Q322" si="146">IF(H313&lt;&gt;"",INDEX(MDActivityTypeExternalPricePerDay,MATCH(H313,MDActivityTypeID,0),1)*O313,0)</f>
        <v>0</v>
      </c>
      <c r="R313" s="926"/>
      <c r="S313" s="927"/>
      <c r="T313" s="928"/>
    </row>
    <row r="314" spans="1:20" ht="15" hidden="1" customHeight="1" outlineLevel="1">
      <c r="A314" s="202" t="str">
        <f>TEXT($A$302,0) &amp; ".12"</f>
        <v>0.12</v>
      </c>
      <c r="B314" s="923"/>
      <c r="C314" s="924"/>
      <c r="D314" s="924"/>
      <c r="E314" s="925"/>
      <c r="F314" s="211"/>
      <c r="G314" s="211"/>
      <c r="H314" s="225"/>
      <c r="I314" s="225"/>
      <c r="J314" s="237"/>
      <c r="K314" s="237"/>
      <c r="L314" s="237"/>
      <c r="M314" s="204">
        <f t="shared" ref="M314:M322" si="147">(J314+K314*4+L314)/6</f>
        <v>0</v>
      </c>
      <c r="N314" s="235">
        <f t="shared" si="144"/>
        <v>0</v>
      </c>
      <c r="O314" s="204">
        <f t="shared" ref="O314:O322" si="148">N314</f>
        <v>0</v>
      </c>
      <c r="P314" s="205">
        <f t="shared" si="145"/>
        <v>0</v>
      </c>
      <c r="Q314" s="205">
        <f t="shared" si="146"/>
        <v>0</v>
      </c>
      <c r="R314" s="926"/>
      <c r="S314" s="927"/>
      <c r="T314" s="928"/>
    </row>
    <row r="315" spans="1:20" ht="15" hidden="1" customHeight="1" outlineLevel="1">
      <c r="A315" s="202" t="str">
        <f>TEXT($A$302,0) &amp; ".13"</f>
        <v>0.13</v>
      </c>
      <c r="B315" s="923"/>
      <c r="C315" s="924"/>
      <c r="D315" s="924"/>
      <c r="E315" s="925"/>
      <c r="F315" s="211"/>
      <c r="G315" s="211"/>
      <c r="H315" s="225"/>
      <c r="I315" s="225"/>
      <c r="J315" s="237"/>
      <c r="K315" s="237"/>
      <c r="L315" s="237"/>
      <c r="M315" s="204">
        <f t="shared" si="147"/>
        <v>0</v>
      </c>
      <c r="N315" s="235">
        <f t="shared" si="144"/>
        <v>0</v>
      </c>
      <c r="O315" s="204">
        <f t="shared" si="148"/>
        <v>0</v>
      </c>
      <c r="P315" s="205">
        <f t="shared" si="145"/>
        <v>0</v>
      </c>
      <c r="Q315" s="205">
        <f t="shared" si="146"/>
        <v>0</v>
      </c>
      <c r="R315" s="926"/>
      <c r="S315" s="927"/>
      <c r="T315" s="928"/>
    </row>
    <row r="316" spans="1:20" ht="15" hidden="1" customHeight="1" outlineLevel="1">
      <c r="A316" s="202" t="str">
        <f>TEXT($A$302,0) &amp; ".14"</f>
        <v>0.14</v>
      </c>
      <c r="B316" s="923"/>
      <c r="C316" s="924"/>
      <c r="D316" s="924"/>
      <c r="E316" s="925"/>
      <c r="F316" s="211"/>
      <c r="G316" s="211"/>
      <c r="H316" s="225"/>
      <c r="I316" s="225"/>
      <c r="J316" s="237"/>
      <c r="K316" s="237"/>
      <c r="L316" s="237"/>
      <c r="M316" s="204">
        <f t="shared" si="147"/>
        <v>0</v>
      </c>
      <c r="N316" s="235">
        <f t="shared" si="144"/>
        <v>0</v>
      </c>
      <c r="O316" s="204">
        <f t="shared" si="148"/>
        <v>0</v>
      </c>
      <c r="P316" s="205">
        <f t="shared" si="145"/>
        <v>0</v>
      </c>
      <c r="Q316" s="205">
        <f t="shared" si="146"/>
        <v>0</v>
      </c>
      <c r="R316" s="926"/>
      <c r="S316" s="927"/>
      <c r="T316" s="928"/>
    </row>
    <row r="317" spans="1:20" ht="15" hidden="1" customHeight="1" outlineLevel="1">
      <c r="A317" s="202" t="str">
        <f>TEXT($A$302,0) &amp; ".15"</f>
        <v>0.15</v>
      </c>
      <c r="B317" s="923"/>
      <c r="C317" s="924"/>
      <c r="D317" s="924"/>
      <c r="E317" s="925"/>
      <c r="F317" s="211"/>
      <c r="G317" s="211"/>
      <c r="H317" s="225"/>
      <c r="I317" s="225"/>
      <c r="J317" s="237"/>
      <c r="K317" s="237"/>
      <c r="L317" s="237"/>
      <c r="M317" s="204">
        <f t="shared" si="147"/>
        <v>0</v>
      </c>
      <c r="N317" s="235">
        <f t="shared" si="144"/>
        <v>0</v>
      </c>
      <c r="O317" s="204">
        <f t="shared" si="148"/>
        <v>0</v>
      </c>
      <c r="P317" s="205">
        <f t="shared" si="145"/>
        <v>0</v>
      </c>
      <c r="Q317" s="205">
        <f t="shared" si="146"/>
        <v>0</v>
      </c>
      <c r="R317" s="926"/>
      <c r="S317" s="927"/>
      <c r="T317" s="928"/>
    </row>
    <row r="318" spans="1:20" ht="15" hidden="1" customHeight="1" outlineLevel="1">
      <c r="A318" s="202" t="str">
        <f>TEXT($A$302,0) &amp; ".16"</f>
        <v>0.16</v>
      </c>
      <c r="B318" s="923"/>
      <c r="C318" s="924"/>
      <c r="D318" s="924"/>
      <c r="E318" s="925"/>
      <c r="F318" s="211"/>
      <c r="G318" s="211"/>
      <c r="H318" s="225"/>
      <c r="I318" s="225"/>
      <c r="J318" s="237"/>
      <c r="K318" s="237"/>
      <c r="L318" s="237"/>
      <c r="M318" s="204">
        <f t="shared" si="147"/>
        <v>0</v>
      </c>
      <c r="N318" s="235">
        <f t="shared" si="144"/>
        <v>0</v>
      </c>
      <c r="O318" s="204">
        <f t="shared" si="148"/>
        <v>0</v>
      </c>
      <c r="P318" s="205">
        <f t="shared" si="145"/>
        <v>0</v>
      </c>
      <c r="Q318" s="205">
        <f t="shared" si="146"/>
        <v>0</v>
      </c>
      <c r="R318" s="926"/>
      <c r="S318" s="927"/>
      <c r="T318" s="928"/>
    </row>
    <row r="319" spans="1:20" ht="15" hidden="1" customHeight="1" outlineLevel="1">
      <c r="A319" s="202" t="str">
        <f>TEXT($A$302,0) &amp; ".17"</f>
        <v>0.17</v>
      </c>
      <c r="B319" s="923"/>
      <c r="C319" s="924"/>
      <c r="D319" s="924"/>
      <c r="E319" s="925"/>
      <c r="F319" s="211"/>
      <c r="G319" s="211"/>
      <c r="H319" s="225"/>
      <c r="I319" s="225"/>
      <c r="J319" s="237"/>
      <c r="K319" s="237"/>
      <c r="L319" s="237"/>
      <c r="M319" s="204">
        <f t="shared" si="147"/>
        <v>0</v>
      </c>
      <c r="N319" s="235">
        <f t="shared" si="144"/>
        <v>0</v>
      </c>
      <c r="O319" s="204">
        <f t="shared" si="148"/>
        <v>0</v>
      </c>
      <c r="P319" s="205">
        <f t="shared" si="145"/>
        <v>0</v>
      </c>
      <c r="Q319" s="205">
        <f t="shared" si="146"/>
        <v>0</v>
      </c>
      <c r="R319" s="926"/>
      <c r="S319" s="927"/>
      <c r="T319" s="928"/>
    </row>
    <row r="320" spans="1:20" ht="15" hidden="1" customHeight="1" outlineLevel="1">
      <c r="A320" s="202" t="str">
        <f>TEXT($A$302,0) &amp; ".18"</f>
        <v>0.18</v>
      </c>
      <c r="B320" s="923"/>
      <c r="C320" s="924"/>
      <c r="D320" s="924"/>
      <c r="E320" s="925"/>
      <c r="F320" s="211"/>
      <c r="G320" s="211"/>
      <c r="H320" s="225"/>
      <c r="I320" s="225"/>
      <c r="J320" s="237"/>
      <c r="K320" s="237"/>
      <c r="L320" s="237"/>
      <c r="M320" s="204">
        <f t="shared" si="147"/>
        <v>0</v>
      </c>
      <c r="N320" s="235">
        <f t="shared" si="144"/>
        <v>0</v>
      </c>
      <c r="O320" s="204">
        <f t="shared" si="148"/>
        <v>0</v>
      </c>
      <c r="P320" s="205">
        <f t="shared" si="145"/>
        <v>0</v>
      </c>
      <c r="Q320" s="205">
        <f t="shared" si="146"/>
        <v>0</v>
      </c>
      <c r="R320" s="926"/>
      <c r="S320" s="927"/>
      <c r="T320" s="928"/>
    </row>
    <row r="321" spans="1:20" ht="15" hidden="1" customHeight="1" outlineLevel="1">
      <c r="A321" s="202" t="str">
        <f>TEXT($A$302,0) &amp; ".19"</f>
        <v>0.19</v>
      </c>
      <c r="B321" s="923"/>
      <c r="C321" s="924"/>
      <c r="D321" s="924"/>
      <c r="E321" s="925"/>
      <c r="F321" s="211"/>
      <c r="G321" s="211"/>
      <c r="H321" s="225"/>
      <c r="I321" s="225"/>
      <c r="J321" s="237"/>
      <c r="K321" s="237"/>
      <c r="L321" s="237"/>
      <c r="M321" s="204">
        <f t="shared" si="147"/>
        <v>0</v>
      </c>
      <c r="N321" s="235">
        <f t="shared" si="144"/>
        <v>0</v>
      </c>
      <c r="O321" s="204">
        <f t="shared" si="148"/>
        <v>0</v>
      </c>
      <c r="P321" s="205">
        <f t="shared" si="145"/>
        <v>0</v>
      </c>
      <c r="Q321" s="205">
        <f t="shared" si="146"/>
        <v>0</v>
      </c>
      <c r="R321" s="926"/>
      <c r="S321" s="927"/>
      <c r="T321" s="928"/>
    </row>
    <row r="322" spans="1:20" ht="15" hidden="1" customHeight="1" outlineLevel="1">
      <c r="A322" s="202" t="str">
        <f>TEXT($A$302,0) &amp; ".20"</f>
        <v>0.20</v>
      </c>
      <c r="B322" s="923"/>
      <c r="C322" s="924"/>
      <c r="D322" s="924"/>
      <c r="E322" s="925"/>
      <c r="F322" s="211"/>
      <c r="G322" s="211"/>
      <c r="H322" s="225"/>
      <c r="I322" s="225"/>
      <c r="J322" s="237"/>
      <c r="K322" s="237"/>
      <c r="L322" s="237"/>
      <c r="M322" s="204">
        <f t="shared" si="147"/>
        <v>0</v>
      </c>
      <c r="N322" s="235">
        <f>M322</f>
        <v>0</v>
      </c>
      <c r="O322" s="204">
        <f t="shared" si="148"/>
        <v>0</v>
      </c>
      <c r="P322" s="205">
        <f t="shared" si="145"/>
        <v>0</v>
      </c>
      <c r="Q322" s="205">
        <f t="shared" si="146"/>
        <v>0</v>
      </c>
      <c r="R322" s="926"/>
      <c r="S322" s="927"/>
      <c r="T322" s="928"/>
    </row>
    <row r="323" spans="1:20" ht="15" customHeight="1" collapsed="1">
      <c r="A323" s="267"/>
      <c r="B323" s="932"/>
      <c r="C323" s="933"/>
      <c r="D323" s="933"/>
      <c r="E323" s="934"/>
      <c r="F323" s="220"/>
      <c r="G323" s="220"/>
      <c r="H323" s="222"/>
      <c r="I323" s="222" t="str">
        <f>IF(COUNTIF(I324:I343,TMDPhaseTimeAndMaterial)&gt;0,TMDPhaseTimeAndMaterial,IF(COUNTIF(I324:I343,TMDPhaseChangeTimeAndMaterial)&gt;0,TMDPhaseChangeTimeAndMaterial,""))</f>
        <v/>
      </c>
      <c r="J323" s="234">
        <f t="shared" ref="J323:Q323" si="149">SUM(J324:J343)</f>
        <v>0</v>
      </c>
      <c r="K323" s="234">
        <f t="shared" si="149"/>
        <v>0</v>
      </c>
      <c r="L323" s="234">
        <f t="shared" si="149"/>
        <v>0</v>
      </c>
      <c r="M323" s="201">
        <f t="shared" si="149"/>
        <v>0</v>
      </c>
      <c r="N323" s="201">
        <f t="shared" si="149"/>
        <v>0</v>
      </c>
      <c r="O323" s="201">
        <f t="shared" si="149"/>
        <v>0</v>
      </c>
      <c r="P323" s="201">
        <f t="shared" si="149"/>
        <v>0</v>
      </c>
      <c r="Q323" s="201">
        <f t="shared" si="149"/>
        <v>0</v>
      </c>
      <c r="R323" s="935"/>
      <c r="S323" s="935"/>
      <c r="T323" s="935"/>
    </row>
    <row r="324" spans="1:20" ht="15" hidden="1" customHeight="1" outlineLevel="1">
      <c r="A324" s="202" t="str">
        <f>TEXT($A$323,0) &amp; ".1"</f>
        <v>0.1</v>
      </c>
      <c r="B324" s="923"/>
      <c r="C324" s="924"/>
      <c r="D324" s="924"/>
      <c r="E324" s="925"/>
      <c r="F324" s="211"/>
      <c r="G324" s="211"/>
      <c r="H324" s="225"/>
      <c r="I324" s="225"/>
      <c r="J324" s="237"/>
      <c r="K324" s="237"/>
      <c r="L324" s="237"/>
      <c r="M324" s="204">
        <f>(J324+K324*4+L324)/6</f>
        <v>0</v>
      </c>
      <c r="N324" s="235">
        <f t="shared" ref="N324:O332" si="150">M324</f>
        <v>0</v>
      </c>
      <c r="O324" s="204">
        <f t="shared" si="150"/>
        <v>0</v>
      </c>
      <c r="P324" s="205">
        <f t="shared" ref="P324:P333" si="151">IF(H324&lt;&gt;"",INDEX(MDActivityTypeInternalCostPerDay,MATCH(H324,MDActivityTypeID,0),1)*O324,0)</f>
        <v>0</v>
      </c>
      <c r="Q324" s="205">
        <f t="shared" ref="Q324:Q333" si="152">IF(H324&lt;&gt;"",INDEX(MDActivityTypeExternalPricePerDay,MATCH(H324,MDActivityTypeID,0),1)*O324,0)</f>
        <v>0</v>
      </c>
      <c r="R324" s="926"/>
      <c r="S324" s="927"/>
      <c r="T324" s="928"/>
    </row>
    <row r="325" spans="1:20" ht="15" hidden="1" customHeight="1" outlineLevel="1">
      <c r="A325" s="202" t="str">
        <f>TEXT($A$323,0) &amp; ".2"</f>
        <v>0.2</v>
      </c>
      <c r="B325" s="923"/>
      <c r="C325" s="924"/>
      <c r="D325" s="924"/>
      <c r="E325" s="925"/>
      <c r="F325" s="211"/>
      <c r="G325" s="211"/>
      <c r="H325" s="225"/>
      <c r="I325" s="225"/>
      <c r="J325" s="237"/>
      <c r="K325" s="237"/>
      <c r="L325" s="237"/>
      <c r="M325" s="204">
        <f t="shared" ref="M325:M333" si="153">(J325+K325*4+L325)/6</f>
        <v>0</v>
      </c>
      <c r="N325" s="235">
        <f t="shared" si="150"/>
        <v>0</v>
      </c>
      <c r="O325" s="204">
        <f t="shared" si="150"/>
        <v>0</v>
      </c>
      <c r="P325" s="205">
        <f t="shared" si="151"/>
        <v>0</v>
      </c>
      <c r="Q325" s="205">
        <f t="shared" si="152"/>
        <v>0</v>
      </c>
      <c r="R325" s="926"/>
      <c r="S325" s="927"/>
      <c r="T325" s="928"/>
    </row>
    <row r="326" spans="1:20" ht="15" hidden="1" customHeight="1" outlineLevel="1">
      <c r="A326" s="202" t="str">
        <f>TEXT($A$323,0) &amp; ".3"</f>
        <v>0.3</v>
      </c>
      <c r="B326" s="923"/>
      <c r="C326" s="924"/>
      <c r="D326" s="924"/>
      <c r="E326" s="925"/>
      <c r="F326" s="211"/>
      <c r="G326" s="211"/>
      <c r="H326" s="225"/>
      <c r="I326" s="225"/>
      <c r="J326" s="237"/>
      <c r="K326" s="237"/>
      <c r="L326" s="237"/>
      <c r="M326" s="204">
        <f t="shared" si="153"/>
        <v>0</v>
      </c>
      <c r="N326" s="235">
        <f t="shared" si="150"/>
        <v>0</v>
      </c>
      <c r="O326" s="204">
        <f t="shared" si="150"/>
        <v>0</v>
      </c>
      <c r="P326" s="205">
        <f t="shared" si="151"/>
        <v>0</v>
      </c>
      <c r="Q326" s="205">
        <f t="shared" si="152"/>
        <v>0</v>
      </c>
      <c r="R326" s="926"/>
      <c r="S326" s="927"/>
      <c r="T326" s="928"/>
    </row>
    <row r="327" spans="1:20" ht="15" hidden="1" customHeight="1" outlineLevel="1">
      <c r="A327" s="202" t="str">
        <f>TEXT($A$323,0) &amp; ".4"</f>
        <v>0.4</v>
      </c>
      <c r="B327" s="923"/>
      <c r="C327" s="924"/>
      <c r="D327" s="924"/>
      <c r="E327" s="925"/>
      <c r="F327" s="211"/>
      <c r="G327" s="211"/>
      <c r="H327" s="225"/>
      <c r="I327" s="225"/>
      <c r="J327" s="237"/>
      <c r="K327" s="237"/>
      <c r="L327" s="237"/>
      <c r="M327" s="204">
        <f t="shared" si="153"/>
        <v>0</v>
      </c>
      <c r="N327" s="235">
        <f t="shared" si="150"/>
        <v>0</v>
      </c>
      <c r="O327" s="204">
        <f t="shared" si="150"/>
        <v>0</v>
      </c>
      <c r="P327" s="205">
        <f t="shared" si="151"/>
        <v>0</v>
      </c>
      <c r="Q327" s="205">
        <f t="shared" si="152"/>
        <v>0</v>
      </c>
      <c r="R327" s="926"/>
      <c r="S327" s="927"/>
      <c r="T327" s="928"/>
    </row>
    <row r="328" spans="1:20" ht="15" hidden="1" customHeight="1" outlineLevel="1">
      <c r="A328" s="202" t="str">
        <f>TEXT($A$323,0) &amp; ".5"</f>
        <v>0.5</v>
      </c>
      <c r="B328" s="923"/>
      <c r="C328" s="924"/>
      <c r="D328" s="924"/>
      <c r="E328" s="925"/>
      <c r="F328" s="211"/>
      <c r="G328" s="211"/>
      <c r="H328" s="225"/>
      <c r="I328" s="225"/>
      <c r="J328" s="237"/>
      <c r="K328" s="237"/>
      <c r="L328" s="237"/>
      <c r="M328" s="204">
        <f t="shared" si="153"/>
        <v>0</v>
      </c>
      <c r="N328" s="235">
        <f t="shared" si="150"/>
        <v>0</v>
      </c>
      <c r="O328" s="204">
        <f t="shared" si="150"/>
        <v>0</v>
      </c>
      <c r="P328" s="205">
        <f t="shared" si="151"/>
        <v>0</v>
      </c>
      <c r="Q328" s="205">
        <f t="shared" si="152"/>
        <v>0</v>
      </c>
      <c r="R328" s="926"/>
      <c r="S328" s="927"/>
      <c r="T328" s="928"/>
    </row>
    <row r="329" spans="1:20" ht="15" hidden="1" customHeight="1" outlineLevel="1">
      <c r="A329" s="202" t="str">
        <f>TEXT($A$323,0) &amp; ".6"</f>
        <v>0.6</v>
      </c>
      <c r="B329" s="923"/>
      <c r="C329" s="924"/>
      <c r="D329" s="924"/>
      <c r="E329" s="925"/>
      <c r="F329" s="211"/>
      <c r="G329" s="211"/>
      <c r="H329" s="225"/>
      <c r="I329" s="225"/>
      <c r="J329" s="237"/>
      <c r="K329" s="237"/>
      <c r="L329" s="237"/>
      <c r="M329" s="204">
        <f t="shared" si="153"/>
        <v>0</v>
      </c>
      <c r="N329" s="235">
        <f t="shared" si="150"/>
        <v>0</v>
      </c>
      <c r="O329" s="204">
        <f t="shared" si="150"/>
        <v>0</v>
      </c>
      <c r="P329" s="205">
        <f t="shared" si="151"/>
        <v>0</v>
      </c>
      <c r="Q329" s="205">
        <f t="shared" si="152"/>
        <v>0</v>
      </c>
      <c r="R329" s="926"/>
      <c r="S329" s="927"/>
      <c r="T329" s="928"/>
    </row>
    <row r="330" spans="1:20" ht="15" hidden="1" customHeight="1" outlineLevel="1">
      <c r="A330" s="202" t="str">
        <f>TEXT($A$323,0) &amp; ".7"</f>
        <v>0.7</v>
      </c>
      <c r="B330" s="923"/>
      <c r="C330" s="924"/>
      <c r="D330" s="924"/>
      <c r="E330" s="925"/>
      <c r="F330" s="211"/>
      <c r="G330" s="211"/>
      <c r="H330" s="225"/>
      <c r="I330" s="225"/>
      <c r="J330" s="237"/>
      <c r="K330" s="237"/>
      <c r="L330" s="237"/>
      <c r="M330" s="204">
        <f t="shared" si="153"/>
        <v>0</v>
      </c>
      <c r="N330" s="235">
        <f t="shared" si="150"/>
        <v>0</v>
      </c>
      <c r="O330" s="204">
        <f t="shared" si="150"/>
        <v>0</v>
      </c>
      <c r="P330" s="205">
        <f t="shared" si="151"/>
        <v>0</v>
      </c>
      <c r="Q330" s="205">
        <f t="shared" si="152"/>
        <v>0</v>
      </c>
      <c r="R330" s="926"/>
      <c r="S330" s="927"/>
      <c r="T330" s="928"/>
    </row>
    <row r="331" spans="1:20" ht="15" hidden="1" customHeight="1" outlineLevel="1">
      <c r="A331" s="202" t="str">
        <f>TEXT($A$323,0) &amp; ".8"</f>
        <v>0.8</v>
      </c>
      <c r="B331" s="923"/>
      <c r="C331" s="924"/>
      <c r="D331" s="924"/>
      <c r="E331" s="925"/>
      <c r="F331" s="211"/>
      <c r="G331" s="211"/>
      <c r="H331" s="225"/>
      <c r="I331" s="225"/>
      <c r="J331" s="237"/>
      <c r="K331" s="237"/>
      <c r="L331" s="237"/>
      <c r="M331" s="204">
        <f t="shared" si="153"/>
        <v>0</v>
      </c>
      <c r="N331" s="235">
        <f t="shared" si="150"/>
        <v>0</v>
      </c>
      <c r="O331" s="204">
        <f t="shared" si="150"/>
        <v>0</v>
      </c>
      <c r="P331" s="205">
        <f t="shared" si="151"/>
        <v>0</v>
      </c>
      <c r="Q331" s="205">
        <f t="shared" si="152"/>
        <v>0</v>
      </c>
      <c r="R331" s="926"/>
      <c r="S331" s="927"/>
      <c r="T331" s="928"/>
    </row>
    <row r="332" spans="1:20" ht="15" hidden="1" customHeight="1" outlineLevel="1">
      <c r="A332" s="202" t="str">
        <f>TEXT($A$323,0) &amp; ".9"</f>
        <v>0.9</v>
      </c>
      <c r="B332" s="923"/>
      <c r="C332" s="924"/>
      <c r="D332" s="924"/>
      <c r="E332" s="925"/>
      <c r="F332" s="211"/>
      <c r="G332" s="211"/>
      <c r="H332" s="225"/>
      <c r="I332" s="225"/>
      <c r="J332" s="237"/>
      <c r="K332" s="237"/>
      <c r="L332" s="237"/>
      <c r="M332" s="204">
        <f t="shared" si="153"/>
        <v>0</v>
      </c>
      <c r="N332" s="235">
        <f t="shared" si="150"/>
        <v>0</v>
      </c>
      <c r="O332" s="204">
        <f t="shared" si="150"/>
        <v>0</v>
      </c>
      <c r="P332" s="205">
        <f t="shared" si="151"/>
        <v>0</v>
      </c>
      <c r="Q332" s="205">
        <f t="shared" si="152"/>
        <v>0</v>
      </c>
      <c r="R332" s="926"/>
      <c r="S332" s="927"/>
      <c r="T332" s="928"/>
    </row>
    <row r="333" spans="1:20" ht="15" hidden="1" customHeight="1" outlineLevel="1">
      <c r="A333" s="202" t="str">
        <f>TEXT($A$323,0) &amp; ".10"</f>
        <v>0.10</v>
      </c>
      <c r="B333" s="923"/>
      <c r="C333" s="924"/>
      <c r="D333" s="924"/>
      <c r="E333" s="925"/>
      <c r="F333" s="211"/>
      <c r="G333" s="211"/>
      <c r="H333" s="225"/>
      <c r="I333" s="225"/>
      <c r="J333" s="237"/>
      <c r="K333" s="237"/>
      <c r="L333" s="237"/>
      <c r="M333" s="204">
        <f t="shared" si="153"/>
        <v>0</v>
      </c>
      <c r="N333" s="235">
        <f t="shared" ref="N333:O342" si="154">M333</f>
        <v>0</v>
      </c>
      <c r="O333" s="204">
        <f t="shared" si="154"/>
        <v>0</v>
      </c>
      <c r="P333" s="205">
        <f t="shared" si="151"/>
        <v>0</v>
      </c>
      <c r="Q333" s="205">
        <f t="shared" si="152"/>
        <v>0</v>
      </c>
      <c r="R333" s="926"/>
      <c r="S333" s="927"/>
      <c r="T333" s="928"/>
    </row>
    <row r="334" spans="1:20" ht="15" hidden="1" customHeight="1" outlineLevel="1">
      <c r="A334" s="202" t="str">
        <f>TEXT($A$323,0) &amp; ".11"</f>
        <v>0.11</v>
      </c>
      <c r="B334" s="923"/>
      <c r="C334" s="924"/>
      <c r="D334" s="924"/>
      <c r="E334" s="925"/>
      <c r="F334" s="211"/>
      <c r="G334" s="211"/>
      <c r="H334" s="225"/>
      <c r="I334" s="225"/>
      <c r="J334" s="237"/>
      <c r="K334" s="237"/>
      <c r="L334" s="237"/>
      <c r="M334" s="204">
        <f>(J334+K334*4+L334)/6</f>
        <v>0</v>
      </c>
      <c r="N334" s="235">
        <f t="shared" si="154"/>
        <v>0</v>
      </c>
      <c r="O334" s="204">
        <f>N334</f>
        <v>0</v>
      </c>
      <c r="P334" s="205">
        <f t="shared" ref="P334:P343" si="155">IF(H334&lt;&gt;"",INDEX(MDActivityTypeInternalCostPerDay,MATCH(H334,MDActivityTypeID,0),1)*O334,0)</f>
        <v>0</v>
      </c>
      <c r="Q334" s="205">
        <f t="shared" ref="Q334:Q343" si="156">IF(H334&lt;&gt;"",INDEX(MDActivityTypeExternalPricePerDay,MATCH(H334,MDActivityTypeID,0),1)*O334,0)</f>
        <v>0</v>
      </c>
      <c r="R334" s="926"/>
      <c r="S334" s="927"/>
      <c r="T334" s="928"/>
    </row>
    <row r="335" spans="1:20" ht="15" hidden="1" customHeight="1" outlineLevel="1">
      <c r="A335" s="202" t="str">
        <f>TEXT($A$323,0) &amp; ".12"</f>
        <v>0.12</v>
      </c>
      <c r="B335" s="923"/>
      <c r="C335" s="924"/>
      <c r="D335" s="924"/>
      <c r="E335" s="925"/>
      <c r="F335" s="211"/>
      <c r="G335" s="211"/>
      <c r="H335" s="225"/>
      <c r="I335" s="225"/>
      <c r="J335" s="237"/>
      <c r="K335" s="237"/>
      <c r="L335" s="237"/>
      <c r="M335" s="204">
        <f t="shared" ref="M335:M343" si="157">(J335+K335*4+L335)/6</f>
        <v>0</v>
      </c>
      <c r="N335" s="235">
        <f t="shared" si="154"/>
        <v>0</v>
      </c>
      <c r="O335" s="204">
        <f t="shared" ref="O335:O343" si="158">N335</f>
        <v>0</v>
      </c>
      <c r="P335" s="205">
        <f t="shared" si="155"/>
        <v>0</v>
      </c>
      <c r="Q335" s="205">
        <f t="shared" si="156"/>
        <v>0</v>
      </c>
      <c r="R335" s="926"/>
      <c r="S335" s="927"/>
      <c r="T335" s="928"/>
    </row>
    <row r="336" spans="1:20" ht="15" hidden="1" customHeight="1" outlineLevel="1">
      <c r="A336" s="202" t="str">
        <f>TEXT($A$323,0) &amp; ".13"</f>
        <v>0.13</v>
      </c>
      <c r="B336" s="923"/>
      <c r="C336" s="924"/>
      <c r="D336" s="924"/>
      <c r="E336" s="925"/>
      <c r="F336" s="211"/>
      <c r="G336" s="211"/>
      <c r="H336" s="225"/>
      <c r="I336" s="225"/>
      <c r="J336" s="237"/>
      <c r="K336" s="237"/>
      <c r="L336" s="237"/>
      <c r="M336" s="204">
        <f t="shared" si="157"/>
        <v>0</v>
      </c>
      <c r="N336" s="235">
        <f t="shared" si="154"/>
        <v>0</v>
      </c>
      <c r="O336" s="204">
        <f t="shared" si="158"/>
        <v>0</v>
      </c>
      <c r="P336" s="205">
        <f t="shared" si="155"/>
        <v>0</v>
      </c>
      <c r="Q336" s="205">
        <f t="shared" si="156"/>
        <v>0</v>
      </c>
      <c r="R336" s="926"/>
      <c r="S336" s="927"/>
      <c r="T336" s="928"/>
    </row>
    <row r="337" spans="1:20" ht="15" hidden="1" customHeight="1" outlineLevel="1">
      <c r="A337" s="202" t="str">
        <f>TEXT($A$323,0) &amp; ".14"</f>
        <v>0.14</v>
      </c>
      <c r="B337" s="923"/>
      <c r="C337" s="924"/>
      <c r="D337" s="924"/>
      <c r="E337" s="925"/>
      <c r="F337" s="211"/>
      <c r="G337" s="211"/>
      <c r="H337" s="225"/>
      <c r="I337" s="225"/>
      <c r="J337" s="237"/>
      <c r="K337" s="237"/>
      <c r="L337" s="237"/>
      <c r="M337" s="204">
        <f t="shared" si="157"/>
        <v>0</v>
      </c>
      <c r="N337" s="235">
        <f t="shared" si="154"/>
        <v>0</v>
      </c>
      <c r="O337" s="204">
        <f t="shared" si="158"/>
        <v>0</v>
      </c>
      <c r="P337" s="205">
        <f t="shared" si="155"/>
        <v>0</v>
      </c>
      <c r="Q337" s="205">
        <f t="shared" si="156"/>
        <v>0</v>
      </c>
      <c r="R337" s="926"/>
      <c r="S337" s="927"/>
      <c r="T337" s="928"/>
    </row>
    <row r="338" spans="1:20" ht="15" hidden="1" customHeight="1" outlineLevel="1">
      <c r="A338" s="202" t="str">
        <f>TEXT($A$323,0) &amp; ".15"</f>
        <v>0.15</v>
      </c>
      <c r="B338" s="923"/>
      <c r="C338" s="924"/>
      <c r="D338" s="924"/>
      <c r="E338" s="925"/>
      <c r="F338" s="211"/>
      <c r="G338" s="211"/>
      <c r="H338" s="225"/>
      <c r="I338" s="225"/>
      <c r="J338" s="237"/>
      <c r="K338" s="237"/>
      <c r="L338" s="237"/>
      <c r="M338" s="204">
        <f t="shared" si="157"/>
        <v>0</v>
      </c>
      <c r="N338" s="235">
        <f t="shared" si="154"/>
        <v>0</v>
      </c>
      <c r="O338" s="204">
        <f t="shared" si="158"/>
        <v>0</v>
      </c>
      <c r="P338" s="205">
        <f t="shared" si="155"/>
        <v>0</v>
      </c>
      <c r="Q338" s="205">
        <f t="shared" si="156"/>
        <v>0</v>
      </c>
      <c r="R338" s="926"/>
      <c r="S338" s="927"/>
      <c r="T338" s="928"/>
    </row>
    <row r="339" spans="1:20" ht="15" hidden="1" customHeight="1" outlineLevel="1">
      <c r="A339" s="202" t="str">
        <f>TEXT($A$323,0) &amp; ".16"</f>
        <v>0.16</v>
      </c>
      <c r="B339" s="923"/>
      <c r="C339" s="924"/>
      <c r="D339" s="924"/>
      <c r="E339" s="925"/>
      <c r="F339" s="211"/>
      <c r="G339" s="211"/>
      <c r="H339" s="225"/>
      <c r="I339" s="225"/>
      <c r="J339" s="237"/>
      <c r="K339" s="237"/>
      <c r="L339" s="237"/>
      <c r="M339" s="204">
        <f t="shared" si="157"/>
        <v>0</v>
      </c>
      <c r="N339" s="235">
        <f t="shared" si="154"/>
        <v>0</v>
      </c>
      <c r="O339" s="204">
        <f t="shared" si="158"/>
        <v>0</v>
      </c>
      <c r="P339" s="205">
        <f t="shared" si="155"/>
        <v>0</v>
      </c>
      <c r="Q339" s="205">
        <f t="shared" si="156"/>
        <v>0</v>
      </c>
      <c r="R339" s="926"/>
      <c r="S339" s="927"/>
      <c r="T339" s="928"/>
    </row>
    <row r="340" spans="1:20" ht="15" hidden="1" customHeight="1" outlineLevel="1">
      <c r="A340" s="202" t="str">
        <f>TEXT($A$323,0) &amp; ".17"</f>
        <v>0.17</v>
      </c>
      <c r="B340" s="923"/>
      <c r="C340" s="924"/>
      <c r="D340" s="924"/>
      <c r="E340" s="925"/>
      <c r="F340" s="211"/>
      <c r="G340" s="211"/>
      <c r="H340" s="225"/>
      <c r="I340" s="225"/>
      <c r="J340" s="237"/>
      <c r="K340" s="237"/>
      <c r="L340" s="237"/>
      <c r="M340" s="204">
        <f t="shared" si="157"/>
        <v>0</v>
      </c>
      <c r="N340" s="235">
        <f t="shared" si="154"/>
        <v>0</v>
      </c>
      <c r="O340" s="204">
        <f t="shared" si="158"/>
        <v>0</v>
      </c>
      <c r="P340" s="205">
        <f t="shared" si="155"/>
        <v>0</v>
      </c>
      <c r="Q340" s="205">
        <f t="shared" si="156"/>
        <v>0</v>
      </c>
      <c r="R340" s="926"/>
      <c r="S340" s="927"/>
      <c r="T340" s="928"/>
    </row>
    <row r="341" spans="1:20" ht="15" hidden="1" customHeight="1" outlineLevel="1">
      <c r="A341" s="202" t="str">
        <f>TEXT($A$323,0) &amp; ".18"</f>
        <v>0.18</v>
      </c>
      <c r="B341" s="923"/>
      <c r="C341" s="924"/>
      <c r="D341" s="924"/>
      <c r="E341" s="925"/>
      <c r="F341" s="211"/>
      <c r="G341" s="211"/>
      <c r="H341" s="225"/>
      <c r="I341" s="225"/>
      <c r="J341" s="237"/>
      <c r="K341" s="237"/>
      <c r="L341" s="237"/>
      <c r="M341" s="204">
        <f t="shared" si="157"/>
        <v>0</v>
      </c>
      <c r="N341" s="235">
        <f t="shared" si="154"/>
        <v>0</v>
      </c>
      <c r="O341" s="204">
        <f t="shared" si="158"/>
        <v>0</v>
      </c>
      <c r="P341" s="205">
        <f t="shared" si="155"/>
        <v>0</v>
      </c>
      <c r="Q341" s="205">
        <f t="shared" si="156"/>
        <v>0</v>
      </c>
      <c r="R341" s="926"/>
      <c r="S341" s="927"/>
      <c r="T341" s="928"/>
    </row>
    <row r="342" spans="1:20" ht="15" hidden="1" customHeight="1" outlineLevel="1">
      <c r="A342" s="202" t="str">
        <f>TEXT($A$323,0) &amp; ".19"</f>
        <v>0.19</v>
      </c>
      <c r="B342" s="923"/>
      <c r="C342" s="924"/>
      <c r="D342" s="924"/>
      <c r="E342" s="925"/>
      <c r="F342" s="211"/>
      <c r="G342" s="211"/>
      <c r="H342" s="225"/>
      <c r="I342" s="225"/>
      <c r="J342" s="237"/>
      <c r="K342" s="237"/>
      <c r="L342" s="237"/>
      <c r="M342" s="204">
        <f t="shared" si="157"/>
        <v>0</v>
      </c>
      <c r="N342" s="235">
        <f t="shared" si="154"/>
        <v>0</v>
      </c>
      <c r="O342" s="204">
        <f t="shared" si="158"/>
        <v>0</v>
      </c>
      <c r="P342" s="205">
        <f t="shared" si="155"/>
        <v>0</v>
      </c>
      <c r="Q342" s="205">
        <f t="shared" si="156"/>
        <v>0</v>
      </c>
      <c r="R342" s="926"/>
      <c r="S342" s="927"/>
      <c r="T342" s="928"/>
    </row>
    <row r="343" spans="1:20" ht="15" hidden="1" customHeight="1" outlineLevel="1">
      <c r="A343" s="202" t="str">
        <f>TEXT($A$323,0) &amp; ".20"</f>
        <v>0.20</v>
      </c>
      <c r="B343" s="923"/>
      <c r="C343" s="924"/>
      <c r="D343" s="924"/>
      <c r="E343" s="925"/>
      <c r="F343" s="211"/>
      <c r="G343" s="211"/>
      <c r="H343" s="225"/>
      <c r="I343" s="225"/>
      <c r="J343" s="237"/>
      <c r="K343" s="237"/>
      <c r="L343" s="237"/>
      <c r="M343" s="204">
        <f t="shared" si="157"/>
        <v>0</v>
      </c>
      <c r="N343" s="235">
        <f>M343</f>
        <v>0</v>
      </c>
      <c r="O343" s="204">
        <f t="shared" si="158"/>
        <v>0</v>
      </c>
      <c r="P343" s="205">
        <f t="shared" si="155"/>
        <v>0</v>
      </c>
      <c r="Q343" s="205">
        <f t="shared" si="156"/>
        <v>0</v>
      </c>
      <c r="R343" s="926"/>
      <c r="S343" s="927"/>
      <c r="T343" s="928"/>
    </row>
    <row r="344" spans="1:20" ht="15" customHeight="1" collapsed="1">
      <c r="A344" s="267"/>
      <c r="B344" s="932"/>
      <c r="C344" s="933"/>
      <c r="D344" s="933"/>
      <c r="E344" s="934"/>
      <c r="F344" s="220"/>
      <c r="G344" s="220"/>
      <c r="H344" s="222"/>
      <c r="I344" s="222" t="str">
        <f>IF(COUNTIF(I345:I364,TMDPhaseTimeAndMaterial)&gt;0,TMDPhaseTimeAndMaterial,IF(COUNTIF(I345:I364,TMDPhaseChangeTimeAndMaterial)&gt;0,TMDPhaseChangeTimeAndMaterial,""))</f>
        <v/>
      </c>
      <c r="J344" s="234">
        <f t="shared" ref="J344:Q344" si="159">SUM(J345:J364)</f>
        <v>0</v>
      </c>
      <c r="K344" s="234">
        <f t="shared" si="159"/>
        <v>0</v>
      </c>
      <c r="L344" s="234">
        <f t="shared" si="159"/>
        <v>0</v>
      </c>
      <c r="M344" s="201">
        <f t="shared" si="159"/>
        <v>0</v>
      </c>
      <c r="N344" s="201">
        <f t="shared" si="159"/>
        <v>0</v>
      </c>
      <c r="O344" s="201">
        <f t="shared" si="159"/>
        <v>0</v>
      </c>
      <c r="P344" s="201">
        <f t="shared" si="159"/>
        <v>0</v>
      </c>
      <c r="Q344" s="201">
        <f t="shared" si="159"/>
        <v>0</v>
      </c>
      <c r="R344" s="1006"/>
      <c r="S344" s="1006"/>
      <c r="T344" s="1006"/>
    </row>
    <row r="345" spans="1:20" ht="15" hidden="1" customHeight="1" outlineLevel="1">
      <c r="A345" s="202" t="str">
        <f>TEXT($A$344,0) &amp; ".1"</f>
        <v>0.1</v>
      </c>
      <c r="B345" s="923"/>
      <c r="C345" s="924"/>
      <c r="D345" s="924"/>
      <c r="E345" s="925"/>
      <c r="F345" s="211"/>
      <c r="G345" s="211"/>
      <c r="H345" s="225"/>
      <c r="I345" s="225"/>
      <c r="J345" s="237"/>
      <c r="K345" s="237"/>
      <c r="L345" s="237"/>
      <c r="M345" s="204">
        <f>(J345+K345*4+L345)/6</f>
        <v>0</v>
      </c>
      <c r="N345" s="235">
        <f t="shared" ref="N345:N354" si="160">M345</f>
        <v>0</v>
      </c>
      <c r="O345" s="204">
        <f>N345</f>
        <v>0</v>
      </c>
      <c r="P345" s="205">
        <f t="shared" ref="P345:P354" si="161">IF(H345&lt;&gt;"",INDEX(MDActivityTypeInternalCostPerDay,MATCH(H345,MDActivityTypeID,0),1)*O345,0)</f>
        <v>0</v>
      </c>
      <c r="Q345" s="205">
        <f t="shared" ref="Q345:Q354" si="162">IF(H345&lt;&gt;"",INDEX(MDActivityTypeExternalPricePerDay,MATCH(H345,MDActivityTypeID,0),1)*O345,0)</f>
        <v>0</v>
      </c>
      <c r="R345" s="926"/>
      <c r="S345" s="927"/>
      <c r="T345" s="928"/>
    </row>
    <row r="346" spans="1:20" ht="15" hidden="1" customHeight="1" outlineLevel="1">
      <c r="A346" s="202" t="str">
        <f>TEXT($A$344,0) &amp; ".2"</f>
        <v>0.2</v>
      </c>
      <c r="B346" s="923"/>
      <c r="C346" s="924"/>
      <c r="D346" s="924"/>
      <c r="E346" s="925"/>
      <c r="F346" s="211"/>
      <c r="G346" s="211"/>
      <c r="H346" s="225"/>
      <c r="I346" s="225"/>
      <c r="J346" s="237"/>
      <c r="K346" s="237"/>
      <c r="L346" s="237"/>
      <c r="M346" s="204">
        <f t="shared" ref="M346:M354" si="163">(J346+K346*4+L346)/6</f>
        <v>0</v>
      </c>
      <c r="N346" s="235">
        <f t="shared" si="160"/>
        <v>0</v>
      </c>
      <c r="O346" s="204">
        <f t="shared" ref="O346:O354" si="164">N346</f>
        <v>0</v>
      </c>
      <c r="P346" s="205">
        <f t="shared" si="161"/>
        <v>0</v>
      </c>
      <c r="Q346" s="205">
        <f t="shared" si="162"/>
        <v>0</v>
      </c>
      <c r="R346" s="926"/>
      <c r="S346" s="927"/>
      <c r="T346" s="928"/>
    </row>
    <row r="347" spans="1:20" ht="15" hidden="1" customHeight="1" outlineLevel="1">
      <c r="A347" s="202" t="str">
        <f>TEXT($A$344,0) &amp; ".3"</f>
        <v>0.3</v>
      </c>
      <c r="B347" s="923"/>
      <c r="C347" s="924"/>
      <c r="D347" s="924"/>
      <c r="E347" s="925"/>
      <c r="F347" s="211"/>
      <c r="G347" s="211"/>
      <c r="H347" s="225"/>
      <c r="I347" s="225"/>
      <c r="J347" s="237"/>
      <c r="K347" s="237"/>
      <c r="L347" s="237"/>
      <c r="M347" s="204">
        <f t="shared" si="163"/>
        <v>0</v>
      </c>
      <c r="N347" s="235">
        <f t="shared" si="160"/>
        <v>0</v>
      </c>
      <c r="O347" s="204">
        <f t="shared" si="164"/>
        <v>0</v>
      </c>
      <c r="P347" s="205">
        <f t="shared" si="161"/>
        <v>0</v>
      </c>
      <c r="Q347" s="205">
        <f t="shared" si="162"/>
        <v>0</v>
      </c>
      <c r="R347" s="926"/>
      <c r="S347" s="927"/>
      <c r="T347" s="928"/>
    </row>
    <row r="348" spans="1:20" ht="15" hidden="1" customHeight="1" outlineLevel="1">
      <c r="A348" s="202" t="str">
        <f>TEXT($A$344,0) &amp; ".4"</f>
        <v>0.4</v>
      </c>
      <c r="B348" s="923"/>
      <c r="C348" s="924"/>
      <c r="D348" s="924"/>
      <c r="E348" s="925"/>
      <c r="F348" s="211"/>
      <c r="G348" s="211"/>
      <c r="H348" s="225"/>
      <c r="I348" s="225"/>
      <c r="J348" s="237"/>
      <c r="K348" s="237"/>
      <c r="L348" s="237"/>
      <c r="M348" s="204">
        <f t="shared" si="163"/>
        <v>0</v>
      </c>
      <c r="N348" s="235">
        <f t="shared" si="160"/>
        <v>0</v>
      </c>
      <c r="O348" s="204">
        <f t="shared" si="164"/>
        <v>0</v>
      </c>
      <c r="P348" s="205">
        <f t="shared" si="161"/>
        <v>0</v>
      </c>
      <c r="Q348" s="205">
        <f t="shared" si="162"/>
        <v>0</v>
      </c>
      <c r="R348" s="926"/>
      <c r="S348" s="927"/>
      <c r="T348" s="928"/>
    </row>
    <row r="349" spans="1:20" ht="15" hidden="1" customHeight="1" outlineLevel="1">
      <c r="A349" s="202" t="str">
        <f>TEXT($A$344,0) &amp; ".5"</f>
        <v>0.5</v>
      </c>
      <c r="B349" s="923"/>
      <c r="C349" s="924"/>
      <c r="D349" s="924"/>
      <c r="E349" s="925"/>
      <c r="F349" s="211"/>
      <c r="G349" s="211"/>
      <c r="H349" s="225"/>
      <c r="I349" s="225"/>
      <c r="J349" s="237"/>
      <c r="K349" s="237"/>
      <c r="L349" s="237"/>
      <c r="M349" s="204">
        <f t="shared" si="163"/>
        <v>0</v>
      </c>
      <c r="N349" s="235">
        <f t="shared" si="160"/>
        <v>0</v>
      </c>
      <c r="O349" s="204">
        <f t="shared" si="164"/>
        <v>0</v>
      </c>
      <c r="P349" s="205">
        <f t="shared" si="161"/>
        <v>0</v>
      </c>
      <c r="Q349" s="205">
        <f t="shared" si="162"/>
        <v>0</v>
      </c>
      <c r="R349" s="926"/>
      <c r="S349" s="927"/>
      <c r="T349" s="928"/>
    </row>
    <row r="350" spans="1:20" ht="15" hidden="1" customHeight="1" outlineLevel="1">
      <c r="A350" s="202" t="str">
        <f>TEXT($A$344,0) &amp; ".6"</f>
        <v>0.6</v>
      </c>
      <c r="B350" s="923"/>
      <c r="C350" s="924"/>
      <c r="D350" s="924"/>
      <c r="E350" s="925"/>
      <c r="F350" s="211"/>
      <c r="G350" s="211"/>
      <c r="H350" s="225"/>
      <c r="I350" s="225"/>
      <c r="J350" s="237"/>
      <c r="K350" s="237"/>
      <c r="L350" s="237"/>
      <c r="M350" s="204">
        <f t="shared" si="163"/>
        <v>0</v>
      </c>
      <c r="N350" s="235">
        <f t="shared" si="160"/>
        <v>0</v>
      </c>
      <c r="O350" s="204">
        <f t="shared" si="164"/>
        <v>0</v>
      </c>
      <c r="P350" s="205">
        <f t="shared" si="161"/>
        <v>0</v>
      </c>
      <c r="Q350" s="205">
        <f t="shared" si="162"/>
        <v>0</v>
      </c>
      <c r="R350" s="926"/>
      <c r="S350" s="927"/>
      <c r="T350" s="928"/>
    </row>
    <row r="351" spans="1:20" ht="15" hidden="1" customHeight="1" outlineLevel="1">
      <c r="A351" s="202" t="str">
        <f>TEXT($A$344,0) &amp; ".7"</f>
        <v>0.7</v>
      </c>
      <c r="B351" s="923"/>
      <c r="C351" s="924"/>
      <c r="D351" s="924"/>
      <c r="E351" s="925"/>
      <c r="F351" s="211"/>
      <c r="G351" s="211"/>
      <c r="H351" s="225"/>
      <c r="I351" s="225"/>
      <c r="J351" s="237"/>
      <c r="K351" s="237"/>
      <c r="L351" s="237"/>
      <c r="M351" s="204">
        <f t="shared" si="163"/>
        <v>0</v>
      </c>
      <c r="N351" s="235">
        <f t="shared" si="160"/>
        <v>0</v>
      </c>
      <c r="O351" s="204">
        <f t="shared" si="164"/>
        <v>0</v>
      </c>
      <c r="P351" s="205">
        <f t="shared" si="161"/>
        <v>0</v>
      </c>
      <c r="Q351" s="205">
        <f t="shared" si="162"/>
        <v>0</v>
      </c>
      <c r="R351" s="926"/>
      <c r="S351" s="927"/>
      <c r="T351" s="928"/>
    </row>
    <row r="352" spans="1:20" ht="15" hidden="1" customHeight="1" outlineLevel="1">
      <c r="A352" s="202" t="str">
        <f>TEXT($A$344,0) &amp; ".8"</f>
        <v>0.8</v>
      </c>
      <c r="B352" s="923"/>
      <c r="C352" s="924"/>
      <c r="D352" s="924"/>
      <c r="E352" s="925"/>
      <c r="F352" s="211"/>
      <c r="G352" s="211"/>
      <c r="H352" s="225"/>
      <c r="I352" s="225"/>
      <c r="J352" s="237"/>
      <c r="K352" s="237"/>
      <c r="L352" s="237"/>
      <c r="M352" s="204">
        <f t="shared" si="163"/>
        <v>0</v>
      </c>
      <c r="N352" s="235">
        <f t="shared" si="160"/>
        <v>0</v>
      </c>
      <c r="O352" s="204">
        <f t="shared" si="164"/>
        <v>0</v>
      </c>
      <c r="P352" s="205">
        <f t="shared" si="161"/>
        <v>0</v>
      </c>
      <c r="Q352" s="205">
        <f t="shared" si="162"/>
        <v>0</v>
      </c>
      <c r="R352" s="926"/>
      <c r="S352" s="927"/>
      <c r="T352" s="928"/>
    </row>
    <row r="353" spans="1:20" ht="15" hidden="1" customHeight="1" outlineLevel="1">
      <c r="A353" s="202" t="str">
        <f>TEXT($A$344,0) &amp; ".9"</f>
        <v>0.9</v>
      </c>
      <c r="B353" s="923"/>
      <c r="C353" s="924"/>
      <c r="D353" s="924"/>
      <c r="E353" s="925"/>
      <c r="F353" s="211"/>
      <c r="G353" s="211"/>
      <c r="H353" s="225"/>
      <c r="I353" s="225"/>
      <c r="J353" s="237"/>
      <c r="K353" s="237"/>
      <c r="L353" s="237"/>
      <c r="M353" s="204">
        <f t="shared" si="163"/>
        <v>0</v>
      </c>
      <c r="N353" s="235">
        <f t="shared" si="160"/>
        <v>0</v>
      </c>
      <c r="O353" s="204">
        <f t="shared" si="164"/>
        <v>0</v>
      </c>
      <c r="P353" s="205">
        <f t="shared" si="161"/>
        <v>0</v>
      </c>
      <c r="Q353" s="205">
        <f t="shared" si="162"/>
        <v>0</v>
      </c>
      <c r="R353" s="926"/>
      <c r="S353" s="927"/>
      <c r="T353" s="928"/>
    </row>
    <row r="354" spans="1:20" ht="15" hidden="1" customHeight="1" outlineLevel="1">
      <c r="A354" s="202" t="str">
        <f>TEXT($A$344,0) &amp; ".10"</f>
        <v>0.10</v>
      </c>
      <c r="B354" s="923"/>
      <c r="C354" s="924"/>
      <c r="D354" s="924"/>
      <c r="E354" s="925"/>
      <c r="F354" s="211"/>
      <c r="G354" s="211"/>
      <c r="H354" s="225"/>
      <c r="I354" s="225"/>
      <c r="J354" s="237"/>
      <c r="K354" s="237"/>
      <c r="L354" s="237"/>
      <c r="M354" s="204">
        <f t="shared" si="163"/>
        <v>0</v>
      </c>
      <c r="N354" s="235">
        <f t="shared" si="160"/>
        <v>0</v>
      </c>
      <c r="O354" s="204">
        <f t="shared" si="164"/>
        <v>0</v>
      </c>
      <c r="P354" s="205">
        <f t="shared" si="161"/>
        <v>0</v>
      </c>
      <c r="Q354" s="205">
        <f t="shared" si="162"/>
        <v>0</v>
      </c>
      <c r="R354" s="926"/>
      <c r="S354" s="927"/>
      <c r="T354" s="928"/>
    </row>
    <row r="355" spans="1:20" ht="15" hidden="1" customHeight="1" outlineLevel="1">
      <c r="A355" s="202" t="str">
        <f>TEXT($A$344,0) &amp; ".11"</f>
        <v>0.11</v>
      </c>
      <c r="B355" s="923"/>
      <c r="C355" s="924"/>
      <c r="D355" s="924"/>
      <c r="E355" s="925"/>
      <c r="F355" s="211"/>
      <c r="G355" s="211"/>
      <c r="H355" s="225"/>
      <c r="I355" s="225"/>
      <c r="J355" s="237"/>
      <c r="K355" s="237"/>
      <c r="L355" s="237"/>
      <c r="M355" s="204">
        <f>(J355+K355*4+L355)/6</f>
        <v>0</v>
      </c>
      <c r="N355" s="235">
        <f t="shared" ref="N355:O364" si="165">M355</f>
        <v>0</v>
      </c>
      <c r="O355" s="204">
        <f t="shared" si="165"/>
        <v>0</v>
      </c>
      <c r="P355" s="205">
        <f t="shared" ref="P355:P364" si="166">IF(H355&lt;&gt;"",INDEX(MDActivityTypeInternalCostPerDay,MATCH(H355,MDActivityTypeID,0),1)*O355,0)</f>
        <v>0</v>
      </c>
      <c r="Q355" s="205">
        <f t="shared" ref="Q355:Q364" si="167">IF(H355&lt;&gt;"",INDEX(MDActivityTypeExternalPricePerDay,MATCH(H355,MDActivityTypeID,0),1)*O355,0)</f>
        <v>0</v>
      </c>
      <c r="R355" s="926"/>
      <c r="S355" s="927"/>
      <c r="T355" s="928"/>
    </row>
    <row r="356" spans="1:20" ht="15" hidden="1" customHeight="1" outlineLevel="1">
      <c r="A356" s="202" t="str">
        <f>TEXT($A$344,0) &amp; ".12"</f>
        <v>0.12</v>
      </c>
      <c r="B356" s="923"/>
      <c r="C356" s="924"/>
      <c r="D356" s="924"/>
      <c r="E356" s="925"/>
      <c r="F356" s="211"/>
      <c r="G356" s="211"/>
      <c r="H356" s="225"/>
      <c r="I356" s="225"/>
      <c r="J356" s="237"/>
      <c r="K356" s="237"/>
      <c r="L356" s="237"/>
      <c r="M356" s="204">
        <f t="shared" ref="M356:M364" si="168">(J356+K356*4+L356)/6</f>
        <v>0</v>
      </c>
      <c r="N356" s="235">
        <f t="shared" si="165"/>
        <v>0</v>
      </c>
      <c r="O356" s="204">
        <f t="shared" si="165"/>
        <v>0</v>
      </c>
      <c r="P356" s="205">
        <f t="shared" si="166"/>
        <v>0</v>
      </c>
      <c r="Q356" s="205">
        <f t="shared" si="167"/>
        <v>0</v>
      </c>
      <c r="R356" s="926"/>
      <c r="S356" s="927"/>
      <c r="T356" s="928"/>
    </row>
    <row r="357" spans="1:20" ht="15" hidden="1" customHeight="1" outlineLevel="1">
      <c r="A357" s="202" t="str">
        <f>TEXT($A$344,0) &amp; ".13"</f>
        <v>0.13</v>
      </c>
      <c r="B357" s="923"/>
      <c r="C357" s="924"/>
      <c r="D357" s="924"/>
      <c r="E357" s="925"/>
      <c r="F357" s="211"/>
      <c r="G357" s="211"/>
      <c r="H357" s="225"/>
      <c r="I357" s="225"/>
      <c r="J357" s="237"/>
      <c r="K357" s="237"/>
      <c r="L357" s="237"/>
      <c r="M357" s="204">
        <f t="shared" si="168"/>
        <v>0</v>
      </c>
      <c r="N357" s="235">
        <f t="shared" si="165"/>
        <v>0</v>
      </c>
      <c r="O357" s="204">
        <f t="shared" si="165"/>
        <v>0</v>
      </c>
      <c r="P357" s="205">
        <f t="shared" si="166"/>
        <v>0</v>
      </c>
      <c r="Q357" s="205">
        <f t="shared" si="167"/>
        <v>0</v>
      </c>
      <c r="R357" s="926"/>
      <c r="S357" s="927"/>
      <c r="T357" s="928"/>
    </row>
    <row r="358" spans="1:20" ht="15" hidden="1" customHeight="1" outlineLevel="1">
      <c r="A358" s="202" t="str">
        <f>TEXT($A$344,0) &amp; ".14"</f>
        <v>0.14</v>
      </c>
      <c r="B358" s="923"/>
      <c r="C358" s="924"/>
      <c r="D358" s="924"/>
      <c r="E358" s="925"/>
      <c r="F358" s="211"/>
      <c r="G358" s="211"/>
      <c r="H358" s="225"/>
      <c r="I358" s="225"/>
      <c r="J358" s="237"/>
      <c r="K358" s="237"/>
      <c r="L358" s="237"/>
      <c r="M358" s="204">
        <f t="shared" si="168"/>
        <v>0</v>
      </c>
      <c r="N358" s="235">
        <f t="shared" si="165"/>
        <v>0</v>
      </c>
      <c r="O358" s="204">
        <f t="shared" si="165"/>
        <v>0</v>
      </c>
      <c r="P358" s="205">
        <f t="shared" si="166"/>
        <v>0</v>
      </c>
      <c r="Q358" s="205">
        <f t="shared" si="167"/>
        <v>0</v>
      </c>
      <c r="R358" s="926"/>
      <c r="S358" s="927"/>
      <c r="T358" s="928"/>
    </row>
    <row r="359" spans="1:20" ht="15" hidden="1" customHeight="1" outlineLevel="1">
      <c r="A359" s="202" t="str">
        <f>TEXT($A$344,0) &amp; ".15"</f>
        <v>0.15</v>
      </c>
      <c r="B359" s="923"/>
      <c r="C359" s="924"/>
      <c r="D359" s="924"/>
      <c r="E359" s="925"/>
      <c r="F359" s="211"/>
      <c r="G359" s="211"/>
      <c r="H359" s="225"/>
      <c r="I359" s="225"/>
      <c r="J359" s="237"/>
      <c r="K359" s="237"/>
      <c r="L359" s="237"/>
      <c r="M359" s="204">
        <f t="shared" si="168"/>
        <v>0</v>
      </c>
      <c r="N359" s="235">
        <f t="shared" si="165"/>
        <v>0</v>
      </c>
      <c r="O359" s="204">
        <f t="shared" si="165"/>
        <v>0</v>
      </c>
      <c r="P359" s="205">
        <f t="shared" si="166"/>
        <v>0</v>
      </c>
      <c r="Q359" s="205">
        <f t="shared" si="167"/>
        <v>0</v>
      </c>
      <c r="R359" s="926"/>
      <c r="S359" s="927"/>
      <c r="T359" s="928"/>
    </row>
    <row r="360" spans="1:20" ht="15" hidden="1" customHeight="1" outlineLevel="1">
      <c r="A360" s="202" t="str">
        <f>TEXT($A$344,0) &amp; ".16"</f>
        <v>0.16</v>
      </c>
      <c r="B360" s="923"/>
      <c r="C360" s="924"/>
      <c r="D360" s="924"/>
      <c r="E360" s="925"/>
      <c r="F360" s="211"/>
      <c r="G360" s="211"/>
      <c r="H360" s="225"/>
      <c r="I360" s="225"/>
      <c r="J360" s="237"/>
      <c r="K360" s="237"/>
      <c r="L360" s="237"/>
      <c r="M360" s="204">
        <f t="shared" si="168"/>
        <v>0</v>
      </c>
      <c r="N360" s="235">
        <f t="shared" si="165"/>
        <v>0</v>
      </c>
      <c r="O360" s="204">
        <f t="shared" si="165"/>
        <v>0</v>
      </c>
      <c r="P360" s="205">
        <f t="shared" si="166"/>
        <v>0</v>
      </c>
      <c r="Q360" s="205">
        <f t="shared" si="167"/>
        <v>0</v>
      </c>
      <c r="R360" s="926"/>
      <c r="S360" s="927"/>
      <c r="T360" s="928"/>
    </row>
    <row r="361" spans="1:20" ht="15" hidden="1" customHeight="1" outlineLevel="1">
      <c r="A361" s="202" t="str">
        <f>TEXT($A$344,0) &amp; ".17"</f>
        <v>0.17</v>
      </c>
      <c r="B361" s="923"/>
      <c r="C361" s="924"/>
      <c r="D361" s="924"/>
      <c r="E361" s="925"/>
      <c r="F361" s="211"/>
      <c r="G361" s="211"/>
      <c r="H361" s="225"/>
      <c r="I361" s="225"/>
      <c r="J361" s="237"/>
      <c r="K361" s="237"/>
      <c r="L361" s="237"/>
      <c r="M361" s="204">
        <f t="shared" si="168"/>
        <v>0</v>
      </c>
      <c r="N361" s="235">
        <f t="shared" si="165"/>
        <v>0</v>
      </c>
      <c r="O361" s="204">
        <f t="shared" si="165"/>
        <v>0</v>
      </c>
      <c r="P361" s="205">
        <f t="shared" si="166"/>
        <v>0</v>
      </c>
      <c r="Q361" s="205">
        <f t="shared" si="167"/>
        <v>0</v>
      </c>
      <c r="R361" s="926"/>
      <c r="S361" s="927"/>
      <c r="T361" s="928"/>
    </row>
    <row r="362" spans="1:20" ht="15" hidden="1" customHeight="1" outlineLevel="1">
      <c r="A362" s="202" t="str">
        <f>TEXT($A$344,0) &amp; ".18"</f>
        <v>0.18</v>
      </c>
      <c r="B362" s="923"/>
      <c r="C362" s="924"/>
      <c r="D362" s="924"/>
      <c r="E362" s="925"/>
      <c r="F362" s="211"/>
      <c r="G362" s="211"/>
      <c r="H362" s="225"/>
      <c r="I362" s="225"/>
      <c r="J362" s="237"/>
      <c r="K362" s="237"/>
      <c r="L362" s="237"/>
      <c r="M362" s="204">
        <f t="shared" si="168"/>
        <v>0</v>
      </c>
      <c r="N362" s="235">
        <f t="shared" si="165"/>
        <v>0</v>
      </c>
      <c r="O362" s="204">
        <f t="shared" si="165"/>
        <v>0</v>
      </c>
      <c r="P362" s="205">
        <f t="shared" si="166"/>
        <v>0</v>
      </c>
      <c r="Q362" s="205">
        <f t="shared" si="167"/>
        <v>0</v>
      </c>
      <c r="R362" s="926"/>
      <c r="S362" s="927"/>
      <c r="T362" s="928"/>
    </row>
    <row r="363" spans="1:20" ht="15" hidden="1" customHeight="1" outlineLevel="1">
      <c r="A363" s="202" t="str">
        <f>TEXT($A$344,0) &amp; ".19"</f>
        <v>0.19</v>
      </c>
      <c r="B363" s="923"/>
      <c r="C363" s="924"/>
      <c r="D363" s="924"/>
      <c r="E363" s="925"/>
      <c r="F363" s="211"/>
      <c r="G363" s="211"/>
      <c r="H363" s="225"/>
      <c r="I363" s="225"/>
      <c r="J363" s="237"/>
      <c r="K363" s="237"/>
      <c r="L363" s="237"/>
      <c r="M363" s="204">
        <f t="shared" si="168"/>
        <v>0</v>
      </c>
      <c r="N363" s="235">
        <f t="shared" si="165"/>
        <v>0</v>
      </c>
      <c r="O363" s="204">
        <f t="shared" si="165"/>
        <v>0</v>
      </c>
      <c r="P363" s="205">
        <f t="shared" si="166"/>
        <v>0</v>
      </c>
      <c r="Q363" s="205">
        <f t="shared" si="167"/>
        <v>0</v>
      </c>
      <c r="R363" s="926"/>
      <c r="S363" s="927"/>
      <c r="T363" s="928"/>
    </row>
    <row r="364" spans="1:20" ht="15" hidden="1" customHeight="1" outlineLevel="1">
      <c r="A364" s="202" t="str">
        <f>TEXT($A$344,0) &amp; ".20"</f>
        <v>0.20</v>
      </c>
      <c r="B364" s="923"/>
      <c r="C364" s="924"/>
      <c r="D364" s="924"/>
      <c r="E364" s="925"/>
      <c r="F364" s="211"/>
      <c r="G364" s="211"/>
      <c r="H364" s="225"/>
      <c r="I364" s="225"/>
      <c r="J364" s="237"/>
      <c r="K364" s="237"/>
      <c r="L364" s="237"/>
      <c r="M364" s="204">
        <f t="shared" si="168"/>
        <v>0</v>
      </c>
      <c r="N364" s="235">
        <f t="shared" si="165"/>
        <v>0</v>
      </c>
      <c r="O364" s="204">
        <f t="shared" si="165"/>
        <v>0</v>
      </c>
      <c r="P364" s="205">
        <f t="shared" si="166"/>
        <v>0</v>
      </c>
      <c r="Q364" s="205">
        <f t="shared" si="167"/>
        <v>0</v>
      </c>
      <c r="R364" s="926"/>
      <c r="S364" s="927"/>
      <c r="T364" s="928"/>
    </row>
    <row r="365" spans="1:20" ht="15" customHeight="1" collapsed="1">
      <c r="A365" s="267"/>
      <c r="B365" s="932"/>
      <c r="C365" s="933"/>
      <c r="D365" s="933"/>
      <c r="E365" s="934"/>
      <c r="F365" s="220"/>
      <c r="G365" s="220"/>
      <c r="H365" s="222"/>
      <c r="I365" s="222" t="str">
        <f>IF(COUNTIF(I366:I385,TMDPhaseTimeAndMaterial)&gt;0,TMDPhaseTimeAndMaterial,IF(COUNTIF(I366:I385,TMDPhaseChangeTimeAndMaterial)&gt;0,TMDPhaseChangeTimeAndMaterial,""))</f>
        <v/>
      </c>
      <c r="J365" s="234">
        <f t="shared" ref="J365:Q365" si="169">SUM(J366:J385)</f>
        <v>0</v>
      </c>
      <c r="K365" s="234">
        <f t="shared" si="169"/>
        <v>0</v>
      </c>
      <c r="L365" s="234">
        <f t="shared" si="169"/>
        <v>0</v>
      </c>
      <c r="M365" s="201">
        <f t="shared" si="169"/>
        <v>0</v>
      </c>
      <c r="N365" s="201">
        <f t="shared" si="169"/>
        <v>0</v>
      </c>
      <c r="O365" s="201">
        <f t="shared" si="169"/>
        <v>0</v>
      </c>
      <c r="P365" s="201">
        <f t="shared" si="169"/>
        <v>0</v>
      </c>
      <c r="Q365" s="201">
        <f t="shared" si="169"/>
        <v>0</v>
      </c>
      <c r="R365" s="936"/>
      <c r="S365" s="936"/>
      <c r="T365" s="936"/>
    </row>
    <row r="366" spans="1:20" ht="15" hidden="1" customHeight="1" outlineLevel="1">
      <c r="A366" s="202" t="str">
        <f>TEXT($A$365,0) &amp; ".1"</f>
        <v>0.1</v>
      </c>
      <c r="B366" s="923"/>
      <c r="C366" s="924"/>
      <c r="D366" s="924"/>
      <c r="E366" s="925"/>
      <c r="F366" s="211"/>
      <c r="G366" s="211"/>
      <c r="H366" s="225"/>
      <c r="I366" s="225"/>
      <c r="J366" s="237"/>
      <c r="K366" s="237"/>
      <c r="L366" s="237"/>
      <c r="M366" s="204">
        <f>(J366+K366*4+L366)/6</f>
        <v>0</v>
      </c>
      <c r="N366" s="235">
        <f t="shared" ref="N366:O374" si="170">M366</f>
        <v>0</v>
      </c>
      <c r="O366" s="204">
        <f t="shared" si="170"/>
        <v>0</v>
      </c>
      <c r="P366" s="205">
        <f t="shared" ref="P366:P375" si="171">IF(H366&lt;&gt;"",INDEX(MDActivityTypeInternalCostPerDay,MATCH(H366,MDActivityTypeID,0),1)*O366,0)</f>
        <v>0</v>
      </c>
      <c r="Q366" s="205">
        <f t="shared" ref="Q366:Q375" si="172">IF(H366&lt;&gt;"",INDEX(MDActivityTypeExternalPricePerDay,MATCH(H366,MDActivityTypeID,0),1)*O366,0)</f>
        <v>0</v>
      </c>
      <c r="R366" s="926"/>
      <c r="S366" s="927"/>
      <c r="T366" s="928"/>
    </row>
    <row r="367" spans="1:20" ht="15" hidden="1" customHeight="1" outlineLevel="1">
      <c r="A367" s="202" t="str">
        <f>TEXT($A$365,0) &amp; ".2"</f>
        <v>0.2</v>
      </c>
      <c r="B367" s="923"/>
      <c r="C367" s="924"/>
      <c r="D367" s="924"/>
      <c r="E367" s="925"/>
      <c r="F367" s="211"/>
      <c r="G367" s="211"/>
      <c r="H367" s="225"/>
      <c r="I367" s="225"/>
      <c r="J367" s="237"/>
      <c r="K367" s="237"/>
      <c r="L367" s="237"/>
      <c r="M367" s="204">
        <f t="shared" ref="M367:M375" si="173">(J367+K367*4+L367)/6</f>
        <v>0</v>
      </c>
      <c r="N367" s="235">
        <f t="shared" si="170"/>
        <v>0</v>
      </c>
      <c r="O367" s="204">
        <f t="shared" si="170"/>
        <v>0</v>
      </c>
      <c r="P367" s="205">
        <f t="shared" si="171"/>
        <v>0</v>
      </c>
      <c r="Q367" s="205">
        <f t="shared" si="172"/>
        <v>0</v>
      </c>
      <c r="R367" s="926"/>
      <c r="S367" s="927"/>
      <c r="T367" s="928"/>
    </row>
    <row r="368" spans="1:20" ht="15" hidden="1" customHeight="1" outlineLevel="1">
      <c r="A368" s="202" t="str">
        <f>TEXT($A$365,0) &amp; ".3"</f>
        <v>0.3</v>
      </c>
      <c r="B368" s="923"/>
      <c r="C368" s="924"/>
      <c r="D368" s="924"/>
      <c r="E368" s="925"/>
      <c r="F368" s="211"/>
      <c r="G368" s="211"/>
      <c r="H368" s="225"/>
      <c r="I368" s="225"/>
      <c r="J368" s="237"/>
      <c r="K368" s="237"/>
      <c r="L368" s="237"/>
      <c r="M368" s="204">
        <f t="shared" si="173"/>
        <v>0</v>
      </c>
      <c r="N368" s="235">
        <f t="shared" si="170"/>
        <v>0</v>
      </c>
      <c r="O368" s="204">
        <f t="shared" si="170"/>
        <v>0</v>
      </c>
      <c r="P368" s="205">
        <f t="shared" si="171"/>
        <v>0</v>
      </c>
      <c r="Q368" s="205">
        <f t="shared" si="172"/>
        <v>0</v>
      </c>
      <c r="R368" s="926"/>
      <c r="S368" s="927"/>
      <c r="T368" s="928"/>
    </row>
    <row r="369" spans="1:20" ht="15" hidden="1" customHeight="1" outlineLevel="1">
      <c r="A369" s="202" t="str">
        <f>TEXT($A$365,0) &amp; ".4"</f>
        <v>0.4</v>
      </c>
      <c r="B369" s="923"/>
      <c r="C369" s="924"/>
      <c r="D369" s="924"/>
      <c r="E369" s="925"/>
      <c r="F369" s="211"/>
      <c r="G369" s="211"/>
      <c r="H369" s="225"/>
      <c r="I369" s="225"/>
      <c r="J369" s="237"/>
      <c r="K369" s="237"/>
      <c r="L369" s="237"/>
      <c r="M369" s="204">
        <f t="shared" si="173"/>
        <v>0</v>
      </c>
      <c r="N369" s="235">
        <f t="shared" si="170"/>
        <v>0</v>
      </c>
      <c r="O369" s="204">
        <f t="shared" si="170"/>
        <v>0</v>
      </c>
      <c r="P369" s="205">
        <f t="shared" si="171"/>
        <v>0</v>
      </c>
      <c r="Q369" s="205">
        <f t="shared" si="172"/>
        <v>0</v>
      </c>
      <c r="R369" s="926"/>
      <c r="S369" s="927"/>
      <c r="T369" s="928"/>
    </row>
    <row r="370" spans="1:20" ht="15" hidden="1" customHeight="1" outlineLevel="1">
      <c r="A370" s="202" t="str">
        <f>TEXT($A$365,0) &amp; ".5"</f>
        <v>0.5</v>
      </c>
      <c r="B370" s="923"/>
      <c r="C370" s="924"/>
      <c r="D370" s="924"/>
      <c r="E370" s="925"/>
      <c r="F370" s="211"/>
      <c r="G370" s="211"/>
      <c r="H370" s="225"/>
      <c r="I370" s="225"/>
      <c r="J370" s="237"/>
      <c r="K370" s="237"/>
      <c r="L370" s="237"/>
      <c r="M370" s="204">
        <f t="shared" si="173"/>
        <v>0</v>
      </c>
      <c r="N370" s="235">
        <f t="shared" si="170"/>
        <v>0</v>
      </c>
      <c r="O370" s="204">
        <f t="shared" si="170"/>
        <v>0</v>
      </c>
      <c r="P370" s="205">
        <f t="shared" si="171"/>
        <v>0</v>
      </c>
      <c r="Q370" s="205">
        <f t="shared" si="172"/>
        <v>0</v>
      </c>
      <c r="R370" s="926"/>
      <c r="S370" s="927"/>
      <c r="T370" s="928"/>
    </row>
    <row r="371" spans="1:20" ht="15" hidden="1" customHeight="1" outlineLevel="1">
      <c r="A371" s="202" t="str">
        <f>TEXT($A$365,0) &amp; ".6"</f>
        <v>0.6</v>
      </c>
      <c r="B371" s="923"/>
      <c r="C371" s="924"/>
      <c r="D371" s="924"/>
      <c r="E371" s="925"/>
      <c r="F371" s="211"/>
      <c r="G371" s="211"/>
      <c r="H371" s="225"/>
      <c r="I371" s="225"/>
      <c r="J371" s="237"/>
      <c r="K371" s="237"/>
      <c r="L371" s="237"/>
      <c r="M371" s="204">
        <f t="shared" si="173"/>
        <v>0</v>
      </c>
      <c r="N371" s="235">
        <f t="shared" si="170"/>
        <v>0</v>
      </c>
      <c r="O371" s="204">
        <f t="shared" si="170"/>
        <v>0</v>
      </c>
      <c r="P371" s="205">
        <f t="shared" si="171"/>
        <v>0</v>
      </c>
      <c r="Q371" s="205">
        <f t="shared" si="172"/>
        <v>0</v>
      </c>
      <c r="R371" s="926"/>
      <c r="S371" s="927"/>
      <c r="T371" s="928"/>
    </row>
    <row r="372" spans="1:20" ht="15" hidden="1" customHeight="1" outlineLevel="1">
      <c r="A372" s="202" t="str">
        <f>TEXT($A$365,0) &amp; ".7"</f>
        <v>0.7</v>
      </c>
      <c r="B372" s="923"/>
      <c r="C372" s="924"/>
      <c r="D372" s="924"/>
      <c r="E372" s="925"/>
      <c r="F372" s="211"/>
      <c r="G372" s="211"/>
      <c r="H372" s="225"/>
      <c r="I372" s="225"/>
      <c r="J372" s="237"/>
      <c r="K372" s="237"/>
      <c r="L372" s="237"/>
      <c r="M372" s="204">
        <f t="shared" si="173"/>
        <v>0</v>
      </c>
      <c r="N372" s="235">
        <f t="shared" si="170"/>
        <v>0</v>
      </c>
      <c r="O372" s="204">
        <f t="shared" si="170"/>
        <v>0</v>
      </c>
      <c r="P372" s="205">
        <f t="shared" si="171"/>
        <v>0</v>
      </c>
      <c r="Q372" s="205">
        <f t="shared" si="172"/>
        <v>0</v>
      </c>
      <c r="R372" s="926"/>
      <c r="S372" s="927"/>
      <c r="T372" s="928"/>
    </row>
    <row r="373" spans="1:20" ht="15" hidden="1" customHeight="1" outlineLevel="1">
      <c r="A373" s="202" t="str">
        <f>TEXT($A$365,0) &amp; ".8"</f>
        <v>0.8</v>
      </c>
      <c r="B373" s="923"/>
      <c r="C373" s="924"/>
      <c r="D373" s="924"/>
      <c r="E373" s="925"/>
      <c r="F373" s="211"/>
      <c r="G373" s="211"/>
      <c r="H373" s="225"/>
      <c r="I373" s="225"/>
      <c r="J373" s="237"/>
      <c r="K373" s="237"/>
      <c r="L373" s="237"/>
      <c r="M373" s="204">
        <f t="shared" si="173"/>
        <v>0</v>
      </c>
      <c r="N373" s="235">
        <f t="shared" si="170"/>
        <v>0</v>
      </c>
      <c r="O373" s="204">
        <f t="shared" si="170"/>
        <v>0</v>
      </c>
      <c r="P373" s="205">
        <f t="shared" si="171"/>
        <v>0</v>
      </c>
      <c r="Q373" s="205">
        <f t="shared" si="172"/>
        <v>0</v>
      </c>
      <c r="R373" s="926"/>
      <c r="S373" s="927"/>
      <c r="T373" s="928"/>
    </row>
    <row r="374" spans="1:20" ht="15" hidden="1" customHeight="1" outlineLevel="1">
      <c r="A374" s="202" t="str">
        <f>TEXT($A$365,0) &amp; ".9"</f>
        <v>0.9</v>
      </c>
      <c r="B374" s="923"/>
      <c r="C374" s="924"/>
      <c r="D374" s="924"/>
      <c r="E374" s="925"/>
      <c r="F374" s="211"/>
      <c r="G374" s="211"/>
      <c r="H374" s="225"/>
      <c r="I374" s="225"/>
      <c r="J374" s="237"/>
      <c r="K374" s="237"/>
      <c r="L374" s="237"/>
      <c r="M374" s="204">
        <f t="shared" si="173"/>
        <v>0</v>
      </c>
      <c r="N374" s="235">
        <f t="shared" si="170"/>
        <v>0</v>
      </c>
      <c r="O374" s="204">
        <f t="shared" si="170"/>
        <v>0</v>
      </c>
      <c r="P374" s="205">
        <f t="shared" si="171"/>
        <v>0</v>
      </c>
      <c r="Q374" s="205">
        <f t="shared" si="172"/>
        <v>0</v>
      </c>
      <c r="R374" s="926"/>
      <c r="S374" s="927"/>
      <c r="T374" s="928"/>
    </row>
    <row r="375" spans="1:20" ht="15" hidden="1" customHeight="1" outlineLevel="1">
      <c r="A375" s="202" t="str">
        <f>TEXT($A$365,0) &amp; ".10"</f>
        <v>0.10</v>
      </c>
      <c r="B375" s="923"/>
      <c r="C375" s="924"/>
      <c r="D375" s="924"/>
      <c r="E375" s="925"/>
      <c r="F375" s="211"/>
      <c r="G375" s="211"/>
      <c r="H375" s="225"/>
      <c r="I375" s="225"/>
      <c r="J375" s="237"/>
      <c r="K375" s="237"/>
      <c r="L375" s="237"/>
      <c r="M375" s="204">
        <f t="shared" si="173"/>
        <v>0</v>
      </c>
      <c r="N375" s="235">
        <f t="shared" ref="N375:O384" si="174">M375</f>
        <v>0</v>
      </c>
      <c r="O375" s="204">
        <f t="shared" si="174"/>
        <v>0</v>
      </c>
      <c r="P375" s="205">
        <f t="shared" si="171"/>
        <v>0</v>
      </c>
      <c r="Q375" s="205">
        <f t="shared" si="172"/>
        <v>0</v>
      </c>
      <c r="R375" s="926"/>
      <c r="S375" s="927"/>
      <c r="T375" s="928"/>
    </row>
    <row r="376" spans="1:20" ht="15" hidden="1" customHeight="1" outlineLevel="1">
      <c r="A376" s="202" t="str">
        <f>TEXT($A$365,0) &amp; ".11"</f>
        <v>0.11</v>
      </c>
      <c r="B376" s="923"/>
      <c r="C376" s="924"/>
      <c r="D376" s="924"/>
      <c r="E376" s="925"/>
      <c r="F376" s="211"/>
      <c r="G376" s="211"/>
      <c r="H376" s="225"/>
      <c r="I376" s="225"/>
      <c r="J376" s="237"/>
      <c r="K376" s="237"/>
      <c r="L376" s="237"/>
      <c r="M376" s="204">
        <f>(J376+K376*4+L376)/6</f>
        <v>0</v>
      </c>
      <c r="N376" s="235">
        <f t="shared" si="174"/>
        <v>0</v>
      </c>
      <c r="O376" s="204">
        <f>N376</f>
        <v>0</v>
      </c>
      <c r="P376" s="205">
        <f t="shared" ref="P376:P385" si="175">IF(H376&lt;&gt;"",INDEX(MDActivityTypeInternalCostPerDay,MATCH(H376,MDActivityTypeID,0),1)*O376,0)</f>
        <v>0</v>
      </c>
      <c r="Q376" s="205">
        <f t="shared" ref="Q376:Q385" si="176">IF(H376&lt;&gt;"",INDEX(MDActivityTypeExternalPricePerDay,MATCH(H376,MDActivityTypeID,0),1)*O376,0)</f>
        <v>0</v>
      </c>
      <c r="R376" s="926"/>
      <c r="S376" s="927"/>
      <c r="T376" s="928"/>
    </row>
    <row r="377" spans="1:20" ht="15" hidden="1" customHeight="1" outlineLevel="1">
      <c r="A377" s="202" t="str">
        <f>TEXT($A$365,0) &amp; ".12"</f>
        <v>0.12</v>
      </c>
      <c r="B377" s="923"/>
      <c r="C377" s="924"/>
      <c r="D377" s="924"/>
      <c r="E377" s="925"/>
      <c r="F377" s="211"/>
      <c r="G377" s="211"/>
      <c r="H377" s="225"/>
      <c r="I377" s="225"/>
      <c r="J377" s="237"/>
      <c r="K377" s="237"/>
      <c r="L377" s="237"/>
      <c r="M377" s="204">
        <f t="shared" ref="M377:M385" si="177">(J377+K377*4+L377)/6</f>
        <v>0</v>
      </c>
      <c r="N377" s="235">
        <f t="shared" si="174"/>
        <v>0</v>
      </c>
      <c r="O377" s="204">
        <f t="shared" ref="O377:O385" si="178">N377</f>
        <v>0</v>
      </c>
      <c r="P377" s="205">
        <f t="shared" si="175"/>
        <v>0</v>
      </c>
      <c r="Q377" s="205">
        <f t="shared" si="176"/>
        <v>0</v>
      </c>
      <c r="R377" s="926"/>
      <c r="S377" s="927"/>
      <c r="T377" s="928"/>
    </row>
    <row r="378" spans="1:20" ht="15" hidden="1" customHeight="1" outlineLevel="1">
      <c r="A378" s="202" t="str">
        <f>TEXT($A$365,0) &amp; ".13"</f>
        <v>0.13</v>
      </c>
      <c r="B378" s="923"/>
      <c r="C378" s="924"/>
      <c r="D378" s="924"/>
      <c r="E378" s="925"/>
      <c r="F378" s="211"/>
      <c r="G378" s="211"/>
      <c r="H378" s="225"/>
      <c r="I378" s="225"/>
      <c r="J378" s="237"/>
      <c r="K378" s="237"/>
      <c r="L378" s="237"/>
      <c r="M378" s="204">
        <f t="shared" si="177"/>
        <v>0</v>
      </c>
      <c r="N378" s="235">
        <f t="shared" si="174"/>
        <v>0</v>
      </c>
      <c r="O378" s="204">
        <f t="shared" si="178"/>
        <v>0</v>
      </c>
      <c r="P378" s="205">
        <f t="shared" si="175"/>
        <v>0</v>
      </c>
      <c r="Q378" s="205">
        <f t="shared" si="176"/>
        <v>0</v>
      </c>
      <c r="R378" s="926"/>
      <c r="S378" s="927"/>
      <c r="T378" s="928"/>
    </row>
    <row r="379" spans="1:20" ht="15" hidden="1" customHeight="1" outlineLevel="1">
      <c r="A379" s="202" t="str">
        <f>TEXT($A$365,0) &amp; ".14"</f>
        <v>0.14</v>
      </c>
      <c r="B379" s="923"/>
      <c r="C379" s="924"/>
      <c r="D379" s="924"/>
      <c r="E379" s="925"/>
      <c r="F379" s="211"/>
      <c r="G379" s="211"/>
      <c r="H379" s="225"/>
      <c r="I379" s="225"/>
      <c r="J379" s="237"/>
      <c r="K379" s="237"/>
      <c r="L379" s="237"/>
      <c r="M379" s="204">
        <f t="shared" si="177"/>
        <v>0</v>
      </c>
      <c r="N379" s="235">
        <f t="shared" si="174"/>
        <v>0</v>
      </c>
      <c r="O379" s="204">
        <f t="shared" si="178"/>
        <v>0</v>
      </c>
      <c r="P379" s="205">
        <f t="shared" si="175"/>
        <v>0</v>
      </c>
      <c r="Q379" s="205">
        <f t="shared" si="176"/>
        <v>0</v>
      </c>
      <c r="R379" s="926"/>
      <c r="S379" s="927"/>
      <c r="T379" s="928"/>
    </row>
    <row r="380" spans="1:20" ht="15" hidden="1" customHeight="1" outlineLevel="1">
      <c r="A380" s="202" t="str">
        <f>TEXT($A$365,0) &amp; ".15"</f>
        <v>0.15</v>
      </c>
      <c r="B380" s="923"/>
      <c r="C380" s="924"/>
      <c r="D380" s="924"/>
      <c r="E380" s="925"/>
      <c r="F380" s="211"/>
      <c r="G380" s="211"/>
      <c r="H380" s="225"/>
      <c r="I380" s="225"/>
      <c r="J380" s="237"/>
      <c r="K380" s="237"/>
      <c r="L380" s="237"/>
      <c r="M380" s="204">
        <f t="shared" si="177"/>
        <v>0</v>
      </c>
      <c r="N380" s="235">
        <f t="shared" si="174"/>
        <v>0</v>
      </c>
      <c r="O380" s="204">
        <f t="shared" si="178"/>
        <v>0</v>
      </c>
      <c r="P380" s="205">
        <f t="shared" si="175"/>
        <v>0</v>
      </c>
      <c r="Q380" s="205">
        <f t="shared" si="176"/>
        <v>0</v>
      </c>
      <c r="R380" s="926"/>
      <c r="S380" s="927"/>
      <c r="T380" s="928"/>
    </row>
    <row r="381" spans="1:20" ht="15" hidden="1" customHeight="1" outlineLevel="1">
      <c r="A381" s="202" t="str">
        <f>TEXT($A$365,0) &amp; ".16"</f>
        <v>0.16</v>
      </c>
      <c r="B381" s="923"/>
      <c r="C381" s="924"/>
      <c r="D381" s="924"/>
      <c r="E381" s="925"/>
      <c r="F381" s="211"/>
      <c r="G381" s="211"/>
      <c r="H381" s="225"/>
      <c r="I381" s="225"/>
      <c r="J381" s="237"/>
      <c r="K381" s="237"/>
      <c r="L381" s="237"/>
      <c r="M381" s="204">
        <f t="shared" si="177"/>
        <v>0</v>
      </c>
      <c r="N381" s="235">
        <f t="shared" si="174"/>
        <v>0</v>
      </c>
      <c r="O381" s="204">
        <f t="shared" si="178"/>
        <v>0</v>
      </c>
      <c r="P381" s="205">
        <f t="shared" si="175"/>
        <v>0</v>
      </c>
      <c r="Q381" s="205">
        <f t="shared" si="176"/>
        <v>0</v>
      </c>
      <c r="R381" s="926"/>
      <c r="S381" s="927"/>
      <c r="T381" s="928"/>
    </row>
    <row r="382" spans="1:20" ht="15" hidden="1" customHeight="1" outlineLevel="1">
      <c r="A382" s="202" t="str">
        <f>TEXT($A$365,0) &amp; ".17"</f>
        <v>0.17</v>
      </c>
      <c r="B382" s="923"/>
      <c r="C382" s="924"/>
      <c r="D382" s="924"/>
      <c r="E382" s="925"/>
      <c r="F382" s="211"/>
      <c r="G382" s="211"/>
      <c r="H382" s="225"/>
      <c r="I382" s="225"/>
      <c r="J382" s="237"/>
      <c r="K382" s="237"/>
      <c r="L382" s="237"/>
      <c r="M382" s="204">
        <f t="shared" si="177"/>
        <v>0</v>
      </c>
      <c r="N382" s="235">
        <f t="shared" si="174"/>
        <v>0</v>
      </c>
      <c r="O382" s="204">
        <f t="shared" si="178"/>
        <v>0</v>
      </c>
      <c r="P382" s="205">
        <f t="shared" si="175"/>
        <v>0</v>
      </c>
      <c r="Q382" s="205">
        <f t="shared" si="176"/>
        <v>0</v>
      </c>
      <c r="R382" s="926"/>
      <c r="S382" s="927"/>
      <c r="T382" s="928"/>
    </row>
    <row r="383" spans="1:20" ht="15" hidden="1" customHeight="1" outlineLevel="1">
      <c r="A383" s="202" t="str">
        <f>TEXT($A$365,0) &amp; ".18"</f>
        <v>0.18</v>
      </c>
      <c r="B383" s="923"/>
      <c r="C383" s="924"/>
      <c r="D383" s="924"/>
      <c r="E383" s="925"/>
      <c r="F383" s="211"/>
      <c r="G383" s="211"/>
      <c r="H383" s="225"/>
      <c r="I383" s="225"/>
      <c r="J383" s="237"/>
      <c r="K383" s="237"/>
      <c r="L383" s="237"/>
      <c r="M383" s="204">
        <f t="shared" si="177"/>
        <v>0</v>
      </c>
      <c r="N383" s="235">
        <f t="shared" si="174"/>
        <v>0</v>
      </c>
      <c r="O383" s="204">
        <f t="shared" si="178"/>
        <v>0</v>
      </c>
      <c r="P383" s="205">
        <f t="shared" si="175"/>
        <v>0</v>
      </c>
      <c r="Q383" s="205">
        <f t="shared" si="176"/>
        <v>0</v>
      </c>
      <c r="R383" s="926"/>
      <c r="S383" s="927"/>
      <c r="T383" s="928"/>
    </row>
    <row r="384" spans="1:20" ht="15" hidden="1" customHeight="1" outlineLevel="1">
      <c r="A384" s="202" t="str">
        <f>TEXT($A$365,0) &amp; ".19"</f>
        <v>0.19</v>
      </c>
      <c r="B384" s="923"/>
      <c r="C384" s="924"/>
      <c r="D384" s="924"/>
      <c r="E384" s="925"/>
      <c r="F384" s="211"/>
      <c r="G384" s="211"/>
      <c r="H384" s="225"/>
      <c r="I384" s="225"/>
      <c r="J384" s="237"/>
      <c r="K384" s="237"/>
      <c r="L384" s="237"/>
      <c r="M384" s="204">
        <f t="shared" si="177"/>
        <v>0</v>
      </c>
      <c r="N384" s="235">
        <f t="shared" si="174"/>
        <v>0</v>
      </c>
      <c r="O384" s="204">
        <f t="shared" si="178"/>
        <v>0</v>
      </c>
      <c r="P384" s="205">
        <f t="shared" si="175"/>
        <v>0</v>
      </c>
      <c r="Q384" s="205">
        <f t="shared" si="176"/>
        <v>0</v>
      </c>
      <c r="R384" s="926"/>
      <c r="S384" s="927"/>
      <c r="T384" s="928"/>
    </row>
    <row r="385" spans="1:20" ht="15" hidden="1" customHeight="1" outlineLevel="1">
      <c r="A385" s="202" t="str">
        <f>TEXT($A$365,0) &amp; ".20"</f>
        <v>0.20</v>
      </c>
      <c r="B385" s="923"/>
      <c r="C385" s="924"/>
      <c r="D385" s="924"/>
      <c r="E385" s="925"/>
      <c r="F385" s="211"/>
      <c r="G385" s="211"/>
      <c r="H385" s="225"/>
      <c r="I385" s="225"/>
      <c r="J385" s="237"/>
      <c r="K385" s="237"/>
      <c r="L385" s="237"/>
      <c r="M385" s="204">
        <f t="shared" si="177"/>
        <v>0</v>
      </c>
      <c r="N385" s="235">
        <f>M385</f>
        <v>0</v>
      </c>
      <c r="O385" s="204">
        <f t="shared" si="178"/>
        <v>0</v>
      </c>
      <c r="P385" s="205">
        <f t="shared" si="175"/>
        <v>0</v>
      </c>
      <c r="Q385" s="205">
        <f t="shared" si="176"/>
        <v>0</v>
      </c>
      <c r="R385" s="926"/>
      <c r="S385" s="927"/>
      <c r="T385" s="928"/>
    </row>
    <row r="386" spans="1:20" ht="15" customHeight="1" collapsed="1">
      <c r="A386" s="267"/>
      <c r="B386" s="932"/>
      <c r="C386" s="933"/>
      <c r="D386" s="933"/>
      <c r="E386" s="934"/>
      <c r="F386" s="220"/>
      <c r="G386" s="220"/>
      <c r="H386" s="222"/>
      <c r="I386" s="222" t="str">
        <f>IF(COUNTIF(I387:I406,TMDPhaseTimeAndMaterial)&gt;0,TMDPhaseTimeAndMaterial,IF(COUNTIF(I387:I406,TMDPhaseChangeTimeAndMaterial)&gt;0,TMDPhaseChangeTimeAndMaterial,""))</f>
        <v/>
      </c>
      <c r="J386" s="234">
        <f t="shared" ref="J386:Q386" si="179">SUM(J387:J406)</f>
        <v>0</v>
      </c>
      <c r="K386" s="234">
        <f t="shared" si="179"/>
        <v>0</v>
      </c>
      <c r="L386" s="234">
        <f t="shared" si="179"/>
        <v>0</v>
      </c>
      <c r="M386" s="201">
        <f t="shared" si="179"/>
        <v>0</v>
      </c>
      <c r="N386" s="201">
        <f t="shared" si="179"/>
        <v>0</v>
      </c>
      <c r="O386" s="201">
        <f t="shared" si="179"/>
        <v>0</v>
      </c>
      <c r="P386" s="201">
        <f t="shared" si="179"/>
        <v>0</v>
      </c>
      <c r="Q386" s="201">
        <f t="shared" si="179"/>
        <v>0</v>
      </c>
      <c r="R386" s="935"/>
      <c r="S386" s="935"/>
      <c r="T386" s="935"/>
    </row>
    <row r="387" spans="1:20" ht="15" hidden="1" customHeight="1" outlineLevel="1">
      <c r="A387" s="202" t="str">
        <f>TEXT($A$386,0) &amp; ".1"</f>
        <v>0.1</v>
      </c>
      <c r="B387" s="923"/>
      <c r="C387" s="924"/>
      <c r="D387" s="924"/>
      <c r="E387" s="925"/>
      <c r="F387" s="211"/>
      <c r="G387" s="211"/>
      <c r="H387" s="225"/>
      <c r="I387" s="225"/>
      <c r="J387" s="237"/>
      <c r="K387" s="237"/>
      <c r="L387" s="237"/>
      <c r="M387" s="204">
        <f>(J387+K387*4+L387)/6</f>
        <v>0</v>
      </c>
      <c r="N387" s="235">
        <f t="shared" ref="N387:O395" si="180">M387</f>
        <v>0</v>
      </c>
      <c r="O387" s="204">
        <f t="shared" si="180"/>
        <v>0</v>
      </c>
      <c r="P387" s="205">
        <f t="shared" ref="P387:P396" si="181">IF(H387&lt;&gt;"",INDEX(MDActivityTypeInternalCostPerDay,MATCH(H387,MDActivityTypeID,0),1)*O387,0)</f>
        <v>0</v>
      </c>
      <c r="Q387" s="205">
        <f t="shared" ref="Q387:Q396" si="182">IF(H387&lt;&gt;"",INDEX(MDActivityTypeExternalPricePerDay,MATCH(H387,MDActivityTypeID,0),1)*O387,0)</f>
        <v>0</v>
      </c>
      <c r="R387" s="926"/>
      <c r="S387" s="927"/>
      <c r="T387" s="928"/>
    </row>
    <row r="388" spans="1:20" ht="15" hidden="1" customHeight="1" outlineLevel="1">
      <c r="A388" s="202" t="str">
        <f>TEXT($A$386,0) &amp; ".2"</f>
        <v>0.2</v>
      </c>
      <c r="B388" s="923"/>
      <c r="C388" s="924"/>
      <c r="D388" s="924"/>
      <c r="E388" s="925"/>
      <c r="F388" s="211"/>
      <c r="G388" s="211"/>
      <c r="H388" s="225"/>
      <c r="I388" s="225"/>
      <c r="J388" s="237"/>
      <c r="K388" s="237"/>
      <c r="L388" s="237"/>
      <c r="M388" s="204">
        <f t="shared" ref="M388:M396" si="183">(J388+K388*4+L388)/6</f>
        <v>0</v>
      </c>
      <c r="N388" s="235">
        <f t="shared" si="180"/>
        <v>0</v>
      </c>
      <c r="O388" s="204">
        <f t="shared" si="180"/>
        <v>0</v>
      </c>
      <c r="P388" s="205">
        <f t="shared" si="181"/>
        <v>0</v>
      </c>
      <c r="Q388" s="205">
        <f t="shared" si="182"/>
        <v>0</v>
      </c>
      <c r="R388" s="926"/>
      <c r="S388" s="927"/>
      <c r="T388" s="928"/>
    </row>
    <row r="389" spans="1:20" ht="15" hidden="1" customHeight="1" outlineLevel="1">
      <c r="A389" s="202" t="str">
        <f>TEXT($A$386,0) &amp; ".3"</f>
        <v>0.3</v>
      </c>
      <c r="B389" s="923"/>
      <c r="C389" s="924"/>
      <c r="D389" s="924"/>
      <c r="E389" s="925"/>
      <c r="F389" s="211"/>
      <c r="G389" s="211"/>
      <c r="H389" s="225"/>
      <c r="I389" s="225"/>
      <c r="J389" s="237"/>
      <c r="K389" s="237"/>
      <c r="L389" s="237"/>
      <c r="M389" s="204">
        <f t="shared" si="183"/>
        <v>0</v>
      </c>
      <c r="N389" s="235">
        <f t="shared" si="180"/>
        <v>0</v>
      </c>
      <c r="O389" s="204">
        <f t="shared" si="180"/>
        <v>0</v>
      </c>
      <c r="P389" s="205">
        <f t="shared" si="181"/>
        <v>0</v>
      </c>
      <c r="Q389" s="205">
        <f t="shared" si="182"/>
        <v>0</v>
      </c>
      <c r="R389" s="926"/>
      <c r="S389" s="927"/>
      <c r="T389" s="928"/>
    </row>
    <row r="390" spans="1:20" ht="15" hidden="1" customHeight="1" outlineLevel="1">
      <c r="A390" s="202" t="str">
        <f>TEXT($A$386,0) &amp; ".4"</f>
        <v>0.4</v>
      </c>
      <c r="B390" s="923"/>
      <c r="C390" s="924"/>
      <c r="D390" s="924"/>
      <c r="E390" s="925"/>
      <c r="F390" s="211"/>
      <c r="G390" s="211"/>
      <c r="H390" s="225"/>
      <c r="I390" s="225"/>
      <c r="J390" s="237"/>
      <c r="K390" s="237"/>
      <c r="L390" s="237"/>
      <c r="M390" s="204">
        <f t="shared" si="183"/>
        <v>0</v>
      </c>
      <c r="N390" s="235">
        <f t="shared" si="180"/>
        <v>0</v>
      </c>
      <c r="O390" s="204">
        <f t="shared" si="180"/>
        <v>0</v>
      </c>
      <c r="P390" s="205">
        <f t="shared" si="181"/>
        <v>0</v>
      </c>
      <c r="Q390" s="205">
        <f t="shared" si="182"/>
        <v>0</v>
      </c>
      <c r="R390" s="926"/>
      <c r="S390" s="927"/>
      <c r="T390" s="928"/>
    </row>
    <row r="391" spans="1:20" ht="15" hidden="1" customHeight="1" outlineLevel="1">
      <c r="A391" s="202" t="str">
        <f>TEXT($A$386,0) &amp; ".5"</f>
        <v>0.5</v>
      </c>
      <c r="B391" s="923"/>
      <c r="C391" s="924"/>
      <c r="D391" s="924"/>
      <c r="E391" s="925"/>
      <c r="F391" s="211"/>
      <c r="G391" s="211"/>
      <c r="H391" s="225"/>
      <c r="I391" s="225"/>
      <c r="J391" s="237"/>
      <c r="K391" s="237"/>
      <c r="L391" s="237"/>
      <c r="M391" s="204">
        <f t="shared" si="183"/>
        <v>0</v>
      </c>
      <c r="N391" s="235">
        <f t="shared" si="180"/>
        <v>0</v>
      </c>
      <c r="O391" s="204">
        <f t="shared" si="180"/>
        <v>0</v>
      </c>
      <c r="P391" s="205">
        <f t="shared" si="181"/>
        <v>0</v>
      </c>
      <c r="Q391" s="205">
        <f t="shared" si="182"/>
        <v>0</v>
      </c>
      <c r="R391" s="926"/>
      <c r="S391" s="927"/>
      <c r="T391" s="928"/>
    </row>
    <row r="392" spans="1:20" ht="15" hidden="1" customHeight="1" outlineLevel="1">
      <c r="A392" s="202" t="str">
        <f>TEXT($A$386,0) &amp; ".6"</f>
        <v>0.6</v>
      </c>
      <c r="B392" s="923"/>
      <c r="C392" s="924"/>
      <c r="D392" s="924"/>
      <c r="E392" s="925"/>
      <c r="F392" s="211"/>
      <c r="G392" s="211"/>
      <c r="H392" s="225"/>
      <c r="I392" s="225"/>
      <c r="J392" s="237"/>
      <c r="K392" s="237"/>
      <c r="L392" s="237"/>
      <c r="M392" s="204">
        <f t="shared" si="183"/>
        <v>0</v>
      </c>
      <c r="N392" s="235">
        <f t="shared" si="180"/>
        <v>0</v>
      </c>
      <c r="O392" s="204">
        <f t="shared" si="180"/>
        <v>0</v>
      </c>
      <c r="P392" s="205">
        <f t="shared" si="181"/>
        <v>0</v>
      </c>
      <c r="Q392" s="205">
        <f t="shared" si="182"/>
        <v>0</v>
      </c>
      <c r="R392" s="926"/>
      <c r="S392" s="927"/>
      <c r="T392" s="928"/>
    </row>
    <row r="393" spans="1:20" ht="15" hidden="1" customHeight="1" outlineLevel="1">
      <c r="A393" s="202" t="str">
        <f>TEXT($A$386,0) &amp; ".7"</f>
        <v>0.7</v>
      </c>
      <c r="B393" s="923"/>
      <c r="C393" s="924"/>
      <c r="D393" s="924"/>
      <c r="E393" s="925"/>
      <c r="F393" s="211"/>
      <c r="G393" s="211"/>
      <c r="H393" s="225"/>
      <c r="I393" s="225"/>
      <c r="J393" s="237"/>
      <c r="K393" s="237"/>
      <c r="L393" s="237"/>
      <c r="M393" s="204">
        <f t="shared" si="183"/>
        <v>0</v>
      </c>
      <c r="N393" s="235">
        <f t="shared" si="180"/>
        <v>0</v>
      </c>
      <c r="O393" s="204">
        <f t="shared" si="180"/>
        <v>0</v>
      </c>
      <c r="P393" s="205">
        <f t="shared" si="181"/>
        <v>0</v>
      </c>
      <c r="Q393" s="205">
        <f t="shared" si="182"/>
        <v>0</v>
      </c>
      <c r="R393" s="926"/>
      <c r="S393" s="927"/>
      <c r="T393" s="928"/>
    </row>
    <row r="394" spans="1:20" ht="15" hidden="1" customHeight="1" outlineLevel="1">
      <c r="A394" s="202" t="str">
        <f>TEXT($A$386,0) &amp; ".8"</f>
        <v>0.8</v>
      </c>
      <c r="B394" s="923"/>
      <c r="C394" s="924"/>
      <c r="D394" s="924"/>
      <c r="E394" s="925"/>
      <c r="F394" s="211"/>
      <c r="G394" s="211"/>
      <c r="H394" s="225"/>
      <c r="I394" s="225"/>
      <c r="J394" s="237"/>
      <c r="K394" s="237"/>
      <c r="L394" s="237"/>
      <c r="M394" s="204">
        <f t="shared" si="183"/>
        <v>0</v>
      </c>
      <c r="N394" s="235">
        <f t="shared" si="180"/>
        <v>0</v>
      </c>
      <c r="O394" s="204">
        <f t="shared" si="180"/>
        <v>0</v>
      </c>
      <c r="P394" s="205">
        <f t="shared" si="181"/>
        <v>0</v>
      </c>
      <c r="Q394" s="205">
        <f t="shared" si="182"/>
        <v>0</v>
      </c>
      <c r="R394" s="926"/>
      <c r="S394" s="927"/>
      <c r="T394" s="928"/>
    </row>
    <row r="395" spans="1:20" ht="15" hidden="1" customHeight="1" outlineLevel="1">
      <c r="A395" s="202" t="str">
        <f>TEXT($A$386,0) &amp; ".9"</f>
        <v>0.9</v>
      </c>
      <c r="B395" s="923"/>
      <c r="C395" s="924"/>
      <c r="D395" s="924"/>
      <c r="E395" s="925"/>
      <c r="F395" s="211"/>
      <c r="G395" s="211"/>
      <c r="H395" s="225"/>
      <c r="I395" s="225"/>
      <c r="J395" s="237"/>
      <c r="K395" s="237"/>
      <c r="L395" s="237"/>
      <c r="M395" s="204">
        <f t="shared" si="183"/>
        <v>0</v>
      </c>
      <c r="N395" s="235">
        <f t="shared" si="180"/>
        <v>0</v>
      </c>
      <c r="O395" s="204">
        <f t="shared" si="180"/>
        <v>0</v>
      </c>
      <c r="P395" s="205">
        <f t="shared" si="181"/>
        <v>0</v>
      </c>
      <c r="Q395" s="205">
        <f t="shared" si="182"/>
        <v>0</v>
      </c>
      <c r="R395" s="926"/>
      <c r="S395" s="927"/>
      <c r="T395" s="928"/>
    </row>
    <row r="396" spans="1:20" ht="15" hidden="1" customHeight="1" outlineLevel="1">
      <c r="A396" s="202" t="str">
        <f>TEXT($A$386,0) &amp; ".10"</f>
        <v>0.10</v>
      </c>
      <c r="B396" s="923"/>
      <c r="C396" s="924"/>
      <c r="D396" s="924"/>
      <c r="E396" s="925"/>
      <c r="F396" s="211"/>
      <c r="G396" s="211"/>
      <c r="H396" s="225"/>
      <c r="I396" s="225"/>
      <c r="J396" s="237"/>
      <c r="K396" s="237"/>
      <c r="L396" s="237"/>
      <c r="M396" s="204">
        <f t="shared" si="183"/>
        <v>0</v>
      </c>
      <c r="N396" s="235">
        <f t="shared" ref="N396:O405" si="184">M396</f>
        <v>0</v>
      </c>
      <c r="O396" s="204">
        <f t="shared" si="184"/>
        <v>0</v>
      </c>
      <c r="P396" s="205">
        <f t="shared" si="181"/>
        <v>0</v>
      </c>
      <c r="Q396" s="205">
        <f t="shared" si="182"/>
        <v>0</v>
      </c>
      <c r="R396" s="926"/>
      <c r="S396" s="927"/>
      <c r="T396" s="928"/>
    </row>
    <row r="397" spans="1:20" ht="15" hidden="1" customHeight="1" outlineLevel="1">
      <c r="A397" s="202" t="str">
        <f>TEXT($A$386,0) &amp; ".11"</f>
        <v>0.11</v>
      </c>
      <c r="B397" s="923"/>
      <c r="C397" s="924"/>
      <c r="D397" s="924"/>
      <c r="E397" s="925"/>
      <c r="F397" s="211"/>
      <c r="G397" s="211"/>
      <c r="H397" s="225"/>
      <c r="I397" s="225"/>
      <c r="J397" s="237"/>
      <c r="K397" s="237"/>
      <c r="L397" s="237"/>
      <c r="M397" s="204">
        <f>(J397+K397*4+L397)/6</f>
        <v>0</v>
      </c>
      <c r="N397" s="235">
        <f t="shared" si="184"/>
        <v>0</v>
      </c>
      <c r="O397" s="204">
        <f>N397</f>
        <v>0</v>
      </c>
      <c r="P397" s="205">
        <f t="shared" ref="P397:P406" si="185">IF(H397&lt;&gt;"",INDEX(MDActivityTypeInternalCostPerDay,MATCH(H397,MDActivityTypeID,0),1)*O397,0)</f>
        <v>0</v>
      </c>
      <c r="Q397" s="205">
        <f t="shared" ref="Q397:Q406" si="186">IF(H397&lt;&gt;"",INDEX(MDActivityTypeExternalPricePerDay,MATCH(H397,MDActivityTypeID,0),1)*O397,0)</f>
        <v>0</v>
      </c>
      <c r="R397" s="926"/>
      <c r="S397" s="927"/>
      <c r="T397" s="928"/>
    </row>
    <row r="398" spans="1:20" ht="15" hidden="1" customHeight="1" outlineLevel="1">
      <c r="A398" s="202" t="str">
        <f>TEXT($A$386,0) &amp; ".12"</f>
        <v>0.12</v>
      </c>
      <c r="B398" s="923"/>
      <c r="C398" s="924"/>
      <c r="D398" s="924"/>
      <c r="E398" s="925"/>
      <c r="F398" s="211"/>
      <c r="G398" s="211"/>
      <c r="H398" s="225"/>
      <c r="I398" s="225"/>
      <c r="J398" s="237"/>
      <c r="K398" s="237"/>
      <c r="L398" s="237"/>
      <c r="M398" s="204">
        <f t="shared" ref="M398:M406" si="187">(J398+K398*4+L398)/6</f>
        <v>0</v>
      </c>
      <c r="N398" s="235">
        <f t="shared" si="184"/>
        <v>0</v>
      </c>
      <c r="O398" s="204">
        <f t="shared" ref="O398:O406" si="188">N398</f>
        <v>0</v>
      </c>
      <c r="P398" s="205">
        <f t="shared" si="185"/>
        <v>0</v>
      </c>
      <c r="Q398" s="205">
        <f t="shared" si="186"/>
        <v>0</v>
      </c>
      <c r="R398" s="926"/>
      <c r="S398" s="927"/>
      <c r="T398" s="928"/>
    </row>
    <row r="399" spans="1:20" ht="15" hidden="1" customHeight="1" outlineLevel="1">
      <c r="A399" s="202" t="str">
        <f>TEXT($A$386,0) &amp; ".13"</f>
        <v>0.13</v>
      </c>
      <c r="B399" s="923"/>
      <c r="C399" s="924"/>
      <c r="D399" s="924"/>
      <c r="E399" s="925"/>
      <c r="F399" s="211"/>
      <c r="G399" s="211"/>
      <c r="H399" s="225"/>
      <c r="I399" s="225"/>
      <c r="J399" s="237"/>
      <c r="K399" s="237"/>
      <c r="L399" s="237"/>
      <c r="M399" s="204">
        <f t="shared" si="187"/>
        <v>0</v>
      </c>
      <c r="N399" s="235">
        <f t="shared" si="184"/>
        <v>0</v>
      </c>
      <c r="O399" s="204">
        <f t="shared" si="188"/>
        <v>0</v>
      </c>
      <c r="P399" s="205">
        <f t="shared" si="185"/>
        <v>0</v>
      </c>
      <c r="Q399" s="205">
        <f t="shared" si="186"/>
        <v>0</v>
      </c>
      <c r="R399" s="926"/>
      <c r="S399" s="927"/>
      <c r="T399" s="928"/>
    </row>
    <row r="400" spans="1:20" ht="15" hidden="1" customHeight="1" outlineLevel="1">
      <c r="A400" s="202" t="str">
        <f>TEXT($A$386,0) &amp; ".14"</f>
        <v>0.14</v>
      </c>
      <c r="B400" s="923"/>
      <c r="C400" s="924"/>
      <c r="D400" s="924"/>
      <c r="E400" s="925"/>
      <c r="F400" s="211"/>
      <c r="G400" s="211"/>
      <c r="H400" s="225"/>
      <c r="I400" s="225"/>
      <c r="J400" s="237"/>
      <c r="K400" s="237"/>
      <c r="L400" s="237"/>
      <c r="M400" s="204">
        <f t="shared" si="187"/>
        <v>0</v>
      </c>
      <c r="N400" s="235">
        <f t="shared" si="184"/>
        <v>0</v>
      </c>
      <c r="O400" s="204">
        <f t="shared" si="188"/>
        <v>0</v>
      </c>
      <c r="P400" s="205">
        <f t="shared" si="185"/>
        <v>0</v>
      </c>
      <c r="Q400" s="205">
        <f t="shared" si="186"/>
        <v>0</v>
      </c>
      <c r="R400" s="926"/>
      <c r="S400" s="927"/>
      <c r="T400" s="928"/>
    </row>
    <row r="401" spans="1:20" ht="15" hidden="1" customHeight="1" outlineLevel="1">
      <c r="A401" s="202" t="str">
        <f>TEXT($A$386,0) &amp; ".15"</f>
        <v>0.15</v>
      </c>
      <c r="B401" s="923"/>
      <c r="C401" s="924"/>
      <c r="D401" s="924"/>
      <c r="E401" s="925"/>
      <c r="F401" s="211"/>
      <c r="G401" s="211"/>
      <c r="H401" s="225"/>
      <c r="I401" s="225"/>
      <c r="J401" s="237"/>
      <c r="K401" s="237"/>
      <c r="L401" s="237"/>
      <c r="M401" s="204">
        <f t="shared" si="187"/>
        <v>0</v>
      </c>
      <c r="N401" s="235">
        <f t="shared" si="184"/>
        <v>0</v>
      </c>
      <c r="O401" s="204">
        <f t="shared" si="188"/>
        <v>0</v>
      </c>
      <c r="P401" s="205">
        <f t="shared" si="185"/>
        <v>0</v>
      </c>
      <c r="Q401" s="205">
        <f t="shared" si="186"/>
        <v>0</v>
      </c>
      <c r="R401" s="926"/>
      <c r="S401" s="927"/>
      <c r="T401" s="928"/>
    </row>
    <row r="402" spans="1:20" ht="15" hidden="1" customHeight="1" outlineLevel="1">
      <c r="A402" s="202" t="str">
        <f>TEXT($A$386,0) &amp; ".16"</f>
        <v>0.16</v>
      </c>
      <c r="B402" s="923"/>
      <c r="C402" s="924"/>
      <c r="D402" s="924"/>
      <c r="E402" s="925"/>
      <c r="F402" s="211"/>
      <c r="G402" s="211"/>
      <c r="H402" s="225"/>
      <c r="I402" s="225"/>
      <c r="J402" s="237"/>
      <c r="K402" s="237"/>
      <c r="L402" s="237"/>
      <c r="M402" s="204">
        <f t="shared" si="187"/>
        <v>0</v>
      </c>
      <c r="N402" s="235">
        <f t="shared" si="184"/>
        <v>0</v>
      </c>
      <c r="O402" s="204">
        <f t="shared" si="188"/>
        <v>0</v>
      </c>
      <c r="P402" s="205">
        <f t="shared" si="185"/>
        <v>0</v>
      </c>
      <c r="Q402" s="205">
        <f t="shared" si="186"/>
        <v>0</v>
      </c>
      <c r="R402" s="926"/>
      <c r="S402" s="927"/>
      <c r="T402" s="928"/>
    </row>
    <row r="403" spans="1:20" ht="15" hidden="1" customHeight="1" outlineLevel="1">
      <c r="A403" s="202" t="str">
        <f>TEXT($A$386,0) &amp; ".17"</f>
        <v>0.17</v>
      </c>
      <c r="B403" s="923"/>
      <c r="C403" s="924"/>
      <c r="D403" s="924"/>
      <c r="E403" s="925"/>
      <c r="F403" s="211"/>
      <c r="G403" s="211"/>
      <c r="H403" s="225"/>
      <c r="I403" s="225"/>
      <c r="J403" s="237"/>
      <c r="K403" s="237"/>
      <c r="L403" s="237"/>
      <c r="M403" s="204">
        <f t="shared" si="187"/>
        <v>0</v>
      </c>
      <c r="N403" s="235">
        <f t="shared" si="184"/>
        <v>0</v>
      </c>
      <c r="O403" s="204">
        <f t="shared" si="188"/>
        <v>0</v>
      </c>
      <c r="P403" s="205">
        <f t="shared" si="185"/>
        <v>0</v>
      </c>
      <c r="Q403" s="205">
        <f t="shared" si="186"/>
        <v>0</v>
      </c>
      <c r="R403" s="926"/>
      <c r="S403" s="927"/>
      <c r="T403" s="928"/>
    </row>
    <row r="404" spans="1:20" ht="15" hidden="1" customHeight="1" outlineLevel="1">
      <c r="A404" s="202" t="str">
        <f>TEXT($A$386,0) &amp; ".18"</f>
        <v>0.18</v>
      </c>
      <c r="B404" s="923"/>
      <c r="C404" s="924"/>
      <c r="D404" s="924"/>
      <c r="E404" s="925"/>
      <c r="F404" s="211"/>
      <c r="G404" s="211"/>
      <c r="H404" s="225"/>
      <c r="I404" s="225"/>
      <c r="J404" s="237"/>
      <c r="K404" s="237"/>
      <c r="L404" s="237"/>
      <c r="M404" s="204">
        <f t="shared" si="187"/>
        <v>0</v>
      </c>
      <c r="N404" s="235">
        <f t="shared" si="184"/>
        <v>0</v>
      </c>
      <c r="O404" s="204">
        <f t="shared" si="188"/>
        <v>0</v>
      </c>
      <c r="P404" s="205">
        <f t="shared" si="185"/>
        <v>0</v>
      </c>
      <c r="Q404" s="205">
        <f t="shared" si="186"/>
        <v>0</v>
      </c>
      <c r="R404" s="926"/>
      <c r="S404" s="927"/>
      <c r="T404" s="928"/>
    </row>
    <row r="405" spans="1:20" ht="15" hidden="1" customHeight="1" outlineLevel="1">
      <c r="A405" s="202" t="str">
        <f>TEXT($A$386,0) &amp; ".19"</f>
        <v>0.19</v>
      </c>
      <c r="B405" s="923"/>
      <c r="C405" s="924"/>
      <c r="D405" s="924"/>
      <c r="E405" s="925"/>
      <c r="F405" s="211"/>
      <c r="G405" s="211"/>
      <c r="H405" s="225"/>
      <c r="I405" s="225"/>
      <c r="J405" s="237"/>
      <c r="K405" s="237"/>
      <c r="L405" s="237"/>
      <c r="M405" s="204">
        <f t="shared" si="187"/>
        <v>0</v>
      </c>
      <c r="N405" s="235">
        <f t="shared" si="184"/>
        <v>0</v>
      </c>
      <c r="O405" s="204">
        <f t="shared" si="188"/>
        <v>0</v>
      </c>
      <c r="P405" s="205">
        <f t="shared" si="185"/>
        <v>0</v>
      </c>
      <c r="Q405" s="205">
        <f t="shared" si="186"/>
        <v>0</v>
      </c>
      <c r="R405" s="926"/>
      <c r="S405" s="927"/>
      <c r="T405" s="928"/>
    </row>
    <row r="406" spans="1:20" ht="15" hidden="1" customHeight="1" outlineLevel="1">
      <c r="A406" s="202" t="str">
        <f>TEXT($A$386,0) &amp; ".20"</f>
        <v>0.20</v>
      </c>
      <c r="B406" s="923"/>
      <c r="C406" s="924"/>
      <c r="D406" s="924"/>
      <c r="E406" s="925"/>
      <c r="F406" s="211"/>
      <c r="G406" s="211"/>
      <c r="H406" s="225"/>
      <c r="I406" s="225"/>
      <c r="J406" s="237"/>
      <c r="K406" s="237"/>
      <c r="L406" s="237"/>
      <c r="M406" s="204">
        <f t="shared" si="187"/>
        <v>0</v>
      </c>
      <c r="N406" s="235">
        <f>M406</f>
        <v>0</v>
      </c>
      <c r="O406" s="204">
        <f t="shared" si="188"/>
        <v>0</v>
      </c>
      <c r="P406" s="205">
        <f t="shared" si="185"/>
        <v>0</v>
      </c>
      <c r="Q406" s="205">
        <f t="shared" si="186"/>
        <v>0</v>
      </c>
      <c r="R406" s="926"/>
      <c r="S406" s="927"/>
      <c r="T406" s="928"/>
    </row>
    <row r="407" spans="1:20" ht="15" customHeight="1" collapsed="1">
      <c r="A407" s="267"/>
      <c r="B407" s="932"/>
      <c r="C407" s="933"/>
      <c r="D407" s="933"/>
      <c r="E407" s="934"/>
      <c r="F407" s="220"/>
      <c r="G407" s="220"/>
      <c r="H407" s="222"/>
      <c r="I407" s="222" t="str">
        <f>IF(COUNTIF(I408:I427,TMDPhaseTimeAndMaterial)&gt;0,TMDPhaseTimeAndMaterial,IF(COUNTIF(I408:I427,TMDPhaseChangeTimeAndMaterial)&gt;0,TMDPhaseChangeTimeAndMaterial,""))</f>
        <v/>
      </c>
      <c r="J407" s="234">
        <f t="shared" ref="J407:Q407" si="189">SUM(J408:J427)</f>
        <v>0</v>
      </c>
      <c r="K407" s="234">
        <f t="shared" si="189"/>
        <v>0</v>
      </c>
      <c r="L407" s="234">
        <f t="shared" si="189"/>
        <v>0</v>
      </c>
      <c r="M407" s="201">
        <f t="shared" si="189"/>
        <v>0</v>
      </c>
      <c r="N407" s="201">
        <f t="shared" si="189"/>
        <v>0</v>
      </c>
      <c r="O407" s="201">
        <f t="shared" si="189"/>
        <v>0</v>
      </c>
      <c r="P407" s="201">
        <f t="shared" si="189"/>
        <v>0</v>
      </c>
      <c r="Q407" s="201">
        <f t="shared" si="189"/>
        <v>0</v>
      </c>
      <c r="R407" s="935"/>
      <c r="S407" s="935"/>
      <c r="T407" s="935"/>
    </row>
    <row r="408" spans="1:20" ht="15" hidden="1" customHeight="1" outlineLevel="1">
      <c r="A408" s="202" t="str">
        <f>TEXT($A$407,0) &amp; ".1"</f>
        <v>0.1</v>
      </c>
      <c r="B408" s="923"/>
      <c r="C408" s="924"/>
      <c r="D408" s="924"/>
      <c r="E408" s="925"/>
      <c r="F408" s="211"/>
      <c r="G408" s="211"/>
      <c r="H408" s="225"/>
      <c r="I408" s="225"/>
      <c r="J408" s="237"/>
      <c r="K408" s="237"/>
      <c r="L408" s="237"/>
      <c r="M408" s="204">
        <f>(J408+K408*4+L408)/6</f>
        <v>0</v>
      </c>
      <c r="N408" s="235">
        <f t="shared" ref="N408:O416" si="190">M408</f>
        <v>0</v>
      </c>
      <c r="O408" s="204">
        <f t="shared" si="190"/>
        <v>0</v>
      </c>
      <c r="P408" s="205">
        <f t="shared" ref="P408:P417" si="191">IF(H408&lt;&gt;"",INDEX(MDActivityTypeInternalCostPerDay,MATCH(H408,MDActivityTypeID,0),1)*O408,0)</f>
        <v>0</v>
      </c>
      <c r="Q408" s="205">
        <f t="shared" ref="Q408:Q417" si="192">IF(H408&lt;&gt;"",INDEX(MDActivityTypeExternalPricePerDay,MATCH(H408,MDActivityTypeID,0),1)*O408,0)</f>
        <v>0</v>
      </c>
      <c r="R408" s="926"/>
      <c r="S408" s="927"/>
      <c r="T408" s="928"/>
    </row>
    <row r="409" spans="1:20" ht="15" hidden="1" customHeight="1" outlineLevel="1">
      <c r="A409" s="202" t="str">
        <f>TEXT($A$407,0) &amp; ".2"</f>
        <v>0.2</v>
      </c>
      <c r="B409" s="923"/>
      <c r="C409" s="924"/>
      <c r="D409" s="924"/>
      <c r="E409" s="925"/>
      <c r="F409" s="211"/>
      <c r="G409" s="211"/>
      <c r="H409" s="225"/>
      <c r="I409" s="225"/>
      <c r="J409" s="237"/>
      <c r="K409" s="237"/>
      <c r="L409" s="237"/>
      <c r="M409" s="204">
        <f t="shared" ref="M409:M417" si="193">(J409+K409*4+L409)/6</f>
        <v>0</v>
      </c>
      <c r="N409" s="235">
        <f t="shared" si="190"/>
        <v>0</v>
      </c>
      <c r="O409" s="204">
        <f t="shared" si="190"/>
        <v>0</v>
      </c>
      <c r="P409" s="205">
        <f t="shared" si="191"/>
        <v>0</v>
      </c>
      <c r="Q409" s="205">
        <f t="shared" si="192"/>
        <v>0</v>
      </c>
      <c r="R409" s="926"/>
      <c r="S409" s="927"/>
      <c r="T409" s="928"/>
    </row>
    <row r="410" spans="1:20" ht="15" hidden="1" customHeight="1" outlineLevel="1">
      <c r="A410" s="202" t="str">
        <f>TEXT($A$407,0) &amp; ".3"</f>
        <v>0.3</v>
      </c>
      <c r="B410" s="923"/>
      <c r="C410" s="924"/>
      <c r="D410" s="924"/>
      <c r="E410" s="925"/>
      <c r="F410" s="211"/>
      <c r="G410" s="211"/>
      <c r="H410" s="225"/>
      <c r="I410" s="225"/>
      <c r="J410" s="237"/>
      <c r="K410" s="237"/>
      <c r="L410" s="237"/>
      <c r="M410" s="204">
        <f t="shared" si="193"/>
        <v>0</v>
      </c>
      <c r="N410" s="235">
        <f t="shared" si="190"/>
        <v>0</v>
      </c>
      <c r="O410" s="204">
        <f t="shared" si="190"/>
        <v>0</v>
      </c>
      <c r="P410" s="205">
        <f t="shared" si="191"/>
        <v>0</v>
      </c>
      <c r="Q410" s="205">
        <f t="shared" si="192"/>
        <v>0</v>
      </c>
      <c r="R410" s="926"/>
      <c r="S410" s="927"/>
      <c r="T410" s="928"/>
    </row>
    <row r="411" spans="1:20" ht="15" hidden="1" customHeight="1" outlineLevel="1">
      <c r="A411" s="202" t="str">
        <f>TEXT($A$407,0) &amp; ".4"</f>
        <v>0.4</v>
      </c>
      <c r="B411" s="923"/>
      <c r="C411" s="924"/>
      <c r="D411" s="924"/>
      <c r="E411" s="925"/>
      <c r="F411" s="211"/>
      <c r="G411" s="211"/>
      <c r="H411" s="225"/>
      <c r="I411" s="225"/>
      <c r="J411" s="237"/>
      <c r="K411" s="237"/>
      <c r="L411" s="237"/>
      <c r="M411" s="204">
        <f t="shared" si="193"/>
        <v>0</v>
      </c>
      <c r="N411" s="235">
        <f t="shared" si="190"/>
        <v>0</v>
      </c>
      <c r="O411" s="204">
        <f t="shared" si="190"/>
        <v>0</v>
      </c>
      <c r="P411" s="205">
        <f t="shared" si="191"/>
        <v>0</v>
      </c>
      <c r="Q411" s="205">
        <f t="shared" si="192"/>
        <v>0</v>
      </c>
      <c r="R411" s="926"/>
      <c r="S411" s="927"/>
      <c r="T411" s="928"/>
    </row>
    <row r="412" spans="1:20" ht="15" hidden="1" customHeight="1" outlineLevel="1">
      <c r="A412" s="202" t="str">
        <f>TEXT($A$407,0) &amp; ".5"</f>
        <v>0.5</v>
      </c>
      <c r="B412" s="923"/>
      <c r="C412" s="924"/>
      <c r="D412" s="924"/>
      <c r="E412" s="925"/>
      <c r="F412" s="211"/>
      <c r="G412" s="211"/>
      <c r="H412" s="225"/>
      <c r="I412" s="225"/>
      <c r="J412" s="237"/>
      <c r="K412" s="237"/>
      <c r="L412" s="237"/>
      <c r="M412" s="204">
        <f t="shared" si="193"/>
        <v>0</v>
      </c>
      <c r="N412" s="235">
        <f t="shared" si="190"/>
        <v>0</v>
      </c>
      <c r="O412" s="204">
        <f t="shared" si="190"/>
        <v>0</v>
      </c>
      <c r="P412" s="205">
        <f t="shared" si="191"/>
        <v>0</v>
      </c>
      <c r="Q412" s="205">
        <f t="shared" si="192"/>
        <v>0</v>
      </c>
      <c r="R412" s="926"/>
      <c r="S412" s="927"/>
      <c r="T412" s="928"/>
    </row>
    <row r="413" spans="1:20" ht="15" hidden="1" customHeight="1" outlineLevel="1">
      <c r="A413" s="202" t="str">
        <f>TEXT($A$407,0) &amp; ".6"</f>
        <v>0.6</v>
      </c>
      <c r="B413" s="923"/>
      <c r="C413" s="924"/>
      <c r="D413" s="924"/>
      <c r="E413" s="925"/>
      <c r="F413" s="211"/>
      <c r="G413" s="211"/>
      <c r="H413" s="225"/>
      <c r="I413" s="225"/>
      <c r="J413" s="237"/>
      <c r="K413" s="237"/>
      <c r="L413" s="237"/>
      <c r="M413" s="204">
        <f t="shared" si="193"/>
        <v>0</v>
      </c>
      <c r="N413" s="235">
        <f t="shared" si="190"/>
        <v>0</v>
      </c>
      <c r="O413" s="204">
        <f t="shared" si="190"/>
        <v>0</v>
      </c>
      <c r="P413" s="205">
        <f t="shared" si="191"/>
        <v>0</v>
      </c>
      <c r="Q413" s="205">
        <f t="shared" si="192"/>
        <v>0</v>
      </c>
      <c r="R413" s="926"/>
      <c r="S413" s="927"/>
      <c r="T413" s="928"/>
    </row>
    <row r="414" spans="1:20" ht="15" hidden="1" customHeight="1" outlineLevel="1">
      <c r="A414" s="202" t="str">
        <f>TEXT($A$407,0) &amp; ".7"</f>
        <v>0.7</v>
      </c>
      <c r="B414" s="923"/>
      <c r="C414" s="924"/>
      <c r="D414" s="924"/>
      <c r="E414" s="925"/>
      <c r="F414" s="211"/>
      <c r="G414" s="211"/>
      <c r="H414" s="225"/>
      <c r="I414" s="225"/>
      <c r="J414" s="237"/>
      <c r="K414" s="237"/>
      <c r="L414" s="237"/>
      <c r="M414" s="204">
        <f t="shared" si="193"/>
        <v>0</v>
      </c>
      <c r="N414" s="235">
        <f t="shared" si="190"/>
        <v>0</v>
      </c>
      <c r="O414" s="204">
        <f t="shared" si="190"/>
        <v>0</v>
      </c>
      <c r="P414" s="205">
        <f t="shared" si="191"/>
        <v>0</v>
      </c>
      <c r="Q414" s="205">
        <f t="shared" si="192"/>
        <v>0</v>
      </c>
      <c r="R414" s="926"/>
      <c r="S414" s="927"/>
      <c r="T414" s="928"/>
    </row>
    <row r="415" spans="1:20" ht="15" hidden="1" customHeight="1" outlineLevel="1">
      <c r="A415" s="202" t="str">
        <f>TEXT($A$407,0) &amp; ".8"</f>
        <v>0.8</v>
      </c>
      <c r="B415" s="923"/>
      <c r="C415" s="924"/>
      <c r="D415" s="924"/>
      <c r="E415" s="925"/>
      <c r="F415" s="211"/>
      <c r="G415" s="211"/>
      <c r="H415" s="225"/>
      <c r="I415" s="225"/>
      <c r="J415" s="237"/>
      <c r="K415" s="237"/>
      <c r="L415" s="237"/>
      <c r="M415" s="204">
        <f t="shared" si="193"/>
        <v>0</v>
      </c>
      <c r="N415" s="235">
        <f t="shared" si="190"/>
        <v>0</v>
      </c>
      <c r="O415" s="204">
        <f t="shared" si="190"/>
        <v>0</v>
      </c>
      <c r="P415" s="205">
        <f t="shared" si="191"/>
        <v>0</v>
      </c>
      <c r="Q415" s="205">
        <f t="shared" si="192"/>
        <v>0</v>
      </c>
      <c r="R415" s="926"/>
      <c r="S415" s="927"/>
      <c r="T415" s="928"/>
    </row>
    <row r="416" spans="1:20" ht="15" hidden="1" customHeight="1" outlineLevel="1">
      <c r="A416" s="202" t="str">
        <f>TEXT($A$407,0) &amp; ".9"</f>
        <v>0.9</v>
      </c>
      <c r="B416" s="923"/>
      <c r="C416" s="924"/>
      <c r="D416" s="924"/>
      <c r="E416" s="925"/>
      <c r="F416" s="211"/>
      <c r="G416" s="211"/>
      <c r="H416" s="225"/>
      <c r="I416" s="225"/>
      <c r="J416" s="237"/>
      <c r="K416" s="237"/>
      <c r="L416" s="237"/>
      <c r="M416" s="204">
        <f t="shared" si="193"/>
        <v>0</v>
      </c>
      <c r="N416" s="235">
        <f t="shared" si="190"/>
        <v>0</v>
      </c>
      <c r="O416" s="204">
        <f t="shared" si="190"/>
        <v>0</v>
      </c>
      <c r="P416" s="205">
        <f t="shared" si="191"/>
        <v>0</v>
      </c>
      <c r="Q416" s="205">
        <f t="shared" si="192"/>
        <v>0</v>
      </c>
      <c r="R416" s="926"/>
      <c r="S416" s="927"/>
      <c r="T416" s="928"/>
    </row>
    <row r="417" spans="1:20" ht="15" hidden="1" customHeight="1" outlineLevel="1">
      <c r="A417" s="202" t="str">
        <f>TEXT($A$407,0) &amp; ".10"</f>
        <v>0.10</v>
      </c>
      <c r="B417" s="923"/>
      <c r="C417" s="924"/>
      <c r="D417" s="924"/>
      <c r="E417" s="925"/>
      <c r="F417" s="211"/>
      <c r="G417" s="211"/>
      <c r="H417" s="225"/>
      <c r="I417" s="225"/>
      <c r="J417" s="237"/>
      <c r="K417" s="237"/>
      <c r="L417" s="237"/>
      <c r="M417" s="204">
        <f t="shared" si="193"/>
        <v>0</v>
      </c>
      <c r="N417" s="235">
        <f t="shared" ref="N417:O426" si="194">M417</f>
        <v>0</v>
      </c>
      <c r="O417" s="204">
        <f t="shared" si="194"/>
        <v>0</v>
      </c>
      <c r="P417" s="205">
        <f t="shared" si="191"/>
        <v>0</v>
      </c>
      <c r="Q417" s="205">
        <f t="shared" si="192"/>
        <v>0</v>
      </c>
      <c r="R417" s="926"/>
      <c r="S417" s="927"/>
      <c r="T417" s="928"/>
    </row>
    <row r="418" spans="1:20" ht="15" hidden="1" customHeight="1" outlineLevel="1">
      <c r="A418" s="202" t="str">
        <f>TEXT($A$407,0) &amp; ".11"</f>
        <v>0.11</v>
      </c>
      <c r="B418" s="923"/>
      <c r="C418" s="924"/>
      <c r="D418" s="924"/>
      <c r="E418" s="925"/>
      <c r="F418" s="211"/>
      <c r="G418" s="211"/>
      <c r="H418" s="225"/>
      <c r="I418" s="225"/>
      <c r="J418" s="237"/>
      <c r="K418" s="237"/>
      <c r="L418" s="237"/>
      <c r="M418" s="204">
        <f>(J418+K418*4+L418)/6</f>
        <v>0</v>
      </c>
      <c r="N418" s="235">
        <f t="shared" si="194"/>
        <v>0</v>
      </c>
      <c r="O418" s="204">
        <f>N418</f>
        <v>0</v>
      </c>
      <c r="P418" s="205">
        <f t="shared" ref="P418:P427" si="195">IF(H418&lt;&gt;"",INDEX(MDActivityTypeInternalCostPerDay,MATCH(H418,MDActivityTypeID,0),1)*O418,0)</f>
        <v>0</v>
      </c>
      <c r="Q418" s="205">
        <f t="shared" ref="Q418:Q427" si="196">IF(H418&lt;&gt;"",INDEX(MDActivityTypeExternalPricePerDay,MATCH(H418,MDActivityTypeID,0),1)*O418,0)</f>
        <v>0</v>
      </c>
      <c r="R418" s="926"/>
      <c r="S418" s="927"/>
      <c r="T418" s="928"/>
    </row>
    <row r="419" spans="1:20" ht="15" hidden="1" customHeight="1" outlineLevel="1">
      <c r="A419" s="202" t="str">
        <f>TEXT($A$407,0) &amp; ".12"</f>
        <v>0.12</v>
      </c>
      <c r="B419" s="923"/>
      <c r="C419" s="924"/>
      <c r="D419" s="924"/>
      <c r="E419" s="925"/>
      <c r="F419" s="211"/>
      <c r="G419" s="211"/>
      <c r="H419" s="225"/>
      <c r="I419" s="225"/>
      <c r="J419" s="237"/>
      <c r="K419" s="237"/>
      <c r="L419" s="237"/>
      <c r="M419" s="204">
        <f t="shared" ref="M419:M427" si="197">(J419+K419*4+L419)/6</f>
        <v>0</v>
      </c>
      <c r="N419" s="235">
        <f t="shared" si="194"/>
        <v>0</v>
      </c>
      <c r="O419" s="204">
        <f t="shared" ref="O419:O427" si="198">N419</f>
        <v>0</v>
      </c>
      <c r="P419" s="205">
        <f t="shared" si="195"/>
        <v>0</v>
      </c>
      <c r="Q419" s="205">
        <f t="shared" si="196"/>
        <v>0</v>
      </c>
      <c r="R419" s="926"/>
      <c r="S419" s="927"/>
      <c r="T419" s="928"/>
    </row>
    <row r="420" spans="1:20" ht="15" hidden="1" customHeight="1" outlineLevel="1">
      <c r="A420" s="202" t="str">
        <f>TEXT($A$407,0) &amp; ".13"</f>
        <v>0.13</v>
      </c>
      <c r="B420" s="923"/>
      <c r="C420" s="924"/>
      <c r="D420" s="924"/>
      <c r="E420" s="925"/>
      <c r="F420" s="211"/>
      <c r="G420" s="211"/>
      <c r="H420" s="225"/>
      <c r="I420" s="225"/>
      <c r="J420" s="237"/>
      <c r="K420" s="237"/>
      <c r="L420" s="237"/>
      <c r="M420" s="204">
        <f t="shared" si="197"/>
        <v>0</v>
      </c>
      <c r="N420" s="235">
        <f t="shared" si="194"/>
        <v>0</v>
      </c>
      <c r="O420" s="204">
        <f t="shared" si="198"/>
        <v>0</v>
      </c>
      <c r="P420" s="205">
        <f t="shared" si="195"/>
        <v>0</v>
      </c>
      <c r="Q420" s="205">
        <f t="shared" si="196"/>
        <v>0</v>
      </c>
      <c r="R420" s="926"/>
      <c r="S420" s="927"/>
      <c r="T420" s="928"/>
    </row>
    <row r="421" spans="1:20" ht="15" hidden="1" customHeight="1" outlineLevel="1">
      <c r="A421" s="202" t="str">
        <f>TEXT($A$407,0) &amp; ".14"</f>
        <v>0.14</v>
      </c>
      <c r="B421" s="923"/>
      <c r="C421" s="924"/>
      <c r="D421" s="924"/>
      <c r="E421" s="925"/>
      <c r="F421" s="211"/>
      <c r="G421" s="211"/>
      <c r="H421" s="225"/>
      <c r="I421" s="225"/>
      <c r="J421" s="237"/>
      <c r="K421" s="237"/>
      <c r="L421" s="237"/>
      <c r="M421" s="204">
        <f t="shared" si="197"/>
        <v>0</v>
      </c>
      <c r="N421" s="235">
        <f t="shared" si="194"/>
        <v>0</v>
      </c>
      <c r="O421" s="204">
        <f t="shared" si="198"/>
        <v>0</v>
      </c>
      <c r="P421" s="205">
        <f t="shared" si="195"/>
        <v>0</v>
      </c>
      <c r="Q421" s="205">
        <f t="shared" si="196"/>
        <v>0</v>
      </c>
      <c r="R421" s="926"/>
      <c r="S421" s="927"/>
      <c r="T421" s="928"/>
    </row>
    <row r="422" spans="1:20" ht="15" hidden="1" customHeight="1" outlineLevel="1">
      <c r="A422" s="202" t="str">
        <f>TEXT($A$407,0) &amp; ".15"</f>
        <v>0.15</v>
      </c>
      <c r="B422" s="923"/>
      <c r="C422" s="924"/>
      <c r="D422" s="924"/>
      <c r="E422" s="925"/>
      <c r="F422" s="211"/>
      <c r="G422" s="211"/>
      <c r="H422" s="225"/>
      <c r="I422" s="225"/>
      <c r="J422" s="237"/>
      <c r="K422" s="237"/>
      <c r="L422" s="237"/>
      <c r="M422" s="204">
        <f t="shared" si="197"/>
        <v>0</v>
      </c>
      <c r="N422" s="235">
        <f t="shared" si="194"/>
        <v>0</v>
      </c>
      <c r="O422" s="204">
        <f t="shared" si="198"/>
        <v>0</v>
      </c>
      <c r="P422" s="205">
        <f t="shared" si="195"/>
        <v>0</v>
      </c>
      <c r="Q422" s="205">
        <f t="shared" si="196"/>
        <v>0</v>
      </c>
      <c r="R422" s="926"/>
      <c r="S422" s="927"/>
      <c r="T422" s="928"/>
    </row>
    <row r="423" spans="1:20" ht="15" hidden="1" customHeight="1" outlineLevel="1">
      <c r="A423" s="202" t="str">
        <f>TEXT($A$407,0) &amp; ".16"</f>
        <v>0.16</v>
      </c>
      <c r="B423" s="923"/>
      <c r="C423" s="924"/>
      <c r="D423" s="924"/>
      <c r="E423" s="925"/>
      <c r="F423" s="211"/>
      <c r="G423" s="211"/>
      <c r="H423" s="225"/>
      <c r="I423" s="225"/>
      <c r="J423" s="237"/>
      <c r="K423" s="237"/>
      <c r="L423" s="237"/>
      <c r="M423" s="204">
        <f t="shared" si="197"/>
        <v>0</v>
      </c>
      <c r="N423" s="235">
        <f t="shared" si="194"/>
        <v>0</v>
      </c>
      <c r="O423" s="204">
        <f t="shared" si="198"/>
        <v>0</v>
      </c>
      <c r="P423" s="205">
        <f t="shared" si="195"/>
        <v>0</v>
      </c>
      <c r="Q423" s="205">
        <f t="shared" si="196"/>
        <v>0</v>
      </c>
      <c r="R423" s="926"/>
      <c r="S423" s="927"/>
      <c r="T423" s="928"/>
    </row>
    <row r="424" spans="1:20" ht="15" hidden="1" customHeight="1" outlineLevel="1">
      <c r="A424" s="202" t="str">
        <f>TEXT($A$407,0) &amp; ".17"</f>
        <v>0.17</v>
      </c>
      <c r="B424" s="923"/>
      <c r="C424" s="924"/>
      <c r="D424" s="924"/>
      <c r="E424" s="925"/>
      <c r="F424" s="211"/>
      <c r="G424" s="211"/>
      <c r="H424" s="225"/>
      <c r="I424" s="225"/>
      <c r="J424" s="237"/>
      <c r="K424" s="237"/>
      <c r="L424" s="237"/>
      <c r="M424" s="204">
        <f t="shared" si="197"/>
        <v>0</v>
      </c>
      <c r="N424" s="235">
        <f t="shared" si="194"/>
        <v>0</v>
      </c>
      <c r="O424" s="204">
        <f t="shared" si="198"/>
        <v>0</v>
      </c>
      <c r="P424" s="205">
        <f t="shared" si="195"/>
        <v>0</v>
      </c>
      <c r="Q424" s="205">
        <f t="shared" si="196"/>
        <v>0</v>
      </c>
      <c r="R424" s="926"/>
      <c r="S424" s="927"/>
      <c r="T424" s="928"/>
    </row>
    <row r="425" spans="1:20" ht="15" hidden="1" customHeight="1" outlineLevel="1">
      <c r="A425" s="202" t="str">
        <f>TEXT($A$407,0) &amp; ".18"</f>
        <v>0.18</v>
      </c>
      <c r="B425" s="923"/>
      <c r="C425" s="924"/>
      <c r="D425" s="924"/>
      <c r="E425" s="925"/>
      <c r="F425" s="211"/>
      <c r="G425" s="211"/>
      <c r="H425" s="225"/>
      <c r="I425" s="225"/>
      <c r="J425" s="237"/>
      <c r="K425" s="237"/>
      <c r="L425" s="237"/>
      <c r="M425" s="204">
        <f t="shared" si="197"/>
        <v>0</v>
      </c>
      <c r="N425" s="235">
        <f t="shared" si="194"/>
        <v>0</v>
      </c>
      <c r="O425" s="204">
        <f t="shared" si="198"/>
        <v>0</v>
      </c>
      <c r="P425" s="205">
        <f t="shared" si="195"/>
        <v>0</v>
      </c>
      <c r="Q425" s="205">
        <f t="shared" si="196"/>
        <v>0</v>
      </c>
      <c r="R425" s="926"/>
      <c r="S425" s="927"/>
      <c r="T425" s="928"/>
    </row>
    <row r="426" spans="1:20" ht="15" hidden="1" customHeight="1" outlineLevel="1">
      <c r="A426" s="202" t="str">
        <f>TEXT($A$407,0) &amp; ".19"</f>
        <v>0.19</v>
      </c>
      <c r="B426" s="923"/>
      <c r="C426" s="924"/>
      <c r="D426" s="924"/>
      <c r="E426" s="925"/>
      <c r="F426" s="211"/>
      <c r="G426" s="211"/>
      <c r="H426" s="225"/>
      <c r="I426" s="225"/>
      <c r="J426" s="237"/>
      <c r="K426" s="237"/>
      <c r="L426" s="237"/>
      <c r="M426" s="204">
        <f t="shared" si="197"/>
        <v>0</v>
      </c>
      <c r="N426" s="235">
        <f t="shared" si="194"/>
        <v>0</v>
      </c>
      <c r="O426" s="204">
        <f t="shared" si="198"/>
        <v>0</v>
      </c>
      <c r="P426" s="205">
        <f t="shared" si="195"/>
        <v>0</v>
      </c>
      <c r="Q426" s="205">
        <f t="shared" si="196"/>
        <v>0</v>
      </c>
      <c r="R426" s="926"/>
      <c r="S426" s="927"/>
      <c r="T426" s="928"/>
    </row>
    <row r="427" spans="1:20" ht="15" hidden="1" customHeight="1" outlineLevel="1">
      <c r="A427" s="202" t="str">
        <f>TEXT($A$407,0) &amp; ".20"</f>
        <v>0.20</v>
      </c>
      <c r="B427" s="923"/>
      <c r="C427" s="924"/>
      <c r="D427" s="924"/>
      <c r="E427" s="925"/>
      <c r="F427" s="211"/>
      <c r="G427" s="211"/>
      <c r="H427" s="225"/>
      <c r="I427" s="225"/>
      <c r="J427" s="237"/>
      <c r="K427" s="237"/>
      <c r="L427" s="237"/>
      <c r="M427" s="204">
        <f t="shared" si="197"/>
        <v>0</v>
      </c>
      <c r="N427" s="235">
        <f>M427</f>
        <v>0</v>
      </c>
      <c r="O427" s="204">
        <f t="shared" si="198"/>
        <v>0</v>
      </c>
      <c r="P427" s="205">
        <f t="shared" si="195"/>
        <v>0</v>
      </c>
      <c r="Q427" s="205">
        <f t="shared" si="196"/>
        <v>0</v>
      </c>
      <c r="R427" s="926"/>
      <c r="S427" s="927"/>
      <c r="T427" s="928"/>
    </row>
    <row r="428" spans="1:20" ht="15" customHeight="1" collapsed="1">
      <c r="A428" s="267"/>
      <c r="B428" s="932"/>
      <c r="C428" s="933"/>
      <c r="D428" s="933"/>
      <c r="E428" s="934"/>
      <c r="F428" s="220"/>
      <c r="G428" s="220"/>
      <c r="H428" s="222"/>
      <c r="I428" s="222" t="str">
        <f>IF(COUNTIF(I429:I448,TMDPhaseTimeAndMaterial)&gt;0,TMDPhaseTimeAndMaterial,IF(COUNTIF(I429:I448,TMDPhaseChangeTimeAndMaterial)&gt;0,TMDPhaseChangeTimeAndMaterial,""))</f>
        <v/>
      </c>
      <c r="J428" s="234">
        <f t="shared" ref="J428:Q428" si="199">SUM(J429:J448)</f>
        <v>0</v>
      </c>
      <c r="K428" s="234">
        <f t="shared" si="199"/>
        <v>0</v>
      </c>
      <c r="L428" s="234">
        <f t="shared" si="199"/>
        <v>0</v>
      </c>
      <c r="M428" s="201">
        <f t="shared" si="199"/>
        <v>0</v>
      </c>
      <c r="N428" s="201">
        <f t="shared" si="199"/>
        <v>0</v>
      </c>
      <c r="O428" s="201">
        <f t="shared" si="199"/>
        <v>0</v>
      </c>
      <c r="P428" s="201">
        <f t="shared" si="199"/>
        <v>0</v>
      </c>
      <c r="Q428" s="201">
        <f t="shared" si="199"/>
        <v>0</v>
      </c>
      <c r="R428" s="1006"/>
      <c r="S428" s="1006"/>
      <c r="T428" s="1006"/>
    </row>
    <row r="429" spans="1:20" ht="15" hidden="1" customHeight="1" outlineLevel="1">
      <c r="A429" s="202" t="str">
        <f>TEXT($A$428,0) &amp; ".1"</f>
        <v>0.1</v>
      </c>
      <c r="B429" s="923"/>
      <c r="C429" s="924"/>
      <c r="D429" s="924"/>
      <c r="E429" s="925"/>
      <c r="F429" s="211"/>
      <c r="G429" s="211"/>
      <c r="H429" s="225"/>
      <c r="I429" s="225"/>
      <c r="J429" s="237"/>
      <c r="K429" s="237"/>
      <c r="L429" s="237"/>
      <c r="M429" s="204">
        <f>(J429+K429*4+L429)/6</f>
        <v>0</v>
      </c>
      <c r="N429" s="235">
        <f t="shared" ref="N429:O437" si="200">M429</f>
        <v>0</v>
      </c>
      <c r="O429" s="204">
        <f t="shared" si="200"/>
        <v>0</v>
      </c>
      <c r="P429" s="205">
        <f t="shared" ref="P429:P438" si="201">IF(H429&lt;&gt;"",INDEX(MDActivityTypeInternalCostPerDay,MATCH(H429,MDActivityTypeID,0),1)*O429,0)</f>
        <v>0</v>
      </c>
      <c r="Q429" s="205">
        <f t="shared" ref="Q429:Q438" si="202">IF(H429&lt;&gt;"",INDEX(MDActivityTypeExternalPricePerDay,MATCH(H429,MDActivityTypeID,0),1)*O429,0)</f>
        <v>0</v>
      </c>
      <c r="R429" s="926"/>
      <c r="S429" s="927"/>
      <c r="T429" s="928"/>
    </row>
    <row r="430" spans="1:20" ht="15" hidden="1" customHeight="1" outlineLevel="1">
      <c r="A430" s="202" t="str">
        <f>TEXT($A$428,0) &amp; ".2"</f>
        <v>0.2</v>
      </c>
      <c r="B430" s="923"/>
      <c r="C430" s="924"/>
      <c r="D430" s="924"/>
      <c r="E430" s="925"/>
      <c r="F430" s="211"/>
      <c r="G430" s="211"/>
      <c r="H430" s="225"/>
      <c r="I430" s="225"/>
      <c r="J430" s="237"/>
      <c r="K430" s="237"/>
      <c r="L430" s="237"/>
      <c r="M430" s="204">
        <f t="shared" ref="M430:M438" si="203">(J430+K430*4+L430)/6</f>
        <v>0</v>
      </c>
      <c r="N430" s="235">
        <f t="shared" si="200"/>
        <v>0</v>
      </c>
      <c r="O430" s="204">
        <f t="shared" si="200"/>
        <v>0</v>
      </c>
      <c r="P430" s="205">
        <f t="shared" si="201"/>
        <v>0</v>
      </c>
      <c r="Q430" s="205">
        <f t="shared" si="202"/>
        <v>0</v>
      </c>
      <c r="R430" s="926"/>
      <c r="S430" s="927"/>
      <c r="T430" s="928"/>
    </row>
    <row r="431" spans="1:20" ht="15" hidden="1" customHeight="1" outlineLevel="1">
      <c r="A431" s="202" t="str">
        <f>TEXT($A$428,0) &amp; ".3"</f>
        <v>0.3</v>
      </c>
      <c r="B431" s="923"/>
      <c r="C431" s="924"/>
      <c r="D431" s="924"/>
      <c r="E431" s="925"/>
      <c r="F431" s="211"/>
      <c r="G431" s="211"/>
      <c r="H431" s="225"/>
      <c r="I431" s="225"/>
      <c r="J431" s="237"/>
      <c r="K431" s="237"/>
      <c r="L431" s="237"/>
      <c r="M431" s="204">
        <f t="shared" si="203"/>
        <v>0</v>
      </c>
      <c r="N431" s="235">
        <f t="shared" si="200"/>
        <v>0</v>
      </c>
      <c r="O431" s="204">
        <f t="shared" si="200"/>
        <v>0</v>
      </c>
      <c r="P431" s="205">
        <f t="shared" si="201"/>
        <v>0</v>
      </c>
      <c r="Q431" s="205">
        <f t="shared" si="202"/>
        <v>0</v>
      </c>
      <c r="R431" s="926"/>
      <c r="S431" s="927"/>
      <c r="T431" s="928"/>
    </row>
    <row r="432" spans="1:20" ht="15" hidden="1" customHeight="1" outlineLevel="1">
      <c r="A432" s="202" t="str">
        <f>TEXT($A$428,0) &amp; ".4"</f>
        <v>0.4</v>
      </c>
      <c r="B432" s="923"/>
      <c r="C432" s="924"/>
      <c r="D432" s="924"/>
      <c r="E432" s="925"/>
      <c r="F432" s="211"/>
      <c r="G432" s="211"/>
      <c r="H432" s="225"/>
      <c r="I432" s="225"/>
      <c r="J432" s="237"/>
      <c r="K432" s="237"/>
      <c r="L432" s="237"/>
      <c r="M432" s="204">
        <f t="shared" si="203"/>
        <v>0</v>
      </c>
      <c r="N432" s="235">
        <f t="shared" si="200"/>
        <v>0</v>
      </c>
      <c r="O432" s="204">
        <f t="shared" si="200"/>
        <v>0</v>
      </c>
      <c r="P432" s="205">
        <f t="shared" si="201"/>
        <v>0</v>
      </c>
      <c r="Q432" s="205">
        <f t="shared" si="202"/>
        <v>0</v>
      </c>
      <c r="R432" s="926"/>
      <c r="S432" s="927"/>
      <c r="T432" s="928"/>
    </row>
    <row r="433" spans="1:20" ht="15" hidden="1" customHeight="1" outlineLevel="1">
      <c r="A433" s="202" t="str">
        <f>TEXT($A$428,0) &amp; ".5"</f>
        <v>0.5</v>
      </c>
      <c r="B433" s="923"/>
      <c r="C433" s="924"/>
      <c r="D433" s="924"/>
      <c r="E433" s="925"/>
      <c r="F433" s="211"/>
      <c r="G433" s="211"/>
      <c r="H433" s="225"/>
      <c r="I433" s="225"/>
      <c r="J433" s="237"/>
      <c r="K433" s="237"/>
      <c r="L433" s="237"/>
      <c r="M433" s="204">
        <f t="shared" si="203"/>
        <v>0</v>
      </c>
      <c r="N433" s="235">
        <f t="shared" si="200"/>
        <v>0</v>
      </c>
      <c r="O433" s="204">
        <f t="shared" si="200"/>
        <v>0</v>
      </c>
      <c r="P433" s="205">
        <f t="shared" si="201"/>
        <v>0</v>
      </c>
      <c r="Q433" s="205">
        <f t="shared" si="202"/>
        <v>0</v>
      </c>
      <c r="R433" s="926"/>
      <c r="S433" s="927"/>
      <c r="T433" s="928"/>
    </row>
    <row r="434" spans="1:20" ht="15" hidden="1" customHeight="1" outlineLevel="1">
      <c r="A434" s="202" t="str">
        <f>TEXT($A$428,0) &amp; ".6"</f>
        <v>0.6</v>
      </c>
      <c r="B434" s="923"/>
      <c r="C434" s="924"/>
      <c r="D434" s="924"/>
      <c r="E434" s="925"/>
      <c r="F434" s="211"/>
      <c r="G434" s="211"/>
      <c r="H434" s="225"/>
      <c r="I434" s="225"/>
      <c r="J434" s="237"/>
      <c r="K434" s="237"/>
      <c r="L434" s="237"/>
      <c r="M434" s="204">
        <f t="shared" si="203"/>
        <v>0</v>
      </c>
      <c r="N434" s="235">
        <f t="shared" si="200"/>
        <v>0</v>
      </c>
      <c r="O434" s="204">
        <f t="shared" si="200"/>
        <v>0</v>
      </c>
      <c r="P434" s="205">
        <f t="shared" si="201"/>
        <v>0</v>
      </c>
      <c r="Q434" s="205">
        <f t="shared" si="202"/>
        <v>0</v>
      </c>
      <c r="R434" s="926"/>
      <c r="S434" s="927"/>
      <c r="T434" s="928"/>
    </row>
    <row r="435" spans="1:20" ht="15" hidden="1" customHeight="1" outlineLevel="1">
      <c r="A435" s="202" t="str">
        <f>TEXT($A$428,0) &amp; ".7"</f>
        <v>0.7</v>
      </c>
      <c r="B435" s="923"/>
      <c r="C435" s="924"/>
      <c r="D435" s="924"/>
      <c r="E435" s="925"/>
      <c r="F435" s="211"/>
      <c r="G435" s="211"/>
      <c r="H435" s="225"/>
      <c r="I435" s="225"/>
      <c r="J435" s="237"/>
      <c r="K435" s="237"/>
      <c r="L435" s="237"/>
      <c r="M435" s="204">
        <f t="shared" si="203"/>
        <v>0</v>
      </c>
      <c r="N435" s="235">
        <f t="shared" si="200"/>
        <v>0</v>
      </c>
      <c r="O435" s="204">
        <f t="shared" si="200"/>
        <v>0</v>
      </c>
      <c r="P435" s="205">
        <f t="shared" si="201"/>
        <v>0</v>
      </c>
      <c r="Q435" s="205">
        <f t="shared" si="202"/>
        <v>0</v>
      </c>
      <c r="R435" s="926"/>
      <c r="S435" s="927"/>
      <c r="T435" s="928"/>
    </row>
    <row r="436" spans="1:20" ht="15" hidden="1" customHeight="1" outlineLevel="1">
      <c r="A436" s="202" t="str">
        <f>TEXT($A$428,0) &amp; ".8"</f>
        <v>0.8</v>
      </c>
      <c r="B436" s="923"/>
      <c r="C436" s="924"/>
      <c r="D436" s="924"/>
      <c r="E436" s="925"/>
      <c r="F436" s="211"/>
      <c r="G436" s="211"/>
      <c r="H436" s="225"/>
      <c r="I436" s="225"/>
      <c r="J436" s="237"/>
      <c r="K436" s="237"/>
      <c r="L436" s="237"/>
      <c r="M436" s="204">
        <f t="shared" si="203"/>
        <v>0</v>
      </c>
      <c r="N436" s="235">
        <f t="shared" si="200"/>
        <v>0</v>
      </c>
      <c r="O436" s="204">
        <f t="shared" si="200"/>
        <v>0</v>
      </c>
      <c r="P436" s="205">
        <f t="shared" si="201"/>
        <v>0</v>
      </c>
      <c r="Q436" s="205">
        <f t="shared" si="202"/>
        <v>0</v>
      </c>
      <c r="R436" s="926"/>
      <c r="S436" s="927"/>
      <c r="T436" s="928"/>
    </row>
    <row r="437" spans="1:20" ht="15" hidden="1" customHeight="1" outlineLevel="1">
      <c r="A437" s="202" t="str">
        <f>TEXT($A$428,0) &amp; ".9"</f>
        <v>0.9</v>
      </c>
      <c r="B437" s="923"/>
      <c r="C437" s="924"/>
      <c r="D437" s="924"/>
      <c r="E437" s="925"/>
      <c r="F437" s="211"/>
      <c r="G437" s="211"/>
      <c r="H437" s="225"/>
      <c r="I437" s="225"/>
      <c r="J437" s="237"/>
      <c r="K437" s="237"/>
      <c r="L437" s="237"/>
      <c r="M437" s="204">
        <f t="shared" si="203"/>
        <v>0</v>
      </c>
      <c r="N437" s="235">
        <f t="shared" si="200"/>
        <v>0</v>
      </c>
      <c r="O437" s="204">
        <f t="shared" si="200"/>
        <v>0</v>
      </c>
      <c r="P437" s="205">
        <f t="shared" si="201"/>
        <v>0</v>
      </c>
      <c r="Q437" s="205">
        <f t="shared" si="202"/>
        <v>0</v>
      </c>
      <c r="R437" s="926"/>
      <c r="S437" s="927"/>
      <c r="T437" s="928"/>
    </row>
    <row r="438" spans="1:20" ht="15" hidden="1" customHeight="1" outlineLevel="1">
      <c r="A438" s="202" t="str">
        <f>TEXT($A$428,0) &amp; ".10"</f>
        <v>0.10</v>
      </c>
      <c r="B438" s="923"/>
      <c r="C438" s="924"/>
      <c r="D438" s="924"/>
      <c r="E438" s="925"/>
      <c r="F438" s="211"/>
      <c r="G438" s="211"/>
      <c r="H438" s="225"/>
      <c r="I438" s="225"/>
      <c r="J438" s="237"/>
      <c r="K438" s="237"/>
      <c r="L438" s="237"/>
      <c r="M438" s="204">
        <f t="shared" si="203"/>
        <v>0</v>
      </c>
      <c r="N438" s="235">
        <f t="shared" ref="N438:O447" si="204">M438</f>
        <v>0</v>
      </c>
      <c r="O438" s="204">
        <f t="shared" si="204"/>
        <v>0</v>
      </c>
      <c r="P438" s="205">
        <f t="shared" si="201"/>
        <v>0</v>
      </c>
      <c r="Q438" s="205">
        <f t="shared" si="202"/>
        <v>0</v>
      </c>
      <c r="R438" s="926"/>
      <c r="S438" s="927"/>
      <c r="T438" s="928"/>
    </row>
    <row r="439" spans="1:20" ht="15" hidden="1" customHeight="1" outlineLevel="1">
      <c r="A439" s="202" t="str">
        <f>TEXT($A$428,0) &amp; ".1"</f>
        <v>0.1</v>
      </c>
      <c r="B439" s="923"/>
      <c r="C439" s="924"/>
      <c r="D439" s="924"/>
      <c r="E439" s="925"/>
      <c r="F439" s="211"/>
      <c r="G439" s="211"/>
      <c r="H439" s="225"/>
      <c r="I439" s="225"/>
      <c r="J439" s="237"/>
      <c r="K439" s="237"/>
      <c r="L439" s="237"/>
      <c r="M439" s="204">
        <f>(J439+K439*4+L439)/6</f>
        <v>0</v>
      </c>
      <c r="N439" s="235">
        <f t="shared" si="204"/>
        <v>0</v>
      </c>
      <c r="O439" s="204">
        <f>N439</f>
        <v>0</v>
      </c>
      <c r="P439" s="205">
        <f t="shared" ref="P439:P448" si="205">IF(H439&lt;&gt;"",INDEX(MDActivityTypeInternalCostPerDay,MATCH(H439,MDActivityTypeID,0),1)*O439,0)</f>
        <v>0</v>
      </c>
      <c r="Q439" s="205">
        <f t="shared" ref="Q439:Q448" si="206">IF(H439&lt;&gt;"",INDEX(MDActivityTypeExternalPricePerDay,MATCH(H439,MDActivityTypeID,0),1)*O439,0)</f>
        <v>0</v>
      </c>
      <c r="R439" s="926"/>
      <c r="S439" s="927"/>
      <c r="T439" s="928"/>
    </row>
    <row r="440" spans="1:20" ht="15" hidden="1" customHeight="1" outlineLevel="1">
      <c r="A440" s="202" t="str">
        <f>TEXT($A$428,0) &amp; ".2"</f>
        <v>0.2</v>
      </c>
      <c r="B440" s="923"/>
      <c r="C440" s="924"/>
      <c r="D440" s="924"/>
      <c r="E440" s="925"/>
      <c r="F440" s="211"/>
      <c r="G440" s="211"/>
      <c r="H440" s="225"/>
      <c r="I440" s="225"/>
      <c r="J440" s="237"/>
      <c r="K440" s="237"/>
      <c r="L440" s="237"/>
      <c r="M440" s="204">
        <f t="shared" ref="M440:M448" si="207">(J440+K440*4+L440)/6</f>
        <v>0</v>
      </c>
      <c r="N440" s="235">
        <f t="shared" si="204"/>
        <v>0</v>
      </c>
      <c r="O440" s="204">
        <f t="shared" ref="O440:O448" si="208">N440</f>
        <v>0</v>
      </c>
      <c r="P440" s="205">
        <f t="shared" si="205"/>
        <v>0</v>
      </c>
      <c r="Q440" s="205">
        <f t="shared" si="206"/>
        <v>0</v>
      </c>
      <c r="R440" s="926"/>
      <c r="S440" s="927"/>
      <c r="T440" s="928"/>
    </row>
    <row r="441" spans="1:20" ht="15" hidden="1" customHeight="1" outlineLevel="1">
      <c r="A441" s="202" t="str">
        <f>TEXT($A$428,0) &amp; ".3"</f>
        <v>0.3</v>
      </c>
      <c r="B441" s="923"/>
      <c r="C441" s="924"/>
      <c r="D441" s="924"/>
      <c r="E441" s="925"/>
      <c r="F441" s="211"/>
      <c r="G441" s="211"/>
      <c r="H441" s="225"/>
      <c r="I441" s="225"/>
      <c r="J441" s="237"/>
      <c r="K441" s="237"/>
      <c r="L441" s="237"/>
      <c r="M441" s="204">
        <f t="shared" si="207"/>
        <v>0</v>
      </c>
      <c r="N441" s="235">
        <f t="shared" si="204"/>
        <v>0</v>
      </c>
      <c r="O441" s="204">
        <f t="shared" si="208"/>
        <v>0</v>
      </c>
      <c r="P441" s="205">
        <f t="shared" si="205"/>
        <v>0</v>
      </c>
      <c r="Q441" s="205">
        <f t="shared" si="206"/>
        <v>0</v>
      </c>
      <c r="R441" s="926"/>
      <c r="S441" s="927"/>
      <c r="T441" s="928"/>
    </row>
    <row r="442" spans="1:20" ht="15" hidden="1" customHeight="1" outlineLevel="1">
      <c r="A442" s="202" t="str">
        <f>TEXT($A$428,0) &amp; ".4"</f>
        <v>0.4</v>
      </c>
      <c r="B442" s="923"/>
      <c r="C442" s="924"/>
      <c r="D442" s="924"/>
      <c r="E442" s="925"/>
      <c r="F442" s="211"/>
      <c r="G442" s="211"/>
      <c r="H442" s="225"/>
      <c r="I442" s="225"/>
      <c r="J442" s="237"/>
      <c r="K442" s="237"/>
      <c r="L442" s="237"/>
      <c r="M442" s="204">
        <f t="shared" si="207"/>
        <v>0</v>
      </c>
      <c r="N442" s="235">
        <f t="shared" si="204"/>
        <v>0</v>
      </c>
      <c r="O442" s="204">
        <f t="shared" si="208"/>
        <v>0</v>
      </c>
      <c r="P442" s="205">
        <f t="shared" si="205"/>
        <v>0</v>
      </c>
      <c r="Q442" s="205">
        <f t="shared" si="206"/>
        <v>0</v>
      </c>
      <c r="R442" s="926"/>
      <c r="S442" s="927"/>
      <c r="T442" s="928"/>
    </row>
    <row r="443" spans="1:20" ht="15" hidden="1" customHeight="1" outlineLevel="1">
      <c r="A443" s="202" t="str">
        <f>TEXT($A$428,0) &amp; ".5"</f>
        <v>0.5</v>
      </c>
      <c r="B443" s="923"/>
      <c r="C443" s="924"/>
      <c r="D443" s="924"/>
      <c r="E443" s="925"/>
      <c r="F443" s="211"/>
      <c r="G443" s="211"/>
      <c r="H443" s="225"/>
      <c r="I443" s="225"/>
      <c r="J443" s="237"/>
      <c r="K443" s="237"/>
      <c r="L443" s="237"/>
      <c r="M443" s="204">
        <f t="shared" si="207"/>
        <v>0</v>
      </c>
      <c r="N443" s="235">
        <f t="shared" si="204"/>
        <v>0</v>
      </c>
      <c r="O443" s="204">
        <f t="shared" si="208"/>
        <v>0</v>
      </c>
      <c r="P443" s="205">
        <f t="shared" si="205"/>
        <v>0</v>
      </c>
      <c r="Q443" s="205">
        <f t="shared" si="206"/>
        <v>0</v>
      </c>
      <c r="R443" s="926"/>
      <c r="S443" s="927"/>
      <c r="T443" s="928"/>
    </row>
    <row r="444" spans="1:20" ht="15" hidden="1" customHeight="1" outlineLevel="1">
      <c r="A444" s="202" t="str">
        <f>TEXT($A$428,0) &amp; ".6"</f>
        <v>0.6</v>
      </c>
      <c r="B444" s="923"/>
      <c r="C444" s="924"/>
      <c r="D444" s="924"/>
      <c r="E444" s="925"/>
      <c r="F444" s="211"/>
      <c r="G444" s="211"/>
      <c r="H444" s="225"/>
      <c r="I444" s="225"/>
      <c r="J444" s="237"/>
      <c r="K444" s="237"/>
      <c r="L444" s="237"/>
      <c r="M444" s="204">
        <f t="shared" si="207"/>
        <v>0</v>
      </c>
      <c r="N444" s="235">
        <f t="shared" si="204"/>
        <v>0</v>
      </c>
      <c r="O444" s="204">
        <f t="shared" si="208"/>
        <v>0</v>
      </c>
      <c r="P444" s="205">
        <f t="shared" si="205"/>
        <v>0</v>
      </c>
      <c r="Q444" s="205">
        <f t="shared" si="206"/>
        <v>0</v>
      </c>
      <c r="R444" s="926"/>
      <c r="S444" s="927"/>
      <c r="T444" s="928"/>
    </row>
    <row r="445" spans="1:20" ht="15" hidden="1" customHeight="1" outlineLevel="1">
      <c r="A445" s="202" t="str">
        <f>TEXT($A$428,0) &amp; ".7"</f>
        <v>0.7</v>
      </c>
      <c r="B445" s="923"/>
      <c r="C445" s="924"/>
      <c r="D445" s="924"/>
      <c r="E445" s="925"/>
      <c r="F445" s="211"/>
      <c r="G445" s="211"/>
      <c r="H445" s="225"/>
      <c r="I445" s="225"/>
      <c r="J445" s="237"/>
      <c r="K445" s="237"/>
      <c r="L445" s="237"/>
      <c r="M445" s="204">
        <f t="shared" si="207"/>
        <v>0</v>
      </c>
      <c r="N445" s="235">
        <f t="shared" si="204"/>
        <v>0</v>
      </c>
      <c r="O445" s="204">
        <f t="shared" si="208"/>
        <v>0</v>
      </c>
      <c r="P445" s="205">
        <f t="shared" si="205"/>
        <v>0</v>
      </c>
      <c r="Q445" s="205">
        <f t="shared" si="206"/>
        <v>0</v>
      </c>
      <c r="R445" s="926"/>
      <c r="S445" s="927"/>
      <c r="T445" s="928"/>
    </row>
    <row r="446" spans="1:20" ht="15" hidden="1" customHeight="1" outlineLevel="1">
      <c r="A446" s="202" t="str">
        <f>TEXT($A$428,0) &amp; ".8"</f>
        <v>0.8</v>
      </c>
      <c r="B446" s="923"/>
      <c r="C446" s="924"/>
      <c r="D446" s="924"/>
      <c r="E446" s="925"/>
      <c r="F446" s="211"/>
      <c r="G446" s="211"/>
      <c r="H446" s="225"/>
      <c r="I446" s="225"/>
      <c r="J446" s="237"/>
      <c r="K446" s="237"/>
      <c r="L446" s="237"/>
      <c r="M446" s="204">
        <f t="shared" si="207"/>
        <v>0</v>
      </c>
      <c r="N446" s="235">
        <f t="shared" si="204"/>
        <v>0</v>
      </c>
      <c r="O446" s="204">
        <f t="shared" si="208"/>
        <v>0</v>
      </c>
      <c r="P446" s="205">
        <f t="shared" si="205"/>
        <v>0</v>
      </c>
      <c r="Q446" s="205">
        <f t="shared" si="206"/>
        <v>0</v>
      </c>
      <c r="R446" s="926"/>
      <c r="S446" s="927"/>
      <c r="T446" s="928"/>
    </row>
    <row r="447" spans="1:20" ht="15" hidden="1" customHeight="1" outlineLevel="1">
      <c r="A447" s="202" t="str">
        <f>TEXT($A$428,0) &amp; ".9"</f>
        <v>0.9</v>
      </c>
      <c r="B447" s="923"/>
      <c r="C447" s="924"/>
      <c r="D447" s="924"/>
      <c r="E447" s="925"/>
      <c r="F447" s="211"/>
      <c r="G447" s="211"/>
      <c r="H447" s="225"/>
      <c r="I447" s="225"/>
      <c r="J447" s="237"/>
      <c r="K447" s="237"/>
      <c r="L447" s="237"/>
      <c r="M447" s="204">
        <f t="shared" si="207"/>
        <v>0</v>
      </c>
      <c r="N447" s="235">
        <f t="shared" si="204"/>
        <v>0</v>
      </c>
      <c r="O447" s="204">
        <f t="shared" si="208"/>
        <v>0</v>
      </c>
      <c r="P447" s="205">
        <f t="shared" si="205"/>
        <v>0</v>
      </c>
      <c r="Q447" s="205">
        <f t="shared" si="206"/>
        <v>0</v>
      </c>
      <c r="R447" s="926"/>
      <c r="S447" s="927"/>
      <c r="T447" s="928"/>
    </row>
    <row r="448" spans="1:20" ht="15" hidden="1" customHeight="1" outlineLevel="1">
      <c r="A448" s="202" t="str">
        <f>TEXT($A$428,0) &amp; ".10"</f>
        <v>0.10</v>
      </c>
      <c r="B448" s="923"/>
      <c r="C448" s="924"/>
      <c r="D448" s="924"/>
      <c r="E448" s="925"/>
      <c r="F448" s="211"/>
      <c r="G448" s="211"/>
      <c r="H448" s="225"/>
      <c r="I448" s="225"/>
      <c r="J448" s="237"/>
      <c r="K448" s="237"/>
      <c r="L448" s="237"/>
      <c r="M448" s="204">
        <f t="shared" si="207"/>
        <v>0</v>
      </c>
      <c r="N448" s="235">
        <f>M448</f>
        <v>0</v>
      </c>
      <c r="O448" s="204">
        <f t="shared" si="208"/>
        <v>0</v>
      </c>
      <c r="P448" s="205">
        <f t="shared" si="205"/>
        <v>0</v>
      </c>
      <c r="Q448" s="205">
        <f t="shared" si="206"/>
        <v>0</v>
      </c>
      <c r="R448" s="926"/>
      <c r="S448" s="927"/>
      <c r="T448" s="928"/>
    </row>
    <row r="449" spans="1:20" ht="15" customHeight="1" collapsed="1">
      <c r="A449" s="267"/>
      <c r="B449" s="932"/>
      <c r="C449" s="933"/>
      <c r="D449" s="933"/>
      <c r="E449" s="934"/>
      <c r="F449" s="220"/>
      <c r="G449" s="220"/>
      <c r="H449" s="222"/>
      <c r="I449" s="222" t="str">
        <f>IF(COUNTIF(I450:I469,TMDPhaseTimeAndMaterial)&gt;0,TMDPhaseTimeAndMaterial,IF(COUNTIF(I450:I469,TMDPhaseChangeTimeAndMaterial)&gt;0,TMDPhaseChangeTimeAndMaterial,""))</f>
        <v/>
      </c>
      <c r="J449" s="234">
        <f t="shared" ref="J449:Q449" si="209">SUM(J450:J469)</f>
        <v>0</v>
      </c>
      <c r="K449" s="234">
        <f t="shared" si="209"/>
        <v>0</v>
      </c>
      <c r="L449" s="234">
        <f t="shared" si="209"/>
        <v>0</v>
      </c>
      <c r="M449" s="201">
        <f t="shared" si="209"/>
        <v>0</v>
      </c>
      <c r="N449" s="201">
        <f t="shared" si="209"/>
        <v>0</v>
      </c>
      <c r="O449" s="201">
        <f t="shared" si="209"/>
        <v>0</v>
      </c>
      <c r="P449" s="201">
        <f t="shared" si="209"/>
        <v>0</v>
      </c>
      <c r="Q449" s="201">
        <f t="shared" si="209"/>
        <v>0</v>
      </c>
      <c r="R449" s="936"/>
      <c r="S449" s="936"/>
      <c r="T449" s="936"/>
    </row>
    <row r="450" spans="1:20" ht="15" hidden="1" customHeight="1" outlineLevel="1">
      <c r="A450" s="202" t="str">
        <f>TEXT($A$449,0) &amp; ".1"</f>
        <v>0.1</v>
      </c>
      <c r="B450" s="923"/>
      <c r="C450" s="924"/>
      <c r="D450" s="924"/>
      <c r="E450" s="925"/>
      <c r="F450" s="211"/>
      <c r="G450" s="211"/>
      <c r="H450" s="225"/>
      <c r="I450" s="225"/>
      <c r="J450" s="237"/>
      <c r="K450" s="237"/>
      <c r="L450" s="237"/>
      <c r="M450" s="204">
        <f>(J450+K450*4+L450)/6</f>
        <v>0</v>
      </c>
      <c r="N450" s="235">
        <f t="shared" ref="N450:O458" si="210">M450</f>
        <v>0</v>
      </c>
      <c r="O450" s="204">
        <f t="shared" si="210"/>
        <v>0</v>
      </c>
      <c r="P450" s="205">
        <f t="shared" ref="P450:P459" si="211">IF(H450&lt;&gt;"",INDEX(MDActivityTypeInternalCostPerDay,MATCH(H450,MDActivityTypeID,0),1)*O450,0)</f>
        <v>0</v>
      </c>
      <c r="Q450" s="205">
        <f t="shared" ref="Q450:Q459" si="212">IF(H450&lt;&gt;"",INDEX(MDActivityTypeExternalPricePerDay,MATCH(H450,MDActivityTypeID,0),1)*O450,0)</f>
        <v>0</v>
      </c>
      <c r="R450" s="926"/>
      <c r="S450" s="927"/>
      <c r="T450" s="928"/>
    </row>
    <row r="451" spans="1:20" ht="15" hidden="1" customHeight="1" outlineLevel="1">
      <c r="A451" s="202" t="str">
        <f>TEXT($A$449,0) &amp; ".2"</f>
        <v>0.2</v>
      </c>
      <c r="B451" s="923"/>
      <c r="C451" s="924"/>
      <c r="D451" s="924"/>
      <c r="E451" s="925"/>
      <c r="F451" s="211"/>
      <c r="G451" s="211"/>
      <c r="H451" s="225"/>
      <c r="I451" s="225"/>
      <c r="J451" s="237"/>
      <c r="K451" s="237"/>
      <c r="L451" s="237"/>
      <c r="M451" s="204">
        <f t="shared" ref="M451:M459" si="213">(J451+K451*4+L451)/6</f>
        <v>0</v>
      </c>
      <c r="N451" s="235">
        <f t="shared" si="210"/>
        <v>0</v>
      </c>
      <c r="O451" s="204">
        <f t="shared" si="210"/>
        <v>0</v>
      </c>
      <c r="P451" s="205">
        <f t="shared" si="211"/>
        <v>0</v>
      </c>
      <c r="Q451" s="205">
        <f t="shared" si="212"/>
        <v>0</v>
      </c>
      <c r="R451" s="926"/>
      <c r="S451" s="927"/>
      <c r="T451" s="928"/>
    </row>
    <row r="452" spans="1:20" ht="15" hidden="1" customHeight="1" outlineLevel="1">
      <c r="A452" s="202" t="str">
        <f>TEXT($A$449,0) &amp; ".3"</f>
        <v>0.3</v>
      </c>
      <c r="B452" s="923"/>
      <c r="C452" s="924"/>
      <c r="D452" s="924"/>
      <c r="E452" s="925"/>
      <c r="F452" s="211"/>
      <c r="G452" s="211"/>
      <c r="H452" s="225"/>
      <c r="I452" s="225"/>
      <c r="J452" s="237"/>
      <c r="K452" s="237"/>
      <c r="L452" s="237"/>
      <c r="M452" s="204">
        <f t="shared" si="213"/>
        <v>0</v>
      </c>
      <c r="N452" s="235">
        <f t="shared" si="210"/>
        <v>0</v>
      </c>
      <c r="O452" s="204">
        <f t="shared" si="210"/>
        <v>0</v>
      </c>
      <c r="P452" s="205">
        <f t="shared" si="211"/>
        <v>0</v>
      </c>
      <c r="Q452" s="205">
        <f t="shared" si="212"/>
        <v>0</v>
      </c>
      <c r="R452" s="926"/>
      <c r="S452" s="927"/>
      <c r="T452" s="928"/>
    </row>
    <row r="453" spans="1:20" ht="15" hidden="1" customHeight="1" outlineLevel="1">
      <c r="A453" s="202" t="str">
        <f>TEXT($A$449,0) &amp; ".4"</f>
        <v>0.4</v>
      </c>
      <c r="B453" s="923"/>
      <c r="C453" s="924"/>
      <c r="D453" s="924"/>
      <c r="E453" s="925"/>
      <c r="F453" s="211"/>
      <c r="G453" s="211"/>
      <c r="H453" s="225"/>
      <c r="I453" s="225"/>
      <c r="J453" s="237"/>
      <c r="K453" s="237"/>
      <c r="L453" s="237"/>
      <c r="M453" s="204">
        <f t="shared" si="213"/>
        <v>0</v>
      </c>
      <c r="N453" s="235">
        <f t="shared" si="210"/>
        <v>0</v>
      </c>
      <c r="O453" s="204">
        <f t="shared" si="210"/>
        <v>0</v>
      </c>
      <c r="P453" s="205">
        <f t="shared" si="211"/>
        <v>0</v>
      </c>
      <c r="Q453" s="205">
        <f t="shared" si="212"/>
        <v>0</v>
      </c>
      <c r="R453" s="926"/>
      <c r="S453" s="927"/>
      <c r="T453" s="928"/>
    </row>
    <row r="454" spans="1:20" ht="15" hidden="1" customHeight="1" outlineLevel="1">
      <c r="A454" s="202" t="str">
        <f>TEXT($A$449,0) &amp; ".5"</f>
        <v>0.5</v>
      </c>
      <c r="B454" s="923"/>
      <c r="C454" s="924"/>
      <c r="D454" s="924"/>
      <c r="E454" s="925"/>
      <c r="F454" s="211"/>
      <c r="G454" s="211"/>
      <c r="H454" s="225"/>
      <c r="I454" s="225"/>
      <c r="J454" s="237"/>
      <c r="K454" s="237"/>
      <c r="L454" s="237"/>
      <c r="M454" s="204">
        <f t="shared" si="213"/>
        <v>0</v>
      </c>
      <c r="N454" s="235">
        <f t="shared" si="210"/>
        <v>0</v>
      </c>
      <c r="O454" s="204">
        <f t="shared" si="210"/>
        <v>0</v>
      </c>
      <c r="P454" s="205">
        <f t="shared" si="211"/>
        <v>0</v>
      </c>
      <c r="Q454" s="205">
        <f t="shared" si="212"/>
        <v>0</v>
      </c>
      <c r="R454" s="926"/>
      <c r="S454" s="927"/>
      <c r="T454" s="928"/>
    </row>
    <row r="455" spans="1:20" ht="15" hidden="1" customHeight="1" outlineLevel="1">
      <c r="A455" s="202" t="str">
        <f>TEXT($A$449,0) &amp; ".6"</f>
        <v>0.6</v>
      </c>
      <c r="B455" s="923"/>
      <c r="C455" s="924"/>
      <c r="D455" s="924"/>
      <c r="E455" s="925"/>
      <c r="F455" s="211"/>
      <c r="G455" s="211"/>
      <c r="H455" s="225"/>
      <c r="I455" s="225"/>
      <c r="J455" s="237"/>
      <c r="K455" s="237"/>
      <c r="L455" s="237"/>
      <c r="M455" s="204">
        <f t="shared" si="213"/>
        <v>0</v>
      </c>
      <c r="N455" s="235">
        <f t="shared" si="210"/>
        <v>0</v>
      </c>
      <c r="O455" s="204">
        <f t="shared" si="210"/>
        <v>0</v>
      </c>
      <c r="P455" s="205">
        <f t="shared" si="211"/>
        <v>0</v>
      </c>
      <c r="Q455" s="205">
        <f t="shared" si="212"/>
        <v>0</v>
      </c>
      <c r="R455" s="926"/>
      <c r="S455" s="927"/>
      <c r="T455" s="928"/>
    </row>
    <row r="456" spans="1:20" ht="15" hidden="1" customHeight="1" outlineLevel="1">
      <c r="A456" s="202" t="str">
        <f>TEXT($A$449,0) &amp; ".7"</f>
        <v>0.7</v>
      </c>
      <c r="B456" s="923"/>
      <c r="C456" s="924"/>
      <c r="D456" s="924"/>
      <c r="E456" s="925"/>
      <c r="F456" s="211"/>
      <c r="G456" s="211"/>
      <c r="H456" s="225"/>
      <c r="I456" s="225"/>
      <c r="J456" s="237"/>
      <c r="K456" s="237"/>
      <c r="L456" s="237"/>
      <c r="M456" s="204">
        <f t="shared" si="213"/>
        <v>0</v>
      </c>
      <c r="N456" s="235">
        <f t="shared" si="210"/>
        <v>0</v>
      </c>
      <c r="O456" s="204">
        <f t="shared" si="210"/>
        <v>0</v>
      </c>
      <c r="P456" s="205">
        <f t="shared" si="211"/>
        <v>0</v>
      </c>
      <c r="Q456" s="205">
        <f t="shared" si="212"/>
        <v>0</v>
      </c>
      <c r="R456" s="926"/>
      <c r="S456" s="927"/>
      <c r="T456" s="928"/>
    </row>
    <row r="457" spans="1:20" ht="15" hidden="1" customHeight="1" outlineLevel="1">
      <c r="A457" s="202" t="str">
        <f>TEXT($A$449,0) &amp; ".8"</f>
        <v>0.8</v>
      </c>
      <c r="B457" s="923"/>
      <c r="C457" s="924"/>
      <c r="D457" s="924"/>
      <c r="E457" s="925"/>
      <c r="F457" s="211"/>
      <c r="G457" s="211"/>
      <c r="H457" s="225"/>
      <c r="I457" s="225"/>
      <c r="J457" s="237"/>
      <c r="K457" s="237"/>
      <c r="L457" s="237"/>
      <c r="M457" s="204">
        <f t="shared" si="213"/>
        <v>0</v>
      </c>
      <c r="N457" s="235">
        <f t="shared" si="210"/>
        <v>0</v>
      </c>
      <c r="O457" s="204">
        <f t="shared" si="210"/>
        <v>0</v>
      </c>
      <c r="P457" s="205">
        <f t="shared" si="211"/>
        <v>0</v>
      </c>
      <c r="Q457" s="205">
        <f t="shared" si="212"/>
        <v>0</v>
      </c>
      <c r="R457" s="926"/>
      <c r="S457" s="927"/>
      <c r="T457" s="928"/>
    </row>
    <row r="458" spans="1:20" ht="15" hidden="1" customHeight="1" outlineLevel="1">
      <c r="A458" s="202" t="str">
        <f>TEXT($A$449,0) &amp; ".9"</f>
        <v>0.9</v>
      </c>
      <c r="B458" s="923"/>
      <c r="C458" s="924"/>
      <c r="D458" s="924"/>
      <c r="E458" s="925"/>
      <c r="F458" s="211"/>
      <c r="G458" s="211"/>
      <c r="H458" s="225"/>
      <c r="I458" s="225"/>
      <c r="J458" s="237"/>
      <c r="K458" s="237"/>
      <c r="L458" s="237"/>
      <c r="M458" s="204">
        <f t="shared" si="213"/>
        <v>0</v>
      </c>
      <c r="N458" s="235">
        <f t="shared" si="210"/>
        <v>0</v>
      </c>
      <c r="O458" s="204">
        <f t="shared" si="210"/>
        <v>0</v>
      </c>
      <c r="P458" s="205">
        <f t="shared" si="211"/>
        <v>0</v>
      </c>
      <c r="Q458" s="205">
        <f t="shared" si="212"/>
        <v>0</v>
      </c>
      <c r="R458" s="926"/>
      <c r="S458" s="927"/>
      <c r="T458" s="928"/>
    </row>
    <row r="459" spans="1:20" ht="15" hidden="1" customHeight="1" outlineLevel="1">
      <c r="A459" s="202" t="str">
        <f>TEXT($A$449,0) &amp; ".10"</f>
        <v>0.10</v>
      </c>
      <c r="B459" s="923"/>
      <c r="C459" s="924"/>
      <c r="D459" s="924"/>
      <c r="E459" s="925"/>
      <c r="F459" s="211"/>
      <c r="G459" s="211"/>
      <c r="H459" s="225"/>
      <c r="I459" s="225"/>
      <c r="J459" s="237"/>
      <c r="K459" s="237"/>
      <c r="L459" s="237"/>
      <c r="M459" s="204">
        <f t="shared" si="213"/>
        <v>0</v>
      </c>
      <c r="N459" s="235">
        <f t="shared" ref="N459:O468" si="214">M459</f>
        <v>0</v>
      </c>
      <c r="O459" s="204">
        <f t="shared" si="214"/>
        <v>0</v>
      </c>
      <c r="P459" s="205">
        <f t="shared" si="211"/>
        <v>0</v>
      </c>
      <c r="Q459" s="205">
        <f t="shared" si="212"/>
        <v>0</v>
      </c>
      <c r="R459" s="926"/>
      <c r="S459" s="927"/>
      <c r="T459" s="928"/>
    </row>
    <row r="460" spans="1:20" ht="15" hidden="1" customHeight="1" outlineLevel="1">
      <c r="A460" s="202" t="str">
        <f>TEXT($A$449,0) &amp; ".1"</f>
        <v>0.1</v>
      </c>
      <c r="B460" s="923"/>
      <c r="C460" s="924"/>
      <c r="D460" s="924"/>
      <c r="E460" s="925"/>
      <c r="F460" s="211"/>
      <c r="G460" s="211"/>
      <c r="H460" s="225"/>
      <c r="I460" s="225"/>
      <c r="J460" s="237"/>
      <c r="K460" s="237"/>
      <c r="L460" s="237"/>
      <c r="M460" s="204">
        <f>(J460+K460*4+L460)/6</f>
        <v>0</v>
      </c>
      <c r="N460" s="235">
        <f t="shared" si="214"/>
        <v>0</v>
      </c>
      <c r="O460" s="204">
        <f>N460</f>
        <v>0</v>
      </c>
      <c r="P460" s="205">
        <f t="shared" ref="P460:P469" si="215">IF(H460&lt;&gt;"",INDEX(MDActivityTypeInternalCostPerDay,MATCH(H460,MDActivityTypeID,0),1)*O460,0)</f>
        <v>0</v>
      </c>
      <c r="Q460" s="205">
        <f t="shared" ref="Q460:Q469" si="216">IF(H460&lt;&gt;"",INDEX(MDActivityTypeExternalPricePerDay,MATCH(H460,MDActivityTypeID,0),1)*O460,0)</f>
        <v>0</v>
      </c>
      <c r="R460" s="926"/>
      <c r="S460" s="927"/>
      <c r="T460" s="928"/>
    </row>
    <row r="461" spans="1:20" ht="15" hidden="1" customHeight="1" outlineLevel="1">
      <c r="A461" s="202" t="str">
        <f>TEXT($A$449,0) &amp; ".2"</f>
        <v>0.2</v>
      </c>
      <c r="B461" s="923"/>
      <c r="C461" s="924"/>
      <c r="D461" s="924"/>
      <c r="E461" s="925"/>
      <c r="F461" s="211"/>
      <c r="G461" s="211"/>
      <c r="H461" s="225"/>
      <c r="I461" s="225"/>
      <c r="J461" s="237"/>
      <c r="K461" s="237"/>
      <c r="L461" s="237"/>
      <c r="M461" s="204">
        <f t="shared" ref="M461:M469" si="217">(J461+K461*4+L461)/6</f>
        <v>0</v>
      </c>
      <c r="N461" s="235">
        <f t="shared" si="214"/>
        <v>0</v>
      </c>
      <c r="O461" s="204">
        <f t="shared" ref="O461:O469" si="218">N461</f>
        <v>0</v>
      </c>
      <c r="P461" s="205">
        <f t="shared" si="215"/>
        <v>0</v>
      </c>
      <c r="Q461" s="205">
        <f t="shared" si="216"/>
        <v>0</v>
      </c>
      <c r="R461" s="926"/>
      <c r="S461" s="927"/>
      <c r="T461" s="928"/>
    </row>
    <row r="462" spans="1:20" ht="15" hidden="1" customHeight="1" outlineLevel="1">
      <c r="A462" s="202" t="str">
        <f>TEXT($A$449,0) &amp; ".3"</f>
        <v>0.3</v>
      </c>
      <c r="B462" s="923"/>
      <c r="C462" s="924"/>
      <c r="D462" s="924"/>
      <c r="E462" s="925"/>
      <c r="F462" s="211"/>
      <c r="G462" s="211"/>
      <c r="H462" s="225"/>
      <c r="I462" s="225"/>
      <c r="J462" s="237"/>
      <c r="K462" s="237"/>
      <c r="L462" s="237"/>
      <c r="M462" s="204">
        <f t="shared" si="217"/>
        <v>0</v>
      </c>
      <c r="N462" s="235">
        <f t="shared" si="214"/>
        <v>0</v>
      </c>
      <c r="O462" s="204">
        <f t="shared" si="218"/>
        <v>0</v>
      </c>
      <c r="P462" s="205">
        <f t="shared" si="215"/>
        <v>0</v>
      </c>
      <c r="Q462" s="205">
        <f t="shared" si="216"/>
        <v>0</v>
      </c>
      <c r="R462" s="926"/>
      <c r="S462" s="927"/>
      <c r="T462" s="928"/>
    </row>
    <row r="463" spans="1:20" ht="15" hidden="1" customHeight="1" outlineLevel="1">
      <c r="A463" s="202" t="str">
        <f>TEXT($A$449,0) &amp; ".4"</f>
        <v>0.4</v>
      </c>
      <c r="B463" s="923"/>
      <c r="C463" s="924"/>
      <c r="D463" s="924"/>
      <c r="E463" s="925"/>
      <c r="F463" s="211"/>
      <c r="G463" s="211"/>
      <c r="H463" s="225"/>
      <c r="I463" s="225"/>
      <c r="J463" s="237"/>
      <c r="K463" s="237"/>
      <c r="L463" s="237"/>
      <c r="M463" s="204">
        <f t="shared" si="217"/>
        <v>0</v>
      </c>
      <c r="N463" s="235">
        <f t="shared" si="214"/>
        <v>0</v>
      </c>
      <c r="O463" s="204">
        <f t="shared" si="218"/>
        <v>0</v>
      </c>
      <c r="P463" s="205">
        <f t="shared" si="215"/>
        <v>0</v>
      </c>
      <c r="Q463" s="205">
        <f t="shared" si="216"/>
        <v>0</v>
      </c>
      <c r="R463" s="926"/>
      <c r="S463" s="927"/>
      <c r="T463" s="928"/>
    </row>
    <row r="464" spans="1:20" ht="15" hidden="1" customHeight="1" outlineLevel="1">
      <c r="A464" s="202" t="str">
        <f>TEXT($A$449,0) &amp; ".5"</f>
        <v>0.5</v>
      </c>
      <c r="B464" s="923"/>
      <c r="C464" s="924"/>
      <c r="D464" s="924"/>
      <c r="E464" s="925"/>
      <c r="F464" s="211"/>
      <c r="G464" s="211"/>
      <c r="H464" s="225"/>
      <c r="I464" s="225"/>
      <c r="J464" s="237"/>
      <c r="K464" s="237"/>
      <c r="L464" s="237"/>
      <c r="M464" s="204">
        <f t="shared" si="217"/>
        <v>0</v>
      </c>
      <c r="N464" s="235">
        <f t="shared" si="214"/>
        <v>0</v>
      </c>
      <c r="O464" s="204">
        <f t="shared" si="218"/>
        <v>0</v>
      </c>
      <c r="P464" s="205">
        <f t="shared" si="215"/>
        <v>0</v>
      </c>
      <c r="Q464" s="205">
        <f t="shared" si="216"/>
        <v>0</v>
      </c>
      <c r="R464" s="926"/>
      <c r="S464" s="927"/>
      <c r="T464" s="928"/>
    </row>
    <row r="465" spans="1:20" ht="15" hidden="1" customHeight="1" outlineLevel="1">
      <c r="A465" s="202" t="str">
        <f>TEXT($A$449,0) &amp; ".6"</f>
        <v>0.6</v>
      </c>
      <c r="B465" s="923"/>
      <c r="C465" s="924"/>
      <c r="D465" s="924"/>
      <c r="E465" s="925"/>
      <c r="F465" s="211"/>
      <c r="G465" s="211"/>
      <c r="H465" s="225"/>
      <c r="I465" s="225"/>
      <c r="J465" s="237"/>
      <c r="K465" s="237"/>
      <c r="L465" s="237"/>
      <c r="M465" s="204">
        <f t="shared" si="217"/>
        <v>0</v>
      </c>
      <c r="N465" s="235">
        <f t="shared" si="214"/>
        <v>0</v>
      </c>
      <c r="O465" s="204">
        <f t="shared" si="218"/>
        <v>0</v>
      </c>
      <c r="P465" s="205">
        <f t="shared" si="215"/>
        <v>0</v>
      </c>
      <c r="Q465" s="205">
        <f t="shared" si="216"/>
        <v>0</v>
      </c>
      <c r="R465" s="926"/>
      <c r="S465" s="927"/>
      <c r="T465" s="928"/>
    </row>
    <row r="466" spans="1:20" ht="15" hidden="1" customHeight="1" outlineLevel="1">
      <c r="A466" s="202" t="str">
        <f>TEXT($A$449,0) &amp; ".7"</f>
        <v>0.7</v>
      </c>
      <c r="B466" s="923"/>
      <c r="C466" s="924"/>
      <c r="D466" s="924"/>
      <c r="E466" s="925"/>
      <c r="F466" s="211"/>
      <c r="G466" s="211"/>
      <c r="H466" s="225"/>
      <c r="I466" s="225"/>
      <c r="J466" s="237"/>
      <c r="K466" s="237"/>
      <c r="L466" s="237"/>
      <c r="M466" s="204">
        <f t="shared" si="217"/>
        <v>0</v>
      </c>
      <c r="N466" s="235">
        <f t="shared" si="214"/>
        <v>0</v>
      </c>
      <c r="O466" s="204">
        <f t="shared" si="218"/>
        <v>0</v>
      </c>
      <c r="P466" s="205">
        <f t="shared" si="215"/>
        <v>0</v>
      </c>
      <c r="Q466" s="205">
        <f t="shared" si="216"/>
        <v>0</v>
      </c>
      <c r="R466" s="926"/>
      <c r="S466" s="927"/>
      <c r="T466" s="928"/>
    </row>
    <row r="467" spans="1:20" ht="15" hidden="1" customHeight="1" outlineLevel="1">
      <c r="A467" s="202" t="str">
        <f>TEXT($A$449,0) &amp; ".8"</f>
        <v>0.8</v>
      </c>
      <c r="B467" s="923"/>
      <c r="C467" s="924"/>
      <c r="D467" s="924"/>
      <c r="E467" s="925"/>
      <c r="F467" s="211"/>
      <c r="G467" s="211"/>
      <c r="H467" s="225"/>
      <c r="I467" s="225"/>
      <c r="J467" s="237"/>
      <c r="K467" s="237"/>
      <c r="L467" s="237"/>
      <c r="M467" s="204">
        <f t="shared" si="217"/>
        <v>0</v>
      </c>
      <c r="N467" s="235">
        <f t="shared" si="214"/>
        <v>0</v>
      </c>
      <c r="O467" s="204">
        <f t="shared" si="218"/>
        <v>0</v>
      </c>
      <c r="P467" s="205">
        <f t="shared" si="215"/>
        <v>0</v>
      </c>
      <c r="Q467" s="205">
        <f t="shared" si="216"/>
        <v>0</v>
      </c>
      <c r="R467" s="926"/>
      <c r="S467" s="927"/>
      <c r="T467" s="928"/>
    </row>
    <row r="468" spans="1:20" ht="15" hidden="1" customHeight="1" outlineLevel="1">
      <c r="A468" s="202" t="str">
        <f>TEXT($A$449,0) &amp; ".9"</f>
        <v>0.9</v>
      </c>
      <c r="B468" s="923"/>
      <c r="C468" s="924"/>
      <c r="D468" s="924"/>
      <c r="E468" s="925"/>
      <c r="F468" s="211"/>
      <c r="G468" s="211"/>
      <c r="H468" s="225"/>
      <c r="I468" s="225"/>
      <c r="J468" s="237"/>
      <c r="K468" s="237"/>
      <c r="L468" s="237"/>
      <c r="M468" s="204">
        <f t="shared" si="217"/>
        <v>0</v>
      </c>
      <c r="N468" s="235">
        <f t="shared" si="214"/>
        <v>0</v>
      </c>
      <c r="O468" s="204">
        <f t="shared" si="218"/>
        <v>0</v>
      </c>
      <c r="P468" s="205">
        <f t="shared" si="215"/>
        <v>0</v>
      </c>
      <c r="Q468" s="205">
        <f t="shared" si="216"/>
        <v>0</v>
      </c>
      <c r="R468" s="926"/>
      <c r="S468" s="927"/>
      <c r="T468" s="928"/>
    </row>
    <row r="469" spans="1:20" ht="15" hidden="1" customHeight="1" outlineLevel="1">
      <c r="A469" s="202" t="str">
        <f>TEXT($A$449,0) &amp; ".10"</f>
        <v>0.10</v>
      </c>
      <c r="B469" s="923"/>
      <c r="C469" s="924"/>
      <c r="D469" s="924"/>
      <c r="E469" s="925"/>
      <c r="F469" s="211"/>
      <c r="G469" s="211"/>
      <c r="H469" s="225"/>
      <c r="I469" s="225"/>
      <c r="J469" s="237"/>
      <c r="K469" s="237"/>
      <c r="L469" s="237"/>
      <c r="M469" s="204">
        <f t="shared" si="217"/>
        <v>0</v>
      </c>
      <c r="N469" s="235">
        <f>M469</f>
        <v>0</v>
      </c>
      <c r="O469" s="204">
        <f t="shared" si="218"/>
        <v>0</v>
      </c>
      <c r="P469" s="205">
        <f t="shared" si="215"/>
        <v>0</v>
      </c>
      <c r="Q469" s="205">
        <f t="shared" si="216"/>
        <v>0</v>
      </c>
      <c r="R469" s="926"/>
      <c r="S469" s="927"/>
      <c r="T469" s="928"/>
    </row>
    <row r="470" spans="1:20" ht="15" customHeight="1" collapsed="1">
      <c r="A470" s="267"/>
      <c r="B470" s="932"/>
      <c r="C470" s="933"/>
      <c r="D470" s="933"/>
      <c r="E470" s="934"/>
      <c r="F470" s="220"/>
      <c r="G470" s="220"/>
      <c r="H470" s="222"/>
      <c r="I470" s="222" t="str">
        <f>IF(COUNTIF(I471:I490,TMDPhaseTimeAndMaterial)&gt;0,TMDPhaseTimeAndMaterial,IF(COUNTIF(I471:I490,TMDPhaseChangeTimeAndMaterial)&gt;0,TMDPhaseChangeTimeAndMaterial,""))</f>
        <v/>
      </c>
      <c r="J470" s="234">
        <f t="shared" ref="J470:Q470" si="219">SUM(J471:J490)</f>
        <v>0</v>
      </c>
      <c r="K470" s="234">
        <f t="shared" si="219"/>
        <v>0</v>
      </c>
      <c r="L470" s="234">
        <f t="shared" si="219"/>
        <v>0</v>
      </c>
      <c r="M470" s="201">
        <f t="shared" si="219"/>
        <v>0</v>
      </c>
      <c r="N470" s="201">
        <f t="shared" si="219"/>
        <v>0</v>
      </c>
      <c r="O470" s="201">
        <f t="shared" si="219"/>
        <v>0</v>
      </c>
      <c r="P470" s="201">
        <f t="shared" si="219"/>
        <v>0</v>
      </c>
      <c r="Q470" s="201">
        <f t="shared" si="219"/>
        <v>0</v>
      </c>
      <c r="R470" s="935"/>
      <c r="S470" s="935"/>
      <c r="T470" s="935"/>
    </row>
    <row r="471" spans="1:20" ht="15" hidden="1" customHeight="1" outlineLevel="1">
      <c r="A471" s="202" t="str">
        <f>TEXT($A$470,0) &amp; ".1"</f>
        <v>0.1</v>
      </c>
      <c r="B471" s="923"/>
      <c r="C471" s="924"/>
      <c r="D471" s="924"/>
      <c r="E471" s="925"/>
      <c r="F471" s="211"/>
      <c r="G471" s="211"/>
      <c r="H471" s="225"/>
      <c r="I471" s="225"/>
      <c r="J471" s="237"/>
      <c r="K471" s="237"/>
      <c r="L471" s="237"/>
      <c r="M471" s="204">
        <f>(J471+K471*4+L471)/6</f>
        <v>0</v>
      </c>
      <c r="N471" s="235">
        <f t="shared" ref="N471:O479" si="220">M471</f>
        <v>0</v>
      </c>
      <c r="O471" s="204">
        <f t="shared" si="220"/>
        <v>0</v>
      </c>
      <c r="P471" s="205">
        <f t="shared" ref="P471:P480" si="221">IF(H471&lt;&gt;"",INDEX(MDActivityTypeInternalCostPerDay,MATCH(H471,MDActivityTypeID,0),1)*O471,0)</f>
        <v>0</v>
      </c>
      <c r="Q471" s="205">
        <f t="shared" ref="Q471:Q480" si="222">IF(H471&lt;&gt;"",INDEX(MDActivityTypeExternalPricePerDay,MATCH(H471,MDActivityTypeID,0),1)*O471,0)</f>
        <v>0</v>
      </c>
      <c r="R471" s="926"/>
      <c r="S471" s="927"/>
      <c r="T471" s="928"/>
    </row>
    <row r="472" spans="1:20" ht="15" hidden="1" customHeight="1" outlineLevel="1">
      <c r="A472" s="202" t="str">
        <f>TEXT($A$470,0) &amp; ".2"</f>
        <v>0.2</v>
      </c>
      <c r="B472" s="923"/>
      <c r="C472" s="924"/>
      <c r="D472" s="924"/>
      <c r="E472" s="925"/>
      <c r="F472" s="211"/>
      <c r="G472" s="211"/>
      <c r="H472" s="225"/>
      <c r="I472" s="225"/>
      <c r="J472" s="237"/>
      <c r="K472" s="237"/>
      <c r="L472" s="237"/>
      <c r="M472" s="204">
        <f t="shared" ref="M472:M480" si="223">(J472+K472*4+L472)/6</f>
        <v>0</v>
      </c>
      <c r="N472" s="235">
        <f t="shared" si="220"/>
        <v>0</v>
      </c>
      <c r="O472" s="204">
        <f t="shared" si="220"/>
        <v>0</v>
      </c>
      <c r="P472" s="205">
        <f t="shared" si="221"/>
        <v>0</v>
      </c>
      <c r="Q472" s="205">
        <f t="shared" si="222"/>
        <v>0</v>
      </c>
      <c r="R472" s="926"/>
      <c r="S472" s="927"/>
      <c r="T472" s="928"/>
    </row>
    <row r="473" spans="1:20" ht="15" hidden="1" customHeight="1" outlineLevel="1">
      <c r="A473" s="202" t="str">
        <f>TEXT($A$470,0) &amp; ".3"</f>
        <v>0.3</v>
      </c>
      <c r="B473" s="923"/>
      <c r="C473" s="924"/>
      <c r="D473" s="924"/>
      <c r="E473" s="925"/>
      <c r="F473" s="211"/>
      <c r="G473" s="211"/>
      <c r="H473" s="225"/>
      <c r="I473" s="225"/>
      <c r="J473" s="237"/>
      <c r="K473" s="237"/>
      <c r="L473" s="237"/>
      <c r="M473" s="204">
        <f t="shared" si="223"/>
        <v>0</v>
      </c>
      <c r="N473" s="235">
        <f t="shared" si="220"/>
        <v>0</v>
      </c>
      <c r="O473" s="204">
        <f t="shared" si="220"/>
        <v>0</v>
      </c>
      <c r="P473" s="205">
        <f t="shared" si="221"/>
        <v>0</v>
      </c>
      <c r="Q473" s="205">
        <f t="shared" si="222"/>
        <v>0</v>
      </c>
      <c r="R473" s="926"/>
      <c r="S473" s="927"/>
      <c r="T473" s="928"/>
    </row>
    <row r="474" spans="1:20" ht="15" hidden="1" customHeight="1" outlineLevel="1">
      <c r="A474" s="202" t="str">
        <f>TEXT($A$470,0) &amp; ".4"</f>
        <v>0.4</v>
      </c>
      <c r="B474" s="923"/>
      <c r="C474" s="924"/>
      <c r="D474" s="924"/>
      <c r="E474" s="925"/>
      <c r="F474" s="211"/>
      <c r="G474" s="211"/>
      <c r="H474" s="225"/>
      <c r="I474" s="225"/>
      <c r="J474" s="237"/>
      <c r="K474" s="237"/>
      <c r="L474" s="237"/>
      <c r="M474" s="204">
        <f t="shared" si="223"/>
        <v>0</v>
      </c>
      <c r="N474" s="235">
        <f t="shared" si="220"/>
        <v>0</v>
      </c>
      <c r="O474" s="204">
        <f t="shared" si="220"/>
        <v>0</v>
      </c>
      <c r="P474" s="205">
        <f t="shared" si="221"/>
        <v>0</v>
      </c>
      <c r="Q474" s="205">
        <f t="shared" si="222"/>
        <v>0</v>
      </c>
      <c r="R474" s="926"/>
      <c r="S474" s="927"/>
      <c r="T474" s="928"/>
    </row>
    <row r="475" spans="1:20" ht="15" hidden="1" customHeight="1" outlineLevel="1">
      <c r="A475" s="202" t="str">
        <f>TEXT($A$470,0) &amp; ".5"</f>
        <v>0.5</v>
      </c>
      <c r="B475" s="923"/>
      <c r="C475" s="924"/>
      <c r="D475" s="924"/>
      <c r="E475" s="925"/>
      <c r="F475" s="211"/>
      <c r="G475" s="211"/>
      <c r="H475" s="225"/>
      <c r="I475" s="225"/>
      <c r="J475" s="237"/>
      <c r="K475" s="237"/>
      <c r="L475" s="237"/>
      <c r="M475" s="204">
        <f t="shared" si="223"/>
        <v>0</v>
      </c>
      <c r="N475" s="235">
        <f t="shared" si="220"/>
        <v>0</v>
      </c>
      <c r="O475" s="204">
        <f t="shared" si="220"/>
        <v>0</v>
      </c>
      <c r="P475" s="205">
        <f t="shared" si="221"/>
        <v>0</v>
      </c>
      <c r="Q475" s="205">
        <f t="shared" si="222"/>
        <v>0</v>
      </c>
      <c r="R475" s="926"/>
      <c r="S475" s="927"/>
      <c r="T475" s="928"/>
    </row>
    <row r="476" spans="1:20" ht="15" hidden="1" customHeight="1" outlineLevel="1">
      <c r="A476" s="202" t="str">
        <f>TEXT($A$470,0) &amp; ".6"</f>
        <v>0.6</v>
      </c>
      <c r="B476" s="923"/>
      <c r="C476" s="924"/>
      <c r="D476" s="924"/>
      <c r="E476" s="925"/>
      <c r="F476" s="211"/>
      <c r="G476" s="211"/>
      <c r="H476" s="225"/>
      <c r="I476" s="225"/>
      <c r="J476" s="237"/>
      <c r="K476" s="237"/>
      <c r="L476" s="237"/>
      <c r="M476" s="204">
        <f t="shared" si="223"/>
        <v>0</v>
      </c>
      <c r="N476" s="235">
        <f t="shared" si="220"/>
        <v>0</v>
      </c>
      <c r="O476" s="204">
        <f t="shared" si="220"/>
        <v>0</v>
      </c>
      <c r="P476" s="205">
        <f t="shared" si="221"/>
        <v>0</v>
      </c>
      <c r="Q476" s="205">
        <f t="shared" si="222"/>
        <v>0</v>
      </c>
      <c r="R476" s="926"/>
      <c r="S476" s="927"/>
      <c r="T476" s="928"/>
    </row>
    <row r="477" spans="1:20" ht="15" hidden="1" customHeight="1" outlineLevel="1">
      <c r="A477" s="202" t="str">
        <f>TEXT($A$470,0) &amp; ".7"</f>
        <v>0.7</v>
      </c>
      <c r="B477" s="923"/>
      <c r="C477" s="924"/>
      <c r="D477" s="924"/>
      <c r="E477" s="925"/>
      <c r="F477" s="211"/>
      <c r="G477" s="211"/>
      <c r="H477" s="225"/>
      <c r="I477" s="225"/>
      <c r="J477" s="237"/>
      <c r="K477" s="237"/>
      <c r="L477" s="237"/>
      <c r="M477" s="204">
        <f t="shared" si="223"/>
        <v>0</v>
      </c>
      <c r="N477" s="235">
        <f t="shared" si="220"/>
        <v>0</v>
      </c>
      <c r="O477" s="204">
        <f t="shared" si="220"/>
        <v>0</v>
      </c>
      <c r="P477" s="205">
        <f t="shared" si="221"/>
        <v>0</v>
      </c>
      <c r="Q477" s="205">
        <f t="shared" si="222"/>
        <v>0</v>
      </c>
      <c r="R477" s="926"/>
      <c r="S477" s="927"/>
      <c r="T477" s="928"/>
    </row>
    <row r="478" spans="1:20" ht="15" hidden="1" customHeight="1" outlineLevel="1">
      <c r="A478" s="202" t="str">
        <f>TEXT($A$470,0) &amp; ".8"</f>
        <v>0.8</v>
      </c>
      <c r="B478" s="923"/>
      <c r="C478" s="924"/>
      <c r="D478" s="924"/>
      <c r="E478" s="925"/>
      <c r="F478" s="211"/>
      <c r="G478" s="211"/>
      <c r="H478" s="225"/>
      <c r="I478" s="225"/>
      <c r="J478" s="237"/>
      <c r="K478" s="237"/>
      <c r="L478" s="237"/>
      <c r="M478" s="204">
        <f t="shared" si="223"/>
        <v>0</v>
      </c>
      <c r="N478" s="235">
        <f t="shared" si="220"/>
        <v>0</v>
      </c>
      <c r="O478" s="204">
        <f t="shared" si="220"/>
        <v>0</v>
      </c>
      <c r="P478" s="205">
        <f t="shared" si="221"/>
        <v>0</v>
      </c>
      <c r="Q478" s="205">
        <f t="shared" si="222"/>
        <v>0</v>
      </c>
      <c r="R478" s="926"/>
      <c r="S478" s="927"/>
      <c r="T478" s="928"/>
    </row>
    <row r="479" spans="1:20" ht="15" hidden="1" customHeight="1" outlineLevel="1">
      <c r="A479" s="202" t="str">
        <f>TEXT($A$470,0) &amp; ".9"</f>
        <v>0.9</v>
      </c>
      <c r="B479" s="923"/>
      <c r="C479" s="924"/>
      <c r="D479" s="924"/>
      <c r="E479" s="925"/>
      <c r="F479" s="211"/>
      <c r="G479" s="211"/>
      <c r="H479" s="225"/>
      <c r="I479" s="225"/>
      <c r="J479" s="237"/>
      <c r="K479" s="237"/>
      <c r="L479" s="237"/>
      <c r="M479" s="204">
        <f t="shared" si="223"/>
        <v>0</v>
      </c>
      <c r="N479" s="235">
        <f t="shared" si="220"/>
        <v>0</v>
      </c>
      <c r="O479" s="204">
        <f t="shared" si="220"/>
        <v>0</v>
      </c>
      <c r="P479" s="205">
        <f t="shared" si="221"/>
        <v>0</v>
      </c>
      <c r="Q479" s="205">
        <f t="shared" si="222"/>
        <v>0</v>
      </c>
      <c r="R479" s="926"/>
      <c r="S479" s="927"/>
      <c r="T479" s="928"/>
    </row>
    <row r="480" spans="1:20" ht="15" hidden="1" customHeight="1" outlineLevel="1">
      <c r="A480" s="202" t="str">
        <f>TEXT($A$470,0) &amp; ".10"</f>
        <v>0.10</v>
      </c>
      <c r="B480" s="923"/>
      <c r="C480" s="924"/>
      <c r="D480" s="924"/>
      <c r="E480" s="925"/>
      <c r="F480" s="211"/>
      <c r="G480" s="211"/>
      <c r="H480" s="225"/>
      <c r="I480" s="225"/>
      <c r="J480" s="237"/>
      <c r="K480" s="237"/>
      <c r="L480" s="237"/>
      <c r="M480" s="204">
        <f t="shared" si="223"/>
        <v>0</v>
      </c>
      <c r="N480" s="235">
        <f t="shared" ref="N480:O489" si="224">M480</f>
        <v>0</v>
      </c>
      <c r="O480" s="204">
        <f t="shared" si="224"/>
        <v>0</v>
      </c>
      <c r="P480" s="205">
        <f t="shared" si="221"/>
        <v>0</v>
      </c>
      <c r="Q480" s="205">
        <f t="shared" si="222"/>
        <v>0</v>
      </c>
      <c r="R480" s="926"/>
      <c r="S480" s="927"/>
      <c r="T480" s="928"/>
    </row>
    <row r="481" spans="1:20" ht="15" hidden="1" customHeight="1" outlineLevel="1">
      <c r="A481" s="202" t="str">
        <f>TEXT($A$470,0) &amp; ".1"</f>
        <v>0.1</v>
      </c>
      <c r="B481" s="923"/>
      <c r="C481" s="924"/>
      <c r="D481" s="924"/>
      <c r="E481" s="925"/>
      <c r="F481" s="211"/>
      <c r="G481" s="211"/>
      <c r="H481" s="225"/>
      <c r="I481" s="225"/>
      <c r="J481" s="237"/>
      <c r="K481" s="237"/>
      <c r="L481" s="237"/>
      <c r="M481" s="204">
        <f>(J481+K481*4+L481)/6</f>
        <v>0</v>
      </c>
      <c r="N481" s="235">
        <f t="shared" si="224"/>
        <v>0</v>
      </c>
      <c r="O481" s="204">
        <f>N481</f>
        <v>0</v>
      </c>
      <c r="P481" s="205">
        <f t="shared" ref="P481:P490" si="225">IF(H481&lt;&gt;"",INDEX(MDActivityTypeInternalCostPerDay,MATCH(H481,MDActivityTypeID,0),1)*O481,0)</f>
        <v>0</v>
      </c>
      <c r="Q481" s="205">
        <f t="shared" ref="Q481:Q490" si="226">IF(H481&lt;&gt;"",INDEX(MDActivityTypeExternalPricePerDay,MATCH(H481,MDActivityTypeID,0),1)*O481,0)</f>
        <v>0</v>
      </c>
      <c r="R481" s="926"/>
      <c r="S481" s="927"/>
      <c r="T481" s="928"/>
    </row>
    <row r="482" spans="1:20" ht="15" hidden="1" customHeight="1" outlineLevel="1">
      <c r="A482" s="202" t="str">
        <f>TEXT($A$470,0) &amp; ".2"</f>
        <v>0.2</v>
      </c>
      <c r="B482" s="923"/>
      <c r="C482" s="924"/>
      <c r="D482" s="924"/>
      <c r="E482" s="925"/>
      <c r="F482" s="211"/>
      <c r="G482" s="211"/>
      <c r="H482" s="225"/>
      <c r="I482" s="225"/>
      <c r="J482" s="237"/>
      <c r="K482" s="237"/>
      <c r="L482" s="237"/>
      <c r="M482" s="204">
        <f t="shared" ref="M482:M490" si="227">(J482+K482*4+L482)/6</f>
        <v>0</v>
      </c>
      <c r="N482" s="235">
        <f t="shared" si="224"/>
        <v>0</v>
      </c>
      <c r="O482" s="204">
        <f t="shared" ref="O482:O490" si="228">N482</f>
        <v>0</v>
      </c>
      <c r="P482" s="205">
        <f t="shared" si="225"/>
        <v>0</v>
      </c>
      <c r="Q482" s="205">
        <f t="shared" si="226"/>
        <v>0</v>
      </c>
      <c r="R482" s="926"/>
      <c r="S482" s="927"/>
      <c r="T482" s="928"/>
    </row>
    <row r="483" spans="1:20" ht="15" hidden="1" customHeight="1" outlineLevel="1">
      <c r="A483" s="202" t="str">
        <f>TEXT($A$470,0) &amp; ".3"</f>
        <v>0.3</v>
      </c>
      <c r="B483" s="923"/>
      <c r="C483" s="924"/>
      <c r="D483" s="924"/>
      <c r="E483" s="925"/>
      <c r="F483" s="211"/>
      <c r="G483" s="211"/>
      <c r="H483" s="225"/>
      <c r="I483" s="225"/>
      <c r="J483" s="237"/>
      <c r="K483" s="237"/>
      <c r="L483" s="237"/>
      <c r="M483" s="204">
        <f t="shared" si="227"/>
        <v>0</v>
      </c>
      <c r="N483" s="235">
        <f t="shared" si="224"/>
        <v>0</v>
      </c>
      <c r="O483" s="204">
        <f t="shared" si="228"/>
        <v>0</v>
      </c>
      <c r="P483" s="205">
        <f t="shared" si="225"/>
        <v>0</v>
      </c>
      <c r="Q483" s="205">
        <f t="shared" si="226"/>
        <v>0</v>
      </c>
      <c r="R483" s="926"/>
      <c r="S483" s="927"/>
      <c r="T483" s="928"/>
    </row>
    <row r="484" spans="1:20" ht="15" hidden="1" customHeight="1" outlineLevel="1">
      <c r="A484" s="202" t="str">
        <f>TEXT($A$470,0) &amp; ".4"</f>
        <v>0.4</v>
      </c>
      <c r="B484" s="923"/>
      <c r="C484" s="924"/>
      <c r="D484" s="924"/>
      <c r="E484" s="925"/>
      <c r="F484" s="211"/>
      <c r="G484" s="211"/>
      <c r="H484" s="225"/>
      <c r="I484" s="225"/>
      <c r="J484" s="237"/>
      <c r="K484" s="237"/>
      <c r="L484" s="237"/>
      <c r="M484" s="204">
        <f t="shared" si="227"/>
        <v>0</v>
      </c>
      <c r="N484" s="235">
        <f t="shared" si="224"/>
        <v>0</v>
      </c>
      <c r="O484" s="204">
        <f t="shared" si="228"/>
        <v>0</v>
      </c>
      <c r="P484" s="205">
        <f t="shared" si="225"/>
        <v>0</v>
      </c>
      <c r="Q484" s="205">
        <f t="shared" si="226"/>
        <v>0</v>
      </c>
      <c r="R484" s="926"/>
      <c r="S484" s="927"/>
      <c r="T484" s="928"/>
    </row>
    <row r="485" spans="1:20" ht="15" hidden="1" customHeight="1" outlineLevel="1">
      <c r="A485" s="202" t="str">
        <f>TEXT($A$470,0) &amp; ".5"</f>
        <v>0.5</v>
      </c>
      <c r="B485" s="923"/>
      <c r="C485" s="924"/>
      <c r="D485" s="924"/>
      <c r="E485" s="925"/>
      <c r="F485" s="211"/>
      <c r="G485" s="211"/>
      <c r="H485" s="225"/>
      <c r="I485" s="225"/>
      <c r="J485" s="237"/>
      <c r="K485" s="237"/>
      <c r="L485" s="237"/>
      <c r="M485" s="204">
        <f t="shared" si="227"/>
        <v>0</v>
      </c>
      <c r="N485" s="235">
        <f t="shared" si="224"/>
        <v>0</v>
      </c>
      <c r="O485" s="204">
        <f t="shared" si="228"/>
        <v>0</v>
      </c>
      <c r="P485" s="205">
        <f t="shared" si="225"/>
        <v>0</v>
      </c>
      <c r="Q485" s="205">
        <f t="shared" si="226"/>
        <v>0</v>
      </c>
      <c r="R485" s="926"/>
      <c r="S485" s="927"/>
      <c r="T485" s="928"/>
    </row>
    <row r="486" spans="1:20" ht="15" hidden="1" customHeight="1" outlineLevel="1">
      <c r="A486" s="202" t="str">
        <f>TEXT($A$470,0) &amp; ".6"</f>
        <v>0.6</v>
      </c>
      <c r="B486" s="923"/>
      <c r="C486" s="924"/>
      <c r="D486" s="924"/>
      <c r="E486" s="925"/>
      <c r="F486" s="211"/>
      <c r="G486" s="211"/>
      <c r="H486" s="225"/>
      <c r="I486" s="225"/>
      <c r="J486" s="237"/>
      <c r="K486" s="237"/>
      <c r="L486" s="237"/>
      <c r="M486" s="204">
        <f t="shared" si="227"/>
        <v>0</v>
      </c>
      <c r="N486" s="235">
        <f t="shared" si="224"/>
        <v>0</v>
      </c>
      <c r="O486" s="204">
        <f t="shared" si="228"/>
        <v>0</v>
      </c>
      <c r="P486" s="205">
        <f t="shared" si="225"/>
        <v>0</v>
      </c>
      <c r="Q486" s="205">
        <f t="shared" si="226"/>
        <v>0</v>
      </c>
      <c r="R486" s="926"/>
      <c r="S486" s="927"/>
      <c r="T486" s="928"/>
    </row>
    <row r="487" spans="1:20" ht="15" hidden="1" customHeight="1" outlineLevel="1">
      <c r="A487" s="202" t="str">
        <f>TEXT($A$470,0) &amp; ".7"</f>
        <v>0.7</v>
      </c>
      <c r="B487" s="923"/>
      <c r="C487" s="924"/>
      <c r="D487" s="924"/>
      <c r="E487" s="925"/>
      <c r="F487" s="211"/>
      <c r="G487" s="211"/>
      <c r="H487" s="225"/>
      <c r="I487" s="225"/>
      <c r="J487" s="237"/>
      <c r="K487" s="237"/>
      <c r="L487" s="237"/>
      <c r="M487" s="204">
        <f t="shared" si="227"/>
        <v>0</v>
      </c>
      <c r="N487" s="235">
        <f t="shared" si="224"/>
        <v>0</v>
      </c>
      <c r="O487" s="204">
        <f t="shared" si="228"/>
        <v>0</v>
      </c>
      <c r="P487" s="205">
        <f t="shared" si="225"/>
        <v>0</v>
      </c>
      <c r="Q487" s="205">
        <f t="shared" si="226"/>
        <v>0</v>
      </c>
      <c r="R487" s="926"/>
      <c r="S487" s="927"/>
      <c r="T487" s="928"/>
    </row>
    <row r="488" spans="1:20" ht="15" hidden="1" customHeight="1" outlineLevel="1">
      <c r="A488" s="202" t="str">
        <f>TEXT($A$470,0) &amp; ".8"</f>
        <v>0.8</v>
      </c>
      <c r="B488" s="923"/>
      <c r="C488" s="924"/>
      <c r="D488" s="924"/>
      <c r="E488" s="925"/>
      <c r="F488" s="211"/>
      <c r="G488" s="211"/>
      <c r="H488" s="225"/>
      <c r="I488" s="225"/>
      <c r="J488" s="237"/>
      <c r="K488" s="237"/>
      <c r="L488" s="237"/>
      <c r="M488" s="204">
        <f t="shared" si="227"/>
        <v>0</v>
      </c>
      <c r="N488" s="235">
        <f t="shared" si="224"/>
        <v>0</v>
      </c>
      <c r="O488" s="204">
        <f t="shared" si="228"/>
        <v>0</v>
      </c>
      <c r="P488" s="205">
        <f t="shared" si="225"/>
        <v>0</v>
      </c>
      <c r="Q488" s="205">
        <f t="shared" si="226"/>
        <v>0</v>
      </c>
      <c r="R488" s="926"/>
      <c r="S488" s="927"/>
      <c r="T488" s="928"/>
    </row>
    <row r="489" spans="1:20" ht="15" hidden="1" customHeight="1" outlineLevel="1">
      <c r="A489" s="202" t="str">
        <f>TEXT($A$470,0) &amp; ".9"</f>
        <v>0.9</v>
      </c>
      <c r="B489" s="923"/>
      <c r="C489" s="924"/>
      <c r="D489" s="924"/>
      <c r="E489" s="925"/>
      <c r="F489" s="211"/>
      <c r="G489" s="211"/>
      <c r="H489" s="225"/>
      <c r="I489" s="225"/>
      <c r="J489" s="237"/>
      <c r="K489" s="237"/>
      <c r="L489" s="237"/>
      <c r="M489" s="204">
        <f t="shared" si="227"/>
        <v>0</v>
      </c>
      <c r="N489" s="235">
        <f t="shared" si="224"/>
        <v>0</v>
      </c>
      <c r="O489" s="204">
        <f t="shared" si="228"/>
        <v>0</v>
      </c>
      <c r="P489" s="205">
        <f t="shared" si="225"/>
        <v>0</v>
      </c>
      <c r="Q489" s="205">
        <f t="shared" si="226"/>
        <v>0</v>
      </c>
      <c r="R489" s="926"/>
      <c r="S489" s="927"/>
      <c r="T489" s="928"/>
    </row>
    <row r="490" spans="1:20" ht="15" hidden="1" customHeight="1" outlineLevel="1">
      <c r="A490" s="202" t="str">
        <f>TEXT($A$470,0) &amp; ".10"</f>
        <v>0.10</v>
      </c>
      <c r="B490" s="923"/>
      <c r="C490" s="924"/>
      <c r="D490" s="924"/>
      <c r="E490" s="925"/>
      <c r="F490" s="211"/>
      <c r="G490" s="211"/>
      <c r="H490" s="225"/>
      <c r="I490" s="225"/>
      <c r="J490" s="237"/>
      <c r="K490" s="237"/>
      <c r="L490" s="237"/>
      <c r="M490" s="204">
        <f t="shared" si="227"/>
        <v>0</v>
      </c>
      <c r="N490" s="235">
        <f>M490</f>
        <v>0</v>
      </c>
      <c r="O490" s="204">
        <f t="shared" si="228"/>
        <v>0</v>
      </c>
      <c r="P490" s="205">
        <f t="shared" si="225"/>
        <v>0</v>
      </c>
      <c r="Q490" s="205">
        <f t="shared" si="226"/>
        <v>0</v>
      </c>
      <c r="R490" s="926"/>
      <c r="S490" s="927"/>
      <c r="T490" s="928"/>
    </row>
    <row r="491" spans="1:20" ht="15" customHeight="1" collapsed="1">
      <c r="A491" s="267"/>
      <c r="B491" s="932"/>
      <c r="C491" s="933"/>
      <c r="D491" s="933"/>
      <c r="E491" s="934"/>
      <c r="F491" s="220"/>
      <c r="G491" s="220"/>
      <c r="H491" s="222"/>
      <c r="I491" s="222" t="str">
        <f>IF(COUNTIF(I492:I511,TMDPhaseTimeAndMaterial)&gt;0,TMDPhaseTimeAndMaterial,IF(COUNTIF(I492:I511,TMDPhaseChangeTimeAndMaterial)&gt;0,TMDPhaseChangeTimeAndMaterial,""))</f>
        <v/>
      </c>
      <c r="J491" s="234">
        <f t="shared" ref="J491:Q491" si="229">SUM(J492:J511)</f>
        <v>0</v>
      </c>
      <c r="K491" s="234">
        <f t="shared" si="229"/>
        <v>0</v>
      </c>
      <c r="L491" s="234">
        <f t="shared" si="229"/>
        <v>0</v>
      </c>
      <c r="M491" s="201">
        <f t="shared" si="229"/>
        <v>0</v>
      </c>
      <c r="N491" s="201">
        <f t="shared" si="229"/>
        <v>0</v>
      </c>
      <c r="O491" s="201">
        <f t="shared" si="229"/>
        <v>0</v>
      </c>
      <c r="P491" s="201">
        <f t="shared" si="229"/>
        <v>0</v>
      </c>
      <c r="Q491" s="201">
        <f t="shared" si="229"/>
        <v>0</v>
      </c>
      <c r="R491" s="935"/>
      <c r="S491" s="935"/>
      <c r="T491" s="935"/>
    </row>
    <row r="492" spans="1:20" ht="15" hidden="1" customHeight="1" outlineLevel="1">
      <c r="A492" s="202" t="str">
        <f>TEXT($A$491,0) &amp; ".1"</f>
        <v>0.1</v>
      </c>
      <c r="B492" s="923"/>
      <c r="C492" s="924"/>
      <c r="D492" s="924"/>
      <c r="E492" s="925"/>
      <c r="F492" s="211"/>
      <c r="G492" s="211"/>
      <c r="H492" s="225"/>
      <c r="I492" s="225"/>
      <c r="J492" s="237"/>
      <c r="K492" s="237"/>
      <c r="L492" s="237"/>
      <c r="M492" s="204">
        <f>(J492+K492*4+L492)/6</f>
        <v>0</v>
      </c>
      <c r="N492" s="235">
        <f t="shared" ref="N492:O500" si="230">M492</f>
        <v>0</v>
      </c>
      <c r="O492" s="204">
        <f t="shared" si="230"/>
        <v>0</v>
      </c>
      <c r="P492" s="205">
        <f t="shared" ref="P492:P501" si="231">IF(H492&lt;&gt;"",INDEX(MDActivityTypeInternalCostPerDay,MATCH(H492,MDActivityTypeID,0),1)*O492,0)</f>
        <v>0</v>
      </c>
      <c r="Q492" s="205">
        <f t="shared" ref="Q492:Q501" si="232">IF(H492&lt;&gt;"",INDEX(MDActivityTypeExternalPricePerDay,MATCH(H492,MDActivityTypeID,0),1)*O492,0)</f>
        <v>0</v>
      </c>
      <c r="R492" s="926"/>
      <c r="S492" s="927"/>
      <c r="T492" s="928"/>
    </row>
    <row r="493" spans="1:20" ht="15" hidden="1" customHeight="1" outlineLevel="1">
      <c r="A493" s="202" t="str">
        <f>TEXT($A$491,0) &amp; ".2"</f>
        <v>0.2</v>
      </c>
      <c r="B493" s="923"/>
      <c r="C493" s="924"/>
      <c r="D493" s="924"/>
      <c r="E493" s="925"/>
      <c r="F493" s="211"/>
      <c r="G493" s="211"/>
      <c r="H493" s="225"/>
      <c r="I493" s="225"/>
      <c r="J493" s="237"/>
      <c r="K493" s="237"/>
      <c r="L493" s="237"/>
      <c r="M493" s="204">
        <f t="shared" ref="M493:M501" si="233">(J493+K493*4+L493)/6</f>
        <v>0</v>
      </c>
      <c r="N493" s="235">
        <f t="shared" si="230"/>
        <v>0</v>
      </c>
      <c r="O493" s="204">
        <f t="shared" si="230"/>
        <v>0</v>
      </c>
      <c r="P493" s="205">
        <f t="shared" si="231"/>
        <v>0</v>
      </c>
      <c r="Q493" s="205">
        <f t="shared" si="232"/>
        <v>0</v>
      </c>
      <c r="R493" s="926"/>
      <c r="S493" s="927"/>
      <c r="T493" s="928"/>
    </row>
    <row r="494" spans="1:20" ht="15" hidden="1" customHeight="1" outlineLevel="1">
      <c r="A494" s="202" t="str">
        <f>TEXT($A$491,0) &amp; ".3"</f>
        <v>0.3</v>
      </c>
      <c r="B494" s="923"/>
      <c r="C494" s="924"/>
      <c r="D494" s="924"/>
      <c r="E494" s="925"/>
      <c r="F494" s="211"/>
      <c r="G494" s="211"/>
      <c r="H494" s="225"/>
      <c r="I494" s="225"/>
      <c r="J494" s="237"/>
      <c r="K494" s="237"/>
      <c r="L494" s="237"/>
      <c r="M494" s="204">
        <f t="shared" si="233"/>
        <v>0</v>
      </c>
      <c r="N494" s="235">
        <f t="shared" si="230"/>
        <v>0</v>
      </c>
      <c r="O494" s="204">
        <f t="shared" si="230"/>
        <v>0</v>
      </c>
      <c r="P494" s="205">
        <f t="shared" si="231"/>
        <v>0</v>
      </c>
      <c r="Q494" s="205">
        <f t="shared" si="232"/>
        <v>0</v>
      </c>
      <c r="R494" s="926"/>
      <c r="S494" s="927"/>
      <c r="T494" s="928"/>
    </row>
    <row r="495" spans="1:20" ht="15" hidden="1" customHeight="1" outlineLevel="1">
      <c r="A495" s="202" t="str">
        <f>TEXT($A$491,0) &amp; ".4"</f>
        <v>0.4</v>
      </c>
      <c r="B495" s="923"/>
      <c r="C495" s="924"/>
      <c r="D495" s="924"/>
      <c r="E495" s="925"/>
      <c r="F495" s="211"/>
      <c r="G495" s="211"/>
      <c r="H495" s="225"/>
      <c r="I495" s="225"/>
      <c r="J495" s="237"/>
      <c r="K495" s="237"/>
      <c r="L495" s="237"/>
      <c r="M495" s="204">
        <f t="shared" si="233"/>
        <v>0</v>
      </c>
      <c r="N495" s="235">
        <f t="shared" si="230"/>
        <v>0</v>
      </c>
      <c r="O495" s="204">
        <f t="shared" si="230"/>
        <v>0</v>
      </c>
      <c r="P495" s="205">
        <f t="shared" si="231"/>
        <v>0</v>
      </c>
      <c r="Q495" s="205">
        <f t="shared" si="232"/>
        <v>0</v>
      </c>
      <c r="R495" s="926"/>
      <c r="S495" s="927"/>
      <c r="T495" s="928"/>
    </row>
    <row r="496" spans="1:20" ht="15" hidden="1" customHeight="1" outlineLevel="1">
      <c r="A496" s="202" t="str">
        <f>TEXT($A$491,0) &amp; ".5"</f>
        <v>0.5</v>
      </c>
      <c r="B496" s="923"/>
      <c r="C496" s="924"/>
      <c r="D496" s="924"/>
      <c r="E496" s="925"/>
      <c r="F496" s="211"/>
      <c r="G496" s="211"/>
      <c r="H496" s="225"/>
      <c r="I496" s="225"/>
      <c r="J496" s="237"/>
      <c r="K496" s="237"/>
      <c r="L496" s="237"/>
      <c r="M496" s="204">
        <f t="shared" si="233"/>
        <v>0</v>
      </c>
      <c r="N496" s="235">
        <f t="shared" si="230"/>
        <v>0</v>
      </c>
      <c r="O496" s="204">
        <f t="shared" si="230"/>
        <v>0</v>
      </c>
      <c r="P496" s="205">
        <f t="shared" si="231"/>
        <v>0</v>
      </c>
      <c r="Q496" s="205">
        <f t="shared" si="232"/>
        <v>0</v>
      </c>
      <c r="R496" s="926"/>
      <c r="S496" s="927"/>
      <c r="T496" s="928"/>
    </row>
    <row r="497" spans="1:20" ht="15" hidden="1" customHeight="1" outlineLevel="1">
      <c r="A497" s="202" t="str">
        <f>TEXT($A$491,0) &amp; ".6"</f>
        <v>0.6</v>
      </c>
      <c r="B497" s="923"/>
      <c r="C497" s="924"/>
      <c r="D497" s="924"/>
      <c r="E497" s="925"/>
      <c r="F497" s="211"/>
      <c r="G497" s="211"/>
      <c r="H497" s="225"/>
      <c r="I497" s="225"/>
      <c r="J497" s="237"/>
      <c r="K497" s="237"/>
      <c r="L497" s="237"/>
      <c r="M497" s="204">
        <f t="shared" si="233"/>
        <v>0</v>
      </c>
      <c r="N497" s="235">
        <f t="shared" si="230"/>
        <v>0</v>
      </c>
      <c r="O497" s="204">
        <f t="shared" si="230"/>
        <v>0</v>
      </c>
      <c r="P497" s="205">
        <f t="shared" si="231"/>
        <v>0</v>
      </c>
      <c r="Q497" s="205">
        <f t="shared" si="232"/>
        <v>0</v>
      </c>
      <c r="R497" s="926"/>
      <c r="S497" s="927"/>
      <c r="T497" s="928"/>
    </row>
    <row r="498" spans="1:20" ht="15" hidden="1" customHeight="1" outlineLevel="1">
      <c r="A498" s="202" t="str">
        <f>TEXT($A$491,0) &amp; ".7"</f>
        <v>0.7</v>
      </c>
      <c r="B498" s="923"/>
      <c r="C498" s="924"/>
      <c r="D498" s="924"/>
      <c r="E498" s="925"/>
      <c r="F498" s="211"/>
      <c r="G498" s="211"/>
      <c r="H498" s="225"/>
      <c r="I498" s="225"/>
      <c r="J498" s="237"/>
      <c r="K498" s="237"/>
      <c r="L498" s="237"/>
      <c r="M498" s="204">
        <f t="shared" si="233"/>
        <v>0</v>
      </c>
      <c r="N498" s="235">
        <f t="shared" si="230"/>
        <v>0</v>
      </c>
      <c r="O498" s="204">
        <f t="shared" si="230"/>
        <v>0</v>
      </c>
      <c r="P498" s="205">
        <f t="shared" si="231"/>
        <v>0</v>
      </c>
      <c r="Q498" s="205">
        <f t="shared" si="232"/>
        <v>0</v>
      </c>
      <c r="R498" s="926"/>
      <c r="S498" s="927"/>
      <c r="T498" s="928"/>
    </row>
    <row r="499" spans="1:20" ht="15" hidden="1" customHeight="1" outlineLevel="1">
      <c r="A499" s="202" t="str">
        <f>TEXT($A$491,0) &amp; ".8"</f>
        <v>0.8</v>
      </c>
      <c r="B499" s="923"/>
      <c r="C499" s="924"/>
      <c r="D499" s="924"/>
      <c r="E499" s="925"/>
      <c r="F499" s="211"/>
      <c r="G499" s="211"/>
      <c r="H499" s="225"/>
      <c r="I499" s="225"/>
      <c r="J499" s="237"/>
      <c r="K499" s="237"/>
      <c r="L499" s="237"/>
      <c r="M499" s="204">
        <f t="shared" si="233"/>
        <v>0</v>
      </c>
      <c r="N499" s="235">
        <f t="shared" si="230"/>
        <v>0</v>
      </c>
      <c r="O499" s="204">
        <f t="shared" si="230"/>
        <v>0</v>
      </c>
      <c r="P499" s="205">
        <f t="shared" si="231"/>
        <v>0</v>
      </c>
      <c r="Q499" s="205">
        <f t="shared" si="232"/>
        <v>0</v>
      </c>
      <c r="R499" s="926"/>
      <c r="S499" s="927"/>
      <c r="T499" s="928"/>
    </row>
    <row r="500" spans="1:20" ht="15" hidden="1" customHeight="1" outlineLevel="1">
      <c r="A500" s="202" t="str">
        <f>TEXT($A$491,0) &amp; ".9"</f>
        <v>0.9</v>
      </c>
      <c r="B500" s="923"/>
      <c r="C500" s="924"/>
      <c r="D500" s="924"/>
      <c r="E500" s="925"/>
      <c r="F500" s="211"/>
      <c r="G500" s="211"/>
      <c r="H500" s="225"/>
      <c r="I500" s="225"/>
      <c r="J500" s="237"/>
      <c r="K500" s="237"/>
      <c r="L500" s="237"/>
      <c r="M500" s="204">
        <f t="shared" si="233"/>
        <v>0</v>
      </c>
      <c r="N500" s="235">
        <f t="shared" si="230"/>
        <v>0</v>
      </c>
      <c r="O500" s="204">
        <f t="shared" si="230"/>
        <v>0</v>
      </c>
      <c r="P500" s="205">
        <f t="shared" si="231"/>
        <v>0</v>
      </c>
      <c r="Q500" s="205">
        <f t="shared" si="232"/>
        <v>0</v>
      </c>
      <c r="R500" s="926"/>
      <c r="S500" s="927"/>
      <c r="T500" s="928"/>
    </row>
    <row r="501" spans="1:20" ht="15" hidden="1" customHeight="1" outlineLevel="1">
      <c r="A501" s="202" t="str">
        <f>TEXT($A$491,0) &amp; ".10"</f>
        <v>0.10</v>
      </c>
      <c r="B501" s="923"/>
      <c r="C501" s="924"/>
      <c r="D501" s="924"/>
      <c r="E501" s="925"/>
      <c r="F501" s="211"/>
      <c r="G501" s="211"/>
      <c r="H501" s="225"/>
      <c r="I501" s="225"/>
      <c r="J501" s="237"/>
      <c r="K501" s="237"/>
      <c r="L501" s="237"/>
      <c r="M501" s="204">
        <f t="shared" si="233"/>
        <v>0</v>
      </c>
      <c r="N501" s="235">
        <f t="shared" ref="N501:O510" si="234">M501</f>
        <v>0</v>
      </c>
      <c r="O501" s="204">
        <f t="shared" si="234"/>
        <v>0</v>
      </c>
      <c r="P501" s="205">
        <f t="shared" si="231"/>
        <v>0</v>
      </c>
      <c r="Q501" s="205">
        <f t="shared" si="232"/>
        <v>0</v>
      </c>
      <c r="R501" s="926"/>
      <c r="S501" s="927"/>
      <c r="T501" s="928"/>
    </row>
    <row r="502" spans="1:20" ht="15" hidden="1" customHeight="1" outlineLevel="1">
      <c r="A502" s="202" t="str">
        <f>TEXT($A$491,0) &amp; ".1"</f>
        <v>0.1</v>
      </c>
      <c r="B502" s="923"/>
      <c r="C502" s="924"/>
      <c r="D502" s="924"/>
      <c r="E502" s="925"/>
      <c r="F502" s="211"/>
      <c r="G502" s="211"/>
      <c r="H502" s="225"/>
      <c r="I502" s="225"/>
      <c r="J502" s="237"/>
      <c r="K502" s="237"/>
      <c r="L502" s="237"/>
      <c r="M502" s="204">
        <f>(J502+K502*4+L502)/6</f>
        <v>0</v>
      </c>
      <c r="N502" s="235">
        <f t="shared" si="234"/>
        <v>0</v>
      </c>
      <c r="O502" s="204">
        <f>N502</f>
        <v>0</v>
      </c>
      <c r="P502" s="205">
        <f t="shared" ref="P502:P511" si="235">IF(H502&lt;&gt;"",INDEX(MDActivityTypeInternalCostPerDay,MATCH(H502,MDActivityTypeID,0),1)*O502,0)</f>
        <v>0</v>
      </c>
      <c r="Q502" s="205">
        <f t="shared" ref="Q502:Q511" si="236">IF(H502&lt;&gt;"",INDEX(MDActivityTypeExternalPricePerDay,MATCH(H502,MDActivityTypeID,0),1)*O502,0)</f>
        <v>0</v>
      </c>
      <c r="R502" s="926"/>
      <c r="S502" s="927"/>
      <c r="T502" s="928"/>
    </row>
    <row r="503" spans="1:20" ht="15" hidden="1" customHeight="1" outlineLevel="1">
      <c r="A503" s="202" t="str">
        <f>TEXT($A$491,0) &amp; ".2"</f>
        <v>0.2</v>
      </c>
      <c r="B503" s="923"/>
      <c r="C503" s="924"/>
      <c r="D503" s="924"/>
      <c r="E503" s="925"/>
      <c r="F503" s="211"/>
      <c r="G503" s="211"/>
      <c r="H503" s="225"/>
      <c r="I503" s="225"/>
      <c r="J503" s="237"/>
      <c r="K503" s="237"/>
      <c r="L503" s="237"/>
      <c r="M503" s="204">
        <f t="shared" ref="M503:M511" si="237">(J503+K503*4+L503)/6</f>
        <v>0</v>
      </c>
      <c r="N503" s="235">
        <f t="shared" si="234"/>
        <v>0</v>
      </c>
      <c r="O503" s="204">
        <f t="shared" ref="O503:O511" si="238">N503</f>
        <v>0</v>
      </c>
      <c r="P503" s="205">
        <f t="shared" si="235"/>
        <v>0</v>
      </c>
      <c r="Q503" s="205">
        <f t="shared" si="236"/>
        <v>0</v>
      </c>
      <c r="R503" s="926"/>
      <c r="S503" s="927"/>
      <c r="T503" s="928"/>
    </row>
    <row r="504" spans="1:20" ht="15" hidden="1" customHeight="1" outlineLevel="1">
      <c r="A504" s="202" t="str">
        <f>TEXT($A$491,0) &amp; ".3"</f>
        <v>0.3</v>
      </c>
      <c r="B504" s="923"/>
      <c r="C504" s="924"/>
      <c r="D504" s="924"/>
      <c r="E504" s="925"/>
      <c r="F504" s="211"/>
      <c r="G504" s="211"/>
      <c r="H504" s="225"/>
      <c r="I504" s="225"/>
      <c r="J504" s="237"/>
      <c r="K504" s="237"/>
      <c r="L504" s="237"/>
      <c r="M504" s="204">
        <f t="shared" si="237"/>
        <v>0</v>
      </c>
      <c r="N504" s="235">
        <f t="shared" si="234"/>
        <v>0</v>
      </c>
      <c r="O504" s="204">
        <f t="shared" si="238"/>
        <v>0</v>
      </c>
      <c r="P504" s="205">
        <f t="shared" si="235"/>
        <v>0</v>
      </c>
      <c r="Q504" s="205">
        <f t="shared" si="236"/>
        <v>0</v>
      </c>
      <c r="R504" s="926"/>
      <c r="S504" s="927"/>
      <c r="T504" s="928"/>
    </row>
    <row r="505" spans="1:20" ht="15" hidden="1" customHeight="1" outlineLevel="1">
      <c r="A505" s="202" t="str">
        <f>TEXT($A$491,0) &amp; ".4"</f>
        <v>0.4</v>
      </c>
      <c r="B505" s="923"/>
      <c r="C505" s="924"/>
      <c r="D505" s="924"/>
      <c r="E505" s="925"/>
      <c r="F505" s="211"/>
      <c r="G505" s="211"/>
      <c r="H505" s="225"/>
      <c r="I505" s="225"/>
      <c r="J505" s="237"/>
      <c r="K505" s="237"/>
      <c r="L505" s="237"/>
      <c r="M505" s="204">
        <f t="shared" si="237"/>
        <v>0</v>
      </c>
      <c r="N505" s="235">
        <f t="shared" si="234"/>
        <v>0</v>
      </c>
      <c r="O505" s="204">
        <f t="shared" si="238"/>
        <v>0</v>
      </c>
      <c r="P505" s="205">
        <f t="shared" si="235"/>
        <v>0</v>
      </c>
      <c r="Q505" s="205">
        <f t="shared" si="236"/>
        <v>0</v>
      </c>
      <c r="R505" s="926"/>
      <c r="S505" s="927"/>
      <c r="T505" s="928"/>
    </row>
    <row r="506" spans="1:20" ht="15" hidden="1" customHeight="1" outlineLevel="1">
      <c r="A506" s="202" t="str">
        <f>TEXT($A$491,0) &amp; ".5"</f>
        <v>0.5</v>
      </c>
      <c r="B506" s="923"/>
      <c r="C506" s="924"/>
      <c r="D506" s="924"/>
      <c r="E506" s="925"/>
      <c r="F506" s="211"/>
      <c r="G506" s="211"/>
      <c r="H506" s="225"/>
      <c r="I506" s="225"/>
      <c r="J506" s="237"/>
      <c r="K506" s="237"/>
      <c r="L506" s="237"/>
      <c r="M506" s="204">
        <f t="shared" si="237"/>
        <v>0</v>
      </c>
      <c r="N506" s="235">
        <f t="shared" si="234"/>
        <v>0</v>
      </c>
      <c r="O506" s="204">
        <f t="shared" si="238"/>
        <v>0</v>
      </c>
      <c r="P506" s="205">
        <f t="shared" si="235"/>
        <v>0</v>
      </c>
      <c r="Q506" s="205">
        <f t="shared" si="236"/>
        <v>0</v>
      </c>
      <c r="R506" s="926"/>
      <c r="S506" s="927"/>
      <c r="T506" s="928"/>
    </row>
    <row r="507" spans="1:20" ht="15" hidden="1" customHeight="1" outlineLevel="1">
      <c r="A507" s="202" t="str">
        <f>TEXT($A$491,0) &amp; ".6"</f>
        <v>0.6</v>
      </c>
      <c r="B507" s="923"/>
      <c r="C507" s="924"/>
      <c r="D507" s="924"/>
      <c r="E507" s="925"/>
      <c r="F507" s="211"/>
      <c r="G507" s="211"/>
      <c r="H507" s="225"/>
      <c r="I507" s="225"/>
      <c r="J507" s="237"/>
      <c r="K507" s="237"/>
      <c r="L507" s="237"/>
      <c r="M507" s="204">
        <f t="shared" si="237"/>
        <v>0</v>
      </c>
      <c r="N507" s="235">
        <f t="shared" si="234"/>
        <v>0</v>
      </c>
      <c r="O507" s="204">
        <f t="shared" si="238"/>
        <v>0</v>
      </c>
      <c r="P507" s="205">
        <f t="shared" si="235"/>
        <v>0</v>
      </c>
      <c r="Q507" s="205">
        <f t="shared" si="236"/>
        <v>0</v>
      </c>
      <c r="R507" s="926"/>
      <c r="S507" s="927"/>
      <c r="T507" s="928"/>
    </row>
    <row r="508" spans="1:20" ht="15" hidden="1" customHeight="1" outlineLevel="1">
      <c r="A508" s="202" t="str">
        <f>TEXT($A$491,0) &amp; ".7"</f>
        <v>0.7</v>
      </c>
      <c r="B508" s="923"/>
      <c r="C508" s="924"/>
      <c r="D508" s="924"/>
      <c r="E508" s="925"/>
      <c r="F508" s="211"/>
      <c r="G508" s="211"/>
      <c r="H508" s="225"/>
      <c r="I508" s="225"/>
      <c r="J508" s="237"/>
      <c r="K508" s="237"/>
      <c r="L508" s="237"/>
      <c r="M508" s="204">
        <f t="shared" si="237"/>
        <v>0</v>
      </c>
      <c r="N508" s="235">
        <f t="shared" si="234"/>
        <v>0</v>
      </c>
      <c r="O508" s="204">
        <f t="shared" si="238"/>
        <v>0</v>
      </c>
      <c r="P508" s="205">
        <f t="shared" si="235"/>
        <v>0</v>
      </c>
      <c r="Q508" s="205">
        <f t="shared" si="236"/>
        <v>0</v>
      </c>
      <c r="R508" s="926"/>
      <c r="S508" s="927"/>
      <c r="T508" s="928"/>
    </row>
    <row r="509" spans="1:20" ht="15" hidden="1" customHeight="1" outlineLevel="1">
      <c r="A509" s="202" t="str">
        <f>TEXT($A$491,0) &amp; ".8"</f>
        <v>0.8</v>
      </c>
      <c r="B509" s="923"/>
      <c r="C509" s="924"/>
      <c r="D509" s="924"/>
      <c r="E509" s="925"/>
      <c r="F509" s="211"/>
      <c r="G509" s="211"/>
      <c r="H509" s="225"/>
      <c r="I509" s="225"/>
      <c r="J509" s="237"/>
      <c r="K509" s="237"/>
      <c r="L509" s="237"/>
      <c r="M509" s="204">
        <f t="shared" si="237"/>
        <v>0</v>
      </c>
      <c r="N509" s="235">
        <f t="shared" si="234"/>
        <v>0</v>
      </c>
      <c r="O509" s="204">
        <f t="shared" si="238"/>
        <v>0</v>
      </c>
      <c r="P509" s="205">
        <f t="shared" si="235"/>
        <v>0</v>
      </c>
      <c r="Q509" s="205">
        <f t="shared" si="236"/>
        <v>0</v>
      </c>
      <c r="R509" s="926"/>
      <c r="S509" s="927"/>
      <c r="T509" s="928"/>
    </row>
    <row r="510" spans="1:20" ht="15" hidden="1" customHeight="1" outlineLevel="1">
      <c r="A510" s="202" t="str">
        <f>TEXT($A$491,0) &amp; ".9"</f>
        <v>0.9</v>
      </c>
      <c r="B510" s="923"/>
      <c r="C510" s="924"/>
      <c r="D510" s="924"/>
      <c r="E510" s="925"/>
      <c r="F510" s="211"/>
      <c r="G510" s="211"/>
      <c r="H510" s="225"/>
      <c r="I510" s="225"/>
      <c r="J510" s="237"/>
      <c r="K510" s="237"/>
      <c r="L510" s="237"/>
      <c r="M510" s="204">
        <f t="shared" si="237"/>
        <v>0</v>
      </c>
      <c r="N510" s="235">
        <f t="shared" si="234"/>
        <v>0</v>
      </c>
      <c r="O510" s="204">
        <f t="shared" si="238"/>
        <v>0</v>
      </c>
      <c r="P510" s="205">
        <f t="shared" si="235"/>
        <v>0</v>
      </c>
      <c r="Q510" s="205">
        <f t="shared" si="236"/>
        <v>0</v>
      </c>
      <c r="R510" s="926"/>
      <c r="S510" s="927"/>
      <c r="T510" s="928"/>
    </row>
    <row r="511" spans="1:20" ht="15" hidden="1" customHeight="1" outlineLevel="1">
      <c r="A511" s="202" t="str">
        <f>TEXT($A$491,0) &amp; ".10"</f>
        <v>0.10</v>
      </c>
      <c r="B511" s="923"/>
      <c r="C511" s="924"/>
      <c r="D511" s="924"/>
      <c r="E511" s="925"/>
      <c r="F511" s="211"/>
      <c r="G511" s="211"/>
      <c r="H511" s="225"/>
      <c r="I511" s="225"/>
      <c r="J511" s="237"/>
      <c r="K511" s="237"/>
      <c r="L511" s="237"/>
      <c r="M511" s="204">
        <f t="shared" si="237"/>
        <v>0</v>
      </c>
      <c r="N511" s="235">
        <f>M511</f>
        <v>0</v>
      </c>
      <c r="O511" s="204">
        <f t="shared" si="238"/>
        <v>0</v>
      </c>
      <c r="P511" s="205">
        <f t="shared" si="235"/>
        <v>0</v>
      </c>
      <c r="Q511" s="205">
        <f t="shared" si="236"/>
        <v>0</v>
      </c>
      <c r="R511" s="926"/>
      <c r="S511" s="927"/>
      <c r="T511" s="928"/>
    </row>
    <row r="512" spans="1:20" ht="15" customHeight="1" collapsed="1">
      <c r="A512" s="268"/>
      <c r="B512" s="932"/>
      <c r="C512" s="933"/>
      <c r="D512" s="933"/>
      <c r="E512" s="934"/>
      <c r="F512" s="220"/>
      <c r="G512" s="220"/>
      <c r="H512" s="222"/>
      <c r="I512" s="222" t="str">
        <f>IF(COUNTIF(I513:I532,TMDPhaseTimeAndMaterial)&gt;0,TMDPhaseTimeAndMaterial,IF(COUNTIF(I513:I532,TMDPhaseChangeTimeAndMaterial)&gt;0,TMDPhaseChangeTimeAndMaterial,""))</f>
        <v/>
      </c>
      <c r="J512" s="234">
        <f t="shared" ref="J512:Q512" si="239">SUM(J513:J532)</f>
        <v>0</v>
      </c>
      <c r="K512" s="234">
        <f t="shared" si="239"/>
        <v>0</v>
      </c>
      <c r="L512" s="234">
        <f t="shared" si="239"/>
        <v>0</v>
      </c>
      <c r="M512" s="201">
        <f t="shared" si="239"/>
        <v>0</v>
      </c>
      <c r="N512" s="201">
        <f t="shared" si="239"/>
        <v>0</v>
      </c>
      <c r="O512" s="201">
        <f t="shared" si="239"/>
        <v>0</v>
      </c>
      <c r="P512" s="201">
        <f t="shared" si="239"/>
        <v>0</v>
      </c>
      <c r="Q512" s="201">
        <f t="shared" si="239"/>
        <v>0</v>
      </c>
      <c r="R512" s="935"/>
      <c r="S512" s="935"/>
      <c r="T512" s="935"/>
    </row>
    <row r="513" spans="1:20" ht="15" hidden="1" customHeight="1" outlineLevel="1">
      <c r="A513" s="202" t="str">
        <f>TEXT($A$512,0) &amp; ".1"</f>
        <v>0.1</v>
      </c>
      <c r="B513" s="923"/>
      <c r="C513" s="924"/>
      <c r="D513" s="924"/>
      <c r="E513" s="925"/>
      <c r="F513" s="211"/>
      <c r="G513" s="211"/>
      <c r="H513" s="225"/>
      <c r="I513" s="225"/>
      <c r="J513" s="237"/>
      <c r="K513" s="237"/>
      <c r="L513" s="237"/>
      <c r="M513" s="204">
        <f>(J513+K513*4+L513)/6</f>
        <v>0</v>
      </c>
      <c r="N513" s="235">
        <f t="shared" ref="N513:O521" si="240">M513</f>
        <v>0</v>
      </c>
      <c r="O513" s="204">
        <f t="shared" si="240"/>
        <v>0</v>
      </c>
      <c r="P513" s="205">
        <f t="shared" ref="P513:P522" si="241">IF(H513&lt;&gt;"",INDEX(MDActivityTypeInternalCostPerDay,MATCH(H513,MDActivityTypeID,0),1)*O513,0)</f>
        <v>0</v>
      </c>
      <c r="Q513" s="205">
        <f t="shared" ref="Q513:Q522" si="242">IF(H513&lt;&gt;"",INDEX(MDActivityTypeExternalPricePerDay,MATCH(H513,MDActivityTypeID,0),1)*O513,0)</f>
        <v>0</v>
      </c>
      <c r="R513" s="926"/>
      <c r="S513" s="927"/>
      <c r="T513" s="928"/>
    </row>
    <row r="514" spans="1:20" ht="15" hidden="1" customHeight="1" outlineLevel="1">
      <c r="A514" s="202" t="str">
        <f>TEXT($A$512,0) &amp; ".2"</f>
        <v>0.2</v>
      </c>
      <c r="B514" s="923"/>
      <c r="C514" s="924"/>
      <c r="D514" s="924"/>
      <c r="E514" s="925"/>
      <c r="F514" s="211"/>
      <c r="G514" s="211"/>
      <c r="H514" s="225"/>
      <c r="I514" s="225"/>
      <c r="J514" s="237"/>
      <c r="K514" s="237"/>
      <c r="L514" s="237"/>
      <c r="M514" s="204">
        <f t="shared" ref="M514:M522" si="243">(J514+K514*4+L514)/6</f>
        <v>0</v>
      </c>
      <c r="N514" s="235">
        <f t="shared" si="240"/>
        <v>0</v>
      </c>
      <c r="O514" s="204">
        <f t="shared" si="240"/>
        <v>0</v>
      </c>
      <c r="P514" s="205">
        <f t="shared" si="241"/>
        <v>0</v>
      </c>
      <c r="Q514" s="205">
        <f t="shared" si="242"/>
        <v>0</v>
      </c>
      <c r="R514" s="926"/>
      <c r="S514" s="927"/>
      <c r="T514" s="928"/>
    </row>
    <row r="515" spans="1:20" ht="15" hidden="1" customHeight="1" outlineLevel="1">
      <c r="A515" s="202" t="str">
        <f>TEXT($A$512,0) &amp; ".3"</f>
        <v>0.3</v>
      </c>
      <c r="B515" s="923"/>
      <c r="C515" s="924"/>
      <c r="D515" s="924"/>
      <c r="E515" s="925"/>
      <c r="F515" s="211"/>
      <c r="G515" s="211"/>
      <c r="H515" s="225"/>
      <c r="I515" s="225"/>
      <c r="J515" s="237"/>
      <c r="K515" s="237"/>
      <c r="L515" s="237"/>
      <c r="M515" s="204">
        <f t="shared" si="243"/>
        <v>0</v>
      </c>
      <c r="N515" s="235">
        <f t="shared" si="240"/>
        <v>0</v>
      </c>
      <c r="O515" s="204">
        <f t="shared" si="240"/>
        <v>0</v>
      </c>
      <c r="P515" s="205">
        <f t="shared" si="241"/>
        <v>0</v>
      </c>
      <c r="Q515" s="205">
        <f t="shared" si="242"/>
        <v>0</v>
      </c>
      <c r="R515" s="926"/>
      <c r="S515" s="927"/>
      <c r="T515" s="928"/>
    </row>
    <row r="516" spans="1:20" ht="15" hidden="1" customHeight="1" outlineLevel="1">
      <c r="A516" s="202" t="str">
        <f>TEXT($A$512,0) &amp; ".4"</f>
        <v>0.4</v>
      </c>
      <c r="B516" s="923"/>
      <c r="C516" s="924"/>
      <c r="D516" s="924"/>
      <c r="E516" s="925"/>
      <c r="F516" s="211"/>
      <c r="G516" s="211"/>
      <c r="H516" s="225"/>
      <c r="I516" s="225"/>
      <c r="J516" s="237"/>
      <c r="K516" s="237"/>
      <c r="L516" s="237"/>
      <c r="M516" s="204">
        <f t="shared" si="243"/>
        <v>0</v>
      </c>
      <c r="N516" s="235">
        <f t="shared" si="240"/>
        <v>0</v>
      </c>
      <c r="O516" s="204">
        <f t="shared" si="240"/>
        <v>0</v>
      </c>
      <c r="P516" s="205">
        <f t="shared" si="241"/>
        <v>0</v>
      </c>
      <c r="Q516" s="205">
        <f t="shared" si="242"/>
        <v>0</v>
      </c>
      <c r="R516" s="926"/>
      <c r="S516" s="927"/>
      <c r="T516" s="928"/>
    </row>
    <row r="517" spans="1:20" ht="15" hidden="1" customHeight="1" outlineLevel="1">
      <c r="A517" s="202" t="str">
        <f>TEXT($A$512,0) &amp; ".5"</f>
        <v>0.5</v>
      </c>
      <c r="B517" s="923"/>
      <c r="C517" s="924"/>
      <c r="D517" s="924"/>
      <c r="E517" s="925"/>
      <c r="F517" s="211"/>
      <c r="G517" s="211"/>
      <c r="H517" s="225"/>
      <c r="I517" s="225"/>
      <c r="J517" s="237"/>
      <c r="K517" s="237"/>
      <c r="L517" s="237"/>
      <c r="M517" s="204">
        <f t="shared" si="243"/>
        <v>0</v>
      </c>
      <c r="N517" s="235">
        <f t="shared" si="240"/>
        <v>0</v>
      </c>
      <c r="O517" s="204">
        <f t="shared" si="240"/>
        <v>0</v>
      </c>
      <c r="P517" s="205">
        <f t="shared" si="241"/>
        <v>0</v>
      </c>
      <c r="Q517" s="205">
        <f t="shared" si="242"/>
        <v>0</v>
      </c>
      <c r="R517" s="926"/>
      <c r="S517" s="927"/>
      <c r="T517" s="928"/>
    </row>
    <row r="518" spans="1:20" ht="15" hidden="1" customHeight="1" outlineLevel="1">
      <c r="A518" s="202" t="str">
        <f>TEXT($A$512,0) &amp; ".6"</f>
        <v>0.6</v>
      </c>
      <c r="B518" s="923"/>
      <c r="C518" s="924"/>
      <c r="D518" s="924"/>
      <c r="E518" s="925"/>
      <c r="F518" s="211"/>
      <c r="G518" s="211"/>
      <c r="H518" s="225"/>
      <c r="I518" s="225"/>
      <c r="J518" s="237"/>
      <c r="K518" s="237"/>
      <c r="L518" s="237"/>
      <c r="M518" s="204">
        <f t="shared" si="243"/>
        <v>0</v>
      </c>
      <c r="N518" s="235">
        <f t="shared" si="240"/>
        <v>0</v>
      </c>
      <c r="O518" s="204">
        <f t="shared" si="240"/>
        <v>0</v>
      </c>
      <c r="P518" s="205">
        <f t="shared" si="241"/>
        <v>0</v>
      </c>
      <c r="Q518" s="205">
        <f t="shared" si="242"/>
        <v>0</v>
      </c>
      <c r="R518" s="926"/>
      <c r="S518" s="927"/>
      <c r="T518" s="928"/>
    </row>
    <row r="519" spans="1:20" ht="15" hidden="1" customHeight="1" outlineLevel="1">
      <c r="A519" s="202" t="str">
        <f>TEXT($A$512,0) &amp; ".7"</f>
        <v>0.7</v>
      </c>
      <c r="B519" s="923"/>
      <c r="C519" s="924"/>
      <c r="D519" s="924"/>
      <c r="E519" s="925"/>
      <c r="F519" s="211"/>
      <c r="G519" s="211"/>
      <c r="H519" s="225"/>
      <c r="I519" s="225"/>
      <c r="J519" s="237"/>
      <c r="K519" s="237"/>
      <c r="L519" s="237"/>
      <c r="M519" s="204">
        <f t="shared" si="243"/>
        <v>0</v>
      </c>
      <c r="N519" s="235">
        <f t="shared" si="240"/>
        <v>0</v>
      </c>
      <c r="O519" s="204">
        <f t="shared" si="240"/>
        <v>0</v>
      </c>
      <c r="P519" s="205">
        <f t="shared" si="241"/>
        <v>0</v>
      </c>
      <c r="Q519" s="205">
        <f t="shared" si="242"/>
        <v>0</v>
      </c>
      <c r="R519" s="926"/>
      <c r="S519" s="927"/>
      <c r="T519" s="928"/>
    </row>
    <row r="520" spans="1:20" ht="15" hidden="1" customHeight="1" outlineLevel="1">
      <c r="A520" s="202" t="str">
        <f>TEXT($A$512,0) &amp; ".8"</f>
        <v>0.8</v>
      </c>
      <c r="B520" s="923"/>
      <c r="C520" s="924"/>
      <c r="D520" s="924"/>
      <c r="E520" s="925"/>
      <c r="F520" s="211"/>
      <c r="G520" s="211"/>
      <c r="H520" s="225"/>
      <c r="I520" s="225"/>
      <c r="J520" s="237"/>
      <c r="K520" s="237"/>
      <c r="L520" s="237"/>
      <c r="M520" s="204">
        <f t="shared" si="243"/>
        <v>0</v>
      </c>
      <c r="N520" s="235">
        <f t="shared" si="240"/>
        <v>0</v>
      </c>
      <c r="O520" s="204">
        <f t="shared" si="240"/>
        <v>0</v>
      </c>
      <c r="P520" s="205">
        <f t="shared" si="241"/>
        <v>0</v>
      </c>
      <c r="Q520" s="205">
        <f t="shared" si="242"/>
        <v>0</v>
      </c>
      <c r="R520" s="926"/>
      <c r="S520" s="927"/>
      <c r="T520" s="928"/>
    </row>
    <row r="521" spans="1:20" ht="15" hidden="1" customHeight="1" outlineLevel="1">
      <c r="A521" s="202" t="str">
        <f>TEXT($A$512,0) &amp; ".9"</f>
        <v>0.9</v>
      </c>
      <c r="B521" s="923"/>
      <c r="C521" s="924"/>
      <c r="D521" s="924"/>
      <c r="E521" s="925"/>
      <c r="F521" s="211"/>
      <c r="G521" s="211"/>
      <c r="H521" s="225"/>
      <c r="I521" s="225"/>
      <c r="J521" s="237"/>
      <c r="K521" s="237"/>
      <c r="L521" s="237"/>
      <c r="M521" s="204">
        <f t="shared" si="243"/>
        <v>0</v>
      </c>
      <c r="N521" s="235">
        <f t="shared" si="240"/>
        <v>0</v>
      </c>
      <c r="O521" s="204">
        <f t="shared" si="240"/>
        <v>0</v>
      </c>
      <c r="P521" s="205">
        <f t="shared" si="241"/>
        <v>0</v>
      </c>
      <c r="Q521" s="205">
        <f t="shared" si="242"/>
        <v>0</v>
      </c>
      <c r="R521" s="926"/>
      <c r="S521" s="927"/>
      <c r="T521" s="928"/>
    </row>
    <row r="522" spans="1:20" ht="15" hidden="1" customHeight="1" outlineLevel="1">
      <c r="A522" s="202" t="str">
        <f>TEXT(A512,0) &amp; ".10"</f>
        <v>0.10</v>
      </c>
      <c r="B522" s="923"/>
      <c r="C522" s="924"/>
      <c r="D522" s="924"/>
      <c r="E522" s="925"/>
      <c r="F522" s="211"/>
      <c r="G522" s="211"/>
      <c r="H522" s="225"/>
      <c r="I522" s="225"/>
      <c r="J522" s="237"/>
      <c r="K522" s="237"/>
      <c r="L522" s="237"/>
      <c r="M522" s="204">
        <f t="shared" si="243"/>
        <v>0</v>
      </c>
      <c r="N522" s="235">
        <f t="shared" ref="N522:O531" si="244">M522</f>
        <v>0</v>
      </c>
      <c r="O522" s="204">
        <f t="shared" si="244"/>
        <v>0</v>
      </c>
      <c r="P522" s="205">
        <f t="shared" si="241"/>
        <v>0</v>
      </c>
      <c r="Q522" s="205">
        <f t="shared" si="242"/>
        <v>0</v>
      </c>
      <c r="R522" s="926"/>
      <c r="S522" s="927"/>
      <c r="T522" s="928"/>
    </row>
    <row r="523" spans="1:20" ht="15" hidden="1" customHeight="1" outlineLevel="1">
      <c r="A523" s="202" t="str">
        <f>TEXT($A$512,0) &amp; ".1"</f>
        <v>0.1</v>
      </c>
      <c r="B523" s="923"/>
      <c r="C523" s="924"/>
      <c r="D523" s="924"/>
      <c r="E523" s="925"/>
      <c r="F523" s="211"/>
      <c r="G523" s="211"/>
      <c r="H523" s="225"/>
      <c r="I523" s="225"/>
      <c r="J523" s="237"/>
      <c r="K523" s="237"/>
      <c r="L523" s="237"/>
      <c r="M523" s="204">
        <f>(J523+K523*4+L523)/6</f>
        <v>0</v>
      </c>
      <c r="N523" s="235">
        <f t="shared" si="244"/>
        <v>0</v>
      </c>
      <c r="O523" s="204">
        <f>N523</f>
        <v>0</v>
      </c>
      <c r="P523" s="205">
        <f t="shared" ref="P523:P532" si="245">IF(H523&lt;&gt;"",INDEX(MDActivityTypeInternalCostPerDay,MATCH(H523,MDActivityTypeID,0),1)*O523,0)</f>
        <v>0</v>
      </c>
      <c r="Q523" s="205">
        <f t="shared" ref="Q523:Q532" si="246">IF(H523&lt;&gt;"",INDEX(MDActivityTypeExternalPricePerDay,MATCH(H523,MDActivityTypeID,0),1)*O523,0)</f>
        <v>0</v>
      </c>
      <c r="R523" s="926"/>
      <c r="S523" s="927"/>
      <c r="T523" s="928"/>
    </row>
    <row r="524" spans="1:20" ht="15" hidden="1" customHeight="1" outlineLevel="1">
      <c r="A524" s="202" t="str">
        <f>TEXT($A$512,0) &amp; ".2"</f>
        <v>0.2</v>
      </c>
      <c r="B524" s="923"/>
      <c r="C524" s="924"/>
      <c r="D524" s="924"/>
      <c r="E524" s="925"/>
      <c r="F524" s="211"/>
      <c r="G524" s="211"/>
      <c r="H524" s="225"/>
      <c r="I524" s="225"/>
      <c r="J524" s="237"/>
      <c r="K524" s="237"/>
      <c r="L524" s="237"/>
      <c r="M524" s="204">
        <f t="shared" ref="M524:M532" si="247">(J524+K524*4+L524)/6</f>
        <v>0</v>
      </c>
      <c r="N524" s="235">
        <f t="shared" si="244"/>
        <v>0</v>
      </c>
      <c r="O524" s="204">
        <f t="shared" ref="O524:O532" si="248">N524</f>
        <v>0</v>
      </c>
      <c r="P524" s="205">
        <f t="shared" si="245"/>
        <v>0</v>
      </c>
      <c r="Q524" s="205">
        <f t="shared" si="246"/>
        <v>0</v>
      </c>
      <c r="R524" s="926"/>
      <c r="S524" s="927"/>
      <c r="T524" s="928"/>
    </row>
    <row r="525" spans="1:20" ht="15" hidden="1" customHeight="1" outlineLevel="1">
      <c r="A525" s="202" t="str">
        <f>TEXT($A$512,0) &amp; ".3"</f>
        <v>0.3</v>
      </c>
      <c r="B525" s="923"/>
      <c r="C525" s="924"/>
      <c r="D525" s="924"/>
      <c r="E525" s="925"/>
      <c r="F525" s="211"/>
      <c r="G525" s="211"/>
      <c r="H525" s="225"/>
      <c r="I525" s="225"/>
      <c r="J525" s="237"/>
      <c r="K525" s="237"/>
      <c r="L525" s="237"/>
      <c r="M525" s="204">
        <f t="shared" si="247"/>
        <v>0</v>
      </c>
      <c r="N525" s="235">
        <f t="shared" si="244"/>
        <v>0</v>
      </c>
      <c r="O525" s="204">
        <f t="shared" si="248"/>
        <v>0</v>
      </c>
      <c r="P525" s="205">
        <f t="shared" si="245"/>
        <v>0</v>
      </c>
      <c r="Q525" s="205">
        <f t="shared" si="246"/>
        <v>0</v>
      </c>
      <c r="R525" s="926"/>
      <c r="S525" s="927"/>
      <c r="T525" s="928"/>
    </row>
    <row r="526" spans="1:20" ht="15" hidden="1" customHeight="1" outlineLevel="1">
      <c r="A526" s="202" t="str">
        <f>TEXT($A$512,0) &amp; ".4"</f>
        <v>0.4</v>
      </c>
      <c r="B526" s="923"/>
      <c r="C526" s="924"/>
      <c r="D526" s="924"/>
      <c r="E526" s="925"/>
      <c r="F526" s="211"/>
      <c r="G526" s="211"/>
      <c r="H526" s="225"/>
      <c r="I526" s="225"/>
      <c r="J526" s="237"/>
      <c r="K526" s="237"/>
      <c r="L526" s="237"/>
      <c r="M526" s="204">
        <f t="shared" si="247"/>
        <v>0</v>
      </c>
      <c r="N526" s="235">
        <f t="shared" si="244"/>
        <v>0</v>
      </c>
      <c r="O526" s="204">
        <f t="shared" si="248"/>
        <v>0</v>
      </c>
      <c r="P526" s="205">
        <f t="shared" si="245"/>
        <v>0</v>
      </c>
      <c r="Q526" s="205">
        <f t="shared" si="246"/>
        <v>0</v>
      </c>
      <c r="R526" s="926"/>
      <c r="S526" s="927"/>
      <c r="T526" s="928"/>
    </row>
    <row r="527" spans="1:20" ht="15" hidden="1" customHeight="1" outlineLevel="1">
      <c r="A527" s="202" t="str">
        <f>TEXT($A$512,0) &amp; ".5"</f>
        <v>0.5</v>
      </c>
      <c r="B527" s="923"/>
      <c r="C527" s="924"/>
      <c r="D527" s="924"/>
      <c r="E527" s="925"/>
      <c r="F527" s="211"/>
      <c r="G527" s="211"/>
      <c r="H527" s="225"/>
      <c r="I527" s="225"/>
      <c r="J527" s="237"/>
      <c r="K527" s="237"/>
      <c r="L527" s="237"/>
      <c r="M527" s="204">
        <f t="shared" si="247"/>
        <v>0</v>
      </c>
      <c r="N527" s="235">
        <f t="shared" si="244"/>
        <v>0</v>
      </c>
      <c r="O527" s="204">
        <f t="shared" si="248"/>
        <v>0</v>
      </c>
      <c r="P527" s="205">
        <f t="shared" si="245"/>
        <v>0</v>
      </c>
      <c r="Q527" s="205">
        <f t="shared" si="246"/>
        <v>0</v>
      </c>
      <c r="R527" s="926"/>
      <c r="S527" s="927"/>
      <c r="T527" s="928"/>
    </row>
    <row r="528" spans="1:20" ht="15" hidden="1" customHeight="1" outlineLevel="1">
      <c r="A528" s="202" t="str">
        <f>TEXT($A$512,0) &amp; ".6"</f>
        <v>0.6</v>
      </c>
      <c r="B528" s="923"/>
      <c r="C528" s="924"/>
      <c r="D528" s="924"/>
      <c r="E528" s="925"/>
      <c r="F528" s="211"/>
      <c r="G528" s="211"/>
      <c r="H528" s="225"/>
      <c r="I528" s="225"/>
      <c r="J528" s="237"/>
      <c r="K528" s="237"/>
      <c r="L528" s="237"/>
      <c r="M528" s="204">
        <f t="shared" si="247"/>
        <v>0</v>
      </c>
      <c r="N528" s="235">
        <f t="shared" si="244"/>
        <v>0</v>
      </c>
      <c r="O528" s="204">
        <f t="shared" si="248"/>
        <v>0</v>
      </c>
      <c r="P528" s="205">
        <f t="shared" si="245"/>
        <v>0</v>
      </c>
      <c r="Q528" s="205">
        <f t="shared" si="246"/>
        <v>0</v>
      </c>
      <c r="R528" s="926"/>
      <c r="S528" s="927"/>
      <c r="T528" s="928"/>
    </row>
    <row r="529" spans="1:20" ht="15" hidden="1" customHeight="1" outlineLevel="1">
      <c r="A529" s="202" t="str">
        <f>TEXT($A$512,0) &amp; ".7"</f>
        <v>0.7</v>
      </c>
      <c r="B529" s="923"/>
      <c r="C529" s="924"/>
      <c r="D529" s="924"/>
      <c r="E529" s="925"/>
      <c r="F529" s="211"/>
      <c r="G529" s="211"/>
      <c r="H529" s="225"/>
      <c r="I529" s="225"/>
      <c r="J529" s="237"/>
      <c r="K529" s="237"/>
      <c r="L529" s="237"/>
      <c r="M529" s="204">
        <f t="shared" si="247"/>
        <v>0</v>
      </c>
      <c r="N529" s="235">
        <f t="shared" si="244"/>
        <v>0</v>
      </c>
      <c r="O529" s="204">
        <f t="shared" si="248"/>
        <v>0</v>
      </c>
      <c r="P529" s="205">
        <f t="shared" si="245"/>
        <v>0</v>
      </c>
      <c r="Q529" s="205">
        <f t="shared" si="246"/>
        <v>0</v>
      </c>
      <c r="R529" s="926"/>
      <c r="S529" s="927"/>
      <c r="T529" s="928"/>
    </row>
    <row r="530" spans="1:20" ht="15" hidden="1" customHeight="1" outlineLevel="1">
      <c r="A530" s="202" t="str">
        <f>TEXT($A$512,0) &amp; ".8"</f>
        <v>0.8</v>
      </c>
      <c r="B530" s="923"/>
      <c r="C530" s="924"/>
      <c r="D530" s="924"/>
      <c r="E530" s="925"/>
      <c r="F530" s="211"/>
      <c r="G530" s="211"/>
      <c r="H530" s="225"/>
      <c r="I530" s="225"/>
      <c r="J530" s="237"/>
      <c r="K530" s="237"/>
      <c r="L530" s="237"/>
      <c r="M530" s="204">
        <f t="shared" si="247"/>
        <v>0</v>
      </c>
      <c r="N530" s="235">
        <f t="shared" si="244"/>
        <v>0</v>
      </c>
      <c r="O530" s="204">
        <f t="shared" si="248"/>
        <v>0</v>
      </c>
      <c r="P530" s="205">
        <f t="shared" si="245"/>
        <v>0</v>
      </c>
      <c r="Q530" s="205">
        <f t="shared" si="246"/>
        <v>0</v>
      </c>
      <c r="R530" s="926"/>
      <c r="S530" s="927"/>
      <c r="T530" s="928"/>
    </row>
    <row r="531" spans="1:20" ht="15" hidden="1" customHeight="1" outlineLevel="1">
      <c r="A531" s="202" t="str">
        <f>TEXT($A$512,0) &amp; ".9"</f>
        <v>0.9</v>
      </c>
      <c r="B531" s="923"/>
      <c r="C531" s="924"/>
      <c r="D531" s="924"/>
      <c r="E531" s="925"/>
      <c r="F531" s="211"/>
      <c r="G531" s="211"/>
      <c r="H531" s="225"/>
      <c r="I531" s="225"/>
      <c r="J531" s="237"/>
      <c r="K531" s="237"/>
      <c r="L531" s="237"/>
      <c r="M531" s="204">
        <f t="shared" si="247"/>
        <v>0</v>
      </c>
      <c r="N531" s="235">
        <f t="shared" si="244"/>
        <v>0</v>
      </c>
      <c r="O531" s="204">
        <f t="shared" si="248"/>
        <v>0</v>
      </c>
      <c r="P531" s="205">
        <f t="shared" si="245"/>
        <v>0</v>
      </c>
      <c r="Q531" s="205">
        <f t="shared" si="246"/>
        <v>0</v>
      </c>
      <c r="R531" s="926"/>
      <c r="S531" s="927"/>
      <c r="T531" s="928"/>
    </row>
    <row r="532" spans="1:20" ht="15" hidden="1" customHeight="1" outlineLevel="1">
      <c r="A532" s="202" t="str">
        <f>TEXT(A522,0) &amp; ".10"</f>
        <v>0.10.10</v>
      </c>
      <c r="B532" s="923"/>
      <c r="C532" s="924"/>
      <c r="D532" s="924"/>
      <c r="E532" s="925"/>
      <c r="F532" s="211"/>
      <c r="G532" s="211"/>
      <c r="H532" s="225"/>
      <c r="I532" s="225"/>
      <c r="J532" s="237"/>
      <c r="K532" s="237"/>
      <c r="L532" s="237"/>
      <c r="M532" s="204">
        <f t="shared" si="247"/>
        <v>0</v>
      </c>
      <c r="N532" s="235">
        <f>M532</f>
        <v>0</v>
      </c>
      <c r="O532" s="204">
        <f t="shared" si="248"/>
        <v>0</v>
      </c>
      <c r="P532" s="205">
        <f t="shared" si="245"/>
        <v>0</v>
      </c>
      <c r="Q532" s="205">
        <f t="shared" si="246"/>
        <v>0</v>
      </c>
      <c r="R532" s="926"/>
      <c r="S532" s="927"/>
      <c r="T532" s="928"/>
    </row>
    <row r="533" spans="1:20" ht="15" customHeight="1" collapsed="1">
      <c r="A533" s="267"/>
      <c r="B533" s="932"/>
      <c r="C533" s="933"/>
      <c r="D533" s="933"/>
      <c r="E533" s="934"/>
      <c r="F533" s="220"/>
      <c r="G533" s="220"/>
      <c r="H533" s="222"/>
      <c r="I533" s="222" t="str">
        <f>IF(COUNTIF(I534:I553,TMDPhaseTimeAndMaterial)&gt;0,TMDPhaseTimeAndMaterial,IF(COUNTIF(I534:I553,TMDPhaseChangeTimeAndMaterial)&gt;0,TMDPhaseChangeTimeAndMaterial,""))</f>
        <v/>
      </c>
      <c r="J533" s="234">
        <f t="shared" ref="J533:Q533" si="249">SUM(J534:J553)</f>
        <v>0</v>
      </c>
      <c r="K533" s="234">
        <f t="shared" si="249"/>
        <v>0</v>
      </c>
      <c r="L533" s="234">
        <f t="shared" si="249"/>
        <v>0</v>
      </c>
      <c r="M533" s="201">
        <f t="shared" si="249"/>
        <v>0</v>
      </c>
      <c r="N533" s="201">
        <f t="shared" si="249"/>
        <v>0</v>
      </c>
      <c r="O533" s="201">
        <f t="shared" si="249"/>
        <v>0</v>
      </c>
      <c r="P533" s="201">
        <f t="shared" si="249"/>
        <v>0</v>
      </c>
      <c r="Q533" s="201">
        <f t="shared" si="249"/>
        <v>0</v>
      </c>
      <c r="R533" s="936"/>
      <c r="S533" s="936"/>
      <c r="T533" s="936"/>
    </row>
    <row r="534" spans="1:20" ht="15" hidden="1" customHeight="1" outlineLevel="1">
      <c r="A534" s="202" t="str">
        <f>TEXT($A$533,0) &amp; ".1"</f>
        <v>0.1</v>
      </c>
      <c r="B534" s="923"/>
      <c r="C534" s="924"/>
      <c r="D534" s="924"/>
      <c r="E534" s="925"/>
      <c r="F534" s="211"/>
      <c r="G534" s="211"/>
      <c r="H534" s="225"/>
      <c r="I534" s="225"/>
      <c r="J534" s="237"/>
      <c r="K534" s="237"/>
      <c r="L534" s="237"/>
      <c r="M534" s="204">
        <f>(J534+K534*4+L534)/6</f>
        <v>0</v>
      </c>
      <c r="N534" s="235">
        <f t="shared" ref="N534:O542" si="250">M534</f>
        <v>0</v>
      </c>
      <c r="O534" s="204">
        <f t="shared" si="250"/>
        <v>0</v>
      </c>
      <c r="P534" s="205">
        <f t="shared" ref="P534:P543" si="251">IF(H534&lt;&gt;"",INDEX(MDActivityTypeInternalCostPerDay,MATCH(H534,MDActivityTypeID,0),1)*O534,0)</f>
        <v>0</v>
      </c>
      <c r="Q534" s="205">
        <f t="shared" ref="Q534:Q543" si="252">IF(H534&lt;&gt;"",INDEX(MDActivityTypeExternalPricePerDay,MATCH(H534,MDActivityTypeID,0),1)*O534,0)</f>
        <v>0</v>
      </c>
      <c r="R534" s="926"/>
      <c r="S534" s="927"/>
      <c r="T534" s="928"/>
    </row>
    <row r="535" spans="1:20" ht="15" hidden="1" customHeight="1" outlineLevel="1">
      <c r="A535" s="202" t="str">
        <f>TEXT($A$533,0) &amp; ".2"</f>
        <v>0.2</v>
      </c>
      <c r="B535" s="923"/>
      <c r="C535" s="924"/>
      <c r="D535" s="924"/>
      <c r="E535" s="925"/>
      <c r="F535" s="211"/>
      <c r="G535" s="211"/>
      <c r="H535" s="225"/>
      <c r="I535" s="225"/>
      <c r="J535" s="237"/>
      <c r="K535" s="237"/>
      <c r="L535" s="237"/>
      <c r="M535" s="204">
        <f t="shared" ref="M535:M543" si="253">(J535+K535*4+L535)/6</f>
        <v>0</v>
      </c>
      <c r="N535" s="235">
        <f t="shared" si="250"/>
        <v>0</v>
      </c>
      <c r="O535" s="204">
        <f t="shared" si="250"/>
        <v>0</v>
      </c>
      <c r="P535" s="205">
        <f t="shared" si="251"/>
        <v>0</v>
      </c>
      <c r="Q535" s="205">
        <f t="shared" si="252"/>
        <v>0</v>
      </c>
      <c r="R535" s="926"/>
      <c r="S535" s="927"/>
      <c r="T535" s="928"/>
    </row>
    <row r="536" spans="1:20" ht="15" hidden="1" customHeight="1" outlineLevel="1">
      <c r="A536" s="202" t="str">
        <f>TEXT($A$533,0) &amp; ".3"</f>
        <v>0.3</v>
      </c>
      <c r="B536" s="923"/>
      <c r="C536" s="924"/>
      <c r="D536" s="924"/>
      <c r="E536" s="925"/>
      <c r="F536" s="211"/>
      <c r="G536" s="211"/>
      <c r="H536" s="225"/>
      <c r="I536" s="225"/>
      <c r="J536" s="237"/>
      <c r="K536" s="237"/>
      <c r="L536" s="237"/>
      <c r="M536" s="204">
        <f t="shared" si="253"/>
        <v>0</v>
      </c>
      <c r="N536" s="235">
        <f t="shared" si="250"/>
        <v>0</v>
      </c>
      <c r="O536" s="204">
        <f t="shared" si="250"/>
        <v>0</v>
      </c>
      <c r="P536" s="205">
        <f t="shared" si="251"/>
        <v>0</v>
      </c>
      <c r="Q536" s="205">
        <f t="shared" si="252"/>
        <v>0</v>
      </c>
      <c r="R536" s="926"/>
      <c r="S536" s="927"/>
      <c r="T536" s="928"/>
    </row>
    <row r="537" spans="1:20" ht="15" hidden="1" customHeight="1" outlineLevel="1">
      <c r="A537" s="202" t="str">
        <f>TEXT($A$533,0) &amp; ".4"</f>
        <v>0.4</v>
      </c>
      <c r="B537" s="923"/>
      <c r="C537" s="924"/>
      <c r="D537" s="924"/>
      <c r="E537" s="925"/>
      <c r="F537" s="211"/>
      <c r="G537" s="211"/>
      <c r="H537" s="225"/>
      <c r="I537" s="225"/>
      <c r="J537" s="237"/>
      <c r="K537" s="237"/>
      <c r="L537" s="237"/>
      <c r="M537" s="204">
        <f t="shared" si="253"/>
        <v>0</v>
      </c>
      <c r="N537" s="235">
        <f t="shared" si="250"/>
        <v>0</v>
      </c>
      <c r="O537" s="204">
        <f t="shared" si="250"/>
        <v>0</v>
      </c>
      <c r="P537" s="205">
        <f t="shared" si="251"/>
        <v>0</v>
      </c>
      <c r="Q537" s="205">
        <f t="shared" si="252"/>
        <v>0</v>
      </c>
      <c r="R537" s="926"/>
      <c r="S537" s="927"/>
      <c r="T537" s="928"/>
    </row>
    <row r="538" spans="1:20" ht="15" hidden="1" customHeight="1" outlineLevel="1">
      <c r="A538" s="202" t="str">
        <f>TEXT($A$533,0) &amp; ".5"</f>
        <v>0.5</v>
      </c>
      <c r="B538" s="923"/>
      <c r="C538" s="924"/>
      <c r="D538" s="924"/>
      <c r="E538" s="925"/>
      <c r="F538" s="211"/>
      <c r="G538" s="211"/>
      <c r="H538" s="225"/>
      <c r="I538" s="225"/>
      <c r="J538" s="237"/>
      <c r="K538" s="237"/>
      <c r="L538" s="237"/>
      <c r="M538" s="204">
        <f t="shared" si="253"/>
        <v>0</v>
      </c>
      <c r="N538" s="235">
        <f t="shared" si="250"/>
        <v>0</v>
      </c>
      <c r="O538" s="204">
        <f t="shared" si="250"/>
        <v>0</v>
      </c>
      <c r="P538" s="205">
        <f t="shared" si="251"/>
        <v>0</v>
      </c>
      <c r="Q538" s="205">
        <f t="shared" si="252"/>
        <v>0</v>
      </c>
      <c r="R538" s="926"/>
      <c r="S538" s="927"/>
      <c r="T538" s="928"/>
    </row>
    <row r="539" spans="1:20" ht="15" hidden="1" customHeight="1" outlineLevel="1">
      <c r="A539" s="202" t="str">
        <f>TEXT($A$533,0) &amp; ".6"</f>
        <v>0.6</v>
      </c>
      <c r="B539" s="923"/>
      <c r="C539" s="924"/>
      <c r="D539" s="924"/>
      <c r="E539" s="925"/>
      <c r="F539" s="211"/>
      <c r="G539" s="211"/>
      <c r="H539" s="225"/>
      <c r="I539" s="225"/>
      <c r="J539" s="237"/>
      <c r="K539" s="237"/>
      <c r="L539" s="237"/>
      <c r="M539" s="204">
        <f t="shared" si="253"/>
        <v>0</v>
      </c>
      <c r="N539" s="235">
        <f t="shared" si="250"/>
        <v>0</v>
      </c>
      <c r="O539" s="204">
        <f t="shared" si="250"/>
        <v>0</v>
      </c>
      <c r="P539" s="205">
        <f t="shared" si="251"/>
        <v>0</v>
      </c>
      <c r="Q539" s="205">
        <f t="shared" si="252"/>
        <v>0</v>
      </c>
      <c r="R539" s="926"/>
      <c r="S539" s="927"/>
      <c r="T539" s="928"/>
    </row>
    <row r="540" spans="1:20" ht="15" hidden="1" customHeight="1" outlineLevel="1">
      <c r="A540" s="202" t="str">
        <f>TEXT($A$533,0) &amp; ".7"</f>
        <v>0.7</v>
      </c>
      <c r="B540" s="923"/>
      <c r="C540" s="924"/>
      <c r="D540" s="924"/>
      <c r="E540" s="925"/>
      <c r="F540" s="211"/>
      <c r="G540" s="211"/>
      <c r="H540" s="225"/>
      <c r="I540" s="225"/>
      <c r="J540" s="237"/>
      <c r="K540" s="237"/>
      <c r="L540" s="237"/>
      <c r="M540" s="204">
        <f t="shared" si="253"/>
        <v>0</v>
      </c>
      <c r="N540" s="235">
        <f t="shared" si="250"/>
        <v>0</v>
      </c>
      <c r="O540" s="204">
        <f t="shared" si="250"/>
        <v>0</v>
      </c>
      <c r="P540" s="205">
        <f t="shared" si="251"/>
        <v>0</v>
      </c>
      <c r="Q540" s="205">
        <f t="shared" si="252"/>
        <v>0</v>
      </c>
      <c r="R540" s="926"/>
      <c r="S540" s="927"/>
      <c r="T540" s="928"/>
    </row>
    <row r="541" spans="1:20" ht="15" hidden="1" customHeight="1" outlineLevel="1">
      <c r="A541" s="202" t="str">
        <f>TEXT($A$533,0) &amp; ".8"</f>
        <v>0.8</v>
      </c>
      <c r="B541" s="923"/>
      <c r="C541" s="924"/>
      <c r="D541" s="924"/>
      <c r="E541" s="925"/>
      <c r="F541" s="211"/>
      <c r="G541" s="211"/>
      <c r="H541" s="225"/>
      <c r="I541" s="225"/>
      <c r="J541" s="237"/>
      <c r="K541" s="237"/>
      <c r="L541" s="237"/>
      <c r="M541" s="204">
        <f t="shared" si="253"/>
        <v>0</v>
      </c>
      <c r="N541" s="235">
        <f t="shared" si="250"/>
        <v>0</v>
      </c>
      <c r="O541" s="204">
        <f t="shared" si="250"/>
        <v>0</v>
      </c>
      <c r="P541" s="205">
        <f t="shared" si="251"/>
        <v>0</v>
      </c>
      <c r="Q541" s="205">
        <f t="shared" si="252"/>
        <v>0</v>
      </c>
      <c r="R541" s="926"/>
      <c r="S541" s="927"/>
      <c r="T541" s="928"/>
    </row>
    <row r="542" spans="1:20" ht="15" hidden="1" customHeight="1" outlineLevel="1">
      <c r="A542" s="202" t="str">
        <f>TEXT($A$533,0) &amp; ".9"</f>
        <v>0.9</v>
      </c>
      <c r="B542" s="923"/>
      <c r="C542" s="924"/>
      <c r="D542" s="924"/>
      <c r="E542" s="925"/>
      <c r="F542" s="211"/>
      <c r="G542" s="211"/>
      <c r="H542" s="225"/>
      <c r="I542" s="225"/>
      <c r="J542" s="237"/>
      <c r="K542" s="237"/>
      <c r="L542" s="237"/>
      <c r="M542" s="204">
        <f t="shared" si="253"/>
        <v>0</v>
      </c>
      <c r="N542" s="235">
        <f t="shared" si="250"/>
        <v>0</v>
      </c>
      <c r="O542" s="204">
        <f t="shared" si="250"/>
        <v>0</v>
      </c>
      <c r="P542" s="205">
        <f t="shared" si="251"/>
        <v>0</v>
      </c>
      <c r="Q542" s="205">
        <f t="shared" si="252"/>
        <v>0</v>
      </c>
      <c r="R542" s="926"/>
      <c r="S542" s="927"/>
      <c r="T542" s="928"/>
    </row>
    <row r="543" spans="1:20" ht="15" hidden="1" customHeight="1" outlineLevel="1">
      <c r="A543" s="202" t="str">
        <f>TEXT($A$533,0) &amp; ".10"</f>
        <v>0.10</v>
      </c>
      <c r="B543" s="923"/>
      <c r="C543" s="924"/>
      <c r="D543" s="924"/>
      <c r="E543" s="925"/>
      <c r="F543" s="211"/>
      <c r="G543" s="211"/>
      <c r="H543" s="225"/>
      <c r="I543" s="225"/>
      <c r="J543" s="237"/>
      <c r="K543" s="237"/>
      <c r="L543" s="237"/>
      <c r="M543" s="204">
        <f t="shared" si="253"/>
        <v>0</v>
      </c>
      <c r="N543" s="235">
        <f t="shared" ref="N543:O552" si="254">M543</f>
        <v>0</v>
      </c>
      <c r="O543" s="204">
        <f t="shared" si="254"/>
        <v>0</v>
      </c>
      <c r="P543" s="205">
        <f t="shared" si="251"/>
        <v>0</v>
      </c>
      <c r="Q543" s="205">
        <f t="shared" si="252"/>
        <v>0</v>
      </c>
      <c r="R543" s="926"/>
      <c r="S543" s="927"/>
      <c r="T543" s="928"/>
    </row>
    <row r="544" spans="1:20" ht="15" hidden="1" customHeight="1" outlineLevel="1">
      <c r="A544" s="202" t="str">
        <f>TEXT($A$533,0) &amp; ".1"</f>
        <v>0.1</v>
      </c>
      <c r="B544" s="923"/>
      <c r="C544" s="924"/>
      <c r="D544" s="924"/>
      <c r="E544" s="925"/>
      <c r="F544" s="211"/>
      <c r="G544" s="211"/>
      <c r="H544" s="225"/>
      <c r="I544" s="225"/>
      <c r="J544" s="237"/>
      <c r="K544" s="237"/>
      <c r="L544" s="237"/>
      <c r="M544" s="204">
        <f>(J544+K544*4+L544)/6</f>
        <v>0</v>
      </c>
      <c r="N544" s="235">
        <f t="shared" si="254"/>
        <v>0</v>
      </c>
      <c r="O544" s="204">
        <f>N544</f>
        <v>0</v>
      </c>
      <c r="P544" s="205">
        <f t="shared" ref="P544:P553" si="255">IF(H544&lt;&gt;"",INDEX(MDActivityTypeInternalCostPerDay,MATCH(H544,MDActivityTypeID,0),1)*O544,0)</f>
        <v>0</v>
      </c>
      <c r="Q544" s="205">
        <f t="shared" ref="Q544:Q553" si="256">IF(H544&lt;&gt;"",INDEX(MDActivityTypeExternalPricePerDay,MATCH(H544,MDActivityTypeID,0),1)*O544,0)</f>
        <v>0</v>
      </c>
      <c r="R544" s="926"/>
      <c r="S544" s="927"/>
      <c r="T544" s="928"/>
    </row>
    <row r="545" spans="1:20" ht="15" hidden="1" customHeight="1" outlineLevel="1">
      <c r="A545" s="202" t="str">
        <f>TEXT($A$533,0) &amp; ".2"</f>
        <v>0.2</v>
      </c>
      <c r="B545" s="923"/>
      <c r="C545" s="924"/>
      <c r="D545" s="924"/>
      <c r="E545" s="925"/>
      <c r="F545" s="211"/>
      <c r="G545" s="211"/>
      <c r="H545" s="225"/>
      <c r="I545" s="225"/>
      <c r="J545" s="237"/>
      <c r="K545" s="237"/>
      <c r="L545" s="237"/>
      <c r="M545" s="204">
        <f t="shared" ref="M545:M553" si="257">(J545+K545*4+L545)/6</f>
        <v>0</v>
      </c>
      <c r="N545" s="235">
        <f t="shared" si="254"/>
        <v>0</v>
      </c>
      <c r="O545" s="204">
        <f t="shared" ref="O545:O553" si="258">N545</f>
        <v>0</v>
      </c>
      <c r="P545" s="205">
        <f t="shared" si="255"/>
        <v>0</v>
      </c>
      <c r="Q545" s="205">
        <f t="shared" si="256"/>
        <v>0</v>
      </c>
      <c r="R545" s="926"/>
      <c r="S545" s="927"/>
      <c r="T545" s="928"/>
    </row>
    <row r="546" spans="1:20" ht="15" hidden="1" customHeight="1" outlineLevel="1">
      <c r="A546" s="202" t="str">
        <f>TEXT($A$533,0) &amp; ".3"</f>
        <v>0.3</v>
      </c>
      <c r="B546" s="923"/>
      <c r="C546" s="924"/>
      <c r="D546" s="924"/>
      <c r="E546" s="925"/>
      <c r="F546" s="211"/>
      <c r="G546" s="211"/>
      <c r="H546" s="225"/>
      <c r="I546" s="225"/>
      <c r="J546" s="237"/>
      <c r="K546" s="237"/>
      <c r="L546" s="237"/>
      <c r="M546" s="204">
        <f t="shared" si="257"/>
        <v>0</v>
      </c>
      <c r="N546" s="235">
        <f t="shared" si="254"/>
        <v>0</v>
      </c>
      <c r="O546" s="204">
        <f t="shared" si="258"/>
        <v>0</v>
      </c>
      <c r="P546" s="205">
        <f t="shared" si="255"/>
        <v>0</v>
      </c>
      <c r="Q546" s="205">
        <f t="shared" si="256"/>
        <v>0</v>
      </c>
      <c r="R546" s="926"/>
      <c r="S546" s="927"/>
      <c r="T546" s="928"/>
    </row>
    <row r="547" spans="1:20" ht="15" hidden="1" customHeight="1" outlineLevel="1">
      <c r="A547" s="202" t="str">
        <f>TEXT($A$533,0) &amp; ".4"</f>
        <v>0.4</v>
      </c>
      <c r="B547" s="923"/>
      <c r="C547" s="924"/>
      <c r="D547" s="924"/>
      <c r="E547" s="925"/>
      <c r="F547" s="211"/>
      <c r="G547" s="211"/>
      <c r="H547" s="225"/>
      <c r="I547" s="225"/>
      <c r="J547" s="237"/>
      <c r="K547" s="237"/>
      <c r="L547" s="237"/>
      <c r="M547" s="204">
        <f t="shared" si="257"/>
        <v>0</v>
      </c>
      <c r="N547" s="235">
        <f t="shared" si="254"/>
        <v>0</v>
      </c>
      <c r="O547" s="204">
        <f t="shared" si="258"/>
        <v>0</v>
      </c>
      <c r="P547" s="205">
        <f t="shared" si="255"/>
        <v>0</v>
      </c>
      <c r="Q547" s="205">
        <f t="shared" si="256"/>
        <v>0</v>
      </c>
      <c r="R547" s="926"/>
      <c r="S547" s="927"/>
      <c r="T547" s="928"/>
    </row>
    <row r="548" spans="1:20" ht="15" hidden="1" customHeight="1" outlineLevel="1">
      <c r="A548" s="202" t="str">
        <f>TEXT($A$533,0) &amp; ".5"</f>
        <v>0.5</v>
      </c>
      <c r="B548" s="923"/>
      <c r="C548" s="924"/>
      <c r="D548" s="924"/>
      <c r="E548" s="925"/>
      <c r="F548" s="211"/>
      <c r="G548" s="211"/>
      <c r="H548" s="225"/>
      <c r="I548" s="225"/>
      <c r="J548" s="237"/>
      <c r="K548" s="237"/>
      <c r="L548" s="237"/>
      <c r="M548" s="204">
        <f t="shared" si="257"/>
        <v>0</v>
      </c>
      <c r="N548" s="235">
        <f t="shared" si="254"/>
        <v>0</v>
      </c>
      <c r="O548" s="204">
        <f t="shared" si="258"/>
        <v>0</v>
      </c>
      <c r="P548" s="205">
        <f t="shared" si="255"/>
        <v>0</v>
      </c>
      <c r="Q548" s="205">
        <f t="shared" si="256"/>
        <v>0</v>
      </c>
      <c r="R548" s="926"/>
      <c r="S548" s="927"/>
      <c r="T548" s="928"/>
    </row>
    <row r="549" spans="1:20" ht="15" hidden="1" customHeight="1" outlineLevel="1">
      <c r="A549" s="202" t="str">
        <f>TEXT($A$533,0) &amp; ".6"</f>
        <v>0.6</v>
      </c>
      <c r="B549" s="923"/>
      <c r="C549" s="924"/>
      <c r="D549" s="924"/>
      <c r="E549" s="925"/>
      <c r="F549" s="211"/>
      <c r="G549" s="211"/>
      <c r="H549" s="225"/>
      <c r="I549" s="225"/>
      <c r="J549" s="237"/>
      <c r="K549" s="237"/>
      <c r="L549" s="237"/>
      <c r="M549" s="204">
        <f t="shared" si="257"/>
        <v>0</v>
      </c>
      <c r="N549" s="235">
        <f t="shared" si="254"/>
        <v>0</v>
      </c>
      <c r="O549" s="204">
        <f t="shared" si="258"/>
        <v>0</v>
      </c>
      <c r="P549" s="205">
        <f t="shared" si="255"/>
        <v>0</v>
      </c>
      <c r="Q549" s="205">
        <f t="shared" si="256"/>
        <v>0</v>
      </c>
      <c r="R549" s="926"/>
      <c r="S549" s="927"/>
      <c r="T549" s="928"/>
    </row>
    <row r="550" spans="1:20" ht="15" hidden="1" customHeight="1" outlineLevel="1">
      <c r="A550" s="202" t="str">
        <f>TEXT($A$533,0) &amp; ".7"</f>
        <v>0.7</v>
      </c>
      <c r="B550" s="923"/>
      <c r="C550" s="924"/>
      <c r="D550" s="924"/>
      <c r="E550" s="925"/>
      <c r="F550" s="211"/>
      <c r="G550" s="211"/>
      <c r="H550" s="225"/>
      <c r="I550" s="225"/>
      <c r="J550" s="237"/>
      <c r="K550" s="237"/>
      <c r="L550" s="237"/>
      <c r="M550" s="204">
        <f t="shared" si="257"/>
        <v>0</v>
      </c>
      <c r="N550" s="235">
        <f t="shared" si="254"/>
        <v>0</v>
      </c>
      <c r="O550" s="204">
        <f t="shared" si="258"/>
        <v>0</v>
      </c>
      <c r="P550" s="205">
        <f t="shared" si="255"/>
        <v>0</v>
      </c>
      <c r="Q550" s="205">
        <f t="shared" si="256"/>
        <v>0</v>
      </c>
      <c r="R550" s="926"/>
      <c r="S550" s="927"/>
      <c r="T550" s="928"/>
    </row>
    <row r="551" spans="1:20" ht="15" hidden="1" customHeight="1" outlineLevel="1">
      <c r="A551" s="202" t="str">
        <f>TEXT($A$533,0) &amp; ".8"</f>
        <v>0.8</v>
      </c>
      <c r="B551" s="923"/>
      <c r="C551" s="924"/>
      <c r="D551" s="924"/>
      <c r="E551" s="925"/>
      <c r="F551" s="211"/>
      <c r="G551" s="211"/>
      <c r="H551" s="225"/>
      <c r="I551" s="225"/>
      <c r="J551" s="237"/>
      <c r="K551" s="237"/>
      <c r="L551" s="237"/>
      <c r="M551" s="204">
        <f t="shared" si="257"/>
        <v>0</v>
      </c>
      <c r="N551" s="235">
        <f t="shared" si="254"/>
        <v>0</v>
      </c>
      <c r="O551" s="204">
        <f t="shared" si="258"/>
        <v>0</v>
      </c>
      <c r="P551" s="205">
        <f t="shared" si="255"/>
        <v>0</v>
      </c>
      <c r="Q551" s="205">
        <f t="shared" si="256"/>
        <v>0</v>
      </c>
      <c r="R551" s="926"/>
      <c r="S551" s="927"/>
      <c r="T551" s="928"/>
    </row>
    <row r="552" spans="1:20" ht="15" hidden="1" customHeight="1" outlineLevel="1">
      <c r="A552" s="202" t="str">
        <f>TEXT($A$533,0) &amp; ".9"</f>
        <v>0.9</v>
      </c>
      <c r="B552" s="923"/>
      <c r="C552" s="924"/>
      <c r="D552" s="924"/>
      <c r="E552" s="925"/>
      <c r="F552" s="211"/>
      <c r="G552" s="211"/>
      <c r="H552" s="225"/>
      <c r="I552" s="225"/>
      <c r="J552" s="237"/>
      <c r="K552" s="237"/>
      <c r="L552" s="237"/>
      <c r="M552" s="204">
        <f t="shared" si="257"/>
        <v>0</v>
      </c>
      <c r="N552" s="235">
        <f t="shared" si="254"/>
        <v>0</v>
      </c>
      <c r="O552" s="204">
        <f t="shared" si="258"/>
        <v>0</v>
      </c>
      <c r="P552" s="205">
        <f t="shared" si="255"/>
        <v>0</v>
      </c>
      <c r="Q552" s="205">
        <f t="shared" si="256"/>
        <v>0</v>
      </c>
      <c r="R552" s="926"/>
      <c r="S552" s="927"/>
      <c r="T552" s="928"/>
    </row>
    <row r="553" spans="1:20" ht="15" hidden="1" customHeight="1" outlineLevel="1">
      <c r="A553" s="202" t="str">
        <f>TEXT($A$533,0) &amp; ".10"</f>
        <v>0.10</v>
      </c>
      <c r="B553" s="923"/>
      <c r="C553" s="924"/>
      <c r="D553" s="924"/>
      <c r="E553" s="925"/>
      <c r="F553" s="211"/>
      <c r="G553" s="211"/>
      <c r="H553" s="225"/>
      <c r="I553" s="225"/>
      <c r="J553" s="237"/>
      <c r="K553" s="237"/>
      <c r="L553" s="237"/>
      <c r="M553" s="204">
        <f t="shared" si="257"/>
        <v>0</v>
      </c>
      <c r="N553" s="235">
        <f>M553</f>
        <v>0</v>
      </c>
      <c r="O553" s="204">
        <f t="shared" si="258"/>
        <v>0</v>
      </c>
      <c r="P553" s="205">
        <f t="shared" si="255"/>
        <v>0</v>
      </c>
      <c r="Q553" s="205">
        <f t="shared" si="256"/>
        <v>0</v>
      </c>
      <c r="R553" s="926"/>
      <c r="S553" s="927"/>
      <c r="T553" s="928"/>
    </row>
    <row r="554" spans="1:20" ht="15" customHeight="1" collapsed="1">
      <c r="A554" s="267"/>
      <c r="B554" s="932"/>
      <c r="C554" s="933"/>
      <c r="D554" s="933"/>
      <c r="E554" s="934"/>
      <c r="F554" s="220"/>
      <c r="G554" s="220"/>
      <c r="H554" s="222"/>
      <c r="I554" s="222" t="str">
        <f>IF(COUNTIF(I555:I574,TMDPhaseTimeAndMaterial)&gt;0,TMDPhaseTimeAndMaterial,IF(COUNTIF(I555:I574,TMDPhaseChangeTimeAndMaterial)&gt;0,TMDPhaseChangeTimeAndMaterial,""))</f>
        <v/>
      </c>
      <c r="J554" s="234">
        <f t="shared" ref="J554:Q554" si="259">SUM(J555:J574)</f>
        <v>0</v>
      </c>
      <c r="K554" s="234">
        <f t="shared" si="259"/>
        <v>0</v>
      </c>
      <c r="L554" s="234">
        <f t="shared" si="259"/>
        <v>0</v>
      </c>
      <c r="M554" s="201">
        <f t="shared" si="259"/>
        <v>0</v>
      </c>
      <c r="N554" s="201">
        <f t="shared" si="259"/>
        <v>0</v>
      </c>
      <c r="O554" s="201">
        <f t="shared" si="259"/>
        <v>0</v>
      </c>
      <c r="P554" s="201">
        <f t="shared" si="259"/>
        <v>0</v>
      </c>
      <c r="Q554" s="201">
        <f t="shared" si="259"/>
        <v>0</v>
      </c>
      <c r="R554" s="935"/>
      <c r="S554" s="935"/>
      <c r="T554" s="935"/>
    </row>
    <row r="555" spans="1:20" ht="15" hidden="1" customHeight="1" outlineLevel="1">
      <c r="A555" s="202" t="str">
        <f>TEXT($A$554,0) &amp; ".1"</f>
        <v>0.1</v>
      </c>
      <c r="B555" s="923"/>
      <c r="C555" s="924"/>
      <c r="D555" s="924"/>
      <c r="E555" s="925"/>
      <c r="F555" s="211"/>
      <c r="G555" s="211"/>
      <c r="H555" s="225"/>
      <c r="I555" s="225"/>
      <c r="J555" s="237"/>
      <c r="K555" s="237"/>
      <c r="L555" s="237"/>
      <c r="M555" s="204">
        <f>(J555+K555*4+L555)/6</f>
        <v>0</v>
      </c>
      <c r="N555" s="235">
        <f t="shared" ref="N555:O563" si="260">M555</f>
        <v>0</v>
      </c>
      <c r="O555" s="204">
        <f t="shared" si="260"/>
        <v>0</v>
      </c>
      <c r="P555" s="205">
        <f t="shared" ref="P555:P564" si="261">IF(H555&lt;&gt;"",INDEX(MDActivityTypeInternalCostPerDay,MATCH(H555,MDActivityTypeID,0),1)*O555,0)</f>
        <v>0</v>
      </c>
      <c r="Q555" s="205">
        <f t="shared" ref="Q555:Q564" si="262">IF(H555&lt;&gt;"",INDEX(MDActivityTypeExternalPricePerDay,MATCH(H555,MDActivityTypeID,0),1)*O555,0)</f>
        <v>0</v>
      </c>
      <c r="R555" s="926"/>
      <c r="S555" s="927"/>
      <c r="T555" s="928"/>
    </row>
    <row r="556" spans="1:20" ht="15" hidden="1" customHeight="1" outlineLevel="1">
      <c r="A556" s="202" t="str">
        <f>TEXT($A$554,0) &amp; ".2"</f>
        <v>0.2</v>
      </c>
      <c r="B556" s="923"/>
      <c r="C556" s="924"/>
      <c r="D556" s="924"/>
      <c r="E556" s="925"/>
      <c r="F556" s="211"/>
      <c r="G556" s="211"/>
      <c r="H556" s="225"/>
      <c r="I556" s="225"/>
      <c r="J556" s="237"/>
      <c r="K556" s="237"/>
      <c r="L556" s="237"/>
      <c r="M556" s="204">
        <f t="shared" ref="M556:M564" si="263">(J556+K556*4+L556)/6</f>
        <v>0</v>
      </c>
      <c r="N556" s="235">
        <f t="shared" si="260"/>
        <v>0</v>
      </c>
      <c r="O556" s="204">
        <f t="shared" si="260"/>
        <v>0</v>
      </c>
      <c r="P556" s="205">
        <f t="shared" si="261"/>
        <v>0</v>
      </c>
      <c r="Q556" s="205">
        <f t="shared" si="262"/>
        <v>0</v>
      </c>
      <c r="R556" s="926"/>
      <c r="S556" s="927"/>
      <c r="T556" s="928"/>
    </row>
    <row r="557" spans="1:20" ht="15" hidden="1" customHeight="1" outlineLevel="1">
      <c r="A557" s="202" t="str">
        <f>TEXT($A$554,0) &amp; ".3"</f>
        <v>0.3</v>
      </c>
      <c r="B557" s="923"/>
      <c r="C557" s="924"/>
      <c r="D557" s="924"/>
      <c r="E557" s="925"/>
      <c r="F557" s="211"/>
      <c r="G557" s="211"/>
      <c r="H557" s="225"/>
      <c r="I557" s="225"/>
      <c r="J557" s="237"/>
      <c r="K557" s="237"/>
      <c r="L557" s="237"/>
      <c r="M557" s="204">
        <f t="shared" si="263"/>
        <v>0</v>
      </c>
      <c r="N557" s="235">
        <f t="shared" si="260"/>
        <v>0</v>
      </c>
      <c r="O557" s="204">
        <f t="shared" si="260"/>
        <v>0</v>
      </c>
      <c r="P557" s="205">
        <f t="shared" si="261"/>
        <v>0</v>
      </c>
      <c r="Q557" s="205">
        <f t="shared" si="262"/>
        <v>0</v>
      </c>
      <c r="R557" s="926"/>
      <c r="S557" s="927"/>
      <c r="T557" s="928"/>
    </row>
    <row r="558" spans="1:20" ht="15" hidden="1" customHeight="1" outlineLevel="1">
      <c r="A558" s="202" t="str">
        <f>TEXT($A$554,0) &amp; ".4"</f>
        <v>0.4</v>
      </c>
      <c r="B558" s="923"/>
      <c r="C558" s="924"/>
      <c r="D558" s="924"/>
      <c r="E558" s="925"/>
      <c r="F558" s="211"/>
      <c r="G558" s="211"/>
      <c r="H558" s="225"/>
      <c r="I558" s="225"/>
      <c r="J558" s="237"/>
      <c r="K558" s="237"/>
      <c r="L558" s="237"/>
      <c r="M558" s="204">
        <f t="shared" si="263"/>
        <v>0</v>
      </c>
      <c r="N558" s="235">
        <f t="shared" si="260"/>
        <v>0</v>
      </c>
      <c r="O558" s="204">
        <f t="shared" si="260"/>
        <v>0</v>
      </c>
      <c r="P558" s="205">
        <f t="shared" si="261"/>
        <v>0</v>
      </c>
      <c r="Q558" s="205">
        <f t="shared" si="262"/>
        <v>0</v>
      </c>
      <c r="R558" s="926"/>
      <c r="S558" s="927"/>
      <c r="T558" s="928"/>
    </row>
    <row r="559" spans="1:20" ht="15" hidden="1" customHeight="1" outlineLevel="1">
      <c r="A559" s="202" t="str">
        <f>TEXT($A$554,0) &amp; ".5"</f>
        <v>0.5</v>
      </c>
      <c r="B559" s="923"/>
      <c r="C559" s="924"/>
      <c r="D559" s="924"/>
      <c r="E559" s="925"/>
      <c r="F559" s="211"/>
      <c r="G559" s="211"/>
      <c r="H559" s="225"/>
      <c r="I559" s="225"/>
      <c r="J559" s="237"/>
      <c r="K559" s="237"/>
      <c r="L559" s="237"/>
      <c r="M559" s="204">
        <f t="shared" si="263"/>
        <v>0</v>
      </c>
      <c r="N559" s="235">
        <f t="shared" si="260"/>
        <v>0</v>
      </c>
      <c r="O559" s="204">
        <f t="shared" si="260"/>
        <v>0</v>
      </c>
      <c r="P559" s="205">
        <f t="shared" si="261"/>
        <v>0</v>
      </c>
      <c r="Q559" s="205">
        <f t="shared" si="262"/>
        <v>0</v>
      </c>
      <c r="R559" s="926"/>
      <c r="S559" s="927"/>
      <c r="T559" s="928"/>
    </row>
    <row r="560" spans="1:20" ht="15" hidden="1" customHeight="1" outlineLevel="1">
      <c r="A560" s="202" t="str">
        <f>TEXT($A$554,0) &amp; ".6"</f>
        <v>0.6</v>
      </c>
      <c r="B560" s="923"/>
      <c r="C560" s="924"/>
      <c r="D560" s="924"/>
      <c r="E560" s="925"/>
      <c r="F560" s="211"/>
      <c r="G560" s="211"/>
      <c r="H560" s="225"/>
      <c r="I560" s="225"/>
      <c r="J560" s="237"/>
      <c r="K560" s="237"/>
      <c r="L560" s="237"/>
      <c r="M560" s="204">
        <f t="shared" si="263"/>
        <v>0</v>
      </c>
      <c r="N560" s="235">
        <f t="shared" si="260"/>
        <v>0</v>
      </c>
      <c r="O560" s="204">
        <f t="shared" si="260"/>
        <v>0</v>
      </c>
      <c r="P560" s="205">
        <f t="shared" si="261"/>
        <v>0</v>
      </c>
      <c r="Q560" s="205">
        <f t="shared" si="262"/>
        <v>0</v>
      </c>
      <c r="R560" s="926"/>
      <c r="S560" s="927"/>
      <c r="T560" s="928"/>
    </row>
    <row r="561" spans="1:20" ht="15" hidden="1" customHeight="1" outlineLevel="1">
      <c r="A561" s="202" t="str">
        <f>TEXT($A$554,0) &amp; ".7"</f>
        <v>0.7</v>
      </c>
      <c r="B561" s="923"/>
      <c r="C561" s="924"/>
      <c r="D561" s="924"/>
      <c r="E561" s="925"/>
      <c r="F561" s="211"/>
      <c r="G561" s="211"/>
      <c r="H561" s="225"/>
      <c r="I561" s="225"/>
      <c r="J561" s="237"/>
      <c r="K561" s="237"/>
      <c r="L561" s="237"/>
      <c r="M561" s="204">
        <f t="shared" si="263"/>
        <v>0</v>
      </c>
      <c r="N561" s="235">
        <f t="shared" si="260"/>
        <v>0</v>
      </c>
      <c r="O561" s="204">
        <f t="shared" si="260"/>
        <v>0</v>
      </c>
      <c r="P561" s="205">
        <f t="shared" si="261"/>
        <v>0</v>
      </c>
      <c r="Q561" s="205">
        <f t="shared" si="262"/>
        <v>0</v>
      </c>
      <c r="R561" s="926"/>
      <c r="S561" s="927"/>
      <c r="T561" s="928"/>
    </row>
    <row r="562" spans="1:20" ht="15" hidden="1" customHeight="1" outlineLevel="1">
      <c r="A562" s="202" t="str">
        <f>TEXT($A$554,0) &amp; ".8"</f>
        <v>0.8</v>
      </c>
      <c r="B562" s="923"/>
      <c r="C562" s="924"/>
      <c r="D562" s="924"/>
      <c r="E562" s="925"/>
      <c r="F562" s="211"/>
      <c r="G562" s="211"/>
      <c r="H562" s="225"/>
      <c r="I562" s="225"/>
      <c r="J562" s="237"/>
      <c r="K562" s="237"/>
      <c r="L562" s="237"/>
      <c r="M562" s="204">
        <f t="shared" si="263"/>
        <v>0</v>
      </c>
      <c r="N562" s="235">
        <f t="shared" si="260"/>
        <v>0</v>
      </c>
      <c r="O562" s="204">
        <f t="shared" si="260"/>
        <v>0</v>
      </c>
      <c r="P562" s="205">
        <f t="shared" si="261"/>
        <v>0</v>
      </c>
      <c r="Q562" s="205">
        <f t="shared" si="262"/>
        <v>0</v>
      </c>
      <c r="R562" s="926"/>
      <c r="S562" s="927"/>
      <c r="T562" s="928"/>
    </row>
    <row r="563" spans="1:20" ht="15" hidden="1" customHeight="1" outlineLevel="1">
      <c r="A563" s="202" t="str">
        <f>TEXT($A$554,0) &amp; ".9"</f>
        <v>0.9</v>
      </c>
      <c r="B563" s="923"/>
      <c r="C563" s="924"/>
      <c r="D563" s="924"/>
      <c r="E563" s="925"/>
      <c r="F563" s="211"/>
      <c r="G563" s="211"/>
      <c r="H563" s="225"/>
      <c r="I563" s="225"/>
      <c r="J563" s="237"/>
      <c r="K563" s="237"/>
      <c r="L563" s="237"/>
      <c r="M563" s="204">
        <f t="shared" si="263"/>
        <v>0</v>
      </c>
      <c r="N563" s="235">
        <f t="shared" si="260"/>
        <v>0</v>
      </c>
      <c r="O563" s="204">
        <f t="shared" si="260"/>
        <v>0</v>
      </c>
      <c r="P563" s="205">
        <f t="shared" si="261"/>
        <v>0</v>
      </c>
      <c r="Q563" s="205">
        <f t="shared" si="262"/>
        <v>0</v>
      </c>
      <c r="R563" s="926"/>
      <c r="S563" s="927"/>
      <c r="T563" s="928"/>
    </row>
    <row r="564" spans="1:20" ht="15" hidden="1" customHeight="1" outlineLevel="1">
      <c r="A564" s="202" t="str">
        <f>TEXT($A$554,0) &amp; ".10"</f>
        <v>0.10</v>
      </c>
      <c r="B564" s="923"/>
      <c r="C564" s="924"/>
      <c r="D564" s="924"/>
      <c r="E564" s="925"/>
      <c r="F564" s="211"/>
      <c r="G564" s="211"/>
      <c r="H564" s="225"/>
      <c r="I564" s="225"/>
      <c r="J564" s="237"/>
      <c r="K564" s="237"/>
      <c r="L564" s="237"/>
      <c r="M564" s="204">
        <f t="shared" si="263"/>
        <v>0</v>
      </c>
      <c r="N564" s="235">
        <f t="shared" ref="N564:O573" si="264">M564</f>
        <v>0</v>
      </c>
      <c r="O564" s="204">
        <f t="shared" si="264"/>
        <v>0</v>
      </c>
      <c r="P564" s="205">
        <f t="shared" si="261"/>
        <v>0</v>
      </c>
      <c r="Q564" s="205">
        <f t="shared" si="262"/>
        <v>0</v>
      </c>
      <c r="R564" s="926"/>
      <c r="S564" s="927"/>
      <c r="T564" s="928"/>
    </row>
    <row r="565" spans="1:20" ht="15" hidden="1" customHeight="1" outlineLevel="1">
      <c r="A565" s="202" t="str">
        <f>TEXT($A$554,0) &amp; ".1"</f>
        <v>0.1</v>
      </c>
      <c r="B565" s="923"/>
      <c r="C565" s="924"/>
      <c r="D565" s="924"/>
      <c r="E565" s="925"/>
      <c r="F565" s="211"/>
      <c r="G565" s="211"/>
      <c r="H565" s="225"/>
      <c r="I565" s="225"/>
      <c r="J565" s="237"/>
      <c r="K565" s="237"/>
      <c r="L565" s="237"/>
      <c r="M565" s="204">
        <f>(J565+K565*4+L565)/6</f>
        <v>0</v>
      </c>
      <c r="N565" s="235">
        <f t="shared" si="264"/>
        <v>0</v>
      </c>
      <c r="O565" s="204">
        <f>N565</f>
        <v>0</v>
      </c>
      <c r="P565" s="205">
        <f t="shared" ref="P565:P574" si="265">IF(H565&lt;&gt;"",INDEX(MDActivityTypeInternalCostPerDay,MATCH(H565,MDActivityTypeID,0),1)*O565,0)</f>
        <v>0</v>
      </c>
      <c r="Q565" s="205">
        <f t="shared" ref="Q565:Q574" si="266">IF(H565&lt;&gt;"",INDEX(MDActivityTypeExternalPricePerDay,MATCH(H565,MDActivityTypeID,0),1)*O565,0)</f>
        <v>0</v>
      </c>
      <c r="R565" s="926"/>
      <c r="S565" s="927"/>
      <c r="T565" s="928"/>
    </row>
    <row r="566" spans="1:20" ht="15" hidden="1" customHeight="1" outlineLevel="1">
      <c r="A566" s="202" t="str">
        <f>TEXT($A$554,0) &amp; ".2"</f>
        <v>0.2</v>
      </c>
      <c r="B566" s="923"/>
      <c r="C566" s="924"/>
      <c r="D566" s="924"/>
      <c r="E566" s="925"/>
      <c r="F566" s="211"/>
      <c r="G566" s="211"/>
      <c r="H566" s="225"/>
      <c r="I566" s="225"/>
      <c r="J566" s="237"/>
      <c r="K566" s="237"/>
      <c r="L566" s="237"/>
      <c r="M566" s="204">
        <f t="shared" ref="M566:M574" si="267">(J566+K566*4+L566)/6</f>
        <v>0</v>
      </c>
      <c r="N566" s="235">
        <f t="shared" si="264"/>
        <v>0</v>
      </c>
      <c r="O566" s="204">
        <f t="shared" ref="O566:O574" si="268">N566</f>
        <v>0</v>
      </c>
      <c r="P566" s="205">
        <f t="shared" si="265"/>
        <v>0</v>
      </c>
      <c r="Q566" s="205">
        <f t="shared" si="266"/>
        <v>0</v>
      </c>
      <c r="R566" s="926"/>
      <c r="S566" s="927"/>
      <c r="T566" s="928"/>
    </row>
    <row r="567" spans="1:20" ht="15" hidden="1" customHeight="1" outlineLevel="1">
      <c r="A567" s="202" t="str">
        <f>TEXT($A$554,0) &amp; ".3"</f>
        <v>0.3</v>
      </c>
      <c r="B567" s="923"/>
      <c r="C567" s="924"/>
      <c r="D567" s="924"/>
      <c r="E567" s="925"/>
      <c r="F567" s="211"/>
      <c r="G567" s="211"/>
      <c r="H567" s="225"/>
      <c r="I567" s="225"/>
      <c r="J567" s="237"/>
      <c r="K567" s="237"/>
      <c r="L567" s="237"/>
      <c r="M567" s="204">
        <f t="shared" si="267"/>
        <v>0</v>
      </c>
      <c r="N567" s="235">
        <f t="shared" si="264"/>
        <v>0</v>
      </c>
      <c r="O567" s="204">
        <f t="shared" si="268"/>
        <v>0</v>
      </c>
      <c r="P567" s="205">
        <f t="shared" si="265"/>
        <v>0</v>
      </c>
      <c r="Q567" s="205">
        <f t="shared" si="266"/>
        <v>0</v>
      </c>
      <c r="R567" s="926"/>
      <c r="S567" s="927"/>
      <c r="T567" s="928"/>
    </row>
    <row r="568" spans="1:20" ht="15" hidden="1" customHeight="1" outlineLevel="1">
      <c r="A568" s="202" t="str">
        <f>TEXT($A$554,0) &amp; ".4"</f>
        <v>0.4</v>
      </c>
      <c r="B568" s="923"/>
      <c r="C568" s="924"/>
      <c r="D568" s="924"/>
      <c r="E568" s="925"/>
      <c r="F568" s="211"/>
      <c r="G568" s="211"/>
      <c r="H568" s="225"/>
      <c r="I568" s="225"/>
      <c r="J568" s="237"/>
      <c r="K568" s="237"/>
      <c r="L568" s="237"/>
      <c r="M568" s="204">
        <f t="shared" si="267"/>
        <v>0</v>
      </c>
      <c r="N568" s="235">
        <f t="shared" si="264"/>
        <v>0</v>
      </c>
      <c r="O568" s="204">
        <f t="shared" si="268"/>
        <v>0</v>
      </c>
      <c r="P568" s="205">
        <f t="shared" si="265"/>
        <v>0</v>
      </c>
      <c r="Q568" s="205">
        <f t="shared" si="266"/>
        <v>0</v>
      </c>
      <c r="R568" s="926"/>
      <c r="S568" s="927"/>
      <c r="T568" s="928"/>
    </row>
    <row r="569" spans="1:20" ht="15" hidden="1" customHeight="1" outlineLevel="1">
      <c r="A569" s="202" t="str">
        <f>TEXT($A$554,0) &amp; ".5"</f>
        <v>0.5</v>
      </c>
      <c r="B569" s="923"/>
      <c r="C569" s="924"/>
      <c r="D569" s="924"/>
      <c r="E569" s="925"/>
      <c r="F569" s="211"/>
      <c r="G569" s="211"/>
      <c r="H569" s="225"/>
      <c r="I569" s="225"/>
      <c r="J569" s="237"/>
      <c r="K569" s="237"/>
      <c r="L569" s="237"/>
      <c r="M569" s="204">
        <f t="shared" si="267"/>
        <v>0</v>
      </c>
      <c r="N569" s="235">
        <f t="shared" si="264"/>
        <v>0</v>
      </c>
      <c r="O569" s="204">
        <f t="shared" si="268"/>
        <v>0</v>
      </c>
      <c r="P569" s="205">
        <f t="shared" si="265"/>
        <v>0</v>
      </c>
      <c r="Q569" s="205">
        <f t="shared" si="266"/>
        <v>0</v>
      </c>
      <c r="R569" s="926"/>
      <c r="S569" s="927"/>
      <c r="T569" s="928"/>
    </row>
    <row r="570" spans="1:20" ht="15" hidden="1" customHeight="1" outlineLevel="1">
      <c r="A570" s="202" t="str">
        <f>TEXT($A$554,0) &amp; ".6"</f>
        <v>0.6</v>
      </c>
      <c r="B570" s="923"/>
      <c r="C570" s="924"/>
      <c r="D570" s="924"/>
      <c r="E570" s="925"/>
      <c r="F570" s="211"/>
      <c r="G570" s="211"/>
      <c r="H570" s="225"/>
      <c r="I570" s="225"/>
      <c r="J570" s="237"/>
      <c r="K570" s="237"/>
      <c r="L570" s="237"/>
      <c r="M570" s="204">
        <f t="shared" si="267"/>
        <v>0</v>
      </c>
      <c r="N570" s="235">
        <f t="shared" si="264"/>
        <v>0</v>
      </c>
      <c r="O570" s="204">
        <f t="shared" si="268"/>
        <v>0</v>
      </c>
      <c r="P570" s="205">
        <f t="shared" si="265"/>
        <v>0</v>
      </c>
      <c r="Q570" s="205">
        <f t="shared" si="266"/>
        <v>0</v>
      </c>
      <c r="R570" s="926"/>
      <c r="S570" s="927"/>
      <c r="T570" s="928"/>
    </row>
    <row r="571" spans="1:20" ht="15" hidden="1" customHeight="1" outlineLevel="1">
      <c r="A571" s="202" t="str">
        <f>TEXT($A$554,0) &amp; ".7"</f>
        <v>0.7</v>
      </c>
      <c r="B571" s="923"/>
      <c r="C571" s="924"/>
      <c r="D571" s="924"/>
      <c r="E571" s="925"/>
      <c r="F571" s="211"/>
      <c r="G571" s="211"/>
      <c r="H571" s="225"/>
      <c r="I571" s="225"/>
      <c r="J571" s="237"/>
      <c r="K571" s="237"/>
      <c r="L571" s="237"/>
      <c r="M571" s="204">
        <f t="shared" si="267"/>
        <v>0</v>
      </c>
      <c r="N571" s="235">
        <f t="shared" si="264"/>
        <v>0</v>
      </c>
      <c r="O571" s="204">
        <f t="shared" si="268"/>
        <v>0</v>
      </c>
      <c r="P571" s="205">
        <f t="shared" si="265"/>
        <v>0</v>
      </c>
      <c r="Q571" s="205">
        <f t="shared" si="266"/>
        <v>0</v>
      </c>
      <c r="R571" s="926"/>
      <c r="S571" s="927"/>
      <c r="T571" s="928"/>
    </row>
    <row r="572" spans="1:20" ht="15" hidden="1" customHeight="1" outlineLevel="1">
      <c r="A572" s="202" t="str">
        <f>TEXT($A$554,0) &amp; ".8"</f>
        <v>0.8</v>
      </c>
      <c r="B572" s="923"/>
      <c r="C572" s="924"/>
      <c r="D572" s="924"/>
      <c r="E572" s="925"/>
      <c r="F572" s="211"/>
      <c r="G572" s="211"/>
      <c r="H572" s="225"/>
      <c r="I572" s="225"/>
      <c r="J572" s="237"/>
      <c r="K572" s="237"/>
      <c r="L572" s="237"/>
      <c r="M572" s="204">
        <f t="shared" si="267"/>
        <v>0</v>
      </c>
      <c r="N572" s="235">
        <f t="shared" si="264"/>
        <v>0</v>
      </c>
      <c r="O572" s="204">
        <f t="shared" si="268"/>
        <v>0</v>
      </c>
      <c r="P572" s="205">
        <f t="shared" si="265"/>
        <v>0</v>
      </c>
      <c r="Q572" s="205">
        <f t="shared" si="266"/>
        <v>0</v>
      </c>
      <c r="R572" s="926"/>
      <c r="S572" s="927"/>
      <c r="T572" s="928"/>
    </row>
    <row r="573" spans="1:20" ht="15" hidden="1" customHeight="1" outlineLevel="1">
      <c r="A573" s="202" t="str">
        <f>TEXT($A$554,0) &amp; ".9"</f>
        <v>0.9</v>
      </c>
      <c r="B573" s="923"/>
      <c r="C573" s="924"/>
      <c r="D573" s="924"/>
      <c r="E573" s="925"/>
      <c r="F573" s="211"/>
      <c r="G573" s="211"/>
      <c r="H573" s="225"/>
      <c r="I573" s="225"/>
      <c r="J573" s="237"/>
      <c r="K573" s="237"/>
      <c r="L573" s="237"/>
      <c r="M573" s="204">
        <f t="shared" si="267"/>
        <v>0</v>
      </c>
      <c r="N573" s="235">
        <f t="shared" si="264"/>
        <v>0</v>
      </c>
      <c r="O573" s="204">
        <f t="shared" si="268"/>
        <v>0</v>
      </c>
      <c r="P573" s="205">
        <f t="shared" si="265"/>
        <v>0</v>
      </c>
      <c r="Q573" s="205">
        <f t="shared" si="266"/>
        <v>0</v>
      </c>
      <c r="R573" s="926"/>
      <c r="S573" s="927"/>
      <c r="T573" s="928"/>
    </row>
    <row r="574" spans="1:20" ht="15" hidden="1" customHeight="1" outlineLevel="1">
      <c r="A574" s="202" t="str">
        <f>TEXT($A$554,0) &amp; ".10"</f>
        <v>0.10</v>
      </c>
      <c r="B574" s="923"/>
      <c r="C574" s="924"/>
      <c r="D574" s="924"/>
      <c r="E574" s="925"/>
      <c r="F574" s="211"/>
      <c r="G574" s="211"/>
      <c r="H574" s="225"/>
      <c r="I574" s="225"/>
      <c r="J574" s="237"/>
      <c r="K574" s="237"/>
      <c r="L574" s="237"/>
      <c r="M574" s="204">
        <f t="shared" si="267"/>
        <v>0</v>
      </c>
      <c r="N574" s="235">
        <f>M574</f>
        <v>0</v>
      </c>
      <c r="O574" s="204">
        <f t="shared" si="268"/>
        <v>0</v>
      </c>
      <c r="P574" s="205">
        <f t="shared" si="265"/>
        <v>0</v>
      </c>
      <c r="Q574" s="205">
        <f t="shared" si="266"/>
        <v>0</v>
      </c>
      <c r="R574" s="926"/>
      <c r="S574" s="927"/>
      <c r="T574" s="928"/>
    </row>
    <row r="575" spans="1:20" ht="15" customHeight="1" collapsed="1">
      <c r="A575" s="267"/>
      <c r="B575" s="932"/>
      <c r="C575" s="933"/>
      <c r="D575" s="933"/>
      <c r="E575" s="934"/>
      <c r="F575" s="220"/>
      <c r="G575" s="220"/>
      <c r="H575" s="222"/>
      <c r="I575" s="222" t="str">
        <f>IF(COUNTIF(I576:I595,TMDPhaseTimeAndMaterial)&gt;0,TMDPhaseTimeAndMaterial,IF(COUNTIF(I576:I595,TMDPhaseChangeTimeAndMaterial)&gt;0,TMDPhaseChangeTimeAndMaterial,""))</f>
        <v/>
      </c>
      <c r="J575" s="234">
        <f t="shared" ref="J575:Q575" si="269">SUM(J576:J595)</f>
        <v>0</v>
      </c>
      <c r="K575" s="234">
        <f t="shared" si="269"/>
        <v>0</v>
      </c>
      <c r="L575" s="234">
        <f t="shared" si="269"/>
        <v>0</v>
      </c>
      <c r="M575" s="201">
        <f t="shared" si="269"/>
        <v>0</v>
      </c>
      <c r="N575" s="201">
        <f t="shared" si="269"/>
        <v>0</v>
      </c>
      <c r="O575" s="201">
        <f t="shared" si="269"/>
        <v>0</v>
      </c>
      <c r="P575" s="201">
        <f t="shared" si="269"/>
        <v>0</v>
      </c>
      <c r="Q575" s="201">
        <f t="shared" si="269"/>
        <v>0</v>
      </c>
      <c r="R575" s="935"/>
      <c r="S575" s="935"/>
      <c r="T575" s="935"/>
    </row>
    <row r="576" spans="1:20" ht="15" hidden="1" customHeight="1" outlineLevel="1">
      <c r="A576" s="202" t="str">
        <f>TEXT($A$575,0) &amp; ".1"</f>
        <v>0.1</v>
      </c>
      <c r="B576" s="923"/>
      <c r="C576" s="924"/>
      <c r="D576" s="924"/>
      <c r="E576" s="925"/>
      <c r="F576" s="211"/>
      <c r="G576" s="211"/>
      <c r="H576" s="225"/>
      <c r="I576" s="225"/>
      <c r="J576" s="237"/>
      <c r="K576" s="237"/>
      <c r="L576" s="237"/>
      <c r="M576" s="204">
        <f>(J576+K576*4+L576)/6</f>
        <v>0</v>
      </c>
      <c r="N576" s="235">
        <f t="shared" ref="N576:O584" si="270">M576</f>
        <v>0</v>
      </c>
      <c r="O576" s="204">
        <f t="shared" si="270"/>
        <v>0</v>
      </c>
      <c r="P576" s="205">
        <f t="shared" ref="P576:P585" si="271">IF(H576&lt;&gt;"",INDEX(MDActivityTypeInternalCostPerDay,MATCH(H576,MDActivityTypeID,0),1)*O576,0)</f>
        <v>0</v>
      </c>
      <c r="Q576" s="205">
        <f t="shared" ref="Q576:Q585" si="272">IF(H576&lt;&gt;"",INDEX(MDActivityTypeExternalPricePerDay,MATCH(H576,MDActivityTypeID,0),1)*O576,0)</f>
        <v>0</v>
      </c>
      <c r="R576" s="926"/>
      <c r="S576" s="927"/>
      <c r="T576" s="928"/>
    </row>
    <row r="577" spans="1:20" ht="15" hidden="1" customHeight="1" outlineLevel="1">
      <c r="A577" s="202" t="str">
        <f>TEXT($A$575,0) &amp; ".2"</f>
        <v>0.2</v>
      </c>
      <c r="B577" s="923"/>
      <c r="C577" s="924"/>
      <c r="D577" s="924"/>
      <c r="E577" s="925"/>
      <c r="F577" s="211"/>
      <c r="G577" s="211"/>
      <c r="H577" s="225"/>
      <c r="I577" s="225"/>
      <c r="J577" s="237"/>
      <c r="K577" s="237"/>
      <c r="L577" s="237"/>
      <c r="M577" s="204">
        <f t="shared" ref="M577:M585" si="273">(J577+K577*4+L577)/6</f>
        <v>0</v>
      </c>
      <c r="N577" s="235">
        <f t="shared" si="270"/>
        <v>0</v>
      </c>
      <c r="O577" s="204">
        <f t="shared" si="270"/>
        <v>0</v>
      </c>
      <c r="P577" s="205">
        <f t="shared" si="271"/>
        <v>0</v>
      </c>
      <c r="Q577" s="205">
        <f t="shared" si="272"/>
        <v>0</v>
      </c>
      <c r="R577" s="926"/>
      <c r="S577" s="927"/>
      <c r="T577" s="928"/>
    </row>
    <row r="578" spans="1:20" ht="15" hidden="1" customHeight="1" outlineLevel="1">
      <c r="A578" s="202" t="str">
        <f>TEXT($A$575,0) &amp; ".3"</f>
        <v>0.3</v>
      </c>
      <c r="B578" s="923"/>
      <c r="C578" s="924"/>
      <c r="D578" s="924"/>
      <c r="E578" s="925"/>
      <c r="F578" s="211"/>
      <c r="G578" s="211"/>
      <c r="H578" s="225"/>
      <c r="I578" s="225"/>
      <c r="J578" s="237"/>
      <c r="K578" s="237"/>
      <c r="L578" s="237"/>
      <c r="M578" s="204">
        <f t="shared" si="273"/>
        <v>0</v>
      </c>
      <c r="N578" s="235">
        <f t="shared" si="270"/>
        <v>0</v>
      </c>
      <c r="O578" s="204">
        <f t="shared" si="270"/>
        <v>0</v>
      </c>
      <c r="P578" s="205">
        <f t="shared" si="271"/>
        <v>0</v>
      </c>
      <c r="Q578" s="205">
        <f t="shared" si="272"/>
        <v>0</v>
      </c>
      <c r="R578" s="926"/>
      <c r="S578" s="927"/>
      <c r="T578" s="928"/>
    </row>
    <row r="579" spans="1:20" ht="15" hidden="1" customHeight="1" outlineLevel="1">
      <c r="A579" s="202" t="str">
        <f>TEXT($A$575,0) &amp; ".4"</f>
        <v>0.4</v>
      </c>
      <c r="B579" s="923"/>
      <c r="C579" s="924"/>
      <c r="D579" s="924"/>
      <c r="E579" s="925"/>
      <c r="F579" s="211"/>
      <c r="G579" s="211"/>
      <c r="H579" s="225"/>
      <c r="I579" s="225"/>
      <c r="J579" s="237"/>
      <c r="K579" s="237"/>
      <c r="L579" s="237"/>
      <c r="M579" s="204">
        <f t="shared" si="273"/>
        <v>0</v>
      </c>
      <c r="N579" s="235">
        <f t="shared" si="270"/>
        <v>0</v>
      </c>
      <c r="O579" s="204">
        <f t="shared" si="270"/>
        <v>0</v>
      </c>
      <c r="P579" s="205">
        <f t="shared" si="271"/>
        <v>0</v>
      </c>
      <c r="Q579" s="205">
        <f t="shared" si="272"/>
        <v>0</v>
      </c>
      <c r="R579" s="926"/>
      <c r="S579" s="927"/>
      <c r="T579" s="928"/>
    </row>
    <row r="580" spans="1:20" ht="15" hidden="1" customHeight="1" outlineLevel="1">
      <c r="A580" s="202" t="str">
        <f>TEXT($A$575,0) &amp; ".5"</f>
        <v>0.5</v>
      </c>
      <c r="B580" s="923"/>
      <c r="C580" s="924"/>
      <c r="D580" s="924"/>
      <c r="E580" s="925"/>
      <c r="F580" s="211"/>
      <c r="G580" s="211"/>
      <c r="H580" s="225"/>
      <c r="I580" s="225"/>
      <c r="J580" s="237"/>
      <c r="K580" s="237"/>
      <c r="L580" s="237"/>
      <c r="M580" s="204">
        <f t="shared" si="273"/>
        <v>0</v>
      </c>
      <c r="N580" s="235">
        <f t="shared" si="270"/>
        <v>0</v>
      </c>
      <c r="O580" s="204">
        <f t="shared" si="270"/>
        <v>0</v>
      </c>
      <c r="P580" s="205">
        <f t="shared" si="271"/>
        <v>0</v>
      </c>
      <c r="Q580" s="205">
        <f t="shared" si="272"/>
        <v>0</v>
      </c>
      <c r="R580" s="926"/>
      <c r="S580" s="927"/>
      <c r="T580" s="928"/>
    </row>
    <row r="581" spans="1:20" ht="15" hidden="1" customHeight="1" outlineLevel="1">
      <c r="A581" s="202" t="str">
        <f>TEXT($A$575,0) &amp; ".6"</f>
        <v>0.6</v>
      </c>
      <c r="B581" s="923"/>
      <c r="C581" s="924"/>
      <c r="D581" s="924"/>
      <c r="E581" s="925"/>
      <c r="F581" s="211"/>
      <c r="G581" s="211"/>
      <c r="H581" s="225"/>
      <c r="I581" s="225"/>
      <c r="J581" s="237"/>
      <c r="K581" s="237"/>
      <c r="L581" s="237"/>
      <c r="M581" s="204">
        <f t="shared" si="273"/>
        <v>0</v>
      </c>
      <c r="N581" s="235">
        <f t="shared" si="270"/>
        <v>0</v>
      </c>
      <c r="O581" s="204">
        <f t="shared" si="270"/>
        <v>0</v>
      </c>
      <c r="P581" s="205">
        <f t="shared" si="271"/>
        <v>0</v>
      </c>
      <c r="Q581" s="205">
        <f t="shared" si="272"/>
        <v>0</v>
      </c>
      <c r="R581" s="926"/>
      <c r="S581" s="927"/>
      <c r="T581" s="928"/>
    </row>
    <row r="582" spans="1:20" ht="15" hidden="1" customHeight="1" outlineLevel="1">
      <c r="A582" s="202" t="str">
        <f>TEXT($A$575,0) &amp; ".7"</f>
        <v>0.7</v>
      </c>
      <c r="B582" s="923"/>
      <c r="C582" s="924"/>
      <c r="D582" s="924"/>
      <c r="E582" s="925"/>
      <c r="F582" s="211"/>
      <c r="G582" s="211"/>
      <c r="H582" s="225"/>
      <c r="I582" s="225"/>
      <c r="J582" s="237"/>
      <c r="K582" s="237"/>
      <c r="L582" s="237"/>
      <c r="M582" s="204">
        <f t="shared" si="273"/>
        <v>0</v>
      </c>
      <c r="N582" s="235">
        <f t="shared" si="270"/>
        <v>0</v>
      </c>
      <c r="O582" s="204">
        <f t="shared" si="270"/>
        <v>0</v>
      </c>
      <c r="P582" s="205">
        <f t="shared" si="271"/>
        <v>0</v>
      </c>
      <c r="Q582" s="205">
        <f t="shared" si="272"/>
        <v>0</v>
      </c>
      <c r="R582" s="926"/>
      <c r="S582" s="927"/>
      <c r="T582" s="928"/>
    </row>
    <row r="583" spans="1:20" ht="15" hidden="1" customHeight="1" outlineLevel="1">
      <c r="A583" s="202" t="str">
        <f>TEXT($A$575,0) &amp; ".8"</f>
        <v>0.8</v>
      </c>
      <c r="B583" s="923"/>
      <c r="C583" s="924"/>
      <c r="D583" s="924"/>
      <c r="E583" s="925"/>
      <c r="F583" s="211"/>
      <c r="G583" s="211"/>
      <c r="H583" s="225"/>
      <c r="I583" s="225"/>
      <c r="J583" s="237"/>
      <c r="K583" s="237"/>
      <c r="L583" s="237"/>
      <c r="M583" s="204">
        <f t="shared" si="273"/>
        <v>0</v>
      </c>
      <c r="N583" s="235">
        <f t="shared" si="270"/>
        <v>0</v>
      </c>
      <c r="O583" s="204">
        <f t="shared" si="270"/>
        <v>0</v>
      </c>
      <c r="P583" s="205">
        <f t="shared" si="271"/>
        <v>0</v>
      </c>
      <c r="Q583" s="205">
        <f t="shared" si="272"/>
        <v>0</v>
      </c>
      <c r="R583" s="926"/>
      <c r="S583" s="927"/>
      <c r="T583" s="928"/>
    </row>
    <row r="584" spans="1:20" ht="15" hidden="1" customHeight="1" outlineLevel="1">
      <c r="A584" s="202" t="str">
        <f>TEXT($A$575,0) &amp; ".9"</f>
        <v>0.9</v>
      </c>
      <c r="B584" s="923"/>
      <c r="C584" s="924"/>
      <c r="D584" s="924"/>
      <c r="E584" s="925"/>
      <c r="F584" s="211"/>
      <c r="G584" s="211"/>
      <c r="H584" s="225"/>
      <c r="I584" s="225"/>
      <c r="J584" s="237"/>
      <c r="K584" s="237"/>
      <c r="L584" s="237"/>
      <c r="M584" s="204">
        <f t="shared" si="273"/>
        <v>0</v>
      </c>
      <c r="N584" s="235">
        <f t="shared" si="270"/>
        <v>0</v>
      </c>
      <c r="O584" s="204">
        <f t="shared" si="270"/>
        <v>0</v>
      </c>
      <c r="P584" s="205">
        <f t="shared" si="271"/>
        <v>0</v>
      </c>
      <c r="Q584" s="205">
        <f t="shared" si="272"/>
        <v>0</v>
      </c>
      <c r="R584" s="926"/>
      <c r="S584" s="927"/>
      <c r="T584" s="928"/>
    </row>
    <row r="585" spans="1:20" ht="15" hidden="1" customHeight="1" outlineLevel="1">
      <c r="A585" s="202" t="str">
        <f>TEXT($A$575,0) &amp; ".10"</f>
        <v>0.10</v>
      </c>
      <c r="B585" s="923"/>
      <c r="C585" s="924"/>
      <c r="D585" s="924"/>
      <c r="E585" s="925"/>
      <c r="F585" s="211"/>
      <c r="G585" s="211"/>
      <c r="H585" s="225"/>
      <c r="I585" s="225"/>
      <c r="J585" s="237"/>
      <c r="K585" s="237"/>
      <c r="L585" s="237"/>
      <c r="M585" s="204">
        <f t="shared" si="273"/>
        <v>0</v>
      </c>
      <c r="N585" s="235">
        <f t="shared" ref="N585:O594" si="274">M585</f>
        <v>0</v>
      </c>
      <c r="O585" s="204">
        <f t="shared" si="274"/>
        <v>0</v>
      </c>
      <c r="P585" s="205">
        <f t="shared" si="271"/>
        <v>0</v>
      </c>
      <c r="Q585" s="205">
        <f t="shared" si="272"/>
        <v>0</v>
      </c>
      <c r="R585" s="926"/>
      <c r="S585" s="927"/>
      <c r="T585" s="928"/>
    </row>
    <row r="586" spans="1:20" ht="15" hidden="1" customHeight="1" outlineLevel="1">
      <c r="A586" s="202" t="str">
        <f>TEXT($A$575,0) &amp; ".1"</f>
        <v>0.1</v>
      </c>
      <c r="B586" s="923"/>
      <c r="C586" s="924"/>
      <c r="D586" s="924"/>
      <c r="E586" s="925"/>
      <c r="F586" s="211"/>
      <c r="G586" s="211"/>
      <c r="H586" s="225"/>
      <c r="I586" s="225"/>
      <c r="J586" s="237"/>
      <c r="K586" s="237"/>
      <c r="L586" s="237"/>
      <c r="M586" s="204">
        <f>(J586+K586*4+L586)/6</f>
        <v>0</v>
      </c>
      <c r="N586" s="235">
        <f t="shared" si="274"/>
        <v>0</v>
      </c>
      <c r="O586" s="204">
        <f>N586</f>
        <v>0</v>
      </c>
      <c r="P586" s="205">
        <f t="shared" ref="P586:P595" si="275">IF(H586&lt;&gt;"",INDEX(MDActivityTypeInternalCostPerDay,MATCH(H586,MDActivityTypeID,0),1)*O586,0)</f>
        <v>0</v>
      </c>
      <c r="Q586" s="205">
        <f t="shared" ref="Q586:Q595" si="276">IF(H586&lt;&gt;"",INDEX(MDActivityTypeExternalPricePerDay,MATCH(H586,MDActivityTypeID,0),1)*O586,0)</f>
        <v>0</v>
      </c>
      <c r="R586" s="926"/>
      <c r="S586" s="927"/>
      <c r="T586" s="928"/>
    </row>
    <row r="587" spans="1:20" ht="15" hidden="1" customHeight="1" outlineLevel="1">
      <c r="A587" s="202" t="str">
        <f>TEXT($A$575,0) &amp; ".2"</f>
        <v>0.2</v>
      </c>
      <c r="B587" s="923"/>
      <c r="C587" s="924"/>
      <c r="D587" s="924"/>
      <c r="E587" s="925"/>
      <c r="F587" s="211"/>
      <c r="G587" s="211"/>
      <c r="H587" s="225"/>
      <c r="I587" s="225"/>
      <c r="J587" s="237"/>
      <c r="K587" s="237"/>
      <c r="L587" s="237"/>
      <c r="M587" s="204">
        <f t="shared" ref="M587:M595" si="277">(J587+K587*4+L587)/6</f>
        <v>0</v>
      </c>
      <c r="N587" s="235">
        <f t="shared" si="274"/>
        <v>0</v>
      </c>
      <c r="O587" s="204">
        <f t="shared" ref="O587:O595" si="278">N587</f>
        <v>0</v>
      </c>
      <c r="P587" s="205">
        <f t="shared" si="275"/>
        <v>0</v>
      </c>
      <c r="Q587" s="205">
        <f t="shared" si="276"/>
        <v>0</v>
      </c>
      <c r="R587" s="926"/>
      <c r="S587" s="927"/>
      <c r="T587" s="928"/>
    </row>
    <row r="588" spans="1:20" ht="15" hidden="1" customHeight="1" outlineLevel="1">
      <c r="A588" s="202" t="str">
        <f>TEXT($A$575,0) &amp; ".3"</f>
        <v>0.3</v>
      </c>
      <c r="B588" s="923"/>
      <c r="C588" s="924"/>
      <c r="D588" s="924"/>
      <c r="E588" s="925"/>
      <c r="F588" s="211"/>
      <c r="G588" s="211"/>
      <c r="H588" s="225"/>
      <c r="I588" s="225"/>
      <c r="J588" s="237"/>
      <c r="K588" s="237"/>
      <c r="L588" s="237"/>
      <c r="M588" s="204">
        <f t="shared" si="277"/>
        <v>0</v>
      </c>
      <c r="N588" s="235">
        <f t="shared" si="274"/>
        <v>0</v>
      </c>
      <c r="O588" s="204">
        <f t="shared" si="278"/>
        <v>0</v>
      </c>
      <c r="P588" s="205">
        <f t="shared" si="275"/>
        <v>0</v>
      </c>
      <c r="Q588" s="205">
        <f t="shared" si="276"/>
        <v>0</v>
      </c>
      <c r="R588" s="926"/>
      <c r="S588" s="927"/>
      <c r="T588" s="928"/>
    </row>
    <row r="589" spans="1:20" ht="15" hidden="1" customHeight="1" outlineLevel="1">
      <c r="A589" s="202" t="str">
        <f>TEXT($A$575,0) &amp; ".4"</f>
        <v>0.4</v>
      </c>
      <c r="B589" s="923"/>
      <c r="C589" s="924"/>
      <c r="D589" s="924"/>
      <c r="E589" s="925"/>
      <c r="F589" s="211"/>
      <c r="G589" s="211"/>
      <c r="H589" s="225"/>
      <c r="I589" s="225"/>
      <c r="J589" s="237"/>
      <c r="K589" s="237"/>
      <c r="L589" s="237"/>
      <c r="M589" s="204">
        <f t="shared" si="277"/>
        <v>0</v>
      </c>
      <c r="N589" s="235">
        <f t="shared" si="274"/>
        <v>0</v>
      </c>
      <c r="O589" s="204">
        <f t="shared" si="278"/>
        <v>0</v>
      </c>
      <c r="P589" s="205">
        <f t="shared" si="275"/>
        <v>0</v>
      </c>
      <c r="Q589" s="205">
        <f t="shared" si="276"/>
        <v>0</v>
      </c>
      <c r="R589" s="926"/>
      <c r="S589" s="927"/>
      <c r="T589" s="928"/>
    </row>
    <row r="590" spans="1:20" ht="15" hidden="1" customHeight="1" outlineLevel="1">
      <c r="A590" s="202" t="str">
        <f>TEXT($A$575,0) &amp; ".5"</f>
        <v>0.5</v>
      </c>
      <c r="B590" s="923"/>
      <c r="C590" s="924"/>
      <c r="D590" s="924"/>
      <c r="E590" s="925"/>
      <c r="F590" s="211"/>
      <c r="G590" s="211"/>
      <c r="H590" s="225"/>
      <c r="I590" s="225"/>
      <c r="J590" s="237"/>
      <c r="K590" s="237"/>
      <c r="L590" s="237"/>
      <c r="M590" s="204">
        <f t="shared" si="277"/>
        <v>0</v>
      </c>
      <c r="N590" s="235">
        <f t="shared" si="274"/>
        <v>0</v>
      </c>
      <c r="O590" s="204">
        <f t="shared" si="278"/>
        <v>0</v>
      </c>
      <c r="P590" s="205">
        <f t="shared" si="275"/>
        <v>0</v>
      </c>
      <c r="Q590" s="205">
        <f t="shared" si="276"/>
        <v>0</v>
      </c>
      <c r="R590" s="926"/>
      <c r="S590" s="927"/>
      <c r="T590" s="928"/>
    </row>
    <row r="591" spans="1:20" ht="15" hidden="1" customHeight="1" outlineLevel="1">
      <c r="A591" s="202" t="str">
        <f>TEXT($A$575,0) &amp; ".6"</f>
        <v>0.6</v>
      </c>
      <c r="B591" s="923"/>
      <c r="C591" s="924"/>
      <c r="D591" s="924"/>
      <c r="E591" s="925"/>
      <c r="F591" s="211"/>
      <c r="G591" s="211"/>
      <c r="H591" s="225"/>
      <c r="I591" s="225"/>
      <c r="J591" s="237"/>
      <c r="K591" s="237"/>
      <c r="L591" s="237"/>
      <c r="M591" s="204">
        <f t="shared" si="277"/>
        <v>0</v>
      </c>
      <c r="N591" s="235">
        <f t="shared" si="274"/>
        <v>0</v>
      </c>
      <c r="O591" s="204">
        <f t="shared" si="278"/>
        <v>0</v>
      </c>
      <c r="P591" s="205">
        <f t="shared" si="275"/>
        <v>0</v>
      </c>
      <c r="Q591" s="205">
        <f t="shared" si="276"/>
        <v>0</v>
      </c>
      <c r="R591" s="926"/>
      <c r="S591" s="927"/>
      <c r="T591" s="928"/>
    </row>
    <row r="592" spans="1:20" ht="15" hidden="1" customHeight="1" outlineLevel="1">
      <c r="A592" s="202" t="str">
        <f>TEXT($A$575,0) &amp; ".7"</f>
        <v>0.7</v>
      </c>
      <c r="B592" s="923"/>
      <c r="C592" s="924"/>
      <c r="D592" s="924"/>
      <c r="E592" s="925"/>
      <c r="F592" s="211"/>
      <c r="G592" s="211"/>
      <c r="H592" s="225"/>
      <c r="I592" s="225"/>
      <c r="J592" s="237"/>
      <c r="K592" s="237"/>
      <c r="L592" s="237"/>
      <c r="M592" s="204">
        <f t="shared" si="277"/>
        <v>0</v>
      </c>
      <c r="N592" s="235">
        <f t="shared" si="274"/>
        <v>0</v>
      </c>
      <c r="O592" s="204">
        <f t="shared" si="278"/>
        <v>0</v>
      </c>
      <c r="P592" s="205">
        <f t="shared" si="275"/>
        <v>0</v>
      </c>
      <c r="Q592" s="205">
        <f t="shared" si="276"/>
        <v>0</v>
      </c>
      <c r="R592" s="926"/>
      <c r="S592" s="927"/>
      <c r="T592" s="928"/>
    </row>
    <row r="593" spans="1:20" ht="15" hidden="1" customHeight="1" outlineLevel="1">
      <c r="A593" s="202" t="str">
        <f>TEXT($A$575,0) &amp; ".8"</f>
        <v>0.8</v>
      </c>
      <c r="B593" s="923"/>
      <c r="C593" s="924"/>
      <c r="D593" s="924"/>
      <c r="E593" s="925"/>
      <c r="F593" s="211"/>
      <c r="G593" s="211"/>
      <c r="H593" s="225"/>
      <c r="I593" s="225"/>
      <c r="J593" s="237"/>
      <c r="K593" s="237"/>
      <c r="L593" s="237"/>
      <c r="M593" s="204">
        <f t="shared" si="277"/>
        <v>0</v>
      </c>
      <c r="N593" s="235">
        <f t="shared" si="274"/>
        <v>0</v>
      </c>
      <c r="O593" s="204">
        <f t="shared" si="278"/>
        <v>0</v>
      </c>
      <c r="P593" s="205">
        <f t="shared" si="275"/>
        <v>0</v>
      </c>
      <c r="Q593" s="205">
        <f t="shared" si="276"/>
        <v>0</v>
      </c>
      <c r="R593" s="926"/>
      <c r="S593" s="927"/>
      <c r="T593" s="928"/>
    </row>
    <row r="594" spans="1:20" ht="15" hidden="1" customHeight="1" outlineLevel="1">
      <c r="A594" s="202" t="str">
        <f>TEXT($A$575,0) &amp; ".9"</f>
        <v>0.9</v>
      </c>
      <c r="B594" s="923"/>
      <c r="C594" s="924"/>
      <c r="D594" s="924"/>
      <c r="E594" s="925"/>
      <c r="F594" s="211"/>
      <c r="G594" s="211"/>
      <c r="H594" s="225"/>
      <c r="I594" s="225"/>
      <c r="J594" s="237"/>
      <c r="K594" s="237"/>
      <c r="L594" s="237"/>
      <c r="M594" s="204">
        <f t="shared" si="277"/>
        <v>0</v>
      </c>
      <c r="N594" s="235">
        <f t="shared" si="274"/>
        <v>0</v>
      </c>
      <c r="O594" s="204">
        <f t="shared" si="278"/>
        <v>0</v>
      </c>
      <c r="P594" s="205">
        <f t="shared" si="275"/>
        <v>0</v>
      </c>
      <c r="Q594" s="205">
        <f t="shared" si="276"/>
        <v>0</v>
      </c>
      <c r="R594" s="926"/>
      <c r="S594" s="927"/>
      <c r="T594" s="928"/>
    </row>
    <row r="595" spans="1:20" ht="15" hidden="1" customHeight="1" outlineLevel="1">
      <c r="A595" s="202" t="str">
        <f>TEXT($A$575,0) &amp; ".10"</f>
        <v>0.10</v>
      </c>
      <c r="B595" s="923"/>
      <c r="C595" s="924"/>
      <c r="D595" s="924"/>
      <c r="E595" s="925"/>
      <c r="F595" s="211"/>
      <c r="G595" s="211"/>
      <c r="H595" s="225"/>
      <c r="I595" s="225"/>
      <c r="J595" s="237"/>
      <c r="K595" s="237"/>
      <c r="L595" s="237"/>
      <c r="M595" s="204">
        <f t="shared" si="277"/>
        <v>0</v>
      </c>
      <c r="N595" s="235">
        <f>M595</f>
        <v>0</v>
      </c>
      <c r="O595" s="204">
        <f t="shared" si="278"/>
        <v>0</v>
      </c>
      <c r="P595" s="205">
        <f t="shared" si="275"/>
        <v>0</v>
      </c>
      <c r="Q595" s="205">
        <f t="shared" si="276"/>
        <v>0</v>
      </c>
      <c r="R595" s="926"/>
      <c r="S595" s="927"/>
      <c r="T595" s="928"/>
    </row>
    <row r="596" spans="1:20" ht="15" customHeight="1" collapsed="1">
      <c r="A596" s="267"/>
      <c r="B596" s="932"/>
      <c r="C596" s="933"/>
      <c r="D596" s="933"/>
      <c r="E596" s="934"/>
      <c r="F596" s="220"/>
      <c r="G596" s="220"/>
      <c r="H596" s="222"/>
      <c r="I596" s="222" t="str">
        <f>IF(COUNTIF(I597:I616,TMDPhaseTimeAndMaterial)&gt;0,TMDPhaseTimeAndMaterial,IF(COUNTIF(I597:I616,TMDPhaseChangeTimeAndMaterial)&gt;0,TMDPhaseChangeTimeAndMaterial,""))</f>
        <v/>
      </c>
      <c r="J596" s="234">
        <f t="shared" ref="J596:Q596" si="279">SUM(J597:J616)</f>
        <v>0</v>
      </c>
      <c r="K596" s="234">
        <f t="shared" si="279"/>
        <v>0</v>
      </c>
      <c r="L596" s="234">
        <f t="shared" si="279"/>
        <v>0</v>
      </c>
      <c r="M596" s="201">
        <f t="shared" si="279"/>
        <v>0</v>
      </c>
      <c r="N596" s="201">
        <f t="shared" si="279"/>
        <v>0</v>
      </c>
      <c r="O596" s="201">
        <f t="shared" si="279"/>
        <v>0</v>
      </c>
      <c r="P596" s="201">
        <f t="shared" si="279"/>
        <v>0</v>
      </c>
      <c r="Q596" s="201">
        <f t="shared" si="279"/>
        <v>0</v>
      </c>
      <c r="R596" s="935"/>
      <c r="S596" s="935"/>
      <c r="T596" s="935"/>
    </row>
    <row r="597" spans="1:20" ht="15" hidden="1" customHeight="1" outlineLevel="1">
      <c r="A597" s="202" t="str">
        <f>TEXT($A$596,0) &amp; ".1"</f>
        <v>0.1</v>
      </c>
      <c r="B597" s="923"/>
      <c r="C597" s="924"/>
      <c r="D597" s="924"/>
      <c r="E597" s="925"/>
      <c r="F597" s="211"/>
      <c r="G597" s="211"/>
      <c r="H597" s="225"/>
      <c r="I597" s="225"/>
      <c r="J597" s="237"/>
      <c r="K597" s="237"/>
      <c r="L597" s="237"/>
      <c r="M597" s="204">
        <f>(J597+K597*4+L597)/6</f>
        <v>0</v>
      </c>
      <c r="N597" s="235">
        <f t="shared" ref="N597:O605" si="280">M597</f>
        <v>0</v>
      </c>
      <c r="O597" s="204">
        <f t="shared" si="280"/>
        <v>0</v>
      </c>
      <c r="P597" s="205">
        <f t="shared" ref="P597:P606" si="281">IF(H597&lt;&gt;"",INDEX(MDActivityTypeInternalCostPerDay,MATCH(H597,MDActivityTypeID,0),1)*O597,0)</f>
        <v>0</v>
      </c>
      <c r="Q597" s="205">
        <f t="shared" ref="Q597:Q606" si="282">IF(H597&lt;&gt;"",INDEX(MDActivityTypeExternalPricePerDay,MATCH(H597,MDActivityTypeID,0),1)*O597,0)</f>
        <v>0</v>
      </c>
      <c r="R597" s="926"/>
      <c r="S597" s="927"/>
      <c r="T597" s="928"/>
    </row>
    <row r="598" spans="1:20" ht="15" hidden="1" customHeight="1" outlineLevel="1">
      <c r="A598" s="202" t="str">
        <f>TEXT($A$596,0) &amp; ".2"</f>
        <v>0.2</v>
      </c>
      <c r="B598" s="923"/>
      <c r="C598" s="924"/>
      <c r="D598" s="924"/>
      <c r="E598" s="925"/>
      <c r="F598" s="211"/>
      <c r="G598" s="211"/>
      <c r="H598" s="225"/>
      <c r="I598" s="225"/>
      <c r="J598" s="237"/>
      <c r="K598" s="237"/>
      <c r="L598" s="237"/>
      <c r="M598" s="204">
        <f t="shared" ref="M598:M606" si="283">(J598+K598*4+L598)/6</f>
        <v>0</v>
      </c>
      <c r="N598" s="235">
        <f t="shared" si="280"/>
        <v>0</v>
      </c>
      <c r="O598" s="204">
        <f t="shared" si="280"/>
        <v>0</v>
      </c>
      <c r="P598" s="205">
        <f t="shared" si="281"/>
        <v>0</v>
      </c>
      <c r="Q598" s="205">
        <f t="shared" si="282"/>
        <v>0</v>
      </c>
      <c r="R598" s="926"/>
      <c r="S598" s="927"/>
      <c r="T598" s="928"/>
    </row>
    <row r="599" spans="1:20" ht="15" hidden="1" customHeight="1" outlineLevel="1">
      <c r="A599" s="202" t="str">
        <f>TEXT($A$596,0) &amp; ".3"</f>
        <v>0.3</v>
      </c>
      <c r="B599" s="923"/>
      <c r="C599" s="924"/>
      <c r="D599" s="924"/>
      <c r="E599" s="925"/>
      <c r="F599" s="211"/>
      <c r="G599" s="211"/>
      <c r="H599" s="225"/>
      <c r="I599" s="225"/>
      <c r="J599" s="237"/>
      <c r="K599" s="237"/>
      <c r="L599" s="237"/>
      <c r="M599" s="204">
        <f t="shared" si="283"/>
        <v>0</v>
      </c>
      <c r="N599" s="235">
        <f t="shared" si="280"/>
        <v>0</v>
      </c>
      <c r="O599" s="204">
        <f t="shared" si="280"/>
        <v>0</v>
      </c>
      <c r="P599" s="205">
        <f t="shared" si="281"/>
        <v>0</v>
      </c>
      <c r="Q599" s="205">
        <f t="shared" si="282"/>
        <v>0</v>
      </c>
      <c r="R599" s="926"/>
      <c r="S599" s="927"/>
      <c r="T599" s="928"/>
    </row>
    <row r="600" spans="1:20" ht="15" hidden="1" customHeight="1" outlineLevel="1">
      <c r="A600" s="202" t="str">
        <f>TEXT($A$596,0) &amp; ".4"</f>
        <v>0.4</v>
      </c>
      <c r="B600" s="923"/>
      <c r="C600" s="924"/>
      <c r="D600" s="924"/>
      <c r="E600" s="925"/>
      <c r="F600" s="211"/>
      <c r="G600" s="211"/>
      <c r="H600" s="225"/>
      <c r="I600" s="225"/>
      <c r="J600" s="237"/>
      <c r="K600" s="237"/>
      <c r="L600" s="237"/>
      <c r="M600" s="204">
        <f t="shared" si="283"/>
        <v>0</v>
      </c>
      <c r="N600" s="235">
        <f t="shared" si="280"/>
        <v>0</v>
      </c>
      <c r="O600" s="204">
        <f t="shared" si="280"/>
        <v>0</v>
      </c>
      <c r="P600" s="205">
        <f t="shared" si="281"/>
        <v>0</v>
      </c>
      <c r="Q600" s="205">
        <f t="shared" si="282"/>
        <v>0</v>
      </c>
      <c r="R600" s="926"/>
      <c r="S600" s="927"/>
      <c r="T600" s="928"/>
    </row>
    <row r="601" spans="1:20" ht="15" hidden="1" customHeight="1" outlineLevel="1">
      <c r="A601" s="202" t="str">
        <f>TEXT($A$596,0) &amp; ".5"</f>
        <v>0.5</v>
      </c>
      <c r="B601" s="923"/>
      <c r="C601" s="924"/>
      <c r="D601" s="924"/>
      <c r="E601" s="925"/>
      <c r="F601" s="211"/>
      <c r="G601" s="211"/>
      <c r="H601" s="225"/>
      <c r="I601" s="225"/>
      <c r="J601" s="237"/>
      <c r="K601" s="237"/>
      <c r="L601" s="237"/>
      <c r="M601" s="204">
        <f t="shared" si="283"/>
        <v>0</v>
      </c>
      <c r="N601" s="235">
        <f t="shared" si="280"/>
        <v>0</v>
      </c>
      <c r="O601" s="204">
        <f t="shared" si="280"/>
        <v>0</v>
      </c>
      <c r="P601" s="205">
        <f t="shared" si="281"/>
        <v>0</v>
      </c>
      <c r="Q601" s="205">
        <f t="shared" si="282"/>
        <v>0</v>
      </c>
      <c r="R601" s="926"/>
      <c r="S601" s="927"/>
      <c r="T601" s="928"/>
    </row>
    <row r="602" spans="1:20" ht="15" hidden="1" customHeight="1" outlineLevel="1">
      <c r="A602" s="202" t="str">
        <f>TEXT($A$596,0) &amp; ".6"</f>
        <v>0.6</v>
      </c>
      <c r="B602" s="923"/>
      <c r="C602" s="924"/>
      <c r="D602" s="924"/>
      <c r="E602" s="925"/>
      <c r="F602" s="211"/>
      <c r="G602" s="211"/>
      <c r="H602" s="225"/>
      <c r="I602" s="225"/>
      <c r="J602" s="237"/>
      <c r="K602" s="237"/>
      <c r="L602" s="237"/>
      <c r="M602" s="204">
        <f t="shared" si="283"/>
        <v>0</v>
      </c>
      <c r="N602" s="235">
        <f t="shared" si="280"/>
        <v>0</v>
      </c>
      <c r="O602" s="204">
        <f t="shared" si="280"/>
        <v>0</v>
      </c>
      <c r="P602" s="205">
        <f t="shared" si="281"/>
        <v>0</v>
      </c>
      <c r="Q602" s="205">
        <f t="shared" si="282"/>
        <v>0</v>
      </c>
      <c r="R602" s="926"/>
      <c r="S602" s="927"/>
      <c r="T602" s="928"/>
    </row>
    <row r="603" spans="1:20" ht="15" hidden="1" customHeight="1" outlineLevel="1">
      <c r="A603" s="202" t="str">
        <f>TEXT($A$596,0) &amp; ".7"</f>
        <v>0.7</v>
      </c>
      <c r="B603" s="923"/>
      <c r="C603" s="924"/>
      <c r="D603" s="924"/>
      <c r="E603" s="925"/>
      <c r="F603" s="211"/>
      <c r="G603" s="211"/>
      <c r="H603" s="225"/>
      <c r="I603" s="225"/>
      <c r="J603" s="237"/>
      <c r="K603" s="237"/>
      <c r="L603" s="237"/>
      <c r="M603" s="204">
        <f t="shared" si="283"/>
        <v>0</v>
      </c>
      <c r="N603" s="235">
        <f t="shared" si="280"/>
        <v>0</v>
      </c>
      <c r="O603" s="204">
        <f t="shared" si="280"/>
        <v>0</v>
      </c>
      <c r="P603" s="205">
        <f t="shared" si="281"/>
        <v>0</v>
      </c>
      <c r="Q603" s="205">
        <f t="shared" si="282"/>
        <v>0</v>
      </c>
      <c r="R603" s="926"/>
      <c r="S603" s="927"/>
      <c r="T603" s="928"/>
    </row>
    <row r="604" spans="1:20" ht="15" hidden="1" customHeight="1" outlineLevel="1">
      <c r="A604" s="202" t="str">
        <f>TEXT($A$596,0) &amp; ".8"</f>
        <v>0.8</v>
      </c>
      <c r="B604" s="923"/>
      <c r="C604" s="924"/>
      <c r="D604" s="924"/>
      <c r="E604" s="925"/>
      <c r="F604" s="211"/>
      <c r="G604" s="211"/>
      <c r="H604" s="225"/>
      <c r="I604" s="225"/>
      <c r="J604" s="237"/>
      <c r="K604" s="237"/>
      <c r="L604" s="237"/>
      <c r="M604" s="204">
        <f t="shared" si="283"/>
        <v>0</v>
      </c>
      <c r="N604" s="235">
        <f t="shared" si="280"/>
        <v>0</v>
      </c>
      <c r="O604" s="204">
        <f t="shared" si="280"/>
        <v>0</v>
      </c>
      <c r="P604" s="205">
        <f t="shared" si="281"/>
        <v>0</v>
      </c>
      <c r="Q604" s="205">
        <f t="shared" si="282"/>
        <v>0</v>
      </c>
      <c r="R604" s="926"/>
      <c r="S604" s="927"/>
      <c r="T604" s="928"/>
    </row>
    <row r="605" spans="1:20" ht="15" hidden="1" customHeight="1" outlineLevel="1">
      <c r="A605" s="202" t="str">
        <f>TEXT($A$596,0) &amp; ".9"</f>
        <v>0.9</v>
      </c>
      <c r="B605" s="923"/>
      <c r="C605" s="924"/>
      <c r="D605" s="924"/>
      <c r="E605" s="925"/>
      <c r="F605" s="211"/>
      <c r="G605" s="211"/>
      <c r="H605" s="225"/>
      <c r="I605" s="225"/>
      <c r="J605" s="237"/>
      <c r="K605" s="237"/>
      <c r="L605" s="237"/>
      <c r="M605" s="204">
        <f t="shared" si="283"/>
        <v>0</v>
      </c>
      <c r="N605" s="235">
        <f t="shared" si="280"/>
        <v>0</v>
      </c>
      <c r="O605" s="204">
        <f t="shared" si="280"/>
        <v>0</v>
      </c>
      <c r="P605" s="205">
        <f t="shared" si="281"/>
        <v>0</v>
      </c>
      <c r="Q605" s="205">
        <f t="shared" si="282"/>
        <v>0</v>
      </c>
      <c r="R605" s="926"/>
      <c r="S605" s="927"/>
      <c r="T605" s="928"/>
    </row>
    <row r="606" spans="1:20" ht="15" hidden="1" customHeight="1" outlineLevel="1">
      <c r="A606" s="202" t="str">
        <f>TEXT($A$596,0) &amp; ".10"</f>
        <v>0.10</v>
      </c>
      <c r="B606" s="923"/>
      <c r="C606" s="924"/>
      <c r="D606" s="924"/>
      <c r="E606" s="925"/>
      <c r="F606" s="211"/>
      <c r="G606" s="211"/>
      <c r="H606" s="225"/>
      <c r="I606" s="225"/>
      <c r="J606" s="237"/>
      <c r="K606" s="237"/>
      <c r="L606" s="237"/>
      <c r="M606" s="204">
        <f t="shared" si="283"/>
        <v>0</v>
      </c>
      <c r="N606" s="235">
        <f t="shared" ref="N606:O615" si="284">M606</f>
        <v>0</v>
      </c>
      <c r="O606" s="204">
        <f t="shared" si="284"/>
        <v>0</v>
      </c>
      <c r="P606" s="205">
        <f t="shared" si="281"/>
        <v>0</v>
      </c>
      <c r="Q606" s="205">
        <f t="shared" si="282"/>
        <v>0</v>
      </c>
      <c r="R606" s="926"/>
      <c r="S606" s="927"/>
      <c r="T606" s="928"/>
    </row>
    <row r="607" spans="1:20" ht="15" hidden="1" customHeight="1" outlineLevel="1">
      <c r="A607" s="202" t="str">
        <f>TEXT($A$596,0) &amp; ".1"</f>
        <v>0.1</v>
      </c>
      <c r="B607" s="923"/>
      <c r="C607" s="924"/>
      <c r="D607" s="924"/>
      <c r="E607" s="925"/>
      <c r="F607" s="211"/>
      <c r="G607" s="211"/>
      <c r="H607" s="225"/>
      <c r="I607" s="225"/>
      <c r="J607" s="237"/>
      <c r="K607" s="237"/>
      <c r="L607" s="237"/>
      <c r="M607" s="204">
        <f>(J607+K607*4+L607)/6</f>
        <v>0</v>
      </c>
      <c r="N607" s="235">
        <f t="shared" si="284"/>
        <v>0</v>
      </c>
      <c r="O607" s="204">
        <f>N607</f>
        <v>0</v>
      </c>
      <c r="P607" s="205">
        <f t="shared" ref="P607:P616" si="285">IF(H607&lt;&gt;"",INDEX(MDActivityTypeInternalCostPerDay,MATCH(H607,MDActivityTypeID,0),1)*O607,0)</f>
        <v>0</v>
      </c>
      <c r="Q607" s="205">
        <f t="shared" ref="Q607:Q616" si="286">IF(H607&lt;&gt;"",INDEX(MDActivityTypeExternalPricePerDay,MATCH(H607,MDActivityTypeID,0),1)*O607,0)</f>
        <v>0</v>
      </c>
      <c r="R607" s="926"/>
      <c r="S607" s="927"/>
      <c r="T607" s="928"/>
    </row>
    <row r="608" spans="1:20" ht="15" hidden="1" customHeight="1" outlineLevel="1">
      <c r="A608" s="202" t="str">
        <f>TEXT($A$596,0) &amp; ".2"</f>
        <v>0.2</v>
      </c>
      <c r="B608" s="923"/>
      <c r="C608" s="924"/>
      <c r="D608" s="924"/>
      <c r="E608" s="925"/>
      <c r="F608" s="211"/>
      <c r="G608" s="211"/>
      <c r="H608" s="225"/>
      <c r="I608" s="225"/>
      <c r="J608" s="237"/>
      <c r="K608" s="237"/>
      <c r="L608" s="237"/>
      <c r="M608" s="204">
        <f t="shared" ref="M608:M616" si="287">(J608+K608*4+L608)/6</f>
        <v>0</v>
      </c>
      <c r="N608" s="235">
        <f t="shared" si="284"/>
        <v>0</v>
      </c>
      <c r="O608" s="204">
        <f t="shared" ref="O608:O616" si="288">N608</f>
        <v>0</v>
      </c>
      <c r="P608" s="205">
        <f t="shared" si="285"/>
        <v>0</v>
      </c>
      <c r="Q608" s="205">
        <f t="shared" si="286"/>
        <v>0</v>
      </c>
      <c r="R608" s="926"/>
      <c r="S608" s="927"/>
      <c r="T608" s="928"/>
    </row>
    <row r="609" spans="1:20" ht="15" hidden="1" customHeight="1" outlineLevel="1">
      <c r="A609" s="202" t="str">
        <f>TEXT($A$596,0) &amp; ".3"</f>
        <v>0.3</v>
      </c>
      <c r="B609" s="923"/>
      <c r="C609" s="924"/>
      <c r="D609" s="924"/>
      <c r="E609" s="925"/>
      <c r="F609" s="211"/>
      <c r="G609" s="211"/>
      <c r="H609" s="225"/>
      <c r="I609" s="225"/>
      <c r="J609" s="237"/>
      <c r="K609" s="237"/>
      <c r="L609" s="237"/>
      <c r="M609" s="204">
        <f t="shared" si="287"/>
        <v>0</v>
      </c>
      <c r="N609" s="235">
        <f t="shared" si="284"/>
        <v>0</v>
      </c>
      <c r="O609" s="204">
        <f t="shared" si="288"/>
        <v>0</v>
      </c>
      <c r="P609" s="205">
        <f t="shared" si="285"/>
        <v>0</v>
      </c>
      <c r="Q609" s="205">
        <f t="shared" si="286"/>
        <v>0</v>
      </c>
      <c r="R609" s="926"/>
      <c r="S609" s="927"/>
      <c r="T609" s="928"/>
    </row>
    <row r="610" spans="1:20" ht="15" hidden="1" customHeight="1" outlineLevel="1">
      <c r="A610" s="202" t="str">
        <f>TEXT($A$596,0) &amp; ".4"</f>
        <v>0.4</v>
      </c>
      <c r="B610" s="923"/>
      <c r="C610" s="924"/>
      <c r="D610" s="924"/>
      <c r="E610" s="925"/>
      <c r="F610" s="211"/>
      <c r="G610" s="211"/>
      <c r="H610" s="225"/>
      <c r="I610" s="225"/>
      <c r="J610" s="237"/>
      <c r="K610" s="237"/>
      <c r="L610" s="237"/>
      <c r="M610" s="204">
        <f t="shared" si="287"/>
        <v>0</v>
      </c>
      <c r="N610" s="235">
        <f t="shared" si="284"/>
        <v>0</v>
      </c>
      <c r="O610" s="204">
        <f t="shared" si="288"/>
        <v>0</v>
      </c>
      <c r="P610" s="205">
        <f t="shared" si="285"/>
        <v>0</v>
      </c>
      <c r="Q610" s="205">
        <f t="shared" si="286"/>
        <v>0</v>
      </c>
      <c r="R610" s="926"/>
      <c r="S610" s="927"/>
      <c r="T610" s="928"/>
    </row>
    <row r="611" spans="1:20" ht="15" hidden="1" customHeight="1" outlineLevel="1">
      <c r="A611" s="202" t="str">
        <f>TEXT($A$596,0) &amp; ".5"</f>
        <v>0.5</v>
      </c>
      <c r="B611" s="923"/>
      <c r="C611" s="924"/>
      <c r="D611" s="924"/>
      <c r="E611" s="925"/>
      <c r="F611" s="211"/>
      <c r="G611" s="211"/>
      <c r="H611" s="225"/>
      <c r="I611" s="225"/>
      <c r="J611" s="237"/>
      <c r="K611" s="237"/>
      <c r="L611" s="237"/>
      <c r="M611" s="204">
        <f t="shared" si="287"/>
        <v>0</v>
      </c>
      <c r="N611" s="235">
        <f t="shared" si="284"/>
        <v>0</v>
      </c>
      <c r="O611" s="204">
        <f t="shared" si="288"/>
        <v>0</v>
      </c>
      <c r="P611" s="205">
        <f t="shared" si="285"/>
        <v>0</v>
      </c>
      <c r="Q611" s="205">
        <f t="shared" si="286"/>
        <v>0</v>
      </c>
      <c r="R611" s="926"/>
      <c r="S611" s="927"/>
      <c r="T611" s="928"/>
    </row>
    <row r="612" spans="1:20" ht="15" hidden="1" customHeight="1" outlineLevel="1">
      <c r="A612" s="202" t="str">
        <f>TEXT($A$596,0) &amp; ".6"</f>
        <v>0.6</v>
      </c>
      <c r="B612" s="923"/>
      <c r="C612" s="924"/>
      <c r="D612" s="924"/>
      <c r="E612" s="925"/>
      <c r="F612" s="211"/>
      <c r="G612" s="211"/>
      <c r="H612" s="225"/>
      <c r="I612" s="225"/>
      <c r="J612" s="237"/>
      <c r="K612" s="237"/>
      <c r="L612" s="237"/>
      <c r="M612" s="204">
        <f t="shared" si="287"/>
        <v>0</v>
      </c>
      <c r="N612" s="235">
        <f t="shared" si="284"/>
        <v>0</v>
      </c>
      <c r="O612" s="204">
        <f t="shared" si="288"/>
        <v>0</v>
      </c>
      <c r="P612" s="205">
        <f t="shared" si="285"/>
        <v>0</v>
      </c>
      <c r="Q612" s="205">
        <f t="shared" si="286"/>
        <v>0</v>
      </c>
      <c r="R612" s="926"/>
      <c r="S612" s="927"/>
      <c r="T612" s="928"/>
    </row>
    <row r="613" spans="1:20" ht="15" hidden="1" customHeight="1" outlineLevel="1">
      <c r="A613" s="202" t="str">
        <f>TEXT($A$596,0) &amp; ".7"</f>
        <v>0.7</v>
      </c>
      <c r="B613" s="923"/>
      <c r="C613" s="924"/>
      <c r="D613" s="924"/>
      <c r="E613" s="925"/>
      <c r="F613" s="211"/>
      <c r="G613" s="211"/>
      <c r="H613" s="225"/>
      <c r="I613" s="225"/>
      <c r="J613" s="237"/>
      <c r="K613" s="237"/>
      <c r="L613" s="237"/>
      <c r="M613" s="204">
        <f t="shared" si="287"/>
        <v>0</v>
      </c>
      <c r="N613" s="235">
        <f t="shared" si="284"/>
        <v>0</v>
      </c>
      <c r="O613" s="204">
        <f t="shared" si="288"/>
        <v>0</v>
      </c>
      <c r="P613" s="205">
        <f t="shared" si="285"/>
        <v>0</v>
      </c>
      <c r="Q613" s="205">
        <f t="shared" si="286"/>
        <v>0</v>
      </c>
      <c r="R613" s="926"/>
      <c r="S613" s="927"/>
      <c r="T613" s="928"/>
    </row>
    <row r="614" spans="1:20" ht="15" hidden="1" customHeight="1" outlineLevel="1">
      <c r="A614" s="202" t="str">
        <f>TEXT($A$596,0) &amp; ".8"</f>
        <v>0.8</v>
      </c>
      <c r="B614" s="923"/>
      <c r="C614" s="924"/>
      <c r="D614" s="924"/>
      <c r="E614" s="925"/>
      <c r="F614" s="211"/>
      <c r="G614" s="211"/>
      <c r="H614" s="225"/>
      <c r="I614" s="225"/>
      <c r="J614" s="237"/>
      <c r="K614" s="237"/>
      <c r="L614" s="237"/>
      <c r="M614" s="204">
        <f t="shared" si="287"/>
        <v>0</v>
      </c>
      <c r="N614" s="235">
        <f t="shared" si="284"/>
        <v>0</v>
      </c>
      <c r="O614" s="204">
        <f t="shared" si="288"/>
        <v>0</v>
      </c>
      <c r="P614" s="205">
        <f t="shared" si="285"/>
        <v>0</v>
      </c>
      <c r="Q614" s="205">
        <f t="shared" si="286"/>
        <v>0</v>
      </c>
      <c r="R614" s="926"/>
      <c r="S614" s="927"/>
      <c r="T614" s="928"/>
    </row>
    <row r="615" spans="1:20" ht="15" hidden="1" customHeight="1" outlineLevel="1">
      <c r="A615" s="202" t="str">
        <f>TEXT($A$596,0) &amp; ".9"</f>
        <v>0.9</v>
      </c>
      <c r="B615" s="923"/>
      <c r="C615" s="924"/>
      <c r="D615" s="924"/>
      <c r="E615" s="925"/>
      <c r="F615" s="211"/>
      <c r="G615" s="211"/>
      <c r="H615" s="225"/>
      <c r="I615" s="225"/>
      <c r="J615" s="237"/>
      <c r="K615" s="237"/>
      <c r="L615" s="237"/>
      <c r="M615" s="204">
        <f t="shared" si="287"/>
        <v>0</v>
      </c>
      <c r="N615" s="235">
        <f t="shared" si="284"/>
        <v>0</v>
      </c>
      <c r="O615" s="204">
        <f t="shared" si="288"/>
        <v>0</v>
      </c>
      <c r="P615" s="205">
        <f t="shared" si="285"/>
        <v>0</v>
      </c>
      <c r="Q615" s="205">
        <f t="shared" si="286"/>
        <v>0</v>
      </c>
      <c r="R615" s="926"/>
      <c r="S615" s="927"/>
      <c r="T615" s="928"/>
    </row>
    <row r="616" spans="1:20" ht="15" hidden="1" customHeight="1" outlineLevel="1">
      <c r="A616" s="202" t="str">
        <f>TEXT($A$596,0) &amp; ".10"</f>
        <v>0.10</v>
      </c>
      <c r="B616" s="923"/>
      <c r="C616" s="924"/>
      <c r="D616" s="924"/>
      <c r="E616" s="925"/>
      <c r="F616" s="211"/>
      <c r="G616" s="211"/>
      <c r="H616" s="225"/>
      <c r="I616" s="225"/>
      <c r="J616" s="237"/>
      <c r="K616" s="237"/>
      <c r="L616" s="237"/>
      <c r="M616" s="204">
        <f t="shared" si="287"/>
        <v>0</v>
      </c>
      <c r="N616" s="235">
        <f>M616</f>
        <v>0</v>
      </c>
      <c r="O616" s="204">
        <f t="shared" si="288"/>
        <v>0</v>
      </c>
      <c r="P616" s="205">
        <f t="shared" si="285"/>
        <v>0</v>
      </c>
      <c r="Q616" s="205">
        <f t="shared" si="286"/>
        <v>0</v>
      </c>
      <c r="R616" s="926"/>
      <c r="S616" s="927"/>
      <c r="T616" s="928"/>
    </row>
    <row r="617" spans="1:20" ht="15" customHeight="1" collapsed="1">
      <c r="A617" s="267"/>
      <c r="B617" s="932"/>
      <c r="C617" s="933"/>
      <c r="D617" s="933"/>
      <c r="E617" s="934"/>
      <c r="F617" s="220"/>
      <c r="G617" s="220"/>
      <c r="H617" s="222"/>
      <c r="I617" s="222" t="str">
        <f>IF(COUNTIF(I618:I637,TMDPhaseTimeAndMaterial)&gt;0,TMDPhaseTimeAndMaterial,IF(COUNTIF(I618:I637,TMDPhaseChangeTimeAndMaterial)&gt;0,TMDPhaseChangeTimeAndMaterial,""))</f>
        <v/>
      </c>
      <c r="J617" s="234">
        <f t="shared" ref="J617:Q617" si="289">SUM(J618:J637)</f>
        <v>0</v>
      </c>
      <c r="K617" s="234">
        <f t="shared" si="289"/>
        <v>0</v>
      </c>
      <c r="L617" s="234">
        <f t="shared" si="289"/>
        <v>0</v>
      </c>
      <c r="M617" s="201">
        <f t="shared" si="289"/>
        <v>0</v>
      </c>
      <c r="N617" s="201">
        <f t="shared" si="289"/>
        <v>0</v>
      </c>
      <c r="O617" s="201">
        <f t="shared" si="289"/>
        <v>0</v>
      </c>
      <c r="P617" s="201">
        <f t="shared" si="289"/>
        <v>0</v>
      </c>
      <c r="Q617" s="201">
        <f t="shared" si="289"/>
        <v>0</v>
      </c>
      <c r="R617" s="936"/>
      <c r="S617" s="936"/>
      <c r="T617" s="936"/>
    </row>
    <row r="618" spans="1:20" ht="15" hidden="1" customHeight="1" outlineLevel="1">
      <c r="A618" s="202" t="str">
        <f>TEXT($A$617,0) &amp; ".1"</f>
        <v>0.1</v>
      </c>
      <c r="B618" s="923"/>
      <c r="C618" s="924"/>
      <c r="D618" s="924"/>
      <c r="E618" s="925"/>
      <c r="F618" s="174"/>
      <c r="G618" s="174"/>
      <c r="H618" s="206"/>
      <c r="I618" s="206"/>
      <c r="J618" s="207"/>
      <c r="K618" s="207"/>
      <c r="L618" s="207"/>
      <c r="M618" s="204">
        <f>(J618+K618*4+L618)/6</f>
        <v>0</v>
      </c>
      <c r="N618" s="203">
        <f t="shared" ref="N618:O626" si="290">M618</f>
        <v>0</v>
      </c>
      <c r="O618" s="204">
        <f t="shared" si="290"/>
        <v>0</v>
      </c>
      <c r="P618" s="205">
        <f t="shared" ref="P618:P627" si="291">IF(H618&lt;&gt;"",INDEX(MDActivityTypeInternalCostPerDay,MATCH(H618,MDActivityTypeID,0),1)*O618,0)</f>
        <v>0</v>
      </c>
      <c r="Q618" s="205">
        <f t="shared" ref="Q618:Q627" si="292">IF(H618&lt;&gt;"",INDEX(MDActivityTypeExternalPricePerDay,MATCH(H618,MDActivityTypeID,0),1)*O618,0)</f>
        <v>0</v>
      </c>
      <c r="R618" s="929"/>
      <c r="S618" s="930"/>
      <c r="T618" s="931"/>
    </row>
    <row r="619" spans="1:20" ht="15" hidden="1" customHeight="1" outlineLevel="1">
      <c r="A619" s="202" t="str">
        <f>TEXT($A$617,0) &amp; ".2"</f>
        <v>0.2</v>
      </c>
      <c r="B619" s="923"/>
      <c r="C619" s="924"/>
      <c r="D619" s="924"/>
      <c r="E619" s="925"/>
      <c r="F619" s="174"/>
      <c r="G619" s="174"/>
      <c r="H619" s="206"/>
      <c r="I619" s="206"/>
      <c r="J619" s="207"/>
      <c r="K619" s="207"/>
      <c r="L619" s="207"/>
      <c r="M619" s="204">
        <f t="shared" ref="M619:M627" si="293">(J619+K619*4+L619)/6</f>
        <v>0</v>
      </c>
      <c r="N619" s="203">
        <f t="shared" si="290"/>
        <v>0</v>
      </c>
      <c r="O619" s="204">
        <f t="shared" si="290"/>
        <v>0</v>
      </c>
      <c r="P619" s="205">
        <f t="shared" si="291"/>
        <v>0</v>
      </c>
      <c r="Q619" s="205">
        <f t="shared" si="292"/>
        <v>0</v>
      </c>
      <c r="R619" s="929"/>
      <c r="S619" s="930"/>
      <c r="T619" s="931"/>
    </row>
    <row r="620" spans="1:20" ht="15" hidden="1" customHeight="1" outlineLevel="1">
      <c r="A620" s="202" t="str">
        <f>TEXT($A$617,0) &amp; ".3"</f>
        <v>0.3</v>
      </c>
      <c r="B620" s="923"/>
      <c r="C620" s="924"/>
      <c r="D620" s="924"/>
      <c r="E620" s="925"/>
      <c r="F620" s="174"/>
      <c r="G620" s="174"/>
      <c r="H620" s="206"/>
      <c r="I620" s="206"/>
      <c r="J620" s="207"/>
      <c r="K620" s="207"/>
      <c r="L620" s="207"/>
      <c r="M620" s="204">
        <f t="shared" si="293"/>
        <v>0</v>
      </c>
      <c r="N620" s="203">
        <f t="shared" si="290"/>
        <v>0</v>
      </c>
      <c r="O620" s="204">
        <f t="shared" si="290"/>
        <v>0</v>
      </c>
      <c r="P620" s="205">
        <f t="shared" si="291"/>
        <v>0</v>
      </c>
      <c r="Q620" s="205">
        <f t="shared" si="292"/>
        <v>0</v>
      </c>
      <c r="R620" s="929"/>
      <c r="S620" s="930"/>
      <c r="T620" s="931"/>
    </row>
    <row r="621" spans="1:20" ht="15" hidden="1" customHeight="1" outlineLevel="1">
      <c r="A621" s="202" t="str">
        <f>TEXT($A$617,0) &amp; ".4"</f>
        <v>0.4</v>
      </c>
      <c r="B621" s="923"/>
      <c r="C621" s="924"/>
      <c r="D621" s="924"/>
      <c r="E621" s="925"/>
      <c r="F621" s="174"/>
      <c r="G621" s="174"/>
      <c r="H621" s="206"/>
      <c r="I621" s="206"/>
      <c r="J621" s="207"/>
      <c r="K621" s="207"/>
      <c r="L621" s="207"/>
      <c r="M621" s="204">
        <f t="shared" si="293"/>
        <v>0</v>
      </c>
      <c r="N621" s="203">
        <f t="shared" si="290"/>
        <v>0</v>
      </c>
      <c r="O621" s="204">
        <f t="shared" si="290"/>
        <v>0</v>
      </c>
      <c r="P621" s="205">
        <f t="shared" si="291"/>
        <v>0</v>
      </c>
      <c r="Q621" s="205">
        <f t="shared" si="292"/>
        <v>0</v>
      </c>
      <c r="R621" s="929"/>
      <c r="S621" s="930"/>
      <c r="T621" s="931"/>
    </row>
    <row r="622" spans="1:20" ht="15" hidden="1" customHeight="1" outlineLevel="1">
      <c r="A622" s="202" t="str">
        <f>TEXT($A$617,0) &amp; ".5"</f>
        <v>0.5</v>
      </c>
      <c r="B622" s="923"/>
      <c r="C622" s="924"/>
      <c r="D622" s="924"/>
      <c r="E622" s="925"/>
      <c r="F622" s="174"/>
      <c r="G622" s="174"/>
      <c r="H622" s="206"/>
      <c r="I622" s="206"/>
      <c r="J622" s="207"/>
      <c r="K622" s="207"/>
      <c r="L622" s="207"/>
      <c r="M622" s="204">
        <f t="shared" si="293"/>
        <v>0</v>
      </c>
      <c r="N622" s="203">
        <f t="shared" si="290"/>
        <v>0</v>
      </c>
      <c r="O622" s="204">
        <f t="shared" si="290"/>
        <v>0</v>
      </c>
      <c r="P622" s="205">
        <f t="shared" si="291"/>
        <v>0</v>
      </c>
      <c r="Q622" s="205">
        <f t="shared" si="292"/>
        <v>0</v>
      </c>
      <c r="R622" s="929"/>
      <c r="S622" s="930"/>
      <c r="T622" s="931"/>
    </row>
    <row r="623" spans="1:20" ht="15" hidden="1" customHeight="1" outlineLevel="1">
      <c r="A623" s="202" t="str">
        <f>TEXT($A$617,0) &amp; ".6"</f>
        <v>0.6</v>
      </c>
      <c r="B623" s="923"/>
      <c r="C623" s="924"/>
      <c r="D623" s="924"/>
      <c r="E623" s="925"/>
      <c r="F623" s="174"/>
      <c r="G623" s="174"/>
      <c r="H623" s="206"/>
      <c r="I623" s="206"/>
      <c r="J623" s="207"/>
      <c r="K623" s="207"/>
      <c r="L623" s="207"/>
      <c r="M623" s="204">
        <f t="shared" si="293"/>
        <v>0</v>
      </c>
      <c r="N623" s="203">
        <f t="shared" si="290"/>
        <v>0</v>
      </c>
      <c r="O623" s="204">
        <f t="shared" si="290"/>
        <v>0</v>
      </c>
      <c r="P623" s="205">
        <f t="shared" si="291"/>
        <v>0</v>
      </c>
      <c r="Q623" s="205">
        <f t="shared" si="292"/>
        <v>0</v>
      </c>
      <c r="R623" s="929"/>
      <c r="S623" s="930"/>
      <c r="T623" s="931"/>
    </row>
    <row r="624" spans="1:20" ht="15" hidden="1" customHeight="1" outlineLevel="1">
      <c r="A624" s="202" t="str">
        <f>TEXT($A$617,0) &amp; ".7"</f>
        <v>0.7</v>
      </c>
      <c r="B624" s="923"/>
      <c r="C624" s="924"/>
      <c r="D624" s="924"/>
      <c r="E624" s="925"/>
      <c r="F624" s="174"/>
      <c r="G624" s="174"/>
      <c r="H624" s="206"/>
      <c r="I624" s="206"/>
      <c r="J624" s="207"/>
      <c r="K624" s="207"/>
      <c r="L624" s="207"/>
      <c r="M624" s="204">
        <f t="shared" si="293"/>
        <v>0</v>
      </c>
      <c r="N624" s="203">
        <f t="shared" si="290"/>
        <v>0</v>
      </c>
      <c r="O624" s="204">
        <f t="shared" si="290"/>
        <v>0</v>
      </c>
      <c r="P624" s="205">
        <f t="shared" si="291"/>
        <v>0</v>
      </c>
      <c r="Q624" s="205">
        <f t="shared" si="292"/>
        <v>0</v>
      </c>
      <c r="R624" s="929"/>
      <c r="S624" s="930"/>
      <c r="T624" s="931"/>
    </row>
    <row r="625" spans="1:20" ht="15" hidden="1" customHeight="1" outlineLevel="1">
      <c r="A625" s="202" t="str">
        <f>TEXT($A$617,0) &amp; ".8"</f>
        <v>0.8</v>
      </c>
      <c r="B625" s="923"/>
      <c r="C625" s="924"/>
      <c r="D625" s="924"/>
      <c r="E625" s="925"/>
      <c r="F625" s="174"/>
      <c r="G625" s="174"/>
      <c r="H625" s="206"/>
      <c r="I625" s="206"/>
      <c r="J625" s="207"/>
      <c r="K625" s="207"/>
      <c r="L625" s="207"/>
      <c r="M625" s="204">
        <f t="shared" si="293"/>
        <v>0</v>
      </c>
      <c r="N625" s="203">
        <f t="shared" si="290"/>
        <v>0</v>
      </c>
      <c r="O625" s="204">
        <f t="shared" si="290"/>
        <v>0</v>
      </c>
      <c r="P625" s="205">
        <f t="shared" si="291"/>
        <v>0</v>
      </c>
      <c r="Q625" s="205">
        <f t="shared" si="292"/>
        <v>0</v>
      </c>
      <c r="R625" s="929"/>
      <c r="S625" s="930"/>
      <c r="T625" s="931"/>
    </row>
    <row r="626" spans="1:20" ht="15" hidden="1" customHeight="1" outlineLevel="1">
      <c r="A626" s="202" t="str">
        <f>TEXT($A$617,0) &amp; ".9"</f>
        <v>0.9</v>
      </c>
      <c r="B626" s="923"/>
      <c r="C626" s="924"/>
      <c r="D626" s="924"/>
      <c r="E626" s="925"/>
      <c r="F626" s="174"/>
      <c r="G626" s="174"/>
      <c r="H626" s="206"/>
      <c r="I626" s="206"/>
      <c r="J626" s="207"/>
      <c r="K626" s="207"/>
      <c r="L626" s="207"/>
      <c r="M626" s="204">
        <f t="shared" si="293"/>
        <v>0</v>
      </c>
      <c r="N626" s="203">
        <f t="shared" si="290"/>
        <v>0</v>
      </c>
      <c r="O626" s="204">
        <f t="shared" si="290"/>
        <v>0</v>
      </c>
      <c r="P626" s="205">
        <f t="shared" si="291"/>
        <v>0</v>
      </c>
      <c r="Q626" s="205">
        <f t="shared" si="292"/>
        <v>0</v>
      </c>
      <c r="R626" s="929"/>
      <c r="S626" s="930"/>
      <c r="T626" s="931"/>
    </row>
    <row r="627" spans="1:20" ht="15" hidden="1" customHeight="1" outlineLevel="1">
      <c r="A627" s="202" t="str">
        <f>TEXT($A$617,0) &amp; ".10"</f>
        <v>0.10</v>
      </c>
      <c r="B627" s="923"/>
      <c r="C627" s="924"/>
      <c r="D627" s="924"/>
      <c r="E627" s="925"/>
      <c r="F627" s="174"/>
      <c r="G627" s="174"/>
      <c r="H627" s="206"/>
      <c r="I627" s="206"/>
      <c r="J627" s="207"/>
      <c r="K627" s="207"/>
      <c r="L627" s="207"/>
      <c r="M627" s="204">
        <f t="shared" si="293"/>
        <v>0</v>
      </c>
      <c r="N627" s="203">
        <f t="shared" ref="N627:O636" si="294">M627</f>
        <v>0</v>
      </c>
      <c r="O627" s="204">
        <f t="shared" si="294"/>
        <v>0</v>
      </c>
      <c r="P627" s="205">
        <f t="shared" si="291"/>
        <v>0</v>
      </c>
      <c r="Q627" s="205">
        <f t="shared" si="292"/>
        <v>0</v>
      </c>
      <c r="R627" s="929"/>
      <c r="S627" s="930"/>
      <c r="T627" s="931"/>
    </row>
    <row r="628" spans="1:20" ht="15" hidden="1" customHeight="1" outlineLevel="1">
      <c r="A628" s="202" t="str">
        <f>TEXT($A$617,0) &amp; ".1"</f>
        <v>0.1</v>
      </c>
      <c r="B628" s="923"/>
      <c r="C628" s="924"/>
      <c r="D628" s="924"/>
      <c r="E628" s="925"/>
      <c r="F628" s="174"/>
      <c r="G628" s="174"/>
      <c r="H628" s="206"/>
      <c r="I628" s="206"/>
      <c r="J628" s="207"/>
      <c r="K628" s="207"/>
      <c r="L628" s="207"/>
      <c r="M628" s="204">
        <f>(J628+K628*4+L628)/6</f>
        <v>0</v>
      </c>
      <c r="N628" s="203">
        <f t="shared" si="294"/>
        <v>0</v>
      </c>
      <c r="O628" s="204">
        <f>N628</f>
        <v>0</v>
      </c>
      <c r="P628" s="205">
        <f t="shared" ref="P628:P637" si="295">IF(H628&lt;&gt;"",INDEX(MDActivityTypeInternalCostPerDay,MATCH(H628,MDActivityTypeID,0),1)*O628,0)</f>
        <v>0</v>
      </c>
      <c r="Q628" s="205">
        <f t="shared" ref="Q628:Q637" si="296">IF(H628&lt;&gt;"",INDEX(MDActivityTypeExternalPricePerDay,MATCH(H628,MDActivityTypeID,0),1)*O628,0)</f>
        <v>0</v>
      </c>
      <c r="R628" s="929"/>
      <c r="S628" s="930"/>
      <c r="T628" s="931"/>
    </row>
    <row r="629" spans="1:20" ht="15" hidden="1" customHeight="1" outlineLevel="1">
      <c r="A629" s="202" t="str">
        <f>TEXT($A$617,0) &amp; ".2"</f>
        <v>0.2</v>
      </c>
      <c r="B629" s="923"/>
      <c r="C629" s="924"/>
      <c r="D629" s="924"/>
      <c r="E629" s="925"/>
      <c r="F629" s="174"/>
      <c r="G629" s="174"/>
      <c r="H629" s="206"/>
      <c r="I629" s="206"/>
      <c r="J629" s="207"/>
      <c r="K629" s="207"/>
      <c r="L629" s="207"/>
      <c r="M629" s="204">
        <f t="shared" ref="M629:M637" si="297">(J629+K629*4+L629)/6</f>
        <v>0</v>
      </c>
      <c r="N629" s="203">
        <f t="shared" si="294"/>
        <v>0</v>
      </c>
      <c r="O629" s="204">
        <f t="shared" ref="O629:O637" si="298">N629</f>
        <v>0</v>
      </c>
      <c r="P629" s="205">
        <f t="shared" si="295"/>
        <v>0</v>
      </c>
      <c r="Q629" s="205">
        <f t="shared" si="296"/>
        <v>0</v>
      </c>
      <c r="R629" s="929"/>
      <c r="S629" s="930"/>
      <c r="T629" s="931"/>
    </row>
    <row r="630" spans="1:20" ht="15" hidden="1" customHeight="1" outlineLevel="1">
      <c r="A630" s="202" t="str">
        <f>TEXT($A$617,0) &amp; ".3"</f>
        <v>0.3</v>
      </c>
      <c r="B630" s="923"/>
      <c r="C630" s="924"/>
      <c r="D630" s="924"/>
      <c r="E630" s="925"/>
      <c r="F630" s="174"/>
      <c r="G630" s="174"/>
      <c r="H630" s="206"/>
      <c r="I630" s="206"/>
      <c r="J630" s="207"/>
      <c r="K630" s="207"/>
      <c r="L630" s="207"/>
      <c r="M630" s="204">
        <f t="shared" si="297"/>
        <v>0</v>
      </c>
      <c r="N630" s="203">
        <f t="shared" si="294"/>
        <v>0</v>
      </c>
      <c r="O630" s="204">
        <f t="shared" si="298"/>
        <v>0</v>
      </c>
      <c r="P630" s="205">
        <f t="shared" si="295"/>
        <v>0</v>
      </c>
      <c r="Q630" s="205">
        <f t="shared" si="296"/>
        <v>0</v>
      </c>
      <c r="R630" s="929"/>
      <c r="S630" s="930"/>
      <c r="T630" s="931"/>
    </row>
    <row r="631" spans="1:20" ht="15" hidden="1" customHeight="1" outlineLevel="1">
      <c r="A631" s="202" t="str">
        <f>TEXT($A$617,0) &amp; ".4"</f>
        <v>0.4</v>
      </c>
      <c r="B631" s="923"/>
      <c r="C631" s="924"/>
      <c r="D631" s="924"/>
      <c r="E631" s="925"/>
      <c r="F631" s="174"/>
      <c r="G631" s="174"/>
      <c r="H631" s="206"/>
      <c r="I631" s="206"/>
      <c r="J631" s="207"/>
      <c r="K631" s="207"/>
      <c r="L631" s="207"/>
      <c r="M631" s="204">
        <f t="shared" si="297"/>
        <v>0</v>
      </c>
      <c r="N631" s="203">
        <f t="shared" si="294"/>
        <v>0</v>
      </c>
      <c r="O631" s="204">
        <f t="shared" si="298"/>
        <v>0</v>
      </c>
      <c r="P631" s="205">
        <f t="shared" si="295"/>
        <v>0</v>
      </c>
      <c r="Q631" s="205">
        <f t="shared" si="296"/>
        <v>0</v>
      </c>
      <c r="R631" s="929"/>
      <c r="S631" s="930"/>
      <c r="T631" s="931"/>
    </row>
    <row r="632" spans="1:20" ht="15" hidden="1" customHeight="1" outlineLevel="1">
      <c r="A632" s="202" t="str">
        <f>TEXT($A$617,0) &amp; ".5"</f>
        <v>0.5</v>
      </c>
      <c r="B632" s="923"/>
      <c r="C632" s="924"/>
      <c r="D632" s="924"/>
      <c r="E632" s="925"/>
      <c r="F632" s="174"/>
      <c r="G632" s="174"/>
      <c r="H632" s="206"/>
      <c r="I632" s="206"/>
      <c r="J632" s="207"/>
      <c r="K632" s="207"/>
      <c r="L632" s="207"/>
      <c r="M632" s="204">
        <f t="shared" si="297"/>
        <v>0</v>
      </c>
      <c r="N632" s="203">
        <f t="shared" si="294"/>
        <v>0</v>
      </c>
      <c r="O632" s="204">
        <f t="shared" si="298"/>
        <v>0</v>
      </c>
      <c r="P632" s="205">
        <f t="shared" si="295"/>
        <v>0</v>
      </c>
      <c r="Q632" s="205">
        <f t="shared" si="296"/>
        <v>0</v>
      </c>
      <c r="R632" s="929"/>
      <c r="S632" s="930"/>
      <c r="T632" s="931"/>
    </row>
    <row r="633" spans="1:20" ht="15" hidden="1" customHeight="1" outlineLevel="1">
      <c r="A633" s="202" t="str">
        <f>TEXT($A$617,0) &amp; ".6"</f>
        <v>0.6</v>
      </c>
      <c r="B633" s="923"/>
      <c r="C633" s="924"/>
      <c r="D633" s="924"/>
      <c r="E633" s="925"/>
      <c r="F633" s="174"/>
      <c r="G633" s="174"/>
      <c r="H633" s="206"/>
      <c r="I633" s="206"/>
      <c r="J633" s="207"/>
      <c r="K633" s="207"/>
      <c r="L633" s="207"/>
      <c r="M633" s="204">
        <f t="shared" si="297"/>
        <v>0</v>
      </c>
      <c r="N633" s="203">
        <f t="shared" si="294"/>
        <v>0</v>
      </c>
      <c r="O633" s="204">
        <f t="shared" si="298"/>
        <v>0</v>
      </c>
      <c r="P633" s="205">
        <f t="shared" si="295"/>
        <v>0</v>
      </c>
      <c r="Q633" s="205">
        <f t="shared" si="296"/>
        <v>0</v>
      </c>
      <c r="R633" s="929"/>
      <c r="S633" s="930"/>
      <c r="T633" s="931"/>
    </row>
    <row r="634" spans="1:20" ht="15" hidden="1" customHeight="1" outlineLevel="1">
      <c r="A634" s="202" t="str">
        <f>TEXT($A$617,0) &amp; ".7"</f>
        <v>0.7</v>
      </c>
      <c r="B634" s="923"/>
      <c r="C634" s="924"/>
      <c r="D634" s="924"/>
      <c r="E634" s="925"/>
      <c r="F634" s="174"/>
      <c r="G634" s="174"/>
      <c r="H634" s="206"/>
      <c r="I634" s="206"/>
      <c r="J634" s="207"/>
      <c r="K634" s="207"/>
      <c r="L634" s="207"/>
      <c r="M634" s="204">
        <f t="shared" si="297"/>
        <v>0</v>
      </c>
      <c r="N634" s="203">
        <f t="shared" si="294"/>
        <v>0</v>
      </c>
      <c r="O634" s="204">
        <f t="shared" si="298"/>
        <v>0</v>
      </c>
      <c r="P634" s="205">
        <f t="shared" si="295"/>
        <v>0</v>
      </c>
      <c r="Q634" s="205">
        <f t="shared" si="296"/>
        <v>0</v>
      </c>
      <c r="R634" s="929"/>
      <c r="S634" s="930"/>
      <c r="T634" s="931"/>
    </row>
    <row r="635" spans="1:20" ht="15" hidden="1" customHeight="1" outlineLevel="1">
      <c r="A635" s="202" t="str">
        <f>TEXT($A$617,0) &amp; ".8"</f>
        <v>0.8</v>
      </c>
      <c r="B635" s="923"/>
      <c r="C635" s="924"/>
      <c r="D635" s="924"/>
      <c r="E635" s="925"/>
      <c r="F635" s="174"/>
      <c r="G635" s="174"/>
      <c r="H635" s="206"/>
      <c r="I635" s="206"/>
      <c r="J635" s="207"/>
      <c r="K635" s="207"/>
      <c r="L635" s="207"/>
      <c r="M635" s="204">
        <f t="shared" si="297"/>
        <v>0</v>
      </c>
      <c r="N635" s="203">
        <f t="shared" si="294"/>
        <v>0</v>
      </c>
      <c r="O635" s="204">
        <f t="shared" si="298"/>
        <v>0</v>
      </c>
      <c r="P635" s="205">
        <f t="shared" si="295"/>
        <v>0</v>
      </c>
      <c r="Q635" s="205">
        <f t="shared" si="296"/>
        <v>0</v>
      </c>
      <c r="R635" s="929"/>
      <c r="S635" s="930"/>
      <c r="T635" s="931"/>
    </row>
    <row r="636" spans="1:20" ht="15" hidden="1" customHeight="1" outlineLevel="1">
      <c r="A636" s="202" t="str">
        <f>TEXT($A$617,0) &amp; ".9"</f>
        <v>0.9</v>
      </c>
      <c r="B636" s="923"/>
      <c r="C636" s="924"/>
      <c r="D636" s="924"/>
      <c r="E636" s="925"/>
      <c r="F636" s="174"/>
      <c r="G636" s="174"/>
      <c r="H636" s="206"/>
      <c r="I636" s="206"/>
      <c r="J636" s="207"/>
      <c r="K636" s="207"/>
      <c r="L636" s="207"/>
      <c r="M636" s="204">
        <f t="shared" si="297"/>
        <v>0</v>
      </c>
      <c r="N636" s="203">
        <f t="shared" si="294"/>
        <v>0</v>
      </c>
      <c r="O636" s="204">
        <f t="shared" si="298"/>
        <v>0</v>
      </c>
      <c r="P636" s="205">
        <f t="shared" si="295"/>
        <v>0</v>
      </c>
      <c r="Q636" s="205">
        <f t="shared" si="296"/>
        <v>0</v>
      </c>
      <c r="R636" s="929"/>
      <c r="S636" s="930"/>
      <c r="T636" s="931"/>
    </row>
    <row r="637" spans="1:20" ht="15" hidden="1" customHeight="1" outlineLevel="1">
      <c r="A637" s="202" t="str">
        <f>TEXT($A$617,0) &amp; ".10"</f>
        <v>0.10</v>
      </c>
      <c r="B637" s="923"/>
      <c r="C637" s="924"/>
      <c r="D637" s="924"/>
      <c r="E637" s="925"/>
      <c r="F637" s="174"/>
      <c r="G637" s="174"/>
      <c r="H637" s="206"/>
      <c r="I637" s="206"/>
      <c r="J637" s="207"/>
      <c r="K637" s="207"/>
      <c r="L637" s="207"/>
      <c r="M637" s="204">
        <f t="shared" si="297"/>
        <v>0</v>
      </c>
      <c r="N637" s="203">
        <f>M637</f>
        <v>0</v>
      </c>
      <c r="O637" s="204">
        <f t="shared" si="298"/>
        <v>0</v>
      </c>
      <c r="P637" s="205">
        <f t="shared" si="295"/>
        <v>0</v>
      </c>
      <c r="Q637" s="205">
        <f t="shared" si="296"/>
        <v>0</v>
      </c>
      <c r="R637" s="929"/>
      <c r="S637" s="930"/>
      <c r="T637" s="931"/>
    </row>
    <row r="638" spans="1:20" collapsed="1">
      <c r="A638" s="197"/>
      <c r="B638" s="197"/>
      <c r="C638" s="197"/>
      <c r="D638" s="197"/>
      <c r="E638" s="197"/>
      <c r="F638" s="197"/>
      <c r="G638" s="197"/>
      <c r="H638" s="197"/>
      <c r="O638" s="197"/>
      <c r="P638" s="197"/>
      <c r="Q638" s="197"/>
      <c r="R638" s="197"/>
      <c r="S638" s="197"/>
    </row>
    <row r="639" spans="1:20">
      <c r="A639" s="197"/>
      <c r="B639" s="197"/>
      <c r="C639" s="197"/>
      <c r="D639" s="197"/>
      <c r="E639" s="197"/>
      <c r="F639" s="197"/>
      <c r="G639" s="197"/>
      <c r="H639" s="197"/>
      <c r="I639" s="197"/>
      <c r="J639" s="197"/>
      <c r="K639" s="197"/>
      <c r="L639" s="197"/>
      <c r="M639" s="197"/>
      <c r="N639" s="197"/>
      <c r="O639" s="197"/>
      <c r="P639" s="197"/>
      <c r="Q639" s="208"/>
      <c r="R639" s="208"/>
      <c r="S639" s="208"/>
    </row>
  </sheetData>
  <sheetProtection algorithmName="SHA-512" hashValue="bht8sdoV49SvxFaUKxWjP7XzyQZLW9mKxU7gK3/TglcYgYwzAB88NVIs4RUGQJR0J/3uqCtX5STJFGr9vD0omQ==" saltValue="/fe8nvlgJeNool1srI36zg==" spinCount="100000" sheet="1" objects="1" scenarios="1"/>
  <mergeCells count="1257">
    <mergeCell ref="B635:E635"/>
    <mergeCell ref="R635:T635"/>
    <mergeCell ref="B636:E636"/>
    <mergeCell ref="R636:T636"/>
    <mergeCell ref="B584:E584"/>
    <mergeCell ref="B585:E585"/>
    <mergeCell ref="B575:E575"/>
    <mergeCell ref="R575:T575"/>
    <mergeCell ref="R613:T613"/>
    <mergeCell ref="B593:E593"/>
    <mergeCell ref="R593:T593"/>
    <mergeCell ref="B594:E594"/>
    <mergeCell ref="R594:T594"/>
    <mergeCell ref="B595:E595"/>
    <mergeCell ref="R595:T595"/>
    <mergeCell ref="B607:E607"/>
    <mergeCell ref="R607:T607"/>
    <mergeCell ref="B608:E608"/>
    <mergeCell ref="R608:T608"/>
    <mergeCell ref="R604:T604"/>
    <mergeCell ref="B605:E605"/>
    <mergeCell ref="R605:T605"/>
    <mergeCell ref="B606:E606"/>
    <mergeCell ref="R606:T606"/>
    <mergeCell ref="B604:E604"/>
    <mergeCell ref="B602:E602"/>
    <mergeCell ref="R602:T602"/>
    <mergeCell ref="B603:E603"/>
    <mergeCell ref="B609:E609"/>
    <mergeCell ref="B577:E577"/>
    <mergeCell ref="B618:E618"/>
    <mergeCell ref="R618:T618"/>
    <mergeCell ref="B637:E637"/>
    <mergeCell ref="R637:T637"/>
    <mergeCell ref="B630:E630"/>
    <mergeCell ref="R630:T630"/>
    <mergeCell ref="B631:E631"/>
    <mergeCell ref="R631:T631"/>
    <mergeCell ref="B632:E632"/>
    <mergeCell ref="R632:T632"/>
    <mergeCell ref="B633:E633"/>
    <mergeCell ref="R633:T633"/>
    <mergeCell ref="B634:E634"/>
    <mergeCell ref="R634:T634"/>
    <mergeCell ref="B614:E614"/>
    <mergeCell ref="R614:T614"/>
    <mergeCell ref="B615:E615"/>
    <mergeCell ref="R615:T615"/>
    <mergeCell ref="B616:E616"/>
    <mergeCell ref="R616:T616"/>
    <mergeCell ref="B628:E628"/>
    <mergeCell ref="R628:T628"/>
    <mergeCell ref="B629:E629"/>
    <mergeCell ref="R629:T629"/>
    <mergeCell ref="R617:T617"/>
    <mergeCell ref="B617:E617"/>
    <mergeCell ref="B626:E626"/>
    <mergeCell ref="R626:T626"/>
    <mergeCell ref="B627:E627"/>
    <mergeCell ref="R627:T627"/>
    <mergeCell ref="B619:E619"/>
    <mergeCell ref="R619:T619"/>
    <mergeCell ref="B625:E625"/>
    <mergeCell ref="R625:T625"/>
    <mergeCell ref="R584:T584"/>
    <mergeCell ref="R585:T585"/>
    <mergeCell ref="R579:T579"/>
    <mergeCell ref="B562:E562"/>
    <mergeCell ref="B563:E563"/>
    <mergeCell ref="B557:E557"/>
    <mergeCell ref="B564:E564"/>
    <mergeCell ref="B554:E554"/>
    <mergeCell ref="B555:E555"/>
    <mergeCell ref="R555:T555"/>
    <mergeCell ref="B556:E556"/>
    <mergeCell ref="R556:T556"/>
    <mergeCell ref="R557:T557"/>
    <mergeCell ref="B558:E558"/>
    <mergeCell ref="R558:T558"/>
    <mergeCell ref="B583:E583"/>
    <mergeCell ref="R583:T583"/>
    <mergeCell ref="R560:T560"/>
    <mergeCell ref="R582:T582"/>
    <mergeCell ref="B561:E561"/>
    <mergeCell ref="R561:T561"/>
    <mergeCell ref="R578:T578"/>
    <mergeCell ref="B580:E580"/>
    <mergeCell ref="B530:E530"/>
    <mergeCell ref="R530:T530"/>
    <mergeCell ref="B531:E531"/>
    <mergeCell ref="R531:T531"/>
    <mergeCell ref="B532:E532"/>
    <mergeCell ref="R532:T532"/>
    <mergeCell ref="B542:E542"/>
    <mergeCell ref="B544:E544"/>
    <mergeCell ref="R544:T544"/>
    <mergeCell ref="B545:E545"/>
    <mergeCell ref="R545:T545"/>
    <mergeCell ref="R535:T535"/>
    <mergeCell ref="B541:E541"/>
    <mergeCell ref="R541:T541"/>
    <mergeCell ref="B539:E539"/>
    <mergeCell ref="R539:T539"/>
    <mergeCell ref="B540:E540"/>
    <mergeCell ref="R540:T540"/>
    <mergeCell ref="R533:T533"/>
    <mergeCell ref="R536:T536"/>
    <mergeCell ref="R537:T537"/>
    <mergeCell ref="R542:T542"/>
    <mergeCell ref="R543:T543"/>
    <mergeCell ref="B535:E535"/>
    <mergeCell ref="B543:E543"/>
    <mergeCell ref="B509:E509"/>
    <mergeCell ref="R509:T509"/>
    <mergeCell ref="B510:E510"/>
    <mergeCell ref="R510:T510"/>
    <mergeCell ref="B511:E511"/>
    <mergeCell ref="R511:T511"/>
    <mergeCell ref="B523:E523"/>
    <mergeCell ref="R523:T523"/>
    <mergeCell ref="B524:E524"/>
    <mergeCell ref="R524:T524"/>
    <mergeCell ref="R512:T512"/>
    <mergeCell ref="B498:E498"/>
    <mergeCell ref="R498:T498"/>
    <mergeCell ref="B493:E493"/>
    <mergeCell ref="R493:T493"/>
    <mergeCell ref="R517:T517"/>
    <mergeCell ref="R518:T518"/>
    <mergeCell ref="R519:T519"/>
    <mergeCell ref="R513:T513"/>
    <mergeCell ref="R514:T514"/>
    <mergeCell ref="R515:T515"/>
    <mergeCell ref="R516:T516"/>
    <mergeCell ref="B515:E515"/>
    <mergeCell ref="B516:E516"/>
    <mergeCell ref="B519:E519"/>
    <mergeCell ref="R471:T471"/>
    <mergeCell ref="R477:T477"/>
    <mergeCell ref="B472:E472"/>
    <mergeCell ref="R472:T472"/>
    <mergeCell ref="B478:E478"/>
    <mergeCell ref="B496:E496"/>
    <mergeCell ref="R496:T496"/>
    <mergeCell ref="B497:E497"/>
    <mergeCell ref="R497:T497"/>
    <mergeCell ref="B503:E503"/>
    <mergeCell ref="R503:T503"/>
    <mergeCell ref="B494:E494"/>
    <mergeCell ref="R494:T494"/>
    <mergeCell ref="B495:E495"/>
    <mergeCell ref="R495:T495"/>
    <mergeCell ref="R502:T502"/>
    <mergeCell ref="R475:T475"/>
    <mergeCell ref="B476:E476"/>
    <mergeCell ref="R476:T476"/>
    <mergeCell ref="B477:E477"/>
    <mergeCell ref="B483:E483"/>
    <mergeCell ref="R483:T483"/>
    <mergeCell ref="R491:T491"/>
    <mergeCell ref="B491:E491"/>
    <mergeCell ref="B502:E502"/>
    <mergeCell ref="R460:T460"/>
    <mergeCell ref="B449:E449"/>
    <mergeCell ref="B458:E458"/>
    <mergeCell ref="R458:T458"/>
    <mergeCell ref="B459:E459"/>
    <mergeCell ref="R459:T459"/>
    <mergeCell ref="B450:E450"/>
    <mergeCell ref="B513:E513"/>
    <mergeCell ref="B514:E514"/>
    <mergeCell ref="B521:E521"/>
    <mergeCell ref="R521:T521"/>
    <mergeCell ref="B522:E522"/>
    <mergeCell ref="R522:T522"/>
    <mergeCell ref="R508:T508"/>
    <mergeCell ref="B484:E484"/>
    <mergeCell ref="R484:T484"/>
    <mergeCell ref="B485:E485"/>
    <mergeCell ref="R485:T485"/>
    <mergeCell ref="B486:E486"/>
    <mergeCell ref="R486:T486"/>
    <mergeCell ref="B487:E487"/>
    <mergeCell ref="R487:T487"/>
    <mergeCell ref="B467:E467"/>
    <mergeCell ref="R467:T467"/>
    <mergeCell ref="B468:E468"/>
    <mergeCell ref="R468:T468"/>
    <mergeCell ref="B469:E469"/>
    <mergeCell ref="R469:T469"/>
    <mergeCell ref="B481:E481"/>
    <mergeCell ref="R481:T481"/>
    <mergeCell ref="B482:E482"/>
    <mergeCell ref="R482:T482"/>
    <mergeCell ref="R453:T453"/>
    <mergeCell ref="B433:E433"/>
    <mergeCell ref="R433:T433"/>
    <mergeCell ref="B434:E434"/>
    <mergeCell ref="R434:T434"/>
    <mergeCell ref="B435:E435"/>
    <mergeCell ref="R435:T435"/>
    <mergeCell ref="R478:T478"/>
    <mergeCell ref="B479:E479"/>
    <mergeCell ref="R479:T479"/>
    <mergeCell ref="B480:E480"/>
    <mergeCell ref="B473:E473"/>
    <mergeCell ref="R473:T473"/>
    <mergeCell ref="B474:E474"/>
    <mergeCell ref="R462:T462"/>
    <mergeCell ref="B463:E463"/>
    <mergeCell ref="R463:T463"/>
    <mergeCell ref="B464:E464"/>
    <mergeCell ref="R464:T464"/>
    <mergeCell ref="B465:E465"/>
    <mergeCell ref="R465:T465"/>
    <mergeCell ref="B466:E466"/>
    <mergeCell ref="R466:T466"/>
    <mergeCell ref="B445:E445"/>
    <mergeCell ref="R445:T445"/>
    <mergeCell ref="B446:E446"/>
    <mergeCell ref="R446:T446"/>
    <mergeCell ref="B447:E447"/>
    <mergeCell ref="R447:T447"/>
    <mergeCell ref="B448:E448"/>
    <mergeCell ref="R448:T448"/>
    <mergeCell ref="B460:E460"/>
    <mergeCell ref="R394:T394"/>
    <mergeCell ref="R386:T386"/>
    <mergeCell ref="B389:E389"/>
    <mergeCell ref="R389:T389"/>
    <mergeCell ref="R390:T390"/>
    <mergeCell ref="B391:E391"/>
    <mergeCell ref="R391:T391"/>
    <mergeCell ref="R392:T392"/>
    <mergeCell ref="B392:E392"/>
    <mergeCell ref="B390:E390"/>
    <mergeCell ref="R450:T450"/>
    <mergeCell ref="B451:E451"/>
    <mergeCell ref="R451:T451"/>
    <mergeCell ref="B457:E457"/>
    <mergeCell ref="R457:T457"/>
    <mergeCell ref="B452:E452"/>
    <mergeCell ref="R452:T452"/>
    <mergeCell ref="R439:T439"/>
    <mergeCell ref="B428:E428"/>
    <mergeCell ref="B436:E436"/>
    <mergeCell ref="R436:T436"/>
    <mergeCell ref="B437:E437"/>
    <mergeCell ref="R437:T437"/>
    <mergeCell ref="B438:E438"/>
    <mergeCell ref="R438:T438"/>
    <mergeCell ref="B429:E429"/>
    <mergeCell ref="R429:T429"/>
    <mergeCell ref="B430:E430"/>
    <mergeCell ref="R430:T430"/>
    <mergeCell ref="R428:T428"/>
    <mergeCell ref="B431:E431"/>
    <mergeCell ref="B453:E453"/>
    <mergeCell ref="R376:T376"/>
    <mergeCell ref="R372:T372"/>
    <mergeCell ref="B381:E381"/>
    <mergeCell ref="R381:T381"/>
    <mergeCell ref="B382:E382"/>
    <mergeCell ref="R382:T382"/>
    <mergeCell ref="B383:E383"/>
    <mergeCell ref="R383:T383"/>
    <mergeCell ref="B384:E384"/>
    <mergeCell ref="R384:T384"/>
    <mergeCell ref="B385:E385"/>
    <mergeCell ref="R385:T385"/>
    <mergeCell ref="B386:E386"/>
    <mergeCell ref="B387:E387"/>
    <mergeCell ref="R387:T387"/>
    <mergeCell ref="B388:E388"/>
    <mergeCell ref="R388:T388"/>
    <mergeCell ref="R373:T373"/>
    <mergeCell ref="B373:E373"/>
    <mergeCell ref="R378:T378"/>
    <mergeCell ref="B379:E379"/>
    <mergeCell ref="R379:T379"/>
    <mergeCell ref="B380:E380"/>
    <mergeCell ref="R380:T380"/>
    <mergeCell ref="B322:E322"/>
    <mergeCell ref="B327:E327"/>
    <mergeCell ref="R327:T327"/>
    <mergeCell ref="R350:T350"/>
    <mergeCell ref="B351:E351"/>
    <mergeCell ref="R351:T351"/>
    <mergeCell ref="B352:E352"/>
    <mergeCell ref="R352:T352"/>
    <mergeCell ref="B353:E353"/>
    <mergeCell ref="R353:T353"/>
    <mergeCell ref="B354:E354"/>
    <mergeCell ref="R354:T354"/>
    <mergeCell ref="B370:E370"/>
    <mergeCell ref="R370:T370"/>
    <mergeCell ref="R368:T368"/>
    <mergeCell ref="R364:T364"/>
    <mergeCell ref="B366:E366"/>
    <mergeCell ref="R366:T366"/>
    <mergeCell ref="B367:E367"/>
    <mergeCell ref="R367:T367"/>
    <mergeCell ref="R356:T356"/>
    <mergeCell ref="B362:E362"/>
    <mergeCell ref="R362:T362"/>
    <mergeCell ref="B363:E363"/>
    <mergeCell ref="R358:T358"/>
    <mergeCell ref="B359:E359"/>
    <mergeCell ref="B364:E364"/>
    <mergeCell ref="B334:E334"/>
    <mergeCell ref="R337:T337"/>
    <mergeCell ref="R347:T347"/>
    <mergeCell ref="R339:T339"/>
    <mergeCell ref="R340:T340"/>
    <mergeCell ref="B333:E333"/>
    <mergeCell ref="R333:T333"/>
    <mergeCell ref="R324:T324"/>
    <mergeCell ref="B325:E325"/>
    <mergeCell ref="R325:T325"/>
    <mergeCell ref="B331:E331"/>
    <mergeCell ref="R331:T331"/>
    <mergeCell ref="B326:E326"/>
    <mergeCell ref="R326:T326"/>
    <mergeCell ref="B338:E338"/>
    <mergeCell ref="R338:T338"/>
    <mergeCell ref="B328:E328"/>
    <mergeCell ref="R328:T328"/>
    <mergeCell ref="B329:E329"/>
    <mergeCell ref="R329:T329"/>
    <mergeCell ref="B371:E371"/>
    <mergeCell ref="B368:E368"/>
    <mergeCell ref="B345:E345"/>
    <mergeCell ref="R345:T345"/>
    <mergeCell ref="B346:E346"/>
    <mergeCell ref="R346:T346"/>
    <mergeCell ref="B347:E347"/>
    <mergeCell ref="R341:T341"/>
    <mergeCell ref="R342:T342"/>
    <mergeCell ref="R343:T343"/>
    <mergeCell ref="R344:T344"/>
    <mergeCell ref="B355:E355"/>
    <mergeCell ref="R355:T355"/>
    <mergeCell ref="B350:E350"/>
    <mergeCell ref="R312:T312"/>
    <mergeCell ref="R310:T310"/>
    <mergeCell ref="B313:E313"/>
    <mergeCell ref="R313:T313"/>
    <mergeCell ref="B330:E330"/>
    <mergeCell ref="R330:T330"/>
    <mergeCell ref="R334:T334"/>
    <mergeCell ref="B335:E335"/>
    <mergeCell ref="R335:T335"/>
    <mergeCell ref="B336:E336"/>
    <mergeCell ref="R336:T336"/>
    <mergeCell ref="B337:E337"/>
    <mergeCell ref="B317:E317"/>
    <mergeCell ref="R317:T317"/>
    <mergeCell ref="B318:E318"/>
    <mergeCell ref="R318:T318"/>
    <mergeCell ref="B319:E319"/>
    <mergeCell ref="R319:T319"/>
    <mergeCell ref="B320:E320"/>
    <mergeCell ref="R320:T320"/>
    <mergeCell ref="B321:E321"/>
    <mergeCell ref="R321:T321"/>
    <mergeCell ref="R323:T323"/>
    <mergeCell ref="R311:T311"/>
    <mergeCell ref="R322:T322"/>
    <mergeCell ref="B314:E314"/>
    <mergeCell ref="R314:T314"/>
    <mergeCell ref="B315:E315"/>
    <mergeCell ref="R315:T315"/>
    <mergeCell ref="B316:E316"/>
    <mergeCell ref="R316:T316"/>
    <mergeCell ref="R332:T332"/>
    <mergeCell ref="R291:T291"/>
    <mergeCell ref="R303:T303"/>
    <mergeCell ref="R304:T304"/>
    <mergeCell ref="B302:E302"/>
    <mergeCell ref="B304:E304"/>
    <mergeCell ref="R287:T287"/>
    <mergeCell ref="B288:E288"/>
    <mergeCell ref="R288:T288"/>
    <mergeCell ref="R306:T306"/>
    <mergeCell ref="R307:T307"/>
    <mergeCell ref="R308:T308"/>
    <mergeCell ref="R309:T309"/>
    <mergeCell ref="B309:E309"/>
    <mergeCell ref="B297:E297"/>
    <mergeCell ref="R297:T297"/>
    <mergeCell ref="B290:E290"/>
    <mergeCell ref="R305:T305"/>
    <mergeCell ref="R290:T290"/>
    <mergeCell ref="B291:E291"/>
    <mergeCell ref="R302:T302"/>
    <mergeCell ref="B294:E294"/>
    <mergeCell ref="R294:T294"/>
    <mergeCell ref="B295:E295"/>
    <mergeCell ref="R295:T295"/>
    <mergeCell ref="B296:E296"/>
    <mergeCell ref="R296:T296"/>
    <mergeCell ref="B303:E303"/>
    <mergeCell ref="R301:T301"/>
    <mergeCell ref="R293:T293"/>
    <mergeCell ref="B298:E298"/>
    <mergeCell ref="R298:T298"/>
    <mergeCell ref="B299:E299"/>
    <mergeCell ref="R285:T285"/>
    <mergeCell ref="R240:T240"/>
    <mergeCell ref="R266:T266"/>
    <mergeCell ref="B284:E284"/>
    <mergeCell ref="R289:T289"/>
    <mergeCell ref="R251:T251"/>
    <mergeCell ref="B257:E257"/>
    <mergeCell ref="R226:T226"/>
    <mergeCell ref="R227:T227"/>
    <mergeCell ref="B228:E228"/>
    <mergeCell ref="B229:E229"/>
    <mergeCell ref="R229:T229"/>
    <mergeCell ref="R228:T228"/>
    <mergeCell ref="B230:E230"/>
    <mergeCell ref="R230:T230"/>
    <mergeCell ref="B231:E231"/>
    <mergeCell ref="B227:E227"/>
    <mergeCell ref="B236:E236"/>
    <mergeCell ref="R236:T236"/>
    <mergeCell ref="R235:T235"/>
    <mergeCell ref="R284:T284"/>
    <mergeCell ref="B285:E285"/>
    <mergeCell ref="R252:T252"/>
    <mergeCell ref="B253:E253"/>
    <mergeCell ref="R253:T253"/>
    <mergeCell ref="B254:E254"/>
    <mergeCell ref="B281:E281"/>
    <mergeCell ref="R261:T261"/>
    <mergeCell ref="R257:T257"/>
    <mergeCell ref="R258:T258"/>
    <mergeCell ref="R277:T277"/>
    <mergeCell ref="R260:T260"/>
    <mergeCell ref="B187:E187"/>
    <mergeCell ref="R187:T187"/>
    <mergeCell ref="B188:E188"/>
    <mergeCell ref="R188:T188"/>
    <mergeCell ref="B204:E204"/>
    <mergeCell ref="B184:E184"/>
    <mergeCell ref="R184:T184"/>
    <mergeCell ref="B183:E183"/>
    <mergeCell ref="R183:T183"/>
    <mergeCell ref="B185:E185"/>
    <mergeCell ref="R202:T202"/>
    <mergeCell ref="B203:E203"/>
    <mergeCell ref="R204:T204"/>
    <mergeCell ref="B205:E205"/>
    <mergeCell ref="B206:E206"/>
    <mergeCell ref="B198:E198"/>
    <mergeCell ref="R198:T198"/>
    <mergeCell ref="R197:T197"/>
    <mergeCell ref="B200:E200"/>
    <mergeCell ref="R200:T200"/>
    <mergeCell ref="R203:T203"/>
    <mergeCell ref="R185:T185"/>
    <mergeCell ref="R186:T186"/>
    <mergeCell ref="B199:E199"/>
    <mergeCell ref="R199:T199"/>
    <mergeCell ref="R206:T206"/>
    <mergeCell ref="R201:T201"/>
    <mergeCell ref="R191:T191"/>
    <mergeCell ref="B192:E192"/>
    <mergeCell ref="R192:T192"/>
    <mergeCell ref="B193:E193"/>
    <mergeCell ref="R193:T193"/>
    <mergeCell ref="R179:T179"/>
    <mergeCell ref="R180:T180"/>
    <mergeCell ref="B181:E181"/>
    <mergeCell ref="R181:T181"/>
    <mergeCell ref="B182:E182"/>
    <mergeCell ref="R182:T182"/>
    <mergeCell ref="R176:T176"/>
    <mergeCell ref="B176:E176"/>
    <mergeCell ref="B178:E178"/>
    <mergeCell ref="R163:T163"/>
    <mergeCell ref="R164:T164"/>
    <mergeCell ref="B165:E165"/>
    <mergeCell ref="R165:T165"/>
    <mergeCell ref="B179:E179"/>
    <mergeCell ref="B180:E180"/>
    <mergeCell ref="B177:E177"/>
    <mergeCell ref="R177:T177"/>
    <mergeCell ref="R178:T178"/>
    <mergeCell ref="B173:E173"/>
    <mergeCell ref="R173:T173"/>
    <mergeCell ref="B174:E174"/>
    <mergeCell ref="R174:T174"/>
    <mergeCell ref="B175:E175"/>
    <mergeCell ref="R175:T175"/>
    <mergeCell ref="B166:E166"/>
    <mergeCell ref="R166:T166"/>
    <mergeCell ref="B167:E167"/>
    <mergeCell ref="R167:T167"/>
    <mergeCell ref="B171:E171"/>
    <mergeCell ref="R171:T171"/>
    <mergeCell ref="B172:E172"/>
    <mergeCell ref="R172:T172"/>
    <mergeCell ref="R160:T160"/>
    <mergeCell ref="R161:T161"/>
    <mergeCell ref="R162:T162"/>
    <mergeCell ref="R156:T156"/>
    <mergeCell ref="R157:T157"/>
    <mergeCell ref="R158:T158"/>
    <mergeCell ref="R159:T159"/>
    <mergeCell ref="R155:T155"/>
    <mergeCell ref="B155:E155"/>
    <mergeCell ref="B168:E168"/>
    <mergeCell ref="R168:T168"/>
    <mergeCell ref="B169:E169"/>
    <mergeCell ref="R169:T169"/>
    <mergeCell ref="R140:T140"/>
    <mergeCell ref="R141:T141"/>
    <mergeCell ref="R134:T134"/>
    <mergeCell ref="B134:E134"/>
    <mergeCell ref="R135:T135"/>
    <mergeCell ref="B149:E149"/>
    <mergeCell ref="R149:T149"/>
    <mergeCell ref="B150:E150"/>
    <mergeCell ref="R150:T150"/>
    <mergeCell ref="B151:E151"/>
    <mergeCell ref="R151:T151"/>
    <mergeCell ref="B152:E152"/>
    <mergeCell ref="R152:T152"/>
    <mergeCell ref="B153:E153"/>
    <mergeCell ref="R153:T153"/>
    <mergeCell ref="B142:E142"/>
    <mergeCell ref="B154:E154"/>
    <mergeCell ref="R154:T154"/>
    <mergeCell ref="B145:E145"/>
    <mergeCell ref="B146:E146"/>
    <mergeCell ref="R146:T146"/>
    <mergeCell ref="B143:E143"/>
    <mergeCell ref="R147:T147"/>
    <mergeCell ref="B148:E148"/>
    <mergeCell ref="R148:T148"/>
    <mergeCell ref="B128:E128"/>
    <mergeCell ref="R128:T128"/>
    <mergeCell ref="B129:E129"/>
    <mergeCell ref="R129:T129"/>
    <mergeCell ref="B130:E130"/>
    <mergeCell ref="R130:T130"/>
    <mergeCell ref="B131:E131"/>
    <mergeCell ref="R131:T131"/>
    <mergeCell ref="B132:E132"/>
    <mergeCell ref="R132:T132"/>
    <mergeCell ref="R144:T144"/>
    <mergeCell ref="R136:T136"/>
    <mergeCell ref="R142:T142"/>
    <mergeCell ref="R143:T143"/>
    <mergeCell ref="R137:T137"/>
    <mergeCell ref="R138:T138"/>
    <mergeCell ref="R139:T139"/>
    <mergeCell ref="B133:E133"/>
    <mergeCell ref="B307:E307"/>
    <mergeCell ref="B308:E308"/>
    <mergeCell ref="B293:E293"/>
    <mergeCell ref="B312:E312"/>
    <mergeCell ref="B311:E311"/>
    <mergeCell ref="B243:E243"/>
    <mergeCell ref="B244:E244"/>
    <mergeCell ref="B210:E210"/>
    <mergeCell ref="B222:E222"/>
    <mergeCell ref="B223:E223"/>
    <mergeCell ref="B287:E287"/>
    <mergeCell ref="B238:E238"/>
    <mergeCell ref="B221:E221"/>
    <mergeCell ref="B232:E232"/>
    <mergeCell ref="B255:E255"/>
    <mergeCell ref="B292:E292"/>
    <mergeCell ref="B306:E306"/>
    <mergeCell ref="B234:E234"/>
    <mergeCell ref="B301:E301"/>
    <mergeCell ref="B286:E286"/>
    <mergeCell ref="B240:E240"/>
    <mergeCell ref="B239:E239"/>
    <mergeCell ref="B250:E250"/>
    <mergeCell ref="B233:E233"/>
    <mergeCell ref="B310:E310"/>
    <mergeCell ref="B305:E305"/>
    <mergeCell ref="B261:E261"/>
    <mergeCell ref="B289:E289"/>
    <mergeCell ref="B218:E218"/>
    <mergeCell ref="B211:E211"/>
    <mergeCell ref="B258:E258"/>
    <mergeCell ref="B252:E252"/>
    <mergeCell ref="B470:E470"/>
    <mergeCell ref="B471:E471"/>
    <mergeCell ref="B393:E393"/>
    <mergeCell ref="R111:T111"/>
    <mergeCell ref="B112:E112"/>
    <mergeCell ref="R112:T112"/>
    <mergeCell ref="B124:E124"/>
    <mergeCell ref="R124:T124"/>
    <mergeCell ref="B125:E125"/>
    <mergeCell ref="R125:T125"/>
    <mergeCell ref="B126:E126"/>
    <mergeCell ref="R126:T126"/>
    <mergeCell ref="B106:E106"/>
    <mergeCell ref="R106:T106"/>
    <mergeCell ref="B107:E107"/>
    <mergeCell ref="R107:T107"/>
    <mergeCell ref="B108:E108"/>
    <mergeCell ref="R108:T108"/>
    <mergeCell ref="B207:E207"/>
    <mergeCell ref="B249:E249"/>
    <mergeCell ref="B323:E323"/>
    <mergeCell ref="B344:E344"/>
    <mergeCell ref="B324:E324"/>
    <mergeCell ref="B332:E332"/>
    <mergeCell ref="B339:E339"/>
    <mergeCell ref="B340:E340"/>
    <mergeCell ref="B341:E341"/>
    <mergeCell ref="B342:E342"/>
    <mergeCell ref="B343:E343"/>
    <mergeCell ref="B365:E365"/>
    <mergeCell ref="B356:E356"/>
    <mergeCell ref="B217:E217"/>
    <mergeCell ref="P6:Q6"/>
    <mergeCell ref="B75:E75"/>
    <mergeCell ref="B76:E76"/>
    <mergeCell ref="B69:E69"/>
    <mergeCell ref="B70:E70"/>
    <mergeCell ref="B82:E82"/>
    <mergeCell ref="B83:E83"/>
    <mergeCell ref="B84:E84"/>
    <mergeCell ref="B46:E46"/>
    <mergeCell ref="B47:E47"/>
    <mergeCell ref="B48:E48"/>
    <mergeCell ref="B90:E90"/>
    <mergeCell ref="J6:O6"/>
    <mergeCell ref="B66:E66"/>
    <mergeCell ref="B33:E33"/>
    <mergeCell ref="R78:T78"/>
    <mergeCell ref="B45:E45"/>
    <mergeCell ref="B64:E64"/>
    <mergeCell ref="B65:E65"/>
    <mergeCell ref="B67:E67"/>
    <mergeCell ref="R77:T77"/>
    <mergeCell ref="R74:T74"/>
    <mergeCell ref="B62:E62"/>
    <mergeCell ref="R62:T62"/>
    <mergeCell ref="F6:G6"/>
    <mergeCell ref="B85:E85"/>
    <mergeCell ref="R85:T85"/>
    <mergeCell ref="B86:E86"/>
    <mergeCell ref="R86:T86"/>
    <mergeCell ref="R46:T46"/>
    <mergeCell ref="R47:T47"/>
    <mergeCell ref="R48:T48"/>
    <mergeCell ref="B49:E49"/>
    <mergeCell ref="R49:T49"/>
    <mergeCell ref="R91:T91"/>
    <mergeCell ref="R89:T89"/>
    <mergeCell ref="B95:E95"/>
    <mergeCell ref="R92:T92"/>
    <mergeCell ref="B92:E92"/>
    <mergeCell ref="R101:T101"/>
    <mergeCell ref="B102:E102"/>
    <mergeCell ref="R102:T102"/>
    <mergeCell ref="R93:T93"/>
    <mergeCell ref="R94:T94"/>
    <mergeCell ref="B100:E100"/>
    <mergeCell ref="R100:T100"/>
    <mergeCell ref="R95:T95"/>
    <mergeCell ref="R96:T96"/>
    <mergeCell ref="R97:T97"/>
    <mergeCell ref="B98:E98"/>
    <mergeCell ref="R98:T98"/>
    <mergeCell ref="B99:E99"/>
    <mergeCell ref="R64:T64"/>
    <mergeCell ref="R66:T66"/>
    <mergeCell ref="R67:T67"/>
    <mergeCell ref="B68:E68"/>
    <mergeCell ref="R88:T88"/>
    <mergeCell ref="B89:E89"/>
    <mergeCell ref="B97:E97"/>
    <mergeCell ref="R50:T50"/>
    <mergeCell ref="R83:T83"/>
    <mergeCell ref="R84:T84"/>
    <mergeCell ref="R61:T61"/>
    <mergeCell ref="R59:T59"/>
    <mergeCell ref="B111:E111"/>
    <mergeCell ref="B186:E186"/>
    <mergeCell ref="B103:E103"/>
    <mergeCell ref="R103:T103"/>
    <mergeCell ref="B104:E104"/>
    <mergeCell ref="R104:T104"/>
    <mergeCell ref="B105:E105"/>
    <mergeCell ref="R105:T105"/>
    <mergeCell ref="B110:E110"/>
    <mergeCell ref="R110:T110"/>
    <mergeCell ref="R113:T113"/>
    <mergeCell ref="B87:E87"/>
    <mergeCell ref="R122:T122"/>
    <mergeCell ref="B123:E123"/>
    <mergeCell ref="R123:T123"/>
    <mergeCell ref="R114:T114"/>
    <mergeCell ref="R115:T115"/>
    <mergeCell ref="B121:E121"/>
    <mergeCell ref="R121:T121"/>
    <mergeCell ref="B116:E116"/>
    <mergeCell ref="R116:T116"/>
    <mergeCell ref="B117:E117"/>
    <mergeCell ref="R119:T119"/>
    <mergeCell ref="R120:T120"/>
    <mergeCell ref="R87:T87"/>
    <mergeCell ref="B88:E88"/>
    <mergeCell ref="B109:E109"/>
    <mergeCell ref="R109:T109"/>
    <mergeCell ref="R133:T133"/>
    <mergeCell ref="B93:E93"/>
    <mergeCell ref="R127:T127"/>
    <mergeCell ref="R145:T145"/>
    <mergeCell ref="B36:E36"/>
    <mergeCell ref="B60:E60"/>
    <mergeCell ref="B30:E30"/>
    <mergeCell ref="B136:E136"/>
    <mergeCell ref="B163:E163"/>
    <mergeCell ref="B164:E164"/>
    <mergeCell ref="B161:E161"/>
    <mergeCell ref="B162:E162"/>
    <mergeCell ref="B158:E158"/>
    <mergeCell ref="B159:E159"/>
    <mergeCell ref="B160:E160"/>
    <mergeCell ref="B156:E156"/>
    <mergeCell ref="B157:E157"/>
    <mergeCell ref="B140:E140"/>
    <mergeCell ref="B141:E141"/>
    <mergeCell ref="B144:E144"/>
    <mergeCell ref="B77:E77"/>
    <mergeCell ref="B137:E137"/>
    <mergeCell ref="B138:E138"/>
    <mergeCell ref="B139:E139"/>
    <mergeCell ref="B44:E44"/>
    <mergeCell ref="B120:E120"/>
    <mergeCell ref="B122:E122"/>
    <mergeCell ref="B114:E114"/>
    <mergeCell ref="B115:E115"/>
    <mergeCell ref="B135:E135"/>
    <mergeCell ref="B127:E127"/>
    <mergeCell ref="B113:E113"/>
    <mergeCell ref="B147:E147"/>
    <mergeCell ref="B31:E31"/>
    <mergeCell ref="B52:E52"/>
    <mergeCell ref="B96:E96"/>
    <mergeCell ref="B43:E43"/>
    <mergeCell ref="R212:T212"/>
    <mergeCell ref="B213:E213"/>
    <mergeCell ref="R213:T213"/>
    <mergeCell ref="B219:E219"/>
    <mergeCell ref="B220:E220"/>
    <mergeCell ref="B214:E214"/>
    <mergeCell ref="R214:T214"/>
    <mergeCell ref="B215:E215"/>
    <mergeCell ref="R215:T215"/>
    <mergeCell ref="B216:E216"/>
    <mergeCell ref="R216:T216"/>
    <mergeCell ref="R205:T205"/>
    <mergeCell ref="R194:T194"/>
    <mergeCell ref="R170:T170"/>
    <mergeCell ref="R207:T207"/>
    <mergeCell ref="B201:E201"/>
    <mergeCell ref="R189:T189"/>
    <mergeCell ref="B190:E190"/>
    <mergeCell ref="R68:T68"/>
    <mergeCell ref="B58:E58"/>
    <mergeCell ref="R58:T58"/>
    <mergeCell ref="B53:E53"/>
    <mergeCell ref="B54:E54"/>
    <mergeCell ref="B55:E55"/>
    <mergeCell ref="B61:E61"/>
    <mergeCell ref="B59:E59"/>
    <mergeCell ref="B79:E79"/>
    <mergeCell ref="B101:E101"/>
    <mergeCell ref="B209:E209"/>
    <mergeCell ref="R210:T210"/>
    <mergeCell ref="R69:T69"/>
    <mergeCell ref="B94:E94"/>
    <mergeCell ref="B194:E194"/>
    <mergeCell ref="B241:E241"/>
    <mergeCell ref="R241:T241"/>
    <mergeCell ref="B247:E247"/>
    <mergeCell ref="R247:T247"/>
    <mergeCell ref="R246:T246"/>
    <mergeCell ref="B195:E195"/>
    <mergeCell ref="R195:T195"/>
    <mergeCell ref="B196:E196"/>
    <mergeCell ref="B189:E189"/>
    <mergeCell ref="R209:T209"/>
    <mergeCell ref="R242:T242"/>
    <mergeCell ref="R243:T243"/>
    <mergeCell ref="R244:T244"/>
    <mergeCell ref="B245:E245"/>
    <mergeCell ref="R225:T225"/>
    <mergeCell ref="B226:E226"/>
    <mergeCell ref="R234:T234"/>
    <mergeCell ref="B235:E235"/>
    <mergeCell ref="R190:T190"/>
    <mergeCell ref="B191:E191"/>
    <mergeCell ref="R217:T217"/>
    <mergeCell ref="B224:E224"/>
    <mergeCell ref="R223:T223"/>
    <mergeCell ref="R238:T238"/>
    <mergeCell ref="R231:T231"/>
    <mergeCell ref="R196:T196"/>
    <mergeCell ref="B208:E208"/>
    <mergeCell ref="R208:T208"/>
    <mergeCell ref="B212:E212"/>
    <mergeCell ref="B119:E119"/>
    <mergeCell ref="R53:T53"/>
    <mergeCell ref="R54:T54"/>
    <mergeCell ref="B51:E51"/>
    <mergeCell ref="R299:T299"/>
    <mergeCell ref="B300:E300"/>
    <mergeCell ref="R300:T300"/>
    <mergeCell ref="B251:E251"/>
    <mergeCell ref="B259:E259"/>
    <mergeCell ref="R259:T259"/>
    <mergeCell ref="B271:E271"/>
    <mergeCell ref="R271:T271"/>
    <mergeCell ref="B272:E272"/>
    <mergeCell ref="R272:T272"/>
    <mergeCell ref="R255:T255"/>
    <mergeCell ref="R256:T256"/>
    <mergeCell ref="R286:T286"/>
    <mergeCell ref="B278:E278"/>
    <mergeCell ref="R278:T278"/>
    <mergeCell ref="B279:E279"/>
    <mergeCell ref="R279:T279"/>
    <mergeCell ref="B280:E280"/>
    <mergeCell ref="R280:T280"/>
    <mergeCell ref="R275:T275"/>
    <mergeCell ref="B276:E276"/>
    <mergeCell ref="R276:T276"/>
    <mergeCell ref="B277:E277"/>
    <mergeCell ref="R254:T254"/>
    <mergeCell ref="R292:T292"/>
    <mergeCell ref="B274:E274"/>
    <mergeCell ref="R274:T274"/>
    <mergeCell ref="B260:E260"/>
    <mergeCell ref="R211:T211"/>
    <mergeCell ref="B237:E237"/>
    <mergeCell ref="R237:T237"/>
    <mergeCell ref="B242:E242"/>
    <mergeCell ref="R218:T218"/>
    <mergeCell ref="R239:T239"/>
    <mergeCell ref="R219:T219"/>
    <mergeCell ref="R220:T220"/>
    <mergeCell ref="R221:T221"/>
    <mergeCell ref="R250:T250"/>
    <mergeCell ref="B248:E248"/>
    <mergeCell ref="R248:T248"/>
    <mergeCell ref="R249:T249"/>
    <mergeCell ref="B267:E267"/>
    <mergeCell ref="R267:T267"/>
    <mergeCell ref="B270:E270"/>
    <mergeCell ref="B273:E273"/>
    <mergeCell ref="R222:T222"/>
    <mergeCell ref="R270:T270"/>
    <mergeCell ref="B24:E24"/>
    <mergeCell ref="B25:E25"/>
    <mergeCell ref="B26:E26"/>
    <mergeCell ref="B27:E27"/>
    <mergeCell ref="B28:E28"/>
    <mergeCell ref="R43:T43"/>
    <mergeCell ref="R44:T44"/>
    <mergeCell ref="R45:T45"/>
    <mergeCell ref="R30:T30"/>
    <mergeCell ref="R31:T31"/>
    <mergeCell ref="B37:E37"/>
    <mergeCell ref="R37:T37"/>
    <mergeCell ref="R52:T52"/>
    <mergeCell ref="B38:E38"/>
    <mergeCell ref="R38:T38"/>
    <mergeCell ref="B39:E39"/>
    <mergeCell ref="R39:T39"/>
    <mergeCell ref="R51:T51"/>
    <mergeCell ref="R32:T32"/>
    <mergeCell ref="R33:T33"/>
    <mergeCell ref="R34:T34"/>
    <mergeCell ref="B35:E35"/>
    <mergeCell ref="R35:T35"/>
    <mergeCell ref="R36:T36"/>
    <mergeCell ref="B50:E50"/>
    <mergeCell ref="B34:E34"/>
    <mergeCell ref="B40:E40"/>
    <mergeCell ref="R40:T40"/>
    <mergeCell ref="B41:E41"/>
    <mergeCell ref="R41:T41"/>
    <mergeCell ref="B42:E42"/>
    <mergeCell ref="R42:T42"/>
    <mergeCell ref="R7:T7"/>
    <mergeCell ref="R9:T9"/>
    <mergeCell ref="R10:T10"/>
    <mergeCell ref="R16:T16"/>
    <mergeCell ref="R17:T17"/>
    <mergeCell ref="R18:T18"/>
    <mergeCell ref="R11:T11"/>
    <mergeCell ref="R12:T12"/>
    <mergeCell ref="R13:T13"/>
    <mergeCell ref="R14:T14"/>
    <mergeCell ref="R15:T15"/>
    <mergeCell ref="B7:E7"/>
    <mergeCell ref="B8:E8"/>
    <mergeCell ref="B29:E29"/>
    <mergeCell ref="B32:E32"/>
    <mergeCell ref="B9:E9"/>
    <mergeCell ref="B10:E10"/>
    <mergeCell ref="B11:E11"/>
    <mergeCell ref="B12:E12"/>
    <mergeCell ref="B13:E13"/>
    <mergeCell ref="B14:E14"/>
    <mergeCell ref="B15:E15"/>
    <mergeCell ref="B16:E16"/>
    <mergeCell ref="B17:E17"/>
    <mergeCell ref="B18:E18"/>
    <mergeCell ref="B19:E19"/>
    <mergeCell ref="B20:E20"/>
    <mergeCell ref="B21:E21"/>
    <mergeCell ref="B22:E22"/>
    <mergeCell ref="B23:E23"/>
    <mergeCell ref="R8:T8"/>
    <mergeCell ref="R29:T29"/>
    <mergeCell ref="B56:E56"/>
    <mergeCell ref="R56:T56"/>
    <mergeCell ref="R55:T55"/>
    <mergeCell ref="B71:E71"/>
    <mergeCell ref="B72:E72"/>
    <mergeCell ref="B73:E73"/>
    <mergeCell ref="B57:E57"/>
    <mergeCell ref="R57:T57"/>
    <mergeCell ref="R117:T117"/>
    <mergeCell ref="B118:E118"/>
    <mergeCell ref="R118:T118"/>
    <mergeCell ref="R79:T79"/>
    <mergeCell ref="B80:E80"/>
    <mergeCell ref="R80:T80"/>
    <mergeCell ref="B81:E81"/>
    <mergeCell ref="R81:T81"/>
    <mergeCell ref="R72:T72"/>
    <mergeCell ref="R73:T73"/>
    <mergeCell ref="R71:T71"/>
    <mergeCell ref="B78:E78"/>
    <mergeCell ref="B74:E74"/>
    <mergeCell ref="R75:T75"/>
    <mergeCell ref="R76:T76"/>
    <mergeCell ref="R90:T90"/>
    <mergeCell ref="B91:E91"/>
    <mergeCell ref="B63:E63"/>
    <mergeCell ref="R63:T63"/>
    <mergeCell ref="R65:T65"/>
    <mergeCell ref="R99:T99"/>
    <mergeCell ref="R70:T70"/>
    <mergeCell ref="R82:T82"/>
    <mergeCell ref="R60:T60"/>
    <mergeCell ref="B282:E282"/>
    <mergeCell ref="R282:T282"/>
    <mergeCell ref="B283:E283"/>
    <mergeCell ref="R283:T283"/>
    <mergeCell ref="B262:E262"/>
    <mergeCell ref="R262:T262"/>
    <mergeCell ref="B268:E268"/>
    <mergeCell ref="R268:T268"/>
    <mergeCell ref="B269:E269"/>
    <mergeCell ref="R269:T269"/>
    <mergeCell ref="R281:T281"/>
    <mergeCell ref="B263:E263"/>
    <mergeCell ref="R263:T263"/>
    <mergeCell ref="B264:E264"/>
    <mergeCell ref="R264:T264"/>
    <mergeCell ref="B265:E265"/>
    <mergeCell ref="R265:T265"/>
    <mergeCell ref="B266:E266"/>
    <mergeCell ref="B170:E170"/>
    <mergeCell ref="B197:E197"/>
    <mergeCell ref="B202:E202"/>
    <mergeCell ref="B256:E256"/>
    <mergeCell ref="B275:E275"/>
    <mergeCell ref="R245:T245"/>
    <mergeCell ref="B246:E246"/>
    <mergeCell ref="R224:T224"/>
    <mergeCell ref="B225:E225"/>
    <mergeCell ref="R232:T232"/>
    <mergeCell ref="R233:T233"/>
    <mergeCell ref="R273:T273"/>
    <mergeCell ref="R393:T393"/>
    <mergeCell ref="R409:T409"/>
    <mergeCell ref="B348:E348"/>
    <mergeCell ref="R348:T348"/>
    <mergeCell ref="B349:E349"/>
    <mergeCell ref="R349:T349"/>
    <mergeCell ref="B376:E376"/>
    <mergeCell ref="B374:E374"/>
    <mergeCell ref="R374:T374"/>
    <mergeCell ref="B375:E375"/>
    <mergeCell ref="R375:T375"/>
    <mergeCell ref="R371:T371"/>
    <mergeCell ref="B372:E372"/>
    <mergeCell ref="R363:T363"/>
    <mergeCell ref="B357:E357"/>
    <mergeCell ref="R357:T357"/>
    <mergeCell ref="B358:E358"/>
    <mergeCell ref="B395:E395"/>
    <mergeCell ref="R395:T395"/>
    <mergeCell ref="B396:E396"/>
    <mergeCell ref="R396:T396"/>
    <mergeCell ref="B408:E408"/>
    <mergeCell ref="R408:T408"/>
    <mergeCell ref="R407:T407"/>
    <mergeCell ref="B377:E377"/>
    <mergeCell ref="R377:T377"/>
    <mergeCell ref="B369:E369"/>
    <mergeCell ref="R359:T359"/>
    <mergeCell ref="B360:E360"/>
    <mergeCell ref="R360:T360"/>
    <mergeCell ref="R369:T369"/>
    <mergeCell ref="B394:E394"/>
    <mergeCell ref="B412:E412"/>
    <mergeCell ref="R412:T412"/>
    <mergeCell ref="B413:E413"/>
    <mergeCell ref="B397:E397"/>
    <mergeCell ref="R402:T402"/>
    <mergeCell ref="B403:E403"/>
    <mergeCell ref="R403:T403"/>
    <mergeCell ref="R397:T397"/>
    <mergeCell ref="B398:E398"/>
    <mergeCell ref="R398:T398"/>
    <mergeCell ref="B399:E399"/>
    <mergeCell ref="R399:T399"/>
    <mergeCell ref="B400:E400"/>
    <mergeCell ref="R400:T400"/>
    <mergeCell ref="B401:E401"/>
    <mergeCell ref="R401:T401"/>
    <mergeCell ref="R365:T365"/>
    <mergeCell ref="B361:E361"/>
    <mergeCell ref="R361:T361"/>
    <mergeCell ref="B378:E378"/>
    <mergeCell ref="B419:E419"/>
    <mergeCell ref="R419:T419"/>
    <mergeCell ref="B420:E420"/>
    <mergeCell ref="R420:T420"/>
    <mergeCell ref="B421:E421"/>
    <mergeCell ref="R421:T421"/>
    <mergeCell ref="B422:E422"/>
    <mergeCell ref="R422:T422"/>
    <mergeCell ref="B402:E402"/>
    <mergeCell ref="R413:T413"/>
    <mergeCell ref="B414:E414"/>
    <mergeCell ref="R414:T414"/>
    <mergeCell ref="B417:E417"/>
    <mergeCell ref="B404:E404"/>
    <mergeCell ref="R404:T404"/>
    <mergeCell ref="B405:E405"/>
    <mergeCell ref="R405:T405"/>
    <mergeCell ref="B406:E406"/>
    <mergeCell ref="R406:T406"/>
    <mergeCell ref="B407:E407"/>
    <mergeCell ref="B409:E409"/>
    <mergeCell ref="B416:E416"/>
    <mergeCell ref="R416:T416"/>
    <mergeCell ref="R417:T417"/>
    <mergeCell ref="B418:E418"/>
    <mergeCell ref="R418:T418"/>
    <mergeCell ref="B415:E415"/>
    <mergeCell ref="R415:T415"/>
    <mergeCell ref="B410:E410"/>
    <mergeCell ref="R410:T410"/>
    <mergeCell ref="B411:E411"/>
    <mergeCell ref="R411:T411"/>
    <mergeCell ref="B423:E423"/>
    <mergeCell ref="R423:T423"/>
    <mergeCell ref="R449:T449"/>
    <mergeCell ref="B440:E440"/>
    <mergeCell ref="R440:T440"/>
    <mergeCell ref="B441:E441"/>
    <mergeCell ref="R441:T441"/>
    <mergeCell ref="B442:E442"/>
    <mergeCell ref="R442:T442"/>
    <mergeCell ref="B443:E443"/>
    <mergeCell ref="R443:T443"/>
    <mergeCell ref="B444:E444"/>
    <mergeCell ref="R444:T444"/>
    <mergeCell ref="B424:E424"/>
    <mergeCell ref="R424:T424"/>
    <mergeCell ref="B425:E425"/>
    <mergeCell ref="R425:T425"/>
    <mergeCell ref="B426:E426"/>
    <mergeCell ref="R426:T426"/>
    <mergeCell ref="B427:E427"/>
    <mergeCell ref="R427:T427"/>
    <mergeCell ref="B439:E439"/>
    <mergeCell ref="R431:T431"/>
    <mergeCell ref="B432:E432"/>
    <mergeCell ref="R432:T432"/>
    <mergeCell ref="B454:E454"/>
    <mergeCell ref="R454:T454"/>
    <mergeCell ref="B455:E455"/>
    <mergeCell ref="R455:T455"/>
    <mergeCell ref="B456:E456"/>
    <mergeCell ref="R456:T456"/>
    <mergeCell ref="B461:E461"/>
    <mergeCell ref="R461:T461"/>
    <mergeCell ref="B462:E462"/>
    <mergeCell ref="R480:T480"/>
    <mergeCell ref="B492:E492"/>
    <mergeCell ref="R492:T492"/>
    <mergeCell ref="R470:T470"/>
    <mergeCell ref="B520:E520"/>
    <mergeCell ref="R520:T520"/>
    <mergeCell ref="B499:E499"/>
    <mergeCell ref="R499:T499"/>
    <mergeCell ref="B500:E500"/>
    <mergeCell ref="R500:T500"/>
    <mergeCell ref="B501:E501"/>
    <mergeCell ref="R501:T501"/>
    <mergeCell ref="B512:E512"/>
    <mergeCell ref="B518:E518"/>
    <mergeCell ref="B504:E504"/>
    <mergeCell ref="R504:T504"/>
    <mergeCell ref="B505:E505"/>
    <mergeCell ref="R505:T505"/>
    <mergeCell ref="B506:E506"/>
    <mergeCell ref="R506:T506"/>
    <mergeCell ref="B507:E507"/>
    <mergeCell ref="R474:T474"/>
    <mergeCell ref="B475:E475"/>
    <mergeCell ref="B526:E526"/>
    <mergeCell ref="R526:T526"/>
    <mergeCell ref="B527:E527"/>
    <mergeCell ref="R527:T527"/>
    <mergeCell ref="B528:E528"/>
    <mergeCell ref="R528:T528"/>
    <mergeCell ref="B529:E529"/>
    <mergeCell ref="R529:T529"/>
    <mergeCell ref="B559:E559"/>
    <mergeCell ref="R559:T559"/>
    <mergeCell ref="B488:E488"/>
    <mergeCell ref="R488:T488"/>
    <mergeCell ref="B489:E489"/>
    <mergeCell ref="R489:T489"/>
    <mergeCell ref="B490:E490"/>
    <mergeCell ref="R490:T490"/>
    <mergeCell ref="B534:E534"/>
    <mergeCell ref="R534:T534"/>
    <mergeCell ref="B533:E533"/>
    <mergeCell ref="B536:E536"/>
    <mergeCell ref="B537:E537"/>
    <mergeCell ref="B538:E538"/>
    <mergeCell ref="R538:T538"/>
    <mergeCell ref="R554:T554"/>
    <mergeCell ref="R507:T507"/>
    <mergeCell ref="B508:E508"/>
    <mergeCell ref="B546:E546"/>
    <mergeCell ref="R546:T546"/>
    <mergeCell ref="B547:E547"/>
    <mergeCell ref="B517:E517"/>
    <mergeCell ref="B525:E525"/>
    <mergeCell ref="R525:T525"/>
    <mergeCell ref="R550:T550"/>
    <mergeCell ref="R581:T581"/>
    <mergeCell ref="B576:E576"/>
    <mergeCell ref="B567:E567"/>
    <mergeCell ref="R567:T567"/>
    <mergeCell ref="B568:E568"/>
    <mergeCell ref="R568:T568"/>
    <mergeCell ref="B569:E569"/>
    <mergeCell ref="R569:T569"/>
    <mergeCell ref="B570:E570"/>
    <mergeCell ref="R570:T570"/>
    <mergeCell ref="B571:E571"/>
    <mergeCell ref="R571:T571"/>
    <mergeCell ref="B551:E551"/>
    <mergeCell ref="B578:E578"/>
    <mergeCell ref="B560:E560"/>
    <mergeCell ref="R562:T562"/>
    <mergeCell ref="R563:T563"/>
    <mergeCell ref="R564:T564"/>
    <mergeCell ref="R576:T576"/>
    <mergeCell ref="R577:T577"/>
    <mergeCell ref="R551:T551"/>
    <mergeCell ref="B552:E552"/>
    <mergeCell ref="R552:T552"/>
    <mergeCell ref="B553:E553"/>
    <mergeCell ref="R553:T553"/>
    <mergeCell ref="B565:E565"/>
    <mergeCell ref="R565:T565"/>
    <mergeCell ref="B566:E566"/>
    <mergeCell ref="R566:T566"/>
    <mergeCell ref="B611:E611"/>
    <mergeCell ref="B612:E612"/>
    <mergeCell ref="R612:T612"/>
    <mergeCell ref="B613:E613"/>
    <mergeCell ref="B623:E623"/>
    <mergeCell ref="R623:T623"/>
    <mergeCell ref="B624:E624"/>
    <mergeCell ref="R624:T624"/>
    <mergeCell ref="B620:E620"/>
    <mergeCell ref="R620:T620"/>
    <mergeCell ref="B621:E621"/>
    <mergeCell ref="R621:T621"/>
    <mergeCell ref="B622:E622"/>
    <mergeCell ref="R622:T622"/>
    <mergeCell ref="B596:E596"/>
    <mergeCell ref="B601:E601"/>
    <mergeCell ref="R601:T601"/>
    <mergeCell ref="R597:T597"/>
    <mergeCell ref="R598:T598"/>
    <mergeCell ref="B599:E599"/>
    <mergeCell ref="B597:E597"/>
    <mergeCell ref="B598:E598"/>
    <mergeCell ref="R603:T603"/>
    <mergeCell ref="B600:E600"/>
    <mergeCell ref="R600:T600"/>
    <mergeCell ref="R596:T596"/>
    <mergeCell ref="R609:T609"/>
    <mergeCell ref="B610:E610"/>
    <mergeCell ref="R610:T610"/>
    <mergeCell ref="R599:T599"/>
    <mergeCell ref="R611:T611"/>
    <mergeCell ref="A1:E1"/>
    <mergeCell ref="A2:E2"/>
    <mergeCell ref="B590:E590"/>
    <mergeCell ref="R590:T590"/>
    <mergeCell ref="B591:E591"/>
    <mergeCell ref="R591:T591"/>
    <mergeCell ref="B592:E592"/>
    <mergeCell ref="R592:T592"/>
    <mergeCell ref="B572:E572"/>
    <mergeCell ref="R572:T572"/>
    <mergeCell ref="B588:E588"/>
    <mergeCell ref="R588:T588"/>
    <mergeCell ref="B589:E589"/>
    <mergeCell ref="R589:T589"/>
    <mergeCell ref="B573:E573"/>
    <mergeCell ref="R573:T573"/>
    <mergeCell ref="B574:E574"/>
    <mergeCell ref="R574:T574"/>
    <mergeCell ref="B586:E586"/>
    <mergeCell ref="R586:T586"/>
    <mergeCell ref="B587:E587"/>
    <mergeCell ref="R587:T587"/>
    <mergeCell ref="R580:T580"/>
    <mergeCell ref="B581:E581"/>
    <mergeCell ref="B579:E579"/>
    <mergeCell ref="B582:E582"/>
    <mergeCell ref="R547:T547"/>
    <mergeCell ref="B548:E548"/>
    <mergeCell ref="R548:T548"/>
    <mergeCell ref="B549:E549"/>
    <mergeCell ref="R549:T549"/>
    <mergeCell ref="B550:E550"/>
  </mergeCells>
  <conditionalFormatting sqref="M344:T344">
    <cfRule type="expression" dxfId="126" priority="72">
      <formula>$N344:$N813&lt;&gt;$M344:$M813</formula>
    </cfRule>
  </conditionalFormatting>
  <conditionalFormatting sqref="M323:T343">
    <cfRule type="expression" dxfId="125" priority="219">
      <formula>$N323:$N802&lt;&gt;$M323:$M802</formula>
    </cfRule>
  </conditionalFormatting>
  <conditionalFormatting sqref="M302:T322">
    <cfRule type="expression" dxfId="124" priority="237">
      <formula>$N302:$N791&lt;&gt;$M302:$M791</formula>
    </cfRule>
  </conditionalFormatting>
  <conditionalFormatting sqref="M281:T301">
    <cfRule type="expression" dxfId="123" priority="256">
      <formula>$N281:$N780&lt;&gt;$M281:$M780</formula>
    </cfRule>
  </conditionalFormatting>
  <conditionalFormatting sqref="M617:T637">
    <cfRule type="expression" dxfId="122" priority="257">
      <formula>$N617:$N956&lt;&gt;$M617:$M956</formula>
    </cfRule>
  </conditionalFormatting>
  <conditionalFormatting sqref="M260:T280">
    <cfRule type="expression" dxfId="121" priority="275">
      <formula>$N260:$N769&lt;&gt;$M260:$M769</formula>
    </cfRule>
  </conditionalFormatting>
  <conditionalFormatting sqref="M596:T616">
    <cfRule type="expression" dxfId="120" priority="293">
      <formula>$N596:$N945&lt;&gt;$M596:$M945</formula>
    </cfRule>
  </conditionalFormatting>
  <conditionalFormatting sqref="M239:T259">
    <cfRule type="expression" dxfId="119" priority="295">
      <formula>$N239:$N758&lt;&gt;$M239:$M758</formula>
    </cfRule>
  </conditionalFormatting>
  <conditionalFormatting sqref="M575:T595">
    <cfRule type="expression" dxfId="118" priority="314">
      <formula>$N575:$N934&lt;&gt;$M575:$M934</formula>
    </cfRule>
  </conditionalFormatting>
  <conditionalFormatting sqref="M218:T238">
    <cfRule type="expression" dxfId="117" priority="316">
      <formula>$N218:$N747&lt;&gt;$M218:$M747</formula>
    </cfRule>
  </conditionalFormatting>
  <conditionalFormatting sqref="M554:T574">
    <cfRule type="expression" dxfId="116" priority="336">
      <formula>$N554:$N923&lt;&gt;$M554:$M923</formula>
    </cfRule>
  </conditionalFormatting>
  <conditionalFormatting sqref="M197:T217">
    <cfRule type="expression" dxfId="115" priority="338">
      <formula>$N197:$N736&lt;&gt;$M197:$M736</formula>
    </cfRule>
  </conditionalFormatting>
  <conditionalFormatting sqref="M533:T553">
    <cfRule type="expression" dxfId="114" priority="359">
      <formula>$N533:$N912&lt;&gt;$M533:$M912</formula>
    </cfRule>
  </conditionalFormatting>
  <conditionalFormatting sqref="M176:T196">
    <cfRule type="expression" dxfId="113" priority="361">
      <formula>$N176:$N725&lt;&gt;$M176:$M725</formula>
    </cfRule>
  </conditionalFormatting>
  <conditionalFormatting sqref="M512:T532">
    <cfRule type="expression" dxfId="112" priority="383">
      <formula>$N512:$N901&lt;&gt;$M512:$M901</formula>
    </cfRule>
  </conditionalFormatting>
  <conditionalFormatting sqref="M155:T175">
    <cfRule type="expression" dxfId="111" priority="385">
      <formula>$N155:$N714&lt;&gt;$M155:$M714</formula>
    </cfRule>
  </conditionalFormatting>
  <conditionalFormatting sqref="M491:T511">
    <cfRule type="expression" dxfId="110" priority="408">
      <formula>$N491:$N890&lt;&gt;$M491:$M890</formula>
    </cfRule>
  </conditionalFormatting>
  <conditionalFormatting sqref="M134:T154">
    <cfRule type="expression" dxfId="109" priority="410">
      <formula>$N134:$N703&lt;&gt;$M134:$M703</formula>
    </cfRule>
  </conditionalFormatting>
  <conditionalFormatting sqref="M470:T490">
    <cfRule type="expression" dxfId="108" priority="434">
      <formula>$N470:$N879&lt;&gt;$M470:$M879</formula>
    </cfRule>
  </conditionalFormatting>
  <conditionalFormatting sqref="M113:T133">
    <cfRule type="expression" dxfId="107" priority="436">
      <formula>$N113:$N692&lt;&gt;$M113:$M692</formula>
    </cfRule>
  </conditionalFormatting>
  <conditionalFormatting sqref="M449:T469">
    <cfRule type="expression" dxfId="106" priority="461">
      <formula>$N449:$N868&lt;&gt;$M449:$M868</formula>
    </cfRule>
  </conditionalFormatting>
  <conditionalFormatting sqref="M92:T112">
    <cfRule type="expression" dxfId="105" priority="463">
      <formula>$N92:$N681&lt;&gt;$M92:$M681</formula>
    </cfRule>
  </conditionalFormatting>
  <conditionalFormatting sqref="M428:T448">
    <cfRule type="expression" dxfId="104" priority="489">
      <formula>$N428:$N857&lt;&gt;$M428:$M857</formula>
    </cfRule>
  </conditionalFormatting>
  <conditionalFormatting sqref="M71:T91">
    <cfRule type="expression" dxfId="103" priority="491">
      <formula>$N71:$N670&lt;&gt;$M71:$M670</formula>
    </cfRule>
  </conditionalFormatting>
  <conditionalFormatting sqref="M407:T427">
    <cfRule type="expression" dxfId="102" priority="518">
      <formula>$N407:$N846&lt;&gt;$M407:$M846</formula>
    </cfRule>
  </conditionalFormatting>
  <conditionalFormatting sqref="M50:T70">
    <cfRule type="expression" dxfId="101" priority="520">
      <formula>$N50:$N659&lt;&gt;$M50:$M659</formula>
    </cfRule>
  </conditionalFormatting>
  <conditionalFormatting sqref="M386:T406">
    <cfRule type="expression" dxfId="100" priority="548">
      <formula>$N386:$N835&lt;&gt;$M386:$M835</formula>
    </cfRule>
  </conditionalFormatting>
  <conditionalFormatting sqref="M8:T8 M29:T49">
    <cfRule type="expression" dxfId="99" priority="550">
      <formula>$N8:$N627&lt;&gt;$M8:$M627</formula>
    </cfRule>
  </conditionalFormatting>
  <conditionalFormatting sqref="M345:T385">
    <cfRule type="expression" dxfId="98" priority="578">
      <formula>$N345:$N804&lt;&gt;$M345:$M804</formula>
    </cfRule>
  </conditionalFormatting>
  <conditionalFormatting sqref="R27:T28">
    <cfRule type="expression" dxfId="97" priority="579">
      <formula>$N27:$N648&lt;&gt;$M27:$M648</formula>
    </cfRule>
  </conditionalFormatting>
  <conditionalFormatting sqref="R19:T26 M9:T18 M19:Q28">
    <cfRule type="expression" dxfId="96" priority="580">
      <formula>$N9:$N638&lt;&gt;$M9:$M638</formula>
    </cfRule>
  </conditionalFormatting>
  <dataValidations count="3">
    <dataValidation type="list" allowBlank="1" showInputMessage="1" showErrorMessage="1" sqref="IH65931:IH66004 SD65931:SD66004 ABZ65931:ABZ66004 ALV65931:ALV66004 AVR65931:AVR66004 BFN65931:BFN66004 BPJ65931:BPJ66004 BZF65931:BZF66004 CJB65931:CJB66004 CSX65931:CSX66004 DCT65931:DCT66004 DMP65931:DMP66004 DWL65931:DWL66004 EGH65931:EGH66004 EQD65931:EQD66004 EZZ65931:EZZ66004 FJV65931:FJV66004 FTR65931:FTR66004 GDN65931:GDN66004 GNJ65931:GNJ66004 GXF65931:GXF66004 HHB65931:HHB66004 HQX65931:HQX66004 IAT65931:IAT66004 IKP65931:IKP66004 IUL65931:IUL66004 JEH65931:JEH66004 JOD65931:JOD66004 JXZ65931:JXZ66004 KHV65931:KHV66004 KRR65931:KRR66004 LBN65931:LBN66004 LLJ65931:LLJ66004 LVF65931:LVF66004 MFB65931:MFB66004 MOX65931:MOX66004 MYT65931:MYT66004 NIP65931:NIP66004 NSL65931:NSL66004 OCH65931:OCH66004 OMD65931:OMD66004 OVZ65931:OVZ66004 PFV65931:PFV66004 PPR65931:PPR66004 PZN65931:PZN66004 QJJ65931:QJJ66004 QTF65931:QTF66004 RDB65931:RDB66004 RMX65931:RMX66004 RWT65931:RWT66004 SGP65931:SGP66004 SQL65931:SQL66004 TAH65931:TAH66004 TKD65931:TKD66004 TTZ65931:TTZ66004 UDV65931:UDV66004 UNR65931:UNR66004 UXN65931:UXN66004 VHJ65931:VHJ66004 VRF65931:VRF66004 WBB65931:WBB66004 WKX65931:WKX66004 WUT65931:WUT66004 IH131467:IH131540 SD131467:SD131540 ABZ131467:ABZ131540 ALV131467:ALV131540 AVR131467:AVR131540 BFN131467:BFN131540 BPJ131467:BPJ131540 BZF131467:BZF131540 CJB131467:CJB131540 CSX131467:CSX131540 DCT131467:DCT131540 DMP131467:DMP131540 DWL131467:DWL131540 EGH131467:EGH131540 EQD131467:EQD131540 EZZ131467:EZZ131540 FJV131467:FJV131540 FTR131467:FTR131540 GDN131467:GDN131540 GNJ131467:GNJ131540 GXF131467:GXF131540 HHB131467:HHB131540 HQX131467:HQX131540 IAT131467:IAT131540 IKP131467:IKP131540 IUL131467:IUL131540 JEH131467:JEH131540 JOD131467:JOD131540 JXZ131467:JXZ131540 KHV131467:KHV131540 KRR131467:KRR131540 LBN131467:LBN131540 LLJ131467:LLJ131540 LVF131467:LVF131540 MFB131467:MFB131540 MOX131467:MOX131540 MYT131467:MYT131540 NIP131467:NIP131540 NSL131467:NSL131540 OCH131467:OCH131540 OMD131467:OMD131540 OVZ131467:OVZ131540 PFV131467:PFV131540 PPR131467:PPR131540 PZN131467:PZN131540 QJJ131467:QJJ131540 QTF131467:QTF131540 RDB131467:RDB131540 RMX131467:RMX131540 RWT131467:RWT131540 SGP131467:SGP131540 SQL131467:SQL131540 TAH131467:TAH131540 TKD131467:TKD131540 TTZ131467:TTZ131540 UDV131467:UDV131540 UNR131467:UNR131540 UXN131467:UXN131540 VHJ131467:VHJ131540 VRF131467:VRF131540 WBB131467:WBB131540 WKX131467:WKX131540 WUT131467:WUT131540 IH197003:IH197076 SD197003:SD197076 ABZ197003:ABZ197076 ALV197003:ALV197076 AVR197003:AVR197076 BFN197003:BFN197076 BPJ197003:BPJ197076 BZF197003:BZF197076 CJB197003:CJB197076 CSX197003:CSX197076 DCT197003:DCT197076 DMP197003:DMP197076 DWL197003:DWL197076 EGH197003:EGH197076 EQD197003:EQD197076 EZZ197003:EZZ197076 FJV197003:FJV197076 FTR197003:FTR197076 GDN197003:GDN197076 GNJ197003:GNJ197076 GXF197003:GXF197076 HHB197003:HHB197076 HQX197003:HQX197076 IAT197003:IAT197076 IKP197003:IKP197076 IUL197003:IUL197076 JEH197003:JEH197076 JOD197003:JOD197076 JXZ197003:JXZ197076 KHV197003:KHV197076 KRR197003:KRR197076 LBN197003:LBN197076 LLJ197003:LLJ197076 LVF197003:LVF197076 MFB197003:MFB197076 MOX197003:MOX197076 MYT197003:MYT197076 NIP197003:NIP197076 NSL197003:NSL197076 OCH197003:OCH197076 OMD197003:OMD197076 OVZ197003:OVZ197076 PFV197003:PFV197076 PPR197003:PPR197076 PZN197003:PZN197076 QJJ197003:QJJ197076 QTF197003:QTF197076 RDB197003:RDB197076 RMX197003:RMX197076 RWT197003:RWT197076 SGP197003:SGP197076 SQL197003:SQL197076 TAH197003:TAH197076 TKD197003:TKD197076 TTZ197003:TTZ197076 UDV197003:UDV197076 UNR197003:UNR197076 UXN197003:UXN197076 VHJ197003:VHJ197076 VRF197003:VRF197076 WBB197003:WBB197076 WKX197003:WKX197076 WUT197003:WUT197076 IH262539:IH262612 SD262539:SD262612 ABZ262539:ABZ262612 ALV262539:ALV262612 AVR262539:AVR262612 BFN262539:BFN262612 BPJ262539:BPJ262612 BZF262539:BZF262612 CJB262539:CJB262612 CSX262539:CSX262612 DCT262539:DCT262612 DMP262539:DMP262612 DWL262539:DWL262612 EGH262539:EGH262612 EQD262539:EQD262612 EZZ262539:EZZ262612 FJV262539:FJV262612 FTR262539:FTR262612 GDN262539:GDN262612 GNJ262539:GNJ262612 GXF262539:GXF262612 HHB262539:HHB262612 HQX262539:HQX262612 IAT262539:IAT262612 IKP262539:IKP262612 IUL262539:IUL262612 JEH262539:JEH262612 JOD262539:JOD262612 JXZ262539:JXZ262612 KHV262539:KHV262612 KRR262539:KRR262612 LBN262539:LBN262612 LLJ262539:LLJ262612 LVF262539:LVF262612 MFB262539:MFB262612 MOX262539:MOX262612 MYT262539:MYT262612 NIP262539:NIP262612 NSL262539:NSL262612 OCH262539:OCH262612 OMD262539:OMD262612 OVZ262539:OVZ262612 PFV262539:PFV262612 PPR262539:PPR262612 PZN262539:PZN262612 QJJ262539:QJJ262612 QTF262539:QTF262612 RDB262539:RDB262612 RMX262539:RMX262612 RWT262539:RWT262612 SGP262539:SGP262612 SQL262539:SQL262612 TAH262539:TAH262612 TKD262539:TKD262612 TTZ262539:TTZ262612 UDV262539:UDV262612 UNR262539:UNR262612 UXN262539:UXN262612 VHJ262539:VHJ262612 VRF262539:VRF262612 WBB262539:WBB262612 WKX262539:WKX262612 WUT262539:WUT262612 IH328075:IH328148 SD328075:SD328148 ABZ328075:ABZ328148 ALV328075:ALV328148 AVR328075:AVR328148 BFN328075:BFN328148 BPJ328075:BPJ328148 BZF328075:BZF328148 CJB328075:CJB328148 CSX328075:CSX328148 DCT328075:DCT328148 DMP328075:DMP328148 DWL328075:DWL328148 EGH328075:EGH328148 EQD328075:EQD328148 EZZ328075:EZZ328148 FJV328075:FJV328148 FTR328075:FTR328148 GDN328075:GDN328148 GNJ328075:GNJ328148 GXF328075:GXF328148 HHB328075:HHB328148 HQX328075:HQX328148 IAT328075:IAT328148 IKP328075:IKP328148 IUL328075:IUL328148 JEH328075:JEH328148 JOD328075:JOD328148 JXZ328075:JXZ328148 KHV328075:KHV328148 KRR328075:KRR328148 LBN328075:LBN328148 LLJ328075:LLJ328148 LVF328075:LVF328148 MFB328075:MFB328148 MOX328075:MOX328148 MYT328075:MYT328148 NIP328075:NIP328148 NSL328075:NSL328148 OCH328075:OCH328148 OMD328075:OMD328148 OVZ328075:OVZ328148 PFV328075:PFV328148 PPR328075:PPR328148 PZN328075:PZN328148 QJJ328075:QJJ328148 QTF328075:QTF328148 RDB328075:RDB328148 RMX328075:RMX328148 RWT328075:RWT328148 SGP328075:SGP328148 SQL328075:SQL328148 TAH328075:TAH328148 TKD328075:TKD328148 TTZ328075:TTZ328148 UDV328075:UDV328148 UNR328075:UNR328148 UXN328075:UXN328148 VHJ328075:VHJ328148 VRF328075:VRF328148 WBB328075:WBB328148 WKX328075:WKX328148 WUT328075:WUT328148 IH393611:IH393684 SD393611:SD393684 ABZ393611:ABZ393684 ALV393611:ALV393684 AVR393611:AVR393684 BFN393611:BFN393684 BPJ393611:BPJ393684 BZF393611:BZF393684 CJB393611:CJB393684 CSX393611:CSX393684 DCT393611:DCT393684 DMP393611:DMP393684 DWL393611:DWL393684 EGH393611:EGH393684 EQD393611:EQD393684 EZZ393611:EZZ393684 FJV393611:FJV393684 FTR393611:FTR393684 GDN393611:GDN393684 GNJ393611:GNJ393684 GXF393611:GXF393684 HHB393611:HHB393684 HQX393611:HQX393684 IAT393611:IAT393684 IKP393611:IKP393684 IUL393611:IUL393684 JEH393611:JEH393684 JOD393611:JOD393684 JXZ393611:JXZ393684 KHV393611:KHV393684 KRR393611:KRR393684 LBN393611:LBN393684 LLJ393611:LLJ393684 LVF393611:LVF393684 MFB393611:MFB393684 MOX393611:MOX393684 MYT393611:MYT393684 NIP393611:NIP393684 NSL393611:NSL393684 OCH393611:OCH393684 OMD393611:OMD393684 OVZ393611:OVZ393684 PFV393611:PFV393684 PPR393611:PPR393684 PZN393611:PZN393684 QJJ393611:QJJ393684 QTF393611:QTF393684 RDB393611:RDB393684 RMX393611:RMX393684 RWT393611:RWT393684 SGP393611:SGP393684 SQL393611:SQL393684 TAH393611:TAH393684 TKD393611:TKD393684 TTZ393611:TTZ393684 UDV393611:UDV393684 UNR393611:UNR393684 UXN393611:UXN393684 VHJ393611:VHJ393684 VRF393611:VRF393684 WBB393611:WBB393684 WKX393611:WKX393684 WUT393611:WUT393684 IH459147:IH459220 SD459147:SD459220 ABZ459147:ABZ459220 ALV459147:ALV459220 AVR459147:AVR459220 BFN459147:BFN459220 BPJ459147:BPJ459220 BZF459147:BZF459220 CJB459147:CJB459220 CSX459147:CSX459220 DCT459147:DCT459220 DMP459147:DMP459220 DWL459147:DWL459220 EGH459147:EGH459220 EQD459147:EQD459220 EZZ459147:EZZ459220 FJV459147:FJV459220 FTR459147:FTR459220 GDN459147:GDN459220 GNJ459147:GNJ459220 GXF459147:GXF459220 HHB459147:HHB459220 HQX459147:HQX459220 IAT459147:IAT459220 IKP459147:IKP459220 IUL459147:IUL459220 JEH459147:JEH459220 JOD459147:JOD459220 JXZ459147:JXZ459220 KHV459147:KHV459220 KRR459147:KRR459220 LBN459147:LBN459220 LLJ459147:LLJ459220 LVF459147:LVF459220 MFB459147:MFB459220 MOX459147:MOX459220 MYT459147:MYT459220 NIP459147:NIP459220 NSL459147:NSL459220 OCH459147:OCH459220 OMD459147:OMD459220 OVZ459147:OVZ459220 PFV459147:PFV459220 PPR459147:PPR459220 PZN459147:PZN459220 QJJ459147:QJJ459220 QTF459147:QTF459220 RDB459147:RDB459220 RMX459147:RMX459220 RWT459147:RWT459220 SGP459147:SGP459220 SQL459147:SQL459220 TAH459147:TAH459220 TKD459147:TKD459220 TTZ459147:TTZ459220 UDV459147:UDV459220 UNR459147:UNR459220 UXN459147:UXN459220 VHJ459147:VHJ459220 VRF459147:VRF459220 WBB459147:WBB459220 WKX459147:WKX459220 WUT459147:WUT459220 IH524683:IH524756 SD524683:SD524756 ABZ524683:ABZ524756 ALV524683:ALV524756 AVR524683:AVR524756 BFN524683:BFN524756 BPJ524683:BPJ524756 BZF524683:BZF524756 CJB524683:CJB524756 CSX524683:CSX524756 DCT524683:DCT524756 DMP524683:DMP524756 DWL524683:DWL524756 EGH524683:EGH524756 EQD524683:EQD524756 EZZ524683:EZZ524756 FJV524683:FJV524756 FTR524683:FTR524756 GDN524683:GDN524756 GNJ524683:GNJ524756 GXF524683:GXF524756 HHB524683:HHB524756 HQX524683:HQX524756 IAT524683:IAT524756 IKP524683:IKP524756 IUL524683:IUL524756 JEH524683:JEH524756 JOD524683:JOD524756 JXZ524683:JXZ524756 KHV524683:KHV524756 KRR524683:KRR524756 LBN524683:LBN524756 LLJ524683:LLJ524756 LVF524683:LVF524756 MFB524683:MFB524756 MOX524683:MOX524756 MYT524683:MYT524756 NIP524683:NIP524756 NSL524683:NSL524756 OCH524683:OCH524756 OMD524683:OMD524756 OVZ524683:OVZ524756 PFV524683:PFV524756 PPR524683:PPR524756 PZN524683:PZN524756 QJJ524683:QJJ524756 QTF524683:QTF524756 RDB524683:RDB524756 RMX524683:RMX524756 RWT524683:RWT524756 SGP524683:SGP524756 SQL524683:SQL524756 TAH524683:TAH524756 TKD524683:TKD524756 TTZ524683:TTZ524756 UDV524683:UDV524756 UNR524683:UNR524756 UXN524683:UXN524756 VHJ524683:VHJ524756 VRF524683:VRF524756 WBB524683:WBB524756 WKX524683:WKX524756 WUT524683:WUT524756 IH590219:IH590292 SD590219:SD590292 ABZ590219:ABZ590292 ALV590219:ALV590292 AVR590219:AVR590292 BFN590219:BFN590292 BPJ590219:BPJ590292 BZF590219:BZF590292 CJB590219:CJB590292 CSX590219:CSX590292 DCT590219:DCT590292 DMP590219:DMP590292 DWL590219:DWL590292 EGH590219:EGH590292 EQD590219:EQD590292 EZZ590219:EZZ590292 FJV590219:FJV590292 FTR590219:FTR590292 GDN590219:GDN590292 GNJ590219:GNJ590292 GXF590219:GXF590292 HHB590219:HHB590292 HQX590219:HQX590292 IAT590219:IAT590292 IKP590219:IKP590292 IUL590219:IUL590292 JEH590219:JEH590292 JOD590219:JOD590292 JXZ590219:JXZ590292 KHV590219:KHV590292 KRR590219:KRR590292 LBN590219:LBN590292 LLJ590219:LLJ590292 LVF590219:LVF590292 MFB590219:MFB590292 MOX590219:MOX590292 MYT590219:MYT590292 NIP590219:NIP590292 NSL590219:NSL590292 OCH590219:OCH590292 OMD590219:OMD590292 OVZ590219:OVZ590292 PFV590219:PFV590292 PPR590219:PPR590292 PZN590219:PZN590292 QJJ590219:QJJ590292 QTF590219:QTF590292 RDB590219:RDB590292 RMX590219:RMX590292 RWT590219:RWT590292 SGP590219:SGP590292 SQL590219:SQL590292 TAH590219:TAH590292 TKD590219:TKD590292 TTZ590219:TTZ590292 UDV590219:UDV590292 UNR590219:UNR590292 UXN590219:UXN590292 VHJ590219:VHJ590292 VRF590219:VRF590292 WBB590219:WBB590292 WKX590219:WKX590292 WUT590219:WUT590292 IH655755:IH655828 SD655755:SD655828 ABZ655755:ABZ655828 ALV655755:ALV655828 AVR655755:AVR655828 BFN655755:BFN655828 BPJ655755:BPJ655828 BZF655755:BZF655828 CJB655755:CJB655828 CSX655755:CSX655828 DCT655755:DCT655828 DMP655755:DMP655828 DWL655755:DWL655828 EGH655755:EGH655828 EQD655755:EQD655828 EZZ655755:EZZ655828 FJV655755:FJV655828 FTR655755:FTR655828 GDN655755:GDN655828 GNJ655755:GNJ655828 GXF655755:GXF655828 HHB655755:HHB655828 HQX655755:HQX655828 IAT655755:IAT655828 IKP655755:IKP655828 IUL655755:IUL655828 JEH655755:JEH655828 JOD655755:JOD655828 JXZ655755:JXZ655828 KHV655755:KHV655828 KRR655755:KRR655828 LBN655755:LBN655828 LLJ655755:LLJ655828 LVF655755:LVF655828 MFB655755:MFB655828 MOX655755:MOX655828 MYT655755:MYT655828 NIP655755:NIP655828 NSL655755:NSL655828 OCH655755:OCH655828 OMD655755:OMD655828 OVZ655755:OVZ655828 PFV655755:PFV655828 PPR655755:PPR655828 PZN655755:PZN655828 QJJ655755:QJJ655828 QTF655755:QTF655828 RDB655755:RDB655828 RMX655755:RMX655828 RWT655755:RWT655828 SGP655755:SGP655828 SQL655755:SQL655828 TAH655755:TAH655828 TKD655755:TKD655828 TTZ655755:TTZ655828 UDV655755:UDV655828 UNR655755:UNR655828 UXN655755:UXN655828 VHJ655755:VHJ655828 VRF655755:VRF655828 WBB655755:WBB655828 WKX655755:WKX655828 WUT655755:WUT655828 IH721291:IH721364 SD721291:SD721364 ABZ721291:ABZ721364 ALV721291:ALV721364 AVR721291:AVR721364 BFN721291:BFN721364 BPJ721291:BPJ721364 BZF721291:BZF721364 CJB721291:CJB721364 CSX721291:CSX721364 DCT721291:DCT721364 DMP721291:DMP721364 DWL721291:DWL721364 EGH721291:EGH721364 EQD721291:EQD721364 EZZ721291:EZZ721364 FJV721291:FJV721364 FTR721291:FTR721364 GDN721291:GDN721364 GNJ721291:GNJ721364 GXF721291:GXF721364 HHB721291:HHB721364 HQX721291:HQX721364 IAT721291:IAT721364 IKP721291:IKP721364 IUL721291:IUL721364 JEH721291:JEH721364 JOD721291:JOD721364 JXZ721291:JXZ721364 KHV721291:KHV721364 KRR721291:KRR721364 LBN721291:LBN721364 LLJ721291:LLJ721364 LVF721291:LVF721364 MFB721291:MFB721364 MOX721291:MOX721364 MYT721291:MYT721364 NIP721291:NIP721364 NSL721291:NSL721364 OCH721291:OCH721364 OMD721291:OMD721364 OVZ721291:OVZ721364 PFV721291:PFV721364 PPR721291:PPR721364 PZN721291:PZN721364 QJJ721291:QJJ721364 QTF721291:QTF721364 RDB721291:RDB721364 RMX721291:RMX721364 RWT721291:RWT721364 SGP721291:SGP721364 SQL721291:SQL721364 TAH721291:TAH721364 TKD721291:TKD721364 TTZ721291:TTZ721364 UDV721291:UDV721364 UNR721291:UNR721364 UXN721291:UXN721364 VHJ721291:VHJ721364 VRF721291:VRF721364 WBB721291:WBB721364 WKX721291:WKX721364 WUT721291:WUT721364 IH786827:IH786900 SD786827:SD786900 ABZ786827:ABZ786900 ALV786827:ALV786900 AVR786827:AVR786900 BFN786827:BFN786900 BPJ786827:BPJ786900 BZF786827:BZF786900 CJB786827:CJB786900 CSX786827:CSX786900 DCT786827:DCT786900 DMP786827:DMP786900 DWL786827:DWL786900 EGH786827:EGH786900 EQD786827:EQD786900 EZZ786827:EZZ786900 FJV786827:FJV786900 FTR786827:FTR786900 GDN786827:GDN786900 GNJ786827:GNJ786900 GXF786827:GXF786900 HHB786827:HHB786900 HQX786827:HQX786900 IAT786827:IAT786900 IKP786827:IKP786900 IUL786827:IUL786900 JEH786827:JEH786900 JOD786827:JOD786900 JXZ786827:JXZ786900 KHV786827:KHV786900 KRR786827:KRR786900 LBN786827:LBN786900 LLJ786827:LLJ786900 LVF786827:LVF786900 MFB786827:MFB786900 MOX786827:MOX786900 MYT786827:MYT786900 NIP786827:NIP786900 NSL786827:NSL786900 OCH786827:OCH786900 OMD786827:OMD786900 OVZ786827:OVZ786900 PFV786827:PFV786900 PPR786827:PPR786900 PZN786827:PZN786900 QJJ786827:QJJ786900 QTF786827:QTF786900 RDB786827:RDB786900 RMX786827:RMX786900 RWT786827:RWT786900 SGP786827:SGP786900 SQL786827:SQL786900 TAH786827:TAH786900 TKD786827:TKD786900 TTZ786827:TTZ786900 UDV786827:UDV786900 UNR786827:UNR786900 UXN786827:UXN786900 VHJ786827:VHJ786900 VRF786827:VRF786900 WBB786827:WBB786900 WKX786827:WKX786900 WUT786827:WUT786900 IH852363:IH852436 SD852363:SD852436 ABZ852363:ABZ852436 ALV852363:ALV852436 AVR852363:AVR852436 BFN852363:BFN852436 BPJ852363:BPJ852436 BZF852363:BZF852436 CJB852363:CJB852436 CSX852363:CSX852436 DCT852363:DCT852436 DMP852363:DMP852436 DWL852363:DWL852436 EGH852363:EGH852436 EQD852363:EQD852436 EZZ852363:EZZ852436 FJV852363:FJV852436 FTR852363:FTR852436 GDN852363:GDN852436 GNJ852363:GNJ852436 GXF852363:GXF852436 HHB852363:HHB852436 HQX852363:HQX852436 IAT852363:IAT852436 IKP852363:IKP852436 IUL852363:IUL852436 JEH852363:JEH852436 JOD852363:JOD852436 JXZ852363:JXZ852436 KHV852363:KHV852436 KRR852363:KRR852436 LBN852363:LBN852436 LLJ852363:LLJ852436 LVF852363:LVF852436 MFB852363:MFB852436 MOX852363:MOX852436 MYT852363:MYT852436 NIP852363:NIP852436 NSL852363:NSL852436 OCH852363:OCH852436 OMD852363:OMD852436 OVZ852363:OVZ852436 PFV852363:PFV852436 PPR852363:PPR852436 PZN852363:PZN852436 QJJ852363:QJJ852436 QTF852363:QTF852436 RDB852363:RDB852436 RMX852363:RMX852436 RWT852363:RWT852436 SGP852363:SGP852436 SQL852363:SQL852436 TAH852363:TAH852436 TKD852363:TKD852436 TTZ852363:TTZ852436 UDV852363:UDV852436 UNR852363:UNR852436 UXN852363:UXN852436 VHJ852363:VHJ852436 VRF852363:VRF852436 WBB852363:WBB852436 WKX852363:WKX852436 WUT852363:WUT852436 IH917899:IH917972 SD917899:SD917972 ABZ917899:ABZ917972 ALV917899:ALV917972 AVR917899:AVR917972 BFN917899:BFN917972 BPJ917899:BPJ917972 BZF917899:BZF917972 CJB917899:CJB917972 CSX917899:CSX917972 DCT917899:DCT917972 DMP917899:DMP917972 DWL917899:DWL917972 EGH917899:EGH917972 EQD917899:EQD917972 EZZ917899:EZZ917972 FJV917899:FJV917972 FTR917899:FTR917972 GDN917899:GDN917972 GNJ917899:GNJ917972 GXF917899:GXF917972 HHB917899:HHB917972 HQX917899:HQX917972 IAT917899:IAT917972 IKP917899:IKP917972 IUL917899:IUL917972 JEH917899:JEH917972 JOD917899:JOD917972 JXZ917899:JXZ917972 KHV917899:KHV917972 KRR917899:KRR917972 LBN917899:LBN917972 LLJ917899:LLJ917972 LVF917899:LVF917972 MFB917899:MFB917972 MOX917899:MOX917972 MYT917899:MYT917972 NIP917899:NIP917972 NSL917899:NSL917972 OCH917899:OCH917972 OMD917899:OMD917972 OVZ917899:OVZ917972 PFV917899:PFV917972 PPR917899:PPR917972 PZN917899:PZN917972 QJJ917899:QJJ917972 QTF917899:QTF917972 RDB917899:RDB917972 RMX917899:RMX917972 RWT917899:RWT917972 SGP917899:SGP917972 SQL917899:SQL917972 TAH917899:TAH917972 TKD917899:TKD917972 TTZ917899:TTZ917972 UDV917899:UDV917972 UNR917899:UNR917972 UXN917899:UXN917972 VHJ917899:VHJ917972 VRF917899:VRF917972 WBB917899:WBB917972 WKX917899:WKX917972 WUT917899:WUT917972 IH983435:IH983508 SD983435:SD983508 ABZ983435:ABZ983508 ALV983435:ALV983508 AVR983435:AVR983508 BFN983435:BFN983508 BPJ983435:BPJ983508 BZF983435:BZF983508 CJB983435:CJB983508 CSX983435:CSX983508 DCT983435:DCT983508 DMP983435:DMP983508 DWL983435:DWL983508 EGH983435:EGH983508 EQD983435:EQD983508 EZZ983435:EZZ983508 FJV983435:FJV983508 FTR983435:FTR983508 GDN983435:GDN983508 GNJ983435:GNJ983508 GXF983435:GXF983508 HHB983435:HHB983508 HQX983435:HQX983508 IAT983435:IAT983508 IKP983435:IKP983508 IUL983435:IUL983508 JEH983435:JEH983508 JOD983435:JOD983508 JXZ983435:JXZ983508 KHV983435:KHV983508 KRR983435:KRR983508 LBN983435:LBN983508 LLJ983435:LLJ983508 LVF983435:LVF983508 MFB983435:MFB983508 MOX983435:MOX983508 MYT983435:MYT983508 NIP983435:NIP983508 NSL983435:NSL983508 OCH983435:OCH983508 OMD983435:OMD983508 OVZ983435:OVZ983508 PFV983435:PFV983508 PPR983435:PPR983508 PZN983435:PZN983508 QJJ983435:QJJ983508 QTF983435:QTF983508 RDB983435:RDB983508 RMX983435:RMX983508 RWT983435:RWT983508 SGP983435:SGP983508 SQL983435:SQL983508 TAH983435:TAH983508 TKD983435:TKD983508 TTZ983435:TTZ983508 UDV983435:UDV983508 UNR983435:UNR983508 UXN983435:UXN983508 VHJ983435:VHJ983508 VRF983435:VRF983508 WBB983435:WBB983508 WKX983435:WKX983508 WUT983435:WUT983508 VRX8:VRX637 VIB8:VIB637 UYF8:UYF637 UOJ8:UOJ637 UEN8:UEN637 TUR8:TUR637 TKV8:TKV637 TAZ8:TAZ637 SRD8:SRD637 SHH8:SHH637 RXL8:RXL637 RNP8:RNP637 RDT8:RDT637 QTX8:QTX637 QKB8:QKB637 QAF8:QAF637 PQJ8:PQJ637 PGN8:PGN637 OWR8:OWR637 OMV8:OMV637 OCZ8:OCZ637 NTD8:NTD637 NJH8:NJH637 MZL8:MZL637 MPP8:MPP637 MFT8:MFT637 LVX8:LVX637 LMB8:LMB637 LCF8:LCF637 KSJ8:KSJ637 KIN8:KIN637 JYR8:JYR637 JOV8:JOV637 JEZ8:JEZ637 IVD8:IVD637 ILH8:ILH637 IBL8:IBL637 HRP8:HRP637 HHT8:HHT637 GXX8:GXX637 GOB8:GOB637 GEF8:GEF637 FUJ8:FUJ637 FKN8:FKN637 FAR8:FAR637 EQV8:EQV637 EGZ8:EGZ637 DXD8:DXD637 DNH8:DNH637 DDL8:DDL637 CTP8:CTP637 CJT8:CJT637 BZX8:BZX637 BQB8:BQB637 BGF8:BGF637 AWJ8:AWJ637 AMN8:AMN637 ACR8:ACR637 SV8:SV637 IZ8:IZ637 WVL8:WVL637 WLP8:WLP637 WBT8:WBT637">
      <formula1>"A,D,"</formula1>
    </dataValidation>
    <dataValidation type="list" allowBlank="1" showInputMessage="1" showErrorMessage="1" sqref="H9:H28 H576:H595 H555:H574 H534:H553 H513:H532 H492:H511 H471:H490 H450:H469 H429:H448 H408:H427 H387:H406 H366:H385 H324:H343 H345:H364 H303:H322 H282:H301 H261:H280 H240:H259 H219:H238 H198:H217 H177:H196 H156:H175 H135:H154 H114:H133 H93:H112 H72:H91 H51:H70 H30:H49 H597:H616 H618:H637">
      <formula1>MDActivityTypeID</formula1>
    </dataValidation>
    <dataValidation type="list" allowBlank="1" showInputMessage="1" showErrorMessage="1" sqref="I9:I28 I156:I175 I555:I574 I534:I553 I513:I532 I492:I511 I471:I490 I450:I469 I429:I448 I408:I427 I387:I406 I366:I385 I324:I343 I345:I364 I303:I322 I282:I301 I261:I280 I240:I259 I219:I238 I198:I217 I177:I196 I135:I154 I576:I595 I114:I133 I93:I112 I72:I91 I51:I70 I30:I49 I597:I616 I618:I637">
      <formula1>TMDProjectPhase</formula1>
    </dataValidation>
  </dataValidations>
  <pageMargins left="0.31496062992125984" right="0.31496062992125984" top="0.78740157480314965" bottom="0.78740157480314965" header="0.31496062992125984" footer="0.31496062992125984"/>
  <pageSetup paperSize="9" scale="63" fitToHeight="7" orientation="landscape" horizontalDpi="1200" verticalDpi="1200" r:id="rId1"/>
  <customProperties>
    <customPr name="Gu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9"/>
    <pageSetUpPr fitToPage="1"/>
  </sheetPr>
  <dimension ref="A1:T70"/>
  <sheetViews>
    <sheetView zoomScaleNormal="100" workbookViewId="0">
      <selection activeCell="A3" sqref="A3"/>
    </sheetView>
  </sheetViews>
  <sheetFormatPr defaultColWidth="11.44140625" defaultRowHeight="13.8"/>
  <cols>
    <col min="1" max="1" width="8.5546875" style="126" customWidth="1"/>
    <col min="2" max="7" width="11.44140625" style="126"/>
    <col min="8" max="8" width="13.33203125" style="126" bestFit="1" customWidth="1"/>
    <col min="9" max="16384" width="11.44140625" style="126"/>
  </cols>
  <sheetData>
    <row r="1" spans="1:20"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0"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29" t="s">
        <v>1500</v>
      </c>
      <c r="I3" s="126"/>
      <c r="J3" s="126"/>
      <c r="K3" s="126"/>
      <c r="L3" s="126"/>
      <c r="M3" s="126"/>
      <c r="N3" s="126"/>
      <c r="O3" s="126"/>
      <c r="P3" s="126"/>
      <c r="Q3" s="126"/>
      <c r="R3" s="126"/>
      <c r="S3" s="126"/>
      <c r="T3" s="126"/>
    </row>
    <row r="4" spans="1:20" s="153" customFormat="1" ht="15" customHeight="1" thickBot="1">
      <c r="A4" s="126"/>
      <c r="B4" s="126"/>
      <c r="C4" s="126"/>
      <c r="D4" s="126"/>
      <c r="E4" s="126"/>
      <c r="F4" s="126"/>
      <c r="G4" s="126"/>
      <c r="H4" s="126"/>
      <c r="I4" s="126"/>
      <c r="J4" s="126"/>
      <c r="K4" s="126"/>
      <c r="L4" s="126"/>
      <c r="M4" s="126"/>
      <c r="N4" s="126"/>
      <c r="O4" s="126"/>
      <c r="P4" s="126"/>
      <c r="Q4" s="126"/>
      <c r="R4" s="126"/>
      <c r="S4" s="126"/>
      <c r="T4" s="126"/>
    </row>
    <row r="5" spans="1:20" s="195" customFormat="1" ht="16.2" thickBot="1">
      <c r="A5" s="1007" t="s">
        <v>200</v>
      </c>
      <c r="B5" s="1008"/>
      <c r="C5" s="1008"/>
      <c r="D5" s="1008"/>
      <c r="E5" s="1008"/>
      <c r="F5" s="1008"/>
      <c r="G5" s="1008"/>
      <c r="H5" s="1008"/>
      <c r="I5" s="1008"/>
      <c r="J5" s="1008"/>
      <c r="K5" s="1008"/>
      <c r="L5" s="1008"/>
      <c r="M5" s="1008"/>
      <c r="N5" s="1009"/>
      <c r="O5" s="197"/>
      <c r="P5" s="269"/>
      <c r="Q5" s="269"/>
    </row>
    <row r="6" spans="1:20" s="195" customFormat="1" ht="15.75" customHeight="1">
      <c r="A6" s="1020" t="s">
        <v>201</v>
      </c>
      <c r="B6" s="846" t="s">
        <v>202</v>
      </c>
      <c r="C6" s="1022"/>
      <c r="D6" s="847"/>
      <c r="E6" s="1014" t="s">
        <v>203</v>
      </c>
      <c r="F6" s="1015"/>
      <c r="G6" s="1019" t="s">
        <v>204</v>
      </c>
      <c r="H6" s="1019"/>
      <c r="I6" s="1019" t="s">
        <v>205</v>
      </c>
      <c r="J6" s="1019"/>
      <c r="K6" s="1019"/>
      <c r="L6" s="1019"/>
      <c r="M6" s="1019"/>
      <c r="N6" s="1019"/>
      <c r="O6" s="197"/>
      <c r="P6" s="269"/>
      <c r="Q6" s="269"/>
    </row>
    <row r="7" spans="1:20" s="195" customFormat="1" ht="26.4">
      <c r="A7" s="1021"/>
      <c r="B7" s="848"/>
      <c r="C7" s="1013"/>
      <c r="D7" s="849"/>
      <c r="E7" s="161" t="s">
        <v>206</v>
      </c>
      <c r="F7" s="161" t="s">
        <v>207</v>
      </c>
      <c r="G7" s="161" t="s">
        <v>208</v>
      </c>
      <c r="H7" s="161" t="s">
        <v>209</v>
      </c>
      <c r="I7" s="161" t="s">
        <v>210</v>
      </c>
      <c r="J7" s="161" t="s">
        <v>211</v>
      </c>
      <c r="K7" s="161" t="s">
        <v>212</v>
      </c>
      <c r="L7" s="161" t="s">
        <v>213</v>
      </c>
      <c r="M7" s="161" t="s">
        <v>214</v>
      </c>
      <c r="N7" s="161" t="s">
        <v>215</v>
      </c>
      <c r="O7" s="197"/>
      <c r="P7" s="269"/>
      <c r="Q7" s="269"/>
    </row>
    <row r="8" spans="1:20" s="195" customFormat="1" ht="13.2">
      <c r="A8" s="284" t="str">
        <f ca="1">INDEX(MDActivityTypeID,1,1)</f>
        <v>PM</v>
      </c>
      <c r="B8" s="1016" t="str">
        <f>INDEX(MDActivityTypeDescription,1,1)</f>
        <v>Project Management</v>
      </c>
      <c r="C8" s="1017"/>
      <c r="D8" s="1018"/>
      <c r="E8" s="163">
        <f>INDEX(MDActivityTypeInternalCostPerDay,1,1)</f>
        <v>0</v>
      </c>
      <c r="F8" s="163">
        <f>INDEX(MDActivityTypeExternalPricePerDay,1,1)</f>
        <v>1200</v>
      </c>
      <c r="G8" s="163">
        <f ca="1">SUMIF('Effort Estimation'!$H:$H,A8,'Effort Estimation'!$O:$O)</f>
        <v>7</v>
      </c>
      <c r="H8" s="270">
        <f t="shared" ref="H8:H17" ca="1" si="0">IF($G$18&lt;&gt;0,G8/$G$18,"")</f>
        <v>9.5890410958904104E-2</v>
      </c>
      <c r="I8" s="163">
        <f ca="1">G8*E8</f>
        <v>0</v>
      </c>
      <c r="J8" s="270">
        <f ca="1">IF($I$18&gt;0,I8/$I$18,0)</f>
        <v>0</v>
      </c>
      <c r="K8" s="163">
        <f ca="1">G8*F8</f>
        <v>8400</v>
      </c>
      <c r="L8" s="270">
        <f ca="1">IF($K$18&gt;0,K8/$K$18,0)</f>
        <v>8.9552238805970144E-2</v>
      </c>
      <c r="M8" s="163">
        <f t="shared" ref="M8:M17" ca="1" si="1">K8-I8</f>
        <v>8400</v>
      </c>
      <c r="N8" s="270">
        <f ca="1">IF($M$18&gt;0,M8/$M$18,0)</f>
        <v>8.9552238805970144E-2</v>
      </c>
      <c r="O8" s="197"/>
      <c r="P8" s="269"/>
      <c r="Q8" s="269"/>
    </row>
    <row r="9" spans="1:20" s="195" customFormat="1" ht="13.2">
      <c r="A9" s="284" t="str">
        <f ca="1">INDEX(MDActivityTypeID,2,1)</f>
        <v>ARCH</v>
      </c>
      <c r="B9" s="1016" t="str">
        <f>INDEX(MDActivityTypeDescription,2,1)</f>
        <v>Architecture</v>
      </c>
      <c r="C9" s="1017"/>
      <c r="D9" s="1018"/>
      <c r="E9" s="163">
        <f>INDEX(MDActivityTypeInternalCostPerDay,2,1)</f>
        <v>0</v>
      </c>
      <c r="F9" s="163">
        <f>INDEX(MDActivityTypeExternalPricePerDay,2,1)</f>
        <v>1400</v>
      </c>
      <c r="G9" s="163">
        <f ca="1">SUMIF('Effort Estimation'!$H:$H,A9,'Effort Estimation'!$O:$O)</f>
        <v>31</v>
      </c>
      <c r="H9" s="270">
        <f t="shared" ca="1" si="0"/>
        <v>0.42465753424657532</v>
      </c>
      <c r="I9" s="163">
        <f t="shared" ref="I9:I17" ca="1" si="2">G9*E9</f>
        <v>0</v>
      </c>
      <c r="J9" s="270">
        <f t="shared" ref="J9:J17" ca="1" si="3">IF($I$18&gt;0,I9/$I$18,0)</f>
        <v>0</v>
      </c>
      <c r="K9" s="163">
        <f t="shared" ref="K9:K17" ca="1" si="4">G9*F9</f>
        <v>43400</v>
      </c>
      <c r="L9" s="270">
        <f t="shared" ref="L9:L17" ca="1" si="5">IF($K$18&gt;0,K9/$K$18,0)</f>
        <v>0.46268656716417911</v>
      </c>
      <c r="M9" s="163">
        <f t="shared" ca="1" si="1"/>
        <v>43400</v>
      </c>
      <c r="N9" s="270">
        <f t="shared" ref="N9:N17" ca="1" si="6">IF($M$18&gt;0,M9/$M$18,0)</f>
        <v>0.46268656716417911</v>
      </c>
      <c r="O9" s="197"/>
      <c r="P9" s="269"/>
      <c r="Q9" s="269"/>
    </row>
    <row r="10" spans="1:20" s="195" customFormat="1" ht="13.2">
      <c r="A10" s="284" t="str">
        <f ca="1">INDEX(MDActivityTypeID,3,1)</f>
        <v>DEV</v>
      </c>
      <c r="B10" s="1016" t="str">
        <f>INDEX(MDActivityTypeDescription,3,1)</f>
        <v>Development</v>
      </c>
      <c r="C10" s="1017"/>
      <c r="D10" s="1018"/>
      <c r="E10" s="163">
        <f>INDEX(MDActivityTypeInternalCostPerDay,3,1)</f>
        <v>0</v>
      </c>
      <c r="F10" s="163">
        <f>INDEX(MDActivityTypeExternalPricePerDay,3,1)</f>
        <v>1200</v>
      </c>
      <c r="G10" s="163">
        <f ca="1">SUMIF('Effort Estimation'!$H:$H,A10,'Effort Estimation'!$O:$O)</f>
        <v>25</v>
      </c>
      <c r="H10" s="270">
        <f t="shared" ca="1" si="0"/>
        <v>0.34246575342465752</v>
      </c>
      <c r="I10" s="163">
        <f t="shared" ca="1" si="2"/>
        <v>0</v>
      </c>
      <c r="J10" s="270">
        <f t="shared" ca="1" si="3"/>
        <v>0</v>
      </c>
      <c r="K10" s="163">
        <f t="shared" ca="1" si="4"/>
        <v>30000</v>
      </c>
      <c r="L10" s="270">
        <f t="shared" ca="1" si="5"/>
        <v>0.31982942430703626</v>
      </c>
      <c r="M10" s="163">
        <f t="shared" ca="1" si="1"/>
        <v>30000</v>
      </c>
      <c r="N10" s="270">
        <f t="shared" ca="1" si="6"/>
        <v>0.31982942430703626</v>
      </c>
      <c r="O10" s="197"/>
      <c r="P10" s="269"/>
      <c r="Q10" s="269"/>
    </row>
    <row r="11" spans="1:20" s="195" customFormat="1" ht="13.2">
      <c r="A11" s="284" t="str">
        <f ca="1">INDEX(MDActivityTypeID,4,1)</f>
        <v>TST</v>
      </c>
      <c r="B11" s="1016" t="str">
        <f>INDEX(MDActivityTypeDescription,4,1)</f>
        <v>Test</v>
      </c>
      <c r="C11" s="1017"/>
      <c r="D11" s="1018"/>
      <c r="E11" s="163">
        <f>INDEX(MDActivityTypeInternalCostPerDay,4,1)</f>
        <v>0</v>
      </c>
      <c r="F11" s="163">
        <f>INDEX(MDActivityTypeExternalPricePerDay,4,1)</f>
        <v>1200</v>
      </c>
      <c r="G11" s="163">
        <f ca="1">SUMIF('Effort Estimation'!$H:$H,A11,'Effort Estimation'!$O:$O)</f>
        <v>10</v>
      </c>
      <c r="H11" s="270">
        <f t="shared" ca="1" si="0"/>
        <v>0.13698630136986301</v>
      </c>
      <c r="I11" s="163">
        <f t="shared" ca="1" si="2"/>
        <v>0</v>
      </c>
      <c r="J11" s="270">
        <f t="shared" ca="1" si="3"/>
        <v>0</v>
      </c>
      <c r="K11" s="163">
        <f t="shared" ca="1" si="4"/>
        <v>12000</v>
      </c>
      <c r="L11" s="270">
        <f t="shared" ca="1" si="5"/>
        <v>0.1279317697228145</v>
      </c>
      <c r="M11" s="163">
        <f t="shared" ca="1" si="1"/>
        <v>12000</v>
      </c>
      <c r="N11" s="270">
        <f t="shared" ca="1" si="6"/>
        <v>0.1279317697228145</v>
      </c>
      <c r="O11" s="197"/>
      <c r="P11" s="269"/>
      <c r="Q11" s="269"/>
    </row>
    <row r="12" spans="1:20" s="195" customFormat="1" ht="13.2">
      <c r="A12" s="284" t="e">
        <f ca="1">INDEX(MDActivityTypeID,5,1)</f>
        <v>#REF!</v>
      </c>
      <c r="B12" s="1016">
        <f>INDEX(MDActivityTypeDescription,5,1)</f>
        <v>0</v>
      </c>
      <c r="C12" s="1017"/>
      <c r="D12" s="1018"/>
      <c r="E12" s="163">
        <f>INDEX(MDActivityTypeInternalCostPerDay,5,1)</f>
        <v>0</v>
      </c>
      <c r="F12" s="163">
        <f>INDEX(MDActivityTypeExternalPricePerDay,5,1)</f>
        <v>0</v>
      </c>
      <c r="G12" s="163">
        <f ca="1">SUMIF('Effort Estimation'!$H:$H,A12,'Effort Estimation'!$O:$O)</f>
        <v>0</v>
      </c>
      <c r="H12" s="270">
        <f t="shared" ca="1" si="0"/>
        <v>0</v>
      </c>
      <c r="I12" s="163">
        <f t="shared" ca="1" si="2"/>
        <v>0</v>
      </c>
      <c r="J12" s="270">
        <f t="shared" ca="1" si="3"/>
        <v>0</v>
      </c>
      <c r="K12" s="163">
        <f t="shared" ca="1" si="4"/>
        <v>0</v>
      </c>
      <c r="L12" s="270">
        <f t="shared" ca="1" si="5"/>
        <v>0</v>
      </c>
      <c r="M12" s="163">
        <f t="shared" ca="1" si="1"/>
        <v>0</v>
      </c>
      <c r="N12" s="270">
        <f t="shared" ca="1" si="6"/>
        <v>0</v>
      </c>
      <c r="O12" s="197"/>
      <c r="P12" s="269"/>
      <c r="Q12" s="269"/>
    </row>
    <row r="13" spans="1:20" s="195" customFormat="1" ht="13.2">
      <c r="A13" s="284" t="e">
        <f ca="1">INDEX(MDActivityTypeID,6,1)</f>
        <v>#REF!</v>
      </c>
      <c r="B13" s="1016">
        <f>INDEX(MDActivityTypeDescription,6,1)</f>
        <v>0</v>
      </c>
      <c r="C13" s="1017"/>
      <c r="D13" s="1018"/>
      <c r="E13" s="163">
        <f>INDEX(MDActivityTypeInternalCostPerDay,6,1)</f>
        <v>0</v>
      </c>
      <c r="F13" s="163">
        <f>INDEX(MDActivityTypeExternalPricePerDay,6,1)</f>
        <v>0</v>
      </c>
      <c r="G13" s="163">
        <f ca="1">SUMIF('Effort Estimation'!$H:$H,A13,'Effort Estimation'!$O:$O)</f>
        <v>0</v>
      </c>
      <c r="H13" s="270">
        <f t="shared" ca="1" si="0"/>
        <v>0</v>
      </c>
      <c r="I13" s="163">
        <f t="shared" ca="1" si="2"/>
        <v>0</v>
      </c>
      <c r="J13" s="270">
        <f t="shared" ca="1" si="3"/>
        <v>0</v>
      </c>
      <c r="K13" s="163">
        <f t="shared" ca="1" si="4"/>
        <v>0</v>
      </c>
      <c r="L13" s="270">
        <f t="shared" ca="1" si="5"/>
        <v>0</v>
      </c>
      <c r="M13" s="163">
        <f t="shared" ca="1" si="1"/>
        <v>0</v>
      </c>
      <c r="N13" s="270">
        <f t="shared" ca="1" si="6"/>
        <v>0</v>
      </c>
      <c r="O13" s="197"/>
      <c r="P13" s="269"/>
      <c r="Q13" s="269"/>
    </row>
    <row r="14" spans="1:20" s="195" customFormat="1" ht="13.2">
      <c r="A14" s="284" t="e">
        <f ca="1">INDEX(MDActivityTypeID,7,1)</f>
        <v>#REF!</v>
      </c>
      <c r="B14" s="1016">
        <f>INDEX(MDActivityTypeDescription,7,1)</f>
        <v>0</v>
      </c>
      <c r="C14" s="1017"/>
      <c r="D14" s="1018"/>
      <c r="E14" s="163">
        <f>INDEX(MDActivityTypeInternalCostPerDay,7,1)</f>
        <v>0</v>
      </c>
      <c r="F14" s="163">
        <f>INDEX(MDActivityTypeExternalPricePerDay,7,1)</f>
        <v>0</v>
      </c>
      <c r="G14" s="163">
        <f ca="1">SUMIF('Effort Estimation'!$H:$H,A14,'Effort Estimation'!$O:$O)</f>
        <v>0</v>
      </c>
      <c r="H14" s="270">
        <f t="shared" ca="1" si="0"/>
        <v>0</v>
      </c>
      <c r="I14" s="163">
        <f t="shared" ca="1" si="2"/>
        <v>0</v>
      </c>
      <c r="J14" s="270">
        <f t="shared" ca="1" si="3"/>
        <v>0</v>
      </c>
      <c r="K14" s="163">
        <f t="shared" ca="1" si="4"/>
        <v>0</v>
      </c>
      <c r="L14" s="270">
        <f t="shared" ca="1" si="5"/>
        <v>0</v>
      </c>
      <c r="M14" s="163">
        <f t="shared" ca="1" si="1"/>
        <v>0</v>
      </c>
      <c r="N14" s="270">
        <f t="shared" ca="1" si="6"/>
        <v>0</v>
      </c>
      <c r="O14" s="197"/>
      <c r="P14" s="269"/>
      <c r="Q14" s="269"/>
    </row>
    <row r="15" spans="1:20" s="195" customFormat="1" ht="13.2">
      <c r="A15" s="284" t="e">
        <f ca="1">INDEX(MDActivityTypeID,8,1)</f>
        <v>#REF!</v>
      </c>
      <c r="B15" s="1016">
        <f>INDEX(MDActivityTypeDescription,8,1)</f>
        <v>0</v>
      </c>
      <c r="C15" s="1017"/>
      <c r="D15" s="1018"/>
      <c r="E15" s="163">
        <f>INDEX(MDActivityTypeInternalCostPerDay,8,1)</f>
        <v>0</v>
      </c>
      <c r="F15" s="163">
        <f>INDEX(MDActivityTypeExternalPricePerDay,8,1)</f>
        <v>0</v>
      </c>
      <c r="G15" s="163">
        <f ca="1">SUMIF('Effort Estimation'!$H:$H,A15,'Effort Estimation'!$O:$O)</f>
        <v>0</v>
      </c>
      <c r="H15" s="270">
        <f t="shared" ca="1" si="0"/>
        <v>0</v>
      </c>
      <c r="I15" s="163">
        <f t="shared" ca="1" si="2"/>
        <v>0</v>
      </c>
      <c r="J15" s="270">
        <f t="shared" ca="1" si="3"/>
        <v>0</v>
      </c>
      <c r="K15" s="163">
        <f t="shared" ca="1" si="4"/>
        <v>0</v>
      </c>
      <c r="L15" s="270">
        <f t="shared" ca="1" si="5"/>
        <v>0</v>
      </c>
      <c r="M15" s="163">
        <f t="shared" ca="1" si="1"/>
        <v>0</v>
      </c>
      <c r="N15" s="270">
        <f t="shared" ca="1" si="6"/>
        <v>0</v>
      </c>
      <c r="O15" s="197"/>
      <c r="P15" s="269"/>
      <c r="Q15" s="269"/>
    </row>
    <row r="16" spans="1:20" s="195" customFormat="1" ht="13.2">
      <c r="A16" s="284" t="e">
        <f ca="1">INDEX(MDActivityTypeID,9,1)</f>
        <v>#REF!</v>
      </c>
      <c r="B16" s="1016">
        <f>INDEX(MDActivityTypeDescription,9,1)</f>
        <v>0</v>
      </c>
      <c r="C16" s="1017"/>
      <c r="D16" s="1018"/>
      <c r="E16" s="163">
        <f>INDEX(MDActivityTypeInternalCostPerDay,9,1)</f>
        <v>0</v>
      </c>
      <c r="F16" s="163">
        <f>INDEX(MDActivityTypeExternalPricePerDay,9,1)</f>
        <v>0</v>
      </c>
      <c r="G16" s="163">
        <f ca="1">SUMIF('Effort Estimation'!$H:$H,A16,'Effort Estimation'!$O:$O)</f>
        <v>0</v>
      </c>
      <c r="H16" s="270">
        <f t="shared" ca="1" si="0"/>
        <v>0</v>
      </c>
      <c r="I16" s="163">
        <f t="shared" ca="1" si="2"/>
        <v>0</v>
      </c>
      <c r="J16" s="270">
        <f t="shared" ca="1" si="3"/>
        <v>0</v>
      </c>
      <c r="K16" s="163">
        <f t="shared" ca="1" si="4"/>
        <v>0</v>
      </c>
      <c r="L16" s="270">
        <f t="shared" ca="1" si="5"/>
        <v>0</v>
      </c>
      <c r="M16" s="163">
        <f t="shared" ca="1" si="1"/>
        <v>0</v>
      </c>
      <c r="N16" s="270">
        <f t="shared" ca="1" si="6"/>
        <v>0</v>
      </c>
      <c r="O16" s="197"/>
      <c r="P16" s="269"/>
      <c r="Q16" s="269"/>
    </row>
    <row r="17" spans="1:17" s="195" customFormat="1" ht="13.2">
      <c r="A17" s="284" t="e">
        <f ca="1">INDEX(MDActivityTypeID,10,1)</f>
        <v>#REF!</v>
      </c>
      <c r="B17" s="1016">
        <f>INDEX(MDActivityTypeDescription,10,1)</f>
        <v>0</v>
      </c>
      <c r="C17" s="1017"/>
      <c r="D17" s="1018"/>
      <c r="E17" s="163">
        <f>INDEX(MDActivityTypeInternalCostPerDay,10,1)</f>
        <v>0</v>
      </c>
      <c r="F17" s="163">
        <f>INDEX(MDActivityTypeExternalPricePerDay,10,1)</f>
        <v>0</v>
      </c>
      <c r="G17" s="163">
        <f ca="1">SUMIF('Effort Estimation'!$H:$H,A17,'Effort Estimation'!$O:$O)</f>
        <v>0</v>
      </c>
      <c r="H17" s="270">
        <f t="shared" ca="1" si="0"/>
        <v>0</v>
      </c>
      <c r="I17" s="163">
        <f t="shared" ca="1" si="2"/>
        <v>0</v>
      </c>
      <c r="J17" s="270">
        <f t="shared" ca="1" si="3"/>
        <v>0</v>
      </c>
      <c r="K17" s="163">
        <f t="shared" ca="1" si="4"/>
        <v>0</v>
      </c>
      <c r="L17" s="270">
        <f t="shared" ca="1" si="5"/>
        <v>0</v>
      </c>
      <c r="M17" s="163">
        <f t="shared" ca="1" si="1"/>
        <v>0</v>
      </c>
      <c r="N17" s="270">
        <f t="shared" ca="1" si="6"/>
        <v>0</v>
      </c>
      <c r="O17" s="197"/>
      <c r="P17" s="269"/>
      <c r="Q17" s="269"/>
    </row>
    <row r="18" spans="1:17" s="195" customFormat="1" ht="13.2">
      <c r="A18" s="271" t="s">
        <v>216</v>
      </c>
      <c r="B18" s="272"/>
      <c r="C18" s="272"/>
      <c r="D18" s="272"/>
      <c r="E18" s="273"/>
      <c r="F18" s="274"/>
      <c r="G18" s="285">
        <f t="shared" ref="G18:N18" ca="1" si="7">SUM(G8:G17)</f>
        <v>73</v>
      </c>
      <c r="H18" s="286">
        <f t="shared" ca="1" si="7"/>
        <v>0.99999999999999989</v>
      </c>
      <c r="I18" s="285">
        <f t="shared" ca="1" si="7"/>
        <v>0</v>
      </c>
      <c r="J18" s="286">
        <f t="shared" ca="1" si="7"/>
        <v>0</v>
      </c>
      <c r="K18" s="285">
        <f t="shared" ca="1" si="7"/>
        <v>93800</v>
      </c>
      <c r="L18" s="286">
        <f t="shared" ca="1" si="7"/>
        <v>1</v>
      </c>
      <c r="M18" s="285">
        <f t="shared" ca="1" si="7"/>
        <v>93800</v>
      </c>
      <c r="N18" s="286">
        <f t="shared" ca="1" si="7"/>
        <v>1</v>
      </c>
      <c r="O18" s="197"/>
      <c r="P18" s="269"/>
      <c r="Q18" s="269"/>
    </row>
    <row r="19" spans="1:17" s="195" customFormat="1" ht="13.2">
      <c r="A19" s="197"/>
      <c r="B19" s="197"/>
      <c r="C19" s="197"/>
      <c r="D19" s="197"/>
      <c r="E19" s="197"/>
      <c r="F19" s="197"/>
      <c r="G19" s="197"/>
      <c r="H19" s="197"/>
      <c r="I19" s="197"/>
      <c r="J19" s="197"/>
      <c r="K19" s="197"/>
      <c r="L19" s="197"/>
      <c r="M19" s="197"/>
      <c r="N19" s="197"/>
      <c r="O19" s="197"/>
      <c r="P19" s="269"/>
      <c r="Q19" s="269"/>
    </row>
    <row r="20" spans="1:17" s="195" customFormat="1" thickBot="1">
      <c r="A20" s="197"/>
      <c r="B20" s="197"/>
      <c r="C20" s="197"/>
      <c r="D20" s="197"/>
      <c r="E20" s="197"/>
      <c r="F20" s="197"/>
      <c r="G20" s="197"/>
      <c r="H20" s="197"/>
      <c r="I20" s="197"/>
      <c r="J20" s="197"/>
      <c r="K20" s="197"/>
      <c r="L20" s="197"/>
      <c r="M20" s="197"/>
      <c r="N20" s="197"/>
      <c r="O20" s="197"/>
      <c r="P20" s="269"/>
      <c r="Q20" s="269"/>
    </row>
    <row r="21" spans="1:17" s="195" customFormat="1" ht="16.2" thickBot="1">
      <c r="A21" s="1007" t="s">
        <v>217</v>
      </c>
      <c r="B21" s="1008"/>
      <c r="C21" s="1008"/>
      <c r="D21" s="1008"/>
      <c r="E21" s="1008"/>
      <c r="F21" s="1008"/>
      <c r="G21" s="1008"/>
      <c r="H21" s="1008"/>
      <c r="I21" s="1008"/>
      <c r="J21" s="1008"/>
      <c r="K21" s="1008"/>
      <c r="L21" s="1008"/>
      <c r="M21" s="1008"/>
      <c r="N21" s="1009"/>
      <c r="O21" s="197"/>
      <c r="P21" s="269"/>
      <c r="Q21" s="269"/>
    </row>
    <row r="22" spans="1:17" s="195" customFormat="1" ht="15.75" customHeight="1">
      <c r="A22" s="1010" t="s">
        <v>218</v>
      </c>
      <c r="B22" s="1011"/>
      <c r="C22" s="1011"/>
      <c r="D22" s="1011"/>
      <c r="E22" s="1011"/>
      <c r="F22" s="1012"/>
      <c r="G22" s="1014" t="s">
        <v>219</v>
      </c>
      <c r="H22" s="1015"/>
      <c r="I22" s="1019" t="s">
        <v>220</v>
      </c>
      <c r="J22" s="1019"/>
      <c r="K22" s="1019"/>
      <c r="L22" s="1019"/>
      <c r="M22" s="1019"/>
      <c r="N22" s="1019"/>
      <c r="O22" s="197"/>
      <c r="P22" s="269"/>
      <c r="Q22" s="269"/>
    </row>
    <row r="23" spans="1:17" s="195" customFormat="1" ht="26.4">
      <c r="A23" s="848"/>
      <c r="B23" s="1013"/>
      <c r="C23" s="1013"/>
      <c r="D23" s="1013"/>
      <c r="E23" s="1013"/>
      <c r="F23" s="849"/>
      <c r="G23" s="161" t="s">
        <v>221</v>
      </c>
      <c r="H23" s="161" t="s">
        <v>222</v>
      </c>
      <c r="I23" s="161" t="s">
        <v>223</v>
      </c>
      <c r="J23" s="161" t="s">
        <v>224</v>
      </c>
      <c r="K23" s="161" t="s">
        <v>225</v>
      </c>
      <c r="L23" s="161" t="s">
        <v>226</v>
      </c>
      <c r="M23" s="161" t="s">
        <v>227</v>
      </c>
      <c r="N23" s="161" t="s">
        <v>228</v>
      </c>
      <c r="O23" s="197"/>
      <c r="P23" s="269"/>
      <c r="Q23" s="269"/>
    </row>
    <row r="24" spans="1:17" s="195" customFormat="1" ht="13.2">
      <c r="A24" s="1023" t="str">
        <f ca="1">INDEX(TMDProjectPhase,1)</f>
        <v>Project Setup</v>
      </c>
      <c r="B24" s="1024"/>
      <c r="C24" s="1024"/>
      <c r="D24" s="1024"/>
      <c r="E24" s="1024"/>
      <c r="F24" s="1025"/>
      <c r="G24" s="287">
        <f ca="1">SUMIF('Effort Estimation'!$I:$I,A24,'Effort Estimation'!$O:$O)</f>
        <v>0</v>
      </c>
      <c r="H24" s="288" t="str">
        <f t="shared" ref="H24:H33" ca="1" si="8">IF($G$34&lt;&gt;0,G24/$G$34,"")</f>
        <v/>
      </c>
      <c r="I24" s="287">
        <f ca="1">SUMIF('Effort Estimation'!$I:$I,A24,'Effort Estimation'!$P:$P)</f>
        <v>0</v>
      </c>
      <c r="J24" s="288" t="str">
        <f t="shared" ref="J24:J33" ca="1" si="9">IF($I$34&lt;&gt;0,I24/$I$34,"")</f>
        <v/>
      </c>
      <c r="K24" s="287">
        <f ca="1">SUMIF('Effort Estimation'!$I:$I,A24,'Effort Estimation'!$Q:$Q)</f>
        <v>0</v>
      </c>
      <c r="L24" s="288" t="str">
        <f t="shared" ref="L24:L33" ca="1" si="10">IF($K$34&lt;&gt;0,K24/$K$34,"")</f>
        <v/>
      </c>
      <c r="M24" s="287">
        <f t="shared" ref="M24:M33" ca="1" si="11">K24-I24</f>
        <v>0</v>
      </c>
      <c r="N24" s="288" t="str">
        <f t="shared" ref="N24:N33" ca="1" si="12">IF($M$34&lt;&gt;0,M24/$M$34,"")</f>
        <v/>
      </c>
      <c r="O24" s="197"/>
      <c r="P24" s="269"/>
      <c r="Q24" s="269"/>
    </row>
    <row r="25" spans="1:17" s="195" customFormat="1" ht="13.2">
      <c r="A25" s="1023" t="str">
        <f ca="1">INDEX(TMDProjectPhase,2)</f>
        <v>Analysis</v>
      </c>
      <c r="B25" s="1024"/>
      <c r="C25" s="1024"/>
      <c r="D25" s="1024"/>
      <c r="E25" s="1024"/>
      <c r="F25" s="1025"/>
      <c r="G25" s="287">
        <f ca="1">SUMIF('Effort Estimation'!$I:$I,A25,'Effort Estimation'!$O:$O)</f>
        <v>0</v>
      </c>
      <c r="H25" s="288" t="str">
        <f t="shared" ca="1" si="8"/>
        <v/>
      </c>
      <c r="I25" s="287">
        <f ca="1">SUMIF('Effort Estimation'!$I:$I,A25,'Effort Estimation'!$P:$P)</f>
        <v>0</v>
      </c>
      <c r="J25" s="288" t="str">
        <f t="shared" ca="1" si="9"/>
        <v/>
      </c>
      <c r="K25" s="287">
        <f ca="1">SUMIF('Effort Estimation'!$I:$I,A25,'Effort Estimation'!$Q:$Q)</f>
        <v>0</v>
      </c>
      <c r="L25" s="288" t="str">
        <f t="shared" ca="1" si="10"/>
        <v/>
      </c>
      <c r="M25" s="287">
        <f t="shared" ca="1" si="11"/>
        <v>0</v>
      </c>
      <c r="N25" s="288" t="str">
        <f t="shared" ca="1" si="12"/>
        <v/>
      </c>
      <c r="O25" s="197"/>
      <c r="P25" s="269"/>
      <c r="Q25" s="269"/>
    </row>
    <row r="26" spans="1:17" s="195" customFormat="1" ht="13.2">
      <c r="A26" s="1023" t="str">
        <f ca="1">INDEX(TMDProjectPhase,3)</f>
        <v>Specification</v>
      </c>
      <c r="B26" s="1024"/>
      <c r="C26" s="1024"/>
      <c r="D26" s="1024"/>
      <c r="E26" s="1024"/>
      <c r="F26" s="1025"/>
      <c r="G26" s="287">
        <f ca="1">SUMIF('Effort Estimation'!$I:$I,A26,'Effort Estimation'!$O:$O)</f>
        <v>0</v>
      </c>
      <c r="H26" s="288" t="str">
        <f t="shared" ca="1" si="8"/>
        <v/>
      </c>
      <c r="I26" s="287">
        <f ca="1">SUMIF('Effort Estimation'!$I:$I,A26,'Effort Estimation'!$P:$P)</f>
        <v>0</v>
      </c>
      <c r="J26" s="288" t="str">
        <f t="shared" ca="1" si="9"/>
        <v/>
      </c>
      <c r="K26" s="287">
        <f ca="1">SUMIF('Effort Estimation'!$I:$I,A26,'Effort Estimation'!$Q:$Q)</f>
        <v>0</v>
      </c>
      <c r="L26" s="288" t="str">
        <f t="shared" ca="1" si="10"/>
        <v/>
      </c>
      <c r="M26" s="287">
        <f t="shared" ca="1" si="11"/>
        <v>0</v>
      </c>
      <c r="N26" s="288" t="str">
        <f t="shared" ca="1" si="12"/>
        <v/>
      </c>
      <c r="O26" s="197"/>
      <c r="P26" s="269"/>
      <c r="Q26" s="269"/>
    </row>
    <row r="27" spans="1:17" s="195" customFormat="1" ht="13.2">
      <c r="A27" s="1023" t="str">
        <f ca="1">INDEX(TMDProjectPhase,4)</f>
        <v>Realisation</v>
      </c>
      <c r="B27" s="1024"/>
      <c r="C27" s="1024"/>
      <c r="D27" s="1024"/>
      <c r="E27" s="1024"/>
      <c r="F27" s="1025"/>
      <c r="G27" s="287">
        <f ca="1">SUMIF('Effort Estimation'!$I:$I,A27,'Effort Estimation'!$O:$O)</f>
        <v>0</v>
      </c>
      <c r="H27" s="288" t="str">
        <f t="shared" ca="1" si="8"/>
        <v/>
      </c>
      <c r="I27" s="287">
        <f ca="1">SUMIF('Effort Estimation'!$I:$I,A27,'Effort Estimation'!$P:$P)</f>
        <v>0</v>
      </c>
      <c r="J27" s="288" t="str">
        <f t="shared" ca="1" si="9"/>
        <v/>
      </c>
      <c r="K27" s="287">
        <f ca="1">SUMIF('Effort Estimation'!$I:$I,A27,'Effort Estimation'!$Q:$Q)</f>
        <v>0</v>
      </c>
      <c r="L27" s="288" t="str">
        <f t="shared" ca="1" si="10"/>
        <v/>
      </c>
      <c r="M27" s="287">
        <f t="shared" ca="1" si="11"/>
        <v>0</v>
      </c>
      <c r="N27" s="288" t="str">
        <f t="shared" ca="1" si="12"/>
        <v/>
      </c>
      <c r="O27" s="197"/>
      <c r="P27" s="269"/>
      <c r="Q27" s="269"/>
    </row>
    <row r="28" spans="1:17" s="195" customFormat="1" ht="13.2">
      <c r="A28" s="1023" t="str">
        <f ca="1">INDEX(TMDProjectPhase,5)</f>
        <v>Testing</v>
      </c>
      <c r="B28" s="1024"/>
      <c r="C28" s="1024"/>
      <c r="D28" s="1024"/>
      <c r="E28" s="1024"/>
      <c r="F28" s="1025"/>
      <c r="G28" s="287">
        <f ca="1">SUMIF('Effort Estimation'!$I:$I,A28,'Effort Estimation'!$O:$O)</f>
        <v>0</v>
      </c>
      <c r="H28" s="288" t="str">
        <f t="shared" ca="1" si="8"/>
        <v/>
      </c>
      <c r="I28" s="287">
        <f ca="1">SUMIF('Effort Estimation'!$I:$I,A28,'Effort Estimation'!$P:$P)</f>
        <v>0</v>
      </c>
      <c r="J28" s="288" t="str">
        <f t="shared" ca="1" si="9"/>
        <v/>
      </c>
      <c r="K28" s="287">
        <f ca="1">SUMIF('Effort Estimation'!$I:$I,A28,'Effort Estimation'!$Q:$Q)</f>
        <v>0</v>
      </c>
      <c r="L28" s="288" t="str">
        <f t="shared" ca="1" si="10"/>
        <v/>
      </c>
      <c r="M28" s="287">
        <f t="shared" ca="1" si="11"/>
        <v>0</v>
      </c>
      <c r="N28" s="288" t="str">
        <f t="shared" ca="1" si="12"/>
        <v/>
      </c>
      <c r="O28" s="197"/>
      <c r="P28" s="269"/>
      <c r="Q28" s="269"/>
    </row>
    <row r="29" spans="1:17" s="195" customFormat="1" ht="13.2">
      <c r="A29" s="1023" t="str">
        <f ca="1">INDEX(TMDProjectPhase,6)</f>
        <v>Rollout</v>
      </c>
      <c r="B29" s="1024"/>
      <c r="C29" s="1024"/>
      <c r="D29" s="1024"/>
      <c r="E29" s="1024"/>
      <c r="F29" s="1025"/>
      <c r="G29" s="287">
        <f ca="1">SUMIF('Effort Estimation'!$I:$I,A29,'Effort Estimation'!$O:$O)</f>
        <v>0</v>
      </c>
      <c r="H29" s="288" t="str">
        <f t="shared" ca="1" si="8"/>
        <v/>
      </c>
      <c r="I29" s="287">
        <f ca="1">SUMIF('Effort Estimation'!$I:$I,A29,'Effort Estimation'!$P:$P)</f>
        <v>0</v>
      </c>
      <c r="J29" s="288" t="str">
        <f t="shared" ca="1" si="9"/>
        <v/>
      </c>
      <c r="K29" s="287">
        <f ca="1">SUMIF('Effort Estimation'!$I:$I,A29,'Effort Estimation'!$Q:$Q)</f>
        <v>0</v>
      </c>
      <c r="L29" s="288" t="str">
        <f t="shared" ca="1" si="10"/>
        <v/>
      </c>
      <c r="M29" s="287">
        <f t="shared" ca="1" si="11"/>
        <v>0</v>
      </c>
      <c r="N29" s="288" t="str">
        <f t="shared" ca="1" si="12"/>
        <v/>
      </c>
      <c r="O29" s="197"/>
      <c r="P29" s="269"/>
      <c r="Q29" s="269"/>
    </row>
    <row r="30" spans="1:17" s="195" customFormat="1" ht="13.2">
      <c r="A30" s="1023" t="str">
        <f ca="1">INDEX(TMDProjectPhase,7)</f>
        <v>Ongoing Task</v>
      </c>
      <c r="B30" s="1024"/>
      <c r="C30" s="1024"/>
      <c r="D30" s="1024"/>
      <c r="E30" s="1024"/>
      <c r="F30" s="1025"/>
      <c r="G30" s="287">
        <f ca="1">SUMIF('Effort Estimation'!$I:$I,A30,'Effort Estimation'!$O:$O)</f>
        <v>0</v>
      </c>
      <c r="H30" s="288" t="str">
        <f t="shared" ca="1" si="8"/>
        <v/>
      </c>
      <c r="I30" s="287">
        <f ca="1">SUMIF('Effort Estimation'!$I:$I,A30,'Effort Estimation'!$P:$P)</f>
        <v>0</v>
      </c>
      <c r="J30" s="288" t="str">
        <f t="shared" ca="1" si="9"/>
        <v/>
      </c>
      <c r="K30" s="287">
        <f ca="1">SUMIF('Effort Estimation'!$I:$I,A30,'Effort Estimation'!$Q:$Q)</f>
        <v>0</v>
      </c>
      <c r="L30" s="288" t="str">
        <f t="shared" ca="1" si="10"/>
        <v/>
      </c>
      <c r="M30" s="287">
        <f ca="1">K30-I30</f>
        <v>0</v>
      </c>
      <c r="N30" s="288" t="str">
        <f t="shared" ca="1" si="12"/>
        <v/>
      </c>
      <c r="O30" s="197"/>
      <c r="P30" s="269"/>
      <c r="Q30" s="269"/>
    </row>
    <row r="31" spans="1:17" s="195" customFormat="1" ht="13.2">
      <c r="A31" s="1023" t="str">
        <f ca="1">INDEX(TMDProjectPhase,8)</f>
        <v>Change (fix)</v>
      </c>
      <c r="B31" s="1024"/>
      <c r="C31" s="1024"/>
      <c r="D31" s="1024"/>
      <c r="E31" s="1024"/>
      <c r="F31" s="1025"/>
      <c r="G31" s="287">
        <f ca="1">SUMIF('Effort Estimation'!$I:$I,A31,'Effort Estimation'!$O:$O)</f>
        <v>0</v>
      </c>
      <c r="H31" s="288" t="str">
        <f t="shared" ca="1" si="8"/>
        <v/>
      </c>
      <c r="I31" s="287">
        <f ca="1">SUMIF('Effort Estimation'!$I:$I,A31,'Effort Estimation'!$P:$P)</f>
        <v>0</v>
      </c>
      <c r="J31" s="288" t="str">
        <f t="shared" ca="1" si="9"/>
        <v/>
      </c>
      <c r="K31" s="287">
        <f ca="1">SUMIF('Effort Estimation'!$I:$I,A31,'Effort Estimation'!$Q:$Q)</f>
        <v>0</v>
      </c>
      <c r="L31" s="288" t="str">
        <f t="shared" ca="1" si="10"/>
        <v/>
      </c>
      <c r="M31" s="287">
        <f ca="1">K31-I31</f>
        <v>0</v>
      </c>
      <c r="N31" s="288" t="str">
        <f t="shared" ca="1" si="12"/>
        <v/>
      </c>
      <c r="O31" s="197"/>
      <c r="P31" s="269"/>
      <c r="Q31" s="269"/>
    </row>
    <row r="32" spans="1:17" s="195" customFormat="1" ht="13.2">
      <c r="A32" s="1023" t="str">
        <f ca="1">INDEX(TMDProjectPhase,9)</f>
        <v>Change (T&amp;M)</v>
      </c>
      <c r="B32" s="1024"/>
      <c r="C32" s="1024"/>
      <c r="D32" s="1024"/>
      <c r="E32" s="1024"/>
      <c r="F32" s="1025"/>
      <c r="G32" s="287">
        <f ca="1">SUMIF('Effort Estimation'!$I:$I,A32,'Effort Estimation'!$O:$O)</f>
        <v>0</v>
      </c>
      <c r="H32" s="288" t="str">
        <f t="shared" ca="1" si="8"/>
        <v/>
      </c>
      <c r="I32" s="287">
        <f ca="1">SUMIF('Effort Estimation'!$I:$I,A32,'Effort Estimation'!$P:$P)</f>
        <v>0</v>
      </c>
      <c r="J32" s="288" t="str">
        <f t="shared" ca="1" si="9"/>
        <v/>
      </c>
      <c r="K32" s="287">
        <f ca="1">SUMIF('Effort Estimation'!$I:$I,A32,'Effort Estimation'!$Q:$Q)</f>
        <v>0</v>
      </c>
      <c r="L32" s="288" t="str">
        <f t="shared" ca="1" si="10"/>
        <v/>
      </c>
      <c r="M32" s="287">
        <f ca="1">K32-I32</f>
        <v>0</v>
      </c>
      <c r="N32" s="288" t="str">
        <f t="shared" ca="1" si="12"/>
        <v/>
      </c>
      <c r="O32" s="197"/>
      <c r="P32" s="269"/>
      <c r="Q32" s="269"/>
    </row>
    <row r="33" spans="1:17" s="195" customFormat="1" ht="13.2">
      <c r="A33" s="1023" t="str">
        <f ca="1">INDEX(TMDProjectPhase,10)</f>
        <v>T&amp;M</v>
      </c>
      <c r="B33" s="1024"/>
      <c r="C33" s="1024"/>
      <c r="D33" s="1024"/>
      <c r="E33" s="1024"/>
      <c r="F33" s="1025"/>
      <c r="G33" s="287">
        <f ca="1">SUMIF('Effort Estimation'!$I:$I,A33,'Effort Estimation'!$O:$O)</f>
        <v>0</v>
      </c>
      <c r="H33" s="288" t="str">
        <f t="shared" ca="1" si="8"/>
        <v/>
      </c>
      <c r="I33" s="287">
        <f ca="1">SUMIF('Effort Estimation'!$I:$I,A33,'Effort Estimation'!$P:$P)</f>
        <v>0</v>
      </c>
      <c r="J33" s="288" t="str">
        <f t="shared" ca="1" si="9"/>
        <v/>
      </c>
      <c r="K33" s="287">
        <f ca="1">SUMIF('Effort Estimation'!$I:$I,A33,'Effort Estimation'!$Q:$Q)</f>
        <v>0</v>
      </c>
      <c r="L33" s="288" t="str">
        <f t="shared" ca="1" si="10"/>
        <v/>
      </c>
      <c r="M33" s="287">
        <f t="shared" ca="1" si="11"/>
        <v>0</v>
      </c>
      <c r="N33" s="288" t="str">
        <f t="shared" ca="1" si="12"/>
        <v/>
      </c>
      <c r="O33" s="197"/>
      <c r="P33" s="269"/>
      <c r="Q33" s="269"/>
    </row>
    <row r="34" spans="1:17" s="195" customFormat="1" ht="13.2">
      <c r="A34" s="1028" t="s">
        <v>229</v>
      </c>
      <c r="B34" s="1029"/>
      <c r="C34" s="1029"/>
      <c r="D34" s="1029"/>
      <c r="E34" s="1029"/>
      <c r="F34" s="1030"/>
      <c r="G34" s="285">
        <f t="shared" ref="G34:N34" ca="1" si="13">SUM(G24:G33)</f>
        <v>0</v>
      </c>
      <c r="H34" s="289">
        <f t="shared" ca="1" si="13"/>
        <v>0</v>
      </c>
      <c r="I34" s="285">
        <f t="shared" ca="1" si="13"/>
        <v>0</v>
      </c>
      <c r="J34" s="286">
        <f t="shared" ca="1" si="13"/>
        <v>0</v>
      </c>
      <c r="K34" s="285">
        <f t="shared" ca="1" si="13"/>
        <v>0</v>
      </c>
      <c r="L34" s="286">
        <f t="shared" ca="1" si="13"/>
        <v>0</v>
      </c>
      <c r="M34" s="285">
        <f t="shared" ca="1" si="13"/>
        <v>0</v>
      </c>
      <c r="N34" s="286">
        <f t="shared" ca="1" si="13"/>
        <v>0</v>
      </c>
      <c r="O34" s="197"/>
      <c r="P34" s="269"/>
      <c r="Q34" s="269"/>
    </row>
    <row r="35" spans="1:17" s="195" customFormat="1" ht="13.2">
      <c r="A35" s="197"/>
      <c r="B35" s="197"/>
      <c r="C35" s="197"/>
      <c r="D35" s="197"/>
      <c r="E35" s="197"/>
      <c r="F35" s="197"/>
      <c r="G35" s="197"/>
      <c r="H35" s="197"/>
      <c r="I35" s="197"/>
      <c r="J35" s="197"/>
      <c r="K35" s="197"/>
      <c r="L35" s="197"/>
      <c r="M35" s="197"/>
      <c r="N35" s="197"/>
      <c r="O35" s="197"/>
      <c r="P35" s="269"/>
      <c r="Q35" s="269"/>
    </row>
    <row r="36" spans="1:17" s="195" customFormat="1" thickBot="1">
      <c r="A36" s="197"/>
      <c r="B36" s="197"/>
      <c r="C36" s="197"/>
      <c r="D36" s="197"/>
      <c r="E36" s="197"/>
      <c r="F36" s="197"/>
      <c r="G36" s="197"/>
      <c r="H36" s="197"/>
      <c r="I36" s="197"/>
      <c r="J36" s="197"/>
      <c r="K36" s="197"/>
      <c r="L36" s="197"/>
      <c r="M36" s="197"/>
      <c r="N36" s="197"/>
      <c r="O36" s="197"/>
      <c r="P36" s="1031"/>
      <c r="Q36" s="1031"/>
    </row>
    <row r="37" spans="1:17" s="195" customFormat="1" ht="16.2" thickBot="1">
      <c r="A37" s="1007" t="s">
        <v>230</v>
      </c>
      <c r="B37" s="1008"/>
      <c r="C37" s="1008"/>
      <c r="D37" s="1008"/>
      <c r="E37" s="1008"/>
      <c r="F37" s="1008"/>
      <c r="G37" s="1008"/>
      <c r="H37" s="1008"/>
      <c r="I37" s="1008"/>
      <c r="J37" s="1008"/>
      <c r="K37" s="1008"/>
      <c r="L37" s="1008"/>
      <c r="M37" s="1008"/>
      <c r="N37" s="1008"/>
      <c r="O37" s="1009"/>
      <c r="P37" s="1031"/>
      <c r="Q37" s="1031"/>
    </row>
    <row r="38" spans="1:17" s="195" customFormat="1" ht="15" customHeight="1">
      <c r="A38" s="1021" t="s">
        <v>231</v>
      </c>
      <c r="B38" s="846" t="s">
        <v>232</v>
      </c>
      <c r="C38" s="847"/>
      <c r="D38" s="852" t="s">
        <v>233</v>
      </c>
      <c r="E38" s="852" t="s">
        <v>234</v>
      </c>
      <c r="F38" s="844" t="s">
        <v>235</v>
      </c>
      <c r="G38" s="1014" t="s">
        <v>204</v>
      </c>
      <c r="H38" s="1032"/>
      <c r="I38" s="1015"/>
      <c r="J38" s="1019" t="s">
        <v>236</v>
      </c>
      <c r="K38" s="1019"/>
      <c r="L38" s="1019"/>
      <c r="M38" s="1019"/>
      <c r="N38" s="1019"/>
      <c r="O38" s="1019"/>
      <c r="P38" s="1031" t="s">
        <v>934</v>
      </c>
      <c r="Q38" s="1031" t="s">
        <v>975</v>
      </c>
    </row>
    <row r="39" spans="1:17" s="195" customFormat="1" ht="26.4">
      <c r="A39" s="1033"/>
      <c r="B39" s="848"/>
      <c r="C39" s="849"/>
      <c r="D39" s="1034"/>
      <c r="E39" s="1034"/>
      <c r="F39" s="845"/>
      <c r="G39" s="161" t="s">
        <v>973</v>
      </c>
      <c r="H39" s="161" t="s">
        <v>976</v>
      </c>
      <c r="I39" s="161" t="s">
        <v>237</v>
      </c>
      <c r="J39" s="161" t="s">
        <v>238</v>
      </c>
      <c r="K39" s="161" t="s">
        <v>239</v>
      </c>
      <c r="L39" s="161" t="s">
        <v>240</v>
      </c>
      <c r="M39" s="161" t="s">
        <v>241</v>
      </c>
      <c r="N39" s="161" t="s">
        <v>242</v>
      </c>
      <c r="O39" s="161" t="s">
        <v>243</v>
      </c>
      <c r="P39" s="1031"/>
      <c r="Q39" s="1031"/>
    </row>
    <row r="40" spans="1:17" s="195" customFormat="1" ht="13.2">
      <c r="A40" s="278">
        <f>'Effort Estimation'!A8</f>
        <v>0</v>
      </c>
      <c r="B40" s="1026" t="str">
        <f>'Effort Estimation'!B8</f>
        <v>GEFI Migration</v>
      </c>
      <c r="C40" s="1027"/>
      <c r="D40" s="279">
        <f>'Effort Estimation'!F8</f>
        <v>0</v>
      </c>
      <c r="E40" s="279">
        <f>'Effort Estimation'!G8</f>
        <v>0</v>
      </c>
      <c r="F40" s="290" t="str">
        <f>'Effort Estimation'!I8</f>
        <v/>
      </c>
      <c r="G40" s="163">
        <f>'Effort Estimation'!M8</f>
        <v>65.833333333333343</v>
      </c>
      <c r="H40" s="163">
        <f>'Effort Estimation'!O8</f>
        <v>73</v>
      </c>
      <c r="I40" s="270">
        <f>IF($H$70&lt;&gt;0,H40/$H$70,"")</f>
        <v>1</v>
      </c>
      <c r="J40" s="163">
        <f ca="1">'Effort Estimation'!P8</f>
        <v>0</v>
      </c>
      <c r="K40" s="270" t="str">
        <f ca="1">IF($J$70&lt;&gt;0,J40/$J$70,"")</f>
        <v/>
      </c>
      <c r="L40" s="163">
        <f ca="1">'Effort Estimation'!Q8</f>
        <v>93800</v>
      </c>
      <c r="M40" s="270">
        <f ca="1">IF($L$70&lt;&gt;0,L40/$L$70,"")</f>
        <v>1</v>
      </c>
      <c r="N40" s="163">
        <f ca="1">L40-J40</f>
        <v>93800</v>
      </c>
      <c r="O40" s="270">
        <f ca="1">IF($N$70&lt;&gt;0,N40/$N$70,"")</f>
        <v>1</v>
      </c>
      <c r="P40" s="280">
        <f>'Effort Estimation'!R8</f>
        <v>0</v>
      </c>
      <c r="Q40" s="280" t="str">
        <f>IF(G40&lt;&gt;H40,"x","")</f>
        <v>x</v>
      </c>
    </row>
    <row r="41" spans="1:17" s="195" customFormat="1" ht="13.2">
      <c r="A41" s="278">
        <f>'Effort Estimation'!A29</f>
        <v>0</v>
      </c>
      <c r="B41" s="1026">
        <f>'Effort Estimation'!B29</f>
        <v>0</v>
      </c>
      <c r="C41" s="1027"/>
      <c r="D41" s="279">
        <f>'Effort Estimation'!F29</f>
        <v>0</v>
      </c>
      <c r="E41" s="279">
        <f>'Effort Estimation'!G29</f>
        <v>0</v>
      </c>
      <c r="F41" s="290" t="str">
        <f>'Effort Estimation'!I29</f>
        <v/>
      </c>
      <c r="G41" s="163">
        <f>'Effort Estimation'!M29</f>
        <v>0</v>
      </c>
      <c r="H41" s="163">
        <f>'Effort Estimation'!O29</f>
        <v>0</v>
      </c>
      <c r="I41" s="270">
        <f t="shared" ref="I41:I69" si="14">IF($H$70&lt;&gt;0,H41/$H$70,"")</f>
        <v>0</v>
      </c>
      <c r="J41" s="163">
        <f>'Effort Estimation'!P29</f>
        <v>0</v>
      </c>
      <c r="K41" s="270" t="str">
        <f t="shared" ref="K41:K69" ca="1" si="15">IF($J$70&lt;&gt;0,J41/$J$70,"")</f>
        <v/>
      </c>
      <c r="L41" s="163">
        <f>'Effort Estimation'!Q29</f>
        <v>0</v>
      </c>
      <c r="M41" s="270">
        <f t="shared" ref="M41:M69" ca="1" si="16">IF($L$70&lt;&gt;0,L41/$L$70,"")</f>
        <v>0</v>
      </c>
      <c r="N41" s="163">
        <f t="shared" ref="N41:N69" si="17">L41-J41</f>
        <v>0</v>
      </c>
      <c r="O41" s="270">
        <f t="shared" ref="O41:O69" ca="1" si="18">IF($N$70&lt;&gt;0,N41/$N$70,"")</f>
        <v>0</v>
      </c>
      <c r="P41" s="280">
        <f>'Effort Estimation'!R29</f>
        <v>0</v>
      </c>
      <c r="Q41" s="280" t="str">
        <f t="shared" ref="Q41:Q69" si="19">IF(G41&lt;&gt;H41,"x","")</f>
        <v/>
      </c>
    </row>
    <row r="42" spans="1:17" s="195" customFormat="1" ht="13.2">
      <c r="A42" s="278">
        <f>'Effort Estimation'!A50</f>
        <v>0</v>
      </c>
      <c r="B42" s="1026">
        <f>'Effort Estimation'!B50</f>
        <v>0</v>
      </c>
      <c r="C42" s="1027"/>
      <c r="D42" s="279">
        <f>'Effort Estimation'!F50</f>
        <v>0</v>
      </c>
      <c r="E42" s="279">
        <f>'Effort Estimation'!G50</f>
        <v>0</v>
      </c>
      <c r="F42" s="290" t="str">
        <f>'Effort Estimation'!I50</f>
        <v/>
      </c>
      <c r="G42" s="163">
        <f>'Effort Estimation'!M50</f>
        <v>0</v>
      </c>
      <c r="H42" s="163">
        <f>'Effort Estimation'!O50</f>
        <v>0</v>
      </c>
      <c r="I42" s="270">
        <f t="shared" si="14"/>
        <v>0</v>
      </c>
      <c r="J42" s="163">
        <f>'Effort Estimation'!P50</f>
        <v>0</v>
      </c>
      <c r="K42" s="270" t="str">
        <f t="shared" ca="1" si="15"/>
        <v/>
      </c>
      <c r="L42" s="163">
        <f>'Effort Estimation'!Q50</f>
        <v>0</v>
      </c>
      <c r="M42" s="270">
        <f t="shared" ca="1" si="16"/>
        <v>0</v>
      </c>
      <c r="N42" s="163">
        <f t="shared" si="17"/>
        <v>0</v>
      </c>
      <c r="O42" s="270">
        <f t="shared" ca="1" si="18"/>
        <v>0</v>
      </c>
      <c r="P42" s="280">
        <f>'Effort Estimation'!R50</f>
        <v>0</v>
      </c>
      <c r="Q42" s="280" t="str">
        <f t="shared" si="19"/>
        <v/>
      </c>
    </row>
    <row r="43" spans="1:17" s="195" customFormat="1" ht="13.2">
      <c r="A43" s="278">
        <f>'Effort Estimation'!A71</f>
        <v>0</v>
      </c>
      <c r="B43" s="1026">
        <f>'Effort Estimation'!B71</f>
        <v>0</v>
      </c>
      <c r="C43" s="1027"/>
      <c r="D43" s="279">
        <f>'Effort Estimation'!F71</f>
        <v>0</v>
      </c>
      <c r="E43" s="279">
        <f>'Effort Estimation'!G71</f>
        <v>0</v>
      </c>
      <c r="F43" s="290" t="str">
        <f>'Effort Estimation'!I71</f>
        <v/>
      </c>
      <c r="G43" s="163">
        <f>'Effort Estimation'!M71</f>
        <v>0</v>
      </c>
      <c r="H43" s="163">
        <f>'Effort Estimation'!O71</f>
        <v>0</v>
      </c>
      <c r="I43" s="270">
        <f t="shared" si="14"/>
        <v>0</v>
      </c>
      <c r="J43" s="163">
        <f>'Effort Estimation'!P71</f>
        <v>0</v>
      </c>
      <c r="K43" s="270" t="str">
        <f t="shared" ca="1" si="15"/>
        <v/>
      </c>
      <c r="L43" s="163">
        <f>'Effort Estimation'!Q71</f>
        <v>0</v>
      </c>
      <c r="M43" s="270">
        <f t="shared" ca="1" si="16"/>
        <v>0</v>
      </c>
      <c r="N43" s="163">
        <f t="shared" si="17"/>
        <v>0</v>
      </c>
      <c r="O43" s="270">
        <f t="shared" ca="1" si="18"/>
        <v>0</v>
      </c>
      <c r="P43" s="280">
        <f>'Effort Estimation'!R71</f>
        <v>0</v>
      </c>
      <c r="Q43" s="280" t="str">
        <f t="shared" si="19"/>
        <v/>
      </c>
    </row>
    <row r="44" spans="1:17" s="195" customFormat="1" ht="13.2">
      <c r="A44" s="278">
        <f>'Effort Estimation'!A92</f>
        <v>0</v>
      </c>
      <c r="B44" s="1026">
        <f>'Effort Estimation'!B92</f>
        <v>0</v>
      </c>
      <c r="C44" s="1027"/>
      <c r="D44" s="279">
        <f>'Effort Estimation'!F92</f>
        <v>0</v>
      </c>
      <c r="E44" s="279">
        <f>'Effort Estimation'!G92</f>
        <v>0</v>
      </c>
      <c r="F44" s="290" t="str">
        <f>'Effort Estimation'!I92</f>
        <v/>
      </c>
      <c r="G44" s="163">
        <f>'Effort Estimation'!M92</f>
        <v>0</v>
      </c>
      <c r="H44" s="163">
        <f>'Effort Estimation'!O92</f>
        <v>0</v>
      </c>
      <c r="I44" s="270">
        <f t="shared" si="14"/>
        <v>0</v>
      </c>
      <c r="J44" s="163">
        <f>'Effort Estimation'!P92</f>
        <v>0</v>
      </c>
      <c r="K44" s="270" t="str">
        <f t="shared" ca="1" si="15"/>
        <v/>
      </c>
      <c r="L44" s="163">
        <f>'Effort Estimation'!Q92</f>
        <v>0</v>
      </c>
      <c r="M44" s="270">
        <f t="shared" ca="1" si="16"/>
        <v>0</v>
      </c>
      <c r="N44" s="163">
        <f t="shared" si="17"/>
        <v>0</v>
      </c>
      <c r="O44" s="270">
        <f t="shared" ca="1" si="18"/>
        <v>0</v>
      </c>
      <c r="P44" s="280">
        <f>'Effort Estimation'!R92</f>
        <v>0</v>
      </c>
      <c r="Q44" s="280" t="str">
        <f t="shared" si="19"/>
        <v/>
      </c>
    </row>
    <row r="45" spans="1:17" s="195" customFormat="1" ht="13.2">
      <c r="A45" s="278">
        <f>'Effort Estimation'!A113</f>
        <v>0</v>
      </c>
      <c r="B45" s="1026">
        <f>'Effort Estimation'!B113</f>
        <v>0</v>
      </c>
      <c r="C45" s="1027"/>
      <c r="D45" s="279">
        <f>'Effort Estimation'!F113</f>
        <v>0</v>
      </c>
      <c r="E45" s="279">
        <f>'Effort Estimation'!G113</f>
        <v>0</v>
      </c>
      <c r="F45" s="290" t="str">
        <f>'Effort Estimation'!I113</f>
        <v/>
      </c>
      <c r="G45" s="163">
        <f>'Effort Estimation'!M113</f>
        <v>0</v>
      </c>
      <c r="H45" s="163">
        <f>'Effort Estimation'!O113</f>
        <v>0</v>
      </c>
      <c r="I45" s="270">
        <f t="shared" si="14"/>
        <v>0</v>
      </c>
      <c r="J45" s="163">
        <f>'Effort Estimation'!P113</f>
        <v>0</v>
      </c>
      <c r="K45" s="270" t="str">
        <f t="shared" ca="1" si="15"/>
        <v/>
      </c>
      <c r="L45" s="163">
        <f>'Effort Estimation'!Q113</f>
        <v>0</v>
      </c>
      <c r="M45" s="270">
        <f t="shared" ca="1" si="16"/>
        <v>0</v>
      </c>
      <c r="N45" s="163">
        <f t="shared" si="17"/>
        <v>0</v>
      </c>
      <c r="O45" s="270">
        <f t="shared" ca="1" si="18"/>
        <v>0</v>
      </c>
      <c r="P45" s="280">
        <f>'Effort Estimation'!R113</f>
        <v>0</v>
      </c>
      <c r="Q45" s="280" t="str">
        <f t="shared" si="19"/>
        <v/>
      </c>
    </row>
    <row r="46" spans="1:17" s="195" customFormat="1" ht="13.2">
      <c r="A46" s="278">
        <f>'Effort Estimation'!A134</f>
        <v>0</v>
      </c>
      <c r="B46" s="1026">
        <f>'Effort Estimation'!B134</f>
        <v>0</v>
      </c>
      <c r="C46" s="1027"/>
      <c r="D46" s="279">
        <f>'Effort Estimation'!F134</f>
        <v>0</v>
      </c>
      <c r="E46" s="279">
        <f>'Effort Estimation'!G134</f>
        <v>0</v>
      </c>
      <c r="F46" s="290" t="str">
        <f>'Effort Estimation'!I134</f>
        <v/>
      </c>
      <c r="G46" s="163">
        <f>'Effort Estimation'!M134</f>
        <v>0</v>
      </c>
      <c r="H46" s="163">
        <f>'Effort Estimation'!O134</f>
        <v>0</v>
      </c>
      <c r="I46" s="270">
        <f t="shared" si="14"/>
        <v>0</v>
      </c>
      <c r="J46" s="163">
        <f>'Effort Estimation'!P134</f>
        <v>0</v>
      </c>
      <c r="K46" s="270" t="str">
        <f t="shared" ca="1" si="15"/>
        <v/>
      </c>
      <c r="L46" s="163">
        <f>'Effort Estimation'!Q134</f>
        <v>0</v>
      </c>
      <c r="M46" s="270">
        <f t="shared" ca="1" si="16"/>
        <v>0</v>
      </c>
      <c r="N46" s="163">
        <f t="shared" si="17"/>
        <v>0</v>
      </c>
      <c r="O46" s="270">
        <f t="shared" ca="1" si="18"/>
        <v>0</v>
      </c>
      <c r="P46" s="280">
        <f>'Effort Estimation'!R134</f>
        <v>0</v>
      </c>
      <c r="Q46" s="280" t="str">
        <f t="shared" si="19"/>
        <v/>
      </c>
    </row>
    <row r="47" spans="1:17" s="195" customFormat="1" ht="13.2">
      <c r="A47" s="278">
        <f>'Effort Estimation'!A155</f>
        <v>0</v>
      </c>
      <c r="B47" s="1026">
        <f>'Effort Estimation'!B155</f>
        <v>0</v>
      </c>
      <c r="C47" s="1027"/>
      <c r="D47" s="279">
        <f>'Effort Estimation'!F155</f>
        <v>0</v>
      </c>
      <c r="E47" s="279">
        <f>'Effort Estimation'!G155</f>
        <v>0</v>
      </c>
      <c r="F47" s="290" t="str">
        <f>'Effort Estimation'!I155</f>
        <v/>
      </c>
      <c r="G47" s="163">
        <f>'Effort Estimation'!M155</f>
        <v>0</v>
      </c>
      <c r="H47" s="163">
        <f>'Effort Estimation'!O155</f>
        <v>0</v>
      </c>
      <c r="I47" s="270">
        <f t="shared" si="14"/>
        <v>0</v>
      </c>
      <c r="J47" s="163">
        <f>'Effort Estimation'!P155</f>
        <v>0</v>
      </c>
      <c r="K47" s="270" t="str">
        <f t="shared" ca="1" si="15"/>
        <v/>
      </c>
      <c r="L47" s="163">
        <f>'Effort Estimation'!Q155</f>
        <v>0</v>
      </c>
      <c r="M47" s="270">
        <f t="shared" ca="1" si="16"/>
        <v>0</v>
      </c>
      <c r="N47" s="163">
        <f t="shared" si="17"/>
        <v>0</v>
      </c>
      <c r="O47" s="270">
        <f t="shared" ca="1" si="18"/>
        <v>0</v>
      </c>
      <c r="P47" s="280">
        <f>'Effort Estimation'!R155</f>
        <v>0</v>
      </c>
      <c r="Q47" s="280" t="str">
        <f t="shared" si="19"/>
        <v/>
      </c>
    </row>
    <row r="48" spans="1:17" s="195" customFormat="1" ht="13.2">
      <c r="A48" s="278">
        <f>'Effort Estimation'!A176</f>
        <v>0</v>
      </c>
      <c r="B48" s="1026">
        <f>'Effort Estimation'!B176</f>
        <v>0</v>
      </c>
      <c r="C48" s="1027"/>
      <c r="D48" s="279">
        <f>'Effort Estimation'!F176</f>
        <v>0</v>
      </c>
      <c r="E48" s="279">
        <f>'Effort Estimation'!G176</f>
        <v>0</v>
      </c>
      <c r="F48" s="290" t="str">
        <f>'Effort Estimation'!I176</f>
        <v/>
      </c>
      <c r="G48" s="163">
        <f>'Effort Estimation'!M176</f>
        <v>0</v>
      </c>
      <c r="H48" s="163">
        <f>'Effort Estimation'!O176</f>
        <v>0</v>
      </c>
      <c r="I48" s="270">
        <f t="shared" si="14"/>
        <v>0</v>
      </c>
      <c r="J48" s="163">
        <f>'Effort Estimation'!P176</f>
        <v>0</v>
      </c>
      <c r="K48" s="270" t="str">
        <f t="shared" ca="1" si="15"/>
        <v/>
      </c>
      <c r="L48" s="163">
        <f>'Effort Estimation'!Q176</f>
        <v>0</v>
      </c>
      <c r="M48" s="270">
        <f t="shared" ca="1" si="16"/>
        <v>0</v>
      </c>
      <c r="N48" s="163">
        <f t="shared" si="17"/>
        <v>0</v>
      </c>
      <c r="O48" s="270">
        <f t="shared" ca="1" si="18"/>
        <v>0</v>
      </c>
      <c r="P48" s="280">
        <f>'Effort Estimation'!R176</f>
        <v>0</v>
      </c>
      <c r="Q48" s="280" t="str">
        <f t="shared" si="19"/>
        <v/>
      </c>
    </row>
    <row r="49" spans="1:17" s="195" customFormat="1" ht="13.2">
      <c r="A49" s="278">
        <f>'Effort Estimation'!A197</f>
        <v>0</v>
      </c>
      <c r="B49" s="1026">
        <f>'Effort Estimation'!B197</f>
        <v>0</v>
      </c>
      <c r="C49" s="1027"/>
      <c r="D49" s="279">
        <f>'Effort Estimation'!F197</f>
        <v>0</v>
      </c>
      <c r="E49" s="279">
        <f>'Effort Estimation'!G197</f>
        <v>0</v>
      </c>
      <c r="F49" s="290" t="str">
        <f>'Effort Estimation'!I197</f>
        <v/>
      </c>
      <c r="G49" s="163">
        <f>'Effort Estimation'!M197</f>
        <v>0</v>
      </c>
      <c r="H49" s="163">
        <f>'Effort Estimation'!O197</f>
        <v>0</v>
      </c>
      <c r="I49" s="270">
        <f t="shared" si="14"/>
        <v>0</v>
      </c>
      <c r="J49" s="163">
        <f>'Effort Estimation'!P197</f>
        <v>0</v>
      </c>
      <c r="K49" s="270" t="str">
        <f t="shared" ca="1" si="15"/>
        <v/>
      </c>
      <c r="L49" s="163">
        <f>'Effort Estimation'!Q197</f>
        <v>0</v>
      </c>
      <c r="M49" s="270">
        <f t="shared" ca="1" si="16"/>
        <v>0</v>
      </c>
      <c r="N49" s="163">
        <f t="shared" si="17"/>
        <v>0</v>
      </c>
      <c r="O49" s="270">
        <f t="shared" ca="1" si="18"/>
        <v>0</v>
      </c>
      <c r="P49" s="280">
        <f>'Effort Estimation'!R197</f>
        <v>0</v>
      </c>
      <c r="Q49" s="280" t="str">
        <f t="shared" si="19"/>
        <v/>
      </c>
    </row>
    <row r="50" spans="1:17" s="195" customFormat="1" ht="13.2">
      <c r="A50" s="278">
        <f>'Effort Estimation'!A218</f>
        <v>0</v>
      </c>
      <c r="B50" s="1026">
        <f>'Effort Estimation'!B218</f>
        <v>0</v>
      </c>
      <c r="C50" s="1027"/>
      <c r="D50" s="279">
        <f>'Effort Estimation'!F218</f>
        <v>0</v>
      </c>
      <c r="E50" s="279">
        <f>'Effort Estimation'!G218</f>
        <v>0</v>
      </c>
      <c r="F50" s="290" t="str">
        <f>'Effort Estimation'!I218</f>
        <v/>
      </c>
      <c r="G50" s="163">
        <f>'Effort Estimation'!M218</f>
        <v>0</v>
      </c>
      <c r="H50" s="163">
        <f>'Effort Estimation'!O218</f>
        <v>0</v>
      </c>
      <c r="I50" s="270">
        <f t="shared" si="14"/>
        <v>0</v>
      </c>
      <c r="J50" s="163">
        <f>'Effort Estimation'!P218</f>
        <v>0</v>
      </c>
      <c r="K50" s="270" t="str">
        <f t="shared" ca="1" si="15"/>
        <v/>
      </c>
      <c r="L50" s="163">
        <f>'Effort Estimation'!Q218</f>
        <v>0</v>
      </c>
      <c r="M50" s="270">
        <f t="shared" ca="1" si="16"/>
        <v>0</v>
      </c>
      <c r="N50" s="163">
        <f t="shared" si="17"/>
        <v>0</v>
      </c>
      <c r="O50" s="270">
        <f t="shared" ca="1" si="18"/>
        <v>0</v>
      </c>
      <c r="P50" s="280">
        <f>'Effort Estimation'!R218</f>
        <v>0</v>
      </c>
      <c r="Q50" s="280" t="str">
        <f t="shared" si="19"/>
        <v/>
      </c>
    </row>
    <row r="51" spans="1:17" s="195" customFormat="1" ht="13.2">
      <c r="A51" s="278">
        <f>'Effort Estimation'!A239</f>
        <v>0</v>
      </c>
      <c r="B51" s="1026">
        <f>'Effort Estimation'!B239</f>
        <v>0</v>
      </c>
      <c r="C51" s="1027"/>
      <c r="D51" s="279">
        <f>'Effort Estimation'!F239</f>
        <v>0</v>
      </c>
      <c r="E51" s="279">
        <f>'Effort Estimation'!G239</f>
        <v>0</v>
      </c>
      <c r="F51" s="290" t="str">
        <f>'Effort Estimation'!I239</f>
        <v/>
      </c>
      <c r="G51" s="163">
        <f>'Effort Estimation'!M239</f>
        <v>0</v>
      </c>
      <c r="H51" s="163">
        <f>'Effort Estimation'!O239</f>
        <v>0</v>
      </c>
      <c r="I51" s="270">
        <f t="shared" si="14"/>
        <v>0</v>
      </c>
      <c r="J51" s="163">
        <f>'Effort Estimation'!P239</f>
        <v>0</v>
      </c>
      <c r="K51" s="270" t="str">
        <f t="shared" ca="1" si="15"/>
        <v/>
      </c>
      <c r="L51" s="163">
        <f>'Effort Estimation'!Q239</f>
        <v>0</v>
      </c>
      <c r="M51" s="270">
        <f t="shared" ca="1" si="16"/>
        <v>0</v>
      </c>
      <c r="N51" s="163">
        <f t="shared" si="17"/>
        <v>0</v>
      </c>
      <c r="O51" s="270">
        <f t="shared" ca="1" si="18"/>
        <v>0</v>
      </c>
      <c r="P51" s="280">
        <f>'Effort Estimation'!R239</f>
        <v>0</v>
      </c>
      <c r="Q51" s="280" t="str">
        <f t="shared" si="19"/>
        <v/>
      </c>
    </row>
    <row r="52" spans="1:17" s="195" customFormat="1" ht="13.2">
      <c r="A52" s="278">
        <f>'Effort Estimation'!A260</f>
        <v>0</v>
      </c>
      <c r="B52" s="1026">
        <f>'Effort Estimation'!B260</f>
        <v>0</v>
      </c>
      <c r="C52" s="1027"/>
      <c r="D52" s="279">
        <f>'Effort Estimation'!F260</f>
        <v>0</v>
      </c>
      <c r="E52" s="279">
        <f>'Effort Estimation'!G260</f>
        <v>0</v>
      </c>
      <c r="F52" s="290" t="str">
        <f>'Effort Estimation'!I260</f>
        <v/>
      </c>
      <c r="G52" s="163">
        <f>'Effort Estimation'!M260</f>
        <v>0</v>
      </c>
      <c r="H52" s="163">
        <f>'Effort Estimation'!O260</f>
        <v>0</v>
      </c>
      <c r="I52" s="270">
        <f t="shared" si="14"/>
        <v>0</v>
      </c>
      <c r="J52" s="163">
        <f>'Effort Estimation'!P260</f>
        <v>0</v>
      </c>
      <c r="K52" s="270" t="str">
        <f t="shared" ca="1" si="15"/>
        <v/>
      </c>
      <c r="L52" s="163">
        <f>'Effort Estimation'!Q260</f>
        <v>0</v>
      </c>
      <c r="M52" s="270">
        <f t="shared" ca="1" si="16"/>
        <v>0</v>
      </c>
      <c r="N52" s="163">
        <f t="shared" si="17"/>
        <v>0</v>
      </c>
      <c r="O52" s="270">
        <f t="shared" ca="1" si="18"/>
        <v>0</v>
      </c>
      <c r="P52" s="280">
        <f>'Effort Estimation'!R260</f>
        <v>0</v>
      </c>
      <c r="Q52" s="280" t="str">
        <f t="shared" si="19"/>
        <v/>
      </c>
    </row>
    <row r="53" spans="1:17" s="195" customFormat="1" ht="13.2">
      <c r="A53" s="278">
        <f>'Effort Estimation'!A281</f>
        <v>0</v>
      </c>
      <c r="B53" s="1026">
        <f>'Effort Estimation'!B281</f>
        <v>0</v>
      </c>
      <c r="C53" s="1027"/>
      <c r="D53" s="279">
        <f>'Effort Estimation'!F281</f>
        <v>0</v>
      </c>
      <c r="E53" s="279">
        <f>'Effort Estimation'!G281</f>
        <v>0</v>
      </c>
      <c r="F53" s="290" t="str">
        <f>'Effort Estimation'!I281</f>
        <v/>
      </c>
      <c r="G53" s="163">
        <f>'Effort Estimation'!M281</f>
        <v>0</v>
      </c>
      <c r="H53" s="163">
        <f>'Effort Estimation'!O281</f>
        <v>0</v>
      </c>
      <c r="I53" s="270">
        <f t="shared" si="14"/>
        <v>0</v>
      </c>
      <c r="J53" s="163">
        <f>'Effort Estimation'!P281</f>
        <v>0</v>
      </c>
      <c r="K53" s="270" t="str">
        <f t="shared" ca="1" si="15"/>
        <v/>
      </c>
      <c r="L53" s="163">
        <f>'Effort Estimation'!Q281</f>
        <v>0</v>
      </c>
      <c r="M53" s="270">
        <f t="shared" ca="1" si="16"/>
        <v>0</v>
      </c>
      <c r="N53" s="163">
        <f t="shared" si="17"/>
        <v>0</v>
      </c>
      <c r="O53" s="270">
        <f t="shared" ca="1" si="18"/>
        <v>0</v>
      </c>
      <c r="P53" s="280">
        <f>'Effort Estimation'!R281</f>
        <v>0</v>
      </c>
      <c r="Q53" s="280" t="str">
        <f t="shared" si="19"/>
        <v/>
      </c>
    </row>
    <row r="54" spans="1:17" s="195" customFormat="1" ht="13.2">
      <c r="A54" s="278">
        <f>'Effort Estimation'!A302</f>
        <v>0</v>
      </c>
      <c r="B54" s="1026">
        <f>'Effort Estimation'!B302</f>
        <v>0</v>
      </c>
      <c r="C54" s="1027"/>
      <c r="D54" s="279">
        <f>'Effort Estimation'!F302</f>
        <v>0</v>
      </c>
      <c r="E54" s="279">
        <f>'Effort Estimation'!G302</f>
        <v>0</v>
      </c>
      <c r="F54" s="290" t="str">
        <f>'Effort Estimation'!I302</f>
        <v/>
      </c>
      <c r="G54" s="163">
        <f>'Effort Estimation'!M302</f>
        <v>0</v>
      </c>
      <c r="H54" s="163">
        <f>'Effort Estimation'!O302</f>
        <v>0</v>
      </c>
      <c r="I54" s="270">
        <f t="shared" si="14"/>
        <v>0</v>
      </c>
      <c r="J54" s="163">
        <f>'Effort Estimation'!P302</f>
        <v>0</v>
      </c>
      <c r="K54" s="270" t="str">
        <f t="shared" ca="1" si="15"/>
        <v/>
      </c>
      <c r="L54" s="163">
        <f>'Effort Estimation'!Q302</f>
        <v>0</v>
      </c>
      <c r="M54" s="270">
        <f t="shared" ca="1" si="16"/>
        <v>0</v>
      </c>
      <c r="N54" s="163">
        <f t="shared" si="17"/>
        <v>0</v>
      </c>
      <c r="O54" s="270">
        <f t="shared" ca="1" si="18"/>
        <v>0</v>
      </c>
      <c r="P54" s="280">
        <f>'Effort Estimation'!R302</f>
        <v>0</v>
      </c>
      <c r="Q54" s="280" t="str">
        <f t="shared" si="19"/>
        <v/>
      </c>
    </row>
    <row r="55" spans="1:17" s="195" customFormat="1" ht="13.2">
      <c r="A55" s="278">
        <f>'Effort Estimation'!A323</f>
        <v>0</v>
      </c>
      <c r="B55" s="1026">
        <f>'Effort Estimation'!B323</f>
        <v>0</v>
      </c>
      <c r="C55" s="1027"/>
      <c r="D55" s="279">
        <f>'Effort Estimation'!F323</f>
        <v>0</v>
      </c>
      <c r="E55" s="279">
        <f>'Effort Estimation'!G323</f>
        <v>0</v>
      </c>
      <c r="F55" s="290" t="str">
        <f>'Effort Estimation'!I323</f>
        <v/>
      </c>
      <c r="G55" s="163">
        <f>'Effort Estimation'!M323</f>
        <v>0</v>
      </c>
      <c r="H55" s="163">
        <f>'Effort Estimation'!O323</f>
        <v>0</v>
      </c>
      <c r="I55" s="270">
        <f t="shared" si="14"/>
        <v>0</v>
      </c>
      <c r="J55" s="163">
        <f>'Effort Estimation'!P323</f>
        <v>0</v>
      </c>
      <c r="K55" s="270" t="str">
        <f t="shared" ca="1" si="15"/>
        <v/>
      </c>
      <c r="L55" s="163">
        <f>'Effort Estimation'!Q323</f>
        <v>0</v>
      </c>
      <c r="M55" s="270">
        <f t="shared" ca="1" si="16"/>
        <v>0</v>
      </c>
      <c r="N55" s="163">
        <f t="shared" si="17"/>
        <v>0</v>
      </c>
      <c r="O55" s="270">
        <f t="shared" ca="1" si="18"/>
        <v>0</v>
      </c>
      <c r="P55" s="280">
        <f>'Effort Estimation'!R323</f>
        <v>0</v>
      </c>
      <c r="Q55" s="280" t="str">
        <f t="shared" si="19"/>
        <v/>
      </c>
    </row>
    <row r="56" spans="1:17" s="195" customFormat="1" ht="13.2">
      <c r="A56" s="278">
        <f>'Effort Estimation'!A344</f>
        <v>0</v>
      </c>
      <c r="B56" s="1026">
        <f>'Effort Estimation'!B344</f>
        <v>0</v>
      </c>
      <c r="C56" s="1027"/>
      <c r="D56" s="279">
        <f>'Effort Estimation'!F344</f>
        <v>0</v>
      </c>
      <c r="E56" s="279">
        <f>'Effort Estimation'!G344</f>
        <v>0</v>
      </c>
      <c r="F56" s="290" t="str">
        <f>'Effort Estimation'!I344</f>
        <v/>
      </c>
      <c r="G56" s="163">
        <f>'Effort Estimation'!M344</f>
        <v>0</v>
      </c>
      <c r="H56" s="163">
        <f>'Effort Estimation'!O344</f>
        <v>0</v>
      </c>
      <c r="I56" s="270">
        <f t="shared" si="14"/>
        <v>0</v>
      </c>
      <c r="J56" s="163">
        <f>'Effort Estimation'!P344</f>
        <v>0</v>
      </c>
      <c r="K56" s="270" t="str">
        <f t="shared" ca="1" si="15"/>
        <v/>
      </c>
      <c r="L56" s="163">
        <f>'Effort Estimation'!Q344</f>
        <v>0</v>
      </c>
      <c r="M56" s="270">
        <f t="shared" ca="1" si="16"/>
        <v>0</v>
      </c>
      <c r="N56" s="163">
        <f t="shared" si="17"/>
        <v>0</v>
      </c>
      <c r="O56" s="270">
        <f t="shared" ca="1" si="18"/>
        <v>0</v>
      </c>
      <c r="P56" s="280">
        <f>'Effort Estimation'!R344</f>
        <v>0</v>
      </c>
      <c r="Q56" s="280" t="str">
        <f t="shared" si="19"/>
        <v/>
      </c>
    </row>
    <row r="57" spans="1:17" s="195" customFormat="1" ht="13.2">
      <c r="A57" s="278">
        <f>'Effort Estimation'!A365</f>
        <v>0</v>
      </c>
      <c r="B57" s="1026">
        <f>'Effort Estimation'!B365</f>
        <v>0</v>
      </c>
      <c r="C57" s="1027"/>
      <c r="D57" s="279">
        <f>'Effort Estimation'!F365</f>
        <v>0</v>
      </c>
      <c r="E57" s="279">
        <f>'Effort Estimation'!G365</f>
        <v>0</v>
      </c>
      <c r="F57" s="290" t="str">
        <f>'Effort Estimation'!I365</f>
        <v/>
      </c>
      <c r="G57" s="163">
        <f>'Effort Estimation'!M365</f>
        <v>0</v>
      </c>
      <c r="H57" s="163">
        <f>'Effort Estimation'!O365</f>
        <v>0</v>
      </c>
      <c r="I57" s="270">
        <f t="shared" si="14"/>
        <v>0</v>
      </c>
      <c r="J57" s="163">
        <f>'Effort Estimation'!P365</f>
        <v>0</v>
      </c>
      <c r="K57" s="270" t="str">
        <f t="shared" ca="1" si="15"/>
        <v/>
      </c>
      <c r="L57" s="163">
        <f>'Effort Estimation'!Q365</f>
        <v>0</v>
      </c>
      <c r="M57" s="270">
        <f t="shared" ca="1" si="16"/>
        <v>0</v>
      </c>
      <c r="N57" s="163">
        <f t="shared" si="17"/>
        <v>0</v>
      </c>
      <c r="O57" s="270">
        <f t="shared" ca="1" si="18"/>
        <v>0</v>
      </c>
      <c r="P57" s="280">
        <f>'Effort Estimation'!R365</f>
        <v>0</v>
      </c>
      <c r="Q57" s="280" t="str">
        <f t="shared" si="19"/>
        <v/>
      </c>
    </row>
    <row r="58" spans="1:17" s="195" customFormat="1" ht="13.2">
      <c r="A58" s="278">
        <f>'Effort Estimation'!A386</f>
        <v>0</v>
      </c>
      <c r="B58" s="1026">
        <f>'Effort Estimation'!B386</f>
        <v>0</v>
      </c>
      <c r="C58" s="1027"/>
      <c r="D58" s="279">
        <f>'Effort Estimation'!F386</f>
        <v>0</v>
      </c>
      <c r="E58" s="279">
        <f>'Effort Estimation'!G386</f>
        <v>0</v>
      </c>
      <c r="F58" s="290" t="str">
        <f>'Effort Estimation'!I386</f>
        <v/>
      </c>
      <c r="G58" s="163">
        <f>'Effort Estimation'!M386</f>
        <v>0</v>
      </c>
      <c r="H58" s="163">
        <f>'Effort Estimation'!O386</f>
        <v>0</v>
      </c>
      <c r="I58" s="270">
        <f t="shared" si="14"/>
        <v>0</v>
      </c>
      <c r="J58" s="163">
        <f>'Effort Estimation'!P386</f>
        <v>0</v>
      </c>
      <c r="K58" s="270" t="str">
        <f t="shared" ca="1" si="15"/>
        <v/>
      </c>
      <c r="L58" s="163">
        <f>'Effort Estimation'!Q386</f>
        <v>0</v>
      </c>
      <c r="M58" s="270">
        <f t="shared" ca="1" si="16"/>
        <v>0</v>
      </c>
      <c r="N58" s="163">
        <f t="shared" si="17"/>
        <v>0</v>
      </c>
      <c r="O58" s="270">
        <f t="shared" ca="1" si="18"/>
        <v>0</v>
      </c>
      <c r="P58" s="280">
        <f>'Effort Estimation'!R386</f>
        <v>0</v>
      </c>
      <c r="Q58" s="280" t="str">
        <f t="shared" si="19"/>
        <v/>
      </c>
    </row>
    <row r="59" spans="1:17" s="195" customFormat="1" ht="13.2">
      <c r="A59" s="278">
        <f>'Effort Estimation'!A407</f>
        <v>0</v>
      </c>
      <c r="B59" s="1026">
        <f>'Effort Estimation'!B407</f>
        <v>0</v>
      </c>
      <c r="C59" s="1027"/>
      <c r="D59" s="279">
        <f>'Effort Estimation'!F407</f>
        <v>0</v>
      </c>
      <c r="E59" s="279">
        <f>'Effort Estimation'!G407</f>
        <v>0</v>
      </c>
      <c r="F59" s="290" t="str">
        <f>'Effort Estimation'!I407</f>
        <v/>
      </c>
      <c r="G59" s="163">
        <f>'Effort Estimation'!M407</f>
        <v>0</v>
      </c>
      <c r="H59" s="163">
        <f>'Effort Estimation'!O407</f>
        <v>0</v>
      </c>
      <c r="I59" s="270">
        <f t="shared" si="14"/>
        <v>0</v>
      </c>
      <c r="J59" s="163">
        <f>'Effort Estimation'!P407</f>
        <v>0</v>
      </c>
      <c r="K59" s="270" t="str">
        <f t="shared" ca="1" si="15"/>
        <v/>
      </c>
      <c r="L59" s="163">
        <f>'Effort Estimation'!Q407</f>
        <v>0</v>
      </c>
      <c r="M59" s="270">
        <f t="shared" ca="1" si="16"/>
        <v>0</v>
      </c>
      <c r="N59" s="163">
        <f t="shared" si="17"/>
        <v>0</v>
      </c>
      <c r="O59" s="270">
        <f t="shared" ca="1" si="18"/>
        <v>0</v>
      </c>
      <c r="P59" s="280">
        <f>'Effort Estimation'!R407</f>
        <v>0</v>
      </c>
      <c r="Q59" s="280" t="str">
        <f t="shared" si="19"/>
        <v/>
      </c>
    </row>
    <row r="60" spans="1:17" s="195" customFormat="1" ht="13.2">
      <c r="A60" s="278">
        <f>'Effort Estimation'!A428</f>
        <v>0</v>
      </c>
      <c r="B60" s="1026">
        <f>'Effort Estimation'!B428</f>
        <v>0</v>
      </c>
      <c r="C60" s="1027"/>
      <c r="D60" s="279">
        <f>'Effort Estimation'!F428</f>
        <v>0</v>
      </c>
      <c r="E60" s="279">
        <f>'Effort Estimation'!G428</f>
        <v>0</v>
      </c>
      <c r="F60" s="290" t="str">
        <f>'Effort Estimation'!I428</f>
        <v/>
      </c>
      <c r="G60" s="163">
        <f>'Effort Estimation'!M428</f>
        <v>0</v>
      </c>
      <c r="H60" s="163">
        <f>'Effort Estimation'!O428</f>
        <v>0</v>
      </c>
      <c r="I60" s="270">
        <f t="shared" si="14"/>
        <v>0</v>
      </c>
      <c r="J60" s="163">
        <f>'Effort Estimation'!P428</f>
        <v>0</v>
      </c>
      <c r="K60" s="270" t="str">
        <f t="shared" ca="1" si="15"/>
        <v/>
      </c>
      <c r="L60" s="163">
        <f>'Effort Estimation'!Q428</f>
        <v>0</v>
      </c>
      <c r="M60" s="270">
        <f t="shared" ca="1" si="16"/>
        <v>0</v>
      </c>
      <c r="N60" s="163">
        <f t="shared" si="17"/>
        <v>0</v>
      </c>
      <c r="O60" s="270">
        <f t="shared" ca="1" si="18"/>
        <v>0</v>
      </c>
      <c r="P60" s="280">
        <f>'Effort Estimation'!R428</f>
        <v>0</v>
      </c>
      <c r="Q60" s="280" t="str">
        <f t="shared" si="19"/>
        <v/>
      </c>
    </row>
    <row r="61" spans="1:17" s="195" customFormat="1" ht="13.2">
      <c r="A61" s="278">
        <f>'Effort Estimation'!A449</f>
        <v>0</v>
      </c>
      <c r="B61" s="1026">
        <f>'Effort Estimation'!B449</f>
        <v>0</v>
      </c>
      <c r="C61" s="1027"/>
      <c r="D61" s="279">
        <f>'Effort Estimation'!F449</f>
        <v>0</v>
      </c>
      <c r="E61" s="279">
        <f>'Effort Estimation'!G449</f>
        <v>0</v>
      </c>
      <c r="F61" s="290" t="str">
        <f>'Effort Estimation'!I449</f>
        <v/>
      </c>
      <c r="G61" s="163">
        <f>'Effort Estimation'!M449</f>
        <v>0</v>
      </c>
      <c r="H61" s="163">
        <f>'Effort Estimation'!O449</f>
        <v>0</v>
      </c>
      <c r="I61" s="270">
        <f t="shared" si="14"/>
        <v>0</v>
      </c>
      <c r="J61" s="163">
        <f>'Effort Estimation'!P449</f>
        <v>0</v>
      </c>
      <c r="K61" s="270" t="str">
        <f t="shared" ca="1" si="15"/>
        <v/>
      </c>
      <c r="L61" s="163">
        <f>'Effort Estimation'!Q449</f>
        <v>0</v>
      </c>
      <c r="M61" s="270">
        <f t="shared" ca="1" si="16"/>
        <v>0</v>
      </c>
      <c r="N61" s="163">
        <f t="shared" si="17"/>
        <v>0</v>
      </c>
      <c r="O61" s="270">
        <f t="shared" ca="1" si="18"/>
        <v>0</v>
      </c>
      <c r="P61" s="280">
        <f>'Effort Estimation'!R449</f>
        <v>0</v>
      </c>
      <c r="Q61" s="280" t="str">
        <f t="shared" si="19"/>
        <v/>
      </c>
    </row>
    <row r="62" spans="1:17" s="195" customFormat="1" ht="13.2">
      <c r="A62" s="278">
        <f>'Effort Estimation'!A470</f>
        <v>0</v>
      </c>
      <c r="B62" s="1026">
        <f>'Effort Estimation'!B470</f>
        <v>0</v>
      </c>
      <c r="C62" s="1027"/>
      <c r="D62" s="279">
        <f>'Effort Estimation'!F470</f>
        <v>0</v>
      </c>
      <c r="E62" s="279">
        <f>'Effort Estimation'!G470</f>
        <v>0</v>
      </c>
      <c r="F62" s="290" t="str">
        <f>'Effort Estimation'!I470</f>
        <v/>
      </c>
      <c r="G62" s="163">
        <f>'Effort Estimation'!M470</f>
        <v>0</v>
      </c>
      <c r="H62" s="163">
        <f>'Effort Estimation'!O470</f>
        <v>0</v>
      </c>
      <c r="I62" s="270">
        <f t="shared" si="14"/>
        <v>0</v>
      </c>
      <c r="J62" s="163">
        <f>'Effort Estimation'!P470</f>
        <v>0</v>
      </c>
      <c r="K62" s="270" t="str">
        <f t="shared" ca="1" si="15"/>
        <v/>
      </c>
      <c r="L62" s="163">
        <f>'Effort Estimation'!Q470</f>
        <v>0</v>
      </c>
      <c r="M62" s="270">
        <f t="shared" ca="1" si="16"/>
        <v>0</v>
      </c>
      <c r="N62" s="163">
        <f t="shared" si="17"/>
        <v>0</v>
      </c>
      <c r="O62" s="270">
        <f t="shared" ca="1" si="18"/>
        <v>0</v>
      </c>
      <c r="P62" s="280">
        <f>'Effort Estimation'!R470</f>
        <v>0</v>
      </c>
      <c r="Q62" s="280" t="str">
        <f t="shared" si="19"/>
        <v/>
      </c>
    </row>
    <row r="63" spans="1:17" s="195" customFormat="1" ht="13.2">
      <c r="A63" s="278">
        <f>'Effort Estimation'!A491</f>
        <v>0</v>
      </c>
      <c r="B63" s="1026">
        <f>'Effort Estimation'!B491</f>
        <v>0</v>
      </c>
      <c r="C63" s="1027"/>
      <c r="D63" s="279">
        <f>'Effort Estimation'!F491</f>
        <v>0</v>
      </c>
      <c r="E63" s="279">
        <f>'Effort Estimation'!G491</f>
        <v>0</v>
      </c>
      <c r="F63" s="290" t="str">
        <f>'Effort Estimation'!I491</f>
        <v/>
      </c>
      <c r="G63" s="163">
        <f>'Effort Estimation'!M491</f>
        <v>0</v>
      </c>
      <c r="H63" s="163">
        <f>'Effort Estimation'!O491</f>
        <v>0</v>
      </c>
      <c r="I63" s="270">
        <f t="shared" si="14"/>
        <v>0</v>
      </c>
      <c r="J63" s="163">
        <f>'Effort Estimation'!P491</f>
        <v>0</v>
      </c>
      <c r="K63" s="270" t="str">
        <f t="shared" ca="1" si="15"/>
        <v/>
      </c>
      <c r="L63" s="163">
        <f>'Effort Estimation'!Q491</f>
        <v>0</v>
      </c>
      <c r="M63" s="270">
        <f t="shared" ca="1" si="16"/>
        <v>0</v>
      </c>
      <c r="N63" s="163">
        <f t="shared" si="17"/>
        <v>0</v>
      </c>
      <c r="O63" s="270">
        <f t="shared" ca="1" si="18"/>
        <v>0</v>
      </c>
      <c r="P63" s="280">
        <f>'Effort Estimation'!R491</f>
        <v>0</v>
      </c>
      <c r="Q63" s="280" t="str">
        <f t="shared" si="19"/>
        <v/>
      </c>
    </row>
    <row r="64" spans="1:17" s="195" customFormat="1" ht="13.2">
      <c r="A64" s="278">
        <f>'Effort Estimation'!A512</f>
        <v>0</v>
      </c>
      <c r="B64" s="1026">
        <f>'Effort Estimation'!B512</f>
        <v>0</v>
      </c>
      <c r="C64" s="1027"/>
      <c r="D64" s="279">
        <f>'Effort Estimation'!F512</f>
        <v>0</v>
      </c>
      <c r="E64" s="279">
        <f>'Effort Estimation'!G512</f>
        <v>0</v>
      </c>
      <c r="F64" s="290" t="str">
        <f>'Effort Estimation'!I512</f>
        <v/>
      </c>
      <c r="G64" s="163">
        <f>'Effort Estimation'!M512</f>
        <v>0</v>
      </c>
      <c r="H64" s="163">
        <f>'Effort Estimation'!O512</f>
        <v>0</v>
      </c>
      <c r="I64" s="270">
        <f t="shared" si="14"/>
        <v>0</v>
      </c>
      <c r="J64" s="163">
        <f>'Effort Estimation'!P512</f>
        <v>0</v>
      </c>
      <c r="K64" s="270" t="str">
        <f t="shared" ca="1" si="15"/>
        <v/>
      </c>
      <c r="L64" s="163">
        <f>'Effort Estimation'!Q512</f>
        <v>0</v>
      </c>
      <c r="M64" s="270">
        <f t="shared" ca="1" si="16"/>
        <v>0</v>
      </c>
      <c r="N64" s="163">
        <f t="shared" si="17"/>
        <v>0</v>
      </c>
      <c r="O64" s="270">
        <f t="shared" ca="1" si="18"/>
        <v>0</v>
      </c>
      <c r="P64" s="280">
        <f>'Effort Estimation'!R512</f>
        <v>0</v>
      </c>
      <c r="Q64" s="280" t="str">
        <f t="shared" si="19"/>
        <v/>
      </c>
    </row>
    <row r="65" spans="1:17" s="195" customFormat="1" ht="13.2">
      <c r="A65" s="278">
        <f>'Effort Estimation'!A533</f>
        <v>0</v>
      </c>
      <c r="B65" s="1026">
        <f>'Effort Estimation'!B533</f>
        <v>0</v>
      </c>
      <c r="C65" s="1027"/>
      <c r="D65" s="279">
        <f>'Effort Estimation'!F533</f>
        <v>0</v>
      </c>
      <c r="E65" s="279">
        <f>'Effort Estimation'!G533</f>
        <v>0</v>
      </c>
      <c r="F65" s="290" t="str">
        <f>'Effort Estimation'!I533</f>
        <v/>
      </c>
      <c r="G65" s="163">
        <f>'Effort Estimation'!M533</f>
        <v>0</v>
      </c>
      <c r="H65" s="163">
        <f>'Effort Estimation'!O533</f>
        <v>0</v>
      </c>
      <c r="I65" s="270">
        <f t="shared" si="14"/>
        <v>0</v>
      </c>
      <c r="J65" s="163">
        <f>'Effort Estimation'!P533</f>
        <v>0</v>
      </c>
      <c r="K65" s="270" t="str">
        <f t="shared" ca="1" si="15"/>
        <v/>
      </c>
      <c r="L65" s="163">
        <f>'Effort Estimation'!Q533</f>
        <v>0</v>
      </c>
      <c r="M65" s="270">
        <f t="shared" ca="1" si="16"/>
        <v>0</v>
      </c>
      <c r="N65" s="163">
        <f t="shared" si="17"/>
        <v>0</v>
      </c>
      <c r="O65" s="270">
        <f t="shared" ca="1" si="18"/>
        <v>0</v>
      </c>
      <c r="P65" s="280">
        <f>'Effort Estimation'!R533</f>
        <v>0</v>
      </c>
      <c r="Q65" s="280" t="str">
        <f t="shared" si="19"/>
        <v/>
      </c>
    </row>
    <row r="66" spans="1:17" s="195" customFormat="1" ht="13.2">
      <c r="A66" s="278">
        <f>'Effort Estimation'!A554</f>
        <v>0</v>
      </c>
      <c r="B66" s="1026">
        <f>'Effort Estimation'!B554</f>
        <v>0</v>
      </c>
      <c r="C66" s="1027"/>
      <c r="D66" s="279">
        <f>'Effort Estimation'!F554</f>
        <v>0</v>
      </c>
      <c r="E66" s="279">
        <f>'Effort Estimation'!G554</f>
        <v>0</v>
      </c>
      <c r="F66" s="290" t="str">
        <f>'Effort Estimation'!I554</f>
        <v/>
      </c>
      <c r="G66" s="163">
        <f>'Effort Estimation'!M554</f>
        <v>0</v>
      </c>
      <c r="H66" s="163">
        <f>'Effort Estimation'!O554</f>
        <v>0</v>
      </c>
      <c r="I66" s="270">
        <f t="shared" si="14"/>
        <v>0</v>
      </c>
      <c r="J66" s="163">
        <f>'Effort Estimation'!P554</f>
        <v>0</v>
      </c>
      <c r="K66" s="270" t="str">
        <f t="shared" ca="1" si="15"/>
        <v/>
      </c>
      <c r="L66" s="163">
        <f>'Effort Estimation'!Q554</f>
        <v>0</v>
      </c>
      <c r="M66" s="270">
        <f t="shared" ca="1" si="16"/>
        <v>0</v>
      </c>
      <c r="N66" s="163">
        <f t="shared" si="17"/>
        <v>0</v>
      </c>
      <c r="O66" s="270">
        <f t="shared" ca="1" si="18"/>
        <v>0</v>
      </c>
      <c r="P66" s="280">
        <f>'Effort Estimation'!R554</f>
        <v>0</v>
      </c>
      <c r="Q66" s="280" t="str">
        <f t="shared" si="19"/>
        <v/>
      </c>
    </row>
    <row r="67" spans="1:17" s="195" customFormat="1" ht="13.2">
      <c r="A67" s="278">
        <f>'Effort Estimation'!A575</f>
        <v>0</v>
      </c>
      <c r="B67" s="1026">
        <f>'Effort Estimation'!B575</f>
        <v>0</v>
      </c>
      <c r="C67" s="1027"/>
      <c r="D67" s="279">
        <f>'Effort Estimation'!F575</f>
        <v>0</v>
      </c>
      <c r="E67" s="279">
        <f>'Effort Estimation'!G575</f>
        <v>0</v>
      </c>
      <c r="F67" s="290" t="str">
        <f>'Effort Estimation'!I575</f>
        <v/>
      </c>
      <c r="G67" s="163">
        <f>'Effort Estimation'!M575</f>
        <v>0</v>
      </c>
      <c r="H67" s="163">
        <f>'Effort Estimation'!O575</f>
        <v>0</v>
      </c>
      <c r="I67" s="270">
        <f t="shared" si="14"/>
        <v>0</v>
      </c>
      <c r="J67" s="163">
        <f>'Effort Estimation'!P575</f>
        <v>0</v>
      </c>
      <c r="K67" s="270" t="str">
        <f t="shared" ca="1" si="15"/>
        <v/>
      </c>
      <c r="L67" s="163">
        <f>'Effort Estimation'!Q575</f>
        <v>0</v>
      </c>
      <c r="M67" s="270">
        <f t="shared" ca="1" si="16"/>
        <v>0</v>
      </c>
      <c r="N67" s="163">
        <f t="shared" si="17"/>
        <v>0</v>
      </c>
      <c r="O67" s="270">
        <f t="shared" ca="1" si="18"/>
        <v>0</v>
      </c>
      <c r="P67" s="280">
        <f>'Effort Estimation'!R575</f>
        <v>0</v>
      </c>
      <c r="Q67" s="280" t="str">
        <f t="shared" si="19"/>
        <v/>
      </c>
    </row>
    <row r="68" spans="1:17" s="195" customFormat="1" ht="13.2">
      <c r="A68" s="278">
        <f>'Effort Estimation'!A596</f>
        <v>0</v>
      </c>
      <c r="B68" s="1026">
        <f>'Effort Estimation'!B596</f>
        <v>0</v>
      </c>
      <c r="C68" s="1027"/>
      <c r="D68" s="279">
        <f>'Effort Estimation'!F596</f>
        <v>0</v>
      </c>
      <c r="E68" s="279">
        <f>'Effort Estimation'!G596</f>
        <v>0</v>
      </c>
      <c r="F68" s="290" t="str">
        <f>'Effort Estimation'!I596</f>
        <v/>
      </c>
      <c r="G68" s="163">
        <f>'Effort Estimation'!M596</f>
        <v>0</v>
      </c>
      <c r="H68" s="163">
        <f>'Effort Estimation'!O596</f>
        <v>0</v>
      </c>
      <c r="I68" s="270">
        <f t="shared" si="14"/>
        <v>0</v>
      </c>
      <c r="J68" s="163">
        <f>'Effort Estimation'!P596</f>
        <v>0</v>
      </c>
      <c r="K68" s="270" t="str">
        <f t="shared" ca="1" si="15"/>
        <v/>
      </c>
      <c r="L68" s="163">
        <f>'Effort Estimation'!Q596</f>
        <v>0</v>
      </c>
      <c r="M68" s="270">
        <f t="shared" ca="1" si="16"/>
        <v>0</v>
      </c>
      <c r="N68" s="163">
        <f t="shared" si="17"/>
        <v>0</v>
      </c>
      <c r="O68" s="270">
        <f t="shared" ca="1" si="18"/>
        <v>0</v>
      </c>
      <c r="P68" s="280">
        <f>'Effort Estimation'!R596</f>
        <v>0</v>
      </c>
      <c r="Q68" s="280" t="str">
        <f t="shared" si="19"/>
        <v/>
      </c>
    </row>
    <row r="69" spans="1:17" s="195" customFormat="1" ht="13.2">
      <c r="A69" s="278">
        <f>'Effort Estimation'!A617</f>
        <v>0</v>
      </c>
      <c r="B69" s="1026">
        <f>'Effort Estimation'!B617</f>
        <v>0</v>
      </c>
      <c r="C69" s="1027"/>
      <c r="D69" s="279">
        <f>'Effort Estimation'!F617</f>
        <v>0</v>
      </c>
      <c r="E69" s="279">
        <f>'Effort Estimation'!G617</f>
        <v>0</v>
      </c>
      <c r="F69" s="290" t="str">
        <f>'Effort Estimation'!I617</f>
        <v/>
      </c>
      <c r="G69" s="163">
        <f>'Effort Estimation'!M617</f>
        <v>0</v>
      </c>
      <c r="H69" s="163">
        <f>'Effort Estimation'!O617</f>
        <v>0</v>
      </c>
      <c r="I69" s="270">
        <f t="shared" si="14"/>
        <v>0</v>
      </c>
      <c r="J69" s="163">
        <f>'Effort Estimation'!P617</f>
        <v>0</v>
      </c>
      <c r="K69" s="270" t="str">
        <f t="shared" ca="1" si="15"/>
        <v/>
      </c>
      <c r="L69" s="163">
        <f>'Effort Estimation'!Q617</f>
        <v>0</v>
      </c>
      <c r="M69" s="270">
        <f t="shared" ca="1" si="16"/>
        <v>0</v>
      </c>
      <c r="N69" s="163">
        <f t="shared" si="17"/>
        <v>0</v>
      </c>
      <c r="O69" s="270">
        <f t="shared" ca="1" si="18"/>
        <v>0</v>
      </c>
      <c r="P69" s="280">
        <f>'Effort Estimation'!R617</f>
        <v>0</v>
      </c>
      <c r="Q69" s="280" t="str">
        <f t="shared" si="19"/>
        <v/>
      </c>
    </row>
    <row r="70" spans="1:17" s="195" customFormat="1" ht="13.2">
      <c r="A70" s="271" t="s">
        <v>244</v>
      </c>
      <c r="B70" s="281"/>
      <c r="C70" s="281"/>
      <c r="D70" s="272"/>
      <c r="E70" s="272"/>
      <c r="F70" s="282"/>
      <c r="G70" s="275">
        <f>SUM(G40:G69)</f>
        <v>65.833333333333343</v>
      </c>
      <c r="H70" s="275">
        <f>SUM(H40:H69)</f>
        <v>73</v>
      </c>
      <c r="I70" s="277">
        <f>SUM(I40:I69)</f>
        <v>1</v>
      </c>
      <c r="J70" s="275">
        <f t="shared" ref="J70:O70" ca="1" si="20">SUM(J40:J69)</f>
        <v>0</v>
      </c>
      <c r="K70" s="276">
        <f t="shared" ca="1" si="20"/>
        <v>0</v>
      </c>
      <c r="L70" s="275">
        <f t="shared" ca="1" si="20"/>
        <v>93800</v>
      </c>
      <c r="M70" s="276">
        <f t="shared" ca="1" si="20"/>
        <v>1</v>
      </c>
      <c r="N70" s="275">
        <f t="shared" ca="1" si="20"/>
        <v>93800</v>
      </c>
      <c r="O70" s="276">
        <f t="shared" ca="1" si="20"/>
        <v>1</v>
      </c>
      <c r="P70" s="283"/>
      <c r="Q70" s="280"/>
    </row>
  </sheetData>
  <sheetProtection algorithmName="SHA-512" hashValue="sGu0nNcyt8FpAshyeOx/R4j3CjcZoUp95JAf9Nq4Zr38Y0VRjmFfB8ZSy5Otbd+4/Jf+5+RvIlMv7vu7Dn3XMw==" saltValue="4+NujI6y/9gggRP5hkfWYQ==" spinCount="100000" sheet="1" objects="1" scenarios="1" formatCells="0"/>
  <mergeCells count="75">
    <mergeCell ref="P36:P37"/>
    <mergeCell ref="Q38:Q39"/>
    <mergeCell ref="Q36:Q37"/>
    <mergeCell ref="G38:I38"/>
    <mergeCell ref="A37:O37"/>
    <mergeCell ref="A38:A39"/>
    <mergeCell ref="D38:D39"/>
    <mergeCell ref="E38:E39"/>
    <mergeCell ref="F38:F39"/>
    <mergeCell ref="B38:C39"/>
    <mergeCell ref="P38:P39"/>
    <mergeCell ref="J38:O38"/>
    <mergeCell ref="B50:C50"/>
    <mergeCell ref="B51:C51"/>
    <mergeCell ref="B52:C52"/>
    <mergeCell ref="B53:C53"/>
    <mergeCell ref="B54:C54"/>
    <mergeCell ref="B55:C55"/>
    <mergeCell ref="B56:C56"/>
    <mergeCell ref="B57:C57"/>
    <mergeCell ref="B58:C58"/>
    <mergeCell ref="B59:C59"/>
    <mergeCell ref="B69:C69"/>
    <mergeCell ref="B60:C60"/>
    <mergeCell ref="B61:C61"/>
    <mergeCell ref="B62:C62"/>
    <mergeCell ref="B63:C63"/>
    <mergeCell ref="B64:C64"/>
    <mergeCell ref="B65:C65"/>
    <mergeCell ref="B66:C66"/>
    <mergeCell ref="B67:C67"/>
    <mergeCell ref="B68:C68"/>
    <mergeCell ref="B46:C46"/>
    <mergeCell ref="B47:C47"/>
    <mergeCell ref="B48:C48"/>
    <mergeCell ref="B49:C49"/>
    <mergeCell ref="A27:F27"/>
    <mergeCell ref="A28:F28"/>
    <mergeCell ref="A29:F29"/>
    <mergeCell ref="A33:F33"/>
    <mergeCell ref="A34:F34"/>
    <mergeCell ref="B40:C40"/>
    <mergeCell ref="B41:C41"/>
    <mergeCell ref="B42:C42"/>
    <mergeCell ref="B43:C43"/>
    <mergeCell ref="B44:C44"/>
    <mergeCell ref="B45:C45"/>
    <mergeCell ref="A30:F30"/>
    <mergeCell ref="A31:F31"/>
    <mergeCell ref="A32:F32"/>
    <mergeCell ref="I22:N22"/>
    <mergeCell ref="A24:F24"/>
    <mergeCell ref="A25:F25"/>
    <mergeCell ref="A26:F26"/>
    <mergeCell ref="A1:E1"/>
    <mergeCell ref="A2:E2"/>
    <mergeCell ref="G6:H6"/>
    <mergeCell ref="I6:N6"/>
    <mergeCell ref="A6:A7"/>
    <mergeCell ref="B6:D7"/>
    <mergeCell ref="A5:N5"/>
    <mergeCell ref="E6:F6"/>
    <mergeCell ref="A21:N21"/>
    <mergeCell ref="A22:F23"/>
    <mergeCell ref="G22:H22"/>
    <mergeCell ref="B8:D8"/>
    <mergeCell ref="B9:D9"/>
    <mergeCell ref="B15:D15"/>
    <mergeCell ref="B16:D16"/>
    <mergeCell ref="B17:D17"/>
    <mergeCell ref="B10:D10"/>
    <mergeCell ref="B11:D11"/>
    <mergeCell ref="B12:D12"/>
    <mergeCell ref="B13:D13"/>
    <mergeCell ref="B14:D14"/>
  </mergeCells>
  <conditionalFormatting sqref="A40:O69">
    <cfRule type="expression" dxfId="95" priority="1">
      <formula>$G40:$G69&lt;&gt;$H40:$H69</formula>
    </cfRule>
  </conditionalFormatting>
  <printOptions horizontalCentered="1"/>
  <pageMargins left="0.31496062992125984" right="0.31496062992125984" top="0.39370078740157483" bottom="0.39370078740157483" header="0.31496062992125984" footer="0.31496062992125984"/>
  <pageSetup paperSize="9" scale="57" orientation="landscape" r:id="rId1"/>
  <customProperties>
    <customPr name="Guid" r:id="rId2"/>
  </customProperties>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theme="9"/>
    <pageSetUpPr fitToPage="1"/>
  </sheetPr>
  <dimension ref="A1:T66"/>
  <sheetViews>
    <sheetView zoomScale="95" zoomScaleNormal="95" workbookViewId="0">
      <selection activeCell="M11" sqref="M11"/>
    </sheetView>
  </sheetViews>
  <sheetFormatPr defaultColWidth="11.44140625" defaultRowHeight="13.2"/>
  <cols>
    <col min="1" max="5" width="11.44140625" style="195" customWidth="1"/>
    <col min="6" max="6" width="12" style="195" customWidth="1"/>
    <col min="7" max="7" width="12.109375" style="195" customWidth="1"/>
    <col min="8" max="8" width="13.6640625" style="195" customWidth="1"/>
    <col min="9" max="9" width="17.6640625" style="195" bestFit="1" customWidth="1"/>
    <col min="10" max="10" width="13.88671875" style="195" bestFit="1" customWidth="1"/>
    <col min="11" max="11" width="12.109375" style="195" customWidth="1"/>
    <col min="12" max="12" width="15.109375" style="195" customWidth="1"/>
    <col min="13" max="13" width="11.44140625" style="195" customWidth="1"/>
    <col min="14" max="14" width="13.44140625" style="195" customWidth="1"/>
    <col min="15" max="16384" width="11.44140625" style="195"/>
  </cols>
  <sheetData>
    <row r="1" spans="1:20"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0"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54" t="s">
        <v>1501</v>
      </c>
      <c r="I3" s="126"/>
      <c r="J3" s="126"/>
      <c r="K3" s="126"/>
      <c r="L3" s="126"/>
      <c r="M3" s="126"/>
      <c r="N3" s="126"/>
      <c r="O3" s="126"/>
      <c r="P3" s="126"/>
      <c r="Q3" s="126"/>
      <c r="R3" s="126"/>
      <c r="S3" s="126"/>
      <c r="T3" s="126"/>
    </row>
    <row r="4" spans="1:20" s="153" customFormat="1" ht="15" customHeight="1" thickBot="1">
      <c r="A4" s="126"/>
      <c r="B4" s="126"/>
      <c r="C4" s="126"/>
      <c r="D4" s="126"/>
      <c r="E4" s="126"/>
      <c r="F4" s="126"/>
      <c r="G4" s="126"/>
      <c r="H4" s="126"/>
      <c r="I4" s="126"/>
      <c r="J4" s="126"/>
      <c r="K4" s="126"/>
      <c r="L4" s="126"/>
      <c r="M4" s="126"/>
      <c r="N4" s="126"/>
      <c r="O4" s="126"/>
      <c r="P4" s="126"/>
      <c r="Q4" s="126"/>
      <c r="R4" s="126"/>
      <c r="S4" s="126"/>
      <c r="T4" s="126"/>
    </row>
    <row r="5" spans="1:20" ht="16.2" thickBot="1">
      <c r="A5" s="1043" t="s">
        <v>405</v>
      </c>
      <c r="B5" s="1044"/>
      <c r="C5" s="1044"/>
      <c r="D5" s="1044"/>
      <c r="E5" s="1044"/>
      <c r="F5" s="1045"/>
      <c r="G5" s="1043" t="s">
        <v>406</v>
      </c>
      <c r="H5" s="1044"/>
      <c r="I5" s="1044"/>
      <c r="J5" s="1044"/>
      <c r="K5" s="1044"/>
      <c r="L5" s="1044"/>
      <c r="M5" s="1044"/>
      <c r="N5" s="1045"/>
      <c r="O5" s="197"/>
      <c r="P5" s="197"/>
      <c r="Q5" s="197"/>
      <c r="R5" s="197"/>
      <c r="S5" s="197"/>
      <c r="T5" s="197"/>
    </row>
    <row r="6" spans="1:20" s="311" customFormat="1" ht="39" customHeight="1">
      <c r="A6" s="1040" t="s">
        <v>407</v>
      </c>
      <c r="B6" s="1013"/>
      <c r="C6" s="1013"/>
      <c r="D6" s="306" t="s">
        <v>408</v>
      </c>
      <c r="E6" s="306" t="s">
        <v>990</v>
      </c>
      <c r="F6" s="307" t="s">
        <v>409</v>
      </c>
      <c r="G6" s="308" t="s">
        <v>410</v>
      </c>
      <c r="H6" s="309" t="str">
        <f>IF(COUNTIF(H7:H36,TMDPhaseTimeAndMaterial)&gt;0,"T&amp;M","")</f>
        <v/>
      </c>
      <c r="I6" s="310" t="s">
        <v>411</v>
      </c>
      <c r="J6" s="310"/>
      <c r="K6" s="848" t="s">
        <v>412</v>
      </c>
      <c r="L6" s="1013"/>
      <c r="M6" s="1013"/>
      <c r="N6" s="1058"/>
      <c r="O6" s="197"/>
      <c r="P6" s="197"/>
      <c r="Q6" s="197"/>
      <c r="R6" s="197"/>
      <c r="S6" s="197"/>
      <c r="T6" s="197"/>
    </row>
    <row r="7" spans="1:20" ht="15.75" customHeight="1">
      <c r="A7" s="312" t="str">
        <f t="array" ref="A7:A36">ESPSPTitle</f>
        <v>GEFI Migration</v>
      </c>
      <c r="B7" s="313"/>
      <c r="C7" s="313"/>
      <c r="D7" s="314">
        <f t="array" ref="D7:D36">ESPSPEffort</f>
        <v>73</v>
      </c>
      <c r="E7" s="314" t="str">
        <f t="array" ref="E7:E36">ESPSPManualCorrected</f>
        <v>x</v>
      </c>
      <c r="F7" s="315">
        <f t="array" ref="F7:F36" ca="1">ESPSPInternalCost</f>
        <v>0</v>
      </c>
      <c r="G7" s="291" t="str">
        <f ca="1">IF(F7&lt;&gt;0,I7/F7-1,"")</f>
        <v/>
      </c>
      <c r="H7" s="316" t="str">
        <f t="array" ref="H7:H36">ESPSPTandM</f>
        <v/>
      </c>
      <c r="I7" s="317">
        <f t="array" ref="I7:I36" ca="1">ESPSPExternalPrice</f>
        <v>93800</v>
      </c>
      <c r="J7" s="318"/>
      <c r="K7" s="1050" t="s">
        <v>1502</v>
      </c>
      <c r="L7" s="1051"/>
      <c r="M7" s="292"/>
      <c r="N7" s="319">
        <f t="shared" ref="N7:N13" ca="1" si="0">IF($M$14&lt;&gt;0,M7/$M$14,"")</f>
        <v>0</v>
      </c>
      <c r="O7" s="197"/>
      <c r="P7" s="197"/>
      <c r="Q7" s="197"/>
      <c r="R7" s="197"/>
      <c r="S7" s="197"/>
      <c r="T7" s="197"/>
    </row>
    <row r="8" spans="1:20" ht="15.75" customHeight="1">
      <c r="A8" s="320">
        <v>0</v>
      </c>
      <c r="B8" s="321"/>
      <c r="C8" s="321"/>
      <c r="D8" s="322">
        <v>0</v>
      </c>
      <c r="E8" s="322" t="str">
        <v/>
      </c>
      <c r="F8" s="323">
        <v>0</v>
      </c>
      <c r="G8" s="293" t="str">
        <f t="shared" ref="G8:G36" si="1">IF(F8&lt;&gt;0,I8/F8-1,"")</f>
        <v/>
      </c>
      <c r="H8" s="324" t="str">
        <v/>
      </c>
      <c r="I8" s="325">
        <v>0</v>
      </c>
      <c r="J8" s="318"/>
      <c r="K8" s="1050" t="s">
        <v>413</v>
      </c>
      <c r="L8" s="1051"/>
      <c r="M8" s="326">
        <f ca="1">I37</f>
        <v>93800</v>
      </c>
      <c r="N8" s="319">
        <f t="shared" ca="1" si="0"/>
        <v>1</v>
      </c>
      <c r="O8" s="197"/>
      <c r="P8" s="197"/>
      <c r="Q8" s="197"/>
      <c r="R8" s="197"/>
      <c r="S8" s="197"/>
      <c r="T8" s="197"/>
    </row>
    <row r="9" spans="1:20" ht="15.75" customHeight="1">
      <c r="A9" s="320">
        <v>0</v>
      </c>
      <c r="B9" s="321"/>
      <c r="C9" s="321"/>
      <c r="D9" s="322">
        <v>0</v>
      </c>
      <c r="E9" s="322" t="str">
        <v/>
      </c>
      <c r="F9" s="323">
        <v>0</v>
      </c>
      <c r="G9" s="293" t="str">
        <f t="shared" si="1"/>
        <v/>
      </c>
      <c r="H9" s="324" t="str">
        <v/>
      </c>
      <c r="I9" s="325">
        <v>0</v>
      </c>
      <c r="J9" s="318"/>
      <c r="K9" s="1050" t="s">
        <v>414</v>
      </c>
      <c r="L9" s="1051"/>
      <c r="M9" s="326">
        <f>I49</f>
        <v>0</v>
      </c>
      <c r="N9" s="319">
        <f t="shared" ca="1" si="0"/>
        <v>0</v>
      </c>
      <c r="O9" s="197"/>
      <c r="P9" s="197"/>
      <c r="Q9" s="197"/>
      <c r="R9" s="197"/>
      <c r="S9" s="197"/>
      <c r="T9" s="197"/>
    </row>
    <row r="10" spans="1:20" ht="15.75" customHeight="1">
      <c r="A10" s="320">
        <v>0</v>
      </c>
      <c r="B10" s="321"/>
      <c r="C10" s="321"/>
      <c r="D10" s="322">
        <v>0</v>
      </c>
      <c r="E10" s="322" t="str">
        <v/>
      </c>
      <c r="F10" s="323">
        <v>0</v>
      </c>
      <c r="G10" s="293" t="str">
        <f t="shared" si="1"/>
        <v/>
      </c>
      <c r="H10" s="324" t="str">
        <v/>
      </c>
      <c r="I10" s="325">
        <v>0</v>
      </c>
      <c r="J10" s="318"/>
      <c r="K10" s="1050" t="s">
        <v>415</v>
      </c>
      <c r="L10" s="1051"/>
      <c r="M10" s="292">
        <f>RLLossAmountWeighted</f>
        <v>0</v>
      </c>
      <c r="N10" s="319">
        <f t="shared" ca="1" si="0"/>
        <v>0</v>
      </c>
      <c r="O10" s="197"/>
      <c r="P10" s="197"/>
      <c r="Q10" s="197"/>
      <c r="R10" s="197"/>
      <c r="S10" s="197"/>
      <c r="T10" s="197"/>
    </row>
    <row r="11" spans="1:20" ht="15.75" customHeight="1">
      <c r="A11" s="320">
        <v>0</v>
      </c>
      <c r="B11" s="321"/>
      <c r="C11" s="321"/>
      <c r="D11" s="322">
        <v>0</v>
      </c>
      <c r="E11" s="322" t="str">
        <v/>
      </c>
      <c r="F11" s="323">
        <v>0</v>
      </c>
      <c r="G11" s="293" t="str">
        <f t="shared" si="1"/>
        <v/>
      </c>
      <c r="H11" s="324" t="str">
        <v/>
      </c>
      <c r="I11" s="325">
        <v>0</v>
      </c>
      <c r="J11" s="318"/>
      <c r="K11" s="1050" t="s">
        <v>983</v>
      </c>
      <c r="L11" s="1051"/>
      <c r="M11" s="292"/>
      <c r="N11" s="319">
        <f t="shared" ca="1" si="0"/>
        <v>0</v>
      </c>
      <c r="O11" s="197"/>
      <c r="P11" s="197"/>
      <c r="Q11" s="197"/>
      <c r="R11" s="197"/>
      <c r="S11" s="197"/>
      <c r="T11" s="197"/>
    </row>
    <row r="12" spans="1:20" ht="15.75" customHeight="1">
      <c r="A12" s="320">
        <v>0</v>
      </c>
      <c r="B12" s="321"/>
      <c r="C12" s="321"/>
      <c r="D12" s="322">
        <v>0</v>
      </c>
      <c r="E12" s="322" t="str">
        <v/>
      </c>
      <c r="F12" s="323">
        <v>0</v>
      </c>
      <c r="G12" s="293" t="str">
        <f t="shared" si="1"/>
        <v/>
      </c>
      <c r="H12" s="324" t="str">
        <v/>
      </c>
      <c r="I12" s="325">
        <v>0</v>
      </c>
      <c r="J12" s="318"/>
      <c r="K12" s="1052"/>
      <c r="L12" s="1053"/>
      <c r="M12" s="292"/>
      <c r="N12" s="319">
        <f t="shared" ca="1" si="0"/>
        <v>0</v>
      </c>
      <c r="O12" s="197"/>
      <c r="P12" s="197"/>
      <c r="Q12" s="197"/>
      <c r="R12" s="197"/>
      <c r="S12" s="197"/>
      <c r="T12" s="197"/>
    </row>
    <row r="13" spans="1:20" ht="15.75" customHeight="1">
      <c r="A13" s="320">
        <v>0</v>
      </c>
      <c r="B13" s="321"/>
      <c r="C13" s="321"/>
      <c r="D13" s="322">
        <v>0</v>
      </c>
      <c r="E13" s="322" t="str">
        <v/>
      </c>
      <c r="F13" s="323">
        <v>0</v>
      </c>
      <c r="G13" s="293" t="str">
        <f t="shared" si="1"/>
        <v/>
      </c>
      <c r="H13" s="324" t="str">
        <v/>
      </c>
      <c r="I13" s="325">
        <v>0</v>
      </c>
      <c r="J13" s="318"/>
      <c r="K13" s="1052"/>
      <c r="L13" s="1053"/>
      <c r="M13" s="292"/>
      <c r="N13" s="319">
        <f t="shared" ca="1" si="0"/>
        <v>0</v>
      </c>
      <c r="O13" s="197"/>
      <c r="P13" s="197"/>
      <c r="Q13" s="197"/>
      <c r="R13" s="197"/>
      <c r="S13" s="197"/>
      <c r="T13" s="197"/>
    </row>
    <row r="14" spans="1:20" ht="15.75" customHeight="1">
      <c r="A14" s="320">
        <v>0</v>
      </c>
      <c r="B14" s="321"/>
      <c r="C14" s="321"/>
      <c r="D14" s="322">
        <v>0</v>
      </c>
      <c r="E14" s="322" t="str">
        <v/>
      </c>
      <c r="F14" s="323">
        <v>0</v>
      </c>
      <c r="G14" s="293" t="str">
        <f t="shared" si="1"/>
        <v/>
      </c>
      <c r="H14" s="324" t="str">
        <v/>
      </c>
      <c r="I14" s="325">
        <v>0</v>
      </c>
      <c r="J14" s="318"/>
      <c r="K14" s="1054" t="s">
        <v>959</v>
      </c>
      <c r="L14" s="1055"/>
      <c r="M14" s="327">
        <f ca="1">SUM(M7:M13)</f>
        <v>93800</v>
      </c>
      <c r="N14" s="328">
        <f ca="1">SUM(N7:N13)</f>
        <v>1</v>
      </c>
      <c r="O14" s="197"/>
      <c r="P14" s="197"/>
      <c r="Q14" s="197"/>
      <c r="R14" s="197"/>
      <c r="S14" s="197"/>
      <c r="T14" s="197"/>
    </row>
    <row r="15" spans="1:20" ht="15.75" customHeight="1">
      <c r="A15" s="320">
        <v>0</v>
      </c>
      <c r="B15" s="321"/>
      <c r="C15" s="321"/>
      <c r="D15" s="322">
        <v>0</v>
      </c>
      <c r="E15" s="322" t="str">
        <v/>
      </c>
      <c r="F15" s="323">
        <v>0</v>
      </c>
      <c r="G15" s="293" t="str">
        <f t="shared" si="1"/>
        <v/>
      </c>
      <c r="H15" s="324" t="str">
        <v/>
      </c>
      <c r="I15" s="325">
        <v>0</v>
      </c>
      <c r="J15" s="318"/>
      <c r="K15" s="329"/>
      <c r="L15" s="326"/>
      <c r="M15" s="318"/>
      <c r="N15" s="323"/>
      <c r="O15" s="197"/>
      <c r="P15" s="197"/>
      <c r="Q15" s="197"/>
      <c r="R15" s="197"/>
      <c r="S15" s="197"/>
      <c r="T15" s="197"/>
    </row>
    <row r="16" spans="1:20" ht="15" customHeight="1">
      <c r="A16" s="320">
        <v>0</v>
      </c>
      <c r="B16" s="321"/>
      <c r="C16" s="321"/>
      <c r="D16" s="322">
        <v>0</v>
      </c>
      <c r="E16" s="322" t="str">
        <v/>
      </c>
      <c r="F16" s="323">
        <v>0</v>
      </c>
      <c r="G16" s="293" t="str">
        <f t="shared" si="1"/>
        <v/>
      </c>
      <c r="H16" s="324" t="str">
        <v/>
      </c>
      <c r="I16" s="325">
        <v>0</v>
      </c>
      <c r="J16" s="318"/>
      <c r="K16" s="329"/>
      <c r="L16" s="326"/>
      <c r="M16" s="318"/>
      <c r="N16" s="323"/>
      <c r="O16" s="197"/>
      <c r="P16" s="197"/>
      <c r="Q16" s="197"/>
      <c r="R16" s="197"/>
      <c r="S16" s="197"/>
      <c r="T16" s="197"/>
    </row>
    <row r="17" spans="1:20" ht="15" customHeight="1">
      <c r="A17" s="320">
        <v>0</v>
      </c>
      <c r="B17" s="321"/>
      <c r="C17" s="321"/>
      <c r="D17" s="322">
        <v>0</v>
      </c>
      <c r="E17" s="322" t="str">
        <v/>
      </c>
      <c r="F17" s="323">
        <v>0</v>
      </c>
      <c r="G17" s="293" t="str">
        <f t="shared" si="1"/>
        <v/>
      </c>
      <c r="H17" s="324" t="str">
        <v/>
      </c>
      <c r="I17" s="325">
        <v>0</v>
      </c>
      <c r="J17" s="318"/>
      <c r="K17" s="1059" t="s">
        <v>416</v>
      </c>
      <c r="L17" s="1060"/>
      <c r="M17" s="1060"/>
      <c r="N17" s="1061"/>
      <c r="O17" s="197"/>
      <c r="P17" s="197"/>
      <c r="Q17" s="197"/>
      <c r="R17" s="197"/>
      <c r="S17" s="197"/>
      <c r="T17" s="197"/>
    </row>
    <row r="18" spans="1:20">
      <c r="A18" s="320">
        <v>0</v>
      </c>
      <c r="B18" s="321"/>
      <c r="C18" s="321"/>
      <c r="D18" s="322">
        <v>0</v>
      </c>
      <c r="E18" s="322" t="str">
        <v/>
      </c>
      <c r="F18" s="323">
        <v>0</v>
      </c>
      <c r="G18" s="293" t="str">
        <f t="shared" si="1"/>
        <v/>
      </c>
      <c r="H18" s="324" t="str">
        <v/>
      </c>
      <c r="I18" s="325">
        <v>0</v>
      </c>
      <c r="J18" s="318"/>
      <c r="K18" s="330"/>
      <c r="L18" s="331"/>
      <c r="M18" s="331"/>
      <c r="N18" s="315"/>
      <c r="O18" s="197"/>
      <c r="P18" s="197"/>
      <c r="Q18" s="197"/>
      <c r="R18" s="197"/>
      <c r="S18" s="197"/>
      <c r="T18" s="197"/>
    </row>
    <row r="19" spans="1:20" s="197" customFormat="1">
      <c r="A19" s="320">
        <v>0</v>
      </c>
      <c r="B19" s="321"/>
      <c r="C19" s="321"/>
      <c r="D19" s="322">
        <v>0</v>
      </c>
      <c r="E19" s="322" t="str">
        <v/>
      </c>
      <c r="F19" s="323">
        <v>0</v>
      </c>
      <c r="G19" s="293" t="str">
        <f t="shared" si="1"/>
        <v/>
      </c>
      <c r="H19" s="324" t="str">
        <v/>
      </c>
      <c r="I19" s="325">
        <v>0</v>
      </c>
      <c r="J19" s="318"/>
      <c r="K19" s="1056" t="s">
        <v>1010</v>
      </c>
      <c r="L19" s="1057"/>
      <c r="M19" s="292"/>
      <c r="N19" s="319"/>
    </row>
    <row r="20" spans="1:20" s="197" customFormat="1" ht="12.75" customHeight="1" thickBot="1">
      <c r="A20" s="320">
        <v>0</v>
      </c>
      <c r="B20" s="321"/>
      <c r="C20" s="321"/>
      <c r="D20" s="322">
        <v>0</v>
      </c>
      <c r="E20" s="322" t="str">
        <v/>
      </c>
      <c r="F20" s="323">
        <v>0</v>
      </c>
      <c r="G20" s="293" t="str">
        <f t="shared" si="1"/>
        <v/>
      </c>
      <c r="H20" s="324" t="str">
        <v/>
      </c>
      <c r="I20" s="325">
        <v>0</v>
      </c>
      <c r="J20" s="318"/>
      <c r="K20" s="1056"/>
      <c r="L20" s="1057"/>
      <c r="M20" s="318"/>
      <c r="N20" s="323"/>
    </row>
    <row r="21" spans="1:20" s="197" customFormat="1" ht="13.8" thickBot="1">
      <c r="A21" s="320">
        <v>0</v>
      </c>
      <c r="B21" s="321"/>
      <c r="C21" s="321"/>
      <c r="D21" s="322">
        <v>0</v>
      </c>
      <c r="E21" s="322" t="str">
        <v/>
      </c>
      <c r="F21" s="323">
        <v>0</v>
      </c>
      <c r="G21" s="293" t="str">
        <f t="shared" si="1"/>
        <v/>
      </c>
      <c r="H21" s="324" t="str">
        <v/>
      </c>
      <c r="I21" s="325">
        <v>0</v>
      </c>
      <c r="J21" s="318"/>
      <c r="K21" s="1048" t="s">
        <v>417</v>
      </c>
      <c r="L21" s="1049"/>
      <c r="M21" s="1046">
        <f ca="1">M14+PCAdditionalMargin</f>
        <v>93800</v>
      </c>
      <c r="N21" s="1047"/>
      <c r="O21" s="332"/>
    </row>
    <row r="22" spans="1:20" s="197" customFormat="1">
      <c r="A22" s="320">
        <v>0</v>
      </c>
      <c r="B22" s="321"/>
      <c r="C22" s="321"/>
      <c r="D22" s="322">
        <v>0</v>
      </c>
      <c r="E22" s="322" t="str">
        <v/>
      </c>
      <c r="F22" s="323">
        <v>0</v>
      </c>
      <c r="G22" s="293" t="str">
        <f t="shared" si="1"/>
        <v/>
      </c>
      <c r="H22" s="324" t="str">
        <v/>
      </c>
      <c r="I22" s="325">
        <v>0</v>
      </c>
      <c r="J22" s="318"/>
      <c r="K22" s="783"/>
      <c r="L22" s="784"/>
      <c r="M22" s="318"/>
      <c r="N22" s="323"/>
    </row>
    <row r="23" spans="1:20" s="197" customFormat="1">
      <c r="A23" s="320">
        <v>0</v>
      </c>
      <c r="B23" s="321"/>
      <c r="C23" s="321"/>
      <c r="D23" s="322">
        <v>0</v>
      </c>
      <c r="E23" s="322" t="str">
        <v/>
      </c>
      <c r="F23" s="323">
        <v>0</v>
      </c>
      <c r="G23" s="293" t="str">
        <f t="shared" si="1"/>
        <v/>
      </c>
      <c r="H23" s="324" t="str">
        <v/>
      </c>
      <c r="I23" s="325">
        <v>0</v>
      </c>
      <c r="J23" s="318"/>
      <c r="K23" s="783"/>
      <c r="L23" s="784"/>
      <c r="M23" s="318"/>
      <c r="N23" s="323"/>
    </row>
    <row r="24" spans="1:20" s="197" customFormat="1">
      <c r="A24" s="320">
        <v>0</v>
      </c>
      <c r="B24" s="321"/>
      <c r="C24" s="321"/>
      <c r="D24" s="322">
        <v>0</v>
      </c>
      <c r="E24" s="322" t="str">
        <v/>
      </c>
      <c r="F24" s="323">
        <v>0</v>
      </c>
      <c r="G24" s="293" t="str">
        <f t="shared" si="1"/>
        <v/>
      </c>
      <c r="H24" s="324" t="str">
        <v/>
      </c>
      <c r="I24" s="325">
        <v>0</v>
      </c>
      <c r="J24" s="318"/>
      <c r="K24" s="1059" t="s">
        <v>418</v>
      </c>
      <c r="L24" s="1060"/>
      <c r="M24" s="1060"/>
      <c r="N24" s="1061"/>
    </row>
    <row r="25" spans="1:20" s="197" customFormat="1">
      <c r="A25" s="320">
        <v>0</v>
      </c>
      <c r="B25" s="321"/>
      <c r="C25" s="321"/>
      <c r="D25" s="322">
        <v>0</v>
      </c>
      <c r="E25" s="322" t="str">
        <v/>
      </c>
      <c r="F25" s="323">
        <v>0</v>
      </c>
      <c r="G25" s="293" t="str">
        <f t="shared" si="1"/>
        <v/>
      </c>
      <c r="H25" s="324" t="str">
        <v/>
      </c>
      <c r="I25" s="325">
        <v>0</v>
      </c>
      <c r="J25" s="318"/>
      <c r="K25" s="330"/>
      <c r="L25" s="331"/>
      <c r="M25" s="331"/>
      <c r="N25" s="333"/>
    </row>
    <row r="26" spans="1:20" s="197" customFormat="1">
      <c r="A26" s="320">
        <v>0</v>
      </c>
      <c r="B26" s="321"/>
      <c r="C26" s="321"/>
      <c r="D26" s="322">
        <v>0</v>
      </c>
      <c r="E26" s="322" t="str">
        <v/>
      </c>
      <c r="F26" s="323">
        <v>0</v>
      </c>
      <c r="G26" s="293" t="str">
        <f t="shared" si="1"/>
        <v/>
      </c>
      <c r="H26" s="324" t="str">
        <v/>
      </c>
      <c r="I26" s="325">
        <v>0</v>
      </c>
      <c r="J26" s="318"/>
      <c r="K26" s="1056" t="s">
        <v>419</v>
      </c>
      <c r="L26" s="1057"/>
      <c r="M26" s="1057"/>
      <c r="N26" s="323">
        <f ca="1">PCCostActivityType+PCCostComponents+PCCostOfSales</f>
        <v>0</v>
      </c>
    </row>
    <row r="27" spans="1:20" s="197" customFormat="1">
      <c r="A27" s="320">
        <v>0</v>
      </c>
      <c r="B27" s="321"/>
      <c r="C27" s="321"/>
      <c r="D27" s="322">
        <v>0</v>
      </c>
      <c r="E27" s="322" t="str">
        <v/>
      </c>
      <c r="F27" s="784">
        <v>0</v>
      </c>
      <c r="G27" s="293" t="str">
        <f t="shared" si="1"/>
        <v/>
      </c>
      <c r="H27" s="324" t="str">
        <v/>
      </c>
      <c r="I27" s="325">
        <v>0</v>
      </c>
      <c r="J27" s="318"/>
      <c r="K27" s="1056" t="s">
        <v>420</v>
      </c>
      <c r="L27" s="1057"/>
      <c r="M27" s="1057"/>
      <c r="N27" s="323">
        <f ca="1">PCPriceOffered</f>
        <v>93800</v>
      </c>
    </row>
    <row r="28" spans="1:20" s="197" customFormat="1">
      <c r="A28" s="320">
        <v>0</v>
      </c>
      <c r="B28" s="321"/>
      <c r="C28" s="321"/>
      <c r="D28" s="322">
        <v>0</v>
      </c>
      <c r="E28" s="322" t="str">
        <v/>
      </c>
      <c r="F28" s="323">
        <v>0</v>
      </c>
      <c r="G28" s="293" t="str">
        <f t="shared" si="1"/>
        <v/>
      </c>
      <c r="H28" s="324" t="str">
        <v/>
      </c>
      <c r="I28" s="325">
        <v>0</v>
      </c>
      <c r="J28" s="318"/>
      <c r="K28" s="334"/>
      <c r="L28" s="318"/>
      <c r="M28" s="318"/>
      <c r="N28" s="335"/>
    </row>
    <row r="29" spans="1:20" s="197" customFormat="1">
      <c r="A29" s="320">
        <v>0</v>
      </c>
      <c r="B29" s="321"/>
      <c r="C29" s="321"/>
      <c r="D29" s="322">
        <v>0</v>
      </c>
      <c r="E29" s="322" t="str">
        <v/>
      </c>
      <c r="F29" s="323">
        <v>0</v>
      </c>
      <c r="G29" s="293" t="str">
        <f t="shared" si="1"/>
        <v/>
      </c>
      <c r="H29" s="324" t="str">
        <v/>
      </c>
      <c r="I29" s="325">
        <v>0</v>
      </c>
      <c r="J29" s="318"/>
      <c r="K29" s="1072" t="s">
        <v>421</v>
      </c>
      <c r="L29" s="1073"/>
      <c r="M29" s="336">
        <f ca="1">N27-N26</f>
        <v>93800</v>
      </c>
      <c r="N29" s="337">
        <f ca="1">IF(N27&lt;&gt;0,M29/N27,0)</f>
        <v>1</v>
      </c>
    </row>
    <row r="30" spans="1:20" s="197" customFormat="1">
      <c r="A30" s="320">
        <v>0</v>
      </c>
      <c r="B30" s="321"/>
      <c r="C30" s="321"/>
      <c r="D30" s="322">
        <v>0</v>
      </c>
      <c r="E30" s="322" t="str">
        <v/>
      </c>
      <c r="F30" s="323">
        <v>0</v>
      </c>
      <c r="G30" s="293" t="str">
        <f t="shared" si="1"/>
        <v/>
      </c>
      <c r="H30" s="324" t="str">
        <v/>
      </c>
      <c r="I30" s="325">
        <v>0</v>
      </c>
      <c r="J30" s="318"/>
      <c r="K30" s="338"/>
      <c r="L30" s="338"/>
      <c r="M30" s="338"/>
      <c r="N30" s="339"/>
    </row>
    <row r="31" spans="1:20" s="197" customFormat="1">
      <c r="A31" s="320">
        <v>0</v>
      </c>
      <c r="B31" s="321"/>
      <c r="C31" s="321"/>
      <c r="D31" s="322">
        <v>0</v>
      </c>
      <c r="E31" s="322" t="str">
        <v/>
      </c>
      <c r="F31" s="323">
        <v>0</v>
      </c>
      <c r="G31" s="293" t="str">
        <f t="shared" si="1"/>
        <v/>
      </c>
      <c r="H31" s="324" t="str">
        <v/>
      </c>
      <c r="I31" s="325">
        <v>0</v>
      </c>
      <c r="J31" s="318"/>
      <c r="K31" s="338"/>
      <c r="L31" s="338"/>
      <c r="M31" s="338"/>
      <c r="N31" s="339"/>
    </row>
    <row r="32" spans="1:20" s="197" customFormat="1">
      <c r="A32" s="320">
        <v>0</v>
      </c>
      <c r="B32" s="321"/>
      <c r="C32" s="321"/>
      <c r="D32" s="322">
        <v>0</v>
      </c>
      <c r="E32" s="322" t="str">
        <v/>
      </c>
      <c r="F32" s="323">
        <v>0</v>
      </c>
      <c r="G32" s="293" t="str">
        <f t="shared" si="1"/>
        <v/>
      </c>
      <c r="H32" s="324" t="str">
        <v/>
      </c>
      <c r="I32" s="325">
        <v>0</v>
      </c>
      <c r="J32" s="318"/>
      <c r="K32" s="338"/>
      <c r="L32" s="338"/>
      <c r="M32" s="338"/>
      <c r="N32" s="339"/>
    </row>
    <row r="33" spans="1:20" s="197" customFormat="1">
      <c r="A33" s="320">
        <v>0</v>
      </c>
      <c r="B33" s="321"/>
      <c r="C33" s="321"/>
      <c r="D33" s="322">
        <v>0</v>
      </c>
      <c r="E33" s="322" t="str">
        <v/>
      </c>
      <c r="F33" s="323">
        <v>0</v>
      </c>
      <c r="G33" s="293" t="str">
        <f t="shared" si="1"/>
        <v/>
      </c>
      <c r="H33" s="324" t="str">
        <v/>
      </c>
      <c r="I33" s="325">
        <v>0</v>
      </c>
      <c r="J33" s="318"/>
      <c r="K33" s="338"/>
      <c r="L33" s="338"/>
      <c r="M33" s="338"/>
      <c r="N33" s="339"/>
    </row>
    <row r="34" spans="1:20" s="197" customFormat="1">
      <c r="A34" s="320">
        <v>0</v>
      </c>
      <c r="B34" s="321"/>
      <c r="C34" s="321"/>
      <c r="D34" s="322">
        <v>0</v>
      </c>
      <c r="E34" s="322" t="str">
        <v/>
      </c>
      <c r="F34" s="323">
        <v>0</v>
      </c>
      <c r="G34" s="293" t="str">
        <f t="shared" si="1"/>
        <v/>
      </c>
      <c r="H34" s="324" t="str">
        <v/>
      </c>
      <c r="I34" s="325">
        <v>0</v>
      </c>
      <c r="J34" s="318"/>
      <c r="K34" s="338"/>
      <c r="L34" s="338"/>
      <c r="M34" s="784"/>
      <c r="N34" s="339"/>
    </row>
    <row r="35" spans="1:20" s="197" customFormat="1">
      <c r="A35" s="320">
        <v>0</v>
      </c>
      <c r="B35" s="321"/>
      <c r="C35" s="321"/>
      <c r="D35" s="322">
        <v>0</v>
      </c>
      <c r="E35" s="322" t="str">
        <v/>
      </c>
      <c r="F35" s="323">
        <v>0</v>
      </c>
      <c r="G35" s="293" t="str">
        <f t="shared" si="1"/>
        <v/>
      </c>
      <c r="H35" s="324" t="str">
        <v/>
      </c>
      <c r="I35" s="325">
        <v>0</v>
      </c>
      <c r="J35" s="338"/>
      <c r="K35" s="338"/>
      <c r="L35" s="338"/>
      <c r="M35" s="784"/>
      <c r="N35" s="339"/>
    </row>
    <row r="36" spans="1:20" s="197" customFormat="1">
      <c r="A36" s="340">
        <v>0</v>
      </c>
      <c r="B36" s="341"/>
      <c r="C36" s="341"/>
      <c r="D36" s="342">
        <v>0</v>
      </c>
      <c r="E36" s="342" t="str">
        <v/>
      </c>
      <c r="F36" s="343">
        <v>0</v>
      </c>
      <c r="G36" s="293" t="str">
        <f t="shared" si="1"/>
        <v/>
      </c>
      <c r="H36" s="324" t="str">
        <v/>
      </c>
      <c r="I36" s="325">
        <v>0</v>
      </c>
      <c r="J36" s="338"/>
      <c r="K36" s="338"/>
      <c r="L36" s="338"/>
      <c r="M36" s="784"/>
      <c r="N36" s="339"/>
    </row>
    <row r="37" spans="1:20" s="197" customFormat="1">
      <c r="A37" s="1064" t="s">
        <v>422</v>
      </c>
      <c r="B37" s="1065"/>
      <c r="C37" s="327"/>
      <c r="D37" s="327">
        <f>SUM(D7:D36)</f>
        <v>73</v>
      </c>
      <c r="E37" s="327"/>
      <c r="F37" s="344">
        <f ca="1">SUM(F7:F36)</f>
        <v>0</v>
      </c>
      <c r="G37" s="345" t="str">
        <f ca="1">IF(F37&lt;&gt;0,I37/F37-1,"")</f>
        <v/>
      </c>
      <c r="H37" s="327"/>
      <c r="I37" s="346">
        <f ca="1">SUM(I7:I36)</f>
        <v>93800</v>
      </c>
      <c r="J37" s="338"/>
      <c r="K37" s="338"/>
      <c r="L37" s="338"/>
      <c r="M37" s="784"/>
      <c r="N37" s="339"/>
    </row>
    <row r="38" spans="1:20" s="197" customFormat="1">
      <c r="A38" s="347"/>
      <c r="B38" s="348"/>
      <c r="C38" s="349"/>
      <c r="D38" s="350"/>
      <c r="E38" s="350"/>
      <c r="F38" s="351"/>
      <c r="G38" s="352"/>
      <c r="H38" s="349"/>
      <c r="I38" s="353"/>
      <c r="J38" s="338"/>
      <c r="K38" s="338"/>
      <c r="L38" s="338"/>
      <c r="M38" s="784"/>
      <c r="N38" s="339"/>
    </row>
    <row r="39" spans="1:20" s="197" customFormat="1" ht="26.4">
      <c r="A39" s="1066" t="s">
        <v>423</v>
      </c>
      <c r="B39" s="1067"/>
      <c r="C39" s="354" t="s">
        <v>424</v>
      </c>
      <c r="D39" s="354" t="s">
        <v>425</v>
      </c>
      <c r="E39" s="354"/>
      <c r="F39" s="355" t="s">
        <v>426</v>
      </c>
      <c r="G39" s="356" t="s">
        <v>427</v>
      </c>
      <c r="H39" s="354" t="s">
        <v>428</v>
      </c>
      <c r="I39" s="357" t="s">
        <v>429</v>
      </c>
      <c r="J39" s="338"/>
      <c r="K39" s="338"/>
      <c r="L39" s="338"/>
      <c r="M39" s="784"/>
      <c r="N39" s="339"/>
    </row>
    <row r="40" spans="1:20">
      <c r="A40" s="1041"/>
      <c r="B40" s="1042"/>
      <c r="C40" s="294"/>
      <c r="D40" s="1037"/>
      <c r="E40" s="1037"/>
      <c r="F40" s="323">
        <f t="shared" ref="F40:F48" si="2">D40*C40</f>
        <v>0</v>
      </c>
      <c r="G40" s="295">
        <f t="shared" ref="G40:G48" si="3">IF(AND(F40&lt;&gt;0,I40&lt;&gt;0),H40/D40-1,0)</f>
        <v>0</v>
      </c>
      <c r="H40" s="292"/>
      <c r="I40" s="325">
        <f t="shared" ref="I40:I48" si="4">H40*C40</f>
        <v>0</v>
      </c>
      <c r="J40" s="338"/>
      <c r="K40" s="338"/>
      <c r="L40" s="338"/>
      <c r="M40" s="338"/>
      <c r="N40" s="339"/>
      <c r="O40" s="197"/>
      <c r="P40" s="197"/>
      <c r="Q40" s="197"/>
      <c r="R40" s="197"/>
      <c r="S40" s="197"/>
      <c r="T40" s="197"/>
    </row>
    <row r="41" spans="1:20">
      <c r="A41" s="1068"/>
      <c r="B41" s="1069"/>
      <c r="C41" s="296"/>
      <c r="D41" s="1038"/>
      <c r="E41" s="1038"/>
      <c r="F41" s="323">
        <f t="shared" si="2"/>
        <v>0</v>
      </c>
      <c r="G41" s="295">
        <f t="shared" si="3"/>
        <v>0</v>
      </c>
      <c r="H41" s="292"/>
      <c r="I41" s="325">
        <f t="shared" si="4"/>
        <v>0</v>
      </c>
      <c r="J41" s="338"/>
      <c r="K41" s="338"/>
      <c r="L41" s="338"/>
      <c r="M41" s="338"/>
      <c r="N41" s="339"/>
      <c r="O41" s="197"/>
      <c r="P41" s="197"/>
      <c r="Q41" s="197"/>
      <c r="R41" s="197"/>
      <c r="S41" s="197"/>
      <c r="T41" s="197"/>
    </row>
    <row r="42" spans="1:20">
      <c r="A42" s="1068"/>
      <c r="B42" s="1069"/>
      <c r="C42" s="296"/>
      <c r="D42" s="1038"/>
      <c r="E42" s="1038"/>
      <c r="F42" s="323">
        <f t="shared" si="2"/>
        <v>0</v>
      </c>
      <c r="G42" s="295">
        <f t="shared" si="3"/>
        <v>0</v>
      </c>
      <c r="H42" s="292"/>
      <c r="I42" s="325">
        <f t="shared" si="4"/>
        <v>0</v>
      </c>
      <c r="J42" s="338"/>
      <c r="K42" s="338"/>
      <c r="L42" s="338"/>
      <c r="M42" s="338"/>
      <c r="N42" s="339"/>
      <c r="O42" s="197"/>
      <c r="P42" s="197"/>
      <c r="Q42" s="197"/>
      <c r="R42" s="197"/>
      <c r="S42" s="197"/>
      <c r="T42" s="197"/>
    </row>
    <row r="43" spans="1:20">
      <c r="A43" s="1068"/>
      <c r="B43" s="1069"/>
      <c r="C43" s="296"/>
      <c r="D43" s="1038"/>
      <c r="E43" s="1038"/>
      <c r="F43" s="323">
        <f t="shared" si="2"/>
        <v>0</v>
      </c>
      <c r="G43" s="295">
        <f t="shared" si="3"/>
        <v>0</v>
      </c>
      <c r="H43" s="292"/>
      <c r="I43" s="325">
        <f t="shared" si="4"/>
        <v>0</v>
      </c>
      <c r="J43" s="338"/>
      <c r="K43" s="338"/>
      <c r="L43" s="338"/>
      <c r="M43" s="338"/>
      <c r="N43" s="339"/>
      <c r="O43" s="197"/>
      <c r="P43" s="197"/>
      <c r="Q43" s="197"/>
      <c r="R43" s="197"/>
      <c r="S43" s="197"/>
      <c r="T43" s="197"/>
    </row>
    <row r="44" spans="1:20">
      <c r="A44" s="1068"/>
      <c r="B44" s="1069"/>
      <c r="C44" s="296"/>
      <c r="D44" s="1038"/>
      <c r="E44" s="1038"/>
      <c r="F44" s="323">
        <f t="shared" si="2"/>
        <v>0</v>
      </c>
      <c r="G44" s="295">
        <f t="shared" si="3"/>
        <v>0</v>
      </c>
      <c r="H44" s="292"/>
      <c r="I44" s="325">
        <f t="shared" si="4"/>
        <v>0</v>
      </c>
      <c r="J44" s="338"/>
      <c r="K44" s="338"/>
      <c r="L44" s="338"/>
      <c r="M44" s="338"/>
      <c r="N44" s="339"/>
      <c r="O44" s="197"/>
      <c r="P44" s="197"/>
      <c r="Q44" s="197"/>
      <c r="R44" s="197"/>
      <c r="S44" s="197"/>
      <c r="T44" s="197"/>
    </row>
    <row r="45" spans="1:20">
      <c r="A45" s="1068"/>
      <c r="B45" s="1069"/>
      <c r="C45" s="296"/>
      <c r="D45" s="1038"/>
      <c r="E45" s="1038"/>
      <c r="F45" s="323">
        <f t="shared" si="2"/>
        <v>0</v>
      </c>
      <c r="G45" s="295">
        <f t="shared" si="3"/>
        <v>0</v>
      </c>
      <c r="H45" s="292"/>
      <c r="I45" s="325">
        <f t="shared" si="4"/>
        <v>0</v>
      </c>
      <c r="J45" s="338"/>
      <c r="K45" s="338"/>
      <c r="L45" s="338"/>
      <c r="M45" s="338"/>
      <c r="N45" s="339"/>
      <c r="O45" s="197"/>
      <c r="P45" s="197"/>
      <c r="Q45" s="197"/>
      <c r="R45" s="197"/>
      <c r="S45" s="197"/>
      <c r="T45" s="197"/>
    </row>
    <row r="46" spans="1:20">
      <c r="A46" s="1070" t="str">
        <f>A55</f>
        <v>Server 1</v>
      </c>
      <c r="B46" s="1071"/>
      <c r="C46" s="296"/>
      <c r="D46" s="1039">
        <f>M55</f>
        <v>0</v>
      </c>
      <c r="E46" s="1039"/>
      <c r="F46" s="323">
        <f t="shared" si="2"/>
        <v>0</v>
      </c>
      <c r="G46" s="295">
        <f t="shared" si="3"/>
        <v>0</v>
      </c>
      <c r="H46" s="292"/>
      <c r="I46" s="325">
        <f t="shared" si="4"/>
        <v>0</v>
      </c>
      <c r="J46" s="338"/>
      <c r="K46" s="338"/>
      <c r="L46" s="338"/>
      <c r="M46" s="338"/>
      <c r="N46" s="339"/>
      <c r="O46" s="197"/>
      <c r="P46" s="197"/>
      <c r="Q46" s="197"/>
      <c r="R46" s="197"/>
      <c r="S46" s="197"/>
      <c r="T46" s="197"/>
    </row>
    <row r="47" spans="1:20">
      <c r="A47" s="1070" t="str">
        <f t="shared" ref="A47:A48" si="5">A56</f>
        <v>Server 2</v>
      </c>
      <c r="B47" s="1071"/>
      <c r="C47" s="296"/>
      <c r="D47" s="1039">
        <f t="shared" ref="D47:D48" si="6">M56</f>
        <v>0</v>
      </c>
      <c r="E47" s="1039"/>
      <c r="F47" s="323">
        <f t="shared" si="2"/>
        <v>0</v>
      </c>
      <c r="G47" s="295">
        <f t="shared" si="3"/>
        <v>0</v>
      </c>
      <c r="H47" s="292"/>
      <c r="I47" s="325">
        <f t="shared" si="4"/>
        <v>0</v>
      </c>
      <c r="J47" s="338"/>
      <c r="K47" s="338"/>
      <c r="L47" s="338"/>
      <c r="M47" s="338"/>
      <c r="N47" s="339"/>
      <c r="O47" s="197"/>
      <c r="P47" s="197"/>
      <c r="Q47" s="197"/>
      <c r="R47" s="197"/>
      <c r="S47" s="197"/>
      <c r="T47" s="197"/>
    </row>
    <row r="48" spans="1:20">
      <c r="A48" s="1070" t="str">
        <f t="shared" si="5"/>
        <v>Server 3</v>
      </c>
      <c r="B48" s="1071"/>
      <c r="C48" s="297"/>
      <c r="D48" s="1039">
        <f t="shared" si="6"/>
        <v>0</v>
      </c>
      <c r="E48" s="1039"/>
      <c r="F48" s="323">
        <f t="shared" si="2"/>
        <v>0</v>
      </c>
      <c r="G48" s="298">
        <f t="shared" si="3"/>
        <v>0</v>
      </c>
      <c r="H48" s="299"/>
      <c r="I48" s="358">
        <f t="shared" si="4"/>
        <v>0</v>
      </c>
      <c r="J48" s="338"/>
      <c r="K48" s="338"/>
      <c r="L48" s="338"/>
      <c r="M48" s="338"/>
      <c r="N48" s="339"/>
      <c r="O48" s="197"/>
      <c r="P48" s="197"/>
      <c r="Q48" s="197"/>
      <c r="R48" s="197"/>
      <c r="S48" s="197"/>
      <c r="T48" s="197"/>
    </row>
    <row r="49" spans="1:20" ht="13.8" thickBot="1">
      <c r="A49" s="1062" t="s">
        <v>430</v>
      </c>
      <c r="B49" s="1063"/>
      <c r="C49" s="300"/>
      <c r="D49" s="301"/>
      <c r="E49" s="301"/>
      <c r="F49" s="359">
        <f>SUM(F40:F48)</f>
        <v>0</v>
      </c>
      <c r="G49" s="360" t="str">
        <f>IF(F49&lt;&gt;0,I49/F49-1,"")</f>
        <v/>
      </c>
      <c r="H49" s="361">
        <f>SUM(H40:H48)</f>
        <v>0</v>
      </c>
      <c r="I49" s="362">
        <f>SUM(I40:I48)</f>
        <v>0</v>
      </c>
      <c r="J49" s="363"/>
      <c r="K49" s="363"/>
      <c r="L49" s="363"/>
      <c r="M49" s="363"/>
      <c r="N49" s="364"/>
      <c r="O49" s="197"/>
      <c r="P49" s="197"/>
      <c r="Q49" s="197"/>
      <c r="R49" s="197"/>
      <c r="S49" s="197"/>
      <c r="T49" s="197"/>
    </row>
    <row r="50" spans="1:20">
      <c r="A50" s="197"/>
      <c r="B50" s="197"/>
      <c r="C50" s="197"/>
      <c r="D50" s="197"/>
      <c r="E50" s="197"/>
      <c r="F50" s="197"/>
      <c r="G50" s="197"/>
      <c r="H50" s="197"/>
      <c r="I50" s="197"/>
      <c r="J50" s="197"/>
      <c r="K50" s="197"/>
      <c r="L50" s="197"/>
      <c r="M50" s="197"/>
      <c r="N50" s="197"/>
      <c r="O50" s="197"/>
      <c r="P50" s="197"/>
      <c r="Q50" s="197"/>
      <c r="R50" s="197"/>
      <c r="S50" s="197"/>
      <c r="T50" s="197"/>
    </row>
    <row r="51" spans="1:20">
      <c r="A51" s="197"/>
      <c r="B51" s="197"/>
      <c r="C51" s="197"/>
      <c r="D51" s="197"/>
      <c r="E51" s="197"/>
      <c r="F51" s="197"/>
      <c r="G51" s="197"/>
      <c r="H51" s="197"/>
      <c r="I51" s="197"/>
      <c r="J51" s="197"/>
      <c r="K51" s="197"/>
      <c r="L51" s="197"/>
      <c r="M51" s="197"/>
      <c r="N51" s="197"/>
      <c r="O51" s="197"/>
      <c r="P51" s="197"/>
      <c r="Q51" s="197"/>
      <c r="R51" s="197"/>
      <c r="S51" s="197"/>
      <c r="T51" s="197"/>
    </row>
    <row r="52" spans="1:20" ht="19.8" thickBot="1">
      <c r="A52" s="365" t="s">
        <v>1356</v>
      </c>
      <c r="B52" s="365"/>
      <c r="C52" s="126"/>
      <c r="D52" s="126"/>
      <c r="E52" s="126"/>
    </row>
    <row r="53" spans="1:20" ht="14.4" thickTop="1">
      <c r="A53" s="126"/>
      <c r="B53" s="126"/>
      <c r="C53" s="126"/>
      <c r="D53" s="126"/>
      <c r="E53" s="126"/>
    </row>
    <row r="54" spans="1:20" ht="13.8">
      <c r="A54" s="366" t="s">
        <v>1355</v>
      </c>
      <c r="B54" s="366" t="s">
        <v>1359</v>
      </c>
      <c r="C54" s="366" t="s">
        <v>1364</v>
      </c>
      <c r="D54" s="366" t="s">
        <v>1365</v>
      </c>
      <c r="E54" s="366" t="s">
        <v>1366</v>
      </c>
      <c r="F54" s="366" t="s">
        <v>6</v>
      </c>
      <c r="G54" s="366" t="s">
        <v>1367</v>
      </c>
      <c r="H54" s="302" t="s">
        <v>1368</v>
      </c>
      <c r="I54" s="302" t="s">
        <v>1369</v>
      </c>
      <c r="J54" s="302" t="s">
        <v>1370</v>
      </c>
      <c r="K54" s="302" t="s">
        <v>1371</v>
      </c>
      <c r="L54" s="303" t="s">
        <v>1372</v>
      </c>
      <c r="M54" s="1035" t="s">
        <v>1373</v>
      </c>
      <c r="N54" s="1035"/>
    </row>
    <row r="55" spans="1:20" ht="13.8">
      <c r="A55" s="367" t="s">
        <v>1374</v>
      </c>
      <c r="B55" s="368"/>
      <c r="C55" s="368"/>
      <c r="D55" s="368"/>
      <c r="E55" s="368"/>
      <c r="F55" s="369">
        <f>MDProjectStart</f>
        <v>41760</v>
      </c>
      <c r="G55" s="369">
        <f>MDProjectEnd</f>
        <v>41881</v>
      </c>
      <c r="H55" s="304">
        <f>TMDVMCPU*$B55</f>
        <v>0</v>
      </c>
      <c r="I55" s="304">
        <f>TMDVMMemory*$C55</f>
        <v>0</v>
      </c>
      <c r="J55" s="304">
        <f>TMDVMDisk*$D55</f>
        <v>0</v>
      </c>
      <c r="K55" s="304">
        <f>IF(E55="Windows",TMDVMWin)+IF(E55="Linux",TMDVMLinux)</f>
        <v>0</v>
      </c>
      <c r="L55" s="305">
        <f>TMDVMInit</f>
        <v>340</v>
      </c>
      <c r="M55" s="1036">
        <f>IF(AND($B55&lt;&gt;"",$C55&lt;&gt;"",$D55&lt;&gt;"",$E55&lt;&gt;"",$G55&gt;$F55),SUM($H55:$K55)*DATEDIF($F55,$G55,"m")+$L55,0)</f>
        <v>0</v>
      </c>
      <c r="N55" s="1036"/>
    </row>
    <row r="56" spans="1:20" ht="13.8">
      <c r="A56" s="367" t="s">
        <v>1375</v>
      </c>
      <c r="B56" s="368"/>
      <c r="C56" s="368"/>
      <c r="D56" s="368"/>
      <c r="E56" s="368"/>
      <c r="F56" s="369">
        <f>MDProjectStart</f>
        <v>41760</v>
      </c>
      <c r="G56" s="369">
        <f>MDProjectEnd</f>
        <v>41881</v>
      </c>
      <c r="H56" s="304">
        <f>TMDVMCPU*$B56</f>
        <v>0</v>
      </c>
      <c r="I56" s="304">
        <f>TMDVMMemory*$C56</f>
        <v>0</v>
      </c>
      <c r="J56" s="304">
        <f>TMDVMDisk*$D56</f>
        <v>0</v>
      </c>
      <c r="K56" s="304">
        <f>IF(E56="Windows",TMDVMWin)+IF(E56="Linux",TMDVMLinux)</f>
        <v>0</v>
      </c>
      <c r="L56" s="305">
        <f>TMDVMInit</f>
        <v>340</v>
      </c>
      <c r="M56" s="1036">
        <f t="shared" ref="M56:M57" si="7">IF(AND($B56&lt;&gt;"",$C56&lt;&gt;"",$D56&lt;&gt;"",$E56&lt;&gt;"",$G56&gt;$F56),SUM($H56:$K56)*DATEDIF($F56,$G56,"m")+$L56,0)</f>
        <v>0</v>
      </c>
      <c r="N56" s="1036"/>
    </row>
    <row r="57" spans="1:20" ht="13.8">
      <c r="A57" s="367" t="s">
        <v>1376</v>
      </c>
      <c r="B57" s="368"/>
      <c r="C57" s="368"/>
      <c r="D57" s="368"/>
      <c r="E57" s="368"/>
      <c r="F57" s="369">
        <f>MDProjectStart</f>
        <v>41760</v>
      </c>
      <c r="G57" s="369">
        <f>MDProjectEnd</f>
        <v>41881</v>
      </c>
      <c r="H57" s="304">
        <f>TMDVMCPU*$B57</f>
        <v>0</v>
      </c>
      <c r="I57" s="304">
        <f>TMDVMMemory*$C57</f>
        <v>0</v>
      </c>
      <c r="J57" s="304">
        <f>TMDVMDisk*$D57</f>
        <v>0</v>
      </c>
      <c r="K57" s="304">
        <f>IF(E57="Windows",TMDVMWin)+IF(E57="Linux",TMDVMLinux)</f>
        <v>0</v>
      </c>
      <c r="L57" s="305">
        <f>TMDVMInit</f>
        <v>340</v>
      </c>
      <c r="M57" s="1036">
        <f t="shared" si="7"/>
        <v>0</v>
      </c>
      <c r="N57" s="1036"/>
    </row>
    <row r="58" spans="1:20" ht="13.8">
      <c r="E58" s="126"/>
      <c r="F58" s="126"/>
      <c r="G58" s="126"/>
      <c r="H58" s="126"/>
      <c r="I58" s="126"/>
      <c r="J58" s="126"/>
      <c r="K58" s="126"/>
      <c r="L58" s="126"/>
      <c r="M58" s="126"/>
    </row>
    <row r="59" spans="1:20" ht="13.8">
      <c r="F59" s="126"/>
      <c r="G59" s="126"/>
      <c r="H59" s="126"/>
      <c r="I59" s="126"/>
      <c r="J59" s="126"/>
      <c r="K59" s="126"/>
      <c r="L59" s="126"/>
      <c r="M59" s="126"/>
    </row>
    <row r="60" spans="1:20" ht="13.8">
      <c r="F60" s="126"/>
      <c r="G60" s="126"/>
      <c r="H60" s="126"/>
      <c r="I60" s="126"/>
      <c r="J60" s="126"/>
      <c r="K60" s="126"/>
      <c r="L60" s="126"/>
      <c r="M60" s="126"/>
    </row>
    <row r="61" spans="1:20" ht="13.8">
      <c r="F61" s="126"/>
      <c r="G61" s="126"/>
      <c r="H61" s="126"/>
      <c r="I61" s="126"/>
      <c r="J61" s="126"/>
      <c r="K61" s="126"/>
      <c r="L61" s="126"/>
      <c r="M61" s="126"/>
    </row>
    <row r="66" spans="1:4" ht="13.8">
      <c r="A66" s="126"/>
      <c r="B66" s="126"/>
      <c r="C66" s="126"/>
      <c r="D66" s="126"/>
    </row>
  </sheetData>
  <sheetProtection algorithmName="SHA-512" hashValue="EPDm4xAEeuc8HjU9GdwzpXYjJv3wY2jHL8z1EQdlLdD64WtvumzvNauYXsZMBoKPB8EqUjvIUxSlXN5JGXmJlw==" saltValue="PN3EkmQO0hdY+FNw8uRkbw==" spinCount="100000" sheet="1" objects="1" scenarios="1" formatCells="0"/>
  <mergeCells count="48">
    <mergeCell ref="K24:N24"/>
    <mergeCell ref="K26:M26"/>
    <mergeCell ref="K27:M27"/>
    <mergeCell ref="K29:L29"/>
    <mergeCell ref="K11:L11"/>
    <mergeCell ref="K20:L20"/>
    <mergeCell ref="K13:L13"/>
    <mergeCell ref="A49:B49"/>
    <mergeCell ref="A37:B37"/>
    <mergeCell ref="A39:B39"/>
    <mergeCell ref="A41:B41"/>
    <mergeCell ref="A42:B42"/>
    <mergeCell ref="A48:B48"/>
    <mergeCell ref="A43:B43"/>
    <mergeCell ref="A44:B44"/>
    <mergeCell ref="A45:B45"/>
    <mergeCell ref="A46:B46"/>
    <mergeCell ref="A47:B47"/>
    <mergeCell ref="G5:N5"/>
    <mergeCell ref="M21:N21"/>
    <mergeCell ref="K21:L21"/>
    <mergeCell ref="K8:L8"/>
    <mergeCell ref="K9:L9"/>
    <mergeCell ref="K10:L10"/>
    <mergeCell ref="K12:L12"/>
    <mergeCell ref="K14:L14"/>
    <mergeCell ref="K19:L19"/>
    <mergeCell ref="K6:N6"/>
    <mergeCell ref="K7:L7"/>
    <mergeCell ref="K17:N17"/>
    <mergeCell ref="A1:E1"/>
    <mergeCell ref="A2:E2"/>
    <mergeCell ref="A6:C6"/>
    <mergeCell ref="A40:B40"/>
    <mergeCell ref="A5:F5"/>
    <mergeCell ref="M54:N54"/>
    <mergeCell ref="M55:N55"/>
    <mergeCell ref="M56:N56"/>
    <mergeCell ref="M57:N57"/>
    <mergeCell ref="D40:E40"/>
    <mergeCell ref="D41:E41"/>
    <mergeCell ref="D42:E42"/>
    <mergeCell ref="D43:E43"/>
    <mergeCell ref="D44:E44"/>
    <mergeCell ref="D45:E45"/>
    <mergeCell ref="D46:E46"/>
    <mergeCell ref="D47:E47"/>
    <mergeCell ref="D48:E48"/>
  </mergeCells>
  <conditionalFormatting sqref="G7:G36 C49:E49 G40:G48">
    <cfRule type="cellIs" dxfId="94" priority="35" stopIfTrue="1" operator="equal">
      <formula>0</formula>
    </cfRule>
  </conditionalFormatting>
  <conditionalFormatting sqref="F49 H49:I49">
    <cfRule type="cellIs" dxfId="93" priority="34" stopIfTrue="1" operator="equal">
      <formula>0</formula>
    </cfRule>
  </conditionalFormatting>
  <conditionalFormatting sqref="A7:I15">
    <cfRule type="expression" dxfId="92" priority="1">
      <formula>$E7:$E36&lt;&gt;""</formula>
    </cfRule>
  </conditionalFormatting>
  <conditionalFormatting sqref="A34:I36 A16:I21 A26:I29">
    <cfRule type="expression" dxfId="91" priority="583">
      <formula>$E16:$E48&lt;&gt;""</formula>
    </cfRule>
  </conditionalFormatting>
  <conditionalFormatting sqref="A30:I33">
    <cfRule type="expression" dxfId="90" priority="585">
      <formula>$E30:$E54&lt;&gt;""</formula>
    </cfRule>
  </conditionalFormatting>
  <conditionalFormatting sqref="A22:I25">
    <cfRule type="expression" dxfId="89" priority="586">
      <formula>$E22:$E53&lt;&gt;""</formula>
    </cfRule>
  </conditionalFormatting>
  <dataValidations count="3">
    <dataValidation type="list" allowBlank="1" showInputMessage="1" showErrorMessage="1" sqref="E55:E57">
      <formula1>PCvmOS</formula1>
    </dataValidation>
    <dataValidation type="list" allowBlank="1" showInputMessage="1" showErrorMessage="1" sqref="C55:C57">
      <formula1>"2,4,6,8,10,12,14,16"</formula1>
    </dataValidation>
    <dataValidation type="list" allowBlank="1" showInputMessage="1" showErrorMessage="1" sqref="B55:B57">
      <formula1>"1,2,3,4"</formula1>
    </dataValidation>
  </dataValidations>
  <printOptions horizontalCentered="1"/>
  <pageMargins left="0.31496062992125984" right="0.31496062992125984" top="0.39370078740157483" bottom="0.39370078740157483" header="0.31496062992125984" footer="0.31496062992125984"/>
  <pageSetup paperSize="9" scale="65" orientation="landscape" horizontalDpi="4294967292" verticalDpi="1200" r:id="rId1"/>
  <customProperties>
    <customPr name="Guid" r:id="rId2"/>
  </customProperties>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rgb="FFF79646"/>
    <pageSetUpPr fitToPage="1"/>
  </sheetPr>
  <dimension ref="A1:T32"/>
  <sheetViews>
    <sheetView zoomScaleNormal="100" workbookViewId="0">
      <selection activeCell="A3" sqref="A3"/>
    </sheetView>
  </sheetViews>
  <sheetFormatPr defaultColWidth="11.44140625" defaultRowHeight="13.8"/>
  <cols>
    <col min="1" max="3" width="11.44140625" style="127" customWidth="1"/>
    <col min="4" max="4" width="45.6640625" style="127" customWidth="1"/>
    <col min="5" max="7" width="11.44140625" style="127" customWidth="1"/>
    <col min="8" max="8" width="45.6640625" style="127" customWidth="1"/>
    <col min="9" max="19" width="11.44140625" style="127" customWidth="1"/>
    <col min="20" max="16384" width="11.44140625" style="127"/>
  </cols>
  <sheetData>
    <row r="1" spans="1:20" s="124" customFormat="1" ht="21">
      <c r="A1" s="874" t="str">
        <f>MDProjektname</f>
        <v>Migration GEFI</v>
      </c>
      <c r="B1" s="875"/>
      <c r="C1" s="875"/>
      <c r="D1" s="876"/>
      <c r="E1" s="116"/>
      <c r="F1" s="114"/>
      <c r="G1" s="114"/>
      <c r="H1" s="114"/>
      <c r="I1" s="114"/>
      <c r="J1" s="114"/>
      <c r="K1" s="114"/>
      <c r="L1" s="114"/>
      <c r="M1" s="114"/>
      <c r="N1" s="114"/>
      <c r="O1" s="114"/>
      <c r="P1" s="114"/>
      <c r="Q1" s="114"/>
      <c r="R1" s="114"/>
      <c r="S1" s="114"/>
    </row>
    <row r="2" spans="1:20" s="124" customFormat="1" ht="26.25" customHeight="1" thickBot="1">
      <c r="A2" s="877" t="str">
        <f>MDCustomer</f>
        <v>OFISA</v>
      </c>
      <c r="B2" s="878"/>
      <c r="C2" s="878"/>
      <c r="D2" s="879"/>
      <c r="E2" s="116"/>
      <c r="G2" s="177" t="s">
        <v>1494</v>
      </c>
      <c r="H2" s="114"/>
      <c r="I2" s="114"/>
      <c r="J2" s="114"/>
      <c r="K2" s="114"/>
      <c r="L2" s="114"/>
      <c r="M2" s="114"/>
      <c r="N2" s="114"/>
      <c r="O2" s="114"/>
      <c r="P2" s="114"/>
      <c r="Q2" s="114"/>
      <c r="R2" s="114"/>
      <c r="S2" s="114"/>
    </row>
    <row r="3" spans="1:20" s="124" customFormat="1" ht="26.25" customHeight="1">
      <c r="A3" s="114"/>
      <c r="B3" s="114"/>
      <c r="C3" s="114"/>
      <c r="D3" s="114"/>
      <c r="E3" s="116"/>
      <c r="G3" s="115" t="s">
        <v>1498</v>
      </c>
      <c r="H3" s="114"/>
      <c r="I3" s="114"/>
      <c r="J3" s="114"/>
      <c r="K3" s="114"/>
      <c r="L3" s="114"/>
      <c r="M3" s="114"/>
      <c r="N3" s="114"/>
      <c r="O3" s="114"/>
      <c r="P3" s="114"/>
      <c r="Q3" s="114"/>
      <c r="R3" s="114"/>
      <c r="S3" s="114"/>
    </row>
    <row r="4" spans="1:20" s="124" customFormat="1" ht="15" customHeight="1" thickBot="1">
      <c r="A4" s="114"/>
      <c r="B4" s="114"/>
      <c r="C4" s="114"/>
      <c r="D4" s="114"/>
      <c r="E4" s="114"/>
      <c r="F4" s="114"/>
      <c r="G4" s="114"/>
      <c r="H4" s="114"/>
      <c r="I4" s="114"/>
      <c r="J4" s="114"/>
      <c r="K4" s="114"/>
      <c r="L4" s="114"/>
      <c r="M4" s="114"/>
      <c r="N4" s="114"/>
      <c r="O4" s="114"/>
      <c r="P4" s="114"/>
      <c r="Q4" s="114"/>
      <c r="R4" s="114"/>
      <c r="S4" s="114"/>
      <c r="T4" s="114"/>
    </row>
    <row r="5" spans="1:20" s="126" customFormat="1" ht="16.2" thickBot="1">
      <c r="A5" s="903" t="s">
        <v>252</v>
      </c>
      <c r="B5" s="904"/>
      <c r="C5" s="904"/>
      <c r="D5" s="904"/>
      <c r="E5" s="904"/>
      <c r="F5" s="904"/>
      <c r="G5" s="904"/>
      <c r="H5" s="905"/>
    </row>
    <row r="6" spans="1:20" s="126" customFormat="1">
      <c r="A6" s="1083" t="s">
        <v>290</v>
      </c>
      <c r="B6" s="1084"/>
      <c r="C6" s="1085"/>
      <c r="D6" s="260" t="str">
        <f>MDCustomer</f>
        <v>OFISA</v>
      </c>
      <c r="E6" s="1086" t="s">
        <v>856</v>
      </c>
      <c r="F6" s="1087"/>
      <c r="G6" s="1088"/>
      <c r="H6" s="261" t="str">
        <f>MDCustomerContact</f>
        <v>Stefan Mittermayr</v>
      </c>
    </row>
    <row r="7" spans="1:20" s="126" customFormat="1">
      <c r="A7" s="1080" t="s">
        <v>857</v>
      </c>
      <c r="B7" s="1081"/>
      <c r="C7" s="1082"/>
      <c r="D7" s="262" t="str">
        <f>MDProjektname</f>
        <v>Migration GEFI</v>
      </c>
      <c r="E7" s="1080" t="s">
        <v>858</v>
      </c>
      <c r="F7" s="1081"/>
      <c r="G7" s="1082"/>
      <c r="H7" s="263" t="str">
        <f>MDProjectDescription</f>
        <v>Migration from Oracle Froms 6i to 11gR2</v>
      </c>
    </row>
    <row r="8" spans="1:20" s="126" customFormat="1">
      <c r="A8" s="1080" t="s">
        <v>859</v>
      </c>
      <c r="B8" s="1081"/>
      <c r="C8" s="1082"/>
      <c r="D8" s="262" t="str">
        <f>MDContractType</f>
        <v>Fixpreis</v>
      </c>
      <c r="E8" s="1080" t="s">
        <v>860</v>
      </c>
      <c r="F8" s="1081"/>
      <c r="G8" s="1082"/>
      <c r="H8" s="262" t="str">
        <f>MDContractCurrency</f>
        <v>CHF</v>
      </c>
    </row>
    <row r="9" spans="1:20" s="126" customFormat="1">
      <c r="A9" s="1080" t="s">
        <v>861</v>
      </c>
      <c r="B9" s="1081"/>
      <c r="C9" s="1082"/>
      <c r="D9" s="262">
        <f>MDSAPNumber</f>
        <v>2849</v>
      </c>
      <c r="E9" s="1080" t="s">
        <v>862</v>
      </c>
      <c r="F9" s="1081"/>
      <c r="G9" s="1082"/>
      <c r="H9" s="262">
        <f>MDContractVolume</f>
        <v>100000</v>
      </c>
    </row>
    <row r="10" spans="1:20" s="126" customFormat="1" ht="14.4" thickBot="1"/>
    <row r="11" spans="1:20" s="126" customFormat="1" ht="16.2" thickBot="1">
      <c r="A11" s="903" t="s">
        <v>865</v>
      </c>
      <c r="B11" s="904"/>
      <c r="C11" s="904"/>
      <c r="D11" s="904"/>
      <c r="E11" s="904"/>
      <c r="F11" s="904"/>
      <c r="G11" s="904"/>
      <c r="H11" s="905"/>
    </row>
    <row r="12" spans="1:20" s="126" customFormat="1" ht="15" customHeight="1">
      <c r="A12" s="1077" t="s">
        <v>866</v>
      </c>
      <c r="B12" s="1078"/>
      <c r="C12" s="1079"/>
      <c r="D12" s="178"/>
      <c r="E12" s="1083" t="s">
        <v>1499</v>
      </c>
      <c r="F12" s="1084"/>
      <c r="G12" s="1085"/>
      <c r="H12" s="178"/>
    </row>
    <row r="13" spans="1:20" s="126" customFormat="1">
      <c r="A13" s="1074" t="s">
        <v>867</v>
      </c>
      <c r="B13" s="1075"/>
      <c r="C13" s="1076"/>
      <c r="D13" s="121"/>
      <c r="E13" s="1074" t="s">
        <v>1503</v>
      </c>
      <c r="F13" s="1075"/>
      <c r="G13" s="1076"/>
      <c r="H13" s="121"/>
    </row>
    <row r="14" spans="1:20" s="126" customFormat="1">
      <c r="A14" s="1074" t="s">
        <v>868</v>
      </c>
      <c r="B14" s="1075"/>
      <c r="C14" s="1076"/>
      <c r="D14" s="121"/>
      <c r="E14" s="1074" t="s">
        <v>869</v>
      </c>
      <c r="F14" s="1075"/>
      <c r="G14" s="1076"/>
      <c r="H14" s="121"/>
    </row>
    <row r="15" spans="1:20" s="126" customFormat="1">
      <c r="A15" s="1074" t="s">
        <v>870</v>
      </c>
      <c r="B15" s="1075"/>
      <c r="C15" s="1076"/>
      <c r="D15" s="121"/>
      <c r="E15" s="1074" t="s">
        <v>871</v>
      </c>
      <c r="F15" s="1075"/>
      <c r="G15" s="1076"/>
      <c r="H15" s="121"/>
    </row>
    <row r="16" spans="1:20" s="126" customFormat="1">
      <c r="A16" s="1074" t="s">
        <v>872</v>
      </c>
      <c r="B16" s="1075"/>
      <c r="C16" s="1076"/>
      <c r="D16" s="121"/>
      <c r="E16" s="1074" t="s">
        <v>873</v>
      </c>
      <c r="F16" s="1075"/>
      <c r="G16" s="1076"/>
      <c r="H16" s="121"/>
    </row>
    <row r="17" spans="1:8" s="126" customFormat="1" ht="14.4" thickBot="1"/>
    <row r="18" spans="1:8" s="126" customFormat="1" ht="16.2" thickBot="1">
      <c r="A18" s="903" t="s">
        <v>874</v>
      </c>
      <c r="B18" s="904"/>
      <c r="C18" s="904"/>
      <c r="D18" s="904"/>
      <c r="E18" s="904"/>
      <c r="F18" s="904"/>
      <c r="G18" s="904"/>
      <c r="H18" s="905"/>
    </row>
    <row r="19" spans="1:8" s="126" customFormat="1">
      <c r="A19" s="1077" t="s">
        <v>875</v>
      </c>
      <c r="B19" s="1078"/>
      <c r="C19" s="1079"/>
      <c r="D19" s="178"/>
      <c r="E19" s="1077" t="s">
        <v>876</v>
      </c>
      <c r="F19" s="1078"/>
      <c r="G19" s="1079"/>
      <c r="H19" s="178"/>
    </row>
    <row r="20" spans="1:8" s="126" customFormat="1">
      <c r="A20" s="1074" t="s">
        <v>877</v>
      </c>
      <c r="B20" s="1075"/>
      <c r="C20" s="1076"/>
      <c r="D20" s="121"/>
      <c r="E20" s="1074" t="s">
        <v>272</v>
      </c>
      <c r="F20" s="1075"/>
      <c r="G20" s="1076"/>
      <c r="H20" s="121"/>
    </row>
    <row r="21" spans="1:8" s="126" customFormat="1">
      <c r="A21" s="1074" t="s">
        <v>878</v>
      </c>
      <c r="B21" s="1075"/>
      <c r="C21" s="1076"/>
      <c r="D21" s="121"/>
      <c r="E21" s="1074" t="s">
        <v>879</v>
      </c>
      <c r="F21" s="1075"/>
      <c r="G21" s="1076"/>
      <c r="H21" s="121"/>
    </row>
    <row r="22" spans="1:8" s="126" customFormat="1" ht="14.4" thickBot="1">
      <c r="A22" s="179"/>
      <c r="B22" s="179"/>
      <c r="C22" s="179"/>
      <c r="D22" s="264"/>
      <c r="E22" s="179"/>
      <c r="F22" s="179"/>
      <c r="G22" s="179"/>
      <c r="H22" s="264"/>
    </row>
    <row r="23" spans="1:8" s="126" customFormat="1" ht="16.2" thickBot="1">
      <c r="A23" s="903" t="s">
        <v>961</v>
      </c>
      <c r="B23" s="904"/>
      <c r="C23" s="904"/>
      <c r="D23" s="904"/>
      <c r="E23" s="904"/>
      <c r="F23" s="904"/>
      <c r="G23" s="904"/>
      <c r="H23" s="905"/>
    </row>
    <row r="24" spans="1:8" s="126" customFormat="1">
      <c r="A24" s="1074" t="s">
        <v>863</v>
      </c>
      <c r="B24" s="1075"/>
      <c r="C24" s="1076"/>
      <c r="D24" s="121"/>
      <c r="E24" s="1074" t="s">
        <v>864</v>
      </c>
      <c r="F24" s="1075"/>
      <c r="G24" s="1076"/>
      <c r="H24" s="121"/>
    </row>
    <row r="25" spans="1:8" s="126" customFormat="1" ht="14.4" thickBot="1"/>
    <row r="26" spans="1:8" s="126" customFormat="1" ht="16.2" thickBot="1">
      <c r="A26" s="903" t="s">
        <v>880</v>
      </c>
      <c r="B26" s="904"/>
      <c r="C26" s="904"/>
      <c r="D26" s="904"/>
      <c r="E26" s="904"/>
      <c r="F26" s="904"/>
      <c r="G26" s="904"/>
      <c r="H26" s="905"/>
    </row>
    <row r="27" spans="1:8" s="126" customFormat="1">
      <c r="A27" s="1077" t="s">
        <v>881</v>
      </c>
      <c r="B27" s="1078"/>
      <c r="C27" s="1079"/>
      <c r="D27" s="178"/>
      <c r="E27" s="1077" t="s">
        <v>882</v>
      </c>
      <c r="F27" s="1078"/>
      <c r="G27" s="1079"/>
      <c r="H27" s="178"/>
    </row>
    <row r="28" spans="1:8" s="126" customFormat="1">
      <c r="A28" s="1074" t="s">
        <v>883</v>
      </c>
      <c r="B28" s="1075"/>
      <c r="C28" s="1076"/>
      <c r="D28" s="121"/>
      <c r="E28" s="1074" t="s">
        <v>884</v>
      </c>
      <c r="F28" s="1075"/>
      <c r="G28" s="1076"/>
      <c r="H28" s="121"/>
    </row>
    <row r="29" spans="1:8" s="126" customFormat="1">
      <c r="A29" s="1074" t="s">
        <v>885</v>
      </c>
      <c r="B29" s="1075"/>
      <c r="C29" s="1076"/>
      <c r="D29" s="121"/>
      <c r="E29" s="1074" t="s">
        <v>886</v>
      </c>
      <c r="F29" s="1075"/>
      <c r="G29" s="1076"/>
      <c r="H29" s="121"/>
    </row>
    <row r="30" spans="1:8" s="126" customFormat="1">
      <c r="A30" s="1074" t="s">
        <v>887</v>
      </c>
      <c r="B30" s="1075"/>
      <c r="C30" s="1076"/>
      <c r="D30" s="121"/>
      <c r="E30" s="1074" t="s">
        <v>888</v>
      </c>
      <c r="F30" s="1075"/>
      <c r="G30" s="1076"/>
      <c r="H30" s="121"/>
    </row>
    <row r="31" spans="1:8" s="126" customFormat="1"/>
    <row r="32" spans="1:8" s="126" customFormat="1"/>
  </sheetData>
  <sheetProtection algorithmName="SHA-512" hashValue="q01M9aKTVqcctnzCtOkECvDy1oH80/euHHBOgKRNsUIXUmXEYR1D9oxNL/EIibxF4yKTQNiNkrW66sI/3nuePA==" saltValue="kWmAmx2hG67OmLMbNMGZIQ==" spinCount="100000" sheet="1" objects="1" scenarios="1" formatCells="0"/>
  <mergeCells count="41">
    <mergeCell ref="A1:D1"/>
    <mergeCell ref="A2:D2"/>
    <mergeCell ref="E13:G13"/>
    <mergeCell ref="E16:G16"/>
    <mergeCell ref="A19:C19"/>
    <mergeCell ref="A6:C6"/>
    <mergeCell ref="E12:G12"/>
    <mergeCell ref="A5:H5"/>
    <mergeCell ref="A11:H11"/>
    <mergeCell ref="A18:H18"/>
    <mergeCell ref="E6:G6"/>
    <mergeCell ref="A7:C7"/>
    <mergeCell ref="E7:G7"/>
    <mergeCell ref="A8:C8"/>
    <mergeCell ref="E8:G8"/>
    <mergeCell ref="A12:C12"/>
    <mergeCell ref="A9:C9"/>
    <mergeCell ref="E9:G9"/>
    <mergeCell ref="A16:C16"/>
    <mergeCell ref="A14:C14"/>
    <mergeCell ref="E15:G15"/>
    <mergeCell ref="A13:C13"/>
    <mergeCell ref="E14:G14"/>
    <mergeCell ref="A15:C15"/>
    <mergeCell ref="A27:C27"/>
    <mergeCell ref="E27:G27"/>
    <mergeCell ref="A20:C20"/>
    <mergeCell ref="E19:G19"/>
    <mergeCell ref="E20:G20"/>
    <mergeCell ref="A26:H26"/>
    <mergeCell ref="A21:C21"/>
    <mergeCell ref="E21:G21"/>
    <mergeCell ref="A23:H23"/>
    <mergeCell ref="A24:C24"/>
    <mergeCell ref="E24:G24"/>
    <mergeCell ref="A30:C30"/>
    <mergeCell ref="E30:G30"/>
    <mergeCell ref="A28:C28"/>
    <mergeCell ref="E28:G28"/>
    <mergeCell ref="A29:C29"/>
    <mergeCell ref="E29:G29"/>
  </mergeCells>
  <pageMargins left="0.70866141732283472" right="0.70866141732283472" top="0.74803149606299213" bottom="0.74803149606299213" header="0.31496062992125984" footer="0.31496062992125984"/>
  <pageSetup paperSize="9" scale="82" fitToHeight="4" orientation="landscape" horizontalDpi="4294967293" r:id="rId1"/>
  <customProperties>
    <customPr name="Guid" r:id="rId2"/>
  </customProperties>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theme="9"/>
  </sheetPr>
  <dimension ref="A1:O343"/>
  <sheetViews>
    <sheetView zoomScaleNormal="100" workbookViewId="0">
      <selection sqref="A1:D1"/>
    </sheetView>
  </sheetViews>
  <sheetFormatPr defaultColWidth="11.44140625" defaultRowHeight="13.2"/>
  <cols>
    <col min="1" max="1" width="11.44140625" style="377" customWidth="1"/>
    <col min="2" max="11" width="15.6640625" style="377" customWidth="1"/>
    <col min="12" max="16384" width="11.44140625" style="377"/>
  </cols>
  <sheetData>
    <row r="1" spans="1:15" s="124" customFormat="1" ht="21">
      <c r="A1" s="874" t="str">
        <f>MDProjektname</f>
        <v>Migration GEFI</v>
      </c>
      <c r="B1" s="875"/>
      <c r="C1" s="875"/>
      <c r="D1" s="876"/>
      <c r="E1" s="116"/>
      <c r="F1" s="114"/>
      <c r="G1" s="114"/>
      <c r="H1" s="114"/>
      <c r="I1" s="114"/>
      <c r="J1" s="114"/>
      <c r="K1" s="114"/>
      <c r="L1" s="114"/>
      <c r="M1" s="114"/>
    </row>
    <row r="2" spans="1:15" s="124" customFormat="1" ht="26.25" customHeight="1" thickBot="1">
      <c r="A2" s="877" t="str">
        <f>MDCustomer</f>
        <v>OFISA</v>
      </c>
      <c r="B2" s="878"/>
      <c r="C2" s="878"/>
      <c r="D2" s="879"/>
      <c r="E2" s="116"/>
      <c r="G2" s="177" t="s">
        <v>1494</v>
      </c>
      <c r="H2" s="114"/>
      <c r="I2" s="114"/>
      <c r="J2" s="114"/>
      <c r="K2" s="114"/>
      <c r="L2" s="114"/>
      <c r="M2" s="114"/>
    </row>
    <row r="3" spans="1:15" s="124" customFormat="1" ht="26.25" customHeight="1">
      <c r="A3" s="114"/>
      <c r="B3" s="114"/>
      <c r="C3" s="114"/>
      <c r="D3" s="114"/>
      <c r="E3" s="116"/>
      <c r="G3" s="115" t="s">
        <v>1504</v>
      </c>
      <c r="H3" s="114"/>
      <c r="I3" s="114"/>
      <c r="J3" s="114"/>
      <c r="K3" s="114"/>
      <c r="L3" s="114"/>
      <c r="M3" s="114"/>
    </row>
    <row r="4" spans="1:15" s="124" customFormat="1" ht="15" customHeight="1" thickBot="1">
      <c r="A4" s="114"/>
      <c r="B4" s="114"/>
      <c r="C4" s="114"/>
      <c r="D4" s="114"/>
      <c r="E4" s="114"/>
      <c r="F4" s="114"/>
      <c r="G4" s="114"/>
      <c r="H4" s="114"/>
      <c r="I4" s="114"/>
      <c r="J4" s="114"/>
      <c r="K4" s="114"/>
      <c r="L4" s="114"/>
      <c r="M4" s="114"/>
    </row>
    <row r="5" spans="1:15" ht="15.6">
      <c r="A5" s="370" t="s">
        <v>661</v>
      </c>
      <c r="B5" s="371"/>
      <c r="C5" s="371"/>
      <c r="D5" s="371"/>
      <c r="E5" s="371"/>
      <c r="F5" s="371"/>
      <c r="G5" s="371"/>
      <c r="H5" s="372"/>
      <c r="I5" s="370" t="s">
        <v>662</v>
      </c>
      <c r="J5" s="371"/>
      <c r="K5" s="372"/>
      <c r="L5" s="373"/>
      <c r="M5" s="374"/>
      <c r="N5" s="375"/>
      <c r="O5" s="376"/>
    </row>
    <row r="6" spans="1:15" ht="3" customHeight="1">
      <c r="A6" s="378"/>
      <c r="B6" s="379"/>
      <c r="C6" s="379"/>
      <c r="D6" s="379"/>
      <c r="E6" s="379"/>
      <c r="F6" s="379"/>
      <c r="G6" s="379"/>
      <c r="H6" s="379"/>
      <c r="I6" s="379"/>
      <c r="J6" s="379"/>
      <c r="K6" s="380"/>
      <c r="L6" s="373"/>
      <c r="M6" s="381"/>
      <c r="N6" s="382"/>
      <c r="O6" s="383"/>
    </row>
    <row r="7" spans="1:15" ht="13.8">
      <c r="A7" s="384" t="s">
        <v>663</v>
      </c>
      <c r="B7" s="1093" t="str">
        <f>MDCustomer</f>
        <v>OFISA</v>
      </c>
      <c r="C7" s="1093"/>
      <c r="D7" s="1094"/>
      <c r="E7" s="384" t="s">
        <v>664</v>
      </c>
      <c r="F7" s="1093"/>
      <c r="G7" s="1093"/>
      <c r="H7" s="1094"/>
      <c r="I7" s="385"/>
      <c r="J7" s="386"/>
      <c r="K7" s="387"/>
      <c r="L7" s="373"/>
      <c r="M7" s="381"/>
      <c r="N7" s="382"/>
      <c r="O7" s="383"/>
    </row>
    <row r="8" spans="1:15" ht="13.8" thickBot="1">
      <c r="A8" s="384" t="s">
        <v>665</v>
      </c>
      <c r="B8" s="1093"/>
      <c r="C8" s="1093"/>
      <c r="D8" s="1094"/>
      <c r="E8" s="384" t="s">
        <v>666</v>
      </c>
      <c r="F8" s="1093"/>
      <c r="G8" s="1093"/>
      <c r="H8" s="1094"/>
      <c r="I8" s="388"/>
      <c r="J8" s="389"/>
      <c r="K8" s="390"/>
      <c r="L8" s="373"/>
      <c r="M8" s="391"/>
      <c r="N8" s="392"/>
      <c r="O8" s="393"/>
    </row>
    <row r="9" spans="1:15">
      <c r="A9" s="384" t="s">
        <v>667</v>
      </c>
      <c r="B9" s="1093"/>
      <c r="C9" s="1093"/>
      <c r="D9" s="1094"/>
      <c r="E9" s="384" t="s">
        <v>668</v>
      </c>
      <c r="F9" s="1095"/>
      <c r="G9" s="1096"/>
      <c r="H9" s="1097"/>
      <c r="I9" s="388"/>
      <c r="J9" s="389"/>
      <c r="K9" s="390"/>
      <c r="L9" s="373"/>
    </row>
    <row r="10" spans="1:15">
      <c r="A10" s="394" t="s">
        <v>669</v>
      </c>
      <c r="B10" s="1093"/>
      <c r="C10" s="1093"/>
      <c r="D10" s="1094"/>
      <c r="E10" s="384" t="s">
        <v>670</v>
      </c>
      <c r="F10" s="1095"/>
      <c r="G10" s="1096"/>
      <c r="H10" s="1097"/>
      <c r="I10" s="388"/>
      <c r="J10" s="389"/>
      <c r="K10" s="390"/>
      <c r="L10" s="373"/>
    </row>
    <row r="11" spans="1:15">
      <c r="A11" s="384" t="s">
        <v>671</v>
      </c>
      <c r="B11" s="1093"/>
      <c r="C11" s="1093"/>
      <c r="D11" s="1094"/>
      <c r="E11" s="1098"/>
      <c r="F11" s="1099"/>
      <c r="G11" s="1099"/>
      <c r="H11" s="1100"/>
      <c r="I11" s="388"/>
      <c r="J11" s="389"/>
      <c r="K11" s="390"/>
      <c r="L11" s="373"/>
    </row>
    <row r="12" spans="1:15">
      <c r="A12" s="384" t="s">
        <v>672</v>
      </c>
      <c r="B12" s="1093"/>
      <c r="C12" s="1093"/>
      <c r="D12" s="1094"/>
      <c r="E12" s="1101"/>
      <c r="F12" s="1102"/>
      <c r="G12" s="1102"/>
      <c r="H12" s="1103"/>
      <c r="I12" s="388"/>
      <c r="J12" s="389"/>
      <c r="K12" s="390"/>
      <c r="L12" s="373"/>
    </row>
    <row r="13" spans="1:15">
      <c r="A13" s="1104"/>
      <c r="B13" s="1104"/>
      <c r="C13" s="1104"/>
      <c r="D13" s="1104"/>
      <c r="E13" s="1104"/>
      <c r="F13" s="1104"/>
      <c r="G13" s="1104"/>
      <c r="H13" s="1104"/>
      <c r="I13" s="388"/>
      <c r="J13" s="389"/>
      <c r="K13" s="390"/>
      <c r="L13" s="373"/>
    </row>
    <row r="14" spans="1:15">
      <c r="A14" s="1089" t="s">
        <v>673</v>
      </c>
      <c r="B14" s="1090"/>
      <c r="C14" s="1090"/>
      <c r="D14" s="1105"/>
      <c r="E14" s="1089" t="s">
        <v>674</v>
      </c>
      <c r="F14" s="1090"/>
      <c r="G14" s="1090"/>
      <c r="H14" s="1090"/>
      <c r="I14" s="388"/>
      <c r="J14" s="389"/>
      <c r="K14" s="390"/>
      <c r="L14" s="373"/>
    </row>
    <row r="15" spans="1:15" ht="3" customHeight="1">
      <c r="A15" s="395"/>
      <c r="B15" s="396"/>
      <c r="C15" s="396"/>
      <c r="D15" s="396"/>
      <c r="E15" s="396"/>
      <c r="F15" s="396"/>
      <c r="G15" s="396"/>
      <c r="H15" s="396"/>
      <c r="I15" s="388"/>
      <c r="J15" s="389"/>
      <c r="K15" s="390"/>
      <c r="L15" s="373"/>
    </row>
    <row r="16" spans="1:15">
      <c r="A16" s="384" t="s">
        <v>663</v>
      </c>
      <c r="B16" s="1091" t="str">
        <f>B7</f>
        <v>OFISA</v>
      </c>
      <c r="C16" s="1091"/>
      <c r="D16" s="1092"/>
      <c r="E16" s="384" t="s">
        <v>663</v>
      </c>
      <c r="F16" s="1091" t="str">
        <f t="shared" ref="F16:F25" si="0">B16</f>
        <v>OFISA</v>
      </c>
      <c r="G16" s="1091"/>
      <c r="H16" s="1092"/>
      <c r="I16" s="388"/>
      <c r="J16" s="389"/>
      <c r="K16" s="390"/>
      <c r="L16" s="373"/>
    </row>
    <row r="17" spans="1:12">
      <c r="A17" s="384" t="s">
        <v>665</v>
      </c>
      <c r="B17" s="1091">
        <f>B8</f>
        <v>0</v>
      </c>
      <c r="C17" s="1091"/>
      <c r="D17" s="1092"/>
      <c r="E17" s="384" t="s">
        <v>665</v>
      </c>
      <c r="F17" s="1091">
        <f t="shared" si="0"/>
        <v>0</v>
      </c>
      <c r="G17" s="1091"/>
      <c r="H17" s="1092"/>
      <c r="I17" s="388"/>
      <c r="J17" s="389"/>
      <c r="K17" s="390"/>
      <c r="L17" s="373"/>
    </row>
    <row r="18" spans="1:12">
      <c r="A18" s="384" t="s">
        <v>675</v>
      </c>
      <c r="B18" s="1091"/>
      <c r="C18" s="1091"/>
      <c r="D18" s="1092"/>
      <c r="E18" s="384" t="s">
        <v>675</v>
      </c>
      <c r="F18" s="1091">
        <f t="shared" si="0"/>
        <v>0</v>
      </c>
      <c r="G18" s="1091"/>
      <c r="H18" s="1092"/>
      <c r="I18" s="388"/>
      <c r="J18" s="389"/>
      <c r="K18" s="390"/>
      <c r="L18" s="373"/>
    </row>
    <row r="19" spans="1:12">
      <c r="A19" s="384" t="s">
        <v>667</v>
      </c>
      <c r="B19" s="1091">
        <f>B9</f>
        <v>0</v>
      </c>
      <c r="C19" s="1091"/>
      <c r="D19" s="1092"/>
      <c r="E19" s="384" t="s">
        <v>667</v>
      </c>
      <c r="F19" s="1091">
        <f t="shared" si="0"/>
        <v>0</v>
      </c>
      <c r="G19" s="1091"/>
      <c r="H19" s="1092"/>
      <c r="I19" s="388"/>
      <c r="J19" s="389"/>
      <c r="K19" s="390"/>
      <c r="L19" s="373"/>
    </row>
    <row r="20" spans="1:12">
      <c r="A20" s="384" t="s">
        <v>669</v>
      </c>
      <c r="B20" s="1091">
        <f>B10</f>
        <v>0</v>
      </c>
      <c r="C20" s="1091"/>
      <c r="D20" s="1092"/>
      <c r="E20" s="384" t="s">
        <v>669</v>
      </c>
      <c r="F20" s="1091">
        <f t="shared" si="0"/>
        <v>0</v>
      </c>
      <c r="G20" s="1091"/>
      <c r="H20" s="1092"/>
      <c r="I20" s="388"/>
      <c r="J20" s="389"/>
      <c r="K20" s="390"/>
      <c r="L20" s="373"/>
    </row>
    <row r="21" spans="1:12">
      <c r="A21" s="384" t="s">
        <v>671</v>
      </c>
      <c r="B21" s="1091">
        <f>B11</f>
        <v>0</v>
      </c>
      <c r="C21" s="1091"/>
      <c r="D21" s="1092"/>
      <c r="E21" s="384" t="s">
        <v>671</v>
      </c>
      <c r="F21" s="1091">
        <f t="shared" si="0"/>
        <v>0</v>
      </c>
      <c r="G21" s="1091"/>
      <c r="H21" s="1092"/>
      <c r="I21" s="388"/>
      <c r="J21" s="389"/>
      <c r="K21" s="390"/>
      <c r="L21" s="373"/>
    </row>
    <row r="22" spans="1:12">
      <c r="A22" s="384" t="s">
        <v>672</v>
      </c>
      <c r="B22" s="1091">
        <f>B12</f>
        <v>0</v>
      </c>
      <c r="C22" s="1091"/>
      <c r="D22" s="1092"/>
      <c r="E22" s="384" t="s">
        <v>672</v>
      </c>
      <c r="F22" s="1091">
        <f t="shared" si="0"/>
        <v>0</v>
      </c>
      <c r="G22" s="1091"/>
      <c r="H22" s="1092"/>
      <c r="I22" s="1089" t="s">
        <v>1478</v>
      </c>
      <c r="J22" s="1090"/>
      <c r="K22" s="1090"/>
      <c r="L22" s="373"/>
    </row>
    <row r="23" spans="1:12">
      <c r="A23" s="384" t="s">
        <v>668</v>
      </c>
      <c r="B23" s="1091"/>
      <c r="C23" s="1091"/>
      <c r="D23" s="1092"/>
      <c r="E23" s="384" t="s">
        <v>668</v>
      </c>
      <c r="F23" s="1091">
        <f t="shared" si="0"/>
        <v>0</v>
      </c>
      <c r="G23" s="1091"/>
      <c r="H23" s="1092"/>
      <c r="I23" s="1091">
        <f>MDOpportunityID</f>
        <v>20306</v>
      </c>
      <c r="J23" s="1091"/>
      <c r="K23" s="1092"/>
      <c r="L23" s="373"/>
    </row>
    <row r="24" spans="1:12">
      <c r="A24" s="384" t="s">
        <v>670</v>
      </c>
      <c r="B24" s="1091"/>
      <c r="C24" s="1091"/>
      <c r="D24" s="1092"/>
      <c r="E24" s="384" t="s">
        <v>670</v>
      </c>
      <c r="F24" s="1091">
        <f t="shared" si="0"/>
        <v>0</v>
      </c>
      <c r="G24" s="1091"/>
      <c r="H24" s="1092"/>
      <c r="I24" s="1089" t="s">
        <v>1479</v>
      </c>
      <c r="J24" s="1090"/>
      <c r="K24" s="1090"/>
      <c r="L24" s="373"/>
    </row>
    <row r="25" spans="1:12">
      <c r="A25" s="384" t="s">
        <v>676</v>
      </c>
      <c r="B25" s="1091"/>
      <c r="C25" s="1091"/>
      <c r="D25" s="1092"/>
      <c r="E25" s="384" t="s">
        <v>676</v>
      </c>
      <c r="F25" s="1091">
        <f t="shared" si="0"/>
        <v>0</v>
      </c>
      <c r="G25" s="1091"/>
      <c r="H25" s="1092"/>
      <c r="I25" s="1091"/>
      <c r="J25" s="1091"/>
      <c r="K25" s="1092"/>
      <c r="L25" s="373"/>
    </row>
    <row r="26" spans="1:12">
      <c r="A26" s="397"/>
      <c r="B26" s="397"/>
      <c r="C26" s="397"/>
      <c r="D26" s="397"/>
      <c r="E26" s="397"/>
      <c r="F26" s="397"/>
      <c r="G26" s="397"/>
      <c r="H26" s="398"/>
      <c r="I26" s="398"/>
      <c r="J26" s="398"/>
      <c r="K26" s="398"/>
      <c r="L26" s="373"/>
    </row>
    <row r="27" spans="1:12" ht="15.6">
      <c r="A27" s="370" t="s">
        <v>677</v>
      </c>
      <c r="B27" s="371"/>
      <c r="C27" s="371"/>
      <c r="D27" s="371"/>
      <c r="E27" s="371"/>
      <c r="F27" s="371"/>
      <c r="G27" s="371"/>
      <c r="H27" s="371"/>
      <c r="I27" s="399"/>
      <c r="J27" s="398"/>
      <c r="K27" s="398"/>
      <c r="L27" s="373"/>
    </row>
    <row r="28" spans="1:12" ht="3" customHeight="1">
      <c r="A28" s="378"/>
      <c r="B28" s="379"/>
      <c r="C28" s="379"/>
      <c r="D28" s="379"/>
      <c r="E28" s="379"/>
      <c r="F28" s="379"/>
      <c r="G28" s="379"/>
      <c r="H28" s="379"/>
      <c r="I28" s="400"/>
      <c r="J28" s="401"/>
      <c r="K28" s="402"/>
      <c r="L28" s="373"/>
    </row>
    <row r="29" spans="1:12" ht="12.75" customHeight="1">
      <c r="A29" s="384" t="s">
        <v>678</v>
      </c>
      <c r="B29" s="1093" t="s">
        <v>199</v>
      </c>
      <c r="C29" s="1093"/>
      <c r="D29" s="1094"/>
      <c r="E29" s="403" t="s">
        <v>679</v>
      </c>
      <c r="F29" s="1093" t="s">
        <v>101</v>
      </c>
      <c r="G29" s="1093"/>
      <c r="H29" s="1111"/>
      <c r="I29" s="404"/>
      <c r="J29" s="1128" t="str">
        <f>B7</f>
        <v>OFISA</v>
      </c>
      <c r="K29" s="1129"/>
      <c r="L29" s="373"/>
    </row>
    <row r="30" spans="1:12">
      <c r="A30" s="384" t="s">
        <v>680</v>
      </c>
      <c r="B30" s="1106" t="str">
        <f>MDProjektname</f>
        <v>Migration GEFI</v>
      </c>
      <c r="C30" s="1106"/>
      <c r="D30" s="1107"/>
      <c r="E30" s="405" t="s">
        <v>681</v>
      </c>
      <c r="F30" s="1134" t="str">
        <f>MDProjectBusinessManager</f>
        <v>Claude-Alain Glauser</v>
      </c>
      <c r="G30" s="1135"/>
      <c r="H30" s="1136"/>
      <c r="I30" s="406" t="s">
        <v>682</v>
      </c>
      <c r="J30" s="1130"/>
      <c r="K30" s="1131"/>
      <c r="L30" s="373"/>
    </row>
    <row r="31" spans="1:12">
      <c r="A31" s="384" t="s">
        <v>683</v>
      </c>
      <c r="B31" s="1093" t="s">
        <v>24</v>
      </c>
      <c r="C31" s="1093"/>
      <c r="D31" s="1094"/>
      <c r="E31" s="405" t="s">
        <v>684</v>
      </c>
      <c r="F31" s="1134" t="str">
        <f>MDProjectManager</f>
        <v>Gille di Domenico</v>
      </c>
      <c r="G31" s="1135"/>
      <c r="H31" s="1136"/>
      <c r="I31" s="407"/>
      <c r="J31" s="1130"/>
      <c r="K31" s="1131"/>
      <c r="L31" s="373"/>
    </row>
    <row r="32" spans="1:12">
      <c r="A32" s="384" t="s">
        <v>685</v>
      </c>
      <c r="B32" s="1137">
        <f>MDProjectStart</f>
        <v>41760</v>
      </c>
      <c r="C32" s="1138"/>
      <c r="D32" s="1139"/>
      <c r="E32" s="1140" t="s">
        <v>686</v>
      </c>
      <c r="F32" s="1143"/>
      <c r="G32" s="1144"/>
      <c r="H32" s="1145"/>
      <c r="I32" s="407"/>
      <c r="J32" s="1130"/>
      <c r="K32" s="1131"/>
      <c r="L32" s="373"/>
    </row>
    <row r="33" spans="1:12">
      <c r="A33" s="384" t="s">
        <v>687</v>
      </c>
      <c r="B33" s="1137">
        <f>MDProjectEnd</f>
        <v>41881</v>
      </c>
      <c r="C33" s="1138"/>
      <c r="D33" s="1139"/>
      <c r="E33" s="1141"/>
      <c r="F33" s="1108"/>
      <c r="G33" s="1109"/>
      <c r="H33" s="1110"/>
      <c r="I33" s="407"/>
      <c r="J33" s="1130"/>
      <c r="K33" s="1131"/>
      <c r="L33" s="373"/>
    </row>
    <row r="34" spans="1:12">
      <c r="A34" s="384" t="s">
        <v>688</v>
      </c>
      <c r="B34" s="1106" t="str">
        <f>MDContractType</f>
        <v>Fixpreis</v>
      </c>
      <c r="C34" s="1106"/>
      <c r="D34" s="1107"/>
      <c r="E34" s="1141"/>
      <c r="F34" s="1108"/>
      <c r="G34" s="1109"/>
      <c r="H34" s="1110"/>
      <c r="I34" s="407"/>
      <c r="J34" s="1130"/>
      <c r="K34" s="1131"/>
      <c r="L34" s="373"/>
    </row>
    <row r="35" spans="1:12">
      <c r="A35" s="384" t="s">
        <v>689</v>
      </c>
      <c r="B35" s="1106" t="str">
        <f>MDContractCurrency</f>
        <v>CHF</v>
      </c>
      <c r="C35" s="1106"/>
      <c r="D35" s="1107"/>
      <c r="E35" s="1141"/>
      <c r="F35" s="1108"/>
      <c r="G35" s="1109"/>
      <c r="H35" s="1110"/>
      <c r="I35" s="407"/>
      <c r="J35" s="1130"/>
      <c r="K35" s="1131"/>
      <c r="L35" s="373"/>
    </row>
    <row r="36" spans="1:12" ht="12.75" customHeight="1">
      <c r="A36" s="1121" t="s">
        <v>690</v>
      </c>
      <c r="B36" s="1124" t="s">
        <v>691</v>
      </c>
      <c r="C36" s="1124"/>
      <c r="D36" s="408" t="s">
        <v>692</v>
      </c>
      <c r="E36" s="1141"/>
      <c r="F36" s="1108"/>
      <c r="G36" s="1109"/>
      <c r="H36" s="1110"/>
      <c r="I36" s="407"/>
      <c r="J36" s="1130"/>
      <c r="K36" s="1131"/>
      <c r="L36" s="373"/>
    </row>
    <row r="37" spans="1:12">
      <c r="A37" s="1122"/>
      <c r="B37" s="1125"/>
      <c r="C37" s="1125"/>
      <c r="D37" s="409"/>
      <c r="E37" s="1141"/>
      <c r="F37" s="1108"/>
      <c r="G37" s="1109"/>
      <c r="H37" s="1110"/>
      <c r="I37" s="407"/>
      <c r="J37" s="1130"/>
      <c r="K37" s="1131"/>
      <c r="L37" s="373"/>
    </row>
    <row r="38" spans="1:12">
      <c r="A38" s="1123"/>
      <c r="B38" s="1126"/>
      <c r="C38" s="1126"/>
      <c r="D38" s="410"/>
      <c r="E38" s="1142"/>
      <c r="F38" s="1127"/>
      <c r="G38" s="1112"/>
      <c r="H38" s="1113"/>
      <c r="I38" s="407"/>
      <c r="J38" s="1132"/>
      <c r="K38" s="1133"/>
      <c r="L38" s="373"/>
    </row>
    <row r="39" spans="1:12">
      <c r="A39" s="1099"/>
      <c r="B39" s="1099"/>
      <c r="C39" s="1099"/>
      <c r="D39" s="1099"/>
      <c r="E39" s="411" t="s">
        <v>1342</v>
      </c>
      <c r="F39" s="1112"/>
      <c r="G39" s="1112"/>
      <c r="H39" s="1113"/>
      <c r="I39" s="1114"/>
      <c r="J39" s="1115"/>
      <c r="K39" s="1115"/>
      <c r="L39" s="373"/>
    </row>
    <row r="40" spans="1:12">
      <c r="A40" s="1116"/>
      <c r="B40" s="1116"/>
      <c r="C40" s="1116"/>
      <c r="D40" s="1116"/>
      <c r="E40" s="1117"/>
      <c r="F40" s="1116"/>
      <c r="G40" s="1116"/>
      <c r="H40" s="1116"/>
      <c r="I40" s="1116"/>
      <c r="J40" s="1116"/>
      <c r="K40" s="1116"/>
      <c r="L40" s="373"/>
    </row>
    <row r="41" spans="1:12" ht="15.6">
      <c r="A41" s="412" t="s">
        <v>693</v>
      </c>
      <c r="B41" s="413"/>
      <c r="C41" s="413"/>
      <c r="D41" s="413"/>
      <c r="E41" s="413"/>
      <c r="F41" s="413"/>
      <c r="G41" s="413"/>
      <c r="H41" s="413"/>
      <c r="I41" s="413"/>
      <c r="J41" s="413"/>
      <c r="K41" s="414"/>
      <c r="L41" s="373"/>
    </row>
    <row r="42" spans="1:12" ht="3" customHeight="1">
      <c r="A42" s="415"/>
      <c r="B42" s="416"/>
      <c r="C42" s="416"/>
      <c r="D42" s="416"/>
      <c r="E42" s="416"/>
      <c r="F42" s="416"/>
      <c r="G42" s="416"/>
      <c r="H42" s="416"/>
      <c r="I42" s="416"/>
      <c r="J42" s="416"/>
      <c r="K42" s="417"/>
      <c r="L42" s="373"/>
    </row>
    <row r="43" spans="1:12" s="420" customFormat="1" ht="12.75" customHeight="1">
      <c r="A43" s="418" t="s">
        <v>694</v>
      </c>
      <c r="B43" s="1118" t="s">
        <v>695</v>
      </c>
      <c r="C43" s="1119"/>
      <c r="D43" s="1120"/>
      <c r="E43" s="418" t="s">
        <v>696</v>
      </c>
      <c r="F43" s="418" t="s">
        <v>697</v>
      </c>
      <c r="G43" s="418" t="s">
        <v>698</v>
      </c>
      <c r="H43" s="418" t="s">
        <v>699</v>
      </c>
      <c r="I43" s="418" t="s">
        <v>700</v>
      </c>
      <c r="J43" s="418" t="s">
        <v>1210</v>
      </c>
      <c r="K43" s="418" t="s">
        <v>701</v>
      </c>
      <c r="L43" s="419"/>
    </row>
    <row r="44" spans="1:12" s="424" customFormat="1" ht="12.75" customHeight="1">
      <c r="A44" s="1151">
        <f>INDEX(ESPSPNo,1,1)</f>
        <v>0</v>
      </c>
      <c r="B44" s="1153" t="str">
        <f>INDEX(ESPSPTitle,1,1)</f>
        <v>GEFI Migration</v>
      </c>
      <c r="C44" s="1154"/>
      <c r="D44" s="1155"/>
      <c r="E44" s="421" t="s">
        <v>93</v>
      </c>
      <c r="F44" s="422">
        <f>H44</f>
        <v>0</v>
      </c>
      <c r="G44" s="422">
        <f>H44</f>
        <v>0</v>
      </c>
      <c r="H44" s="422"/>
      <c r="I44" s="422">
        <f>H44</f>
        <v>0</v>
      </c>
      <c r="J44" s="422"/>
      <c r="K44" s="422"/>
      <c r="L44" s="423"/>
    </row>
    <row r="45" spans="1:12" s="424" customFormat="1" ht="12.75" customHeight="1">
      <c r="A45" s="1151"/>
      <c r="B45" s="418" t="s">
        <v>702</v>
      </c>
      <c r="C45" s="418" t="s">
        <v>703</v>
      </c>
      <c r="D45" s="418" t="s">
        <v>685</v>
      </c>
      <c r="E45" s="418" t="s">
        <v>687</v>
      </c>
      <c r="F45" s="1118" t="s">
        <v>1102</v>
      </c>
      <c r="G45" s="1119"/>
      <c r="H45" s="1119"/>
      <c r="I45" s="1120"/>
      <c r="J45" s="1156" t="s">
        <v>704</v>
      </c>
      <c r="K45" s="1157"/>
      <c r="L45" s="423"/>
    </row>
    <row r="46" spans="1:12" s="424" customFormat="1" ht="12.75" customHeight="1">
      <c r="A46" s="1151"/>
      <c r="B46" s="422">
        <f ca="1">INDEX(ESPSPExternalPrice,1,1)</f>
        <v>93800</v>
      </c>
      <c r="C46" s="422">
        <f>INDEX(ESPSPEffort,1,1)*MDWorkhours</f>
        <v>584</v>
      </c>
      <c r="D46" s="425">
        <f>INDEX(ESPSPStart,1,1)</f>
        <v>0</v>
      </c>
      <c r="E46" s="425">
        <f>INDEX(ESPSPEnd,1,1)</f>
        <v>0</v>
      </c>
      <c r="F46" s="1158"/>
      <c r="G46" s="1159"/>
      <c r="H46" s="1159"/>
      <c r="I46" s="1160"/>
      <c r="J46" s="1146"/>
      <c r="K46" s="1147"/>
      <c r="L46" s="423"/>
    </row>
    <row r="47" spans="1:12" s="424" customFormat="1" ht="12.75" customHeight="1">
      <c r="A47" s="1151"/>
      <c r="B47" s="1156" t="s">
        <v>705</v>
      </c>
      <c r="C47" s="1124"/>
      <c r="D47" s="1157"/>
      <c r="E47" s="1156" t="s">
        <v>706</v>
      </c>
      <c r="F47" s="1157"/>
      <c r="G47" s="1156" t="s">
        <v>707</v>
      </c>
      <c r="H47" s="1124"/>
      <c r="I47" s="1157"/>
      <c r="J47" s="1146"/>
      <c r="K47" s="1147"/>
      <c r="L47" s="423"/>
    </row>
    <row r="48" spans="1:12" s="424" customFormat="1" ht="12.75" customHeight="1">
      <c r="A48" s="1151"/>
      <c r="B48" s="1122" t="s">
        <v>691</v>
      </c>
      <c r="C48" s="1161"/>
      <c r="D48" s="426" t="s">
        <v>692</v>
      </c>
      <c r="E48" s="427" t="s">
        <v>708</v>
      </c>
      <c r="F48" s="426" t="s">
        <v>709</v>
      </c>
      <c r="G48" s="1162">
        <f>INDEX(ESPSPNotes,1,1)</f>
        <v>0</v>
      </c>
      <c r="H48" s="1163"/>
      <c r="I48" s="1164"/>
      <c r="J48" s="1146"/>
      <c r="K48" s="1147"/>
      <c r="L48" s="423"/>
    </row>
    <row r="49" spans="1:12" s="424" customFormat="1" ht="12.75" customHeight="1">
      <c r="A49" s="1151"/>
      <c r="B49" s="1125"/>
      <c r="C49" s="1125"/>
      <c r="D49" s="409"/>
      <c r="E49" s="428"/>
      <c r="F49" s="429"/>
      <c r="G49" s="1162"/>
      <c r="H49" s="1163"/>
      <c r="I49" s="1164"/>
      <c r="J49" s="1146"/>
      <c r="K49" s="1147"/>
      <c r="L49" s="423"/>
    </row>
    <row r="50" spans="1:12" s="424" customFormat="1" ht="12.75" customHeight="1">
      <c r="A50" s="1151"/>
      <c r="B50" s="1125"/>
      <c r="C50" s="1125"/>
      <c r="D50" s="409"/>
      <c r="E50" s="428"/>
      <c r="F50" s="429"/>
      <c r="G50" s="1162"/>
      <c r="H50" s="1163"/>
      <c r="I50" s="1164"/>
      <c r="J50" s="1146"/>
      <c r="K50" s="1147"/>
      <c r="L50" s="423"/>
    </row>
    <row r="51" spans="1:12" s="424" customFormat="1" ht="12.75" customHeight="1">
      <c r="A51" s="1152"/>
      <c r="B51" s="1126"/>
      <c r="C51" s="1126"/>
      <c r="D51" s="410"/>
      <c r="E51" s="430"/>
      <c r="F51" s="431"/>
      <c r="G51" s="1165"/>
      <c r="H51" s="1166"/>
      <c r="I51" s="1167"/>
      <c r="J51" s="1148"/>
      <c r="K51" s="1149"/>
      <c r="L51" s="423"/>
    </row>
    <row r="52" spans="1:12" s="433" customFormat="1" ht="3" customHeight="1">
      <c r="A52" s="1150"/>
      <c r="B52" s="1150"/>
      <c r="C52" s="1150"/>
      <c r="D52" s="1150"/>
      <c r="E52" s="1150"/>
      <c r="F52" s="1150"/>
      <c r="G52" s="1150"/>
      <c r="H52" s="1150"/>
      <c r="I52" s="1150"/>
      <c r="J52" s="1150"/>
      <c r="K52" s="1150"/>
      <c r="L52" s="432"/>
    </row>
    <row r="53" spans="1:12" s="424" customFormat="1" ht="12.75" customHeight="1">
      <c r="A53" s="418" t="s">
        <v>694</v>
      </c>
      <c r="B53" s="1118" t="s">
        <v>695</v>
      </c>
      <c r="C53" s="1119"/>
      <c r="D53" s="1120"/>
      <c r="E53" s="418" t="s">
        <v>696</v>
      </c>
      <c r="F53" s="418" t="s">
        <v>697</v>
      </c>
      <c r="G53" s="418" t="s">
        <v>698</v>
      </c>
      <c r="H53" s="418" t="s">
        <v>699</v>
      </c>
      <c r="I53" s="418" t="s">
        <v>700</v>
      </c>
      <c r="J53" s="418" t="s">
        <v>1210</v>
      </c>
      <c r="K53" s="418" t="s">
        <v>701</v>
      </c>
      <c r="L53" s="423"/>
    </row>
    <row r="54" spans="1:12" s="424" customFormat="1" ht="12.75" customHeight="1">
      <c r="A54" s="1151">
        <f>INDEX(ESPSPNo,2,1)</f>
        <v>0</v>
      </c>
      <c r="B54" s="1153">
        <f>INDEX(ESPSPTitle,2,1)</f>
        <v>0</v>
      </c>
      <c r="C54" s="1154"/>
      <c r="D54" s="1155"/>
      <c r="E54" s="421" t="str">
        <f>IF(A54&lt;&gt;0,IF(OR(INDEX(ESPSPTandM,2,1)=TMDPhaseChangeTimeAndMaterial,INDEX(ESPSPTandM,2,1)=TMDPhaseTimeAndMaterial),TMDAllocationTandM,TMDAllocationFix),"")</f>
        <v/>
      </c>
      <c r="F54" s="422">
        <f>H54</f>
        <v>0</v>
      </c>
      <c r="G54" s="422">
        <f>H54</f>
        <v>0</v>
      </c>
      <c r="H54" s="422"/>
      <c r="I54" s="422">
        <f>H54</f>
        <v>0</v>
      </c>
      <c r="J54" s="422"/>
      <c r="K54" s="422"/>
      <c r="L54" s="423"/>
    </row>
    <row r="55" spans="1:12" s="424" customFormat="1" ht="12.75" customHeight="1">
      <c r="A55" s="1151"/>
      <c r="B55" s="418" t="s">
        <v>702</v>
      </c>
      <c r="C55" s="418" t="s">
        <v>703</v>
      </c>
      <c r="D55" s="418" t="s">
        <v>685</v>
      </c>
      <c r="E55" s="418" t="s">
        <v>687</v>
      </c>
      <c r="F55" s="1118" t="s">
        <v>1102</v>
      </c>
      <c r="G55" s="1119"/>
      <c r="H55" s="1119"/>
      <c r="I55" s="1120"/>
      <c r="J55" s="1156" t="s">
        <v>704</v>
      </c>
      <c r="K55" s="1157"/>
      <c r="L55" s="423"/>
    </row>
    <row r="56" spans="1:12" s="424" customFormat="1" ht="12.75" customHeight="1">
      <c r="A56" s="1151"/>
      <c r="B56" s="422">
        <f>INDEX(ESPSPExternalPrice,2,1)</f>
        <v>0</v>
      </c>
      <c r="C56" s="422">
        <f>INDEX(ESPSPEffort,2,1)*MDWorkhours</f>
        <v>0</v>
      </c>
      <c r="D56" s="425">
        <f>INDEX(ESPSPStart,2,1)</f>
        <v>0</v>
      </c>
      <c r="E56" s="425">
        <f>INDEX(ESPSPEnd,2,1)</f>
        <v>0</v>
      </c>
      <c r="F56" s="1158"/>
      <c r="G56" s="1159"/>
      <c r="H56" s="1159"/>
      <c r="I56" s="1160"/>
      <c r="J56" s="1146"/>
      <c r="K56" s="1147"/>
      <c r="L56" s="423"/>
    </row>
    <row r="57" spans="1:12" s="424" customFormat="1" ht="12.75" customHeight="1">
      <c r="A57" s="1151"/>
      <c r="B57" s="1156" t="s">
        <v>705</v>
      </c>
      <c r="C57" s="1124"/>
      <c r="D57" s="1157"/>
      <c r="E57" s="1156" t="s">
        <v>706</v>
      </c>
      <c r="F57" s="1157"/>
      <c r="G57" s="1156" t="s">
        <v>707</v>
      </c>
      <c r="H57" s="1124"/>
      <c r="I57" s="1157"/>
      <c r="J57" s="1146"/>
      <c r="K57" s="1147"/>
      <c r="L57" s="423"/>
    </row>
    <row r="58" spans="1:12" s="424" customFormat="1" ht="12.75" customHeight="1">
      <c r="A58" s="1151"/>
      <c r="B58" s="1122" t="s">
        <v>691</v>
      </c>
      <c r="C58" s="1161"/>
      <c r="D58" s="426" t="s">
        <v>692</v>
      </c>
      <c r="E58" s="427" t="s">
        <v>708</v>
      </c>
      <c r="F58" s="426" t="s">
        <v>709</v>
      </c>
      <c r="G58" s="1162">
        <f>INDEX(ESPSPNotes,2,1)</f>
        <v>0</v>
      </c>
      <c r="H58" s="1163"/>
      <c r="I58" s="1164"/>
      <c r="J58" s="1146"/>
      <c r="K58" s="1147"/>
      <c r="L58" s="423"/>
    </row>
    <row r="59" spans="1:12" s="424" customFormat="1" ht="12.75" customHeight="1">
      <c r="A59" s="1151"/>
      <c r="B59" s="1125"/>
      <c r="C59" s="1125"/>
      <c r="D59" s="409"/>
      <c r="E59" s="428"/>
      <c r="F59" s="429"/>
      <c r="G59" s="1162"/>
      <c r="H59" s="1163"/>
      <c r="I59" s="1164"/>
      <c r="J59" s="1146"/>
      <c r="K59" s="1147"/>
      <c r="L59" s="423"/>
    </row>
    <row r="60" spans="1:12" s="424" customFormat="1" ht="12.75" customHeight="1">
      <c r="A60" s="1151"/>
      <c r="B60" s="1125"/>
      <c r="C60" s="1125"/>
      <c r="D60" s="409"/>
      <c r="E60" s="428"/>
      <c r="F60" s="429"/>
      <c r="G60" s="1162"/>
      <c r="H60" s="1163"/>
      <c r="I60" s="1164"/>
      <c r="J60" s="1146"/>
      <c r="K60" s="1147"/>
      <c r="L60" s="423"/>
    </row>
    <row r="61" spans="1:12" s="424" customFormat="1" ht="12.75" customHeight="1">
      <c r="A61" s="1152"/>
      <c r="B61" s="1126"/>
      <c r="C61" s="1126"/>
      <c r="D61" s="410"/>
      <c r="E61" s="430"/>
      <c r="F61" s="431"/>
      <c r="G61" s="1165"/>
      <c r="H61" s="1166"/>
      <c r="I61" s="1167"/>
      <c r="J61" s="1148"/>
      <c r="K61" s="1149"/>
      <c r="L61" s="423"/>
    </row>
    <row r="62" spans="1:12" ht="3" customHeight="1">
      <c r="A62" s="1168"/>
      <c r="B62" s="1169"/>
      <c r="C62" s="1169"/>
      <c r="D62" s="1169"/>
      <c r="E62" s="1169"/>
      <c r="F62" s="1169"/>
      <c r="G62" s="1169"/>
      <c r="H62" s="1169"/>
      <c r="I62" s="1169"/>
      <c r="J62" s="1169"/>
      <c r="K62" s="1170"/>
      <c r="L62" s="373"/>
    </row>
    <row r="63" spans="1:12" s="424" customFormat="1" ht="12.75" customHeight="1">
      <c r="A63" s="418" t="s">
        <v>694</v>
      </c>
      <c r="B63" s="1118" t="s">
        <v>695</v>
      </c>
      <c r="C63" s="1119"/>
      <c r="D63" s="1120"/>
      <c r="E63" s="418" t="s">
        <v>696</v>
      </c>
      <c r="F63" s="418" t="s">
        <v>697</v>
      </c>
      <c r="G63" s="418" t="s">
        <v>698</v>
      </c>
      <c r="H63" s="418" t="s">
        <v>699</v>
      </c>
      <c r="I63" s="418" t="s">
        <v>700</v>
      </c>
      <c r="J63" s="418" t="s">
        <v>1210</v>
      </c>
      <c r="K63" s="418" t="s">
        <v>701</v>
      </c>
      <c r="L63" s="423"/>
    </row>
    <row r="64" spans="1:12" s="424" customFormat="1" ht="12.75" customHeight="1">
      <c r="A64" s="1151">
        <f>INDEX(ESPSPNo,3,1)</f>
        <v>0</v>
      </c>
      <c r="B64" s="1153">
        <f>INDEX(ESPSPTitle,3,1)</f>
        <v>0</v>
      </c>
      <c r="C64" s="1154"/>
      <c r="D64" s="1155"/>
      <c r="E64" s="421" t="str">
        <f>IF(A64&lt;&gt;0,IF(OR(INDEX(ESPSPTandM,3,1)=TMDPhaseChangeTimeAndMaterial,INDEX(ESPSPTandM,3,1)=TMDPhaseTimeAndMaterial),TMDAllocationTandM,TMDAllocationFix),"")</f>
        <v/>
      </c>
      <c r="F64" s="422">
        <f>H64</f>
        <v>0</v>
      </c>
      <c r="G64" s="422">
        <f>H64</f>
        <v>0</v>
      </c>
      <c r="H64" s="422"/>
      <c r="I64" s="422">
        <f>H64</f>
        <v>0</v>
      </c>
      <c r="J64" s="422"/>
      <c r="K64" s="422"/>
      <c r="L64" s="423"/>
    </row>
    <row r="65" spans="1:12" s="424" customFormat="1" ht="12.75" customHeight="1">
      <c r="A65" s="1151"/>
      <c r="B65" s="418" t="s">
        <v>702</v>
      </c>
      <c r="C65" s="418" t="s">
        <v>703</v>
      </c>
      <c r="D65" s="418" t="s">
        <v>685</v>
      </c>
      <c r="E65" s="418" t="s">
        <v>687</v>
      </c>
      <c r="F65" s="1118" t="s">
        <v>1102</v>
      </c>
      <c r="G65" s="1119"/>
      <c r="H65" s="1119"/>
      <c r="I65" s="1120"/>
      <c r="J65" s="1156" t="s">
        <v>704</v>
      </c>
      <c r="K65" s="1157"/>
      <c r="L65" s="423"/>
    </row>
    <row r="66" spans="1:12" s="424" customFormat="1" ht="12.75" customHeight="1">
      <c r="A66" s="1151"/>
      <c r="B66" s="422">
        <f>INDEX(ESPSPExternalPrice,3,1)</f>
        <v>0</v>
      </c>
      <c r="C66" s="422">
        <f>INDEX(ESPSPEffort,3,1)*MDWorkhours</f>
        <v>0</v>
      </c>
      <c r="D66" s="425">
        <f>INDEX(ESPSPStart,3,1)</f>
        <v>0</v>
      </c>
      <c r="E66" s="425">
        <f>INDEX(ESPSPEnd,3,1)</f>
        <v>0</v>
      </c>
      <c r="F66" s="1158"/>
      <c r="G66" s="1159"/>
      <c r="H66" s="1159"/>
      <c r="I66" s="1160"/>
      <c r="J66" s="1146"/>
      <c r="K66" s="1147"/>
      <c r="L66" s="423"/>
    </row>
    <row r="67" spans="1:12" s="424" customFormat="1" ht="12.75" customHeight="1">
      <c r="A67" s="1151"/>
      <c r="B67" s="1156" t="s">
        <v>705</v>
      </c>
      <c r="C67" s="1124"/>
      <c r="D67" s="1157"/>
      <c r="E67" s="1156" t="s">
        <v>706</v>
      </c>
      <c r="F67" s="1157"/>
      <c r="G67" s="1156" t="s">
        <v>707</v>
      </c>
      <c r="H67" s="1124"/>
      <c r="I67" s="1157"/>
      <c r="J67" s="1146"/>
      <c r="K67" s="1147"/>
      <c r="L67" s="423"/>
    </row>
    <row r="68" spans="1:12" s="424" customFormat="1" ht="12.75" customHeight="1">
      <c r="A68" s="1151"/>
      <c r="B68" s="1122" t="s">
        <v>691</v>
      </c>
      <c r="C68" s="1161"/>
      <c r="D68" s="426" t="s">
        <v>692</v>
      </c>
      <c r="E68" s="427" t="s">
        <v>708</v>
      </c>
      <c r="F68" s="426" t="s">
        <v>709</v>
      </c>
      <c r="G68" s="1162">
        <f>INDEX(ESPSPNotes,3,1)</f>
        <v>0</v>
      </c>
      <c r="H68" s="1163"/>
      <c r="I68" s="1164"/>
      <c r="J68" s="1146"/>
      <c r="K68" s="1147"/>
      <c r="L68" s="423"/>
    </row>
    <row r="69" spans="1:12" ht="12.75" customHeight="1">
      <c r="A69" s="1151"/>
      <c r="B69" s="1125"/>
      <c r="C69" s="1125"/>
      <c r="D69" s="409"/>
      <c r="E69" s="428"/>
      <c r="F69" s="429"/>
      <c r="G69" s="1162"/>
      <c r="H69" s="1163"/>
      <c r="I69" s="1164"/>
      <c r="J69" s="1146"/>
      <c r="K69" s="1147"/>
      <c r="L69" s="373"/>
    </row>
    <row r="70" spans="1:12" ht="12.75" customHeight="1">
      <c r="A70" s="1151"/>
      <c r="B70" s="1125"/>
      <c r="C70" s="1125"/>
      <c r="D70" s="409"/>
      <c r="E70" s="434"/>
      <c r="F70" s="429"/>
      <c r="G70" s="1162"/>
      <c r="H70" s="1163"/>
      <c r="I70" s="1164"/>
      <c r="J70" s="1146"/>
      <c r="K70" s="1147"/>
      <c r="L70" s="373"/>
    </row>
    <row r="71" spans="1:12" ht="12.75" customHeight="1">
      <c r="A71" s="1152"/>
      <c r="B71" s="1126"/>
      <c r="C71" s="1126"/>
      <c r="D71" s="410"/>
      <c r="E71" s="430"/>
      <c r="F71" s="431"/>
      <c r="G71" s="1165"/>
      <c r="H71" s="1166"/>
      <c r="I71" s="1167"/>
      <c r="J71" s="1148"/>
      <c r="K71" s="1149"/>
      <c r="L71" s="373"/>
    </row>
    <row r="72" spans="1:12" ht="3" customHeight="1">
      <c r="A72" s="1168"/>
      <c r="B72" s="1169"/>
      <c r="C72" s="1169"/>
      <c r="D72" s="1169"/>
      <c r="E72" s="1169"/>
      <c r="F72" s="1169"/>
      <c r="G72" s="1169"/>
      <c r="H72" s="1169"/>
      <c r="I72" s="1169"/>
      <c r="J72" s="1169"/>
      <c r="K72" s="1170"/>
      <c r="L72" s="373"/>
    </row>
    <row r="73" spans="1:12">
      <c r="A73" s="418" t="s">
        <v>694</v>
      </c>
      <c r="B73" s="1118" t="s">
        <v>695</v>
      </c>
      <c r="C73" s="1119"/>
      <c r="D73" s="1120"/>
      <c r="E73" s="418" t="s">
        <v>696</v>
      </c>
      <c r="F73" s="418" t="s">
        <v>697</v>
      </c>
      <c r="G73" s="418" t="s">
        <v>698</v>
      </c>
      <c r="H73" s="418" t="s">
        <v>699</v>
      </c>
      <c r="I73" s="418" t="s">
        <v>700</v>
      </c>
      <c r="J73" s="418" t="s">
        <v>1210</v>
      </c>
      <c r="K73" s="418" t="s">
        <v>701</v>
      </c>
      <c r="L73" s="373"/>
    </row>
    <row r="74" spans="1:12">
      <c r="A74" s="1151">
        <f>INDEX(ESPSPNo,4,1)</f>
        <v>0</v>
      </c>
      <c r="B74" s="1153">
        <f>INDEX(ESPSPTitle,4,1)</f>
        <v>0</v>
      </c>
      <c r="C74" s="1154"/>
      <c r="D74" s="1155"/>
      <c r="E74" s="421" t="str">
        <f>IF(A74&lt;&gt;0,IF(OR(INDEX(ESPSPTandM,4,1)=TMDPhaseChangeTimeAndMaterial,INDEX(ESPSPTandM,4,1)=TMDPhaseTimeAndMaterial),TMDAllocationTandM,TMDAllocationFix),"")</f>
        <v/>
      </c>
      <c r="F74" s="422">
        <f>H74</f>
        <v>0</v>
      </c>
      <c r="G74" s="422">
        <f>H74</f>
        <v>0</v>
      </c>
      <c r="H74" s="422"/>
      <c r="I74" s="422">
        <f>H74</f>
        <v>0</v>
      </c>
      <c r="J74" s="422"/>
      <c r="K74" s="422"/>
      <c r="L74" s="373"/>
    </row>
    <row r="75" spans="1:12">
      <c r="A75" s="1151"/>
      <c r="B75" s="418" t="s">
        <v>702</v>
      </c>
      <c r="C75" s="418" t="s">
        <v>703</v>
      </c>
      <c r="D75" s="418" t="s">
        <v>685</v>
      </c>
      <c r="E75" s="418" t="s">
        <v>687</v>
      </c>
      <c r="F75" s="1118" t="s">
        <v>1102</v>
      </c>
      <c r="G75" s="1119"/>
      <c r="H75" s="1119"/>
      <c r="I75" s="1120"/>
      <c r="J75" s="1156" t="s">
        <v>704</v>
      </c>
      <c r="K75" s="1157"/>
      <c r="L75" s="373"/>
    </row>
    <row r="76" spans="1:12">
      <c r="A76" s="1151"/>
      <c r="B76" s="422">
        <f>INDEX(ESPSPExternalPrice,4,1)</f>
        <v>0</v>
      </c>
      <c r="C76" s="422">
        <f>INDEX(ESPSPEffort,4,1)*MDWorkhours</f>
        <v>0</v>
      </c>
      <c r="D76" s="425">
        <f>INDEX(ESPSPStart,4,1)</f>
        <v>0</v>
      </c>
      <c r="E76" s="425">
        <f>INDEX(ESPSPEnd,4,1)</f>
        <v>0</v>
      </c>
      <c r="F76" s="1158"/>
      <c r="G76" s="1159"/>
      <c r="H76" s="1159"/>
      <c r="I76" s="1160"/>
      <c r="J76" s="1146"/>
      <c r="K76" s="1147"/>
      <c r="L76" s="373"/>
    </row>
    <row r="77" spans="1:12">
      <c r="A77" s="1151"/>
      <c r="B77" s="1156" t="s">
        <v>705</v>
      </c>
      <c r="C77" s="1124"/>
      <c r="D77" s="1157"/>
      <c r="E77" s="1156" t="s">
        <v>706</v>
      </c>
      <c r="F77" s="1157"/>
      <c r="G77" s="1156" t="s">
        <v>707</v>
      </c>
      <c r="H77" s="1124"/>
      <c r="I77" s="1157"/>
      <c r="J77" s="1146"/>
      <c r="K77" s="1147"/>
      <c r="L77" s="373"/>
    </row>
    <row r="78" spans="1:12">
      <c r="A78" s="1151"/>
      <c r="B78" s="1122" t="s">
        <v>691</v>
      </c>
      <c r="C78" s="1161"/>
      <c r="D78" s="426" t="s">
        <v>692</v>
      </c>
      <c r="E78" s="427" t="s">
        <v>708</v>
      </c>
      <c r="F78" s="426" t="s">
        <v>709</v>
      </c>
      <c r="G78" s="1162">
        <f>INDEX(ESPSPNotes,4,1)</f>
        <v>0</v>
      </c>
      <c r="H78" s="1163"/>
      <c r="I78" s="1164"/>
      <c r="J78" s="1146"/>
      <c r="K78" s="1147"/>
      <c r="L78" s="373"/>
    </row>
    <row r="79" spans="1:12">
      <c r="A79" s="1151"/>
      <c r="B79" s="1125"/>
      <c r="C79" s="1125"/>
      <c r="D79" s="409"/>
      <c r="E79" s="428"/>
      <c r="F79" s="429"/>
      <c r="G79" s="1162"/>
      <c r="H79" s="1163"/>
      <c r="I79" s="1164"/>
      <c r="J79" s="1146"/>
      <c r="K79" s="1147"/>
      <c r="L79" s="373"/>
    </row>
    <row r="80" spans="1:12">
      <c r="A80" s="1151"/>
      <c r="B80" s="1125"/>
      <c r="C80" s="1125"/>
      <c r="D80" s="409"/>
      <c r="E80" s="434"/>
      <c r="F80" s="429"/>
      <c r="G80" s="1162"/>
      <c r="H80" s="1163"/>
      <c r="I80" s="1164"/>
      <c r="J80" s="1146"/>
      <c r="K80" s="1147"/>
      <c r="L80" s="373"/>
    </row>
    <row r="81" spans="1:13">
      <c r="A81" s="1152"/>
      <c r="B81" s="1126"/>
      <c r="C81" s="1126"/>
      <c r="D81" s="410"/>
      <c r="E81" s="430"/>
      <c r="F81" s="431"/>
      <c r="G81" s="1165"/>
      <c r="H81" s="1166"/>
      <c r="I81" s="1167"/>
      <c r="J81" s="1148"/>
      <c r="K81" s="1149"/>
      <c r="L81" s="373"/>
    </row>
    <row r="82" spans="1:13" ht="3" customHeight="1">
      <c r="A82" s="1168"/>
      <c r="B82" s="1169"/>
      <c r="C82" s="1169"/>
      <c r="D82" s="1169"/>
      <c r="E82" s="1169"/>
      <c r="F82" s="1169"/>
      <c r="G82" s="1169"/>
      <c r="H82" s="1169"/>
      <c r="I82" s="1169"/>
      <c r="J82" s="1169"/>
      <c r="K82" s="1170"/>
      <c r="L82" s="373"/>
    </row>
    <row r="83" spans="1:13">
      <c r="A83" s="418" t="s">
        <v>694</v>
      </c>
      <c r="B83" s="1118" t="s">
        <v>695</v>
      </c>
      <c r="C83" s="1119"/>
      <c r="D83" s="1120"/>
      <c r="E83" s="418" t="s">
        <v>696</v>
      </c>
      <c r="F83" s="418" t="s">
        <v>697</v>
      </c>
      <c r="G83" s="418" t="s">
        <v>698</v>
      </c>
      <c r="H83" s="418" t="s">
        <v>699</v>
      </c>
      <c r="I83" s="418" t="s">
        <v>700</v>
      </c>
      <c r="J83" s="418" t="s">
        <v>1210</v>
      </c>
      <c r="K83" s="418" t="s">
        <v>701</v>
      </c>
      <c r="L83" s="373"/>
      <c r="M83" s="433"/>
    </row>
    <row r="84" spans="1:13">
      <c r="A84" s="1151">
        <f>INDEX(ESPSPNo,5,1)</f>
        <v>0</v>
      </c>
      <c r="B84" s="1153">
        <f>INDEX(ESPSPTitle,5,1)</f>
        <v>0</v>
      </c>
      <c r="C84" s="1154"/>
      <c r="D84" s="1155"/>
      <c r="E84" s="421" t="str">
        <f>IF(A84&lt;&gt;0,IF(OR(INDEX(ESPSPTandM,5,1)=TMDPhaseChangeTimeAndMaterial,INDEX(ESPSPTandM,5,1)=TMDPhaseTimeAndMaterial),TMDAllocationTandM,TMDAllocationFix),"")</f>
        <v/>
      </c>
      <c r="F84" s="422">
        <f>H84</f>
        <v>0</v>
      </c>
      <c r="G84" s="422">
        <f>H84</f>
        <v>0</v>
      </c>
      <c r="H84" s="422"/>
      <c r="I84" s="422">
        <f>H84</f>
        <v>0</v>
      </c>
      <c r="J84" s="422"/>
      <c r="K84" s="422"/>
      <c r="L84" s="373"/>
      <c r="M84" s="433"/>
    </row>
    <row r="85" spans="1:13">
      <c r="A85" s="1151"/>
      <c r="B85" s="418" t="s">
        <v>702</v>
      </c>
      <c r="C85" s="418" t="s">
        <v>703</v>
      </c>
      <c r="D85" s="418" t="s">
        <v>685</v>
      </c>
      <c r="E85" s="418" t="s">
        <v>687</v>
      </c>
      <c r="F85" s="1118" t="s">
        <v>1102</v>
      </c>
      <c r="G85" s="1119"/>
      <c r="H85" s="1119"/>
      <c r="I85" s="1120"/>
      <c r="J85" s="1156" t="s">
        <v>704</v>
      </c>
      <c r="K85" s="1157"/>
      <c r="L85" s="373"/>
      <c r="M85" s="433"/>
    </row>
    <row r="86" spans="1:13">
      <c r="A86" s="1151"/>
      <c r="B86" s="422">
        <f>INDEX(ESPSPExternalPrice,5,1)</f>
        <v>0</v>
      </c>
      <c r="C86" s="422">
        <f>INDEX(ESPSPEffort,5,1)*MDWorkhours</f>
        <v>0</v>
      </c>
      <c r="D86" s="425">
        <f>INDEX(ESPSPStart,5,1)</f>
        <v>0</v>
      </c>
      <c r="E86" s="425">
        <f>INDEX(ESPSPEnd,5,1)</f>
        <v>0</v>
      </c>
      <c r="F86" s="1158"/>
      <c r="G86" s="1159"/>
      <c r="H86" s="1159"/>
      <c r="I86" s="1160"/>
      <c r="J86" s="1146"/>
      <c r="K86" s="1147"/>
      <c r="L86" s="373"/>
      <c r="M86" s="433"/>
    </row>
    <row r="87" spans="1:13">
      <c r="A87" s="1151"/>
      <c r="B87" s="1156" t="s">
        <v>705</v>
      </c>
      <c r="C87" s="1124"/>
      <c r="D87" s="1157"/>
      <c r="E87" s="1156" t="s">
        <v>706</v>
      </c>
      <c r="F87" s="1157"/>
      <c r="G87" s="1156" t="s">
        <v>707</v>
      </c>
      <c r="H87" s="1124"/>
      <c r="I87" s="1157"/>
      <c r="J87" s="1146"/>
      <c r="K87" s="1147"/>
      <c r="L87" s="373"/>
      <c r="M87" s="433"/>
    </row>
    <row r="88" spans="1:13">
      <c r="A88" s="1151"/>
      <c r="B88" s="1122" t="s">
        <v>691</v>
      </c>
      <c r="C88" s="1161"/>
      <c r="D88" s="426" t="s">
        <v>692</v>
      </c>
      <c r="E88" s="427" t="s">
        <v>708</v>
      </c>
      <c r="F88" s="426" t="s">
        <v>709</v>
      </c>
      <c r="G88" s="1162">
        <f>INDEX(ESPSPNotes,5,1)</f>
        <v>0</v>
      </c>
      <c r="H88" s="1163"/>
      <c r="I88" s="1164"/>
      <c r="J88" s="1146"/>
      <c r="K88" s="1147"/>
      <c r="L88" s="373"/>
      <c r="M88" s="433"/>
    </row>
    <row r="89" spans="1:13">
      <c r="A89" s="1151"/>
      <c r="B89" s="1125"/>
      <c r="C89" s="1125"/>
      <c r="D89" s="409"/>
      <c r="E89" s="428"/>
      <c r="F89" s="429"/>
      <c r="G89" s="1162"/>
      <c r="H89" s="1163"/>
      <c r="I89" s="1164"/>
      <c r="J89" s="1146"/>
      <c r="K89" s="1147"/>
      <c r="L89" s="373"/>
      <c r="M89" s="433"/>
    </row>
    <row r="90" spans="1:13">
      <c r="A90" s="1151"/>
      <c r="B90" s="1125"/>
      <c r="C90" s="1125"/>
      <c r="D90" s="409"/>
      <c r="E90" s="434"/>
      <c r="F90" s="429"/>
      <c r="G90" s="1162"/>
      <c r="H90" s="1163"/>
      <c r="I90" s="1164"/>
      <c r="J90" s="1146"/>
      <c r="K90" s="1147"/>
      <c r="L90" s="373"/>
      <c r="M90" s="433"/>
    </row>
    <row r="91" spans="1:13">
      <c r="A91" s="1152"/>
      <c r="B91" s="1126"/>
      <c r="C91" s="1126"/>
      <c r="D91" s="410"/>
      <c r="E91" s="430"/>
      <c r="F91" s="431"/>
      <c r="G91" s="1165"/>
      <c r="H91" s="1166"/>
      <c r="I91" s="1167"/>
      <c r="J91" s="1148"/>
      <c r="K91" s="1149"/>
      <c r="L91" s="373"/>
      <c r="M91" s="433"/>
    </row>
    <row r="92" spans="1:13" ht="3" customHeight="1">
      <c r="A92" s="1168"/>
      <c r="B92" s="1169"/>
      <c r="C92" s="1169"/>
      <c r="D92" s="1169"/>
      <c r="E92" s="1169"/>
      <c r="F92" s="1169"/>
      <c r="G92" s="1169"/>
      <c r="H92" s="1169"/>
      <c r="I92" s="1169"/>
      <c r="J92" s="1169"/>
      <c r="K92" s="1170"/>
      <c r="L92" s="373"/>
      <c r="M92" s="433"/>
    </row>
    <row r="93" spans="1:13">
      <c r="A93" s="418" t="s">
        <v>694</v>
      </c>
      <c r="B93" s="1118" t="s">
        <v>695</v>
      </c>
      <c r="C93" s="1119"/>
      <c r="D93" s="1120"/>
      <c r="E93" s="418" t="s">
        <v>696</v>
      </c>
      <c r="F93" s="418" t="s">
        <v>697</v>
      </c>
      <c r="G93" s="418" t="s">
        <v>698</v>
      </c>
      <c r="H93" s="418" t="s">
        <v>699</v>
      </c>
      <c r="I93" s="418" t="s">
        <v>700</v>
      </c>
      <c r="J93" s="418" t="s">
        <v>1210</v>
      </c>
      <c r="K93" s="418" t="s">
        <v>701</v>
      </c>
      <c r="L93" s="373"/>
      <c r="M93" s="433"/>
    </row>
    <row r="94" spans="1:13">
      <c r="A94" s="1151">
        <f>INDEX(ESPSPNo,6,1)</f>
        <v>0</v>
      </c>
      <c r="B94" s="1153">
        <f>INDEX(ESPSPTitle,6,1)</f>
        <v>0</v>
      </c>
      <c r="C94" s="1154"/>
      <c r="D94" s="1155"/>
      <c r="E94" s="421" t="str">
        <f>IF(A94&lt;&gt;0,IF(OR(INDEX(ESPSPTandM,6,1)=TMDPhaseChangeTimeAndMaterial,INDEX(ESPSPTandM,6,1)=TMDPhaseTimeAndMaterial),TMDAllocationTandM,TMDAllocationFix),"")</f>
        <v/>
      </c>
      <c r="F94" s="422">
        <f>H94</f>
        <v>0</v>
      </c>
      <c r="G94" s="422">
        <f>H94</f>
        <v>0</v>
      </c>
      <c r="H94" s="422"/>
      <c r="I94" s="422">
        <f>H94</f>
        <v>0</v>
      </c>
      <c r="J94" s="422"/>
      <c r="K94" s="422"/>
      <c r="L94" s="373"/>
      <c r="M94" s="433"/>
    </row>
    <row r="95" spans="1:13">
      <c r="A95" s="1151"/>
      <c r="B95" s="418" t="s">
        <v>702</v>
      </c>
      <c r="C95" s="418" t="s">
        <v>703</v>
      </c>
      <c r="D95" s="418" t="s">
        <v>685</v>
      </c>
      <c r="E95" s="418" t="s">
        <v>687</v>
      </c>
      <c r="F95" s="1118" t="s">
        <v>1102</v>
      </c>
      <c r="G95" s="1119"/>
      <c r="H95" s="1119"/>
      <c r="I95" s="1120"/>
      <c r="J95" s="1156" t="s">
        <v>704</v>
      </c>
      <c r="K95" s="1157"/>
      <c r="L95" s="373"/>
      <c r="M95" s="433"/>
    </row>
    <row r="96" spans="1:13">
      <c r="A96" s="1151"/>
      <c r="B96" s="422">
        <f>INDEX(ESPSPExternalPrice,6,1)</f>
        <v>0</v>
      </c>
      <c r="C96" s="422">
        <f>INDEX(ESPSPEffort,6,1)*MDWorkhours</f>
        <v>0</v>
      </c>
      <c r="D96" s="425">
        <f>INDEX(ESPSPStart,6,1)</f>
        <v>0</v>
      </c>
      <c r="E96" s="425">
        <f>INDEX(ESPSPEnd,6,1)</f>
        <v>0</v>
      </c>
      <c r="F96" s="1158"/>
      <c r="G96" s="1159"/>
      <c r="H96" s="1159"/>
      <c r="I96" s="1160"/>
      <c r="J96" s="1146"/>
      <c r="K96" s="1147"/>
      <c r="L96" s="373"/>
      <c r="M96" s="433"/>
    </row>
    <row r="97" spans="1:13">
      <c r="A97" s="1151"/>
      <c r="B97" s="1156" t="s">
        <v>705</v>
      </c>
      <c r="C97" s="1124"/>
      <c r="D97" s="1157"/>
      <c r="E97" s="1156" t="s">
        <v>706</v>
      </c>
      <c r="F97" s="1157"/>
      <c r="G97" s="1156" t="s">
        <v>707</v>
      </c>
      <c r="H97" s="1124"/>
      <c r="I97" s="1157"/>
      <c r="J97" s="1146"/>
      <c r="K97" s="1147"/>
      <c r="L97" s="373"/>
      <c r="M97" s="433"/>
    </row>
    <row r="98" spans="1:13">
      <c r="A98" s="1151"/>
      <c r="B98" s="1122" t="s">
        <v>691</v>
      </c>
      <c r="C98" s="1161"/>
      <c r="D98" s="426" t="s">
        <v>692</v>
      </c>
      <c r="E98" s="427" t="s">
        <v>708</v>
      </c>
      <c r="F98" s="426" t="s">
        <v>709</v>
      </c>
      <c r="G98" s="1162">
        <f>INDEX(ESPSPNotes,6,1)</f>
        <v>0</v>
      </c>
      <c r="H98" s="1163"/>
      <c r="I98" s="1164"/>
      <c r="J98" s="1146"/>
      <c r="K98" s="1147"/>
      <c r="L98" s="373"/>
      <c r="M98" s="433"/>
    </row>
    <row r="99" spans="1:13">
      <c r="A99" s="1151"/>
      <c r="B99" s="1125"/>
      <c r="C99" s="1125"/>
      <c r="D99" s="409"/>
      <c r="E99" s="428"/>
      <c r="F99" s="429"/>
      <c r="G99" s="1162"/>
      <c r="H99" s="1163"/>
      <c r="I99" s="1164"/>
      <c r="J99" s="1146"/>
      <c r="K99" s="1147"/>
      <c r="L99" s="373"/>
      <c r="M99" s="433"/>
    </row>
    <row r="100" spans="1:13">
      <c r="A100" s="1151"/>
      <c r="B100" s="1125"/>
      <c r="C100" s="1125"/>
      <c r="D100" s="409"/>
      <c r="E100" s="434"/>
      <c r="F100" s="429"/>
      <c r="G100" s="1162"/>
      <c r="H100" s="1163"/>
      <c r="I100" s="1164"/>
      <c r="J100" s="1146"/>
      <c r="K100" s="1147"/>
      <c r="L100" s="373"/>
      <c r="M100" s="433"/>
    </row>
    <row r="101" spans="1:13">
      <c r="A101" s="1152"/>
      <c r="B101" s="1126"/>
      <c r="C101" s="1126"/>
      <c r="D101" s="410"/>
      <c r="E101" s="430"/>
      <c r="F101" s="431"/>
      <c r="G101" s="1165"/>
      <c r="H101" s="1166"/>
      <c r="I101" s="1167"/>
      <c r="J101" s="1148"/>
      <c r="K101" s="1149"/>
      <c r="L101" s="373"/>
      <c r="M101" s="433"/>
    </row>
    <row r="102" spans="1:13" s="433" customFormat="1" ht="1.5" customHeight="1">
      <c r="A102" s="1169"/>
      <c r="B102" s="1169"/>
      <c r="C102" s="1169"/>
      <c r="D102" s="1169"/>
      <c r="E102" s="1169"/>
      <c r="F102" s="1169"/>
      <c r="G102" s="1169"/>
      <c r="H102" s="1169"/>
      <c r="I102" s="1169"/>
      <c r="J102" s="1169"/>
      <c r="K102" s="1169"/>
      <c r="L102" s="432"/>
    </row>
    <row r="103" spans="1:13">
      <c r="A103" s="418" t="s">
        <v>694</v>
      </c>
      <c r="B103" s="1118" t="s">
        <v>695</v>
      </c>
      <c r="C103" s="1119"/>
      <c r="D103" s="1120"/>
      <c r="E103" s="418" t="s">
        <v>696</v>
      </c>
      <c r="F103" s="418" t="s">
        <v>697</v>
      </c>
      <c r="G103" s="418" t="s">
        <v>698</v>
      </c>
      <c r="H103" s="418" t="s">
        <v>699</v>
      </c>
      <c r="I103" s="418" t="s">
        <v>700</v>
      </c>
      <c r="J103" s="418" t="s">
        <v>1210</v>
      </c>
      <c r="K103" s="418" t="s">
        <v>701</v>
      </c>
      <c r="L103" s="373"/>
      <c r="M103" s="433"/>
    </row>
    <row r="104" spans="1:13">
      <c r="A104" s="1151">
        <f>INDEX(ESPSPNo,7,1)</f>
        <v>0</v>
      </c>
      <c r="B104" s="1153">
        <f>INDEX(ESPSPTitle,7,1)</f>
        <v>0</v>
      </c>
      <c r="C104" s="1154"/>
      <c r="D104" s="1155"/>
      <c r="E104" s="421" t="str">
        <f>IF(A104&lt;&gt;0,IF(OR(INDEX(ESPSPTandM,7,1)=TMDPhaseChangeTimeAndMaterial,INDEX(ESPSPTandM,7,1)=TMDPhaseTimeAndMaterial),TMDAllocationTandM,TMDAllocationFix),"")</f>
        <v/>
      </c>
      <c r="F104" s="422">
        <f>H104</f>
        <v>0</v>
      </c>
      <c r="G104" s="422">
        <f>H104</f>
        <v>0</v>
      </c>
      <c r="H104" s="422"/>
      <c r="I104" s="422">
        <f>H104</f>
        <v>0</v>
      </c>
      <c r="J104" s="422"/>
      <c r="K104" s="422"/>
      <c r="L104" s="373"/>
      <c r="M104" s="433"/>
    </row>
    <row r="105" spans="1:13">
      <c r="A105" s="1151"/>
      <c r="B105" s="418" t="s">
        <v>702</v>
      </c>
      <c r="C105" s="418" t="s">
        <v>703</v>
      </c>
      <c r="D105" s="418" t="s">
        <v>685</v>
      </c>
      <c r="E105" s="418" t="s">
        <v>687</v>
      </c>
      <c r="F105" s="1118" t="s">
        <v>1102</v>
      </c>
      <c r="G105" s="1119"/>
      <c r="H105" s="1119"/>
      <c r="I105" s="1120"/>
      <c r="J105" s="1156" t="s">
        <v>704</v>
      </c>
      <c r="K105" s="1157"/>
      <c r="L105" s="373"/>
      <c r="M105" s="433"/>
    </row>
    <row r="106" spans="1:13">
      <c r="A106" s="1151"/>
      <c r="B106" s="422">
        <f>INDEX(ESPSPExternalPrice,7,1)</f>
        <v>0</v>
      </c>
      <c r="C106" s="422">
        <f>INDEX(ESPSPEffort,7,1)*MDWorkhours</f>
        <v>0</v>
      </c>
      <c r="D106" s="425">
        <f>INDEX(ESPSPStart,7,1)</f>
        <v>0</v>
      </c>
      <c r="E106" s="425">
        <f>INDEX(ESPSPEnd,7,1)</f>
        <v>0</v>
      </c>
      <c r="F106" s="1158"/>
      <c r="G106" s="1159"/>
      <c r="H106" s="1159"/>
      <c r="I106" s="1160"/>
      <c r="J106" s="1146"/>
      <c r="K106" s="1147"/>
      <c r="L106" s="373"/>
      <c r="M106" s="433"/>
    </row>
    <row r="107" spans="1:13">
      <c r="A107" s="1151"/>
      <c r="B107" s="1156" t="s">
        <v>705</v>
      </c>
      <c r="C107" s="1124"/>
      <c r="D107" s="1157"/>
      <c r="E107" s="1156" t="s">
        <v>706</v>
      </c>
      <c r="F107" s="1157"/>
      <c r="G107" s="1156" t="s">
        <v>707</v>
      </c>
      <c r="H107" s="1124"/>
      <c r="I107" s="1157"/>
      <c r="J107" s="1146"/>
      <c r="K107" s="1147"/>
      <c r="L107" s="373"/>
      <c r="M107" s="433"/>
    </row>
    <row r="108" spans="1:13">
      <c r="A108" s="1151"/>
      <c r="B108" s="1122" t="s">
        <v>691</v>
      </c>
      <c r="C108" s="1161"/>
      <c r="D108" s="426" t="s">
        <v>692</v>
      </c>
      <c r="E108" s="427" t="s">
        <v>708</v>
      </c>
      <c r="F108" s="426" t="s">
        <v>709</v>
      </c>
      <c r="G108" s="1162">
        <f>INDEX(ESPSPNotes,7,1)</f>
        <v>0</v>
      </c>
      <c r="H108" s="1163"/>
      <c r="I108" s="1164"/>
      <c r="J108" s="1146"/>
      <c r="K108" s="1147"/>
      <c r="L108" s="373"/>
      <c r="M108" s="433"/>
    </row>
    <row r="109" spans="1:13">
      <c r="A109" s="1151"/>
      <c r="B109" s="1125"/>
      <c r="C109" s="1125"/>
      <c r="D109" s="409"/>
      <c r="E109" s="428"/>
      <c r="F109" s="429"/>
      <c r="G109" s="1162"/>
      <c r="H109" s="1163"/>
      <c r="I109" s="1164"/>
      <c r="J109" s="1146"/>
      <c r="K109" s="1147"/>
      <c r="L109" s="373"/>
      <c r="M109" s="433"/>
    </row>
    <row r="110" spans="1:13">
      <c r="A110" s="1151"/>
      <c r="B110" s="1125"/>
      <c r="C110" s="1125"/>
      <c r="D110" s="409"/>
      <c r="E110" s="434"/>
      <c r="F110" s="429"/>
      <c r="G110" s="1162"/>
      <c r="H110" s="1163"/>
      <c r="I110" s="1164"/>
      <c r="J110" s="1146"/>
      <c r="K110" s="1147"/>
      <c r="L110" s="373"/>
      <c r="M110" s="433"/>
    </row>
    <row r="111" spans="1:13">
      <c r="A111" s="1152"/>
      <c r="B111" s="1126"/>
      <c r="C111" s="1126"/>
      <c r="D111" s="410"/>
      <c r="E111" s="430"/>
      <c r="F111" s="431"/>
      <c r="G111" s="1165"/>
      <c r="H111" s="1166"/>
      <c r="I111" s="1167"/>
      <c r="J111" s="1148"/>
      <c r="K111" s="1149"/>
      <c r="L111" s="373"/>
      <c r="M111" s="433"/>
    </row>
    <row r="112" spans="1:13" ht="3" customHeight="1">
      <c r="A112" s="1168"/>
      <c r="B112" s="1169"/>
      <c r="C112" s="1169"/>
      <c r="D112" s="1169"/>
      <c r="E112" s="1169"/>
      <c r="F112" s="1169"/>
      <c r="G112" s="1169"/>
      <c r="H112" s="1169"/>
      <c r="I112" s="1169"/>
      <c r="J112" s="1169"/>
      <c r="K112" s="1170"/>
      <c r="L112" s="373"/>
      <c r="M112" s="433"/>
    </row>
    <row r="113" spans="1:13">
      <c r="A113" s="418" t="s">
        <v>694</v>
      </c>
      <c r="B113" s="1118" t="s">
        <v>695</v>
      </c>
      <c r="C113" s="1119"/>
      <c r="D113" s="1120"/>
      <c r="E113" s="418" t="s">
        <v>696</v>
      </c>
      <c r="F113" s="418" t="s">
        <v>697</v>
      </c>
      <c r="G113" s="418" t="s">
        <v>698</v>
      </c>
      <c r="H113" s="418" t="s">
        <v>699</v>
      </c>
      <c r="I113" s="418" t="s">
        <v>700</v>
      </c>
      <c r="J113" s="418" t="s">
        <v>1210</v>
      </c>
      <c r="K113" s="418" t="s">
        <v>701</v>
      </c>
      <c r="L113" s="373"/>
      <c r="M113" s="433"/>
    </row>
    <row r="114" spans="1:13">
      <c r="A114" s="1151">
        <f>INDEX(ESPSPNo,8,1)</f>
        <v>0</v>
      </c>
      <c r="B114" s="1153">
        <f>INDEX(ESPSPTitle,8,1)</f>
        <v>0</v>
      </c>
      <c r="C114" s="1154"/>
      <c r="D114" s="1155"/>
      <c r="E114" s="421" t="str">
        <f>IF(A114&lt;&gt;0,IF(OR(INDEX(ESPSPTandM,8,1)=TMDPhaseChangeTimeAndMaterial,INDEX(ESPSPTandM,8,1)=TMDPhaseTimeAndMaterial),TMDAllocationTandM,TMDAllocationFix),"")</f>
        <v/>
      </c>
      <c r="F114" s="422">
        <f>H114</f>
        <v>0</v>
      </c>
      <c r="G114" s="422">
        <f>H114</f>
        <v>0</v>
      </c>
      <c r="H114" s="422"/>
      <c r="I114" s="422">
        <f>H114</f>
        <v>0</v>
      </c>
      <c r="J114" s="422"/>
      <c r="K114" s="422"/>
      <c r="L114" s="373"/>
      <c r="M114" s="433"/>
    </row>
    <row r="115" spans="1:13">
      <c r="A115" s="1151"/>
      <c r="B115" s="418" t="s">
        <v>702</v>
      </c>
      <c r="C115" s="418" t="s">
        <v>703</v>
      </c>
      <c r="D115" s="418" t="s">
        <v>685</v>
      </c>
      <c r="E115" s="418" t="s">
        <v>687</v>
      </c>
      <c r="F115" s="1118" t="s">
        <v>1102</v>
      </c>
      <c r="G115" s="1119"/>
      <c r="H115" s="1119"/>
      <c r="I115" s="1120"/>
      <c r="J115" s="1156" t="s">
        <v>704</v>
      </c>
      <c r="K115" s="1157"/>
      <c r="L115" s="373"/>
    </row>
    <row r="116" spans="1:13">
      <c r="A116" s="1151"/>
      <c r="B116" s="422">
        <f>INDEX(ESPSPExternalPrice,8,1)</f>
        <v>0</v>
      </c>
      <c r="C116" s="422">
        <f>INDEX(ESPSPEffort,8,1)*MDWorkhours</f>
        <v>0</v>
      </c>
      <c r="D116" s="425">
        <f>INDEX(ESPSPStart,8,1)</f>
        <v>0</v>
      </c>
      <c r="E116" s="425">
        <f>INDEX(ESPSPEnd,8,1)</f>
        <v>0</v>
      </c>
      <c r="F116" s="1158"/>
      <c r="G116" s="1159"/>
      <c r="H116" s="1159"/>
      <c r="I116" s="1160"/>
      <c r="J116" s="1146"/>
      <c r="K116" s="1147"/>
      <c r="L116" s="373"/>
    </row>
    <row r="117" spans="1:13">
      <c r="A117" s="1151"/>
      <c r="B117" s="1156" t="s">
        <v>705</v>
      </c>
      <c r="C117" s="1124"/>
      <c r="D117" s="1157"/>
      <c r="E117" s="1156" t="s">
        <v>706</v>
      </c>
      <c r="F117" s="1157"/>
      <c r="G117" s="1156" t="s">
        <v>707</v>
      </c>
      <c r="H117" s="1124"/>
      <c r="I117" s="1157"/>
      <c r="J117" s="1146"/>
      <c r="K117" s="1147"/>
      <c r="L117" s="373"/>
    </row>
    <row r="118" spans="1:13">
      <c r="A118" s="1151"/>
      <c r="B118" s="1122" t="s">
        <v>691</v>
      </c>
      <c r="C118" s="1161"/>
      <c r="D118" s="426" t="s">
        <v>692</v>
      </c>
      <c r="E118" s="427" t="s">
        <v>708</v>
      </c>
      <c r="F118" s="426" t="s">
        <v>709</v>
      </c>
      <c r="G118" s="1162">
        <f>INDEX(ESPSPNotes,8,1)</f>
        <v>0</v>
      </c>
      <c r="H118" s="1163"/>
      <c r="I118" s="1164"/>
      <c r="J118" s="1146"/>
      <c r="K118" s="1147"/>
      <c r="L118" s="373"/>
    </row>
    <row r="119" spans="1:13">
      <c r="A119" s="1151"/>
      <c r="B119" s="1125"/>
      <c r="C119" s="1125"/>
      <c r="D119" s="409"/>
      <c r="E119" s="428"/>
      <c r="F119" s="429"/>
      <c r="G119" s="1162"/>
      <c r="H119" s="1163"/>
      <c r="I119" s="1164"/>
      <c r="J119" s="1146"/>
      <c r="K119" s="1147"/>
      <c r="L119" s="373"/>
    </row>
    <row r="120" spans="1:13">
      <c r="A120" s="1151"/>
      <c r="B120" s="1125"/>
      <c r="C120" s="1125"/>
      <c r="D120" s="409"/>
      <c r="E120" s="434"/>
      <c r="F120" s="429"/>
      <c r="G120" s="1162"/>
      <c r="H120" s="1163"/>
      <c r="I120" s="1164"/>
      <c r="J120" s="1146"/>
      <c r="K120" s="1147"/>
      <c r="L120" s="373"/>
    </row>
    <row r="121" spans="1:13">
      <c r="A121" s="1152"/>
      <c r="B121" s="1126"/>
      <c r="C121" s="1126"/>
      <c r="D121" s="410"/>
      <c r="E121" s="430"/>
      <c r="F121" s="431"/>
      <c r="G121" s="1165"/>
      <c r="H121" s="1166"/>
      <c r="I121" s="1167"/>
      <c r="J121" s="1148"/>
      <c r="K121" s="1149"/>
      <c r="L121" s="373"/>
    </row>
    <row r="122" spans="1:13" ht="3" customHeight="1">
      <c r="A122" s="1168"/>
      <c r="B122" s="1169"/>
      <c r="C122" s="1169"/>
      <c r="D122" s="1169"/>
      <c r="E122" s="1169"/>
      <c r="F122" s="1169"/>
      <c r="G122" s="1169"/>
      <c r="H122" s="1169"/>
      <c r="I122" s="1169"/>
      <c r="J122" s="1169"/>
      <c r="K122" s="1170"/>
      <c r="L122" s="373"/>
    </row>
    <row r="123" spans="1:13">
      <c r="A123" s="418" t="s">
        <v>694</v>
      </c>
      <c r="B123" s="1118" t="s">
        <v>695</v>
      </c>
      <c r="C123" s="1119"/>
      <c r="D123" s="1120"/>
      <c r="E123" s="418" t="s">
        <v>696</v>
      </c>
      <c r="F123" s="418" t="s">
        <v>697</v>
      </c>
      <c r="G123" s="418" t="s">
        <v>698</v>
      </c>
      <c r="H123" s="418" t="s">
        <v>699</v>
      </c>
      <c r="I123" s="418" t="s">
        <v>700</v>
      </c>
      <c r="J123" s="418" t="s">
        <v>1210</v>
      </c>
      <c r="K123" s="418" t="s">
        <v>701</v>
      </c>
      <c r="L123" s="373"/>
    </row>
    <row r="124" spans="1:13">
      <c r="A124" s="1151">
        <f>INDEX(ESPSPNo,9,1)</f>
        <v>0</v>
      </c>
      <c r="B124" s="1153">
        <f>INDEX(ESPSPTitle,9,1)</f>
        <v>0</v>
      </c>
      <c r="C124" s="1154"/>
      <c r="D124" s="1155"/>
      <c r="E124" s="421" t="str">
        <f>IF(A124&lt;&gt;0,IF(OR(INDEX(ESPSPTandM,9,1)=TMDPhaseChangeTimeAndMaterial,INDEX(ESPSPTandM,9,1)=TMDPhaseTimeAndMaterial),TMDAllocationTandM,TMDAllocationFix),"")</f>
        <v/>
      </c>
      <c r="F124" s="422">
        <f>H124</f>
        <v>0</v>
      </c>
      <c r="G124" s="422">
        <f>H124</f>
        <v>0</v>
      </c>
      <c r="H124" s="422"/>
      <c r="I124" s="422">
        <f>H124</f>
        <v>0</v>
      </c>
      <c r="J124" s="422"/>
      <c r="K124" s="422"/>
      <c r="L124" s="373"/>
    </row>
    <row r="125" spans="1:13">
      <c r="A125" s="1151"/>
      <c r="B125" s="418" t="s">
        <v>702</v>
      </c>
      <c r="C125" s="418" t="s">
        <v>703</v>
      </c>
      <c r="D125" s="418" t="s">
        <v>685</v>
      </c>
      <c r="E125" s="418" t="s">
        <v>687</v>
      </c>
      <c r="F125" s="418" t="s">
        <v>710</v>
      </c>
      <c r="G125" s="418" t="s">
        <v>711</v>
      </c>
      <c r="H125" s="418" t="s">
        <v>711</v>
      </c>
      <c r="I125" s="418" t="s">
        <v>711</v>
      </c>
      <c r="J125" s="1156" t="s">
        <v>704</v>
      </c>
      <c r="K125" s="1157"/>
      <c r="L125" s="373"/>
    </row>
    <row r="126" spans="1:13">
      <c r="A126" s="1151"/>
      <c r="B126" s="422">
        <f>INDEX(ESPSPExternalPrice,9,1)</f>
        <v>0</v>
      </c>
      <c r="C126" s="422">
        <f>INDEX(ESPSPEffort,9,1)*MDWorkhours</f>
        <v>0</v>
      </c>
      <c r="D126" s="425">
        <f>INDEX(ESPSPStart,9,1)</f>
        <v>0</v>
      </c>
      <c r="E126" s="425">
        <f>INDEX(ESPSPEnd,9,1)</f>
        <v>0</v>
      </c>
      <c r="F126" s="421"/>
      <c r="G126" s="421"/>
      <c r="H126" s="421"/>
      <c r="I126" s="421"/>
      <c r="J126" s="1146"/>
      <c r="K126" s="1147"/>
      <c r="L126" s="373"/>
    </row>
    <row r="127" spans="1:13">
      <c r="A127" s="1151"/>
      <c r="B127" s="1156" t="s">
        <v>705</v>
      </c>
      <c r="C127" s="1124"/>
      <c r="D127" s="1157"/>
      <c r="E127" s="1156" t="s">
        <v>706</v>
      </c>
      <c r="F127" s="1157"/>
      <c r="G127" s="1156" t="s">
        <v>707</v>
      </c>
      <c r="H127" s="1124"/>
      <c r="I127" s="1157"/>
      <c r="J127" s="1146"/>
      <c r="K127" s="1147"/>
      <c r="L127" s="373"/>
    </row>
    <row r="128" spans="1:13">
      <c r="A128" s="1151"/>
      <c r="B128" s="1122" t="s">
        <v>691</v>
      </c>
      <c r="C128" s="1161"/>
      <c r="D128" s="426" t="s">
        <v>692</v>
      </c>
      <c r="E128" s="427" t="s">
        <v>708</v>
      </c>
      <c r="F128" s="426" t="s">
        <v>709</v>
      </c>
      <c r="G128" s="1162">
        <f>INDEX(ESPSPNotes,9,1)</f>
        <v>0</v>
      </c>
      <c r="H128" s="1163"/>
      <c r="I128" s="1164"/>
      <c r="J128" s="1146"/>
      <c r="K128" s="1147"/>
      <c r="L128" s="373"/>
    </row>
    <row r="129" spans="1:12">
      <c r="A129" s="1151"/>
      <c r="B129" s="1125"/>
      <c r="C129" s="1125"/>
      <c r="D129" s="409"/>
      <c r="E129" s="434"/>
      <c r="F129" s="429"/>
      <c r="G129" s="1162"/>
      <c r="H129" s="1163"/>
      <c r="I129" s="1164"/>
      <c r="J129" s="1146"/>
      <c r="K129" s="1147"/>
      <c r="L129" s="373"/>
    </row>
    <row r="130" spans="1:12">
      <c r="A130" s="1151"/>
      <c r="B130" s="1125"/>
      <c r="C130" s="1125"/>
      <c r="D130" s="409"/>
      <c r="E130" s="434"/>
      <c r="F130" s="429"/>
      <c r="G130" s="1162"/>
      <c r="H130" s="1163"/>
      <c r="I130" s="1164"/>
      <c r="J130" s="1146"/>
      <c r="K130" s="1147"/>
      <c r="L130" s="373"/>
    </row>
    <row r="131" spans="1:12">
      <c r="A131" s="1152"/>
      <c r="B131" s="1126"/>
      <c r="C131" s="1126"/>
      <c r="D131" s="410"/>
      <c r="E131" s="430"/>
      <c r="F131" s="431"/>
      <c r="G131" s="1165"/>
      <c r="H131" s="1166"/>
      <c r="I131" s="1167"/>
      <c r="J131" s="1148"/>
      <c r="K131" s="1149"/>
      <c r="L131" s="373"/>
    </row>
    <row r="132" spans="1:12" ht="3" customHeight="1">
      <c r="A132" s="1168"/>
      <c r="B132" s="1169"/>
      <c r="C132" s="1169"/>
      <c r="D132" s="1169"/>
      <c r="E132" s="1169"/>
      <c r="F132" s="1169"/>
      <c r="G132" s="1169"/>
      <c r="H132" s="1169"/>
      <c r="I132" s="1169"/>
      <c r="J132" s="1169"/>
      <c r="K132" s="1170"/>
      <c r="L132" s="373"/>
    </row>
    <row r="133" spans="1:12">
      <c r="A133" s="418" t="s">
        <v>694</v>
      </c>
      <c r="B133" s="1118" t="s">
        <v>695</v>
      </c>
      <c r="C133" s="1119"/>
      <c r="D133" s="1120"/>
      <c r="E133" s="418" t="s">
        <v>696</v>
      </c>
      <c r="F133" s="418" t="s">
        <v>697</v>
      </c>
      <c r="G133" s="418" t="s">
        <v>698</v>
      </c>
      <c r="H133" s="418" t="s">
        <v>699</v>
      </c>
      <c r="I133" s="418" t="s">
        <v>700</v>
      </c>
      <c r="J133" s="418" t="s">
        <v>1210</v>
      </c>
      <c r="K133" s="418" t="s">
        <v>701</v>
      </c>
      <c r="L133" s="373"/>
    </row>
    <row r="134" spans="1:12">
      <c r="A134" s="1151">
        <f>INDEX(ESPSPNo,10,1)</f>
        <v>0</v>
      </c>
      <c r="B134" s="1153">
        <f>INDEX(ESPSPTitle,10,1)</f>
        <v>0</v>
      </c>
      <c r="C134" s="1154"/>
      <c r="D134" s="1155"/>
      <c r="E134" s="421" t="str">
        <f>IF(A134&lt;&gt;0,IF(OR(INDEX(ESPSPTandM,10,1)=TMDPhaseChangeTimeAndMaterial,INDEX(ESPSPTandM,10,1)=TMDPhaseTimeAndMaterial),TMDAllocationTandM,TMDAllocationFix),"")</f>
        <v/>
      </c>
      <c r="F134" s="422">
        <f>H134</f>
        <v>0</v>
      </c>
      <c r="G134" s="422">
        <f>H134</f>
        <v>0</v>
      </c>
      <c r="H134" s="422"/>
      <c r="I134" s="422">
        <f>H134</f>
        <v>0</v>
      </c>
      <c r="J134" s="422"/>
      <c r="K134" s="422"/>
      <c r="L134" s="373"/>
    </row>
    <row r="135" spans="1:12">
      <c r="A135" s="1151"/>
      <c r="B135" s="418" t="s">
        <v>702</v>
      </c>
      <c r="C135" s="418" t="s">
        <v>703</v>
      </c>
      <c r="D135" s="418" t="s">
        <v>685</v>
      </c>
      <c r="E135" s="418" t="s">
        <v>687</v>
      </c>
      <c r="F135" s="1118" t="s">
        <v>1102</v>
      </c>
      <c r="G135" s="1119"/>
      <c r="H135" s="1119"/>
      <c r="I135" s="1120"/>
      <c r="J135" s="1156" t="s">
        <v>704</v>
      </c>
      <c r="K135" s="1157"/>
      <c r="L135" s="373"/>
    </row>
    <row r="136" spans="1:12">
      <c r="A136" s="1151"/>
      <c r="B136" s="422">
        <f>INDEX(ESPSPExternalPrice,10,1)</f>
        <v>0</v>
      </c>
      <c r="C136" s="422">
        <f>INDEX(ESPSPEffort,10,1)*MDWorkhours</f>
        <v>0</v>
      </c>
      <c r="D136" s="425">
        <f>INDEX(ESPSPStart,10,1)</f>
        <v>0</v>
      </c>
      <c r="E136" s="425">
        <f>INDEX(ESPSPEnd,10,1)</f>
        <v>0</v>
      </c>
      <c r="F136" s="1158"/>
      <c r="G136" s="1159"/>
      <c r="H136" s="1159"/>
      <c r="I136" s="1160"/>
      <c r="J136" s="1146"/>
      <c r="K136" s="1147"/>
      <c r="L136" s="373"/>
    </row>
    <row r="137" spans="1:12">
      <c r="A137" s="1151"/>
      <c r="B137" s="1156" t="s">
        <v>705</v>
      </c>
      <c r="C137" s="1124"/>
      <c r="D137" s="1157"/>
      <c r="E137" s="1156" t="s">
        <v>706</v>
      </c>
      <c r="F137" s="1157"/>
      <c r="G137" s="1156" t="s">
        <v>707</v>
      </c>
      <c r="H137" s="1124"/>
      <c r="I137" s="1157"/>
      <c r="J137" s="1146"/>
      <c r="K137" s="1147"/>
      <c r="L137" s="373"/>
    </row>
    <row r="138" spans="1:12">
      <c r="A138" s="1151"/>
      <c r="B138" s="1122" t="s">
        <v>691</v>
      </c>
      <c r="C138" s="1161"/>
      <c r="D138" s="426" t="s">
        <v>692</v>
      </c>
      <c r="E138" s="427" t="s">
        <v>708</v>
      </c>
      <c r="F138" s="426" t="s">
        <v>709</v>
      </c>
      <c r="G138" s="1162">
        <f>INDEX(ESPSPNotes,10,1)</f>
        <v>0</v>
      </c>
      <c r="H138" s="1163"/>
      <c r="I138" s="1164"/>
      <c r="J138" s="1146"/>
      <c r="K138" s="1147"/>
      <c r="L138" s="373"/>
    </row>
    <row r="139" spans="1:12">
      <c r="A139" s="1151"/>
      <c r="B139" s="1125"/>
      <c r="C139" s="1125"/>
      <c r="D139" s="409"/>
      <c r="E139" s="434"/>
      <c r="F139" s="429"/>
      <c r="G139" s="1162"/>
      <c r="H139" s="1163"/>
      <c r="I139" s="1164"/>
      <c r="J139" s="1146"/>
      <c r="K139" s="1147"/>
      <c r="L139" s="373"/>
    </row>
    <row r="140" spans="1:12">
      <c r="A140" s="1151"/>
      <c r="B140" s="1125"/>
      <c r="C140" s="1125"/>
      <c r="D140" s="409"/>
      <c r="E140" s="434"/>
      <c r="F140" s="429"/>
      <c r="G140" s="1162"/>
      <c r="H140" s="1163"/>
      <c r="I140" s="1164"/>
      <c r="J140" s="1146"/>
      <c r="K140" s="1147"/>
      <c r="L140" s="373"/>
    </row>
    <row r="141" spans="1:12">
      <c r="A141" s="1152"/>
      <c r="B141" s="1126"/>
      <c r="C141" s="1126"/>
      <c r="D141" s="410"/>
      <c r="E141" s="430"/>
      <c r="F141" s="431"/>
      <c r="G141" s="1165"/>
      <c r="H141" s="1166"/>
      <c r="I141" s="1167"/>
      <c r="J141" s="1148"/>
      <c r="K141" s="1149"/>
      <c r="L141" s="373"/>
    </row>
    <row r="142" spans="1:12" ht="3" customHeight="1">
      <c r="A142" s="1168"/>
      <c r="B142" s="1169"/>
      <c r="C142" s="1169"/>
      <c r="D142" s="1169"/>
      <c r="E142" s="1169"/>
      <c r="F142" s="1169"/>
      <c r="G142" s="1169"/>
      <c r="H142" s="1169"/>
      <c r="I142" s="1169"/>
      <c r="J142" s="1169"/>
      <c r="K142" s="1170"/>
      <c r="L142" s="373"/>
    </row>
    <row r="143" spans="1:12">
      <c r="A143" s="418" t="s">
        <v>694</v>
      </c>
      <c r="B143" s="1118" t="s">
        <v>695</v>
      </c>
      <c r="C143" s="1119"/>
      <c r="D143" s="1120"/>
      <c r="E143" s="418" t="s">
        <v>696</v>
      </c>
      <c r="F143" s="418" t="s">
        <v>697</v>
      </c>
      <c r="G143" s="418" t="s">
        <v>698</v>
      </c>
      <c r="H143" s="418" t="s">
        <v>699</v>
      </c>
      <c r="I143" s="418" t="s">
        <v>700</v>
      </c>
      <c r="J143" s="418" t="s">
        <v>1210</v>
      </c>
      <c r="K143" s="418" t="s">
        <v>701</v>
      </c>
      <c r="L143" s="373"/>
    </row>
    <row r="144" spans="1:12">
      <c r="A144" s="1151">
        <f>INDEX(ESPSPNo,11,1)</f>
        <v>0</v>
      </c>
      <c r="B144" s="1153">
        <f>INDEX(ESPSPTitle,11,1)</f>
        <v>0</v>
      </c>
      <c r="C144" s="1154"/>
      <c r="D144" s="1155"/>
      <c r="E144" s="421" t="str">
        <f>IF(A144&lt;&gt;0,IF(OR(INDEX(ESPSPTandM,11,1)=TMDPhaseChangeTimeAndMaterial,INDEX(ESPSPTandM,11,1)=TMDPhaseTimeAndMaterial),TMDAllocationTandM,TMDAllocationFix),"")</f>
        <v/>
      </c>
      <c r="F144" s="422">
        <f>H144</f>
        <v>0</v>
      </c>
      <c r="G144" s="422">
        <f>H144</f>
        <v>0</v>
      </c>
      <c r="H144" s="422"/>
      <c r="I144" s="422">
        <f>H144</f>
        <v>0</v>
      </c>
      <c r="J144" s="422"/>
      <c r="K144" s="422"/>
      <c r="L144" s="373"/>
    </row>
    <row r="145" spans="1:12">
      <c r="A145" s="1151"/>
      <c r="B145" s="418" t="s">
        <v>702</v>
      </c>
      <c r="C145" s="418" t="s">
        <v>703</v>
      </c>
      <c r="D145" s="418" t="s">
        <v>685</v>
      </c>
      <c r="E145" s="418" t="s">
        <v>687</v>
      </c>
      <c r="F145" s="1118" t="s">
        <v>1102</v>
      </c>
      <c r="G145" s="1119"/>
      <c r="H145" s="1119"/>
      <c r="I145" s="1120"/>
      <c r="J145" s="1156" t="s">
        <v>704</v>
      </c>
      <c r="K145" s="1157"/>
      <c r="L145" s="373"/>
    </row>
    <row r="146" spans="1:12">
      <c r="A146" s="1151"/>
      <c r="B146" s="422">
        <f>INDEX(ESPSPExternalPrice,11,1)</f>
        <v>0</v>
      </c>
      <c r="C146" s="422">
        <f>INDEX(ESPSPEffort,11,1)*MDWorkhours</f>
        <v>0</v>
      </c>
      <c r="D146" s="425">
        <f>INDEX(ESPSPStart,11,1)</f>
        <v>0</v>
      </c>
      <c r="E146" s="425">
        <f>INDEX(ESPSPEnd,11,1)</f>
        <v>0</v>
      </c>
      <c r="F146" s="1158"/>
      <c r="G146" s="1159"/>
      <c r="H146" s="1159"/>
      <c r="I146" s="1160"/>
      <c r="J146" s="1146"/>
      <c r="K146" s="1147"/>
      <c r="L146" s="373"/>
    </row>
    <row r="147" spans="1:12">
      <c r="A147" s="1151"/>
      <c r="B147" s="1156" t="s">
        <v>705</v>
      </c>
      <c r="C147" s="1124"/>
      <c r="D147" s="1157"/>
      <c r="E147" s="1156" t="s">
        <v>706</v>
      </c>
      <c r="F147" s="1157"/>
      <c r="G147" s="1156" t="s">
        <v>707</v>
      </c>
      <c r="H147" s="1124"/>
      <c r="I147" s="1157"/>
      <c r="J147" s="1146"/>
      <c r="K147" s="1147"/>
      <c r="L147" s="373"/>
    </row>
    <row r="148" spans="1:12">
      <c r="A148" s="1151"/>
      <c r="B148" s="1122" t="s">
        <v>691</v>
      </c>
      <c r="C148" s="1161"/>
      <c r="D148" s="426" t="s">
        <v>692</v>
      </c>
      <c r="E148" s="427" t="s">
        <v>708</v>
      </c>
      <c r="F148" s="426" t="s">
        <v>709</v>
      </c>
      <c r="G148" s="1162">
        <f>INDEX(ESPSPNotes,11,1)</f>
        <v>0</v>
      </c>
      <c r="H148" s="1163"/>
      <c r="I148" s="1164"/>
      <c r="J148" s="1146"/>
      <c r="K148" s="1147"/>
      <c r="L148" s="373"/>
    </row>
    <row r="149" spans="1:12">
      <c r="A149" s="1151"/>
      <c r="B149" s="1125"/>
      <c r="C149" s="1125"/>
      <c r="D149" s="409"/>
      <c r="E149" s="434"/>
      <c r="F149" s="429"/>
      <c r="G149" s="1162"/>
      <c r="H149" s="1163"/>
      <c r="I149" s="1164"/>
      <c r="J149" s="1146"/>
      <c r="K149" s="1147"/>
      <c r="L149" s="373"/>
    </row>
    <row r="150" spans="1:12">
      <c r="A150" s="1151"/>
      <c r="B150" s="1125"/>
      <c r="C150" s="1125"/>
      <c r="D150" s="409"/>
      <c r="E150" s="434"/>
      <c r="F150" s="429"/>
      <c r="G150" s="1162"/>
      <c r="H150" s="1163"/>
      <c r="I150" s="1164"/>
      <c r="J150" s="1146"/>
      <c r="K150" s="1147"/>
      <c r="L150" s="373"/>
    </row>
    <row r="151" spans="1:12">
      <c r="A151" s="1152"/>
      <c r="B151" s="1126"/>
      <c r="C151" s="1126"/>
      <c r="D151" s="410"/>
      <c r="E151" s="430"/>
      <c r="F151" s="431"/>
      <c r="G151" s="1165"/>
      <c r="H151" s="1166"/>
      <c r="I151" s="1167"/>
      <c r="J151" s="1148"/>
      <c r="K151" s="1149"/>
      <c r="L151" s="373"/>
    </row>
    <row r="152" spans="1:12" s="433" customFormat="1" ht="1.5" customHeight="1">
      <c r="A152" s="435"/>
      <c r="B152" s="435"/>
      <c r="C152" s="435"/>
      <c r="D152" s="435"/>
      <c r="E152" s="435"/>
      <c r="F152" s="435"/>
      <c r="G152" s="435"/>
      <c r="H152" s="435"/>
      <c r="I152" s="435"/>
      <c r="J152" s="435"/>
      <c r="K152" s="435"/>
      <c r="L152" s="432"/>
    </row>
    <row r="153" spans="1:12">
      <c r="A153" s="418" t="s">
        <v>694</v>
      </c>
      <c r="B153" s="1118" t="s">
        <v>695</v>
      </c>
      <c r="C153" s="1119"/>
      <c r="D153" s="1120"/>
      <c r="E153" s="418" t="s">
        <v>696</v>
      </c>
      <c r="F153" s="418" t="s">
        <v>697</v>
      </c>
      <c r="G153" s="418" t="s">
        <v>698</v>
      </c>
      <c r="H153" s="418" t="s">
        <v>699</v>
      </c>
      <c r="I153" s="418" t="s">
        <v>700</v>
      </c>
      <c r="J153" s="418" t="s">
        <v>1210</v>
      </c>
      <c r="K153" s="418" t="s">
        <v>701</v>
      </c>
      <c r="L153" s="373"/>
    </row>
    <row r="154" spans="1:12">
      <c r="A154" s="1151">
        <f>INDEX(ESPSPNo,12,1)</f>
        <v>0</v>
      </c>
      <c r="B154" s="1153">
        <f>INDEX(ESPSPTitle,12,1)</f>
        <v>0</v>
      </c>
      <c r="C154" s="1154"/>
      <c r="D154" s="1155"/>
      <c r="E154" s="421" t="str">
        <f>IF(A154&lt;&gt;0,IF(OR(INDEX(ESPSPTandM,12,1)=TMDPhaseChangeTimeAndMaterial,INDEX(ESPSPTandM,12,1)=TMDPhaseTimeAndMaterial),TMDAllocationTandM,TMDAllocationFix),"")</f>
        <v/>
      </c>
      <c r="F154" s="422">
        <f>H154</f>
        <v>0</v>
      </c>
      <c r="G154" s="422">
        <f>H154</f>
        <v>0</v>
      </c>
      <c r="H154" s="422"/>
      <c r="I154" s="422">
        <f>H154</f>
        <v>0</v>
      </c>
      <c r="J154" s="422"/>
      <c r="K154" s="422"/>
      <c r="L154" s="373"/>
    </row>
    <row r="155" spans="1:12">
      <c r="A155" s="1151"/>
      <c r="B155" s="418" t="s">
        <v>702</v>
      </c>
      <c r="C155" s="418" t="s">
        <v>703</v>
      </c>
      <c r="D155" s="418" t="s">
        <v>685</v>
      </c>
      <c r="E155" s="418" t="s">
        <v>687</v>
      </c>
      <c r="F155" s="1118" t="s">
        <v>1102</v>
      </c>
      <c r="G155" s="1119"/>
      <c r="H155" s="1119"/>
      <c r="I155" s="1120"/>
      <c r="J155" s="1156" t="s">
        <v>704</v>
      </c>
      <c r="K155" s="1157"/>
      <c r="L155" s="373"/>
    </row>
    <row r="156" spans="1:12">
      <c r="A156" s="1151"/>
      <c r="B156" s="422">
        <f>INDEX(ESPSPExternalPrice,12,1)</f>
        <v>0</v>
      </c>
      <c r="C156" s="422">
        <f>INDEX(ESPSPEffort,12,1)*MDWorkhours</f>
        <v>0</v>
      </c>
      <c r="D156" s="425">
        <f>INDEX(ESPSPStart,12,1)</f>
        <v>0</v>
      </c>
      <c r="E156" s="425">
        <f>INDEX(ESPSPEnd,12,1)</f>
        <v>0</v>
      </c>
      <c r="F156" s="1158"/>
      <c r="G156" s="1159"/>
      <c r="H156" s="1159"/>
      <c r="I156" s="1160"/>
      <c r="J156" s="1146"/>
      <c r="K156" s="1147"/>
      <c r="L156" s="373"/>
    </row>
    <row r="157" spans="1:12">
      <c r="A157" s="1151"/>
      <c r="B157" s="1156" t="s">
        <v>705</v>
      </c>
      <c r="C157" s="1124"/>
      <c r="D157" s="1157"/>
      <c r="E157" s="1156" t="s">
        <v>706</v>
      </c>
      <c r="F157" s="1157"/>
      <c r="G157" s="1156" t="s">
        <v>707</v>
      </c>
      <c r="H157" s="1124"/>
      <c r="I157" s="1157"/>
      <c r="J157" s="1146"/>
      <c r="K157" s="1147"/>
      <c r="L157" s="373"/>
    </row>
    <row r="158" spans="1:12">
      <c r="A158" s="1151"/>
      <c r="B158" s="1122" t="s">
        <v>691</v>
      </c>
      <c r="C158" s="1161"/>
      <c r="D158" s="426" t="s">
        <v>692</v>
      </c>
      <c r="E158" s="427" t="s">
        <v>708</v>
      </c>
      <c r="F158" s="426" t="s">
        <v>709</v>
      </c>
      <c r="G158" s="1162">
        <f>INDEX(ESPSPNotes,12,1)</f>
        <v>0</v>
      </c>
      <c r="H158" s="1163"/>
      <c r="I158" s="1164"/>
      <c r="J158" s="1146"/>
      <c r="K158" s="1147"/>
      <c r="L158" s="373"/>
    </row>
    <row r="159" spans="1:12">
      <c r="A159" s="1151"/>
      <c r="B159" s="1125"/>
      <c r="C159" s="1125"/>
      <c r="D159" s="409"/>
      <c r="E159" s="434"/>
      <c r="F159" s="429"/>
      <c r="G159" s="1162"/>
      <c r="H159" s="1163"/>
      <c r="I159" s="1164"/>
      <c r="J159" s="1146"/>
      <c r="K159" s="1147"/>
      <c r="L159" s="373"/>
    </row>
    <row r="160" spans="1:12">
      <c r="A160" s="1151"/>
      <c r="B160" s="1125"/>
      <c r="C160" s="1125"/>
      <c r="D160" s="409"/>
      <c r="E160" s="434"/>
      <c r="F160" s="429"/>
      <c r="G160" s="1162"/>
      <c r="H160" s="1163"/>
      <c r="I160" s="1164"/>
      <c r="J160" s="1146"/>
      <c r="K160" s="1147"/>
      <c r="L160" s="373"/>
    </row>
    <row r="161" spans="1:12">
      <c r="A161" s="1152"/>
      <c r="B161" s="1126"/>
      <c r="C161" s="1126"/>
      <c r="D161" s="410"/>
      <c r="E161" s="430"/>
      <c r="F161" s="431"/>
      <c r="G161" s="1165"/>
      <c r="H161" s="1166"/>
      <c r="I161" s="1167"/>
      <c r="J161" s="1148"/>
      <c r="K161" s="1149"/>
      <c r="L161" s="373"/>
    </row>
    <row r="162" spans="1:12" ht="3" customHeight="1">
      <c r="A162" s="1168"/>
      <c r="B162" s="1169"/>
      <c r="C162" s="1169"/>
      <c r="D162" s="1169"/>
      <c r="E162" s="1169"/>
      <c r="F162" s="1169"/>
      <c r="G162" s="1169"/>
      <c r="H162" s="1169"/>
      <c r="I162" s="1169"/>
      <c r="J162" s="1169"/>
      <c r="K162" s="1170"/>
      <c r="L162" s="373"/>
    </row>
    <row r="163" spans="1:12">
      <c r="A163" s="418" t="s">
        <v>694</v>
      </c>
      <c r="B163" s="1118" t="s">
        <v>695</v>
      </c>
      <c r="C163" s="1119"/>
      <c r="D163" s="1120"/>
      <c r="E163" s="418" t="s">
        <v>696</v>
      </c>
      <c r="F163" s="418" t="s">
        <v>697</v>
      </c>
      <c r="G163" s="418" t="s">
        <v>698</v>
      </c>
      <c r="H163" s="418" t="s">
        <v>699</v>
      </c>
      <c r="I163" s="418" t="s">
        <v>700</v>
      </c>
      <c r="J163" s="418" t="s">
        <v>1210</v>
      </c>
      <c r="K163" s="418" t="s">
        <v>701</v>
      </c>
      <c r="L163" s="373"/>
    </row>
    <row r="164" spans="1:12">
      <c r="A164" s="1151">
        <f>INDEX(ESPSPNo,13,1)</f>
        <v>0</v>
      </c>
      <c r="B164" s="1153">
        <f>INDEX(ESPSPTitle,13,1)</f>
        <v>0</v>
      </c>
      <c r="C164" s="1154"/>
      <c r="D164" s="1155"/>
      <c r="E164" s="421" t="str">
        <f>IF(A164&lt;&gt;0,IF(OR(INDEX(ESPSPTandM,13,1)=TMDPhaseChangeTimeAndMaterial,INDEX(ESPSPTandM,13,1)=TMDPhaseTimeAndMaterial),TMDAllocationTandM,TMDAllocationFix),"")</f>
        <v/>
      </c>
      <c r="F164" s="422">
        <f>H164</f>
        <v>0</v>
      </c>
      <c r="G164" s="422">
        <f>H164</f>
        <v>0</v>
      </c>
      <c r="H164" s="422"/>
      <c r="I164" s="422">
        <f>H164</f>
        <v>0</v>
      </c>
      <c r="J164" s="422"/>
      <c r="K164" s="422"/>
      <c r="L164" s="373"/>
    </row>
    <row r="165" spans="1:12">
      <c r="A165" s="1151"/>
      <c r="B165" s="418" t="s">
        <v>702</v>
      </c>
      <c r="C165" s="418" t="s">
        <v>703</v>
      </c>
      <c r="D165" s="418" t="s">
        <v>685</v>
      </c>
      <c r="E165" s="418" t="s">
        <v>687</v>
      </c>
      <c r="F165" s="1118" t="s">
        <v>1102</v>
      </c>
      <c r="G165" s="1119"/>
      <c r="H165" s="1119"/>
      <c r="I165" s="1120"/>
      <c r="J165" s="1156" t="s">
        <v>704</v>
      </c>
      <c r="K165" s="1157"/>
      <c r="L165" s="373"/>
    </row>
    <row r="166" spans="1:12">
      <c r="A166" s="1151"/>
      <c r="B166" s="422">
        <f>INDEX(ESPSPExternalPrice,13,1)</f>
        <v>0</v>
      </c>
      <c r="C166" s="422">
        <f>INDEX(ESPSPEffort,13,1)*MDWorkhours</f>
        <v>0</v>
      </c>
      <c r="D166" s="425">
        <f>INDEX(ESPSPStart,13,1)</f>
        <v>0</v>
      </c>
      <c r="E166" s="425">
        <f>INDEX(ESPSPEnd,13,1)</f>
        <v>0</v>
      </c>
      <c r="F166" s="1158"/>
      <c r="G166" s="1159"/>
      <c r="H166" s="1159"/>
      <c r="I166" s="1160"/>
      <c r="J166" s="1146"/>
      <c r="K166" s="1147"/>
      <c r="L166" s="373"/>
    </row>
    <row r="167" spans="1:12">
      <c r="A167" s="1151"/>
      <c r="B167" s="1156" t="s">
        <v>705</v>
      </c>
      <c r="C167" s="1124"/>
      <c r="D167" s="1157"/>
      <c r="E167" s="1156" t="s">
        <v>706</v>
      </c>
      <c r="F167" s="1157"/>
      <c r="G167" s="1156" t="s">
        <v>707</v>
      </c>
      <c r="H167" s="1124"/>
      <c r="I167" s="1157"/>
      <c r="J167" s="1146"/>
      <c r="K167" s="1147"/>
      <c r="L167" s="373"/>
    </row>
    <row r="168" spans="1:12">
      <c r="A168" s="1151"/>
      <c r="B168" s="1122" t="s">
        <v>691</v>
      </c>
      <c r="C168" s="1161"/>
      <c r="D168" s="426" t="s">
        <v>692</v>
      </c>
      <c r="E168" s="427" t="s">
        <v>708</v>
      </c>
      <c r="F168" s="426" t="s">
        <v>709</v>
      </c>
      <c r="G168" s="1162">
        <f>INDEX(ESPSPNotes,13,1)</f>
        <v>0</v>
      </c>
      <c r="H168" s="1163"/>
      <c r="I168" s="1164"/>
      <c r="J168" s="1146"/>
      <c r="K168" s="1147"/>
      <c r="L168" s="373"/>
    </row>
    <row r="169" spans="1:12">
      <c r="A169" s="1151"/>
      <c r="B169" s="1125"/>
      <c r="C169" s="1125"/>
      <c r="D169" s="409"/>
      <c r="E169" s="434"/>
      <c r="F169" s="429"/>
      <c r="G169" s="1162"/>
      <c r="H169" s="1163"/>
      <c r="I169" s="1164"/>
      <c r="J169" s="1146"/>
      <c r="K169" s="1147"/>
      <c r="L169" s="373"/>
    </row>
    <row r="170" spans="1:12">
      <c r="A170" s="1151"/>
      <c r="B170" s="1125"/>
      <c r="C170" s="1125"/>
      <c r="D170" s="409"/>
      <c r="E170" s="434"/>
      <c r="F170" s="429"/>
      <c r="G170" s="1162"/>
      <c r="H170" s="1163"/>
      <c r="I170" s="1164"/>
      <c r="J170" s="1146"/>
      <c r="K170" s="1147"/>
      <c r="L170" s="373"/>
    </row>
    <row r="171" spans="1:12">
      <c r="A171" s="1152"/>
      <c r="B171" s="1126"/>
      <c r="C171" s="1126"/>
      <c r="D171" s="410"/>
      <c r="E171" s="430"/>
      <c r="F171" s="431"/>
      <c r="G171" s="1165"/>
      <c r="H171" s="1166"/>
      <c r="I171" s="1167"/>
      <c r="J171" s="1148"/>
      <c r="K171" s="1149"/>
      <c r="L171" s="373"/>
    </row>
    <row r="172" spans="1:12" ht="3" customHeight="1">
      <c r="A172" s="1171"/>
      <c r="B172" s="1172"/>
      <c r="C172" s="1172"/>
      <c r="D172" s="1172"/>
      <c r="E172" s="1172"/>
      <c r="F172" s="1172"/>
      <c r="G172" s="1172"/>
      <c r="H172" s="1172"/>
      <c r="I172" s="1172"/>
      <c r="J172" s="1172"/>
      <c r="K172" s="1173"/>
      <c r="L172" s="373"/>
    </row>
    <row r="173" spans="1:12">
      <c r="A173" s="418" t="s">
        <v>694</v>
      </c>
      <c r="B173" s="1118" t="s">
        <v>695</v>
      </c>
      <c r="C173" s="1119"/>
      <c r="D173" s="1120"/>
      <c r="E173" s="418" t="s">
        <v>696</v>
      </c>
      <c r="F173" s="418" t="s">
        <v>697</v>
      </c>
      <c r="G173" s="418" t="s">
        <v>698</v>
      </c>
      <c r="H173" s="418" t="s">
        <v>699</v>
      </c>
      <c r="I173" s="418" t="s">
        <v>700</v>
      </c>
      <c r="J173" s="418" t="s">
        <v>1210</v>
      </c>
      <c r="K173" s="418" t="s">
        <v>701</v>
      </c>
      <c r="L173" s="373"/>
    </row>
    <row r="174" spans="1:12">
      <c r="A174" s="1151">
        <f>INDEX(ESPSPNo,14,1)</f>
        <v>0</v>
      </c>
      <c r="B174" s="1153">
        <f>INDEX(ESPSPTitle,14,1)</f>
        <v>0</v>
      </c>
      <c r="C174" s="1154"/>
      <c r="D174" s="1155"/>
      <c r="E174" s="421" t="str">
        <f>IF(A174&lt;&gt;0,IF(OR(INDEX(ESPSPTandM,14,1)=TMDPhaseChangeTimeAndMaterial,INDEX(ESPSPTandM,14,1)=TMDPhaseTimeAndMaterial),TMDAllocationTandM,TMDAllocationFix),"")</f>
        <v/>
      </c>
      <c r="F174" s="422">
        <f>H174</f>
        <v>0</v>
      </c>
      <c r="G174" s="422">
        <f>H174</f>
        <v>0</v>
      </c>
      <c r="H174" s="422"/>
      <c r="I174" s="422">
        <f>H174</f>
        <v>0</v>
      </c>
      <c r="J174" s="422"/>
      <c r="K174" s="422"/>
      <c r="L174" s="373"/>
    </row>
    <row r="175" spans="1:12">
      <c r="A175" s="1151"/>
      <c r="B175" s="418" t="s">
        <v>702</v>
      </c>
      <c r="C175" s="418" t="s">
        <v>703</v>
      </c>
      <c r="D175" s="418" t="s">
        <v>685</v>
      </c>
      <c r="E175" s="418" t="s">
        <v>687</v>
      </c>
      <c r="F175" s="1118" t="s">
        <v>1102</v>
      </c>
      <c r="G175" s="1119"/>
      <c r="H175" s="1119"/>
      <c r="I175" s="1120"/>
      <c r="J175" s="1156" t="s">
        <v>704</v>
      </c>
      <c r="K175" s="1157"/>
      <c r="L175" s="373"/>
    </row>
    <row r="176" spans="1:12">
      <c r="A176" s="1151"/>
      <c r="B176" s="422">
        <f>INDEX(ESPSPExternalPrice,14,1)</f>
        <v>0</v>
      </c>
      <c r="C176" s="422">
        <f>INDEX(ESPSPEffort,14,1)*MDWorkhours</f>
        <v>0</v>
      </c>
      <c r="D176" s="425">
        <f>INDEX(ESPSPStart,14,1)</f>
        <v>0</v>
      </c>
      <c r="E176" s="425">
        <f>INDEX(ESPSPEnd,14,1)</f>
        <v>0</v>
      </c>
      <c r="F176" s="1158"/>
      <c r="G176" s="1159"/>
      <c r="H176" s="1159"/>
      <c r="I176" s="1160"/>
      <c r="J176" s="1146"/>
      <c r="K176" s="1147"/>
      <c r="L176" s="373"/>
    </row>
    <row r="177" spans="1:12">
      <c r="A177" s="1151"/>
      <c r="B177" s="1156" t="s">
        <v>705</v>
      </c>
      <c r="C177" s="1124"/>
      <c r="D177" s="1157"/>
      <c r="E177" s="1156" t="s">
        <v>706</v>
      </c>
      <c r="F177" s="1157"/>
      <c r="G177" s="1156" t="s">
        <v>707</v>
      </c>
      <c r="H177" s="1124"/>
      <c r="I177" s="1157"/>
      <c r="J177" s="1146"/>
      <c r="K177" s="1147"/>
      <c r="L177" s="373"/>
    </row>
    <row r="178" spans="1:12">
      <c r="A178" s="1151"/>
      <c r="B178" s="1122" t="s">
        <v>691</v>
      </c>
      <c r="C178" s="1161"/>
      <c r="D178" s="426" t="s">
        <v>692</v>
      </c>
      <c r="E178" s="427" t="s">
        <v>708</v>
      </c>
      <c r="F178" s="426" t="s">
        <v>709</v>
      </c>
      <c r="G178" s="1162">
        <f>INDEX(ESPSPNotes,14,1)</f>
        <v>0</v>
      </c>
      <c r="H178" s="1163"/>
      <c r="I178" s="1164"/>
      <c r="J178" s="1146"/>
      <c r="K178" s="1147"/>
      <c r="L178" s="373"/>
    </row>
    <row r="179" spans="1:12">
      <c r="A179" s="1151"/>
      <c r="B179" s="1125"/>
      <c r="C179" s="1125"/>
      <c r="D179" s="409"/>
      <c r="E179" s="434"/>
      <c r="F179" s="429"/>
      <c r="G179" s="1162"/>
      <c r="H179" s="1163"/>
      <c r="I179" s="1164"/>
      <c r="J179" s="1146"/>
      <c r="K179" s="1147"/>
      <c r="L179" s="373"/>
    </row>
    <row r="180" spans="1:12">
      <c r="A180" s="1151"/>
      <c r="B180" s="1125"/>
      <c r="C180" s="1125"/>
      <c r="D180" s="409"/>
      <c r="E180" s="434"/>
      <c r="F180" s="429"/>
      <c r="G180" s="1162"/>
      <c r="H180" s="1163"/>
      <c r="I180" s="1164"/>
      <c r="J180" s="1146"/>
      <c r="K180" s="1147"/>
      <c r="L180" s="373"/>
    </row>
    <row r="181" spans="1:12">
      <c r="A181" s="1152"/>
      <c r="B181" s="1126"/>
      <c r="C181" s="1126"/>
      <c r="D181" s="410"/>
      <c r="E181" s="430"/>
      <c r="F181" s="431"/>
      <c r="G181" s="1165"/>
      <c r="H181" s="1166"/>
      <c r="I181" s="1167"/>
      <c r="J181" s="1148"/>
      <c r="K181" s="1149"/>
      <c r="L181" s="373"/>
    </row>
    <row r="182" spans="1:12" ht="3" customHeight="1">
      <c r="A182" s="1168"/>
      <c r="B182" s="1169"/>
      <c r="C182" s="1169"/>
      <c r="D182" s="1169"/>
      <c r="E182" s="1169"/>
      <c r="F182" s="1169"/>
      <c r="G182" s="1169"/>
      <c r="H182" s="1169"/>
      <c r="I182" s="1169"/>
      <c r="J182" s="1169"/>
      <c r="K182" s="1170"/>
      <c r="L182" s="373"/>
    </row>
    <row r="183" spans="1:12">
      <c r="A183" s="418" t="s">
        <v>694</v>
      </c>
      <c r="B183" s="1118" t="s">
        <v>695</v>
      </c>
      <c r="C183" s="1119"/>
      <c r="D183" s="1120"/>
      <c r="E183" s="418" t="s">
        <v>696</v>
      </c>
      <c r="F183" s="418" t="s">
        <v>697</v>
      </c>
      <c r="G183" s="418" t="s">
        <v>698</v>
      </c>
      <c r="H183" s="418" t="s">
        <v>699</v>
      </c>
      <c r="I183" s="418" t="s">
        <v>700</v>
      </c>
      <c r="J183" s="418" t="s">
        <v>712</v>
      </c>
      <c r="K183" s="418" t="s">
        <v>701</v>
      </c>
      <c r="L183" s="373"/>
    </row>
    <row r="184" spans="1:12">
      <c r="A184" s="1151">
        <f>INDEX(ESPSPNo,15,1)</f>
        <v>0</v>
      </c>
      <c r="B184" s="1153">
        <f>INDEX(ESPSPTitle,15,1)</f>
        <v>0</v>
      </c>
      <c r="C184" s="1154"/>
      <c r="D184" s="1155"/>
      <c r="E184" s="421" t="str">
        <f>IF(A184&lt;&gt;0,IF(OR(INDEX(ESPSPTandM,15,1)=TMDPhaseChangeTimeAndMaterial,INDEX(ESPSPTandM,15,1)=TMDPhaseTimeAndMaterial),TMDAllocationTandM,TMDAllocationFix),"")</f>
        <v/>
      </c>
      <c r="F184" s="422">
        <f>H184</f>
        <v>0</v>
      </c>
      <c r="G184" s="422">
        <f>H184</f>
        <v>0</v>
      </c>
      <c r="H184" s="422"/>
      <c r="I184" s="422">
        <f>H184</f>
        <v>0</v>
      </c>
      <c r="J184" s="422"/>
      <c r="K184" s="422"/>
      <c r="L184" s="373"/>
    </row>
    <row r="185" spans="1:12">
      <c r="A185" s="1151"/>
      <c r="B185" s="418" t="s">
        <v>702</v>
      </c>
      <c r="C185" s="418" t="s">
        <v>703</v>
      </c>
      <c r="D185" s="418" t="s">
        <v>685</v>
      </c>
      <c r="E185" s="418" t="s">
        <v>687</v>
      </c>
      <c r="F185" s="1118" t="s">
        <v>1102</v>
      </c>
      <c r="G185" s="1119"/>
      <c r="H185" s="1119"/>
      <c r="I185" s="1120"/>
      <c r="J185" s="1156" t="s">
        <v>704</v>
      </c>
      <c r="K185" s="1157"/>
      <c r="L185" s="373"/>
    </row>
    <row r="186" spans="1:12">
      <c r="A186" s="1151"/>
      <c r="B186" s="422">
        <f>INDEX(ESPSPExternalPrice,15,1)</f>
        <v>0</v>
      </c>
      <c r="C186" s="422">
        <f>INDEX(ESPSPEffort,15,1)*MDWorkhours</f>
        <v>0</v>
      </c>
      <c r="D186" s="425">
        <f>INDEX(ESPSPStart,15,1)</f>
        <v>0</v>
      </c>
      <c r="E186" s="425">
        <f>INDEX(ESPSPEnd,15,1)</f>
        <v>0</v>
      </c>
      <c r="F186" s="1158"/>
      <c r="G186" s="1159"/>
      <c r="H186" s="1159"/>
      <c r="I186" s="1160"/>
      <c r="J186" s="1146"/>
      <c r="K186" s="1147"/>
      <c r="L186" s="373"/>
    </row>
    <row r="187" spans="1:12">
      <c r="A187" s="1151"/>
      <c r="B187" s="1156" t="s">
        <v>705</v>
      </c>
      <c r="C187" s="1124"/>
      <c r="D187" s="1157"/>
      <c r="E187" s="1156" t="s">
        <v>706</v>
      </c>
      <c r="F187" s="1157"/>
      <c r="G187" s="1156" t="s">
        <v>707</v>
      </c>
      <c r="H187" s="1124"/>
      <c r="I187" s="1157"/>
      <c r="J187" s="1146"/>
      <c r="K187" s="1147"/>
      <c r="L187" s="373"/>
    </row>
    <row r="188" spans="1:12">
      <c r="A188" s="1151"/>
      <c r="B188" s="1122" t="s">
        <v>691</v>
      </c>
      <c r="C188" s="1161"/>
      <c r="D188" s="426" t="s">
        <v>692</v>
      </c>
      <c r="E188" s="427" t="s">
        <v>708</v>
      </c>
      <c r="F188" s="426" t="s">
        <v>709</v>
      </c>
      <c r="G188" s="1162">
        <f>INDEX(ESPSPNotes,15,1)</f>
        <v>0</v>
      </c>
      <c r="H188" s="1163"/>
      <c r="I188" s="1164"/>
      <c r="J188" s="1146"/>
      <c r="K188" s="1147"/>
      <c r="L188" s="373"/>
    </row>
    <row r="189" spans="1:12">
      <c r="A189" s="1151"/>
      <c r="B189" s="1125"/>
      <c r="C189" s="1125"/>
      <c r="D189" s="409"/>
      <c r="E189" s="434"/>
      <c r="F189" s="429"/>
      <c r="G189" s="1162"/>
      <c r="H189" s="1163"/>
      <c r="I189" s="1164"/>
      <c r="J189" s="1146"/>
      <c r="K189" s="1147"/>
      <c r="L189" s="373"/>
    </row>
    <row r="190" spans="1:12">
      <c r="A190" s="1151"/>
      <c r="B190" s="1125"/>
      <c r="C190" s="1125"/>
      <c r="D190" s="409"/>
      <c r="E190" s="434"/>
      <c r="F190" s="429"/>
      <c r="G190" s="1162"/>
      <c r="H190" s="1163"/>
      <c r="I190" s="1164"/>
      <c r="J190" s="1146"/>
      <c r="K190" s="1147"/>
      <c r="L190" s="373"/>
    </row>
    <row r="191" spans="1:12">
      <c r="A191" s="1152"/>
      <c r="B191" s="1126"/>
      <c r="C191" s="1126"/>
      <c r="D191" s="410"/>
      <c r="E191" s="430"/>
      <c r="F191" s="431"/>
      <c r="G191" s="1165"/>
      <c r="H191" s="1166"/>
      <c r="I191" s="1167"/>
      <c r="J191" s="1148"/>
      <c r="K191" s="1149"/>
      <c r="L191" s="373"/>
    </row>
    <row r="192" spans="1:12" ht="3" customHeight="1">
      <c r="A192" s="1171"/>
      <c r="B192" s="1172"/>
      <c r="C192" s="1172"/>
      <c r="D192" s="1172"/>
      <c r="E192" s="1172"/>
      <c r="F192" s="1172"/>
      <c r="G192" s="1172"/>
      <c r="H192" s="1172"/>
      <c r="I192" s="1172"/>
      <c r="J192" s="1172"/>
      <c r="K192" s="1173"/>
      <c r="L192" s="373"/>
    </row>
    <row r="193" spans="1:13">
      <c r="A193" s="418" t="s">
        <v>694</v>
      </c>
      <c r="B193" s="1118" t="s">
        <v>695</v>
      </c>
      <c r="C193" s="1119"/>
      <c r="D193" s="1120"/>
      <c r="E193" s="418" t="s">
        <v>696</v>
      </c>
      <c r="F193" s="418" t="s">
        <v>697</v>
      </c>
      <c r="G193" s="418" t="s">
        <v>698</v>
      </c>
      <c r="H193" s="418" t="s">
        <v>699</v>
      </c>
      <c r="I193" s="418" t="s">
        <v>700</v>
      </c>
      <c r="J193" s="418" t="s">
        <v>1210</v>
      </c>
      <c r="K193" s="418" t="s">
        <v>701</v>
      </c>
      <c r="L193" s="373"/>
    </row>
    <row r="194" spans="1:13">
      <c r="A194" s="1151">
        <f>INDEX(ESPSPNo,16,1)</f>
        <v>0</v>
      </c>
      <c r="B194" s="1153">
        <f>INDEX(ESPSPTitle,16,1)</f>
        <v>0</v>
      </c>
      <c r="C194" s="1154"/>
      <c r="D194" s="1155"/>
      <c r="E194" s="421" t="str">
        <f>IF(A194&lt;&gt;0,IF(OR(INDEX(ESPSPTandM,16,1)=TMDPhaseChangeTimeAndMaterial,INDEX(ESPSPTandM,16,1)=TMDPhaseTimeAndMaterial),TMDAllocationTandM,TMDAllocationFix),"")</f>
        <v/>
      </c>
      <c r="F194" s="422">
        <f>H194</f>
        <v>0</v>
      </c>
      <c r="G194" s="422">
        <f>H194</f>
        <v>0</v>
      </c>
      <c r="H194" s="422"/>
      <c r="I194" s="422">
        <f>H194</f>
        <v>0</v>
      </c>
      <c r="J194" s="422"/>
      <c r="K194" s="422"/>
      <c r="L194" s="373"/>
    </row>
    <row r="195" spans="1:13">
      <c r="A195" s="1151"/>
      <c r="B195" s="418" t="s">
        <v>702</v>
      </c>
      <c r="C195" s="418" t="s">
        <v>703</v>
      </c>
      <c r="D195" s="418" t="s">
        <v>685</v>
      </c>
      <c r="E195" s="418" t="s">
        <v>687</v>
      </c>
      <c r="F195" s="1118" t="s">
        <v>1102</v>
      </c>
      <c r="G195" s="1119"/>
      <c r="H195" s="1119"/>
      <c r="I195" s="1120"/>
      <c r="J195" s="1156" t="s">
        <v>704</v>
      </c>
      <c r="K195" s="1157"/>
      <c r="L195" s="373"/>
    </row>
    <row r="196" spans="1:13">
      <c r="A196" s="1151"/>
      <c r="B196" s="422">
        <f>INDEX(ESPSPExternalPrice,16,1)</f>
        <v>0</v>
      </c>
      <c r="C196" s="422">
        <f>INDEX(ESPSPEffort,16,1)*MDWorkhours</f>
        <v>0</v>
      </c>
      <c r="D196" s="425">
        <f>INDEX(ESPSPStart,16,1)</f>
        <v>0</v>
      </c>
      <c r="E196" s="425">
        <f>INDEX(ESPSPEnd,16,1)</f>
        <v>0</v>
      </c>
      <c r="F196" s="1158"/>
      <c r="G196" s="1159"/>
      <c r="H196" s="1159"/>
      <c r="I196" s="1160"/>
      <c r="J196" s="1146"/>
      <c r="K196" s="1147"/>
      <c r="L196" s="373"/>
    </row>
    <row r="197" spans="1:13">
      <c r="A197" s="1151"/>
      <c r="B197" s="1156" t="s">
        <v>705</v>
      </c>
      <c r="C197" s="1124"/>
      <c r="D197" s="1157"/>
      <c r="E197" s="1156" t="s">
        <v>706</v>
      </c>
      <c r="F197" s="1157"/>
      <c r="G197" s="1156" t="s">
        <v>707</v>
      </c>
      <c r="H197" s="1124"/>
      <c r="I197" s="1157"/>
      <c r="J197" s="1146"/>
      <c r="K197" s="1147"/>
      <c r="L197" s="373"/>
    </row>
    <row r="198" spans="1:13">
      <c r="A198" s="1151"/>
      <c r="B198" s="1122" t="s">
        <v>691</v>
      </c>
      <c r="C198" s="1161"/>
      <c r="D198" s="426" t="s">
        <v>692</v>
      </c>
      <c r="E198" s="427" t="s">
        <v>708</v>
      </c>
      <c r="F198" s="426" t="s">
        <v>709</v>
      </c>
      <c r="G198" s="1162">
        <f>INDEX(ESPSPNotes,16,1)</f>
        <v>0</v>
      </c>
      <c r="H198" s="1163"/>
      <c r="I198" s="1164"/>
      <c r="J198" s="1146"/>
      <c r="K198" s="1147"/>
      <c r="L198" s="373"/>
    </row>
    <row r="199" spans="1:13">
      <c r="A199" s="1151"/>
      <c r="B199" s="1125"/>
      <c r="C199" s="1125"/>
      <c r="D199" s="409"/>
      <c r="E199" s="434"/>
      <c r="F199" s="429"/>
      <c r="G199" s="1162"/>
      <c r="H199" s="1163"/>
      <c r="I199" s="1164"/>
      <c r="J199" s="1146"/>
      <c r="K199" s="1147"/>
      <c r="L199" s="373"/>
    </row>
    <row r="200" spans="1:13">
      <c r="A200" s="1151"/>
      <c r="B200" s="1125"/>
      <c r="C200" s="1125"/>
      <c r="D200" s="409"/>
      <c r="E200" s="434"/>
      <c r="F200" s="429"/>
      <c r="G200" s="1162"/>
      <c r="H200" s="1163"/>
      <c r="I200" s="1164"/>
      <c r="J200" s="1146"/>
      <c r="K200" s="1147"/>
      <c r="L200" s="373"/>
    </row>
    <row r="201" spans="1:13">
      <c r="A201" s="1152"/>
      <c r="B201" s="1126"/>
      <c r="C201" s="1126"/>
      <c r="D201" s="410"/>
      <c r="E201" s="430"/>
      <c r="F201" s="431"/>
      <c r="G201" s="1165"/>
      <c r="H201" s="1166"/>
      <c r="I201" s="1167"/>
      <c r="J201" s="1148"/>
      <c r="K201" s="1149"/>
      <c r="L201" s="373"/>
    </row>
    <row r="202" spans="1:13" ht="3" customHeight="1">
      <c r="A202" s="1168"/>
      <c r="B202" s="1169"/>
      <c r="C202" s="1169"/>
      <c r="D202" s="1169"/>
      <c r="E202" s="1169"/>
      <c r="F202" s="1169"/>
      <c r="G202" s="1169"/>
      <c r="H202" s="1169"/>
      <c r="I202" s="1169"/>
      <c r="J202" s="1169"/>
      <c r="K202" s="1170"/>
      <c r="L202" s="373"/>
    </row>
    <row r="203" spans="1:13">
      <c r="A203" s="418" t="s">
        <v>694</v>
      </c>
      <c r="B203" s="1118" t="s">
        <v>695</v>
      </c>
      <c r="C203" s="1119"/>
      <c r="D203" s="1120"/>
      <c r="E203" s="418" t="s">
        <v>696</v>
      </c>
      <c r="F203" s="418" t="s">
        <v>697</v>
      </c>
      <c r="G203" s="418" t="s">
        <v>698</v>
      </c>
      <c r="H203" s="418" t="s">
        <v>699</v>
      </c>
      <c r="I203" s="418" t="s">
        <v>700</v>
      </c>
      <c r="J203" s="418" t="s">
        <v>1210</v>
      </c>
      <c r="K203" s="418" t="s">
        <v>701</v>
      </c>
      <c r="L203" s="419"/>
      <c r="M203" s="420"/>
    </row>
    <row r="204" spans="1:13">
      <c r="A204" s="1151">
        <f>INDEX(ESPSPNo,17,1)</f>
        <v>0</v>
      </c>
      <c r="B204" s="1153">
        <f>INDEX(ESPSPTitle,17,1)</f>
        <v>0</v>
      </c>
      <c r="C204" s="1154"/>
      <c r="D204" s="1155"/>
      <c r="E204" s="421" t="str">
        <f>IF(A204&lt;&gt;0,IF(OR(INDEX(ESPSPTandM,17,1)=TMDPhaseChangeTimeAndMaterial,INDEX(ESPSPTandM,17,1)=TMDPhaseTimeAndMaterial),TMDAllocationTandM,TMDAllocationFix),"")</f>
        <v/>
      </c>
      <c r="F204" s="422">
        <f>H204</f>
        <v>0</v>
      </c>
      <c r="G204" s="422">
        <f>H204</f>
        <v>0</v>
      </c>
      <c r="H204" s="422"/>
      <c r="I204" s="422">
        <f>H204</f>
        <v>0</v>
      </c>
      <c r="J204" s="422"/>
      <c r="K204" s="422"/>
      <c r="L204" s="423"/>
      <c r="M204" s="424"/>
    </row>
    <row r="205" spans="1:13">
      <c r="A205" s="1151"/>
      <c r="B205" s="418" t="s">
        <v>702</v>
      </c>
      <c r="C205" s="418" t="s">
        <v>703</v>
      </c>
      <c r="D205" s="418" t="s">
        <v>685</v>
      </c>
      <c r="E205" s="418" t="s">
        <v>687</v>
      </c>
      <c r="F205" s="1118" t="s">
        <v>1102</v>
      </c>
      <c r="G205" s="1119"/>
      <c r="H205" s="1119"/>
      <c r="I205" s="1120"/>
      <c r="J205" s="1156" t="s">
        <v>704</v>
      </c>
      <c r="K205" s="1157"/>
      <c r="L205" s="423"/>
      <c r="M205" s="424"/>
    </row>
    <row r="206" spans="1:13">
      <c r="A206" s="1151"/>
      <c r="B206" s="422">
        <f>INDEX(ESPSPExternalPrice,17,1)</f>
        <v>0</v>
      </c>
      <c r="C206" s="422">
        <f>INDEX(ESPSPEffort,17,1)*MDWorkhours</f>
        <v>0</v>
      </c>
      <c r="D206" s="425">
        <f>INDEX(ESPSPStart,17,1)</f>
        <v>0</v>
      </c>
      <c r="E206" s="425">
        <f>INDEX(ESPSPEnd,17,1)</f>
        <v>0</v>
      </c>
      <c r="F206" s="1158"/>
      <c r="G206" s="1159"/>
      <c r="H206" s="1159"/>
      <c r="I206" s="1160"/>
      <c r="J206" s="1146"/>
      <c r="K206" s="1147"/>
      <c r="L206" s="423"/>
      <c r="M206" s="424"/>
    </row>
    <row r="207" spans="1:13">
      <c r="A207" s="1151"/>
      <c r="B207" s="1156" t="s">
        <v>705</v>
      </c>
      <c r="C207" s="1124"/>
      <c r="D207" s="1157"/>
      <c r="E207" s="1156" t="s">
        <v>706</v>
      </c>
      <c r="F207" s="1157"/>
      <c r="G207" s="1156" t="s">
        <v>707</v>
      </c>
      <c r="H207" s="1124"/>
      <c r="I207" s="1157"/>
      <c r="J207" s="1146"/>
      <c r="K207" s="1147"/>
      <c r="L207" s="423"/>
      <c r="M207" s="424"/>
    </row>
    <row r="208" spans="1:13">
      <c r="A208" s="1151"/>
      <c r="B208" s="1122" t="s">
        <v>691</v>
      </c>
      <c r="C208" s="1161"/>
      <c r="D208" s="426" t="s">
        <v>692</v>
      </c>
      <c r="E208" s="427" t="s">
        <v>708</v>
      </c>
      <c r="F208" s="426" t="s">
        <v>709</v>
      </c>
      <c r="G208" s="1162">
        <f>INDEX(ESPSPNotes,17,1)</f>
        <v>0</v>
      </c>
      <c r="H208" s="1163"/>
      <c r="I208" s="1164"/>
      <c r="J208" s="1146"/>
      <c r="K208" s="1147"/>
      <c r="L208" s="423"/>
      <c r="M208" s="424"/>
    </row>
    <row r="209" spans="1:13">
      <c r="A209" s="1151"/>
      <c r="B209" s="1125"/>
      <c r="C209" s="1125"/>
      <c r="D209" s="409"/>
      <c r="E209" s="434"/>
      <c r="F209" s="429"/>
      <c r="G209" s="1162"/>
      <c r="H209" s="1163"/>
      <c r="I209" s="1164"/>
      <c r="J209" s="1146"/>
      <c r="K209" s="1147"/>
      <c r="L209" s="423"/>
      <c r="M209" s="424"/>
    </row>
    <row r="210" spans="1:13">
      <c r="A210" s="1151"/>
      <c r="B210" s="1125"/>
      <c r="C210" s="1125"/>
      <c r="D210" s="409"/>
      <c r="E210" s="434"/>
      <c r="F210" s="429"/>
      <c r="G210" s="1162"/>
      <c r="H210" s="1163"/>
      <c r="I210" s="1164"/>
      <c r="J210" s="1146"/>
      <c r="K210" s="1147"/>
      <c r="L210" s="423"/>
      <c r="M210" s="424"/>
    </row>
    <row r="211" spans="1:13">
      <c r="A211" s="1152"/>
      <c r="B211" s="1126"/>
      <c r="C211" s="1126"/>
      <c r="D211" s="410"/>
      <c r="E211" s="430"/>
      <c r="F211" s="431"/>
      <c r="G211" s="1165"/>
      <c r="H211" s="1166"/>
      <c r="I211" s="1167"/>
      <c r="J211" s="1148"/>
      <c r="K211" s="1149"/>
      <c r="L211" s="423"/>
      <c r="M211" s="424"/>
    </row>
    <row r="212" spans="1:13" ht="3" customHeight="1">
      <c r="A212" s="1150"/>
      <c r="B212" s="1150"/>
      <c r="C212" s="1150"/>
      <c r="D212" s="1150"/>
      <c r="E212" s="1150"/>
      <c r="F212" s="1150"/>
      <c r="G212" s="1150"/>
      <c r="H212" s="1150"/>
      <c r="I212" s="1150"/>
      <c r="J212" s="1150"/>
      <c r="K212" s="1150"/>
      <c r="L212" s="432"/>
      <c r="M212" s="433"/>
    </row>
    <row r="213" spans="1:13">
      <c r="A213" s="418" t="s">
        <v>694</v>
      </c>
      <c r="B213" s="1118" t="s">
        <v>695</v>
      </c>
      <c r="C213" s="1119"/>
      <c r="D213" s="1120"/>
      <c r="E213" s="418" t="s">
        <v>696</v>
      </c>
      <c r="F213" s="418" t="s">
        <v>697</v>
      </c>
      <c r="G213" s="418" t="s">
        <v>698</v>
      </c>
      <c r="H213" s="418" t="s">
        <v>699</v>
      </c>
      <c r="I213" s="418" t="s">
        <v>700</v>
      </c>
      <c r="J213" s="418" t="s">
        <v>1210</v>
      </c>
      <c r="K213" s="418" t="s">
        <v>701</v>
      </c>
      <c r="L213" s="423"/>
      <c r="M213" s="424"/>
    </row>
    <row r="214" spans="1:13">
      <c r="A214" s="1151">
        <f>INDEX(ESPSPNo,18,1)</f>
        <v>0</v>
      </c>
      <c r="B214" s="1153">
        <f>INDEX(ESPSPTitle,18,1)</f>
        <v>0</v>
      </c>
      <c r="C214" s="1154"/>
      <c r="D214" s="1155"/>
      <c r="E214" s="421" t="str">
        <f>IF(A214&lt;&gt;0,IF(OR(INDEX(ESPSPTandM,18,1)=TMDPhaseChangeTimeAndMaterial,INDEX(ESPSPTandM,18,1)=TMDPhaseTimeAndMaterial),TMDAllocationTandM,TMDAllocationFix),"")</f>
        <v/>
      </c>
      <c r="F214" s="422">
        <f>H214</f>
        <v>0</v>
      </c>
      <c r="G214" s="422">
        <f>H214</f>
        <v>0</v>
      </c>
      <c r="H214" s="422"/>
      <c r="I214" s="422">
        <f>H214</f>
        <v>0</v>
      </c>
      <c r="J214" s="422"/>
      <c r="K214" s="422"/>
      <c r="L214" s="423"/>
      <c r="M214" s="424"/>
    </row>
    <row r="215" spans="1:13">
      <c r="A215" s="1151"/>
      <c r="B215" s="418" t="s">
        <v>702</v>
      </c>
      <c r="C215" s="418" t="s">
        <v>703</v>
      </c>
      <c r="D215" s="418" t="s">
        <v>685</v>
      </c>
      <c r="E215" s="418" t="s">
        <v>687</v>
      </c>
      <c r="F215" s="1118" t="s">
        <v>1102</v>
      </c>
      <c r="G215" s="1119"/>
      <c r="H215" s="1119"/>
      <c r="I215" s="1120"/>
      <c r="J215" s="1156" t="s">
        <v>704</v>
      </c>
      <c r="K215" s="1157"/>
      <c r="L215" s="423"/>
      <c r="M215" s="424"/>
    </row>
    <row r="216" spans="1:13">
      <c r="A216" s="1151"/>
      <c r="B216" s="422">
        <f>INDEX(ESPSPExternalPrice,18,1)</f>
        <v>0</v>
      </c>
      <c r="C216" s="422">
        <f>INDEX(ESPSPEffort,18,1)*MDWorkhours</f>
        <v>0</v>
      </c>
      <c r="D216" s="425">
        <f>INDEX(ESPSPStart,18,1)</f>
        <v>0</v>
      </c>
      <c r="E216" s="425">
        <f>INDEX(ESPSPEnd,18,1)</f>
        <v>0</v>
      </c>
      <c r="F216" s="1158"/>
      <c r="G216" s="1159"/>
      <c r="H216" s="1159"/>
      <c r="I216" s="1160"/>
      <c r="J216" s="1146"/>
      <c r="K216" s="1147"/>
      <c r="L216" s="423"/>
      <c r="M216" s="424"/>
    </row>
    <row r="217" spans="1:13">
      <c r="A217" s="1151"/>
      <c r="B217" s="1156" t="s">
        <v>705</v>
      </c>
      <c r="C217" s="1124"/>
      <c r="D217" s="1157"/>
      <c r="E217" s="1156" t="s">
        <v>706</v>
      </c>
      <c r="F217" s="1157"/>
      <c r="G217" s="1156" t="s">
        <v>707</v>
      </c>
      <c r="H217" s="1124"/>
      <c r="I217" s="1157"/>
      <c r="J217" s="1146"/>
      <c r="K217" s="1147"/>
      <c r="L217" s="423"/>
      <c r="M217" s="424"/>
    </row>
    <row r="218" spans="1:13">
      <c r="A218" s="1151"/>
      <c r="B218" s="1122" t="s">
        <v>691</v>
      </c>
      <c r="C218" s="1161"/>
      <c r="D218" s="426" t="s">
        <v>692</v>
      </c>
      <c r="E218" s="427" t="s">
        <v>708</v>
      </c>
      <c r="F218" s="426" t="s">
        <v>709</v>
      </c>
      <c r="G218" s="1162">
        <f>INDEX(ESPSPNotes,18,1)</f>
        <v>0</v>
      </c>
      <c r="H218" s="1163"/>
      <c r="I218" s="1164"/>
      <c r="J218" s="1146"/>
      <c r="K218" s="1147"/>
      <c r="L218" s="423"/>
      <c r="M218" s="424"/>
    </row>
    <row r="219" spans="1:13">
      <c r="A219" s="1151"/>
      <c r="B219" s="1125"/>
      <c r="C219" s="1125"/>
      <c r="D219" s="409"/>
      <c r="E219" s="434"/>
      <c r="F219" s="429"/>
      <c r="G219" s="1162"/>
      <c r="H219" s="1163"/>
      <c r="I219" s="1164"/>
      <c r="J219" s="1146"/>
      <c r="K219" s="1147"/>
      <c r="L219" s="423"/>
      <c r="M219" s="424"/>
    </row>
    <row r="220" spans="1:13">
      <c r="A220" s="1151"/>
      <c r="B220" s="1125"/>
      <c r="C220" s="1125"/>
      <c r="D220" s="409"/>
      <c r="E220" s="434"/>
      <c r="F220" s="429"/>
      <c r="G220" s="1162"/>
      <c r="H220" s="1163"/>
      <c r="I220" s="1164"/>
      <c r="J220" s="1146"/>
      <c r="K220" s="1147"/>
      <c r="L220" s="423"/>
      <c r="M220" s="424"/>
    </row>
    <row r="221" spans="1:13">
      <c r="A221" s="1152"/>
      <c r="B221" s="1126"/>
      <c r="C221" s="1126"/>
      <c r="D221" s="410"/>
      <c r="E221" s="430"/>
      <c r="F221" s="431"/>
      <c r="G221" s="1165"/>
      <c r="H221" s="1166"/>
      <c r="I221" s="1167"/>
      <c r="J221" s="1148"/>
      <c r="K221" s="1149"/>
      <c r="L221" s="423"/>
      <c r="M221" s="424"/>
    </row>
    <row r="222" spans="1:13" ht="3" customHeight="1">
      <c r="A222" s="1168"/>
      <c r="B222" s="1169"/>
      <c r="C222" s="1169"/>
      <c r="D222" s="1169"/>
      <c r="E222" s="1169"/>
      <c r="F222" s="1169"/>
      <c r="G222" s="1169"/>
      <c r="H222" s="1169"/>
      <c r="I222" s="1169"/>
      <c r="J222" s="1169"/>
      <c r="K222" s="1170"/>
      <c r="L222" s="373"/>
    </row>
    <row r="223" spans="1:13">
      <c r="A223" s="418" t="s">
        <v>694</v>
      </c>
      <c r="B223" s="1118" t="s">
        <v>695</v>
      </c>
      <c r="C223" s="1119"/>
      <c r="D223" s="1120"/>
      <c r="E223" s="418" t="s">
        <v>696</v>
      </c>
      <c r="F223" s="418" t="s">
        <v>697</v>
      </c>
      <c r="G223" s="418" t="s">
        <v>698</v>
      </c>
      <c r="H223" s="418" t="s">
        <v>699</v>
      </c>
      <c r="I223" s="418" t="s">
        <v>700</v>
      </c>
      <c r="J223" s="418" t="s">
        <v>1210</v>
      </c>
      <c r="K223" s="418" t="s">
        <v>701</v>
      </c>
      <c r="L223" s="423"/>
      <c r="M223" s="424"/>
    </row>
    <row r="224" spans="1:13">
      <c r="A224" s="1151">
        <f>INDEX(ESPSPNo,19,1)</f>
        <v>0</v>
      </c>
      <c r="B224" s="1153">
        <f>INDEX(ESPSPTitle,19,1)</f>
        <v>0</v>
      </c>
      <c r="C224" s="1154"/>
      <c r="D224" s="1155"/>
      <c r="E224" s="421" t="str">
        <f>IF(A224&lt;&gt;0,IF(OR(INDEX(ESPSPTandM,19,1)=TMDPhaseChangeTimeAndMaterial,INDEX(ESPSPTandM,19,1)=TMDPhaseTimeAndMaterial),TMDAllocationTandM,TMDAllocationFix),"")</f>
        <v/>
      </c>
      <c r="F224" s="422">
        <f>H224</f>
        <v>0</v>
      </c>
      <c r="G224" s="422">
        <f>H224</f>
        <v>0</v>
      </c>
      <c r="H224" s="422"/>
      <c r="I224" s="422">
        <f>H224</f>
        <v>0</v>
      </c>
      <c r="J224" s="422"/>
      <c r="K224" s="422"/>
      <c r="L224" s="423"/>
      <c r="M224" s="424"/>
    </row>
    <row r="225" spans="1:13">
      <c r="A225" s="1151"/>
      <c r="B225" s="418" t="s">
        <v>702</v>
      </c>
      <c r="C225" s="418" t="s">
        <v>703</v>
      </c>
      <c r="D225" s="418" t="s">
        <v>685</v>
      </c>
      <c r="E225" s="418" t="s">
        <v>687</v>
      </c>
      <c r="F225" s="1118" t="s">
        <v>1102</v>
      </c>
      <c r="G225" s="1119"/>
      <c r="H225" s="1119"/>
      <c r="I225" s="1120"/>
      <c r="J225" s="1156" t="s">
        <v>704</v>
      </c>
      <c r="K225" s="1157"/>
      <c r="L225" s="423"/>
      <c r="M225" s="424"/>
    </row>
    <row r="226" spans="1:13">
      <c r="A226" s="1151"/>
      <c r="B226" s="422">
        <f>INDEX(ESPSPExternalPrice,19,1)</f>
        <v>0</v>
      </c>
      <c r="C226" s="422">
        <f>INDEX(ESPSPEffort,19,1)*MDWorkhours</f>
        <v>0</v>
      </c>
      <c r="D226" s="425">
        <f>INDEX(ESPSPStart,19,1)</f>
        <v>0</v>
      </c>
      <c r="E226" s="425">
        <f>INDEX(ESPSPEnd,19,1)</f>
        <v>0</v>
      </c>
      <c r="F226" s="1158"/>
      <c r="G226" s="1159"/>
      <c r="H226" s="1159"/>
      <c r="I226" s="1160"/>
      <c r="J226" s="1146"/>
      <c r="K226" s="1147"/>
      <c r="L226" s="423"/>
      <c r="M226" s="424"/>
    </row>
    <row r="227" spans="1:13">
      <c r="A227" s="1151"/>
      <c r="B227" s="1156" t="s">
        <v>705</v>
      </c>
      <c r="C227" s="1124"/>
      <c r="D227" s="1157"/>
      <c r="E227" s="1156" t="s">
        <v>706</v>
      </c>
      <c r="F227" s="1157"/>
      <c r="G227" s="1156" t="s">
        <v>707</v>
      </c>
      <c r="H227" s="1124"/>
      <c r="I227" s="1157"/>
      <c r="J227" s="1146"/>
      <c r="K227" s="1147"/>
      <c r="L227" s="423"/>
      <c r="M227" s="424"/>
    </row>
    <row r="228" spans="1:13">
      <c r="A228" s="1151"/>
      <c r="B228" s="1122" t="s">
        <v>691</v>
      </c>
      <c r="C228" s="1161"/>
      <c r="D228" s="426" t="s">
        <v>692</v>
      </c>
      <c r="E228" s="427" t="s">
        <v>708</v>
      </c>
      <c r="F228" s="426" t="s">
        <v>709</v>
      </c>
      <c r="G228" s="1162">
        <f>INDEX(ESPSPNotes,19,1)</f>
        <v>0</v>
      </c>
      <c r="H228" s="1163"/>
      <c r="I228" s="1164"/>
      <c r="J228" s="1146"/>
      <c r="K228" s="1147"/>
      <c r="L228" s="423"/>
      <c r="M228" s="424"/>
    </row>
    <row r="229" spans="1:13">
      <c r="A229" s="1151"/>
      <c r="B229" s="1125"/>
      <c r="C229" s="1125"/>
      <c r="D229" s="409"/>
      <c r="E229" s="434"/>
      <c r="F229" s="429"/>
      <c r="G229" s="1162"/>
      <c r="H229" s="1163"/>
      <c r="I229" s="1164"/>
      <c r="J229" s="1146"/>
      <c r="K229" s="1147"/>
      <c r="L229" s="373"/>
    </row>
    <row r="230" spans="1:13">
      <c r="A230" s="1151"/>
      <c r="B230" s="1125"/>
      <c r="C230" s="1125"/>
      <c r="D230" s="409"/>
      <c r="E230" s="434"/>
      <c r="F230" s="429"/>
      <c r="G230" s="1162"/>
      <c r="H230" s="1163"/>
      <c r="I230" s="1164"/>
      <c r="J230" s="1146"/>
      <c r="K230" s="1147"/>
      <c r="L230" s="373"/>
    </row>
    <row r="231" spans="1:13">
      <c r="A231" s="1152"/>
      <c r="B231" s="1126"/>
      <c r="C231" s="1126"/>
      <c r="D231" s="410"/>
      <c r="E231" s="430"/>
      <c r="F231" s="431"/>
      <c r="G231" s="1165"/>
      <c r="H231" s="1166"/>
      <c r="I231" s="1167"/>
      <c r="J231" s="1148"/>
      <c r="K231" s="1149"/>
      <c r="L231" s="373"/>
    </row>
    <row r="232" spans="1:13" ht="3" customHeight="1">
      <c r="A232" s="1168"/>
      <c r="B232" s="1169"/>
      <c r="C232" s="1169"/>
      <c r="D232" s="1169"/>
      <c r="E232" s="1169"/>
      <c r="F232" s="1169"/>
      <c r="G232" s="1169"/>
      <c r="H232" s="1169"/>
      <c r="I232" s="1169"/>
      <c r="J232" s="1169"/>
      <c r="K232" s="1170"/>
      <c r="L232" s="373"/>
    </row>
    <row r="233" spans="1:13">
      <c r="A233" s="418" t="s">
        <v>694</v>
      </c>
      <c r="B233" s="1118" t="s">
        <v>695</v>
      </c>
      <c r="C233" s="1119"/>
      <c r="D233" s="1120"/>
      <c r="E233" s="418" t="s">
        <v>696</v>
      </c>
      <c r="F233" s="418" t="s">
        <v>697</v>
      </c>
      <c r="G233" s="418" t="s">
        <v>698</v>
      </c>
      <c r="H233" s="418" t="s">
        <v>699</v>
      </c>
      <c r="I233" s="418" t="s">
        <v>700</v>
      </c>
      <c r="J233" s="418" t="s">
        <v>1210</v>
      </c>
      <c r="K233" s="418" t="s">
        <v>701</v>
      </c>
      <c r="L233" s="373"/>
    </row>
    <row r="234" spans="1:13">
      <c r="A234" s="1151">
        <f>INDEX(ESPSPNo,20,1)</f>
        <v>0</v>
      </c>
      <c r="B234" s="1153">
        <f>INDEX(ESPSPTitle,20,1)</f>
        <v>0</v>
      </c>
      <c r="C234" s="1154"/>
      <c r="D234" s="1155"/>
      <c r="E234" s="421" t="str">
        <f>IF(A234&lt;&gt;0,IF(OR(INDEX(ESPSPTandM,20,1)=TMDPhaseChangeTimeAndMaterial,INDEX(ESPSPTandM,20,1)=TMDPhaseTimeAndMaterial),TMDAllocationTandM,TMDAllocationFix),"")</f>
        <v/>
      </c>
      <c r="F234" s="422">
        <f>H234</f>
        <v>0</v>
      </c>
      <c r="G234" s="422">
        <f>H234</f>
        <v>0</v>
      </c>
      <c r="H234" s="422"/>
      <c r="I234" s="422">
        <f>H234</f>
        <v>0</v>
      </c>
      <c r="J234" s="422"/>
      <c r="K234" s="422"/>
      <c r="L234" s="373"/>
    </row>
    <row r="235" spans="1:13">
      <c r="A235" s="1151"/>
      <c r="B235" s="418" t="s">
        <v>702</v>
      </c>
      <c r="C235" s="418" t="s">
        <v>703</v>
      </c>
      <c r="D235" s="418" t="s">
        <v>685</v>
      </c>
      <c r="E235" s="418" t="s">
        <v>687</v>
      </c>
      <c r="F235" s="1118" t="s">
        <v>1102</v>
      </c>
      <c r="G235" s="1119"/>
      <c r="H235" s="1119"/>
      <c r="I235" s="1120"/>
      <c r="J235" s="1156" t="s">
        <v>704</v>
      </c>
      <c r="K235" s="1157"/>
      <c r="L235" s="373"/>
    </row>
    <row r="236" spans="1:13">
      <c r="A236" s="1151"/>
      <c r="B236" s="422">
        <f>INDEX(ESPSPExternalPrice,20,1)</f>
        <v>0</v>
      </c>
      <c r="C236" s="422">
        <f>INDEX(ESPSPEffort,20,1)*MDWorkhours</f>
        <v>0</v>
      </c>
      <c r="D236" s="425">
        <f>INDEX(ESPSPStart,20,1)</f>
        <v>0</v>
      </c>
      <c r="E236" s="425">
        <f>INDEX(ESPSPEnd,20,1)</f>
        <v>0</v>
      </c>
      <c r="F236" s="1158"/>
      <c r="G236" s="1159"/>
      <c r="H236" s="1159"/>
      <c r="I236" s="1160"/>
      <c r="J236" s="1146"/>
      <c r="K236" s="1147"/>
      <c r="L236" s="373"/>
    </row>
    <row r="237" spans="1:13">
      <c r="A237" s="1151"/>
      <c r="B237" s="1156" t="s">
        <v>705</v>
      </c>
      <c r="C237" s="1124"/>
      <c r="D237" s="1157"/>
      <c r="E237" s="1156" t="s">
        <v>706</v>
      </c>
      <c r="F237" s="1157"/>
      <c r="G237" s="1156" t="s">
        <v>707</v>
      </c>
      <c r="H237" s="1124"/>
      <c r="I237" s="1157"/>
      <c r="J237" s="1146"/>
      <c r="K237" s="1147"/>
      <c r="L237" s="373"/>
    </row>
    <row r="238" spans="1:13">
      <c r="A238" s="1151"/>
      <c r="B238" s="1122" t="s">
        <v>691</v>
      </c>
      <c r="C238" s="1161"/>
      <c r="D238" s="426" t="s">
        <v>692</v>
      </c>
      <c r="E238" s="427" t="s">
        <v>708</v>
      </c>
      <c r="F238" s="426" t="s">
        <v>709</v>
      </c>
      <c r="G238" s="1162">
        <f>INDEX(ESPSPNotes,20,1)</f>
        <v>0</v>
      </c>
      <c r="H238" s="1163"/>
      <c r="I238" s="1164"/>
      <c r="J238" s="1146"/>
      <c r="K238" s="1147"/>
      <c r="L238" s="373"/>
    </row>
    <row r="239" spans="1:13">
      <c r="A239" s="1151"/>
      <c r="B239" s="1125"/>
      <c r="C239" s="1125"/>
      <c r="D239" s="409"/>
      <c r="E239" s="434"/>
      <c r="F239" s="429"/>
      <c r="G239" s="1162"/>
      <c r="H239" s="1163"/>
      <c r="I239" s="1164"/>
      <c r="J239" s="1146"/>
      <c r="K239" s="1147"/>
      <c r="L239" s="373"/>
    </row>
    <row r="240" spans="1:13">
      <c r="A240" s="1151"/>
      <c r="B240" s="1125"/>
      <c r="C240" s="1125"/>
      <c r="D240" s="409"/>
      <c r="E240" s="434"/>
      <c r="F240" s="429"/>
      <c r="G240" s="1162"/>
      <c r="H240" s="1163"/>
      <c r="I240" s="1164"/>
      <c r="J240" s="1146"/>
      <c r="K240" s="1147"/>
      <c r="L240" s="373"/>
    </row>
    <row r="241" spans="1:12">
      <c r="A241" s="1152"/>
      <c r="B241" s="1126"/>
      <c r="C241" s="1126"/>
      <c r="D241" s="410"/>
      <c r="E241" s="430"/>
      <c r="F241" s="431"/>
      <c r="G241" s="1165"/>
      <c r="H241" s="1166"/>
      <c r="I241" s="1167"/>
      <c r="J241" s="1148"/>
      <c r="K241" s="1149"/>
      <c r="L241" s="373"/>
    </row>
    <row r="242" spans="1:12" ht="3" customHeight="1">
      <c r="A242" s="1168"/>
      <c r="B242" s="1169"/>
      <c r="C242" s="1169"/>
      <c r="D242" s="1169"/>
      <c r="E242" s="1169"/>
      <c r="F242" s="1169"/>
      <c r="G242" s="1169"/>
      <c r="H242" s="1169"/>
      <c r="I242" s="1169"/>
      <c r="J242" s="1169"/>
      <c r="K242" s="1170"/>
      <c r="L242" s="373"/>
    </row>
    <row r="243" spans="1:12">
      <c r="A243" s="418" t="s">
        <v>694</v>
      </c>
      <c r="B243" s="1118" t="s">
        <v>695</v>
      </c>
      <c r="C243" s="1119"/>
      <c r="D243" s="1120"/>
      <c r="E243" s="418" t="s">
        <v>696</v>
      </c>
      <c r="F243" s="418" t="s">
        <v>697</v>
      </c>
      <c r="G243" s="418" t="s">
        <v>698</v>
      </c>
      <c r="H243" s="418" t="s">
        <v>699</v>
      </c>
      <c r="I243" s="418" t="s">
        <v>700</v>
      </c>
      <c r="J243" s="418" t="s">
        <v>1210</v>
      </c>
      <c r="K243" s="418" t="s">
        <v>701</v>
      </c>
      <c r="L243" s="373"/>
    </row>
    <row r="244" spans="1:12">
      <c r="A244" s="1151">
        <f>INDEX(ESPSPNo,21,1)</f>
        <v>0</v>
      </c>
      <c r="B244" s="1153">
        <f>INDEX(ESPSPTitle,21,1)</f>
        <v>0</v>
      </c>
      <c r="C244" s="1154"/>
      <c r="D244" s="1155"/>
      <c r="E244" s="421" t="str">
        <f>IF(A244&lt;&gt;0,IF(OR(INDEX(ESPSPTandM,21,1)=TMDPhaseChangeTimeAndMaterial,INDEX(ESPSPTandM,21,1)=TMDPhaseTimeAndMaterial),TMDAllocationTandM,TMDAllocationFix),"")</f>
        <v/>
      </c>
      <c r="F244" s="422">
        <f>H244</f>
        <v>0</v>
      </c>
      <c r="G244" s="422">
        <f>H244</f>
        <v>0</v>
      </c>
      <c r="H244" s="422"/>
      <c r="I244" s="422">
        <f>H244</f>
        <v>0</v>
      </c>
      <c r="J244" s="422"/>
      <c r="K244" s="422"/>
      <c r="L244" s="373"/>
    </row>
    <row r="245" spans="1:12">
      <c r="A245" s="1151"/>
      <c r="B245" s="418" t="s">
        <v>702</v>
      </c>
      <c r="C245" s="418" t="s">
        <v>703</v>
      </c>
      <c r="D245" s="418" t="s">
        <v>685</v>
      </c>
      <c r="E245" s="418" t="s">
        <v>687</v>
      </c>
      <c r="F245" s="1118" t="s">
        <v>1102</v>
      </c>
      <c r="G245" s="1119"/>
      <c r="H245" s="1119"/>
      <c r="I245" s="1120"/>
      <c r="J245" s="1156" t="s">
        <v>704</v>
      </c>
      <c r="K245" s="1157"/>
      <c r="L245" s="373"/>
    </row>
    <row r="246" spans="1:12">
      <c r="A246" s="1151"/>
      <c r="B246" s="422">
        <f>INDEX(ESPSPExternalPrice,21,1)</f>
        <v>0</v>
      </c>
      <c r="C246" s="422">
        <f>INDEX(ESPSPEffort,21,1)*MDWorkhours</f>
        <v>0</v>
      </c>
      <c r="D246" s="425">
        <f>INDEX(ESPSPStart,21,1)</f>
        <v>0</v>
      </c>
      <c r="E246" s="425">
        <f>INDEX(ESPSPEnd,21,1)</f>
        <v>0</v>
      </c>
      <c r="F246" s="1158"/>
      <c r="G246" s="1159"/>
      <c r="H246" s="1159"/>
      <c r="I246" s="1160"/>
      <c r="J246" s="1146"/>
      <c r="K246" s="1147"/>
      <c r="L246" s="373"/>
    </row>
    <row r="247" spans="1:12">
      <c r="A247" s="1151"/>
      <c r="B247" s="1156" t="s">
        <v>705</v>
      </c>
      <c r="C247" s="1124"/>
      <c r="D247" s="1157"/>
      <c r="E247" s="1156" t="s">
        <v>706</v>
      </c>
      <c r="F247" s="1157"/>
      <c r="G247" s="1156" t="s">
        <v>707</v>
      </c>
      <c r="H247" s="1124"/>
      <c r="I247" s="1157"/>
      <c r="J247" s="1146"/>
      <c r="K247" s="1147"/>
      <c r="L247" s="373"/>
    </row>
    <row r="248" spans="1:12">
      <c r="A248" s="1151"/>
      <c r="B248" s="1122" t="s">
        <v>691</v>
      </c>
      <c r="C248" s="1161"/>
      <c r="D248" s="426" t="s">
        <v>692</v>
      </c>
      <c r="E248" s="427" t="s">
        <v>708</v>
      </c>
      <c r="F248" s="426" t="s">
        <v>709</v>
      </c>
      <c r="G248" s="1162">
        <f>INDEX(ESPSPNotes,21,1)</f>
        <v>0</v>
      </c>
      <c r="H248" s="1163"/>
      <c r="I248" s="1164"/>
      <c r="J248" s="1146"/>
      <c r="K248" s="1147"/>
      <c r="L248" s="373"/>
    </row>
    <row r="249" spans="1:12">
      <c r="A249" s="1151"/>
      <c r="B249" s="1125"/>
      <c r="C249" s="1125"/>
      <c r="D249" s="409"/>
      <c r="E249" s="434"/>
      <c r="F249" s="429"/>
      <c r="G249" s="1162"/>
      <c r="H249" s="1163"/>
      <c r="I249" s="1164"/>
      <c r="J249" s="1146"/>
      <c r="K249" s="1147"/>
      <c r="L249" s="373"/>
    </row>
    <row r="250" spans="1:12">
      <c r="A250" s="1151"/>
      <c r="B250" s="1125"/>
      <c r="C250" s="1125"/>
      <c r="D250" s="409"/>
      <c r="E250" s="434"/>
      <c r="F250" s="429"/>
      <c r="G250" s="1162"/>
      <c r="H250" s="1163"/>
      <c r="I250" s="1164"/>
      <c r="J250" s="1146"/>
      <c r="K250" s="1147"/>
      <c r="L250" s="373"/>
    </row>
    <row r="251" spans="1:12">
      <c r="A251" s="1152"/>
      <c r="B251" s="1126"/>
      <c r="C251" s="1126"/>
      <c r="D251" s="410"/>
      <c r="E251" s="430"/>
      <c r="F251" s="431"/>
      <c r="G251" s="1165"/>
      <c r="H251" s="1166"/>
      <c r="I251" s="1167"/>
      <c r="J251" s="1148"/>
      <c r="K251" s="1149"/>
      <c r="L251" s="373"/>
    </row>
    <row r="252" spans="1:12" ht="3" customHeight="1">
      <c r="A252" s="1171"/>
      <c r="B252" s="1172"/>
      <c r="C252" s="1172"/>
      <c r="D252" s="1172"/>
      <c r="E252" s="1172"/>
      <c r="F252" s="1172"/>
      <c r="G252" s="1172"/>
      <c r="H252" s="1172"/>
      <c r="I252" s="1172"/>
      <c r="J252" s="1172"/>
      <c r="K252" s="1173"/>
      <c r="L252" s="373"/>
    </row>
    <row r="253" spans="1:12">
      <c r="A253" s="418" t="s">
        <v>694</v>
      </c>
      <c r="B253" s="1118" t="s">
        <v>695</v>
      </c>
      <c r="C253" s="1119"/>
      <c r="D253" s="1120"/>
      <c r="E253" s="418" t="s">
        <v>696</v>
      </c>
      <c r="F253" s="418" t="s">
        <v>697</v>
      </c>
      <c r="G253" s="418" t="s">
        <v>698</v>
      </c>
      <c r="H253" s="418" t="s">
        <v>699</v>
      </c>
      <c r="I253" s="418" t="s">
        <v>700</v>
      </c>
      <c r="J253" s="418" t="s">
        <v>1210</v>
      </c>
      <c r="K253" s="418" t="s">
        <v>701</v>
      </c>
      <c r="L253" s="373"/>
    </row>
    <row r="254" spans="1:12">
      <c r="A254" s="1151">
        <f>INDEX(ESPSPNo,22,1)</f>
        <v>0</v>
      </c>
      <c r="B254" s="1153">
        <f>INDEX(ESPSPTitle,22,1)</f>
        <v>0</v>
      </c>
      <c r="C254" s="1154"/>
      <c r="D254" s="1155"/>
      <c r="E254" s="421" t="str">
        <f>IF(A254&lt;&gt;0,IF(OR(INDEX(ESPSPTandM,22,1)=TMDPhaseChangeTimeAndMaterial,INDEX(ESPSPTandM,22,1)=TMDPhaseTimeAndMaterial),TMDAllocationTandM,TMDAllocationFix),"")</f>
        <v/>
      </c>
      <c r="F254" s="422">
        <f>H254</f>
        <v>0</v>
      </c>
      <c r="G254" s="422">
        <f>H254</f>
        <v>0</v>
      </c>
      <c r="H254" s="422"/>
      <c r="I254" s="422">
        <f>H254</f>
        <v>0</v>
      </c>
      <c r="J254" s="422"/>
      <c r="K254" s="422"/>
      <c r="L254" s="373"/>
    </row>
    <row r="255" spans="1:12">
      <c r="A255" s="1151"/>
      <c r="B255" s="418" t="s">
        <v>702</v>
      </c>
      <c r="C255" s="418" t="s">
        <v>703</v>
      </c>
      <c r="D255" s="418" t="s">
        <v>685</v>
      </c>
      <c r="E255" s="418" t="s">
        <v>687</v>
      </c>
      <c r="F255" s="1118" t="s">
        <v>1102</v>
      </c>
      <c r="G255" s="1119"/>
      <c r="H255" s="1119"/>
      <c r="I255" s="1120"/>
      <c r="J255" s="1156" t="s">
        <v>704</v>
      </c>
      <c r="K255" s="1157"/>
      <c r="L255" s="373"/>
    </row>
    <row r="256" spans="1:12">
      <c r="A256" s="1151"/>
      <c r="B256" s="422">
        <f>INDEX(ESPSPExternalPrice,22,1)</f>
        <v>0</v>
      </c>
      <c r="C256" s="422">
        <f>INDEX(ESPSPEffort,22,1)*MDWorkhours</f>
        <v>0</v>
      </c>
      <c r="D256" s="425">
        <f>INDEX(ESPSPStart,22,1)</f>
        <v>0</v>
      </c>
      <c r="E256" s="425">
        <f>INDEX(ESPSPEnd,22,1)</f>
        <v>0</v>
      </c>
      <c r="F256" s="1158"/>
      <c r="G256" s="1159"/>
      <c r="H256" s="1159"/>
      <c r="I256" s="1160"/>
      <c r="J256" s="1146"/>
      <c r="K256" s="1147"/>
      <c r="L256" s="373"/>
    </row>
    <row r="257" spans="1:13">
      <c r="A257" s="1151"/>
      <c r="B257" s="1156" t="s">
        <v>705</v>
      </c>
      <c r="C257" s="1124"/>
      <c r="D257" s="1157"/>
      <c r="E257" s="1156" t="s">
        <v>706</v>
      </c>
      <c r="F257" s="1157"/>
      <c r="G257" s="1156" t="s">
        <v>707</v>
      </c>
      <c r="H257" s="1124"/>
      <c r="I257" s="1157"/>
      <c r="J257" s="1146"/>
      <c r="K257" s="1147"/>
      <c r="L257" s="373"/>
    </row>
    <row r="258" spans="1:13">
      <c r="A258" s="1151"/>
      <c r="B258" s="1122" t="s">
        <v>691</v>
      </c>
      <c r="C258" s="1161"/>
      <c r="D258" s="426" t="s">
        <v>692</v>
      </c>
      <c r="E258" s="427" t="s">
        <v>708</v>
      </c>
      <c r="F258" s="426" t="s">
        <v>709</v>
      </c>
      <c r="G258" s="1162">
        <f>INDEX(ESPSPNotes,22,1)</f>
        <v>0</v>
      </c>
      <c r="H258" s="1163"/>
      <c r="I258" s="1164"/>
      <c r="J258" s="1146"/>
      <c r="K258" s="1147"/>
      <c r="L258" s="373"/>
    </row>
    <row r="259" spans="1:13">
      <c r="A259" s="1151"/>
      <c r="B259" s="1125"/>
      <c r="C259" s="1125"/>
      <c r="D259" s="409"/>
      <c r="E259" s="434"/>
      <c r="F259" s="429"/>
      <c r="G259" s="1162"/>
      <c r="H259" s="1163"/>
      <c r="I259" s="1164"/>
      <c r="J259" s="1146"/>
      <c r="K259" s="1147"/>
      <c r="L259" s="373"/>
    </row>
    <row r="260" spans="1:13">
      <c r="A260" s="1151"/>
      <c r="B260" s="1125"/>
      <c r="C260" s="1125"/>
      <c r="D260" s="409"/>
      <c r="E260" s="434"/>
      <c r="F260" s="429"/>
      <c r="G260" s="1162"/>
      <c r="H260" s="1163"/>
      <c r="I260" s="1164"/>
      <c r="J260" s="1146"/>
      <c r="K260" s="1147"/>
      <c r="L260" s="373"/>
    </row>
    <row r="261" spans="1:13">
      <c r="A261" s="1152"/>
      <c r="B261" s="1126"/>
      <c r="C261" s="1126"/>
      <c r="D261" s="410"/>
      <c r="E261" s="430"/>
      <c r="F261" s="431"/>
      <c r="G261" s="1165"/>
      <c r="H261" s="1166"/>
      <c r="I261" s="1167"/>
      <c r="J261" s="1148"/>
      <c r="K261" s="1149"/>
      <c r="L261" s="373"/>
    </row>
    <row r="262" spans="1:13" ht="3" customHeight="1">
      <c r="A262" s="1169"/>
      <c r="B262" s="1169"/>
      <c r="C262" s="1169"/>
      <c r="D262" s="1169"/>
      <c r="E262" s="1169"/>
      <c r="F262" s="1169"/>
      <c r="G262" s="1169"/>
      <c r="H262" s="1169"/>
      <c r="I262" s="1169"/>
      <c r="J262" s="1169"/>
      <c r="K262" s="1169"/>
      <c r="L262" s="432"/>
      <c r="M262" s="433"/>
    </row>
    <row r="263" spans="1:13">
      <c r="A263" s="418" t="s">
        <v>694</v>
      </c>
      <c r="B263" s="1118" t="s">
        <v>695</v>
      </c>
      <c r="C263" s="1119"/>
      <c r="D263" s="1120"/>
      <c r="E263" s="418" t="s">
        <v>696</v>
      </c>
      <c r="F263" s="418" t="s">
        <v>697</v>
      </c>
      <c r="G263" s="418" t="s">
        <v>698</v>
      </c>
      <c r="H263" s="418" t="s">
        <v>699</v>
      </c>
      <c r="I263" s="418" t="s">
        <v>700</v>
      </c>
      <c r="J263" s="418" t="s">
        <v>1210</v>
      </c>
      <c r="K263" s="418" t="s">
        <v>701</v>
      </c>
      <c r="L263" s="373"/>
    </row>
    <row r="264" spans="1:13">
      <c r="A264" s="1151">
        <f>INDEX(ESPSPNo,23,1)</f>
        <v>0</v>
      </c>
      <c r="B264" s="1153">
        <f>INDEX(ESPSPTitle,23,1)</f>
        <v>0</v>
      </c>
      <c r="C264" s="1154"/>
      <c r="D264" s="1155"/>
      <c r="E264" s="421" t="str">
        <f>IF(A264&lt;&gt;0,IF(OR(INDEX(ESPSPTandM,23,1)=TMDPhaseChangeTimeAndMaterial,INDEX(ESPSPTandM,23,1)=TMDPhaseTimeAndMaterial),TMDAllocationTandM,TMDAllocationFix),"")</f>
        <v/>
      </c>
      <c r="F264" s="422">
        <f>H264</f>
        <v>0</v>
      </c>
      <c r="G264" s="422">
        <f>H264</f>
        <v>0</v>
      </c>
      <c r="H264" s="422"/>
      <c r="I264" s="422">
        <f>H264</f>
        <v>0</v>
      </c>
      <c r="J264" s="422"/>
      <c r="K264" s="422"/>
      <c r="L264" s="373"/>
    </row>
    <row r="265" spans="1:13">
      <c r="A265" s="1151"/>
      <c r="B265" s="418" t="s">
        <v>702</v>
      </c>
      <c r="C265" s="418" t="s">
        <v>703</v>
      </c>
      <c r="D265" s="418" t="s">
        <v>685</v>
      </c>
      <c r="E265" s="418" t="s">
        <v>687</v>
      </c>
      <c r="F265" s="1118" t="s">
        <v>1102</v>
      </c>
      <c r="G265" s="1119"/>
      <c r="H265" s="1119"/>
      <c r="I265" s="1120"/>
      <c r="J265" s="1156" t="s">
        <v>704</v>
      </c>
      <c r="K265" s="1157"/>
      <c r="L265" s="373"/>
    </row>
    <row r="266" spans="1:13">
      <c r="A266" s="1151"/>
      <c r="B266" s="422">
        <f>INDEX(ESPSPExternalPrice,23,1)</f>
        <v>0</v>
      </c>
      <c r="C266" s="422">
        <f>INDEX(ESPSPEffort,23,1)*MDWorkhours</f>
        <v>0</v>
      </c>
      <c r="D266" s="425">
        <f>INDEX(ESPSPStart,23,1)</f>
        <v>0</v>
      </c>
      <c r="E266" s="425">
        <f>INDEX(ESPSPEnd,23,1)</f>
        <v>0</v>
      </c>
      <c r="F266" s="1158"/>
      <c r="G266" s="1159"/>
      <c r="H266" s="1159"/>
      <c r="I266" s="1160"/>
      <c r="J266" s="1146"/>
      <c r="K266" s="1147"/>
      <c r="L266" s="373"/>
    </row>
    <row r="267" spans="1:13">
      <c r="A267" s="1151"/>
      <c r="B267" s="1156" t="s">
        <v>705</v>
      </c>
      <c r="C267" s="1124"/>
      <c r="D267" s="1157"/>
      <c r="E267" s="1156" t="s">
        <v>706</v>
      </c>
      <c r="F267" s="1157"/>
      <c r="G267" s="1156" t="s">
        <v>707</v>
      </c>
      <c r="H267" s="1124"/>
      <c r="I267" s="1157"/>
      <c r="J267" s="1146"/>
      <c r="K267" s="1147"/>
      <c r="L267" s="373"/>
    </row>
    <row r="268" spans="1:13">
      <c r="A268" s="1151"/>
      <c r="B268" s="1122" t="s">
        <v>691</v>
      </c>
      <c r="C268" s="1161"/>
      <c r="D268" s="426" t="s">
        <v>692</v>
      </c>
      <c r="E268" s="427" t="s">
        <v>708</v>
      </c>
      <c r="F268" s="426" t="s">
        <v>709</v>
      </c>
      <c r="G268" s="1162">
        <f>INDEX(ESPSPNotes,23,1)</f>
        <v>0</v>
      </c>
      <c r="H268" s="1163"/>
      <c r="I268" s="1164"/>
      <c r="J268" s="1146"/>
      <c r="K268" s="1147"/>
      <c r="L268" s="373"/>
    </row>
    <row r="269" spans="1:13">
      <c r="A269" s="1151"/>
      <c r="B269" s="1125"/>
      <c r="C269" s="1125"/>
      <c r="D269" s="409"/>
      <c r="E269" s="434"/>
      <c r="F269" s="429"/>
      <c r="G269" s="1162"/>
      <c r="H269" s="1163"/>
      <c r="I269" s="1164"/>
      <c r="J269" s="1146"/>
      <c r="K269" s="1147"/>
      <c r="L269" s="373"/>
    </row>
    <row r="270" spans="1:13">
      <c r="A270" s="1151"/>
      <c r="B270" s="1125"/>
      <c r="C270" s="1125"/>
      <c r="D270" s="409"/>
      <c r="E270" s="434"/>
      <c r="F270" s="429"/>
      <c r="G270" s="1162"/>
      <c r="H270" s="1163"/>
      <c r="I270" s="1164"/>
      <c r="J270" s="1146"/>
      <c r="K270" s="1147"/>
      <c r="L270" s="373"/>
    </row>
    <row r="271" spans="1:13">
      <c r="A271" s="1152"/>
      <c r="B271" s="1126"/>
      <c r="C271" s="1126"/>
      <c r="D271" s="410"/>
      <c r="E271" s="430"/>
      <c r="F271" s="431"/>
      <c r="G271" s="1165"/>
      <c r="H271" s="1166"/>
      <c r="I271" s="1167"/>
      <c r="J271" s="1148"/>
      <c r="K271" s="1149"/>
      <c r="L271" s="373"/>
    </row>
    <row r="272" spans="1:13" ht="3" customHeight="1">
      <c r="A272" s="1168"/>
      <c r="B272" s="1169"/>
      <c r="C272" s="1169"/>
      <c r="D272" s="1169"/>
      <c r="E272" s="1169"/>
      <c r="F272" s="1169"/>
      <c r="G272" s="1169"/>
      <c r="H272" s="1169"/>
      <c r="I272" s="1169"/>
      <c r="J272" s="1169"/>
      <c r="K272" s="1170"/>
      <c r="L272" s="373"/>
    </row>
    <row r="273" spans="1:12">
      <c r="A273" s="418" t="s">
        <v>694</v>
      </c>
      <c r="B273" s="1118" t="s">
        <v>695</v>
      </c>
      <c r="C273" s="1119"/>
      <c r="D273" s="1120"/>
      <c r="E273" s="418" t="s">
        <v>696</v>
      </c>
      <c r="F273" s="418" t="s">
        <v>697</v>
      </c>
      <c r="G273" s="418" t="s">
        <v>698</v>
      </c>
      <c r="H273" s="418" t="s">
        <v>699</v>
      </c>
      <c r="I273" s="418" t="s">
        <v>700</v>
      </c>
      <c r="J273" s="418" t="s">
        <v>1210</v>
      </c>
      <c r="K273" s="418" t="s">
        <v>701</v>
      </c>
      <c r="L273" s="373"/>
    </row>
    <row r="274" spans="1:12">
      <c r="A274" s="1151">
        <f>INDEX(ESPSPNo,24,1)</f>
        <v>0</v>
      </c>
      <c r="B274" s="1153">
        <f>INDEX(ESPSPTitle,24,1)</f>
        <v>0</v>
      </c>
      <c r="C274" s="1154"/>
      <c r="D274" s="1155"/>
      <c r="E274" s="421" t="str">
        <f>IF(A274&lt;&gt;0,IF(OR(INDEX(ESPSPTandM,24,1)=TMDPhaseChangeTimeAndMaterial,INDEX(ESPSPTandM,24,1)=TMDPhaseTimeAndMaterial),TMDAllocationTandM,TMDAllocationFix),"")</f>
        <v/>
      </c>
      <c r="F274" s="422">
        <f>H274</f>
        <v>0</v>
      </c>
      <c r="G274" s="422">
        <f>H274</f>
        <v>0</v>
      </c>
      <c r="H274" s="422"/>
      <c r="I274" s="422">
        <f>H274</f>
        <v>0</v>
      </c>
      <c r="J274" s="422"/>
      <c r="K274" s="422"/>
      <c r="L274" s="373"/>
    </row>
    <row r="275" spans="1:12">
      <c r="A275" s="1151"/>
      <c r="B275" s="418" t="s">
        <v>702</v>
      </c>
      <c r="C275" s="418" t="s">
        <v>703</v>
      </c>
      <c r="D275" s="418" t="s">
        <v>685</v>
      </c>
      <c r="E275" s="418" t="s">
        <v>687</v>
      </c>
      <c r="F275" s="1118" t="s">
        <v>1102</v>
      </c>
      <c r="G275" s="1119"/>
      <c r="H275" s="1119"/>
      <c r="I275" s="1120"/>
      <c r="J275" s="1156" t="s">
        <v>704</v>
      </c>
      <c r="K275" s="1157"/>
      <c r="L275" s="373"/>
    </row>
    <row r="276" spans="1:12">
      <c r="A276" s="1151"/>
      <c r="B276" s="422">
        <f>INDEX(ESPSPExternalPrice,24,1)</f>
        <v>0</v>
      </c>
      <c r="C276" s="422">
        <f>INDEX(ESPSPEffort,24,1)*MDWorkhours</f>
        <v>0</v>
      </c>
      <c r="D276" s="425">
        <f>INDEX(ESPSPStart,24,1)</f>
        <v>0</v>
      </c>
      <c r="E276" s="425">
        <f>INDEX(ESPSPEnd,24,1)</f>
        <v>0</v>
      </c>
      <c r="F276" s="1158"/>
      <c r="G276" s="1159"/>
      <c r="H276" s="1159"/>
      <c r="I276" s="1160"/>
      <c r="J276" s="1146"/>
      <c r="K276" s="1147"/>
      <c r="L276" s="373"/>
    </row>
    <row r="277" spans="1:12">
      <c r="A277" s="1151"/>
      <c r="B277" s="1156" t="s">
        <v>705</v>
      </c>
      <c r="C277" s="1124"/>
      <c r="D277" s="1157"/>
      <c r="E277" s="1156" t="s">
        <v>706</v>
      </c>
      <c r="F277" s="1157"/>
      <c r="G277" s="1156" t="s">
        <v>707</v>
      </c>
      <c r="H277" s="1124"/>
      <c r="I277" s="1157"/>
      <c r="J277" s="1146"/>
      <c r="K277" s="1147"/>
      <c r="L277" s="373"/>
    </row>
    <row r="278" spans="1:12">
      <c r="A278" s="1151"/>
      <c r="B278" s="1122" t="s">
        <v>691</v>
      </c>
      <c r="C278" s="1161"/>
      <c r="D278" s="426" t="s">
        <v>692</v>
      </c>
      <c r="E278" s="427" t="s">
        <v>708</v>
      </c>
      <c r="F278" s="426" t="s">
        <v>709</v>
      </c>
      <c r="G278" s="1162">
        <f>INDEX(ESPSPNotes,24,1)</f>
        <v>0</v>
      </c>
      <c r="H278" s="1163"/>
      <c r="I278" s="1164"/>
      <c r="J278" s="1146"/>
      <c r="K278" s="1147"/>
      <c r="L278" s="373"/>
    </row>
    <row r="279" spans="1:12">
      <c r="A279" s="1151"/>
      <c r="B279" s="1125"/>
      <c r="C279" s="1125"/>
      <c r="D279" s="409"/>
      <c r="E279" s="434"/>
      <c r="F279" s="429"/>
      <c r="G279" s="1162"/>
      <c r="H279" s="1163"/>
      <c r="I279" s="1164"/>
      <c r="J279" s="1146"/>
      <c r="K279" s="1147"/>
      <c r="L279" s="373"/>
    </row>
    <row r="280" spans="1:12">
      <c r="A280" s="1151"/>
      <c r="B280" s="1125"/>
      <c r="C280" s="1125"/>
      <c r="D280" s="409"/>
      <c r="E280" s="434"/>
      <c r="F280" s="429"/>
      <c r="G280" s="1162"/>
      <c r="H280" s="1163"/>
      <c r="I280" s="1164"/>
      <c r="J280" s="1146"/>
      <c r="K280" s="1147"/>
      <c r="L280" s="373"/>
    </row>
    <row r="281" spans="1:12">
      <c r="A281" s="1152"/>
      <c r="B281" s="1126"/>
      <c r="C281" s="1126"/>
      <c r="D281" s="410"/>
      <c r="E281" s="430"/>
      <c r="F281" s="431"/>
      <c r="G281" s="1165"/>
      <c r="H281" s="1166"/>
      <c r="I281" s="1167"/>
      <c r="J281" s="1148"/>
      <c r="K281" s="1149"/>
      <c r="L281" s="373"/>
    </row>
    <row r="282" spans="1:12" ht="3" customHeight="1">
      <c r="A282" s="1168"/>
      <c r="B282" s="1169"/>
      <c r="C282" s="1169"/>
      <c r="D282" s="1169"/>
      <c r="E282" s="1169"/>
      <c r="F282" s="1169"/>
      <c r="G282" s="1169"/>
      <c r="H282" s="1169"/>
      <c r="I282" s="1169"/>
      <c r="J282" s="1169"/>
      <c r="K282" s="1170"/>
      <c r="L282" s="373"/>
    </row>
    <row r="283" spans="1:12">
      <c r="A283" s="418" t="s">
        <v>694</v>
      </c>
      <c r="B283" s="1118" t="s">
        <v>695</v>
      </c>
      <c r="C283" s="1119"/>
      <c r="D283" s="1120"/>
      <c r="E283" s="418" t="s">
        <v>696</v>
      </c>
      <c r="F283" s="418" t="s">
        <v>697</v>
      </c>
      <c r="G283" s="418" t="s">
        <v>698</v>
      </c>
      <c r="H283" s="418" t="s">
        <v>699</v>
      </c>
      <c r="I283" s="418" t="s">
        <v>700</v>
      </c>
      <c r="J283" s="418" t="s">
        <v>1210</v>
      </c>
      <c r="K283" s="418" t="s">
        <v>701</v>
      </c>
      <c r="L283" s="373"/>
    </row>
    <row r="284" spans="1:12">
      <c r="A284" s="1151">
        <f>INDEX(ESPSPNo,25,1)</f>
        <v>0</v>
      </c>
      <c r="B284" s="1153">
        <f>INDEX(ESPSPTitle,25,1)</f>
        <v>0</v>
      </c>
      <c r="C284" s="1154"/>
      <c r="D284" s="1155"/>
      <c r="E284" s="421" t="str">
        <f>IF(A284&lt;&gt;0,IF(OR(INDEX(ESPSPTandM,25,1)=TMDPhaseChangeTimeAndMaterial,INDEX(ESPSPTandM,25,1)=TMDPhaseTimeAndMaterial),TMDAllocationTandM,TMDAllocationFix),"")</f>
        <v/>
      </c>
      <c r="F284" s="422">
        <f>H284</f>
        <v>0</v>
      </c>
      <c r="G284" s="422">
        <f>H284</f>
        <v>0</v>
      </c>
      <c r="H284" s="422"/>
      <c r="I284" s="422">
        <f>H284</f>
        <v>0</v>
      </c>
      <c r="J284" s="422"/>
      <c r="K284" s="422"/>
      <c r="L284" s="373"/>
    </row>
    <row r="285" spans="1:12">
      <c r="A285" s="1151"/>
      <c r="B285" s="418" t="s">
        <v>702</v>
      </c>
      <c r="C285" s="418" t="s">
        <v>703</v>
      </c>
      <c r="D285" s="418" t="s">
        <v>685</v>
      </c>
      <c r="E285" s="418" t="s">
        <v>687</v>
      </c>
      <c r="F285" s="1118" t="s">
        <v>1102</v>
      </c>
      <c r="G285" s="1119"/>
      <c r="H285" s="1119"/>
      <c r="I285" s="1120"/>
      <c r="J285" s="1156" t="s">
        <v>704</v>
      </c>
      <c r="K285" s="1157"/>
      <c r="L285" s="373"/>
    </row>
    <row r="286" spans="1:12">
      <c r="A286" s="1151"/>
      <c r="B286" s="422">
        <f>INDEX(ESPSPExternalPrice,25,1)</f>
        <v>0</v>
      </c>
      <c r="C286" s="422">
        <f>INDEX(ESPSPEffort,25,1)*MDWorkhours</f>
        <v>0</v>
      </c>
      <c r="D286" s="425">
        <f>INDEX(ESPSPStart,25,1)</f>
        <v>0</v>
      </c>
      <c r="E286" s="425">
        <f>INDEX(ESPSPEnd,25,1)</f>
        <v>0</v>
      </c>
      <c r="F286" s="1158"/>
      <c r="G286" s="1159"/>
      <c r="H286" s="1159"/>
      <c r="I286" s="1160"/>
      <c r="J286" s="1146"/>
      <c r="K286" s="1147"/>
      <c r="L286" s="373"/>
    </row>
    <row r="287" spans="1:12">
      <c r="A287" s="1151"/>
      <c r="B287" s="1156" t="s">
        <v>705</v>
      </c>
      <c r="C287" s="1124"/>
      <c r="D287" s="1157"/>
      <c r="E287" s="1156" t="s">
        <v>706</v>
      </c>
      <c r="F287" s="1157"/>
      <c r="G287" s="1156" t="s">
        <v>707</v>
      </c>
      <c r="H287" s="1124"/>
      <c r="I287" s="1157"/>
      <c r="J287" s="1146"/>
      <c r="K287" s="1147"/>
      <c r="L287" s="373"/>
    </row>
    <row r="288" spans="1:12">
      <c r="A288" s="1151"/>
      <c r="B288" s="1122" t="s">
        <v>691</v>
      </c>
      <c r="C288" s="1161"/>
      <c r="D288" s="426" t="s">
        <v>692</v>
      </c>
      <c r="E288" s="427" t="s">
        <v>708</v>
      </c>
      <c r="F288" s="426" t="s">
        <v>709</v>
      </c>
      <c r="G288" s="1162">
        <f>INDEX(ESPSPNotes,25,1)</f>
        <v>0</v>
      </c>
      <c r="H288" s="1163"/>
      <c r="I288" s="1164"/>
      <c r="J288" s="1146"/>
      <c r="K288" s="1147"/>
      <c r="L288" s="373"/>
    </row>
    <row r="289" spans="1:12">
      <c r="A289" s="1151"/>
      <c r="B289" s="1176"/>
      <c r="C289" s="1177"/>
      <c r="D289" s="409"/>
      <c r="E289" s="434"/>
      <c r="F289" s="429"/>
      <c r="G289" s="1162"/>
      <c r="H289" s="1163"/>
      <c r="I289" s="1164"/>
      <c r="J289" s="1146"/>
      <c r="K289" s="1147"/>
      <c r="L289" s="373"/>
    </row>
    <row r="290" spans="1:12">
      <c r="A290" s="1151"/>
      <c r="B290" s="1176"/>
      <c r="C290" s="1177"/>
      <c r="D290" s="409"/>
      <c r="E290" s="434"/>
      <c r="F290" s="429"/>
      <c r="G290" s="1162"/>
      <c r="H290" s="1163"/>
      <c r="I290" s="1164"/>
      <c r="J290" s="1146"/>
      <c r="K290" s="1147"/>
      <c r="L290" s="373"/>
    </row>
    <row r="291" spans="1:12">
      <c r="A291" s="1152"/>
      <c r="B291" s="1174"/>
      <c r="C291" s="1175"/>
      <c r="D291" s="410"/>
      <c r="E291" s="430"/>
      <c r="F291" s="431"/>
      <c r="G291" s="1165"/>
      <c r="H291" s="1166"/>
      <c r="I291" s="1167"/>
      <c r="J291" s="1148"/>
      <c r="K291" s="1149"/>
      <c r="L291" s="373"/>
    </row>
    <row r="292" spans="1:12" ht="3" customHeight="1">
      <c r="A292" s="1168"/>
      <c r="B292" s="1169"/>
      <c r="C292" s="1169"/>
      <c r="D292" s="1169"/>
      <c r="E292" s="1169"/>
      <c r="F292" s="1169"/>
      <c r="G292" s="1169"/>
      <c r="H292" s="1169"/>
      <c r="I292" s="1169"/>
      <c r="J292" s="1169"/>
      <c r="K292" s="1170"/>
      <c r="L292" s="373"/>
    </row>
    <row r="293" spans="1:12">
      <c r="A293" s="418" t="s">
        <v>694</v>
      </c>
      <c r="B293" s="1118" t="s">
        <v>695</v>
      </c>
      <c r="C293" s="1119"/>
      <c r="D293" s="1120"/>
      <c r="E293" s="418" t="s">
        <v>696</v>
      </c>
      <c r="F293" s="418" t="s">
        <v>697</v>
      </c>
      <c r="G293" s="418" t="s">
        <v>698</v>
      </c>
      <c r="H293" s="418" t="s">
        <v>699</v>
      </c>
      <c r="I293" s="418" t="s">
        <v>700</v>
      </c>
      <c r="J293" s="418" t="s">
        <v>1210</v>
      </c>
      <c r="K293" s="418" t="s">
        <v>701</v>
      </c>
      <c r="L293" s="373"/>
    </row>
    <row r="294" spans="1:12">
      <c r="A294" s="1151">
        <f>INDEX(ESPSPNo,26,1)</f>
        <v>0</v>
      </c>
      <c r="B294" s="1153">
        <f>INDEX(ESPSPTitle,26,1)</f>
        <v>0</v>
      </c>
      <c r="C294" s="1154"/>
      <c r="D294" s="1155"/>
      <c r="E294" s="421" t="str">
        <f>IF(A294&lt;&gt;0,IF(OR(INDEX(ESPSPTandM,26,1)=TMDPhaseChangeTimeAndMaterial,INDEX(ESPSPTandM,26,1)=TMDPhaseTimeAndMaterial),TMDAllocationTandM,TMDAllocationFix),"")</f>
        <v/>
      </c>
      <c r="F294" s="422">
        <f>H294</f>
        <v>0</v>
      </c>
      <c r="G294" s="422">
        <f>H294</f>
        <v>0</v>
      </c>
      <c r="H294" s="422"/>
      <c r="I294" s="422">
        <f>H294</f>
        <v>0</v>
      </c>
      <c r="J294" s="422"/>
      <c r="K294" s="422"/>
      <c r="L294" s="373"/>
    </row>
    <row r="295" spans="1:12">
      <c r="A295" s="1151"/>
      <c r="B295" s="418" t="s">
        <v>702</v>
      </c>
      <c r="C295" s="418" t="s">
        <v>703</v>
      </c>
      <c r="D295" s="418" t="s">
        <v>685</v>
      </c>
      <c r="E295" s="418" t="s">
        <v>687</v>
      </c>
      <c r="F295" s="1118" t="s">
        <v>1102</v>
      </c>
      <c r="G295" s="1119"/>
      <c r="H295" s="1119"/>
      <c r="I295" s="1120"/>
      <c r="J295" s="1156" t="s">
        <v>704</v>
      </c>
      <c r="K295" s="1157"/>
      <c r="L295" s="373"/>
    </row>
    <row r="296" spans="1:12">
      <c r="A296" s="1151"/>
      <c r="B296" s="422">
        <f>INDEX(ESPSPExternalPrice,26,1)</f>
        <v>0</v>
      </c>
      <c r="C296" s="422">
        <f>INDEX(ESPSPEffort,26,1)*MDWorkhours</f>
        <v>0</v>
      </c>
      <c r="D296" s="425">
        <f>INDEX(ESPSPStart,26,1)</f>
        <v>0</v>
      </c>
      <c r="E296" s="425">
        <f>INDEX(ESPSPEnd,26,1)</f>
        <v>0</v>
      </c>
      <c r="F296" s="1158"/>
      <c r="G296" s="1159"/>
      <c r="H296" s="1159"/>
      <c r="I296" s="1160"/>
      <c r="J296" s="1146"/>
      <c r="K296" s="1147"/>
      <c r="L296" s="373"/>
    </row>
    <row r="297" spans="1:12">
      <c r="A297" s="1151"/>
      <c r="B297" s="1156" t="s">
        <v>705</v>
      </c>
      <c r="C297" s="1124"/>
      <c r="D297" s="1157"/>
      <c r="E297" s="1156" t="s">
        <v>706</v>
      </c>
      <c r="F297" s="1157"/>
      <c r="G297" s="1156" t="s">
        <v>707</v>
      </c>
      <c r="H297" s="1124"/>
      <c r="I297" s="1157"/>
      <c r="J297" s="1146"/>
      <c r="K297" s="1147"/>
      <c r="L297" s="373"/>
    </row>
    <row r="298" spans="1:12">
      <c r="A298" s="1151"/>
      <c r="B298" s="1122" t="s">
        <v>691</v>
      </c>
      <c r="C298" s="1161"/>
      <c r="D298" s="426" t="s">
        <v>692</v>
      </c>
      <c r="E298" s="427" t="s">
        <v>708</v>
      </c>
      <c r="F298" s="426" t="s">
        <v>709</v>
      </c>
      <c r="G298" s="1162">
        <f>INDEX(ESPSPNotes,26,1)</f>
        <v>0</v>
      </c>
      <c r="H298" s="1163"/>
      <c r="I298" s="1164"/>
      <c r="J298" s="1146"/>
      <c r="K298" s="1147"/>
      <c r="L298" s="373"/>
    </row>
    <row r="299" spans="1:12">
      <c r="A299" s="1151"/>
      <c r="B299" s="1125"/>
      <c r="C299" s="1125"/>
      <c r="D299" s="409"/>
      <c r="E299" s="434"/>
      <c r="F299" s="429"/>
      <c r="G299" s="1162"/>
      <c r="H299" s="1163"/>
      <c r="I299" s="1164"/>
      <c r="J299" s="1146"/>
      <c r="K299" s="1147"/>
      <c r="L299" s="373"/>
    </row>
    <row r="300" spans="1:12">
      <c r="A300" s="1151"/>
      <c r="B300" s="1125"/>
      <c r="C300" s="1125"/>
      <c r="D300" s="409"/>
      <c r="E300" s="434"/>
      <c r="F300" s="429"/>
      <c r="G300" s="1162"/>
      <c r="H300" s="1163"/>
      <c r="I300" s="1164"/>
      <c r="J300" s="1146"/>
      <c r="K300" s="1147"/>
      <c r="L300" s="373"/>
    </row>
    <row r="301" spans="1:12">
      <c r="A301" s="1152"/>
      <c r="B301" s="1126"/>
      <c r="C301" s="1126"/>
      <c r="D301" s="410"/>
      <c r="E301" s="430"/>
      <c r="F301" s="431"/>
      <c r="G301" s="1165"/>
      <c r="H301" s="1166"/>
      <c r="I301" s="1167"/>
      <c r="J301" s="1148"/>
      <c r="K301" s="1149"/>
      <c r="L301" s="373"/>
    </row>
    <row r="302" spans="1:12" ht="3" customHeight="1">
      <c r="A302" s="1168"/>
      <c r="B302" s="1169"/>
      <c r="C302" s="1169"/>
      <c r="D302" s="1169"/>
      <c r="E302" s="1169"/>
      <c r="F302" s="1169"/>
      <c r="G302" s="1169"/>
      <c r="H302" s="1169"/>
      <c r="I302" s="1169"/>
      <c r="J302" s="1169"/>
      <c r="K302" s="1170"/>
      <c r="L302" s="373"/>
    </row>
    <row r="303" spans="1:12">
      <c r="A303" s="418" t="s">
        <v>694</v>
      </c>
      <c r="B303" s="1118" t="s">
        <v>695</v>
      </c>
      <c r="C303" s="1119"/>
      <c r="D303" s="1120"/>
      <c r="E303" s="418" t="s">
        <v>696</v>
      </c>
      <c r="F303" s="418" t="s">
        <v>697</v>
      </c>
      <c r="G303" s="418" t="s">
        <v>698</v>
      </c>
      <c r="H303" s="418" t="s">
        <v>699</v>
      </c>
      <c r="I303" s="418" t="s">
        <v>700</v>
      </c>
      <c r="J303" s="418" t="s">
        <v>1210</v>
      </c>
      <c r="K303" s="418" t="s">
        <v>701</v>
      </c>
      <c r="L303" s="373"/>
    </row>
    <row r="304" spans="1:12">
      <c r="A304" s="1151">
        <f>INDEX(ESPSPNo,27,1)</f>
        <v>0</v>
      </c>
      <c r="B304" s="1153">
        <f>INDEX(ESPSPTitle,27,1)</f>
        <v>0</v>
      </c>
      <c r="C304" s="1154"/>
      <c r="D304" s="1155"/>
      <c r="E304" s="421" t="str">
        <f>IF(A304&lt;&gt;0,IF(OR(INDEX(ESPSPTandM,27,1)=TMDPhaseChangeTimeAndMaterial,INDEX(ESPSPTandM,27,1)=TMDPhaseTimeAndMaterial),TMDAllocationTandM,TMDAllocationFix),"")</f>
        <v/>
      </c>
      <c r="F304" s="422">
        <f>H304</f>
        <v>0</v>
      </c>
      <c r="G304" s="422">
        <f>H304</f>
        <v>0</v>
      </c>
      <c r="H304" s="422"/>
      <c r="I304" s="422">
        <f>H304</f>
        <v>0</v>
      </c>
      <c r="J304" s="422"/>
      <c r="K304" s="422"/>
      <c r="L304" s="373"/>
    </row>
    <row r="305" spans="1:13">
      <c r="A305" s="1151"/>
      <c r="B305" s="418" t="s">
        <v>702</v>
      </c>
      <c r="C305" s="418" t="s">
        <v>703</v>
      </c>
      <c r="D305" s="418" t="s">
        <v>685</v>
      </c>
      <c r="E305" s="418" t="s">
        <v>687</v>
      </c>
      <c r="F305" s="1118" t="s">
        <v>1102</v>
      </c>
      <c r="G305" s="1119"/>
      <c r="H305" s="1119"/>
      <c r="I305" s="1120"/>
      <c r="J305" s="1156" t="s">
        <v>704</v>
      </c>
      <c r="K305" s="1157"/>
      <c r="L305" s="373"/>
    </row>
    <row r="306" spans="1:13">
      <c r="A306" s="1151"/>
      <c r="B306" s="422">
        <f>INDEX(ESPSPExternalPrice,27,1)</f>
        <v>0</v>
      </c>
      <c r="C306" s="422">
        <f>INDEX(ESPSPEffort,27,1)*MDWorkhours</f>
        <v>0</v>
      </c>
      <c r="D306" s="425">
        <f>INDEX(ESPSPStart,27,1)</f>
        <v>0</v>
      </c>
      <c r="E306" s="425">
        <f>INDEX(ESPSPEnd,27,1)</f>
        <v>0</v>
      </c>
      <c r="F306" s="1158"/>
      <c r="G306" s="1159"/>
      <c r="H306" s="1159"/>
      <c r="I306" s="1160"/>
      <c r="J306" s="1146"/>
      <c r="K306" s="1147"/>
      <c r="L306" s="373"/>
    </row>
    <row r="307" spans="1:13">
      <c r="A307" s="1151"/>
      <c r="B307" s="1156" t="s">
        <v>705</v>
      </c>
      <c r="C307" s="1124"/>
      <c r="D307" s="1157"/>
      <c r="E307" s="1156" t="s">
        <v>706</v>
      </c>
      <c r="F307" s="1157"/>
      <c r="G307" s="1156" t="s">
        <v>707</v>
      </c>
      <c r="H307" s="1124"/>
      <c r="I307" s="1157"/>
      <c r="J307" s="1146"/>
      <c r="K307" s="1147"/>
      <c r="L307" s="373"/>
    </row>
    <row r="308" spans="1:13">
      <c r="A308" s="1151"/>
      <c r="B308" s="1122" t="s">
        <v>691</v>
      </c>
      <c r="C308" s="1161"/>
      <c r="D308" s="426" t="s">
        <v>692</v>
      </c>
      <c r="E308" s="427" t="s">
        <v>708</v>
      </c>
      <c r="F308" s="426" t="s">
        <v>709</v>
      </c>
      <c r="G308" s="1162">
        <f>INDEX(ESPSPNotes,27,1)</f>
        <v>0</v>
      </c>
      <c r="H308" s="1163"/>
      <c r="I308" s="1164"/>
      <c r="J308" s="1146"/>
      <c r="K308" s="1147"/>
      <c r="L308" s="373"/>
    </row>
    <row r="309" spans="1:13">
      <c r="A309" s="1151"/>
      <c r="B309" s="1125"/>
      <c r="C309" s="1125"/>
      <c r="D309" s="409"/>
      <c r="E309" s="434"/>
      <c r="F309" s="429"/>
      <c r="G309" s="1162"/>
      <c r="H309" s="1163"/>
      <c r="I309" s="1164"/>
      <c r="J309" s="1146"/>
      <c r="K309" s="1147"/>
      <c r="L309" s="373"/>
    </row>
    <row r="310" spans="1:13">
      <c r="A310" s="1151"/>
      <c r="B310" s="1125"/>
      <c r="C310" s="1125"/>
      <c r="D310" s="409"/>
      <c r="E310" s="434"/>
      <c r="F310" s="429"/>
      <c r="G310" s="1162"/>
      <c r="H310" s="1163"/>
      <c r="I310" s="1164"/>
      <c r="J310" s="1146"/>
      <c r="K310" s="1147"/>
      <c r="L310" s="373"/>
    </row>
    <row r="311" spans="1:13">
      <c r="A311" s="1152"/>
      <c r="B311" s="1126"/>
      <c r="C311" s="1126"/>
      <c r="D311" s="410"/>
      <c r="E311" s="430"/>
      <c r="F311" s="431"/>
      <c r="G311" s="1165"/>
      <c r="H311" s="1166"/>
      <c r="I311" s="1167"/>
      <c r="J311" s="1148"/>
      <c r="K311" s="1149"/>
      <c r="L311" s="373"/>
    </row>
    <row r="312" spans="1:13" ht="3" customHeight="1">
      <c r="A312" s="435"/>
      <c r="B312" s="435"/>
      <c r="C312" s="435"/>
      <c r="D312" s="435"/>
      <c r="E312" s="435"/>
      <c r="F312" s="435"/>
      <c r="G312" s="435"/>
      <c r="H312" s="435"/>
      <c r="I312" s="435"/>
      <c r="J312" s="435"/>
      <c r="K312" s="435"/>
      <c r="L312" s="432"/>
      <c r="M312" s="433"/>
    </row>
    <row r="313" spans="1:13">
      <c r="A313" s="418" t="s">
        <v>694</v>
      </c>
      <c r="B313" s="1118" t="s">
        <v>695</v>
      </c>
      <c r="C313" s="1119"/>
      <c r="D313" s="1120"/>
      <c r="E313" s="418" t="s">
        <v>696</v>
      </c>
      <c r="F313" s="418" t="s">
        <v>697</v>
      </c>
      <c r="G313" s="418" t="s">
        <v>698</v>
      </c>
      <c r="H313" s="418" t="s">
        <v>699</v>
      </c>
      <c r="I313" s="418" t="s">
        <v>700</v>
      </c>
      <c r="J313" s="418" t="s">
        <v>1210</v>
      </c>
      <c r="K313" s="418" t="s">
        <v>701</v>
      </c>
      <c r="L313" s="373"/>
    </row>
    <row r="314" spans="1:13">
      <c r="A314" s="1151">
        <f>INDEX(ESPSPNo,28,1)</f>
        <v>0</v>
      </c>
      <c r="B314" s="1153">
        <f>INDEX(ESPSPTitle,28,1)</f>
        <v>0</v>
      </c>
      <c r="C314" s="1154"/>
      <c r="D314" s="1155"/>
      <c r="E314" s="421" t="str">
        <f>IF(A314&lt;&gt;0,IF(OR(INDEX(ESPSPTandM,28,1)=TMDPhaseChangeTimeAndMaterial,INDEX(ESPSPTandM,28,1)=TMDPhaseTimeAndMaterial),TMDAllocationTandM,TMDAllocationFix),"")</f>
        <v/>
      </c>
      <c r="F314" s="422">
        <f>H314</f>
        <v>0</v>
      </c>
      <c r="G314" s="422">
        <f>H314</f>
        <v>0</v>
      </c>
      <c r="H314" s="422"/>
      <c r="I314" s="422">
        <f>H314</f>
        <v>0</v>
      </c>
      <c r="J314" s="422"/>
      <c r="K314" s="422"/>
      <c r="L314" s="373"/>
    </row>
    <row r="315" spans="1:13">
      <c r="A315" s="1151"/>
      <c r="B315" s="418" t="s">
        <v>702</v>
      </c>
      <c r="C315" s="418" t="s">
        <v>703</v>
      </c>
      <c r="D315" s="418" t="s">
        <v>685</v>
      </c>
      <c r="E315" s="418" t="s">
        <v>687</v>
      </c>
      <c r="F315" s="1118" t="s">
        <v>1102</v>
      </c>
      <c r="G315" s="1119"/>
      <c r="H315" s="1119"/>
      <c r="I315" s="1120"/>
      <c r="J315" s="1156" t="s">
        <v>704</v>
      </c>
      <c r="K315" s="1157"/>
      <c r="L315" s="373"/>
    </row>
    <row r="316" spans="1:13">
      <c r="A316" s="1151"/>
      <c r="B316" s="422">
        <f>INDEX(ESPSPExternalPrice,28,1)</f>
        <v>0</v>
      </c>
      <c r="C316" s="422">
        <f>INDEX(ESPSPEffort,28,1)*MDWorkhours</f>
        <v>0</v>
      </c>
      <c r="D316" s="425">
        <f>INDEX(ESPSPStart,28,1)</f>
        <v>0</v>
      </c>
      <c r="E316" s="425">
        <f>INDEX(ESPSPEnd,28,1)</f>
        <v>0</v>
      </c>
      <c r="F316" s="1158"/>
      <c r="G316" s="1159"/>
      <c r="H316" s="1159"/>
      <c r="I316" s="1160"/>
      <c r="J316" s="1146"/>
      <c r="K316" s="1147"/>
      <c r="L316" s="373"/>
    </row>
    <row r="317" spans="1:13">
      <c r="A317" s="1151"/>
      <c r="B317" s="1156" t="s">
        <v>705</v>
      </c>
      <c r="C317" s="1124"/>
      <c r="D317" s="1157"/>
      <c r="E317" s="1156" t="s">
        <v>706</v>
      </c>
      <c r="F317" s="1157"/>
      <c r="G317" s="1156" t="s">
        <v>707</v>
      </c>
      <c r="H317" s="1124"/>
      <c r="I317" s="1157"/>
      <c r="J317" s="1146"/>
      <c r="K317" s="1147"/>
      <c r="L317" s="373"/>
    </row>
    <row r="318" spans="1:13">
      <c r="A318" s="1151"/>
      <c r="B318" s="1122" t="s">
        <v>691</v>
      </c>
      <c r="C318" s="1161"/>
      <c r="D318" s="426" t="s">
        <v>692</v>
      </c>
      <c r="E318" s="427" t="s">
        <v>708</v>
      </c>
      <c r="F318" s="426" t="s">
        <v>709</v>
      </c>
      <c r="G318" s="1162">
        <f>INDEX(ESPSPNotes,28,1)</f>
        <v>0</v>
      </c>
      <c r="H318" s="1163"/>
      <c r="I318" s="1164"/>
      <c r="J318" s="1146"/>
      <c r="K318" s="1147"/>
      <c r="L318" s="373"/>
    </row>
    <row r="319" spans="1:13">
      <c r="A319" s="1151"/>
      <c r="B319" s="1125"/>
      <c r="C319" s="1125"/>
      <c r="D319" s="409"/>
      <c r="E319" s="434"/>
      <c r="F319" s="429"/>
      <c r="G319" s="1162"/>
      <c r="H319" s="1163"/>
      <c r="I319" s="1164"/>
      <c r="J319" s="1146"/>
      <c r="K319" s="1147"/>
      <c r="L319" s="373"/>
    </row>
    <row r="320" spans="1:13">
      <c r="A320" s="1151"/>
      <c r="B320" s="1125"/>
      <c r="C320" s="1125"/>
      <c r="D320" s="409"/>
      <c r="E320" s="434"/>
      <c r="F320" s="429"/>
      <c r="G320" s="1162"/>
      <c r="H320" s="1163"/>
      <c r="I320" s="1164"/>
      <c r="J320" s="1146"/>
      <c r="K320" s="1147"/>
      <c r="L320" s="373"/>
    </row>
    <row r="321" spans="1:12">
      <c r="A321" s="1152"/>
      <c r="B321" s="1126"/>
      <c r="C321" s="1126"/>
      <c r="D321" s="410"/>
      <c r="E321" s="430"/>
      <c r="F321" s="431"/>
      <c r="G321" s="1165"/>
      <c r="H321" s="1166"/>
      <c r="I321" s="1167"/>
      <c r="J321" s="1148"/>
      <c r="K321" s="1149"/>
      <c r="L321" s="373"/>
    </row>
    <row r="322" spans="1:12" ht="3" customHeight="1">
      <c r="A322" s="1168"/>
      <c r="B322" s="1169"/>
      <c r="C322" s="1169"/>
      <c r="D322" s="1169"/>
      <c r="E322" s="1169"/>
      <c r="F322" s="1169"/>
      <c r="G322" s="1169"/>
      <c r="H322" s="1169"/>
      <c r="I322" s="1169"/>
      <c r="J322" s="1169"/>
      <c r="K322" s="1170"/>
      <c r="L322" s="373"/>
    </row>
    <row r="323" spans="1:12">
      <c r="A323" s="418" t="s">
        <v>694</v>
      </c>
      <c r="B323" s="1118" t="s">
        <v>695</v>
      </c>
      <c r="C323" s="1119"/>
      <c r="D323" s="1120"/>
      <c r="E323" s="418" t="s">
        <v>696</v>
      </c>
      <c r="F323" s="418" t="s">
        <v>697</v>
      </c>
      <c r="G323" s="418" t="s">
        <v>698</v>
      </c>
      <c r="H323" s="418" t="s">
        <v>699</v>
      </c>
      <c r="I323" s="418" t="s">
        <v>700</v>
      </c>
      <c r="J323" s="418" t="s">
        <v>1210</v>
      </c>
      <c r="K323" s="418" t="s">
        <v>701</v>
      </c>
      <c r="L323" s="373"/>
    </row>
    <row r="324" spans="1:12">
      <c r="A324" s="1151">
        <f>INDEX(ESPSPNo,29,1)</f>
        <v>0</v>
      </c>
      <c r="B324" s="1153">
        <f>INDEX(ESPSPTitle,29,1)</f>
        <v>0</v>
      </c>
      <c r="C324" s="1154"/>
      <c r="D324" s="1155"/>
      <c r="E324" s="421" t="str">
        <f>IF(A324&lt;&gt;0,IF(OR(INDEX(ESPSPTandM,29,1)=TMDPhaseChangeTimeAndMaterial,INDEX(ESPSPTandM,29,1)=TMDPhaseTimeAndMaterial),TMDAllocationTandM,TMDAllocationFix),"")</f>
        <v/>
      </c>
      <c r="F324" s="422">
        <f>H324</f>
        <v>0</v>
      </c>
      <c r="G324" s="422">
        <f>H324</f>
        <v>0</v>
      </c>
      <c r="H324" s="422"/>
      <c r="I324" s="422">
        <f>H324</f>
        <v>0</v>
      </c>
      <c r="J324" s="422"/>
      <c r="K324" s="422"/>
      <c r="L324" s="373"/>
    </row>
    <row r="325" spans="1:12">
      <c r="A325" s="1151"/>
      <c r="B325" s="418" t="s">
        <v>702</v>
      </c>
      <c r="C325" s="418" t="s">
        <v>703</v>
      </c>
      <c r="D325" s="418" t="s">
        <v>685</v>
      </c>
      <c r="E325" s="418" t="s">
        <v>687</v>
      </c>
      <c r="F325" s="1118" t="s">
        <v>1102</v>
      </c>
      <c r="G325" s="1119"/>
      <c r="H325" s="1119"/>
      <c r="I325" s="1120"/>
      <c r="J325" s="1156" t="s">
        <v>704</v>
      </c>
      <c r="K325" s="1157"/>
      <c r="L325" s="373"/>
    </row>
    <row r="326" spans="1:12">
      <c r="A326" s="1151"/>
      <c r="B326" s="422">
        <f>INDEX(ESPSPExternalPrice,29,1)</f>
        <v>0</v>
      </c>
      <c r="C326" s="422">
        <f>INDEX(ESPSPEffort,29,1)*MDWorkhours</f>
        <v>0</v>
      </c>
      <c r="D326" s="425">
        <f>INDEX(ESPSPStart,29,1)</f>
        <v>0</v>
      </c>
      <c r="E326" s="425">
        <f>INDEX(ESPSPEnd,29,1)</f>
        <v>0</v>
      </c>
      <c r="F326" s="1158"/>
      <c r="G326" s="1159"/>
      <c r="H326" s="1159"/>
      <c r="I326" s="1160"/>
      <c r="J326" s="1146"/>
      <c r="K326" s="1147"/>
      <c r="L326" s="373"/>
    </row>
    <row r="327" spans="1:12">
      <c r="A327" s="1151"/>
      <c r="B327" s="1156" t="s">
        <v>705</v>
      </c>
      <c r="C327" s="1124"/>
      <c r="D327" s="1157"/>
      <c r="E327" s="1156" t="s">
        <v>706</v>
      </c>
      <c r="F327" s="1157"/>
      <c r="G327" s="1156" t="s">
        <v>707</v>
      </c>
      <c r="H327" s="1124"/>
      <c r="I327" s="1157"/>
      <c r="J327" s="1146"/>
      <c r="K327" s="1147"/>
      <c r="L327" s="373"/>
    </row>
    <row r="328" spans="1:12">
      <c r="A328" s="1151"/>
      <c r="B328" s="1122" t="s">
        <v>691</v>
      </c>
      <c r="C328" s="1161"/>
      <c r="D328" s="426" t="s">
        <v>692</v>
      </c>
      <c r="E328" s="427" t="s">
        <v>708</v>
      </c>
      <c r="F328" s="426" t="s">
        <v>709</v>
      </c>
      <c r="G328" s="1162">
        <f>INDEX(ESPSPNotes,29,1)</f>
        <v>0</v>
      </c>
      <c r="H328" s="1163"/>
      <c r="I328" s="1164"/>
      <c r="J328" s="1146"/>
      <c r="K328" s="1147"/>
      <c r="L328" s="373"/>
    </row>
    <row r="329" spans="1:12">
      <c r="A329" s="1151"/>
      <c r="B329" s="1125"/>
      <c r="C329" s="1125"/>
      <c r="D329" s="409"/>
      <c r="E329" s="434"/>
      <c r="F329" s="429"/>
      <c r="G329" s="1162"/>
      <c r="H329" s="1163"/>
      <c r="I329" s="1164"/>
      <c r="J329" s="1146"/>
      <c r="K329" s="1147"/>
      <c r="L329" s="373"/>
    </row>
    <row r="330" spans="1:12">
      <c r="A330" s="1151"/>
      <c r="B330" s="1125"/>
      <c r="C330" s="1125"/>
      <c r="D330" s="409"/>
      <c r="E330" s="434"/>
      <c r="F330" s="429"/>
      <c r="G330" s="1162"/>
      <c r="H330" s="1163"/>
      <c r="I330" s="1164"/>
      <c r="J330" s="1146"/>
      <c r="K330" s="1147"/>
      <c r="L330" s="373"/>
    </row>
    <row r="331" spans="1:12">
      <c r="A331" s="1152"/>
      <c r="B331" s="1126"/>
      <c r="C331" s="1126"/>
      <c r="D331" s="410"/>
      <c r="E331" s="430"/>
      <c r="F331" s="431"/>
      <c r="G331" s="1165"/>
      <c r="H331" s="1166"/>
      <c r="I331" s="1167"/>
      <c r="J331" s="1148"/>
      <c r="K331" s="1149"/>
      <c r="L331" s="373"/>
    </row>
    <row r="332" spans="1:12" ht="3.75" customHeight="1">
      <c r="A332" s="1168"/>
      <c r="B332" s="1169"/>
      <c r="C332" s="1169"/>
      <c r="D332" s="1169"/>
      <c r="E332" s="1169"/>
      <c r="F332" s="1169"/>
      <c r="G332" s="1169"/>
      <c r="H332" s="1169"/>
      <c r="I332" s="1169"/>
      <c r="J332" s="1169"/>
      <c r="K332" s="1170"/>
      <c r="L332" s="373"/>
    </row>
    <row r="333" spans="1:12">
      <c r="A333" s="418" t="s">
        <v>694</v>
      </c>
      <c r="B333" s="1118" t="s">
        <v>695</v>
      </c>
      <c r="C333" s="1119"/>
      <c r="D333" s="1120"/>
      <c r="E333" s="418" t="s">
        <v>696</v>
      </c>
      <c r="F333" s="418" t="s">
        <v>697</v>
      </c>
      <c r="G333" s="418" t="s">
        <v>698</v>
      </c>
      <c r="H333" s="418" t="s">
        <v>699</v>
      </c>
      <c r="I333" s="418" t="s">
        <v>700</v>
      </c>
      <c r="J333" s="418" t="s">
        <v>1210</v>
      </c>
      <c r="K333" s="418" t="s">
        <v>701</v>
      </c>
      <c r="L333" s="373"/>
    </row>
    <row r="334" spans="1:12">
      <c r="A334" s="1151">
        <f>INDEX(ESPSPNo,30,1)</f>
        <v>0</v>
      </c>
      <c r="B334" s="1153">
        <f>INDEX(ESPSPTitle,30,1)</f>
        <v>0</v>
      </c>
      <c r="C334" s="1154"/>
      <c r="D334" s="1155"/>
      <c r="E334" s="421" t="str">
        <f>IF(A334&lt;&gt;0,IF(OR(INDEX(ESPSPTandM,30,1)=TMDPhaseChangeTimeAndMaterial,INDEX(ESPSPTandM,30,1)=TMDPhaseTimeAndMaterial),TMDAllocationTandM,TMDAllocationFix),"")</f>
        <v/>
      </c>
      <c r="F334" s="422">
        <f>H334</f>
        <v>0</v>
      </c>
      <c r="G334" s="422">
        <f>H334</f>
        <v>0</v>
      </c>
      <c r="H334" s="422"/>
      <c r="I334" s="422">
        <f>H334</f>
        <v>0</v>
      </c>
      <c r="J334" s="422"/>
      <c r="K334" s="422"/>
      <c r="L334" s="373"/>
    </row>
    <row r="335" spans="1:12">
      <c r="A335" s="1151"/>
      <c r="B335" s="418" t="s">
        <v>702</v>
      </c>
      <c r="C335" s="418" t="s">
        <v>703</v>
      </c>
      <c r="D335" s="418" t="s">
        <v>685</v>
      </c>
      <c r="E335" s="418" t="s">
        <v>687</v>
      </c>
      <c r="F335" s="1118" t="s">
        <v>1102</v>
      </c>
      <c r="G335" s="1119"/>
      <c r="H335" s="1119"/>
      <c r="I335" s="1120"/>
      <c r="J335" s="1156" t="s">
        <v>704</v>
      </c>
      <c r="K335" s="1157"/>
      <c r="L335" s="373"/>
    </row>
    <row r="336" spans="1:12">
      <c r="A336" s="1151"/>
      <c r="B336" s="422">
        <f>INDEX(ESPSPExternalPrice,30,1)</f>
        <v>0</v>
      </c>
      <c r="C336" s="422">
        <f>INDEX(ESPSPEffort,30,1)*MDWorkhours</f>
        <v>0</v>
      </c>
      <c r="D336" s="425">
        <f>INDEX(ESPSPStart,30,1)</f>
        <v>0</v>
      </c>
      <c r="E336" s="425">
        <f>INDEX(ESPSPEnd,30,1)</f>
        <v>0</v>
      </c>
      <c r="F336" s="1158"/>
      <c r="G336" s="1159"/>
      <c r="H336" s="1159"/>
      <c r="I336" s="1160"/>
      <c r="J336" s="1146"/>
      <c r="K336" s="1147"/>
      <c r="L336" s="373"/>
    </row>
    <row r="337" spans="1:12">
      <c r="A337" s="1151"/>
      <c r="B337" s="1156" t="s">
        <v>705</v>
      </c>
      <c r="C337" s="1124"/>
      <c r="D337" s="1157"/>
      <c r="E337" s="1156" t="s">
        <v>706</v>
      </c>
      <c r="F337" s="1157"/>
      <c r="G337" s="1156" t="s">
        <v>707</v>
      </c>
      <c r="H337" s="1124"/>
      <c r="I337" s="1157"/>
      <c r="J337" s="1146"/>
      <c r="K337" s="1147"/>
      <c r="L337" s="373"/>
    </row>
    <row r="338" spans="1:12">
      <c r="A338" s="1151"/>
      <c r="B338" s="1122" t="s">
        <v>691</v>
      </c>
      <c r="C338" s="1161"/>
      <c r="D338" s="426" t="s">
        <v>692</v>
      </c>
      <c r="E338" s="427" t="s">
        <v>708</v>
      </c>
      <c r="F338" s="426" t="s">
        <v>709</v>
      </c>
      <c r="G338" s="1162">
        <f>INDEX(ESPSPNotes,30,1)</f>
        <v>0</v>
      </c>
      <c r="H338" s="1163"/>
      <c r="I338" s="1164"/>
      <c r="J338" s="1146"/>
      <c r="K338" s="1147"/>
      <c r="L338" s="373"/>
    </row>
    <row r="339" spans="1:12">
      <c r="A339" s="1151"/>
      <c r="B339" s="1125"/>
      <c r="C339" s="1125"/>
      <c r="D339" s="409"/>
      <c r="E339" s="434"/>
      <c r="F339" s="429"/>
      <c r="G339" s="1162"/>
      <c r="H339" s="1163"/>
      <c r="I339" s="1164"/>
      <c r="J339" s="1146"/>
      <c r="K339" s="1147"/>
      <c r="L339" s="373"/>
    </row>
    <row r="340" spans="1:12">
      <c r="A340" s="1151"/>
      <c r="B340" s="1125"/>
      <c r="C340" s="1125"/>
      <c r="D340" s="409"/>
      <c r="E340" s="434"/>
      <c r="F340" s="429"/>
      <c r="G340" s="1162"/>
      <c r="H340" s="1163"/>
      <c r="I340" s="1164"/>
      <c r="J340" s="1146"/>
      <c r="K340" s="1147"/>
      <c r="L340" s="373"/>
    </row>
    <row r="341" spans="1:12">
      <c r="A341" s="1152"/>
      <c r="B341" s="1126"/>
      <c r="C341" s="1126"/>
      <c r="D341" s="410"/>
      <c r="E341" s="430"/>
      <c r="F341" s="431"/>
      <c r="G341" s="1165"/>
      <c r="H341" s="1166"/>
      <c r="I341" s="1167"/>
      <c r="J341" s="1148"/>
      <c r="K341" s="1149"/>
      <c r="L341" s="373"/>
    </row>
    <row r="342" spans="1:12">
      <c r="A342" s="373"/>
      <c r="C342" s="373"/>
      <c r="D342" s="373"/>
      <c r="E342" s="373"/>
      <c r="F342" s="373"/>
      <c r="G342" s="373"/>
      <c r="H342" s="373"/>
      <c r="I342" s="373"/>
      <c r="J342" s="373"/>
      <c r="K342" s="373"/>
      <c r="L342" s="373"/>
    </row>
    <row r="343" spans="1:12">
      <c r="A343" s="373"/>
      <c r="C343" s="373"/>
      <c r="D343" s="373"/>
      <c r="E343" s="373"/>
      <c r="F343" s="373"/>
      <c r="G343" s="373"/>
      <c r="H343" s="373"/>
      <c r="I343" s="373"/>
      <c r="J343" s="373"/>
      <c r="K343" s="373"/>
      <c r="L343" s="373"/>
    </row>
  </sheetData>
  <sheetProtection algorithmName="SHA-512" hashValue="n72Qhj4RDjuGB2bcHDtvVnqSIgk0Pk6wPs0DsNOPkgB+Z1JUeOKFmzR2nSRbzZX7Skr+pDFRfxdPg6Z2DT2N7Q==" saltValue="USfMRsIqs4tI4/gSv1O3BQ==" spinCount="100000" sheet="1" objects="1" scenarios="1" formatCells="0"/>
  <mergeCells count="692">
    <mergeCell ref="J341:K341"/>
    <mergeCell ref="A102:K102"/>
    <mergeCell ref="A262:K262"/>
    <mergeCell ref="J338:K338"/>
    <mergeCell ref="B339:C339"/>
    <mergeCell ref="J339:K339"/>
    <mergeCell ref="B340:C340"/>
    <mergeCell ref="J340:K340"/>
    <mergeCell ref="B331:C331"/>
    <mergeCell ref="J331:K331"/>
    <mergeCell ref="A332:K332"/>
    <mergeCell ref="B333:D333"/>
    <mergeCell ref="A334:A341"/>
    <mergeCell ref="B334:D334"/>
    <mergeCell ref="F335:I335"/>
    <mergeCell ref="J335:K335"/>
    <mergeCell ref="F336:I336"/>
    <mergeCell ref="J336:K336"/>
    <mergeCell ref="B337:D337"/>
    <mergeCell ref="E337:F337"/>
    <mergeCell ref="G337:I337"/>
    <mergeCell ref="J337:K337"/>
    <mergeCell ref="B338:C338"/>
    <mergeCell ref="G338:I341"/>
    <mergeCell ref="B330:C330"/>
    <mergeCell ref="J330:K330"/>
    <mergeCell ref="B321:C321"/>
    <mergeCell ref="J321:K321"/>
    <mergeCell ref="A322:K322"/>
    <mergeCell ref="B323:D323"/>
    <mergeCell ref="A324:A331"/>
    <mergeCell ref="B324:D324"/>
    <mergeCell ref="F325:I325"/>
    <mergeCell ref="J325:K325"/>
    <mergeCell ref="F326:I326"/>
    <mergeCell ref="J326:K326"/>
    <mergeCell ref="B327:D327"/>
    <mergeCell ref="E327:F327"/>
    <mergeCell ref="G327:I327"/>
    <mergeCell ref="J327:K327"/>
    <mergeCell ref="B328:C328"/>
    <mergeCell ref="G328:I331"/>
    <mergeCell ref="A314:A321"/>
    <mergeCell ref="B341:C341"/>
    <mergeCell ref="J318:K318"/>
    <mergeCell ref="B319:C319"/>
    <mergeCell ref="J319:K319"/>
    <mergeCell ref="B320:C320"/>
    <mergeCell ref="J320:K320"/>
    <mergeCell ref="J310:K310"/>
    <mergeCell ref="B311:C311"/>
    <mergeCell ref="J311:K311"/>
    <mergeCell ref="B313:D313"/>
    <mergeCell ref="B314:D314"/>
    <mergeCell ref="F315:I315"/>
    <mergeCell ref="J315:K315"/>
    <mergeCell ref="F316:I316"/>
    <mergeCell ref="J316:K316"/>
    <mergeCell ref="B317:D317"/>
    <mergeCell ref="E317:F317"/>
    <mergeCell ref="G317:I317"/>
    <mergeCell ref="J317:K317"/>
    <mergeCell ref="B318:C318"/>
    <mergeCell ref="G318:I321"/>
    <mergeCell ref="J328:K328"/>
    <mergeCell ref="B329:C329"/>
    <mergeCell ref="J329:K329"/>
    <mergeCell ref="A304:A311"/>
    <mergeCell ref="B304:D304"/>
    <mergeCell ref="F305:I305"/>
    <mergeCell ref="J305:K305"/>
    <mergeCell ref="F306:I306"/>
    <mergeCell ref="J306:K306"/>
    <mergeCell ref="B307:D307"/>
    <mergeCell ref="E307:F307"/>
    <mergeCell ref="G307:I307"/>
    <mergeCell ref="J307:K307"/>
    <mergeCell ref="B308:C308"/>
    <mergeCell ref="G308:I311"/>
    <mergeCell ref="J308:K308"/>
    <mergeCell ref="B309:C309"/>
    <mergeCell ref="J309:K309"/>
    <mergeCell ref="B310:C310"/>
    <mergeCell ref="J300:K300"/>
    <mergeCell ref="B301:C301"/>
    <mergeCell ref="J301:K301"/>
    <mergeCell ref="A302:K302"/>
    <mergeCell ref="B303:D303"/>
    <mergeCell ref="A294:A301"/>
    <mergeCell ref="B294:D294"/>
    <mergeCell ref="F295:I295"/>
    <mergeCell ref="J295:K295"/>
    <mergeCell ref="F296:I296"/>
    <mergeCell ref="J296:K296"/>
    <mergeCell ref="B297:D297"/>
    <mergeCell ref="E297:F297"/>
    <mergeCell ref="G297:I297"/>
    <mergeCell ref="J297:K297"/>
    <mergeCell ref="B298:C298"/>
    <mergeCell ref="G298:I301"/>
    <mergeCell ref="J298:K298"/>
    <mergeCell ref="B299:C299"/>
    <mergeCell ref="J299:K299"/>
    <mergeCell ref="B300:C300"/>
    <mergeCell ref="J290:K290"/>
    <mergeCell ref="B291:C291"/>
    <mergeCell ref="J291:K291"/>
    <mergeCell ref="A292:K292"/>
    <mergeCell ref="B293:D293"/>
    <mergeCell ref="A284:A291"/>
    <mergeCell ref="B284:D284"/>
    <mergeCell ref="F285:I285"/>
    <mergeCell ref="J285:K285"/>
    <mergeCell ref="F286:I286"/>
    <mergeCell ref="J286:K286"/>
    <mergeCell ref="B287:D287"/>
    <mergeCell ref="E287:F287"/>
    <mergeCell ref="G287:I287"/>
    <mergeCell ref="J287:K287"/>
    <mergeCell ref="B288:C288"/>
    <mergeCell ref="G288:I291"/>
    <mergeCell ref="J288:K288"/>
    <mergeCell ref="B289:C289"/>
    <mergeCell ref="J289:K289"/>
    <mergeCell ref="B290:C290"/>
    <mergeCell ref="J280:K280"/>
    <mergeCell ref="B281:C281"/>
    <mergeCell ref="J281:K281"/>
    <mergeCell ref="A282:K282"/>
    <mergeCell ref="B283:D283"/>
    <mergeCell ref="A274:A281"/>
    <mergeCell ref="B274:D274"/>
    <mergeCell ref="F275:I275"/>
    <mergeCell ref="J275:K275"/>
    <mergeCell ref="F276:I276"/>
    <mergeCell ref="J276:K276"/>
    <mergeCell ref="B277:D277"/>
    <mergeCell ref="E277:F277"/>
    <mergeCell ref="G277:I277"/>
    <mergeCell ref="J277:K277"/>
    <mergeCell ref="B278:C278"/>
    <mergeCell ref="G278:I281"/>
    <mergeCell ref="J278:K278"/>
    <mergeCell ref="B279:C279"/>
    <mergeCell ref="J279:K279"/>
    <mergeCell ref="B280:C280"/>
    <mergeCell ref="J270:K270"/>
    <mergeCell ref="B271:C271"/>
    <mergeCell ref="J271:K271"/>
    <mergeCell ref="A272:K272"/>
    <mergeCell ref="B273:D273"/>
    <mergeCell ref="A264:A271"/>
    <mergeCell ref="B264:D264"/>
    <mergeCell ref="F265:I265"/>
    <mergeCell ref="J265:K265"/>
    <mergeCell ref="F266:I266"/>
    <mergeCell ref="J266:K266"/>
    <mergeCell ref="B267:D267"/>
    <mergeCell ref="E267:F267"/>
    <mergeCell ref="G267:I267"/>
    <mergeCell ref="J267:K267"/>
    <mergeCell ref="B268:C268"/>
    <mergeCell ref="G268:I271"/>
    <mergeCell ref="J268:K268"/>
    <mergeCell ref="B269:C269"/>
    <mergeCell ref="J269:K269"/>
    <mergeCell ref="B270:C270"/>
    <mergeCell ref="B260:C260"/>
    <mergeCell ref="J260:K260"/>
    <mergeCell ref="B261:C261"/>
    <mergeCell ref="J261:K261"/>
    <mergeCell ref="B263:D263"/>
    <mergeCell ref="B253:D253"/>
    <mergeCell ref="A254:A261"/>
    <mergeCell ref="B254:D254"/>
    <mergeCell ref="F255:I255"/>
    <mergeCell ref="J255:K255"/>
    <mergeCell ref="F256:I256"/>
    <mergeCell ref="J256:K256"/>
    <mergeCell ref="B257:D257"/>
    <mergeCell ref="E257:F257"/>
    <mergeCell ref="G257:I257"/>
    <mergeCell ref="J257:K257"/>
    <mergeCell ref="B258:C258"/>
    <mergeCell ref="G258:I261"/>
    <mergeCell ref="J258:K258"/>
    <mergeCell ref="B259:C259"/>
    <mergeCell ref="J259:K259"/>
    <mergeCell ref="B250:C250"/>
    <mergeCell ref="J250:K250"/>
    <mergeCell ref="B251:C251"/>
    <mergeCell ref="J251:K251"/>
    <mergeCell ref="A252:K252"/>
    <mergeCell ref="B243:D243"/>
    <mergeCell ref="A244:A251"/>
    <mergeCell ref="B244:D244"/>
    <mergeCell ref="F245:I245"/>
    <mergeCell ref="J245:K245"/>
    <mergeCell ref="F246:I246"/>
    <mergeCell ref="J246:K246"/>
    <mergeCell ref="B247:D247"/>
    <mergeCell ref="E247:F247"/>
    <mergeCell ref="G247:I247"/>
    <mergeCell ref="J247:K247"/>
    <mergeCell ref="B248:C248"/>
    <mergeCell ref="G248:I251"/>
    <mergeCell ref="J248:K248"/>
    <mergeCell ref="B249:C249"/>
    <mergeCell ref="J249:K249"/>
    <mergeCell ref="B240:C240"/>
    <mergeCell ref="J240:K240"/>
    <mergeCell ref="B241:C241"/>
    <mergeCell ref="J241:K241"/>
    <mergeCell ref="A242:K242"/>
    <mergeCell ref="B233:D233"/>
    <mergeCell ref="A234:A241"/>
    <mergeCell ref="B234:D234"/>
    <mergeCell ref="F235:I235"/>
    <mergeCell ref="J235:K235"/>
    <mergeCell ref="F236:I236"/>
    <mergeCell ref="J236:K236"/>
    <mergeCell ref="B237:D237"/>
    <mergeCell ref="E237:F237"/>
    <mergeCell ref="G237:I237"/>
    <mergeCell ref="J237:K237"/>
    <mergeCell ref="B238:C238"/>
    <mergeCell ref="G238:I241"/>
    <mergeCell ref="J238:K238"/>
    <mergeCell ref="B239:C239"/>
    <mergeCell ref="J239:K239"/>
    <mergeCell ref="B230:C230"/>
    <mergeCell ref="J230:K230"/>
    <mergeCell ref="B231:C231"/>
    <mergeCell ref="J231:K231"/>
    <mergeCell ref="A232:K232"/>
    <mergeCell ref="B223:D223"/>
    <mergeCell ref="A224:A231"/>
    <mergeCell ref="B224:D224"/>
    <mergeCell ref="F225:I225"/>
    <mergeCell ref="J225:K225"/>
    <mergeCell ref="F226:I226"/>
    <mergeCell ref="J226:K226"/>
    <mergeCell ref="B227:D227"/>
    <mergeCell ref="E227:F227"/>
    <mergeCell ref="G227:I227"/>
    <mergeCell ref="J227:K227"/>
    <mergeCell ref="B228:C228"/>
    <mergeCell ref="G228:I231"/>
    <mergeCell ref="J228:K228"/>
    <mergeCell ref="B229:C229"/>
    <mergeCell ref="J229:K229"/>
    <mergeCell ref="B220:C220"/>
    <mergeCell ref="J220:K220"/>
    <mergeCell ref="B221:C221"/>
    <mergeCell ref="J221:K221"/>
    <mergeCell ref="A222:K222"/>
    <mergeCell ref="B213:D213"/>
    <mergeCell ref="A214:A221"/>
    <mergeCell ref="B214:D214"/>
    <mergeCell ref="F215:I215"/>
    <mergeCell ref="J215:K215"/>
    <mergeCell ref="F216:I216"/>
    <mergeCell ref="J216:K216"/>
    <mergeCell ref="B217:D217"/>
    <mergeCell ref="E217:F217"/>
    <mergeCell ref="G217:I217"/>
    <mergeCell ref="J217:K217"/>
    <mergeCell ref="B218:C218"/>
    <mergeCell ref="G218:I221"/>
    <mergeCell ref="J218:K218"/>
    <mergeCell ref="B219:C219"/>
    <mergeCell ref="J219:K219"/>
    <mergeCell ref="B210:C210"/>
    <mergeCell ref="J210:K210"/>
    <mergeCell ref="B211:C211"/>
    <mergeCell ref="J211:K211"/>
    <mergeCell ref="A212:K212"/>
    <mergeCell ref="B203:D203"/>
    <mergeCell ref="A204:A211"/>
    <mergeCell ref="B204:D204"/>
    <mergeCell ref="F205:I205"/>
    <mergeCell ref="J205:K205"/>
    <mergeCell ref="F206:I206"/>
    <mergeCell ref="J206:K206"/>
    <mergeCell ref="B207:D207"/>
    <mergeCell ref="E207:F207"/>
    <mergeCell ref="G207:I207"/>
    <mergeCell ref="J207:K207"/>
    <mergeCell ref="B208:C208"/>
    <mergeCell ref="G208:I211"/>
    <mergeCell ref="J208:K208"/>
    <mergeCell ref="B209:C209"/>
    <mergeCell ref="J209:K209"/>
    <mergeCell ref="B200:C200"/>
    <mergeCell ref="J200:K200"/>
    <mergeCell ref="B201:C201"/>
    <mergeCell ref="J201:K201"/>
    <mergeCell ref="A202:K202"/>
    <mergeCell ref="B193:D193"/>
    <mergeCell ref="A194:A201"/>
    <mergeCell ref="B194:D194"/>
    <mergeCell ref="F195:I195"/>
    <mergeCell ref="J195:K195"/>
    <mergeCell ref="F196:I196"/>
    <mergeCell ref="J196:K196"/>
    <mergeCell ref="B197:D197"/>
    <mergeCell ref="E197:F197"/>
    <mergeCell ref="G197:I197"/>
    <mergeCell ref="J197:K197"/>
    <mergeCell ref="B198:C198"/>
    <mergeCell ref="G198:I201"/>
    <mergeCell ref="J198:K198"/>
    <mergeCell ref="B199:C199"/>
    <mergeCell ref="J199:K199"/>
    <mergeCell ref="B190:C190"/>
    <mergeCell ref="J190:K190"/>
    <mergeCell ref="B191:C191"/>
    <mergeCell ref="J191:K191"/>
    <mergeCell ref="A192:K192"/>
    <mergeCell ref="B183:D183"/>
    <mergeCell ref="A184:A191"/>
    <mergeCell ref="B184:D184"/>
    <mergeCell ref="F185:I185"/>
    <mergeCell ref="J185:K185"/>
    <mergeCell ref="F186:I186"/>
    <mergeCell ref="J186:K186"/>
    <mergeCell ref="B187:D187"/>
    <mergeCell ref="E187:F187"/>
    <mergeCell ref="G187:I187"/>
    <mergeCell ref="J187:K187"/>
    <mergeCell ref="B188:C188"/>
    <mergeCell ref="G188:I191"/>
    <mergeCell ref="J188:K188"/>
    <mergeCell ref="B189:C189"/>
    <mergeCell ref="J189:K189"/>
    <mergeCell ref="B180:C180"/>
    <mergeCell ref="J180:K180"/>
    <mergeCell ref="B181:C181"/>
    <mergeCell ref="J181:K181"/>
    <mergeCell ref="A182:K182"/>
    <mergeCell ref="B173:D173"/>
    <mergeCell ref="A174:A181"/>
    <mergeCell ref="B174:D174"/>
    <mergeCell ref="F175:I175"/>
    <mergeCell ref="J175:K175"/>
    <mergeCell ref="F176:I176"/>
    <mergeCell ref="J176:K176"/>
    <mergeCell ref="B177:D177"/>
    <mergeCell ref="E177:F177"/>
    <mergeCell ref="G177:I177"/>
    <mergeCell ref="J177:K177"/>
    <mergeCell ref="B178:C178"/>
    <mergeCell ref="G178:I181"/>
    <mergeCell ref="J178:K178"/>
    <mergeCell ref="B179:C179"/>
    <mergeCell ref="J179:K179"/>
    <mergeCell ref="B170:C170"/>
    <mergeCell ref="J170:K170"/>
    <mergeCell ref="B171:C171"/>
    <mergeCell ref="J171:K171"/>
    <mergeCell ref="A172:K172"/>
    <mergeCell ref="B163:D163"/>
    <mergeCell ref="A164:A171"/>
    <mergeCell ref="B164:D164"/>
    <mergeCell ref="F165:I165"/>
    <mergeCell ref="J165:K165"/>
    <mergeCell ref="F166:I166"/>
    <mergeCell ref="J166:K166"/>
    <mergeCell ref="B167:D167"/>
    <mergeCell ref="E167:F167"/>
    <mergeCell ref="G167:I167"/>
    <mergeCell ref="J167:K167"/>
    <mergeCell ref="B168:C168"/>
    <mergeCell ref="G168:I171"/>
    <mergeCell ref="J168:K168"/>
    <mergeCell ref="B169:C169"/>
    <mergeCell ref="J169:K169"/>
    <mergeCell ref="B160:C160"/>
    <mergeCell ref="J160:K160"/>
    <mergeCell ref="B161:C161"/>
    <mergeCell ref="J161:K161"/>
    <mergeCell ref="A162:K162"/>
    <mergeCell ref="B153:D153"/>
    <mergeCell ref="A154:A161"/>
    <mergeCell ref="B154:D154"/>
    <mergeCell ref="F155:I155"/>
    <mergeCell ref="J155:K155"/>
    <mergeCell ref="F156:I156"/>
    <mergeCell ref="J156:K156"/>
    <mergeCell ref="B157:D157"/>
    <mergeCell ref="E157:F157"/>
    <mergeCell ref="G157:I157"/>
    <mergeCell ref="J157:K157"/>
    <mergeCell ref="B158:C158"/>
    <mergeCell ref="G158:I161"/>
    <mergeCell ref="J158:K158"/>
    <mergeCell ref="B159:C159"/>
    <mergeCell ref="J159:K159"/>
    <mergeCell ref="J149:K149"/>
    <mergeCell ref="B150:C150"/>
    <mergeCell ref="J150:K150"/>
    <mergeCell ref="B151:C151"/>
    <mergeCell ref="J151:K151"/>
    <mergeCell ref="A142:K142"/>
    <mergeCell ref="B143:D143"/>
    <mergeCell ref="A144:A151"/>
    <mergeCell ref="B144:D144"/>
    <mergeCell ref="F145:I145"/>
    <mergeCell ref="J145:K145"/>
    <mergeCell ref="F146:I146"/>
    <mergeCell ref="J146:K146"/>
    <mergeCell ref="B147:D147"/>
    <mergeCell ref="E147:F147"/>
    <mergeCell ref="G147:I147"/>
    <mergeCell ref="J147:K147"/>
    <mergeCell ref="B148:C148"/>
    <mergeCell ref="G148:I151"/>
    <mergeCell ref="J148:K148"/>
    <mergeCell ref="B149:C149"/>
    <mergeCell ref="J139:K139"/>
    <mergeCell ref="B140:C140"/>
    <mergeCell ref="J140:K140"/>
    <mergeCell ref="B141:C141"/>
    <mergeCell ref="J141:K141"/>
    <mergeCell ref="A132:K132"/>
    <mergeCell ref="B133:D133"/>
    <mergeCell ref="A134:A141"/>
    <mergeCell ref="B134:D134"/>
    <mergeCell ref="F135:I135"/>
    <mergeCell ref="J135:K135"/>
    <mergeCell ref="F136:I136"/>
    <mergeCell ref="J136:K136"/>
    <mergeCell ref="B137:D137"/>
    <mergeCell ref="E137:F137"/>
    <mergeCell ref="G137:I137"/>
    <mergeCell ref="J137:K137"/>
    <mergeCell ref="B138:C138"/>
    <mergeCell ref="G138:I141"/>
    <mergeCell ref="J138:K138"/>
    <mergeCell ref="B139:C139"/>
    <mergeCell ref="J129:K129"/>
    <mergeCell ref="B130:C130"/>
    <mergeCell ref="J130:K130"/>
    <mergeCell ref="B131:C131"/>
    <mergeCell ref="J131:K131"/>
    <mergeCell ref="B121:C121"/>
    <mergeCell ref="J121:K121"/>
    <mergeCell ref="A122:K122"/>
    <mergeCell ref="B123:D123"/>
    <mergeCell ref="A124:A131"/>
    <mergeCell ref="B124:D124"/>
    <mergeCell ref="J125:K125"/>
    <mergeCell ref="J126:K126"/>
    <mergeCell ref="B127:D127"/>
    <mergeCell ref="E127:F127"/>
    <mergeCell ref="G127:I127"/>
    <mergeCell ref="J127:K127"/>
    <mergeCell ref="B128:C128"/>
    <mergeCell ref="G128:I131"/>
    <mergeCell ref="J128:K128"/>
    <mergeCell ref="B129:C129"/>
    <mergeCell ref="J118:K118"/>
    <mergeCell ref="B119:C119"/>
    <mergeCell ref="J119:K119"/>
    <mergeCell ref="B120:C120"/>
    <mergeCell ref="J120:K120"/>
    <mergeCell ref="B111:C111"/>
    <mergeCell ref="J111:K111"/>
    <mergeCell ref="A112:K112"/>
    <mergeCell ref="B113:D113"/>
    <mergeCell ref="A114:A121"/>
    <mergeCell ref="B114:D114"/>
    <mergeCell ref="F115:I115"/>
    <mergeCell ref="J115:K115"/>
    <mergeCell ref="F116:I116"/>
    <mergeCell ref="J116:K116"/>
    <mergeCell ref="B117:D117"/>
    <mergeCell ref="E117:F117"/>
    <mergeCell ref="G117:I117"/>
    <mergeCell ref="J117:K117"/>
    <mergeCell ref="B118:C118"/>
    <mergeCell ref="G118:I121"/>
    <mergeCell ref="A104:A111"/>
    <mergeCell ref="J108:K108"/>
    <mergeCell ref="B109:C109"/>
    <mergeCell ref="J109:K109"/>
    <mergeCell ref="B110:C110"/>
    <mergeCell ref="J110:K110"/>
    <mergeCell ref="J100:K100"/>
    <mergeCell ref="B101:C101"/>
    <mergeCell ref="J101:K101"/>
    <mergeCell ref="B103:D103"/>
    <mergeCell ref="B104:D104"/>
    <mergeCell ref="F105:I105"/>
    <mergeCell ref="J105:K105"/>
    <mergeCell ref="F106:I106"/>
    <mergeCell ref="J106:K106"/>
    <mergeCell ref="B107:D107"/>
    <mergeCell ref="E107:F107"/>
    <mergeCell ref="G107:I107"/>
    <mergeCell ref="J107:K107"/>
    <mergeCell ref="B108:C108"/>
    <mergeCell ref="G108:I111"/>
    <mergeCell ref="A94:A101"/>
    <mergeCell ref="B94:D94"/>
    <mergeCell ref="F95:I95"/>
    <mergeCell ref="J95:K95"/>
    <mergeCell ref="F96:I96"/>
    <mergeCell ref="J96:K96"/>
    <mergeCell ref="B97:D97"/>
    <mergeCell ref="E97:F97"/>
    <mergeCell ref="G97:I97"/>
    <mergeCell ref="J97:K97"/>
    <mergeCell ref="B98:C98"/>
    <mergeCell ref="G98:I101"/>
    <mergeCell ref="J98:K98"/>
    <mergeCell ref="B99:C99"/>
    <mergeCell ref="J99:K99"/>
    <mergeCell ref="B100:C100"/>
    <mergeCell ref="J90:K90"/>
    <mergeCell ref="B91:C91"/>
    <mergeCell ref="J91:K91"/>
    <mergeCell ref="A92:K92"/>
    <mergeCell ref="B93:D93"/>
    <mergeCell ref="A84:A91"/>
    <mergeCell ref="B84:D84"/>
    <mergeCell ref="F85:I85"/>
    <mergeCell ref="J85:K85"/>
    <mergeCell ref="F86:I86"/>
    <mergeCell ref="J86:K86"/>
    <mergeCell ref="B87:D87"/>
    <mergeCell ref="E87:F87"/>
    <mergeCell ref="G87:I87"/>
    <mergeCell ref="J87:K87"/>
    <mergeCell ref="B88:C88"/>
    <mergeCell ref="G88:I91"/>
    <mergeCell ref="J88:K88"/>
    <mergeCell ref="B89:C89"/>
    <mergeCell ref="J89:K89"/>
    <mergeCell ref="B90:C90"/>
    <mergeCell ref="J80:K80"/>
    <mergeCell ref="B81:C81"/>
    <mergeCell ref="J81:K81"/>
    <mergeCell ref="A82:K82"/>
    <mergeCell ref="B83:D83"/>
    <mergeCell ref="A74:A81"/>
    <mergeCell ref="B74:D74"/>
    <mergeCell ref="F75:I75"/>
    <mergeCell ref="J75:K75"/>
    <mergeCell ref="F76:I76"/>
    <mergeCell ref="J76:K76"/>
    <mergeCell ref="B77:D77"/>
    <mergeCell ref="E77:F77"/>
    <mergeCell ref="G77:I77"/>
    <mergeCell ref="J77:K77"/>
    <mergeCell ref="B78:C78"/>
    <mergeCell ref="G78:I81"/>
    <mergeCell ref="J78:K78"/>
    <mergeCell ref="B79:C79"/>
    <mergeCell ref="J79:K79"/>
    <mergeCell ref="B80:C80"/>
    <mergeCell ref="J70:K70"/>
    <mergeCell ref="B71:C71"/>
    <mergeCell ref="J71:K71"/>
    <mergeCell ref="A72:K72"/>
    <mergeCell ref="B73:D73"/>
    <mergeCell ref="A64:A71"/>
    <mergeCell ref="B64:D64"/>
    <mergeCell ref="F65:I65"/>
    <mergeCell ref="J65:K65"/>
    <mergeCell ref="F66:I66"/>
    <mergeCell ref="J66:K66"/>
    <mergeCell ref="B67:D67"/>
    <mergeCell ref="E67:F67"/>
    <mergeCell ref="G67:I67"/>
    <mergeCell ref="J67:K67"/>
    <mergeCell ref="B68:C68"/>
    <mergeCell ref="G68:I71"/>
    <mergeCell ref="J68:K68"/>
    <mergeCell ref="B69:C69"/>
    <mergeCell ref="J69:K69"/>
    <mergeCell ref="B70:C70"/>
    <mergeCell ref="J60:K60"/>
    <mergeCell ref="B61:C61"/>
    <mergeCell ref="J61:K61"/>
    <mergeCell ref="A62:K62"/>
    <mergeCell ref="B63:D63"/>
    <mergeCell ref="A54:A61"/>
    <mergeCell ref="B54:D54"/>
    <mergeCell ref="F55:I55"/>
    <mergeCell ref="J55:K55"/>
    <mergeCell ref="F56:I56"/>
    <mergeCell ref="J56:K56"/>
    <mergeCell ref="B57:D57"/>
    <mergeCell ref="E57:F57"/>
    <mergeCell ref="G57:I57"/>
    <mergeCell ref="J57:K57"/>
    <mergeCell ref="B58:C58"/>
    <mergeCell ref="G58:I61"/>
    <mergeCell ref="J58:K58"/>
    <mergeCell ref="B59:C59"/>
    <mergeCell ref="J59:K59"/>
    <mergeCell ref="B60:C60"/>
    <mergeCell ref="J50:K50"/>
    <mergeCell ref="B51:C51"/>
    <mergeCell ref="J51:K51"/>
    <mergeCell ref="A52:K52"/>
    <mergeCell ref="B53:D53"/>
    <mergeCell ref="A44:A51"/>
    <mergeCell ref="B44:D44"/>
    <mergeCell ref="F45:I45"/>
    <mergeCell ref="J45:K45"/>
    <mergeCell ref="F46:I46"/>
    <mergeCell ref="J46:K46"/>
    <mergeCell ref="B47:D47"/>
    <mergeCell ref="E47:F47"/>
    <mergeCell ref="G47:I47"/>
    <mergeCell ref="J47:K47"/>
    <mergeCell ref="B48:C48"/>
    <mergeCell ref="G48:I51"/>
    <mergeCell ref="J48:K48"/>
    <mergeCell ref="B49:C49"/>
    <mergeCell ref="J49:K49"/>
    <mergeCell ref="B50:C50"/>
    <mergeCell ref="A39:D39"/>
    <mergeCell ref="F39:H39"/>
    <mergeCell ref="I39:K39"/>
    <mergeCell ref="A40:K40"/>
    <mergeCell ref="B43:D43"/>
    <mergeCell ref="A36:A38"/>
    <mergeCell ref="B36:C36"/>
    <mergeCell ref="F36:H36"/>
    <mergeCell ref="B37:C37"/>
    <mergeCell ref="F37:H37"/>
    <mergeCell ref="B38:C38"/>
    <mergeCell ref="F38:H38"/>
    <mergeCell ref="J29:K38"/>
    <mergeCell ref="B30:D30"/>
    <mergeCell ref="F30:H30"/>
    <mergeCell ref="B31:D31"/>
    <mergeCell ref="F31:H31"/>
    <mergeCell ref="B32:D32"/>
    <mergeCell ref="E32:E38"/>
    <mergeCell ref="F32:H32"/>
    <mergeCell ref="B33:D33"/>
    <mergeCell ref="F33:H33"/>
    <mergeCell ref="B34:D34"/>
    <mergeCell ref="F34:H34"/>
    <mergeCell ref="A14:D14"/>
    <mergeCell ref="E14:H14"/>
    <mergeCell ref="B16:D16"/>
    <mergeCell ref="B35:D35"/>
    <mergeCell ref="F35:H35"/>
    <mergeCell ref="F16:H16"/>
    <mergeCell ref="B17:D17"/>
    <mergeCell ref="F17:H17"/>
    <mergeCell ref="B24:D24"/>
    <mergeCell ref="F24:H24"/>
    <mergeCell ref="B25:D25"/>
    <mergeCell ref="F25:H25"/>
    <mergeCell ref="B29:D29"/>
    <mergeCell ref="F29:H29"/>
    <mergeCell ref="B21:D21"/>
    <mergeCell ref="F21:H21"/>
    <mergeCell ref="B22:D22"/>
    <mergeCell ref="F22:H22"/>
    <mergeCell ref="B23:D23"/>
    <mergeCell ref="F23:H23"/>
    <mergeCell ref="I24:K24"/>
    <mergeCell ref="I22:K22"/>
    <mergeCell ref="I23:K23"/>
    <mergeCell ref="I25:K25"/>
    <mergeCell ref="B11:D11"/>
    <mergeCell ref="B12:D12"/>
    <mergeCell ref="A1:D1"/>
    <mergeCell ref="A2:D2"/>
    <mergeCell ref="B7:D7"/>
    <mergeCell ref="F7:H7"/>
    <mergeCell ref="B8:D8"/>
    <mergeCell ref="B9:D9"/>
    <mergeCell ref="B10:D10"/>
    <mergeCell ref="F8:H8"/>
    <mergeCell ref="F9:H9"/>
    <mergeCell ref="F10:H10"/>
    <mergeCell ref="E11:H12"/>
    <mergeCell ref="A13:H13"/>
    <mergeCell ref="B18:D18"/>
    <mergeCell ref="F18:H18"/>
    <mergeCell ref="B19:D19"/>
    <mergeCell ref="F19:H19"/>
    <mergeCell ref="B20:D20"/>
    <mergeCell ref="F20:H20"/>
  </mergeCells>
  <dataValidations count="15">
    <dataValidation type="list" allowBlank="1" showInputMessage="1" showErrorMessage="1" sqref="IN8 SJ8 ACF8 AMB8 AVX8 BFT8 BPP8 BZL8 CJH8 CTD8 DCZ8 DMV8 DWR8 EGN8 EQJ8 FAF8 FKB8 FTX8 GDT8 GNP8 GXL8 HHH8 HRD8 IAZ8 IKV8 IUR8 JEN8 JOJ8 JYF8 KIB8 KRX8 LBT8 LLP8 LVL8 MFH8 MPD8 MYZ8 NIV8 NSR8 OCN8 OMJ8 OWF8 PGB8 PPX8 PZT8 QJP8 QTL8 RDH8 RND8 RWZ8 SGV8 SQR8 TAN8 TKJ8 TUF8 UEB8 UNX8 UXT8 VHP8 VRL8 WBH8 WLD8 WUZ8 IN65545 SJ65545 ACF65545 AMB65545 AVX65545 BFT65545 BPP65545 BZL65545 CJH65545 CTD65545 DCZ65545 DMV65545 DWR65545 EGN65545 EQJ65545 FAF65545 FKB65545 FTX65545 GDT65545 GNP65545 GXL65545 HHH65545 HRD65545 IAZ65545 IKV65545 IUR65545 JEN65545 JOJ65545 JYF65545 KIB65545 KRX65545 LBT65545 LLP65545 LVL65545 MFH65545 MPD65545 MYZ65545 NIV65545 NSR65545 OCN65545 OMJ65545 OWF65545 PGB65545 PPX65545 PZT65545 QJP65545 QTL65545 RDH65545 RND65545 RWZ65545 SGV65545 SQR65545 TAN65545 TKJ65545 TUF65545 UEB65545 UNX65545 UXT65545 VHP65545 VRL65545 WBH65545 WLD65545 WUZ65545 IN131081 SJ131081 ACF131081 AMB131081 AVX131081 BFT131081 BPP131081 BZL131081 CJH131081 CTD131081 DCZ131081 DMV131081 DWR131081 EGN131081 EQJ131081 FAF131081 FKB131081 FTX131081 GDT131081 GNP131081 GXL131081 HHH131081 HRD131081 IAZ131081 IKV131081 IUR131081 JEN131081 JOJ131081 JYF131081 KIB131081 KRX131081 LBT131081 LLP131081 LVL131081 MFH131081 MPD131081 MYZ131081 NIV131081 NSR131081 OCN131081 OMJ131081 OWF131081 PGB131081 PPX131081 PZT131081 QJP131081 QTL131081 RDH131081 RND131081 RWZ131081 SGV131081 SQR131081 TAN131081 TKJ131081 TUF131081 UEB131081 UNX131081 UXT131081 VHP131081 VRL131081 WBH131081 WLD131081 WUZ131081 IN196617 SJ196617 ACF196617 AMB196617 AVX196617 BFT196617 BPP196617 BZL196617 CJH196617 CTD196617 DCZ196617 DMV196617 DWR196617 EGN196617 EQJ196617 FAF196617 FKB196617 FTX196617 GDT196617 GNP196617 GXL196617 HHH196617 HRD196617 IAZ196617 IKV196617 IUR196617 JEN196617 JOJ196617 JYF196617 KIB196617 KRX196617 LBT196617 LLP196617 LVL196617 MFH196617 MPD196617 MYZ196617 NIV196617 NSR196617 OCN196617 OMJ196617 OWF196617 PGB196617 PPX196617 PZT196617 QJP196617 QTL196617 RDH196617 RND196617 RWZ196617 SGV196617 SQR196617 TAN196617 TKJ196617 TUF196617 UEB196617 UNX196617 UXT196617 VHP196617 VRL196617 WBH196617 WLD196617 WUZ196617 IN262153 SJ262153 ACF262153 AMB262153 AVX262153 BFT262153 BPP262153 BZL262153 CJH262153 CTD262153 DCZ262153 DMV262153 DWR262153 EGN262153 EQJ262153 FAF262153 FKB262153 FTX262153 GDT262153 GNP262153 GXL262153 HHH262153 HRD262153 IAZ262153 IKV262153 IUR262153 JEN262153 JOJ262153 JYF262153 KIB262153 KRX262153 LBT262153 LLP262153 LVL262153 MFH262153 MPD262153 MYZ262153 NIV262153 NSR262153 OCN262153 OMJ262153 OWF262153 PGB262153 PPX262153 PZT262153 QJP262153 QTL262153 RDH262153 RND262153 RWZ262153 SGV262153 SQR262153 TAN262153 TKJ262153 TUF262153 UEB262153 UNX262153 UXT262153 VHP262153 VRL262153 WBH262153 WLD262153 WUZ262153 IN327689 SJ327689 ACF327689 AMB327689 AVX327689 BFT327689 BPP327689 BZL327689 CJH327689 CTD327689 DCZ327689 DMV327689 DWR327689 EGN327689 EQJ327689 FAF327689 FKB327689 FTX327689 GDT327689 GNP327689 GXL327689 HHH327689 HRD327689 IAZ327689 IKV327689 IUR327689 JEN327689 JOJ327689 JYF327689 KIB327689 KRX327689 LBT327689 LLP327689 LVL327689 MFH327689 MPD327689 MYZ327689 NIV327689 NSR327689 OCN327689 OMJ327689 OWF327689 PGB327689 PPX327689 PZT327689 QJP327689 QTL327689 RDH327689 RND327689 RWZ327689 SGV327689 SQR327689 TAN327689 TKJ327689 TUF327689 UEB327689 UNX327689 UXT327689 VHP327689 VRL327689 WBH327689 WLD327689 WUZ327689 IN393225 SJ393225 ACF393225 AMB393225 AVX393225 BFT393225 BPP393225 BZL393225 CJH393225 CTD393225 DCZ393225 DMV393225 DWR393225 EGN393225 EQJ393225 FAF393225 FKB393225 FTX393225 GDT393225 GNP393225 GXL393225 HHH393225 HRD393225 IAZ393225 IKV393225 IUR393225 JEN393225 JOJ393225 JYF393225 KIB393225 KRX393225 LBT393225 LLP393225 LVL393225 MFH393225 MPD393225 MYZ393225 NIV393225 NSR393225 OCN393225 OMJ393225 OWF393225 PGB393225 PPX393225 PZT393225 QJP393225 QTL393225 RDH393225 RND393225 RWZ393225 SGV393225 SQR393225 TAN393225 TKJ393225 TUF393225 UEB393225 UNX393225 UXT393225 VHP393225 VRL393225 WBH393225 WLD393225 WUZ393225 IN458761 SJ458761 ACF458761 AMB458761 AVX458761 BFT458761 BPP458761 BZL458761 CJH458761 CTD458761 DCZ458761 DMV458761 DWR458761 EGN458761 EQJ458761 FAF458761 FKB458761 FTX458761 GDT458761 GNP458761 GXL458761 HHH458761 HRD458761 IAZ458761 IKV458761 IUR458761 JEN458761 JOJ458761 JYF458761 KIB458761 KRX458761 LBT458761 LLP458761 LVL458761 MFH458761 MPD458761 MYZ458761 NIV458761 NSR458761 OCN458761 OMJ458761 OWF458761 PGB458761 PPX458761 PZT458761 QJP458761 QTL458761 RDH458761 RND458761 RWZ458761 SGV458761 SQR458761 TAN458761 TKJ458761 TUF458761 UEB458761 UNX458761 UXT458761 VHP458761 VRL458761 WBH458761 WLD458761 WUZ458761 IN524297 SJ524297 ACF524297 AMB524297 AVX524297 BFT524297 BPP524297 BZL524297 CJH524297 CTD524297 DCZ524297 DMV524297 DWR524297 EGN524297 EQJ524297 FAF524297 FKB524297 FTX524297 GDT524297 GNP524297 GXL524297 HHH524297 HRD524297 IAZ524297 IKV524297 IUR524297 JEN524297 JOJ524297 JYF524297 KIB524297 KRX524297 LBT524297 LLP524297 LVL524297 MFH524297 MPD524297 MYZ524297 NIV524297 NSR524297 OCN524297 OMJ524297 OWF524297 PGB524297 PPX524297 PZT524297 QJP524297 QTL524297 RDH524297 RND524297 RWZ524297 SGV524297 SQR524297 TAN524297 TKJ524297 TUF524297 UEB524297 UNX524297 UXT524297 VHP524297 VRL524297 WBH524297 WLD524297 WUZ524297 IN589833 SJ589833 ACF589833 AMB589833 AVX589833 BFT589833 BPP589833 BZL589833 CJH589833 CTD589833 DCZ589833 DMV589833 DWR589833 EGN589833 EQJ589833 FAF589833 FKB589833 FTX589833 GDT589833 GNP589833 GXL589833 HHH589833 HRD589833 IAZ589833 IKV589833 IUR589833 JEN589833 JOJ589833 JYF589833 KIB589833 KRX589833 LBT589833 LLP589833 LVL589833 MFH589833 MPD589833 MYZ589833 NIV589833 NSR589833 OCN589833 OMJ589833 OWF589833 PGB589833 PPX589833 PZT589833 QJP589833 QTL589833 RDH589833 RND589833 RWZ589833 SGV589833 SQR589833 TAN589833 TKJ589833 TUF589833 UEB589833 UNX589833 UXT589833 VHP589833 VRL589833 WBH589833 WLD589833 WUZ589833 IN655369 SJ655369 ACF655369 AMB655369 AVX655369 BFT655369 BPP655369 BZL655369 CJH655369 CTD655369 DCZ655369 DMV655369 DWR655369 EGN655369 EQJ655369 FAF655369 FKB655369 FTX655369 GDT655369 GNP655369 GXL655369 HHH655369 HRD655369 IAZ655369 IKV655369 IUR655369 JEN655369 JOJ655369 JYF655369 KIB655369 KRX655369 LBT655369 LLP655369 LVL655369 MFH655369 MPD655369 MYZ655369 NIV655369 NSR655369 OCN655369 OMJ655369 OWF655369 PGB655369 PPX655369 PZT655369 QJP655369 QTL655369 RDH655369 RND655369 RWZ655369 SGV655369 SQR655369 TAN655369 TKJ655369 TUF655369 UEB655369 UNX655369 UXT655369 VHP655369 VRL655369 WBH655369 WLD655369 WUZ655369 IN720905 SJ720905 ACF720905 AMB720905 AVX720905 BFT720905 BPP720905 BZL720905 CJH720905 CTD720905 DCZ720905 DMV720905 DWR720905 EGN720905 EQJ720905 FAF720905 FKB720905 FTX720905 GDT720905 GNP720905 GXL720905 HHH720905 HRD720905 IAZ720905 IKV720905 IUR720905 JEN720905 JOJ720905 JYF720905 KIB720905 KRX720905 LBT720905 LLP720905 LVL720905 MFH720905 MPD720905 MYZ720905 NIV720905 NSR720905 OCN720905 OMJ720905 OWF720905 PGB720905 PPX720905 PZT720905 QJP720905 QTL720905 RDH720905 RND720905 RWZ720905 SGV720905 SQR720905 TAN720905 TKJ720905 TUF720905 UEB720905 UNX720905 UXT720905 VHP720905 VRL720905 WBH720905 WLD720905 WUZ720905 IN786441 SJ786441 ACF786441 AMB786441 AVX786441 BFT786441 BPP786441 BZL786441 CJH786441 CTD786441 DCZ786441 DMV786441 DWR786441 EGN786441 EQJ786441 FAF786441 FKB786441 FTX786441 GDT786441 GNP786441 GXL786441 HHH786441 HRD786441 IAZ786441 IKV786441 IUR786441 JEN786441 JOJ786441 JYF786441 KIB786441 KRX786441 LBT786441 LLP786441 LVL786441 MFH786441 MPD786441 MYZ786441 NIV786441 NSR786441 OCN786441 OMJ786441 OWF786441 PGB786441 PPX786441 PZT786441 QJP786441 QTL786441 RDH786441 RND786441 RWZ786441 SGV786441 SQR786441 TAN786441 TKJ786441 TUF786441 UEB786441 UNX786441 UXT786441 VHP786441 VRL786441 WBH786441 WLD786441 WUZ786441 IN851977 SJ851977 ACF851977 AMB851977 AVX851977 BFT851977 BPP851977 BZL851977 CJH851977 CTD851977 DCZ851977 DMV851977 DWR851977 EGN851977 EQJ851977 FAF851977 FKB851977 FTX851977 GDT851977 GNP851977 GXL851977 HHH851977 HRD851977 IAZ851977 IKV851977 IUR851977 JEN851977 JOJ851977 JYF851977 KIB851977 KRX851977 LBT851977 LLP851977 LVL851977 MFH851977 MPD851977 MYZ851977 NIV851977 NSR851977 OCN851977 OMJ851977 OWF851977 PGB851977 PPX851977 PZT851977 QJP851977 QTL851977 RDH851977 RND851977 RWZ851977 SGV851977 SQR851977 TAN851977 TKJ851977 TUF851977 UEB851977 UNX851977 UXT851977 VHP851977 VRL851977 WBH851977 WLD851977 WUZ851977 IN917513 SJ917513 ACF917513 AMB917513 AVX917513 BFT917513 BPP917513 BZL917513 CJH917513 CTD917513 DCZ917513 DMV917513 DWR917513 EGN917513 EQJ917513 FAF917513 FKB917513 FTX917513 GDT917513 GNP917513 GXL917513 HHH917513 HRD917513 IAZ917513 IKV917513 IUR917513 JEN917513 JOJ917513 JYF917513 KIB917513 KRX917513 LBT917513 LLP917513 LVL917513 MFH917513 MPD917513 MYZ917513 NIV917513 NSR917513 OCN917513 OMJ917513 OWF917513 PGB917513 PPX917513 PZT917513 QJP917513 QTL917513 RDH917513 RND917513 RWZ917513 SGV917513 SQR917513 TAN917513 TKJ917513 TUF917513 UEB917513 UNX917513 UXT917513 VHP917513 VRL917513 WBH917513 WLD917513 WUZ917513 IN983049 SJ983049 ACF983049 AMB983049 AVX983049 BFT983049 BPP983049 BZL983049 CJH983049 CTD983049 DCZ983049 DMV983049 DWR983049 EGN983049 EQJ983049 FAF983049 FKB983049 FTX983049 GDT983049 GNP983049 GXL983049 HHH983049 HRD983049 IAZ983049 IKV983049 IUR983049 JEN983049 JOJ983049 JYF983049 KIB983049 KRX983049 LBT983049 LLP983049 LVL983049 MFH983049 MPD983049 MYZ983049 NIV983049 NSR983049 OCN983049 OMJ983049 OWF983049 PGB983049 PPX983049 PZT983049 QJP983049 QTL983049 RDH983049 RND983049 RWZ983049 SGV983049 SQR983049 TAN983049 TKJ983049 TUF983049 UEB983049 UNX983049 UXT983049 VHP983049 VRL983049 WBH983049 WLD983049 WUZ983049 F983049 F917513 F851977 F786441 F720905 F655369 F589833 F524297 F458761 F393225 F327689 F262153 F196617 F131081 F65545 F8">
      <formula1>TMDLanguage</formula1>
    </dataValidation>
    <dataValidation type="list" allowBlank="1" showInputMessage="1" showErrorMessage="1" sqref="IJ29:IL29 SF29:SH29 ACB29:ACD29 ALX29:ALZ29 AVT29:AVV29 BFP29:BFR29 BPL29:BPN29 BZH29:BZJ29 CJD29:CJF29 CSZ29:CTB29 DCV29:DCX29 DMR29:DMT29 DWN29:DWP29 EGJ29:EGL29 EQF29:EQH29 FAB29:FAD29 FJX29:FJZ29 FTT29:FTV29 GDP29:GDR29 GNL29:GNN29 GXH29:GXJ29 HHD29:HHF29 HQZ29:HRB29 IAV29:IAX29 IKR29:IKT29 IUN29:IUP29 JEJ29:JEL29 JOF29:JOH29 JYB29:JYD29 KHX29:KHZ29 KRT29:KRV29 LBP29:LBR29 LLL29:LLN29 LVH29:LVJ29 MFD29:MFF29 MOZ29:MPB29 MYV29:MYX29 NIR29:NIT29 NSN29:NSP29 OCJ29:OCL29 OMF29:OMH29 OWB29:OWD29 PFX29:PFZ29 PPT29:PPV29 PZP29:PZR29 QJL29:QJN29 QTH29:QTJ29 RDD29:RDF29 RMZ29:RNB29 RWV29:RWX29 SGR29:SGT29 SQN29:SQP29 TAJ29:TAL29 TKF29:TKH29 TUB29:TUD29 UDX29:UDZ29 UNT29:UNV29 UXP29:UXR29 VHL29:VHN29 VRH29:VRJ29 WBD29:WBF29 WKZ29:WLB29 WUV29:WUX29 IJ65566:IL65566 SF65566:SH65566 ACB65566:ACD65566 ALX65566:ALZ65566 AVT65566:AVV65566 BFP65566:BFR65566 BPL65566:BPN65566 BZH65566:BZJ65566 CJD65566:CJF65566 CSZ65566:CTB65566 DCV65566:DCX65566 DMR65566:DMT65566 DWN65566:DWP65566 EGJ65566:EGL65566 EQF65566:EQH65566 FAB65566:FAD65566 FJX65566:FJZ65566 FTT65566:FTV65566 GDP65566:GDR65566 GNL65566:GNN65566 GXH65566:GXJ65566 HHD65566:HHF65566 HQZ65566:HRB65566 IAV65566:IAX65566 IKR65566:IKT65566 IUN65566:IUP65566 JEJ65566:JEL65566 JOF65566:JOH65566 JYB65566:JYD65566 KHX65566:KHZ65566 KRT65566:KRV65566 LBP65566:LBR65566 LLL65566:LLN65566 LVH65566:LVJ65566 MFD65566:MFF65566 MOZ65566:MPB65566 MYV65566:MYX65566 NIR65566:NIT65566 NSN65566:NSP65566 OCJ65566:OCL65566 OMF65566:OMH65566 OWB65566:OWD65566 PFX65566:PFZ65566 PPT65566:PPV65566 PZP65566:PZR65566 QJL65566:QJN65566 QTH65566:QTJ65566 RDD65566:RDF65566 RMZ65566:RNB65566 RWV65566:RWX65566 SGR65566:SGT65566 SQN65566:SQP65566 TAJ65566:TAL65566 TKF65566:TKH65566 TUB65566:TUD65566 UDX65566:UDZ65566 UNT65566:UNV65566 UXP65566:UXR65566 VHL65566:VHN65566 VRH65566:VRJ65566 WBD65566:WBF65566 WKZ65566:WLB65566 WUV65566:WUX65566 IJ131102:IL131102 SF131102:SH131102 ACB131102:ACD131102 ALX131102:ALZ131102 AVT131102:AVV131102 BFP131102:BFR131102 BPL131102:BPN131102 BZH131102:BZJ131102 CJD131102:CJF131102 CSZ131102:CTB131102 DCV131102:DCX131102 DMR131102:DMT131102 DWN131102:DWP131102 EGJ131102:EGL131102 EQF131102:EQH131102 FAB131102:FAD131102 FJX131102:FJZ131102 FTT131102:FTV131102 GDP131102:GDR131102 GNL131102:GNN131102 GXH131102:GXJ131102 HHD131102:HHF131102 HQZ131102:HRB131102 IAV131102:IAX131102 IKR131102:IKT131102 IUN131102:IUP131102 JEJ131102:JEL131102 JOF131102:JOH131102 JYB131102:JYD131102 KHX131102:KHZ131102 KRT131102:KRV131102 LBP131102:LBR131102 LLL131102:LLN131102 LVH131102:LVJ131102 MFD131102:MFF131102 MOZ131102:MPB131102 MYV131102:MYX131102 NIR131102:NIT131102 NSN131102:NSP131102 OCJ131102:OCL131102 OMF131102:OMH131102 OWB131102:OWD131102 PFX131102:PFZ131102 PPT131102:PPV131102 PZP131102:PZR131102 QJL131102:QJN131102 QTH131102:QTJ131102 RDD131102:RDF131102 RMZ131102:RNB131102 RWV131102:RWX131102 SGR131102:SGT131102 SQN131102:SQP131102 TAJ131102:TAL131102 TKF131102:TKH131102 TUB131102:TUD131102 UDX131102:UDZ131102 UNT131102:UNV131102 UXP131102:UXR131102 VHL131102:VHN131102 VRH131102:VRJ131102 WBD131102:WBF131102 WKZ131102:WLB131102 WUV131102:WUX131102 IJ196638:IL196638 SF196638:SH196638 ACB196638:ACD196638 ALX196638:ALZ196638 AVT196638:AVV196638 BFP196638:BFR196638 BPL196638:BPN196638 BZH196638:BZJ196638 CJD196638:CJF196638 CSZ196638:CTB196638 DCV196638:DCX196638 DMR196638:DMT196638 DWN196638:DWP196638 EGJ196638:EGL196638 EQF196638:EQH196638 FAB196638:FAD196638 FJX196638:FJZ196638 FTT196638:FTV196638 GDP196638:GDR196638 GNL196638:GNN196638 GXH196638:GXJ196638 HHD196638:HHF196638 HQZ196638:HRB196638 IAV196638:IAX196638 IKR196638:IKT196638 IUN196638:IUP196638 JEJ196638:JEL196638 JOF196638:JOH196638 JYB196638:JYD196638 KHX196638:KHZ196638 KRT196638:KRV196638 LBP196638:LBR196638 LLL196638:LLN196638 LVH196638:LVJ196638 MFD196638:MFF196638 MOZ196638:MPB196638 MYV196638:MYX196638 NIR196638:NIT196638 NSN196638:NSP196638 OCJ196638:OCL196638 OMF196638:OMH196638 OWB196638:OWD196638 PFX196638:PFZ196638 PPT196638:PPV196638 PZP196638:PZR196638 QJL196638:QJN196638 QTH196638:QTJ196638 RDD196638:RDF196638 RMZ196638:RNB196638 RWV196638:RWX196638 SGR196638:SGT196638 SQN196638:SQP196638 TAJ196638:TAL196638 TKF196638:TKH196638 TUB196638:TUD196638 UDX196638:UDZ196638 UNT196638:UNV196638 UXP196638:UXR196638 VHL196638:VHN196638 VRH196638:VRJ196638 WBD196638:WBF196638 WKZ196638:WLB196638 WUV196638:WUX196638 IJ262174:IL262174 SF262174:SH262174 ACB262174:ACD262174 ALX262174:ALZ262174 AVT262174:AVV262174 BFP262174:BFR262174 BPL262174:BPN262174 BZH262174:BZJ262174 CJD262174:CJF262174 CSZ262174:CTB262174 DCV262174:DCX262174 DMR262174:DMT262174 DWN262174:DWP262174 EGJ262174:EGL262174 EQF262174:EQH262174 FAB262174:FAD262174 FJX262174:FJZ262174 FTT262174:FTV262174 GDP262174:GDR262174 GNL262174:GNN262174 GXH262174:GXJ262174 HHD262174:HHF262174 HQZ262174:HRB262174 IAV262174:IAX262174 IKR262174:IKT262174 IUN262174:IUP262174 JEJ262174:JEL262174 JOF262174:JOH262174 JYB262174:JYD262174 KHX262174:KHZ262174 KRT262174:KRV262174 LBP262174:LBR262174 LLL262174:LLN262174 LVH262174:LVJ262174 MFD262174:MFF262174 MOZ262174:MPB262174 MYV262174:MYX262174 NIR262174:NIT262174 NSN262174:NSP262174 OCJ262174:OCL262174 OMF262174:OMH262174 OWB262174:OWD262174 PFX262174:PFZ262174 PPT262174:PPV262174 PZP262174:PZR262174 QJL262174:QJN262174 QTH262174:QTJ262174 RDD262174:RDF262174 RMZ262174:RNB262174 RWV262174:RWX262174 SGR262174:SGT262174 SQN262174:SQP262174 TAJ262174:TAL262174 TKF262174:TKH262174 TUB262174:TUD262174 UDX262174:UDZ262174 UNT262174:UNV262174 UXP262174:UXR262174 VHL262174:VHN262174 VRH262174:VRJ262174 WBD262174:WBF262174 WKZ262174:WLB262174 WUV262174:WUX262174 IJ327710:IL327710 SF327710:SH327710 ACB327710:ACD327710 ALX327710:ALZ327710 AVT327710:AVV327710 BFP327710:BFR327710 BPL327710:BPN327710 BZH327710:BZJ327710 CJD327710:CJF327710 CSZ327710:CTB327710 DCV327710:DCX327710 DMR327710:DMT327710 DWN327710:DWP327710 EGJ327710:EGL327710 EQF327710:EQH327710 FAB327710:FAD327710 FJX327710:FJZ327710 FTT327710:FTV327710 GDP327710:GDR327710 GNL327710:GNN327710 GXH327710:GXJ327710 HHD327710:HHF327710 HQZ327710:HRB327710 IAV327710:IAX327710 IKR327710:IKT327710 IUN327710:IUP327710 JEJ327710:JEL327710 JOF327710:JOH327710 JYB327710:JYD327710 KHX327710:KHZ327710 KRT327710:KRV327710 LBP327710:LBR327710 LLL327710:LLN327710 LVH327710:LVJ327710 MFD327710:MFF327710 MOZ327710:MPB327710 MYV327710:MYX327710 NIR327710:NIT327710 NSN327710:NSP327710 OCJ327710:OCL327710 OMF327710:OMH327710 OWB327710:OWD327710 PFX327710:PFZ327710 PPT327710:PPV327710 PZP327710:PZR327710 QJL327710:QJN327710 QTH327710:QTJ327710 RDD327710:RDF327710 RMZ327710:RNB327710 RWV327710:RWX327710 SGR327710:SGT327710 SQN327710:SQP327710 TAJ327710:TAL327710 TKF327710:TKH327710 TUB327710:TUD327710 UDX327710:UDZ327710 UNT327710:UNV327710 UXP327710:UXR327710 VHL327710:VHN327710 VRH327710:VRJ327710 WBD327710:WBF327710 WKZ327710:WLB327710 WUV327710:WUX327710 IJ393246:IL393246 SF393246:SH393246 ACB393246:ACD393246 ALX393246:ALZ393246 AVT393246:AVV393246 BFP393246:BFR393246 BPL393246:BPN393246 BZH393246:BZJ393246 CJD393246:CJF393246 CSZ393246:CTB393246 DCV393246:DCX393246 DMR393246:DMT393246 DWN393246:DWP393246 EGJ393246:EGL393246 EQF393246:EQH393246 FAB393246:FAD393246 FJX393246:FJZ393246 FTT393246:FTV393246 GDP393246:GDR393246 GNL393246:GNN393246 GXH393246:GXJ393246 HHD393246:HHF393246 HQZ393246:HRB393246 IAV393246:IAX393246 IKR393246:IKT393246 IUN393246:IUP393246 JEJ393246:JEL393246 JOF393246:JOH393246 JYB393246:JYD393246 KHX393246:KHZ393246 KRT393246:KRV393246 LBP393246:LBR393246 LLL393246:LLN393246 LVH393246:LVJ393246 MFD393246:MFF393246 MOZ393246:MPB393246 MYV393246:MYX393246 NIR393246:NIT393246 NSN393246:NSP393246 OCJ393246:OCL393246 OMF393246:OMH393246 OWB393246:OWD393246 PFX393246:PFZ393246 PPT393246:PPV393246 PZP393246:PZR393246 QJL393246:QJN393246 QTH393246:QTJ393246 RDD393246:RDF393246 RMZ393246:RNB393246 RWV393246:RWX393246 SGR393246:SGT393246 SQN393246:SQP393246 TAJ393246:TAL393246 TKF393246:TKH393246 TUB393246:TUD393246 UDX393246:UDZ393246 UNT393246:UNV393246 UXP393246:UXR393246 VHL393246:VHN393246 VRH393246:VRJ393246 WBD393246:WBF393246 WKZ393246:WLB393246 WUV393246:WUX393246 IJ458782:IL458782 SF458782:SH458782 ACB458782:ACD458782 ALX458782:ALZ458782 AVT458782:AVV458782 BFP458782:BFR458782 BPL458782:BPN458782 BZH458782:BZJ458782 CJD458782:CJF458782 CSZ458782:CTB458782 DCV458782:DCX458782 DMR458782:DMT458782 DWN458782:DWP458782 EGJ458782:EGL458782 EQF458782:EQH458782 FAB458782:FAD458782 FJX458782:FJZ458782 FTT458782:FTV458782 GDP458782:GDR458782 GNL458782:GNN458782 GXH458782:GXJ458782 HHD458782:HHF458782 HQZ458782:HRB458782 IAV458782:IAX458782 IKR458782:IKT458782 IUN458782:IUP458782 JEJ458782:JEL458782 JOF458782:JOH458782 JYB458782:JYD458782 KHX458782:KHZ458782 KRT458782:KRV458782 LBP458782:LBR458782 LLL458782:LLN458782 LVH458782:LVJ458782 MFD458782:MFF458782 MOZ458782:MPB458782 MYV458782:MYX458782 NIR458782:NIT458782 NSN458782:NSP458782 OCJ458782:OCL458782 OMF458782:OMH458782 OWB458782:OWD458782 PFX458782:PFZ458782 PPT458782:PPV458782 PZP458782:PZR458782 QJL458782:QJN458782 QTH458782:QTJ458782 RDD458782:RDF458782 RMZ458782:RNB458782 RWV458782:RWX458782 SGR458782:SGT458782 SQN458782:SQP458782 TAJ458782:TAL458782 TKF458782:TKH458782 TUB458782:TUD458782 UDX458782:UDZ458782 UNT458782:UNV458782 UXP458782:UXR458782 VHL458782:VHN458782 VRH458782:VRJ458782 WBD458782:WBF458782 WKZ458782:WLB458782 WUV458782:WUX458782 IJ524318:IL524318 SF524318:SH524318 ACB524318:ACD524318 ALX524318:ALZ524318 AVT524318:AVV524318 BFP524318:BFR524318 BPL524318:BPN524318 BZH524318:BZJ524318 CJD524318:CJF524318 CSZ524318:CTB524318 DCV524318:DCX524318 DMR524318:DMT524318 DWN524318:DWP524318 EGJ524318:EGL524318 EQF524318:EQH524318 FAB524318:FAD524318 FJX524318:FJZ524318 FTT524318:FTV524318 GDP524318:GDR524318 GNL524318:GNN524318 GXH524318:GXJ524318 HHD524318:HHF524318 HQZ524318:HRB524318 IAV524318:IAX524318 IKR524318:IKT524318 IUN524318:IUP524318 JEJ524318:JEL524318 JOF524318:JOH524318 JYB524318:JYD524318 KHX524318:KHZ524318 KRT524318:KRV524318 LBP524318:LBR524318 LLL524318:LLN524318 LVH524318:LVJ524318 MFD524318:MFF524318 MOZ524318:MPB524318 MYV524318:MYX524318 NIR524318:NIT524318 NSN524318:NSP524318 OCJ524318:OCL524318 OMF524318:OMH524318 OWB524318:OWD524318 PFX524318:PFZ524318 PPT524318:PPV524318 PZP524318:PZR524318 QJL524318:QJN524318 QTH524318:QTJ524318 RDD524318:RDF524318 RMZ524318:RNB524318 RWV524318:RWX524318 SGR524318:SGT524318 SQN524318:SQP524318 TAJ524318:TAL524318 TKF524318:TKH524318 TUB524318:TUD524318 UDX524318:UDZ524318 UNT524318:UNV524318 UXP524318:UXR524318 VHL524318:VHN524318 VRH524318:VRJ524318 WBD524318:WBF524318 WKZ524318:WLB524318 WUV524318:WUX524318 IJ589854:IL589854 SF589854:SH589854 ACB589854:ACD589854 ALX589854:ALZ589854 AVT589854:AVV589854 BFP589854:BFR589854 BPL589854:BPN589854 BZH589854:BZJ589854 CJD589854:CJF589854 CSZ589854:CTB589854 DCV589854:DCX589854 DMR589854:DMT589854 DWN589854:DWP589854 EGJ589854:EGL589854 EQF589854:EQH589854 FAB589854:FAD589854 FJX589854:FJZ589854 FTT589854:FTV589854 GDP589854:GDR589854 GNL589854:GNN589854 GXH589854:GXJ589854 HHD589854:HHF589854 HQZ589854:HRB589854 IAV589854:IAX589854 IKR589854:IKT589854 IUN589854:IUP589854 JEJ589854:JEL589854 JOF589854:JOH589854 JYB589854:JYD589854 KHX589854:KHZ589854 KRT589854:KRV589854 LBP589854:LBR589854 LLL589854:LLN589854 LVH589854:LVJ589854 MFD589854:MFF589854 MOZ589854:MPB589854 MYV589854:MYX589854 NIR589854:NIT589854 NSN589854:NSP589854 OCJ589854:OCL589854 OMF589854:OMH589854 OWB589854:OWD589854 PFX589854:PFZ589854 PPT589854:PPV589854 PZP589854:PZR589854 QJL589854:QJN589854 QTH589854:QTJ589854 RDD589854:RDF589854 RMZ589854:RNB589854 RWV589854:RWX589854 SGR589854:SGT589854 SQN589854:SQP589854 TAJ589854:TAL589854 TKF589854:TKH589854 TUB589854:TUD589854 UDX589854:UDZ589854 UNT589854:UNV589854 UXP589854:UXR589854 VHL589854:VHN589854 VRH589854:VRJ589854 WBD589854:WBF589854 WKZ589854:WLB589854 WUV589854:WUX589854 IJ655390:IL655390 SF655390:SH655390 ACB655390:ACD655390 ALX655390:ALZ655390 AVT655390:AVV655390 BFP655390:BFR655390 BPL655390:BPN655390 BZH655390:BZJ655390 CJD655390:CJF655390 CSZ655390:CTB655390 DCV655390:DCX655390 DMR655390:DMT655390 DWN655390:DWP655390 EGJ655390:EGL655390 EQF655390:EQH655390 FAB655390:FAD655390 FJX655390:FJZ655390 FTT655390:FTV655390 GDP655390:GDR655390 GNL655390:GNN655390 GXH655390:GXJ655390 HHD655390:HHF655390 HQZ655390:HRB655390 IAV655390:IAX655390 IKR655390:IKT655390 IUN655390:IUP655390 JEJ655390:JEL655390 JOF655390:JOH655390 JYB655390:JYD655390 KHX655390:KHZ655390 KRT655390:KRV655390 LBP655390:LBR655390 LLL655390:LLN655390 LVH655390:LVJ655390 MFD655390:MFF655390 MOZ655390:MPB655390 MYV655390:MYX655390 NIR655390:NIT655390 NSN655390:NSP655390 OCJ655390:OCL655390 OMF655390:OMH655390 OWB655390:OWD655390 PFX655390:PFZ655390 PPT655390:PPV655390 PZP655390:PZR655390 QJL655390:QJN655390 QTH655390:QTJ655390 RDD655390:RDF655390 RMZ655390:RNB655390 RWV655390:RWX655390 SGR655390:SGT655390 SQN655390:SQP655390 TAJ655390:TAL655390 TKF655390:TKH655390 TUB655390:TUD655390 UDX655390:UDZ655390 UNT655390:UNV655390 UXP655390:UXR655390 VHL655390:VHN655390 VRH655390:VRJ655390 WBD655390:WBF655390 WKZ655390:WLB655390 WUV655390:WUX655390 IJ720926:IL720926 SF720926:SH720926 ACB720926:ACD720926 ALX720926:ALZ720926 AVT720926:AVV720926 BFP720926:BFR720926 BPL720926:BPN720926 BZH720926:BZJ720926 CJD720926:CJF720926 CSZ720926:CTB720926 DCV720926:DCX720926 DMR720926:DMT720926 DWN720926:DWP720926 EGJ720926:EGL720926 EQF720926:EQH720926 FAB720926:FAD720926 FJX720926:FJZ720926 FTT720926:FTV720926 GDP720926:GDR720926 GNL720926:GNN720926 GXH720926:GXJ720926 HHD720926:HHF720926 HQZ720926:HRB720926 IAV720926:IAX720926 IKR720926:IKT720926 IUN720926:IUP720926 JEJ720926:JEL720926 JOF720926:JOH720926 JYB720926:JYD720926 KHX720926:KHZ720926 KRT720926:KRV720926 LBP720926:LBR720926 LLL720926:LLN720926 LVH720926:LVJ720926 MFD720926:MFF720926 MOZ720926:MPB720926 MYV720926:MYX720926 NIR720926:NIT720926 NSN720926:NSP720926 OCJ720926:OCL720926 OMF720926:OMH720926 OWB720926:OWD720926 PFX720926:PFZ720926 PPT720926:PPV720926 PZP720926:PZR720926 QJL720926:QJN720926 QTH720926:QTJ720926 RDD720926:RDF720926 RMZ720926:RNB720926 RWV720926:RWX720926 SGR720926:SGT720926 SQN720926:SQP720926 TAJ720926:TAL720926 TKF720926:TKH720926 TUB720926:TUD720926 UDX720926:UDZ720926 UNT720926:UNV720926 UXP720926:UXR720926 VHL720926:VHN720926 VRH720926:VRJ720926 WBD720926:WBF720926 WKZ720926:WLB720926 WUV720926:WUX720926 IJ786462:IL786462 SF786462:SH786462 ACB786462:ACD786462 ALX786462:ALZ786462 AVT786462:AVV786462 BFP786462:BFR786462 BPL786462:BPN786462 BZH786462:BZJ786462 CJD786462:CJF786462 CSZ786462:CTB786462 DCV786462:DCX786462 DMR786462:DMT786462 DWN786462:DWP786462 EGJ786462:EGL786462 EQF786462:EQH786462 FAB786462:FAD786462 FJX786462:FJZ786462 FTT786462:FTV786462 GDP786462:GDR786462 GNL786462:GNN786462 GXH786462:GXJ786462 HHD786462:HHF786462 HQZ786462:HRB786462 IAV786462:IAX786462 IKR786462:IKT786462 IUN786462:IUP786462 JEJ786462:JEL786462 JOF786462:JOH786462 JYB786462:JYD786462 KHX786462:KHZ786462 KRT786462:KRV786462 LBP786462:LBR786462 LLL786462:LLN786462 LVH786462:LVJ786462 MFD786462:MFF786462 MOZ786462:MPB786462 MYV786462:MYX786462 NIR786462:NIT786462 NSN786462:NSP786462 OCJ786462:OCL786462 OMF786462:OMH786462 OWB786462:OWD786462 PFX786462:PFZ786462 PPT786462:PPV786462 PZP786462:PZR786462 QJL786462:QJN786462 QTH786462:QTJ786462 RDD786462:RDF786462 RMZ786462:RNB786462 RWV786462:RWX786462 SGR786462:SGT786462 SQN786462:SQP786462 TAJ786462:TAL786462 TKF786462:TKH786462 TUB786462:TUD786462 UDX786462:UDZ786462 UNT786462:UNV786462 UXP786462:UXR786462 VHL786462:VHN786462 VRH786462:VRJ786462 WBD786462:WBF786462 WKZ786462:WLB786462 WUV786462:WUX786462 IJ851998:IL851998 SF851998:SH851998 ACB851998:ACD851998 ALX851998:ALZ851998 AVT851998:AVV851998 BFP851998:BFR851998 BPL851998:BPN851998 BZH851998:BZJ851998 CJD851998:CJF851998 CSZ851998:CTB851998 DCV851998:DCX851998 DMR851998:DMT851998 DWN851998:DWP851998 EGJ851998:EGL851998 EQF851998:EQH851998 FAB851998:FAD851998 FJX851998:FJZ851998 FTT851998:FTV851998 GDP851998:GDR851998 GNL851998:GNN851998 GXH851998:GXJ851998 HHD851998:HHF851998 HQZ851998:HRB851998 IAV851998:IAX851998 IKR851998:IKT851998 IUN851998:IUP851998 JEJ851998:JEL851998 JOF851998:JOH851998 JYB851998:JYD851998 KHX851998:KHZ851998 KRT851998:KRV851998 LBP851998:LBR851998 LLL851998:LLN851998 LVH851998:LVJ851998 MFD851998:MFF851998 MOZ851998:MPB851998 MYV851998:MYX851998 NIR851998:NIT851998 NSN851998:NSP851998 OCJ851998:OCL851998 OMF851998:OMH851998 OWB851998:OWD851998 PFX851998:PFZ851998 PPT851998:PPV851998 PZP851998:PZR851998 QJL851998:QJN851998 QTH851998:QTJ851998 RDD851998:RDF851998 RMZ851998:RNB851998 RWV851998:RWX851998 SGR851998:SGT851998 SQN851998:SQP851998 TAJ851998:TAL851998 TKF851998:TKH851998 TUB851998:TUD851998 UDX851998:UDZ851998 UNT851998:UNV851998 UXP851998:UXR851998 VHL851998:VHN851998 VRH851998:VRJ851998 WBD851998:WBF851998 WKZ851998:WLB851998 WUV851998:WUX851998 IJ917534:IL917534 SF917534:SH917534 ACB917534:ACD917534 ALX917534:ALZ917534 AVT917534:AVV917534 BFP917534:BFR917534 BPL917534:BPN917534 BZH917534:BZJ917534 CJD917534:CJF917534 CSZ917534:CTB917534 DCV917534:DCX917534 DMR917534:DMT917534 DWN917534:DWP917534 EGJ917534:EGL917534 EQF917534:EQH917534 FAB917534:FAD917534 FJX917534:FJZ917534 FTT917534:FTV917534 GDP917534:GDR917534 GNL917534:GNN917534 GXH917534:GXJ917534 HHD917534:HHF917534 HQZ917534:HRB917534 IAV917534:IAX917534 IKR917534:IKT917534 IUN917534:IUP917534 JEJ917534:JEL917534 JOF917534:JOH917534 JYB917534:JYD917534 KHX917534:KHZ917534 KRT917534:KRV917534 LBP917534:LBR917534 LLL917534:LLN917534 LVH917534:LVJ917534 MFD917534:MFF917534 MOZ917534:MPB917534 MYV917534:MYX917534 NIR917534:NIT917534 NSN917534:NSP917534 OCJ917534:OCL917534 OMF917534:OMH917534 OWB917534:OWD917534 PFX917534:PFZ917534 PPT917534:PPV917534 PZP917534:PZR917534 QJL917534:QJN917534 QTH917534:QTJ917534 RDD917534:RDF917534 RMZ917534:RNB917534 RWV917534:RWX917534 SGR917534:SGT917534 SQN917534:SQP917534 TAJ917534:TAL917534 TKF917534:TKH917534 TUB917534:TUD917534 UDX917534:UDZ917534 UNT917534:UNV917534 UXP917534:UXR917534 VHL917534:VHN917534 VRH917534:VRJ917534 WBD917534:WBF917534 WKZ917534:WLB917534 WUV917534:WUX917534 IJ983070:IL983070 SF983070:SH983070 ACB983070:ACD983070 ALX983070:ALZ983070 AVT983070:AVV983070 BFP983070:BFR983070 BPL983070:BPN983070 BZH983070:BZJ983070 CJD983070:CJF983070 CSZ983070:CTB983070 DCV983070:DCX983070 DMR983070:DMT983070 DWN983070:DWP983070 EGJ983070:EGL983070 EQF983070:EQH983070 FAB983070:FAD983070 FJX983070:FJZ983070 FTT983070:FTV983070 GDP983070:GDR983070 GNL983070:GNN983070 GXH983070:GXJ983070 HHD983070:HHF983070 HQZ983070:HRB983070 IAV983070:IAX983070 IKR983070:IKT983070 IUN983070:IUP983070 JEJ983070:JEL983070 JOF983070:JOH983070 JYB983070:JYD983070 KHX983070:KHZ983070 KRT983070:KRV983070 LBP983070:LBR983070 LLL983070:LLN983070 LVH983070:LVJ983070 MFD983070:MFF983070 MOZ983070:MPB983070 MYV983070:MYX983070 NIR983070:NIT983070 NSN983070:NSP983070 OCJ983070:OCL983070 OMF983070:OMH983070 OWB983070:OWD983070 PFX983070:PFZ983070 PPT983070:PPV983070 PZP983070:PZR983070 QJL983070:QJN983070 QTH983070:QTJ983070 RDD983070:RDF983070 RMZ983070:RNB983070 RWV983070:RWX983070 SGR983070:SGT983070 SQN983070:SQP983070 TAJ983070:TAL983070 TKF983070:TKH983070 TUB983070:TUD983070 UDX983070:UDZ983070 UNT983070:UNV983070 UXP983070:UXR983070 VHL983070:VHN983070 VRH983070:VRJ983070 WBD983070:WBF983070 WKZ983070:WLB983070 WUV983070:WUX983070 B983070:D983070 B917534:D917534 B851998:D851998 B786462:D786462 B720926:D720926 B655390:D655390 B589854:D589854 B524318:D524318 B458782:D458782 B393246:D393246 B327710:D327710 B262174:D262174 B196638:D196638 B131102:D131102 B65566:D65566">
      <formula1>Bereich</formula1>
    </dataValidation>
    <dataValidation type="list" allowBlank="1" showInputMessage="1" showErrorMessage="1" sqref="IJ31:IL31 SF31:SH31 ACB31:ACD31 ALX31:ALZ31 AVT31:AVV31 BFP31:BFR31 BPL31:BPN31 BZH31:BZJ31 CJD31:CJF31 CSZ31:CTB31 DCV31:DCX31 DMR31:DMT31 DWN31:DWP31 EGJ31:EGL31 EQF31:EQH31 FAB31:FAD31 FJX31:FJZ31 FTT31:FTV31 GDP31:GDR31 GNL31:GNN31 GXH31:GXJ31 HHD31:HHF31 HQZ31:HRB31 IAV31:IAX31 IKR31:IKT31 IUN31:IUP31 JEJ31:JEL31 JOF31:JOH31 JYB31:JYD31 KHX31:KHZ31 KRT31:KRV31 LBP31:LBR31 LLL31:LLN31 LVH31:LVJ31 MFD31:MFF31 MOZ31:MPB31 MYV31:MYX31 NIR31:NIT31 NSN31:NSP31 OCJ31:OCL31 OMF31:OMH31 OWB31:OWD31 PFX31:PFZ31 PPT31:PPV31 PZP31:PZR31 QJL31:QJN31 QTH31:QTJ31 RDD31:RDF31 RMZ31:RNB31 RWV31:RWX31 SGR31:SGT31 SQN31:SQP31 TAJ31:TAL31 TKF31:TKH31 TUB31:TUD31 UDX31:UDZ31 UNT31:UNV31 UXP31:UXR31 VHL31:VHN31 VRH31:VRJ31 WBD31:WBF31 WKZ31:WLB31 WUV31:WUX31 IJ65568:IL65568 SF65568:SH65568 ACB65568:ACD65568 ALX65568:ALZ65568 AVT65568:AVV65568 BFP65568:BFR65568 BPL65568:BPN65568 BZH65568:BZJ65568 CJD65568:CJF65568 CSZ65568:CTB65568 DCV65568:DCX65568 DMR65568:DMT65568 DWN65568:DWP65568 EGJ65568:EGL65568 EQF65568:EQH65568 FAB65568:FAD65568 FJX65568:FJZ65568 FTT65568:FTV65568 GDP65568:GDR65568 GNL65568:GNN65568 GXH65568:GXJ65568 HHD65568:HHF65568 HQZ65568:HRB65568 IAV65568:IAX65568 IKR65568:IKT65568 IUN65568:IUP65568 JEJ65568:JEL65568 JOF65568:JOH65568 JYB65568:JYD65568 KHX65568:KHZ65568 KRT65568:KRV65568 LBP65568:LBR65568 LLL65568:LLN65568 LVH65568:LVJ65568 MFD65568:MFF65568 MOZ65568:MPB65568 MYV65568:MYX65568 NIR65568:NIT65568 NSN65568:NSP65568 OCJ65568:OCL65568 OMF65568:OMH65568 OWB65568:OWD65568 PFX65568:PFZ65568 PPT65568:PPV65568 PZP65568:PZR65568 QJL65568:QJN65568 QTH65568:QTJ65568 RDD65568:RDF65568 RMZ65568:RNB65568 RWV65568:RWX65568 SGR65568:SGT65568 SQN65568:SQP65568 TAJ65568:TAL65568 TKF65568:TKH65568 TUB65568:TUD65568 UDX65568:UDZ65568 UNT65568:UNV65568 UXP65568:UXR65568 VHL65568:VHN65568 VRH65568:VRJ65568 WBD65568:WBF65568 WKZ65568:WLB65568 WUV65568:WUX65568 IJ131104:IL131104 SF131104:SH131104 ACB131104:ACD131104 ALX131104:ALZ131104 AVT131104:AVV131104 BFP131104:BFR131104 BPL131104:BPN131104 BZH131104:BZJ131104 CJD131104:CJF131104 CSZ131104:CTB131104 DCV131104:DCX131104 DMR131104:DMT131104 DWN131104:DWP131104 EGJ131104:EGL131104 EQF131104:EQH131104 FAB131104:FAD131104 FJX131104:FJZ131104 FTT131104:FTV131104 GDP131104:GDR131104 GNL131104:GNN131104 GXH131104:GXJ131104 HHD131104:HHF131104 HQZ131104:HRB131104 IAV131104:IAX131104 IKR131104:IKT131104 IUN131104:IUP131104 JEJ131104:JEL131104 JOF131104:JOH131104 JYB131104:JYD131104 KHX131104:KHZ131104 KRT131104:KRV131104 LBP131104:LBR131104 LLL131104:LLN131104 LVH131104:LVJ131104 MFD131104:MFF131104 MOZ131104:MPB131104 MYV131104:MYX131104 NIR131104:NIT131104 NSN131104:NSP131104 OCJ131104:OCL131104 OMF131104:OMH131104 OWB131104:OWD131104 PFX131104:PFZ131104 PPT131104:PPV131104 PZP131104:PZR131104 QJL131104:QJN131104 QTH131104:QTJ131104 RDD131104:RDF131104 RMZ131104:RNB131104 RWV131104:RWX131104 SGR131104:SGT131104 SQN131104:SQP131104 TAJ131104:TAL131104 TKF131104:TKH131104 TUB131104:TUD131104 UDX131104:UDZ131104 UNT131104:UNV131104 UXP131104:UXR131104 VHL131104:VHN131104 VRH131104:VRJ131104 WBD131104:WBF131104 WKZ131104:WLB131104 WUV131104:WUX131104 IJ196640:IL196640 SF196640:SH196640 ACB196640:ACD196640 ALX196640:ALZ196640 AVT196640:AVV196640 BFP196640:BFR196640 BPL196640:BPN196640 BZH196640:BZJ196640 CJD196640:CJF196640 CSZ196640:CTB196640 DCV196640:DCX196640 DMR196640:DMT196640 DWN196640:DWP196640 EGJ196640:EGL196640 EQF196640:EQH196640 FAB196640:FAD196640 FJX196640:FJZ196640 FTT196640:FTV196640 GDP196640:GDR196640 GNL196640:GNN196640 GXH196640:GXJ196640 HHD196640:HHF196640 HQZ196640:HRB196640 IAV196640:IAX196640 IKR196640:IKT196640 IUN196640:IUP196640 JEJ196640:JEL196640 JOF196640:JOH196640 JYB196640:JYD196640 KHX196640:KHZ196640 KRT196640:KRV196640 LBP196640:LBR196640 LLL196640:LLN196640 LVH196640:LVJ196640 MFD196640:MFF196640 MOZ196640:MPB196640 MYV196640:MYX196640 NIR196640:NIT196640 NSN196640:NSP196640 OCJ196640:OCL196640 OMF196640:OMH196640 OWB196640:OWD196640 PFX196640:PFZ196640 PPT196640:PPV196640 PZP196640:PZR196640 QJL196640:QJN196640 QTH196640:QTJ196640 RDD196640:RDF196640 RMZ196640:RNB196640 RWV196640:RWX196640 SGR196640:SGT196640 SQN196640:SQP196640 TAJ196640:TAL196640 TKF196640:TKH196640 TUB196640:TUD196640 UDX196640:UDZ196640 UNT196640:UNV196640 UXP196640:UXR196640 VHL196640:VHN196640 VRH196640:VRJ196640 WBD196640:WBF196640 WKZ196640:WLB196640 WUV196640:WUX196640 IJ262176:IL262176 SF262176:SH262176 ACB262176:ACD262176 ALX262176:ALZ262176 AVT262176:AVV262176 BFP262176:BFR262176 BPL262176:BPN262176 BZH262176:BZJ262176 CJD262176:CJF262176 CSZ262176:CTB262176 DCV262176:DCX262176 DMR262176:DMT262176 DWN262176:DWP262176 EGJ262176:EGL262176 EQF262176:EQH262176 FAB262176:FAD262176 FJX262176:FJZ262176 FTT262176:FTV262176 GDP262176:GDR262176 GNL262176:GNN262176 GXH262176:GXJ262176 HHD262176:HHF262176 HQZ262176:HRB262176 IAV262176:IAX262176 IKR262176:IKT262176 IUN262176:IUP262176 JEJ262176:JEL262176 JOF262176:JOH262176 JYB262176:JYD262176 KHX262176:KHZ262176 KRT262176:KRV262176 LBP262176:LBR262176 LLL262176:LLN262176 LVH262176:LVJ262176 MFD262176:MFF262176 MOZ262176:MPB262176 MYV262176:MYX262176 NIR262176:NIT262176 NSN262176:NSP262176 OCJ262176:OCL262176 OMF262176:OMH262176 OWB262176:OWD262176 PFX262176:PFZ262176 PPT262176:PPV262176 PZP262176:PZR262176 QJL262176:QJN262176 QTH262176:QTJ262176 RDD262176:RDF262176 RMZ262176:RNB262176 RWV262176:RWX262176 SGR262176:SGT262176 SQN262176:SQP262176 TAJ262176:TAL262176 TKF262176:TKH262176 TUB262176:TUD262176 UDX262176:UDZ262176 UNT262176:UNV262176 UXP262176:UXR262176 VHL262176:VHN262176 VRH262176:VRJ262176 WBD262176:WBF262176 WKZ262176:WLB262176 WUV262176:WUX262176 IJ327712:IL327712 SF327712:SH327712 ACB327712:ACD327712 ALX327712:ALZ327712 AVT327712:AVV327712 BFP327712:BFR327712 BPL327712:BPN327712 BZH327712:BZJ327712 CJD327712:CJF327712 CSZ327712:CTB327712 DCV327712:DCX327712 DMR327712:DMT327712 DWN327712:DWP327712 EGJ327712:EGL327712 EQF327712:EQH327712 FAB327712:FAD327712 FJX327712:FJZ327712 FTT327712:FTV327712 GDP327712:GDR327712 GNL327712:GNN327712 GXH327712:GXJ327712 HHD327712:HHF327712 HQZ327712:HRB327712 IAV327712:IAX327712 IKR327712:IKT327712 IUN327712:IUP327712 JEJ327712:JEL327712 JOF327712:JOH327712 JYB327712:JYD327712 KHX327712:KHZ327712 KRT327712:KRV327712 LBP327712:LBR327712 LLL327712:LLN327712 LVH327712:LVJ327712 MFD327712:MFF327712 MOZ327712:MPB327712 MYV327712:MYX327712 NIR327712:NIT327712 NSN327712:NSP327712 OCJ327712:OCL327712 OMF327712:OMH327712 OWB327712:OWD327712 PFX327712:PFZ327712 PPT327712:PPV327712 PZP327712:PZR327712 QJL327712:QJN327712 QTH327712:QTJ327712 RDD327712:RDF327712 RMZ327712:RNB327712 RWV327712:RWX327712 SGR327712:SGT327712 SQN327712:SQP327712 TAJ327712:TAL327712 TKF327712:TKH327712 TUB327712:TUD327712 UDX327712:UDZ327712 UNT327712:UNV327712 UXP327712:UXR327712 VHL327712:VHN327712 VRH327712:VRJ327712 WBD327712:WBF327712 WKZ327712:WLB327712 WUV327712:WUX327712 IJ393248:IL393248 SF393248:SH393248 ACB393248:ACD393248 ALX393248:ALZ393248 AVT393248:AVV393248 BFP393248:BFR393248 BPL393248:BPN393248 BZH393248:BZJ393248 CJD393248:CJF393248 CSZ393248:CTB393248 DCV393248:DCX393248 DMR393248:DMT393248 DWN393248:DWP393248 EGJ393248:EGL393248 EQF393248:EQH393248 FAB393248:FAD393248 FJX393248:FJZ393248 FTT393248:FTV393248 GDP393248:GDR393248 GNL393248:GNN393248 GXH393248:GXJ393248 HHD393248:HHF393248 HQZ393248:HRB393248 IAV393248:IAX393248 IKR393248:IKT393248 IUN393248:IUP393248 JEJ393248:JEL393248 JOF393248:JOH393248 JYB393248:JYD393248 KHX393248:KHZ393248 KRT393248:KRV393248 LBP393248:LBR393248 LLL393248:LLN393248 LVH393248:LVJ393248 MFD393248:MFF393248 MOZ393248:MPB393248 MYV393248:MYX393248 NIR393248:NIT393248 NSN393248:NSP393248 OCJ393248:OCL393248 OMF393248:OMH393248 OWB393248:OWD393248 PFX393248:PFZ393248 PPT393248:PPV393248 PZP393248:PZR393248 QJL393248:QJN393248 QTH393248:QTJ393248 RDD393248:RDF393248 RMZ393248:RNB393248 RWV393248:RWX393248 SGR393248:SGT393248 SQN393248:SQP393248 TAJ393248:TAL393248 TKF393248:TKH393248 TUB393248:TUD393248 UDX393248:UDZ393248 UNT393248:UNV393248 UXP393248:UXR393248 VHL393248:VHN393248 VRH393248:VRJ393248 WBD393248:WBF393248 WKZ393248:WLB393248 WUV393248:WUX393248 IJ458784:IL458784 SF458784:SH458784 ACB458784:ACD458784 ALX458784:ALZ458784 AVT458784:AVV458784 BFP458784:BFR458784 BPL458784:BPN458784 BZH458784:BZJ458784 CJD458784:CJF458784 CSZ458784:CTB458784 DCV458784:DCX458784 DMR458784:DMT458784 DWN458784:DWP458784 EGJ458784:EGL458784 EQF458784:EQH458784 FAB458784:FAD458784 FJX458784:FJZ458784 FTT458784:FTV458784 GDP458784:GDR458784 GNL458784:GNN458784 GXH458784:GXJ458784 HHD458784:HHF458784 HQZ458784:HRB458784 IAV458784:IAX458784 IKR458784:IKT458784 IUN458784:IUP458784 JEJ458784:JEL458784 JOF458784:JOH458784 JYB458784:JYD458784 KHX458784:KHZ458784 KRT458784:KRV458784 LBP458784:LBR458784 LLL458784:LLN458784 LVH458784:LVJ458784 MFD458784:MFF458784 MOZ458784:MPB458784 MYV458784:MYX458784 NIR458784:NIT458784 NSN458784:NSP458784 OCJ458784:OCL458784 OMF458784:OMH458784 OWB458784:OWD458784 PFX458784:PFZ458784 PPT458784:PPV458784 PZP458784:PZR458784 QJL458784:QJN458784 QTH458784:QTJ458784 RDD458784:RDF458784 RMZ458784:RNB458784 RWV458784:RWX458784 SGR458784:SGT458784 SQN458784:SQP458784 TAJ458784:TAL458784 TKF458784:TKH458784 TUB458784:TUD458784 UDX458784:UDZ458784 UNT458784:UNV458784 UXP458784:UXR458784 VHL458784:VHN458784 VRH458784:VRJ458784 WBD458784:WBF458784 WKZ458784:WLB458784 WUV458784:WUX458784 IJ524320:IL524320 SF524320:SH524320 ACB524320:ACD524320 ALX524320:ALZ524320 AVT524320:AVV524320 BFP524320:BFR524320 BPL524320:BPN524320 BZH524320:BZJ524320 CJD524320:CJF524320 CSZ524320:CTB524320 DCV524320:DCX524320 DMR524320:DMT524320 DWN524320:DWP524320 EGJ524320:EGL524320 EQF524320:EQH524320 FAB524320:FAD524320 FJX524320:FJZ524320 FTT524320:FTV524320 GDP524320:GDR524320 GNL524320:GNN524320 GXH524320:GXJ524320 HHD524320:HHF524320 HQZ524320:HRB524320 IAV524320:IAX524320 IKR524320:IKT524320 IUN524320:IUP524320 JEJ524320:JEL524320 JOF524320:JOH524320 JYB524320:JYD524320 KHX524320:KHZ524320 KRT524320:KRV524320 LBP524320:LBR524320 LLL524320:LLN524320 LVH524320:LVJ524320 MFD524320:MFF524320 MOZ524320:MPB524320 MYV524320:MYX524320 NIR524320:NIT524320 NSN524320:NSP524320 OCJ524320:OCL524320 OMF524320:OMH524320 OWB524320:OWD524320 PFX524320:PFZ524320 PPT524320:PPV524320 PZP524320:PZR524320 QJL524320:QJN524320 QTH524320:QTJ524320 RDD524320:RDF524320 RMZ524320:RNB524320 RWV524320:RWX524320 SGR524320:SGT524320 SQN524320:SQP524320 TAJ524320:TAL524320 TKF524320:TKH524320 TUB524320:TUD524320 UDX524320:UDZ524320 UNT524320:UNV524320 UXP524320:UXR524320 VHL524320:VHN524320 VRH524320:VRJ524320 WBD524320:WBF524320 WKZ524320:WLB524320 WUV524320:WUX524320 IJ589856:IL589856 SF589856:SH589856 ACB589856:ACD589856 ALX589856:ALZ589856 AVT589856:AVV589856 BFP589856:BFR589856 BPL589856:BPN589856 BZH589856:BZJ589856 CJD589856:CJF589856 CSZ589856:CTB589856 DCV589856:DCX589856 DMR589856:DMT589856 DWN589856:DWP589856 EGJ589856:EGL589856 EQF589856:EQH589856 FAB589856:FAD589856 FJX589856:FJZ589856 FTT589856:FTV589856 GDP589856:GDR589856 GNL589856:GNN589856 GXH589856:GXJ589856 HHD589856:HHF589856 HQZ589856:HRB589856 IAV589856:IAX589856 IKR589856:IKT589856 IUN589856:IUP589856 JEJ589856:JEL589856 JOF589856:JOH589856 JYB589856:JYD589856 KHX589856:KHZ589856 KRT589856:KRV589856 LBP589856:LBR589856 LLL589856:LLN589856 LVH589856:LVJ589856 MFD589856:MFF589856 MOZ589856:MPB589856 MYV589856:MYX589856 NIR589856:NIT589856 NSN589856:NSP589856 OCJ589856:OCL589856 OMF589856:OMH589856 OWB589856:OWD589856 PFX589856:PFZ589856 PPT589856:PPV589856 PZP589856:PZR589856 QJL589856:QJN589856 QTH589856:QTJ589856 RDD589856:RDF589856 RMZ589856:RNB589856 RWV589856:RWX589856 SGR589856:SGT589856 SQN589856:SQP589856 TAJ589856:TAL589856 TKF589856:TKH589856 TUB589856:TUD589856 UDX589856:UDZ589856 UNT589856:UNV589856 UXP589856:UXR589856 VHL589856:VHN589856 VRH589856:VRJ589856 WBD589856:WBF589856 WKZ589856:WLB589856 WUV589856:WUX589856 IJ655392:IL655392 SF655392:SH655392 ACB655392:ACD655392 ALX655392:ALZ655392 AVT655392:AVV655392 BFP655392:BFR655392 BPL655392:BPN655392 BZH655392:BZJ655392 CJD655392:CJF655392 CSZ655392:CTB655392 DCV655392:DCX655392 DMR655392:DMT655392 DWN655392:DWP655392 EGJ655392:EGL655392 EQF655392:EQH655392 FAB655392:FAD655392 FJX655392:FJZ655392 FTT655392:FTV655392 GDP655392:GDR655392 GNL655392:GNN655392 GXH655392:GXJ655392 HHD655392:HHF655392 HQZ655392:HRB655392 IAV655392:IAX655392 IKR655392:IKT655392 IUN655392:IUP655392 JEJ655392:JEL655392 JOF655392:JOH655392 JYB655392:JYD655392 KHX655392:KHZ655392 KRT655392:KRV655392 LBP655392:LBR655392 LLL655392:LLN655392 LVH655392:LVJ655392 MFD655392:MFF655392 MOZ655392:MPB655392 MYV655392:MYX655392 NIR655392:NIT655392 NSN655392:NSP655392 OCJ655392:OCL655392 OMF655392:OMH655392 OWB655392:OWD655392 PFX655392:PFZ655392 PPT655392:PPV655392 PZP655392:PZR655392 QJL655392:QJN655392 QTH655392:QTJ655392 RDD655392:RDF655392 RMZ655392:RNB655392 RWV655392:RWX655392 SGR655392:SGT655392 SQN655392:SQP655392 TAJ655392:TAL655392 TKF655392:TKH655392 TUB655392:TUD655392 UDX655392:UDZ655392 UNT655392:UNV655392 UXP655392:UXR655392 VHL655392:VHN655392 VRH655392:VRJ655392 WBD655392:WBF655392 WKZ655392:WLB655392 WUV655392:WUX655392 IJ720928:IL720928 SF720928:SH720928 ACB720928:ACD720928 ALX720928:ALZ720928 AVT720928:AVV720928 BFP720928:BFR720928 BPL720928:BPN720928 BZH720928:BZJ720928 CJD720928:CJF720928 CSZ720928:CTB720928 DCV720928:DCX720928 DMR720928:DMT720928 DWN720928:DWP720928 EGJ720928:EGL720928 EQF720928:EQH720928 FAB720928:FAD720928 FJX720928:FJZ720928 FTT720928:FTV720928 GDP720928:GDR720928 GNL720928:GNN720928 GXH720928:GXJ720928 HHD720928:HHF720928 HQZ720928:HRB720928 IAV720928:IAX720928 IKR720928:IKT720928 IUN720928:IUP720928 JEJ720928:JEL720928 JOF720928:JOH720928 JYB720928:JYD720928 KHX720928:KHZ720928 KRT720928:KRV720928 LBP720928:LBR720928 LLL720928:LLN720928 LVH720928:LVJ720928 MFD720928:MFF720928 MOZ720928:MPB720928 MYV720928:MYX720928 NIR720928:NIT720928 NSN720928:NSP720928 OCJ720928:OCL720928 OMF720928:OMH720928 OWB720928:OWD720928 PFX720928:PFZ720928 PPT720928:PPV720928 PZP720928:PZR720928 QJL720928:QJN720928 QTH720928:QTJ720928 RDD720928:RDF720928 RMZ720928:RNB720928 RWV720928:RWX720928 SGR720928:SGT720928 SQN720928:SQP720928 TAJ720928:TAL720928 TKF720928:TKH720928 TUB720928:TUD720928 UDX720928:UDZ720928 UNT720928:UNV720928 UXP720928:UXR720928 VHL720928:VHN720928 VRH720928:VRJ720928 WBD720928:WBF720928 WKZ720928:WLB720928 WUV720928:WUX720928 IJ786464:IL786464 SF786464:SH786464 ACB786464:ACD786464 ALX786464:ALZ786464 AVT786464:AVV786464 BFP786464:BFR786464 BPL786464:BPN786464 BZH786464:BZJ786464 CJD786464:CJF786464 CSZ786464:CTB786464 DCV786464:DCX786464 DMR786464:DMT786464 DWN786464:DWP786464 EGJ786464:EGL786464 EQF786464:EQH786464 FAB786464:FAD786464 FJX786464:FJZ786464 FTT786464:FTV786464 GDP786464:GDR786464 GNL786464:GNN786464 GXH786464:GXJ786464 HHD786464:HHF786464 HQZ786464:HRB786464 IAV786464:IAX786464 IKR786464:IKT786464 IUN786464:IUP786464 JEJ786464:JEL786464 JOF786464:JOH786464 JYB786464:JYD786464 KHX786464:KHZ786464 KRT786464:KRV786464 LBP786464:LBR786464 LLL786464:LLN786464 LVH786464:LVJ786464 MFD786464:MFF786464 MOZ786464:MPB786464 MYV786464:MYX786464 NIR786464:NIT786464 NSN786464:NSP786464 OCJ786464:OCL786464 OMF786464:OMH786464 OWB786464:OWD786464 PFX786464:PFZ786464 PPT786464:PPV786464 PZP786464:PZR786464 QJL786464:QJN786464 QTH786464:QTJ786464 RDD786464:RDF786464 RMZ786464:RNB786464 RWV786464:RWX786464 SGR786464:SGT786464 SQN786464:SQP786464 TAJ786464:TAL786464 TKF786464:TKH786464 TUB786464:TUD786464 UDX786464:UDZ786464 UNT786464:UNV786464 UXP786464:UXR786464 VHL786464:VHN786464 VRH786464:VRJ786464 WBD786464:WBF786464 WKZ786464:WLB786464 WUV786464:WUX786464 IJ852000:IL852000 SF852000:SH852000 ACB852000:ACD852000 ALX852000:ALZ852000 AVT852000:AVV852000 BFP852000:BFR852000 BPL852000:BPN852000 BZH852000:BZJ852000 CJD852000:CJF852000 CSZ852000:CTB852000 DCV852000:DCX852000 DMR852000:DMT852000 DWN852000:DWP852000 EGJ852000:EGL852000 EQF852000:EQH852000 FAB852000:FAD852000 FJX852000:FJZ852000 FTT852000:FTV852000 GDP852000:GDR852000 GNL852000:GNN852000 GXH852000:GXJ852000 HHD852000:HHF852000 HQZ852000:HRB852000 IAV852000:IAX852000 IKR852000:IKT852000 IUN852000:IUP852000 JEJ852000:JEL852000 JOF852000:JOH852000 JYB852000:JYD852000 KHX852000:KHZ852000 KRT852000:KRV852000 LBP852000:LBR852000 LLL852000:LLN852000 LVH852000:LVJ852000 MFD852000:MFF852000 MOZ852000:MPB852000 MYV852000:MYX852000 NIR852000:NIT852000 NSN852000:NSP852000 OCJ852000:OCL852000 OMF852000:OMH852000 OWB852000:OWD852000 PFX852000:PFZ852000 PPT852000:PPV852000 PZP852000:PZR852000 QJL852000:QJN852000 QTH852000:QTJ852000 RDD852000:RDF852000 RMZ852000:RNB852000 RWV852000:RWX852000 SGR852000:SGT852000 SQN852000:SQP852000 TAJ852000:TAL852000 TKF852000:TKH852000 TUB852000:TUD852000 UDX852000:UDZ852000 UNT852000:UNV852000 UXP852000:UXR852000 VHL852000:VHN852000 VRH852000:VRJ852000 WBD852000:WBF852000 WKZ852000:WLB852000 WUV852000:WUX852000 IJ917536:IL917536 SF917536:SH917536 ACB917536:ACD917536 ALX917536:ALZ917536 AVT917536:AVV917536 BFP917536:BFR917536 BPL917536:BPN917536 BZH917536:BZJ917536 CJD917536:CJF917536 CSZ917536:CTB917536 DCV917536:DCX917536 DMR917536:DMT917536 DWN917536:DWP917536 EGJ917536:EGL917536 EQF917536:EQH917536 FAB917536:FAD917536 FJX917536:FJZ917536 FTT917536:FTV917536 GDP917536:GDR917536 GNL917536:GNN917536 GXH917536:GXJ917536 HHD917536:HHF917536 HQZ917536:HRB917536 IAV917536:IAX917536 IKR917536:IKT917536 IUN917536:IUP917536 JEJ917536:JEL917536 JOF917536:JOH917536 JYB917536:JYD917536 KHX917536:KHZ917536 KRT917536:KRV917536 LBP917536:LBR917536 LLL917536:LLN917536 LVH917536:LVJ917536 MFD917536:MFF917536 MOZ917536:MPB917536 MYV917536:MYX917536 NIR917536:NIT917536 NSN917536:NSP917536 OCJ917536:OCL917536 OMF917536:OMH917536 OWB917536:OWD917536 PFX917536:PFZ917536 PPT917536:PPV917536 PZP917536:PZR917536 QJL917536:QJN917536 QTH917536:QTJ917536 RDD917536:RDF917536 RMZ917536:RNB917536 RWV917536:RWX917536 SGR917536:SGT917536 SQN917536:SQP917536 TAJ917536:TAL917536 TKF917536:TKH917536 TUB917536:TUD917536 UDX917536:UDZ917536 UNT917536:UNV917536 UXP917536:UXR917536 VHL917536:VHN917536 VRH917536:VRJ917536 WBD917536:WBF917536 WKZ917536:WLB917536 WUV917536:WUX917536 IJ983072:IL983072 SF983072:SH983072 ACB983072:ACD983072 ALX983072:ALZ983072 AVT983072:AVV983072 BFP983072:BFR983072 BPL983072:BPN983072 BZH983072:BZJ983072 CJD983072:CJF983072 CSZ983072:CTB983072 DCV983072:DCX983072 DMR983072:DMT983072 DWN983072:DWP983072 EGJ983072:EGL983072 EQF983072:EQH983072 FAB983072:FAD983072 FJX983072:FJZ983072 FTT983072:FTV983072 GDP983072:GDR983072 GNL983072:GNN983072 GXH983072:GXJ983072 HHD983072:HHF983072 HQZ983072:HRB983072 IAV983072:IAX983072 IKR983072:IKT983072 IUN983072:IUP983072 JEJ983072:JEL983072 JOF983072:JOH983072 JYB983072:JYD983072 KHX983072:KHZ983072 KRT983072:KRV983072 LBP983072:LBR983072 LLL983072:LLN983072 LVH983072:LVJ983072 MFD983072:MFF983072 MOZ983072:MPB983072 MYV983072:MYX983072 NIR983072:NIT983072 NSN983072:NSP983072 OCJ983072:OCL983072 OMF983072:OMH983072 OWB983072:OWD983072 PFX983072:PFZ983072 PPT983072:PPV983072 PZP983072:PZR983072 QJL983072:QJN983072 QTH983072:QTJ983072 RDD983072:RDF983072 RMZ983072:RNB983072 RWV983072:RWX983072 SGR983072:SGT983072 SQN983072:SQP983072 TAJ983072:TAL983072 TKF983072:TKH983072 TUB983072:TUD983072 UDX983072:UDZ983072 UNT983072:UNV983072 UXP983072:UXR983072 VHL983072:VHN983072 VRH983072:VRJ983072 WBD983072:WBF983072 WKZ983072:WLB983072 WUV983072:WUX983072 B983072:D983072 B917536:D917536 B852000:D852000 B786464:D786464 B720928:D720928 B655392:D655392 B589856:D589856 B524320:D524320 B458784:D458784 B393248:D393248 B327712:D327712 B262176:D262176 B196640:D196640 B131104:D131104 B65568:D65568">
      <formula1>Rapport_Layout</formula1>
    </dataValidation>
    <dataValidation type="list" allowBlank="1" showInputMessage="1" showErrorMessage="1" sqref="IJ35:IL35 SF35:SH35 ACB35:ACD35 ALX35:ALZ35 AVT35:AVV35 BFP35:BFR35 BPL35:BPN35 BZH35:BZJ35 CJD35:CJF35 CSZ35:CTB35 DCV35:DCX35 DMR35:DMT35 DWN35:DWP35 EGJ35:EGL35 EQF35:EQH35 FAB35:FAD35 FJX35:FJZ35 FTT35:FTV35 GDP35:GDR35 GNL35:GNN35 GXH35:GXJ35 HHD35:HHF35 HQZ35:HRB35 IAV35:IAX35 IKR35:IKT35 IUN35:IUP35 JEJ35:JEL35 JOF35:JOH35 JYB35:JYD35 KHX35:KHZ35 KRT35:KRV35 LBP35:LBR35 LLL35:LLN35 LVH35:LVJ35 MFD35:MFF35 MOZ35:MPB35 MYV35:MYX35 NIR35:NIT35 NSN35:NSP35 OCJ35:OCL35 OMF35:OMH35 OWB35:OWD35 PFX35:PFZ35 PPT35:PPV35 PZP35:PZR35 QJL35:QJN35 QTH35:QTJ35 RDD35:RDF35 RMZ35:RNB35 RWV35:RWX35 SGR35:SGT35 SQN35:SQP35 TAJ35:TAL35 TKF35:TKH35 TUB35:TUD35 UDX35:UDZ35 UNT35:UNV35 UXP35:UXR35 VHL35:VHN35 VRH35:VRJ35 WBD35:WBF35 WKZ35:WLB35 WUV35:WUX35 IJ65572:IL65572 SF65572:SH65572 ACB65572:ACD65572 ALX65572:ALZ65572 AVT65572:AVV65572 BFP65572:BFR65572 BPL65572:BPN65572 BZH65572:BZJ65572 CJD65572:CJF65572 CSZ65572:CTB65572 DCV65572:DCX65572 DMR65572:DMT65572 DWN65572:DWP65572 EGJ65572:EGL65572 EQF65572:EQH65572 FAB65572:FAD65572 FJX65572:FJZ65572 FTT65572:FTV65572 GDP65572:GDR65572 GNL65572:GNN65572 GXH65572:GXJ65572 HHD65572:HHF65572 HQZ65572:HRB65572 IAV65572:IAX65572 IKR65572:IKT65572 IUN65572:IUP65572 JEJ65572:JEL65572 JOF65572:JOH65572 JYB65572:JYD65572 KHX65572:KHZ65572 KRT65572:KRV65572 LBP65572:LBR65572 LLL65572:LLN65572 LVH65572:LVJ65572 MFD65572:MFF65572 MOZ65572:MPB65572 MYV65572:MYX65572 NIR65572:NIT65572 NSN65572:NSP65572 OCJ65572:OCL65572 OMF65572:OMH65572 OWB65572:OWD65572 PFX65572:PFZ65572 PPT65572:PPV65572 PZP65572:PZR65572 QJL65572:QJN65572 QTH65572:QTJ65572 RDD65572:RDF65572 RMZ65572:RNB65572 RWV65572:RWX65572 SGR65572:SGT65572 SQN65572:SQP65572 TAJ65572:TAL65572 TKF65572:TKH65572 TUB65572:TUD65572 UDX65572:UDZ65572 UNT65572:UNV65572 UXP65572:UXR65572 VHL65572:VHN65572 VRH65572:VRJ65572 WBD65572:WBF65572 WKZ65572:WLB65572 WUV65572:WUX65572 IJ131108:IL131108 SF131108:SH131108 ACB131108:ACD131108 ALX131108:ALZ131108 AVT131108:AVV131108 BFP131108:BFR131108 BPL131108:BPN131108 BZH131108:BZJ131108 CJD131108:CJF131108 CSZ131108:CTB131108 DCV131108:DCX131108 DMR131108:DMT131108 DWN131108:DWP131108 EGJ131108:EGL131108 EQF131108:EQH131108 FAB131108:FAD131108 FJX131108:FJZ131108 FTT131108:FTV131108 GDP131108:GDR131108 GNL131108:GNN131108 GXH131108:GXJ131108 HHD131108:HHF131108 HQZ131108:HRB131108 IAV131108:IAX131108 IKR131108:IKT131108 IUN131108:IUP131108 JEJ131108:JEL131108 JOF131108:JOH131108 JYB131108:JYD131108 KHX131108:KHZ131108 KRT131108:KRV131108 LBP131108:LBR131108 LLL131108:LLN131108 LVH131108:LVJ131108 MFD131108:MFF131108 MOZ131108:MPB131108 MYV131108:MYX131108 NIR131108:NIT131108 NSN131108:NSP131108 OCJ131108:OCL131108 OMF131108:OMH131108 OWB131108:OWD131108 PFX131108:PFZ131108 PPT131108:PPV131108 PZP131108:PZR131108 QJL131108:QJN131108 QTH131108:QTJ131108 RDD131108:RDF131108 RMZ131108:RNB131108 RWV131108:RWX131108 SGR131108:SGT131108 SQN131108:SQP131108 TAJ131108:TAL131108 TKF131108:TKH131108 TUB131108:TUD131108 UDX131108:UDZ131108 UNT131108:UNV131108 UXP131108:UXR131108 VHL131108:VHN131108 VRH131108:VRJ131108 WBD131108:WBF131108 WKZ131108:WLB131108 WUV131108:WUX131108 IJ196644:IL196644 SF196644:SH196644 ACB196644:ACD196644 ALX196644:ALZ196644 AVT196644:AVV196644 BFP196644:BFR196644 BPL196644:BPN196644 BZH196644:BZJ196644 CJD196644:CJF196644 CSZ196644:CTB196644 DCV196644:DCX196644 DMR196644:DMT196644 DWN196644:DWP196644 EGJ196644:EGL196644 EQF196644:EQH196644 FAB196644:FAD196644 FJX196644:FJZ196644 FTT196644:FTV196644 GDP196644:GDR196644 GNL196644:GNN196644 GXH196644:GXJ196644 HHD196644:HHF196644 HQZ196644:HRB196644 IAV196644:IAX196644 IKR196644:IKT196644 IUN196644:IUP196644 JEJ196644:JEL196644 JOF196644:JOH196644 JYB196644:JYD196644 KHX196644:KHZ196644 KRT196644:KRV196644 LBP196644:LBR196644 LLL196644:LLN196644 LVH196644:LVJ196644 MFD196644:MFF196644 MOZ196644:MPB196644 MYV196644:MYX196644 NIR196644:NIT196644 NSN196644:NSP196644 OCJ196644:OCL196644 OMF196644:OMH196644 OWB196644:OWD196644 PFX196644:PFZ196644 PPT196644:PPV196644 PZP196644:PZR196644 QJL196644:QJN196644 QTH196644:QTJ196644 RDD196644:RDF196644 RMZ196644:RNB196644 RWV196644:RWX196644 SGR196644:SGT196644 SQN196644:SQP196644 TAJ196644:TAL196644 TKF196644:TKH196644 TUB196644:TUD196644 UDX196644:UDZ196644 UNT196644:UNV196644 UXP196644:UXR196644 VHL196644:VHN196644 VRH196644:VRJ196644 WBD196644:WBF196644 WKZ196644:WLB196644 WUV196644:WUX196644 IJ262180:IL262180 SF262180:SH262180 ACB262180:ACD262180 ALX262180:ALZ262180 AVT262180:AVV262180 BFP262180:BFR262180 BPL262180:BPN262180 BZH262180:BZJ262180 CJD262180:CJF262180 CSZ262180:CTB262180 DCV262180:DCX262180 DMR262180:DMT262180 DWN262180:DWP262180 EGJ262180:EGL262180 EQF262180:EQH262180 FAB262180:FAD262180 FJX262180:FJZ262180 FTT262180:FTV262180 GDP262180:GDR262180 GNL262180:GNN262180 GXH262180:GXJ262180 HHD262180:HHF262180 HQZ262180:HRB262180 IAV262180:IAX262180 IKR262180:IKT262180 IUN262180:IUP262180 JEJ262180:JEL262180 JOF262180:JOH262180 JYB262180:JYD262180 KHX262180:KHZ262180 KRT262180:KRV262180 LBP262180:LBR262180 LLL262180:LLN262180 LVH262180:LVJ262180 MFD262180:MFF262180 MOZ262180:MPB262180 MYV262180:MYX262180 NIR262180:NIT262180 NSN262180:NSP262180 OCJ262180:OCL262180 OMF262180:OMH262180 OWB262180:OWD262180 PFX262180:PFZ262180 PPT262180:PPV262180 PZP262180:PZR262180 QJL262180:QJN262180 QTH262180:QTJ262180 RDD262180:RDF262180 RMZ262180:RNB262180 RWV262180:RWX262180 SGR262180:SGT262180 SQN262180:SQP262180 TAJ262180:TAL262180 TKF262180:TKH262180 TUB262180:TUD262180 UDX262180:UDZ262180 UNT262180:UNV262180 UXP262180:UXR262180 VHL262180:VHN262180 VRH262180:VRJ262180 WBD262180:WBF262180 WKZ262180:WLB262180 WUV262180:WUX262180 IJ327716:IL327716 SF327716:SH327716 ACB327716:ACD327716 ALX327716:ALZ327716 AVT327716:AVV327716 BFP327716:BFR327716 BPL327716:BPN327716 BZH327716:BZJ327716 CJD327716:CJF327716 CSZ327716:CTB327716 DCV327716:DCX327716 DMR327716:DMT327716 DWN327716:DWP327716 EGJ327716:EGL327716 EQF327716:EQH327716 FAB327716:FAD327716 FJX327716:FJZ327716 FTT327716:FTV327716 GDP327716:GDR327716 GNL327716:GNN327716 GXH327716:GXJ327716 HHD327716:HHF327716 HQZ327716:HRB327716 IAV327716:IAX327716 IKR327716:IKT327716 IUN327716:IUP327716 JEJ327716:JEL327716 JOF327716:JOH327716 JYB327716:JYD327716 KHX327716:KHZ327716 KRT327716:KRV327716 LBP327716:LBR327716 LLL327716:LLN327716 LVH327716:LVJ327716 MFD327716:MFF327716 MOZ327716:MPB327716 MYV327716:MYX327716 NIR327716:NIT327716 NSN327716:NSP327716 OCJ327716:OCL327716 OMF327716:OMH327716 OWB327716:OWD327716 PFX327716:PFZ327716 PPT327716:PPV327716 PZP327716:PZR327716 QJL327716:QJN327716 QTH327716:QTJ327716 RDD327716:RDF327716 RMZ327716:RNB327716 RWV327716:RWX327716 SGR327716:SGT327716 SQN327716:SQP327716 TAJ327716:TAL327716 TKF327716:TKH327716 TUB327716:TUD327716 UDX327716:UDZ327716 UNT327716:UNV327716 UXP327716:UXR327716 VHL327716:VHN327716 VRH327716:VRJ327716 WBD327716:WBF327716 WKZ327716:WLB327716 WUV327716:WUX327716 IJ393252:IL393252 SF393252:SH393252 ACB393252:ACD393252 ALX393252:ALZ393252 AVT393252:AVV393252 BFP393252:BFR393252 BPL393252:BPN393252 BZH393252:BZJ393252 CJD393252:CJF393252 CSZ393252:CTB393252 DCV393252:DCX393252 DMR393252:DMT393252 DWN393252:DWP393252 EGJ393252:EGL393252 EQF393252:EQH393252 FAB393252:FAD393252 FJX393252:FJZ393252 FTT393252:FTV393252 GDP393252:GDR393252 GNL393252:GNN393252 GXH393252:GXJ393252 HHD393252:HHF393252 HQZ393252:HRB393252 IAV393252:IAX393252 IKR393252:IKT393252 IUN393252:IUP393252 JEJ393252:JEL393252 JOF393252:JOH393252 JYB393252:JYD393252 KHX393252:KHZ393252 KRT393252:KRV393252 LBP393252:LBR393252 LLL393252:LLN393252 LVH393252:LVJ393252 MFD393252:MFF393252 MOZ393252:MPB393252 MYV393252:MYX393252 NIR393252:NIT393252 NSN393252:NSP393252 OCJ393252:OCL393252 OMF393252:OMH393252 OWB393252:OWD393252 PFX393252:PFZ393252 PPT393252:PPV393252 PZP393252:PZR393252 QJL393252:QJN393252 QTH393252:QTJ393252 RDD393252:RDF393252 RMZ393252:RNB393252 RWV393252:RWX393252 SGR393252:SGT393252 SQN393252:SQP393252 TAJ393252:TAL393252 TKF393252:TKH393252 TUB393252:TUD393252 UDX393252:UDZ393252 UNT393252:UNV393252 UXP393252:UXR393252 VHL393252:VHN393252 VRH393252:VRJ393252 WBD393252:WBF393252 WKZ393252:WLB393252 WUV393252:WUX393252 IJ458788:IL458788 SF458788:SH458788 ACB458788:ACD458788 ALX458788:ALZ458788 AVT458788:AVV458788 BFP458788:BFR458788 BPL458788:BPN458788 BZH458788:BZJ458788 CJD458788:CJF458788 CSZ458788:CTB458788 DCV458788:DCX458788 DMR458788:DMT458788 DWN458788:DWP458788 EGJ458788:EGL458788 EQF458788:EQH458788 FAB458788:FAD458788 FJX458788:FJZ458788 FTT458788:FTV458788 GDP458788:GDR458788 GNL458788:GNN458788 GXH458788:GXJ458788 HHD458788:HHF458788 HQZ458788:HRB458788 IAV458788:IAX458788 IKR458788:IKT458788 IUN458788:IUP458788 JEJ458788:JEL458788 JOF458788:JOH458788 JYB458788:JYD458788 KHX458788:KHZ458788 KRT458788:KRV458788 LBP458788:LBR458788 LLL458788:LLN458788 LVH458788:LVJ458788 MFD458788:MFF458788 MOZ458788:MPB458788 MYV458788:MYX458788 NIR458788:NIT458788 NSN458788:NSP458788 OCJ458788:OCL458788 OMF458788:OMH458788 OWB458788:OWD458788 PFX458788:PFZ458788 PPT458788:PPV458788 PZP458788:PZR458788 QJL458788:QJN458788 QTH458788:QTJ458788 RDD458788:RDF458788 RMZ458788:RNB458788 RWV458788:RWX458788 SGR458788:SGT458788 SQN458788:SQP458788 TAJ458788:TAL458788 TKF458788:TKH458788 TUB458788:TUD458788 UDX458788:UDZ458788 UNT458788:UNV458788 UXP458788:UXR458788 VHL458788:VHN458788 VRH458788:VRJ458788 WBD458788:WBF458788 WKZ458788:WLB458788 WUV458788:WUX458788 IJ524324:IL524324 SF524324:SH524324 ACB524324:ACD524324 ALX524324:ALZ524324 AVT524324:AVV524324 BFP524324:BFR524324 BPL524324:BPN524324 BZH524324:BZJ524324 CJD524324:CJF524324 CSZ524324:CTB524324 DCV524324:DCX524324 DMR524324:DMT524324 DWN524324:DWP524324 EGJ524324:EGL524324 EQF524324:EQH524324 FAB524324:FAD524324 FJX524324:FJZ524324 FTT524324:FTV524324 GDP524324:GDR524324 GNL524324:GNN524324 GXH524324:GXJ524324 HHD524324:HHF524324 HQZ524324:HRB524324 IAV524324:IAX524324 IKR524324:IKT524324 IUN524324:IUP524324 JEJ524324:JEL524324 JOF524324:JOH524324 JYB524324:JYD524324 KHX524324:KHZ524324 KRT524324:KRV524324 LBP524324:LBR524324 LLL524324:LLN524324 LVH524324:LVJ524324 MFD524324:MFF524324 MOZ524324:MPB524324 MYV524324:MYX524324 NIR524324:NIT524324 NSN524324:NSP524324 OCJ524324:OCL524324 OMF524324:OMH524324 OWB524324:OWD524324 PFX524324:PFZ524324 PPT524324:PPV524324 PZP524324:PZR524324 QJL524324:QJN524324 QTH524324:QTJ524324 RDD524324:RDF524324 RMZ524324:RNB524324 RWV524324:RWX524324 SGR524324:SGT524324 SQN524324:SQP524324 TAJ524324:TAL524324 TKF524324:TKH524324 TUB524324:TUD524324 UDX524324:UDZ524324 UNT524324:UNV524324 UXP524324:UXR524324 VHL524324:VHN524324 VRH524324:VRJ524324 WBD524324:WBF524324 WKZ524324:WLB524324 WUV524324:WUX524324 IJ589860:IL589860 SF589860:SH589860 ACB589860:ACD589860 ALX589860:ALZ589860 AVT589860:AVV589860 BFP589860:BFR589860 BPL589860:BPN589860 BZH589860:BZJ589860 CJD589860:CJF589860 CSZ589860:CTB589860 DCV589860:DCX589860 DMR589860:DMT589860 DWN589860:DWP589860 EGJ589860:EGL589860 EQF589860:EQH589860 FAB589860:FAD589860 FJX589860:FJZ589860 FTT589860:FTV589860 GDP589860:GDR589860 GNL589860:GNN589860 GXH589860:GXJ589860 HHD589860:HHF589860 HQZ589860:HRB589860 IAV589860:IAX589860 IKR589860:IKT589860 IUN589860:IUP589860 JEJ589860:JEL589860 JOF589860:JOH589860 JYB589860:JYD589860 KHX589860:KHZ589860 KRT589860:KRV589860 LBP589860:LBR589860 LLL589860:LLN589860 LVH589860:LVJ589860 MFD589860:MFF589860 MOZ589860:MPB589860 MYV589860:MYX589860 NIR589860:NIT589860 NSN589860:NSP589860 OCJ589860:OCL589860 OMF589860:OMH589860 OWB589860:OWD589860 PFX589860:PFZ589860 PPT589860:PPV589860 PZP589860:PZR589860 QJL589860:QJN589860 QTH589860:QTJ589860 RDD589860:RDF589860 RMZ589860:RNB589860 RWV589860:RWX589860 SGR589860:SGT589860 SQN589860:SQP589860 TAJ589860:TAL589860 TKF589860:TKH589860 TUB589860:TUD589860 UDX589860:UDZ589860 UNT589860:UNV589860 UXP589860:UXR589860 VHL589860:VHN589860 VRH589860:VRJ589860 WBD589860:WBF589860 WKZ589860:WLB589860 WUV589860:WUX589860 IJ655396:IL655396 SF655396:SH655396 ACB655396:ACD655396 ALX655396:ALZ655396 AVT655396:AVV655396 BFP655396:BFR655396 BPL655396:BPN655396 BZH655396:BZJ655396 CJD655396:CJF655396 CSZ655396:CTB655396 DCV655396:DCX655396 DMR655396:DMT655396 DWN655396:DWP655396 EGJ655396:EGL655396 EQF655396:EQH655396 FAB655396:FAD655396 FJX655396:FJZ655396 FTT655396:FTV655396 GDP655396:GDR655396 GNL655396:GNN655396 GXH655396:GXJ655396 HHD655396:HHF655396 HQZ655396:HRB655396 IAV655396:IAX655396 IKR655396:IKT655396 IUN655396:IUP655396 JEJ655396:JEL655396 JOF655396:JOH655396 JYB655396:JYD655396 KHX655396:KHZ655396 KRT655396:KRV655396 LBP655396:LBR655396 LLL655396:LLN655396 LVH655396:LVJ655396 MFD655396:MFF655396 MOZ655396:MPB655396 MYV655396:MYX655396 NIR655396:NIT655396 NSN655396:NSP655396 OCJ655396:OCL655396 OMF655396:OMH655396 OWB655396:OWD655396 PFX655396:PFZ655396 PPT655396:PPV655396 PZP655396:PZR655396 QJL655396:QJN655396 QTH655396:QTJ655396 RDD655396:RDF655396 RMZ655396:RNB655396 RWV655396:RWX655396 SGR655396:SGT655396 SQN655396:SQP655396 TAJ655396:TAL655396 TKF655396:TKH655396 TUB655396:TUD655396 UDX655396:UDZ655396 UNT655396:UNV655396 UXP655396:UXR655396 VHL655396:VHN655396 VRH655396:VRJ655396 WBD655396:WBF655396 WKZ655396:WLB655396 WUV655396:WUX655396 IJ720932:IL720932 SF720932:SH720932 ACB720932:ACD720932 ALX720932:ALZ720932 AVT720932:AVV720932 BFP720932:BFR720932 BPL720932:BPN720932 BZH720932:BZJ720932 CJD720932:CJF720932 CSZ720932:CTB720932 DCV720932:DCX720932 DMR720932:DMT720932 DWN720932:DWP720932 EGJ720932:EGL720932 EQF720932:EQH720932 FAB720932:FAD720932 FJX720932:FJZ720932 FTT720932:FTV720932 GDP720932:GDR720932 GNL720932:GNN720932 GXH720932:GXJ720932 HHD720932:HHF720932 HQZ720932:HRB720932 IAV720932:IAX720932 IKR720932:IKT720932 IUN720932:IUP720932 JEJ720932:JEL720932 JOF720932:JOH720932 JYB720932:JYD720932 KHX720932:KHZ720932 KRT720932:KRV720932 LBP720932:LBR720932 LLL720932:LLN720932 LVH720932:LVJ720932 MFD720932:MFF720932 MOZ720932:MPB720932 MYV720932:MYX720932 NIR720932:NIT720932 NSN720932:NSP720932 OCJ720932:OCL720932 OMF720932:OMH720932 OWB720932:OWD720932 PFX720932:PFZ720932 PPT720932:PPV720932 PZP720932:PZR720932 QJL720932:QJN720932 QTH720932:QTJ720932 RDD720932:RDF720932 RMZ720932:RNB720932 RWV720932:RWX720932 SGR720932:SGT720932 SQN720932:SQP720932 TAJ720932:TAL720932 TKF720932:TKH720932 TUB720932:TUD720932 UDX720932:UDZ720932 UNT720932:UNV720932 UXP720932:UXR720932 VHL720932:VHN720932 VRH720932:VRJ720932 WBD720932:WBF720932 WKZ720932:WLB720932 WUV720932:WUX720932 IJ786468:IL786468 SF786468:SH786468 ACB786468:ACD786468 ALX786468:ALZ786468 AVT786468:AVV786468 BFP786468:BFR786468 BPL786468:BPN786468 BZH786468:BZJ786468 CJD786468:CJF786468 CSZ786468:CTB786468 DCV786468:DCX786468 DMR786468:DMT786468 DWN786468:DWP786468 EGJ786468:EGL786468 EQF786468:EQH786468 FAB786468:FAD786468 FJX786468:FJZ786468 FTT786468:FTV786468 GDP786468:GDR786468 GNL786468:GNN786468 GXH786468:GXJ786468 HHD786468:HHF786468 HQZ786468:HRB786468 IAV786468:IAX786468 IKR786468:IKT786468 IUN786468:IUP786468 JEJ786468:JEL786468 JOF786468:JOH786468 JYB786468:JYD786468 KHX786468:KHZ786468 KRT786468:KRV786468 LBP786468:LBR786468 LLL786468:LLN786468 LVH786468:LVJ786468 MFD786468:MFF786468 MOZ786468:MPB786468 MYV786468:MYX786468 NIR786468:NIT786468 NSN786468:NSP786468 OCJ786468:OCL786468 OMF786468:OMH786468 OWB786468:OWD786468 PFX786468:PFZ786468 PPT786468:PPV786468 PZP786468:PZR786468 QJL786468:QJN786468 QTH786468:QTJ786468 RDD786468:RDF786468 RMZ786468:RNB786468 RWV786468:RWX786468 SGR786468:SGT786468 SQN786468:SQP786468 TAJ786468:TAL786468 TKF786468:TKH786468 TUB786468:TUD786468 UDX786468:UDZ786468 UNT786468:UNV786468 UXP786468:UXR786468 VHL786468:VHN786468 VRH786468:VRJ786468 WBD786468:WBF786468 WKZ786468:WLB786468 WUV786468:WUX786468 IJ852004:IL852004 SF852004:SH852004 ACB852004:ACD852004 ALX852004:ALZ852004 AVT852004:AVV852004 BFP852004:BFR852004 BPL852004:BPN852004 BZH852004:BZJ852004 CJD852004:CJF852004 CSZ852004:CTB852004 DCV852004:DCX852004 DMR852004:DMT852004 DWN852004:DWP852004 EGJ852004:EGL852004 EQF852004:EQH852004 FAB852004:FAD852004 FJX852004:FJZ852004 FTT852004:FTV852004 GDP852004:GDR852004 GNL852004:GNN852004 GXH852004:GXJ852004 HHD852004:HHF852004 HQZ852004:HRB852004 IAV852004:IAX852004 IKR852004:IKT852004 IUN852004:IUP852004 JEJ852004:JEL852004 JOF852004:JOH852004 JYB852004:JYD852004 KHX852004:KHZ852004 KRT852004:KRV852004 LBP852004:LBR852004 LLL852004:LLN852004 LVH852004:LVJ852004 MFD852004:MFF852004 MOZ852004:MPB852004 MYV852004:MYX852004 NIR852004:NIT852004 NSN852004:NSP852004 OCJ852004:OCL852004 OMF852004:OMH852004 OWB852004:OWD852004 PFX852004:PFZ852004 PPT852004:PPV852004 PZP852004:PZR852004 QJL852004:QJN852004 QTH852004:QTJ852004 RDD852004:RDF852004 RMZ852004:RNB852004 RWV852004:RWX852004 SGR852004:SGT852004 SQN852004:SQP852004 TAJ852004:TAL852004 TKF852004:TKH852004 TUB852004:TUD852004 UDX852004:UDZ852004 UNT852004:UNV852004 UXP852004:UXR852004 VHL852004:VHN852004 VRH852004:VRJ852004 WBD852004:WBF852004 WKZ852004:WLB852004 WUV852004:WUX852004 IJ917540:IL917540 SF917540:SH917540 ACB917540:ACD917540 ALX917540:ALZ917540 AVT917540:AVV917540 BFP917540:BFR917540 BPL917540:BPN917540 BZH917540:BZJ917540 CJD917540:CJF917540 CSZ917540:CTB917540 DCV917540:DCX917540 DMR917540:DMT917540 DWN917540:DWP917540 EGJ917540:EGL917540 EQF917540:EQH917540 FAB917540:FAD917540 FJX917540:FJZ917540 FTT917540:FTV917540 GDP917540:GDR917540 GNL917540:GNN917540 GXH917540:GXJ917540 HHD917540:HHF917540 HQZ917540:HRB917540 IAV917540:IAX917540 IKR917540:IKT917540 IUN917540:IUP917540 JEJ917540:JEL917540 JOF917540:JOH917540 JYB917540:JYD917540 KHX917540:KHZ917540 KRT917540:KRV917540 LBP917540:LBR917540 LLL917540:LLN917540 LVH917540:LVJ917540 MFD917540:MFF917540 MOZ917540:MPB917540 MYV917540:MYX917540 NIR917540:NIT917540 NSN917540:NSP917540 OCJ917540:OCL917540 OMF917540:OMH917540 OWB917540:OWD917540 PFX917540:PFZ917540 PPT917540:PPV917540 PZP917540:PZR917540 QJL917540:QJN917540 QTH917540:QTJ917540 RDD917540:RDF917540 RMZ917540:RNB917540 RWV917540:RWX917540 SGR917540:SGT917540 SQN917540:SQP917540 TAJ917540:TAL917540 TKF917540:TKH917540 TUB917540:TUD917540 UDX917540:UDZ917540 UNT917540:UNV917540 UXP917540:UXR917540 VHL917540:VHN917540 VRH917540:VRJ917540 WBD917540:WBF917540 WKZ917540:WLB917540 WUV917540:WUX917540 IJ983076:IL983076 SF983076:SH983076 ACB983076:ACD983076 ALX983076:ALZ983076 AVT983076:AVV983076 BFP983076:BFR983076 BPL983076:BPN983076 BZH983076:BZJ983076 CJD983076:CJF983076 CSZ983076:CTB983076 DCV983076:DCX983076 DMR983076:DMT983076 DWN983076:DWP983076 EGJ983076:EGL983076 EQF983076:EQH983076 FAB983076:FAD983076 FJX983076:FJZ983076 FTT983076:FTV983076 GDP983076:GDR983076 GNL983076:GNN983076 GXH983076:GXJ983076 HHD983076:HHF983076 HQZ983076:HRB983076 IAV983076:IAX983076 IKR983076:IKT983076 IUN983076:IUP983076 JEJ983076:JEL983076 JOF983076:JOH983076 JYB983076:JYD983076 KHX983076:KHZ983076 KRT983076:KRV983076 LBP983076:LBR983076 LLL983076:LLN983076 LVH983076:LVJ983076 MFD983076:MFF983076 MOZ983076:MPB983076 MYV983076:MYX983076 NIR983076:NIT983076 NSN983076:NSP983076 OCJ983076:OCL983076 OMF983076:OMH983076 OWB983076:OWD983076 PFX983076:PFZ983076 PPT983076:PPV983076 PZP983076:PZR983076 QJL983076:QJN983076 QTH983076:QTJ983076 RDD983076:RDF983076 RMZ983076:RNB983076 RWV983076:RWX983076 SGR983076:SGT983076 SQN983076:SQP983076 TAJ983076:TAL983076 TKF983076:TKH983076 TUB983076:TUD983076 UDX983076:UDZ983076 UNT983076:UNV983076 UXP983076:UXR983076 VHL983076:VHN983076 VRH983076:VRJ983076 WBD983076:WBF983076 WKZ983076:WLB983076 WUV983076:WUX983076 B983076:D983076 B917540:D917540 B852004:D852004 B786468:D786468 B720932:D720932 B655396:D655396 B589860:D589860 B524324:D524324 B458788:D458788 B393252:D393252 B327716:D327716 B262180:D262180 B196644:D196644 B131108:D131108 B65572:D65572">
      <formula1>Währung</formula1>
    </dataValidation>
    <dataValidation type="list" allowBlank="1" showInputMessage="1" showErrorMessage="1" sqref="IN29:IP29 SJ29:SL29 ACF29:ACH29 AMB29:AMD29 AVX29:AVZ29 BFT29:BFV29 BPP29:BPR29 BZL29:BZN29 CJH29:CJJ29 CTD29:CTF29 DCZ29:DDB29 DMV29:DMX29 DWR29:DWT29 EGN29:EGP29 EQJ29:EQL29 FAF29:FAH29 FKB29:FKD29 FTX29:FTZ29 GDT29:GDV29 GNP29:GNR29 GXL29:GXN29 HHH29:HHJ29 HRD29:HRF29 IAZ29:IBB29 IKV29:IKX29 IUR29:IUT29 JEN29:JEP29 JOJ29:JOL29 JYF29:JYH29 KIB29:KID29 KRX29:KRZ29 LBT29:LBV29 LLP29:LLR29 LVL29:LVN29 MFH29:MFJ29 MPD29:MPF29 MYZ29:MZB29 NIV29:NIX29 NSR29:NST29 OCN29:OCP29 OMJ29:OML29 OWF29:OWH29 PGB29:PGD29 PPX29:PPZ29 PZT29:PZV29 QJP29:QJR29 QTL29:QTN29 RDH29:RDJ29 RND29:RNF29 RWZ29:RXB29 SGV29:SGX29 SQR29:SQT29 TAN29:TAP29 TKJ29:TKL29 TUF29:TUH29 UEB29:UED29 UNX29:UNZ29 UXT29:UXV29 VHP29:VHR29 VRL29:VRN29 WBH29:WBJ29 WLD29:WLF29 WUZ29:WVB29 IN65566:IP65566 SJ65566:SL65566 ACF65566:ACH65566 AMB65566:AMD65566 AVX65566:AVZ65566 BFT65566:BFV65566 BPP65566:BPR65566 BZL65566:BZN65566 CJH65566:CJJ65566 CTD65566:CTF65566 DCZ65566:DDB65566 DMV65566:DMX65566 DWR65566:DWT65566 EGN65566:EGP65566 EQJ65566:EQL65566 FAF65566:FAH65566 FKB65566:FKD65566 FTX65566:FTZ65566 GDT65566:GDV65566 GNP65566:GNR65566 GXL65566:GXN65566 HHH65566:HHJ65566 HRD65566:HRF65566 IAZ65566:IBB65566 IKV65566:IKX65566 IUR65566:IUT65566 JEN65566:JEP65566 JOJ65566:JOL65566 JYF65566:JYH65566 KIB65566:KID65566 KRX65566:KRZ65566 LBT65566:LBV65566 LLP65566:LLR65566 LVL65566:LVN65566 MFH65566:MFJ65566 MPD65566:MPF65566 MYZ65566:MZB65566 NIV65566:NIX65566 NSR65566:NST65566 OCN65566:OCP65566 OMJ65566:OML65566 OWF65566:OWH65566 PGB65566:PGD65566 PPX65566:PPZ65566 PZT65566:PZV65566 QJP65566:QJR65566 QTL65566:QTN65566 RDH65566:RDJ65566 RND65566:RNF65566 RWZ65566:RXB65566 SGV65566:SGX65566 SQR65566:SQT65566 TAN65566:TAP65566 TKJ65566:TKL65566 TUF65566:TUH65566 UEB65566:UED65566 UNX65566:UNZ65566 UXT65566:UXV65566 VHP65566:VHR65566 VRL65566:VRN65566 WBH65566:WBJ65566 WLD65566:WLF65566 WUZ65566:WVB65566 IN131102:IP131102 SJ131102:SL131102 ACF131102:ACH131102 AMB131102:AMD131102 AVX131102:AVZ131102 BFT131102:BFV131102 BPP131102:BPR131102 BZL131102:BZN131102 CJH131102:CJJ131102 CTD131102:CTF131102 DCZ131102:DDB131102 DMV131102:DMX131102 DWR131102:DWT131102 EGN131102:EGP131102 EQJ131102:EQL131102 FAF131102:FAH131102 FKB131102:FKD131102 FTX131102:FTZ131102 GDT131102:GDV131102 GNP131102:GNR131102 GXL131102:GXN131102 HHH131102:HHJ131102 HRD131102:HRF131102 IAZ131102:IBB131102 IKV131102:IKX131102 IUR131102:IUT131102 JEN131102:JEP131102 JOJ131102:JOL131102 JYF131102:JYH131102 KIB131102:KID131102 KRX131102:KRZ131102 LBT131102:LBV131102 LLP131102:LLR131102 LVL131102:LVN131102 MFH131102:MFJ131102 MPD131102:MPF131102 MYZ131102:MZB131102 NIV131102:NIX131102 NSR131102:NST131102 OCN131102:OCP131102 OMJ131102:OML131102 OWF131102:OWH131102 PGB131102:PGD131102 PPX131102:PPZ131102 PZT131102:PZV131102 QJP131102:QJR131102 QTL131102:QTN131102 RDH131102:RDJ131102 RND131102:RNF131102 RWZ131102:RXB131102 SGV131102:SGX131102 SQR131102:SQT131102 TAN131102:TAP131102 TKJ131102:TKL131102 TUF131102:TUH131102 UEB131102:UED131102 UNX131102:UNZ131102 UXT131102:UXV131102 VHP131102:VHR131102 VRL131102:VRN131102 WBH131102:WBJ131102 WLD131102:WLF131102 WUZ131102:WVB131102 IN196638:IP196638 SJ196638:SL196638 ACF196638:ACH196638 AMB196638:AMD196638 AVX196638:AVZ196638 BFT196638:BFV196638 BPP196638:BPR196638 BZL196638:BZN196638 CJH196638:CJJ196638 CTD196638:CTF196638 DCZ196638:DDB196638 DMV196638:DMX196638 DWR196638:DWT196638 EGN196638:EGP196638 EQJ196638:EQL196638 FAF196638:FAH196638 FKB196638:FKD196638 FTX196638:FTZ196638 GDT196638:GDV196638 GNP196638:GNR196638 GXL196638:GXN196638 HHH196638:HHJ196638 HRD196638:HRF196638 IAZ196638:IBB196638 IKV196638:IKX196638 IUR196638:IUT196638 JEN196638:JEP196638 JOJ196638:JOL196638 JYF196638:JYH196638 KIB196638:KID196638 KRX196638:KRZ196638 LBT196638:LBV196638 LLP196638:LLR196638 LVL196638:LVN196638 MFH196638:MFJ196638 MPD196638:MPF196638 MYZ196638:MZB196638 NIV196638:NIX196638 NSR196638:NST196638 OCN196638:OCP196638 OMJ196638:OML196638 OWF196638:OWH196638 PGB196638:PGD196638 PPX196638:PPZ196638 PZT196638:PZV196638 QJP196638:QJR196638 QTL196638:QTN196638 RDH196638:RDJ196638 RND196638:RNF196638 RWZ196638:RXB196638 SGV196638:SGX196638 SQR196638:SQT196638 TAN196638:TAP196638 TKJ196638:TKL196638 TUF196638:TUH196638 UEB196638:UED196638 UNX196638:UNZ196638 UXT196638:UXV196638 VHP196638:VHR196638 VRL196638:VRN196638 WBH196638:WBJ196638 WLD196638:WLF196638 WUZ196638:WVB196638 IN262174:IP262174 SJ262174:SL262174 ACF262174:ACH262174 AMB262174:AMD262174 AVX262174:AVZ262174 BFT262174:BFV262174 BPP262174:BPR262174 BZL262174:BZN262174 CJH262174:CJJ262174 CTD262174:CTF262174 DCZ262174:DDB262174 DMV262174:DMX262174 DWR262174:DWT262174 EGN262174:EGP262174 EQJ262174:EQL262174 FAF262174:FAH262174 FKB262174:FKD262174 FTX262174:FTZ262174 GDT262174:GDV262174 GNP262174:GNR262174 GXL262174:GXN262174 HHH262174:HHJ262174 HRD262174:HRF262174 IAZ262174:IBB262174 IKV262174:IKX262174 IUR262174:IUT262174 JEN262174:JEP262174 JOJ262174:JOL262174 JYF262174:JYH262174 KIB262174:KID262174 KRX262174:KRZ262174 LBT262174:LBV262174 LLP262174:LLR262174 LVL262174:LVN262174 MFH262174:MFJ262174 MPD262174:MPF262174 MYZ262174:MZB262174 NIV262174:NIX262174 NSR262174:NST262174 OCN262174:OCP262174 OMJ262174:OML262174 OWF262174:OWH262174 PGB262174:PGD262174 PPX262174:PPZ262174 PZT262174:PZV262174 QJP262174:QJR262174 QTL262174:QTN262174 RDH262174:RDJ262174 RND262174:RNF262174 RWZ262174:RXB262174 SGV262174:SGX262174 SQR262174:SQT262174 TAN262174:TAP262174 TKJ262174:TKL262174 TUF262174:TUH262174 UEB262174:UED262174 UNX262174:UNZ262174 UXT262174:UXV262174 VHP262174:VHR262174 VRL262174:VRN262174 WBH262174:WBJ262174 WLD262174:WLF262174 WUZ262174:WVB262174 IN327710:IP327710 SJ327710:SL327710 ACF327710:ACH327710 AMB327710:AMD327710 AVX327710:AVZ327710 BFT327710:BFV327710 BPP327710:BPR327710 BZL327710:BZN327710 CJH327710:CJJ327710 CTD327710:CTF327710 DCZ327710:DDB327710 DMV327710:DMX327710 DWR327710:DWT327710 EGN327710:EGP327710 EQJ327710:EQL327710 FAF327710:FAH327710 FKB327710:FKD327710 FTX327710:FTZ327710 GDT327710:GDV327710 GNP327710:GNR327710 GXL327710:GXN327710 HHH327710:HHJ327710 HRD327710:HRF327710 IAZ327710:IBB327710 IKV327710:IKX327710 IUR327710:IUT327710 JEN327710:JEP327710 JOJ327710:JOL327710 JYF327710:JYH327710 KIB327710:KID327710 KRX327710:KRZ327710 LBT327710:LBV327710 LLP327710:LLR327710 LVL327710:LVN327710 MFH327710:MFJ327710 MPD327710:MPF327710 MYZ327710:MZB327710 NIV327710:NIX327710 NSR327710:NST327710 OCN327710:OCP327710 OMJ327710:OML327710 OWF327710:OWH327710 PGB327710:PGD327710 PPX327710:PPZ327710 PZT327710:PZV327710 QJP327710:QJR327710 QTL327710:QTN327710 RDH327710:RDJ327710 RND327710:RNF327710 RWZ327710:RXB327710 SGV327710:SGX327710 SQR327710:SQT327710 TAN327710:TAP327710 TKJ327710:TKL327710 TUF327710:TUH327710 UEB327710:UED327710 UNX327710:UNZ327710 UXT327710:UXV327710 VHP327710:VHR327710 VRL327710:VRN327710 WBH327710:WBJ327710 WLD327710:WLF327710 WUZ327710:WVB327710 IN393246:IP393246 SJ393246:SL393246 ACF393246:ACH393246 AMB393246:AMD393246 AVX393246:AVZ393246 BFT393246:BFV393246 BPP393246:BPR393246 BZL393246:BZN393246 CJH393246:CJJ393246 CTD393246:CTF393246 DCZ393246:DDB393246 DMV393246:DMX393246 DWR393246:DWT393246 EGN393246:EGP393246 EQJ393246:EQL393246 FAF393246:FAH393246 FKB393246:FKD393246 FTX393246:FTZ393246 GDT393246:GDV393246 GNP393246:GNR393246 GXL393246:GXN393246 HHH393246:HHJ393246 HRD393246:HRF393246 IAZ393246:IBB393246 IKV393246:IKX393246 IUR393246:IUT393246 JEN393246:JEP393246 JOJ393246:JOL393246 JYF393246:JYH393246 KIB393246:KID393246 KRX393246:KRZ393246 LBT393246:LBV393246 LLP393246:LLR393246 LVL393246:LVN393246 MFH393246:MFJ393246 MPD393246:MPF393246 MYZ393246:MZB393246 NIV393246:NIX393246 NSR393246:NST393246 OCN393246:OCP393246 OMJ393246:OML393246 OWF393246:OWH393246 PGB393246:PGD393246 PPX393246:PPZ393246 PZT393246:PZV393246 QJP393246:QJR393246 QTL393246:QTN393246 RDH393246:RDJ393246 RND393246:RNF393246 RWZ393246:RXB393246 SGV393246:SGX393246 SQR393246:SQT393246 TAN393246:TAP393246 TKJ393246:TKL393246 TUF393246:TUH393246 UEB393246:UED393246 UNX393246:UNZ393246 UXT393246:UXV393246 VHP393246:VHR393246 VRL393246:VRN393246 WBH393246:WBJ393246 WLD393246:WLF393246 WUZ393246:WVB393246 IN458782:IP458782 SJ458782:SL458782 ACF458782:ACH458782 AMB458782:AMD458782 AVX458782:AVZ458782 BFT458782:BFV458782 BPP458782:BPR458782 BZL458782:BZN458782 CJH458782:CJJ458782 CTD458782:CTF458782 DCZ458782:DDB458782 DMV458782:DMX458782 DWR458782:DWT458782 EGN458782:EGP458782 EQJ458782:EQL458782 FAF458782:FAH458782 FKB458782:FKD458782 FTX458782:FTZ458782 GDT458782:GDV458782 GNP458782:GNR458782 GXL458782:GXN458782 HHH458782:HHJ458782 HRD458782:HRF458782 IAZ458782:IBB458782 IKV458782:IKX458782 IUR458782:IUT458782 JEN458782:JEP458782 JOJ458782:JOL458782 JYF458782:JYH458782 KIB458782:KID458782 KRX458782:KRZ458782 LBT458782:LBV458782 LLP458782:LLR458782 LVL458782:LVN458782 MFH458782:MFJ458782 MPD458782:MPF458782 MYZ458782:MZB458782 NIV458782:NIX458782 NSR458782:NST458782 OCN458782:OCP458782 OMJ458782:OML458782 OWF458782:OWH458782 PGB458782:PGD458782 PPX458782:PPZ458782 PZT458782:PZV458782 QJP458782:QJR458782 QTL458782:QTN458782 RDH458782:RDJ458782 RND458782:RNF458782 RWZ458782:RXB458782 SGV458782:SGX458782 SQR458782:SQT458782 TAN458782:TAP458782 TKJ458782:TKL458782 TUF458782:TUH458782 UEB458782:UED458782 UNX458782:UNZ458782 UXT458782:UXV458782 VHP458782:VHR458782 VRL458782:VRN458782 WBH458782:WBJ458782 WLD458782:WLF458782 WUZ458782:WVB458782 IN524318:IP524318 SJ524318:SL524318 ACF524318:ACH524318 AMB524318:AMD524318 AVX524318:AVZ524318 BFT524318:BFV524318 BPP524318:BPR524318 BZL524318:BZN524318 CJH524318:CJJ524318 CTD524318:CTF524318 DCZ524318:DDB524318 DMV524318:DMX524318 DWR524318:DWT524318 EGN524318:EGP524318 EQJ524318:EQL524318 FAF524318:FAH524318 FKB524318:FKD524318 FTX524318:FTZ524318 GDT524318:GDV524318 GNP524318:GNR524318 GXL524318:GXN524318 HHH524318:HHJ524318 HRD524318:HRF524318 IAZ524318:IBB524318 IKV524318:IKX524318 IUR524318:IUT524318 JEN524318:JEP524318 JOJ524318:JOL524318 JYF524318:JYH524318 KIB524318:KID524318 KRX524318:KRZ524318 LBT524318:LBV524318 LLP524318:LLR524318 LVL524318:LVN524318 MFH524318:MFJ524318 MPD524318:MPF524318 MYZ524318:MZB524318 NIV524318:NIX524318 NSR524318:NST524318 OCN524318:OCP524318 OMJ524318:OML524318 OWF524318:OWH524318 PGB524318:PGD524318 PPX524318:PPZ524318 PZT524318:PZV524318 QJP524318:QJR524318 QTL524318:QTN524318 RDH524318:RDJ524318 RND524318:RNF524318 RWZ524318:RXB524318 SGV524318:SGX524318 SQR524318:SQT524318 TAN524318:TAP524318 TKJ524318:TKL524318 TUF524318:TUH524318 UEB524318:UED524318 UNX524318:UNZ524318 UXT524318:UXV524318 VHP524318:VHR524318 VRL524318:VRN524318 WBH524318:WBJ524318 WLD524318:WLF524318 WUZ524318:WVB524318 IN589854:IP589854 SJ589854:SL589854 ACF589854:ACH589854 AMB589854:AMD589854 AVX589854:AVZ589854 BFT589854:BFV589854 BPP589854:BPR589854 BZL589854:BZN589854 CJH589854:CJJ589854 CTD589854:CTF589854 DCZ589854:DDB589854 DMV589854:DMX589854 DWR589854:DWT589854 EGN589854:EGP589854 EQJ589854:EQL589854 FAF589854:FAH589854 FKB589854:FKD589854 FTX589854:FTZ589854 GDT589854:GDV589854 GNP589854:GNR589854 GXL589854:GXN589854 HHH589854:HHJ589854 HRD589854:HRF589854 IAZ589854:IBB589854 IKV589854:IKX589854 IUR589854:IUT589854 JEN589854:JEP589854 JOJ589854:JOL589854 JYF589854:JYH589854 KIB589854:KID589854 KRX589854:KRZ589854 LBT589854:LBV589854 LLP589854:LLR589854 LVL589854:LVN589854 MFH589854:MFJ589854 MPD589854:MPF589854 MYZ589854:MZB589854 NIV589854:NIX589854 NSR589854:NST589854 OCN589854:OCP589854 OMJ589854:OML589854 OWF589854:OWH589854 PGB589854:PGD589854 PPX589854:PPZ589854 PZT589854:PZV589854 QJP589854:QJR589854 QTL589854:QTN589854 RDH589854:RDJ589854 RND589854:RNF589854 RWZ589854:RXB589854 SGV589854:SGX589854 SQR589854:SQT589854 TAN589854:TAP589854 TKJ589854:TKL589854 TUF589854:TUH589854 UEB589854:UED589854 UNX589854:UNZ589854 UXT589854:UXV589854 VHP589854:VHR589854 VRL589854:VRN589854 WBH589854:WBJ589854 WLD589854:WLF589854 WUZ589854:WVB589854 IN655390:IP655390 SJ655390:SL655390 ACF655390:ACH655390 AMB655390:AMD655390 AVX655390:AVZ655390 BFT655390:BFV655390 BPP655390:BPR655390 BZL655390:BZN655390 CJH655390:CJJ655390 CTD655390:CTF655390 DCZ655390:DDB655390 DMV655390:DMX655390 DWR655390:DWT655390 EGN655390:EGP655390 EQJ655390:EQL655390 FAF655390:FAH655390 FKB655390:FKD655390 FTX655390:FTZ655390 GDT655390:GDV655390 GNP655390:GNR655390 GXL655390:GXN655390 HHH655390:HHJ655390 HRD655390:HRF655390 IAZ655390:IBB655390 IKV655390:IKX655390 IUR655390:IUT655390 JEN655390:JEP655390 JOJ655390:JOL655390 JYF655390:JYH655390 KIB655390:KID655390 KRX655390:KRZ655390 LBT655390:LBV655390 LLP655390:LLR655390 LVL655390:LVN655390 MFH655390:MFJ655390 MPD655390:MPF655390 MYZ655390:MZB655390 NIV655390:NIX655390 NSR655390:NST655390 OCN655390:OCP655390 OMJ655390:OML655390 OWF655390:OWH655390 PGB655390:PGD655390 PPX655390:PPZ655390 PZT655390:PZV655390 QJP655390:QJR655390 QTL655390:QTN655390 RDH655390:RDJ655390 RND655390:RNF655390 RWZ655390:RXB655390 SGV655390:SGX655390 SQR655390:SQT655390 TAN655390:TAP655390 TKJ655390:TKL655390 TUF655390:TUH655390 UEB655390:UED655390 UNX655390:UNZ655390 UXT655390:UXV655390 VHP655390:VHR655390 VRL655390:VRN655390 WBH655390:WBJ655390 WLD655390:WLF655390 WUZ655390:WVB655390 IN720926:IP720926 SJ720926:SL720926 ACF720926:ACH720926 AMB720926:AMD720926 AVX720926:AVZ720926 BFT720926:BFV720926 BPP720926:BPR720926 BZL720926:BZN720926 CJH720926:CJJ720926 CTD720926:CTF720926 DCZ720926:DDB720926 DMV720926:DMX720926 DWR720926:DWT720926 EGN720926:EGP720926 EQJ720926:EQL720926 FAF720926:FAH720926 FKB720926:FKD720926 FTX720926:FTZ720926 GDT720926:GDV720926 GNP720926:GNR720926 GXL720926:GXN720926 HHH720926:HHJ720926 HRD720926:HRF720926 IAZ720926:IBB720926 IKV720926:IKX720926 IUR720926:IUT720926 JEN720926:JEP720926 JOJ720926:JOL720926 JYF720926:JYH720926 KIB720926:KID720926 KRX720926:KRZ720926 LBT720926:LBV720926 LLP720926:LLR720926 LVL720926:LVN720926 MFH720926:MFJ720926 MPD720926:MPF720926 MYZ720926:MZB720926 NIV720926:NIX720926 NSR720926:NST720926 OCN720926:OCP720926 OMJ720926:OML720926 OWF720926:OWH720926 PGB720926:PGD720926 PPX720926:PPZ720926 PZT720926:PZV720926 QJP720926:QJR720926 QTL720926:QTN720926 RDH720926:RDJ720926 RND720926:RNF720926 RWZ720926:RXB720926 SGV720926:SGX720926 SQR720926:SQT720926 TAN720926:TAP720926 TKJ720926:TKL720926 TUF720926:TUH720926 UEB720926:UED720926 UNX720926:UNZ720926 UXT720926:UXV720926 VHP720926:VHR720926 VRL720926:VRN720926 WBH720926:WBJ720926 WLD720926:WLF720926 WUZ720926:WVB720926 IN786462:IP786462 SJ786462:SL786462 ACF786462:ACH786462 AMB786462:AMD786462 AVX786462:AVZ786462 BFT786462:BFV786462 BPP786462:BPR786462 BZL786462:BZN786462 CJH786462:CJJ786462 CTD786462:CTF786462 DCZ786462:DDB786462 DMV786462:DMX786462 DWR786462:DWT786462 EGN786462:EGP786462 EQJ786462:EQL786462 FAF786462:FAH786462 FKB786462:FKD786462 FTX786462:FTZ786462 GDT786462:GDV786462 GNP786462:GNR786462 GXL786462:GXN786462 HHH786462:HHJ786462 HRD786462:HRF786462 IAZ786462:IBB786462 IKV786462:IKX786462 IUR786462:IUT786462 JEN786462:JEP786462 JOJ786462:JOL786462 JYF786462:JYH786462 KIB786462:KID786462 KRX786462:KRZ786462 LBT786462:LBV786462 LLP786462:LLR786462 LVL786462:LVN786462 MFH786462:MFJ786462 MPD786462:MPF786462 MYZ786462:MZB786462 NIV786462:NIX786462 NSR786462:NST786462 OCN786462:OCP786462 OMJ786462:OML786462 OWF786462:OWH786462 PGB786462:PGD786462 PPX786462:PPZ786462 PZT786462:PZV786462 QJP786462:QJR786462 QTL786462:QTN786462 RDH786462:RDJ786462 RND786462:RNF786462 RWZ786462:RXB786462 SGV786462:SGX786462 SQR786462:SQT786462 TAN786462:TAP786462 TKJ786462:TKL786462 TUF786462:TUH786462 UEB786462:UED786462 UNX786462:UNZ786462 UXT786462:UXV786462 VHP786462:VHR786462 VRL786462:VRN786462 WBH786462:WBJ786462 WLD786462:WLF786462 WUZ786462:WVB786462 IN851998:IP851998 SJ851998:SL851998 ACF851998:ACH851998 AMB851998:AMD851998 AVX851998:AVZ851998 BFT851998:BFV851998 BPP851998:BPR851998 BZL851998:BZN851998 CJH851998:CJJ851998 CTD851998:CTF851998 DCZ851998:DDB851998 DMV851998:DMX851998 DWR851998:DWT851998 EGN851998:EGP851998 EQJ851998:EQL851998 FAF851998:FAH851998 FKB851998:FKD851998 FTX851998:FTZ851998 GDT851998:GDV851998 GNP851998:GNR851998 GXL851998:GXN851998 HHH851998:HHJ851998 HRD851998:HRF851998 IAZ851998:IBB851998 IKV851998:IKX851998 IUR851998:IUT851998 JEN851998:JEP851998 JOJ851998:JOL851998 JYF851998:JYH851998 KIB851998:KID851998 KRX851998:KRZ851998 LBT851998:LBV851998 LLP851998:LLR851998 LVL851998:LVN851998 MFH851998:MFJ851998 MPD851998:MPF851998 MYZ851998:MZB851998 NIV851998:NIX851998 NSR851998:NST851998 OCN851998:OCP851998 OMJ851998:OML851998 OWF851998:OWH851998 PGB851998:PGD851998 PPX851998:PPZ851998 PZT851998:PZV851998 QJP851998:QJR851998 QTL851998:QTN851998 RDH851998:RDJ851998 RND851998:RNF851998 RWZ851998:RXB851998 SGV851998:SGX851998 SQR851998:SQT851998 TAN851998:TAP851998 TKJ851998:TKL851998 TUF851998:TUH851998 UEB851998:UED851998 UNX851998:UNZ851998 UXT851998:UXV851998 VHP851998:VHR851998 VRL851998:VRN851998 WBH851998:WBJ851998 WLD851998:WLF851998 WUZ851998:WVB851998 IN917534:IP917534 SJ917534:SL917534 ACF917534:ACH917534 AMB917534:AMD917534 AVX917534:AVZ917534 BFT917534:BFV917534 BPP917534:BPR917534 BZL917534:BZN917534 CJH917534:CJJ917534 CTD917534:CTF917534 DCZ917534:DDB917534 DMV917534:DMX917534 DWR917534:DWT917534 EGN917534:EGP917534 EQJ917534:EQL917534 FAF917534:FAH917534 FKB917534:FKD917534 FTX917534:FTZ917534 GDT917534:GDV917534 GNP917534:GNR917534 GXL917534:GXN917534 HHH917534:HHJ917534 HRD917534:HRF917534 IAZ917534:IBB917534 IKV917534:IKX917534 IUR917534:IUT917534 JEN917534:JEP917534 JOJ917534:JOL917534 JYF917534:JYH917534 KIB917534:KID917534 KRX917534:KRZ917534 LBT917534:LBV917534 LLP917534:LLR917534 LVL917534:LVN917534 MFH917534:MFJ917534 MPD917534:MPF917534 MYZ917534:MZB917534 NIV917534:NIX917534 NSR917534:NST917534 OCN917534:OCP917534 OMJ917534:OML917534 OWF917534:OWH917534 PGB917534:PGD917534 PPX917534:PPZ917534 PZT917534:PZV917534 QJP917534:QJR917534 QTL917534:QTN917534 RDH917534:RDJ917534 RND917534:RNF917534 RWZ917534:RXB917534 SGV917534:SGX917534 SQR917534:SQT917534 TAN917534:TAP917534 TKJ917534:TKL917534 TUF917534:TUH917534 UEB917534:UED917534 UNX917534:UNZ917534 UXT917534:UXV917534 VHP917534:VHR917534 VRL917534:VRN917534 WBH917534:WBJ917534 WLD917534:WLF917534 WUZ917534:WVB917534 IN983070:IP983070 SJ983070:SL983070 ACF983070:ACH983070 AMB983070:AMD983070 AVX983070:AVZ983070 BFT983070:BFV983070 BPP983070:BPR983070 BZL983070:BZN983070 CJH983070:CJJ983070 CTD983070:CTF983070 DCZ983070:DDB983070 DMV983070:DMX983070 DWR983070:DWT983070 EGN983070:EGP983070 EQJ983070:EQL983070 FAF983070:FAH983070 FKB983070:FKD983070 FTX983070:FTZ983070 GDT983070:GDV983070 GNP983070:GNR983070 GXL983070:GXN983070 HHH983070:HHJ983070 HRD983070:HRF983070 IAZ983070:IBB983070 IKV983070:IKX983070 IUR983070:IUT983070 JEN983070:JEP983070 JOJ983070:JOL983070 JYF983070:JYH983070 KIB983070:KID983070 KRX983070:KRZ983070 LBT983070:LBV983070 LLP983070:LLR983070 LVL983070:LVN983070 MFH983070:MFJ983070 MPD983070:MPF983070 MYZ983070:MZB983070 NIV983070:NIX983070 NSR983070:NST983070 OCN983070:OCP983070 OMJ983070:OML983070 OWF983070:OWH983070 PGB983070:PGD983070 PPX983070:PPZ983070 PZT983070:PZV983070 QJP983070:QJR983070 QTL983070:QTN983070 RDH983070:RDJ983070 RND983070:RNF983070 RWZ983070:RXB983070 SGV983070:SGX983070 SQR983070:SQT983070 TAN983070:TAP983070 TKJ983070:TKL983070 TUF983070:TUH983070 UEB983070:UED983070 UNX983070:UNZ983070 UXT983070:UXV983070 VHP983070:VHR983070 VRL983070:VRN983070 WBH983070:WBJ983070 WLD983070:WLF983070 WUZ983070:WVB983070 F983070:H983070 F917534:H917534 F851998:H851998 F786462:H786462 F720926:H720926 F655390:H655390 F589854:H589854 F524318:H524318 F458782:H458782 F393246:H393246 F327710:H327710 F262174:H262174 F196638:H196638 F131102:H131102 F65566:H65566">
      <formula1>Auftragsart</formula1>
    </dataValidation>
    <dataValidation type="list" allowBlank="1" showInputMessage="1" showErrorMessage="1" sqref="IJ34:IL34 SF34:SH34 ACB34:ACD34 ALX34:ALZ34 AVT34:AVV34 BFP34:BFR34 BPL34:BPN34 BZH34:BZJ34 CJD34:CJF34 CSZ34:CTB34 DCV34:DCX34 DMR34:DMT34 DWN34:DWP34 EGJ34:EGL34 EQF34:EQH34 FAB34:FAD34 FJX34:FJZ34 FTT34:FTV34 GDP34:GDR34 GNL34:GNN34 GXH34:GXJ34 HHD34:HHF34 HQZ34:HRB34 IAV34:IAX34 IKR34:IKT34 IUN34:IUP34 JEJ34:JEL34 JOF34:JOH34 JYB34:JYD34 KHX34:KHZ34 KRT34:KRV34 LBP34:LBR34 LLL34:LLN34 LVH34:LVJ34 MFD34:MFF34 MOZ34:MPB34 MYV34:MYX34 NIR34:NIT34 NSN34:NSP34 OCJ34:OCL34 OMF34:OMH34 OWB34:OWD34 PFX34:PFZ34 PPT34:PPV34 PZP34:PZR34 QJL34:QJN34 QTH34:QTJ34 RDD34:RDF34 RMZ34:RNB34 RWV34:RWX34 SGR34:SGT34 SQN34:SQP34 TAJ34:TAL34 TKF34:TKH34 TUB34:TUD34 UDX34:UDZ34 UNT34:UNV34 UXP34:UXR34 VHL34:VHN34 VRH34:VRJ34 WBD34:WBF34 WKZ34:WLB34 WUV34:WUX34 IJ65571:IL65571 SF65571:SH65571 ACB65571:ACD65571 ALX65571:ALZ65571 AVT65571:AVV65571 BFP65571:BFR65571 BPL65571:BPN65571 BZH65571:BZJ65571 CJD65571:CJF65571 CSZ65571:CTB65571 DCV65571:DCX65571 DMR65571:DMT65571 DWN65571:DWP65571 EGJ65571:EGL65571 EQF65571:EQH65571 FAB65571:FAD65571 FJX65571:FJZ65571 FTT65571:FTV65571 GDP65571:GDR65571 GNL65571:GNN65571 GXH65571:GXJ65571 HHD65571:HHF65571 HQZ65571:HRB65571 IAV65571:IAX65571 IKR65571:IKT65571 IUN65571:IUP65571 JEJ65571:JEL65571 JOF65571:JOH65571 JYB65571:JYD65571 KHX65571:KHZ65571 KRT65571:KRV65571 LBP65571:LBR65571 LLL65571:LLN65571 LVH65571:LVJ65571 MFD65571:MFF65571 MOZ65571:MPB65571 MYV65571:MYX65571 NIR65571:NIT65571 NSN65571:NSP65571 OCJ65571:OCL65571 OMF65571:OMH65571 OWB65571:OWD65571 PFX65571:PFZ65571 PPT65571:PPV65571 PZP65571:PZR65571 QJL65571:QJN65571 QTH65571:QTJ65571 RDD65571:RDF65571 RMZ65571:RNB65571 RWV65571:RWX65571 SGR65571:SGT65571 SQN65571:SQP65571 TAJ65571:TAL65571 TKF65571:TKH65571 TUB65571:TUD65571 UDX65571:UDZ65571 UNT65571:UNV65571 UXP65571:UXR65571 VHL65571:VHN65571 VRH65571:VRJ65571 WBD65571:WBF65571 WKZ65571:WLB65571 WUV65571:WUX65571 IJ131107:IL131107 SF131107:SH131107 ACB131107:ACD131107 ALX131107:ALZ131107 AVT131107:AVV131107 BFP131107:BFR131107 BPL131107:BPN131107 BZH131107:BZJ131107 CJD131107:CJF131107 CSZ131107:CTB131107 DCV131107:DCX131107 DMR131107:DMT131107 DWN131107:DWP131107 EGJ131107:EGL131107 EQF131107:EQH131107 FAB131107:FAD131107 FJX131107:FJZ131107 FTT131107:FTV131107 GDP131107:GDR131107 GNL131107:GNN131107 GXH131107:GXJ131107 HHD131107:HHF131107 HQZ131107:HRB131107 IAV131107:IAX131107 IKR131107:IKT131107 IUN131107:IUP131107 JEJ131107:JEL131107 JOF131107:JOH131107 JYB131107:JYD131107 KHX131107:KHZ131107 KRT131107:KRV131107 LBP131107:LBR131107 LLL131107:LLN131107 LVH131107:LVJ131107 MFD131107:MFF131107 MOZ131107:MPB131107 MYV131107:MYX131107 NIR131107:NIT131107 NSN131107:NSP131107 OCJ131107:OCL131107 OMF131107:OMH131107 OWB131107:OWD131107 PFX131107:PFZ131107 PPT131107:PPV131107 PZP131107:PZR131107 QJL131107:QJN131107 QTH131107:QTJ131107 RDD131107:RDF131107 RMZ131107:RNB131107 RWV131107:RWX131107 SGR131107:SGT131107 SQN131107:SQP131107 TAJ131107:TAL131107 TKF131107:TKH131107 TUB131107:TUD131107 UDX131107:UDZ131107 UNT131107:UNV131107 UXP131107:UXR131107 VHL131107:VHN131107 VRH131107:VRJ131107 WBD131107:WBF131107 WKZ131107:WLB131107 WUV131107:WUX131107 IJ196643:IL196643 SF196643:SH196643 ACB196643:ACD196643 ALX196643:ALZ196643 AVT196643:AVV196643 BFP196643:BFR196643 BPL196643:BPN196643 BZH196643:BZJ196643 CJD196643:CJF196643 CSZ196643:CTB196643 DCV196643:DCX196643 DMR196643:DMT196643 DWN196643:DWP196643 EGJ196643:EGL196643 EQF196643:EQH196643 FAB196643:FAD196643 FJX196643:FJZ196643 FTT196643:FTV196643 GDP196643:GDR196643 GNL196643:GNN196643 GXH196643:GXJ196643 HHD196643:HHF196643 HQZ196643:HRB196643 IAV196643:IAX196643 IKR196643:IKT196643 IUN196643:IUP196643 JEJ196643:JEL196643 JOF196643:JOH196643 JYB196643:JYD196643 KHX196643:KHZ196643 KRT196643:KRV196643 LBP196643:LBR196643 LLL196643:LLN196643 LVH196643:LVJ196643 MFD196643:MFF196643 MOZ196643:MPB196643 MYV196643:MYX196643 NIR196643:NIT196643 NSN196643:NSP196643 OCJ196643:OCL196643 OMF196643:OMH196643 OWB196643:OWD196643 PFX196643:PFZ196643 PPT196643:PPV196643 PZP196643:PZR196643 QJL196643:QJN196643 QTH196643:QTJ196643 RDD196643:RDF196643 RMZ196643:RNB196643 RWV196643:RWX196643 SGR196643:SGT196643 SQN196643:SQP196643 TAJ196643:TAL196643 TKF196643:TKH196643 TUB196643:TUD196643 UDX196643:UDZ196643 UNT196643:UNV196643 UXP196643:UXR196643 VHL196643:VHN196643 VRH196643:VRJ196643 WBD196643:WBF196643 WKZ196643:WLB196643 WUV196643:WUX196643 IJ262179:IL262179 SF262179:SH262179 ACB262179:ACD262179 ALX262179:ALZ262179 AVT262179:AVV262179 BFP262179:BFR262179 BPL262179:BPN262179 BZH262179:BZJ262179 CJD262179:CJF262179 CSZ262179:CTB262179 DCV262179:DCX262179 DMR262179:DMT262179 DWN262179:DWP262179 EGJ262179:EGL262179 EQF262179:EQH262179 FAB262179:FAD262179 FJX262179:FJZ262179 FTT262179:FTV262179 GDP262179:GDR262179 GNL262179:GNN262179 GXH262179:GXJ262179 HHD262179:HHF262179 HQZ262179:HRB262179 IAV262179:IAX262179 IKR262179:IKT262179 IUN262179:IUP262179 JEJ262179:JEL262179 JOF262179:JOH262179 JYB262179:JYD262179 KHX262179:KHZ262179 KRT262179:KRV262179 LBP262179:LBR262179 LLL262179:LLN262179 LVH262179:LVJ262179 MFD262179:MFF262179 MOZ262179:MPB262179 MYV262179:MYX262179 NIR262179:NIT262179 NSN262179:NSP262179 OCJ262179:OCL262179 OMF262179:OMH262179 OWB262179:OWD262179 PFX262179:PFZ262179 PPT262179:PPV262179 PZP262179:PZR262179 QJL262179:QJN262179 QTH262179:QTJ262179 RDD262179:RDF262179 RMZ262179:RNB262179 RWV262179:RWX262179 SGR262179:SGT262179 SQN262179:SQP262179 TAJ262179:TAL262179 TKF262179:TKH262179 TUB262179:TUD262179 UDX262179:UDZ262179 UNT262179:UNV262179 UXP262179:UXR262179 VHL262179:VHN262179 VRH262179:VRJ262179 WBD262179:WBF262179 WKZ262179:WLB262179 WUV262179:WUX262179 IJ327715:IL327715 SF327715:SH327715 ACB327715:ACD327715 ALX327715:ALZ327715 AVT327715:AVV327715 BFP327715:BFR327715 BPL327715:BPN327715 BZH327715:BZJ327715 CJD327715:CJF327715 CSZ327715:CTB327715 DCV327715:DCX327715 DMR327715:DMT327715 DWN327715:DWP327715 EGJ327715:EGL327715 EQF327715:EQH327715 FAB327715:FAD327715 FJX327715:FJZ327715 FTT327715:FTV327715 GDP327715:GDR327715 GNL327715:GNN327715 GXH327715:GXJ327715 HHD327715:HHF327715 HQZ327715:HRB327715 IAV327715:IAX327715 IKR327715:IKT327715 IUN327715:IUP327715 JEJ327715:JEL327715 JOF327715:JOH327715 JYB327715:JYD327715 KHX327715:KHZ327715 KRT327715:KRV327715 LBP327715:LBR327715 LLL327715:LLN327715 LVH327715:LVJ327715 MFD327715:MFF327715 MOZ327715:MPB327715 MYV327715:MYX327715 NIR327715:NIT327715 NSN327715:NSP327715 OCJ327715:OCL327715 OMF327715:OMH327715 OWB327715:OWD327715 PFX327715:PFZ327715 PPT327715:PPV327715 PZP327715:PZR327715 QJL327715:QJN327715 QTH327715:QTJ327715 RDD327715:RDF327715 RMZ327715:RNB327715 RWV327715:RWX327715 SGR327715:SGT327715 SQN327715:SQP327715 TAJ327715:TAL327715 TKF327715:TKH327715 TUB327715:TUD327715 UDX327715:UDZ327715 UNT327715:UNV327715 UXP327715:UXR327715 VHL327715:VHN327715 VRH327715:VRJ327715 WBD327715:WBF327715 WKZ327715:WLB327715 WUV327715:WUX327715 IJ393251:IL393251 SF393251:SH393251 ACB393251:ACD393251 ALX393251:ALZ393251 AVT393251:AVV393251 BFP393251:BFR393251 BPL393251:BPN393251 BZH393251:BZJ393251 CJD393251:CJF393251 CSZ393251:CTB393251 DCV393251:DCX393251 DMR393251:DMT393251 DWN393251:DWP393251 EGJ393251:EGL393251 EQF393251:EQH393251 FAB393251:FAD393251 FJX393251:FJZ393251 FTT393251:FTV393251 GDP393251:GDR393251 GNL393251:GNN393251 GXH393251:GXJ393251 HHD393251:HHF393251 HQZ393251:HRB393251 IAV393251:IAX393251 IKR393251:IKT393251 IUN393251:IUP393251 JEJ393251:JEL393251 JOF393251:JOH393251 JYB393251:JYD393251 KHX393251:KHZ393251 KRT393251:KRV393251 LBP393251:LBR393251 LLL393251:LLN393251 LVH393251:LVJ393251 MFD393251:MFF393251 MOZ393251:MPB393251 MYV393251:MYX393251 NIR393251:NIT393251 NSN393251:NSP393251 OCJ393251:OCL393251 OMF393251:OMH393251 OWB393251:OWD393251 PFX393251:PFZ393251 PPT393251:PPV393251 PZP393251:PZR393251 QJL393251:QJN393251 QTH393251:QTJ393251 RDD393251:RDF393251 RMZ393251:RNB393251 RWV393251:RWX393251 SGR393251:SGT393251 SQN393251:SQP393251 TAJ393251:TAL393251 TKF393251:TKH393251 TUB393251:TUD393251 UDX393251:UDZ393251 UNT393251:UNV393251 UXP393251:UXR393251 VHL393251:VHN393251 VRH393251:VRJ393251 WBD393251:WBF393251 WKZ393251:WLB393251 WUV393251:WUX393251 IJ458787:IL458787 SF458787:SH458787 ACB458787:ACD458787 ALX458787:ALZ458787 AVT458787:AVV458787 BFP458787:BFR458787 BPL458787:BPN458787 BZH458787:BZJ458787 CJD458787:CJF458787 CSZ458787:CTB458787 DCV458787:DCX458787 DMR458787:DMT458787 DWN458787:DWP458787 EGJ458787:EGL458787 EQF458787:EQH458787 FAB458787:FAD458787 FJX458787:FJZ458787 FTT458787:FTV458787 GDP458787:GDR458787 GNL458787:GNN458787 GXH458787:GXJ458787 HHD458787:HHF458787 HQZ458787:HRB458787 IAV458787:IAX458787 IKR458787:IKT458787 IUN458787:IUP458787 JEJ458787:JEL458787 JOF458787:JOH458787 JYB458787:JYD458787 KHX458787:KHZ458787 KRT458787:KRV458787 LBP458787:LBR458787 LLL458787:LLN458787 LVH458787:LVJ458787 MFD458787:MFF458787 MOZ458787:MPB458787 MYV458787:MYX458787 NIR458787:NIT458787 NSN458787:NSP458787 OCJ458787:OCL458787 OMF458787:OMH458787 OWB458787:OWD458787 PFX458787:PFZ458787 PPT458787:PPV458787 PZP458787:PZR458787 QJL458787:QJN458787 QTH458787:QTJ458787 RDD458787:RDF458787 RMZ458787:RNB458787 RWV458787:RWX458787 SGR458787:SGT458787 SQN458787:SQP458787 TAJ458787:TAL458787 TKF458787:TKH458787 TUB458787:TUD458787 UDX458787:UDZ458787 UNT458787:UNV458787 UXP458787:UXR458787 VHL458787:VHN458787 VRH458787:VRJ458787 WBD458787:WBF458787 WKZ458787:WLB458787 WUV458787:WUX458787 IJ524323:IL524323 SF524323:SH524323 ACB524323:ACD524323 ALX524323:ALZ524323 AVT524323:AVV524323 BFP524323:BFR524323 BPL524323:BPN524323 BZH524323:BZJ524323 CJD524323:CJF524323 CSZ524323:CTB524323 DCV524323:DCX524323 DMR524323:DMT524323 DWN524323:DWP524323 EGJ524323:EGL524323 EQF524323:EQH524323 FAB524323:FAD524323 FJX524323:FJZ524323 FTT524323:FTV524323 GDP524323:GDR524323 GNL524323:GNN524323 GXH524323:GXJ524323 HHD524323:HHF524323 HQZ524323:HRB524323 IAV524323:IAX524323 IKR524323:IKT524323 IUN524323:IUP524323 JEJ524323:JEL524323 JOF524323:JOH524323 JYB524323:JYD524323 KHX524323:KHZ524323 KRT524323:KRV524323 LBP524323:LBR524323 LLL524323:LLN524323 LVH524323:LVJ524323 MFD524323:MFF524323 MOZ524323:MPB524323 MYV524323:MYX524323 NIR524323:NIT524323 NSN524323:NSP524323 OCJ524323:OCL524323 OMF524323:OMH524323 OWB524323:OWD524323 PFX524323:PFZ524323 PPT524323:PPV524323 PZP524323:PZR524323 QJL524323:QJN524323 QTH524323:QTJ524323 RDD524323:RDF524323 RMZ524323:RNB524323 RWV524323:RWX524323 SGR524323:SGT524323 SQN524323:SQP524323 TAJ524323:TAL524323 TKF524323:TKH524323 TUB524323:TUD524323 UDX524323:UDZ524323 UNT524323:UNV524323 UXP524323:UXR524323 VHL524323:VHN524323 VRH524323:VRJ524323 WBD524323:WBF524323 WKZ524323:WLB524323 WUV524323:WUX524323 IJ589859:IL589859 SF589859:SH589859 ACB589859:ACD589859 ALX589859:ALZ589859 AVT589859:AVV589859 BFP589859:BFR589859 BPL589859:BPN589859 BZH589859:BZJ589859 CJD589859:CJF589859 CSZ589859:CTB589859 DCV589859:DCX589859 DMR589859:DMT589859 DWN589859:DWP589859 EGJ589859:EGL589859 EQF589859:EQH589859 FAB589859:FAD589859 FJX589859:FJZ589859 FTT589859:FTV589859 GDP589859:GDR589859 GNL589859:GNN589859 GXH589859:GXJ589859 HHD589859:HHF589859 HQZ589859:HRB589859 IAV589859:IAX589859 IKR589859:IKT589859 IUN589859:IUP589859 JEJ589859:JEL589859 JOF589859:JOH589859 JYB589859:JYD589859 KHX589859:KHZ589859 KRT589859:KRV589859 LBP589859:LBR589859 LLL589859:LLN589859 LVH589859:LVJ589859 MFD589859:MFF589859 MOZ589859:MPB589859 MYV589859:MYX589859 NIR589859:NIT589859 NSN589859:NSP589859 OCJ589859:OCL589859 OMF589859:OMH589859 OWB589859:OWD589859 PFX589859:PFZ589859 PPT589859:PPV589859 PZP589859:PZR589859 QJL589859:QJN589859 QTH589859:QTJ589859 RDD589859:RDF589859 RMZ589859:RNB589859 RWV589859:RWX589859 SGR589859:SGT589859 SQN589859:SQP589859 TAJ589859:TAL589859 TKF589859:TKH589859 TUB589859:TUD589859 UDX589859:UDZ589859 UNT589859:UNV589859 UXP589859:UXR589859 VHL589859:VHN589859 VRH589859:VRJ589859 WBD589859:WBF589859 WKZ589859:WLB589859 WUV589859:WUX589859 IJ655395:IL655395 SF655395:SH655395 ACB655395:ACD655395 ALX655395:ALZ655395 AVT655395:AVV655395 BFP655395:BFR655395 BPL655395:BPN655395 BZH655395:BZJ655395 CJD655395:CJF655395 CSZ655395:CTB655395 DCV655395:DCX655395 DMR655395:DMT655395 DWN655395:DWP655395 EGJ655395:EGL655395 EQF655395:EQH655395 FAB655395:FAD655395 FJX655395:FJZ655395 FTT655395:FTV655395 GDP655395:GDR655395 GNL655395:GNN655395 GXH655395:GXJ655395 HHD655395:HHF655395 HQZ655395:HRB655395 IAV655395:IAX655395 IKR655395:IKT655395 IUN655395:IUP655395 JEJ655395:JEL655395 JOF655395:JOH655395 JYB655395:JYD655395 KHX655395:KHZ655395 KRT655395:KRV655395 LBP655395:LBR655395 LLL655395:LLN655395 LVH655395:LVJ655395 MFD655395:MFF655395 MOZ655395:MPB655395 MYV655395:MYX655395 NIR655395:NIT655395 NSN655395:NSP655395 OCJ655395:OCL655395 OMF655395:OMH655395 OWB655395:OWD655395 PFX655395:PFZ655395 PPT655395:PPV655395 PZP655395:PZR655395 QJL655395:QJN655395 QTH655395:QTJ655395 RDD655395:RDF655395 RMZ655395:RNB655395 RWV655395:RWX655395 SGR655395:SGT655395 SQN655395:SQP655395 TAJ655395:TAL655395 TKF655395:TKH655395 TUB655395:TUD655395 UDX655395:UDZ655395 UNT655395:UNV655395 UXP655395:UXR655395 VHL655395:VHN655395 VRH655395:VRJ655395 WBD655395:WBF655395 WKZ655395:WLB655395 WUV655395:WUX655395 IJ720931:IL720931 SF720931:SH720931 ACB720931:ACD720931 ALX720931:ALZ720931 AVT720931:AVV720931 BFP720931:BFR720931 BPL720931:BPN720931 BZH720931:BZJ720931 CJD720931:CJF720931 CSZ720931:CTB720931 DCV720931:DCX720931 DMR720931:DMT720931 DWN720931:DWP720931 EGJ720931:EGL720931 EQF720931:EQH720931 FAB720931:FAD720931 FJX720931:FJZ720931 FTT720931:FTV720931 GDP720931:GDR720931 GNL720931:GNN720931 GXH720931:GXJ720931 HHD720931:HHF720931 HQZ720931:HRB720931 IAV720931:IAX720931 IKR720931:IKT720931 IUN720931:IUP720931 JEJ720931:JEL720931 JOF720931:JOH720931 JYB720931:JYD720931 KHX720931:KHZ720931 KRT720931:KRV720931 LBP720931:LBR720931 LLL720931:LLN720931 LVH720931:LVJ720931 MFD720931:MFF720931 MOZ720931:MPB720931 MYV720931:MYX720931 NIR720931:NIT720931 NSN720931:NSP720931 OCJ720931:OCL720931 OMF720931:OMH720931 OWB720931:OWD720931 PFX720931:PFZ720931 PPT720931:PPV720931 PZP720931:PZR720931 QJL720931:QJN720931 QTH720931:QTJ720931 RDD720931:RDF720931 RMZ720931:RNB720931 RWV720931:RWX720931 SGR720931:SGT720931 SQN720931:SQP720931 TAJ720931:TAL720931 TKF720931:TKH720931 TUB720931:TUD720931 UDX720931:UDZ720931 UNT720931:UNV720931 UXP720931:UXR720931 VHL720931:VHN720931 VRH720931:VRJ720931 WBD720931:WBF720931 WKZ720931:WLB720931 WUV720931:WUX720931 IJ786467:IL786467 SF786467:SH786467 ACB786467:ACD786467 ALX786467:ALZ786467 AVT786467:AVV786467 BFP786467:BFR786467 BPL786467:BPN786467 BZH786467:BZJ786467 CJD786467:CJF786467 CSZ786467:CTB786467 DCV786467:DCX786467 DMR786467:DMT786467 DWN786467:DWP786467 EGJ786467:EGL786467 EQF786467:EQH786467 FAB786467:FAD786467 FJX786467:FJZ786467 FTT786467:FTV786467 GDP786467:GDR786467 GNL786467:GNN786467 GXH786467:GXJ786467 HHD786467:HHF786467 HQZ786467:HRB786467 IAV786467:IAX786467 IKR786467:IKT786467 IUN786467:IUP786467 JEJ786467:JEL786467 JOF786467:JOH786467 JYB786467:JYD786467 KHX786467:KHZ786467 KRT786467:KRV786467 LBP786467:LBR786467 LLL786467:LLN786467 LVH786467:LVJ786467 MFD786467:MFF786467 MOZ786467:MPB786467 MYV786467:MYX786467 NIR786467:NIT786467 NSN786467:NSP786467 OCJ786467:OCL786467 OMF786467:OMH786467 OWB786467:OWD786467 PFX786467:PFZ786467 PPT786467:PPV786467 PZP786467:PZR786467 QJL786467:QJN786467 QTH786467:QTJ786467 RDD786467:RDF786467 RMZ786467:RNB786467 RWV786467:RWX786467 SGR786467:SGT786467 SQN786467:SQP786467 TAJ786467:TAL786467 TKF786467:TKH786467 TUB786467:TUD786467 UDX786467:UDZ786467 UNT786467:UNV786467 UXP786467:UXR786467 VHL786467:VHN786467 VRH786467:VRJ786467 WBD786467:WBF786467 WKZ786467:WLB786467 WUV786467:WUX786467 IJ852003:IL852003 SF852003:SH852003 ACB852003:ACD852003 ALX852003:ALZ852003 AVT852003:AVV852003 BFP852003:BFR852003 BPL852003:BPN852003 BZH852003:BZJ852003 CJD852003:CJF852003 CSZ852003:CTB852003 DCV852003:DCX852003 DMR852003:DMT852003 DWN852003:DWP852003 EGJ852003:EGL852003 EQF852003:EQH852003 FAB852003:FAD852003 FJX852003:FJZ852003 FTT852003:FTV852003 GDP852003:GDR852003 GNL852003:GNN852003 GXH852003:GXJ852003 HHD852003:HHF852003 HQZ852003:HRB852003 IAV852003:IAX852003 IKR852003:IKT852003 IUN852003:IUP852003 JEJ852003:JEL852003 JOF852003:JOH852003 JYB852003:JYD852003 KHX852003:KHZ852003 KRT852003:KRV852003 LBP852003:LBR852003 LLL852003:LLN852003 LVH852003:LVJ852003 MFD852003:MFF852003 MOZ852003:MPB852003 MYV852003:MYX852003 NIR852003:NIT852003 NSN852003:NSP852003 OCJ852003:OCL852003 OMF852003:OMH852003 OWB852003:OWD852003 PFX852003:PFZ852003 PPT852003:PPV852003 PZP852003:PZR852003 QJL852003:QJN852003 QTH852003:QTJ852003 RDD852003:RDF852003 RMZ852003:RNB852003 RWV852003:RWX852003 SGR852003:SGT852003 SQN852003:SQP852003 TAJ852003:TAL852003 TKF852003:TKH852003 TUB852003:TUD852003 UDX852003:UDZ852003 UNT852003:UNV852003 UXP852003:UXR852003 VHL852003:VHN852003 VRH852003:VRJ852003 WBD852003:WBF852003 WKZ852003:WLB852003 WUV852003:WUX852003 IJ917539:IL917539 SF917539:SH917539 ACB917539:ACD917539 ALX917539:ALZ917539 AVT917539:AVV917539 BFP917539:BFR917539 BPL917539:BPN917539 BZH917539:BZJ917539 CJD917539:CJF917539 CSZ917539:CTB917539 DCV917539:DCX917539 DMR917539:DMT917539 DWN917539:DWP917539 EGJ917539:EGL917539 EQF917539:EQH917539 FAB917539:FAD917539 FJX917539:FJZ917539 FTT917539:FTV917539 GDP917539:GDR917539 GNL917539:GNN917539 GXH917539:GXJ917539 HHD917539:HHF917539 HQZ917539:HRB917539 IAV917539:IAX917539 IKR917539:IKT917539 IUN917539:IUP917539 JEJ917539:JEL917539 JOF917539:JOH917539 JYB917539:JYD917539 KHX917539:KHZ917539 KRT917539:KRV917539 LBP917539:LBR917539 LLL917539:LLN917539 LVH917539:LVJ917539 MFD917539:MFF917539 MOZ917539:MPB917539 MYV917539:MYX917539 NIR917539:NIT917539 NSN917539:NSP917539 OCJ917539:OCL917539 OMF917539:OMH917539 OWB917539:OWD917539 PFX917539:PFZ917539 PPT917539:PPV917539 PZP917539:PZR917539 QJL917539:QJN917539 QTH917539:QTJ917539 RDD917539:RDF917539 RMZ917539:RNB917539 RWV917539:RWX917539 SGR917539:SGT917539 SQN917539:SQP917539 TAJ917539:TAL917539 TKF917539:TKH917539 TUB917539:TUD917539 UDX917539:UDZ917539 UNT917539:UNV917539 UXP917539:UXR917539 VHL917539:VHN917539 VRH917539:VRJ917539 WBD917539:WBF917539 WKZ917539:WLB917539 WUV917539:WUX917539 IJ983075:IL983075 SF983075:SH983075 ACB983075:ACD983075 ALX983075:ALZ983075 AVT983075:AVV983075 BFP983075:BFR983075 BPL983075:BPN983075 BZH983075:BZJ983075 CJD983075:CJF983075 CSZ983075:CTB983075 DCV983075:DCX983075 DMR983075:DMT983075 DWN983075:DWP983075 EGJ983075:EGL983075 EQF983075:EQH983075 FAB983075:FAD983075 FJX983075:FJZ983075 FTT983075:FTV983075 GDP983075:GDR983075 GNL983075:GNN983075 GXH983075:GXJ983075 HHD983075:HHF983075 HQZ983075:HRB983075 IAV983075:IAX983075 IKR983075:IKT983075 IUN983075:IUP983075 JEJ983075:JEL983075 JOF983075:JOH983075 JYB983075:JYD983075 KHX983075:KHZ983075 KRT983075:KRV983075 LBP983075:LBR983075 LLL983075:LLN983075 LVH983075:LVJ983075 MFD983075:MFF983075 MOZ983075:MPB983075 MYV983075:MYX983075 NIR983075:NIT983075 NSN983075:NSP983075 OCJ983075:OCL983075 OMF983075:OMH983075 OWB983075:OWD983075 PFX983075:PFZ983075 PPT983075:PPV983075 PZP983075:PZR983075 QJL983075:QJN983075 QTH983075:QTJ983075 RDD983075:RDF983075 RMZ983075:RNB983075 RWV983075:RWX983075 SGR983075:SGT983075 SQN983075:SQP983075 TAJ983075:TAL983075 TKF983075:TKH983075 TUB983075:TUD983075 UDX983075:UDZ983075 UNT983075:UNV983075 UXP983075:UXR983075 VHL983075:VHN983075 VRH983075:VRJ983075 WBD983075:WBF983075 WKZ983075:WLB983075 WUV983075:WUX983075 B983075:D983075 B917539:D917539 B852003:D852003 B786467:D786467 B720931:D720931 B655395:D655395 B589859:D589859 B524323:D524323 B458787:D458787 B393251:D393251 B327715:D327715 B262179:D262179 B196643:D196643 B131107:D131107 B65571:D65571">
      <formula1>Steuerung</formula1>
    </dataValidation>
    <dataValidation type="textLength" allowBlank="1" showInputMessage="1" showErrorMessage="1" errorTitle="max. 33 Zeichen möglich" error="Einschränkung von 33 Zeichen wurde überschritten!_x000a__x000a_Um die Daten zu ändern &quot;Wiederholen&quot; wählen. Bei Abbruch wird der Text gelöscht." sqref="IJ30:IL30 SF30:SH30 ACB30:ACD30 ALX30:ALZ30 AVT30:AVV30 BFP30:BFR30 BPL30:BPN30 BZH30:BZJ30 CJD30:CJF30 CSZ30:CTB30 DCV30:DCX30 DMR30:DMT30 DWN30:DWP30 EGJ30:EGL30 EQF30:EQH30 FAB30:FAD30 FJX30:FJZ30 FTT30:FTV30 GDP30:GDR30 GNL30:GNN30 GXH30:GXJ30 HHD30:HHF30 HQZ30:HRB30 IAV30:IAX30 IKR30:IKT30 IUN30:IUP30 JEJ30:JEL30 JOF30:JOH30 JYB30:JYD30 KHX30:KHZ30 KRT30:KRV30 LBP30:LBR30 LLL30:LLN30 LVH30:LVJ30 MFD30:MFF30 MOZ30:MPB30 MYV30:MYX30 NIR30:NIT30 NSN30:NSP30 OCJ30:OCL30 OMF30:OMH30 OWB30:OWD30 PFX30:PFZ30 PPT30:PPV30 PZP30:PZR30 QJL30:QJN30 QTH30:QTJ30 RDD30:RDF30 RMZ30:RNB30 RWV30:RWX30 SGR30:SGT30 SQN30:SQP30 TAJ30:TAL30 TKF30:TKH30 TUB30:TUD30 UDX30:UDZ30 UNT30:UNV30 UXP30:UXR30 VHL30:VHN30 VRH30:VRJ30 WBD30:WBF30 WKZ30:WLB30 WUV30:WUX30 IJ65567:IL65567 SF65567:SH65567 ACB65567:ACD65567 ALX65567:ALZ65567 AVT65567:AVV65567 BFP65567:BFR65567 BPL65567:BPN65567 BZH65567:BZJ65567 CJD65567:CJF65567 CSZ65567:CTB65567 DCV65567:DCX65567 DMR65567:DMT65567 DWN65567:DWP65567 EGJ65567:EGL65567 EQF65567:EQH65567 FAB65567:FAD65567 FJX65567:FJZ65567 FTT65567:FTV65567 GDP65567:GDR65567 GNL65567:GNN65567 GXH65567:GXJ65567 HHD65567:HHF65567 HQZ65567:HRB65567 IAV65567:IAX65567 IKR65567:IKT65567 IUN65567:IUP65567 JEJ65567:JEL65567 JOF65567:JOH65567 JYB65567:JYD65567 KHX65567:KHZ65567 KRT65567:KRV65567 LBP65567:LBR65567 LLL65567:LLN65567 LVH65567:LVJ65567 MFD65567:MFF65567 MOZ65567:MPB65567 MYV65567:MYX65567 NIR65567:NIT65567 NSN65567:NSP65567 OCJ65567:OCL65567 OMF65567:OMH65567 OWB65567:OWD65567 PFX65567:PFZ65567 PPT65567:PPV65567 PZP65567:PZR65567 QJL65567:QJN65567 QTH65567:QTJ65567 RDD65567:RDF65567 RMZ65567:RNB65567 RWV65567:RWX65567 SGR65567:SGT65567 SQN65567:SQP65567 TAJ65567:TAL65567 TKF65567:TKH65567 TUB65567:TUD65567 UDX65567:UDZ65567 UNT65567:UNV65567 UXP65567:UXR65567 VHL65567:VHN65567 VRH65567:VRJ65567 WBD65567:WBF65567 WKZ65567:WLB65567 WUV65567:WUX65567 IJ131103:IL131103 SF131103:SH131103 ACB131103:ACD131103 ALX131103:ALZ131103 AVT131103:AVV131103 BFP131103:BFR131103 BPL131103:BPN131103 BZH131103:BZJ131103 CJD131103:CJF131103 CSZ131103:CTB131103 DCV131103:DCX131103 DMR131103:DMT131103 DWN131103:DWP131103 EGJ131103:EGL131103 EQF131103:EQH131103 FAB131103:FAD131103 FJX131103:FJZ131103 FTT131103:FTV131103 GDP131103:GDR131103 GNL131103:GNN131103 GXH131103:GXJ131103 HHD131103:HHF131103 HQZ131103:HRB131103 IAV131103:IAX131103 IKR131103:IKT131103 IUN131103:IUP131103 JEJ131103:JEL131103 JOF131103:JOH131103 JYB131103:JYD131103 KHX131103:KHZ131103 KRT131103:KRV131103 LBP131103:LBR131103 LLL131103:LLN131103 LVH131103:LVJ131103 MFD131103:MFF131103 MOZ131103:MPB131103 MYV131103:MYX131103 NIR131103:NIT131103 NSN131103:NSP131103 OCJ131103:OCL131103 OMF131103:OMH131103 OWB131103:OWD131103 PFX131103:PFZ131103 PPT131103:PPV131103 PZP131103:PZR131103 QJL131103:QJN131103 QTH131103:QTJ131103 RDD131103:RDF131103 RMZ131103:RNB131103 RWV131103:RWX131103 SGR131103:SGT131103 SQN131103:SQP131103 TAJ131103:TAL131103 TKF131103:TKH131103 TUB131103:TUD131103 UDX131103:UDZ131103 UNT131103:UNV131103 UXP131103:UXR131103 VHL131103:VHN131103 VRH131103:VRJ131103 WBD131103:WBF131103 WKZ131103:WLB131103 WUV131103:WUX131103 IJ196639:IL196639 SF196639:SH196639 ACB196639:ACD196639 ALX196639:ALZ196639 AVT196639:AVV196639 BFP196639:BFR196639 BPL196639:BPN196639 BZH196639:BZJ196639 CJD196639:CJF196639 CSZ196639:CTB196639 DCV196639:DCX196639 DMR196639:DMT196639 DWN196639:DWP196639 EGJ196639:EGL196639 EQF196639:EQH196639 FAB196639:FAD196639 FJX196639:FJZ196639 FTT196639:FTV196639 GDP196639:GDR196639 GNL196639:GNN196639 GXH196639:GXJ196639 HHD196639:HHF196639 HQZ196639:HRB196639 IAV196639:IAX196639 IKR196639:IKT196639 IUN196639:IUP196639 JEJ196639:JEL196639 JOF196639:JOH196639 JYB196639:JYD196639 KHX196639:KHZ196639 KRT196639:KRV196639 LBP196639:LBR196639 LLL196639:LLN196639 LVH196639:LVJ196639 MFD196639:MFF196639 MOZ196639:MPB196639 MYV196639:MYX196639 NIR196639:NIT196639 NSN196639:NSP196639 OCJ196639:OCL196639 OMF196639:OMH196639 OWB196639:OWD196639 PFX196639:PFZ196639 PPT196639:PPV196639 PZP196639:PZR196639 QJL196639:QJN196639 QTH196639:QTJ196639 RDD196639:RDF196639 RMZ196639:RNB196639 RWV196639:RWX196639 SGR196639:SGT196639 SQN196639:SQP196639 TAJ196639:TAL196639 TKF196639:TKH196639 TUB196639:TUD196639 UDX196639:UDZ196639 UNT196639:UNV196639 UXP196639:UXR196639 VHL196639:VHN196639 VRH196639:VRJ196639 WBD196639:WBF196639 WKZ196639:WLB196639 WUV196639:WUX196639 IJ262175:IL262175 SF262175:SH262175 ACB262175:ACD262175 ALX262175:ALZ262175 AVT262175:AVV262175 BFP262175:BFR262175 BPL262175:BPN262175 BZH262175:BZJ262175 CJD262175:CJF262175 CSZ262175:CTB262175 DCV262175:DCX262175 DMR262175:DMT262175 DWN262175:DWP262175 EGJ262175:EGL262175 EQF262175:EQH262175 FAB262175:FAD262175 FJX262175:FJZ262175 FTT262175:FTV262175 GDP262175:GDR262175 GNL262175:GNN262175 GXH262175:GXJ262175 HHD262175:HHF262175 HQZ262175:HRB262175 IAV262175:IAX262175 IKR262175:IKT262175 IUN262175:IUP262175 JEJ262175:JEL262175 JOF262175:JOH262175 JYB262175:JYD262175 KHX262175:KHZ262175 KRT262175:KRV262175 LBP262175:LBR262175 LLL262175:LLN262175 LVH262175:LVJ262175 MFD262175:MFF262175 MOZ262175:MPB262175 MYV262175:MYX262175 NIR262175:NIT262175 NSN262175:NSP262175 OCJ262175:OCL262175 OMF262175:OMH262175 OWB262175:OWD262175 PFX262175:PFZ262175 PPT262175:PPV262175 PZP262175:PZR262175 QJL262175:QJN262175 QTH262175:QTJ262175 RDD262175:RDF262175 RMZ262175:RNB262175 RWV262175:RWX262175 SGR262175:SGT262175 SQN262175:SQP262175 TAJ262175:TAL262175 TKF262175:TKH262175 TUB262175:TUD262175 UDX262175:UDZ262175 UNT262175:UNV262175 UXP262175:UXR262175 VHL262175:VHN262175 VRH262175:VRJ262175 WBD262175:WBF262175 WKZ262175:WLB262175 WUV262175:WUX262175 IJ327711:IL327711 SF327711:SH327711 ACB327711:ACD327711 ALX327711:ALZ327711 AVT327711:AVV327711 BFP327711:BFR327711 BPL327711:BPN327711 BZH327711:BZJ327711 CJD327711:CJF327711 CSZ327711:CTB327711 DCV327711:DCX327711 DMR327711:DMT327711 DWN327711:DWP327711 EGJ327711:EGL327711 EQF327711:EQH327711 FAB327711:FAD327711 FJX327711:FJZ327711 FTT327711:FTV327711 GDP327711:GDR327711 GNL327711:GNN327711 GXH327711:GXJ327711 HHD327711:HHF327711 HQZ327711:HRB327711 IAV327711:IAX327711 IKR327711:IKT327711 IUN327711:IUP327711 JEJ327711:JEL327711 JOF327711:JOH327711 JYB327711:JYD327711 KHX327711:KHZ327711 KRT327711:KRV327711 LBP327711:LBR327711 LLL327711:LLN327711 LVH327711:LVJ327711 MFD327711:MFF327711 MOZ327711:MPB327711 MYV327711:MYX327711 NIR327711:NIT327711 NSN327711:NSP327711 OCJ327711:OCL327711 OMF327711:OMH327711 OWB327711:OWD327711 PFX327711:PFZ327711 PPT327711:PPV327711 PZP327711:PZR327711 QJL327711:QJN327711 QTH327711:QTJ327711 RDD327711:RDF327711 RMZ327711:RNB327711 RWV327711:RWX327711 SGR327711:SGT327711 SQN327711:SQP327711 TAJ327711:TAL327711 TKF327711:TKH327711 TUB327711:TUD327711 UDX327711:UDZ327711 UNT327711:UNV327711 UXP327711:UXR327711 VHL327711:VHN327711 VRH327711:VRJ327711 WBD327711:WBF327711 WKZ327711:WLB327711 WUV327711:WUX327711 IJ393247:IL393247 SF393247:SH393247 ACB393247:ACD393247 ALX393247:ALZ393247 AVT393247:AVV393247 BFP393247:BFR393247 BPL393247:BPN393247 BZH393247:BZJ393247 CJD393247:CJF393247 CSZ393247:CTB393247 DCV393247:DCX393247 DMR393247:DMT393247 DWN393247:DWP393247 EGJ393247:EGL393247 EQF393247:EQH393247 FAB393247:FAD393247 FJX393247:FJZ393247 FTT393247:FTV393247 GDP393247:GDR393247 GNL393247:GNN393247 GXH393247:GXJ393247 HHD393247:HHF393247 HQZ393247:HRB393247 IAV393247:IAX393247 IKR393247:IKT393247 IUN393247:IUP393247 JEJ393247:JEL393247 JOF393247:JOH393247 JYB393247:JYD393247 KHX393247:KHZ393247 KRT393247:KRV393247 LBP393247:LBR393247 LLL393247:LLN393247 LVH393247:LVJ393247 MFD393247:MFF393247 MOZ393247:MPB393247 MYV393247:MYX393247 NIR393247:NIT393247 NSN393247:NSP393247 OCJ393247:OCL393247 OMF393247:OMH393247 OWB393247:OWD393247 PFX393247:PFZ393247 PPT393247:PPV393247 PZP393247:PZR393247 QJL393247:QJN393247 QTH393247:QTJ393247 RDD393247:RDF393247 RMZ393247:RNB393247 RWV393247:RWX393247 SGR393247:SGT393247 SQN393247:SQP393247 TAJ393247:TAL393247 TKF393247:TKH393247 TUB393247:TUD393247 UDX393247:UDZ393247 UNT393247:UNV393247 UXP393247:UXR393247 VHL393247:VHN393247 VRH393247:VRJ393247 WBD393247:WBF393247 WKZ393247:WLB393247 WUV393247:WUX393247 IJ458783:IL458783 SF458783:SH458783 ACB458783:ACD458783 ALX458783:ALZ458783 AVT458783:AVV458783 BFP458783:BFR458783 BPL458783:BPN458783 BZH458783:BZJ458783 CJD458783:CJF458783 CSZ458783:CTB458783 DCV458783:DCX458783 DMR458783:DMT458783 DWN458783:DWP458783 EGJ458783:EGL458783 EQF458783:EQH458783 FAB458783:FAD458783 FJX458783:FJZ458783 FTT458783:FTV458783 GDP458783:GDR458783 GNL458783:GNN458783 GXH458783:GXJ458783 HHD458783:HHF458783 HQZ458783:HRB458783 IAV458783:IAX458783 IKR458783:IKT458783 IUN458783:IUP458783 JEJ458783:JEL458783 JOF458783:JOH458783 JYB458783:JYD458783 KHX458783:KHZ458783 KRT458783:KRV458783 LBP458783:LBR458783 LLL458783:LLN458783 LVH458783:LVJ458783 MFD458783:MFF458783 MOZ458783:MPB458783 MYV458783:MYX458783 NIR458783:NIT458783 NSN458783:NSP458783 OCJ458783:OCL458783 OMF458783:OMH458783 OWB458783:OWD458783 PFX458783:PFZ458783 PPT458783:PPV458783 PZP458783:PZR458783 QJL458783:QJN458783 QTH458783:QTJ458783 RDD458783:RDF458783 RMZ458783:RNB458783 RWV458783:RWX458783 SGR458783:SGT458783 SQN458783:SQP458783 TAJ458783:TAL458783 TKF458783:TKH458783 TUB458783:TUD458783 UDX458783:UDZ458783 UNT458783:UNV458783 UXP458783:UXR458783 VHL458783:VHN458783 VRH458783:VRJ458783 WBD458783:WBF458783 WKZ458783:WLB458783 WUV458783:WUX458783 IJ524319:IL524319 SF524319:SH524319 ACB524319:ACD524319 ALX524319:ALZ524319 AVT524319:AVV524319 BFP524319:BFR524319 BPL524319:BPN524319 BZH524319:BZJ524319 CJD524319:CJF524319 CSZ524319:CTB524319 DCV524319:DCX524319 DMR524319:DMT524319 DWN524319:DWP524319 EGJ524319:EGL524319 EQF524319:EQH524319 FAB524319:FAD524319 FJX524319:FJZ524319 FTT524319:FTV524319 GDP524319:GDR524319 GNL524319:GNN524319 GXH524319:GXJ524319 HHD524319:HHF524319 HQZ524319:HRB524319 IAV524319:IAX524319 IKR524319:IKT524319 IUN524319:IUP524319 JEJ524319:JEL524319 JOF524319:JOH524319 JYB524319:JYD524319 KHX524319:KHZ524319 KRT524319:KRV524319 LBP524319:LBR524319 LLL524319:LLN524319 LVH524319:LVJ524319 MFD524319:MFF524319 MOZ524319:MPB524319 MYV524319:MYX524319 NIR524319:NIT524319 NSN524319:NSP524319 OCJ524319:OCL524319 OMF524319:OMH524319 OWB524319:OWD524319 PFX524319:PFZ524319 PPT524319:PPV524319 PZP524319:PZR524319 QJL524319:QJN524319 QTH524319:QTJ524319 RDD524319:RDF524319 RMZ524319:RNB524319 RWV524319:RWX524319 SGR524319:SGT524319 SQN524319:SQP524319 TAJ524319:TAL524319 TKF524319:TKH524319 TUB524319:TUD524319 UDX524319:UDZ524319 UNT524319:UNV524319 UXP524319:UXR524319 VHL524319:VHN524319 VRH524319:VRJ524319 WBD524319:WBF524319 WKZ524319:WLB524319 WUV524319:WUX524319 IJ589855:IL589855 SF589855:SH589855 ACB589855:ACD589855 ALX589855:ALZ589855 AVT589855:AVV589855 BFP589855:BFR589855 BPL589855:BPN589855 BZH589855:BZJ589855 CJD589855:CJF589855 CSZ589855:CTB589855 DCV589855:DCX589855 DMR589855:DMT589855 DWN589855:DWP589855 EGJ589855:EGL589855 EQF589855:EQH589855 FAB589855:FAD589855 FJX589855:FJZ589855 FTT589855:FTV589855 GDP589855:GDR589855 GNL589855:GNN589855 GXH589855:GXJ589855 HHD589855:HHF589855 HQZ589855:HRB589855 IAV589855:IAX589855 IKR589855:IKT589855 IUN589855:IUP589855 JEJ589855:JEL589855 JOF589855:JOH589855 JYB589855:JYD589855 KHX589855:KHZ589855 KRT589855:KRV589855 LBP589855:LBR589855 LLL589855:LLN589855 LVH589855:LVJ589855 MFD589855:MFF589855 MOZ589855:MPB589855 MYV589855:MYX589855 NIR589855:NIT589855 NSN589855:NSP589855 OCJ589855:OCL589855 OMF589855:OMH589855 OWB589855:OWD589855 PFX589855:PFZ589855 PPT589855:PPV589855 PZP589855:PZR589855 QJL589855:QJN589855 QTH589855:QTJ589855 RDD589855:RDF589855 RMZ589855:RNB589855 RWV589855:RWX589855 SGR589855:SGT589855 SQN589855:SQP589855 TAJ589855:TAL589855 TKF589855:TKH589855 TUB589855:TUD589855 UDX589855:UDZ589855 UNT589855:UNV589855 UXP589855:UXR589855 VHL589855:VHN589855 VRH589855:VRJ589855 WBD589855:WBF589855 WKZ589855:WLB589855 WUV589855:WUX589855 IJ655391:IL655391 SF655391:SH655391 ACB655391:ACD655391 ALX655391:ALZ655391 AVT655391:AVV655391 BFP655391:BFR655391 BPL655391:BPN655391 BZH655391:BZJ655391 CJD655391:CJF655391 CSZ655391:CTB655391 DCV655391:DCX655391 DMR655391:DMT655391 DWN655391:DWP655391 EGJ655391:EGL655391 EQF655391:EQH655391 FAB655391:FAD655391 FJX655391:FJZ655391 FTT655391:FTV655391 GDP655391:GDR655391 GNL655391:GNN655391 GXH655391:GXJ655391 HHD655391:HHF655391 HQZ655391:HRB655391 IAV655391:IAX655391 IKR655391:IKT655391 IUN655391:IUP655391 JEJ655391:JEL655391 JOF655391:JOH655391 JYB655391:JYD655391 KHX655391:KHZ655391 KRT655391:KRV655391 LBP655391:LBR655391 LLL655391:LLN655391 LVH655391:LVJ655391 MFD655391:MFF655391 MOZ655391:MPB655391 MYV655391:MYX655391 NIR655391:NIT655391 NSN655391:NSP655391 OCJ655391:OCL655391 OMF655391:OMH655391 OWB655391:OWD655391 PFX655391:PFZ655391 PPT655391:PPV655391 PZP655391:PZR655391 QJL655391:QJN655391 QTH655391:QTJ655391 RDD655391:RDF655391 RMZ655391:RNB655391 RWV655391:RWX655391 SGR655391:SGT655391 SQN655391:SQP655391 TAJ655391:TAL655391 TKF655391:TKH655391 TUB655391:TUD655391 UDX655391:UDZ655391 UNT655391:UNV655391 UXP655391:UXR655391 VHL655391:VHN655391 VRH655391:VRJ655391 WBD655391:WBF655391 WKZ655391:WLB655391 WUV655391:WUX655391 IJ720927:IL720927 SF720927:SH720927 ACB720927:ACD720927 ALX720927:ALZ720927 AVT720927:AVV720927 BFP720927:BFR720927 BPL720927:BPN720927 BZH720927:BZJ720927 CJD720927:CJF720927 CSZ720927:CTB720927 DCV720927:DCX720927 DMR720927:DMT720927 DWN720927:DWP720927 EGJ720927:EGL720927 EQF720927:EQH720927 FAB720927:FAD720927 FJX720927:FJZ720927 FTT720927:FTV720927 GDP720927:GDR720927 GNL720927:GNN720927 GXH720927:GXJ720927 HHD720927:HHF720927 HQZ720927:HRB720927 IAV720927:IAX720927 IKR720927:IKT720927 IUN720927:IUP720927 JEJ720927:JEL720927 JOF720927:JOH720927 JYB720927:JYD720927 KHX720927:KHZ720927 KRT720927:KRV720927 LBP720927:LBR720927 LLL720927:LLN720927 LVH720927:LVJ720927 MFD720927:MFF720927 MOZ720927:MPB720927 MYV720927:MYX720927 NIR720927:NIT720927 NSN720927:NSP720927 OCJ720927:OCL720927 OMF720927:OMH720927 OWB720927:OWD720927 PFX720927:PFZ720927 PPT720927:PPV720927 PZP720927:PZR720927 QJL720927:QJN720927 QTH720927:QTJ720927 RDD720927:RDF720927 RMZ720927:RNB720927 RWV720927:RWX720927 SGR720927:SGT720927 SQN720927:SQP720927 TAJ720927:TAL720927 TKF720927:TKH720927 TUB720927:TUD720927 UDX720927:UDZ720927 UNT720927:UNV720927 UXP720927:UXR720927 VHL720927:VHN720927 VRH720927:VRJ720927 WBD720927:WBF720927 WKZ720927:WLB720927 WUV720927:WUX720927 IJ786463:IL786463 SF786463:SH786463 ACB786463:ACD786463 ALX786463:ALZ786463 AVT786463:AVV786463 BFP786463:BFR786463 BPL786463:BPN786463 BZH786463:BZJ786463 CJD786463:CJF786463 CSZ786463:CTB786463 DCV786463:DCX786463 DMR786463:DMT786463 DWN786463:DWP786463 EGJ786463:EGL786463 EQF786463:EQH786463 FAB786463:FAD786463 FJX786463:FJZ786463 FTT786463:FTV786463 GDP786463:GDR786463 GNL786463:GNN786463 GXH786463:GXJ786463 HHD786463:HHF786463 HQZ786463:HRB786463 IAV786463:IAX786463 IKR786463:IKT786463 IUN786463:IUP786463 JEJ786463:JEL786463 JOF786463:JOH786463 JYB786463:JYD786463 KHX786463:KHZ786463 KRT786463:KRV786463 LBP786463:LBR786463 LLL786463:LLN786463 LVH786463:LVJ786463 MFD786463:MFF786463 MOZ786463:MPB786463 MYV786463:MYX786463 NIR786463:NIT786463 NSN786463:NSP786463 OCJ786463:OCL786463 OMF786463:OMH786463 OWB786463:OWD786463 PFX786463:PFZ786463 PPT786463:PPV786463 PZP786463:PZR786463 QJL786463:QJN786463 QTH786463:QTJ786463 RDD786463:RDF786463 RMZ786463:RNB786463 RWV786463:RWX786463 SGR786463:SGT786463 SQN786463:SQP786463 TAJ786463:TAL786463 TKF786463:TKH786463 TUB786463:TUD786463 UDX786463:UDZ786463 UNT786463:UNV786463 UXP786463:UXR786463 VHL786463:VHN786463 VRH786463:VRJ786463 WBD786463:WBF786463 WKZ786463:WLB786463 WUV786463:WUX786463 IJ851999:IL851999 SF851999:SH851999 ACB851999:ACD851999 ALX851999:ALZ851999 AVT851999:AVV851999 BFP851999:BFR851999 BPL851999:BPN851999 BZH851999:BZJ851999 CJD851999:CJF851999 CSZ851999:CTB851999 DCV851999:DCX851999 DMR851999:DMT851999 DWN851999:DWP851999 EGJ851999:EGL851999 EQF851999:EQH851999 FAB851999:FAD851999 FJX851999:FJZ851999 FTT851999:FTV851999 GDP851999:GDR851999 GNL851999:GNN851999 GXH851999:GXJ851999 HHD851999:HHF851999 HQZ851999:HRB851999 IAV851999:IAX851999 IKR851999:IKT851999 IUN851999:IUP851999 JEJ851999:JEL851999 JOF851999:JOH851999 JYB851999:JYD851999 KHX851999:KHZ851999 KRT851999:KRV851999 LBP851999:LBR851999 LLL851999:LLN851999 LVH851999:LVJ851999 MFD851999:MFF851999 MOZ851999:MPB851999 MYV851999:MYX851999 NIR851999:NIT851999 NSN851999:NSP851999 OCJ851999:OCL851999 OMF851999:OMH851999 OWB851999:OWD851999 PFX851999:PFZ851999 PPT851999:PPV851999 PZP851999:PZR851999 QJL851999:QJN851999 QTH851999:QTJ851999 RDD851999:RDF851999 RMZ851999:RNB851999 RWV851999:RWX851999 SGR851999:SGT851999 SQN851999:SQP851999 TAJ851999:TAL851999 TKF851999:TKH851999 TUB851999:TUD851999 UDX851999:UDZ851999 UNT851999:UNV851999 UXP851999:UXR851999 VHL851999:VHN851999 VRH851999:VRJ851999 WBD851999:WBF851999 WKZ851999:WLB851999 WUV851999:WUX851999 IJ917535:IL917535 SF917535:SH917535 ACB917535:ACD917535 ALX917535:ALZ917535 AVT917535:AVV917535 BFP917535:BFR917535 BPL917535:BPN917535 BZH917535:BZJ917535 CJD917535:CJF917535 CSZ917535:CTB917535 DCV917535:DCX917535 DMR917535:DMT917535 DWN917535:DWP917535 EGJ917535:EGL917535 EQF917535:EQH917535 FAB917535:FAD917535 FJX917535:FJZ917535 FTT917535:FTV917535 GDP917535:GDR917535 GNL917535:GNN917535 GXH917535:GXJ917535 HHD917535:HHF917535 HQZ917535:HRB917535 IAV917535:IAX917535 IKR917535:IKT917535 IUN917535:IUP917535 JEJ917535:JEL917535 JOF917535:JOH917535 JYB917535:JYD917535 KHX917535:KHZ917535 KRT917535:KRV917535 LBP917535:LBR917535 LLL917535:LLN917535 LVH917535:LVJ917535 MFD917535:MFF917535 MOZ917535:MPB917535 MYV917535:MYX917535 NIR917535:NIT917535 NSN917535:NSP917535 OCJ917535:OCL917535 OMF917535:OMH917535 OWB917535:OWD917535 PFX917535:PFZ917535 PPT917535:PPV917535 PZP917535:PZR917535 QJL917535:QJN917535 QTH917535:QTJ917535 RDD917535:RDF917535 RMZ917535:RNB917535 RWV917535:RWX917535 SGR917535:SGT917535 SQN917535:SQP917535 TAJ917535:TAL917535 TKF917535:TKH917535 TUB917535:TUD917535 UDX917535:UDZ917535 UNT917535:UNV917535 UXP917535:UXR917535 VHL917535:VHN917535 VRH917535:VRJ917535 WBD917535:WBF917535 WKZ917535:WLB917535 WUV917535:WUX917535 IJ983071:IL983071 SF983071:SH983071 ACB983071:ACD983071 ALX983071:ALZ983071 AVT983071:AVV983071 BFP983071:BFR983071 BPL983071:BPN983071 BZH983071:BZJ983071 CJD983071:CJF983071 CSZ983071:CTB983071 DCV983071:DCX983071 DMR983071:DMT983071 DWN983071:DWP983071 EGJ983071:EGL983071 EQF983071:EQH983071 FAB983071:FAD983071 FJX983071:FJZ983071 FTT983071:FTV983071 GDP983071:GDR983071 GNL983071:GNN983071 GXH983071:GXJ983071 HHD983071:HHF983071 HQZ983071:HRB983071 IAV983071:IAX983071 IKR983071:IKT983071 IUN983071:IUP983071 JEJ983071:JEL983071 JOF983071:JOH983071 JYB983071:JYD983071 KHX983071:KHZ983071 KRT983071:KRV983071 LBP983071:LBR983071 LLL983071:LLN983071 LVH983071:LVJ983071 MFD983071:MFF983071 MOZ983071:MPB983071 MYV983071:MYX983071 NIR983071:NIT983071 NSN983071:NSP983071 OCJ983071:OCL983071 OMF983071:OMH983071 OWB983071:OWD983071 PFX983071:PFZ983071 PPT983071:PPV983071 PZP983071:PZR983071 QJL983071:QJN983071 QTH983071:QTJ983071 RDD983071:RDF983071 RMZ983071:RNB983071 RWV983071:RWX983071 SGR983071:SGT983071 SQN983071:SQP983071 TAJ983071:TAL983071 TKF983071:TKH983071 TUB983071:TUD983071 UDX983071:UDZ983071 UNT983071:UNV983071 UXP983071:UXR983071 VHL983071:VHN983071 VRH983071:VRJ983071 WBD983071:WBF983071 WKZ983071:WLB983071 WUV983071:WUX983071 B983071:D983071 B917535:D917535 B851999:D851999 B786463:D786463 B720927:D720927 B655391:D655391 B589855:D589855 B524319:D524319 B458783:D458783 B393247:D393247 B327711:D327711 B262175:D262175 B196639:D196639 B131103:D131103 B65567:D65567 B30:D30">
      <formula1>0</formula1>
      <formula2>33</formula2>
    </dataValidation>
    <dataValidation type="list" allowBlank="1" showInputMessage="1" showErrorMessage="1" sqref="B29:D29">
      <formula1>TMDLocArea</formula1>
    </dataValidation>
    <dataValidation type="list" allowBlank="1" showInputMessage="1" showErrorMessage="1" sqref="B31:D31">
      <formula1>TMDSAPReportLayout</formula1>
    </dataValidation>
    <dataValidation type="list" allowBlank="1" showInputMessage="1" showErrorMessage="1" sqref="F29:H29">
      <formula1>TMDOrderType</formula1>
    </dataValidation>
    <dataValidation type="list" allowBlank="1" showInputMessage="1" showErrorMessage="1" sqref="F32:H38 B37:C38 B339:C341 J46:K51 J56:K61 J66:K71 J76:K81 J86:K91 J96:K101 J106:K111 J116:K121 J126:K131 J136:K141 J146:K151 J156:K161 J166:K171 J176:K181 J186:K191 J196:K201 J206:K211 J216:K221 J226:K231 J236:K241 J246:K251 J256:K261 J266:K271 J276:K281 J286:K291 J296:K301 J306:K311 J316:K321 J326:K331 J336:K341 B49:C51 B59:C61 B69:C71 B79:C81 B89:C91 B99:C101 B109:C111 B119:C121 B129:C131 B139:C141 B149:C151 B159:C161 B169:C171 B179:C181 B189:C191 B199:C201 B209:C211 B219:C221 B229:C231 B239:C241 B249:C251 B259:C261 B269:C271 B279:C281 B289:C291 B299:C301 B309:C311 B319:C321 B329:C331">
      <formula1>MDStaffMemberName</formula1>
    </dataValidation>
    <dataValidation type="list" allowBlank="1" showInputMessage="1" showErrorMessage="1" sqref="F46:I46 F56:I56 F66:I66 F76:I76 F86:I86 F96:I96 F106:I106 F116:I116 F136:I136 F146:I146 F156:I156 F166:I166 F176:I176 F186:I186 F196:I196 F206:I206 F216:I216 F226:I226 F236:I236 F246:I246 F256:I256 F266:I266 F276:I276 F286:I286 F296:I296 F306:I306 F316:I316 F326:I326 F336:I336">
      <formula1>TMDPortfolioElement</formula1>
    </dataValidation>
    <dataValidation type="decimal" operator="greaterThanOrEqual" allowBlank="1" showInputMessage="1" showErrorMessage="1" sqref="F44:I44 F54:I54 F64:I64 F74:I74 F84:I84 F94:I94 F104:I104 F114:I114 F124:I124 F134:I134 F144:I144 F154:I154 F164:I164 F174:I174 F184:I184 F194:I194 F204:I204 F214:I214 F224:I224 F234:I234 F244:I244 F254:I254 F264:I264 F274:I274 F284:I284 F294:I294 F304:I304 F314:I314 F324:I324 F334:I334">
      <formula1>0</formula1>
    </dataValidation>
    <dataValidation type="list" allowBlank="1" showInputMessage="1" showErrorMessage="1" sqref="F39:H39">
      <formula1>TMDDrittleistung</formula1>
    </dataValidation>
    <dataValidation type="list" allowBlank="1" showInputMessage="1" showErrorMessage="1" sqref="I25:K25">
      <formula1>TMDFaktura</formula1>
    </dataValidation>
  </dataValidations>
  <printOptions horizontalCentered="1"/>
  <pageMargins left="0.31496062992125984" right="0.31496062992125984" top="0.31496062992125984" bottom="0.27559055118110237" header="0.31496062992125984" footer="0.31496062992125984"/>
  <pageSetup paperSize="9" scale="53" fitToHeight="3" orientation="portrait" horizontalDpi="300" verticalDpi="300" r:id="rId1"/>
  <rowBreaks count="2" manualBreakCount="2">
    <brk id="121" max="10" man="1"/>
    <brk id="251" max="10" man="1"/>
  </rowBreaks>
  <customProperties>
    <customPr name="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5626" r:id="rId5" name="Button 506">
              <controlPr defaultSize="0" print="0" autoFill="0" autoPict="0" macro="[0]!btnExcelExport_Click">
                <anchor moveWithCells="1" sizeWithCells="1">
                  <from>
                    <xdr:col>12</xdr:col>
                    <xdr:colOff>114300</xdr:colOff>
                    <xdr:row>4</xdr:row>
                    <xdr:rowOff>76200</xdr:rowOff>
                  </from>
                  <to>
                    <xdr:col>14</xdr:col>
                    <xdr:colOff>640080</xdr:colOff>
                    <xdr:row>7</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TMDAllocationType</xm:f>
          </x14:formula1>
          <xm:sqref>IM64 SI64 ACE64 AMA64 AVW64 BFS64 BPO64 BZK64 CJG64 CTC64 DCY64 DMU64 DWQ64 EGM64 EQI64 FAE64 FKA64 FTW64 GDS64 GNO64 GXK64 HHG64 HRC64 IAY64 IKU64 IUQ64 JEM64 JOI64 JYE64 KIA64 KRW64 LBS64 LLO64 LVK64 MFG64 MPC64 MYY64 NIU64 NSQ64 OCM64 OMI64 OWE64 PGA64 PPW64 PZS64 QJO64 QTK64 RDG64 RNC64 RWY64 SGU64 SQQ64 TAM64 TKI64 TUE64 UEA64 UNW64 UXS64 VHO64 VRK64 WBG64 WLC64 WUY64 IM65600 SI65600 ACE65600 AMA65600 AVW65600 BFS65600 BPO65600 BZK65600 CJG65600 CTC65600 DCY65600 DMU65600 DWQ65600 EGM65600 EQI65600 FAE65600 FKA65600 FTW65600 GDS65600 GNO65600 GXK65600 HHG65600 HRC65600 IAY65600 IKU65600 IUQ65600 JEM65600 JOI65600 JYE65600 KIA65600 KRW65600 LBS65600 LLO65600 LVK65600 MFG65600 MPC65600 MYY65600 NIU65600 NSQ65600 OCM65600 OMI65600 OWE65600 PGA65600 PPW65600 PZS65600 QJO65600 QTK65600 RDG65600 RNC65600 RWY65600 SGU65600 SQQ65600 TAM65600 TKI65600 TUE65600 UEA65600 UNW65600 UXS65600 VHO65600 VRK65600 WBG65600 WLC65600 WUY65600 IM131136 SI131136 ACE131136 AMA131136 AVW131136 BFS131136 BPO131136 BZK131136 CJG131136 CTC131136 DCY131136 DMU131136 DWQ131136 EGM131136 EQI131136 FAE131136 FKA131136 FTW131136 GDS131136 GNO131136 GXK131136 HHG131136 HRC131136 IAY131136 IKU131136 IUQ131136 JEM131136 JOI131136 JYE131136 KIA131136 KRW131136 LBS131136 LLO131136 LVK131136 MFG131136 MPC131136 MYY131136 NIU131136 NSQ131136 OCM131136 OMI131136 OWE131136 PGA131136 PPW131136 PZS131136 QJO131136 QTK131136 RDG131136 RNC131136 RWY131136 SGU131136 SQQ131136 TAM131136 TKI131136 TUE131136 UEA131136 UNW131136 UXS131136 VHO131136 VRK131136 WBG131136 WLC131136 WUY131136 IM196672 SI196672 ACE196672 AMA196672 AVW196672 BFS196672 BPO196672 BZK196672 CJG196672 CTC196672 DCY196672 DMU196672 DWQ196672 EGM196672 EQI196672 FAE196672 FKA196672 FTW196672 GDS196672 GNO196672 GXK196672 HHG196672 HRC196672 IAY196672 IKU196672 IUQ196672 JEM196672 JOI196672 JYE196672 KIA196672 KRW196672 LBS196672 LLO196672 LVK196672 MFG196672 MPC196672 MYY196672 NIU196672 NSQ196672 OCM196672 OMI196672 OWE196672 PGA196672 PPW196672 PZS196672 QJO196672 QTK196672 RDG196672 RNC196672 RWY196672 SGU196672 SQQ196672 TAM196672 TKI196672 TUE196672 UEA196672 UNW196672 UXS196672 VHO196672 VRK196672 WBG196672 WLC196672 WUY196672 IM262208 SI262208 ACE262208 AMA262208 AVW262208 BFS262208 BPO262208 BZK262208 CJG262208 CTC262208 DCY262208 DMU262208 DWQ262208 EGM262208 EQI262208 FAE262208 FKA262208 FTW262208 GDS262208 GNO262208 GXK262208 HHG262208 HRC262208 IAY262208 IKU262208 IUQ262208 JEM262208 JOI262208 JYE262208 KIA262208 KRW262208 LBS262208 LLO262208 LVK262208 MFG262208 MPC262208 MYY262208 NIU262208 NSQ262208 OCM262208 OMI262208 OWE262208 PGA262208 PPW262208 PZS262208 QJO262208 QTK262208 RDG262208 RNC262208 RWY262208 SGU262208 SQQ262208 TAM262208 TKI262208 TUE262208 UEA262208 UNW262208 UXS262208 VHO262208 VRK262208 WBG262208 WLC262208 WUY262208 IM327744 SI327744 ACE327744 AMA327744 AVW327744 BFS327744 BPO327744 BZK327744 CJG327744 CTC327744 DCY327744 DMU327744 DWQ327744 EGM327744 EQI327744 FAE327744 FKA327744 FTW327744 GDS327744 GNO327744 GXK327744 HHG327744 HRC327744 IAY327744 IKU327744 IUQ327744 JEM327744 JOI327744 JYE327744 KIA327744 KRW327744 LBS327744 LLO327744 LVK327744 MFG327744 MPC327744 MYY327744 NIU327744 NSQ327744 OCM327744 OMI327744 OWE327744 PGA327744 PPW327744 PZS327744 QJO327744 QTK327744 RDG327744 RNC327744 RWY327744 SGU327744 SQQ327744 TAM327744 TKI327744 TUE327744 UEA327744 UNW327744 UXS327744 VHO327744 VRK327744 WBG327744 WLC327744 WUY327744 IM393280 SI393280 ACE393280 AMA393280 AVW393280 BFS393280 BPO393280 BZK393280 CJG393280 CTC393280 DCY393280 DMU393280 DWQ393280 EGM393280 EQI393280 FAE393280 FKA393280 FTW393280 GDS393280 GNO393280 GXK393280 HHG393280 HRC393280 IAY393280 IKU393280 IUQ393280 JEM393280 JOI393280 JYE393280 KIA393280 KRW393280 LBS393280 LLO393280 LVK393280 MFG393280 MPC393280 MYY393280 NIU393280 NSQ393280 OCM393280 OMI393280 OWE393280 PGA393280 PPW393280 PZS393280 QJO393280 QTK393280 RDG393280 RNC393280 RWY393280 SGU393280 SQQ393280 TAM393280 TKI393280 TUE393280 UEA393280 UNW393280 UXS393280 VHO393280 VRK393280 WBG393280 WLC393280 WUY393280 IM458816 SI458816 ACE458816 AMA458816 AVW458816 BFS458816 BPO458816 BZK458816 CJG458816 CTC458816 DCY458816 DMU458816 DWQ458816 EGM458816 EQI458816 FAE458816 FKA458816 FTW458816 GDS458816 GNO458816 GXK458816 HHG458816 HRC458816 IAY458816 IKU458816 IUQ458816 JEM458816 JOI458816 JYE458816 KIA458816 KRW458816 LBS458816 LLO458816 LVK458816 MFG458816 MPC458816 MYY458816 NIU458816 NSQ458816 OCM458816 OMI458816 OWE458816 PGA458816 PPW458816 PZS458816 QJO458816 QTK458816 RDG458816 RNC458816 RWY458816 SGU458816 SQQ458816 TAM458816 TKI458816 TUE458816 UEA458816 UNW458816 UXS458816 VHO458816 VRK458816 WBG458816 WLC458816 WUY458816 IM524352 SI524352 ACE524352 AMA524352 AVW524352 BFS524352 BPO524352 BZK524352 CJG524352 CTC524352 DCY524352 DMU524352 DWQ524352 EGM524352 EQI524352 FAE524352 FKA524352 FTW524352 GDS524352 GNO524352 GXK524352 HHG524352 HRC524352 IAY524352 IKU524352 IUQ524352 JEM524352 JOI524352 JYE524352 KIA524352 KRW524352 LBS524352 LLO524352 LVK524352 MFG524352 MPC524352 MYY524352 NIU524352 NSQ524352 OCM524352 OMI524352 OWE524352 PGA524352 PPW524352 PZS524352 QJO524352 QTK524352 RDG524352 RNC524352 RWY524352 SGU524352 SQQ524352 TAM524352 TKI524352 TUE524352 UEA524352 UNW524352 UXS524352 VHO524352 VRK524352 WBG524352 WLC524352 WUY524352 IM589888 SI589888 ACE589888 AMA589888 AVW589888 BFS589888 BPO589888 BZK589888 CJG589888 CTC589888 DCY589888 DMU589888 DWQ589888 EGM589888 EQI589888 FAE589888 FKA589888 FTW589888 GDS589888 GNO589888 GXK589888 HHG589888 HRC589888 IAY589888 IKU589888 IUQ589888 JEM589888 JOI589888 JYE589888 KIA589888 KRW589888 LBS589888 LLO589888 LVK589888 MFG589888 MPC589888 MYY589888 NIU589888 NSQ589888 OCM589888 OMI589888 OWE589888 PGA589888 PPW589888 PZS589888 QJO589888 QTK589888 RDG589888 RNC589888 RWY589888 SGU589888 SQQ589888 TAM589888 TKI589888 TUE589888 UEA589888 UNW589888 UXS589888 VHO589888 VRK589888 WBG589888 WLC589888 WUY589888 IM655424 SI655424 ACE655424 AMA655424 AVW655424 BFS655424 BPO655424 BZK655424 CJG655424 CTC655424 DCY655424 DMU655424 DWQ655424 EGM655424 EQI655424 FAE655424 FKA655424 FTW655424 GDS655424 GNO655424 GXK655424 HHG655424 HRC655424 IAY655424 IKU655424 IUQ655424 JEM655424 JOI655424 JYE655424 KIA655424 KRW655424 LBS655424 LLO655424 LVK655424 MFG655424 MPC655424 MYY655424 NIU655424 NSQ655424 OCM655424 OMI655424 OWE655424 PGA655424 PPW655424 PZS655424 QJO655424 QTK655424 RDG655424 RNC655424 RWY655424 SGU655424 SQQ655424 TAM655424 TKI655424 TUE655424 UEA655424 UNW655424 UXS655424 VHO655424 VRK655424 WBG655424 WLC655424 WUY655424 IM720960 SI720960 ACE720960 AMA720960 AVW720960 BFS720960 BPO720960 BZK720960 CJG720960 CTC720960 DCY720960 DMU720960 DWQ720960 EGM720960 EQI720960 FAE720960 FKA720960 FTW720960 GDS720960 GNO720960 GXK720960 HHG720960 HRC720960 IAY720960 IKU720960 IUQ720960 JEM720960 JOI720960 JYE720960 KIA720960 KRW720960 LBS720960 LLO720960 LVK720960 MFG720960 MPC720960 MYY720960 NIU720960 NSQ720960 OCM720960 OMI720960 OWE720960 PGA720960 PPW720960 PZS720960 QJO720960 QTK720960 RDG720960 RNC720960 RWY720960 SGU720960 SQQ720960 TAM720960 TKI720960 TUE720960 UEA720960 UNW720960 UXS720960 VHO720960 VRK720960 WBG720960 WLC720960 WUY720960 IM786496 SI786496 ACE786496 AMA786496 AVW786496 BFS786496 BPO786496 BZK786496 CJG786496 CTC786496 DCY786496 DMU786496 DWQ786496 EGM786496 EQI786496 FAE786496 FKA786496 FTW786496 GDS786496 GNO786496 GXK786496 HHG786496 HRC786496 IAY786496 IKU786496 IUQ786496 JEM786496 JOI786496 JYE786496 KIA786496 KRW786496 LBS786496 LLO786496 LVK786496 MFG786496 MPC786496 MYY786496 NIU786496 NSQ786496 OCM786496 OMI786496 OWE786496 PGA786496 PPW786496 PZS786496 QJO786496 QTK786496 RDG786496 RNC786496 RWY786496 SGU786496 SQQ786496 TAM786496 TKI786496 TUE786496 UEA786496 UNW786496 UXS786496 VHO786496 VRK786496 WBG786496 WLC786496 WUY786496 IM852032 SI852032 ACE852032 AMA852032 AVW852032 BFS852032 BPO852032 BZK852032 CJG852032 CTC852032 DCY852032 DMU852032 DWQ852032 EGM852032 EQI852032 FAE852032 FKA852032 FTW852032 GDS852032 GNO852032 GXK852032 HHG852032 HRC852032 IAY852032 IKU852032 IUQ852032 JEM852032 JOI852032 JYE852032 KIA852032 KRW852032 LBS852032 LLO852032 LVK852032 MFG852032 MPC852032 MYY852032 NIU852032 NSQ852032 OCM852032 OMI852032 OWE852032 PGA852032 PPW852032 PZS852032 QJO852032 QTK852032 RDG852032 RNC852032 RWY852032 SGU852032 SQQ852032 TAM852032 TKI852032 TUE852032 UEA852032 UNW852032 UXS852032 VHO852032 VRK852032 WBG852032 WLC852032 WUY852032 IM917568 SI917568 ACE917568 AMA917568 AVW917568 BFS917568 BPO917568 BZK917568 CJG917568 CTC917568 DCY917568 DMU917568 DWQ917568 EGM917568 EQI917568 FAE917568 FKA917568 FTW917568 GDS917568 GNO917568 GXK917568 HHG917568 HRC917568 IAY917568 IKU917568 IUQ917568 JEM917568 JOI917568 JYE917568 KIA917568 KRW917568 LBS917568 LLO917568 LVK917568 MFG917568 MPC917568 MYY917568 NIU917568 NSQ917568 OCM917568 OMI917568 OWE917568 PGA917568 PPW917568 PZS917568 QJO917568 QTK917568 RDG917568 RNC917568 RWY917568 SGU917568 SQQ917568 TAM917568 TKI917568 TUE917568 UEA917568 UNW917568 UXS917568 VHO917568 VRK917568 WBG917568 WLC917568 WUY917568 IM983104 SI983104 ACE983104 AMA983104 AVW983104 BFS983104 BPO983104 BZK983104 CJG983104 CTC983104 DCY983104 DMU983104 DWQ983104 EGM983104 EQI983104 FAE983104 FKA983104 FTW983104 GDS983104 GNO983104 GXK983104 HHG983104 HRC983104 IAY983104 IKU983104 IUQ983104 JEM983104 JOI983104 JYE983104 KIA983104 KRW983104 LBS983104 LLO983104 LVK983104 MFG983104 MPC983104 MYY983104 NIU983104 NSQ983104 OCM983104 OMI983104 OWE983104 PGA983104 PPW983104 PZS983104 QJO983104 QTK983104 RDG983104 RNC983104 RWY983104 SGU983104 SQQ983104 TAM983104 TKI983104 TUE983104 UEA983104 UNW983104 UXS983104 VHO983104 VRK983104 WBG983104 WLC983104 WUY983104 IM184 SI184 ACE184 AMA184 AVW184 BFS184 BPO184 BZK184 CJG184 CTC184 DCY184 DMU184 DWQ184 EGM184 EQI184 FAE184 FKA184 FTW184 GDS184 GNO184 GXK184 HHG184 HRC184 IAY184 IKU184 IUQ184 JEM184 JOI184 JYE184 KIA184 KRW184 LBS184 LLO184 LVK184 MFG184 MPC184 MYY184 NIU184 NSQ184 OCM184 OMI184 OWE184 PGA184 PPW184 PZS184 QJO184 QTK184 RDG184 RNC184 RWY184 SGU184 SQQ184 TAM184 TKI184 TUE184 UEA184 UNW184 UXS184 VHO184 VRK184 WBG184 WLC184 WUY184 IM65720 SI65720 ACE65720 AMA65720 AVW65720 BFS65720 BPO65720 BZK65720 CJG65720 CTC65720 DCY65720 DMU65720 DWQ65720 EGM65720 EQI65720 FAE65720 FKA65720 FTW65720 GDS65720 GNO65720 GXK65720 HHG65720 HRC65720 IAY65720 IKU65720 IUQ65720 JEM65720 JOI65720 JYE65720 KIA65720 KRW65720 LBS65720 LLO65720 LVK65720 MFG65720 MPC65720 MYY65720 NIU65720 NSQ65720 OCM65720 OMI65720 OWE65720 PGA65720 PPW65720 PZS65720 QJO65720 QTK65720 RDG65720 RNC65720 RWY65720 SGU65720 SQQ65720 TAM65720 TKI65720 TUE65720 UEA65720 UNW65720 UXS65720 VHO65720 VRK65720 WBG65720 WLC65720 WUY65720 IM131256 SI131256 ACE131256 AMA131256 AVW131256 BFS131256 BPO131256 BZK131256 CJG131256 CTC131256 DCY131256 DMU131256 DWQ131256 EGM131256 EQI131256 FAE131256 FKA131256 FTW131256 GDS131256 GNO131256 GXK131256 HHG131256 HRC131256 IAY131256 IKU131256 IUQ131256 JEM131256 JOI131256 JYE131256 KIA131256 KRW131256 LBS131256 LLO131256 LVK131256 MFG131256 MPC131256 MYY131256 NIU131256 NSQ131256 OCM131256 OMI131256 OWE131256 PGA131256 PPW131256 PZS131256 QJO131256 QTK131256 RDG131256 RNC131256 RWY131256 SGU131256 SQQ131256 TAM131256 TKI131256 TUE131256 UEA131256 UNW131256 UXS131256 VHO131256 VRK131256 WBG131256 WLC131256 WUY131256 IM196792 SI196792 ACE196792 AMA196792 AVW196792 BFS196792 BPO196792 BZK196792 CJG196792 CTC196792 DCY196792 DMU196792 DWQ196792 EGM196792 EQI196792 FAE196792 FKA196792 FTW196792 GDS196792 GNO196792 GXK196792 HHG196792 HRC196792 IAY196792 IKU196792 IUQ196792 JEM196792 JOI196792 JYE196792 KIA196792 KRW196792 LBS196792 LLO196792 LVK196792 MFG196792 MPC196792 MYY196792 NIU196792 NSQ196792 OCM196792 OMI196792 OWE196792 PGA196792 PPW196792 PZS196792 QJO196792 QTK196792 RDG196792 RNC196792 RWY196792 SGU196792 SQQ196792 TAM196792 TKI196792 TUE196792 UEA196792 UNW196792 UXS196792 VHO196792 VRK196792 WBG196792 WLC196792 WUY196792 IM262328 SI262328 ACE262328 AMA262328 AVW262328 BFS262328 BPO262328 BZK262328 CJG262328 CTC262328 DCY262328 DMU262328 DWQ262328 EGM262328 EQI262328 FAE262328 FKA262328 FTW262328 GDS262328 GNO262328 GXK262328 HHG262328 HRC262328 IAY262328 IKU262328 IUQ262328 JEM262328 JOI262328 JYE262328 KIA262328 KRW262328 LBS262328 LLO262328 LVK262328 MFG262328 MPC262328 MYY262328 NIU262328 NSQ262328 OCM262328 OMI262328 OWE262328 PGA262328 PPW262328 PZS262328 QJO262328 QTK262328 RDG262328 RNC262328 RWY262328 SGU262328 SQQ262328 TAM262328 TKI262328 TUE262328 UEA262328 UNW262328 UXS262328 VHO262328 VRK262328 WBG262328 WLC262328 WUY262328 IM327864 SI327864 ACE327864 AMA327864 AVW327864 BFS327864 BPO327864 BZK327864 CJG327864 CTC327864 DCY327864 DMU327864 DWQ327864 EGM327864 EQI327864 FAE327864 FKA327864 FTW327864 GDS327864 GNO327864 GXK327864 HHG327864 HRC327864 IAY327864 IKU327864 IUQ327864 JEM327864 JOI327864 JYE327864 KIA327864 KRW327864 LBS327864 LLO327864 LVK327864 MFG327864 MPC327864 MYY327864 NIU327864 NSQ327864 OCM327864 OMI327864 OWE327864 PGA327864 PPW327864 PZS327864 QJO327864 QTK327864 RDG327864 RNC327864 RWY327864 SGU327864 SQQ327864 TAM327864 TKI327864 TUE327864 UEA327864 UNW327864 UXS327864 VHO327864 VRK327864 WBG327864 WLC327864 WUY327864 IM393400 SI393400 ACE393400 AMA393400 AVW393400 BFS393400 BPO393400 BZK393400 CJG393400 CTC393400 DCY393400 DMU393400 DWQ393400 EGM393400 EQI393400 FAE393400 FKA393400 FTW393400 GDS393400 GNO393400 GXK393400 HHG393400 HRC393400 IAY393400 IKU393400 IUQ393400 JEM393400 JOI393400 JYE393400 KIA393400 KRW393400 LBS393400 LLO393400 LVK393400 MFG393400 MPC393400 MYY393400 NIU393400 NSQ393400 OCM393400 OMI393400 OWE393400 PGA393400 PPW393400 PZS393400 QJO393400 QTK393400 RDG393400 RNC393400 RWY393400 SGU393400 SQQ393400 TAM393400 TKI393400 TUE393400 UEA393400 UNW393400 UXS393400 VHO393400 VRK393400 WBG393400 WLC393400 WUY393400 IM458936 SI458936 ACE458936 AMA458936 AVW458936 BFS458936 BPO458936 BZK458936 CJG458936 CTC458936 DCY458936 DMU458936 DWQ458936 EGM458936 EQI458936 FAE458936 FKA458936 FTW458936 GDS458936 GNO458936 GXK458936 HHG458936 HRC458936 IAY458936 IKU458936 IUQ458936 JEM458936 JOI458936 JYE458936 KIA458936 KRW458936 LBS458936 LLO458936 LVK458936 MFG458936 MPC458936 MYY458936 NIU458936 NSQ458936 OCM458936 OMI458936 OWE458936 PGA458936 PPW458936 PZS458936 QJO458936 QTK458936 RDG458936 RNC458936 RWY458936 SGU458936 SQQ458936 TAM458936 TKI458936 TUE458936 UEA458936 UNW458936 UXS458936 VHO458936 VRK458936 WBG458936 WLC458936 WUY458936 IM524472 SI524472 ACE524472 AMA524472 AVW524472 BFS524472 BPO524472 BZK524472 CJG524472 CTC524472 DCY524472 DMU524472 DWQ524472 EGM524472 EQI524472 FAE524472 FKA524472 FTW524472 GDS524472 GNO524472 GXK524472 HHG524472 HRC524472 IAY524472 IKU524472 IUQ524472 JEM524472 JOI524472 JYE524472 KIA524472 KRW524472 LBS524472 LLO524472 LVK524472 MFG524472 MPC524472 MYY524472 NIU524472 NSQ524472 OCM524472 OMI524472 OWE524472 PGA524472 PPW524472 PZS524472 QJO524472 QTK524472 RDG524472 RNC524472 RWY524472 SGU524472 SQQ524472 TAM524472 TKI524472 TUE524472 UEA524472 UNW524472 UXS524472 VHO524472 VRK524472 WBG524472 WLC524472 WUY524472 IM590008 SI590008 ACE590008 AMA590008 AVW590008 BFS590008 BPO590008 BZK590008 CJG590008 CTC590008 DCY590008 DMU590008 DWQ590008 EGM590008 EQI590008 FAE590008 FKA590008 FTW590008 GDS590008 GNO590008 GXK590008 HHG590008 HRC590008 IAY590008 IKU590008 IUQ590008 JEM590008 JOI590008 JYE590008 KIA590008 KRW590008 LBS590008 LLO590008 LVK590008 MFG590008 MPC590008 MYY590008 NIU590008 NSQ590008 OCM590008 OMI590008 OWE590008 PGA590008 PPW590008 PZS590008 QJO590008 QTK590008 RDG590008 RNC590008 RWY590008 SGU590008 SQQ590008 TAM590008 TKI590008 TUE590008 UEA590008 UNW590008 UXS590008 VHO590008 VRK590008 WBG590008 WLC590008 WUY590008 IM655544 SI655544 ACE655544 AMA655544 AVW655544 BFS655544 BPO655544 BZK655544 CJG655544 CTC655544 DCY655544 DMU655544 DWQ655544 EGM655544 EQI655544 FAE655544 FKA655544 FTW655544 GDS655544 GNO655544 GXK655544 HHG655544 HRC655544 IAY655544 IKU655544 IUQ655544 JEM655544 JOI655544 JYE655544 KIA655544 KRW655544 LBS655544 LLO655544 LVK655544 MFG655544 MPC655544 MYY655544 NIU655544 NSQ655544 OCM655544 OMI655544 OWE655544 PGA655544 PPW655544 PZS655544 QJO655544 QTK655544 RDG655544 RNC655544 RWY655544 SGU655544 SQQ655544 TAM655544 TKI655544 TUE655544 UEA655544 UNW655544 UXS655544 VHO655544 VRK655544 WBG655544 WLC655544 WUY655544 IM721080 SI721080 ACE721080 AMA721080 AVW721080 BFS721080 BPO721080 BZK721080 CJG721080 CTC721080 DCY721080 DMU721080 DWQ721080 EGM721080 EQI721080 FAE721080 FKA721080 FTW721080 GDS721080 GNO721080 GXK721080 HHG721080 HRC721080 IAY721080 IKU721080 IUQ721080 JEM721080 JOI721080 JYE721080 KIA721080 KRW721080 LBS721080 LLO721080 LVK721080 MFG721080 MPC721080 MYY721080 NIU721080 NSQ721080 OCM721080 OMI721080 OWE721080 PGA721080 PPW721080 PZS721080 QJO721080 QTK721080 RDG721080 RNC721080 RWY721080 SGU721080 SQQ721080 TAM721080 TKI721080 TUE721080 UEA721080 UNW721080 UXS721080 VHO721080 VRK721080 WBG721080 WLC721080 WUY721080 IM786616 SI786616 ACE786616 AMA786616 AVW786616 BFS786616 BPO786616 BZK786616 CJG786616 CTC786616 DCY786616 DMU786616 DWQ786616 EGM786616 EQI786616 FAE786616 FKA786616 FTW786616 GDS786616 GNO786616 GXK786616 HHG786616 HRC786616 IAY786616 IKU786616 IUQ786616 JEM786616 JOI786616 JYE786616 KIA786616 KRW786616 LBS786616 LLO786616 LVK786616 MFG786616 MPC786616 MYY786616 NIU786616 NSQ786616 OCM786616 OMI786616 OWE786616 PGA786616 PPW786616 PZS786616 QJO786616 QTK786616 RDG786616 RNC786616 RWY786616 SGU786616 SQQ786616 TAM786616 TKI786616 TUE786616 UEA786616 UNW786616 UXS786616 VHO786616 VRK786616 WBG786616 WLC786616 WUY786616 IM852152 SI852152 ACE852152 AMA852152 AVW852152 BFS852152 BPO852152 BZK852152 CJG852152 CTC852152 DCY852152 DMU852152 DWQ852152 EGM852152 EQI852152 FAE852152 FKA852152 FTW852152 GDS852152 GNO852152 GXK852152 HHG852152 HRC852152 IAY852152 IKU852152 IUQ852152 JEM852152 JOI852152 JYE852152 KIA852152 KRW852152 LBS852152 LLO852152 LVK852152 MFG852152 MPC852152 MYY852152 NIU852152 NSQ852152 OCM852152 OMI852152 OWE852152 PGA852152 PPW852152 PZS852152 QJO852152 QTK852152 RDG852152 RNC852152 RWY852152 SGU852152 SQQ852152 TAM852152 TKI852152 TUE852152 UEA852152 UNW852152 UXS852152 VHO852152 VRK852152 WBG852152 WLC852152 WUY852152 IM917688 SI917688 ACE917688 AMA917688 AVW917688 BFS917688 BPO917688 BZK917688 CJG917688 CTC917688 DCY917688 DMU917688 DWQ917688 EGM917688 EQI917688 FAE917688 FKA917688 FTW917688 GDS917688 GNO917688 GXK917688 HHG917688 HRC917688 IAY917688 IKU917688 IUQ917688 JEM917688 JOI917688 JYE917688 KIA917688 KRW917688 LBS917688 LLO917688 LVK917688 MFG917688 MPC917688 MYY917688 NIU917688 NSQ917688 OCM917688 OMI917688 OWE917688 PGA917688 PPW917688 PZS917688 QJO917688 QTK917688 RDG917688 RNC917688 RWY917688 SGU917688 SQQ917688 TAM917688 TKI917688 TUE917688 UEA917688 UNW917688 UXS917688 VHO917688 VRK917688 WBG917688 WLC917688 WUY917688 IM983224 SI983224 ACE983224 AMA983224 AVW983224 BFS983224 BPO983224 BZK983224 CJG983224 CTC983224 DCY983224 DMU983224 DWQ983224 EGM983224 EQI983224 FAE983224 FKA983224 FTW983224 GDS983224 GNO983224 GXK983224 HHG983224 HRC983224 IAY983224 IKU983224 IUQ983224 JEM983224 JOI983224 JYE983224 KIA983224 KRW983224 LBS983224 LLO983224 LVK983224 MFG983224 MPC983224 MYY983224 NIU983224 NSQ983224 OCM983224 OMI983224 OWE983224 PGA983224 PPW983224 PZS983224 QJO983224 QTK983224 RDG983224 RNC983224 RWY983224 SGU983224 SQQ983224 TAM983224 TKI983224 TUE983224 UEA983224 UNW983224 UXS983224 VHO983224 VRK983224 WBG983224 WLC983224 WUY983224 IM54 SI54 ACE54 AMA54 AVW54 BFS54 BPO54 BZK54 CJG54 CTC54 DCY54 DMU54 DWQ54 EGM54 EQI54 FAE54 FKA54 FTW54 GDS54 GNO54 GXK54 HHG54 HRC54 IAY54 IKU54 IUQ54 JEM54 JOI54 JYE54 KIA54 KRW54 LBS54 LLO54 LVK54 MFG54 MPC54 MYY54 NIU54 NSQ54 OCM54 OMI54 OWE54 PGA54 PPW54 PZS54 QJO54 QTK54 RDG54 RNC54 RWY54 SGU54 SQQ54 TAM54 TKI54 TUE54 UEA54 UNW54 UXS54 VHO54 VRK54 WBG54 WLC54 WUY54 IM65590 SI65590 ACE65590 AMA65590 AVW65590 BFS65590 BPO65590 BZK65590 CJG65590 CTC65590 DCY65590 DMU65590 DWQ65590 EGM65590 EQI65590 FAE65590 FKA65590 FTW65590 GDS65590 GNO65590 GXK65590 HHG65590 HRC65590 IAY65590 IKU65590 IUQ65590 JEM65590 JOI65590 JYE65590 KIA65590 KRW65590 LBS65590 LLO65590 LVK65590 MFG65590 MPC65590 MYY65590 NIU65590 NSQ65590 OCM65590 OMI65590 OWE65590 PGA65590 PPW65590 PZS65590 QJO65590 QTK65590 RDG65590 RNC65590 RWY65590 SGU65590 SQQ65590 TAM65590 TKI65590 TUE65590 UEA65590 UNW65590 UXS65590 VHO65590 VRK65590 WBG65590 WLC65590 WUY65590 IM131126 SI131126 ACE131126 AMA131126 AVW131126 BFS131126 BPO131126 BZK131126 CJG131126 CTC131126 DCY131126 DMU131126 DWQ131126 EGM131126 EQI131126 FAE131126 FKA131126 FTW131126 GDS131126 GNO131126 GXK131126 HHG131126 HRC131126 IAY131126 IKU131126 IUQ131126 JEM131126 JOI131126 JYE131126 KIA131126 KRW131126 LBS131126 LLO131126 LVK131126 MFG131126 MPC131126 MYY131126 NIU131126 NSQ131126 OCM131126 OMI131126 OWE131126 PGA131126 PPW131126 PZS131126 QJO131126 QTK131126 RDG131126 RNC131126 RWY131126 SGU131126 SQQ131126 TAM131126 TKI131126 TUE131126 UEA131126 UNW131126 UXS131126 VHO131126 VRK131126 WBG131126 WLC131126 WUY131126 IM196662 SI196662 ACE196662 AMA196662 AVW196662 BFS196662 BPO196662 BZK196662 CJG196662 CTC196662 DCY196662 DMU196662 DWQ196662 EGM196662 EQI196662 FAE196662 FKA196662 FTW196662 GDS196662 GNO196662 GXK196662 HHG196662 HRC196662 IAY196662 IKU196662 IUQ196662 JEM196662 JOI196662 JYE196662 KIA196662 KRW196662 LBS196662 LLO196662 LVK196662 MFG196662 MPC196662 MYY196662 NIU196662 NSQ196662 OCM196662 OMI196662 OWE196662 PGA196662 PPW196662 PZS196662 QJO196662 QTK196662 RDG196662 RNC196662 RWY196662 SGU196662 SQQ196662 TAM196662 TKI196662 TUE196662 UEA196662 UNW196662 UXS196662 VHO196662 VRK196662 WBG196662 WLC196662 WUY196662 IM262198 SI262198 ACE262198 AMA262198 AVW262198 BFS262198 BPO262198 BZK262198 CJG262198 CTC262198 DCY262198 DMU262198 DWQ262198 EGM262198 EQI262198 FAE262198 FKA262198 FTW262198 GDS262198 GNO262198 GXK262198 HHG262198 HRC262198 IAY262198 IKU262198 IUQ262198 JEM262198 JOI262198 JYE262198 KIA262198 KRW262198 LBS262198 LLO262198 LVK262198 MFG262198 MPC262198 MYY262198 NIU262198 NSQ262198 OCM262198 OMI262198 OWE262198 PGA262198 PPW262198 PZS262198 QJO262198 QTK262198 RDG262198 RNC262198 RWY262198 SGU262198 SQQ262198 TAM262198 TKI262198 TUE262198 UEA262198 UNW262198 UXS262198 VHO262198 VRK262198 WBG262198 WLC262198 WUY262198 IM327734 SI327734 ACE327734 AMA327734 AVW327734 BFS327734 BPO327734 BZK327734 CJG327734 CTC327734 DCY327734 DMU327734 DWQ327734 EGM327734 EQI327734 FAE327734 FKA327734 FTW327734 GDS327734 GNO327734 GXK327734 HHG327734 HRC327734 IAY327734 IKU327734 IUQ327734 JEM327734 JOI327734 JYE327734 KIA327734 KRW327734 LBS327734 LLO327734 LVK327734 MFG327734 MPC327734 MYY327734 NIU327734 NSQ327734 OCM327734 OMI327734 OWE327734 PGA327734 PPW327734 PZS327734 QJO327734 QTK327734 RDG327734 RNC327734 RWY327734 SGU327734 SQQ327734 TAM327734 TKI327734 TUE327734 UEA327734 UNW327734 UXS327734 VHO327734 VRK327734 WBG327734 WLC327734 WUY327734 IM393270 SI393270 ACE393270 AMA393270 AVW393270 BFS393270 BPO393270 BZK393270 CJG393270 CTC393270 DCY393270 DMU393270 DWQ393270 EGM393270 EQI393270 FAE393270 FKA393270 FTW393270 GDS393270 GNO393270 GXK393270 HHG393270 HRC393270 IAY393270 IKU393270 IUQ393270 JEM393270 JOI393270 JYE393270 KIA393270 KRW393270 LBS393270 LLO393270 LVK393270 MFG393270 MPC393270 MYY393270 NIU393270 NSQ393270 OCM393270 OMI393270 OWE393270 PGA393270 PPW393270 PZS393270 QJO393270 QTK393270 RDG393270 RNC393270 RWY393270 SGU393270 SQQ393270 TAM393270 TKI393270 TUE393270 UEA393270 UNW393270 UXS393270 VHO393270 VRK393270 WBG393270 WLC393270 WUY393270 IM458806 SI458806 ACE458806 AMA458806 AVW458806 BFS458806 BPO458806 BZK458806 CJG458806 CTC458806 DCY458806 DMU458806 DWQ458806 EGM458806 EQI458806 FAE458806 FKA458806 FTW458806 GDS458806 GNO458806 GXK458806 HHG458806 HRC458806 IAY458806 IKU458806 IUQ458806 JEM458806 JOI458806 JYE458806 KIA458806 KRW458806 LBS458806 LLO458806 LVK458806 MFG458806 MPC458806 MYY458806 NIU458806 NSQ458806 OCM458806 OMI458806 OWE458806 PGA458806 PPW458806 PZS458806 QJO458806 QTK458806 RDG458806 RNC458806 RWY458806 SGU458806 SQQ458806 TAM458806 TKI458806 TUE458806 UEA458806 UNW458806 UXS458806 VHO458806 VRK458806 WBG458806 WLC458806 WUY458806 IM524342 SI524342 ACE524342 AMA524342 AVW524342 BFS524342 BPO524342 BZK524342 CJG524342 CTC524342 DCY524342 DMU524342 DWQ524342 EGM524342 EQI524342 FAE524342 FKA524342 FTW524342 GDS524342 GNO524342 GXK524342 HHG524342 HRC524342 IAY524342 IKU524342 IUQ524342 JEM524342 JOI524342 JYE524342 KIA524342 KRW524342 LBS524342 LLO524342 LVK524342 MFG524342 MPC524342 MYY524342 NIU524342 NSQ524342 OCM524342 OMI524342 OWE524342 PGA524342 PPW524342 PZS524342 QJO524342 QTK524342 RDG524342 RNC524342 RWY524342 SGU524342 SQQ524342 TAM524342 TKI524342 TUE524342 UEA524342 UNW524342 UXS524342 VHO524342 VRK524342 WBG524342 WLC524342 WUY524342 IM589878 SI589878 ACE589878 AMA589878 AVW589878 BFS589878 BPO589878 BZK589878 CJG589878 CTC589878 DCY589878 DMU589878 DWQ589878 EGM589878 EQI589878 FAE589878 FKA589878 FTW589878 GDS589878 GNO589878 GXK589878 HHG589878 HRC589878 IAY589878 IKU589878 IUQ589878 JEM589878 JOI589878 JYE589878 KIA589878 KRW589878 LBS589878 LLO589878 LVK589878 MFG589878 MPC589878 MYY589878 NIU589878 NSQ589878 OCM589878 OMI589878 OWE589878 PGA589878 PPW589878 PZS589878 QJO589878 QTK589878 RDG589878 RNC589878 RWY589878 SGU589878 SQQ589878 TAM589878 TKI589878 TUE589878 UEA589878 UNW589878 UXS589878 VHO589878 VRK589878 WBG589878 WLC589878 WUY589878 IM655414 SI655414 ACE655414 AMA655414 AVW655414 BFS655414 BPO655414 BZK655414 CJG655414 CTC655414 DCY655414 DMU655414 DWQ655414 EGM655414 EQI655414 FAE655414 FKA655414 FTW655414 GDS655414 GNO655414 GXK655414 HHG655414 HRC655414 IAY655414 IKU655414 IUQ655414 JEM655414 JOI655414 JYE655414 KIA655414 KRW655414 LBS655414 LLO655414 LVK655414 MFG655414 MPC655414 MYY655414 NIU655414 NSQ655414 OCM655414 OMI655414 OWE655414 PGA655414 PPW655414 PZS655414 QJO655414 QTK655414 RDG655414 RNC655414 RWY655414 SGU655414 SQQ655414 TAM655414 TKI655414 TUE655414 UEA655414 UNW655414 UXS655414 VHO655414 VRK655414 WBG655414 WLC655414 WUY655414 IM720950 SI720950 ACE720950 AMA720950 AVW720950 BFS720950 BPO720950 BZK720950 CJG720950 CTC720950 DCY720950 DMU720950 DWQ720950 EGM720950 EQI720950 FAE720950 FKA720950 FTW720950 GDS720950 GNO720950 GXK720950 HHG720950 HRC720950 IAY720950 IKU720950 IUQ720950 JEM720950 JOI720950 JYE720950 KIA720950 KRW720950 LBS720950 LLO720950 LVK720950 MFG720950 MPC720950 MYY720950 NIU720950 NSQ720950 OCM720950 OMI720950 OWE720950 PGA720950 PPW720950 PZS720950 QJO720950 QTK720950 RDG720950 RNC720950 RWY720950 SGU720950 SQQ720950 TAM720950 TKI720950 TUE720950 UEA720950 UNW720950 UXS720950 VHO720950 VRK720950 WBG720950 WLC720950 WUY720950 IM786486 SI786486 ACE786486 AMA786486 AVW786486 BFS786486 BPO786486 BZK786486 CJG786486 CTC786486 DCY786486 DMU786486 DWQ786486 EGM786486 EQI786486 FAE786486 FKA786486 FTW786486 GDS786486 GNO786486 GXK786486 HHG786486 HRC786486 IAY786486 IKU786486 IUQ786486 JEM786486 JOI786486 JYE786486 KIA786486 KRW786486 LBS786486 LLO786486 LVK786486 MFG786486 MPC786486 MYY786486 NIU786486 NSQ786486 OCM786486 OMI786486 OWE786486 PGA786486 PPW786486 PZS786486 QJO786486 QTK786486 RDG786486 RNC786486 RWY786486 SGU786486 SQQ786486 TAM786486 TKI786486 TUE786486 UEA786486 UNW786486 UXS786486 VHO786486 VRK786486 WBG786486 WLC786486 WUY786486 IM852022 SI852022 ACE852022 AMA852022 AVW852022 BFS852022 BPO852022 BZK852022 CJG852022 CTC852022 DCY852022 DMU852022 DWQ852022 EGM852022 EQI852022 FAE852022 FKA852022 FTW852022 GDS852022 GNO852022 GXK852022 HHG852022 HRC852022 IAY852022 IKU852022 IUQ852022 JEM852022 JOI852022 JYE852022 KIA852022 KRW852022 LBS852022 LLO852022 LVK852022 MFG852022 MPC852022 MYY852022 NIU852022 NSQ852022 OCM852022 OMI852022 OWE852022 PGA852022 PPW852022 PZS852022 QJO852022 QTK852022 RDG852022 RNC852022 RWY852022 SGU852022 SQQ852022 TAM852022 TKI852022 TUE852022 UEA852022 UNW852022 UXS852022 VHO852022 VRK852022 WBG852022 WLC852022 WUY852022 IM917558 SI917558 ACE917558 AMA917558 AVW917558 BFS917558 BPO917558 BZK917558 CJG917558 CTC917558 DCY917558 DMU917558 DWQ917558 EGM917558 EQI917558 FAE917558 FKA917558 FTW917558 GDS917558 GNO917558 GXK917558 HHG917558 HRC917558 IAY917558 IKU917558 IUQ917558 JEM917558 JOI917558 JYE917558 KIA917558 KRW917558 LBS917558 LLO917558 LVK917558 MFG917558 MPC917558 MYY917558 NIU917558 NSQ917558 OCM917558 OMI917558 OWE917558 PGA917558 PPW917558 PZS917558 QJO917558 QTK917558 RDG917558 RNC917558 RWY917558 SGU917558 SQQ917558 TAM917558 TKI917558 TUE917558 UEA917558 UNW917558 UXS917558 VHO917558 VRK917558 WBG917558 WLC917558 WUY917558 IM983094 SI983094 ACE983094 AMA983094 AVW983094 BFS983094 BPO983094 BZK983094 CJG983094 CTC983094 DCY983094 DMU983094 DWQ983094 EGM983094 EQI983094 FAE983094 FKA983094 FTW983094 GDS983094 GNO983094 GXK983094 HHG983094 HRC983094 IAY983094 IKU983094 IUQ983094 JEM983094 JOI983094 JYE983094 KIA983094 KRW983094 LBS983094 LLO983094 LVK983094 MFG983094 MPC983094 MYY983094 NIU983094 NSQ983094 OCM983094 OMI983094 OWE983094 PGA983094 PPW983094 PZS983094 QJO983094 QTK983094 RDG983094 RNC983094 RWY983094 SGU983094 SQQ983094 TAM983094 TKI983094 TUE983094 UEA983094 UNW983094 UXS983094 VHO983094 VRK983094 WBG983094 WLC983094 WUY983094 IM74 SI74 ACE74 AMA74 AVW74 BFS74 BPO74 BZK74 CJG74 CTC74 DCY74 DMU74 DWQ74 EGM74 EQI74 FAE74 FKA74 FTW74 GDS74 GNO74 GXK74 HHG74 HRC74 IAY74 IKU74 IUQ74 JEM74 JOI74 JYE74 KIA74 KRW74 LBS74 LLO74 LVK74 MFG74 MPC74 MYY74 NIU74 NSQ74 OCM74 OMI74 OWE74 PGA74 PPW74 PZS74 QJO74 QTK74 RDG74 RNC74 RWY74 SGU74 SQQ74 TAM74 TKI74 TUE74 UEA74 UNW74 UXS74 VHO74 VRK74 WBG74 WLC74 WUY74 IM65610 SI65610 ACE65610 AMA65610 AVW65610 BFS65610 BPO65610 BZK65610 CJG65610 CTC65610 DCY65610 DMU65610 DWQ65610 EGM65610 EQI65610 FAE65610 FKA65610 FTW65610 GDS65610 GNO65610 GXK65610 HHG65610 HRC65610 IAY65610 IKU65610 IUQ65610 JEM65610 JOI65610 JYE65610 KIA65610 KRW65610 LBS65610 LLO65610 LVK65610 MFG65610 MPC65610 MYY65610 NIU65610 NSQ65610 OCM65610 OMI65610 OWE65610 PGA65610 PPW65610 PZS65610 QJO65610 QTK65610 RDG65610 RNC65610 RWY65610 SGU65610 SQQ65610 TAM65610 TKI65610 TUE65610 UEA65610 UNW65610 UXS65610 VHO65610 VRK65610 WBG65610 WLC65610 WUY65610 IM131146 SI131146 ACE131146 AMA131146 AVW131146 BFS131146 BPO131146 BZK131146 CJG131146 CTC131146 DCY131146 DMU131146 DWQ131146 EGM131146 EQI131146 FAE131146 FKA131146 FTW131146 GDS131146 GNO131146 GXK131146 HHG131146 HRC131146 IAY131146 IKU131146 IUQ131146 JEM131146 JOI131146 JYE131146 KIA131146 KRW131146 LBS131146 LLO131146 LVK131146 MFG131146 MPC131146 MYY131146 NIU131146 NSQ131146 OCM131146 OMI131146 OWE131146 PGA131146 PPW131146 PZS131146 QJO131146 QTK131146 RDG131146 RNC131146 RWY131146 SGU131146 SQQ131146 TAM131146 TKI131146 TUE131146 UEA131146 UNW131146 UXS131146 VHO131146 VRK131146 WBG131146 WLC131146 WUY131146 IM196682 SI196682 ACE196682 AMA196682 AVW196682 BFS196682 BPO196682 BZK196682 CJG196682 CTC196682 DCY196682 DMU196682 DWQ196682 EGM196682 EQI196682 FAE196682 FKA196682 FTW196682 GDS196682 GNO196682 GXK196682 HHG196682 HRC196682 IAY196682 IKU196682 IUQ196682 JEM196682 JOI196682 JYE196682 KIA196682 KRW196682 LBS196682 LLO196682 LVK196682 MFG196682 MPC196682 MYY196682 NIU196682 NSQ196682 OCM196682 OMI196682 OWE196682 PGA196682 PPW196682 PZS196682 QJO196682 QTK196682 RDG196682 RNC196682 RWY196682 SGU196682 SQQ196682 TAM196682 TKI196682 TUE196682 UEA196682 UNW196682 UXS196682 VHO196682 VRK196682 WBG196682 WLC196682 WUY196682 IM262218 SI262218 ACE262218 AMA262218 AVW262218 BFS262218 BPO262218 BZK262218 CJG262218 CTC262218 DCY262218 DMU262218 DWQ262218 EGM262218 EQI262218 FAE262218 FKA262218 FTW262218 GDS262218 GNO262218 GXK262218 HHG262218 HRC262218 IAY262218 IKU262218 IUQ262218 JEM262218 JOI262218 JYE262218 KIA262218 KRW262218 LBS262218 LLO262218 LVK262218 MFG262218 MPC262218 MYY262218 NIU262218 NSQ262218 OCM262218 OMI262218 OWE262218 PGA262218 PPW262218 PZS262218 QJO262218 QTK262218 RDG262218 RNC262218 RWY262218 SGU262218 SQQ262218 TAM262218 TKI262218 TUE262218 UEA262218 UNW262218 UXS262218 VHO262218 VRK262218 WBG262218 WLC262218 WUY262218 IM327754 SI327754 ACE327754 AMA327754 AVW327754 BFS327754 BPO327754 BZK327754 CJG327754 CTC327754 DCY327754 DMU327754 DWQ327754 EGM327754 EQI327754 FAE327754 FKA327754 FTW327754 GDS327754 GNO327754 GXK327754 HHG327754 HRC327754 IAY327754 IKU327754 IUQ327754 JEM327754 JOI327754 JYE327754 KIA327754 KRW327754 LBS327754 LLO327754 LVK327754 MFG327754 MPC327754 MYY327754 NIU327754 NSQ327754 OCM327754 OMI327754 OWE327754 PGA327754 PPW327754 PZS327754 QJO327754 QTK327754 RDG327754 RNC327754 RWY327754 SGU327754 SQQ327754 TAM327754 TKI327754 TUE327754 UEA327754 UNW327754 UXS327754 VHO327754 VRK327754 WBG327754 WLC327754 WUY327754 IM393290 SI393290 ACE393290 AMA393290 AVW393290 BFS393290 BPO393290 BZK393290 CJG393290 CTC393290 DCY393290 DMU393290 DWQ393290 EGM393290 EQI393290 FAE393290 FKA393290 FTW393290 GDS393290 GNO393290 GXK393290 HHG393290 HRC393290 IAY393290 IKU393290 IUQ393290 JEM393290 JOI393290 JYE393290 KIA393290 KRW393290 LBS393290 LLO393290 LVK393290 MFG393290 MPC393290 MYY393290 NIU393290 NSQ393290 OCM393290 OMI393290 OWE393290 PGA393290 PPW393290 PZS393290 QJO393290 QTK393290 RDG393290 RNC393290 RWY393290 SGU393290 SQQ393290 TAM393290 TKI393290 TUE393290 UEA393290 UNW393290 UXS393290 VHO393290 VRK393290 WBG393290 WLC393290 WUY393290 IM458826 SI458826 ACE458826 AMA458826 AVW458826 BFS458826 BPO458826 BZK458826 CJG458826 CTC458826 DCY458826 DMU458826 DWQ458826 EGM458826 EQI458826 FAE458826 FKA458826 FTW458826 GDS458826 GNO458826 GXK458826 HHG458826 HRC458826 IAY458826 IKU458826 IUQ458826 JEM458826 JOI458826 JYE458826 KIA458826 KRW458826 LBS458826 LLO458826 LVK458826 MFG458826 MPC458826 MYY458826 NIU458826 NSQ458826 OCM458826 OMI458826 OWE458826 PGA458826 PPW458826 PZS458826 QJO458826 QTK458826 RDG458826 RNC458826 RWY458826 SGU458826 SQQ458826 TAM458826 TKI458826 TUE458826 UEA458826 UNW458826 UXS458826 VHO458826 VRK458826 WBG458826 WLC458826 WUY458826 IM524362 SI524362 ACE524362 AMA524362 AVW524362 BFS524362 BPO524362 BZK524362 CJG524362 CTC524362 DCY524362 DMU524362 DWQ524362 EGM524362 EQI524362 FAE524362 FKA524362 FTW524362 GDS524362 GNO524362 GXK524362 HHG524362 HRC524362 IAY524362 IKU524362 IUQ524362 JEM524362 JOI524362 JYE524362 KIA524362 KRW524362 LBS524362 LLO524362 LVK524362 MFG524362 MPC524362 MYY524362 NIU524362 NSQ524362 OCM524362 OMI524362 OWE524362 PGA524362 PPW524362 PZS524362 QJO524362 QTK524362 RDG524362 RNC524362 RWY524362 SGU524362 SQQ524362 TAM524362 TKI524362 TUE524362 UEA524362 UNW524362 UXS524362 VHO524362 VRK524362 WBG524362 WLC524362 WUY524362 IM589898 SI589898 ACE589898 AMA589898 AVW589898 BFS589898 BPO589898 BZK589898 CJG589898 CTC589898 DCY589898 DMU589898 DWQ589898 EGM589898 EQI589898 FAE589898 FKA589898 FTW589898 GDS589898 GNO589898 GXK589898 HHG589898 HRC589898 IAY589898 IKU589898 IUQ589898 JEM589898 JOI589898 JYE589898 KIA589898 KRW589898 LBS589898 LLO589898 LVK589898 MFG589898 MPC589898 MYY589898 NIU589898 NSQ589898 OCM589898 OMI589898 OWE589898 PGA589898 PPW589898 PZS589898 QJO589898 QTK589898 RDG589898 RNC589898 RWY589898 SGU589898 SQQ589898 TAM589898 TKI589898 TUE589898 UEA589898 UNW589898 UXS589898 VHO589898 VRK589898 WBG589898 WLC589898 WUY589898 IM655434 SI655434 ACE655434 AMA655434 AVW655434 BFS655434 BPO655434 BZK655434 CJG655434 CTC655434 DCY655434 DMU655434 DWQ655434 EGM655434 EQI655434 FAE655434 FKA655434 FTW655434 GDS655434 GNO655434 GXK655434 HHG655434 HRC655434 IAY655434 IKU655434 IUQ655434 JEM655434 JOI655434 JYE655434 KIA655434 KRW655434 LBS655434 LLO655434 LVK655434 MFG655434 MPC655434 MYY655434 NIU655434 NSQ655434 OCM655434 OMI655434 OWE655434 PGA655434 PPW655434 PZS655434 QJO655434 QTK655434 RDG655434 RNC655434 RWY655434 SGU655434 SQQ655434 TAM655434 TKI655434 TUE655434 UEA655434 UNW655434 UXS655434 VHO655434 VRK655434 WBG655434 WLC655434 WUY655434 IM720970 SI720970 ACE720970 AMA720970 AVW720970 BFS720970 BPO720970 BZK720970 CJG720970 CTC720970 DCY720970 DMU720970 DWQ720970 EGM720970 EQI720970 FAE720970 FKA720970 FTW720970 GDS720970 GNO720970 GXK720970 HHG720970 HRC720970 IAY720970 IKU720970 IUQ720970 JEM720970 JOI720970 JYE720970 KIA720970 KRW720970 LBS720970 LLO720970 LVK720970 MFG720970 MPC720970 MYY720970 NIU720970 NSQ720970 OCM720970 OMI720970 OWE720970 PGA720970 PPW720970 PZS720970 QJO720970 QTK720970 RDG720970 RNC720970 RWY720970 SGU720970 SQQ720970 TAM720970 TKI720970 TUE720970 UEA720970 UNW720970 UXS720970 VHO720970 VRK720970 WBG720970 WLC720970 WUY720970 IM786506 SI786506 ACE786506 AMA786506 AVW786506 BFS786506 BPO786506 BZK786506 CJG786506 CTC786506 DCY786506 DMU786506 DWQ786506 EGM786506 EQI786506 FAE786506 FKA786506 FTW786506 GDS786506 GNO786506 GXK786506 HHG786506 HRC786506 IAY786506 IKU786506 IUQ786506 JEM786506 JOI786506 JYE786506 KIA786506 KRW786506 LBS786506 LLO786506 LVK786506 MFG786506 MPC786506 MYY786506 NIU786506 NSQ786506 OCM786506 OMI786506 OWE786506 PGA786506 PPW786506 PZS786506 QJO786506 QTK786506 RDG786506 RNC786506 RWY786506 SGU786506 SQQ786506 TAM786506 TKI786506 TUE786506 UEA786506 UNW786506 UXS786506 VHO786506 VRK786506 WBG786506 WLC786506 WUY786506 IM852042 SI852042 ACE852042 AMA852042 AVW852042 BFS852042 BPO852042 BZK852042 CJG852042 CTC852042 DCY852042 DMU852042 DWQ852042 EGM852042 EQI852042 FAE852042 FKA852042 FTW852042 GDS852042 GNO852042 GXK852042 HHG852042 HRC852042 IAY852042 IKU852042 IUQ852042 JEM852042 JOI852042 JYE852042 KIA852042 KRW852042 LBS852042 LLO852042 LVK852042 MFG852042 MPC852042 MYY852042 NIU852042 NSQ852042 OCM852042 OMI852042 OWE852042 PGA852042 PPW852042 PZS852042 QJO852042 QTK852042 RDG852042 RNC852042 RWY852042 SGU852042 SQQ852042 TAM852042 TKI852042 TUE852042 UEA852042 UNW852042 UXS852042 VHO852042 VRK852042 WBG852042 WLC852042 WUY852042 IM917578 SI917578 ACE917578 AMA917578 AVW917578 BFS917578 BPO917578 BZK917578 CJG917578 CTC917578 DCY917578 DMU917578 DWQ917578 EGM917578 EQI917578 FAE917578 FKA917578 FTW917578 GDS917578 GNO917578 GXK917578 HHG917578 HRC917578 IAY917578 IKU917578 IUQ917578 JEM917578 JOI917578 JYE917578 KIA917578 KRW917578 LBS917578 LLO917578 LVK917578 MFG917578 MPC917578 MYY917578 NIU917578 NSQ917578 OCM917578 OMI917578 OWE917578 PGA917578 PPW917578 PZS917578 QJO917578 QTK917578 RDG917578 RNC917578 RWY917578 SGU917578 SQQ917578 TAM917578 TKI917578 TUE917578 UEA917578 UNW917578 UXS917578 VHO917578 VRK917578 WBG917578 WLC917578 WUY917578 IM983114 SI983114 ACE983114 AMA983114 AVW983114 BFS983114 BPO983114 BZK983114 CJG983114 CTC983114 DCY983114 DMU983114 DWQ983114 EGM983114 EQI983114 FAE983114 FKA983114 FTW983114 GDS983114 GNO983114 GXK983114 HHG983114 HRC983114 IAY983114 IKU983114 IUQ983114 JEM983114 JOI983114 JYE983114 KIA983114 KRW983114 LBS983114 LLO983114 LVK983114 MFG983114 MPC983114 MYY983114 NIU983114 NSQ983114 OCM983114 OMI983114 OWE983114 PGA983114 PPW983114 PZS983114 QJO983114 QTK983114 RDG983114 RNC983114 RWY983114 SGU983114 SQQ983114 TAM983114 TKI983114 TUE983114 UEA983114 UNW983114 UXS983114 VHO983114 VRK983114 WBG983114 WLC983114 WUY983114 IM84 SI84 ACE84 AMA84 AVW84 BFS84 BPO84 BZK84 CJG84 CTC84 DCY84 DMU84 DWQ84 EGM84 EQI84 FAE84 FKA84 FTW84 GDS84 GNO84 GXK84 HHG84 HRC84 IAY84 IKU84 IUQ84 JEM84 JOI84 JYE84 KIA84 KRW84 LBS84 LLO84 LVK84 MFG84 MPC84 MYY84 NIU84 NSQ84 OCM84 OMI84 OWE84 PGA84 PPW84 PZS84 QJO84 QTK84 RDG84 RNC84 RWY84 SGU84 SQQ84 TAM84 TKI84 TUE84 UEA84 UNW84 UXS84 VHO84 VRK84 WBG84 WLC84 WUY84 IM65620 SI65620 ACE65620 AMA65620 AVW65620 BFS65620 BPO65620 BZK65620 CJG65620 CTC65620 DCY65620 DMU65620 DWQ65620 EGM65620 EQI65620 FAE65620 FKA65620 FTW65620 GDS65620 GNO65620 GXK65620 HHG65620 HRC65620 IAY65620 IKU65620 IUQ65620 JEM65620 JOI65620 JYE65620 KIA65620 KRW65620 LBS65620 LLO65620 LVK65620 MFG65620 MPC65620 MYY65620 NIU65620 NSQ65620 OCM65620 OMI65620 OWE65620 PGA65620 PPW65620 PZS65620 QJO65620 QTK65620 RDG65620 RNC65620 RWY65620 SGU65620 SQQ65620 TAM65620 TKI65620 TUE65620 UEA65620 UNW65620 UXS65620 VHO65620 VRK65620 WBG65620 WLC65620 WUY65620 IM131156 SI131156 ACE131156 AMA131156 AVW131156 BFS131156 BPO131156 BZK131156 CJG131156 CTC131156 DCY131156 DMU131156 DWQ131156 EGM131156 EQI131156 FAE131156 FKA131156 FTW131156 GDS131156 GNO131156 GXK131156 HHG131156 HRC131156 IAY131156 IKU131156 IUQ131156 JEM131156 JOI131156 JYE131156 KIA131156 KRW131156 LBS131156 LLO131156 LVK131156 MFG131156 MPC131156 MYY131156 NIU131156 NSQ131156 OCM131156 OMI131156 OWE131156 PGA131156 PPW131156 PZS131156 QJO131156 QTK131156 RDG131156 RNC131156 RWY131156 SGU131156 SQQ131156 TAM131156 TKI131156 TUE131156 UEA131156 UNW131156 UXS131156 VHO131156 VRK131156 WBG131156 WLC131156 WUY131156 IM196692 SI196692 ACE196692 AMA196692 AVW196692 BFS196692 BPO196692 BZK196692 CJG196692 CTC196692 DCY196692 DMU196692 DWQ196692 EGM196692 EQI196692 FAE196692 FKA196692 FTW196692 GDS196692 GNO196692 GXK196692 HHG196692 HRC196692 IAY196692 IKU196692 IUQ196692 JEM196692 JOI196692 JYE196692 KIA196692 KRW196692 LBS196692 LLO196692 LVK196692 MFG196692 MPC196692 MYY196692 NIU196692 NSQ196692 OCM196692 OMI196692 OWE196692 PGA196692 PPW196692 PZS196692 QJO196692 QTK196692 RDG196692 RNC196692 RWY196692 SGU196692 SQQ196692 TAM196692 TKI196692 TUE196692 UEA196692 UNW196692 UXS196692 VHO196692 VRK196692 WBG196692 WLC196692 WUY196692 IM262228 SI262228 ACE262228 AMA262228 AVW262228 BFS262228 BPO262228 BZK262228 CJG262228 CTC262228 DCY262228 DMU262228 DWQ262228 EGM262228 EQI262228 FAE262228 FKA262228 FTW262228 GDS262228 GNO262228 GXK262228 HHG262228 HRC262228 IAY262228 IKU262228 IUQ262228 JEM262228 JOI262228 JYE262228 KIA262228 KRW262228 LBS262228 LLO262228 LVK262228 MFG262228 MPC262228 MYY262228 NIU262228 NSQ262228 OCM262228 OMI262228 OWE262228 PGA262228 PPW262228 PZS262228 QJO262228 QTK262228 RDG262228 RNC262228 RWY262228 SGU262228 SQQ262228 TAM262228 TKI262228 TUE262228 UEA262228 UNW262228 UXS262228 VHO262228 VRK262228 WBG262228 WLC262228 WUY262228 IM327764 SI327764 ACE327764 AMA327764 AVW327764 BFS327764 BPO327764 BZK327764 CJG327764 CTC327764 DCY327764 DMU327764 DWQ327764 EGM327764 EQI327764 FAE327764 FKA327764 FTW327764 GDS327764 GNO327764 GXK327764 HHG327764 HRC327764 IAY327764 IKU327764 IUQ327764 JEM327764 JOI327764 JYE327764 KIA327764 KRW327764 LBS327764 LLO327764 LVK327764 MFG327764 MPC327764 MYY327764 NIU327764 NSQ327764 OCM327764 OMI327764 OWE327764 PGA327764 PPW327764 PZS327764 QJO327764 QTK327764 RDG327764 RNC327764 RWY327764 SGU327764 SQQ327764 TAM327764 TKI327764 TUE327764 UEA327764 UNW327764 UXS327764 VHO327764 VRK327764 WBG327764 WLC327764 WUY327764 IM393300 SI393300 ACE393300 AMA393300 AVW393300 BFS393300 BPO393300 BZK393300 CJG393300 CTC393300 DCY393300 DMU393300 DWQ393300 EGM393300 EQI393300 FAE393300 FKA393300 FTW393300 GDS393300 GNO393300 GXK393300 HHG393300 HRC393300 IAY393300 IKU393300 IUQ393300 JEM393300 JOI393300 JYE393300 KIA393300 KRW393300 LBS393300 LLO393300 LVK393300 MFG393300 MPC393300 MYY393300 NIU393300 NSQ393300 OCM393300 OMI393300 OWE393300 PGA393300 PPW393300 PZS393300 QJO393300 QTK393300 RDG393300 RNC393300 RWY393300 SGU393300 SQQ393300 TAM393300 TKI393300 TUE393300 UEA393300 UNW393300 UXS393300 VHO393300 VRK393300 WBG393300 WLC393300 WUY393300 IM458836 SI458836 ACE458836 AMA458836 AVW458836 BFS458836 BPO458836 BZK458836 CJG458836 CTC458836 DCY458836 DMU458836 DWQ458836 EGM458836 EQI458836 FAE458836 FKA458836 FTW458836 GDS458836 GNO458836 GXK458836 HHG458836 HRC458836 IAY458836 IKU458836 IUQ458836 JEM458836 JOI458836 JYE458836 KIA458836 KRW458836 LBS458836 LLO458836 LVK458836 MFG458836 MPC458836 MYY458836 NIU458836 NSQ458836 OCM458836 OMI458836 OWE458836 PGA458836 PPW458836 PZS458836 QJO458836 QTK458836 RDG458836 RNC458836 RWY458836 SGU458836 SQQ458836 TAM458836 TKI458836 TUE458836 UEA458836 UNW458836 UXS458836 VHO458836 VRK458836 WBG458836 WLC458836 WUY458836 IM524372 SI524372 ACE524372 AMA524372 AVW524372 BFS524372 BPO524372 BZK524372 CJG524372 CTC524372 DCY524372 DMU524372 DWQ524372 EGM524372 EQI524372 FAE524372 FKA524372 FTW524372 GDS524372 GNO524372 GXK524372 HHG524372 HRC524372 IAY524372 IKU524372 IUQ524372 JEM524372 JOI524372 JYE524372 KIA524372 KRW524372 LBS524372 LLO524372 LVK524372 MFG524372 MPC524372 MYY524372 NIU524372 NSQ524372 OCM524372 OMI524372 OWE524372 PGA524372 PPW524372 PZS524372 QJO524372 QTK524372 RDG524372 RNC524372 RWY524372 SGU524372 SQQ524372 TAM524372 TKI524372 TUE524372 UEA524372 UNW524372 UXS524372 VHO524372 VRK524372 WBG524372 WLC524372 WUY524372 IM589908 SI589908 ACE589908 AMA589908 AVW589908 BFS589908 BPO589908 BZK589908 CJG589908 CTC589908 DCY589908 DMU589908 DWQ589908 EGM589908 EQI589908 FAE589908 FKA589908 FTW589908 GDS589908 GNO589908 GXK589908 HHG589908 HRC589908 IAY589908 IKU589908 IUQ589908 JEM589908 JOI589908 JYE589908 KIA589908 KRW589908 LBS589908 LLO589908 LVK589908 MFG589908 MPC589908 MYY589908 NIU589908 NSQ589908 OCM589908 OMI589908 OWE589908 PGA589908 PPW589908 PZS589908 QJO589908 QTK589908 RDG589908 RNC589908 RWY589908 SGU589908 SQQ589908 TAM589908 TKI589908 TUE589908 UEA589908 UNW589908 UXS589908 VHO589908 VRK589908 WBG589908 WLC589908 WUY589908 IM655444 SI655444 ACE655444 AMA655444 AVW655444 BFS655444 BPO655444 BZK655444 CJG655444 CTC655444 DCY655444 DMU655444 DWQ655444 EGM655444 EQI655444 FAE655444 FKA655444 FTW655444 GDS655444 GNO655444 GXK655444 HHG655444 HRC655444 IAY655444 IKU655444 IUQ655444 JEM655444 JOI655444 JYE655444 KIA655444 KRW655444 LBS655444 LLO655444 LVK655444 MFG655444 MPC655444 MYY655444 NIU655444 NSQ655444 OCM655444 OMI655444 OWE655444 PGA655444 PPW655444 PZS655444 QJO655444 QTK655444 RDG655444 RNC655444 RWY655444 SGU655444 SQQ655444 TAM655444 TKI655444 TUE655444 UEA655444 UNW655444 UXS655444 VHO655444 VRK655444 WBG655444 WLC655444 WUY655444 IM720980 SI720980 ACE720980 AMA720980 AVW720980 BFS720980 BPO720980 BZK720980 CJG720980 CTC720980 DCY720980 DMU720980 DWQ720980 EGM720980 EQI720980 FAE720980 FKA720980 FTW720980 GDS720980 GNO720980 GXK720980 HHG720980 HRC720980 IAY720980 IKU720980 IUQ720980 JEM720980 JOI720980 JYE720980 KIA720980 KRW720980 LBS720980 LLO720980 LVK720980 MFG720980 MPC720980 MYY720980 NIU720980 NSQ720980 OCM720980 OMI720980 OWE720980 PGA720980 PPW720980 PZS720980 QJO720980 QTK720980 RDG720980 RNC720980 RWY720980 SGU720980 SQQ720980 TAM720980 TKI720980 TUE720980 UEA720980 UNW720980 UXS720980 VHO720980 VRK720980 WBG720980 WLC720980 WUY720980 IM786516 SI786516 ACE786516 AMA786516 AVW786516 BFS786516 BPO786516 BZK786516 CJG786516 CTC786516 DCY786516 DMU786516 DWQ786516 EGM786516 EQI786516 FAE786516 FKA786516 FTW786516 GDS786516 GNO786516 GXK786516 HHG786516 HRC786516 IAY786516 IKU786516 IUQ786516 JEM786516 JOI786516 JYE786516 KIA786516 KRW786516 LBS786516 LLO786516 LVK786516 MFG786516 MPC786516 MYY786516 NIU786516 NSQ786516 OCM786516 OMI786516 OWE786516 PGA786516 PPW786516 PZS786516 QJO786516 QTK786516 RDG786516 RNC786516 RWY786516 SGU786516 SQQ786516 TAM786516 TKI786516 TUE786516 UEA786516 UNW786516 UXS786516 VHO786516 VRK786516 WBG786516 WLC786516 WUY786516 IM852052 SI852052 ACE852052 AMA852052 AVW852052 BFS852052 BPO852052 BZK852052 CJG852052 CTC852052 DCY852052 DMU852052 DWQ852052 EGM852052 EQI852052 FAE852052 FKA852052 FTW852052 GDS852052 GNO852052 GXK852052 HHG852052 HRC852052 IAY852052 IKU852052 IUQ852052 JEM852052 JOI852052 JYE852052 KIA852052 KRW852052 LBS852052 LLO852052 LVK852052 MFG852052 MPC852052 MYY852052 NIU852052 NSQ852052 OCM852052 OMI852052 OWE852052 PGA852052 PPW852052 PZS852052 QJO852052 QTK852052 RDG852052 RNC852052 RWY852052 SGU852052 SQQ852052 TAM852052 TKI852052 TUE852052 UEA852052 UNW852052 UXS852052 VHO852052 VRK852052 WBG852052 WLC852052 WUY852052 IM917588 SI917588 ACE917588 AMA917588 AVW917588 BFS917588 BPO917588 BZK917588 CJG917588 CTC917588 DCY917588 DMU917588 DWQ917588 EGM917588 EQI917588 FAE917588 FKA917588 FTW917588 GDS917588 GNO917588 GXK917588 HHG917588 HRC917588 IAY917588 IKU917588 IUQ917588 JEM917588 JOI917588 JYE917588 KIA917588 KRW917588 LBS917588 LLO917588 LVK917588 MFG917588 MPC917588 MYY917588 NIU917588 NSQ917588 OCM917588 OMI917588 OWE917588 PGA917588 PPW917588 PZS917588 QJO917588 QTK917588 RDG917588 RNC917588 RWY917588 SGU917588 SQQ917588 TAM917588 TKI917588 TUE917588 UEA917588 UNW917588 UXS917588 VHO917588 VRK917588 WBG917588 WLC917588 WUY917588 IM983124 SI983124 ACE983124 AMA983124 AVW983124 BFS983124 BPO983124 BZK983124 CJG983124 CTC983124 DCY983124 DMU983124 DWQ983124 EGM983124 EQI983124 FAE983124 FKA983124 FTW983124 GDS983124 GNO983124 GXK983124 HHG983124 HRC983124 IAY983124 IKU983124 IUQ983124 JEM983124 JOI983124 JYE983124 KIA983124 KRW983124 LBS983124 LLO983124 LVK983124 MFG983124 MPC983124 MYY983124 NIU983124 NSQ983124 OCM983124 OMI983124 OWE983124 PGA983124 PPW983124 PZS983124 QJO983124 QTK983124 RDG983124 RNC983124 RWY983124 SGU983124 SQQ983124 TAM983124 TKI983124 TUE983124 UEA983124 UNW983124 UXS983124 VHO983124 VRK983124 WBG983124 WLC983124 WUY983124 IM94 SI94 ACE94 AMA94 AVW94 BFS94 BPO94 BZK94 CJG94 CTC94 DCY94 DMU94 DWQ94 EGM94 EQI94 FAE94 FKA94 FTW94 GDS94 GNO94 GXK94 HHG94 HRC94 IAY94 IKU94 IUQ94 JEM94 JOI94 JYE94 KIA94 KRW94 LBS94 LLO94 LVK94 MFG94 MPC94 MYY94 NIU94 NSQ94 OCM94 OMI94 OWE94 PGA94 PPW94 PZS94 QJO94 QTK94 RDG94 RNC94 RWY94 SGU94 SQQ94 TAM94 TKI94 TUE94 UEA94 UNW94 UXS94 VHO94 VRK94 WBG94 WLC94 WUY94 IM65630 SI65630 ACE65630 AMA65630 AVW65630 BFS65630 BPO65630 BZK65630 CJG65630 CTC65630 DCY65630 DMU65630 DWQ65630 EGM65630 EQI65630 FAE65630 FKA65630 FTW65630 GDS65630 GNO65630 GXK65630 HHG65630 HRC65630 IAY65630 IKU65630 IUQ65630 JEM65630 JOI65630 JYE65630 KIA65630 KRW65630 LBS65630 LLO65630 LVK65630 MFG65630 MPC65630 MYY65630 NIU65630 NSQ65630 OCM65630 OMI65630 OWE65630 PGA65630 PPW65630 PZS65630 QJO65630 QTK65630 RDG65630 RNC65630 RWY65630 SGU65630 SQQ65630 TAM65630 TKI65630 TUE65630 UEA65630 UNW65630 UXS65630 VHO65630 VRK65630 WBG65630 WLC65630 WUY65630 IM131166 SI131166 ACE131166 AMA131166 AVW131166 BFS131166 BPO131166 BZK131166 CJG131166 CTC131166 DCY131166 DMU131166 DWQ131166 EGM131166 EQI131166 FAE131166 FKA131166 FTW131166 GDS131166 GNO131166 GXK131166 HHG131166 HRC131166 IAY131166 IKU131166 IUQ131166 JEM131166 JOI131166 JYE131166 KIA131166 KRW131166 LBS131166 LLO131166 LVK131166 MFG131166 MPC131166 MYY131166 NIU131166 NSQ131166 OCM131166 OMI131166 OWE131166 PGA131166 PPW131166 PZS131166 QJO131166 QTK131166 RDG131166 RNC131166 RWY131166 SGU131166 SQQ131166 TAM131166 TKI131166 TUE131166 UEA131166 UNW131166 UXS131166 VHO131166 VRK131166 WBG131166 WLC131166 WUY131166 IM196702 SI196702 ACE196702 AMA196702 AVW196702 BFS196702 BPO196702 BZK196702 CJG196702 CTC196702 DCY196702 DMU196702 DWQ196702 EGM196702 EQI196702 FAE196702 FKA196702 FTW196702 GDS196702 GNO196702 GXK196702 HHG196702 HRC196702 IAY196702 IKU196702 IUQ196702 JEM196702 JOI196702 JYE196702 KIA196702 KRW196702 LBS196702 LLO196702 LVK196702 MFG196702 MPC196702 MYY196702 NIU196702 NSQ196702 OCM196702 OMI196702 OWE196702 PGA196702 PPW196702 PZS196702 QJO196702 QTK196702 RDG196702 RNC196702 RWY196702 SGU196702 SQQ196702 TAM196702 TKI196702 TUE196702 UEA196702 UNW196702 UXS196702 VHO196702 VRK196702 WBG196702 WLC196702 WUY196702 IM262238 SI262238 ACE262238 AMA262238 AVW262238 BFS262238 BPO262238 BZK262238 CJG262238 CTC262238 DCY262238 DMU262238 DWQ262238 EGM262238 EQI262238 FAE262238 FKA262238 FTW262238 GDS262238 GNO262238 GXK262238 HHG262238 HRC262238 IAY262238 IKU262238 IUQ262238 JEM262238 JOI262238 JYE262238 KIA262238 KRW262238 LBS262238 LLO262238 LVK262238 MFG262238 MPC262238 MYY262238 NIU262238 NSQ262238 OCM262238 OMI262238 OWE262238 PGA262238 PPW262238 PZS262238 QJO262238 QTK262238 RDG262238 RNC262238 RWY262238 SGU262238 SQQ262238 TAM262238 TKI262238 TUE262238 UEA262238 UNW262238 UXS262238 VHO262238 VRK262238 WBG262238 WLC262238 WUY262238 IM327774 SI327774 ACE327774 AMA327774 AVW327774 BFS327774 BPO327774 BZK327774 CJG327774 CTC327774 DCY327774 DMU327774 DWQ327774 EGM327774 EQI327774 FAE327774 FKA327774 FTW327774 GDS327774 GNO327774 GXK327774 HHG327774 HRC327774 IAY327774 IKU327774 IUQ327774 JEM327774 JOI327774 JYE327774 KIA327774 KRW327774 LBS327774 LLO327774 LVK327774 MFG327774 MPC327774 MYY327774 NIU327774 NSQ327774 OCM327774 OMI327774 OWE327774 PGA327774 PPW327774 PZS327774 QJO327774 QTK327774 RDG327774 RNC327774 RWY327774 SGU327774 SQQ327774 TAM327774 TKI327774 TUE327774 UEA327774 UNW327774 UXS327774 VHO327774 VRK327774 WBG327774 WLC327774 WUY327774 IM393310 SI393310 ACE393310 AMA393310 AVW393310 BFS393310 BPO393310 BZK393310 CJG393310 CTC393310 DCY393310 DMU393310 DWQ393310 EGM393310 EQI393310 FAE393310 FKA393310 FTW393310 GDS393310 GNO393310 GXK393310 HHG393310 HRC393310 IAY393310 IKU393310 IUQ393310 JEM393310 JOI393310 JYE393310 KIA393310 KRW393310 LBS393310 LLO393310 LVK393310 MFG393310 MPC393310 MYY393310 NIU393310 NSQ393310 OCM393310 OMI393310 OWE393310 PGA393310 PPW393310 PZS393310 QJO393310 QTK393310 RDG393310 RNC393310 RWY393310 SGU393310 SQQ393310 TAM393310 TKI393310 TUE393310 UEA393310 UNW393310 UXS393310 VHO393310 VRK393310 WBG393310 WLC393310 WUY393310 IM458846 SI458846 ACE458846 AMA458846 AVW458846 BFS458846 BPO458846 BZK458846 CJG458846 CTC458846 DCY458846 DMU458846 DWQ458846 EGM458846 EQI458846 FAE458846 FKA458846 FTW458846 GDS458846 GNO458846 GXK458846 HHG458846 HRC458846 IAY458846 IKU458846 IUQ458846 JEM458846 JOI458846 JYE458846 KIA458846 KRW458846 LBS458846 LLO458846 LVK458846 MFG458846 MPC458846 MYY458846 NIU458846 NSQ458846 OCM458846 OMI458846 OWE458846 PGA458846 PPW458846 PZS458846 QJO458846 QTK458846 RDG458846 RNC458846 RWY458846 SGU458846 SQQ458846 TAM458846 TKI458846 TUE458846 UEA458846 UNW458846 UXS458846 VHO458846 VRK458846 WBG458846 WLC458846 WUY458846 IM524382 SI524382 ACE524382 AMA524382 AVW524382 BFS524382 BPO524382 BZK524382 CJG524382 CTC524382 DCY524382 DMU524382 DWQ524382 EGM524382 EQI524382 FAE524382 FKA524382 FTW524382 GDS524382 GNO524382 GXK524382 HHG524382 HRC524382 IAY524382 IKU524382 IUQ524382 JEM524382 JOI524382 JYE524382 KIA524382 KRW524382 LBS524382 LLO524382 LVK524382 MFG524382 MPC524382 MYY524382 NIU524382 NSQ524382 OCM524382 OMI524382 OWE524382 PGA524382 PPW524382 PZS524382 QJO524382 QTK524382 RDG524382 RNC524382 RWY524382 SGU524382 SQQ524382 TAM524382 TKI524382 TUE524382 UEA524382 UNW524382 UXS524382 VHO524382 VRK524382 WBG524382 WLC524382 WUY524382 IM589918 SI589918 ACE589918 AMA589918 AVW589918 BFS589918 BPO589918 BZK589918 CJG589918 CTC589918 DCY589918 DMU589918 DWQ589918 EGM589918 EQI589918 FAE589918 FKA589918 FTW589918 GDS589918 GNO589918 GXK589918 HHG589918 HRC589918 IAY589918 IKU589918 IUQ589918 JEM589918 JOI589918 JYE589918 KIA589918 KRW589918 LBS589918 LLO589918 LVK589918 MFG589918 MPC589918 MYY589918 NIU589918 NSQ589918 OCM589918 OMI589918 OWE589918 PGA589918 PPW589918 PZS589918 QJO589918 QTK589918 RDG589918 RNC589918 RWY589918 SGU589918 SQQ589918 TAM589918 TKI589918 TUE589918 UEA589918 UNW589918 UXS589918 VHO589918 VRK589918 WBG589918 WLC589918 WUY589918 IM655454 SI655454 ACE655454 AMA655454 AVW655454 BFS655454 BPO655454 BZK655454 CJG655454 CTC655454 DCY655454 DMU655454 DWQ655454 EGM655454 EQI655454 FAE655454 FKA655454 FTW655454 GDS655454 GNO655454 GXK655454 HHG655454 HRC655454 IAY655454 IKU655454 IUQ655454 JEM655454 JOI655454 JYE655454 KIA655454 KRW655454 LBS655454 LLO655454 LVK655454 MFG655454 MPC655454 MYY655454 NIU655454 NSQ655454 OCM655454 OMI655454 OWE655454 PGA655454 PPW655454 PZS655454 QJO655454 QTK655454 RDG655454 RNC655454 RWY655454 SGU655454 SQQ655454 TAM655454 TKI655454 TUE655454 UEA655454 UNW655454 UXS655454 VHO655454 VRK655454 WBG655454 WLC655454 WUY655454 IM720990 SI720990 ACE720990 AMA720990 AVW720990 BFS720990 BPO720990 BZK720990 CJG720990 CTC720990 DCY720990 DMU720990 DWQ720990 EGM720990 EQI720990 FAE720990 FKA720990 FTW720990 GDS720990 GNO720990 GXK720990 HHG720990 HRC720990 IAY720990 IKU720990 IUQ720990 JEM720990 JOI720990 JYE720990 KIA720990 KRW720990 LBS720990 LLO720990 LVK720990 MFG720990 MPC720990 MYY720990 NIU720990 NSQ720990 OCM720990 OMI720990 OWE720990 PGA720990 PPW720990 PZS720990 QJO720990 QTK720990 RDG720990 RNC720990 RWY720990 SGU720990 SQQ720990 TAM720990 TKI720990 TUE720990 UEA720990 UNW720990 UXS720990 VHO720990 VRK720990 WBG720990 WLC720990 WUY720990 IM786526 SI786526 ACE786526 AMA786526 AVW786526 BFS786526 BPO786526 BZK786526 CJG786526 CTC786526 DCY786526 DMU786526 DWQ786526 EGM786526 EQI786526 FAE786526 FKA786526 FTW786526 GDS786526 GNO786526 GXK786526 HHG786526 HRC786526 IAY786526 IKU786526 IUQ786526 JEM786526 JOI786526 JYE786526 KIA786526 KRW786526 LBS786526 LLO786526 LVK786526 MFG786526 MPC786526 MYY786526 NIU786526 NSQ786526 OCM786526 OMI786526 OWE786526 PGA786526 PPW786526 PZS786526 QJO786526 QTK786526 RDG786526 RNC786526 RWY786526 SGU786526 SQQ786526 TAM786526 TKI786526 TUE786526 UEA786526 UNW786526 UXS786526 VHO786526 VRK786526 WBG786526 WLC786526 WUY786526 IM852062 SI852062 ACE852062 AMA852062 AVW852062 BFS852062 BPO852062 BZK852062 CJG852062 CTC852062 DCY852062 DMU852062 DWQ852062 EGM852062 EQI852062 FAE852062 FKA852062 FTW852062 GDS852062 GNO852062 GXK852062 HHG852062 HRC852062 IAY852062 IKU852062 IUQ852062 JEM852062 JOI852062 JYE852062 KIA852062 KRW852062 LBS852062 LLO852062 LVK852062 MFG852062 MPC852062 MYY852062 NIU852062 NSQ852062 OCM852062 OMI852062 OWE852062 PGA852062 PPW852062 PZS852062 QJO852062 QTK852062 RDG852062 RNC852062 RWY852062 SGU852062 SQQ852062 TAM852062 TKI852062 TUE852062 UEA852062 UNW852062 UXS852062 VHO852062 VRK852062 WBG852062 WLC852062 WUY852062 IM917598 SI917598 ACE917598 AMA917598 AVW917598 BFS917598 BPO917598 BZK917598 CJG917598 CTC917598 DCY917598 DMU917598 DWQ917598 EGM917598 EQI917598 FAE917598 FKA917598 FTW917598 GDS917598 GNO917598 GXK917598 HHG917598 HRC917598 IAY917598 IKU917598 IUQ917598 JEM917598 JOI917598 JYE917598 KIA917598 KRW917598 LBS917598 LLO917598 LVK917598 MFG917598 MPC917598 MYY917598 NIU917598 NSQ917598 OCM917598 OMI917598 OWE917598 PGA917598 PPW917598 PZS917598 QJO917598 QTK917598 RDG917598 RNC917598 RWY917598 SGU917598 SQQ917598 TAM917598 TKI917598 TUE917598 UEA917598 UNW917598 UXS917598 VHO917598 VRK917598 WBG917598 WLC917598 WUY917598 IM983134 SI983134 ACE983134 AMA983134 AVW983134 BFS983134 BPO983134 BZK983134 CJG983134 CTC983134 DCY983134 DMU983134 DWQ983134 EGM983134 EQI983134 FAE983134 FKA983134 FTW983134 GDS983134 GNO983134 GXK983134 HHG983134 HRC983134 IAY983134 IKU983134 IUQ983134 JEM983134 JOI983134 JYE983134 KIA983134 KRW983134 LBS983134 LLO983134 LVK983134 MFG983134 MPC983134 MYY983134 NIU983134 NSQ983134 OCM983134 OMI983134 OWE983134 PGA983134 PPW983134 PZS983134 QJO983134 QTK983134 RDG983134 RNC983134 RWY983134 SGU983134 SQQ983134 TAM983134 TKI983134 TUE983134 UEA983134 UNW983134 UXS983134 VHO983134 VRK983134 WBG983134 WLC983134 WUY983134 IM44 SI44 ACE44 AMA44 AVW44 BFS44 BPO44 BZK44 CJG44 CTC44 DCY44 DMU44 DWQ44 EGM44 EQI44 FAE44 FKA44 FTW44 GDS44 GNO44 GXK44 HHG44 HRC44 IAY44 IKU44 IUQ44 JEM44 JOI44 JYE44 KIA44 KRW44 LBS44 LLO44 LVK44 MFG44 MPC44 MYY44 NIU44 NSQ44 OCM44 OMI44 OWE44 PGA44 PPW44 PZS44 QJO44 QTK44 RDG44 RNC44 RWY44 SGU44 SQQ44 TAM44 TKI44 TUE44 UEA44 UNW44 UXS44 VHO44 VRK44 WBG44 WLC44 WUY44 IM65580 SI65580 ACE65580 AMA65580 AVW65580 BFS65580 BPO65580 BZK65580 CJG65580 CTC65580 DCY65580 DMU65580 DWQ65580 EGM65580 EQI65580 FAE65580 FKA65580 FTW65580 GDS65580 GNO65580 GXK65580 HHG65580 HRC65580 IAY65580 IKU65580 IUQ65580 JEM65580 JOI65580 JYE65580 KIA65580 KRW65580 LBS65580 LLO65580 LVK65580 MFG65580 MPC65580 MYY65580 NIU65580 NSQ65580 OCM65580 OMI65580 OWE65580 PGA65580 PPW65580 PZS65580 QJO65580 QTK65580 RDG65580 RNC65580 RWY65580 SGU65580 SQQ65580 TAM65580 TKI65580 TUE65580 UEA65580 UNW65580 UXS65580 VHO65580 VRK65580 WBG65580 WLC65580 WUY65580 IM131116 SI131116 ACE131116 AMA131116 AVW131116 BFS131116 BPO131116 BZK131116 CJG131116 CTC131116 DCY131116 DMU131116 DWQ131116 EGM131116 EQI131116 FAE131116 FKA131116 FTW131116 GDS131116 GNO131116 GXK131116 HHG131116 HRC131116 IAY131116 IKU131116 IUQ131116 JEM131116 JOI131116 JYE131116 KIA131116 KRW131116 LBS131116 LLO131116 LVK131116 MFG131116 MPC131116 MYY131116 NIU131116 NSQ131116 OCM131116 OMI131116 OWE131116 PGA131116 PPW131116 PZS131116 QJO131116 QTK131116 RDG131116 RNC131116 RWY131116 SGU131116 SQQ131116 TAM131116 TKI131116 TUE131116 UEA131116 UNW131116 UXS131116 VHO131116 VRK131116 WBG131116 WLC131116 WUY131116 IM196652 SI196652 ACE196652 AMA196652 AVW196652 BFS196652 BPO196652 BZK196652 CJG196652 CTC196652 DCY196652 DMU196652 DWQ196652 EGM196652 EQI196652 FAE196652 FKA196652 FTW196652 GDS196652 GNO196652 GXK196652 HHG196652 HRC196652 IAY196652 IKU196652 IUQ196652 JEM196652 JOI196652 JYE196652 KIA196652 KRW196652 LBS196652 LLO196652 LVK196652 MFG196652 MPC196652 MYY196652 NIU196652 NSQ196652 OCM196652 OMI196652 OWE196652 PGA196652 PPW196652 PZS196652 QJO196652 QTK196652 RDG196652 RNC196652 RWY196652 SGU196652 SQQ196652 TAM196652 TKI196652 TUE196652 UEA196652 UNW196652 UXS196652 VHO196652 VRK196652 WBG196652 WLC196652 WUY196652 IM262188 SI262188 ACE262188 AMA262188 AVW262188 BFS262188 BPO262188 BZK262188 CJG262188 CTC262188 DCY262188 DMU262188 DWQ262188 EGM262188 EQI262188 FAE262188 FKA262188 FTW262188 GDS262188 GNO262188 GXK262188 HHG262188 HRC262188 IAY262188 IKU262188 IUQ262188 JEM262188 JOI262188 JYE262188 KIA262188 KRW262188 LBS262188 LLO262188 LVK262188 MFG262188 MPC262188 MYY262188 NIU262188 NSQ262188 OCM262188 OMI262188 OWE262188 PGA262188 PPW262188 PZS262188 QJO262188 QTK262188 RDG262188 RNC262188 RWY262188 SGU262188 SQQ262188 TAM262188 TKI262188 TUE262188 UEA262188 UNW262188 UXS262188 VHO262188 VRK262188 WBG262188 WLC262188 WUY262188 IM327724 SI327724 ACE327724 AMA327724 AVW327724 BFS327724 BPO327724 BZK327724 CJG327724 CTC327724 DCY327724 DMU327724 DWQ327724 EGM327724 EQI327724 FAE327724 FKA327724 FTW327724 GDS327724 GNO327724 GXK327724 HHG327724 HRC327724 IAY327724 IKU327724 IUQ327724 JEM327724 JOI327724 JYE327724 KIA327724 KRW327724 LBS327724 LLO327724 LVK327724 MFG327724 MPC327724 MYY327724 NIU327724 NSQ327724 OCM327724 OMI327724 OWE327724 PGA327724 PPW327724 PZS327724 QJO327724 QTK327724 RDG327724 RNC327724 RWY327724 SGU327724 SQQ327724 TAM327724 TKI327724 TUE327724 UEA327724 UNW327724 UXS327724 VHO327724 VRK327724 WBG327724 WLC327724 WUY327724 IM393260 SI393260 ACE393260 AMA393260 AVW393260 BFS393260 BPO393260 BZK393260 CJG393260 CTC393260 DCY393260 DMU393260 DWQ393260 EGM393260 EQI393260 FAE393260 FKA393260 FTW393260 GDS393260 GNO393260 GXK393260 HHG393260 HRC393260 IAY393260 IKU393260 IUQ393260 JEM393260 JOI393260 JYE393260 KIA393260 KRW393260 LBS393260 LLO393260 LVK393260 MFG393260 MPC393260 MYY393260 NIU393260 NSQ393260 OCM393260 OMI393260 OWE393260 PGA393260 PPW393260 PZS393260 QJO393260 QTK393260 RDG393260 RNC393260 RWY393260 SGU393260 SQQ393260 TAM393260 TKI393260 TUE393260 UEA393260 UNW393260 UXS393260 VHO393260 VRK393260 WBG393260 WLC393260 WUY393260 IM458796 SI458796 ACE458796 AMA458796 AVW458796 BFS458796 BPO458796 BZK458796 CJG458796 CTC458796 DCY458796 DMU458796 DWQ458796 EGM458796 EQI458796 FAE458796 FKA458796 FTW458796 GDS458796 GNO458796 GXK458796 HHG458796 HRC458796 IAY458796 IKU458796 IUQ458796 JEM458796 JOI458796 JYE458796 KIA458796 KRW458796 LBS458796 LLO458796 LVK458796 MFG458796 MPC458796 MYY458796 NIU458796 NSQ458796 OCM458796 OMI458796 OWE458796 PGA458796 PPW458796 PZS458796 QJO458796 QTK458796 RDG458796 RNC458796 RWY458796 SGU458796 SQQ458796 TAM458796 TKI458796 TUE458796 UEA458796 UNW458796 UXS458796 VHO458796 VRK458796 WBG458796 WLC458796 WUY458796 IM524332 SI524332 ACE524332 AMA524332 AVW524332 BFS524332 BPO524332 BZK524332 CJG524332 CTC524332 DCY524332 DMU524332 DWQ524332 EGM524332 EQI524332 FAE524332 FKA524332 FTW524332 GDS524332 GNO524332 GXK524332 HHG524332 HRC524332 IAY524332 IKU524332 IUQ524332 JEM524332 JOI524332 JYE524332 KIA524332 KRW524332 LBS524332 LLO524332 LVK524332 MFG524332 MPC524332 MYY524332 NIU524332 NSQ524332 OCM524332 OMI524332 OWE524332 PGA524332 PPW524332 PZS524332 QJO524332 QTK524332 RDG524332 RNC524332 RWY524332 SGU524332 SQQ524332 TAM524332 TKI524332 TUE524332 UEA524332 UNW524332 UXS524332 VHO524332 VRK524332 WBG524332 WLC524332 WUY524332 IM589868 SI589868 ACE589868 AMA589868 AVW589868 BFS589868 BPO589868 BZK589868 CJG589868 CTC589868 DCY589868 DMU589868 DWQ589868 EGM589868 EQI589868 FAE589868 FKA589868 FTW589868 GDS589868 GNO589868 GXK589868 HHG589868 HRC589868 IAY589868 IKU589868 IUQ589868 JEM589868 JOI589868 JYE589868 KIA589868 KRW589868 LBS589868 LLO589868 LVK589868 MFG589868 MPC589868 MYY589868 NIU589868 NSQ589868 OCM589868 OMI589868 OWE589868 PGA589868 PPW589868 PZS589868 QJO589868 QTK589868 RDG589868 RNC589868 RWY589868 SGU589868 SQQ589868 TAM589868 TKI589868 TUE589868 UEA589868 UNW589868 UXS589868 VHO589868 VRK589868 WBG589868 WLC589868 WUY589868 IM655404 SI655404 ACE655404 AMA655404 AVW655404 BFS655404 BPO655404 BZK655404 CJG655404 CTC655404 DCY655404 DMU655404 DWQ655404 EGM655404 EQI655404 FAE655404 FKA655404 FTW655404 GDS655404 GNO655404 GXK655404 HHG655404 HRC655404 IAY655404 IKU655404 IUQ655404 JEM655404 JOI655404 JYE655404 KIA655404 KRW655404 LBS655404 LLO655404 LVK655404 MFG655404 MPC655404 MYY655404 NIU655404 NSQ655404 OCM655404 OMI655404 OWE655404 PGA655404 PPW655404 PZS655404 QJO655404 QTK655404 RDG655404 RNC655404 RWY655404 SGU655404 SQQ655404 TAM655404 TKI655404 TUE655404 UEA655404 UNW655404 UXS655404 VHO655404 VRK655404 WBG655404 WLC655404 WUY655404 IM720940 SI720940 ACE720940 AMA720940 AVW720940 BFS720940 BPO720940 BZK720940 CJG720940 CTC720940 DCY720940 DMU720940 DWQ720940 EGM720940 EQI720940 FAE720940 FKA720940 FTW720940 GDS720940 GNO720940 GXK720940 HHG720940 HRC720940 IAY720940 IKU720940 IUQ720940 JEM720940 JOI720940 JYE720940 KIA720940 KRW720940 LBS720940 LLO720940 LVK720940 MFG720940 MPC720940 MYY720940 NIU720940 NSQ720940 OCM720940 OMI720940 OWE720940 PGA720940 PPW720940 PZS720940 QJO720940 QTK720940 RDG720940 RNC720940 RWY720940 SGU720940 SQQ720940 TAM720940 TKI720940 TUE720940 UEA720940 UNW720940 UXS720940 VHO720940 VRK720940 WBG720940 WLC720940 WUY720940 IM786476 SI786476 ACE786476 AMA786476 AVW786476 BFS786476 BPO786476 BZK786476 CJG786476 CTC786476 DCY786476 DMU786476 DWQ786476 EGM786476 EQI786476 FAE786476 FKA786476 FTW786476 GDS786476 GNO786476 GXK786476 HHG786476 HRC786476 IAY786476 IKU786476 IUQ786476 JEM786476 JOI786476 JYE786476 KIA786476 KRW786476 LBS786476 LLO786476 LVK786476 MFG786476 MPC786476 MYY786476 NIU786476 NSQ786476 OCM786476 OMI786476 OWE786476 PGA786476 PPW786476 PZS786476 QJO786476 QTK786476 RDG786476 RNC786476 RWY786476 SGU786476 SQQ786476 TAM786476 TKI786476 TUE786476 UEA786476 UNW786476 UXS786476 VHO786476 VRK786476 WBG786476 WLC786476 WUY786476 IM852012 SI852012 ACE852012 AMA852012 AVW852012 BFS852012 BPO852012 BZK852012 CJG852012 CTC852012 DCY852012 DMU852012 DWQ852012 EGM852012 EQI852012 FAE852012 FKA852012 FTW852012 GDS852012 GNO852012 GXK852012 HHG852012 HRC852012 IAY852012 IKU852012 IUQ852012 JEM852012 JOI852012 JYE852012 KIA852012 KRW852012 LBS852012 LLO852012 LVK852012 MFG852012 MPC852012 MYY852012 NIU852012 NSQ852012 OCM852012 OMI852012 OWE852012 PGA852012 PPW852012 PZS852012 QJO852012 QTK852012 RDG852012 RNC852012 RWY852012 SGU852012 SQQ852012 TAM852012 TKI852012 TUE852012 UEA852012 UNW852012 UXS852012 VHO852012 VRK852012 WBG852012 WLC852012 WUY852012 IM917548 SI917548 ACE917548 AMA917548 AVW917548 BFS917548 BPO917548 BZK917548 CJG917548 CTC917548 DCY917548 DMU917548 DWQ917548 EGM917548 EQI917548 FAE917548 FKA917548 FTW917548 GDS917548 GNO917548 GXK917548 HHG917548 HRC917548 IAY917548 IKU917548 IUQ917548 JEM917548 JOI917548 JYE917548 KIA917548 KRW917548 LBS917548 LLO917548 LVK917548 MFG917548 MPC917548 MYY917548 NIU917548 NSQ917548 OCM917548 OMI917548 OWE917548 PGA917548 PPW917548 PZS917548 QJO917548 QTK917548 RDG917548 RNC917548 RWY917548 SGU917548 SQQ917548 TAM917548 TKI917548 TUE917548 UEA917548 UNW917548 UXS917548 VHO917548 VRK917548 WBG917548 WLC917548 WUY917548 IM983084 SI983084 ACE983084 AMA983084 AVW983084 BFS983084 BPO983084 BZK983084 CJG983084 CTC983084 DCY983084 DMU983084 DWQ983084 EGM983084 EQI983084 FAE983084 FKA983084 FTW983084 GDS983084 GNO983084 GXK983084 HHG983084 HRC983084 IAY983084 IKU983084 IUQ983084 JEM983084 JOI983084 JYE983084 KIA983084 KRW983084 LBS983084 LLO983084 LVK983084 MFG983084 MPC983084 MYY983084 NIU983084 NSQ983084 OCM983084 OMI983084 OWE983084 PGA983084 PPW983084 PZS983084 QJO983084 QTK983084 RDG983084 RNC983084 RWY983084 SGU983084 SQQ983084 TAM983084 TKI983084 TUE983084 UEA983084 UNW983084 UXS983084 VHO983084 VRK983084 WBG983084 WLC983084 WUY983084 IM104 SI104 ACE104 AMA104 AVW104 BFS104 BPO104 BZK104 CJG104 CTC104 DCY104 DMU104 DWQ104 EGM104 EQI104 FAE104 FKA104 FTW104 GDS104 GNO104 GXK104 HHG104 HRC104 IAY104 IKU104 IUQ104 JEM104 JOI104 JYE104 KIA104 KRW104 LBS104 LLO104 LVK104 MFG104 MPC104 MYY104 NIU104 NSQ104 OCM104 OMI104 OWE104 PGA104 PPW104 PZS104 QJO104 QTK104 RDG104 RNC104 RWY104 SGU104 SQQ104 TAM104 TKI104 TUE104 UEA104 UNW104 UXS104 VHO104 VRK104 WBG104 WLC104 WUY104 IM65640 SI65640 ACE65640 AMA65640 AVW65640 BFS65640 BPO65640 BZK65640 CJG65640 CTC65640 DCY65640 DMU65640 DWQ65640 EGM65640 EQI65640 FAE65640 FKA65640 FTW65640 GDS65640 GNO65640 GXK65640 HHG65640 HRC65640 IAY65640 IKU65640 IUQ65640 JEM65640 JOI65640 JYE65640 KIA65640 KRW65640 LBS65640 LLO65640 LVK65640 MFG65640 MPC65640 MYY65640 NIU65640 NSQ65640 OCM65640 OMI65640 OWE65640 PGA65640 PPW65640 PZS65640 QJO65640 QTK65640 RDG65640 RNC65640 RWY65640 SGU65640 SQQ65640 TAM65640 TKI65640 TUE65640 UEA65640 UNW65640 UXS65640 VHO65640 VRK65640 WBG65640 WLC65640 WUY65640 IM131176 SI131176 ACE131176 AMA131176 AVW131176 BFS131176 BPO131176 BZK131176 CJG131176 CTC131176 DCY131176 DMU131176 DWQ131176 EGM131176 EQI131176 FAE131176 FKA131176 FTW131176 GDS131176 GNO131176 GXK131176 HHG131176 HRC131176 IAY131176 IKU131176 IUQ131176 JEM131176 JOI131176 JYE131176 KIA131176 KRW131176 LBS131176 LLO131176 LVK131176 MFG131176 MPC131176 MYY131176 NIU131176 NSQ131176 OCM131176 OMI131176 OWE131176 PGA131176 PPW131176 PZS131176 QJO131176 QTK131176 RDG131176 RNC131176 RWY131176 SGU131176 SQQ131176 TAM131176 TKI131176 TUE131176 UEA131176 UNW131176 UXS131176 VHO131176 VRK131176 WBG131176 WLC131176 WUY131176 IM196712 SI196712 ACE196712 AMA196712 AVW196712 BFS196712 BPO196712 BZK196712 CJG196712 CTC196712 DCY196712 DMU196712 DWQ196712 EGM196712 EQI196712 FAE196712 FKA196712 FTW196712 GDS196712 GNO196712 GXK196712 HHG196712 HRC196712 IAY196712 IKU196712 IUQ196712 JEM196712 JOI196712 JYE196712 KIA196712 KRW196712 LBS196712 LLO196712 LVK196712 MFG196712 MPC196712 MYY196712 NIU196712 NSQ196712 OCM196712 OMI196712 OWE196712 PGA196712 PPW196712 PZS196712 QJO196712 QTK196712 RDG196712 RNC196712 RWY196712 SGU196712 SQQ196712 TAM196712 TKI196712 TUE196712 UEA196712 UNW196712 UXS196712 VHO196712 VRK196712 WBG196712 WLC196712 WUY196712 IM262248 SI262248 ACE262248 AMA262248 AVW262248 BFS262248 BPO262248 BZK262248 CJG262248 CTC262248 DCY262248 DMU262248 DWQ262248 EGM262248 EQI262248 FAE262248 FKA262248 FTW262248 GDS262248 GNO262248 GXK262248 HHG262248 HRC262248 IAY262248 IKU262248 IUQ262248 JEM262248 JOI262248 JYE262248 KIA262248 KRW262248 LBS262248 LLO262248 LVK262248 MFG262248 MPC262248 MYY262248 NIU262248 NSQ262248 OCM262248 OMI262248 OWE262248 PGA262248 PPW262248 PZS262248 QJO262248 QTK262248 RDG262248 RNC262248 RWY262248 SGU262248 SQQ262248 TAM262248 TKI262248 TUE262248 UEA262248 UNW262248 UXS262248 VHO262248 VRK262248 WBG262248 WLC262248 WUY262248 IM327784 SI327784 ACE327784 AMA327784 AVW327784 BFS327784 BPO327784 BZK327784 CJG327784 CTC327784 DCY327784 DMU327784 DWQ327784 EGM327784 EQI327784 FAE327784 FKA327784 FTW327784 GDS327784 GNO327784 GXK327784 HHG327784 HRC327784 IAY327784 IKU327784 IUQ327784 JEM327784 JOI327784 JYE327784 KIA327784 KRW327784 LBS327784 LLO327784 LVK327784 MFG327784 MPC327784 MYY327784 NIU327784 NSQ327784 OCM327784 OMI327784 OWE327784 PGA327784 PPW327784 PZS327784 QJO327784 QTK327784 RDG327784 RNC327784 RWY327784 SGU327784 SQQ327784 TAM327784 TKI327784 TUE327784 UEA327784 UNW327784 UXS327784 VHO327784 VRK327784 WBG327784 WLC327784 WUY327784 IM393320 SI393320 ACE393320 AMA393320 AVW393320 BFS393320 BPO393320 BZK393320 CJG393320 CTC393320 DCY393320 DMU393320 DWQ393320 EGM393320 EQI393320 FAE393320 FKA393320 FTW393320 GDS393320 GNO393320 GXK393320 HHG393320 HRC393320 IAY393320 IKU393320 IUQ393320 JEM393320 JOI393320 JYE393320 KIA393320 KRW393320 LBS393320 LLO393320 LVK393320 MFG393320 MPC393320 MYY393320 NIU393320 NSQ393320 OCM393320 OMI393320 OWE393320 PGA393320 PPW393320 PZS393320 QJO393320 QTK393320 RDG393320 RNC393320 RWY393320 SGU393320 SQQ393320 TAM393320 TKI393320 TUE393320 UEA393320 UNW393320 UXS393320 VHO393320 VRK393320 WBG393320 WLC393320 WUY393320 IM458856 SI458856 ACE458856 AMA458856 AVW458856 BFS458856 BPO458856 BZK458856 CJG458856 CTC458856 DCY458856 DMU458856 DWQ458856 EGM458856 EQI458856 FAE458856 FKA458856 FTW458856 GDS458856 GNO458856 GXK458856 HHG458856 HRC458856 IAY458856 IKU458856 IUQ458856 JEM458856 JOI458856 JYE458856 KIA458856 KRW458856 LBS458856 LLO458856 LVK458856 MFG458856 MPC458856 MYY458856 NIU458856 NSQ458856 OCM458856 OMI458856 OWE458856 PGA458856 PPW458856 PZS458856 QJO458856 QTK458856 RDG458856 RNC458856 RWY458856 SGU458856 SQQ458856 TAM458856 TKI458856 TUE458856 UEA458856 UNW458856 UXS458856 VHO458856 VRK458856 WBG458856 WLC458856 WUY458856 IM524392 SI524392 ACE524392 AMA524392 AVW524392 BFS524392 BPO524392 BZK524392 CJG524392 CTC524392 DCY524392 DMU524392 DWQ524392 EGM524392 EQI524392 FAE524392 FKA524392 FTW524392 GDS524392 GNO524392 GXK524392 HHG524392 HRC524392 IAY524392 IKU524392 IUQ524392 JEM524392 JOI524392 JYE524392 KIA524392 KRW524392 LBS524392 LLO524392 LVK524392 MFG524392 MPC524392 MYY524392 NIU524392 NSQ524392 OCM524392 OMI524392 OWE524392 PGA524392 PPW524392 PZS524392 QJO524392 QTK524392 RDG524392 RNC524392 RWY524392 SGU524392 SQQ524392 TAM524392 TKI524392 TUE524392 UEA524392 UNW524392 UXS524392 VHO524392 VRK524392 WBG524392 WLC524392 WUY524392 IM589928 SI589928 ACE589928 AMA589928 AVW589928 BFS589928 BPO589928 BZK589928 CJG589928 CTC589928 DCY589928 DMU589928 DWQ589928 EGM589928 EQI589928 FAE589928 FKA589928 FTW589928 GDS589928 GNO589928 GXK589928 HHG589928 HRC589928 IAY589928 IKU589928 IUQ589928 JEM589928 JOI589928 JYE589928 KIA589928 KRW589928 LBS589928 LLO589928 LVK589928 MFG589928 MPC589928 MYY589928 NIU589928 NSQ589928 OCM589928 OMI589928 OWE589928 PGA589928 PPW589928 PZS589928 QJO589928 QTK589928 RDG589928 RNC589928 RWY589928 SGU589928 SQQ589928 TAM589928 TKI589928 TUE589928 UEA589928 UNW589928 UXS589928 VHO589928 VRK589928 WBG589928 WLC589928 WUY589928 IM655464 SI655464 ACE655464 AMA655464 AVW655464 BFS655464 BPO655464 BZK655464 CJG655464 CTC655464 DCY655464 DMU655464 DWQ655464 EGM655464 EQI655464 FAE655464 FKA655464 FTW655464 GDS655464 GNO655464 GXK655464 HHG655464 HRC655464 IAY655464 IKU655464 IUQ655464 JEM655464 JOI655464 JYE655464 KIA655464 KRW655464 LBS655464 LLO655464 LVK655464 MFG655464 MPC655464 MYY655464 NIU655464 NSQ655464 OCM655464 OMI655464 OWE655464 PGA655464 PPW655464 PZS655464 QJO655464 QTK655464 RDG655464 RNC655464 RWY655464 SGU655464 SQQ655464 TAM655464 TKI655464 TUE655464 UEA655464 UNW655464 UXS655464 VHO655464 VRK655464 WBG655464 WLC655464 WUY655464 IM721000 SI721000 ACE721000 AMA721000 AVW721000 BFS721000 BPO721000 BZK721000 CJG721000 CTC721000 DCY721000 DMU721000 DWQ721000 EGM721000 EQI721000 FAE721000 FKA721000 FTW721000 GDS721000 GNO721000 GXK721000 HHG721000 HRC721000 IAY721000 IKU721000 IUQ721000 JEM721000 JOI721000 JYE721000 KIA721000 KRW721000 LBS721000 LLO721000 LVK721000 MFG721000 MPC721000 MYY721000 NIU721000 NSQ721000 OCM721000 OMI721000 OWE721000 PGA721000 PPW721000 PZS721000 QJO721000 QTK721000 RDG721000 RNC721000 RWY721000 SGU721000 SQQ721000 TAM721000 TKI721000 TUE721000 UEA721000 UNW721000 UXS721000 VHO721000 VRK721000 WBG721000 WLC721000 WUY721000 IM786536 SI786536 ACE786536 AMA786536 AVW786536 BFS786536 BPO786536 BZK786536 CJG786536 CTC786536 DCY786536 DMU786536 DWQ786536 EGM786536 EQI786536 FAE786536 FKA786536 FTW786536 GDS786536 GNO786536 GXK786536 HHG786536 HRC786536 IAY786536 IKU786536 IUQ786536 JEM786536 JOI786536 JYE786536 KIA786536 KRW786536 LBS786536 LLO786536 LVK786536 MFG786536 MPC786536 MYY786536 NIU786536 NSQ786536 OCM786536 OMI786536 OWE786536 PGA786536 PPW786536 PZS786536 QJO786536 QTK786536 RDG786536 RNC786536 RWY786536 SGU786536 SQQ786536 TAM786536 TKI786536 TUE786536 UEA786536 UNW786536 UXS786536 VHO786536 VRK786536 WBG786536 WLC786536 WUY786536 IM852072 SI852072 ACE852072 AMA852072 AVW852072 BFS852072 BPO852072 BZK852072 CJG852072 CTC852072 DCY852072 DMU852072 DWQ852072 EGM852072 EQI852072 FAE852072 FKA852072 FTW852072 GDS852072 GNO852072 GXK852072 HHG852072 HRC852072 IAY852072 IKU852072 IUQ852072 JEM852072 JOI852072 JYE852072 KIA852072 KRW852072 LBS852072 LLO852072 LVK852072 MFG852072 MPC852072 MYY852072 NIU852072 NSQ852072 OCM852072 OMI852072 OWE852072 PGA852072 PPW852072 PZS852072 QJO852072 QTK852072 RDG852072 RNC852072 RWY852072 SGU852072 SQQ852072 TAM852072 TKI852072 TUE852072 UEA852072 UNW852072 UXS852072 VHO852072 VRK852072 WBG852072 WLC852072 WUY852072 IM917608 SI917608 ACE917608 AMA917608 AVW917608 BFS917608 BPO917608 BZK917608 CJG917608 CTC917608 DCY917608 DMU917608 DWQ917608 EGM917608 EQI917608 FAE917608 FKA917608 FTW917608 GDS917608 GNO917608 GXK917608 HHG917608 HRC917608 IAY917608 IKU917608 IUQ917608 JEM917608 JOI917608 JYE917608 KIA917608 KRW917608 LBS917608 LLO917608 LVK917608 MFG917608 MPC917608 MYY917608 NIU917608 NSQ917608 OCM917608 OMI917608 OWE917608 PGA917608 PPW917608 PZS917608 QJO917608 QTK917608 RDG917608 RNC917608 RWY917608 SGU917608 SQQ917608 TAM917608 TKI917608 TUE917608 UEA917608 UNW917608 UXS917608 VHO917608 VRK917608 WBG917608 WLC917608 WUY917608 IM983144 SI983144 ACE983144 AMA983144 AVW983144 BFS983144 BPO983144 BZK983144 CJG983144 CTC983144 DCY983144 DMU983144 DWQ983144 EGM983144 EQI983144 FAE983144 FKA983144 FTW983144 GDS983144 GNO983144 GXK983144 HHG983144 HRC983144 IAY983144 IKU983144 IUQ983144 JEM983144 JOI983144 JYE983144 KIA983144 KRW983144 LBS983144 LLO983144 LVK983144 MFG983144 MPC983144 MYY983144 NIU983144 NSQ983144 OCM983144 OMI983144 OWE983144 PGA983144 PPW983144 PZS983144 QJO983144 QTK983144 RDG983144 RNC983144 RWY983144 SGU983144 SQQ983144 TAM983144 TKI983144 TUE983144 UEA983144 UNW983144 UXS983144 VHO983144 VRK983144 WBG983144 WLC983144 WUY983144 IM114 SI114 ACE114 AMA114 AVW114 BFS114 BPO114 BZK114 CJG114 CTC114 DCY114 DMU114 DWQ114 EGM114 EQI114 FAE114 FKA114 FTW114 GDS114 GNO114 GXK114 HHG114 HRC114 IAY114 IKU114 IUQ114 JEM114 JOI114 JYE114 KIA114 KRW114 LBS114 LLO114 LVK114 MFG114 MPC114 MYY114 NIU114 NSQ114 OCM114 OMI114 OWE114 PGA114 PPW114 PZS114 QJO114 QTK114 RDG114 RNC114 RWY114 SGU114 SQQ114 TAM114 TKI114 TUE114 UEA114 UNW114 UXS114 VHO114 VRK114 WBG114 WLC114 WUY114 IM65650 SI65650 ACE65650 AMA65650 AVW65650 BFS65650 BPO65650 BZK65650 CJG65650 CTC65650 DCY65650 DMU65650 DWQ65650 EGM65650 EQI65650 FAE65650 FKA65650 FTW65650 GDS65650 GNO65650 GXK65650 HHG65650 HRC65650 IAY65650 IKU65650 IUQ65650 JEM65650 JOI65650 JYE65650 KIA65650 KRW65650 LBS65650 LLO65650 LVK65650 MFG65650 MPC65650 MYY65650 NIU65650 NSQ65650 OCM65650 OMI65650 OWE65650 PGA65650 PPW65650 PZS65650 QJO65650 QTK65650 RDG65650 RNC65650 RWY65650 SGU65650 SQQ65650 TAM65650 TKI65650 TUE65650 UEA65650 UNW65650 UXS65650 VHO65650 VRK65650 WBG65650 WLC65650 WUY65650 IM131186 SI131186 ACE131186 AMA131186 AVW131186 BFS131186 BPO131186 BZK131186 CJG131186 CTC131186 DCY131186 DMU131186 DWQ131186 EGM131186 EQI131186 FAE131186 FKA131186 FTW131186 GDS131186 GNO131186 GXK131186 HHG131186 HRC131186 IAY131186 IKU131186 IUQ131186 JEM131186 JOI131186 JYE131186 KIA131186 KRW131186 LBS131186 LLO131186 LVK131186 MFG131186 MPC131186 MYY131186 NIU131186 NSQ131186 OCM131186 OMI131186 OWE131186 PGA131186 PPW131186 PZS131186 QJO131186 QTK131186 RDG131186 RNC131186 RWY131186 SGU131186 SQQ131186 TAM131186 TKI131186 TUE131186 UEA131186 UNW131186 UXS131186 VHO131186 VRK131186 WBG131186 WLC131186 WUY131186 IM196722 SI196722 ACE196722 AMA196722 AVW196722 BFS196722 BPO196722 BZK196722 CJG196722 CTC196722 DCY196722 DMU196722 DWQ196722 EGM196722 EQI196722 FAE196722 FKA196722 FTW196722 GDS196722 GNO196722 GXK196722 HHG196722 HRC196722 IAY196722 IKU196722 IUQ196722 JEM196722 JOI196722 JYE196722 KIA196722 KRW196722 LBS196722 LLO196722 LVK196722 MFG196722 MPC196722 MYY196722 NIU196722 NSQ196722 OCM196722 OMI196722 OWE196722 PGA196722 PPW196722 PZS196722 QJO196722 QTK196722 RDG196722 RNC196722 RWY196722 SGU196722 SQQ196722 TAM196722 TKI196722 TUE196722 UEA196722 UNW196722 UXS196722 VHO196722 VRK196722 WBG196722 WLC196722 WUY196722 IM262258 SI262258 ACE262258 AMA262258 AVW262258 BFS262258 BPO262258 BZK262258 CJG262258 CTC262258 DCY262258 DMU262258 DWQ262258 EGM262258 EQI262258 FAE262258 FKA262258 FTW262258 GDS262258 GNO262258 GXK262258 HHG262258 HRC262258 IAY262258 IKU262258 IUQ262258 JEM262258 JOI262258 JYE262258 KIA262258 KRW262258 LBS262258 LLO262258 LVK262258 MFG262258 MPC262258 MYY262258 NIU262258 NSQ262258 OCM262258 OMI262258 OWE262258 PGA262258 PPW262258 PZS262258 QJO262258 QTK262258 RDG262258 RNC262258 RWY262258 SGU262258 SQQ262258 TAM262258 TKI262258 TUE262258 UEA262258 UNW262258 UXS262258 VHO262258 VRK262258 WBG262258 WLC262258 WUY262258 IM327794 SI327794 ACE327794 AMA327794 AVW327794 BFS327794 BPO327794 BZK327794 CJG327794 CTC327794 DCY327794 DMU327794 DWQ327794 EGM327794 EQI327794 FAE327794 FKA327794 FTW327794 GDS327794 GNO327794 GXK327794 HHG327794 HRC327794 IAY327794 IKU327794 IUQ327794 JEM327794 JOI327794 JYE327794 KIA327794 KRW327794 LBS327794 LLO327794 LVK327794 MFG327794 MPC327794 MYY327794 NIU327794 NSQ327794 OCM327794 OMI327794 OWE327794 PGA327794 PPW327794 PZS327794 QJO327794 QTK327794 RDG327794 RNC327794 RWY327794 SGU327794 SQQ327794 TAM327794 TKI327794 TUE327794 UEA327794 UNW327794 UXS327794 VHO327794 VRK327794 WBG327794 WLC327794 WUY327794 IM393330 SI393330 ACE393330 AMA393330 AVW393330 BFS393330 BPO393330 BZK393330 CJG393330 CTC393330 DCY393330 DMU393330 DWQ393330 EGM393330 EQI393330 FAE393330 FKA393330 FTW393330 GDS393330 GNO393330 GXK393330 HHG393330 HRC393330 IAY393330 IKU393330 IUQ393330 JEM393330 JOI393330 JYE393330 KIA393330 KRW393330 LBS393330 LLO393330 LVK393330 MFG393330 MPC393330 MYY393330 NIU393330 NSQ393330 OCM393330 OMI393330 OWE393330 PGA393330 PPW393330 PZS393330 QJO393330 QTK393330 RDG393330 RNC393330 RWY393330 SGU393330 SQQ393330 TAM393330 TKI393330 TUE393330 UEA393330 UNW393330 UXS393330 VHO393330 VRK393330 WBG393330 WLC393330 WUY393330 IM458866 SI458866 ACE458866 AMA458866 AVW458866 BFS458866 BPO458866 BZK458866 CJG458866 CTC458866 DCY458866 DMU458866 DWQ458866 EGM458866 EQI458866 FAE458866 FKA458866 FTW458866 GDS458866 GNO458866 GXK458866 HHG458866 HRC458866 IAY458866 IKU458866 IUQ458866 JEM458866 JOI458866 JYE458866 KIA458866 KRW458866 LBS458866 LLO458866 LVK458866 MFG458866 MPC458866 MYY458866 NIU458866 NSQ458866 OCM458866 OMI458866 OWE458866 PGA458866 PPW458866 PZS458866 QJO458866 QTK458866 RDG458866 RNC458866 RWY458866 SGU458866 SQQ458866 TAM458866 TKI458866 TUE458866 UEA458866 UNW458866 UXS458866 VHO458866 VRK458866 WBG458866 WLC458866 WUY458866 IM524402 SI524402 ACE524402 AMA524402 AVW524402 BFS524402 BPO524402 BZK524402 CJG524402 CTC524402 DCY524402 DMU524402 DWQ524402 EGM524402 EQI524402 FAE524402 FKA524402 FTW524402 GDS524402 GNO524402 GXK524402 HHG524402 HRC524402 IAY524402 IKU524402 IUQ524402 JEM524402 JOI524402 JYE524402 KIA524402 KRW524402 LBS524402 LLO524402 LVK524402 MFG524402 MPC524402 MYY524402 NIU524402 NSQ524402 OCM524402 OMI524402 OWE524402 PGA524402 PPW524402 PZS524402 QJO524402 QTK524402 RDG524402 RNC524402 RWY524402 SGU524402 SQQ524402 TAM524402 TKI524402 TUE524402 UEA524402 UNW524402 UXS524402 VHO524402 VRK524402 WBG524402 WLC524402 WUY524402 IM589938 SI589938 ACE589938 AMA589938 AVW589938 BFS589938 BPO589938 BZK589938 CJG589938 CTC589938 DCY589938 DMU589938 DWQ589938 EGM589938 EQI589938 FAE589938 FKA589938 FTW589938 GDS589938 GNO589938 GXK589938 HHG589938 HRC589938 IAY589938 IKU589938 IUQ589938 JEM589938 JOI589938 JYE589938 KIA589938 KRW589938 LBS589938 LLO589938 LVK589938 MFG589938 MPC589938 MYY589938 NIU589938 NSQ589938 OCM589938 OMI589938 OWE589938 PGA589938 PPW589938 PZS589938 QJO589938 QTK589938 RDG589938 RNC589938 RWY589938 SGU589938 SQQ589938 TAM589938 TKI589938 TUE589938 UEA589938 UNW589938 UXS589938 VHO589938 VRK589938 WBG589938 WLC589938 WUY589938 IM655474 SI655474 ACE655474 AMA655474 AVW655474 BFS655474 BPO655474 BZK655474 CJG655474 CTC655474 DCY655474 DMU655474 DWQ655474 EGM655474 EQI655474 FAE655474 FKA655474 FTW655474 GDS655474 GNO655474 GXK655474 HHG655474 HRC655474 IAY655474 IKU655474 IUQ655474 JEM655474 JOI655474 JYE655474 KIA655474 KRW655474 LBS655474 LLO655474 LVK655474 MFG655474 MPC655474 MYY655474 NIU655474 NSQ655474 OCM655474 OMI655474 OWE655474 PGA655474 PPW655474 PZS655474 QJO655474 QTK655474 RDG655474 RNC655474 RWY655474 SGU655474 SQQ655474 TAM655474 TKI655474 TUE655474 UEA655474 UNW655474 UXS655474 VHO655474 VRK655474 WBG655474 WLC655474 WUY655474 IM721010 SI721010 ACE721010 AMA721010 AVW721010 BFS721010 BPO721010 BZK721010 CJG721010 CTC721010 DCY721010 DMU721010 DWQ721010 EGM721010 EQI721010 FAE721010 FKA721010 FTW721010 GDS721010 GNO721010 GXK721010 HHG721010 HRC721010 IAY721010 IKU721010 IUQ721010 JEM721010 JOI721010 JYE721010 KIA721010 KRW721010 LBS721010 LLO721010 LVK721010 MFG721010 MPC721010 MYY721010 NIU721010 NSQ721010 OCM721010 OMI721010 OWE721010 PGA721010 PPW721010 PZS721010 QJO721010 QTK721010 RDG721010 RNC721010 RWY721010 SGU721010 SQQ721010 TAM721010 TKI721010 TUE721010 UEA721010 UNW721010 UXS721010 VHO721010 VRK721010 WBG721010 WLC721010 WUY721010 IM786546 SI786546 ACE786546 AMA786546 AVW786546 BFS786546 BPO786546 BZK786546 CJG786546 CTC786546 DCY786546 DMU786546 DWQ786546 EGM786546 EQI786546 FAE786546 FKA786546 FTW786546 GDS786546 GNO786546 GXK786546 HHG786546 HRC786546 IAY786546 IKU786546 IUQ786546 JEM786546 JOI786546 JYE786546 KIA786546 KRW786546 LBS786546 LLO786546 LVK786546 MFG786546 MPC786546 MYY786546 NIU786546 NSQ786546 OCM786546 OMI786546 OWE786546 PGA786546 PPW786546 PZS786546 QJO786546 QTK786546 RDG786546 RNC786546 RWY786546 SGU786546 SQQ786546 TAM786546 TKI786546 TUE786546 UEA786546 UNW786546 UXS786546 VHO786546 VRK786546 WBG786546 WLC786546 WUY786546 IM852082 SI852082 ACE852082 AMA852082 AVW852082 BFS852082 BPO852082 BZK852082 CJG852082 CTC852082 DCY852082 DMU852082 DWQ852082 EGM852082 EQI852082 FAE852082 FKA852082 FTW852082 GDS852082 GNO852082 GXK852082 HHG852082 HRC852082 IAY852082 IKU852082 IUQ852082 JEM852082 JOI852082 JYE852082 KIA852082 KRW852082 LBS852082 LLO852082 LVK852082 MFG852082 MPC852082 MYY852082 NIU852082 NSQ852082 OCM852082 OMI852082 OWE852082 PGA852082 PPW852082 PZS852082 QJO852082 QTK852082 RDG852082 RNC852082 RWY852082 SGU852082 SQQ852082 TAM852082 TKI852082 TUE852082 UEA852082 UNW852082 UXS852082 VHO852082 VRK852082 WBG852082 WLC852082 WUY852082 IM917618 SI917618 ACE917618 AMA917618 AVW917618 BFS917618 BPO917618 BZK917618 CJG917618 CTC917618 DCY917618 DMU917618 DWQ917618 EGM917618 EQI917618 FAE917618 FKA917618 FTW917618 GDS917618 GNO917618 GXK917618 HHG917618 HRC917618 IAY917618 IKU917618 IUQ917618 JEM917618 JOI917618 JYE917618 KIA917618 KRW917618 LBS917618 LLO917618 LVK917618 MFG917618 MPC917618 MYY917618 NIU917618 NSQ917618 OCM917618 OMI917618 OWE917618 PGA917618 PPW917618 PZS917618 QJO917618 QTK917618 RDG917618 RNC917618 RWY917618 SGU917618 SQQ917618 TAM917618 TKI917618 TUE917618 UEA917618 UNW917618 UXS917618 VHO917618 VRK917618 WBG917618 WLC917618 WUY917618 IM983154 SI983154 ACE983154 AMA983154 AVW983154 BFS983154 BPO983154 BZK983154 CJG983154 CTC983154 DCY983154 DMU983154 DWQ983154 EGM983154 EQI983154 FAE983154 FKA983154 FTW983154 GDS983154 GNO983154 GXK983154 HHG983154 HRC983154 IAY983154 IKU983154 IUQ983154 JEM983154 JOI983154 JYE983154 KIA983154 KRW983154 LBS983154 LLO983154 LVK983154 MFG983154 MPC983154 MYY983154 NIU983154 NSQ983154 OCM983154 OMI983154 OWE983154 PGA983154 PPW983154 PZS983154 QJO983154 QTK983154 RDG983154 RNC983154 RWY983154 SGU983154 SQQ983154 TAM983154 TKI983154 TUE983154 UEA983154 UNW983154 UXS983154 VHO983154 VRK983154 WBG983154 WLC983154 WUY983154 IM124 SI124 ACE124 AMA124 AVW124 BFS124 BPO124 BZK124 CJG124 CTC124 DCY124 DMU124 DWQ124 EGM124 EQI124 FAE124 FKA124 FTW124 GDS124 GNO124 GXK124 HHG124 HRC124 IAY124 IKU124 IUQ124 JEM124 JOI124 JYE124 KIA124 KRW124 LBS124 LLO124 LVK124 MFG124 MPC124 MYY124 NIU124 NSQ124 OCM124 OMI124 OWE124 PGA124 PPW124 PZS124 QJO124 QTK124 RDG124 RNC124 RWY124 SGU124 SQQ124 TAM124 TKI124 TUE124 UEA124 UNW124 UXS124 VHO124 VRK124 WBG124 WLC124 WUY124 IM65660 SI65660 ACE65660 AMA65660 AVW65660 BFS65660 BPO65660 BZK65660 CJG65660 CTC65660 DCY65660 DMU65660 DWQ65660 EGM65660 EQI65660 FAE65660 FKA65660 FTW65660 GDS65660 GNO65660 GXK65660 HHG65660 HRC65660 IAY65660 IKU65660 IUQ65660 JEM65660 JOI65660 JYE65660 KIA65660 KRW65660 LBS65660 LLO65660 LVK65660 MFG65660 MPC65660 MYY65660 NIU65660 NSQ65660 OCM65660 OMI65660 OWE65660 PGA65660 PPW65660 PZS65660 QJO65660 QTK65660 RDG65660 RNC65660 RWY65660 SGU65660 SQQ65660 TAM65660 TKI65660 TUE65660 UEA65660 UNW65660 UXS65660 VHO65660 VRK65660 WBG65660 WLC65660 WUY65660 IM131196 SI131196 ACE131196 AMA131196 AVW131196 BFS131196 BPO131196 BZK131196 CJG131196 CTC131196 DCY131196 DMU131196 DWQ131196 EGM131196 EQI131196 FAE131196 FKA131196 FTW131196 GDS131196 GNO131196 GXK131196 HHG131196 HRC131196 IAY131196 IKU131196 IUQ131196 JEM131196 JOI131196 JYE131196 KIA131196 KRW131196 LBS131196 LLO131196 LVK131196 MFG131196 MPC131196 MYY131196 NIU131196 NSQ131196 OCM131196 OMI131196 OWE131196 PGA131196 PPW131196 PZS131196 QJO131196 QTK131196 RDG131196 RNC131196 RWY131196 SGU131196 SQQ131196 TAM131196 TKI131196 TUE131196 UEA131196 UNW131196 UXS131196 VHO131196 VRK131196 WBG131196 WLC131196 WUY131196 IM196732 SI196732 ACE196732 AMA196732 AVW196732 BFS196732 BPO196732 BZK196732 CJG196732 CTC196732 DCY196732 DMU196732 DWQ196732 EGM196732 EQI196732 FAE196732 FKA196732 FTW196732 GDS196732 GNO196732 GXK196732 HHG196732 HRC196732 IAY196732 IKU196732 IUQ196732 JEM196732 JOI196732 JYE196732 KIA196732 KRW196732 LBS196732 LLO196732 LVK196732 MFG196732 MPC196732 MYY196732 NIU196732 NSQ196732 OCM196732 OMI196732 OWE196732 PGA196732 PPW196732 PZS196732 QJO196732 QTK196732 RDG196732 RNC196732 RWY196732 SGU196732 SQQ196732 TAM196732 TKI196732 TUE196732 UEA196732 UNW196732 UXS196732 VHO196732 VRK196732 WBG196732 WLC196732 WUY196732 IM262268 SI262268 ACE262268 AMA262268 AVW262268 BFS262268 BPO262268 BZK262268 CJG262268 CTC262268 DCY262268 DMU262268 DWQ262268 EGM262268 EQI262268 FAE262268 FKA262268 FTW262268 GDS262268 GNO262268 GXK262268 HHG262268 HRC262268 IAY262268 IKU262268 IUQ262268 JEM262268 JOI262268 JYE262268 KIA262268 KRW262268 LBS262268 LLO262268 LVK262268 MFG262268 MPC262268 MYY262268 NIU262268 NSQ262268 OCM262268 OMI262268 OWE262268 PGA262268 PPW262268 PZS262268 QJO262268 QTK262268 RDG262268 RNC262268 RWY262268 SGU262268 SQQ262268 TAM262268 TKI262268 TUE262268 UEA262268 UNW262268 UXS262268 VHO262268 VRK262268 WBG262268 WLC262268 WUY262268 IM327804 SI327804 ACE327804 AMA327804 AVW327804 BFS327804 BPO327804 BZK327804 CJG327804 CTC327804 DCY327804 DMU327804 DWQ327804 EGM327804 EQI327804 FAE327804 FKA327804 FTW327804 GDS327804 GNO327804 GXK327804 HHG327804 HRC327804 IAY327804 IKU327804 IUQ327804 JEM327804 JOI327804 JYE327804 KIA327804 KRW327804 LBS327804 LLO327804 LVK327804 MFG327804 MPC327804 MYY327804 NIU327804 NSQ327804 OCM327804 OMI327804 OWE327804 PGA327804 PPW327804 PZS327804 QJO327804 QTK327804 RDG327804 RNC327804 RWY327804 SGU327804 SQQ327804 TAM327804 TKI327804 TUE327804 UEA327804 UNW327804 UXS327804 VHO327804 VRK327804 WBG327804 WLC327804 WUY327804 IM393340 SI393340 ACE393340 AMA393340 AVW393340 BFS393340 BPO393340 BZK393340 CJG393340 CTC393340 DCY393340 DMU393340 DWQ393340 EGM393340 EQI393340 FAE393340 FKA393340 FTW393340 GDS393340 GNO393340 GXK393340 HHG393340 HRC393340 IAY393340 IKU393340 IUQ393340 JEM393340 JOI393340 JYE393340 KIA393340 KRW393340 LBS393340 LLO393340 LVK393340 MFG393340 MPC393340 MYY393340 NIU393340 NSQ393340 OCM393340 OMI393340 OWE393340 PGA393340 PPW393340 PZS393340 QJO393340 QTK393340 RDG393340 RNC393340 RWY393340 SGU393340 SQQ393340 TAM393340 TKI393340 TUE393340 UEA393340 UNW393340 UXS393340 VHO393340 VRK393340 WBG393340 WLC393340 WUY393340 IM458876 SI458876 ACE458876 AMA458876 AVW458876 BFS458876 BPO458876 BZK458876 CJG458876 CTC458876 DCY458876 DMU458876 DWQ458876 EGM458876 EQI458876 FAE458876 FKA458876 FTW458876 GDS458876 GNO458876 GXK458876 HHG458876 HRC458876 IAY458876 IKU458876 IUQ458876 JEM458876 JOI458876 JYE458876 KIA458876 KRW458876 LBS458876 LLO458876 LVK458876 MFG458876 MPC458876 MYY458876 NIU458876 NSQ458876 OCM458876 OMI458876 OWE458876 PGA458876 PPW458876 PZS458876 QJO458876 QTK458876 RDG458876 RNC458876 RWY458876 SGU458876 SQQ458876 TAM458876 TKI458876 TUE458876 UEA458876 UNW458876 UXS458876 VHO458876 VRK458876 WBG458876 WLC458876 WUY458876 IM524412 SI524412 ACE524412 AMA524412 AVW524412 BFS524412 BPO524412 BZK524412 CJG524412 CTC524412 DCY524412 DMU524412 DWQ524412 EGM524412 EQI524412 FAE524412 FKA524412 FTW524412 GDS524412 GNO524412 GXK524412 HHG524412 HRC524412 IAY524412 IKU524412 IUQ524412 JEM524412 JOI524412 JYE524412 KIA524412 KRW524412 LBS524412 LLO524412 LVK524412 MFG524412 MPC524412 MYY524412 NIU524412 NSQ524412 OCM524412 OMI524412 OWE524412 PGA524412 PPW524412 PZS524412 QJO524412 QTK524412 RDG524412 RNC524412 RWY524412 SGU524412 SQQ524412 TAM524412 TKI524412 TUE524412 UEA524412 UNW524412 UXS524412 VHO524412 VRK524412 WBG524412 WLC524412 WUY524412 IM589948 SI589948 ACE589948 AMA589948 AVW589948 BFS589948 BPO589948 BZK589948 CJG589948 CTC589948 DCY589948 DMU589948 DWQ589948 EGM589948 EQI589948 FAE589948 FKA589948 FTW589948 GDS589948 GNO589948 GXK589948 HHG589948 HRC589948 IAY589948 IKU589948 IUQ589948 JEM589948 JOI589948 JYE589948 KIA589948 KRW589948 LBS589948 LLO589948 LVK589948 MFG589948 MPC589948 MYY589948 NIU589948 NSQ589948 OCM589948 OMI589948 OWE589948 PGA589948 PPW589948 PZS589948 QJO589948 QTK589948 RDG589948 RNC589948 RWY589948 SGU589948 SQQ589948 TAM589948 TKI589948 TUE589948 UEA589948 UNW589948 UXS589948 VHO589948 VRK589948 WBG589948 WLC589948 WUY589948 IM655484 SI655484 ACE655484 AMA655484 AVW655484 BFS655484 BPO655484 BZK655484 CJG655484 CTC655484 DCY655484 DMU655484 DWQ655484 EGM655484 EQI655484 FAE655484 FKA655484 FTW655484 GDS655484 GNO655484 GXK655484 HHG655484 HRC655484 IAY655484 IKU655484 IUQ655484 JEM655484 JOI655484 JYE655484 KIA655484 KRW655484 LBS655484 LLO655484 LVK655484 MFG655484 MPC655484 MYY655484 NIU655484 NSQ655484 OCM655484 OMI655484 OWE655484 PGA655484 PPW655484 PZS655484 QJO655484 QTK655484 RDG655484 RNC655484 RWY655484 SGU655484 SQQ655484 TAM655484 TKI655484 TUE655484 UEA655484 UNW655484 UXS655484 VHO655484 VRK655484 WBG655484 WLC655484 WUY655484 IM721020 SI721020 ACE721020 AMA721020 AVW721020 BFS721020 BPO721020 BZK721020 CJG721020 CTC721020 DCY721020 DMU721020 DWQ721020 EGM721020 EQI721020 FAE721020 FKA721020 FTW721020 GDS721020 GNO721020 GXK721020 HHG721020 HRC721020 IAY721020 IKU721020 IUQ721020 JEM721020 JOI721020 JYE721020 KIA721020 KRW721020 LBS721020 LLO721020 LVK721020 MFG721020 MPC721020 MYY721020 NIU721020 NSQ721020 OCM721020 OMI721020 OWE721020 PGA721020 PPW721020 PZS721020 QJO721020 QTK721020 RDG721020 RNC721020 RWY721020 SGU721020 SQQ721020 TAM721020 TKI721020 TUE721020 UEA721020 UNW721020 UXS721020 VHO721020 VRK721020 WBG721020 WLC721020 WUY721020 IM786556 SI786556 ACE786556 AMA786556 AVW786556 BFS786556 BPO786556 BZK786556 CJG786556 CTC786556 DCY786556 DMU786556 DWQ786556 EGM786556 EQI786556 FAE786556 FKA786556 FTW786556 GDS786556 GNO786556 GXK786556 HHG786556 HRC786556 IAY786556 IKU786556 IUQ786556 JEM786556 JOI786556 JYE786556 KIA786556 KRW786556 LBS786556 LLO786556 LVK786556 MFG786556 MPC786556 MYY786556 NIU786556 NSQ786556 OCM786556 OMI786556 OWE786556 PGA786556 PPW786556 PZS786556 QJO786556 QTK786556 RDG786556 RNC786556 RWY786556 SGU786556 SQQ786556 TAM786556 TKI786556 TUE786556 UEA786556 UNW786556 UXS786556 VHO786556 VRK786556 WBG786556 WLC786556 WUY786556 IM852092 SI852092 ACE852092 AMA852092 AVW852092 BFS852092 BPO852092 BZK852092 CJG852092 CTC852092 DCY852092 DMU852092 DWQ852092 EGM852092 EQI852092 FAE852092 FKA852092 FTW852092 GDS852092 GNO852092 GXK852092 HHG852092 HRC852092 IAY852092 IKU852092 IUQ852092 JEM852092 JOI852092 JYE852092 KIA852092 KRW852092 LBS852092 LLO852092 LVK852092 MFG852092 MPC852092 MYY852092 NIU852092 NSQ852092 OCM852092 OMI852092 OWE852092 PGA852092 PPW852092 PZS852092 QJO852092 QTK852092 RDG852092 RNC852092 RWY852092 SGU852092 SQQ852092 TAM852092 TKI852092 TUE852092 UEA852092 UNW852092 UXS852092 VHO852092 VRK852092 WBG852092 WLC852092 WUY852092 IM917628 SI917628 ACE917628 AMA917628 AVW917628 BFS917628 BPO917628 BZK917628 CJG917628 CTC917628 DCY917628 DMU917628 DWQ917628 EGM917628 EQI917628 FAE917628 FKA917628 FTW917628 GDS917628 GNO917628 GXK917628 HHG917628 HRC917628 IAY917628 IKU917628 IUQ917628 JEM917628 JOI917628 JYE917628 KIA917628 KRW917628 LBS917628 LLO917628 LVK917628 MFG917628 MPC917628 MYY917628 NIU917628 NSQ917628 OCM917628 OMI917628 OWE917628 PGA917628 PPW917628 PZS917628 QJO917628 QTK917628 RDG917628 RNC917628 RWY917628 SGU917628 SQQ917628 TAM917628 TKI917628 TUE917628 UEA917628 UNW917628 UXS917628 VHO917628 VRK917628 WBG917628 WLC917628 WUY917628 IM983164 SI983164 ACE983164 AMA983164 AVW983164 BFS983164 BPO983164 BZK983164 CJG983164 CTC983164 DCY983164 DMU983164 DWQ983164 EGM983164 EQI983164 FAE983164 FKA983164 FTW983164 GDS983164 GNO983164 GXK983164 HHG983164 HRC983164 IAY983164 IKU983164 IUQ983164 JEM983164 JOI983164 JYE983164 KIA983164 KRW983164 LBS983164 LLO983164 LVK983164 MFG983164 MPC983164 MYY983164 NIU983164 NSQ983164 OCM983164 OMI983164 OWE983164 PGA983164 PPW983164 PZS983164 QJO983164 QTK983164 RDG983164 RNC983164 RWY983164 SGU983164 SQQ983164 TAM983164 TKI983164 TUE983164 UEA983164 UNW983164 UXS983164 VHO983164 VRK983164 WBG983164 WLC983164 WUY983164 IM134 SI134 ACE134 AMA134 AVW134 BFS134 BPO134 BZK134 CJG134 CTC134 DCY134 DMU134 DWQ134 EGM134 EQI134 FAE134 FKA134 FTW134 GDS134 GNO134 GXK134 HHG134 HRC134 IAY134 IKU134 IUQ134 JEM134 JOI134 JYE134 KIA134 KRW134 LBS134 LLO134 LVK134 MFG134 MPC134 MYY134 NIU134 NSQ134 OCM134 OMI134 OWE134 PGA134 PPW134 PZS134 QJO134 QTK134 RDG134 RNC134 RWY134 SGU134 SQQ134 TAM134 TKI134 TUE134 UEA134 UNW134 UXS134 VHO134 VRK134 WBG134 WLC134 WUY134 IM65670 SI65670 ACE65670 AMA65670 AVW65670 BFS65670 BPO65670 BZK65670 CJG65670 CTC65670 DCY65670 DMU65670 DWQ65670 EGM65670 EQI65670 FAE65670 FKA65670 FTW65670 GDS65670 GNO65670 GXK65670 HHG65670 HRC65670 IAY65670 IKU65670 IUQ65670 JEM65670 JOI65670 JYE65670 KIA65670 KRW65670 LBS65670 LLO65670 LVK65670 MFG65670 MPC65670 MYY65670 NIU65670 NSQ65670 OCM65670 OMI65670 OWE65670 PGA65670 PPW65670 PZS65670 QJO65670 QTK65670 RDG65670 RNC65670 RWY65670 SGU65670 SQQ65670 TAM65670 TKI65670 TUE65670 UEA65670 UNW65670 UXS65670 VHO65670 VRK65670 WBG65670 WLC65670 WUY65670 IM131206 SI131206 ACE131206 AMA131206 AVW131206 BFS131206 BPO131206 BZK131206 CJG131206 CTC131206 DCY131206 DMU131206 DWQ131206 EGM131206 EQI131206 FAE131206 FKA131206 FTW131206 GDS131206 GNO131206 GXK131206 HHG131206 HRC131206 IAY131206 IKU131206 IUQ131206 JEM131206 JOI131206 JYE131206 KIA131206 KRW131206 LBS131206 LLO131206 LVK131206 MFG131206 MPC131206 MYY131206 NIU131206 NSQ131206 OCM131206 OMI131206 OWE131206 PGA131206 PPW131206 PZS131206 QJO131206 QTK131206 RDG131206 RNC131206 RWY131206 SGU131206 SQQ131206 TAM131206 TKI131206 TUE131206 UEA131206 UNW131206 UXS131206 VHO131206 VRK131206 WBG131206 WLC131206 WUY131206 IM196742 SI196742 ACE196742 AMA196742 AVW196742 BFS196742 BPO196742 BZK196742 CJG196742 CTC196742 DCY196742 DMU196742 DWQ196742 EGM196742 EQI196742 FAE196742 FKA196742 FTW196742 GDS196742 GNO196742 GXK196742 HHG196742 HRC196742 IAY196742 IKU196742 IUQ196742 JEM196742 JOI196742 JYE196742 KIA196742 KRW196742 LBS196742 LLO196742 LVK196742 MFG196742 MPC196742 MYY196742 NIU196742 NSQ196742 OCM196742 OMI196742 OWE196742 PGA196742 PPW196742 PZS196742 QJO196742 QTK196742 RDG196742 RNC196742 RWY196742 SGU196742 SQQ196742 TAM196742 TKI196742 TUE196742 UEA196742 UNW196742 UXS196742 VHO196742 VRK196742 WBG196742 WLC196742 WUY196742 IM262278 SI262278 ACE262278 AMA262278 AVW262278 BFS262278 BPO262278 BZK262278 CJG262278 CTC262278 DCY262278 DMU262278 DWQ262278 EGM262278 EQI262278 FAE262278 FKA262278 FTW262278 GDS262278 GNO262278 GXK262278 HHG262278 HRC262278 IAY262278 IKU262278 IUQ262278 JEM262278 JOI262278 JYE262278 KIA262278 KRW262278 LBS262278 LLO262278 LVK262278 MFG262278 MPC262278 MYY262278 NIU262278 NSQ262278 OCM262278 OMI262278 OWE262278 PGA262278 PPW262278 PZS262278 QJO262278 QTK262278 RDG262278 RNC262278 RWY262278 SGU262278 SQQ262278 TAM262278 TKI262278 TUE262278 UEA262278 UNW262278 UXS262278 VHO262278 VRK262278 WBG262278 WLC262278 WUY262278 IM327814 SI327814 ACE327814 AMA327814 AVW327814 BFS327814 BPO327814 BZK327814 CJG327814 CTC327814 DCY327814 DMU327814 DWQ327814 EGM327814 EQI327814 FAE327814 FKA327814 FTW327814 GDS327814 GNO327814 GXK327814 HHG327814 HRC327814 IAY327814 IKU327814 IUQ327814 JEM327814 JOI327814 JYE327814 KIA327814 KRW327814 LBS327814 LLO327814 LVK327814 MFG327814 MPC327814 MYY327814 NIU327814 NSQ327814 OCM327814 OMI327814 OWE327814 PGA327814 PPW327814 PZS327814 QJO327814 QTK327814 RDG327814 RNC327814 RWY327814 SGU327814 SQQ327814 TAM327814 TKI327814 TUE327814 UEA327814 UNW327814 UXS327814 VHO327814 VRK327814 WBG327814 WLC327814 WUY327814 IM393350 SI393350 ACE393350 AMA393350 AVW393350 BFS393350 BPO393350 BZK393350 CJG393350 CTC393350 DCY393350 DMU393350 DWQ393350 EGM393350 EQI393350 FAE393350 FKA393350 FTW393350 GDS393350 GNO393350 GXK393350 HHG393350 HRC393350 IAY393350 IKU393350 IUQ393350 JEM393350 JOI393350 JYE393350 KIA393350 KRW393350 LBS393350 LLO393350 LVK393350 MFG393350 MPC393350 MYY393350 NIU393350 NSQ393350 OCM393350 OMI393350 OWE393350 PGA393350 PPW393350 PZS393350 QJO393350 QTK393350 RDG393350 RNC393350 RWY393350 SGU393350 SQQ393350 TAM393350 TKI393350 TUE393350 UEA393350 UNW393350 UXS393350 VHO393350 VRK393350 WBG393350 WLC393350 WUY393350 IM458886 SI458886 ACE458886 AMA458886 AVW458886 BFS458886 BPO458886 BZK458886 CJG458886 CTC458886 DCY458886 DMU458886 DWQ458886 EGM458886 EQI458886 FAE458886 FKA458886 FTW458886 GDS458886 GNO458886 GXK458886 HHG458886 HRC458886 IAY458886 IKU458886 IUQ458886 JEM458886 JOI458886 JYE458886 KIA458886 KRW458886 LBS458886 LLO458886 LVK458886 MFG458886 MPC458886 MYY458886 NIU458886 NSQ458886 OCM458886 OMI458886 OWE458886 PGA458886 PPW458886 PZS458886 QJO458886 QTK458886 RDG458886 RNC458886 RWY458886 SGU458886 SQQ458886 TAM458886 TKI458886 TUE458886 UEA458886 UNW458886 UXS458886 VHO458886 VRK458886 WBG458886 WLC458886 WUY458886 IM524422 SI524422 ACE524422 AMA524422 AVW524422 BFS524422 BPO524422 BZK524422 CJG524422 CTC524422 DCY524422 DMU524422 DWQ524422 EGM524422 EQI524422 FAE524422 FKA524422 FTW524422 GDS524422 GNO524422 GXK524422 HHG524422 HRC524422 IAY524422 IKU524422 IUQ524422 JEM524422 JOI524422 JYE524422 KIA524422 KRW524422 LBS524422 LLO524422 LVK524422 MFG524422 MPC524422 MYY524422 NIU524422 NSQ524422 OCM524422 OMI524422 OWE524422 PGA524422 PPW524422 PZS524422 QJO524422 QTK524422 RDG524422 RNC524422 RWY524422 SGU524422 SQQ524422 TAM524422 TKI524422 TUE524422 UEA524422 UNW524422 UXS524422 VHO524422 VRK524422 WBG524422 WLC524422 WUY524422 IM589958 SI589958 ACE589958 AMA589958 AVW589958 BFS589958 BPO589958 BZK589958 CJG589958 CTC589958 DCY589958 DMU589958 DWQ589958 EGM589958 EQI589958 FAE589958 FKA589958 FTW589958 GDS589958 GNO589958 GXK589958 HHG589958 HRC589958 IAY589958 IKU589958 IUQ589958 JEM589958 JOI589958 JYE589958 KIA589958 KRW589958 LBS589958 LLO589958 LVK589958 MFG589958 MPC589958 MYY589958 NIU589958 NSQ589958 OCM589958 OMI589958 OWE589958 PGA589958 PPW589958 PZS589958 QJO589958 QTK589958 RDG589958 RNC589958 RWY589958 SGU589958 SQQ589958 TAM589958 TKI589958 TUE589958 UEA589958 UNW589958 UXS589958 VHO589958 VRK589958 WBG589958 WLC589958 WUY589958 IM655494 SI655494 ACE655494 AMA655494 AVW655494 BFS655494 BPO655494 BZK655494 CJG655494 CTC655494 DCY655494 DMU655494 DWQ655494 EGM655494 EQI655494 FAE655494 FKA655494 FTW655494 GDS655494 GNO655494 GXK655494 HHG655494 HRC655494 IAY655494 IKU655494 IUQ655494 JEM655494 JOI655494 JYE655494 KIA655494 KRW655494 LBS655494 LLO655494 LVK655494 MFG655494 MPC655494 MYY655494 NIU655494 NSQ655494 OCM655494 OMI655494 OWE655494 PGA655494 PPW655494 PZS655494 QJO655494 QTK655494 RDG655494 RNC655494 RWY655494 SGU655494 SQQ655494 TAM655494 TKI655494 TUE655494 UEA655494 UNW655494 UXS655494 VHO655494 VRK655494 WBG655494 WLC655494 WUY655494 IM721030 SI721030 ACE721030 AMA721030 AVW721030 BFS721030 BPO721030 BZK721030 CJG721030 CTC721030 DCY721030 DMU721030 DWQ721030 EGM721030 EQI721030 FAE721030 FKA721030 FTW721030 GDS721030 GNO721030 GXK721030 HHG721030 HRC721030 IAY721030 IKU721030 IUQ721030 JEM721030 JOI721030 JYE721030 KIA721030 KRW721030 LBS721030 LLO721030 LVK721030 MFG721030 MPC721030 MYY721030 NIU721030 NSQ721030 OCM721030 OMI721030 OWE721030 PGA721030 PPW721030 PZS721030 QJO721030 QTK721030 RDG721030 RNC721030 RWY721030 SGU721030 SQQ721030 TAM721030 TKI721030 TUE721030 UEA721030 UNW721030 UXS721030 VHO721030 VRK721030 WBG721030 WLC721030 WUY721030 IM786566 SI786566 ACE786566 AMA786566 AVW786566 BFS786566 BPO786566 BZK786566 CJG786566 CTC786566 DCY786566 DMU786566 DWQ786566 EGM786566 EQI786566 FAE786566 FKA786566 FTW786566 GDS786566 GNO786566 GXK786566 HHG786566 HRC786566 IAY786566 IKU786566 IUQ786566 JEM786566 JOI786566 JYE786566 KIA786566 KRW786566 LBS786566 LLO786566 LVK786566 MFG786566 MPC786566 MYY786566 NIU786566 NSQ786566 OCM786566 OMI786566 OWE786566 PGA786566 PPW786566 PZS786566 QJO786566 QTK786566 RDG786566 RNC786566 RWY786566 SGU786566 SQQ786566 TAM786566 TKI786566 TUE786566 UEA786566 UNW786566 UXS786566 VHO786566 VRK786566 WBG786566 WLC786566 WUY786566 IM852102 SI852102 ACE852102 AMA852102 AVW852102 BFS852102 BPO852102 BZK852102 CJG852102 CTC852102 DCY852102 DMU852102 DWQ852102 EGM852102 EQI852102 FAE852102 FKA852102 FTW852102 GDS852102 GNO852102 GXK852102 HHG852102 HRC852102 IAY852102 IKU852102 IUQ852102 JEM852102 JOI852102 JYE852102 KIA852102 KRW852102 LBS852102 LLO852102 LVK852102 MFG852102 MPC852102 MYY852102 NIU852102 NSQ852102 OCM852102 OMI852102 OWE852102 PGA852102 PPW852102 PZS852102 QJO852102 QTK852102 RDG852102 RNC852102 RWY852102 SGU852102 SQQ852102 TAM852102 TKI852102 TUE852102 UEA852102 UNW852102 UXS852102 VHO852102 VRK852102 WBG852102 WLC852102 WUY852102 IM917638 SI917638 ACE917638 AMA917638 AVW917638 BFS917638 BPO917638 BZK917638 CJG917638 CTC917638 DCY917638 DMU917638 DWQ917638 EGM917638 EQI917638 FAE917638 FKA917638 FTW917638 GDS917638 GNO917638 GXK917638 HHG917638 HRC917638 IAY917638 IKU917638 IUQ917638 JEM917638 JOI917638 JYE917638 KIA917638 KRW917638 LBS917638 LLO917638 LVK917638 MFG917638 MPC917638 MYY917638 NIU917638 NSQ917638 OCM917638 OMI917638 OWE917638 PGA917638 PPW917638 PZS917638 QJO917638 QTK917638 RDG917638 RNC917638 RWY917638 SGU917638 SQQ917638 TAM917638 TKI917638 TUE917638 UEA917638 UNW917638 UXS917638 VHO917638 VRK917638 WBG917638 WLC917638 WUY917638 IM983174 SI983174 ACE983174 AMA983174 AVW983174 BFS983174 BPO983174 BZK983174 CJG983174 CTC983174 DCY983174 DMU983174 DWQ983174 EGM983174 EQI983174 FAE983174 FKA983174 FTW983174 GDS983174 GNO983174 GXK983174 HHG983174 HRC983174 IAY983174 IKU983174 IUQ983174 JEM983174 JOI983174 JYE983174 KIA983174 KRW983174 LBS983174 LLO983174 LVK983174 MFG983174 MPC983174 MYY983174 NIU983174 NSQ983174 OCM983174 OMI983174 OWE983174 PGA983174 PPW983174 PZS983174 QJO983174 QTK983174 RDG983174 RNC983174 RWY983174 SGU983174 SQQ983174 TAM983174 TKI983174 TUE983174 UEA983174 UNW983174 UXS983174 VHO983174 VRK983174 WBG983174 WLC983174 WUY983174 IM144 SI144 ACE144 AMA144 AVW144 BFS144 BPO144 BZK144 CJG144 CTC144 DCY144 DMU144 DWQ144 EGM144 EQI144 FAE144 FKA144 FTW144 GDS144 GNO144 GXK144 HHG144 HRC144 IAY144 IKU144 IUQ144 JEM144 JOI144 JYE144 KIA144 KRW144 LBS144 LLO144 LVK144 MFG144 MPC144 MYY144 NIU144 NSQ144 OCM144 OMI144 OWE144 PGA144 PPW144 PZS144 QJO144 QTK144 RDG144 RNC144 RWY144 SGU144 SQQ144 TAM144 TKI144 TUE144 UEA144 UNW144 UXS144 VHO144 VRK144 WBG144 WLC144 WUY144 IM65680 SI65680 ACE65680 AMA65680 AVW65680 BFS65680 BPO65680 BZK65680 CJG65680 CTC65680 DCY65680 DMU65680 DWQ65680 EGM65680 EQI65680 FAE65680 FKA65680 FTW65680 GDS65680 GNO65680 GXK65680 HHG65680 HRC65680 IAY65680 IKU65680 IUQ65680 JEM65680 JOI65680 JYE65680 KIA65680 KRW65680 LBS65680 LLO65680 LVK65680 MFG65680 MPC65680 MYY65680 NIU65680 NSQ65680 OCM65680 OMI65680 OWE65680 PGA65680 PPW65680 PZS65680 QJO65680 QTK65680 RDG65680 RNC65680 RWY65680 SGU65680 SQQ65680 TAM65680 TKI65680 TUE65680 UEA65680 UNW65680 UXS65680 VHO65680 VRK65680 WBG65680 WLC65680 WUY65680 IM131216 SI131216 ACE131216 AMA131216 AVW131216 BFS131216 BPO131216 BZK131216 CJG131216 CTC131216 DCY131216 DMU131216 DWQ131216 EGM131216 EQI131216 FAE131216 FKA131216 FTW131216 GDS131216 GNO131216 GXK131216 HHG131216 HRC131216 IAY131216 IKU131216 IUQ131216 JEM131216 JOI131216 JYE131216 KIA131216 KRW131216 LBS131216 LLO131216 LVK131216 MFG131216 MPC131216 MYY131216 NIU131216 NSQ131216 OCM131216 OMI131216 OWE131216 PGA131216 PPW131216 PZS131216 QJO131216 QTK131216 RDG131216 RNC131216 RWY131216 SGU131216 SQQ131216 TAM131216 TKI131216 TUE131216 UEA131216 UNW131216 UXS131216 VHO131216 VRK131216 WBG131216 WLC131216 WUY131216 IM196752 SI196752 ACE196752 AMA196752 AVW196752 BFS196752 BPO196752 BZK196752 CJG196752 CTC196752 DCY196752 DMU196752 DWQ196752 EGM196752 EQI196752 FAE196752 FKA196752 FTW196752 GDS196752 GNO196752 GXK196752 HHG196752 HRC196752 IAY196752 IKU196752 IUQ196752 JEM196752 JOI196752 JYE196752 KIA196752 KRW196752 LBS196752 LLO196752 LVK196752 MFG196752 MPC196752 MYY196752 NIU196752 NSQ196752 OCM196752 OMI196752 OWE196752 PGA196752 PPW196752 PZS196752 QJO196752 QTK196752 RDG196752 RNC196752 RWY196752 SGU196752 SQQ196752 TAM196752 TKI196752 TUE196752 UEA196752 UNW196752 UXS196752 VHO196752 VRK196752 WBG196752 WLC196752 WUY196752 IM262288 SI262288 ACE262288 AMA262288 AVW262288 BFS262288 BPO262288 BZK262288 CJG262288 CTC262288 DCY262288 DMU262288 DWQ262288 EGM262288 EQI262288 FAE262288 FKA262288 FTW262288 GDS262288 GNO262288 GXK262288 HHG262288 HRC262288 IAY262288 IKU262288 IUQ262288 JEM262288 JOI262288 JYE262288 KIA262288 KRW262288 LBS262288 LLO262288 LVK262288 MFG262288 MPC262288 MYY262288 NIU262288 NSQ262288 OCM262288 OMI262288 OWE262288 PGA262288 PPW262288 PZS262288 QJO262288 QTK262288 RDG262288 RNC262288 RWY262288 SGU262288 SQQ262288 TAM262288 TKI262288 TUE262288 UEA262288 UNW262288 UXS262288 VHO262288 VRK262288 WBG262288 WLC262288 WUY262288 IM327824 SI327824 ACE327824 AMA327824 AVW327824 BFS327824 BPO327824 BZK327824 CJG327824 CTC327824 DCY327824 DMU327824 DWQ327824 EGM327824 EQI327824 FAE327824 FKA327824 FTW327824 GDS327824 GNO327824 GXK327824 HHG327824 HRC327824 IAY327824 IKU327824 IUQ327824 JEM327824 JOI327824 JYE327824 KIA327824 KRW327824 LBS327824 LLO327824 LVK327824 MFG327824 MPC327824 MYY327824 NIU327824 NSQ327824 OCM327824 OMI327824 OWE327824 PGA327824 PPW327824 PZS327824 QJO327824 QTK327824 RDG327824 RNC327824 RWY327824 SGU327824 SQQ327824 TAM327824 TKI327824 TUE327824 UEA327824 UNW327824 UXS327824 VHO327824 VRK327824 WBG327824 WLC327824 WUY327824 IM393360 SI393360 ACE393360 AMA393360 AVW393360 BFS393360 BPO393360 BZK393360 CJG393360 CTC393360 DCY393360 DMU393360 DWQ393360 EGM393360 EQI393360 FAE393360 FKA393360 FTW393360 GDS393360 GNO393360 GXK393360 HHG393360 HRC393360 IAY393360 IKU393360 IUQ393360 JEM393360 JOI393360 JYE393360 KIA393360 KRW393360 LBS393360 LLO393360 LVK393360 MFG393360 MPC393360 MYY393360 NIU393360 NSQ393360 OCM393360 OMI393360 OWE393360 PGA393360 PPW393360 PZS393360 QJO393360 QTK393360 RDG393360 RNC393360 RWY393360 SGU393360 SQQ393360 TAM393360 TKI393360 TUE393360 UEA393360 UNW393360 UXS393360 VHO393360 VRK393360 WBG393360 WLC393360 WUY393360 IM458896 SI458896 ACE458896 AMA458896 AVW458896 BFS458896 BPO458896 BZK458896 CJG458896 CTC458896 DCY458896 DMU458896 DWQ458896 EGM458896 EQI458896 FAE458896 FKA458896 FTW458896 GDS458896 GNO458896 GXK458896 HHG458896 HRC458896 IAY458896 IKU458896 IUQ458896 JEM458896 JOI458896 JYE458896 KIA458896 KRW458896 LBS458896 LLO458896 LVK458896 MFG458896 MPC458896 MYY458896 NIU458896 NSQ458896 OCM458896 OMI458896 OWE458896 PGA458896 PPW458896 PZS458896 QJO458896 QTK458896 RDG458896 RNC458896 RWY458896 SGU458896 SQQ458896 TAM458896 TKI458896 TUE458896 UEA458896 UNW458896 UXS458896 VHO458896 VRK458896 WBG458896 WLC458896 WUY458896 IM524432 SI524432 ACE524432 AMA524432 AVW524432 BFS524432 BPO524432 BZK524432 CJG524432 CTC524432 DCY524432 DMU524432 DWQ524432 EGM524432 EQI524432 FAE524432 FKA524432 FTW524432 GDS524432 GNO524432 GXK524432 HHG524432 HRC524432 IAY524432 IKU524432 IUQ524432 JEM524432 JOI524432 JYE524432 KIA524432 KRW524432 LBS524432 LLO524432 LVK524432 MFG524432 MPC524432 MYY524432 NIU524432 NSQ524432 OCM524432 OMI524432 OWE524432 PGA524432 PPW524432 PZS524432 QJO524432 QTK524432 RDG524432 RNC524432 RWY524432 SGU524432 SQQ524432 TAM524432 TKI524432 TUE524432 UEA524432 UNW524432 UXS524432 VHO524432 VRK524432 WBG524432 WLC524432 WUY524432 IM589968 SI589968 ACE589968 AMA589968 AVW589968 BFS589968 BPO589968 BZK589968 CJG589968 CTC589968 DCY589968 DMU589968 DWQ589968 EGM589968 EQI589968 FAE589968 FKA589968 FTW589968 GDS589968 GNO589968 GXK589968 HHG589968 HRC589968 IAY589968 IKU589968 IUQ589968 JEM589968 JOI589968 JYE589968 KIA589968 KRW589968 LBS589968 LLO589968 LVK589968 MFG589968 MPC589968 MYY589968 NIU589968 NSQ589968 OCM589968 OMI589968 OWE589968 PGA589968 PPW589968 PZS589968 QJO589968 QTK589968 RDG589968 RNC589968 RWY589968 SGU589968 SQQ589968 TAM589968 TKI589968 TUE589968 UEA589968 UNW589968 UXS589968 VHO589968 VRK589968 WBG589968 WLC589968 WUY589968 IM655504 SI655504 ACE655504 AMA655504 AVW655504 BFS655504 BPO655504 BZK655504 CJG655504 CTC655504 DCY655504 DMU655504 DWQ655504 EGM655504 EQI655504 FAE655504 FKA655504 FTW655504 GDS655504 GNO655504 GXK655504 HHG655504 HRC655504 IAY655504 IKU655504 IUQ655504 JEM655504 JOI655504 JYE655504 KIA655504 KRW655504 LBS655504 LLO655504 LVK655504 MFG655504 MPC655504 MYY655504 NIU655504 NSQ655504 OCM655504 OMI655504 OWE655504 PGA655504 PPW655504 PZS655504 QJO655504 QTK655504 RDG655504 RNC655504 RWY655504 SGU655504 SQQ655504 TAM655504 TKI655504 TUE655504 UEA655504 UNW655504 UXS655504 VHO655504 VRK655504 WBG655504 WLC655504 WUY655504 IM721040 SI721040 ACE721040 AMA721040 AVW721040 BFS721040 BPO721040 BZK721040 CJG721040 CTC721040 DCY721040 DMU721040 DWQ721040 EGM721040 EQI721040 FAE721040 FKA721040 FTW721040 GDS721040 GNO721040 GXK721040 HHG721040 HRC721040 IAY721040 IKU721040 IUQ721040 JEM721040 JOI721040 JYE721040 KIA721040 KRW721040 LBS721040 LLO721040 LVK721040 MFG721040 MPC721040 MYY721040 NIU721040 NSQ721040 OCM721040 OMI721040 OWE721040 PGA721040 PPW721040 PZS721040 QJO721040 QTK721040 RDG721040 RNC721040 RWY721040 SGU721040 SQQ721040 TAM721040 TKI721040 TUE721040 UEA721040 UNW721040 UXS721040 VHO721040 VRK721040 WBG721040 WLC721040 WUY721040 IM786576 SI786576 ACE786576 AMA786576 AVW786576 BFS786576 BPO786576 BZK786576 CJG786576 CTC786576 DCY786576 DMU786576 DWQ786576 EGM786576 EQI786576 FAE786576 FKA786576 FTW786576 GDS786576 GNO786576 GXK786576 HHG786576 HRC786576 IAY786576 IKU786576 IUQ786576 JEM786576 JOI786576 JYE786576 KIA786576 KRW786576 LBS786576 LLO786576 LVK786576 MFG786576 MPC786576 MYY786576 NIU786576 NSQ786576 OCM786576 OMI786576 OWE786576 PGA786576 PPW786576 PZS786576 QJO786576 QTK786576 RDG786576 RNC786576 RWY786576 SGU786576 SQQ786576 TAM786576 TKI786576 TUE786576 UEA786576 UNW786576 UXS786576 VHO786576 VRK786576 WBG786576 WLC786576 WUY786576 IM852112 SI852112 ACE852112 AMA852112 AVW852112 BFS852112 BPO852112 BZK852112 CJG852112 CTC852112 DCY852112 DMU852112 DWQ852112 EGM852112 EQI852112 FAE852112 FKA852112 FTW852112 GDS852112 GNO852112 GXK852112 HHG852112 HRC852112 IAY852112 IKU852112 IUQ852112 JEM852112 JOI852112 JYE852112 KIA852112 KRW852112 LBS852112 LLO852112 LVK852112 MFG852112 MPC852112 MYY852112 NIU852112 NSQ852112 OCM852112 OMI852112 OWE852112 PGA852112 PPW852112 PZS852112 QJO852112 QTK852112 RDG852112 RNC852112 RWY852112 SGU852112 SQQ852112 TAM852112 TKI852112 TUE852112 UEA852112 UNW852112 UXS852112 VHO852112 VRK852112 WBG852112 WLC852112 WUY852112 IM917648 SI917648 ACE917648 AMA917648 AVW917648 BFS917648 BPO917648 BZK917648 CJG917648 CTC917648 DCY917648 DMU917648 DWQ917648 EGM917648 EQI917648 FAE917648 FKA917648 FTW917648 GDS917648 GNO917648 GXK917648 HHG917648 HRC917648 IAY917648 IKU917648 IUQ917648 JEM917648 JOI917648 JYE917648 KIA917648 KRW917648 LBS917648 LLO917648 LVK917648 MFG917648 MPC917648 MYY917648 NIU917648 NSQ917648 OCM917648 OMI917648 OWE917648 PGA917648 PPW917648 PZS917648 QJO917648 QTK917648 RDG917648 RNC917648 RWY917648 SGU917648 SQQ917648 TAM917648 TKI917648 TUE917648 UEA917648 UNW917648 UXS917648 VHO917648 VRK917648 WBG917648 WLC917648 WUY917648 IM983184 SI983184 ACE983184 AMA983184 AVW983184 BFS983184 BPO983184 BZK983184 CJG983184 CTC983184 DCY983184 DMU983184 DWQ983184 EGM983184 EQI983184 FAE983184 FKA983184 FTW983184 GDS983184 GNO983184 GXK983184 HHG983184 HRC983184 IAY983184 IKU983184 IUQ983184 JEM983184 JOI983184 JYE983184 KIA983184 KRW983184 LBS983184 LLO983184 LVK983184 MFG983184 MPC983184 MYY983184 NIU983184 NSQ983184 OCM983184 OMI983184 OWE983184 PGA983184 PPW983184 PZS983184 QJO983184 QTK983184 RDG983184 RNC983184 RWY983184 SGU983184 SQQ983184 TAM983184 TKI983184 TUE983184 UEA983184 UNW983184 UXS983184 VHO983184 VRK983184 WBG983184 WLC983184 WUY983184 IM154 SI154 ACE154 AMA154 AVW154 BFS154 BPO154 BZK154 CJG154 CTC154 DCY154 DMU154 DWQ154 EGM154 EQI154 FAE154 FKA154 FTW154 GDS154 GNO154 GXK154 HHG154 HRC154 IAY154 IKU154 IUQ154 JEM154 JOI154 JYE154 KIA154 KRW154 LBS154 LLO154 LVK154 MFG154 MPC154 MYY154 NIU154 NSQ154 OCM154 OMI154 OWE154 PGA154 PPW154 PZS154 QJO154 QTK154 RDG154 RNC154 RWY154 SGU154 SQQ154 TAM154 TKI154 TUE154 UEA154 UNW154 UXS154 VHO154 VRK154 WBG154 WLC154 WUY154 IM65690 SI65690 ACE65690 AMA65690 AVW65690 BFS65690 BPO65690 BZK65690 CJG65690 CTC65690 DCY65690 DMU65690 DWQ65690 EGM65690 EQI65690 FAE65690 FKA65690 FTW65690 GDS65690 GNO65690 GXK65690 HHG65690 HRC65690 IAY65690 IKU65690 IUQ65690 JEM65690 JOI65690 JYE65690 KIA65690 KRW65690 LBS65690 LLO65690 LVK65690 MFG65690 MPC65690 MYY65690 NIU65690 NSQ65690 OCM65690 OMI65690 OWE65690 PGA65690 PPW65690 PZS65690 QJO65690 QTK65690 RDG65690 RNC65690 RWY65690 SGU65690 SQQ65690 TAM65690 TKI65690 TUE65690 UEA65690 UNW65690 UXS65690 VHO65690 VRK65690 WBG65690 WLC65690 WUY65690 IM131226 SI131226 ACE131226 AMA131226 AVW131226 BFS131226 BPO131226 BZK131226 CJG131226 CTC131226 DCY131226 DMU131226 DWQ131226 EGM131226 EQI131226 FAE131226 FKA131226 FTW131226 GDS131226 GNO131226 GXK131226 HHG131226 HRC131226 IAY131226 IKU131226 IUQ131226 JEM131226 JOI131226 JYE131226 KIA131226 KRW131226 LBS131226 LLO131226 LVK131226 MFG131226 MPC131226 MYY131226 NIU131226 NSQ131226 OCM131226 OMI131226 OWE131226 PGA131226 PPW131226 PZS131226 QJO131226 QTK131226 RDG131226 RNC131226 RWY131226 SGU131226 SQQ131226 TAM131226 TKI131226 TUE131226 UEA131226 UNW131226 UXS131226 VHO131226 VRK131226 WBG131226 WLC131226 WUY131226 IM196762 SI196762 ACE196762 AMA196762 AVW196762 BFS196762 BPO196762 BZK196762 CJG196762 CTC196762 DCY196762 DMU196762 DWQ196762 EGM196762 EQI196762 FAE196762 FKA196762 FTW196762 GDS196762 GNO196762 GXK196762 HHG196762 HRC196762 IAY196762 IKU196762 IUQ196762 JEM196762 JOI196762 JYE196762 KIA196762 KRW196762 LBS196762 LLO196762 LVK196762 MFG196762 MPC196762 MYY196762 NIU196762 NSQ196762 OCM196762 OMI196762 OWE196762 PGA196762 PPW196762 PZS196762 QJO196762 QTK196762 RDG196762 RNC196762 RWY196762 SGU196762 SQQ196762 TAM196762 TKI196762 TUE196762 UEA196762 UNW196762 UXS196762 VHO196762 VRK196762 WBG196762 WLC196762 WUY196762 IM262298 SI262298 ACE262298 AMA262298 AVW262298 BFS262298 BPO262298 BZK262298 CJG262298 CTC262298 DCY262298 DMU262298 DWQ262298 EGM262298 EQI262298 FAE262298 FKA262298 FTW262298 GDS262298 GNO262298 GXK262298 HHG262298 HRC262298 IAY262298 IKU262298 IUQ262298 JEM262298 JOI262298 JYE262298 KIA262298 KRW262298 LBS262298 LLO262298 LVK262298 MFG262298 MPC262298 MYY262298 NIU262298 NSQ262298 OCM262298 OMI262298 OWE262298 PGA262298 PPW262298 PZS262298 QJO262298 QTK262298 RDG262298 RNC262298 RWY262298 SGU262298 SQQ262298 TAM262298 TKI262298 TUE262298 UEA262298 UNW262298 UXS262298 VHO262298 VRK262298 WBG262298 WLC262298 WUY262298 IM327834 SI327834 ACE327834 AMA327834 AVW327834 BFS327834 BPO327834 BZK327834 CJG327834 CTC327834 DCY327834 DMU327834 DWQ327834 EGM327834 EQI327834 FAE327834 FKA327834 FTW327834 GDS327834 GNO327834 GXK327834 HHG327834 HRC327834 IAY327834 IKU327834 IUQ327834 JEM327834 JOI327834 JYE327834 KIA327834 KRW327834 LBS327834 LLO327834 LVK327834 MFG327834 MPC327834 MYY327834 NIU327834 NSQ327834 OCM327834 OMI327834 OWE327834 PGA327834 PPW327834 PZS327834 QJO327834 QTK327834 RDG327834 RNC327834 RWY327834 SGU327834 SQQ327834 TAM327834 TKI327834 TUE327834 UEA327834 UNW327834 UXS327834 VHO327834 VRK327834 WBG327834 WLC327834 WUY327834 IM393370 SI393370 ACE393370 AMA393370 AVW393370 BFS393370 BPO393370 BZK393370 CJG393370 CTC393370 DCY393370 DMU393370 DWQ393370 EGM393370 EQI393370 FAE393370 FKA393370 FTW393370 GDS393370 GNO393370 GXK393370 HHG393370 HRC393370 IAY393370 IKU393370 IUQ393370 JEM393370 JOI393370 JYE393370 KIA393370 KRW393370 LBS393370 LLO393370 LVK393370 MFG393370 MPC393370 MYY393370 NIU393370 NSQ393370 OCM393370 OMI393370 OWE393370 PGA393370 PPW393370 PZS393370 QJO393370 QTK393370 RDG393370 RNC393370 RWY393370 SGU393370 SQQ393370 TAM393370 TKI393370 TUE393370 UEA393370 UNW393370 UXS393370 VHO393370 VRK393370 WBG393370 WLC393370 WUY393370 IM458906 SI458906 ACE458906 AMA458906 AVW458906 BFS458906 BPO458906 BZK458906 CJG458906 CTC458906 DCY458906 DMU458906 DWQ458906 EGM458906 EQI458906 FAE458906 FKA458906 FTW458906 GDS458906 GNO458906 GXK458906 HHG458906 HRC458906 IAY458906 IKU458906 IUQ458906 JEM458906 JOI458906 JYE458906 KIA458906 KRW458906 LBS458906 LLO458906 LVK458906 MFG458906 MPC458906 MYY458906 NIU458906 NSQ458906 OCM458906 OMI458906 OWE458906 PGA458906 PPW458906 PZS458906 QJO458906 QTK458906 RDG458906 RNC458906 RWY458906 SGU458906 SQQ458906 TAM458906 TKI458906 TUE458906 UEA458906 UNW458906 UXS458906 VHO458906 VRK458906 WBG458906 WLC458906 WUY458906 IM524442 SI524442 ACE524442 AMA524442 AVW524442 BFS524442 BPO524442 BZK524442 CJG524442 CTC524442 DCY524442 DMU524442 DWQ524442 EGM524442 EQI524442 FAE524442 FKA524442 FTW524442 GDS524442 GNO524442 GXK524442 HHG524442 HRC524442 IAY524442 IKU524442 IUQ524442 JEM524442 JOI524442 JYE524442 KIA524442 KRW524442 LBS524442 LLO524442 LVK524442 MFG524442 MPC524442 MYY524442 NIU524442 NSQ524442 OCM524442 OMI524442 OWE524442 PGA524442 PPW524442 PZS524442 QJO524442 QTK524442 RDG524442 RNC524442 RWY524442 SGU524442 SQQ524442 TAM524442 TKI524442 TUE524442 UEA524442 UNW524442 UXS524442 VHO524442 VRK524442 WBG524442 WLC524442 WUY524442 IM589978 SI589978 ACE589978 AMA589978 AVW589978 BFS589978 BPO589978 BZK589978 CJG589978 CTC589978 DCY589978 DMU589978 DWQ589978 EGM589978 EQI589978 FAE589978 FKA589978 FTW589978 GDS589978 GNO589978 GXK589978 HHG589978 HRC589978 IAY589978 IKU589978 IUQ589978 JEM589978 JOI589978 JYE589978 KIA589978 KRW589978 LBS589978 LLO589978 LVK589978 MFG589978 MPC589978 MYY589978 NIU589978 NSQ589978 OCM589978 OMI589978 OWE589978 PGA589978 PPW589978 PZS589978 QJO589978 QTK589978 RDG589978 RNC589978 RWY589978 SGU589978 SQQ589978 TAM589978 TKI589978 TUE589978 UEA589978 UNW589978 UXS589978 VHO589978 VRK589978 WBG589978 WLC589978 WUY589978 IM655514 SI655514 ACE655514 AMA655514 AVW655514 BFS655514 BPO655514 BZK655514 CJG655514 CTC655514 DCY655514 DMU655514 DWQ655514 EGM655514 EQI655514 FAE655514 FKA655514 FTW655514 GDS655514 GNO655514 GXK655514 HHG655514 HRC655514 IAY655514 IKU655514 IUQ655514 JEM655514 JOI655514 JYE655514 KIA655514 KRW655514 LBS655514 LLO655514 LVK655514 MFG655514 MPC655514 MYY655514 NIU655514 NSQ655514 OCM655514 OMI655514 OWE655514 PGA655514 PPW655514 PZS655514 QJO655514 QTK655514 RDG655514 RNC655514 RWY655514 SGU655514 SQQ655514 TAM655514 TKI655514 TUE655514 UEA655514 UNW655514 UXS655514 VHO655514 VRK655514 WBG655514 WLC655514 WUY655514 IM721050 SI721050 ACE721050 AMA721050 AVW721050 BFS721050 BPO721050 BZK721050 CJG721050 CTC721050 DCY721050 DMU721050 DWQ721050 EGM721050 EQI721050 FAE721050 FKA721050 FTW721050 GDS721050 GNO721050 GXK721050 HHG721050 HRC721050 IAY721050 IKU721050 IUQ721050 JEM721050 JOI721050 JYE721050 KIA721050 KRW721050 LBS721050 LLO721050 LVK721050 MFG721050 MPC721050 MYY721050 NIU721050 NSQ721050 OCM721050 OMI721050 OWE721050 PGA721050 PPW721050 PZS721050 QJO721050 QTK721050 RDG721050 RNC721050 RWY721050 SGU721050 SQQ721050 TAM721050 TKI721050 TUE721050 UEA721050 UNW721050 UXS721050 VHO721050 VRK721050 WBG721050 WLC721050 WUY721050 IM786586 SI786586 ACE786586 AMA786586 AVW786586 BFS786586 BPO786586 BZK786586 CJG786586 CTC786586 DCY786586 DMU786586 DWQ786586 EGM786586 EQI786586 FAE786586 FKA786586 FTW786586 GDS786586 GNO786586 GXK786586 HHG786586 HRC786586 IAY786586 IKU786586 IUQ786586 JEM786586 JOI786586 JYE786586 KIA786586 KRW786586 LBS786586 LLO786586 LVK786586 MFG786586 MPC786586 MYY786586 NIU786586 NSQ786586 OCM786586 OMI786586 OWE786586 PGA786586 PPW786586 PZS786586 QJO786586 QTK786586 RDG786586 RNC786586 RWY786586 SGU786586 SQQ786586 TAM786586 TKI786586 TUE786586 UEA786586 UNW786586 UXS786586 VHO786586 VRK786586 WBG786586 WLC786586 WUY786586 IM852122 SI852122 ACE852122 AMA852122 AVW852122 BFS852122 BPO852122 BZK852122 CJG852122 CTC852122 DCY852122 DMU852122 DWQ852122 EGM852122 EQI852122 FAE852122 FKA852122 FTW852122 GDS852122 GNO852122 GXK852122 HHG852122 HRC852122 IAY852122 IKU852122 IUQ852122 JEM852122 JOI852122 JYE852122 KIA852122 KRW852122 LBS852122 LLO852122 LVK852122 MFG852122 MPC852122 MYY852122 NIU852122 NSQ852122 OCM852122 OMI852122 OWE852122 PGA852122 PPW852122 PZS852122 QJO852122 QTK852122 RDG852122 RNC852122 RWY852122 SGU852122 SQQ852122 TAM852122 TKI852122 TUE852122 UEA852122 UNW852122 UXS852122 VHO852122 VRK852122 WBG852122 WLC852122 WUY852122 IM917658 SI917658 ACE917658 AMA917658 AVW917658 BFS917658 BPO917658 BZK917658 CJG917658 CTC917658 DCY917658 DMU917658 DWQ917658 EGM917658 EQI917658 FAE917658 FKA917658 FTW917658 GDS917658 GNO917658 GXK917658 HHG917658 HRC917658 IAY917658 IKU917658 IUQ917658 JEM917658 JOI917658 JYE917658 KIA917658 KRW917658 LBS917658 LLO917658 LVK917658 MFG917658 MPC917658 MYY917658 NIU917658 NSQ917658 OCM917658 OMI917658 OWE917658 PGA917658 PPW917658 PZS917658 QJO917658 QTK917658 RDG917658 RNC917658 RWY917658 SGU917658 SQQ917658 TAM917658 TKI917658 TUE917658 UEA917658 UNW917658 UXS917658 VHO917658 VRK917658 WBG917658 WLC917658 WUY917658 IM983194 SI983194 ACE983194 AMA983194 AVW983194 BFS983194 BPO983194 BZK983194 CJG983194 CTC983194 DCY983194 DMU983194 DWQ983194 EGM983194 EQI983194 FAE983194 FKA983194 FTW983194 GDS983194 GNO983194 GXK983194 HHG983194 HRC983194 IAY983194 IKU983194 IUQ983194 JEM983194 JOI983194 JYE983194 KIA983194 KRW983194 LBS983194 LLO983194 LVK983194 MFG983194 MPC983194 MYY983194 NIU983194 NSQ983194 OCM983194 OMI983194 OWE983194 PGA983194 PPW983194 PZS983194 QJO983194 QTK983194 RDG983194 RNC983194 RWY983194 SGU983194 SQQ983194 TAM983194 TKI983194 TUE983194 UEA983194 UNW983194 UXS983194 VHO983194 VRK983194 WBG983194 WLC983194 WUY983194 IM164 SI164 ACE164 AMA164 AVW164 BFS164 BPO164 BZK164 CJG164 CTC164 DCY164 DMU164 DWQ164 EGM164 EQI164 FAE164 FKA164 FTW164 GDS164 GNO164 GXK164 HHG164 HRC164 IAY164 IKU164 IUQ164 JEM164 JOI164 JYE164 KIA164 KRW164 LBS164 LLO164 LVK164 MFG164 MPC164 MYY164 NIU164 NSQ164 OCM164 OMI164 OWE164 PGA164 PPW164 PZS164 QJO164 QTK164 RDG164 RNC164 RWY164 SGU164 SQQ164 TAM164 TKI164 TUE164 UEA164 UNW164 UXS164 VHO164 VRK164 WBG164 WLC164 WUY164 IM65700 SI65700 ACE65700 AMA65700 AVW65700 BFS65700 BPO65700 BZK65700 CJG65700 CTC65700 DCY65700 DMU65700 DWQ65700 EGM65700 EQI65700 FAE65700 FKA65700 FTW65700 GDS65700 GNO65700 GXK65700 HHG65700 HRC65700 IAY65700 IKU65700 IUQ65700 JEM65700 JOI65700 JYE65700 KIA65700 KRW65700 LBS65700 LLO65700 LVK65700 MFG65700 MPC65700 MYY65700 NIU65700 NSQ65700 OCM65700 OMI65700 OWE65700 PGA65700 PPW65700 PZS65700 QJO65700 QTK65700 RDG65700 RNC65700 RWY65700 SGU65700 SQQ65700 TAM65700 TKI65700 TUE65700 UEA65700 UNW65700 UXS65700 VHO65700 VRK65700 WBG65700 WLC65700 WUY65700 IM131236 SI131236 ACE131236 AMA131236 AVW131236 BFS131236 BPO131236 BZK131236 CJG131236 CTC131236 DCY131236 DMU131236 DWQ131236 EGM131236 EQI131236 FAE131236 FKA131236 FTW131236 GDS131236 GNO131236 GXK131236 HHG131236 HRC131236 IAY131236 IKU131236 IUQ131236 JEM131236 JOI131236 JYE131236 KIA131236 KRW131236 LBS131236 LLO131236 LVK131236 MFG131236 MPC131236 MYY131236 NIU131236 NSQ131236 OCM131236 OMI131236 OWE131236 PGA131236 PPW131236 PZS131236 QJO131236 QTK131236 RDG131236 RNC131236 RWY131236 SGU131236 SQQ131236 TAM131236 TKI131236 TUE131236 UEA131236 UNW131236 UXS131236 VHO131236 VRK131236 WBG131236 WLC131236 WUY131236 IM196772 SI196772 ACE196772 AMA196772 AVW196772 BFS196772 BPO196772 BZK196772 CJG196772 CTC196772 DCY196772 DMU196772 DWQ196772 EGM196772 EQI196772 FAE196772 FKA196772 FTW196772 GDS196772 GNO196772 GXK196772 HHG196772 HRC196772 IAY196772 IKU196772 IUQ196772 JEM196772 JOI196772 JYE196772 KIA196772 KRW196772 LBS196772 LLO196772 LVK196772 MFG196772 MPC196772 MYY196772 NIU196772 NSQ196772 OCM196772 OMI196772 OWE196772 PGA196772 PPW196772 PZS196772 QJO196772 QTK196772 RDG196772 RNC196772 RWY196772 SGU196772 SQQ196772 TAM196772 TKI196772 TUE196772 UEA196772 UNW196772 UXS196772 VHO196772 VRK196772 WBG196772 WLC196772 WUY196772 IM262308 SI262308 ACE262308 AMA262308 AVW262308 BFS262308 BPO262308 BZK262308 CJG262308 CTC262308 DCY262308 DMU262308 DWQ262308 EGM262308 EQI262308 FAE262308 FKA262308 FTW262308 GDS262308 GNO262308 GXK262308 HHG262308 HRC262308 IAY262308 IKU262308 IUQ262308 JEM262308 JOI262308 JYE262308 KIA262308 KRW262308 LBS262308 LLO262308 LVK262308 MFG262308 MPC262308 MYY262308 NIU262308 NSQ262308 OCM262308 OMI262308 OWE262308 PGA262308 PPW262308 PZS262308 QJO262308 QTK262308 RDG262308 RNC262308 RWY262308 SGU262308 SQQ262308 TAM262308 TKI262308 TUE262308 UEA262308 UNW262308 UXS262308 VHO262308 VRK262308 WBG262308 WLC262308 WUY262308 IM327844 SI327844 ACE327844 AMA327844 AVW327844 BFS327844 BPO327844 BZK327844 CJG327844 CTC327844 DCY327844 DMU327844 DWQ327844 EGM327844 EQI327844 FAE327844 FKA327844 FTW327844 GDS327844 GNO327844 GXK327844 HHG327844 HRC327844 IAY327844 IKU327844 IUQ327844 JEM327844 JOI327844 JYE327844 KIA327844 KRW327844 LBS327844 LLO327844 LVK327844 MFG327844 MPC327844 MYY327844 NIU327844 NSQ327844 OCM327844 OMI327844 OWE327844 PGA327844 PPW327844 PZS327844 QJO327844 QTK327844 RDG327844 RNC327844 RWY327844 SGU327844 SQQ327844 TAM327844 TKI327844 TUE327844 UEA327844 UNW327844 UXS327844 VHO327844 VRK327844 WBG327844 WLC327844 WUY327844 IM393380 SI393380 ACE393380 AMA393380 AVW393380 BFS393380 BPO393380 BZK393380 CJG393380 CTC393380 DCY393380 DMU393380 DWQ393380 EGM393380 EQI393380 FAE393380 FKA393380 FTW393380 GDS393380 GNO393380 GXK393380 HHG393380 HRC393380 IAY393380 IKU393380 IUQ393380 JEM393380 JOI393380 JYE393380 KIA393380 KRW393380 LBS393380 LLO393380 LVK393380 MFG393380 MPC393380 MYY393380 NIU393380 NSQ393380 OCM393380 OMI393380 OWE393380 PGA393380 PPW393380 PZS393380 QJO393380 QTK393380 RDG393380 RNC393380 RWY393380 SGU393380 SQQ393380 TAM393380 TKI393380 TUE393380 UEA393380 UNW393380 UXS393380 VHO393380 VRK393380 WBG393380 WLC393380 WUY393380 IM458916 SI458916 ACE458916 AMA458916 AVW458916 BFS458916 BPO458916 BZK458916 CJG458916 CTC458916 DCY458916 DMU458916 DWQ458916 EGM458916 EQI458916 FAE458916 FKA458916 FTW458916 GDS458916 GNO458916 GXK458916 HHG458916 HRC458916 IAY458916 IKU458916 IUQ458916 JEM458916 JOI458916 JYE458916 KIA458916 KRW458916 LBS458916 LLO458916 LVK458916 MFG458916 MPC458916 MYY458916 NIU458916 NSQ458916 OCM458916 OMI458916 OWE458916 PGA458916 PPW458916 PZS458916 QJO458916 QTK458916 RDG458916 RNC458916 RWY458916 SGU458916 SQQ458916 TAM458916 TKI458916 TUE458916 UEA458916 UNW458916 UXS458916 VHO458916 VRK458916 WBG458916 WLC458916 WUY458916 IM524452 SI524452 ACE524452 AMA524452 AVW524452 BFS524452 BPO524452 BZK524452 CJG524452 CTC524452 DCY524452 DMU524452 DWQ524452 EGM524452 EQI524452 FAE524452 FKA524452 FTW524452 GDS524452 GNO524452 GXK524452 HHG524452 HRC524452 IAY524452 IKU524452 IUQ524452 JEM524452 JOI524452 JYE524452 KIA524452 KRW524452 LBS524452 LLO524452 LVK524452 MFG524452 MPC524452 MYY524452 NIU524452 NSQ524452 OCM524452 OMI524452 OWE524452 PGA524452 PPW524452 PZS524452 QJO524452 QTK524452 RDG524452 RNC524452 RWY524452 SGU524452 SQQ524452 TAM524452 TKI524452 TUE524452 UEA524452 UNW524452 UXS524452 VHO524452 VRK524452 WBG524452 WLC524452 WUY524452 IM589988 SI589988 ACE589988 AMA589988 AVW589988 BFS589988 BPO589988 BZK589988 CJG589988 CTC589988 DCY589988 DMU589988 DWQ589988 EGM589988 EQI589988 FAE589988 FKA589988 FTW589988 GDS589988 GNO589988 GXK589988 HHG589988 HRC589988 IAY589988 IKU589988 IUQ589988 JEM589988 JOI589988 JYE589988 KIA589988 KRW589988 LBS589988 LLO589988 LVK589988 MFG589988 MPC589988 MYY589988 NIU589988 NSQ589988 OCM589988 OMI589988 OWE589988 PGA589988 PPW589988 PZS589988 QJO589988 QTK589988 RDG589988 RNC589988 RWY589988 SGU589988 SQQ589988 TAM589988 TKI589988 TUE589988 UEA589988 UNW589988 UXS589988 VHO589988 VRK589988 WBG589988 WLC589988 WUY589988 IM655524 SI655524 ACE655524 AMA655524 AVW655524 BFS655524 BPO655524 BZK655524 CJG655524 CTC655524 DCY655524 DMU655524 DWQ655524 EGM655524 EQI655524 FAE655524 FKA655524 FTW655524 GDS655524 GNO655524 GXK655524 HHG655524 HRC655524 IAY655524 IKU655524 IUQ655524 JEM655524 JOI655524 JYE655524 KIA655524 KRW655524 LBS655524 LLO655524 LVK655524 MFG655524 MPC655524 MYY655524 NIU655524 NSQ655524 OCM655524 OMI655524 OWE655524 PGA655524 PPW655524 PZS655524 QJO655524 QTK655524 RDG655524 RNC655524 RWY655524 SGU655524 SQQ655524 TAM655524 TKI655524 TUE655524 UEA655524 UNW655524 UXS655524 VHO655524 VRK655524 WBG655524 WLC655524 WUY655524 IM721060 SI721060 ACE721060 AMA721060 AVW721060 BFS721060 BPO721060 BZK721060 CJG721060 CTC721060 DCY721060 DMU721060 DWQ721060 EGM721060 EQI721060 FAE721060 FKA721060 FTW721060 GDS721060 GNO721060 GXK721060 HHG721060 HRC721060 IAY721060 IKU721060 IUQ721060 JEM721060 JOI721060 JYE721060 KIA721060 KRW721060 LBS721060 LLO721060 LVK721060 MFG721060 MPC721060 MYY721060 NIU721060 NSQ721060 OCM721060 OMI721060 OWE721060 PGA721060 PPW721060 PZS721060 QJO721060 QTK721060 RDG721060 RNC721060 RWY721060 SGU721060 SQQ721060 TAM721060 TKI721060 TUE721060 UEA721060 UNW721060 UXS721060 VHO721060 VRK721060 WBG721060 WLC721060 WUY721060 IM786596 SI786596 ACE786596 AMA786596 AVW786596 BFS786596 BPO786596 BZK786596 CJG786596 CTC786596 DCY786596 DMU786596 DWQ786596 EGM786596 EQI786596 FAE786596 FKA786596 FTW786596 GDS786596 GNO786596 GXK786596 HHG786596 HRC786596 IAY786596 IKU786596 IUQ786596 JEM786596 JOI786596 JYE786596 KIA786596 KRW786596 LBS786596 LLO786596 LVK786596 MFG786596 MPC786596 MYY786596 NIU786596 NSQ786596 OCM786596 OMI786596 OWE786596 PGA786596 PPW786596 PZS786596 QJO786596 QTK786596 RDG786596 RNC786596 RWY786596 SGU786596 SQQ786596 TAM786596 TKI786596 TUE786596 UEA786596 UNW786596 UXS786596 VHO786596 VRK786596 WBG786596 WLC786596 WUY786596 IM852132 SI852132 ACE852132 AMA852132 AVW852132 BFS852132 BPO852132 BZK852132 CJG852132 CTC852132 DCY852132 DMU852132 DWQ852132 EGM852132 EQI852132 FAE852132 FKA852132 FTW852132 GDS852132 GNO852132 GXK852132 HHG852132 HRC852132 IAY852132 IKU852132 IUQ852132 JEM852132 JOI852132 JYE852132 KIA852132 KRW852132 LBS852132 LLO852132 LVK852132 MFG852132 MPC852132 MYY852132 NIU852132 NSQ852132 OCM852132 OMI852132 OWE852132 PGA852132 PPW852132 PZS852132 QJO852132 QTK852132 RDG852132 RNC852132 RWY852132 SGU852132 SQQ852132 TAM852132 TKI852132 TUE852132 UEA852132 UNW852132 UXS852132 VHO852132 VRK852132 WBG852132 WLC852132 WUY852132 IM917668 SI917668 ACE917668 AMA917668 AVW917668 BFS917668 BPO917668 BZK917668 CJG917668 CTC917668 DCY917668 DMU917668 DWQ917668 EGM917668 EQI917668 FAE917668 FKA917668 FTW917668 GDS917668 GNO917668 GXK917668 HHG917668 HRC917668 IAY917668 IKU917668 IUQ917668 JEM917668 JOI917668 JYE917668 KIA917668 KRW917668 LBS917668 LLO917668 LVK917668 MFG917668 MPC917668 MYY917668 NIU917668 NSQ917668 OCM917668 OMI917668 OWE917668 PGA917668 PPW917668 PZS917668 QJO917668 QTK917668 RDG917668 RNC917668 RWY917668 SGU917668 SQQ917668 TAM917668 TKI917668 TUE917668 UEA917668 UNW917668 UXS917668 VHO917668 VRK917668 WBG917668 WLC917668 WUY917668 IM983204 SI983204 ACE983204 AMA983204 AVW983204 BFS983204 BPO983204 BZK983204 CJG983204 CTC983204 DCY983204 DMU983204 DWQ983204 EGM983204 EQI983204 FAE983204 FKA983204 FTW983204 GDS983204 GNO983204 GXK983204 HHG983204 HRC983204 IAY983204 IKU983204 IUQ983204 JEM983204 JOI983204 JYE983204 KIA983204 KRW983204 LBS983204 LLO983204 LVK983204 MFG983204 MPC983204 MYY983204 NIU983204 NSQ983204 OCM983204 OMI983204 OWE983204 PGA983204 PPW983204 PZS983204 QJO983204 QTK983204 RDG983204 RNC983204 RWY983204 SGU983204 SQQ983204 TAM983204 TKI983204 TUE983204 UEA983204 UNW983204 UXS983204 VHO983204 VRK983204 WBG983204 WLC983204 WUY983204 IM174 SI174 ACE174 AMA174 AVW174 BFS174 BPO174 BZK174 CJG174 CTC174 DCY174 DMU174 DWQ174 EGM174 EQI174 FAE174 FKA174 FTW174 GDS174 GNO174 GXK174 HHG174 HRC174 IAY174 IKU174 IUQ174 JEM174 JOI174 JYE174 KIA174 KRW174 LBS174 LLO174 LVK174 MFG174 MPC174 MYY174 NIU174 NSQ174 OCM174 OMI174 OWE174 PGA174 PPW174 PZS174 QJO174 QTK174 RDG174 RNC174 RWY174 SGU174 SQQ174 TAM174 TKI174 TUE174 UEA174 UNW174 UXS174 VHO174 VRK174 WBG174 WLC174 WUY174 IM65710 SI65710 ACE65710 AMA65710 AVW65710 BFS65710 BPO65710 BZK65710 CJG65710 CTC65710 DCY65710 DMU65710 DWQ65710 EGM65710 EQI65710 FAE65710 FKA65710 FTW65710 GDS65710 GNO65710 GXK65710 HHG65710 HRC65710 IAY65710 IKU65710 IUQ65710 JEM65710 JOI65710 JYE65710 KIA65710 KRW65710 LBS65710 LLO65710 LVK65710 MFG65710 MPC65710 MYY65710 NIU65710 NSQ65710 OCM65710 OMI65710 OWE65710 PGA65710 PPW65710 PZS65710 QJO65710 QTK65710 RDG65710 RNC65710 RWY65710 SGU65710 SQQ65710 TAM65710 TKI65710 TUE65710 UEA65710 UNW65710 UXS65710 VHO65710 VRK65710 WBG65710 WLC65710 WUY65710 IM131246 SI131246 ACE131246 AMA131246 AVW131246 BFS131246 BPO131246 BZK131246 CJG131246 CTC131246 DCY131246 DMU131246 DWQ131246 EGM131246 EQI131246 FAE131246 FKA131246 FTW131246 GDS131246 GNO131246 GXK131246 HHG131246 HRC131246 IAY131246 IKU131246 IUQ131246 JEM131246 JOI131246 JYE131246 KIA131246 KRW131246 LBS131246 LLO131246 LVK131246 MFG131246 MPC131246 MYY131246 NIU131246 NSQ131246 OCM131246 OMI131246 OWE131246 PGA131246 PPW131246 PZS131246 QJO131246 QTK131246 RDG131246 RNC131246 RWY131246 SGU131246 SQQ131246 TAM131246 TKI131246 TUE131246 UEA131246 UNW131246 UXS131246 VHO131246 VRK131246 WBG131246 WLC131246 WUY131246 IM196782 SI196782 ACE196782 AMA196782 AVW196782 BFS196782 BPO196782 BZK196782 CJG196782 CTC196782 DCY196782 DMU196782 DWQ196782 EGM196782 EQI196782 FAE196782 FKA196782 FTW196782 GDS196782 GNO196782 GXK196782 HHG196782 HRC196782 IAY196782 IKU196782 IUQ196782 JEM196782 JOI196782 JYE196782 KIA196782 KRW196782 LBS196782 LLO196782 LVK196782 MFG196782 MPC196782 MYY196782 NIU196782 NSQ196782 OCM196782 OMI196782 OWE196782 PGA196782 PPW196782 PZS196782 QJO196782 QTK196782 RDG196782 RNC196782 RWY196782 SGU196782 SQQ196782 TAM196782 TKI196782 TUE196782 UEA196782 UNW196782 UXS196782 VHO196782 VRK196782 WBG196782 WLC196782 WUY196782 IM262318 SI262318 ACE262318 AMA262318 AVW262318 BFS262318 BPO262318 BZK262318 CJG262318 CTC262318 DCY262318 DMU262318 DWQ262318 EGM262318 EQI262318 FAE262318 FKA262318 FTW262318 GDS262318 GNO262318 GXK262318 HHG262318 HRC262318 IAY262318 IKU262318 IUQ262318 JEM262318 JOI262318 JYE262318 KIA262318 KRW262318 LBS262318 LLO262318 LVK262318 MFG262318 MPC262318 MYY262318 NIU262318 NSQ262318 OCM262318 OMI262318 OWE262318 PGA262318 PPW262318 PZS262318 QJO262318 QTK262318 RDG262318 RNC262318 RWY262318 SGU262318 SQQ262318 TAM262318 TKI262318 TUE262318 UEA262318 UNW262318 UXS262318 VHO262318 VRK262318 WBG262318 WLC262318 WUY262318 IM327854 SI327854 ACE327854 AMA327854 AVW327854 BFS327854 BPO327854 BZK327854 CJG327854 CTC327854 DCY327854 DMU327854 DWQ327854 EGM327854 EQI327854 FAE327854 FKA327854 FTW327854 GDS327854 GNO327854 GXK327854 HHG327854 HRC327854 IAY327854 IKU327854 IUQ327854 JEM327854 JOI327854 JYE327854 KIA327854 KRW327854 LBS327854 LLO327854 LVK327854 MFG327854 MPC327854 MYY327854 NIU327854 NSQ327854 OCM327854 OMI327854 OWE327854 PGA327854 PPW327854 PZS327854 QJO327854 QTK327854 RDG327854 RNC327854 RWY327854 SGU327854 SQQ327854 TAM327854 TKI327854 TUE327854 UEA327854 UNW327854 UXS327854 VHO327854 VRK327854 WBG327854 WLC327854 WUY327854 IM393390 SI393390 ACE393390 AMA393390 AVW393390 BFS393390 BPO393390 BZK393390 CJG393390 CTC393390 DCY393390 DMU393390 DWQ393390 EGM393390 EQI393390 FAE393390 FKA393390 FTW393390 GDS393390 GNO393390 GXK393390 HHG393390 HRC393390 IAY393390 IKU393390 IUQ393390 JEM393390 JOI393390 JYE393390 KIA393390 KRW393390 LBS393390 LLO393390 LVK393390 MFG393390 MPC393390 MYY393390 NIU393390 NSQ393390 OCM393390 OMI393390 OWE393390 PGA393390 PPW393390 PZS393390 QJO393390 QTK393390 RDG393390 RNC393390 RWY393390 SGU393390 SQQ393390 TAM393390 TKI393390 TUE393390 UEA393390 UNW393390 UXS393390 VHO393390 VRK393390 WBG393390 WLC393390 WUY393390 IM458926 SI458926 ACE458926 AMA458926 AVW458926 BFS458926 BPO458926 BZK458926 CJG458926 CTC458926 DCY458926 DMU458926 DWQ458926 EGM458926 EQI458926 FAE458926 FKA458926 FTW458926 GDS458926 GNO458926 GXK458926 HHG458926 HRC458926 IAY458926 IKU458926 IUQ458926 JEM458926 JOI458926 JYE458926 KIA458926 KRW458926 LBS458926 LLO458926 LVK458926 MFG458926 MPC458926 MYY458926 NIU458926 NSQ458926 OCM458926 OMI458926 OWE458926 PGA458926 PPW458926 PZS458926 QJO458926 QTK458926 RDG458926 RNC458926 RWY458926 SGU458926 SQQ458926 TAM458926 TKI458926 TUE458926 UEA458926 UNW458926 UXS458926 VHO458926 VRK458926 WBG458926 WLC458926 WUY458926 IM524462 SI524462 ACE524462 AMA524462 AVW524462 BFS524462 BPO524462 BZK524462 CJG524462 CTC524462 DCY524462 DMU524462 DWQ524462 EGM524462 EQI524462 FAE524462 FKA524462 FTW524462 GDS524462 GNO524462 GXK524462 HHG524462 HRC524462 IAY524462 IKU524462 IUQ524462 JEM524462 JOI524462 JYE524462 KIA524462 KRW524462 LBS524462 LLO524462 LVK524462 MFG524462 MPC524462 MYY524462 NIU524462 NSQ524462 OCM524462 OMI524462 OWE524462 PGA524462 PPW524462 PZS524462 QJO524462 QTK524462 RDG524462 RNC524462 RWY524462 SGU524462 SQQ524462 TAM524462 TKI524462 TUE524462 UEA524462 UNW524462 UXS524462 VHO524462 VRK524462 WBG524462 WLC524462 WUY524462 IM589998 SI589998 ACE589998 AMA589998 AVW589998 BFS589998 BPO589998 BZK589998 CJG589998 CTC589998 DCY589998 DMU589998 DWQ589998 EGM589998 EQI589998 FAE589998 FKA589998 FTW589998 GDS589998 GNO589998 GXK589998 HHG589998 HRC589998 IAY589998 IKU589998 IUQ589998 JEM589998 JOI589998 JYE589998 KIA589998 KRW589998 LBS589998 LLO589998 LVK589998 MFG589998 MPC589998 MYY589998 NIU589998 NSQ589998 OCM589998 OMI589998 OWE589998 PGA589998 PPW589998 PZS589998 QJO589998 QTK589998 RDG589998 RNC589998 RWY589998 SGU589998 SQQ589998 TAM589998 TKI589998 TUE589998 UEA589998 UNW589998 UXS589998 VHO589998 VRK589998 WBG589998 WLC589998 WUY589998 IM655534 SI655534 ACE655534 AMA655534 AVW655534 BFS655534 BPO655534 BZK655534 CJG655534 CTC655534 DCY655534 DMU655534 DWQ655534 EGM655534 EQI655534 FAE655534 FKA655534 FTW655534 GDS655534 GNO655534 GXK655534 HHG655534 HRC655534 IAY655534 IKU655534 IUQ655534 JEM655534 JOI655534 JYE655534 KIA655534 KRW655534 LBS655534 LLO655534 LVK655534 MFG655534 MPC655534 MYY655534 NIU655534 NSQ655534 OCM655534 OMI655534 OWE655534 PGA655534 PPW655534 PZS655534 QJO655534 QTK655534 RDG655534 RNC655534 RWY655534 SGU655534 SQQ655534 TAM655534 TKI655534 TUE655534 UEA655534 UNW655534 UXS655534 VHO655534 VRK655534 WBG655534 WLC655534 WUY655534 IM721070 SI721070 ACE721070 AMA721070 AVW721070 BFS721070 BPO721070 BZK721070 CJG721070 CTC721070 DCY721070 DMU721070 DWQ721070 EGM721070 EQI721070 FAE721070 FKA721070 FTW721070 GDS721070 GNO721070 GXK721070 HHG721070 HRC721070 IAY721070 IKU721070 IUQ721070 JEM721070 JOI721070 JYE721070 KIA721070 KRW721070 LBS721070 LLO721070 LVK721070 MFG721070 MPC721070 MYY721070 NIU721070 NSQ721070 OCM721070 OMI721070 OWE721070 PGA721070 PPW721070 PZS721070 QJO721070 QTK721070 RDG721070 RNC721070 RWY721070 SGU721070 SQQ721070 TAM721070 TKI721070 TUE721070 UEA721070 UNW721070 UXS721070 VHO721070 VRK721070 WBG721070 WLC721070 WUY721070 IM786606 SI786606 ACE786606 AMA786606 AVW786606 BFS786606 BPO786606 BZK786606 CJG786606 CTC786606 DCY786606 DMU786606 DWQ786606 EGM786606 EQI786606 FAE786606 FKA786606 FTW786606 GDS786606 GNO786606 GXK786606 HHG786606 HRC786606 IAY786606 IKU786606 IUQ786606 JEM786606 JOI786606 JYE786606 KIA786606 KRW786606 LBS786606 LLO786606 LVK786606 MFG786606 MPC786606 MYY786606 NIU786606 NSQ786606 OCM786606 OMI786606 OWE786606 PGA786606 PPW786606 PZS786606 QJO786606 QTK786606 RDG786606 RNC786606 RWY786606 SGU786606 SQQ786606 TAM786606 TKI786606 TUE786606 UEA786606 UNW786606 UXS786606 VHO786606 VRK786606 WBG786606 WLC786606 WUY786606 IM852142 SI852142 ACE852142 AMA852142 AVW852142 BFS852142 BPO852142 BZK852142 CJG852142 CTC852142 DCY852142 DMU852142 DWQ852142 EGM852142 EQI852142 FAE852142 FKA852142 FTW852142 GDS852142 GNO852142 GXK852142 HHG852142 HRC852142 IAY852142 IKU852142 IUQ852142 JEM852142 JOI852142 JYE852142 KIA852142 KRW852142 LBS852142 LLO852142 LVK852142 MFG852142 MPC852142 MYY852142 NIU852142 NSQ852142 OCM852142 OMI852142 OWE852142 PGA852142 PPW852142 PZS852142 QJO852142 QTK852142 RDG852142 RNC852142 RWY852142 SGU852142 SQQ852142 TAM852142 TKI852142 TUE852142 UEA852142 UNW852142 UXS852142 VHO852142 VRK852142 WBG852142 WLC852142 WUY852142 IM917678 SI917678 ACE917678 AMA917678 AVW917678 BFS917678 BPO917678 BZK917678 CJG917678 CTC917678 DCY917678 DMU917678 DWQ917678 EGM917678 EQI917678 FAE917678 FKA917678 FTW917678 GDS917678 GNO917678 GXK917678 HHG917678 HRC917678 IAY917678 IKU917678 IUQ917678 JEM917678 JOI917678 JYE917678 KIA917678 KRW917678 LBS917678 LLO917678 LVK917678 MFG917678 MPC917678 MYY917678 NIU917678 NSQ917678 OCM917678 OMI917678 OWE917678 PGA917678 PPW917678 PZS917678 QJO917678 QTK917678 RDG917678 RNC917678 RWY917678 SGU917678 SQQ917678 TAM917678 TKI917678 TUE917678 UEA917678 UNW917678 UXS917678 VHO917678 VRK917678 WBG917678 WLC917678 WUY917678 IM983214 SI983214 ACE983214 AMA983214 AVW983214 BFS983214 BPO983214 BZK983214 CJG983214 CTC983214 DCY983214 DMU983214 DWQ983214 EGM983214 EQI983214 FAE983214 FKA983214 FTW983214 GDS983214 GNO983214 GXK983214 HHG983214 HRC983214 IAY983214 IKU983214 IUQ983214 JEM983214 JOI983214 JYE983214 KIA983214 KRW983214 LBS983214 LLO983214 LVK983214 MFG983214 MPC983214 MYY983214 NIU983214 NSQ983214 OCM983214 OMI983214 OWE983214 PGA983214 PPW983214 PZS983214 QJO983214 QTK983214 RDG983214 RNC983214 RWY983214 SGU983214 SQQ983214 TAM983214 TKI983214 TUE983214 UEA983214 UNW983214 UXS983214 VHO983214 VRK983214 WBG983214 WLC983214 WUY983214 IM194 SI194 ACE194 AMA194 AVW194 BFS194 BPO194 BZK194 CJG194 CTC194 DCY194 DMU194 DWQ194 EGM194 EQI194 FAE194 FKA194 FTW194 GDS194 GNO194 GXK194 HHG194 HRC194 IAY194 IKU194 IUQ194 JEM194 JOI194 JYE194 KIA194 KRW194 LBS194 LLO194 LVK194 MFG194 MPC194 MYY194 NIU194 NSQ194 OCM194 OMI194 OWE194 PGA194 PPW194 PZS194 QJO194 QTK194 RDG194 RNC194 RWY194 SGU194 SQQ194 TAM194 TKI194 TUE194 UEA194 UNW194 UXS194 VHO194 VRK194 WBG194 WLC194 WUY194 IM65730 SI65730 ACE65730 AMA65730 AVW65730 BFS65730 BPO65730 BZK65730 CJG65730 CTC65730 DCY65730 DMU65730 DWQ65730 EGM65730 EQI65730 FAE65730 FKA65730 FTW65730 GDS65730 GNO65730 GXK65730 HHG65730 HRC65730 IAY65730 IKU65730 IUQ65730 JEM65730 JOI65730 JYE65730 KIA65730 KRW65730 LBS65730 LLO65730 LVK65730 MFG65730 MPC65730 MYY65730 NIU65730 NSQ65730 OCM65730 OMI65730 OWE65730 PGA65730 PPW65730 PZS65730 QJO65730 QTK65730 RDG65730 RNC65730 RWY65730 SGU65730 SQQ65730 TAM65730 TKI65730 TUE65730 UEA65730 UNW65730 UXS65730 VHO65730 VRK65730 WBG65730 WLC65730 WUY65730 IM131266 SI131266 ACE131266 AMA131266 AVW131266 BFS131266 BPO131266 BZK131266 CJG131266 CTC131266 DCY131266 DMU131266 DWQ131266 EGM131266 EQI131266 FAE131266 FKA131266 FTW131266 GDS131266 GNO131266 GXK131266 HHG131266 HRC131266 IAY131266 IKU131266 IUQ131266 JEM131266 JOI131266 JYE131266 KIA131266 KRW131266 LBS131266 LLO131266 LVK131266 MFG131266 MPC131266 MYY131266 NIU131266 NSQ131266 OCM131266 OMI131266 OWE131266 PGA131266 PPW131266 PZS131266 QJO131266 QTK131266 RDG131266 RNC131266 RWY131266 SGU131266 SQQ131266 TAM131266 TKI131266 TUE131266 UEA131266 UNW131266 UXS131266 VHO131266 VRK131266 WBG131266 WLC131266 WUY131266 IM196802 SI196802 ACE196802 AMA196802 AVW196802 BFS196802 BPO196802 BZK196802 CJG196802 CTC196802 DCY196802 DMU196802 DWQ196802 EGM196802 EQI196802 FAE196802 FKA196802 FTW196802 GDS196802 GNO196802 GXK196802 HHG196802 HRC196802 IAY196802 IKU196802 IUQ196802 JEM196802 JOI196802 JYE196802 KIA196802 KRW196802 LBS196802 LLO196802 LVK196802 MFG196802 MPC196802 MYY196802 NIU196802 NSQ196802 OCM196802 OMI196802 OWE196802 PGA196802 PPW196802 PZS196802 QJO196802 QTK196802 RDG196802 RNC196802 RWY196802 SGU196802 SQQ196802 TAM196802 TKI196802 TUE196802 UEA196802 UNW196802 UXS196802 VHO196802 VRK196802 WBG196802 WLC196802 WUY196802 IM262338 SI262338 ACE262338 AMA262338 AVW262338 BFS262338 BPO262338 BZK262338 CJG262338 CTC262338 DCY262338 DMU262338 DWQ262338 EGM262338 EQI262338 FAE262338 FKA262338 FTW262338 GDS262338 GNO262338 GXK262338 HHG262338 HRC262338 IAY262338 IKU262338 IUQ262338 JEM262338 JOI262338 JYE262338 KIA262338 KRW262338 LBS262338 LLO262338 LVK262338 MFG262338 MPC262338 MYY262338 NIU262338 NSQ262338 OCM262338 OMI262338 OWE262338 PGA262338 PPW262338 PZS262338 QJO262338 QTK262338 RDG262338 RNC262338 RWY262338 SGU262338 SQQ262338 TAM262338 TKI262338 TUE262338 UEA262338 UNW262338 UXS262338 VHO262338 VRK262338 WBG262338 WLC262338 WUY262338 IM327874 SI327874 ACE327874 AMA327874 AVW327874 BFS327874 BPO327874 BZK327874 CJG327874 CTC327874 DCY327874 DMU327874 DWQ327874 EGM327874 EQI327874 FAE327874 FKA327874 FTW327874 GDS327874 GNO327874 GXK327874 HHG327874 HRC327874 IAY327874 IKU327874 IUQ327874 JEM327874 JOI327874 JYE327874 KIA327874 KRW327874 LBS327874 LLO327874 LVK327874 MFG327874 MPC327874 MYY327874 NIU327874 NSQ327874 OCM327874 OMI327874 OWE327874 PGA327874 PPW327874 PZS327874 QJO327874 QTK327874 RDG327874 RNC327874 RWY327874 SGU327874 SQQ327874 TAM327874 TKI327874 TUE327874 UEA327874 UNW327874 UXS327874 VHO327874 VRK327874 WBG327874 WLC327874 WUY327874 IM393410 SI393410 ACE393410 AMA393410 AVW393410 BFS393410 BPO393410 BZK393410 CJG393410 CTC393410 DCY393410 DMU393410 DWQ393410 EGM393410 EQI393410 FAE393410 FKA393410 FTW393410 GDS393410 GNO393410 GXK393410 HHG393410 HRC393410 IAY393410 IKU393410 IUQ393410 JEM393410 JOI393410 JYE393410 KIA393410 KRW393410 LBS393410 LLO393410 LVK393410 MFG393410 MPC393410 MYY393410 NIU393410 NSQ393410 OCM393410 OMI393410 OWE393410 PGA393410 PPW393410 PZS393410 QJO393410 QTK393410 RDG393410 RNC393410 RWY393410 SGU393410 SQQ393410 TAM393410 TKI393410 TUE393410 UEA393410 UNW393410 UXS393410 VHO393410 VRK393410 WBG393410 WLC393410 WUY393410 IM458946 SI458946 ACE458946 AMA458946 AVW458946 BFS458946 BPO458946 BZK458946 CJG458946 CTC458946 DCY458946 DMU458946 DWQ458946 EGM458946 EQI458946 FAE458946 FKA458946 FTW458946 GDS458946 GNO458946 GXK458946 HHG458946 HRC458946 IAY458946 IKU458946 IUQ458946 JEM458946 JOI458946 JYE458946 KIA458946 KRW458946 LBS458946 LLO458946 LVK458946 MFG458946 MPC458946 MYY458946 NIU458946 NSQ458946 OCM458946 OMI458946 OWE458946 PGA458946 PPW458946 PZS458946 QJO458946 QTK458946 RDG458946 RNC458946 RWY458946 SGU458946 SQQ458946 TAM458946 TKI458946 TUE458946 UEA458946 UNW458946 UXS458946 VHO458946 VRK458946 WBG458946 WLC458946 WUY458946 IM524482 SI524482 ACE524482 AMA524482 AVW524482 BFS524482 BPO524482 BZK524482 CJG524482 CTC524482 DCY524482 DMU524482 DWQ524482 EGM524482 EQI524482 FAE524482 FKA524482 FTW524482 GDS524482 GNO524482 GXK524482 HHG524482 HRC524482 IAY524482 IKU524482 IUQ524482 JEM524482 JOI524482 JYE524482 KIA524482 KRW524482 LBS524482 LLO524482 LVK524482 MFG524482 MPC524482 MYY524482 NIU524482 NSQ524482 OCM524482 OMI524482 OWE524482 PGA524482 PPW524482 PZS524482 QJO524482 QTK524482 RDG524482 RNC524482 RWY524482 SGU524482 SQQ524482 TAM524482 TKI524482 TUE524482 UEA524482 UNW524482 UXS524482 VHO524482 VRK524482 WBG524482 WLC524482 WUY524482 IM590018 SI590018 ACE590018 AMA590018 AVW590018 BFS590018 BPO590018 BZK590018 CJG590018 CTC590018 DCY590018 DMU590018 DWQ590018 EGM590018 EQI590018 FAE590018 FKA590018 FTW590018 GDS590018 GNO590018 GXK590018 HHG590018 HRC590018 IAY590018 IKU590018 IUQ590018 JEM590018 JOI590018 JYE590018 KIA590018 KRW590018 LBS590018 LLO590018 LVK590018 MFG590018 MPC590018 MYY590018 NIU590018 NSQ590018 OCM590018 OMI590018 OWE590018 PGA590018 PPW590018 PZS590018 QJO590018 QTK590018 RDG590018 RNC590018 RWY590018 SGU590018 SQQ590018 TAM590018 TKI590018 TUE590018 UEA590018 UNW590018 UXS590018 VHO590018 VRK590018 WBG590018 WLC590018 WUY590018 IM655554 SI655554 ACE655554 AMA655554 AVW655554 BFS655554 BPO655554 BZK655554 CJG655554 CTC655554 DCY655554 DMU655554 DWQ655554 EGM655554 EQI655554 FAE655554 FKA655554 FTW655554 GDS655554 GNO655554 GXK655554 HHG655554 HRC655554 IAY655554 IKU655554 IUQ655554 JEM655554 JOI655554 JYE655554 KIA655554 KRW655554 LBS655554 LLO655554 LVK655554 MFG655554 MPC655554 MYY655554 NIU655554 NSQ655554 OCM655554 OMI655554 OWE655554 PGA655554 PPW655554 PZS655554 QJO655554 QTK655554 RDG655554 RNC655554 RWY655554 SGU655554 SQQ655554 TAM655554 TKI655554 TUE655554 UEA655554 UNW655554 UXS655554 VHO655554 VRK655554 WBG655554 WLC655554 WUY655554 IM721090 SI721090 ACE721090 AMA721090 AVW721090 BFS721090 BPO721090 BZK721090 CJG721090 CTC721090 DCY721090 DMU721090 DWQ721090 EGM721090 EQI721090 FAE721090 FKA721090 FTW721090 GDS721090 GNO721090 GXK721090 HHG721090 HRC721090 IAY721090 IKU721090 IUQ721090 JEM721090 JOI721090 JYE721090 KIA721090 KRW721090 LBS721090 LLO721090 LVK721090 MFG721090 MPC721090 MYY721090 NIU721090 NSQ721090 OCM721090 OMI721090 OWE721090 PGA721090 PPW721090 PZS721090 QJO721090 QTK721090 RDG721090 RNC721090 RWY721090 SGU721090 SQQ721090 TAM721090 TKI721090 TUE721090 UEA721090 UNW721090 UXS721090 VHO721090 VRK721090 WBG721090 WLC721090 WUY721090 IM786626 SI786626 ACE786626 AMA786626 AVW786626 BFS786626 BPO786626 BZK786626 CJG786626 CTC786626 DCY786626 DMU786626 DWQ786626 EGM786626 EQI786626 FAE786626 FKA786626 FTW786626 GDS786626 GNO786626 GXK786626 HHG786626 HRC786626 IAY786626 IKU786626 IUQ786626 JEM786626 JOI786626 JYE786626 KIA786626 KRW786626 LBS786626 LLO786626 LVK786626 MFG786626 MPC786626 MYY786626 NIU786626 NSQ786626 OCM786626 OMI786626 OWE786626 PGA786626 PPW786626 PZS786626 QJO786626 QTK786626 RDG786626 RNC786626 RWY786626 SGU786626 SQQ786626 TAM786626 TKI786626 TUE786626 UEA786626 UNW786626 UXS786626 VHO786626 VRK786626 WBG786626 WLC786626 WUY786626 IM852162 SI852162 ACE852162 AMA852162 AVW852162 BFS852162 BPO852162 BZK852162 CJG852162 CTC852162 DCY852162 DMU852162 DWQ852162 EGM852162 EQI852162 FAE852162 FKA852162 FTW852162 GDS852162 GNO852162 GXK852162 HHG852162 HRC852162 IAY852162 IKU852162 IUQ852162 JEM852162 JOI852162 JYE852162 KIA852162 KRW852162 LBS852162 LLO852162 LVK852162 MFG852162 MPC852162 MYY852162 NIU852162 NSQ852162 OCM852162 OMI852162 OWE852162 PGA852162 PPW852162 PZS852162 QJO852162 QTK852162 RDG852162 RNC852162 RWY852162 SGU852162 SQQ852162 TAM852162 TKI852162 TUE852162 UEA852162 UNW852162 UXS852162 VHO852162 VRK852162 WBG852162 WLC852162 WUY852162 IM917698 SI917698 ACE917698 AMA917698 AVW917698 BFS917698 BPO917698 BZK917698 CJG917698 CTC917698 DCY917698 DMU917698 DWQ917698 EGM917698 EQI917698 FAE917698 FKA917698 FTW917698 GDS917698 GNO917698 GXK917698 HHG917698 HRC917698 IAY917698 IKU917698 IUQ917698 JEM917698 JOI917698 JYE917698 KIA917698 KRW917698 LBS917698 LLO917698 LVK917698 MFG917698 MPC917698 MYY917698 NIU917698 NSQ917698 OCM917698 OMI917698 OWE917698 PGA917698 PPW917698 PZS917698 QJO917698 QTK917698 RDG917698 RNC917698 RWY917698 SGU917698 SQQ917698 TAM917698 TKI917698 TUE917698 UEA917698 UNW917698 UXS917698 VHO917698 VRK917698 WBG917698 WLC917698 WUY917698 IM983234 SI983234 ACE983234 AMA983234 AVW983234 BFS983234 BPO983234 BZK983234 CJG983234 CTC983234 DCY983234 DMU983234 DWQ983234 EGM983234 EQI983234 FAE983234 FKA983234 FTW983234 GDS983234 GNO983234 GXK983234 HHG983234 HRC983234 IAY983234 IKU983234 IUQ983234 JEM983234 JOI983234 JYE983234 KIA983234 KRW983234 LBS983234 LLO983234 LVK983234 MFG983234 MPC983234 MYY983234 NIU983234 NSQ983234 OCM983234 OMI983234 OWE983234 PGA983234 PPW983234 PZS983234 QJO983234 QTK983234 RDG983234 RNC983234 RWY983234 SGU983234 SQQ983234 TAM983234 TKI983234 TUE983234 UEA983234 UNW983234 UXS983234 VHO983234 VRK983234 WBG983234 WLC983234 WUY983234 E983234 E917698 E852162 E786626 E721090 E655554 E590018 E524482 E458946 E393410 E327874 E262338 E196802 E131266 E65730 E983104 E983214 E917678 E852142 E786606 E721070 E655534 E589998 E524462 E458926 E393390 E327854 E262318 E196782 E131246 E65710 E917568 E983204 E917668 E852132 E786596 E721060 E655524 E589988 E524452 E458916 E393380 E327844 E262308 E196772 E131236 E65700 E852032 E983194 E917658 E852122 E786586 E721050 E655514 E589978 E524442 E458906 E393370 E327834 E262298 E196762 E131226 E65690 E786496 E983184 E917648 E852112 E786576 E721040 E655504 E589968 E524432 E458896 E393360 E327824 E262288 E196752 E131216 E65680 E720960 E983174 E917638 E852102 E786566 E721030 E655494 E589958 E524422 E458886 E393350 E327814 E262278 E196742 E131206 E65670 E655424 E983164 E917628 E852092 E786556 E721020 E655484 E589948 E524412 E458876 E393340 E327804 E262268 E196732 E131196 E65660 E589888 E983154 E917618 E852082 E786546 E721010 E655474 E589938 E524402 E458866 E393330 E327794 E262258 E196722 E131186 E65650 E524352 E983144 E917608 E852072 E786536 E721000 E655464 E589928 E524392 E458856 E393320 E327784 E262248 E196712 E131176 E65640 E458816 E983084 E917548 E852012 E786476 E720940 E655404 E589868 E524332 E458796 E393260 E327724 E262188 E196652 E131116 E65580 E393280 E983134 E917598 E852062 E786526 E720990 E655454 E589918 E524382 E458846 E393310 E327774 E262238 E196702 E131166 E65630 E327744 E983124 E917588 E852052 E786516 E720980 E655444 E589908 E524372 E458836 E393300 E327764 E262228 E196692 E131156 E65620 E262208 E983114 E917578 E852042 E786506 E720970 E655434 E589898 E524362 E458826 E393290 E327754 E262218 E196682 E131146 E65610 E196672 E983094 E917558 E852022 E786486 E720950 E655414 E589878 E524342 E458806 E393270 E327734 E262198 E196662 E131126 E65590 E131136 E983224 E917688 E852152 E786616 E721080 E655544 E590008 E524472 E458936 E393400 E327864 E262328 E196792 E131256 E65720 E65600 E194 E174 E164 E154 E144 E134 E124 E114 E104 E44 E94 E84 E74 E54 E184 E64 E334 E324 E314 E304 E294 E284 E274 E264 E204 E254 E244 E234 E214 E224</xm:sqref>
        </x14:dataValidation>
        <x14:dataValidation type="list" allowBlank="1" showInputMessage="1" showErrorMessage="1">
          <x14:formula1>
            <xm:f>TMDTechnology</xm:f>
          </x14:formula1>
          <xm:sqref>IN66 SJ66 ACF66 AMB66 AVX66 BFT66 BPP66 BZL66 CJH66 CTD66 DCZ66 DMV66 DWR66 EGN66 EQJ66 FAF66 FKB66 FTX66 GDT66 GNP66 GXL66 HHH66 HRD66 IAZ66 IKV66 IUR66 JEN66 JOJ66 JYF66 KIB66 KRX66 LBT66 LLP66 LVL66 MFH66 MPD66 MYZ66 NIV66 NSR66 OCN66 OMJ66 OWF66 PGB66 PPX66 PZT66 QJP66 QTL66 RDH66 RND66 RWZ66 SGV66 SQR66 TAN66 TKJ66 TUF66 UEB66 UNX66 UXT66 VHP66 VRL66 WBH66 WLD66 WUZ66 IN65602 SJ65602 ACF65602 AMB65602 AVX65602 BFT65602 BPP65602 BZL65602 CJH65602 CTD65602 DCZ65602 DMV65602 DWR65602 EGN65602 EQJ65602 FAF65602 FKB65602 FTX65602 GDT65602 GNP65602 GXL65602 HHH65602 HRD65602 IAZ65602 IKV65602 IUR65602 JEN65602 JOJ65602 JYF65602 KIB65602 KRX65602 LBT65602 LLP65602 LVL65602 MFH65602 MPD65602 MYZ65602 NIV65602 NSR65602 OCN65602 OMJ65602 OWF65602 PGB65602 PPX65602 PZT65602 QJP65602 QTL65602 RDH65602 RND65602 RWZ65602 SGV65602 SQR65602 TAN65602 TKJ65602 TUF65602 UEB65602 UNX65602 UXT65602 VHP65602 VRL65602 WBH65602 WLD65602 WUZ65602 IN131138 SJ131138 ACF131138 AMB131138 AVX131138 BFT131138 BPP131138 BZL131138 CJH131138 CTD131138 DCZ131138 DMV131138 DWR131138 EGN131138 EQJ131138 FAF131138 FKB131138 FTX131138 GDT131138 GNP131138 GXL131138 HHH131138 HRD131138 IAZ131138 IKV131138 IUR131138 JEN131138 JOJ131138 JYF131138 KIB131138 KRX131138 LBT131138 LLP131138 LVL131138 MFH131138 MPD131138 MYZ131138 NIV131138 NSR131138 OCN131138 OMJ131138 OWF131138 PGB131138 PPX131138 PZT131138 QJP131138 QTL131138 RDH131138 RND131138 RWZ131138 SGV131138 SQR131138 TAN131138 TKJ131138 TUF131138 UEB131138 UNX131138 UXT131138 VHP131138 VRL131138 WBH131138 WLD131138 WUZ131138 IN196674 SJ196674 ACF196674 AMB196674 AVX196674 BFT196674 BPP196674 BZL196674 CJH196674 CTD196674 DCZ196674 DMV196674 DWR196674 EGN196674 EQJ196674 FAF196674 FKB196674 FTX196674 GDT196674 GNP196674 GXL196674 HHH196674 HRD196674 IAZ196674 IKV196674 IUR196674 JEN196674 JOJ196674 JYF196674 KIB196674 KRX196674 LBT196674 LLP196674 LVL196674 MFH196674 MPD196674 MYZ196674 NIV196674 NSR196674 OCN196674 OMJ196674 OWF196674 PGB196674 PPX196674 PZT196674 QJP196674 QTL196674 RDH196674 RND196674 RWZ196674 SGV196674 SQR196674 TAN196674 TKJ196674 TUF196674 UEB196674 UNX196674 UXT196674 VHP196674 VRL196674 WBH196674 WLD196674 WUZ196674 IN262210 SJ262210 ACF262210 AMB262210 AVX262210 BFT262210 BPP262210 BZL262210 CJH262210 CTD262210 DCZ262210 DMV262210 DWR262210 EGN262210 EQJ262210 FAF262210 FKB262210 FTX262210 GDT262210 GNP262210 GXL262210 HHH262210 HRD262210 IAZ262210 IKV262210 IUR262210 JEN262210 JOJ262210 JYF262210 KIB262210 KRX262210 LBT262210 LLP262210 LVL262210 MFH262210 MPD262210 MYZ262210 NIV262210 NSR262210 OCN262210 OMJ262210 OWF262210 PGB262210 PPX262210 PZT262210 QJP262210 QTL262210 RDH262210 RND262210 RWZ262210 SGV262210 SQR262210 TAN262210 TKJ262210 TUF262210 UEB262210 UNX262210 UXT262210 VHP262210 VRL262210 WBH262210 WLD262210 WUZ262210 IN327746 SJ327746 ACF327746 AMB327746 AVX327746 BFT327746 BPP327746 BZL327746 CJH327746 CTD327746 DCZ327746 DMV327746 DWR327746 EGN327746 EQJ327746 FAF327746 FKB327746 FTX327746 GDT327746 GNP327746 GXL327746 HHH327746 HRD327746 IAZ327746 IKV327746 IUR327746 JEN327746 JOJ327746 JYF327746 KIB327746 KRX327746 LBT327746 LLP327746 LVL327746 MFH327746 MPD327746 MYZ327746 NIV327746 NSR327746 OCN327746 OMJ327746 OWF327746 PGB327746 PPX327746 PZT327746 QJP327746 QTL327746 RDH327746 RND327746 RWZ327746 SGV327746 SQR327746 TAN327746 TKJ327746 TUF327746 UEB327746 UNX327746 UXT327746 VHP327746 VRL327746 WBH327746 WLD327746 WUZ327746 IN393282 SJ393282 ACF393282 AMB393282 AVX393282 BFT393282 BPP393282 BZL393282 CJH393282 CTD393282 DCZ393282 DMV393282 DWR393282 EGN393282 EQJ393282 FAF393282 FKB393282 FTX393282 GDT393282 GNP393282 GXL393282 HHH393282 HRD393282 IAZ393282 IKV393282 IUR393282 JEN393282 JOJ393282 JYF393282 KIB393282 KRX393282 LBT393282 LLP393282 LVL393282 MFH393282 MPD393282 MYZ393282 NIV393282 NSR393282 OCN393282 OMJ393282 OWF393282 PGB393282 PPX393282 PZT393282 QJP393282 QTL393282 RDH393282 RND393282 RWZ393282 SGV393282 SQR393282 TAN393282 TKJ393282 TUF393282 UEB393282 UNX393282 UXT393282 VHP393282 VRL393282 WBH393282 WLD393282 WUZ393282 IN458818 SJ458818 ACF458818 AMB458818 AVX458818 BFT458818 BPP458818 BZL458818 CJH458818 CTD458818 DCZ458818 DMV458818 DWR458818 EGN458818 EQJ458818 FAF458818 FKB458818 FTX458818 GDT458818 GNP458818 GXL458818 HHH458818 HRD458818 IAZ458818 IKV458818 IUR458818 JEN458818 JOJ458818 JYF458818 KIB458818 KRX458818 LBT458818 LLP458818 LVL458818 MFH458818 MPD458818 MYZ458818 NIV458818 NSR458818 OCN458818 OMJ458818 OWF458818 PGB458818 PPX458818 PZT458818 QJP458818 QTL458818 RDH458818 RND458818 RWZ458818 SGV458818 SQR458818 TAN458818 TKJ458818 TUF458818 UEB458818 UNX458818 UXT458818 VHP458818 VRL458818 WBH458818 WLD458818 WUZ458818 IN524354 SJ524354 ACF524354 AMB524354 AVX524354 BFT524354 BPP524354 BZL524354 CJH524354 CTD524354 DCZ524354 DMV524354 DWR524354 EGN524354 EQJ524354 FAF524354 FKB524354 FTX524354 GDT524354 GNP524354 GXL524354 HHH524354 HRD524354 IAZ524354 IKV524354 IUR524354 JEN524354 JOJ524354 JYF524354 KIB524354 KRX524354 LBT524354 LLP524354 LVL524354 MFH524354 MPD524354 MYZ524354 NIV524354 NSR524354 OCN524354 OMJ524354 OWF524354 PGB524354 PPX524354 PZT524354 QJP524354 QTL524354 RDH524354 RND524354 RWZ524354 SGV524354 SQR524354 TAN524354 TKJ524354 TUF524354 UEB524354 UNX524354 UXT524354 VHP524354 VRL524354 WBH524354 WLD524354 WUZ524354 IN589890 SJ589890 ACF589890 AMB589890 AVX589890 BFT589890 BPP589890 BZL589890 CJH589890 CTD589890 DCZ589890 DMV589890 DWR589890 EGN589890 EQJ589890 FAF589890 FKB589890 FTX589890 GDT589890 GNP589890 GXL589890 HHH589890 HRD589890 IAZ589890 IKV589890 IUR589890 JEN589890 JOJ589890 JYF589890 KIB589890 KRX589890 LBT589890 LLP589890 LVL589890 MFH589890 MPD589890 MYZ589890 NIV589890 NSR589890 OCN589890 OMJ589890 OWF589890 PGB589890 PPX589890 PZT589890 QJP589890 QTL589890 RDH589890 RND589890 RWZ589890 SGV589890 SQR589890 TAN589890 TKJ589890 TUF589890 UEB589890 UNX589890 UXT589890 VHP589890 VRL589890 WBH589890 WLD589890 WUZ589890 IN655426 SJ655426 ACF655426 AMB655426 AVX655426 BFT655426 BPP655426 BZL655426 CJH655426 CTD655426 DCZ655426 DMV655426 DWR655426 EGN655426 EQJ655426 FAF655426 FKB655426 FTX655426 GDT655426 GNP655426 GXL655426 HHH655426 HRD655426 IAZ655426 IKV655426 IUR655426 JEN655426 JOJ655426 JYF655426 KIB655426 KRX655426 LBT655426 LLP655426 LVL655426 MFH655426 MPD655426 MYZ655426 NIV655426 NSR655426 OCN655426 OMJ655426 OWF655426 PGB655426 PPX655426 PZT655426 QJP655426 QTL655426 RDH655426 RND655426 RWZ655426 SGV655426 SQR655426 TAN655426 TKJ655426 TUF655426 UEB655426 UNX655426 UXT655426 VHP655426 VRL655426 WBH655426 WLD655426 WUZ655426 IN720962 SJ720962 ACF720962 AMB720962 AVX720962 BFT720962 BPP720962 BZL720962 CJH720962 CTD720962 DCZ720962 DMV720962 DWR720962 EGN720962 EQJ720962 FAF720962 FKB720962 FTX720962 GDT720962 GNP720962 GXL720962 HHH720962 HRD720962 IAZ720962 IKV720962 IUR720962 JEN720962 JOJ720962 JYF720962 KIB720962 KRX720962 LBT720962 LLP720962 LVL720962 MFH720962 MPD720962 MYZ720962 NIV720962 NSR720962 OCN720962 OMJ720962 OWF720962 PGB720962 PPX720962 PZT720962 QJP720962 QTL720962 RDH720962 RND720962 RWZ720962 SGV720962 SQR720962 TAN720962 TKJ720962 TUF720962 UEB720962 UNX720962 UXT720962 VHP720962 VRL720962 WBH720962 WLD720962 WUZ720962 IN786498 SJ786498 ACF786498 AMB786498 AVX786498 BFT786498 BPP786498 BZL786498 CJH786498 CTD786498 DCZ786498 DMV786498 DWR786498 EGN786498 EQJ786498 FAF786498 FKB786498 FTX786498 GDT786498 GNP786498 GXL786498 HHH786498 HRD786498 IAZ786498 IKV786498 IUR786498 JEN786498 JOJ786498 JYF786498 KIB786498 KRX786498 LBT786498 LLP786498 LVL786498 MFH786498 MPD786498 MYZ786498 NIV786498 NSR786498 OCN786498 OMJ786498 OWF786498 PGB786498 PPX786498 PZT786498 QJP786498 QTL786498 RDH786498 RND786498 RWZ786498 SGV786498 SQR786498 TAN786498 TKJ786498 TUF786498 UEB786498 UNX786498 UXT786498 VHP786498 VRL786498 WBH786498 WLD786498 WUZ786498 IN852034 SJ852034 ACF852034 AMB852034 AVX852034 BFT852034 BPP852034 BZL852034 CJH852034 CTD852034 DCZ852034 DMV852034 DWR852034 EGN852034 EQJ852034 FAF852034 FKB852034 FTX852034 GDT852034 GNP852034 GXL852034 HHH852034 HRD852034 IAZ852034 IKV852034 IUR852034 JEN852034 JOJ852034 JYF852034 KIB852034 KRX852034 LBT852034 LLP852034 LVL852034 MFH852034 MPD852034 MYZ852034 NIV852034 NSR852034 OCN852034 OMJ852034 OWF852034 PGB852034 PPX852034 PZT852034 QJP852034 QTL852034 RDH852034 RND852034 RWZ852034 SGV852034 SQR852034 TAN852034 TKJ852034 TUF852034 UEB852034 UNX852034 UXT852034 VHP852034 VRL852034 WBH852034 WLD852034 WUZ852034 IN917570 SJ917570 ACF917570 AMB917570 AVX917570 BFT917570 BPP917570 BZL917570 CJH917570 CTD917570 DCZ917570 DMV917570 DWR917570 EGN917570 EQJ917570 FAF917570 FKB917570 FTX917570 GDT917570 GNP917570 GXL917570 HHH917570 HRD917570 IAZ917570 IKV917570 IUR917570 JEN917570 JOJ917570 JYF917570 KIB917570 KRX917570 LBT917570 LLP917570 LVL917570 MFH917570 MPD917570 MYZ917570 NIV917570 NSR917570 OCN917570 OMJ917570 OWF917570 PGB917570 PPX917570 PZT917570 QJP917570 QTL917570 RDH917570 RND917570 RWZ917570 SGV917570 SQR917570 TAN917570 TKJ917570 TUF917570 UEB917570 UNX917570 UXT917570 VHP917570 VRL917570 WBH917570 WLD917570 WUZ917570 IN983106 SJ983106 ACF983106 AMB983106 AVX983106 BFT983106 BPP983106 BZL983106 CJH983106 CTD983106 DCZ983106 DMV983106 DWR983106 EGN983106 EQJ983106 FAF983106 FKB983106 FTX983106 GDT983106 GNP983106 GXL983106 HHH983106 HRD983106 IAZ983106 IKV983106 IUR983106 JEN983106 JOJ983106 JYF983106 KIB983106 KRX983106 LBT983106 LLP983106 LVL983106 MFH983106 MPD983106 MYZ983106 NIV983106 NSR983106 OCN983106 OMJ983106 OWF983106 PGB983106 PPX983106 PZT983106 QJP983106 QTL983106 RDH983106 RND983106 RWZ983106 SGV983106 SQR983106 TAN983106 TKJ983106 TUF983106 UEB983106 UNX983106 UXT983106 VHP983106 VRL983106 WBH983106 WLD983106 WUZ983106 IN96 SJ96 ACF96 AMB96 AVX96 BFT96 BPP96 BZL96 CJH96 CTD96 DCZ96 DMV96 DWR96 EGN96 EQJ96 FAF96 FKB96 FTX96 GDT96 GNP96 GXL96 HHH96 HRD96 IAZ96 IKV96 IUR96 JEN96 JOJ96 JYF96 KIB96 KRX96 LBT96 LLP96 LVL96 MFH96 MPD96 MYZ96 NIV96 NSR96 OCN96 OMJ96 OWF96 PGB96 PPX96 PZT96 QJP96 QTL96 RDH96 RND96 RWZ96 SGV96 SQR96 TAN96 TKJ96 TUF96 UEB96 UNX96 UXT96 VHP96 VRL96 WBH96 WLD96 WUZ96 IN65632 SJ65632 ACF65632 AMB65632 AVX65632 BFT65632 BPP65632 BZL65632 CJH65632 CTD65632 DCZ65632 DMV65632 DWR65632 EGN65632 EQJ65632 FAF65632 FKB65632 FTX65632 GDT65632 GNP65632 GXL65632 HHH65632 HRD65632 IAZ65632 IKV65632 IUR65632 JEN65632 JOJ65632 JYF65632 KIB65632 KRX65632 LBT65632 LLP65632 LVL65632 MFH65632 MPD65632 MYZ65632 NIV65632 NSR65632 OCN65632 OMJ65632 OWF65632 PGB65632 PPX65632 PZT65632 QJP65632 QTL65632 RDH65632 RND65632 RWZ65632 SGV65632 SQR65632 TAN65632 TKJ65632 TUF65632 UEB65632 UNX65632 UXT65632 VHP65632 VRL65632 WBH65632 WLD65632 WUZ65632 IN131168 SJ131168 ACF131168 AMB131168 AVX131168 BFT131168 BPP131168 BZL131168 CJH131168 CTD131168 DCZ131168 DMV131168 DWR131168 EGN131168 EQJ131168 FAF131168 FKB131168 FTX131168 GDT131168 GNP131168 GXL131168 HHH131168 HRD131168 IAZ131168 IKV131168 IUR131168 JEN131168 JOJ131168 JYF131168 KIB131168 KRX131168 LBT131168 LLP131168 LVL131168 MFH131168 MPD131168 MYZ131168 NIV131168 NSR131168 OCN131168 OMJ131168 OWF131168 PGB131168 PPX131168 PZT131168 QJP131168 QTL131168 RDH131168 RND131168 RWZ131168 SGV131168 SQR131168 TAN131168 TKJ131168 TUF131168 UEB131168 UNX131168 UXT131168 VHP131168 VRL131168 WBH131168 WLD131168 WUZ131168 IN196704 SJ196704 ACF196704 AMB196704 AVX196704 BFT196704 BPP196704 BZL196704 CJH196704 CTD196704 DCZ196704 DMV196704 DWR196704 EGN196704 EQJ196704 FAF196704 FKB196704 FTX196704 GDT196704 GNP196704 GXL196704 HHH196704 HRD196704 IAZ196704 IKV196704 IUR196704 JEN196704 JOJ196704 JYF196704 KIB196704 KRX196704 LBT196704 LLP196704 LVL196704 MFH196704 MPD196704 MYZ196704 NIV196704 NSR196704 OCN196704 OMJ196704 OWF196704 PGB196704 PPX196704 PZT196704 QJP196704 QTL196704 RDH196704 RND196704 RWZ196704 SGV196704 SQR196704 TAN196704 TKJ196704 TUF196704 UEB196704 UNX196704 UXT196704 VHP196704 VRL196704 WBH196704 WLD196704 WUZ196704 IN262240 SJ262240 ACF262240 AMB262240 AVX262240 BFT262240 BPP262240 BZL262240 CJH262240 CTD262240 DCZ262240 DMV262240 DWR262240 EGN262240 EQJ262240 FAF262240 FKB262240 FTX262240 GDT262240 GNP262240 GXL262240 HHH262240 HRD262240 IAZ262240 IKV262240 IUR262240 JEN262240 JOJ262240 JYF262240 KIB262240 KRX262240 LBT262240 LLP262240 LVL262240 MFH262240 MPD262240 MYZ262240 NIV262240 NSR262240 OCN262240 OMJ262240 OWF262240 PGB262240 PPX262240 PZT262240 QJP262240 QTL262240 RDH262240 RND262240 RWZ262240 SGV262240 SQR262240 TAN262240 TKJ262240 TUF262240 UEB262240 UNX262240 UXT262240 VHP262240 VRL262240 WBH262240 WLD262240 WUZ262240 IN327776 SJ327776 ACF327776 AMB327776 AVX327776 BFT327776 BPP327776 BZL327776 CJH327776 CTD327776 DCZ327776 DMV327776 DWR327776 EGN327776 EQJ327776 FAF327776 FKB327776 FTX327776 GDT327776 GNP327776 GXL327776 HHH327776 HRD327776 IAZ327776 IKV327776 IUR327776 JEN327776 JOJ327776 JYF327776 KIB327776 KRX327776 LBT327776 LLP327776 LVL327776 MFH327776 MPD327776 MYZ327776 NIV327776 NSR327776 OCN327776 OMJ327776 OWF327776 PGB327776 PPX327776 PZT327776 QJP327776 QTL327776 RDH327776 RND327776 RWZ327776 SGV327776 SQR327776 TAN327776 TKJ327776 TUF327776 UEB327776 UNX327776 UXT327776 VHP327776 VRL327776 WBH327776 WLD327776 WUZ327776 IN393312 SJ393312 ACF393312 AMB393312 AVX393312 BFT393312 BPP393312 BZL393312 CJH393312 CTD393312 DCZ393312 DMV393312 DWR393312 EGN393312 EQJ393312 FAF393312 FKB393312 FTX393312 GDT393312 GNP393312 GXL393312 HHH393312 HRD393312 IAZ393312 IKV393312 IUR393312 JEN393312 JOJ393312 JYF393312 KIB393312 KRX393312 LBT393312 LLP393312 LVL393312 MFH393312 MPD393312 MYZ393312 NIV393312 NSR393312 OCN393312 OMJ393312 OWF393312 PGB393312 PPX393312 PZT393312 QJP393312 QTL393312 RDH393312 RND393312 RWZ393312 SGV393312 SQR393312 TAN393312 TKJ393312 TUF393312 UEB393312 UNX393312 UXT393312 VHP393312 VRL393312 WBH393312 WLD393312 WUZ393312 IN458848 SJ458848 ACF458848 AMB458848 AVX458848 BFT458848 BPP458848 BZL458848 CJH458848 CTD458848 DCZ458848 DMV458848 DWR458848 EGN458848 EQJ458848 FAF458848 FKB458848 FTX458848 GDT458848 GNP458848 GXL458848 HHH458848 HRD458848 IAZ458848 IKV458848 IUR458848 JEN458848 JOJ458848 JYF458848 KIB458848 KRX458848 LBT458848 LLP458848 LVL458848 MFH458848 MPD458848 MYZ458848 NIV458848 NSR458848 OCN458848 OMJ458848 OWF458848 PGB458848 PPX458848 PZT458848 QJP458848 QTL458848 RDH458848 RND458848 RWZ458848 SGV458848 SQR458848 TAN458848 TKJ458848 TUF458848 UEB458848 UNX458848 UXT458848 VHP458848 VRL458848 WBH458848 WLD458848 WUZ458848 IN524384 SJ524384 ACF524384 AMB524384 AVX524384 BFT524384 BPP524384 BZL524384 CJH524384 CTD524384 DCZ524384 DMV524384 DWR524384 EGN524384 EQJ524384 FAF524384 FKB524384 FTX524384 GDT524384 GNP524384 GXL524384 HHH524384 HRD524384 IAZ524384 IKV524384 IUR524384 JEN524384 JOJ524384 JYF524384 KIB524384 KRX524384 LBT524384 LLP524384 LVL524384 MFH524384 MPD524384 MYZ524384 NIV524384 NSR524384 OCN524384 OMJ524384 OWF524384 PGB524384 PPX524384 PZT524384 QJP524384 QTL524384 RDH524384 RND524384 RWZ524384 SGV524384 SQR524384 TAN524384 TKJ524384 TUF524384 UEB524384 UNX524384 UXT524384 VHP524384 VRL524384 WBH524384 WLD524384 WUZ524384 IN589920 SJ589920 ACF589920 AMB589920 AVX589920 BFT589920 BPP589920 BZL589920 CJH589920 CTD589920 DCZ589920 DMV589920 DWR589920 EGN589920 EQJ589920 FAF589920 FKB589920 FTX589920 GDT589920 GNP589920 GXL589920 HHH589920 HRD589920 IAZ589920 IKV589920 IUR589920 JEN589920 JOJ589920 JYF589920 KIB589920 KRX589920 LBT589920 LLP589920 LVL589920 MFH589920 MPD589920 MYZ589920 NIV589920 NSR589920 OCN589920 OMJ589920 OWF589920 PGB589920 PPX589920 PZT589920 QJP589920 QTL589920 RDH589920 RND589920 RWZ589920 SGV589920 SQR589920 TAN589920 TKJ589920 TUF589920 UEB589920 UNX589920 UXT589920 VHP589920 VRL589920 WBH589920 WLD589920 WUZ589920 IN655456 SJ655456 ACF655456 AMB655456 AVX655456 BFT655456 BPP655456 BZL655456 CJH655456 CTD655456 DCZ655456 DMV655456 DWR655456 EGN655456 EQJ655456 FAF655456 FKB655456 FTX655456 GDT655456 GNP655456 GXL655456 HHH655456 HRD655456 IAZ655456 IKV655456 IUR655456 JEN655456 JOJ655456 JYF655456 KIB655456 KRX655456 LBT655456 LLP655456 LVL655456 MFH655456 MPD655456 MYZ655456 NIV655456 NSR655456 OCN655456 OMJ655456 OWF655456 PGB655456 PPX655456 PZT655456 QJP655456 QTL655456 RDH655456 RND655456 RWZ655456 SGV655456 SQR655456 TAN655456 TKJ655456 TUF655456 UEB655456 UNX655456 UXT655456 VHP655456 VRL655456 WBH655456 WLD655456 WUZ655456 IN720992 SJ720992 ACF720992 AMB720992 AVX720992 BFT720992 BPP720992 BZL720992 CJH720992 CTD720992 DCZ720992 DMV720992 DWR720992 EGN720992 EQJ720992 FAF720992 FKB720992 FTX720992 GDT720992 GNP720992 GXL720992 HHH720992 HRD720992 IAZ720992 IKV720992 IUR720992 JEN720992 JOJ720992 JYF720992 KIB720992 KRX720992 LBT720992 LLP720992 LVL720992 MFH720992 MPD720992 MYZ720992 NIV720992 NSR720992 OCN720992 OMJ720992 OWF720992 PGB720992 PPX720992 PZT720992 QJP720992 QTL720992 RDH720992 RND720992 RWZ720992 SGV720992 SQR720992 TAN720992 TKJ720992 TUF720992 UEB720992 UNX720992 UXT720992 VHP720992 VRL720992 WBH720992 WLD720992 WUZ720992 IN786528 SJ786528 ACF786528 AMB786528 AVX786528 BFT786528 BPP786528 BZL786528 CJH786528 CTD786528 DCZ786528 DMV786528 DWR786528 EGN786528 EQJ786528 FAF786528 FKB786528 FTX786528 GDT786528 GNP786528 GXL786528 HHH786528 HRD786528 IAZ786528 IKV786528 IUR786528 JEN786528 JOJ786528 JYF786528 KIB786528 KRX786528 LBT786528 LLP786528 LVL786528 MFH786528 MPD786528 MYZ786528 NIV786528 NSR786528 OCN786528 OMJ786528 OWF786528 PGB786528 PPX786528 PZT786528 QJP786528 QTL786528 RDH786528 RND786528 RWZ786528 SGV786528 SQR786528 TAN786528 TKJ786528 TUF786528 UEB786528 UNX786528 UXT786528 VHP786528 VRL786528 WBH786528 WLD786528 WUZ786528 IN852064 SJ852064 ACF852064 AMB852064 AVX852064 BFT852064 BPP852064 BZL852064 CJH852064 CTD852064 DCZ852064 DMV852064 DWR852064 EGN852064 EQJ852064 FAF852064 FKB852064 FTX852064 GDT852064 GNP852064 GXL852064 HHH852064 HRD852064 IAZ852064 IKV852064 IUR852064 JEN852064 JOJ852064 JYF852064 KIB852064 KRX852064 LBT852064 LLP852064 LVL852064 MFH852064 MPD852064 MYZ852064 NIV852064 NSR852064 OCN852064 OMJ852064 OWF852064 PGB852064 PPX852064 PZT852064 QJP852064 QTL852064 RDH852064 RND852064 RWZ852064 SGV852064 SQR852064 TAN852064 TKJ852064 TUF852064 UEB852064 UNX852064 UXT852064 VHP852064 VRL852064 WBH852064 WLD852064 WUZ852064 IN917600 SJ917600 ACF917600 AMB917600 AVX917600 BFT917600 BPP917600 BZL917600 CJH917600 CTD917600 DCZ917600 DMV917600 DWR917600 EGN917600 EQJ917600 FAF917600 FKB917600 FTX917600 GDT917600 GNP917600 GXL917600 HHH917600 HRD917600 IAZ917600 IKV917600 IUR917600 JEN917600 JOJ917600 JYF917600 KIB917600 KRX917600 LBT917600 LLP917600 LVL917600 MFH917600 MPD917600 MYZ917600 NIV917600 NSR917600 OCN917600 OMJ917600 OWF917600 PGB917600 PPX917600 PZT917600 QJP917600 QTL917600 RDH917600 RND917600 RWZ917600 SGV917600 SQR917600 TAN917600 TKJ917600 TUF917600 UEB917600 UNX917600 UXT917600 VHP917600 VRL917600 WBH917600 WLD917600 WUZ917600 IN983136 SJ983136 ACF983136 AMB983136 AVX983136 BFT983136 BPP983136 BZL983136 CJH983136 CTD983136 DCZ983136 DMV983136 DWR983136 EGN983136 EQJ983136 FAF983136 FKB983136 FTX983136 GDT983136 GNP983136 GXL983136 HHH983136 HRD983136 IAZ983136 IKV983136 IUR983136 JEN983136 JOJ983136 JYF983136 KIB983136 KRX983136 LBT983136 LLP983136 LVL983136 MFH983136 MPD983136 MYZ983136 NIV983136 NSR983136 OCN983136 OMJ983136 OWF983136 PGB983136 PPX983136 PZT983136 QJP983136 QTL983136 RDH983136 RND983136 RWZ983136 SGV983136 SQR983136 TAN983136 TKJ983136 TUF983136 UEB983136 UNX983136 UXT983136 VHP983136 VRL983136 WBH983136 WLD983136 WUZ983136 IN186 SJ186 ACF186 AMB186 AVX186 BFT186 BPP186 BZL186 CJH186 CTD186 DCZ186 DMV186 DWR186 EGN186 EQJ186 FAF186 FKB186 FTX186 GDT186 GNP186 GXL186 HHH186 HRD186 IAZ186 IKV186 IUR186 JEN186 JOJ186 JYF186 KIB186 KRX186 LBT186 LLP186 LVL186 MFH186 MPD186 MYZ186 NIV186 NSR186 OCN186 OMJ186 OWF186 PGB186 PPX186 PZT186 QJP186 QTL186 RDH186 RND186 RWZ186 SGV186 SQR186 TAN186 TKJ186 TUF186 UEB186 UNX186 UXT186 VHP186 VRL186 WBH186 WLD186 WUZ186 IN65722 SJ65722 ACF65722 AMB65722 AVX65722 BFT65722 BPP65722 BZL65722 CJH65722 CTD65722 DCZ65722 DMV65722 DWR65722 EGN65722 EQJ65722 FAF65722 FKB65722 FTX65722 GDT65722 GNP65722 GXL65722 HHH65722 HRD65722 IAZ65722 IKV65722 IUR65722 JEN65722 JOJ65722 JYF65722 KIB65722 KRX65722 LBT65722 LLP65722 LVL65722 MFH65722 MPD65722 MYZ65722 NIV65722 NSR65722 OCN65722 OMJ65722 OWF65722 PGB65722 PPX65722 PZT65722 QJP65722 QTL65722 RDH65722 RND65722 RWZ65722 SGV65722 SQR65722 TAN65722 TKJ65722 TUF65722 UEB65722 UNX65722 UXT65722 VHP65722 VRL65722 WBH65722 WLD65722 WUZ65722 IN131258 SJ131258 ACF131258 AMB131258 AVX131258 BFT131258 BPP131258 BZL131258 CJH131258 CTD131258 DCZ131258 DMV131258 DWR131258 EGN131258 EQJ131258 FAF131258 FKB131258 FTX131258 GDT131258 GNP131258 GXL131258 HHH131258 HRD131258 IAZ131258 IKV131258 IUR131258 JEN131258 JOJ131258 JYF131258 KIB131258 KRX131258 LBT131258 LLP131258 LVL131258 MFH131258 MPD131258 MYZ131258 NIV131258 NSR131258 OCN131258 OMJ131258 OWF131258 PGB131258 PPX131258 PZT131258 QJP131258 QTL131258 RDH131258 RND131258 RWZ131258 SGV131258 SQR131258 TAN131258 TKJ131258 TUF131258 UEB131258 UNX131258 UXT131258 VHP131258 VRL131258 WBH131258 WLD131258 WUZ131258 IN196794 SJ196794 ACF196794 AMB196794 AVX196794 BFT196794 BPP196794 BZL196794 CJH196794 CTD196794 DCZ196794 DMV196794 DWR196794 EGN196794 EQJ196794 FAF196794 FKB196794 FTX196794 GDT196794 GNP196794 GXL196794 HHH196794 HRD196794 IAZ196794 IKV196794 IUR196794 JEN196794 JOJ196794 JYF196794 KIB196794 KRX196794 LBT196794 LLP196794 LVL196794 MFH196794 MPD196794 MYZ196794 NIV196794 NSR196794 OCN196794 OMJ196794 OWF196794 PGB196794 PPX196794 PZT196794 QJP196794 QTL196794 RDH196794 RND196794 RWZ196794 SGV196794 SQR196794 TAN196794 TKJ196794 TUF196794 UEB196794 UNX196794 UXT196794 VHP196794 VRL196794 WBH196794 WLD196794 WUZ196794 IN262330 SJ262330 ACF262330 AMB262330 AVX262330 BFT262330 BPP262330 BZL262330 CJH262330 CTD262330 DCZ262330 DMV262330 DWR262330 EGN262330 EQJ262330 FAF262330 FKB262330 FTX262330 GDT262330 GNP262330 GXL262330 HHH262330 HRD262330 IAZ262330 IKV262330 IUR262330 JEN262330 JOJ262330 JYF262330 KIB262330 KRX262330 LBT262330 LLP262330 LVL262330 MFH262330 MPD262330 MYZ262330 NIV262330 NSR262330 OCN262330 OMJ262330 OWF262330 PGB262330 PPX262330 PZT262330 QJP262330 QTL262330 RDH262330 RND262330 RWZ262330 SGV262330 SQR262330 TAN262330 TKJ262330 TUF262330 UEB262330 UNX262330 UXT262330 VHP262330 VRL262330 WBH262330 WLD262330 WUZ262330 IN327866 SJ327866 ACF327866 AMB327866 AVX327866 BFT327866 BPP327866 BZL327866 CJH327866 CTD327866 DCZ327866 DMV327866 DWR327866 EGN327866 EQJ327866 FAF327866 FKB327866 FTX327866 GDT327866 GNP327866 GXL327866 HHH327866 HRD327866 IAZ327866 IKV327866 IUR327866 JEN327866 JOJ327866 JYF327866 KIB327866 KRX327866 LBT327866 LLP327866 LVL327866 MFH327866 MPD327866 MYZ327866 NIV327866 NSR327866 OCN327866 OMJ327866 OWF327866 PGB327866 PPX327866 PZT327866 QJP327866 QTL327866 RDH327866 RND327866 RWZ327866 SGV327866 SQR327866 TAN327866 TKJ327866 TUF327866 UEB327866 UNX327866 UXT327866 VHP327866 VRL327866 WBH327866 WLD327866 WUZ327866 IN393402 SJ393402 ACF393402 AMB393402 AVX393402 BFT393402 BPP393402 BZL393402 CJH393402 CTD393402 DCZ393402 DMV393402 DWR393402 EGN393402 EQJ393402 FAF393402 FKB393402 FTX393402 GDT393402 GNP393402 GXL393402 HHH393402 HRD393402 IAZ393402 IKV393402 IUR393402 JEN393402 JOJ393402 JYF393402 KIB393402 KRX393402 LBT393402 LLP393402 LVL393402 MFH393402 MPD393402 MYZ393402 NIV393402 NSR393402 OCN393402 OMJ393402 OWF393402 PGB393402 PPX393402 PZT393402 QJP393402 QTL393402 RDH393402 RND393402 RWZ393402 SGV393402 SQR393402 TAN393402 TKJ393402 TUF393402 UEB393402 UNX393402 UXT393402 VHP393402 VRL393402 WBH393402 WLD393402 WUZ393402 IN458938 SJ458938 ACF458938 AMB458938 AVX458938 BFT458938 BPP458938 BZL458938 CJH458938 CTD458938 DCZ458938 DMV458938 DWR458938 EGN458938 EQJ458938 FAF458938 FKB458938 FTX458938 GDT458938 GNP458938 GXL458938 HHH458938 HRD458938 IAZ458938 IKV458938 IUR458938 JEN458938 JOJ458938 JYF458938 KIB458938 KRX458938 LBT458938 LLP458938 LVL458938 MFH458938 MPD458938 MYZ458938 NIV458938 NSR458938 OCN458938 OMJ458938 OWF458938 PGB458938 PPX458938 PZT458938 QJP458938 QTL458938 RDH458938 RND458938 RWZ458938 SGV458938 SQR458938 TAN458938 TKJ458938 TUF458938 UEB458938 UNX458938 UXT458938 VHP458938 VRL458938 WBH458938 WLD458938 WUZ458938 IN524474 SJ524474 ACF524474 AMB524474 AVX524474 BFT524474 BPP524474 BZL524474 CJH524474 CTD524474 DCZ524474 DMV524474 DWR524474 EGN524474 EQJ524474 FAF524474 FKB524474 FTX524474 GDT524474 GNP524474 GXL524474 HHH524474 HRD524474 IAZ524474 IKV524474 IUR524474 JEN524474 JOJ524474 JYF524474 KIB524474 KRX524474 LBT524474 LLP524474 LVL524474 MFH524474 MPD524474 MYZ524474 NIV524474 NSR524474 OCN524474 OMJ524474 OWF524474 PGB524474 PPX524474 PZT524474 QJP524474 QTL524474 RDH524474 RND524474 RWZ524474 SGV524474 SQR524474 TAN524474 TKJ524474 TUF524474 UEB524474 UNX524474 UXT524474 VHP524474 VRL524474 WBH524474 WLD524474 WUZ524474 IN590010 SJ590010 ACF590010 AMB590010 AVX590010 BFT590010 BPP590010 BZL590010 CJH590010 CTD590010 DCZ590010 DMV590010 DWR590010 EGN590010 EQJ590010 FAF590010 FKB590010 FTX590010 GDT590010 GNP590010 GXL590010 HHH590010 HRD590010 IAZ590010 IKV590010 IUR590010 JEN590010 JOJ590010 JYF590010 KIB590010 KRX590010 LBT590010 LLP590010 LVL590010 MFH590010 MPD590010 MYZ590010 NIV590010 NSR590010 OCN590010 OMJ590010 OWF590010 PGB590010 PPX590010 PZT590010 QJP590010 QTL590010 RDH590010 RND590010 RWZ590010 SGV590010 SQR590010 TAN590010 TKJ590010 TUF590010 UEB590010 UNX590010 UXT590010 VHP590010 VRL590010 WBH590010 WLD590010 WUZ590010 IN655546 SJ655546 ACF655546 AMB655546 AVX655546 BFT655546 BPP655546 BZL655546 CJH655546 CTD655546 DCZ655546 DMV655546 DWR655546 EGN655546 EQJ655546 FAF655546 FKB655546 FTX655546 GDT655546 GNP655546 GXL655546 HHH655546 HRD655546 IAZ655546 IKV655546 IUR655546 JEN655546 JOJ655546 JYF655546 KIB655546 KRX655546 LBT655546 LLP655546 LVL655546 MFH655546 MPD655546 MYZ655546 NIV655546 NSR655546 OCN655546 OMJ655546 OWF655546 PGB655546 PPX655546 PZT655546 QJP655546 QTL655546 RDH655546 RND655546 RWZ655546 SGV655546 SQR655546 TAN655546 TKJ655546 TUF655546 UEB655546 UNX655546 UXT655546 VHP655546 VRL655546 WBH655546 WLD655546 WUZ655546 IN721082 SJ721082 ACF721082 AMB721082 AVX721082 BFT721082 BPP721082 BZL721082 CJH721082 CTD721082 DCZ721082 DMV721082 DWR721082 EGN721082 EQJ721082 FAF721082 FKB721082 FTX721082 GDT721082 GNP721082 GXL721082 HHH721082 HRD721082 IAZ721082 IKV721082 IUR721082 JEN721082 JOJ721082 JYF721082 KIB721082 KRX721082 LBT721082 LLP721082 LVL721082 MFH721082 MPD721082 MYZ721082 NIV721082 NSR721082 OCN721082 OMJ721082 OWF721082 PGB721082 PPX721082 PZT721082 QJP721082 QTL721082 RDH721082 RND721082 RWZ721082 SGV721082 SQR721082 TAN721082 TKJ721082 TUF721082 UEB721082 UNX721082 UXT721082 VHP721082 VRL721082 WBH721082 WLD721082 WUZ721082 IN786618 SJ786618 ACF786618 AMB786618 AVX786618 BFT786618 BPP786618 BZL786618 CJH786618 CTD786618 DCZ786618 DMV786618 DWR786618 EGN786618 EQJ786618 FAF786618 FKB786618 FTX786618 GDT786618 GNP786618 GXL786618 HHH786618 HRD786618 IAZ786618 IKV786618 IUR786618 JEN786618 JOJ786618 JYF786618 KIB786618 KRX786618 LBT786618 LLP786618 LVL786618 MFH786618 MPD786618 MYZ786618 NIV786618 NSR786618 OCN786618 OMJ786618 OWF786618 PGB786618 PPX786618 PZT786618 QJP786618 QTL786618 RDH786618 RND786618 RWZ786618 SGV786618 SQR786618 TAN786618 TKJ786618 TUF786618 UEB786618 UNX786618 UXT786618 VHP786618 VRL786618 WBH786618 WLD786618 WUZ786618 IN852154 SJ852154 ACF852154 AMB852154 AVX852154 BFT852154 BPP852154 BZL852154 CJH852154 CTD852154 DCZ852154 DMV852154 DWR852154 EGN852154 EQJ852154 FAF852154 FKB852154 FTX852154 GDT852154 GNP852154 GXL852154 HHH852154 HRD852154 IAZ852154 IKV852154 IUR852154 JEN852154 JOJ852154 JYF852154 KIB852154 KRX852154 LBT852154 LLP852154 LVL852154 MFH852154 MPD852154 MYZ852154 NIV852154 NSR852154 OCN852154 OMJ852154 OWF852154 PGB852154 PPX852154 PZT852154 QJP852154 QTL852154 RDH852154 RND852154 RWZ852154 SGV852154 SQR852154 TAN852154 TKJ852154 TUF852154 UEB852154 UNX852154 UXT852154 VHP852154 VRL852154 WBH852154 WLD852154 WUZ852154 IN917690 SJ917690 ACF917690 AMB917690 AVX917690 BFT917690 BPP917690 BZL917690 CJH917690 CTD917690 DCZ917690 DMV917690 DWR917690 EGN917690 EQJ917690 FAF917690 FKB917690 FTX917690 GDT917690 GNP917690 GXL917690 HHH917690 HRD917690 IAZ917690 IKV917690 IUR917690 JEN917690 JOJ917690 JYF917690 KIB917690 KRX917690 LBT917690 LLP917690 LVL917690 MFH917690 MPD917690 MYZ917690 NIV917690 NSR917690 OCN917690 OMJ917690 OWF917690 PGB917690 PPX917690 PZT917690 QJP917690 QTL917690 RDH917690 RND917690 RWZ917690 SGV917690 SQR917690 TAN917690 TKJ917690 TUF917690 UEB917690 UNX917690 UXT917690 VHP917690 VRL917690 WBH917690 WLD917690 WUZ917690 IN983226 SJ983226 ACF983226 AMB983226 AVX983226 BFT983226 BPP983226 BZL983226 CJH983226 CTD983226 DCZ983226 DMV983226 DWR983226 EGN983226 EQJ983226 FAF983226 FKB983226 FTX983226 GDT983226 GNP983226 GXL983226 HHH983226 HRD983226 IAZ983226 IKV983226 IUR983226 JEN983226 JOJ983226 JYF983226 KIB983226 KRX983226 LBT983226 LLP983226 LVL983226 MFH983226 MPD983226 MYZ983226 NIV983226 NSR983226 OCN983226 OMJ983226 OWF983226 PGB983226 PPX983226 PZT983226 QJP983226 QTL983226 RDH983226 RND983226 RWZ983226 SGV983226 SQR983226 TAN983226 TKJ983226 TUF983226 UEB983226 UNX983226 UXT983226 VHP983226 VRL983226 WBH983226 WLD983226 WUZ983226 IN56 SJ56 ACF56 AMB56 AVX56 BFT56 BPP56 BZL56 CJH56 CTD56 DCZ56 DMV56 DWR56 EGN56 EQJ56 FAF56 FKB56 FTX56 GDT56 GNP56 GXL56 HHH56 HRD56 IAZ56 IKV56 IUR56 JEN56 JOJ56 JYF56 KIB56 KRX56 LBT56 LLP56 LVL56 MFH56 MPD56 MYZ56 NIV56 NSR56 OCN56 OMJ56 OWF56 PGB56 PPX56 PZT56 QJP56 QTL56 RDH56 RND56 RWZ56 SGV56 SQR56 TAN56 TKJ56 TUF56 UEB56 UNX56 UXT56 VHP56 VRL56 WBH56 WLD56 WUZ56 IN65592 SJ65592 ACF65592 AMB65592 AVX65592 BFT65592 BPP65592 BZL65592 CJH65592 CTD65592 DCZ65592 DMV65592 DWR65592 EGN65592 EQJ65592 FAF65592 FKB65592 FTX65592 GDT65592 GNP65592 GXL65592 HHH65592 HRD65592 IAZ65592 IKV65592 IUR65592 JEN65592 JOJ65592 JYF65592 KIB65592 KRX65592 LBT65592 LLP65592 LVL65592 MFH65592 MPD65592 MYZ65592 NIV65592 NSR65592 OCN65592 OMJ65592 OWF65592 PGB65592 PPX65592 PZT65592 QJP65592 QTL65592 RDH65592 RND65592 RWZ65592 SGV65592 SQR65592 TAN65592 TKJ65592 TUF65592 UEB65592 UNX65592 UXT65592 VHP65592 VRL65592 WBH65592 WLD65592 WUZ65592 IN131128 SJ131128 ACF131128 AMB131128 AVX131128 BFT131128 BPP131128 BZL131128 CJH131128 CTD131128 DCZ131128 DMV131128 DWR131128 EGN131128 EQJ131128 FAF131128 FKB131128 FTX131128 GDT131128 GNP131128 GXL131128 HHH131128 HRD131128 IAZ131128 IKV131128 IUR131128 JEN131128 JOJ131128 JYF131128 KIB131128 KRX131128 LBT131128 LLP131128 LVL131128 MFH131128 MPD131128 MYZ131128 NIV131128 NSR131128 OCN131128 OMJ131128 OWF131128 PGB131128 PPX131128 PZT131128 QJP131128 QTL131128 RDH131128 RND131128 RWZ131128 SGV131128 SQR131128 TAN131128 TKJ131128 TUF131128 UEB131128 UNX131128 UXT131128 VHP131128 VRL131128 WBH131128 WLD131128 WUZ131128 IN196664 SJ196664 ACF196664 AMB196664 AVX196664 BFT196664 BPP196664 BZL196664 CJH196664 CTD196664 DCZ196664 DMV196664 DWR196664 EGN196664 EQJ196664 FAF196664 FKB196664 FTX196664 GDT196664 GNP196664 GXL196664 HHH196664 HRD196664 IAZ196664 IKV196664 IUR196664 JEN196664 JOJ196664 JYF196664 KIB196664 KRX196664 LBT196664 LLP196664 LVL196664 MFH196664 MPD196664 MYZ196664 NIV196664 NSR196664 OCN196664 OMJ196664 OWF196664 PGB196664 PPX196664 PZT196664 QJP196664 QTL196664 RDH196664 RND196664 RWZ196664 SGV196664 SQR196664 TAN196664 TKJ196664 TUF196664 UEB196664 UNX196664 UXT196664 VHP196664 VRL196664 WBH196664 WLD196664 WUZ196664 IN262200 SJ262200 ACF262200 AMB262200 AVX262200 BFT262200 BPP262200 BZL262200 CJH262200 CTD262200 DCZ262200 DMV262200 DWR262200 EGN262200 EQJ262200 FAF262200 FKB262200 FTX262200 GDT262200 GNP262200 GXL262200 HHH262200 HRD262200 IAZ262200 IKV262200 IUR262200 JEN262200 JOJ262200 JYF262200 KIB262200 KRX262200 LBT262200 LLP262200 LVL262200 MFH262200 MPD262200 MYZ262200 NIV262200 NSR262200 OCN262200 OMJ262200 OWF262200 PGB262200 PPX262200 PZT262200 QJP262200 QTL262200 RDH262200 RND262200 RWZ262200 SGV262200 SQR262200 TAN262200 TKJ262200 TUF262200 UEB262200 UNX262200 UXT262200 VHP262200 VRL262200 WBH262200 WLD262200 WUZ262200 IN327736 SJ327736 ACF327736 AMB327736 AVX327736 BFT327736 BPP327736 BZL327736 CJH327736 CTD327736 DCZ327736 DMV327736 DWR327736 EGN327736 EQJ327736 FAF327736 FKB327736 FTX327736 GDT327736 GNP327736 GXL327736 HHH327736 HRD327736 IAZ327736 IKV327736 IUR327736 JEN327736 JOJ327736 JYF327736 KIB327736 KRX327736 LBT327736 LLP327736 LVL327736 MFH327736 MPD327736 MYZ327736 NIV327736 NSR327736 OCN327736 OMJ327736 OWF327736 PGB327736 PPX327736 PZT327736 QJP327736 QTL327736 RDH327736 RND327736 RWZ327736 SGV327736 SQR327736 TAN327736 TKJ327736 TUF327736 UEB327736 UNX327736 UXT327736 VHP327736 VRL327736 WBH327736 WLD327736 WUZ327736 IN393272 SJ393272 ACF393272 AMB393272 AVX393272 BFT393272 BPP393272 BZL393272 CJH393272 CTD393272 DCZ393272 DMV393272 DWR393272 EGN393272 EQJ393272 FAF393272 FKB393272 FTX393272 GDT393272 GNP393272 GXL393272 HHH393272 HRD393272 IAZ393272 IKV393272 IUR393272 JEN393272 JOJ393272 JYF393272 KIB393272 KRX393272 LBT393272 LLP393272 LVL393272 MFH393272 MPD393272 MYZ393272 NIV393272 NSR393272 OCN393272 OMJ393272 OWF393272 PGB393272 PPX393272 PZT393272 QJP393272 QTL393272 RDH393272 RND393272 RWZ393272 SGV393272 SQR393272 TAN393272 TKJ393272 TUF393272 UEB393272 UNX393272 UXT393272 VHP393272 VRL393272 WBH393272 WLD393272 WUZ393272 IN458808 SJ458808 ACF458808 AMB458808 AVX458808 BFT458808 BPP458808 BZL458808 CJH458808 CTD458808 DCZ458808 DMV458808 DWR458808 EGN458808 EQJ458808 FAF458808 FKB458808 FTX458808 GDT458808 GNP458808 GXL458808 HHH458808 HRD458808 IAZ458808 IKV458808 IUR458808 JEN458808 JOJ458808 JYF458808 KIB458808 KRX458808 LBT458808 LLP458808 LVL458808 MFH458808 MPD458808 MYZ458808 NIV458808 NSR458808 OCN458808 OMJ458808 OWF458808 PGB458808 PPX458808 PZT458808 QJP458808 QTL458808 RDH458808 RND458808 RWZ458808 SGV458808 SQR458808 TAN458808 TKJ458808 TUF458808 UEB458808 UNX458808 UXT458808 VHP458808 VRL458808 WBH458808 WLD458808 WUZ458808 IN524344 SJ524344 ACF524344 AMB524344 AVX524344 BFT524344 BPP524344 BZL524344 CJH524344 CTD524344 DCZ524344 DMV524344 DWR524344 EGN524344 EQJ524344 FAF524344 FKB524344 FTX524344 GDT524344 GNP524344 GXL524344 HHH524344 HRD524344 IAZ524344 IKV524344 IUR524344 JEN524344 JOJ524344 JYF524344 KIB524344 KRX524344 LBT524344 LLP524344 LVL524344 MFH524344 MPD524344 MYZ524344 NIV524344 NSR524344 OCN524344 OMJ524344 OWF524344 PGB524344 PPX524344 PZT524344 QJP524344 QTL524344 RDH524344 RND524344 RWZ524344 SGV524344 SQR524344 TAN524344 TKJ524344 TUF524344 UEB524344 UNX524344 UXT524344 VHP524344 VRL524344 WBH524344 WLD524344 WUZ524344 IN589880 SJ589880 ACF589880 AMB589880 AVX589880 BFT589880 BPP589880 BZL589880 CJH589880 CTD589880 DCZ589880 DMV589880 DWR589880 EGN589880 EQJ589880 FAF589880 FKB589880 FTX589880 GDT589880 GNP589880 GXL589880 HHH589880 HRD589880 IAZ589880 IKV589880 IUR589880 JEN589880 JOJ589880 JYF589880 KIB589880 KRX589880 LBT589880 LLP589880 LVL589880 MFH589880 MPD589880 MYZ589880 NIV589880 NSR589880 OCN589880 OMJ589880 OWF589880 PGB589880 PPX589880 PZT589880 QJP589880 QTL589880 RDH589880 RND589880 RWZ589880 SGV589880 SQR589880 TAN589880 TKJ589880 TUF589880 UEB589880 UNX589880 UXT589880 VHP589880 VRL589880 WBH589880 WLD589880 WUZ589880 IN655416 SJ655416 ACF655416 AMB655416 AVX655416 BFT655416 BPP655416 BZL655416 CJH655416 CTD655416 DCZ655416 DMV655416 DWR655416 EGN655416 EQJ655416 FAF655416 FKB655416 FTX655416 GDT655416 GNP655416 GXL655416 HHH655416 HRD655416 IAZ655416 IKV655416 IUR655416 JEN655416 JOJ655416 JYF655416 KIB655416 KRX655416 LBT655416 LLP655416 LVL655416 MFH655416 MPD655416 MYZ655416 NIV655416 NSR655416 OCN655416 OMJ655416 OWF655416 PGB655416 PPX655416 PZT655416 QJP655416 QTL655416 RDH655416 RND655416 RWZ655416 SGV655416 SQR655416 TAN655416 TKJ655416 TUF655416 UEB655416 UNX655416 UXT655416 VHP655416 VRL655416 WBH655416 WLD655416 WUZ655416 IN720952 SJ720952 ACF720952 AMB720952 AVX720952 BFT720952 BPP720952 BZL720952 CJH720952 CTD720952 DCZ720952 DMV720952 DWR720952 EGN720952 EQJ720952 FAF720952 FKB720952 FTX720952 GDT720952 GNP720952 GXL720952 HHH720952 HRD720952 IAZ720952 IKV720952 IUR720952 JEN720952 JOJ720952 JYF720952 KIB720952 KRX720952 LBT720952 LLP720952 LVL720952 MFH720952 MPD720952 MYZ720952 NIV720952 NSR720952 OCN720952 OMJ720952 OWF720952 PGB720952 PPX720952 PZT720952 QJP720952 QTL720952 RDH720952 RND720952 RWZ720952 SGV720952 SQR720952 TAN720952 TKJ720952 TUF720952 UEB720952 UNX720952 UXT720952 VHP720952 VRL720952 WBH720952 WLD720952 WUZ720952 IN786488 SJ786488 ACF786488 AMB786488 AVX786488 BFT786488 BPP786488 BZL786488 CJH786488 CTD786488 DCZ786488 DMV786488 DWR786488 EGN786488 EQJ786488 FAF786488 FKB786488 FTX786488 GDT786488 GNP786488 GXL786488 HHH786488 HRD786488 IAZ786488 IKV786488 IUR786488 JEN786488 JOJ786488 JYF786488 KIB786488 KRX786488 LBT786488 LLP786488 LVL786488 MFH786488 MPD786488 MYZ786488 NIV786488 NSR786488 OCN786488 OMJ786488 OWF786488 PGB786488 PPX786488 PZT786488 QJP786488 QTL786488 RDH786488 RND786488 RWZ786488 SGV786488 SQR786488 TAN786488 TKJ786488 TUF786488 UEB786488 UNX786488 UXT786488 VHP786488 VRL786488 WBH786488 WLD786488 WUZ786488 IN852024 SJ852024 ACF852024 AMB852024 AVX852024 BFT852024 BPP852024 BZL852024 CJH852024 CTD852024 DCZ852024 DMV852024 DWR852024 EGN852024 EQJ852024 FAF852024 FKB852024 FTX852024 GDT852024 GNP852024 GXL852024 HHH852024 HRD852024 IAZ852024 IKV852024 IUR852024 JEN852024 JOJ852024 JYF852024 KIB852024 KRX852024 LBT852024 LLP852024 LVL852024 MFH852024 MPD852024 MYZ852024 NIV852024 NSR852024 OCN852024 OMJ852024 OWF852024 PGB852024 PPX852024 PZT852024 QJP852024 QTL852024 RDH852024 RND852024 RWZ852024 SGV852024 SQR852024 TAN852024 TKJ852024 TUF852024 UEB852024 UNX852024 UXT852024 VHP852024 VRL852024 WBH852024 WLD852024 WUZ852024 IN917560 SJ917560 ACF917560 AMB917560 AVX917560 BFT917560 BPP917560 BZL917560 CJH917560 CTD917560 DCZ917560 DMV917560 DWR917560 EGN917560 EQJ917560 FAF917560 FKB917560 FTX917560 GDT917560 GNP917560 GXL917560 HHH917560 HRD917560 IAZ917560 IKV917560 IUR917560 JEN917560 JOJ917560 JYF917560 KIB917560 KRX917560 LBT917560 LLP917560 LVL917560 MFH917560 MPD917560 MYZ917560 NIV917560 NSR917560 OCN917560 OMJ917560 OWF917560 PGB917560 PPX917560 PZT917560 QJP917560 QTL917560 RDH917560 RND917560 RWZ917560 SGV917560 SQR917560 TAN917560 TKJ917560 TUF917560 UEB917560 UNX917560 UXT917560 VHP917560 VRL917560 WBH917560 WLD917560 WUZ917560 IN983096 SJ983096 ACF983096 AMB983096 AVX983096 BFT983096 BPP983096 BZL983096 CJH983096 CTD983096 DCZ983096 DMV983096 DWR983096 EGN983096 EQJ983096 FAF983096 FKB983096 FTX983096 GDT983096 GNP983096 GXL983096 HHH983096 HRD983096 IAZ983096 IKV983096 IUR983096 JEN983096 JOJ983096 JYF983096 KIB983096 KRX983096 LBT983096 LLP983096 LVL983096 MFH983096 MPD983096 MYZ983096 NIV983096 NSR983096 OCN983096 OMJ983096 OWF983096 PGB983096 PPX983096 PZT983096 QJP983096 QTL983096 RDH983096 RND983096 RWZ983096 SGV983096 SQR983096 TAN983096 TKJ983096 TUF983096 UEB983096 UNX983096 UXT983096 VHP983096 VRL983096 WBH983096 WLD983096 WUZ983096 IN76 SJ76 ACF76 AMB76 AVX76 BFT76 BPP76 BZL76 CJH76 CTD76 DCZ76 DMV76 DWR76 EGN76 EQJ76 FAF76 FKB76 FTX76 GDT76 GNP76 GXL76 HHH76 HRD76 IAZ76 IKV76 IUR76 JEN76 JOJ76 JYF76 KIB76 KRX76 LBT76 LLP76 LVL76 MFH76 MPD76 MYZ76 NIV76 NSR76 OCN76 OMJ76 OWF76 PGB76 PPX76 PZT76 QJP76 QTL76 RDH76 RND76 RWZ76 SGV76 SQR76 TAN76 TKJ76 TUF76 UEB76 UNX76 UXT76 VHP76 VRL76 WBH76 WLD76 WUZ76 IN65612 SJ65612 ACF65612 AMB65612 AVX65612 BFT65612 BPP65612 BZL65612 CJH65612 CTD65612 DCZ65612 DMV65612 DWR65612 EGN65612 EQJ65612 FAF65612 FKB65612 FTX65612 GDT65612 GNP65612 GXL65612 HHH65612 HRD65612 IAZ65612 IKV65612 IUR65612 JEN65612 JOJ65612 JYF65612 KIB65612 KRX65612 LBT65612 LLP65612 LVL65612 MFH65612 MPD65612 MYZ65612 NIV65612 NSR65612 OCN65612 OMJ65612 OWF65612 PGB65612 PPX65612 PZT65612 QJP65612 QTL65612 RDH65612 RND65612 RWZ65612 SGV65612 SQR65612 TAN65612 TKJ65612 TUF65612 UEB65612 UNX65612 UXT65612 VHP65612 VRL65612 WBH65612 WLD65612 WUZ65612 IN131148 SJ131148 ACF131148 AMB131148 AVX131148 BFT131148 BPP131148 BZL131148 CJH131148 CTD131148 DCZ131148 DMV131148 DWR131148 EGN131148 EQJ131148 FAF131148 FKB131148 FTX131148 GDT131148 GNP131148 GXL131148 HHH131148 HRD131148 IAZ131148 IKV131148 IUR131148 JEN131148 JOJ131148 JYF131148 KIB131148 KRX131148 LBT131148 LLP131148 LVL131148 MFH131148 MPD131148 MYZ131148 NIV131148 NSR131148 OCN131148 OMJ131148 OWF131148 PGB131148 PPX131148 PZT131148 QJP131148 QTL131148 RDH131148 RND131148 RWZ131148 SGV131148 SQR131148 TAN131148 TKJ131148 TUF131148 UEB131148 UNX131148 UXT131148 VHP131148 VRL131148 WBH131148 WLD131148 WUZ131148 IN196684 SJ196684 ACF196684 AMB196684 AVX196684 BFT196684 BPP196684 BZL196684 CJH196684 CTD196684 DCZ196684 DMV196684 DWR196684 EGN196684 EQJ196684 FAF196684 FKB196684 FTX196684 GDT196684 GNP196684 GXL196684 HHH196684 HRD196684 IAZ196684 IKV196684 IUR196684 JEN196684 JOJ196684 JYF196684 KIB196684 KRX196684 LBT196684 LLP196684 LVL196684 MFH196684 MPD196684 MYZ196684 NIV196684 NSR196684 OCN196684 OMJ196684 OWF196684 PGB196684 PPX196684 PZT196684 QJP196684 QTL196684 RDH196684 RND196684 RWZ196684 SGV196684 SQR196684 TAN196684 TKJ196684 TUF196684 UEB196684 UNX196684 UXT196684 VHP196684 VRL196684 WBH196684 WLD196684 WUZ196684 IN262220 SJ262220 ACF262220 AMB262220 AVX262220 BFT262220 BPP262220 BZL262220 CJH262220 CTD262220 DCZ262220 DMV262220 DWR262220 EGN262220 EQJ262220 FAF262220 FKB262220 FTX262220 GDT262220 GNP262220 GXL262220 HHH262220 HRD262220 IAZ262220 IKV262220 IUR262220 JEN262220 JOJ262220 JYF262220 KIB262220 KRX262220 LBT262220 LLP262220 LVL262220 MFH262220 MPD262220 MYZ262220 NIV262220 NSR262220 OCN262220 OMJ262220 OWF262220 PGB262220 PPX262220 PZT262220 QJP262220 QTL262220 RDH262220 RND262220 RWZ262220 SGV262220 SQR262220 TAN262220 TKJ262220 TUF262220 UEB262220 UNX262220 UXT262220 VHP262220 VRL262220 WBH262220 WLD262220 WUZ262220 IN327756 SJ327756 ACF327756 AMB327756 AVX327756 BFT327756 BPP327756 BZL327756 CJH327756 CTD327756 DCZ327756 DMV327756 DWR327756 EGN327756 EQJ327756 FAF327756 FKB327756 FTX327756 GDT327756 GNP327756 GXL327756 HHH327756 HRD327756 IAZ327756 IKV327756 IUR327756 JEN327756 JOJ327756 JYF327756 KIB327756 KRX327756 LBT327756 LLP327756 LVL327756 MFH327756 MPD327756 MYZ327756 NIV327756 NSR327756 OCN327756 OMJ327756 OWF327756 PGB327756 PPX327756 PZT327756 QJP327756 QTL327756 RDH327756 RND327756 RWZ327756 SGV327756 SQR327756 TAN327756 TKJ327756 TUF327756 UEB327756 UNX327756 UXT327756 VHP327756 VRL327756 WBH327756 WLD327756 WUZ327756 IN393292 SJ393292 ACF393292 AMB393292 AVX393292 BFT393292 BPP393292 BZL393292 CJH393292 CTD393292 DCZ393292 DMV393292 DWR393292 EGN393292 EQJ393292 FAF393292 FKB393292 FTX393292 GDT393292 GNP393292 GXL393292 HHH393292 HRD393292 IAZ393292 IKV393292 IUR393292 JEN393292 JOJ393292 JYF393292 KIB393292 KRX393292 LBT393292 LLP393292 LVL393292 MFH393292 MPD393292 MYZ393292 NIV393292 NSR393292 OCN393292 OMJ393292 OWF393292 PGB393292 PPX393292 PZT393292 QJP393292 QTL393292 RDH393292 RND393292 RWZ393292 SGV393292 SQR393292 TAN393292 TKJ393292 TUF393292 UEB393292 UNX393292 UXT393292 VHP393292 VRL393292 WBH393292 WLD393292 WUZ393292 IN458828 SJ458828 ACF458828 AMB458828 AVX458828 BFT458828 BPP458828 BZL458828 CJH458828 CTD458828 DCZ458828 DMV458828 DWR458828 EGN458828 EQJ458828 FAF458828 FKB458828 FTX458828 GDT458828 GNP458828 GXL458828 HHH458828 HRD458828 IAZ458828 IKV458828 IUR458828 JEN458828 JOJ458828 JYF458828 KIB458828 KRX458828 LBT458828 LLP458828 LVL458828 MFH458828 MPD458828 MYZ458828 NIV458828 NSR458828 OCN458828 OMJ458828 OWF458828 PGB458828 PPX458828 PZT458828 QJP458828 QTL458828 RDH458828 RND458828 RWZ458828 SGV458828 SQR458828 TAN458828 TKJ458828 TUF458828 UEB458828 UNX458828 UXT458828 VHP458828 VRL458828 WBH458828 WLD458828 WUZ458828 IN524364 SJ524364 ACF524364 AMB524364 AVX524364 BFT524364 BPP524364 BZL524364 CJH524364 CTD524364 DCZ524364 DMV524364 DWR524364 EGN524364 EQJ524364 FAF524364 FKB524364 FTX524364 GDT524364 GNP524364 GXL524364 HHH524364 HRD524364 IAZ524364 IKV524364 IUR524364 JEN524364 JOJ524364 JYF524364 KIB524364 KRX524364 LBT524364 LLP524364 LVL524364 MFH524364 MPD524364 MYZ524364 NIV524364 NSR524364 OCN524364 OMJ524364 OWF524364 PGB524364 PPX524364 PZT524364 QJP524364 QTL524364 RDH524364 RND524364 RWZ524364 SGV524364 SQR524364 TAN524364 TKJ524364 TUF524364 UEB524364 UNX524364 UXT524364 VHP524364 VRL524364 WBH524364 WLD524364 WUZ524364 IN589900 SJ589900 ACF589900 AMB589900 AVX589900 BFT589900 BPP589900 BZL589900 CJH589900 CTD589900 DCZ589900 DMV589900 DWR589900 EGN589900 EQJ589900 FAF589900 FKB589900 FTX589900 GDT589900 GNP589900 GXL589900 HHH589900 HRD589900 IAZ589900 IKV589900 IUR589900 JEN589900 JOJ589900 JYF589900 KIB589900 KRX589900 LBT589900 LLP589900 LVL589900 MFH589900 MPD589900 MYZ589900 NIV589900 NSR589900 OCN589900 OMJ589900 OWF589900 PGB589900 PPX589900 PZT589900 QJP589900 QTL589900 RDH589900 RND589900 RWZ589900 SGV589900 SQR589900 TAN589900 TKJ589900 TUF589900 UEB589900 UNX589900 UXT589900 VHP589900 VRL589900 WBH589900 WLD589900 WUZ589900 IN655436 SJ655436 ACF655436 AMB655436 AVX655436 BFT655436 BPP655436 BZL655436 CJH655436 CTD655436 DCZ655436 DMV655436 DWR655436 EGN655436 EQJ655436 FAF655436 FKB655436 FTX655436 GDT655436 GNP655436 GXL655436 HHH655436 HRD655436 IAZ655436 IKV655436 IUR655436 JEN655436 JOJ655436 JYF655436 KIB655436 KRX655436 LBT655436 LLP655436 LVL655436 MFH655436 MPD655436 MYZ655436 NIV655436 NSR655436 OCN655436 OMJ655436 OWF655436 PGB655436 PPX655436 PZT655436 QJP655436 QTL655436 RDH655436 RND655436 RWZ655436 SGV655436 SQR655436 TAN655436 TKJ655436 TUF655436 UEB655436 UNX655436 UXT655436 VHP655436 VRL655436 WBH655436 WLD655436 WUZ655436 IN720972 SJ720972 ACF720972 AMB720972 AVX720972 BFT720972 BPP720972 BZL720972 CJH720972 CTD720972 DCZ720972 DMV720972 DWR720972 EGN720972 EQJ720972 FAF720972 FKB720972 FTX720972 GDT720972 GNP720972 GXL720972 HHH720972 HRD720972 IAZ720972 IKV720972 IUR720972 JEN720972 JOJ720972 JYF720972 KIB720972 KRX720972 LBT720972 LLP720972 LVL720972 MFH720972 MPD720972 MYZ720972 NIV720972 NSR720972 OCN720972 OMJ720972 OWF720972 PGB720972 PPX720972 PZT720972 QJP720972 QTL720972 RDH720972 RND720972 RWZ720972 SGV720972 SQR720972 TAN720972 TKJ720972 TUF720972 UEB720972 UNX720972 UXT720972 VHP720972 VRL720972 WBH720972 WLD720972 WUZ720972 IN786508 SJ786508 ACF786508 AMB786508 AVX786508 BFT786508 BPP786508 BZL786508 CJH786508 CTD786508 DCZ786508 DMV786508 DWR786508 EGN786508 EQJ786508 FAF786508 FKB786508 FTX786508 GDT786508 GNP786508 GXL786508 HHH786508 HRD786508 IAZ786508 IKV786508 IUR786508 JEN786508 JOJ786508 JYF786508 KIB786508 KRX786508 LBT786508 LLP786508 LVL786508 MFH786508 MPD786508 MYZ786508 NIV786508 NSR786508 OCN786508 OMJ786508 OWF786508 PGB786508 PPX786508 PZT786508 QJP786508 QTL786508 RDH786508 RND786508 RWZ786508 SGV786508 SQR786508 TAN786508 TKJ786508 TUF786508 UEB786508 UNX786508 UXT786508 VHP786508 VRL786508 WBH786508 WLD786508 WUZ786508 IN852044 SJ852044 ACF852044 AMB852044 AVX852044 BFT852044 BPP852044 BZL852044 CJH852044 CTD852044 DCZ852044 DMV852044 DWR852044 EGN852044 EQJ852044 FAF852044 FKB852044 FTX852044 GDT852044 GNP852044 GXL852044 HHH852044 HRD852044 IAZ852044 IKV852044 IUR852044 JEN852044 JOJ852044 JYF852044 KIB852044 KRX852044 LBT852044 LLP852044 LVL852044 MFH852044 MPD852044 MYZ852044 NIV852044 NSR852044 OCN852044 OMJ852044 OWF852044 PGB852044 PPX852044 PZT852044 QJP852044 QTL852044 RDH852044 RND852044 RWZ852044 SGV852044 SQR852044 TAN852044 TKJ852044 TUF852044 UEB852044 UNX852044 UXT852044 VHP852044 VRL852044 WBH852044 WLD852044 WUZ852044 IN917580 SJ917580 ACF917580 AMB917580 AVX917580 BFT917580 BPP917580 BZL917580 CJH917580 CTD917580 DCZ917580 DMV917580 DWR917580 EGN917580 EQJ917580 FAF917580 FKB917580 FTX917580 GDT917580 GNP917580 GXL917580 HHH917580 HRD917580 IAZ917580 IKV917580 IUR917580 JEN917580 JOJ917580 JYF917580 KIB917580 KRX917580 LBT917580 LLP917580 LVL917580 MFH917580 MPD917580 MYZ917580 NIV917580 NSR917580 OCN917580 OMJ917580 OWF917580 PGB917580 PPX917580 PZT917580 QJP917580 QTL917580 RDH917580 RND917580 RWZ917580 SGV917580 SQR917580 TAN917580 TKJ917580 TUF917580 UEB917580 UNX917580 UXT917580 VHP917580 VRL917580 WBH917580 WLD917580 WUZ917580 IN983116 SJ983116 ACF983116 AMB983116 AVX983116 BFT983116 BPP983116 BZL983116 CJH983116 CTD983116 DCZ983116 DMV983116 DWR983116 EGN983116 EQJ983116 FAF983116 FKB983116 FTX983116 GDT983116 GNP983116 GXL983116 HHH983116 HRD983116 IAZ983116 IKV983116 IUR983116 JEN983116 JOJ983116 JYF983116 KIB983116 KRX983116 LBT983116 LLP983116 LVL983116 MFH983116 MPD983116 MYZ983116 NIV983116 NSR983116 OCN983116 OMJ983116 OWF983116 PGB983116 PPX983116 PZT983116 QJP983116 QTL983116 RDH983116 RND983116 RWZ983116 SGV983116 SQR983116 TAN983116 TKJ983116 TUF983116 UEB983116 UNX983116 UXT983116 VHP983116 VRL983116 WBH983116 WLD983116 WUZ983116 IN86 SJ86 ACF86 AMB86 AVX86 BFT86 BPP86 BZL86 CJH86 CTD86 DCZ86 DMV86 DWR86 EGN86 EQJ86 FAF86 FKB86 FTX86 GDT86 GNP86 GXL86 HHH86 HRD86 IAZ86 IKV86 IUR86 JEN86 JOJ86 JYF86 KIB86 KRX86 LBT86 LLP86 LVL86 MFH86 MPD86 MYZ86 NIV86 NSR86 OCN86 OMJ86 OWF86 PGB86 PPX86 PZT86 QJP86 QTL86 RDH86 RND86 RWZ86 SGV86 SQR86 TAN86 TKJ86 TUF86 UEB86 UNX86 UXT86 VHP86 VRL86 WBH86 WLD86 WUZ86 IN65622 SJ65622 ACF65622 AMB65622 AVX65622 BFT65622 BPP65622 BZL65622 CJH65622 CTD65622 DCZ65622 DMV65622 DWR65622 EGN65622 EQJ65622 FAF65622 FKB65622 FTX65622 GDT65622 GNP65622 GXL65622 HHH65622 HRD65622 IAZ65622 IKV65622 IUR65622 JEN65622 JOJ65622 JYF65622 KIB65622 KRX65622 LBT65622 LLP65622 LVL65622 MFH65622 MPD65622 MYZ65622 NIV65622 NSR65622 OCN65622 OMJ65622 OWF65622 PGB65622 PPX65622 PZT65622 QJP65622 QTL65622 RDH65622 RND65622 RWZ65622 SGV65622 SQR65622 TAN65622 TKJ65622 TUF65622 UEB65622 UNX65622 UXT65622 VHP65622 VRL65622 WBH65622 WLD65622 WUZ65622 IN131158 SJ131158 ACF131158 AMB131158 AVX131158 BFT131158 BPP131158 BZL131158 CJH131158 CTD131158 DCZ131158 DMV131158 DWR131158 EGN131158 EQJ131158 FAF131158 FKB131158 FTX131158 GDT131158 GNP131158 GXL131158 HHH131158 HRD131158 IAZ131158 IKV131158 IUR131158 JEN131158 JOJ131158 JYF131158 KIB131158 KRX131158 LBT131158 LLP131158 LVL131158 MFH131158 MPD131158 MYZ131158 NIV131158 NSR131158 OCN131158 OMJ131158 OWF131158 PGB131158 PPX131158 PZT131158 QJP131158 QTL131158 RDH131158 RND131158 RWZ131158 SGV131158 SQR131158 TAN131158 TKJ131158 TUF131158 UEB131158 UNX131158 UXT131158 VHP131158 VRL131158 WBH131158 WLD131158 WUZ131158 IN196694 SJ196694 ACF196694 AMB196694 AVX196694 BFT196694 BPP196694 BZL196694 CJH196694 CTD196694 DCZ196694 DMV196694 DWR196694 EGN196694 EQJ196694 FAF196694 FKB196694 FTX196694 GDT196694 GNP196694 GXL196694 HHH196694 HRD196694 IAZ196694 IKV196694 IUR196694 JEN196694 JOJ196694 JYF196694 KIB196694 KRX196694 LBT196694 LLP196694 LVL196694 MFH196694 MPD196694 MYZ196694 NIV196694 NSR196694 OCN196694 OMJ196694 OWF196694 PGB196694 PPX196694 PZT196694 QJP196694 QTL196694 RDH196694 RND196694 RWZ196694 SGV196694 SQR196694 TAN196694 TKJ196694 TUF196694 UEB196694 UNX196694 UXT196694 VHP196694 VRL196694 WBH196694 WLD196694 WUZ196694 IN262230 SJ262230 ACF262230 AMB262230 AVX262230 BFT262230 BPP262230 BZL262230 CJH262230 CTD262230 DCZ262230 DMV262230 DWR262230 EGN262230 EQJ262230 FAF262230 FKB262230 FTX262230 GDT262230 GNP262230 GXL262230 HHH262230 HRD262230 IAZ262230 IKV262230 IUR262230 JEN262230 JOJ262230 JYF262230 KIB262230 KRX262230 LBT262230 LLP262230 LVL262230 MFH262230 MPD262230 MYZ262230 NIV262230 NSR262230 OCN262230 OMJ262230 OWF262230 PGB262230 PPX262230 PZT262230 QJP262230 QTL262230 RDH262230 RND262230 RWZ262230 SGV262230 SQR262230 TAN262230 TKJ262230 TUF262230 UEB262230 UNX262230 UXT262230 VHP262230 VRL262230 WBH262230 WLD262230 WUZ262230 IN327766 SJ327766 ACF327766 AMB327766 AVX327766 BFT327766 BPP327766 BZL327766 CJH327766 CTD327766 DCZ327766 DMV327766 DWR327766 EGN327766 EQJ327766 FAF327766 FKB327766 FTX327766 GDT327766 GNP327766 GXL327766 HHH327766 HRD327766 IAZ327766 IKV327766 IUR327766 JEN327766 JOJ327766 JYF327766 KIB327766 KRX327766 LBT327766 LLP327766 LVL327766 MFH327766 MPD327766 MYZ327766 NIV327766 NSR327766 OCN327766 OMJ327766 OWF327766 PGB327766 PPX327766 PZT327766 QJP327766 QTL327766 RDH327766 RND327766 RWZ327766 SGV327766 SQR327766 TAN327766 TKJ327766 TUF327766 UEB327766 UNX327766 UXT327766 VHP327766 VRL327766 WBH327766 WLD327766 WUZ327766 IN393302 SJ393302 ACF393302 AMB393302 AVX393302 BFT393302 BPP393302 BZL393302 CJH393302 CTD393302 DCZ393302 DMV393302 DWR393302 EGN393302 EQJ393302 FAF393302 FKB393302 FTX393302 GDT393302 GNP393302 GXL393302 HHH393302 HRD393302 IAZ393302 IKV393302 IUR393302 JEN393302 JOJ393302 JYF393302 KIB393302 KRX393302 LBT393302 LLP393302 LVL393302 MFH393302 MPD393302 MYZ393302 NIV393302 NSR393302 OCN393302 OMJ393302 OWF393302 PGB393302 PPX393302 PZT393302 QJP393302 QTL393302 RDH393302 RND393302 RWZ393302 SGV393302 SQR393302 TAN393302 TKJ393302 TUF393302 UEB393302 UNX393302 UXT393302 VHP393302 VRL393302 WBH393302 WLD393302 WUZ393302 IN458838 SJ458838 ACF458838 AMB458838 AVX458838 BFT458838 BPP458838 BZL458838 CJH458838 CTD458838 DCZ458838 DMV458838 DWR458838 EGN458838 EQJ458838 FAF458838 FKB458838 FTX458838 GDT458838 GNP458838 GXL458838 HHH458838 HRD458838 IAZ458838 IKV458838 IUR458838 JEN458838 JOJ458838 JYF458838 KIB458838 KRX458838 LBT458838 LLP458838 LVL458838 MFH458838 MPD458838 MYZ458838 NIV458838 NSR458838 OCN458838 OMJ458838 OWF458838 PGB458838 PPX458838 PZT458838 QJP458838 QTL458838 RDH458838 RND458838 RWZ458838 SGV458838 SQR458838 TAN458838 TKJ458838 TUF458838 UEB458838 UNX458838 UXT458838 VHP458838 VRL458838 WBH458838 WLD458838 WUZ458838 IN524374 SJ524374 ACF524374 AMB524374 AVX524374 BFT524374 BPP524374 BZL524374 CJH524374 CTD524374 DCZ524374 DMV524374 DWR524374 EGN524374 EQJ524374 FAF524374 FKB524374 FTX524374 GDT524374 GNP524374 GXL524374 HHH524374 HRD524374 IAZ524374 IKV524374 IUR524374 JEN524374 JOJ524374 JYF524374 KIB524374 KRX524374 LBT524374 LLP524374 LVL524374 MFH524374 MPD524374 MYZ524374 NIV524374 NSR524374 OCN524374 OMJ524374 OWF524374 PGB524374 PPX524374 PZT524374 QJP524374 QTL524374 RDH524374 RND524374 RWZ524374 SGV524374 SQR524374 TAN524374 TKJ524374 TUF524374 UEB524374 UNX524374 UXT524374 VHP524374 VRL524374 WBH524374 WLD524374 WUZ524374 IN589910 SJ589910 ACF589910 AMB589910 AVX589910 BFT589910 BPP589910 BZL589910 CJH589910 CTD589910 DCZ589910 DMV589910 DWR589910 EGN589910 EQJ589910 FAF589910 FKB589910 FTX589910 GDT589910 GNP589910 GXL589910 HHH589910 HRD589910 IAZ589910 IKV589910 IUR589910 JEN589910 JOJ589910 JYF589910 KIB589910 KRX589910 LBT589910 LLP589910 LVL589910 MFH589910 MPD589910 MYZ589910 NIV589910 NSR589910 OCN589910 OMJ589910 OWF589910 PGB589910 PPX589910 PZT589910 QJP589910 QTL589910 RDH589910 RND589910 RWZ589910 SGV589910 SQR589910 TAN589910 TKJ589910 TUF589910 UEB589910 UNX589910 UXT589910 VHP589910 VRL589910 WBH589910 WLD589910 WUZ589910 IN655446 SJ655446 ACF655446 AMB655446 AVX655446 BFT655446 BPP655446 BZL655446 CJH655446 CTD655446 DCZ655446 DMV655446 DWR655446 EGN655446 EQJ655446 FAF655446 FKB655446 FTX655446 GDT655446 GNP655446 GXL655446 HHH655446 HRD655446 IAZ655446 IKV655446 IUR655446 JEN655446 JOJ655446 JYF655446 KIB655446 KRX655446 LBT655446 LLP655446 LVL655446 MFH655446 MPD655446 MYZ655446 NIV655446 NSR655446 OCN655446 OMJ655446 OWF655446 PGB655446 PPX655446 PZT655446 QJP655446 QTL655446 RDH655446 RND655446 RWZ655446 SGV655446 SQR655446 TAN655446 TKJ655446 TUF655446 UEB655446 UNX655446 UXT655446 VHP655446 VRL655446 WBH655446 WLD655446 WUZ655446 IN720982 SJ720982 ACF720982 AMB720982 AVX720982 BFT720982 BPP720982 BZL720982 CJH720982 CTD720982 DCZ720982 DMV720982 DWR720982 EGN720982 EQJ720982 FAF720982 FKB720982 FTX720982 GDT720982 GNP720982 GXL720982 HHH720982 HRD720982 IAZ720982 IKV720982 IUR720982 JEN720982 JOJ720982 JYF720982 KIB720982 KRX720982 LBT720982 LLP720982 LVL720982 MFH720982 MPD720982 MYZ720982 NIV720982 NSR720982 OCN720982 OMJ720982 OWF720982 PGB720982 PPX720982 PZT720982 QJP720982 QTL720982 RDH720982 RND720982 RWZ720982 SGV720982 SQR720982 TAN720982 TKJ720982 TUF720982 UEB720982 UNX720982 UXT720982 VHP720982 VRL720982 WBH720982 WLD720982 WUZ720982 IN786518 SJ786518 ACF786518 AMB786518 AVX786518 BFT786518 BPP786518 BZL786518 CJH786518 CTD786518 DCZ786518 DMV786518 DWR786518 EGN786518 EQJ786518 FAF786518 FKB786518 FTX786518 GDT786518 GNP786518 GXL786518 HHH786518 HRD786518 IAZ786518 IKV786518 IUR786518 JEN786518 JOJ786518 JYF786518 KIB786518 KRX786518 LBT786518 LLP786518 LVL786518 MFH786518 MPD786518 MYZ786518 NIV786518 NSR786518 OCN786518 OMJ786518 OWF786518 PGB786518 PPX786518 PZT786518 QJP786518 QTL786518 RDH786518 RND786518 RWZ786518 SGV786518 SQR786518 TAN786518 TKJ786518 TUF786518 UEB786518 UNX786518 UXT786518 VHP786518 VRL786518 WBH786518 WLD786518 WUZ786518 IN852054 SJ852054 ACF852054 AMB852054 AVX852054 BFT852054 BPP852054 BZL852054 CJH852054 CTD852054 DCZ852054 DMV852054 DWR852054 EGN852054 EQJ852054 FAF852054 FKB852054 FTX852054 GDT852054 GNP852054 GXL852054 HHH852054 HRD852054 IAZ852054 IKV852054 IUR852054 JEN852054 JOJ852054 JYF852054 KIB852054 KRX852054 LBT852054 LLP852054 LVL852054 MFH852054 MPD852054 MYZ852054 NIV852054 NSR852054 OCN852054 OMJ852054 OWF852054 PGB852054 PPX852054 PZT852054 QJP852054 QTL852054 RDH852054 RND852054 RWZ852054 SGV852054 SQR852054 TAN852054 TKJ852054 TUF852054 UEB852054 UNX852054 UXT852054 VHP852054 VRL852054 WBH852054 WLD852054 WUZ852054 IN917590 SJ917590 ACF917590 AMB917590 AVX917590 BFT917590 BPP917590 BZL917590 CJH917590 CTD917590 DCZ917590 DMV917590 DWR917590 EGN917590 EQJ917590 FAF917590 FKB917590 FTX917590 GDT917590 GNP917590 GXL917590 HHH917590 HRD917590 IAZ917590 IKV917590 IUR917590 JEN917590 JOJ917590 JYF917590 KIB917590 KRX917590 LBT917590 LLP917590 LVL917590 MFH917590 MPD917590 MYZ917590 NIV917590 NSR917590 OCN917590 OMJ917590 OWF917590 PGB917590 PPX917590 PZT917590 QJP917590 QTL917590 RDH917590 RND917590 RWZ917590 SGV917590 SQR917590 TAN917590 TKJ917590 TUF917590 UEB917590 UNX917590 UXT917590 VHP917590 VRL917590 WBH917590 WLD917590 WUZ917590 IN983126 SJ983126 ACF983126 AMB983126 AVX983126 BFT983126 BPP983126 BZL983126 CJH983126 CTD983126 DCZ983126 DMV983126 DWR983126 EGN983126 EQJ983126 FAF983126 FKB983126 FTX983126 GDT983126 GNP983126 GXL983126 HHH983126 HRD983126 IAZ983126 IKV983126 IUR983126 JEN983126 JOJ983126 JYF983126 KIB983126 KRX983126 LBT983126 LLP983126 LVL983126 MFH983126 MPD983126 MYZ983126 NIV983126 NSR983126 OCN983126 OMJ983126 OWF983126 PGB983126 PPX983126 PZT983126 QJP983126 QTL983126 RDH983126 RND983126 RWZ983126 SGV983126 SQR983126 TAN983126 TKJ983126 TUF983126 UEB983126 UNX983126 UXT983126 VHP983126 VRL983126 WBH983126 WLD983126 WUZ983126 IN46 SJ46 ACF46 AMB46 AVX46 BFT46 BPP46 BZL46 CJH46 CTD46 DCZ46 DMV46 DWR46 EGN46 EQJ46 FAF46 FKB46 FTX46 GDT46 GNP46 GXL46 HHH46 HRD46 IAZ46 IKV46 IUR46 JEN46 JOJ46 JYF46 KIB46 KRX46 LBT46 LLP46 LVL46 MFH46 MPD46 MYZ46 NIV46 NSR46 OCN46 OMJ46 OWF46 PGB46 PPX46 PZT46 QJP46 QTL46 RDH46 RND46 RWZ46 SGV46 SQR46 TAN46 TKJ46 TUF46 UEB46 UNX46 UXT46 VHP46 VRL46 WBH46 WLD46 WUZ46 IN65582 SJ65582 ACF65582 AMB65582 AVX65582 BFT65582 BPP65582 BZL65582 CJH65582 CTD65582 DCZ65582 DMV65582 DWR65582 EGN65582 EQJ65582 FAF65582 FKB65582 FTX65582 GDT65582 GNP65582 GXL65582 HHH65582 HRD65582 IAZ65582 IKV65582 IUR65582 JEN65582 JOJ65582 JYF65582 KIB65582 KRX65582 LBT65582 LLP65582 LVL65582 MFH65582 MPD65582 MYZ65582 NIV65582 NSR65582 OCN65582 OMJ65582 OWF65582 PGB65582 PPX65582 PZT65582 QJP65582 QTL65582 RDH65582 RND65582 RWZ65582 SGV65582 SQR65582 TAN65582 TKJ65582 TUF65582 UEB65582 UNX65582 UXT65582 VHP65582 VRL65582 WBH65582 WLD65582 WUZ65582 IN131118 SJ131118 ACF131118 AMB131118 AVX131118 BFT131118 BPP131118 BZL131118 CJH131118 CTD131118 DCZ131118 DMV131118 DWR131118 EGN131118 EQJ131118 FAF131118 FKB131118 FTX131118 GDT131118 GNP131118 GXL131118 HHH131118 HRD131118 IAZ131118 IKV131118 IUR131118 JEN131118 JOJ131118 JYF131118 KIB131118 KRX131118 LBT131118 LLP131118 LVL131118 MFH131118 MPD131118 MYZ131118 NIV131118 NSR131118 OCN131118 OMJ131118 OWF131118 PGB131118 PPX131118 PZT131118 QJP131118 QTL131118 RDH131118 RND131118 RWZ131118 SGV131118 SQR131118 TAN131118 TKJ131118 TUF131118 UEB131118 UNX131118 UXT131118 VHP131118 VRL131118 WBH131118 WLD131118 WUZ131118 IN196654 SJ196654 ACF196654 AMB196654 AVX196654 BFT196654 BPP196654 BZL196654 CJH196654 CTD196654 DCZ196654 DMV196654 DWR196654 EGN196654 EQJ196654 FAF196654 FKB196654 FTX196654 GDT196654 GNP196654 GXL196654 HHH196654 HRD196654 IAZ196654 IKV196654 IUR196654 JEN196654 JOJ196654 JYF196654 KIB196654 KRX196654 LBT196654 LLP196654 LVL196654 MFH196654 MPD196654 MYZ196654 NIV196654 NSR196654 OCN196654 OMJ196654 OWF196654 PGB196654 PPX196654 PZT196654 QJP196654 QTL196654 RDH196654 RND196654 RWZ196654 SGV196654 SQR196654 TAN196654 TKJ196654 TUF196654 UEB196654 UNX196654 UXT196654 VHP196654 VRL196654 WBH196654 WLD196654 WUZ196654 IN262190 SJ262190 ACF262190 AMB262190 AVX262190 BFT262190 BPP262190 BZL262190 CJH262190 CTD262190 DCZ262190 DMV262190 DWR262190 EGN262190 EQJ262190 FAF262190 FKB262190 FTX262190 GDT262190 GNP262190 GXL262190 HHH262190 HRD262190 IAZ262190 IKV262190 IUR262190 JEN262190 JOJ262190 JYF262190 KIB262190 KRX262190 LBT262190 LLP262190 LVL262190 MFH262190 MPD262190 MYZ262190 NIV262190 NSR262190 OCN262190 OMJ262190 OWF262190 PGB262190 PPX262190 PZT262190 QJP262190 QTL262190 RDH262190 RND262190 RWZ262190 SGV262190 SQR262190 TAN262190 TKJ262190 TUF262190 UEB262190 UNX262190 UXT262190 VHP262190 VRL262190 WBH262190 WLD262190 WUZ262190 IN327726 SJ327726 ACF327726 AMB327726 AVX327726 BFT327726 BPP327726 BZL327726 CJH327726 CTD327726 DCZ327726 DMV327726 DWR327726 EGN327726 EQJ327726 FAF327726 FKB327726 FTX327726 GDT327726 GNP327726 GXL327726 HHH327726 HRD327726 IAZ327726 IKV327726 IUR327726 JEN327726 JOJ327726 JYF327726 KIB327726 KRX327726 LBT327726 LLP327726 LVL327726 MFH327726 MPD327726 MYZ327726 NIV327726 NSR327726 OCN327726 OMJ327726 OWF327726 PGB327726 PPX327726 PZT327726 QJP327726 QTL327726 RDH327726 RND327726 RWZ327726 SGV327726 SQR327726 TAN327726 TKJ327726 TUF327726 UEB327726 UNX327726 UXT327726 VHP327726 VRL327726 WBH327726 WLD327726 WUZ327726 IN393262 SJ393262 ACF393262 AMB393262 AVX393262 BFT393262 BPP393262 BZL393262 CJH393262 CTD393262 DCZ393262 DMV393262 DWR393262 EGN393262 EQJ393262 FAF393262 FKB393262 FTX393262 GDT393262 GNP393262 GXL393262 HHH393262 HRD393262 IAZ393262 IKV393262 IUR393262 JEN393262 JOJ393262 JYF393262 KIB393262 KRX393262 LBT393262 LLP393262 LVL393262 MFH393262 MPD393262 MYZ393262 NIV393262 NSR393262 OCN393262 OMJ393262 OWF393262 PGB393262 PPX393262 PZT393262 QJP393262 QTL393262 RDH393262 RND393262 RWZ393262 SGV393262 SQR393262 TAN393262 TKJ393262 TUF393262 UEB393262 UNX393262 UXT393262 VHP393262 VRL393262 WBH393262 WLD393262 WUZ393262 IN458798 SJ458798 ACF458798 AMB458798 AVX458798 BFT458798 BPP458798 BZL458798 CJH458798 CTD458798 DCZ458798 DMV458798 DWR458798 EGN458798 EQJ458798 FAF458798 FKB458798 FTX458798 GDT458798 GNP458798 GXL458798 HHH458798 HRD458798 IAZ458798 IKV458798 IUR458798 JEN458798 JOJ458798 JYF458798 KIB458798 KRX458798 LBT458798 LLP458798 LVL458798 MFH458798 MPD458798 MYZ458798 NIV458798 NSR458798 OCN458798 OMJ458798 OWF458798 PGB458798 PPX458798 PZT458798 QJP458798 QTL458798 RDH458798 RND458798 RWZ458798 SGV458798 SQR458798 TAN458798 TKJ458798 TUF458798 UEB458798 UNX458798 UXT458798 VHP458798 VRL458798 WBH458798 WLD458798 WUZ458798 IN524334 SJ524334 ACF524334 AMB524334 AVX524334 BFT524334 BPP524334 BZL524334 CJH524334 CTD524334 DCZ524334 DMV524334 DWR524334 EGN524334 EQJ524334 FAF524334 FKB524334 FTX524334 GDT524334 GNP524334 GXL524334 HHH524334 HRD524334 IAZ524334 IKV524334 IUR524334 JEN524334 JOJ524334 JYF524334 KIB524334 KRX524334 LBT524334 LLP524334 LVL524334 MFH524334 MPD524334 MYZ524334 NIV524334 NSR524334 OCN524334 OMJ524334 OWF524334 PGB524334 PPX524334 PZT524334 QJP524334 QTL524334 RDH524334 RND524334 RWZ524334 SGV524334 SQR524334 TAN524334 TKJ524334 TUF524334 UEB524334 UNX524334 UXT524334 VHP524334 VRL524334 WBH524334 WLD524334 WUZ524334 IN589870 SJ589870 ACF589870 AMB589870 AVX589870 BFT589870 BPP589870 BZL589870 CJH589870 CTD589870 DCZ589870 DMV589870 DWR589870 EGN589870 EQJ589870 FAF589870 FKB589870 FTX589870 GDT589870 GNP589870 GXL589870 HHH589870 HRD589870 IAZ589870 IKV589870 IUR589870 JEN589870 JOJ589870 JYF589870 KIB589870 KRX589870 LBT589870 LLP589870 LVL589870 MFH589870 MPD589870 MYZ589870 NIV589870 NSR589870 OCN589870 OMJ589870 OWF589870 PGB589870 PPX589870 PZT589870 QJP589870 QTL589870 RDH589870 RND589870 RWZ589870 SGV589870 SQR589870 TAN589870 TKJ589870 TUF589870 UEB589870 UNX589870 UXT589870 VHP589870 VRL589870 WBH589870 WLD589870 WUZ589870 IN655406 SJ655406 ACF655406 AMB655406 AVX655406 BFT655406 BPP655406 BZL655406 CJH655406 CTD655406 DCZ655406 DMV655406 DWR655406 EGN655406 EQJ655406 FAF655406 FKB655406 FTX655406 GDT655406 GNP655406 GXL655406 HHH655406 HRD655406 IAZ655406 IKV655406 IUR655406 JEN655406 JOJ655406 JYF655406 KIB655406 KRX655406 LBT655406 LLP655406 LVL655406 MFH655406 MPD655406 MYZ655406 NIV655406 NSR655406 OCN655406 OMJ655406 OWF655406 PGB655406 PPX655406 PZT655406 QJP655406 QTL655406 RDH655406 RND655406 RWZ655406 SGV655406 SQR655406 TAN655406 TKJ655406 TUF655406 UEB655406 UNX655406 UXT655406 VHP655406 VRL655406 WBH655406 WLD655406 WUZ655406 IN720942 SJ720942 ACF720942 AMB720942 AVX720942 BFT720942 BPP720942 BZL720942 CJH720942 CTD720942 DCZ720942 DMV720942 DWR720942 EGN720942 EQJ720942 FAF720942 FKB720942 FTX720942 GDT720942 GNP720942 GXL720942 HHH720942 HRD720942 IAZ720942 IKV720942 IUR720942 JEN720942 JOJ720942 JYF720942 KIB720942 KRX720942 LBT720942 LLP720942 LVL720942 MFH720942 MPD720942 MYZ720942 NIV720942 NSR720942 OCN720942 OMJ720942 OWF720942 PGB720942 PPX720942 PZT720942 QJP720942 QTL720942 RDH720942 RND720942 RWZ720942 SGV720942 SQR720942 TAN720942 TKJ720942 TUF720942 UEB720942 UNX720942 UXT720942 VHP720942 VRL720942 WBH720942 WLD720942 WUZ720942 IN786478 SJ786478 ACF786478 AMB786478 AVX786478 BFT786478 BPP786478 BZL786478 CJH786478 CTD786478 DCZ786478 DMV786478 DWR786478 EGN786478 EQJ786478 FAF786478 FKB786478 FTX786478 GDT786478 GNP786478 GXL786478 HHH786478 HRD786478 IAZ786478 IKV786478 IUR786478 JEN786478 JOJ786478 JYF786478 KIB786478 KRX786478 LBT786478 LLP786478 LVL786478 MFH786478 MPD786478 MYZ786478 NIV786478 NSR786478 OCN786478 OMJ786478 OWF786478 PGB786478 PPX786478 PZT786478 QJP786478 QTL786478 RDH786478 RND786478 RWZ786478 SGV786478 SQR786478 TAN786478 TKJ786478 TUF786478 UEB786478 UNX786478 UXT786478 VHP786478 VRL786478 WBH786478 WLD786478 WUZ786478 IN852014 SJ852014 ACF852014 AMB852014 AVX852014 BFT852014 BPP852014 BZL852014 CJH852014 CTD852014 DCZ852014 DMV852014 DWR852014 EGN852014 EQJ852014 FAF852014 FKB852014 FTX852014 GDT852014 GNP852014 GXL852014 HHH852014 HRD852014 IAZ852014 IKV852014 IUR852014 JEN852014 JOJ852014 JYF852014 KIB852014 KRX852014 LBT852014 LLP852014 LVL852014 MFH852014 MPD852014 MYZ852014 NIV852014 NSR852014 OCN852014 OMJ852014 OWF852014 PGB852014 PPX852014 PZT852014 QJP852014 QTL852014 RDH852014 RND852014 RWZ852014 SGV852014 SQR852014 TAN852014 TKJ852014 TUF852014 UEB852014 UNX852014 UXT852014 VHP852014 VRL852014 WBH852014 WLD852014 WUZ852014 IN917550 SJ917550 ACF917550 AMB917550 AVX917550 BFT917550 BPP917550 BZL917550 CJH917550 CTD917550 DCZ917550 DMV917550 DWR917550 EGN917550 EQJ917550 FAF917550 FKB917550 FTX917550 GDT917550 GNP917550 GXL917550 HHH917550 HRD917550 IAZ917550 IKV917550 IUR917550 JEN917550 JOJ917550 JYF917550 KIB917550 KRX917550 LBT917550 LLP917550 LVL917550 MFH917550 MPD917550 MYZ917550 NIV917550 NSR917550 OCN917550 OMJ917550 OWF917550 PGB917550 PPX917550 PZT917550 QJP917550 QTL917550 RDH917550 RND917550 RWZ917550 SGV917550 SQR917550 TAN917550 TKJ917550 TUF917550 UEB917550 UNX917550 UXT917550 VHP917550 VRL917550 WBH917550 WLD917550 WUZ917550 IN983086 SJ983086 ACF983086 AMB983086 AVX983086 BFT983086 BPP983086 BZL983086 CJH983086 CTD983086 DCZ983086 DMV983086 DWR983086 EGN983086 EQJ983086 FAF983086 FKB983086 FTX983086 GDT983086 GNP983086 GXL983086 HHH983086 HRD983086 IAZ983086 IKV983086 IUR983086 JEN983086 JOJ983086 JYF983086 KIB983086 KRX983086 LBT983086 LLP983086 LVL983086 MFH983086 MPD983086 MYZ983086 NIV983086 NSR983086 OCN983086 OMJ983086 OWF983086 PGB983086 PPX983086 PZT983086 QJP983086 QTL983086 RDH983086 RND983086 RWZ983086 SGV983086 SQR983086 TAN983086 TKJ983086 TUF983086 UEB983086 UNX983086 UXT983086 VHP983086 VRL983086 WBH983086 WLD983086 WUZ983086 IN106 SJ106 ACF106 AMB106 AVX106 BFT106 BPP106 BZL106 CJH106 CTD106 DCZ106 DMV106 DWR106 EGN106 EQJ106 FAF106 FKB106 FTX106 GDT106 GNP106 GXL106 HHH106 HRD106 IAZ106 IKV106 IUR106 JEN106 JOJ106 JYF106 KIB106 KRX106 LBT106 LLP106 LVL106 MFH106 MPD106 MYZ106 NIV106 NSR106 OCN106 OMJ106 OWF106 PGB106 PPX106 PZT106 QJP106 QTL106 RDH106 RND106 RWZ106 SGV106 SQR106 TAN106 TKJ106 TUF106 UEB106 UNX106 UXT106 VHP106 VRL106 WBH106 WLD106 WUZ106 IN65642 SJ65642 ACF65642 AMB65642 AVX65642 BFT65642 BPP65642 BZL65642 CJH65642 CTD65642 DCZ65642 DMV65642 DWR65642 EGN65642 EQJ65642 FAF65642 FKB65642 FTX65642 GDT65642 GNP65642 GXL65642 HHH65642 HRD65642 IAZ65642 IKV65642 IUR65642 JEN65642 JOJ65642 JYF65642 KIB65642 KRX65642 LBT65642 LLP65642 LVL65642 MFH65642 MPD65642 MYZ65642 NIV65642 NSR65642 OCN65642 OMJ65642 OWF65642 PGB65642 PPX65642 PZT65642 QJP65642 QTL65642 RDH65642 RND65642 RWZ65642 SGV65642 SQR65642 TAN65642 TKJ65642 TUF65642 UEB65642 UNX65642 UXT65642 VHP65642 VRL65642 WBH65642 WLD65642 WUZ65642 IN131178 SJ131178 ACF131178 AMB131178 AVX131178 BFT131178 BPP131178 BZL131178 CJH131178 CTD131178 DCZ131178 DMV131178 DWR131178 EGN131178 EQJ131178 FAF131178 FKB131178 FTX131178 GDT131178 GNP131178 GXL131178 HHH131178 HRD131178 IAZ131178 IKV131178 IUR131178 JEN131178 JOJ131178 JYF131178 KIB131178 KRX131178 LBT131178 LLP131178 LVL131178 MFH131178 MPD131178 MYZ131178 NIV131178 NSR131178 OCN131178 OMJ131178 OWF131178 PGB131178 PPX131178 PZT131178 QJP131178 QTL131178 RDH131178 RND131178 RWZ131178 SGV131178 SQR131178 TAN131178 TKJ131178 TUF131178 UEB131178 UNX131178 UXT131178 VHP131178 VRL131178 WBH131178 WLD131178 WUZ131178 IN196714 SJ196714 ACF196714 AMB196714 AVX196714 BFT196714 BPP196714 BZL196714 CJH196714 CTD196714 DCZ196714 DMV196714 DWR196714 EGN196714 EQJ196714 FAF196714 FKB196714 FTX196714 GDT196714 GNP196714 GXL196714 HHH196714 HRD196714 IAZ196714 IKV196714 IUR196714 JEN196714 JOJ196714 JYF196714 KIB196714 KRX196714 LBT196714 LLP196714 LVL196714 MFH196714 MPD196714 MYZ196714 NIV196714 NSR196714 OCN196714 OMJ196714 OWF196714 PGB196714 PPX196714 PZT196714 QJP196714 QTL196714 RDH196714 RND196714 RWZ196714 SGV196714 SQR196714 TAN196714 TKJ196714 TUF196714 UEB196714 UNX196714 UXT196714 VHP196714 VRL196714 WBH196714 WLD196714 WUZ196714 IN262250 SJ262250 ACF262250 AMB262250 AVX262250 BFT262250 BPP262250 BZL262250 CJH262250 CTD262250 DCZ262250 DMV262250 DWR262250 EGN262250 EQJ262250 FAF262250 FKB262250 FTX262250 GDT262250 GNP262250 GXL262250 HHH262250 HRD262250 IAZ262250 IKV262250 IUR262250 JEN262250 JOJ262250 JYF262250 KIB262250 KRX262250 LBT262250 LLP262250 LVL262250 MFH262250 MPD262250 MYZ262250 NIV262250 NSR262250 OCN262250 OMJ262250 OWF262250 PGB262250 PPX262250 PZT262250 QJP262250 QTL262250 RDH262250 RND262250 RWZ262250 SGV262250 SQR262250 TAN262250 TKJ262250 TUF262250 UEB262250 UNX262250 UXT262250 VHP262250 VRL262250 WBH262250 WLD262250 WUZ262250 IN327786 SJ327786 ACF327786 AMB327786 AVX327786 BFT327786 BPP327786 BZL327786 CJH327786 CTD327786 DCZ327786 DMV327786 DWR327786 EGN327786 EQJ327786 FAF327786 FKB327786 FTX327786 GDT327786 GNP327786 GXL327786 HHH327786 HRD327786 IAZ327786 IKV327786 IUR327786 JEN327786 JOJ327786 JYF327786 KIB327786 KRX327786 LBT327786 LLP327786 LVL327786 MFH327786 MPD327786 MYZ327786 NIV327786 NSR327786 OCN327786 OMJ327786 OWF327786 PGB327786 PPX327786 PZT327786 QJP327786 QTL327786 RDH327786 RND327786 RWZ327786 SGV327786 SQR327786 TAN327786 TKJ327786 TUF327786 UEB327786 UNX327786 UXT327786 VHP327786 VRL327786 WBH327786 WLD327786 WUZ327786 IN393322 SJ393322 ACF393322 AMB393322 AVX393322 BFT393322 BPP393322 BZL393322 CJH393322 CTD393322 DCZ393322 DMV393322 DWR393322 EGN393322 EQJ393322 FAF393322 FKB393322 FTX393322 GDT393322 GNP393322 GXL393322 HHH393322 HRD393322 IAZ393322 IKV393322 IUR393322 JEN393322 JOJ393322 JYF393322 KIB393322 KRX393322 LBT393322 LLP393322 LVL393322 MFH393322 MPD393322 MYZ393322 NIV393322 NSR393322 OCN393322 OMJ393322 OWF393322 PGB393322 PPX393322 PZT393322 QJP393322 QTL393322 RDH393322 RND393322 RWZ393322 SGV393322 SQR393322 TAN393322 TKJ393322 TUF393322 UEB393322 UNX393322 UXT393322 VHP393322 VRL393322 WBH393322 WLD393322 WUZ393322 IN458858 SJ458858 ACF458858 AMB458858 AVX458858 BFT458858 BPP458858 BZL458858 CJH458858 CTD458858 DCZ458858 DMV458858 DWR458858 EGN458858 EQJ458858 FAF458858 FKB458858 FTX458858 GDT458858 GNP458858 GXL458858 HHH458858 HRD458858 IAZ458858 IKV458858 IUR458858 JEN458858 JOJ458858 JYF458858 KIB458858 KRX458858 LBT458858 LLP458858 LVL458858 MFH458858 MPD458858 MYZ458858 NIV458858 NSR458858 OCN458858 OMJ458858 OWF458858 PGB458858 PPX458858 PZT458858 QJP458858 QTL458858 RDH458858 RND458858 RWZ458858 SGV458858 SQR458858 TAN458858 TKJ458858 TUF458858 UEB458858 UNX458858 UXT458858 VHP458858 VRL458858 WBH458858 WLD458858 WUZ458858 IN524394 SJ524394 ACF524394 AMB524394 AVX524394 BFT524394 BPP524394 BZL524394 CJH524394 CTD524394 DCZ524394 DMV524394 DWR524394 EGN524394 EQJ524394 FAF524394 FKB524394 FTX524394 GDT524394 GNP524394 GXL524394 HHH524394 HRD524394 IAZ524394 IKV524394 IUR524394 JEN524394 JOJ524394 JYF524394 KIB524394 KRX524394 LBT524394 LLP524394 LVL524394 MFH524394 MPD524394 MYZ524394 NIV524394 NSR524394 OCN524394 OMJ524394 OWF524394 PGB524394 PPX524394 PZT524394 QJP524394 QTL524394 RDH524394 RND524394 RWZ524394 SGV524394 SQR524394 TAN524394 TKJ524394 TUF524394 UEB524394 UNX524394 UXT524394 VHP524394 VRL524394 WBH524394 WLD524394 WUZ524394 IN589930 SJ589930 ACF589930 AMB589930 AVX589930 BFT589930 BPP589930 BZL589930 CJH589930 CTD589930 DCZ589930 DMV589930 DWR589930 EGN589930 EQJ589930 FAF589930 FKB589930 FTX589930 GDT589930 GNP589930 GXL589930 HHH589930 HRD589930 IAZ589930 IKV589930 IUR589930 JEN589930 JOJ589930 JYF589930 KIB589930 KRX589930 LBT589930 LLP589930 LVL589930 MFH589930 MPD589930 MYZ589930 NIV589930 NSR589930 OCN589930 OMJ589930 OWF589930 PGB589930 PPX589930 PZT589930 QJP589930 QTL589930 RDH589930 RND589930 RWZ589930 SGV589930 SQR589930 TAN589930 TKJ589930 TUF589930 UEB589930 UNX589930 UXT589930 VHP589930 VRL589930 WBH589930 WLD589930 WUZ589930 IN655466 SJ655466 ACF655466 AMB655466 AVX655466 BFT655466 BPP655466 BZL655466 CJH655466 CTD655466 DCZ655466 DMV655466 DWR655466 EGN655466 EQJ655466 FAF655466 FKB655466 FTX655466 GDT655466 GNP655466 GXL655466 HHH655466 HRD655466 IAZ655466 IKV655466 IUR655466 JEN655466 JOJ655466 JYF655466 KIB655466 KRX655466 LBT655466 LLP655466 LVL655466 MFH655466 MPD655466 MYZ655466 NIV655466 NSR655466 OCN655466 OMJ655466 OWF655466 PGB655466 PPX655466 PZT655466 QJP655466 QTL655466 RDH655466 RND655466 RWZ655466 SGV655466 SQR655466 TAN655466 TKJ655466 TUF655466 UEB655466 UNX655466 UXT655466 VHP655466 VRL655466 WBH655466 WLD655466 WUZ655466 IN721002 SJ721002 ACF721002 AMB721002 AVX721002 BFT721002 BPP721002 BZL721002 CJH721002 CTD721002 DCZ721002 DMV721002 DWR721002 EGN721002 EQJ721002 FAF721002 FKB721002 FTX721002 GDT721002 GNP721002 GXL721002 HHH721002 HRD721002 IAZ721002 IKV721002 IUR721002 JEN721002 JOJ721002 JYF721002 KIB721002 KRX721002 LBT721002 LLP721002 LVL721002 MFH721002 MPD721002 MYZ721002 NIV721002 NSR721002 OCN721002 OMJ721002 OWF721002 PGB721002 PPX721002 PZT721002 QJP721002 QTL721002 RDH721002 RND721002 RWZ721002 SGV721002 SQR721002 TAN721002 TKJ721002 TUF721002 UEB721002 UNX721002 UXT721002 VHP721002 VRL721002 WBH721002 WLD721002 WUZ721002 IN786538 SJ786538 ACF786538 AMB786538 AVX786538 BFT786538 BPP786538 BZL786538 CJH786538 CTD786538 DCZ786538 DMV786538 DWR786538 EGN786538 EQJ786538 FAF786538 FKB786538 FTX786538 GDT786538 GNP786538 GXL786538 HHH786538 HRD786538 IAZ786538 IKV786538 IUR786538 JEN786538 JOJ786538 JYF786538 KIB786538 KRX786538 LBT786538 LLP786538 LVL786538 MFH786538 MPD786538 MYZ786538 NIV786538 NSR786538 OCN786538 OMJ786538 OWF786538 PGB786538 PPX786538 PZT786538 QJP786538 QTL786538 RDH786538 RND786538 RWZ786538 SGV786538 SQR786538 TAN786538 TKJ786538 TUF786538 UEB786538 UNX786538 UXT786538 VHP786538 VRL786538 WBH786538 WLD786538 WUZ786538 IN852074 SJ852074 ACF852074 AMB852074 AVX852074 BFT852074 BPP852074 BZL852074 CJH852074 CTD852074 DCZ852074 DMV852074 DWR852074 EGN852074 EQJ852074 FAF852074 FKB852074 FTX852074 GDT852074 GNP852074 GXL852074 HHH852074 HRD852074 IAZ852074 IKV852074 IUR852074 JEN852074 JOJ852074 JYF852074 KIB852074 KRX852074 LBT852074 LLP852074 LVL852074 MFH852074 MPD852074 MYZ852074 NIV852074 NSR852074 OCN852074 OMJ852074 OWF852074 PGB852074 PPX852074 PZT852074 QJP852074 QTL852074 RDH852074 RND852074 RWZ852074 SGV852074 SQR852074 TAN852074 TKJ852074 TUF852074 UEB852074 UNX852074 UXT852074 VHP852074 VRL852074 WBH852074 WLD852074 WUZ852074 IN917610 SJ917610 ACF917610 AMB917610 AVX917610 BFT917610 BPP917610 BZL917610 CJH917610 CTD917610 DCZ917610 DMV917610 DWR917610 EGN917610 EQJ917610 FAF917610 FKB917610 FTX917610 GDT917610 GNP917610 GXL917610 HHH917610 HRD917610 IAZ917610 IKV917610 IUR917610 JEN917610 JOJ917610 JYF917610 KIB917610 KRX917610 LBT917610 LLP917610 LVL917610 MFH917610 MPD917610 MYZ917610 NIV917610 NSR917610 OCN917610 OMJ917610 OWF917610 PGB917610 PPX917610 PZT917610 QJP917610 QTL917610 RDH917610 RND917610 RWZ917610 SGV917610 SQR917610 TAN917610 TKJ917610 TUF917610 UEB917610 UNX917610 UXT917610 VHP917610 VRL917610 WBH917610 WLD917610 WUZ917610 IN983146 SJ983146 ACF983146 AMB983146 AVX983146 BFT983146 BPP983146 BZL983146 CJH983146 CTD983146 DCZ983146 DMV983146 DWR983146 EGN983146 EQJ983146 FAF983146 FKB983146 FTX983146 GDT983146 GNP983146 GXL983146 HHH983146 HRD983146 IAZ983146 IKV983146 IUR983146 JEN983146 JOJ983146 JYF983146 KIB983146 KRX983146 LBT983146 LLP983146 LVL983146 MFH983146 MPD983146 MYZ983146 NIV983146 NSR983146 OCN983146 OMJ983146 OWF983146 PGB983146 PPX983146 PZT983146 QJP983146 QTL983146 RDH983146 RND983146 RWZ983146 SGV983146 SQR983146 TAN983146 TKJ983146 TUF983146 UEB983146 UNX983146 UXT983146 VHP983146 VRL983146 WBH983146 WLD983146 WUZ983146 IN116 SJ116 ACF116 AMB116 AVX116 BFT116 BPP116 BZL116 CJH116 CTD116 DCZ116 DMV116 DWR116 EGN116 EQJ116 FAF116 FKB116 FTX116 GDT116 GNP116 GXL116 HHH116 HRD116 IAZ116 IKV116 IUR116 JEN116 JOJ116 JYF116 KIB116 KRX116 LBT116 LLP116 LVL116 MFH116 MPD116 MYZ116 NIV116 NSR116 OCN116 OMJ116 OWF116 PGB116 PPX116 PZT116 QJP116 QTL116 RDH116 RND116 RWZ116 SGV116 SQR116 TAN116 TKJ116 TUF116 UEB116 UNX116 UXT116 VHP116 VRL116 WBH116 WLD116 WUZ116 IN65652 SJ65652 ACF65652 AMB65652 AVX65652 BFT65652 BPP65652 BZL65652 CJH65652 CTD65652 DCZ65652 DMV65652 DWR65652 EGN65652 EQJ65652 FAF65652 FKB65652 FTX65652 GDT65652 GNP65652 GXL65652 HHH65652 HRD65652 IAZ65652 IKV65652 IUR65652 JEN65652 JOJ65652 JYF65652 KIB65652 KRX65652 LBT65652 LLP65652 LVL65652 MFH65652 MPD65652 MYZ65652 NIV65652 NSR65652 OCN65652 OMJ65652 OWF65652 PGB65652 PPX65652 PZT65652 QJP65652 QTL65652 RDH65652 RND65652 RWZ65652 SGV65652 SQR65652 TAN65652 TKJ65652 TUF65652 UEB65652 UNX65652 UXT65652 VHP65652 VRL65652 WBH65652 WLD65652 WUZ65652 IN131188 SJ131188 ACF131188 AMB131188 AVX131188 BFT131188 BPP131188 BZL131188 CJH131188 CTD131188 DCZ131188 DMV131188 DWR131188 EGN131188 EQJ131188 FAF131188 FKB131188 FTX131188 GDT131188 GNP131188 GXL131188 HHH131188 HRD131188 IAZ131188 IKV131188 IUR131188 JEN131188 JOJ131188 JYF131188 KIB131188 KRX131188 LBT131188 LLP131188 LVL131188 MFH131188 MPD131188 MYZ131188 NIV131188 NSR131188 OCN131188 OMJ131188 OWF131188 PGB131188 PPX131188 PZT131188 QJP131188 QTL131188 RDH131188 RND131188 RWZ131188 SGV131188 SQR131188 TAN131188 TKJ131188 TUF131188 UEB131188 UNX131188 UXT131188 VHP131188 VRL131188 WBH131188 WLD131188 WUZ131188 IN196724 SJ196724 ACF196724 AMB196724 AVX196724 BFT196724 BPP196724 BZL196724 CJH196724 CTD196724 DCZ196724 DMV196724 DWR196724 EGN196724 EQJ196724 FAF196724 FKB196724 FTX196724 GDT196724 GNP196724 GXL196724 HHH196724 HRD196724 IAZ196724 IKV196724 IUR196724 JEN196724 JOJ196724 JYF196724 KIB196724 KRX196724 LBT196724 LLP196724 LVL196724 MFH196724 MPD196724 MYZ196724 NIV196724 NSR196724 OCN196724 OMJ196724 OWF196724 PGB196724 PPX196724 PZT196724 QJP196724 QTL196724 RDH196724 RND196724 RWZ196724 SGV196724 SQR196724 TAN196724 TKJ196724 TUF196724 UEB196724 UNX196724 UXT196724 VHP196724 VRL196724 WBH196724 WLD196724 WUZ196724 IN262260 SJ262260 ACF262260 AMB262260 AVX262260 BFT262260 BPP262260 BZL262260 CJH262260 CTD262260 DCZ262260 DMV262260 DWR262260 EGN262260 EQJ262260 FAF262260 FKB262260 FTX262260 GDT262260 GNP262260 GXL262260 HHH262260 HRD262260 IAZ262260 IKV262260 IUR262260 JEN262260 JOJ262260 JYF262260 KIB262260 KRX262260 LBT262260 LLP262260 LVL262260 MFH262260 MPD262260 MYZ262260 NIV262260 NSR262260 OCN262260 OMJ262260 OWF262260 PGB262260 PPX262260 PZT262260 QJP262260 QTL262260 RDH262260 RND262260 RWZ262260 SGV262260 SQR262260 TAN262260 TKJ262260 TUF262260 UEB262260 UNX262260 UXT262260 VHP262260 VRL262260 WBH262260 WLD262260 WUZ262260 IN327796 SJ327796 ACF327796 AMB327796 AVX327796 BFT327796 BPP327796 BZL327796 CJH327796 CTD327796 DCZ327796 DMV327796 DWR327796 EGN327796 EQJ327796 FAF327796 FKB327796 FTX327796 GDT327796 GNP327796 GXL327796 HHH327796 HRD327796 IAZ327796 IKV327796 IUR327796 JEN327796 JOJ327796 JYF327796 KIB327796 KRX327796 LBT327796 LLP327796 LVL327796 MFH327796 MPD327796 MYZ327796 NIV327796 NSR327796 OCN327796 OMJ327796 OWF327796 PGB327796 PPX327796 PZT327796 QJP327796 QTL327796 RDH327796 RND327796 RWZ327796 SGV327796 SQR327796 TAN327796 TKJ327796 TUF327796 UEB327796 UNX327796 UXT327796 VHP327796 VRL327796 WBH327796 WLD327796 WUZ327796 IN393332 SJ393332 ACF393332 AMB393332 AVX393332 BFT393332 BPP393332 BZL393332 CJH393332 CTD393332 DCZ393332 DMV393332 DWR393332 EGN393332 EQJ393332 FAF393332 FKB393332 FTX393332 GDT393332 GNP393332 GXL393332 HHH393332 HRD393332 IAZ393332 IKV393332 IUR393332 JEN393332 JOJ393332 JYF393332 KIB393332 KRX393332 LBT393332 LLP393332 LVL393332 MFH393332 MPD393332 MYZ393332 NIV393332 NSR393332 OCN393332 OMJ393332 OWF393332 PGB393332 PPX393332 PZT393332 QJP393332 QTL393332 RDH393332 RND393332 RWZ393332 SGV393332 SQR393332 TAN393332 TKJ393332 TUF393332 UEB393332 UNX393332 UXT393332 VHP393332 VRL393332 WBH393332 WLD393332 WUZ393332 IN458868 SJ458868 ACF458868 AMB458868 AVX458868 BFT458868 BPP458868 BZL458868 CJH458868 CTD458868 DCZ458868 DMV458868 DWR458868 EGN458868 EQJ458868 FAF458868 FKB458868 FTX458868 GDT458868 GNP458868 GXL458868 HHH458868 HRD458868 IAZ458868 IKV458868 IUR458868 JEN458868 JOJ458868 JYF458868 KIB458868 KRX458868 LBT458868 LLP458868 LVL458868 MFH458868 MPD458868 MYZ458868 NIV458868 NSR458868 OCN458868 OMJ458868 OWF458868 PGB458868 PPX458868 PZT458868 QJP458868 QTL458868 RDH458868 RND458868 RWZ458868 SGV458868 SQR458868 TAN458868 TKJ458868 TUF458868 UEB458868 UNX458868 UXT458868 VHP458868 VRL458868 WBH458868 WLD458868 WUZ458868 IN524404 SJ524404 ACF524404 AMB524404 AVX524404 BFT524404 BPP524404 BZL524404 CJH524404 CTD524404 DCZ524404 DMV524404 DWR524404 EGN524404 EQJ524404 FAF524404 FKB524404 FTX524404 GDT524404 GNP524404 GXL524404 HHH524404 HRD524404 IAZ524404 IKV524404 IUR524404 JEN524404 JOJ524404 JYF524404 KIB524404 KRX524404 LBT524404 LLP524404 LVL524404 MFH524404 MPD524404 MYZ524404 NIV524404 NSR524404 OCN524404 OMJ524404 OWF524404 PGB524404 PPX524404 PZT524404 QJP524404 QTL524404 RDH524404 RND524404 RWZ524404 SGV524404 SQR524404 TAN524404 TKJ524404 TUF524404 UEB524404 UNX524404 UXT524404 VHP524404 VRL524404 WBH524404 WLD524404 WUZ524404 IN589940 SJ589940 ACF589940 AMB589940 AVX589940 BFT589940 BPP589940 BZL589940 CJH589940 CTD589940 DCZ589940 DMV589940 DWR589940 EGN589940 EQJ589940 FAF589940 FKB589940 FTX589940 GDT589940 GNP589940 GXL589940 HHH589940 HRD589940 IAZ589940 IKV589940 IUR589940 JEN589940 JOJ589940 JYF589940 KIB589940 KRX589940 LBT589940 LLP589940 LVL589940 MFH589940 MPD589940 MYZ589940 NIV589940 NSR589940 OCN589940 OMJ589940 OWF589940 PGB589940 PPX589940 PZT589940 QJP589940 QTL589940 RDH589940 RND589940 RWZ589940 SGV589940 SQR589940 TAN589940 TKJ589940 TUF589940 UEB589940 UNX589940 UXT589940 VHP589940 VRL589940 WBH589940 WLD589940 WUZ589940 IN655476 SJ655476 ACF655476 AMB655476 AVX655476 BFT655476 BPP655476 BZL655476 CJH655476 CTD655476 DCZ655476 DMV655476 DWR655476 EGN655476 EQJ655476 FAF655476 FKB655476 FTX655476 GDT655476 GNP655476 GXL655476 HHH655476 HRD655476 IAZ655476 IKV655476 IUR655476 JEN655476 JOJ655476 JYF655476 KIB655476 KRX655476 LBT655476 LLP655476 LVL655476 MFH655476 MPD655476 MYZ655476 NIV655476 NSR655476 OCN655476 OMJ655476 OWF655476 PGB655476 PPX655476 PZT655476 QJP655476 QTL655476 RDH655476 RND655476 RWZ655476 SGV655476 SQR655476 TAN655476 TKJ655476 TUF655476 UEB655476 UNX655476 UXT655476 VHP655476 VRL655476 WBH655476 WLD655476 WUZ655476 IN721012 SJ721012 ACF721012 AMB721012 AVX721012 BFT721012 BPP721012 BZL721012 CJH721012 CTD721012 DCZ721012 DMV721012 DWR721012 EGN721012 EQJ721012 FAF721012 FKB721012 FTX721012 GDT721012 GNP721012 GXL721012 HHH721012 HRD721012 IAZ721012 IKV721012 IUR721012 JEN721012 JOJ721012 JYF721012 KIB721012 KRX721012 LBT721012 LLP721012 LVL721012 MFH721012 MPD721012 MYZ721012 NIV721012 NSR721012 OCN721012 OMJ721012 OWF721012 PGB721012 PPX721012 PZT721012 QJP721012 QTL721012 RDH721012 RND721012 RWZ721012 SGV721012 SQR721012 TAN721012 TKJ721012 TUF721012 UEB721012 UNX721012 UXT721012 VHP721012 VRL721012 WBH721012 WLD721012 WUZ721012 IN786548 SJ786548 ACF786548 AMB786548 AVX786548 BFT786548 BPP786548 BZL786548 CJH786548 CTD786548 DCZ786548 DMV786548 DWR786548 EGN786548 EQJ786548 FAF786548 FKB786548 FTX786548 GDT786548 GNP786548 GXL786548 HHH786548 HRD786548 IAZ786548 IKV786548 IUR786548 JEN786548 JOJ786548 JYF786548 KIB786548 KRX786548 LBT786548 LLP786548 LVL786548 MFH786548 MPD786548 MYZ786548 NIV786548 NSR786548 OCN786548 OMJ786548 OWF786548 PGB786548 PPX786548 PZT786548 QJP786548 QTL786548 RDH786548 RND786548 RWZ786548 SGV786548 SQR786548 TAN786548 TKJ786548 TUF786548 UEB786548 UNX786548 UXT786548 VHP786548 VRL786548 WBH786548 WLD786548 WUZ786548 IN852084 SJ852084 ACF852084 AMB852084 AVX852084 BFT852084 BPP852084 BZL852084 CJH852084 CTD852084 DCZ852084 DMV852084 DWR852084 EGN852084 EQJ852084 FAF852084 FKB852084 FTX852084 GDT852084 GNP852084 GXL852084 HHH852084 HRD852084 IAZ852084 IKV852084 IUR852084 JEN852084 JOJ852084 JYF852084 KIB852084 KRX852084 LBT852084 LLP852084 LVL852084 MFH852084 MPD852084 MYZ852084 NIV852084 NSR852084 OCN852084 OMJ852084 OWF852084 PGB852084 PPX852084 PZT852084 QJP852084 QTL852084 RDH852084 RND852084 RWZ852084 SGV852084 SQR852084 TAN852084 TKJ852084 TUF852084 UEB852084 UNX852084 UXT852084 VHP852084 VRL852084 WBH852084 WLD852084 WUZ852084 IN917620 SJ917620 ACF917620 AMB917620 AVX917620 BFT917620 BPP917620 BZL917620 CJH917620 CTD917620 DCZ917620 DMV917620 DWR917620 EGN917620 EQJ917620 FAF917620 FKB917620 FTX917620 GDT917620 GNP917620 GXL917620 HHH917620 HRD917620 IAZ917620 IKV917620 IUR917620 JEN917620 JOJ917620 JYF917620 KIB917620 KRX917620 LBT917620 LLP917620 LVL917620 MFH917620 MPD917620 MYZ917620 NIV917620 NSR917620 OCN917620 OMJ917620 OWF917620 PGB917620 PPX917620 PZT917620 QJP917620 QTL917620 RDH917620 RND917620 RWZ917620 SGV917620 SQR917620 TAN917620 TKJ917620 TUF917620 UEB917620 UNX917620 UXT917620 VHP917620 VRL917620 WBH917620 WLD917620 WUZ917620 IN983156 SJ983156 ACF983156 AMB983156 AVX983156 BFT983156 BPP983156 BZL983156 CJH983156 CTD983156 DCZ983156 DMV983156 DWR983156 EGN983156 EQJ983156 FAF983156 FKB983156 FTX983156 GDT983156 GNP983156 GXL983156 HHH983156 HRD983156 IAZ983156 IKV983156 IUR983156 JEN983156 JOJ983156 JYF983156 KIB983156 KRX983156 LBT983156 LLP983156 LVL983156 MFH983156 MPD983156 MYZ983156 NIV983156 NSR983156 OCN983156 OMJ983156 OWF983156 PGB983156 PPX983156 PZT983156 QJP983156 QTL983156 RDH983156 RND983156 RWZ983156 SGV983156 SQR983156 TAN983156 TKJ983156 TUF983156 UEB983156 UNX983156 UXT983156 VHP983156 VRL983156 WBH983156 WLD983156 WUZ983156 IN126 SJ126 ACF126 AMB126 AVX126 BFT126 BPP126 BZL126 CJH126 CTD126 DCZ126 DMV126 DWR126 EGN126 EQJ126 FAF126 FKB126 FTX126 GDT126 GNP126 GXL126 HHH126 HRD126 IAZ126 IKV126 IUR126 JEN126 JOJ126 JYF126 KIB126 KRX126 LBT126 LLP126 LVL126 MFH126 MPD126 MYZ126 NIV126 NSR126 OCN126 OMJ126 OWF126 PGB126 PPX126 PZT126 QJP126 QTL126 RDH126 RND126 RWZ126 SGV126 SQR126 TAN126 TKJ126 TUF126 UEB126 UNX126 UXT126 VHP126 VRL126 WBH126 WLD126 WUZ126 IN65662 SJ65662 ACF65662 AMB65662 AVX65662 BFT65662 BPP65662 BZL65662 CJH65662 CTD65662 DCZ65662 DMV65662 DWR65662 EGN65662 EQJ65662 FAF65662 FKB65662 FTX65662 GDT65662 GNP65662 GXL65662 HHH65662 HRD65662 IAZ65662 IKV65662 IUR65662 JEN65662 JOJ65662 JYF65662 KIB65662 KRX65662 LBT65662 LLP65662 LVL65662 MFH65662 MPD65662 MYZ65662 NIV65662 NSR65662 OCN65662 OMJ65662 OWF65662 PGB65662 PPX65662 PZT65662 QJP65662 QTL65662 RDH65662 RND65662 RWZ65662 SGV65662 SQR65662 TAN65662 TKJ65662 TUF65662 UEB65662 UNX65662 UXT65662 VHP65662 VRL65662 WBH65662 WLD65662 WUZ65662 IN131198 SJ131198 ACF131198 AMB131198 AVX131198 BFT131198 BPP131198 BZL131198 CJH131198 CTD131198 DCZ131198 DMV131198 DWR131198 EGN131198 EQJ131198 FAF131198 FKB131198 FTX131198 GDT131198 GNP131198 GXL131198 HHH131198 HRD131198 IAZ131198 IKV131198 IUR131198 JEN131198 JOJ131198 JYF131198 KIB131198 KRX131198 LBT131198 LLP131198 LVL131198 MFH131198 MPD131198 MYZ131198 NIV131198 NSR131198 OCN131198 OMJ131198 OWF131198 PGB131198 PPX131198 PZT131198 QJP131198 QTL131198 RDH131198 RND131198 RWZ131198 SGV131198 SQR131198 TAN131198 TKJ131198 TUF131198 UEB131198 UNX131198 UXT131198 VHP131198 VRL131198 WBH131198 WLD131198 WUZ131198 IN196734 SJ196734 ACF196734 AMB196734 AVX196734 BFT196734 BPP196734 BZL196734 CJH196734 CTD196734 DCZ196734 DMV196734 DWR196734 EGN196734 EQJ196734 FAF196734 FKB196734 FTX196734 GDT196734 GNP196734 GXL196734 HHH196734 HRD196734 IAZ196734 IKV196734 IUR196734 JEN196734 JOJ196734 JYF196734 KIB196734 KRX196734 LBT196734 LLP196734 LVL196734 MFH196734 MPD196734 MYZ196734 NIV196734 NSR196734 OCN196734 OMJ196734 OWF196734 PGB196734 PPX196734 PZT196734 QJP196734 QTL196734 RDH196734 RND196734 RWZ196734 SGV196734 SQR196734 TAN196734 TKJ196734 TUF196734 UEB196734 UNX196734 UXT196734 VHP196734 VRL196734 WBH196734 WLD196734 WUZ196734 IN262270 SJ262270 ACF262270 AMB262270 AVX262270 BFT262270 BPP262270 BZL262270 CJH262270 CTD262270 DCZ262270 DMV262270 DWR262270 EGN262270 EQJ262270 FAF262270 FKB262270 FTX262270 GDT262270 GNP262270 GXL262270 HHH262270 HRD262270 IAZ262270 IKV262270 IUR262270 JEN262270 JOJ262270 JYF262270 KIB262270 KRX262270 LBT262270 LLP262270 LVL262270 MFH262270 MPD262270 MYZ262270 NIV262270 NSR262270 OCN262270 OMJ262270 OWF262270 PGB262270 PPX262270 PZT262270 QJP262270 QTL262270 RDH262270 RND262270 RWZ262270 SGV262270 SQR262270 TAN262270 TKJ262270 TUF262270 UEB262270 UNX262270 UXT262270 VHP262270 VRL262270 WBH262270 WLD262270 WUZ262270 IN327806 SJ327806 ACF327806 AMB327806 AVX327806 BFT327806 BPP327806 BZL327806 CJH327806 CTD327806 DCZ327806 DMV327806 DWR327806 EGN327806 EQJ327806 FAF327806 FKB327806 FTX327806 GDT327806 GNP327806 GXL327806 HHH327806 HRD327806 IAZ327806 IKV327806 IUR327806 JEN327806 JOJ327806 JYF327806 KIB327806 KRX327806 LBT327806 LLP327806 LVL327806 MFH327806 MPD327806 MYZ327806 NIV327806 NSR327806 OCN327806 OMJ327806 OWF327806 PGB327806 PPX327806 PZT327806 QJP327806 QTL327806 RDH327806 RND327806 RWZ327806 SGV327806 SQR327806 TAN327806 TKJ327806 TUF327806 UEB327806 UNX327806 UXT327806 VHP327806 VRL327806 WBH327806 WLD327806 WUZ327806 IN393342 SJ393342 ACF393342 AMB393342 AVX393342 BFT393342 BPP393342 BZL393342 CJH393342 CTD393342 DCZ393342 DMV393342 DWR393342 EGN393342 EQJ393342 FAF393342 FKB393342 FTX393342 GDT393342 GNP393342 GXL393342 HHH393342 HRD393342 IAZ393342 IKV393342 IUR393342 JEN393342 JOJ393342 JYF393342 KIB393342 KRX393342 LBT393342 LLP393342 LVL393342 MFH393342 MPD393342 MYZ393342 NIV393342 NSR393342 OCN393342 OMJ393342 OWF393342 PGB393342 PPX393342 PZT393342 QJP393342 QTL393342 RDH393342 RND393342 RWZ393342 SGV393342 SQR393342 TAN393342 TKJ393342 TUF393342 UEB393342 UNX393342 UXT393342 VHP393342 VRL393342 WBH393342 WLD393342 WUZ393342 IN458878 SJ458878 ACF458878 AMB458878 AVX458878 BFT458878 BPP458878 BZL458878 CJH458878 CTD458878 DCZ458878 DMV458878 DWR458878 EGN458878 EQJ458878 FAF458878 FKB458878 FTX458878 GDT458878 GNP458878 GXL458878 HHH458878 HRD458878 IAZ458878 IKV458878 IUR458878 JEN458878 JOJ458878 JYF458878 KIB458878 KRX458878 LBT458878 LLP458878 LVL458878 MFH458878 MPD458878 MYZ458878 NIV458878 NSR458878 OCN458878 OMJ458878 OWF458878 PGB458878 PPX458878 PZT458878 QJP458878 QTL458878 RDH458878 RND458878 RWZ458878 SGV458878 SQR458878 TAN458878 TKJ458878 TUF458878 UEB458878 UNX458878 UXT458878 VHP458878 VRL458878 WBH458878 WLD458878 WUZ458878 IN524414 SJ524414 ACF524414 AMB524414 AVX524414 BFT524414 BPP524414 BZL524414 CJH524414 CTD524414 DCZ524414 DMV524414 DWR524414 EGN524414 EQJ524414 FAF524414 FKB524414 FTX524414 GDT524414 GNP524414 GXL524414 HHH524414 HRD524414 IAZ524414 IKV524414 IUR524414 JEN524414 JOJ524414 JYF524414 KIB524414 KRX524414 LBT524414 LLP524414 LVL524414 MFH524414 MPD524414 MYZ524414 NIV524414 NSR524414 OCN524414 OMJ524414 OWF524414 PGB524414 PPX524414 PZT524414 QJP524414 QTL524414 RDH524414 RND524414 RWZ524414 SGV524414 SQR524414 TAN524414 TKJ524414 TUF524414 UEB524414 UNX524414 UXT524414 VHP524414 VRL524414 WBH524414 WLD524414 WUZ524414 IN589950 SJ589950 ACF589950 AMB589950 AVX589950 BFT589950 BPP589950 BZL589950 CJH589950 CTD589950 DCZ589950 DMV589950 DWR589950 EGN589950 EQJ589950 FAF589950 FKB589950 FTX589950 GDT589950 GNP589950 GXL589950 HHH589950 HRD589950 IAZ589950 IKV589950 IUR589950 JEN589950 JOJ589950 JYF589950 KIB589950 KRX589950 LBT589950 LLP589950 LVL589950 MFH589950 MPD589950 MYZ589950 NIV589950 NSR589950 OCN589950 OMJ589950 OWF589950 PGB589950 PPX589950 PZT589950 QJP589950 QTL589950 RDH589950 RND589950 RWZ589950 SGV589950 SQR589950 TAN589950 TKJ589950 TUF589950 UEB589950 UNX589950 UXT589950 VHP589950 VRL589950 WBH589950 WLD589950 WUZ589950 IN655486 SJ655486 ACF655486 AMB655486 AVX655486 BFT655486 BPP655486 BZL655486 CJH655486 CTD655486 DCZ655486 DMV655486 DWR655486 EGN655486 EQJ655486 FAF655486 FKB655486 FTX655486 GDT655486 GNP655486 GXL655486 HHH655486 HRD655486 IAZ655486 IKV655486 IUR655486 JEN655486 JOJ655486 JYF655486 KIB655486 KRX655486 LBT655486 LLP655486 LVL655486 MFH655486 MPD655486 MYZ655486 NIV655486 NSR655486 OCN655486 OMJ655486 OWF655486 PGB655486 PPX655486 PZT655486 QJP655486 QTL655486 RDH655486 RND655486 RWZ655486 SGV655486 SQR655486 TAN655486 TKJ655486 TUF655486 UEB655486 UNX655486 UXT655486 VHP655486 VRL655486 WBH655486 WLD655486 WUZ655486 IN721022 SJ721022 ACF721022 AMB721022 AVX721022 BFT721022 BPP721022 BZL721022 CJH721022 CTD721022 DCZ721022 DMV721022 DWR721022 EGN721022 EQJ721022 FAF721022 FKB721022 FTX721022 GDT721022 GNP721022 GXL721022 HHH721022 HRD721022 IAZ721022 IKV721022 IUR721022 JEN721022 JOJ721022 JYF721022 KIB721022 KRX721022 LBT721022 LLP721022 LVL721022 MFH721022 MPD721022 MYZ721022 NIV721022 NSR721022 OCN721022 OMJ721022 OWF721022 PGB721022 PPX721022 PZT721022 QJP721022 QTL721022 RDH721022 RND721022 RWZ721022 SGV721022 SQR721022 TAN721022 TKJ721022 TUF721022 UEB721022 UNX721022 UXT721022 VHP721022 VRL721022 WBH721022 WLD721022 WUZ721022 IN786558 SJ786558 ACF786558 AMB786558 AVX786558 BFT786558 BPP786558 BZL786558 CJH786558 CTD786558 DCZ786558 DMV786558 DWR786558 EGN786558 EQJ786558 FAF786558 FKB786558 FTX786558 GDT786558 GNP786558 GXL786558 HHH786558 HRD786558 IAZ786558 IKV786558 IUR786558 JEN786558 JOJ786558 JYF786558 KIB786558 KRX786558 LBT786558 LLP786558 LVL786558 MFH786558 MPD786558 MYZ786558 NIV786558 NSR786558 OCN786558 OMJ786558 OWF786558 PGB786558 PPX786558 PZT786558 QJP786558 QTL786558 RDH786558 RND786558 RWZ786558 SGV786558 SQR786558 TAN786558 TKJ786558 TUF786558 UEB786558 UNX786558 UXT786558 VHP786558 VRL786558 WBH786558 WLD786558 WUZ786558 IN852094 SJ852094 ACF852094 AMB852094 AVX852094 BFT852094 BPP852094 BZL852094 CJH852094 CTD852094 DCZ852094 DMV852094 DWR852094 EGN852094 EQJ852094 FAF852094 FKB852094 FTX852094 GDT852094 GNP852094 GXL852094 HHH852094 HRD852094 IAZ852094 IKV852094 IUR852094 JEN852094 JOJ852094 JYF852094 KIB852094 KRX852094 LBT852094 LLP852094 LVL852094 MFH852094 MPD852094 MYZ852094 NIV852094 NSR852094 OCN852094 OMJ852094 OWF852094 PGB852094 PPX852094 PZT852094 QJP852094 QTL852094 RDH852094 RND852094 RWZ852094 SGV852094 SQR852094 TAN852094 TKJ852094 TUF852094 UEB852094 UNX852094 UXT852094 VHP852094 VRL852094 WBH852094 WLD852094 WUZ852094 IN917630 SJ917630 ACF917630 AMB917630 AVX917630 BFT917630 BPP917630 BZL917630 CJH917630 CTD917630 DCZ917630 DMV917630 DWR917630 EGN917630 EQJ917630 FAF917630 FKB917630 FTX917630 GDT917630 GNP917630 GXL917630 HHH917630 HRD917630 IAZ917630 IKV917630 IUR917630 JEN917630 JOJ917630 JYF917630 KIB917630 KRX917630 LBT917630 LLP917630 LVL917630 MFH917630 MPD917630 MYZ917630 NIV917630 NSR917630 OCN917630 OMJ917630 OWF917630 PGB917630 PPX917630 PZT917630 QJP917630 QTL917630 RDH917630 RND917630 RWZ917630 SGV917630 SQR917630 TAN917630 TKJ917630 TUF917630 UEB917630 UNX917630 UXT917630 VHP917630 VRL917630 WBH917630 WLD917630 WUZ917630 IN983166 SJ983166 ACF983166 AMB983166 AVX983166 BFT983166 BPP983166 BZL983166 CJH983166 CTD983166 DCZ983166 DMV983166 DWR983166 EGN983166 EQJ983166 FAF983166 FKB983166 FTX983166 GDT983166 GNP983166 GXL983166 HHH983166 HRD983166 IAZ983166 IKV983166 IUR983166 JEN983166 JOJ983166 JYF983166 KIB983166 KRX983166 LBT983166 LLP983166 LVL983166 MFH983166 MPD983166 MYZ983166 NIV983166 NSR983166 OCN983166 OMJ983166 OWF983166 PGB983166 PPX983166 PZT983166 QJP983166 QTL983166 RDH983166 RND983166 RWZ983166 SGV983166 SQR983166 TAN983166 TKJ983166 TUF983166 UEB983166 UNX983166 UXT983166 VHP983166 VRL983166 WBH983166 WLD983166 WUZ983166 IN136 SJ136 ACF136 AMB136 AVX136 BFT136 BPP136 BZL136 CJH136 CTD136 DCZ136 DMV136 DWR136 EGN136 EQJ136 FAF136 FKB136 FTX136 GDT136 GNP136 GXL136 HHH136 HRD136 IAZ136 IKV136 IUR136 JEN136 JOJ136 JYF136 KIB136 KRX136 LBT136 LLP136 LVL136 MFH136 MPD136 MYZ136 NIV136 NSR136 OCN136 OMJ136 OWF136 PGB136 PPX136 PZT136 QJP136 QTL136 RDH136 RND136 RWZ136 SGV136 SQR136 TAN136 TKJ136 TUF136 UEB136 UNX136 UXT136 VHP136 VRL136 WBH136 WLD136 WUZ136 IN65672 SJ65672 ACF65672 AMB65672 AVX65672 BFT65672 BPP65672 BZL65672 CJH65672 CTD65672 DCZ65672 DMV65672 DWR65672 EGN65672 EQJ65672 FAF65672 FKB65672 FTX65672 GDT65672 GNP65672 GXL65672 HHH65672 HRD65672 IAZ65672 IKV65672 IUR65672 JEN65672 JOJ65672 JYF65672 KIB65672 KRX65672 LBT65672 LLP65672 LVL65672 MFH65672 MPD65672 MYZ65672 NIV65672 NSR65672 OCN65672 OMJ65672 OWF65672 PGB65672 PPX65672 PZT65672 QJP65672 QTL65672 RDH65672 RND65672 RWZ65672 SGV65672 SQR65672 TAN65672 TKJ65672 TUF65672 UEB65672 UNX65672 UXT65672 VHP65672 VRL65672 WBH65672 WLD65672 WUZ65672 IN131208 SJ131208 ACF131208 AMB131208 AVX131208 BFT131208 BPP131208 BZL131208 CJH131208 CTD131208 DCZ131208 DMV131208 DWR131208 EGN131208 EQJ131208 FAF131208 FKB131208 FTX131208 GDT131208 GNP131208 GXL131208 HHH131208 HRD131208 IAZ131208 IKV131208 IUR131208 JEN131208 JOJ131208 JYF131208 KIB131208 KRX131208 LBT131208 LLP131208 LVL131208 MFH131208 MPD131208 MYZ131208 NIV131208 NSR131208 OCN131208 OMJ131208 OWF131208 PGB131208 PPX131208 PZT131208 QJP131208 QTL131208 RDH131208 RND131208 RWZ131208 SGV131208 SQR131208 TAN131208 TKJ131208 TUF131208 UEB131208 UNX131208 UXT131208 VHP131208 VRL131208 WBH131208 WLD131208 WUZ131208 IN196744 SJ196744 ACF196744 AMB196744 AVX196744 BFT196744 BPP196744 BZL196744 CJH196744 CTD196744 DCZ196744 DMV196744 DWR196744 EGN196744 EQJ196744 FAF196744 FKB196744 FTX196744 GDT196744 GNP196744 GXL196744 HHH196744 HRD196744 IAZ196744 IKV196744 IUR196744 JEN196744 JOJ196744 JYF196744 KIB196744 KRX196744 LBT196744 LLP196744 LVL196744 MFH196744 MPD196744 MYZ196744 NIV196744 NSR196744 OCN196744 OMJ196744 OWF196744 PGB196744 PPX196744 PZT196744 QJP196744 QTL196744 RDH196744 RND196744 RWZ196744 SGV196744 SQR196744 TAN196744 TKJ196744 TUF196744 UEB196744 UNX196744 UXT196744 VHP196744 VRL196744 WBH196744 WLD196744 WUZ196744 IN262280 SJ262280 ACF262280 AMB262280 AVX262280 BFT262280 BPP262280 BZL262280 CJH262280 CTD262280 DCZ262280 DMV262280 DWR262280 EGN262280 EQJ262280 FAF262280 FKB262280 FTX262280 GDT262280 GNP262280 GXL262280 HHH262280 HRD262280 IAZ262280 IKV262280 IUR262280 JEN262280 JOJ262280 JYF262280 KIB262280 KRX262280 LBT262280 LLP262280 LVL262280 MFH262280 MPD262280 MYZ262280 NIV262280 NSR262280 OCN262280 OMJ262280 OWF262280 PGB262280 PPX262280 PZT262280 QJP262280 QTL262280 RDH262280 RND262280 RWZ262280 SGV262280 SQR262280 TAN262280 TKJ262280 TUF262280 UEB262280 UNX262280 UXT262280 VHP262280 VRL262280 WBH262280 WLD262280 WUZ262280 IN327816 SJ327816 ACF327816 AMB327816 AVX327816 BFT327816 BPP327816 BZL327816 CJH327816 CTD327816 DCZ327816 DMV327816 DWR327816 EGN327816 EQJ327816 FAF327816 FKB327816 FTX327816 GDT327816 GNP327816 GXL327816 HHH327816 HRD327816 IAZ327816 IKV327816 IUR327816 JEN327816 JOJ327816 JYF327816 KIB327816 KRX327816 LBT327816 LLP327816 LVL327816 MFH327816 MPD327816 MYZ327816 NIV327816 NSR327816 OCN327816 OMJ327816 OWF327816 PGB327816 PPX327816 PZT327816 QJP327816 QTL327816 RDH327816 RND327816 RWZ327816 SGV327816 SQR327816 TAN327816 TKJ327816 TUF327816 UEB327816 UNX327816 UXT327816 VHP327816 VRL327816 WBH327816 WLD327816 WUZ327816 IN393352 SJ393352 ACF393352 AMB393352 AVX393352 BFT393352 BPP393352 BZL393352 CJH393352 CTD393352 DCZ393352 DMV393352 DWR393352 EGN393352 EQJ393352 FAF393352 FKB393352 FTX393352 GDT393352 GNP393352 GXL393352 HHH393352 HRD393352 IAZ393352 IKV393352 IUR393352 JEN393352 JOJ393352 JYF393352 KIB393352 KRX393352 LBT393352 LLP393352 LVL393352 MFH393352 MPD393352 MYZ393352 NIV393352 NSR393352 OCN393352 OMJ393352 OWF393352 PGB393352 PPX393352 PZT393352 QJP393352 QTL393352 RDH393352 RND393352 RWZ393352 SGV393352 SQR393352 TAN393352 TKJ393352 TUF393352 UEB393352 UNX393352 UXT393352 VHP393352 VRL393352 WBH393352 WLD393352 WUZ393352 IN458888 SJ458888 ACF458888 AMB458888 AVX458888 BFT458888 BPP458888 BZL458888 CJH458888 CTD458888 DCZ458888 DMV458888 DWR458888 EGN458888 EQJ458888 FAF458888 FKB458888 FTX458888 GDT458888 GNP458888 GXL458888 HHH458888 HRD458888 IAZ458888 IKV458888 IUR458888 JEN458888 JOJ458888 JYF458888 KIB458888 KRX458888 LBT458888 LLP458888 LVL458888 MFH458888 MPD458888 MYZ458888 NIV458888 NSR458888 OCN458888 OMJ458888 OWF458888 PGB458888 PPX458888 PZT458888 QJP458888 QTL458888 RDH458888 RND458888 RWZ458888 SGV458888 SQR458888 TAN458888 TKJ458888 TUF458888 UEB458888 UNX458888 UXT458888 VHP458888 VRL458888 WBH458888 WLD458888 WUZ458888 IN524424 SJ524424 ACF524424 AMB524424 AVX524424 BFT524424 BPP524424 BZL524424 CJH524424 CTD524424 DCZ524424 DMV524424 DWR524424 EGN524424 EQJ524424 FAF524424 FKB524424 FTX524424 GDT524424 GNP524424 GXL524424 HHH524424 HRD524424 IAZ524424 IKV524424 IUR524424 JEN524424 JOJ524424 JYF524424 KIB524424 KRX524424 LBT524424 LLP524424 LVL524424 MFH524424 MPD524424 MYZ524424 NIV524424 NSR524424 OCN524424 OMJ524424 OWF524424 PGB524424 PPX524424 PZT524424 QJP524424 QTL524424 RDH524424 RND524424 RWZ524424 SGV524424 SQR524424 TAN524424 TKJ524424 TUF524424 UEB524424 UNX524424 UXT524424 VHP524424 VRL524424 WBH524424 WLD524424 WUZ524424 IN589960 SJ589960 ACF589960 AMB589960 AVX589960 BFT589960 BPP589960 BZL589960 CJH589960 CTD589960 DCZ589960 DMV589960 DWR589960 EGN589960 EQJ589960 FAF589960 FKB589960 FTX589960 GDT589960 GNP589960 GXL589960 HHH589960 HRD589960 IAZ589960 IKV589960 IUR589960 JEN589960 JOJ589960 JYF589960 KIB589960 KRX589960 LBT589960 LLP589960 LVL589960 MFH589960 MPD589960 MYZ589960 NIV589960 NSR589960 OCN589960 OMJ589960 OWF589960 PGB589960 PPX589960 PZT589960 QJP589960 QTL589960 RDH589960 RND589960 RWZ589960 SGV589960 SQR589960 TAN589960 TKJ589960 TUF589960 UEB589960 UNX589960 UXT589960 VHP589960 VRL589960 WBH589960 WLD589960 WUZ589960 IN655496 SJ655496 ACF655496 AMB655496 AVX655496 BFT655496 BPP655496 BZL655496 CJH655496 CTD655496 DCZ655496 DMV655496 DWR655496 EGN655496 EQJ655496 FAF655496 FKB655496 FTX655496 GDT655496 GNP655496 GXL655496 HHH655496 HRD655496 IAZ655496 IKV655496 IUR655496 JEN655496 JOJ655496 JYF655496 KIB655496 KRX655496 LBT655496 LLP655496 LVL655496 MFH655496 MPD655496 MYZ655496 NIV655496 NSR655496 OCN655496 OMJ655496 OWF655496 PGB655496 PPX655496 PZT655496 QJP655496 QTL655496 RDH655496 RND655496 RWZ655496 SGV655496 SQR655496 TAN655496 TKJ655496 TUF655496 UEB655496 UNX655496 UXT655496 VHP655496 VRL655496 WBH655496 WLD655496 WUZ655496 IN721032 SJ721032 ACF721032 AMB721032 AVX721032 BFT721032 BPP721032 BZL721032 CJH721032 CTD721032 DCZ721032 DMV721032 DWR721032 EGN721032 EQJ721032 FAF721032 FKB721032 FTX721032 GDT721032 GNP721032 GXL721032 HHH721032 HRD721032 IAZ721032 IKV721032 IUR721032 JEN721032 JOJ721032 JYF721032 KIB721032 KRX721032 LBT721032 LLP721032 LVL721032 MFH721032 MPD721032 MYZ721032 NIV721032 NSR721032 OCN721032 OMJ721032 OWF721032 PGB721032 PPX721032 PZT721032 QJP721032 QTL721032 RDH721032 RND721032 RWZ721032 SGV721032 SQR721032 TAN721032 TKJ721032 TUF721032 UEB721032 UNX721032 UXT721032 VHP721032 VRL721032 WBH721032 WLD721032 WUZ721032 IN786568 SJ786568 ACF786568 AMB786568 AVX786568 BFT786568 BPP786568 BZL786568 CJH786568 CTD786568 DCZ786568 DMV786568 DWR786568 EGN786568 EQJ786568 FAF786568 FKB786568 FTX786568 GDT786568 GNP786568 GXL786568 HHH786568 HRD786568 IAZ786568 IKV786568 IUR786568 JEN786568 JOJ786568 JYF786568 KIB786568 KRX786568 LBT786568 LLP786568 LVL786568 MFH786568 MPD786568 MYZ786568 NIV786568 NSR786568 OCN786568 OMJ786568 OWF786568 PGB786568 PPX786568 PZT786568 QJP786568 QTL786568 RDH786568 RND786568 RWZ786568 SGV786568 SQR786568 TAN786568 TKJ786568 TUF786568 UEB786568 UNX786568 UXT786568 VHP786568 VRL786568 WBH786568 WLD786568 WUZ786568 IN852104 SJ852104 ACF852104 AMB852104 AVX852104 BFT852104 BPP852104 BZL852104 CJH852104 CTD852104 DCZ852104 DMV852104 DWR852104 EGN852104 EQJ852104 FAF852104 FKB852104 FTX852104 GDT852104 GNP852104 GXL852104 HHH852104 HRD852104 IAZ852104 IKV852104 IUR852104 JEN852104 JOJ852104 JYF852104 KIB852104 KRX852104 LBT852104 LLP852104 LVL852104 MFH852104 MPD852104 MYZ852104 NIV852104 NSR852104 OCN852104 OMJ852104 OWF852104 PGB852104 PPX852104 PZT852104 QJP852104 QTL852104 RDH852104 RND852104 RWZ852104 SGV852104 SQR852104 TAN852104 TKJ852104 TUF852104 UEB852104 UNX852104 UXT852104 VHP852104 VRL852104 WBH852104 WLD852104 WUZ852104 IN917640 SJ917640 ACF917640 AMB917640 AVX917640 BFT917640 BPP917640 BZL917640 CJH917640 CTD917640 DCZ917640 DMV917640 DWR917640 EGN917640 EQJ917640 FAF917640 FKB917640 FTX917640 GDT917640 GNP917640 GXL917640 HHH917640 HRD917640 IAZ917640 IKV917640 IUR917640 JEN917640 JOJ917640 JYF917640 KIB917640 KRX917640 LBT917640 LLP917640 LVL917640 MFH917640 MPD917640 MYZ917640 NIV917640 NSR917640 OCN917640 OMJ917640 OWF917640 PGB917640 PPX917640 PZT917640 QJP917640 QTL917640 RDH917640 RND917640 RWZ917640 SGV917640 SQR917640 TAN917640 TKJ917640 TUF917640 UEB917640 UNX917640 UXT917640 VHP917640 VRL917640 WBH917640 WLD917640 WUZ917640 IN983176 SJ983176 ACF983176 AMB983176 AVX983176 BFT983176 BPP983176 BZL983176 CJH983176 CTD983176 DCZ983176 DMV983176 DWR983176 EGN983176 EQJ983176 FAF983176 FKB983176 FTX983176 GDT983176 GNP983176 GXL983176 HHH983176 HRD983176 IAZ983176 IKV983176 IUR983176 JEN983176 JOJ983176 JYF983176 KIB983176 KRX983176 LBT983176 LLP983176 LVL983176 MFH983176 MPD983176 MYZ983176 NIV983176 NSR983176 OCN983176 OMJ983176 OWF983176 PGB983176 PPX983176 PZT983176 QJP983176 QTL983176 RDH983176 RND983176 RWZ983176 SGV983176 SQR983176 TAN983176 TKJ983176 TUF983176 UEB983176 UNX983176 UXT983176 VHP983176 VRL983176 WBH983176 WLD983176 WUZ983176 IN146 SJ146 ACF146 AMB146 AVX146 BFT146 BPP146 BZL146 CJH146 CTD146 DCZ146 DMV146 DWR146 EGN146 EQJ146 FAF146 FKB146 FTX146 GDT146 GNP146 GXL146 HHH146 HRD146 IAZ146 IKV146 IUR146 JEN146 JOJ146 JYF146 KIB146 KRX146 LBT146 LLP146 LVL146 MFH146 MPD146 MYZ146 NIV146 NSR146 OCN146 OMJ146 OWF146 PGB146 PPX146 PZT146 QJP146 QTL146 RDH146 RND146 RWZ146 SGV146 SQR146 TAN146 TKJ146 TUF146 UEB146 UNX146 UXT146 VHP146 VRL146 WBH146 WLD146 WUZ146 IN65682 SJ65682 ACF65682 AMB65682 AVX65682 BFT65682 BPP65682 BZL65682 CJH65682 CTD65682 DCZ65682 DMV65682 DWR65682 EGN65682 EQJ65682 FAF65682 FKB65682 FTX65682 GDT65682 GNP65682 GXL65682 HHH65682 HRD65682 IAZ65682 IKV65682 IUR65682 JEN65682 JOJ65682 JYF65682 KIB65682 KRX65682 LBT65682 LLP65682 LVL65682 MFH65682 MPD65682 MYZ65682 NIV65682 NSR65682 OCN65682 OMJ65682 OWF65682 PGB65682 PPX65682 PZT65682 QJP65682 QTL65682 RDH65682 RND65682 RWZ65682 SGV65682 SQR65682 TAN65682 TKJ65682 TUF65682 UEB65682 UNX65682 UXT65682 VHP65682 VRL65682 WBH65682 WLD65682 WUZ65682 IN131218 SJ131218 ACF131218 AMB131218 AVX131218 BFT131218 BPP131218 BZL131218 CJH131218 CTD131218 DCZ131218 DMV131218 DWR131218 EGN131218 EQJ131218 FAF131218 FKB131218 FTX131218 GDT131218 GNP131218 GXL131218 HHH131218 HRD131218 IAZ131218 IKV131218 IUR131218 JEN131218 JOJ131218 JYF131218 KIB131218 KRX131218 LBT131218 LLP131218 LVL131218 MFH131218 MPD131218 MYZ131218 NIV131218 NSR131218 OCN131218 OMJ131218 OWF131218 PGB131218 PPX131218 PZT131218 QJP131218 QTL131218 RDH131218 RND131218 RWZ131218 SGV131218 SQR131218 TAN131218 TKJ131218 TUF131218 UEB131218 UNX131218 UXT131218 VHP131218 VRL131218 WBH131218 WLD131218 WUZ131218 IN196754 SJ196754 ACF196754 AMB196754 AVX196754 BFT196754 BPP196754 BZL196754 CJH196754 CTD196754 DCZ196754 DMV196754 DWR196754 EGN196754 EQJ196754 FAF196754 FKB196754 FTX196754 GDT196754 GNP196754 GXL196754 HHH196754 HRD196754 IAZ196754 IKV196754 IUR196754 JEN196754 JOJ196754 JYF196754 KIB196754 KRX196754 LBT196754 LLP196754 LVL196754 MFH196754 MPD196754 MYZ196754 NIV196754 NSR196754 OCN196754 OMJ196754 OWF196754 PGB196754 PPX196754 PZT196754 QJP196754 QTL196754 RDH196754 RND196754 RWZ196754 SGV196754 SQR196754 TAN196754 TKJ196754 TUF196754 UEB196754 UNX196754 UXT196754 VHP196754 VRL196754 WBH196754 WLD196754 WUZ196754 IN262290 SJ262290 ACF262290 AMB262290 AVX262290 BFT262290 BPP262290 BZL262290 CJH262290 CTD262290 DCZ262290 DMV262290 DWR262290 EGN262290 EQJ262290 FAF262290 FKB262290 FTX262290 GDT262290 GNP262290 GXL262290 HHH262290 HRD262290 IAZ262290 IKV262290 IUR262290 JEN262290 JOJ262290 JYF262290 KIB262290 KRX262290 LBT262290 LLP262290 LVL262290 MFH262290 MPD262290 MYZ262290 NIV262290 NSR262290 OCN262290 OMJ262290 OWF262290 PGB262290 PPX262290 PZT262290 QJP262290 QTL262290 RDH262290 RND262290 RWZ262290 SGV262290 SQR262290 TAN262290 TKJ262290 TUF262290 UEB262290 UNX262290 UXT262290 VHP262290 VRL262290 WBH262290 WLD262290 WUZ262290 IN327826 SJ327826 ACF327826 AMB327826 AVX327826 BFT327826 BPP327826 BZL327826 CJH327826 CTD327826 DCZ327826 DMV327826 DWR327826 EGN327826 EQJ327826 FAF327826 FKB327826 FTX327826 GDT327826 GNP327826 GXL327826 HHH327826 HRD327826 IAZ327826 IKV327826 IUR327826 JEN327826 JOJ327826 JYF327826 KIB327826 KRX327826 LBT327826 LLP327826 LVL327826 MFH327826 MPD327826 MYZ327826 NIV327826 NSR327826 OCN327826 OMJ327826 OWF327826 PGB327826 PPX327826 PZT327826 QJP327826 QTL327826 RDH327826 RND327826 RWZ327826 SGV327826 SQR327826 TAN327826 TKJ327826 TUF327826 UEB327826 UNX327826 UXT327826 VHP327826 VRL327826 WBH327826 WLD327826 WUZ327826 IN393362 SJ393362 ACF393362 AMB393362 AVX393362 BFT393362 BPP393362 BZL393362 CJH393362 CTD393362 DCZ393362 DMV393362 DWR393362 EGN393362 EQJ393362 FAF393362 FKB393362 FTX393362 GDT393362 GNP393362 GXL393362 HHH393362 HRD393362 IAZ393362 IKV393362 IUR393362 JEN393362 JOJ393362 JYF393362 KIB393362 KRX393362 LBT393362 LLP393362 LVL393362 MFH393362 MPD393362 MYZ393362 NIV393362 NSR393362 OCN393362 OMJ393362 OWF393362 PGB393362 PPX393362 PZT393362 QJP393362 QTL393362 RDH393362 RND393362 RWZ393362 SGV393362 SQR393362 TAN393362 TKJ393362 TUF393362 UEB393362 UNX393362 UXT393362 VHP393362 VRL393362 WBH393362 WLD393362 WUZ393362 IN458898 SJ458898 ACF458898 AMB458898 AVX458898 BFT458898 BPP458898 BZL458898 CJH458898 CTD458898 DCZ458898 DMV458898 DWR458898 EGN458898 EQJ458898 FAF458898 FKB458898 FTX458898 GDT458898 GNP458898 GXL458898 HHH458898 HRD458898 IAZ458898 IKV458898 IUR458898 JEN458898 JOJ458898 JYF458898 KIB458898 KRX458898 LBT458898 LLP458898 LVL458898 MFH458898 MPD458898 MYZ458898 NIV458898 NSR458898 OCN458898 OMJ458898 OWF458898 PGB458898 PPX458898 PZT458898 QJP458898 QTL458898 RDH458898 RND458898 RWZ458898 SGV458898 SQR458898 TAN458898 TKJ458898 TUF458898 UEB458898 UNX458898 UXT458898 VHP458898 VRL458898 WBH458898 WLD458898 WUZ458898 IN524434 SJ524434 ACF524434 AMB524434 AVX524434 BFT524434 BPP524434 BZL524434 CJH524434 CTD524434 DCZ524434 DMV524434 DWR524434 EGN524434 EQJ524434 FAF524434 FKB524434 FTX524434 GDT524434 GNP524434 GXL524434 HHH524434 HRD524434 IAZ524434 IKV524434 IUR524434 JEN524434 JOJ524434 JYF524434 KIB524434 KRX524434 LBT524434 LLP524434 LVL524434 MFH524434 MPD524434 MYZ524434 NIV524434 NSR524434 OCN524434 OMJ524434 OWF524434 PGB524434 PPX524434 PZT524434 QJP524434 QTL524434 RDH524434 RND524434 RWZ524434 SGV524434 SQR524434 TAN524434 TKJ524434 TUF524434 UEB524434 UNX524434 UXT524434 VHP524434 VRL524434 WBH524434 WLD524434 WUZ524434 IN589970 SJ589970 ACF589970 AMB589970 AVX589970 BFT589970 BPP589970 BZL589970 CJH589970 CTD589970 DCZ589970 DMV589970 DWR589970 EGN589970 EQJ589970 FAF589970 FKB589970 FTX589970 GDT589970 GNP589970 GXL589970 HHH589970 HRD589970 IAZ589970 IKV589970 IUR589970 JEN589970 JOJ589970 JYF589970 KIB589970 KRX589970 LBT589970 LLP589970 LVL589970 MFH589970 MPD589970 MYZ589970 NIV589970 NSR589970 OCN589970 OMJ589970 OWF589970 PGB589970 PPX589970 PZT589970 QJP589970 QTL589970 RDH589970 RND589970 RWZ589970 SGV589970 SQR589970 TAN589970 TKJ589970 TUF589970 UEB589970 UNX589970 UXT589970 VHP589970 VRL589970 WBH589970 WLD589970 WUZ589970 IN655506 SJ655506 ACF655506 AMB655506 AVX655506 BFT655506 BPP655506 BZL655506 CJH655506 CTD655506 DCZ655506 DMV655506 DWR655506 EGN655506 EQJ655506 FAF655506 FKB655506 FTX655506 GDT655506 GNP655506 GXL655506 HHH655506 HRD655506 IAZ655506 IKV655506 IUR655506 JEN655506 JOJ655506 JYF655506 KIB655506 KRX655506 LBT655506 LLP655506 LVL655506 MFH655506 MPD655506 MYZ655506 NIV655506 NSR655506 OCN655506 OMJ655506 OWF655506 PGB655506 PPX655506 PZT655506 QJP655506 QTL655506 RDH655506 RND655506 RWZ655506 SGV655506 SQR655506 TAN655506 TKJ655506 TUF655506 UEB655506 UNX655506 UXT655506 VHP655506 VRL655506 WBH655506 WLD655506 WUZ655506 IN721042 SJ721042 ACF721042 AMB721042 AVX721042 BFT721042 BPP721042 BZL721042 CJH721042 CTD721042 DCZ721042 DMV721042 DWR721042 EGN721042 EQJ721042 FAF721042 FKB721042 FTX721042 GDT721042 GNP721042 GXL721042 HHH721042 HRD721042 IAZ721042 IKV721042 IUR721042 JEN721042 JOJ721042 JYF721042 KIB721042 KRX721042 LBT721042 LLP721042 LVL721042 MFH721042 MPD721042 MYZ721042 NIV721042 NSR721042 OCN721042 OMJ721042 OWF721042 PGB721042 PPX721042 PZT721042 QJP721042 QTL721042 RDH721042 RND721042 RWZ721042 SGV721042 SQR721042 TAN721042 TKJ721042 TUF721042 UEB721042 UNX721042 UXT721042 VHP721042 VRL721042 WBH721042 WLD721042 WUZ721042 IN786578 SJ786578 ACF786578 AMB786578 AVX786578 BFT786578 BPP786578 BZL786578 CJH786578 CTD786578 DCZ786578 DMV786578 DWR786578 EGN786578 EQJ786578 FAF786578 FKB786578 FTX786578 GDT786578 GNP786578 GXL786578 HHH786578 HRD786578 IAZ786578 IKV786578 IUR786578 JEN786578 JOJ786578 JYF786578 KIB786578 KRX786578 LBT786578 LLP786578 LVL786578 MFH786578 MPD786578 MYZ786578 NIV786578 NSR786578 OCN786578 OMJ786578 OWF786578 PGB786578 PPX786578 PZT786578 QJP786578 QTL786578 RDH786578 RND786578 RWZ786578 SGV786578 SQR786578 TAN786578 TKJ786578 TUF786578 UEB786578 UNX786578 UXT786578 VHP786578 VRL786578 WBH786578 WLD786578 WUZ786578 IN852114 SJ852114 ACF852114 AMB852114 AVX852114 BFT852114 BPP852114 BZL852114 CJH852114 CTD852114 DCZ852114 DMV852114 DWR852114 EGN852114 EQJ852114 FAF852114 FKB852114 FTX852114 GDT852114 GNP852114 GXL852114 HHH852114 HRD852114 IAZ852114 IKV852114 IUR852114 JEN852114 JOJ852114 JYF852114 KIB852114 KRX852114 LBT852114 LLP852114 LVL852114 MFH852114 MPD852114 MYZ852114 NIV852114 NSR852114 OCN852114 OMJ852114 OWF852114 PGB852114 PPX852114 PZT852114 QJP852114 QTL852114 RDH852114 RND852114 RWZ852114 SGV852114 SQR852114 TAN852114 TKJ852114 TUF852114 UEB852114 UNX852114 UXT852114 VHP852114 VRL852114 WBH852114 WLD852114 WUZ852114 IN917650 SJ917650 ACF917650 AMB917650 AVX917650 BFT917650 BPP917650 BZL917650 CJH917650 CTD917650 DCZ917650 DMV917650 DWR917650 EGN917650 EQJ917650 FAF917650 FKB917650 FTX917650 GDT917650 GNP917650 GXL917650 HHH917650 HRD917650 IAZ917650 IKV917650 IUR917650 JEN917650 JOJ917650 JYF917650 KIB917650 KRX917650 LBT917650 LLP917650 LVL917650 MFH917650 MPD917650 MYZ917650 NIV917650 NSR917650 OCN917650 OMJ917650 OWF917650 PGB917650 PPX917650 PZT917650 QJP917650 QTL917650 RDH917650 RND917650 RWZ917650 SGV917650 SQR917650 TAN917650 TKJ917650 TUF917650 UEB917650 UNX917650 UXT917650 VHP917650 VRL917650 WBH917650 WLD917650 WUZ917650 IN983186 SJ983186 ACF983186 AMB983186 AVX983186 BFT983186 BPP983186 BZL983186 CJH983186 CTD983186 DCZ983186 DMV983186 DWR983186 EGN983186 EQJ983186 FAF983186 FKB983186 FTX983186 GDT983186 GNP983186 GXL983186 HHH983186 HRD983186 IAZ983186 IKV983186 IUR983186 JEN983186 JOJ983186 JYF983186 KIB983186 KRX983186 LBT983186 LLP983186 LVL983186 MFH983186 MPD983186 MYZ983186 NIV983186 NSR983186 OCN983186 OMJ983186 OWF983186 PGB983186 PPX983186 PZT983186 QJP983186 QTL983186 RDH983186 RND983186 RWZ983186 SGV983186 SQR983186 TAN983186 TKJ983186 TUF983186 UEB983186 UNX983186 UXT983186 VHP983186 VRL983186 WBH983186 WLD983186 WUZ983186 IN156 SJ156 ACF156 AMB156 AVX156 BFT156 BPP156 BZL156 CJH156 CTD156 DCZ156 DMV156 DWR156 EGN156 EQJ156 FAF156 FKB156 FTX156 GDT156 GNP156 GXL156 HHH156 HRD156 IAZ156 IKV156 IUR156 JEN156 JOJ156 JYF156 KIB156 KRX156 LBT156 LLP156 LVL156 MFH156 MPD156 MYZ156 NIV156 NSR156 OCN156 OMJ156 OWF156 PGB156 PPX156 PZT156 QJP156 QTL156 RDH156 RND156 RWZ156 SGV156 SQR156 TAN156 TKJ156 TUF156 UEB156 UNX156 UXT156 VHP156 VRL156 WBH156 WLD156 WUZ156 IN65692 SJ65692 ACF65692 AMB65692 AVX65692 BFT65692 BPP65692 BZL65692 CJH65692 CTD65692 DCZ65692 DMV65692 DWR65692 EGN65692 EQJ65692 FAF65692 FKB65692 FTX65692 GDT65692 GNP65692 GXL65692 HHH65692 HRD65692 IAZ65692 IKV65692 IUR65692 JEN65692 JOJ65692 JYF65692 KIB65692 KRX65692 LBT65692 LLP65692 LVL65692 MFH65692 MPD65692 MYZ65692 NIV65692 NSR65692 OCN65692 OMJ65692 OWF65692 PGB65692 PPX65692 PZT65692 QJP65692 QTL65692 RDH65692 RND65692 RWZ65692 SGV65692 SQR65692 TAN65692 TKJ65692 TUF65692 UEB65692 UNX65692 UXT65692 VHP65692 VRL65692 WBH65692 WLD65692 WUZ65692 IN131228 SJ131228 ACF131228 AMB131228 AVX131228 BFT131228 BPP131228 BZL131228 CJH131228 CTD131228 DCZ131228 DMV131228 DWR131228 EGN131228 EQJ131228 FAF131228 FKB131228 FTX131228 GDT131228 GNP131228 GXL131228 HHH131228 HRD131228 IAZ131228 IKV131228 IUR131228 JEN131228 JOJ131228 JYF131228 KIB131228 KRX131228 LBT131228 LLP131228 LVL131228 MFH131228 MPD131228 MYZ131228 NIV131228 NSR131228 OCN131228 OMJ131228 OWF131228 PGB131228 PPX131228 PZT131228 QJP131228 QTL131228 RDH131228 RND131228 RWZ131228 SGV131228 SQR131228 TAN131228 TKJ131228 TUF131228 UEB131228 UNX131228 UXT131228 VHP131228 VRL131228 WBH131228 WLD131228 WUZ131228 IN196764 SJ196764 ACF196764 AMB196764 AVX196764 BFT196764 BPP196764 BZL196764 CJH196764 CTD196764 DCZ196764 DMV196764 DWR196764 EGN196764 EQJ196764 FAF196764 FKB196764 FTX196764 GDT196764 GNP196764 GXL196764 HHH196764 HRD196764 IAZ196764 IKV196764 IUR196764 JEN196764 JOJ196764 JYF196764 KIB196764 KRX196764 LBT196764 LLP196764 LVL196764 MFH196764 MPD196764 MYZ196764 NIV196764 NSR196764 OCN196764 OMJ196764 OWF196764 PGB196764 PPX196764 PZT196764 QJP196764 QTL196764 RDH196764 RND196764 RWZ196764 SGV196764 SQR196764 TAN196764 TKJ196764 TUF196764 UEB196764 UNX196764 UXT196764 VHP196764 VRL196764 WBH196764 WLD196764 WUZ196764 IN262300 SJ262300 ACF262300 AMB262300 AVX262300 BFT262300 BPP262300 BZL262300 CJH262300 CTD262300 DCZ262300 DMV262300 DWR262300 EGN262300 EQJ262300 FAF262300 FKB262300 FTX262300 GDT262300 GNP262300 GXL262300 HHH262300 HRD262300 IAZ262300 IKV262300 IUR262300 JEN262300 JOJ262300 JYF262300 KIB262300 KRX262300 LBT262300 LLP262300 LVL262300 MFH262300 MPD262300 MYZ262300 NIV262300 NSR262300 OCN262300 OMJ262300 OWF262300 PGB262300 PPX262300 PZT262300 QJP262300 QTL262300 RDH262300 RND262300 RWZ262300 SGV262300 SQR262300 TAN262300 TKJ262300 TUF262300 UEB262300 UNX262300 UXT262300 VHP262300 VRL262300 WBH262300 WLD262300 WUZ262300 IN327836 SJ327836 ACF327836 AMB327836 AVX327836 BFT327836 BPP327836 BZL327836 CJH327836 CTD327836 DCZ327836 DMV327836 DWR327836 EGN327836 EQJ327836 FAF327836 FKB327836 FTX327836 GDT327836 GNP327836 GXL327836 HHH327836 HRD327836 IAZ327836 IKV327836 IUR327836 JEN327836 JOJ327836 JYF327836 KIB327836 KRX327836 LBT327836 LLP327836 LVL327836 MFH327836 MPD327836 MYZ327836 NIV327836 NSR327836 OCN327836 OMJ327836 OWF327836 PGB327836 PPX327836 PZT327836 QJP327836 QTL327836 RDH327836 RND327836 RWZ327836 SGV327836 SQR327836 TAN327836 TKJ327836 TUF327836 UEB327836 UNX327836 UXT327836 VHP327836 VRL327836 WBH327836 WLD327836 WUZ327836 IN393372 SJ393372 ACF393372 AMB393372 AVX393372 BFT393372 BPP393372 BZL393372 CJH393372 CTD393372 DCZ393372 DMV393372 DWR393372 EGN393372 EQJ393372 FAF393372 FKB393372 FTX393372 GDT393372 GNP393372 GXL393372 HHH393372 HRD393372 IAZ393372 IKV393372 IUR393372 JEN393372 JOJ393372 JYF393372 KIB393372 KRX393372 LBT393372 LLP393372 LVL393372 MFH393372 MPD393372 MYZ393372 NIV393372 NSR393372 OCN393372 OMJ393372 OWF393372 PGB393372 PPX393372 PZT393372 QJP393372 QTL393372 RDH393372 RND393372 RWZ393372 SGV393372 SQR393372 TAN393372 TKJ393372 TUF393372 UEB393372 UNX393372 UXT393372 VHP393372 VRL393372 WBH393372 WLD393372 WUZ393372 IN458908 SJ458908 ACF458908 AMB458908 AVX458908 BFT458908 BPP458908 BZL458908 CJH458908 CTD458908 DCZ458908 DMV458908 DWR458908 EGN458908 EQJ458908 FAF458908 FKB458908 FTX458908 GDT458908 GNP458908 GXL458908 HHH458908 HRD458908 IAZ458908 IKV458908 IUR458908 JEN458908 JOJ458908 JYF458908 KIB458908 KRX458908 LBT458908 LLP458908 LVL458908 MFH458908 MPD458908 MYZ458908 NIV458908 NSR458908 OCN458908 OMJ458908 OWF458908 PGB458908 PPX458908 PZT458908 QJP458908 QTL458908 RDH458908 RND458908 RWZ458908 SGV458908 SQR458908 TAN458908 TKJ458908 TUF458908 UEB458908 UNX458908 UXT458908 VHP458908 VRL458908 WBH458908 WLD458908 WUZ458908 IN524444 SJ524444 ACF524444 AMB524444 AVX524444 BFT524444 BPP524444 BZL524444 CJH524444 CTD524444 DCZ524444 DMV524444 DWR524444 EGN524444 EQJ524444 FAF524444 FKB524444 FTX524444 GDT524444 GNP524444 GXL524444 HHH524444 HRD524444 IAZ524444 IKV524444 IUR524444 JEN524444 JOJ524444 JYF524444 KIB524444 KRX524444 LBT524444 LLP524444 LVL524444 MFH524444 MPD524444 MYZ524444 NIV524444 NSR524444 OCN524444 OMJ524444 OWF524444 PGB524444 PPX524444 PZT524444 QJP524444 QTL524444 RDH524444 RND524444 RWZ524444 SGV524444 SQR524444 TAN524444 TKJ524444 TUF524444 UEB524444 UNX524444 UXT524444 VHP524444 VRL524444 WBH524444 WLD524444 WUZ524444 IN589980 SJ589980 ACF589980 AMB589980 AVX589980 BFT589980 BPP589980 BZL589980 CJH589980 CTD589980 DCZ589980 DMV589980 DWR589980 EGN589980 EQJ589980 FAF589980 FKB589980 FTX589980 GDT589980 GNP589980 GXL589980 HHH589980 HRD589980 IAZ589980 IKV589980 IUR589980 JEN589980 JOJ589980 JYF589980 KIB589980 KRX589980 LBT589980 LLP589980 LVL589980 MFH589980 MPD589980 MYZ589980 NIV589980 NSR589980 OCN589980 OMJ589980 OWF589980 PGB589980 PPX589980 PZT589980 QJP589980 QTL589980 RDH589980 RND589980 RWZ589980 SGV589980 SQR589980 TAN589980 TKJ589980 TUF589980 UEB589980 UNX589980 UXT589980 VHP589980 VRL589980 WBH589980 WLD589980 WUZ589980 IN655516 SJ655516 ACF655516 AMB655516 AVX655516 BFT655516 BPP655516 BZL655516 CJH655516 CTD655516 DCZ655516 DMV655516 DWR655516 EGN655516 EQJ655516 FAF655516 FKB655516 FTX655516 GDT655516 GNP655516 GXL655516 HHH655516 HRD655516 IAZ655516 IKV655516 IUR655516 JEN655516 JOJ655516 JYF655516 KIB655516 KRX655516 LBT655516 LLP655516 LVL655516 MFH655516 MPD655516 MYZ655516 NIV655516 NSR655516 OCN655516 OMJ655516 OWF655516 PGB655516 PPX655516 PZT655516 QJP655516 QTL655516 RDH655516 RND655516 RWZ655516 SGV655516 SQR655516 TAN655516 TKJ655516 TUF655516 UEB655516 UNX655516 UXT655516 VHP655516 VRL655516 WBH655516 WLD655516 WUZ655516 IN721052 SJ721052 ACF721052 AMB721052 AVX721052 BFT721052 BPP721052 BZL721052 CJH721052 CTD721052 DCZ721052 DMV721052 DWR721052 EGN721052 EQJ721052 FAF721052 FKB721052 FTX721052 GDT721052 GNP721052 GXL721052 HHH721052 HRD721052 IAZ721052 IKV721052 IUR721052 JEN721052 JOJ721052 JYF721052 KIB721052 KRX721052 LBT721052 LLP721052 LVL721052 MFH721052 MPD721052 MYZ721052 NIV721052 NSR721052 OCN721052 OMJ721052 OWF721052 PGB721052 PPX721052 PZT721052 QJP721052 QTL721052 RDH721052 RND721052 RWZ721052 SGV721052 SQR721052 TAN721052 TKJ721052 TUF721052 UEB721052 UNX721052 UXT721052 VHP721052 VRL721052 WBH721052 WLD721052 WUZ721052 IN786588 SJ786588 ACF786588 AMB786588 AVX786588 BFT786588 BPP786588 BZL786588 CJH786588 CTD786588 DCZ786588 DMV786588 DWR786588 EGN786588 EQJ786588 FAF786588 FKB786588 FTX786588 GDT786588 GNP786588 GXL786588 HHH786588 HRD786588 IAZ786588 IKV786588 IUR786588 JEN786588 JOJ786588 JYF786588 KIB786588 KRX786588 LBT786588 LLP786588 LVL786588 MFH786588 MPD786588 MYZ786588 NIV786588 NSR786588 OCN786588 OMJ786588 OWF786588 PGB786588 PPX786588 PZT786588 QJP786588 QTL786588 RDH786588 RND786588 RWZ786588 SGV786588 SQR786588 TAN786588 TKJ786588 TUF786588 UEB786588 UNX786588 UXT786588 VHP786588 VRL786588 WBH786588 WLD786588 WUZ786588 IN852124 SJ852124 ACF852124 AMB852124 AVX852124 BFT852124 BPP852124 BZL852124 CJH852124 CTD852124 DCZ852124 DMV852124 DWR852124 EGN852124 EQJ852124 FAF852124 FKB852124 FTX852124 GDT852124 GNP852124 GXL852124 HHH852124 HRD852124 IAZ852124 IKV852124 IUR852124 JEN852124 JOJ852124 JYF852124 KIB852124 KRX852124 LBT852124 LLP852124 LVL852124 MFH852124 MPD852124 MYZ852124 NIV852124 NSR852124 OCN852124 OMJ852124 OWF852124 PGB852124 PPX852124 PZT852124 QJP852124 QTL852124 RDH852124 RND852124 RWZ852124 SGV852124 SQR852124 TAN852124 TKJ852124 TUF852124 UEB852124 UNX852124 UXT852124 VHP852124 VRL852124 WBH852124 WLD852124 WUZ852124 IN917660 SJ917660 ACF917660 AMB917660 AVX917660 BFT917660 BPP917660 BZL917660 CJH917660 CTD917660 DCZ917660 DMV917660 DWR917660 EGN917660 EQJ917660 FAF917660 FKB917660 FTX917660 GDT917660 GNP917660 GXL917660 HHH917660 HRD917660 IAZ917660 IKV917660 IUR917660 JEN917660 JOJ917660 JYF917660 KIB917660 KRX917660 LBT917660 LLP917660 LVL917660 MFH917660 MPD917660 MYZ917660 NIV917660 NSR917660 OCN917660 OMJ917660 OWF917660 PGB917660 PPX917660 PZT917660 QJP917660 QTL917660 RDH917660 RND917660 RWZ917660 SGV917660 SQR917660 TAN917660 TKJ917660 TUF917660 UEB917660 UNX917660 UXT917660 VHP917660 VRL917660 WBH917660 WLD917660 WUZ917660 IN983196 SJ983196 ACF983196 AMB983196 AVX983196 BFT983196 BPP983196 BZL983196 CJH983196 CTD983196 DCZ983196 DMV983196 DWR983196 EGN983196 EQJ983196 FAF983196 FKB983196 FTX983196 GDT983196 GNP983196 GXL983196 HHH983196 HRD983196 IAZ983196 IKV983196 IUR983196 JEN983196 JOJ983196 JYF983196 KIB983196 KRX983196 LBT983196 LLP983196 LVL983196 MFH983196 MPD983196 MYZ983196 NIV983196 NSR983196 OCN983196 OMJ983196 OWF983196 PGB983196 PPX983196 PZT983196 QJP983196 QTL983196 RDH983196 RND983196 RWZ983196 SGV983196 SQR983196 TAN983196 TKJ983196 TUF983196 UEB983196 UNX983196 UXT983196 VHP983196 VRL983196 WBH983196 WLD983196 WUZ983196 IN166 SJ166 ACF166 AMB166 AVX166 BFT166 BPP166 BZL166 CJH166 CTD166 DCZ166 DMV166 DWR166 EGN166 EQJ166 FAF166 FKB166 FTX166 GDT166 GNP166 GXL166 HHH166 HRD166 IAZ166 IKV166 IUR166 JEN166 JOJ166 JYF166 KIB166 KRX166 LBT166 LLP166 LVL166 MFH166 MPD166 MYZ166 NIV166 NSR166 OCN166 OMJ166 OWF166 PGB166 PPX166 PZT166 QJP166 QTL166 RDH166 RND166 RWZ166 SGV166 SQR166 TAN166 TKJ166 TUF166 UEB166 UNX166 UXT166 VHP166 VRL166 WBH166 WLD166 WUZ166 IN65702 SJ65702 ACF65702 AMB65702 AVX65702 BFT65702 BPP65702 BZL65702 CJH65702 CTD65702 DCZ65702 DMV65702 DWR65702 EGN65702 EQJ65702 FAF65702 FKB65702 FTX65702 GDT65702 GNP65702 GXL65702 HHH65702 HRD65702 IAZ65702 IKV65702 IUR65702 JEN65702 JOJ65702 JYF65702 KIB65702 KRX65702 LBT65702 LLP65702 LVL65702 MFH65702 MPD65702 MYZ65702 NIV65702 NSR65702 OCN65702 OMJ65702 OWF65702 PGB65702 PPX65702 PZT65702 QJP65702 QTL65702 RDH65702 RND65702 RWZ65702 SGV65702 SQR65702 TAN65702 TKJ65702 TUF65702 UEB65702 UNX65702 UXT65702 VHP65702 VRL65702 WBH65702 WLD65702 WUZ65702 IN131238 SJ131238 ACF131238 AMB131238 AVX131238 BFT131238 BPP131238 BZL131238 CJH131238 CTD131238 DCZ131238 DMV131238 DWR131238 EGN131238 EQJ131238 FAF131238 FKB131238 FTX131238 GDT131238 GNP131238 GXL131238 HHH131238 HRD131238 IAZ131238 IKV131238 IUR131238 JEN131238 JOJ131238 JYF131238 KIB131238 KRX131238 LBT131238 LLP131238 LVL131238 MFH131238 MPD131238 MYZ131238 NIV131238 NSR131238 OCN131238 OMJ131238 OWF131238 PGB131238 PPX131238 PZT131238 QJP131238 QTL131238 RDH131238 RND131238 RWZ131238 SGV131238 SQR131238 TAN131238 TKJ131238 TUF131238 UEB131238 UNX131238 UXT131238 VHP131238 VRL131238 WBH131238 WLD131238 WUZ131238 IN196774 SJ196774 ACF196774 AMB196774 AVX196774 BFT196774 BPP196774 BZL196774 CJH196774 CTD196774 DCZ196774 DMV196774 DWR196774 EGN196774 EQJ196774 FAF196774 FKB196774 FTX196774 GDT196774 GNP196774 GXL196774 HHH196774 HRD196774 IAZ196774 IKV196774 IUR196774 JEN196774 JOJ196774 JYF196774 KIB196774 KRX196774 LBT196774 LLP196774 LVL196774 MFH196774 MPD196774 MYZ196774 NIV196774 NSR196774 OCN196774 OMJ196774 OWF196774 PGB196774 PPX196774 PZT196774 QJP196774 QTL196774 RDH196774 RND196774 RWZ196774 SGV196774 SQR196774 TAN196774 TKJ196774 TUF196774 UEB196774 UNX196774 UXT196774 VHP196774 VRL196774 WBH196774 WLD196774 WUZ196774 IN262310 SJ262310 ACF262310 AMB262310 AVX262310 BFT262310 BPP262310 BZL262310 CJH262310 CTD262310 DCZ262310 DMV262310 DWR262310 EGN262310 EQJ262310 FAF262310 FKB262310 FTX262310 GDT262310 GNP262310 GXL262310 HHH262310 HRD262310 IAZ262310 IKV262310 IUR262310 JEN262310 JOJ262310 JYF262310 KIB262310 KRX262310 LBT262310 LLP262310 LVL262310 MFH262310 MPD262310 MYZ262310 NIV262310 NSR262310 OCN262310 OMJ262310 OWF262310 PGB262310 PPX262310 PZT262310 QJP262310 QTL262310 RDH262310 RND262310 RWZ262310 SGV262310 SQR262310 TAN262310 TKJ262310 TUF262310 UEB262310 UNX262310 UXT262310 VHP262310 VRL262310 WBH262310 WLD262310 WUZ262310 IN327846 SJ327846 ACF327846 AMB327846 AVX327846 BFT327846 BPP327846 BZL327846 CJH327846 CTD327846 DCZ327846 DMV327846 DWR327846 EGN327846 EQJ327846 FAF327846 FKB327846 FTX327846 GDT327846 GNP327846 GXL327846 HHH327846 HRD327846 IAZ327846 IKV327846 IUR327846 JEN327846 JOJ327846 JYF327846 KIB327846 KRX327846 LBT327846 LLP327846 LVL327846 MFH327846 MPD327846 MYZ327846 NIV327846 NSR327846 OCN327846 OMJ327846 OWF327846 PGB327846 PPX327846 PZT327846 QJP327846 QTL327846 RDH327846 RND327846 RWZ327846 SGV327846 SQR327846 TAN327846 TKJ327846 TUF327846 UEB327846 UNX327846 UXT327846 VHP327846 VRL327846 WBH327846 WLD327846 WUZ327846 IN393382 SJ393382 ACF393382 AMB393382 AVX393382 BFT393382 BPP393382 BZL393382 CJH393382 CTD393382 DCZ393382 DMV393382 DWR393382 EGN393382 EQJ393382 FAF393382 FKB393382 FTX393382 GDT393382 GNP393382 GXL393382 HHH393382 HRD393382 IAZ393382 IKV393382 IUR393382 JEN393382 JOJ393382 JYF393382 KIB393382 KRX393382 LBT393382 LLP393382 LVL393382 MFH393382 MPD393382 MYZ393382 NIV393382 NSR393382 OCN393382 OMJ393382 OWF393382 PGB393382 PPX393382 PZT393382 QJP393382 QTL393382 RDH393382 RND393382 RWZ393382 SGV393382 SQR393382 TAN393382 TKJ393382 TUF393382 UEB393382 UNX393382 UXT393382 VHP393382 VRL393382 WBH393382 WLD393382 WUZ393382 IN458918 SJ458918 ACF458918 AMB458918 AVX458918 BFT458918 BPP458918 BZL458918 CJH458918 CTD458918 DCZ458918 DMV458918 DWR458918 EGN458918 EQJ458918 FAF458918 FKB458918 FTX458918 GDT458918 GNP458918 GXL458918 HHH458918 HRD458918 IAZ458918 IKV458918 IUR458918 JEN458918 JOJ458918 JYF458918 KIB458918 KRX458918 LBT458918 LLP458918 LVL458918 MFH458918 MPD458918 MYZ458918 NIV458918 NSR458918 OCN458918 OMJ458918 OWF458918 PGB458918 PPX458918 PZT458918 QJP458918 QTL458918 RDH458918 RND458918 RWZ458918 SGV458918 SQR458918 TAN458918 TKJ458918 TUF458918 UEB458918 UNX458918 UXT458918 VHP458918 VRL458918 WBH458918 WLD458918 WUZ458918 IN524454 SJ524454 ACF524454 AMB524454 AVX524454 BFT524454 BPP524454 BZL524454 CJH524454 CTD524454 DCZ524454 DMV524454 DWR524454 EGN524454 EQJ524454 FAF524454 FKB524454 FTX524454 GDT524454 GNP524454 GXL524454 HHH524454 HRD524454 IAZ524454 IKV524454 IUR524454 JEN524454 JOJ524454 JYF524454 KIB524454 KRX524454 LBT524454 LLP524454 LVL524454 MFH524454 MPD524454 MYZ524454 NIV524454 NSR524454 OCN524454 OMJ524454 OWF524454 PGB524454 PPX524454 PZT524454 QJP524454 QTL524454 RDH524454 RND524454 RWZ524454 SGV524454 SQR524454 TAN524454 TKJ524454 TUF524454 UEB524454 UNX524454 UXT524454 VHP524454 VRL524454 WBH524454 WLD524454 WUZ524454 IN589990 SJ589990 ACF589990 AMB589990 AVX589990 BFT589990 BPP589990 BZL589990 CJH589990 CTD589990 DCZ589990 DMV589990 DWR589990 EGN589990 EQJ589990 FAF589990 FKB589990 FTX589990 GDT589990 GNP589990 GXL589990 HHH589990 HRD589990 IAZ589990 IKV589990 IUR589990 JEN589990 JOJ589990 JYF589990 KIB589990 KRX589990 LBT589990 LLP589990 LVL589990 MFH589990 MPD589990 MYZ589990 NIV589990 NSR589990 OCN589990 OMJ589990 OWF589990 PGB589990 PPX589990 PZT589990 QJP589990 QTL589990 RDH589990 RND589990 RWZ589990 SGV589990 SQR589990 TAN589990 TKJ589990 TUF589990 UEB589990 UNX589990 UXT589990 VHP589990 VRL589990 WBH589990 WLD589990 WUZ589990 IN655526 SJ655526 ACF655526 AMB655526 AVX655526 BFT655526 BPP655526 BZL655526 CJH655526 CTD655526 DCZ655526 DMV655526 DWR655526 EGN655526 EQJ655526 FAF655526 FKB655526 FTX655526 GDT655526 GNP655526 GXL655526 HHH655526 HRD655526 IAZ655526 IKV655526 IUR655526 JEN655526 JOJ655526 JYF655526 KIB655526 KRX655526 LBT655526 LLP655526 LVL655526 MFH655526 MPD655526 MYZ655526 NIV655526 NSR655526 OCN655526 OMJ655526 OWF655526 PGB655526 PPX655526 PZT655526 QJP655526 QTL655526 RDH655526 RND655526 RWZ655526 SGV655526 SQR655526 TAN655526 TKJ655526 TUF655526 UEB655526 UNX655526 UXT655526 VHP655526 VRL655526 WBH655526 WLD655526 WUZ655526 IN721062 SJ721062 ACF721062 AMB721062 AVX721062 BFT721062 BPP721062 BZL721062 CJH721062 CTD721062 DCZ721062 DMV721062 DWR721062 EGN721062 EQJ721062 FAF721062 FKB721062 FTX721062 GDT721062 GNP721062 GXL721062 HHH721062 HRD721062 IAZ721062 IKV721062 IUR721062 JEN721062 JOJ721062 JYF721062 KIB721062 KRX721062 LBT721062 LLP721062 LVL721062 MFH721062 MPD721062 MYZ721062 NIV721062 NSR721062 OCN721062 OMJ721062 OWF721062 PGB721062 PPX721062 PZT721062 QJP721062 QTL721062 RDH721062 RND721062 RWZ721062 SGV721062 SQR721062 TAN721062 TKJ721062 TUF721062 UEB721062 UNX721062 UXT721062 VHP721062 VRL721062 WBH721062 WLD721062 WUZ721062 IN786598 SJ786598 ACF786598 AMB786598 AVX786598 BFT786598 BPP786598 BZL786598 CJH786598 CTD786598 DCZ786598 DMV786598 DWR786598 EGN786598 EQJ786598 FAF786598 FKB786598 FTX786598 GDT786598 GNP786598 GXL786598 HHH786598 HRD786598 IAZ786598 IKV786598 IUR786598 JEN786598 JOJ786598 JYF786598 KIB786598 KRX786598 LBT786598 LLP786598 LVL786598 MFH786598 MPD786598 MYZ786598 NIV786598 NSR786598 OCN786598 OMJ786598 OWF786598 PGB786598 PPX786598 PZT786598 QJP786598 QTL786598 RDH786598 RND786598 RWZ786598 SGV786598 SQR786598 TAN786598 TKJ786598 TUF786598 UEB786598 UNX786598 UXT786598 VHP786598 VRL786598 WBH786598 WLD786598 WUZ786598 IN852134 SJ852134 ACF852134 AMB852134 AVX852134 BFT852134 BPP852134 BZL852134 CJH852134 CTD852134 DCZ852134 DMV852134 DWR852134 EGN852134 EQJ852134 FAF852134 FKB852134 FTX852134 GDT852134 GNP852134 GXL852134 HHH852134 HRD852134 IAZ852134 IKV852134 IUR852134 JEN852134 JOJ852134 JYF852134 KIB852134 KRX852134 LBT852134 LLP852134 LVL852134 MFH852134 MPD852134 MYZ852134 NIV852134 NSR852134 OCN852134 OMJ852134 OWF852134 PGB852134 PPX852134 PZT852134 QJP852134 QTL852134 RDH852134 RND852134 RWZ852134 SGV852134 SQR852134 TAN852134 TKJ852134 TUF852134 UEB852134 UNX852134 UXT852134 VHP852134 VRL852134 WBH852134 WLD852134 WUZ852134 IN917670 SJ917670 ACF917670 AMB917670 AVX917670 BFT917670 BPP917670 BZL917670 CJH917670 CTD917670 DCZ917670 DMV917670 DWR917670 EGN917670 EQJ917670 FAF917670 FKB917670 FTX917670 GDT917670 GNP917670 GXL917670 HHH917670 HRD917670 IAZ917670 IKV917670 IUR917670 JEN917670 JOJ917670 JYF917670 KIB917670 KRX917670 LBT917670 LLP917670 LVL917670 MFH917670 MPD917670 MYZ917670 NIV917670 NSR917670 OCN917670 OMJ917670 OWF917670 PGB917670 PPX917670 PZT917670 QJP917670 QTL917670 RDH917670 RND917670 RWZ917670 SGV917670 SQR917670 TAN917670 TKJ917670 TUF917670 UEB917670 UNX917670 UXT917670 VHP917670 VRL917670 WBH917670 WLD917670 WUZ917670 IN983206 SJ983206 ACF983206 AMB983206 AVX983206 BFT983206 BPP983206 BZL983206 CJH983206 CTD983206 DCZ983206 DMV983206 DWR983206 EGN983206 EQJ983206 FAF983206 FKB983206 FTX983206 GDT983206 GNP983206 GXL983206 HHH983206 HRD983206 IAZ983206 IKV983206 IUR983206 JEN983206 JOJ983206 JYF983206 KIB983206 KRX983206 LBT983206 LLP983206 LVL983206 MFH983206 MPD983206 MYZ983206 NIV983206 NSR983206 OCN983206 OMJ983206 OWF983206 PGB983206 PPX983206 PZT983206 QJP983206 QTL983206 RDH983206 RND983206 RWZ983206 SGV983206 SQR983206 TAN983206 TKJ983206 TUF983206 UEB983206 UNX983206 UXT983206 VHP983206 VRL983206 WBH983206 WLD983206 WUZ983206 IN176 SJ176 ACF176 AMB176 AVX176 BFT176 BPP176 BZL176 CJH176 CTD176 DCZ176 DMV176 DWR176 EGN176 EQJ176 FAF176 FKB176 FTX176 GDT176 GNP176 GXL176 HHH176 HRD176 IAZ176 IKV176 IUR176 JEN176 JOJ176 JYF176 KIB176 KRX176 LBT176 LLP176 LVL176 MFH176 MPD176 MYZ176 NIV176 NSR176 OCN176 OMJ176 OWF176 PGB176 PPX176 PZT176 QJP176 QTL176 RDH176 RND176 RWZ176 SGV176 SQR176 TAN176 TKJ176 TUF176 UEB176 UNX176 UXT176 VHP176 VRL176 WBH176 WLD176 WUZ176 IN65712 SJ65712 ACF65712 AMB65712 AVX65712 BFT65712 BPP65712 BZL65712 CJH65712 CTD65712 DCZ65712 DMV65712 DWR65712 EGN65712 EQJ65712 FAF65712 FKB65712 FTX65712 GDT65712 GNP65712 GXL65712 HHH65712 HRD65712 IAZ65712 IKV65712 IUR65712 JEN65712 JOJ65712 JYF65712 KIB65712 KRX65712 LBT65712 LLP65712 LVL65712 MFH65712 MPD65712 MYZ65712 NIV65712 NSR65712 OCN65712 OMJ65712 OWF65712 PGB65712 PPX65712 PZT65712 QJP65712 QTL65712 RDH65712 RND65712 RWZ65712 SGV65712 SQR65712 TAN65712 TKJ65712 TUF65712 UEB65712 UNX65712 UXT65712 VHP65712 VRL65712 WBH65712 WLD65712 WUZ65712 IN131248 SJ131248 ACF131248 AMB131248 AVX131248 BFT131248 BPP131248 BZL131248 CJH131248 CTD131248 DCZ131248 DMV131248 DWR131248 EGN131248 EQJ131248 FAF131248 FKB131248 FTX131248 GDT131248 GNP131248 GXL131248 HHH131248 HRD131248 IAZ131248 IKV131248 IUR131248 JEN131248 JOJ131248 JYF131248 KIB131248 KRX131248 LBT131248 LLP131248 LVL131248 MFH131248 MPD131248 MYZ131248 NIV131248 NSR131248 OCN131248 OMJ131248 OWF131248 PGB131248 PPX131248 PZT131248 QJP131248 QTL131248 RDH131248 RND131248 RWZ131248 SGV131248 SQR131248 TAN131248 TKJ131248 TUF131248 UEB131248 UNX131248 UXT131248 VHP131248 VRL131248 WBH131248 WLD131248 WUZ131248 IN196784 SJ196784 ACF196784 AMB196784 AVX196784 BFT196784 BPP196784 BZL196784 CJH196784 CTD196784 DCZ196784 DMV196784 DWR196784 EGN196784 EQJ196784 FAF196784 FKB196784 FTX196784 GDT196784 GNP196784 GXL196784 HHH196784 HRD196784 IAZ196784 IKV196784 IUR196784 JEN196784 JOJ196784 JYF196784 KIB196784 KRX196784 LBT196784 LLP196784 LVL196784 MFH196784 MPD196784 MYZ196784 NIV196784 NSR196784 OCN196784 OMJ196784 OWF196784 PGB196784 PPX196784 PZT196784 QJP196784 QTL196784 RDH196784 RND196784 RWZ196784 SGV196784 SQR196784 TAN196784 TKJ196784 TUF196784 UEB196784 UNX196784 UXT196784 VHP196784 VRL196784 WBH196784 WLD196784 WUZ196784 IN262320 SJ262320 ACF262320 AMB262320 AVX262320 BFT262320 BPP262320 BZL262320 CJH262320 CTD262320 DCZ262320 DMV262320 DWR262320 EGN262320 EQJ262320 FAF262320 FKB262320 FTX262320 GDT262320 GNP262320 GXL262320 HHH262320 HRD262320 IAZ262320 IKV262320 IUR262320 JEN262320 JOJ262320 JYF262320 KIB262320 KRX262320 LBT262320 LLP262320 LVL262320 MFH262320 MPD262320 MYZ262320 NIV262320 NSR262320 OCN262320 OMJ262320 OWF262320 PGB262320 PPX262320 PZT262320 QJP262320 QTL262320 RDH262320 RND262320 RWZ262320 SGV262320 SQR262320 TAN262320 TKJ262320 TUF262320 UEB262320 UNX262320 UXT262320 VHP262320 VRL262320 WBH262320 WLD262320 WUZ262320 IN327856 SJ327856 ACF327856 AMB327856 AVX327856 BFT327856 BPP327856 BZL327856 CJH327856 CTD327856 DCZ327856 DMV327856 DWR327856 EGN327856 EQJ327856 FAF327856 FKB327856 FTX327856 GDT327856 GNP327856 GXL327856 HHH327856 HRD327856 IAZ327856 IKV327856 IUR327856 JEN327856 JOJ327856 JYF327856 KIB327856 KRX327856 LBT327856 LLP327856 LVL327856 MFH327856 MPD327856 MYZ327856 NIV327856 NSR327856 OCN327856 OMJ327856 OWF327856 PGB327856 PPX327856 PZT327856 QJP327856 QTL327856 RDH327856 RND327856 RWZ327856 SGV327856 SQR327856 TAN327856 TKJ327856 TUF327856 UEB327856 UNX327856 UXT327856 VHP327856 VRL327856 WBH327856 WLD327856 WUZ327856 IN393392 SJ393392 ACF393392 AMB393392 AVX393392 BFT393392 BPP393392 BZL393392 CJH393392 CTD393392 DCZ393392 DMV393392 DWR393392 EGN393392 EQJ393392 FAF393392 FKB393392 FTX393392 GDT393392 GNP393392 GXL393392 HHH393392 HRD393392 IAZ393392 IKV393392 IUR393392 JEN393392 JOJ393392 JYF393392 KIB393392 KRX393392 LBT393392 LLP393392 LVL393392 MFH393392 MPD393392 MYZ393392 NIV393392 NSR393392 OCN393392 OMJ393392 OWF393392 PGB393392 PPX393392 PZT393392 QJP393392 QTL393392 RDH393392 RND393392 RWZ393392 SGV393392 SQR393392 TAN393392 TKJ393392 TUF393392 UEB393392 UNX393392 UXT393392 VHP393392 VRL393392 WBH393392 WLD393392 WUZ393392 IN458928 SJ458928 ACF458928 AMB458928 AVX458928 BFT458928 BPP458928 BZL458928 CJH458928 CTD458928 DCZ458928 DMV458928 DWR458928 EGN458928 EQJ458928 FAF458928 FKB458928 FTX458928 GDT458928 GNP458928 GXL458928 HHH458928 HRD458928 IAZ458928 IKV458928 IUR458928 JEN458928 JOJ458928 JYF458928 KIB458928 KRX458928 LBT458928 LLP458928 LVL458928 MFH458928 MPD458928 MYZ458928 NIV458928 NSR458928 OCN458928 OMJ458928 OWF458928 PGB458928 PPX458928 PZT458928 QJP458928 QTL458928 RDH458928 RND458928 RWZ458928 SGV458928 SQR458928 TAN458928 TKJ458928 TUF458928 UEB458928 UNX458928 UXT458928 VHP458928 VRL458928 WBH458928 WLD458928 WUZ458928 IN524464 SJ524464 ACF524464 AMB524464 AVX524464 BFT524464 BPP524464 BZL524464 CJH524464 CTD524464 DCZ524464 DMV524464 DWR524464 EGN524464 EQJ524464 FAF524464 FKB524464 FTX524464 GDT524464 GNP524464 GXL524464 HHH524464 HRD524464 IAZ524464 IKV524464 IUR524464 JEN524464 JOJ524464 JYF524464 KIB524464 KRX524464 LBT524464 LLP524464 LVL524464 MFH524464 MPD524464 MYZ524464 NIV524464 NSR524464 OCN524464 OMJ524464 OWF524464 PGB524464 PPX524464 PZT524464 QJP524464 QTL524464 RDH524464 RND524464 RWZ524464 SGV524464 SQR524464 TAN524464 TKJ524464 TUF524464 UEB524464 UNX524464 UXT524464 VHP524464 VRL524464 WBH524464 WLD524464 WUZ524464 IN590000 SJ590000 ACF590000 AMB590000 AVX590000 BFT590000 BPP590000 BZL590000 CJH590000 CTD590000 DCZ590000 DMV590000 DWR590000 EGN590000 EQJ590000 FAF590000 FKB590000 FTX590000 GDT590000 GNP590000 GXL590000 HHH590000 HRD590000 IAZ590000 IKV590000 IUR590000 JEN590000 JOJ590000 JYF590000 KIB590000 KRX590000 LBT590000 LLP590000 LVL590000 MFH590000 MPD590000 MYZ590000 NIV590000 NSR590000 OCN590000 OMJ590000 OWF590000 PGB590000 PPX590000 PZT590000 QJP590000 QTL590000 RDH590000 RND590000 RWZ590000 SGV590000 SQR590000 TAN590000 TKJ590000 TUF590000 UEB590000 UNX590000 UXT590000 VHP590000 VRL590000 WBH590000 WLD590000 WUZ590000 IN655536 SJ655536 ACF655536 AMB655536 AVX655536 BFT655536 BPP655536 BZL655536 CJH655536 CTD655536 DCZ655536 DMV655536 DWR655536 EGN655536 EQJ655536 FAF655536 FKB655536 FTX655536 GDT655536 GNP655536 GXL655536 HHH655536 HRD655536 IAZ655536 IKV655536 IUR655536 JEN655536 JOJ655536 JYF655536 KIB655536 KRX655536 LBT655536 LLP655536 LVL655536 MFH655536 MPD655536 MYZ655536 NIV655536 NSR655536 OCN655536 OMJ655536 OWF655536 PGB655536 PPX655536 PZT655536 QJP655536 QTL655536 RDH655536 RND655536 RWZ655536 SGV655536 SQR655536 TAN655536 TKJ655536 TUF655536 UEB655536 UNX655536 UXT655536 VHP655536 VRL655536 WBH655536 WLD655536 WUZ655536 IN721072 SJ721072 ACF721072 AMB721072 AVX721072 BFT721072 BPP721072 BZL721072 CJH721072 CTD721072 DCZ721072 DMV721072 DWR721072 EGN721072 EQJ721072 FAF721072 FKB721072 FTX721072 GDT721072 GNP721072 GXL721072 HHH721072 HRD721072 IAZ721072 IKV721072 IUR721072 JEN721072 JOJ721072 JYF721072 KIB721072 KRX721072 LBT721072 LLP721072 LVL721072 MFH721072 MPD721072 MYZ721072 NIV721072 NSR721072 OCN721072 OMJ721072 OWF721072 PGB721072 PPX721072 PZT721072 QJP721072 QTL721072 RDH721072 RND721072 RWZ721072 SGV721072 SQR721072 TAN721072 TKJ721072 TUF721072 UEB721072 UNX721072 UXT721072 VHP721072 VRL721072 WBH721072 WLD721072 WUZ721072 IN786608 SJ786608 ACF786608 AMB786608 AVX786608 BFT786608 BPP786608 BZL786608 CJH786608 CTD786608 DCZ786608 DMV786608 DWR786608 EGN786608 EQJ786608 FAF786608 FKB786608 FTX786608 GDT786608 GNP786608 GXL786608 HHH786608 HRD786608 IAZ786608 IKV786608 IUR786608 JEN786608 JOJ786608 JYF786608 KIB786608 KRX786608 LBT786608 LLP786608 LVL786608 MFH786608 MPD786608 MYZ786608 NIV786608 NSR786608 OCN786608 OMJ786608 OWF786608 PGB786608 PPX786608 PZT786608 QJP786608 QTL786608 RDH786608 RND786608 RWZ786608 SGV786608 SQR786608 TAN786608 TKJ786608 TUF786608 UEB786608 UNX786608 UXT786608 VHP786608 VRL786608 WBH786608 WLD786608 WUZ786608 IN852144 SJ852144 ACF852144 AMB852144 AVX852144 BFT852144 BPP852144 BZL852144 CJH852144 CTD852144 DCZ852144 DMV852144 DWR852144 EGN852144 EQJ852144 FAF852144 FKB852144 FTX852144 GDT852144 GNP852144 GXL852144 HHH852144 HRD852144 IAZ852144 IKV852144 IUR852144 JEN852144 JOJ852144 JYF852144 KIB852144 KRX852144 LBT852144 LLP852144 LVL852144 MFH852144 MPD852144 MYZ852144 NIV852144 NSR852144 OCN852144 OMJ852144 OWF852144 PGB852144 PPX852144 PZT852144 QJP852144 QTL852144 RDH852144 RND852144 RWZ852144 SGV852144 SQR852144 TAN852144 TKJ852144 TUF852144 UEB852144 UNX852144 UXT852144 VHP852144 VRL852144 WBH852144 WLD852144 WUZ852144 IN917680 SJ917680 ACF917680 AMB917680 AVX917680 BFT917680 BPP917680 BZL917680 CJH917680 CTD917680 DCZ917680 DMV917680 DWR917680 EGN917680 EQJ917680 FAF917680 FKB917680 FTX917680 GDT917680 GNP917680 GXL917680 HHH917680 HRD917680 IAZ917680 IKV917680 IUR917680 JEN917680 JOJ917680 JYF917680 KIB917680 KRX917680 LBT917680 LLP917680 LVL917680 MFH917680 MPD917680 MYZ917680 NIV917680 NSR917680 OCN917680 OMJ917680 OWF917680 PGB917680 PPX917680 PZT917680 QJP917680 QTL917680 RDH917680 RND917680 RWZ917680 SGV917680 SQR917680 TAN917680 TKJ917680 TUF917680 UEB917680 UNX917680 UXT917680 VHP917680 VRL917680 WBH917680 WLD917680 WUZ917680 IN983216 SJ983216 ACF983216 AMB983216 AVX983216 BFT983216 BPP983216 BZL983216 CJH983216 CTD983216 DCZ983216 DMV983216 DWR983216 EGN983216 EQJ983216 FAF983216 FKB983216 FTX983216 GDT983216 GNP983216 GXL983216 HHH983216 HRD983216 IAZ983216 IKV983216 IUR983216 JEN983216 JOJ983216 JYF983216 KIB983216 KRX983216 LBT983216 LLP983216 LVL983216 MFH983216 MPD983216 MYZ983216 NIV983216 NSR983216 OCN983216 OMJ983216 OWF983216 PGB983216 PPX983216 PZT983216 QJP983216 QTL983216 RDH983216 RND983216 RWZ983216 SGV983216 SQR983216 TAN983216 TKJ983216 TUF983216 UEB983216 UNX983216 UXT983216 VHP983216 VRL983216 WBH983216 WLD983216 WUZ983216 IN196 SJ196 ACF196 AMB196 AVX196 BFT196 BPP196 BZL196 CJH196 CTD196 DCZ196 DMV196 DWR196 EGN196 EQJ196 FAF196 FKB196 FTX196 GDT196 GNP196 GXL196 HHH196 HRD196 IAZ196 IKV196 IUR196 JEN196 JOJ196 JYF196 KIB196 KRX196 LBT196 LLP196 LVL196 MFH196 MPD196 MYZ196 NIV196 NSR196 OCN196 OMJ196 OWF196 PGB196 PPX196 PZT196 QJP196 QTL196 RDH196 RND196 RWZ196 SGV196 SQR196 TAN196 TKJ196 TUF196 UEB196 UNX196 UXT196 VHP196 VRL196 WBH196 WLD196 WUZ196 IN65732 SJ65732 ACF65732 AMB65732 AVX65732 BFT65732 BPP65732 BZL65732 CJH65732 CTD65732 DCZ65732 DMV65732 DWR65732 EGN65732 EQJ65732 FAF65732 FKB65732 FTX65732 GDT65732 GNP65732 GXL65732 HHH65732 HRD65732 IAZ65732 IKV65732 IUR65732 JEN65732 JOJ65732 JYF65732 KIB65732 KRX65732 LBT65732 LLP65732 LVL65732 MFH65732 MPD65732 MYZ65732 NIV65732 NSR65732 OCN65732 OMJ65732 OWF65732 PGB65732 PPX65732 PZT65732 QJP65732 QTL65732 RDH65732 RND65732 RWZ65732 SGV65732 SQR65732 TAN65732 TKJ65732 TUF65732 UEB65732 UNX65732 UXT65732 VHP65732 VRL65732 WBH65732 WLD65732 WUZ65732 IN131268 SJ131268 ACF131268 AMB131268 AVX131268 BFT131268 BPP131268 BZL131268 CJH131268 CTD131268 DCZ131268 DMV131268 DWR131268 EGN131268 EQJ131268 FAF131268 FKB131268 FTX131268 GDT131268 GNP131268 GXL131268 HHH131268 HRD131268 IAZ131268 IKV131268 IUR131268 JEN131268 JOJ131268 JYF131268 KIB131268 KRX131268 LBT131268 LLP131268 LVL131268 MFH131268 MPD131268 MYZ131268 NIV131268 NSR131268 OCN131268 OMJ131268 OWF131268 PGB131268 PPX131268 PZT131268 QJP131268 QTL131268 RDH131268 RND131268 RWZ131268 SGV131268 SQR131268 TAN131268 TKJ131268 TUF131268 UEB131268 UNX131268 UXT131268 VHP131268 VRL131268 WBH131268 WLD131268 WUZ131268 IN196804 SJ196804 ACF196804 AMB196804 AVX196804 BFT196804 BPP196804 BZL196804 CJH196804 CTD196804 DCZ196804 DMV196804 DWR196804 EGN196804 EQJ196804 FAF196804 FKB196804 FTX196804 GDT196804 GNP196804 GXL196804 HHH196804 HRD196804 IAZ196804 IKV196804 IUR196804 JEN196804 JOJ196804 JYF196804 KIB196804 KRX196804 LBT196804 LLP196804 LVL196804 MFH196804 MPD196804 MYZ196804 NIV196804 NSR196804 OCN196804 OMJ196804 OWF196804 PGB196804 PPX196804 PZT196804 QJP196804 QTL196804 RDH196804 RND196804 RWZ196804 SGV196804 SQR196804 TAN196804 TKJ196804 TUF196804 UEB196804 UNX196804 UXT196804 VHP196804 VRL196804 WBH196804 WLD196804 WUZ196804 IN262340 SJ262340 ACF262340 AMB262340 AVX262340 BFT262340 BPP262340 BZL262340 CJH262340 CTD262340 DCZ262340 DMV262340 DWR262340 EGN262340 EQJ262340 FAF262340 FKB262340 FTX262340 GDT262340 GNP262340 GXL262340 HHH262340 HRD262340 IAZ262340 IKV262340 IUR262340 JEN262340 JOJ262340 JYF262340 KIB262340 KRX262340 LBT262340 LLP262340 LVL262340 MFH262340 MPD262340 MYZ262340 NIV262340 NSR262340 OCN262340 OMJ262340 OWF262340 PGB262340 PPX262340 PZT262340 QJP262340 QTL262340 RDH262340 RND262340 RWZ262340 SGV262340 SQR262340 TAN262340 TKJ262340 TUF262340 UEB262340 UNX262340 UXT262340 VHP262340 VRL262340 WBH262340 WLD262340 WUZ262340 IN327876 SJ327876 ACF327876 AMB327876 AVX327876 BFT327876 BPP327876 BZL327876 CJH327876 CTD327876 DCZ327876 DMV327876 DWR327876 EGN327876 EQJ327876 FAF327876 FKB327876 FTX327876 GDT327876 GNP327876 GXL327876 HHH327876 HRD327876 IAZ327876 IKV327876 IUR327876 JEN327876 JOJ327876 JYF327876 KIB327876 KRX327876 LBT327876 LLP327876 LVL327876 MFH327876 MPD327876 MYZ327876 NIV327876 NSR327876 OCN327876 OMJ327876 OWF327876 PGB327876 PPX327876 PZT327876 QJP327876 QTL327876 RDH327876 RND327876 RWZ327876 SGV327876 SQR327876 TAN327876 TKJ327876 TUF327876 UEB327876 UNX327876 UXT327876 VHP327876 VRL327876 WBH327876 WLD327876 WUZ327876 IN393412 SJ393412 ACF393412 AMB393412 AVX393412 BFT393412 BPP393412 BZL393412 CJH393412 CTD393412 DCZ393412 DMV393412 DWR393412 EGN393412 EQJ393412 FAF393412 FKB393412 FTX393412 GDT393412 GNP393412 GXL393412 HHH393412 HRD393412 IAZ393412 IKV393412 IUR393412 JEN393412 JOJ393412 JYF393412 KIB393412 KRX393412 LBT393412 LLP393412 LVL393412 MFH393412 MPD393412 MYZ393412 NIV393412 NSR393412 OCN393412 OMJ393412 OWF393412 PGB393412 PPX393412 PZT393412 QJP393412 QTL393412 RDH393412 RND393412 RWZ393412 SGV393412 SQR393412 TAN393412 TKJ393412 TUF393412 UEB393412 UNX393412 UXT393412 VHP393412 VRL393412 WBH393412 WLD393412 WUZ393412 IN458948 SJ458948 ACF458948 AMB458948 AVX458948 BFT458948 BPP458948 BZL458948 CJH458948 CTD458948 DCZ458948 DMV458948 DWR458948 EGN458948 EQJ458948 FAF458948 FKB458948 FTX458948 GDT458948 GNP458948 GXL458948 HHH458948 HRD458948 IAZ458948 IKV458948 IUR458948 JEN458948 JOJ458948 JYF458948 KIB458948 KRX458948 LBT458948 LLP458948 LVL458948 MFH458948 MPD458948 MYZ458948 NIV458948 NSR458948 OCN458948 OMJ458948 OWF458948 PGB458948 PPX458948 PZT458948 QJP458948 QTL458948 RDH458948 RND458948 RWZ458948 SGV458948 SQR458948 TAN458948 TKJ458948 TUF458948 UEB458948 UNX458948 UXT458948 VHP458948 VRL458948 WBH458948 WLD458948 WUZ458948 IN524484 SJ524484 ACF524484 AMB524484 AVX524484 BFT524484 BPP524484 BZL524484 CJH524484 CTD524484 DCZ524484 DMV524484 DWR524484 EGN524484 EQJ524484 FAF524484 FKB524484 FTX524484 GDT524484 GNP524484 GXL524484 HHH524484 HRD524484 IAZ524484 IKV524484 IUR524484 JEN524484 JOJ524484 JYF524484 KIB524484 KRX524484 LBT524484 LLP524484 LVL524484 MFH524484 MPD524484 MYZ524484 NIV524484 NSR524484 OCN524484 OMJ524484 OWF524484 PGB524484 PPX524484 PZT524484 QJP524484 QTL524484 RDH524484 RND524484 RWZ524484 SGV524484 SQR524484 TAN524484 TKJ524484 TUF524484 UEB524484 UNX524484 UXT524484 VHP524484 VRL524484 WBH524484 WLD524484 WUZ524484 IN590020 SJ590020 ACF590020 AMB590020 AVX590020 BFT590020 BPP590020 BZL590020 CJH590020 CTD590020 DCZ590020 DMV590020 DWR590020 EGN590020 EQJ590020 FAF590020 FKB590020 FTX590020 GDT590020 GNP590020 GXL590020 HHH590020 HRD590020 IAZ590020 IKV590020 IUR590020 JEN590020 JOJ590020 JYF590020 KIB590020 KRX590020 LBT590020 LLP590020 LVL590020 MFH590020 MPD590020 MYZ590020 NIV590020 NSR590020 OCN590020 OMJ590020 OWF590020 PGB590020 PPX590020 PZT590020 QJP590020 QTL590020 RDH590020 RND590020 RWZ590020 SGV590020 SQR590020 TAN590020 TKJ590020 TUF590020 UEB590020 UNX590020 UXT590020 VHP590020 VRL590020 WBH590020 WLD590020 WUZ590020 IN655556 SJ655556 ACF655556 AMB655556 AVX655556 BFT655556 BPP655556 BZL655556 CJH655556 CTD655556 DCZ655556 DMV655556 DWR655556 EGN655556 EQJ655556 FAF655556 FKB655556 FTX655556 GDT655556 GNP655556 GXL655556 HHH655556 HRD655556 IAZ655556 IKV655556 IUR655556 JEN655556 JOJ655556 JYF655556 KIB655556 KRX655556 LBT655556 LLP655556 LVL655556 MFH655556 MPD655556 MYZ655556 NIV655556 NSR655556 OCN655556 OMJ655556 OWF655556 PGB655556 PPX655556 PZT655556 QJP655556 QTL655556 RDH655556 RND655556 RWZ655556 SGV655556 SQR655556 TAN655556 TKJ655556 TUF655556 UEB655556 UNX655556 UXT655556 VHP655556 VRL655556 WBH655556 WLD655556 WUZ655556 IN721092 SJ721092 ACF721092 AMB721092 AVX721092 BFT721092 BPP721092 BZL721092 CJH721092 CTD721092 DCZ721092 DMV721092 DWR721092 EGN721092 EQJ721092 FAF721092 FKB721092 FTX721092 GDT721092 GNP721092 GXL721092 HHH721092 HRD721092 IAZ721092 IKV721092 IUR721092 JEN721092 JOJ721092 JYF721092 KIB721092 KRX721092 LBT721092 LLP721092 LVL721092 MFH721092 MPD721092 MYZ721092 NIV721092 NSR721092 OCN721092 OMJ721092 OWF721092 PGB721092 PPX721092 PZT721092 QJP721092 QTL721092 RDH721092 RND721092 RWZ721092 SGV721092 SQR721092 TAN721092 TKJ721092 TUF721092 UEB721092 UNX721092 UXT721092 VHP721092 VRL721092 WBH721092 WLD721092 WUZ721092 IN786628 SJ786628 ACF786628 AMB786628 AVX786628 BFT786628 BPP786628 BZL786628 CJH786628 CTD786628 DCZ786628 DMV786628 DWR786628 EGN786628 EQJ786628 FAF786628 FKB786628 FTX786628 GDT786628 GNP786628 GXL786628 HHH786628 HRD786628 IAZ786628 IKV786628 IUR786628 JEN786628 JOJ786628 JYF786628 KIB786628 KRX786628 LBT786628 LLP786628 LVL786628 MFH786628 MPD786628 MYZ786628 NIV786628 NSR786628 OCN786628 OMJ786628 OWF786628 PGB786628 PPX786628 PZT786628 QJP786628 QTL786628 RDH786628 RND786628 RWZ786628 SGV786628 SQR786628 TAN786628 TKJ786628 TUF786628 UEB786628 UNX786628 UXT786628 VHP786628 VRL786628 WBH786628 WLD786628 WUZ786628 IN852164 SJ852164 ACF852164 AMB852164 AVX852164 BFT852164 BPP852164 BZL852164 CJH852164 CTD852164 DCZ852164 DMV852164 DWR852164 EGN852164 EQJ852164 FAF852164 FKB852164 FTX852164 GDT852164 GNP852164 GXL852164 HHH852164 HRD852164 IAZ852164 IKV852164 IUR852164 JEN852164 JOJ852164 JYF852164 KIB852164 KRX852164 LBT852164 LLP852164 LVL852164 MFH852164 MPD852164 MYZ852164 NIV852164 NSR852164 OCN852164 OMJ852164 OWF852164 PGB852164 PPX852164 PZT852164 QJP852164 QTL852164 RDH852164 RND852164 RWZ852164 SGV852164 SQR852164 TAN852164 TKJ852164 TUF852164 UEB852164 UNX852164 UXT852164 VHP852164 VRL852164 WBH852164 WLD852164 WUZ852164 IN917700 SJ917700 ACF917700 AMB917700 AVX917700 BFT917700 BPP917700 BZL917700 CJH917700 CTD917700 DCZ917700 DMV917700 DWR917700 EGN917700 EQJ917700 FAF917700 FKB917700 FTX917700 GDT917700 GNP917700 GXL917700 HHH917700 HRD917700 IAZ917700 IKV917700 IUR917700 JEN917700 JOJ917700 JYF917700 KIB917700 KRX917700 LBT917700 LLP917700 LVL917700 MFH917700 MPD917700 MYZ917700 NIV917700 NSR917700 OCN917700 OMJ917700 OWF917700 PGB917700 PPX917700 PZT917700 QJP917700 QTL917700 RDH917700 RND917700 RWZ917700 SGV917700 SQR917700 TAN917700 TKJ917700 TUF917700 UEB917700 UNX917700 UXT917700 VHP917700 VRL917700 WBH917700 WLD917700 WUZ917700 IN983236 SJ983236 ACF983236 AMB983236 AVX983236 BFT983236 BPP983236 BZL983236 CJH983236 CTD983236 DCZ983236 DMV983236 DWR983236 EGN983236 EQJ983236 FAF983236 FKB983236 FTX983236 GDT983236 GNP983236 GXL983236 HHH983236 HRD983236 IAZ983236 IKV983236 IUR983236 JEN983236 JOJ983236 JYF983236 KIB983236 KRX983236 LBT983236 LLP983236 LVL983236 MFH983236 MPD983236 MYZ983236 NIV983236 NSR983236 OCN983236 OMJ983236 OWF983236 PGB983236 PPX983236 PZT983236 QJP983236 QTL983236 RDH983236 RND983236 RWZ983236 SGV983236 SQR983236 TAN983236 TKJ983236 TUF983236 UEB983236 UNX983236 UXT983236 VHP983236 VRL983236 WBH983236 WLD983236 WUZ983236 F983236 F917700 F852164 F786628 F721092 F655556 F590020 F524484 F458948 F393412 F327876 F262340 F196804 F131268 F65732 F131138 F983216 F917680 F852144 F786608 F721072 F655536 F590000 F524464 F458928 F393392 F327856 F262320 F196784 F131248 F65712 F852034 F983206 F917670 F852134 F786598 F721062 F655526 F589990 F524454 F458918 F393382 F327846 F262310 F196774 F131238 F65702 F786498 F983196 F917660 F852124 F786588 F721052 F655516 F589980 F524444 F458908 F393372 F327836 F262300 F196764 F131228 F65692 F720962 F983186 F917650 F852114 F786578 F721042 F655506 F589970 F524434 F458898 F393362 F327826 F262290 F196754 F131218 F65682 F655426 F983176 F917640 F852104 F786568 F721032 F655496 F589960 F524424 F458888 F393352 F327816 F262280 F196744 F131208 F65672 F589890 F983166 F917630 F852094 F786558 F721022 F655486 F589950 F524414 F458878 F393342 F327806 F262270 F196734 F131198 F65662 F983106 F983156 F917620 F852084 F786548 F721012 F655476 F589940 F524404 F458868 F393332 F327796 F262260 F196724 F131188 F65652 F524354 F983146 F917610 F852074 F786538 F721002 F655466 F589930 F524394 F458858 F393322 F327786 F262250 F196714 F131178 F65642 F458818 F983086 F917550 F852014 F786478 F720942 F655406 F589870 F524334 F458798 F393262 F327726 F262190 F196654 F131118 F65582 F196674 F983126 F917590 F852054 F786518 F720982 F655446 F589910 F524374 F458838 F393302 F327766 F262230 F196694 F131158 F65622 F327746 F983116 F917580 F852044 F786508 F720972 F655436 F589900 F524364 F458828 F393292 F327756 F262220 F196684 F131148 F65612 F262210 F983096 F917560 F852024 F786488 F720952 F655416 F589880 F524344 F458808 F393272 F327736 F262200 F196664 F131128 F65592 F393282 F983226 F917690 F852154 F786618 F721082 F655546 F590010 F524474 F458938 F393402 F327866 F262330 F196794 F131258 F65722 F917570 F983136 F917600 F852064 F786528 F720992 F655456 F589920 F524384 F458848 F393312 F327776 F262240 F196704 F131168 F65632 F65602 F126</xm:sqref>
        </x14:dataValidation>
        <x14:dataValidation type="list" allowBlank="1" showInputMessage="1" showErrorMessage="1">
          <x14:formula1>
            <xm:f>TMDSolutionArea</xm:f>
          </x14:formula1>
          <xm:sqref>IP66 SL66 ACH66 AMD66 AVZ66 BFV66 BPR66 BZN66 CJJ66 CTF66 DDB66 DMX66 DWT66 EGP66 EQL66 FAH66 FKD66 FTZ66 GDV66 GNR66 GXN66 HHJ66 HRF66 IBB66 IKX66 IUT66 JEP66 JOL66 JYH66 KID66 KRZ66 LBV66 LLR66 LVN66 MFJ66 MPF66 MZB66 NIX66 NST66 OCP66 OML66 OWH66 PGD66 PPZ66 PZV66 QJR66 QTN66 RDJ66 RNF66 RXB66 SGX66 SQT66 TAP66 TKL66 TUH66 UED66 UNZ66 UXV66 VHR66 VRN66 WBJ66 WLF66 WVB66 IP65602 SL65602 ACH65602 AMD65602 AVZ65602 BFV65602 BPR65602 BZN65602 CJJ65602 CTF65602 DDB65602 DMX65602 DWT65602 EGP65602 EQL65602 FAH65602 FKD65602 FTZ65602 GDV65602 GNR65602 GXN65602 HHJ65602 HRF65602 IBB65602 IKX65602 IUT65602 JEP65602 JOL65602 JYH65602 KID65602 KRZ65602 LBV65602 LLR65602 LVN65602 MFJ65602 MPF65602 MZB65602 NIX65602 NST65602 OCP65602 OML65602 OWH65602 PGD65602 PPZ65602 PZV65602 QJR65602 QTN65602 RDJ65602 RNF65602 RXB65602 SGX65602 SQT65602 TAP65602 TKL65602 TUH65602 UED65602 UNZ65602 UXV65602 VHR65602 VRN65602 WBJ65602 WLF65602 WVB65602 IP131138 SL131138 ACH131138 AMD131138 AVZ131138 BFV131138 BPR131138 BZN131138 CJJ131138 CTF131138 DDB131138 DMX131138 DWT131138 EGP131138 EQL131138 FAH131138 FKD131138 FTZ131138 GDV131138 GNR131138 GXN131138 HHJ131138 HRF131138 IBB131138 IKX131138 IUT131138 JEP131138 JOL131138 JYH131138 KID131138 KRZ131138 LBV131138 LLR131138 LVN131138 MFJ131138 MPF131138 MZB131138 NIX131138 NST131138 OCP131138 OML131138 OWH131138 PGD131138 PPZ131138 PZV131138 QJR131138 QTN131138 RDJ131138 RNF131138 RXB131138 SGX131138 SQT131138 TAP131138 TKL131138 TUH131138 UED131138 UNZ131138 UXV131138 VHR131138 VRN131138 WBJ131138 WLF131138 WVB131138 IP196674 SL196674 ACH196674 AMD196674 AVZ196674 BFV196674 BPR196674 BZN196674 CJJ196674 CTF196674 DDB196674 DMX196674 DWT196674 EGP196674 EQL196674 FAH196674 FKD196674 FTZ196674 GDV196674 GNR196674 GXN196674 HHJ196674 HRF196674 IBB196674 IKX196674 IUT196674 JEP196674 JOL196674 JYH196674 KID196674 KRZ196674 LBV196674 LLR196674 LVN196674 MFJ196674 MPF196674 MZB196674 NIX196674 NST196674 OCP196674 OML196674 OWH196674 PGD196674 PPZ196674 PZV196674 QJR196674 QTN196674 RDJ196674 RNF196674 RXB196674 SGX196674 SQT196674 TAP196674 TKL196674 TUH196674 UED196674 UNZ196674 UXV196674 VHR196674 VRN196674 WBJ196674 WLF196674 WVB196674 IP262210 SL262210 ACH262210 AMD262210 AVZ262210 BFV262210 BPR262210 BZN262210 CJJ262210 CTF262210 DDB262210 DMX262210 DWT262210 EGP262210 EQL262210 FAH262210 FKD262210 FTZ262210 GDV262210 GNR262210 GXN262210 HHJ262210 HRF262210 IBB262210 IKX262210 IUT262210 JEP262210 JOL262210 JYH262210 KID262210 KRZ262210 LBV262210 LLR262210 LVN262210 MFJ262210 MPF262210 MZB262210 NIX262210 NST262210 OCP262210 OML262210 OWH262210 PGD262210 PPZ262210 PZV262210 QJR262210 QTN262210 RDJ262210 RNF262210 RXB262210 SGX262210 SQT262210 TAP262210 TKL262210 TUH262210 UED262210 UNZ262210 UXV262210 VHR262210 VRN262210 WBJ262210 WLF262210 WVB262210 IP327746 SL327746 ACH327746 AMD327746 AVZ327746 BFV327746 BPR327746 BZN327746 CJJ327746 CTF327746 DDB327746 DMX327746 DWT327746 EGP327746 EQL327746 FAH327746 FKD327746 FTZ327746 GDV327746 GNR327746 GXN327746 HHJ327746 HRF327746 IBB327746 IKX327746 IUT327746 JEP327746 JOL327746 JYH327746 KID327746 KRZ327746 LBV327746 LLR327746 LVN327746 MFJ327746 MPF327746 MZB327746 NIX327746 NST327746 OCP327746 OML327746 OWH327746 PGD327746 PPZ327746 PZV327746 QJR327746 QTN327746 RDJ327746 RNF327746 RXB327746 SGX327746 SQT327746 TAP327746 TKL327746 TUH327746 UED327746 UNZ327746 UXV327746 VHR327746 VRN327746 WBJ327746 WLF327746 WVB327746 IP393282 SL393282 ACH393282 AMD393282 AVZ393282 BFV393282 BPR393282 BZN393282 CJJ393282 CTF393282 DDB393282 DMX393282 DWT393282 EGP393282 EQL393282 FAH393282 FKD393282 FTZ393282 GDV393282 GNR393282 GXN393282 HHJ393282 HRF393282 IBB393282 IKX393282 IUT393282 JEP393282 JOL393282 JYH393282 KID393282 KRZ393282 LBV393282 LLR393282 LVN393282 MFJ393282 MPF393282 MZB393282 NIX393282 NST393282 OCP393282 OML393282 OWH393282 PGD393282 PPZ393282 PZV393282 QJR393282 QTN393282 RDJ393282 RNF393282 RXB393282 SGX393282 SQT393282 TAP393282 TKL393282 TUH393282 UED393282 UNZ393282 UXV393282 VHR393282 VRN393282 WBJ393282 WLF393282 WVB393282 IP458818 SL458818 ACH458818 AMD458818 AVZ458818 BFV458818 BPR458818 BZN458818 CJJ458818 CTF458818 DDB458818 DMX458818 DWT458818 EGP458818 EQL458818 FAH458818 FKD458818 FTZ458818 GDV458818 GNR458818 GXN458818 HHJ458818 HRF458818 IBB458818 IKX458818 IUT458818 JEP458818 JOL458818 JYH458818 KID458818 KRZ458818 LBV458818 LLR458818 LVN458818 MFJ458818 MPF458818 MZB458818 NIX458818 NST458818 OCP458818 OML458818 OWH458818 PGD458818 PPZ458818 PZV458818 QJR458818 QTN458818 RDJ458818 RNF458818 RXB458818 SGX458818 SQT458818 TAP458818 TKL458818 TUH458818 UED458818 UNZ458818 UXV458818 VHR458818 VRN458818 WBJ458818 WLF458818 WVB458818 IP524354 SL524354 ACH524354 AMD524354 AVZ524354 BFV524354 BPR524354 BZN524354 CJJ524354 CTF524354 DDB524354 DMX524354 DWT524354 EGP524354 EQL524354 FAH524354 FKD524354 FTZ524354 GDV524354 GNR524354 GXN524354 HHJ524354 HRF524354 IBB524354 IKX524354 IUT524354 JEP524354 JOL524354 JYH524354 KID524354 KRZ524354 LBV524354 LLR524354 LVN524354 MFJ524354 MPF524354 MZB524354 NIX524354 NST524354 OCP524354 OML524354 OWH524354 PGD524354 PPZ524354 PZV524354 QJR524354 QTN524354 RDJ524354 RNF524354 RXB524354 SGX524354 SQT524354 TAP524354 TKL524354 TUH524354 UED524354 UNZ524354 UXV524354 VHR524354 VRN524354 WBJ524354 WLF524354 WVB524354 IP589890 SL589890 ACH589890 AMD589890 AVZ589890 BFV589890 BPR589890 BZN589890 CJJ589890 CTF589890 DDB589890 DMX589890 DWT589890 EGP589890 EQL589890 FAH589890 FKD589890 FTZ589890 GDV589890 GNR589890 GXN589890 HHJ589890 HRF589890 IBB589890 IKX589890 IUT589890 JEP589890 JOL589890 JYH589890 KID589890 KRZ589890 LBV589890 LLR589890 LVN589890 MFJ589890 MPF589890 MZB589890 NIX589890 NST589890 OCP589890 OML589890 OWH589890 PGD589890 PPZ589890 PZV589890 QJR589890 QTN589890 RDJ589890 RNF589890 RXB589890 SGX589890 SQT589890 TAP589890 TKL589890 TUH589890 UED589890 UNZ589890 UXV589890 VHR589890 VRN589890 WBJ589890 WLF589890 WVB589890 IP655426 SL655426 ACH655426 AMD655426 AVZ655426 BFV655426 BPR655426 BZN655426 CJJ655426 CTF655426 DDB655426 DMX655426 DWT655426 EGP655426 EQL655426 FAH655426 FKD655426 FTZ655426 GDV655426 GNR655426 GXN655426 HHJ655426 HRF655426 IBB655426 IKX655426 IUT655426 JEP655426 JOL655426 JYH655426 KID655426 KRZ655426 LBV655426 LLR655426 LVN655426 MFJ655426 MPF655426 MZB655426 NIX655426 NST655426 OCP655426 OML655426 OWH655426 PGD655426 PPZ655426 PZV655426 QJR655426 QTN655426 RDJ655426 RNF655426 RXB655426 SGX655426 SQT655426 TAP655426 TKL655426 TUH655426 UED655426 UNZ655426 UXV655426 VHR655426 VRN655426 WBJ655426 WLF655426 WVB655426 IP720962 SL720962 ACH720962 AMD720962 AVZ720962 BFV720962 BPR720962 BZN720962 CJJ720962 CTF720962 DDB720962 DMX720962 DWT720962 EGP720962 EQL720962 FAH720962 FKD720962 FTZ720962 GDV720962 GNR720962 GXN720962 HHJ720962 HRF720962 IBB720962 IKX720962 IUT720962 JEP720962 JOL720962 JYH720962 KID720962 KRZ720962 LBV720962 LLR720962 LVN720962 MFJ720962 MPF720962 MZB720962 NIX720962 NST720962 OCP720962 OML720962 OWH720962 PGD720962 PPZ720962 PZV720962 QJR720962 QTN720962 RDJ720962 RNF720962 RXB720962 SGX720962 SQT720962 TAP720962 TKL720962 TUH720962 UED720962 UNZ720962 UXV720962 VHR720962 VRN720962 WBJ720962 WLF720962 WVB720962 IP786498 SL786498 ACH786498 AMD786498 AVZ786498 BFV786498 BPR786498 BZN786498 CJJ786498 CTF786498 DDB786498 DMX786498 DWT786498 EGP786498 EQL786498 FAH786498 FKD786498 FTZ786498 GDV786498 GNR786498 GXN786498 HHJ786498 HRF786498 IBB786498 IKX786498 IUT786498 JEP786498 JOL786498 JYH786498 KID786498 KRZ786498 LBV786498 LLR786498 LVN786498 MFJ786498 MPF786498 MZB786498 NIX786498 NST786498 OCP786498 OML786498 OWH786498 PGD786498 PPZ786498 PZV786498 QJR786498 QTN786498 RDJ786498 RNF786498 RXB786498 SGX786498 SQT786498 TAP786498 TKL786498 TUH786498 UED786498 UNZ786498 UXV786498 VHR786498 VRN786498 WBJ786498 WLF786498 WVB786498 IP852034 SL852034 ACH852034 AMD852034 AVZ852034 BFV852034 BPR852034 BZN852034 CJJ852034 CTF852034 DDB852034 DMX852034 DWT852034 EGP852034 EQL852034 FAH852034 FKD852034 FTZ852034 GDV852034 GNR852034 GXN852034 HHJ852034 HRF852034 IBB852034 IKX852034 IUT852034 JEP852034 JOL852034 JYH852034 KID852034 KRZ852034 LBV852034 LLR852034 LVN852034 MFJ852034 MPF852034 MZB852034 NIX852034 NST852034 OCP852034 OML852034 OWH852034 PGD852034 PPZ852034 PZV852034 QJR852034 QTN852034 RDJ852034 RNF852034 RXB852034 SGX852034 SQT852034 TAP852034 TKL852034 TUH852034 UED852034 UNZ852034 UXV852034 VHR852034 VRN852034 WBJ852034 WLF852034 WVB852034 IP917570 SL917570 ACH917570 AMD917570 AVZ917570 BFV917570 BPR917570 BZN917570 CJJ917570 CTF917570 DDB917570 DMX917570 DWT917570 EGP917570 EQL917570 FAH917570 FKD917570 FTZ917570 GDV917570 GNR917570 GXN917570 HHJ917570 HRF917570 IBB917570 IKX917570 IUT917570 JEP917570 JOL917570 JYH917570 KID917570 KRZ917570 LBV917570 LLR917570 LVN917570 MFJ917570 MPF917570 MZB917570 NIX917570 NST917570 OCP917570 OML917570 OWH917570 PGD917570 PPZ917570 PZV917570 QJR917570 QTN917570 RDJ917570 RNF917570 RXB917570 SGX917570 SQT917570 TAP917570 TKL917570 TUH917570 UED917570 UNZ917570 UXV917570 VHR917570 VRN917570 WBJ917570 WLF917570 WVB917570 IP983106 SL983106 ACH983106 AMD983106 AVZ983106 BFV983106 BPR983106 BZN983106 CJJ983106 CTF983106 DDB983106 DMX983106 DWT983106 EGP983106 EQL983106 FAH983106 FKD983106 FTZ983106 GDV983106 GNR983106 GXN983106 HHJ983106 HRF983106 IBB983106 IKX983106 IUT983106 JEP983106 JOL983106 JYH983106 KID983106 KRZ983106 LBV983106 LLR983106 LVN983106 MFJ983106 MPF983106 MZB983106 NIX983106 NST983106 OCP983106 OML983106 OWH983106 PGD983106 PPZ983106 PZV983106 QJR983106 QTN983106 RDJ983106 RNF983106 RXB983106 SGX983106 SQT983106 TAP983106 TKL983106 TUH983106 UED983106 UNZ983106 UXV983106 VHR983106 VRN983106 WBJ983106 WLF983106 WVB983106 IP186 SL186 ACH186 AMD186 AVZ186 BFV186 BPR186 BZN186 CJJ186 CTF186 DDB186 DMX186 DWT186 EGP186 EQL186 FAH186 FKD186 FTZ186 GDV186 GNR186 GXN186 HHJ186 HRF186 IBB186 IKX186 IUT186 JEP186 JOL186 JYH186 KID186 KRZ186 LBV186 LLR186 LVN186 MFJ186 MPF186 MZB186 NIX186 NST186 OCP186 OML186 OWH186 PGD186 PPZ186 PZV186 QJR186 QTN186 RDJ186 RNF186 RXB186 SGX186 SQT186 TAP186 TKL186 TUH186 UED186 UNZ186 UXV186 VHR186 VRN186 WBJ186 WLF186 WVB186 IP65722 SL65722 ACH65722 AMD65722 AVZ65722 BFV65722 BPR65722 BZN65722 CJJ65722 CTF65722 DDB65722 DMX65722 DWT65722 EGP65722 EQL65722 FAH65722 FKD65722 FTZ65722 GDV65722 GNR65722 GXN65722 HHJ65722 HRF65722 IBB65722 IKX65722 IUT65722 JEP65722 JOL65722 JYH65722 KID65722 KRZ65722 LBV65722 LLR65722 LVN65722 MFJ65722 MPF65722 MZB65722 NIX65722 NST65722 OCP65722 OML65722 OWH65722 PGD65722 PPZ65722 PZV65722 QJR65722 QTN65722 RDJ65722 RNF65722 RXB65722 SGX65722 SQT65722 TAP65722 TKL65722 TUH65722 UED65722 UNZ65722 UXV65722 VHR65722 VRN65722 WBJ65722 WLF65722 WVB65722 IP131258 SL131258 ACH131258 AMD131258 AVZ131258 BFV131258 BPR131258 BZN131258 CJJ131258 CTF131258 DDB131258 DMX131258 DWT131258 EGP131258 EQL131258 FAH131258 FKD131258 FTZ131258 GDV131258 GNR131258 GXN131258 HHJ131258 HRF131258 IBB131258 IKX131258 IUT131258 JEP131258 JOL131258 JYH131258 KID131258 KRZ131258 LBV131258 LLR131258 LVN131258 MFJ131258 MPF131258 MZB131258 NIX131258 NST131258 OCP131258 OML131258 OWH131258 PGD131258 PPZ131258 PZV131258 QJR131258 QTN131258 RDJ131258 RNF131258 RXB131258 SGX131258 SQT131258 TAP131258 TKL131258 TUH131258 UED131258 UNZ131258 UXV131258 VHR131258 VRN131258 WBJ131258 WLF131258 WVB131258 IP196794 SL196794 ACH196794 AMD196794 AVZ196794 BFV196794 BPR196794 BZN196794 CJJ196794 CTF196794 DDB196794 DMX196794 DWT196794 EGP196794 EQL196794 FAH196794 FKD196794 FTZ196794 GDV196794 GNR196794 GXN196794 HHJ196794 HRF196794 IBB196794 IKX196794 IUT196794 JEP196794 JOL196794 JYH196794 KID196794 KRZ196794 LBV196794 LLR196794 LVN196794 MFJ196794 MPF196794 MZB196794 NIX196794 NST196794 OCP196794 OML196794 OWH196794 PGD196794 PPZ196794 PZV196794 QJR196794 QTN196794 RDJ196794 RNF196794 RXB196794 SGX196794 SQT196794 TAP196794 TKL196794 TUH196794 UED196794 UNZ196794 UXV196794 VHR196794 VRN196794 WBJ196794 WLF196794 WVB196794 IP262330 SL262330 ACH262330 AMD262330 AVZ262330 BFV262330 BPR262330 BZN262330 CJJ262330 CTF262330 DDB262330 DMX262330 DWT262330 EGP262330 EQL262330 FAH262330 FKD262330 FTZ262330 GDV262330 GNR262330 GXN262330 HHJ262330 HRF262330 IBB262330 IKX262330 IUT262330 JEP262330 JOL262330 JYH262330 KID262330 KRZ262330 LBV262330 LLR262330 LVN262330 MFJ262330 MPF262330 MZB262330 NIX262330 NST262330 OCP262330 OML262330 OWH262330 PGD262330 PPZ262330 PZV262330 QJR262330 QTN262330 RDJ262330 RNF262330 RXB262330 SGX262330 SQT262330 TAP262330 TKL262330 TUH262330 UED262330 UNZ262330 UXV262330 VHR262330 VRN262330 WBJ262330 WLF262330 WVB262330 IP327866 SL327866 ACH327866 AMD327866 AVZ327866 BFV327866 BPR327866 BZN327866 CJJ327866 CTF327866 DDB327866 DMX327866 DWT327866 EGP327866 EQL327866 FAH327866 FKD327866 FTZ327866 GDV327866 GNR327866 GXN327866 HHJ327866 HRF327866 IBB327866 IKX327866 IUT327866 JEP327866 JOL327866 JYH327866 KID327866 KRZ327866 LBV327866 LLR327866 LVN327866 MFJ327866 MPF327866 MZB327866 NIX327866 NST327866 OCP327866 OML327866 OWH327866 PGD327866 PPZ327866 PZV327866 QJR327866 QTN327866 RDJ327866 RNF327866 RXB327866 SGX327866 SQT327866 TAP327866 TKL327866 TUH327866 UED327866 UNZ327866 UXV327866 VHR327866 VRN327866 WBJ327866 WLF327866 WVB327866 IP393402 SL393402 ACH393402 AMD393402 AVZ393402 BFV393402 BPR393402 BZN393402 CJJ393402 CTF393402 DDB393402 DMX393402 DWT393402 EGP393402 EQL393402 FAH393402 FKD393402 FTZ393402 GDV393402 GNR393402 GXN393402 HHJ393402 HRF393402 IBB393402 IKX393402 IUT393402 JEP393402 JOL393402 JYH393402 KID393402 KRZ393402 LBV393402 LLR393402 LVN393402 MFJ393402 MPF393402 MZB393402 NIX393402 NST393402 OCP393402 OML393402 OWH393402 PGD393402 PPZ393402 PZV393402 QJR393402 QTN393402 RDJ393402 RNF393402 RXB393402 SGX393402 SQT393402 TAP393402 TKL393402 TUH393402 UED393402 UNZ393402 UXV393402 VHR393402 VRN393402 WBJ393402 WLF393402 WVB393402 IP458938 SL458938 ACH458938 AMD458938 AVZ458938 BFV458938 BPR458938 BZN458938 CJJ458938 CTF458938 DDB458938 DMX458938 DWT458938 EGP458938 EQL458938 FAH458938 FKD458938 FTZ458938 GDV458938 GNR458938 GXN458938 HHJ458938 HRF458938 IBB458938 IKX458938 IUT458938 JEP458938 JOL458938 JYH458938 KID458938 KRZ458938 LBV458938 LLR458938 LVN458938 MFJ458938 MPF458938 MZB458938 NIX458938 NST458938 OCP458938 OML458938 OWH458938 PGD458938 PPZ458938 PZV458938 QJR458938 QTN458938 RDJ458938 RNF458938 RXB458938 SGX458938 SQT458938 TAP458938 TKL458938 TUH458938 UED458938 UNZ458938 UXV458938 VHR458938 VRN458938 WBJ458938 WLF458938 WVB458938 IP524474 SL524474 ACH524474 AMD524474 AVZ524474 BFV524474 BPR524474 BZN524474 CJJ524474 CTF524474 DDB524474 DMX524474 DWT524474 EGP524474 EQL524474 FAH524474 FKD524474 FTZ524474 GDV524474 GNR524474 GXN524474 HHJ524474 HRF524474 IBB524474 IKX524474 IUT524474 JEP524474 JOL524474 JYH524474 KID524474 KRZ524474 LBV524474 LLR524474 LVN524474 MFJ524474 MPF524474 MZB524474 NIX524474 NST524474 OCP524474 OML524474 OWH524474 PGD524474 PPZ524474 PZV524474 QJR524474 QTN524474 RDJ524474 RNF524474 RXB524474 SGX524474 SQT524474 TAP524474 TKL524474 TUH524474 UED524474 UNZ524474 UXV524474 VHR524474 VRN524474 WBJ524474 WLF524474 WVB524474 IP590010 SL590010 ACH590010 AMD590010 AVZ590010 BFV590010 BPR590010 BZN590010 CJJ590010 CTF590010 DDB590010 DMX590010 DWT590010 EGP590010 EQL590010 FAH590010 FKD590010 FTZ590010 GDV590010 GNR590010 GXN590010 HHJ590010 HRF590010 IBB590010 IKX590010 IUT590010 JEP590010 JOL590010 JYH590010 KID590010 KRZ590010 LBV590010 LLR590010 LVN590010 MFJ590010 MPF590010 MZB590010 NIX590010 NST590010 OCP590010 OML590010 OWH590010 PGD590010 PPZ590010 PZV590010 QJR590010 QTN590010 RDJ590010 RNF590010 RXB590010 SGX590010 SQT590010 TAP590010 TKL590010 TUH590010 UED590010 UNZ590010 UXV590010 VHR590010 VRN590010 WBJ590010 WLF590010 WVB590010 IP655546 SL655546 ACH655546 AMD655546 AVZ655546 BFV655546 BPR655546 BZN655546 CJJ655546 CTF655546 DDB655546 DMX655546 DWT655546 EGP655546 EQL655546 FAH655546 FKD655546 FTZ655546 GDV655546 GNR655546 GXN655546 HHJ655546 HRF655546 IBB655546 IKX655546 IUT655546 JEP655546 JOL655546 JYH655546 KID655546 KRZ655546 LBV655546 LLR655546 LVN655546 MFJ655546 MPF655546 MZB655546 NIX655546 NST655546 OCP655546 OML655546 OWH655546 PGD655546 PPZ655546 PZV655546 QJR655546 QTN655546 RDJ655546 RNF655546 RXB655546 SGX655546 SQT655546 TAP655546 TKL655546 TUH655546 UED655546 UNZ655546 UXV655546 VHR655546 VRN655546 WBJ655546 WLF655546 WVB655546 IP721082 SL721082 ACH721082 AMD721082 AVZ721082 BFV721082 BPR721082 BZN721082 CJJ721082 CTF721082 DDB721082 DMX721082 DWT721082 EGP721082 EQL721082 FAH721082 FKD721082 FTZ721082 GDV721082 GNR721082 GXN721082 HHJ721082 HRF721082 IBB721082 IKX721082 IUT721082 JEP721082 JOL721082 JYH721082 KID721082 KRZ721082 LBV721082 LLR721082 LVN721082 MFJ721082 MPF721082 MZB721082 NIX721082 NST721082 OCP721082 OML721082 OWH721082 PGD721082 PPZ721082 PZV721082 QJR721082 QTN721082 RDJ721082 RNF721082 RXB721082 SGX721082 SQT721082 TAP721082 TKL721082 TUH721082 UED721082 UNZ721082 UXV721082 VHR721082 VRN721082 WBJ721082 WLF721082 WVB721082 IP786618 SL786618 ACH786618 AMD786618 AVZ786618 BFV786618 BPR786618 BZN786618 CJJ786618 CTF786618 DDB786618 DMX786618 DWT786618 EGP786618 EQL786618 FAH786618 FKD786618 FTZ786618 GDV786618 GNR786618 GXN786618 HHJ786618 HRF786618 IBB786618 IKX786618 IUT786618 JEP786618 JOL786618 JYH786618 KID786618 KRZ786618 LBV786618 LLR786618 LVN786618 MFJ786618 MPF786618 MZB786618 NIX786618 NST786618 OCP786618 OML786618 OWH786618 PGD786618 PPZ786618 PZV786618 QJR786618 QTN786618 RDJ786618 RNF786618 RXB786618 SGX786618 SQT786618 TAP786618 TKL786618 TUH786618 UED786618 UNZ786618 UXV786618 VHR786618 VRN786618 WBJ786618 WLF786618 WVB786618 IP852154 SL852154 ACH852154 AMD852154 AVZ852154 BFV852154 BPR852154 BZN852154 CJJ852154 CTF852154 DDB852154 DMX852154 DWT852154 EGP852154 EQL852154 FAH852154 FKD852154 FTZ852154 GDV852154 GNR852154 GXN852154 HHJ852154 HRF852154 IBB852154 IKX852154 IUT852154 JEP852154 JOL852154 JYH852154 KID852154 KRZ852154 LBV852154 LLR852154 LVN852154 MFJ852154 MPF852154 MZB852154 NIX852154 NST852154 OCP852154 OML852154 OWH852154 PGD852154 PPZ852154 PZV852154 QJR852154 QTN852154 RDJ852154 RNF852154 RXB852154 SGX852154 SQT852154 TAP852154 TKL852154 TUH852154 UED852154 UNZ852154 UXV852154 VHR852154 VRN852154 WBJ852154 WLF852154 WVB852154 IP917690 SL917690 ACH917690 AMD917690 AVZ917690 BFV917690 BPR917690 BZN917690 CJJ917690 CTF917690 DDB917690 DMX917690 DWT917690 EGP917690 EQL917690 FAH917690 FKD917690 FTZ917690 GDV917690 GNR917690 GXN917690 HHJ917690 HRF917690 IBB917690 IKX917690 IUT917690 JEP917690 JOL917690 JYH917690 KID917690 KRZ917690 LBV917690 LLR917690 LVN917690 MFJ917690 MPF917690 MZB917690 NIX917690 NST917690 OCP917690 OML917690 OWH917690 PGD917690 PPZ917690 PZV917690 QJR917690 QTN917690 RDJ917690 RNF917690 RXB917690 SGX917690 SQT917690 TAP917690 TKL917690 TUH917690 UED917690 UNZ917690 UXV917690 VHR917690 VRN917690 WBJ917690 WLF917690 WVB917690 IP983226 SL983226 ACH983226 AMD983226 AVZ983226 BFV983226 BPR983226 BZN983226 CJJ983226 CTF983226 DDB983226 DMX983226 DWT983226 EGP983226 EQL983226 FAH983226 FKD983226 FTZ983226 GDV983226 GNR983226 GXN983226 HHJ983226 HRF983226 IBB983226 IKX983226 IUT983226 JEP983226 JOL983226 JYH983226 KID983226 KRZ983226 LBV983226 LLR983226 LVN983226 MFJ983226 MPF983226 MZB983226 NIX983226 NST983226 OCP983226 OML983226 OWH983226 PGD983226 PPZ983226 PZV983226 QJR983226 QTN983226 RDJ983226 RNF983226 RXB983226 SGX983226 SQT983226 TAP983226 TKL983226 TUH983226 UED983226 UNZ983226 UXV983226 VHR983226 VRN983226 WBJ983226 WLF983226 WVB983226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WLF56 WVB56 IP65592 SL65592 ACH65592 AMD65592 AVZ65592 BFV65592 BPR65592 BZN65592 CJJ65592 CTF65592 DDB65592 DMX65592 DWT65592 EGP65592 EQL65592 FAH65592 FKD65592 FTZ65592 GDV65592 GNR65592 GXN65592 HHJ65592 HRF65592 IBB65592 IKX65592 IUT65592 JEP65592 JOL65592 JYH65592 KID65592 KRZ65592 LBV65592 LLR65592 LVN65592 MFJ65592 MPF65592 MZB65592 NIX65592 NST65592 OCP65592 OML65592 OWH65592 PGD65592 PPZ65592 PZV65592 QJR65592 QTN65592 RDJ65592 RNF65592 RXB65592 SGX65592 SQT65592 TAP65592 TKL65592 TUH65592 UED65592 UNZ65592 UXV65592 VHR65592 VRN65592 WBJ65592 WLF65592 WVB65592 IP131128 SL131128 ACH131128 AMD131128 AVZ131128 BFV131128 BPR131128 BZN131128 CJJ131128 CTF131128 DDB131128 DMX131128 DWT131128 EGP131128 EQL131128 FAH131128 FKD131128 FTZ131128 GDV131128 GNR131128 GXN131128 HHJ131128 HRF131128 IBB131128 IKX131128 IUT131128 JEP131128 JOL131128 JYH131128 KID131128 KRZ131128 LBV131128 LLR131128 LVN131128 MFJ131128 MPF131128 MZB131128 NIX131128 NST131128 OCP131128 OML131128 OWH131128 PGD131128 PPZ131128 PZV131128 QJR131128 QTN131128 RDJ131128 RNF131128 RXB131128 SGX131128 SQT131128 TAP131128 TKL131128 TUH131128 UED131128 UNZ131128 UXV131128 VHR131128 VRN131128 WBJ131128 WLF131128 WVB131128 IP196664 SL196664 ACH196664 AMD196664 AVZ196664 BFV196664 BPR196664 BZN196664 CJJ196664 CTF196664 DDB196664 DMX196664 DWT196664 EGP196664 EQL196664 FAH196664 FKD196664 FTZ196664 GDV196664 GNR196664 GXN196664 HHJ196664 HRF196664 IBB196664 IKX196664 IUT196664 JEP196664 JOL196664 JYH196664 KID196664 KRZ196664 LBV196664 LLR196664 LVN196664 MFJ196664 MPF196664 MZB196664 NIX196664 NST196664 OCP196664 OML196664 OWH196664 PGD196664 PPZ196664 PZV196664 QJR196664 QTN196664 RDJ196664 RNF196664 RXB196664 SGX196664 SQT196664 TAP196664 TKL196664 TUH196664 UED196664 UNZ196664 UXV196664 VHR196664 VRN196664 WBJ196664 WLF196664 WVB196664 IP262200 SL262200 ACH262200 AMD262200 AVZ262200 BFV262200 BPR262200 BZN262200 CJJ262200 CTF262200 DDB262200 DMX262200 DWT262200 EGP262200 EQL262200 FAH262200 FKD262200 FTZ262200 GDV262200 GNR262200 GXN262200 HHJ262200 HRF262200 IBB262200 IKX262200 IUT262200 JEP262200 JOL262200 JYH262200 KID262200 KRZ262200 LBV262200 LLR262200 LVN262200 MFJ262200 MPF262200 MZB262200 NIX262200 NST262200 OCP262200 OML262200 OWH262200 PGD262200 PPZ262200 PZV262200 QJR262200 QTN262200 RDJ262200 RNF262200 RXB262200 SGX262200 SQT262200 TAP262200 TKL262200 TUH262200 UED262200 UNZ262200 UXV262200 VHR262200 VRN262200 WBJ262200 WLF262200 WVB262200 IP327736 SL327736 ACH327736 AMD327736 AVZ327736 BFV327736 BPR327736 BZN327736 CJJ327736 CTF327736 DDB327736 DMX327736 DWT327736 EGP327736 EQL327736 FAH327736 FKD327736 FTZ327736 GDV327736 GNR327736 GXN327736 HHJ327736 HRF327736 IBB327736 IKX327736 IUT327736 JEP327736 JOL327736 JYH327736 KID327736 KRZ327736 LBV327736 LLR327736 LVN327736 MFJ327736 MPF327736 MZB327736 NIX327736 NST327736 OCP327736 OML327736 OWH327736 PGD327736 PPZ327736 PZV327736 QJR327736 QTN327736 RDJ327736 RNF327736 RXB327736 SGX327736 SQT327736 TAP327736 TKL327736 TUH327736 UED327736 UNZ327736 UXV327736 VHR327736 VRN327736 WBJ327736 WLF327736 WVB327736 IP393272 SL393272 ACH393272 AMD393272 AVZ393272 BFV393272 BPR393272 BZN393272 CJJ393272 CTF393272 DDB393272 DMX393272 DWT393272 EGP393272 EQL393272 FAH393272 FKD393272 FTZ393272 GDV393272 GNR393272 GXN393272 HHJ393272 HRF393272 IBB393272 IKX393272 IUT393272 JEP393272 JOL393272 JYH393272 KID393272 KRZ393272 LBV393272 LLR393272 LVN393272 MFJ393272 MPF393272 MZB393272 NIX393272 NST393272 OCP393272 OML393272 OWH393272 PGD393272 PPZ393272 PZV393272 QJR393272 QTN393272 RDJ393272 RNF393272 RXB393272 SGX393272 SQT393272 TAP393272 TKL393272 TUH393272 UED393272 UNZ393272 UXV393272 VHR393272 VRN393272 WBJ393272 WLF393272 WVB393272 IP458808 SL458808 ACH458808 AMD458808 AVZ458808 BFV458808 BPR458808 BZN458808 CJJ458808 CTF458808 DDB458808 DMX458808 DWT458808 EGP458808 EQL458808 FAH458808 FKD458808 FTZ458808 GDV458808 GNR458808 GXN458808 HHJ458808 HRF458808 IBB458808 IKX458808 IUT458808 JEP458808 JOL458808 JYH458808 KID458808 KRZ458808 LBV458808 LLR458808 LVN458808 MFJ458808 MPF458808 MZB458808 NIX458808 NST458808 OCP458808 OML458808 OWH458808 PGD458808 PPZ458808 PZV458808 QJR458808 QTN458808 RDJ458808 RNF458808 RXB458808 SGX458808 SQT458808 TAP458808 TKL458808 TUH458808 UED458808 UNZ458808 UXV458808 VHR458808 VRN458808 WBJ458808 WLF458808 WVB458808 IP524344 SL524344 ACH524344 AMD524344 AVZ524344 BFV524344 BPR524344 BZN524344 CJJ524344 CTF524344 DDB524344 DMX524344 DWT524344 EGP524344 EQL524344 FAH524344 FKD524344 FTZ524344 GDV524344 GNR524344 GXN524344 HHJ524344 HRF524344 IBB524344 IKX524344 IUT524344 JEP524344 JOL524344 JYH524344 KID524344 KRZ524344 LBV524344 LLR524344 LVN524344 MFJ524344 MPF524344 MZB524344 NIX524344 NST524344 OCP524344 OML524344 OWH524344 PGD524344 PPZ524344 PZV524344 QJR524344 QTN524344 RDJ524344 RNF524344 RXB524344 SGX524344 SQT524344 TAP524344 TKL524344 TUH524344 UED524344 UNZ524344 UXV524344 VHR524344 VRN524344 WBJ524344 WLF524344 WVB524344 IP589880 SL589880 ACH589880 AMD589880 AVZ589880 BFV589880 BPR589880 BZN589880 CJJ589880 CTF589880 DDB589880 DMX589880 DWT589880 EGP589880 EQL589880 FAH589880 FKD589880 FTZ589880 GDV589880 GNR589880 GXN589880 HHJ589880 HRF589880 IBB589880 IKX589880 IUT589880 JEP589880 JOL589880 JYH589880 KID589880 KRZ589880 LBV589880 LLR589880 LVN589880 MFJ589880 MPF589880 MZB589880 NIX589880 NST589880 OCP589880 OML589880 OWH589880 PGD589880 PPZ589880 PZV589880 QJR589880 QTN589880 RDJ589880 RNF589880 RXB589880 SGX589880 SQT589880 TAP589880 TKL589880 TUH589880 UED589880 UNZ589880 UXV589880 VHR589880 VRN589880 WBJ589880 WLF589880 WVB589880 IP655416 SL655416 ACH655416 AMD655416 AVZ655416 BFV655416 BPR655416 BZN655416 CJJ655416 CTF655416 DDB655416 DMX655416 DWT655416 EGP655416 EQL655416 FAH655416 FKD655416 FTZ655416 GDV655416 GNR655416 GXN655416 HHJ655416 HRF655416 IBB655416 IKX655416 IUT655416 JEP655416 JOL655416 JYH655416 KID655416 KRZ655416 LBV655416 LLR655416 LVN655416 MFJ655416 MPF655416 MZB655416 NIX655416 NST655416 OCP655416 OML655416 OWH655416 PGD655416 PPZ655416 PZV655416 QJR655416 QTN655416 RDJ655416 RNF655416 RXB655416 SGX655416 SQT655416 TAP655416 TKL655416 TUH655416 UED655416 UNZ655416 UXV655416 VHR655416 VRN655416 WBJ655416 WLF655416 WVB655416 IP720952 SL720952 ACH720952 AMD720952 AVZ720952 BFV720952 BPR720952 BZN720952 CJJ720952 CTF720952 DDB720952 DMX720952 DWT720952 EGP720952 EQL720952 FAH720952 FKD720952 FTZ720952 GDV720952 GNR720952 GXN720952 HHJ720952 HRF720952 IBB720952 IKX720952 IUT720952 JEP720952 JOL720952 JYH720952 KID720952 KRZ720952 LBV720952 LLR720952 LVN720952 MFJ720952 MPF720952 MZB720952 NIX720952 NST720952 OCP720952 OML720952 OWH720952 PGD720952 PPZ720952 PZV720952 QJR720952 QTN720952 RDJ720952 RNF720952 RXB720952 SGX720952 SQT720952 TAP720952 TKL720952 TUH720952 UED720952 UNZ720952 UXV720952 VHR720952 VRN720952 WBJ720952 WLF720952 WVB720952 IP786488 SL786488 ACH786488 AMD786488 AVZ786488 BFV786488 BPR786488 BZN786488 CJJ786488 CTF786488 DDB786488 DMX786488 DWT786488 EGP786488 EQL786488 FAH786488 FKD786488 FTZ786488 GDV786488 GNR786488 GXN786488 HHJ786488 HRF786488 IBB786488 IKX786488 IUT786488 JEP786488 JOL786488 JYH786488 KID786488 KRZ786488 LBV786488 LLR786488 LVN786488 MFJ786488 MPF786488 MZB786488 NIX786488 NST786488 OCP786488 OML786488 OWH786488 PGD786488 PPZ786488 PZV786488 QJR786488 QTN786488 RDJ786488 RNF786488 RXB786488 SGX786488 SQT786488 TAP786488 TKL786488 TUH786488 UED786488 UNZ786488 UXV786488 VHR786488 VRN786488 WBJ786488 WLF786488 WVB786488 IP852024 SL852024 ACH852024 AMD852024 AVZ852024 BFV852024 BPR852024 BZN852024 CJJ852024 CTF852024 DDB852024 DMX852024 DWT852024 EGP852024 EQL852024 FAH852024 FKD852024 FTZ852024 GDV852024 GNR852024 GXN852024 HHJ852024 HRF852024 IBB852024 IKX852024 IUT852024 JEP852024 JOL852024 JYH852024 KID852024 KRZ852024 LBV852024 LLR852024 LVN852024 MFJ852024 MPF852024 MZB852024 NIX852024 NST852024 OCP852024 OML852024 OWH852024 PGD852024 PPZ852024 PZV852024 QJR852024 QTN852024 RDJ852024 RNF852024 RXB852024 SGX852024 SQT852024 TAP852024 TKL852024 TUH852024 UED852024 UNZ852024 UXV852024 VHR852024 VRN852024 WBJ852024 WLF852024 WVB852024 IP917560 SL917560 ACH917560 AMD917560 AVZ917560 BFV917560 BPR917560 BZN917560 CJJ917560 CTF917560 DDB917560 DMX917560 DWT917560 EGP917560 EQL917560 FAH917560 FKD917560 FTZ917560 GDV917560 GNR917560 GXN917560 HHJ917560 HRF917560 IBB917560 IKX917560 IUT917560 JEP917560 JOL917560 JYH917560 KID917560 KRZ917560 LBV917560 LLR917560 LVN917560 MFJ917560 MPF917560 MZB917560 NIX917560 NST917560 OCP917560 OML917560 OWH917560 PGD917560 PPZ917560 PZV917560 QJR917560 QTN917560 RDJ917560 RNF917560 RXB917560 SGX917560 SQT917560 TAP917560 TKL917560 TUH917560 UED917560 UNZ917560 UXV917560 VHR917560 VRN917560 WBJ917560 WLF917560 WVB917560 IP983096 SL983096 ACH983096 AMD983096 AVZ983096 BFV983096 BPR983096 BZN983096 CJJ983096 CTF983096 DDB983096 DMX983096 DWT983096 EGP983096 EQL983096 FAH983096 FKD983096 FTZ983096 GDV983096 GNR983096 GXN983096 HHJ983096 HRF983096 IBB983096 IKX983096 IUT983096 JEP983096 JOL983096 JYH983096 KID983096 KRZ983096 LBV983096 LLR983096 LVN983096 MFJ983096 MPF983096 MZB983096 NIX983096 NST983096 OCP983096 OML983096 OWH983096 PGD983096 PPZ983096 PZV983096 QJR983096 QTN983096 RDJ983096 RNF983096 RXB983096 SGX983096 SQT983096 TAP983096 TKL983096 TUH983096 UED983096 UNZ983096 UXV983096 VHR983096 VRN983096 WBJ983096 WLF983096 WVB983096 IP76 SL76 ACH76 AMD76 AVZ76 BFV76 BPR76 BZN76 CJJ76 CTF76 DDB76 DMX76 DWT76 EGP76 EQL76 FAH76 FKD76 FTZ76 GDV76 GNR76 GXN76 HHJ76 HRF76 IBB76 IKX76 IUT76 JEP76 JOL76 JYH76 KID76 KRZ76 LBV76 LLR76 LVN76 MFJ76 MPF76 MZB76 NIX76 NST76 OCP76 OML76 OWH76 PGD76 PPZ76 PZV76 QJR76 QTN76 RDJ76 RNF76 RXB76 SGX76 SQT76 TAP76 TKL76 TUH76 UED76 UNZ76 UXV76 VHR76 VRN76 WBJ76 WLF76 WVB76 IP65612 SL65612 ACH65612 AMD65612 AVZ65612 BFV65612 BPR65612 BZN65612 CJJ65612 CTF65612 DDB65612 DMX65612 DWT65612 EGP65612 EQL65612 FAH65612 FKD65612 FTZ65612 GDV65612 GNR65612 GXN65612 HHJ65612 HRF65612 IBB65612 IKX65612 IUT65612 JEP65612 JOL65612 JYH65612 KID65612 KRZ65612 LBV65612 LLR65612 LVN65612 MFJ65612 MPF65612 MZB65612 NIX65612 NST65612 OCP65612 OML65612 OWH65612 PGD65612 PPZ65612 PZV65612 QJR65612 QTN65612 RDJ65612 RNF65612 RXB65612 SGX65612 SQT65612 TAP65612 TKL65612 TUH65612 UED65612 UNZ65612 UXV65612 VHR65612 VRN65612 WBJ65612 WLF65612 WVB65612 IP131148 SL131148 ACH131148 AMD131148 AVZ131148 BFV131148 BPR131148 BZN131148 CJJ131148 CTF131148 DDB131148 DMX131148 DWT131148 EGP131148 EQL131148 FAH131148 FKD131148 FTZ131148 GDV131148 GNR131148 GXN131148 HHJ131148 HRF131148 IBB131148 IKX131148 IUT131148 JEP131148 JOL131148 JYH131148 KID131148 KRZ131148 LBV131148 LLR131148 LVN131148 MFJ131148 MPF131148 MZB131148 NIX131148 NST131148 OCP131148 OML131148 OWH131148 PGD131148 PPZ131148 PZV131148 QJR131148 QTN131148 RDJ131148 RNF131148 RXB131148 SGX131148 SQT131148 TAP131148 TKL131148 TUH131148 UED131148 UNZ131148 UXV131148 VHR131148 VRN131148 WBJ131148 WLF131148 WVB131148 IP196684 SL196684 ACH196684 AMD196684 AVZ196684 BFV196684 BPR196684 BZN196684 CJJ196684 CTF196684 DDB196684 DMX196684 DWT196684 EGP196684 EQL196684 FAH196684 FKD196684 FTZ196684 GDV196684 GNR196684 GXN196684 HHJ196684 HRF196684 IBB196684 IKX196684 IUT196684 JEP196684 JOL196684 JYH196684 KID196684 KRZ196684 LBV196684 LLR196684 LVN196684 MFJ196684 MPF196684 MZB196684 NIX196684 NST196684 OCP196684 OML196684 OWH196684 PGD196684 PPZ196684 PZV196684 QJR196684 QTN196684 RDJ196684 RNF196684 RXB196684 SGX196684 SQT196684 TAP196684 TKL196684 TUH196684 UED196684 UNZ196684 UXV196684 VHR196684 VRN196684 WBJ196684 WLF196684 WVB196684 IP262220 SL262220 ACH262220 AMD262220 AVZ262220 BFV262220 BPR262220 BZN262220 CJJ262220 CTF262220 DDB262220 DMX262220 DWT262220 EGP262220 EQL262220 FAH262220 FKD262220 FTZ262220 GDV262220 GNR262220 GXN262220 HHJ262220 HRF262220 IBB262220 IKX262220 IUT262220 JEP262220 JOL262220 JYH262220 KID262220 KRZ262220 LBV262220 LLR262220 LVN262220 MFJ262220 MPF262220 MZB262220 NIX262220 NST262220 OCP262220 OML262220 OWH262220 PGD262220 PPZ262220 PZV262220 QJR262220 QTN262220 RDJ262220 RNF262220 RXB262220 SGX262220 SQT262220 TAP262220 TKL262220 TUH262220 UED262220 UNZ262220 UXV262220 VHR262220 VRN262220 WBJ262220 WLF262220 WVB262220 IP327756 SL327756 ACH327756 AMD327756 AVZ327756 BFV327756 BPR327756 BZN327756 CJJ327756 CTF327756 DDB327756 DMX327756 DWT327756 EGP327756 EQL327756 FAH327756 FKD327756 FTZ327756 GDV327756 GNR327756 GXN327756 HHJ327756 HRF327756 IBB327756 IKX327756 IUT327756 JEP327756 JOL327756 JYH327756 KID327756 KRZ327756 LBV327756 LLR327756 LVN327756 MFJ327756 MPF327756 MZB327756 NIX327756 NST327756 OCP327756 OML327756 OWH327756 PGD327756 PPZ327756 PZV327756 QJR327756 QTN327756 RDJ327756 RNF327756 RXB327756 SGX327756 SQT327756 TAP327756 TKL327756 TUH327756 UED327756 UNZ327756 UXV327756 VHR327756 VRN327756 WBJ327756 WLF327756 WVB327756 IP393292 SL393292 ACH393292 AMD393292 AVZ393292 BFV393292 BPR393292 BZN393292 CJJ393292 CTF393292 DDB393292 DMX393292 DWT393292 EGP393292 EQL393292 FAH393292 FKD393292 FTZ393292 GDV393292 GNR393292 GXN393292 HHJ393292 HRF393292 IBB393292 IKX393292 IUT393292 JEP393292 JOL393292 JYH393292 KID393292 KRZ393292 LBV393292 LLR393292 LVN393292 MFJ393292 MPF393292 MZB393292 NIX393292 NST393292 OCP393292 OML393292 OWH393292 PGD393292 PPZ393292 PZV393292 QJR393292 QTN393292 RDJ393292 RNF393292 RXB393292 SGX393292 SQT393292 TAP393292 TKL393292 TUH393292 UED393292 UNZ393292 UXV393292 VHR393292 VRN393292 WBJ393292 WLF393292 WVB393292 IP458828 SL458828 ACH458828 AMD458828 AVZ458828 BFV458828 BPR458828 BZN458828 CJJ458828 CTF458828 DDB458828 DMX458828 DWT458828 EGP458828 EQL458828 FAH458828 FKD458828 FTZ458828 GDV458828 GNR458828 GXN458828 HHJ458828 HRF458828 IBB458828 IKX458828 IUT458828 JEP458828 JOL458828 JYH458828 KID458828 KRZ458828 LBV458828 LLR458828 LVN458828 MFJ458828 MPF458828 MZB458828 NIX458828 NST458828 OCP458828 OML458828 OWH458828 PGD458828 PPZ458828 PZV458828 QJR458828 QTN458828 RDJ458828 RNF458828 RXB458828 SGX458828 SQT458828 TAP458828 TKL458828 TUH458828 UED458828 UNZ458828 UXV458828 VHR458828 VRN458828 WBJ458828 WLF458828 WVB458828 IP524364 SL524364 ACH524364 AMD524364 AVZ524364 BFV524364 BPR524364 BZN524364 CJJ524364 CTF524364 DDB524364 DMX524364 DWT524364 EGP524364 EQL524364 FAH524364 FKD524364 FTZ524364 GDV524364 GNR524364 GXN524364 HHJ524364 HRF524364 IBB524364 IKX524364 IUT524364 JEP524364 JOL524364 JYH524364 KID524364 KRZ524364 LBV524364 LLR524364 LVN524364 MFJ524364 MPF524364 MZB524364 NIX524364 NST524364 OCP524364 OML524364 OWH524364 PGD524364 PPZ524364 PZV524364 QJR524364 QTN524364 RDJ524364 RNF524364 RXB524364 SGX524364 SQT524364 TAP524364 TKL524364 TUH524364 UED524364 UNZ524364 UXV524364 VHR524364 VRN524364 WBJ524364 WLF524364 WVB524364 IP589900 SL589900 ACH589900 AMD589900 AVZ589900 BFV589900 BPR589900 BZN589900 CJJ589900 CTF589900 DDB589900 DMX589900 DWT589900 EGP589900 EQL589900 FAH589900 FKD589900 FTZ589900 GDV589900 GNR589900 GXN589900 HHJ589900 HRF589900 IBB589900 IKX589900 IUT589900 JEP589900 JOL589900 JYH589900 KID589900 KRZ589900 LBV589900 LLR589900 LVN589900 MFJ589900 MPF589900 MZB589900 NIX589900 NST589900 OCP589900 OML589900 OWH589900 PGD589900 PPZ589900 PZV589900 QJR589900 QTN589900 RDJ589900 RNF589900 RXB589900 SGX589900 SQT589900 TAP589900 TKL589900 TUH589900 UED589900 UNZ589900 UXV589900 VHR589900 VRN589900 WBJ589900 WLF589900 WVB589900 IP655436 SL655436 ACH655436 AMD655436 AVZ655436 BFV655436 BPR655436 BZN655436 CJJ655436 CTF655436 DDB655436 DMX655436 DWT655436 EGP655436 EQL655436 FAH655436 FKD655436 FTZ655436 GDV655436 GNR655436 GXN655436 HHJ655436 HRF655436 IBB655436 IKX655436 IUT655436 JEP655436 JOL655436 JYH655436 KID655436 KRZ655436 LBV655436 LLR655436 LVN655436 MFJ655436 MPF655436 MZB655436 NIX655436 NST655436 OCP655436 OML655436 OWH655436 PGD655436 PPZ655436 PZV655436 QJR655436 QTN655436 RDJ655436 RNF655436 RXB655436 SGX655436 SQT655436 TAP655436 TKL655436 TUH655436 UED655436 UNZ655436 UXV655436 VHR655436 VRN655436 WBJ655436 WLF655436 WVB655436 IP720972 SL720972 ACH720972 AMD720972 AVZ720972 BFV720972 BPR720972 BZN720972 CJJ720972 CTF720972 DDB720972 DMX720972 DWT720972 EGP720972 EQL720972 FAH720972 FKD720972 FTZ720972 GDV720972 GNR720972 GXN720972 HHJ720972 HRF720972 IBB720972 IKX720972 IUT720972 JEP720972 JOL720972 JYH720972 KID720972 KRZ720972 LBV720972 LLR720972 LVN720972 MFJ720972 MPF720972 MZB720972 NIX720972 NST720972 OCP720972 OML720972 OWH720972 PGD720972 PPZ720972 PZV720972 QJR720972 QTN720972 RDJ720972 RNF720972 RXB720972 SGX720972 SQT720972 TAP720972 TKL720972 TUH720972 UED720972 UNZ720972 UXV720972 VHR720972 VRN720972 WBJ720972 WLF720972 WVB720972 IP786508 SL786508 ACH786508 AMD786508 AVZ786508 BFV786508 BPR786508 BZN786508 CJJ786508 CTF786508 DDB786508 DMX786508 DWT786508 EGP786508 EQL786508 FAH786508 FKD786508 FTZ786508 GDV786508 GNR786508 GXN786508 HHJ786508 HRF786508 IBB786508 IKX786508 IUT786508 JEP786508 JOL786508 JYH786508 KID786508 KRZ786508 LBV786508 LLR786508 LVN786508 MFJ786508 MPF786508 MZB786508 NIX786508 NST786508 OCP786508 OML786508 OWH786508 PGD786508 PPZ786508 PZV786508 QJR786508 QTN786508 RDJ786508 RNF786508 RXB786508 SGX786508 SQT786508 TAP786508 TKL786508 TUH786508 UED786508 UNZ786508 UXV786508 VHR786508 VRN786508 WBJ786508 WLF786508 WVB786508 IP852044 SL852044 ACH852044 AMD852044 AVZ852044 BFV852044 BPR852044 BZN852044 CJJ852044 CTF852044 DDB852044 DMX852044 DWT852044 EGP852044 EQL852044 FAH852044 FKD852044 FTZ852044 GDV852044 GNR852044 GXN852044 HHJ852044 HRF852044 IBB852044 IKX852044 IUT852044 JEP852044 JOL852044 JYH852044 KID852044 KRZ852044 LBV852044 LLR852044 LVN852044 MFJ852044 MPF852044 MZB852044 NIX852044 NST852044 OCP852044 OML852044 OWH852044 PGD852044 PPZ852044 PZV852044 QJR852044 QTN852044 RDJ852044 RNF852044 RXB852044 SGX852044 SQT852044 TAP852044 TKL852044 TUH852044 UED852044 UNZ852044 UXV852044 VHR852044 VRN852044 WBJ852044 WLF852044 WVB852044 IP917580 SL917580 ACH917580 AMD917580 AVZ917580 BFV917580 BPR917580 BZN917580 CJJ917580 CTF917580 DDB917580 DMX917580 DWT917580 EGP917580 EQL917580 FAH917580 FKD917580 FTZ917580 GDV917580 GNR917580 GXN917580 HHJ917580 HRF917580 IBB917580 IKX917580 IUT917580 JEP917580 JOL917580 JYH917580 KID917580 KRZ917580 LBV917580 LLR917580 LVN917580 MFJ917580 MPF917580 MZB917580 NIX917580 NST917580 OCP917580 OML917580 OWH917580 PGD917580 PPZ917580 PZV917580 QJR917580 QTN917580 RDJ917580 RNF917580 RXB917580 SGX917580 SQT917580 TAP917580 TKL917580 TUH917580 UED917580 UNZ917580 UXV917580 VHR917580 VRN917580 WBJ917580 WLF917580 WVB917580 IP983116 SL983116 ACH983116 AMD983116 AVZ983116 BFV983116 BPR983116 BZN983116 CJJ983116 CTF983116 DDB983116 DMX983116 DWT983116 EGP983116 EQL983116 FAH983116 FKD983116 FTZ983116 GDV983116 GNR983116 GXN983116 HHJ983116 HRF983116 IBB983116 IKX983116 IUT983116 JEP983116 JOL983116 JYH983116 KID983116 KRZ983116 LBV983116 LLR983116 LVN983116 MFJ983116 MPF983116 MZB983116 NIX983116 NST983116 OCP983116 OML983116 OWH983116 PGD983116 PPZ983116 PZV983116 QJR983116 QTN983116 RDJ983116 RNF983116 RXB983116 SGX983116 SQT983116 TAP983116 TKL983116 TUH983116 UED983116 UNZ983116 UXV983116 VHR983116 VRN983116 WBJ983116 WLF983116 WVB983116 IP86 SL86 ACH86 AMD86 AVZ86 BFV86 BPR86 BZN86 CJJ86 CTF86 DDB86 DMX86 DWT86 EGP86 EQL86 FAH86 FKD86 FTZ86 GDV86 GNR86 GXN86 HHJ86 HRF86 IBB86 IKX86 IUT86 JEP86 JOL86 JYH86 KID86 KRZ86 LBV86 LLR86 LVN86 MFJ86 MPF86 MZB86 NIX86 NST86 OCP86 OML86 OWH86 PGD86 PPZ86 PZV86 QJR86 QTN86 RDJ86 RNF86 RXB86 SGX86 SQT86 TAP86 TKL86 TUH86 UED86 UNZ86 UXV86 VHR86 VRN86 WBJ86 WLF86 WVB86 IP65622 SL65622 ACH65622 AMD65622 AVZ65622 BFV65622 BPR65622 BZN65622 CJJ65622 CTF65622 DDB65622 DMX65622 DWT65622 EGP65622 EQL65622 FAH65622 FKD65622 FTZ65622 GDV65622 GNR65622 GXN65622 HHJ65622 HRF65622 IBB65622 IKX65622 IUT65622 JEP65622 JOL65622 JYH65622 KID65622 KRZ65622 LBV65622 LLR65622 LVN65622 MFJ65622 MPF65622 MZB65622 NIX65622 NST65622 OCP65622 OML65622 OWH65622 PGD65622 PPZ65622 PZV65622 QJR65622 QTN65622 RDJ65622 RNF65622 RXB65622 SGX65622 SQT65622 TAP65622 TKL65622 TUH65622 UED65622 UNZ65622 UXV65622 VHR65622 VRN65622 WBJ65622 WLF65622 WVB65622 IP131158 SL131158 ACH131158 AMD131158 AVZ131158 BFV131158 BPR131158 BZN131158 CJJ131158 CTF131158 DDB131158 DMX131158 DWT131158 EGP131158 EQL131158 FAH131158 FKD131158 FTZ131158 GDV131158 GNR131158 GXN131158 HHJ131158 HRF131158 IBB131158 IKX131158 IUT131158 JEP131158 JOL131158 JYH131158 KID131158 KRZ131158 LBV131158 LLR131158 LVN131158 MFJ131158 MPF131158 MZB131158 NIX131158 NST131158 OCP131158 OML131158 OWH131158 PGD131158 PPZ131158 PZV131158 QJR131158 QTN131158 RDJ131158 RNF131158 RXB131158 SGX131158 SQT131158 TAP131158 TKL131158 TUH131158 UED131158 UNZ131158 UXV131158 VHR131158 VRN131158 WBJ131158 WLF131158 WVB131158 IP196694 SL196694 ACH196694 AMD196694 AVZ196694 BFV196694 BPR196694 BZN196694 CJJ196694 CTF196694 DDB196694 DMX196694 DWT196694 EGP196694 EQL196694 FAH196694 FKD196694 FTZ196694 GDV196694 GNR196694 GXN196694 HHJ196694 HRF196694 IBB196694 IKX196694 IUT196694 JEP196694 JOL196694 JYH196694 KID196694 KRZ196694 LBV196694 LLR196694 LVN196694 MFJ196694 MPF196694 MZB196694 NIX196694 NST196694 OCP196694 OML196694 OWH196694 PGD196694 PPZ196694 PZV196694 QJR196694 QTN196694 RDJ196694 RNF196694 RXB196694 SGX196694 SQT196694 TAP196694 TKL196694 TUH196694 UED196694 UNZ196694 UXV196694 VHR196694 VRN196694 WBJ196694 WLF196694 WVB196694 IP262230 SL262230 ACH262230 AMD262230 AVZ262230 BFV262230 BPR262230 BZN262230 CJJ262230 CTF262230 DDB262230 DMX262230 DWT262230 EGP262230 EQL262230 FAH262230 FKD262230 FTZ262230 GDV262230 GNR262230 GXN262230 HHJ262230 HRF262230 IBB262230 IKX262230 IUT262230 JEP262230 JOL262230 JYH262230 KID262230 KRZ262230 LBV262230 LLR262230 LVN262230 MFJ262230 MPF262230 MZB262230 NIX262230 NST262230 OCP262230 OML262230 OWH262230 PGD262230 PPZ262230 PZV262230 QJR262230 QTN262230 RDJ262230 RNF262230 RXB262230 SGX262230 SQT262230 TAP262230 TKL262230 TUH262230 UED262230 UNZ262230 UXV262230 VHR262230 VRN262230 WBJ262230 WLF262230 WVB262230 IP327766 SL327766 ACH327766 AMD327766 AVZ327766 BFV327766 BPR327766 BZN327766 CJJ327766 CTF327766 DDB327766 DMX327766 DWT327766 EGP327766 EQL327766 FAH327766 FKD327766 FTZ327766 GDV327766 GNR327766 GXN327766 HHJ327766 HRF327766 IBB327766 IKX327766 IUT327766 JEP327766 JOL327766 JYH327766 KID327766 KRZ327766 LBV327766 LLR327766 LVN327766 MFJ327766 MPF327766 MZB327766 NIX327766 NST327766 OCP327766 OML327766 OWH327766 PGD327766 PPZ327766 PZV327766 QJR327766 QTN327766 RDJ327766 RNF327766 RXB327766 SGX327766 SQT327766 TAP327766 TKL327766 TUH327766 UED327766 UNZ327766 UXV327766 VHR327766 VRN327766 WBJ327766 WLF327766 WVB327766 IP393302 SL393302 ACH393302 AMD393302 AVZ393302 BFV393302 BPR393302 BZN393302 CJJ393302 CTF393302 DDB393302 DMX393302 DWT393302 EGP393302 EQL393302 FAH393302 FKD393302 FTZ393302 GDV393302 GNR393302 GXN393302 HHJ393302 HRF393302 IBB393302 IKX393302 IUT393302 JEP393302 JOL393302 JYH393302 KID393302 KRZ393302 LBV393302 LLR393302 LVN393302 MFJ393302 MPF393302 MZB393302 NIX393302 NST393302 OCP393302 OML393302 OWH393302 PGD393302 PPZ393302 PZV393302 QJR393302 QTN393302 RDJ393302 RNF393302 RXB393302 SGX393302 SQT393302 TAP393302 TKL393302 TUH393302 UED393302 UNZ393302 UXV393302 VHR393302 VRN393302 WBJ393302 WLF393302 WVB393302 IP458838 SL458838 ACH458838 AMD458838 AVZ458838 BFV458838 BPR458838 BZN458838 CJJ458838 CTF458838 DDB458838 DMX458838 DWT458838 EGP458838 EQL458838 FAH458838 FKD458838 FTZ458838 GDV458838 GNR458838 GXN458838 HHJ458838 HRF458838 IBB458838 IKX458838 IUT458838 JEP458838 JOL458838 JYH458838 KID458838 KRZ458838 LBV458838 LLR458838 LVN458838 MFJ458838 MPF458838 MZB458838 NIX458838 NST458838 OCP458838 OML458838 OWH458838 PGD458838 PPZ458838 PZV458838 QJR458838 QTN458838 RDJ458838 RNF458838 RXB458838 SGX458838 SQT458838 TAP458838 TKL458838 TUH458838 UED458838 UNZ458838 UXV458838 VHR458838 VRN458838 WBJ458838 WLF458838 WVB458838 IP524374 SL524374 ACH524374 AMD524374 AVZ524374 BFV524374 BPR524374 BZN524374 CJJ524374 CTF524374 DDB524374 DMX524374 DWT524374 EGP524374 EQL524374 FAH524374 FKD524374 FTZ524374 GDV524374 GNR524374 GXN524374 HHJ524374 HRF524374 IBB524374 IKX524374 IUT524374 JEP524374 JOL524374 JYH524374 KID524374 KRZ524374 LBV524374 LLR524374 LVN524374 MFJ524374 MPF524374 MZB524374 NIX524374 NST524374 OCP524374 OML524374 OWH524374 PGD524374 PPZ524374 PZV524374 QJR524374 QTN524374 RDJ524374 RNF524374 RXB524374 SGX524374 SQT524374 TAP524374 TKL524374 TUH524374 UED524374 UNZ524374 UXV524374 VHR524374 VRN524374 WBJ524374 WLF524374 WVB524374 IP589910 SL589910 ACH589910 AMD589910 AVZ589910 BFV589910 BPR589910 BZN589910 CJJ589910 CTF589910 DDB589910 DMX589910 DWT589910 EGP589910 EQL589910 FAH589910 FKD589910 FTZ589910 GDV589910 GNR589910 GXN589910 HHJ589910 HRF589910 IBB589910 IKX589910 IUT589910 JEP589910 JOL589910 JYH589910 KID589910 KRZ589910 LBV589910 LLR589910 LVN589910 MFJ589910 MPF589910 MZB589910 NIX589910 NST589910 OCP589910 OML589910 OWH589910 PGD589910 PPZ589910 PZV589910 QJR589910 QTN589910 RDJ589910 RNF589910 RXB589910 SGX589910 SQT589910 TAP589910 TKL589910 TUH589910 UED589910 UNZ589910 UXV589910 VHR589910 VRN589910 WBJ589910 WLF589910 WVB589910 IP655446 SL655446 ACH655446 AMD655446 AVZ655446 BFV655446 BPR655446 BZN655446 CJJ655446 CTF655446 DDB655446 DMX655446 DWT655446 EGP655446 EQL655446 FAH655446 FKD655446 FTZ655446 GDV655446 GNR655446 GXN655446 HHJ655446 HRF655446 IBB655446 IKX655446 IUT655446 JEP655446 JOL655446 JYH655446 KID655446 KRZ655446 LBV655446 LLR655446 LVN655446 MFJ655446 MPF655446 MZB655446 NIX655446 NST655446 OCP655446 OML655446 OWH655446 PGD655446 PPZ655446 PZV655446 QJR655446 QTN655446 RDJ655446 RNF655446 RXB655446 SGX655446 SQT655446 TAP655446 TKL655446 TUH655446 UED655446 UNZ655446 UXV655446 VHR655446 VRN655446 WBJ655446 WLF655446 WVB655446 IP720982 SL720982 ACH720982 AMD720982 AVZ720982 BFV720982 BPR720982 BZN720982 CJJ720982 CTF720982 DDB720982 DMX720982 DWT720982 EGP720982 EQL720982 FAH720982 FKD720982 FTZ720982 GDV720982 GNR720982 GXN720982 HHJ720982 HRF720982 IBB720982 IKX720982 IUT720982 JEP720982 JOL720982 JYH720982 KID720982 KRZ720982 LBV720982 LLR720982 LVN720982 MFJ720982 MPF720982 MZB720982 NIX720982 NST720982 OCP720982 OML720982 OWH720982 PGD720982 PPZ720982 PZV720982 QJR720982 QTN720982 RDJ720982 RNF720982 RXB720982 SGX720982 SQT720982 TAP720982 TKL720982 TUH720982 UED720982 UNZ720982 UXV720982 VHR720982 VRN720982 WBJ720982 WLF720982 WVB720982 IP786518 SL786518 ACH786518 AMD786518 AVZ786518 BFV786518 BPR786518 BZN786518 CJJ786518 CTF786518 DDB786518 DMX786518 DWT786518 EGP786518 EQL786518 FAH786518 FKD786518 FTZ786518 GDV786518 GNR786518 GXN786518 HHJ786518 HRF786518 IBB786518 IKX786518 IUT786518 JEP786518 JOL786518 JYH786518 KID786518 KRZ786518 LBV786518 LLR786518 LVN786518 MFJ786518 MPF786518 MZB786518 NIX786518 NST786518 OCP786518 OML786518 OWH786518 PGD786518 PPZ786518 PZV786518 QJR786518 QTN786518 RDJ786518 RNF786518 RXB786518 SGX786518 SQT786518 TAP786518 TKL786518 TUH786518 UED786518 UNZ786518 UXV786518 VHR786518 VRN786518 WBJ786518 WLF786518 WVB786518 IP852054 SL852054 ACH852054 AMD852054 AVZ852054 BFV852054 BPR852054 BZN852054 CJJ852054 CTF852054 DDB852054 DMX852054 DWT852054 EGP852054 EQL852054 FAH852054 FKD852054 FTZ852054 GDV852054 GNR852054 GXN852054 HHJ852054 HRF852054 IBB852054 IKX852054 IUT852054 JEP852054 JOL852054 JYH852054 KID852054 KRZ852054 LBV852054 LLR852054 LVN852054 MFJ852054 MPF852054 MZB852054 NIX852054 NST852054 OCP852054 OML852054 OWH852054 PGD852054 PPZ852054 PZV852054 QJR852054 QTN852054 RDJ852054 RNF852054 RXB852054 SGX852054 SQT852054 TAP852054 TKL852054 TUH852054 UED852054 UNZ852054 UXV852054 VHR852054 VRN852054 WBJ852054 WLF852054 WVB852054 IP917590 SL917590 ACH917590 AMD917590 AVZ917590 BFV917590 BPR917590 BZN917590 CJJ917590 CTF917590 DDB917590 DMX917590 DWT917590 EGP917590 EQL917590 FAH917590 FKD917590 FTZ917590 GDV917590 GNR917590 GXN917590 HHJ917590 HRF917590 IBB917590 IKX917590 IUT917590 JEP917590 JOL917590 JYH917590 KID917590 KRZ917590 LBV917590 LLR917590 LVN917590 MFJ917590 MPF917590 MZB917590 NIX917590 NST917590 OCP917590 OML917590 OWH917590 PGD917590 PPZ917590 PZV917590 QJR917590 QTN917590 RDJ917590 RNF917590 RXB917590 SGX917590 SQT917590 TAP917590 TKL917590 TUH917590 UED917590 UNZ917590 UXV917590 VHR917590 VRN917590 WBJ917590 WLF917590 WVB917590 IP983126 SL983126 ACH983126 AMD983126 AVZ983126 BFV983126 BPR983126 BZN983126 CJJ983126 CTF983126 DDB983126 DMX983126 DWT983126 EGP983126 EQL983126 FAH983126 FKD983126 FTZ983126 GDV983126 GNR983126 GXN983126 HHJ983126 HRF983126 IBB983126 IKX983126 IUT983126 JEP983126 JOL983126 JYH983126 KID983126 KRZ983126 LBV983126 LLR983126 LVN983126 MFJ983126 MPF983126 MZB983126 NIX983126 NST983126 OCP983126 OML983126 OWH983126 PGD983126 PPZ983126 PZV983126 QJR983126 QTN983126 RDJ983126 RNF983126 RXB983126 SGX983126 SQT983126 TAP983126 TKL983126 TUH983126 UED983126 UNZ983126 UXV983126 VHR983126 VRN983126 WBJ983126 WLF983126 WVB983126 IP96 SL96 ACH96 AMD96 AVZ96 BFV96 BPR96 BZN96 CJJ96 CTF96 DDB96 DMX96 DWT96 EGP96 EQL96 FAH96 FKD96 FTZ96 GDV96 GNR96 GXN96 HHJ96 HRF96 IBB96 IKX96 IUT96 JEP96 JOL96 JYH96 KID96 KRZ96 LBV96 LLR96 LVN96 MFJ96 MPF96 MZB96 NIX96 NST96 OCP96 OML96 OWH96 PGD96 PPZ96 PZV96 QJR96 QTN96 RDJ96 RNF96 RXB96 SGX96 SQT96 TAP96 TKL96 TUH96 UED96 UNZ96 UXV96 VHR96 VRN96 WBJ96 WLF96 WVB96 IP65632 SL65632 ACH65632 AMD65632 AVZ65632 BFV65632 BPR65632 BZN65632 CJJ65632 CTF65632 DDB65632 DMX65632 DWT65632 EGP65632 EQL65632 FAH65632 FKD65632 FTZ65632 GDV65632 GNR65632 GXN65632 HHJ65632 HRF65632 IBB65632 IKX65632 IUT65632 JEP65632 JOL65632 JYH65632 KID65632 KRZ65632 LBV65632 LLR65632 LVN65632 MFJ65632 MPF65632 MZB65632 NIX65632 NST65632 OCP65632 OML65632 OWH65632 PGD65632 PPZ65632 PZV65632 QJR65632 QTN65632 RDJ65632 RNF65632 RXB65632 SGX65632 SQT65632 TAP65632 TKL65632 TUH65632 UED65632 UNZ65632 UXV65632 VHR65632 VRN65632 WBJ65632 WLF65632 WVB65632 IP131168 SL131168 ACH131168 AMD131168 AVZ131168 BFV131168 BPR131168 BZN131168 CJJ131168 CTF131168 DDB131168 DMX131168 DWT131168 EGP131168 EQL131168 FAH131168 FKD131168 FTZ131168 GDV131168 GNR131168 GXN131168 HHJ131168 HRF131168 IBB131168 IKX131168 IUT131168 JEP131168 JOL131168 JYH131168 KID131168 KRZ131168 LBV131168 LLR131168 LVN131168 MFJ131168 MPF131168 MZB131168 NIX131168 NST131168 OCP131168 OML131168 OWH131168 PGD131168 PPZ131168 PZV131168 QJR131168 QTN131168 RDJ131168 RNF131168 RXB131168 SGX131168 SQT131168 TAP131168 TKL131168 TUH131168 UED131168 UNZ131168 UXV131168 VHR131168 VRN131168 WBJ131168 WLF131168 WVB131168 IP196704 SL196704 ACH196704 AMD196704 AVZ196704 BFV196704 BPR196704 BZN196704 CJJ196704 CTF196704 DDB196704 DMX196704 DWT196704 EGP196704 EQL196704 FAH196704 FKD196704 FTZ196704 GDV196704 GNR196704 GXN196704 HHJ196704 HRF196704 IBB196704 IKX196704 IUT196704 JEP196704 JOL196704 JYH196704 KID196704 KRZ196704 LBV196704 LLR196704 LVN196704 MFJ196704 MPF196704 MZB196704 NIX196704 NST196704 OCP196704 OML196704 OWH196704 PGD196704 PPZ196704 PZV196704 QJR196704 QTN196704 RDJ196704 RNF196704 RXB196704 SGX196704 SQT196704 TAP196704 TKL196704 TUH196704 UED196704 UNZ196704 UXV196704 VHR196704 VRN196704 WBJ196704 WLF196704 WVB196704 IP262240 SL262240 ACH262240 AMD262240 AVZ262240 BFV262240 BPR262240 BZN262240 CJJ262240 CTF262240 DDB262240 DMX262240 DWT262240 EGP262240 EQL262240 FAH262240 FKD262240 FTZ262240 GDV262240 GNR262240 GXN262240 HHJ262240 HRF262240 IBB262240 IKX262240 IUT262240 JEP262240 JOL262240 JYH262240 KID262240 KRZ262240 LBV262240 LLR262240 LVN262240 MFJ262240 MPF262240 MZB262240 NIX262240 NST262240 OCP262240 OML262240 OWH262240 PGD262240 PPZ262240 PZV262240 QJR262240 QTN262240 RDJ262240 RNF262240 RXB262240 SGX262240 SQT262240 TAP262240 TKL262240 TUH262240 UED262240 UNZ262240 UXV262240 VHR262240 VRN262240 WBJ262240 WLF262240 WVB262240 IP327776 SL327776 ACH327776 AMD327776 AVZ327776 BFV327776 BPR327776 BZN327776 CJJ327776 CTF327776 DDB327776 DMX327776 DWT327776 EGP327776 EQL327776 FAH327776 FKD327776 FTZ327776 GDV327776 GNR327776 GXN327776 HHJ327776 HRF327776 IBB327776 IKX327776 IUT327776 JEP327776 JOL327776 JYH327776 KID327776 KRZ327776 LBV327776 LLR327776 LVN327776 MFJ327776 MPF327776 MZB327776 NIX327776 NST327776 OCP327776 OML327776 OWH327776 PGD327776 PPZ327776 PZV327776 QJR327776 QTN327776 RDJ327776 RNF327776 RXB327776 SGX327776 SQT327776 TAP327776 TKL327776 TUH327776 UED327776 UNZ327776 UXV327776 VHR327776 VRN327776 WBJ327776 WLF327776 WVB327776 IP393312 SL393312 ACH393312 AMD393312 AVZ393312 BFV393312 BPR393312 BZN393312 CJJ393312 CTF393312 DDB393312 DMX393312 DWT393312 EGP393312 EQL393312 FAH393312 FKD393312 FTZ393312 GDV393312 GNR393312 GXN393312 HHJ393312 HRF393312 IBB393312 IKX393312 IUT393312 JEP393312 JOL393312 JYH393312 KID393312 KRZ393312 LBV393312 LLR393312 LVN393312 MFJ393312 MPF393312 MZB393312 NIX393312 NST393312 OCP393312 OML393312 OWH393312 PGD393312 PPZ393312 PZV393312 QJR393312 QTN393312 RDJ393312 RNF393312 RXB393312 SGX393312 SQT393312 TAP393312 TKL393312 TUH393312 UED393312 UNZ393312 UXV393312 VHR393312 VRN393312 WBJ393312 WLF393312 WVB393312 IP458848 SL458848 ACH458848 AMD458848 AVZ458848 BFV458848 BPR458848 BZN458848 CJJ458848 CTF458848 DDB458848 DMX458848 DWT458848 EGP458848 EQL458848 FAH458848 FKD458848 FTZ458848 GDV458848 GNR458848 GXN458848 HHJ458848 HRF458848 IBB458848 IKX458848 IUT458848 JEP458848 JOL458848 JYH458848 KID458848 KRZ458848 LBV458848 LLR458848 LVN458848 MFJ458848 MPF458848 MZB458848 NIX458848 NST458848 OCP458848 OML458848 OWH458848 PGD458848 PPZ458848 PZV458848 QJR458848 QTN458848 RDJ458848 RNF458848 RXB458848 SGX458848 SQT458848 TAP458848 TKL458848 TUH458848 UED458848 UNZ458848 UXV458848 VHR458848 VRN458848 WBJ458848 WLF458848 WVB458848 IP524384 SL524384 ACH524384 AMD524384 AVZ524384 BFV524384 BPR524384 BZN524384 CJJ524384 CTF524384 DDB524384 DMX524384 DWT524384 EGP524384 EQL524384 FAH524384 FKD524384 FTZ524384 GDV524384 GNR524384 GXN524384 HHJ524384 HRF524384 IBB524384 IKX524384 IUT524384 JEP524384 JOL524384 JYH524384 KID524384 KRZ524384 LBV524384 LLR524384 LVN524384 MFJ524384 MPF524384 MZB524384 NIX524384 NST524384 OCP524384 OML524384 OWH524384 PGD524384 PPZ524384 PZV524384 QJR524384 QTN524384 RDJ524384 RNF524384 RXB524384 SGX524384 SQT524384 TAP524384 TKL524384 TUH524384 UED524384 UNZ524384 UXV524384 VHR524384 VRN524384 WBJ524384 WLF524384 WVB524384 IP589920 SL589920 ACH589920 AMD589920 AVZ589920 BFV589920 BPR589920 BZN589920 CJJ589920 CTF589920 DDB589920 DMX589920 DWT589920 EGP589920 EQL589920 FAH589920 FKD589920 FTZ589920 GDV589920 GNR589920 GXN589920 HHJ589920 HRF589920 IBB589920 IKX589920 IUT589920 JEP589920 JOL589920 JYH589920 KID589920 KRZ589920 LBV589920 LLR589920 LVN589920 MFJ589920 MPF589920 MZB589920 NIX589920 NST589920 OCP589920 OML589920 OWH589920 PGD589920 PPZ589920 PZV589920 QJR589920 QTN589920 RDJ589920 RNF589920 RXB589920 SGX589920 SQT589920 TAP589920 TKL589920 TUH589920 UED589920 UNZ589920 UXV589920 VHR589920 VRN589920 WBJ589920 WLF589920 WVB589920 IP655456 SL655456 ACH655456 AMD655456 AVZ655456 BFV655456 BPR655456 BZN655456 CJJ655456 CTF655456 DDB655456 DMX655456 DWT655456 EGP655456 EQL655456 FAH655456 FKD655456 FTZ655456 GDV655456 GNR655456 GXN655456 HHJ655456 HRF655456 IBB655456 IKX655456 IUT655456 JEP655456 JOL655456 JYH655456 KID655456 KRZ655456 LBV655456 LLR655456 LVN655456 MFJ655456 MPF655456 MZB655456 NIX655456 NST655456 OCP655456 OML655456 OWH655456 PGD655456 PPZ655456 PZV655456 QJR655456 QTN655456 RDJ655456 RNF655456 RXB655456 SGX655456 SQT655456 TAP655456 TKL655456 TUH655456 UED655456 UNZ655456 UXV655456 VHR655456 VRN655456 WBJ655456 WLF655456 WVB655456 IP720992 SL720992 ACH720992 AMD720992 AVZ720992 BFV720992 BPR720992 BZN720992 CJJ720992 CTF720992 DDB720992 DMX720992 DWT720992 EGP720992 EQL720992 FAH720992 FKD720992 FTZ720992 GDV720992 GNR720992 GXN720992 HHJ720992 HRF720992 IBB720992 IKX720992 IUT720992 JEP720992 JOL720992 JYH720992 KID720992 KRZ720992 LBV720992 LLR720992 LVN720992 MFJ720992 MPF720992 MZB720992 NIX720992 NST720992 OCP720992 OML720992 OWH720992 PGD720992 PPZ720992 PZV720992 QJR720992 QTN720992 RDJ720992 RNF720992 RXB720992 SGX720992 SQT720992 TAP720992 TKL720992 TUH720992 UED720992 UNZ720992 UXV720992 VHR720992 VRN720992 WBJ720992 WLF720992 WVB720992 IP786528 SL786528 ACH786528 AMD786528 AVZ786528 BFV786528 BPR786528 BZN786528 CJJ786528 CTF786528 DDB786528 DMX786528 DWT786528 EGP786528 EQL786528 FAH786528 FKD786528 FTZ786528 GDV786528 GNR786528 GXN786528 HHJ786528 HRF786528 IBB786528 IKX786528 IUT786528 JEP786528 JOL786528 JYH786528 KID786528 KRZ786528 LBV786528 LLR786528 LVN786528 MFJ786528 MPF786528 MZB786528 NIX786528 NST786528 OCP786528 OML786528 OWH786528 PGD786528 PPZ786528 PZV786528 QJR786528 QTN786528 RDJ786528 RNF786528 RXB786528 SGX786528 SQT786528 TAP786528 TKL786528 TUH786528 UED786528 UNZ786528 UXV786528 VHR786528 VRN786528 WBJ786528 WLF786528 WVB786528 IP852064 SL852064 ACH852064 AMD852064 AVZ852064 BFV852064 BPR852064 BZN852064 CJJ852064 CTF852064 DDB852064 DMX852064 DWT852064 EGP852064 EQL852064 FAH852064 FKD852064 FTZ852064 GDV852064 GNR852064 GXN852064 HHJ852064 HRF852064 IBB852064 IKX852064 IUT852064 JEP852064 JOL852064 JYH852064 KID852064 KRZ852064 LBV852064 LLR852064 LVN852064 MFJ852064 MPF852064 MZB852064 NIX852064 NST852064 OCP852064 OML852064 OWH852064 PGD852064 PPZ852064 PZV852064 QJR852064 QTN852064 RDJ852064 RNF852064 RXB852064 SGX852064 SQT852064 TAP852064 TKL852064 TUH852064 UED852064 UNZ852064 UXV852064 VHR852064 VRN852064 WBJ852064 WLF852064 WVB852064 IP917600 SL917600 ACH917600 AMD917600 AVZ917600 BFV917600 BPR917600 BZN917600 CJJ917600 CTF917600 DDB917600 DMX917600 DWT917600 EGP917600 EQL917600 FAH917600 FKD917600 FTZ917600 GDV917600 GNR917600 GXN917600 HHJ917600 HRF917600 IBB917600 IKX917600 IUT917600 JEP917600 JOL917600 JYH917600 KID917600 KRZ917600 LBV917600 LLR917600 LVN917600 MFJ917600 MPF917600 MZB917600 NIX917600 NST917600 OCP917600 OML917600 OWH917600 PGD917600 PPZ917600 PZV917600 QJR917600 QTN917600 RDJ917600 RNF917600 RXB917600 SGX917600 SQT917600 TAP917600 TKL917600 TUH917600 UED917600 UNZ917600 UXV917600 VHR917600 VRN917600 WBJ917600 WLF917600 WVB917600 IP983136 SL983136 ACH983136 AMD983136 AVZ983136 BFV983136 BPR983136 BZN983136 CJJ983136 CTF983136 DDB983136 DMX983136 DWT983136 EGP983136 EQL983136 FAH983136 FKD983136 FTZ983136 GDV983136 GNR983136 GXN983136 HHJ983136 HRF983136 IBB983136 IKX983136 IUT983136 JEP983136 JOL983136 JYH983136 KID983136 KRZ983136 LBV983136 LLR983136 LVN983136 MFJ983136 MPF983136 MZB983136 NIX983136 NST983136 OCP983136 OML983136 OWH983136 PGD983136 PPZ983136 PZV983136 QJR983136 QTN983136 RDJ983136 RNF983136 RXB983136 SGX983136 SQT983136 TAP983136 TKL983136 TUH983136 UED983136 UNZ983136 UXV983136 VHR983136 VRN983136 WBJ983136 WLF983136 WVB983136 IP46 SL46 ACH46 AMD46 AVZ46 BFV46 BPR46 BZN46 CJJ46 CTF46 DDB46 DMX46 DWT46 EGP46 EQL46 FAH46 FKD46 FTZ46 GDV46 GNR46 GXN46 HHJ46 HRF46 IBB46 IKX46 IUT46 JEP46 JOL46 JYH46 KID46 KRZ46 LBV46 LLR46 LVN46 MFJ46 MPF46 MZB46 NIX46 NST46 OCP46 OML46 OWH46 PGD46 PPZ46 PZV46 QJR46 QTN46 RDJ46 RNF46 RXB46 SGX46 SQT46 TAP46 TKL46 TUH46 UED46 UNZ46 UXV46 VHR46 VRN46 WBJ46 WLF46 WVB46 IP65582 SL65582 ACH65582 AMD65582 AVZ65582 BFV65582 BPR65582 BZN65582 CJJ65582 CTF65582 DDB65582 DMX65582 DWT65582 EGP65582 EQL65582 FAH65582 FKD65582 FTZ65582 GDV65582 GNR65582 GXN65582 HHJ65582 HRF65582 IBB65582 IKX65582 IUT65582 JEP65582 JOL65582 JYH65582 KID65582 KRZ65582 LBV65582 LLR65582 LVN65582 MFJ65582 MPF65582 MZB65582 NIX65582 NST65582 OCP65582 OML65582 OWH65582 PGD65582 PPZ65582 PZV65582 QJR65582 QTN65582 RDJ65582 RNF65582 RXB65582 SGX65582 SQT65582 TAP65582 TKL65582 TUH65582 UED65582 UNZ65582 UXV65582 VHR65582 VRN65582 WBJ65582 WLF65582 WVB65582 IP131118 SL131118 ACH131118 AMD131118 AVZ131118 BFV131118 BPR131118 BZN131118 CJJ131118 CTF131118 DDB131118 DMX131118 DWT131118 EGP131118 EQL131118 FAH131118 FKD131118 FTZ131118 GDV131118 GNR131118 GXN131118 HHJ131118 HRF131118 IBB131118 IKX131118 IUT131118 JEP131118 JOL131118 JYH131118 KID131118 KRZ131118 LBV131118 LLR131118 LVN131118 MFJ131118 MPF131118 MZB131118 NIX131118 NST131118 OCP131118 OML131118 OWH131118 PGD131118 PPZ131118 PZV131118 QJR131118 QTN131118 RDJ131118 RNF131118 RXB131118 SGX131118 SQT131118 TAP131118 TKL131118 TUH131118 UED131118 UNZ131118 UXV131118 VHR131118 VRN131118 WBJ131118 WLF131118 WVB131118 IP196654 SL196654 ACH196654 AMD196654 AVZ196654 BFV196654 BPR196654 BZN196654 CJJ196654 CTF196654 DDB196654 DMX196654 DWT196654 EGP196654 EQL196654 FAH196654 FKD196654 FTZ196654 GDV196654 GNR196654 GXN196654 HHJ196654 HRF196654 IBB196654 IKX196654 IUT196654 JEP196654 JOL196654 JYH196654 KID196654 KRZ196654 LBV196654 LLR196654 LVN196654 MFJ196654 MPF196654 MZB196654 NIX196654 NST196654 OCP196654 OML196654 OWH196654 PGD196654 PPZ196654 PZV196654 QJR196654 QTN196654 RDJ196654 RNF196654 RXB196654 SGX196654 SQT196654 TAP196654 TKL196654 TUH196654 UED196654 UNZ196654 UXV196654 VHR196654 VRN196654 WBJ196654 WLF196654 WVB196654 IP262190 SL262190 ACH262190 AMD262190 AVZ262190 BFV262190 BPR262190 BZN262190 CJJ262190 CTF262190 DDB262190 DMX262190 DWT262190 EGP262190 EQL262190 FAH262190 FKD262190 FTZ262190 GDV262190 GNR262190 GXN262190 HHJ262190 HRF262190 IBB262190 IKX262190 IUT262190 JEP262190 JOL262190 JYH262190 KID262190 KRZ262190 LBV262190 LLR262190 LVN262190 MFJ262190 MPF262190 MZB262190 NIX262190 NST262190 OCP262190 OML262190 OWH262190 PGD262190 PPZ262190 PZV262190 QJR262190 QTN262190 RDJ262190 RNF262190 RXB262190 SGX262190 SQT262190 TAP262190 TKL262190 TUH262190 UED262190 UNZ262190 UXV262190 VHR262190 VRN262190 WBJ262190 WLF262190 WVB262190 IP327726 SL327726 ACH327726 AMD327726 AVZ327726 BFV327726 BPR327726 BZN327726 CJJ327726 CTF327726 DDB327726 DMX327726 DWT327726 EGP327726 EQL327726 FAH327726 FKD327726 FTZ327726 GDV327726 GNR327726 GXN327726 HHJ327726 HRF327726 IBB327726 IKX327726 IUT327726 JEP327726 JOL327726 JYH327726 KID327726 KRZ327726 LBV327726 LLR327726 LVN327726 MFJ327726 MPF327726 MZB327726 NIX327726 NST327726 OCP327726 OML327726 OWH327726 PGD327726 PPZ327726 PZV327726 QJR327726 QTN327726 RDJ327726 RNF327726 RXB327726 SGX327726 SQT327726 TAP327726 TKL327726 TUH327726 UED327726 UNZ327726 UXV327726 VHR327726 VRN327726 WBJ327726 WLF327726 WVB327726 IP393262 SL393262 ACH393262 AMD393262 AVZ393262 BFV393262 BPR393262 BZN393262 CJJ393262 CTF393262 DDB393262 DMX393262 DWT393262 EGP393262 EQL393262 FAH393262 FKD393262 FTZ393262 GDV393262 GNR393262 GXN393262 HHJ393262 HRF393262 IBB393262 IKX393262 IUT393262 JEP393262 JOL393262 JYH393262 KID393262 KRZ393262 LBV393262 LLR393262 LVN393262 MFJ393262 MPF393262 MZB393262 NIX393262 NST393262 OCP393262 OML393262 OWH393262 PGD393262 PPZ393262 PZV393262 QJR393262 QTN393262 RDJ393262 RNF393262 RXB393262 SGX393262 SQT393262 TAP393262 TKL393262 TUH393262 UED393262 UNZ393262 UXV393262 VHR393262 VRN393262 WBJ393262 WLF393262 WVB393262 IP458798 SL458798 ACH458798 AMD458798 AVZ458798 BFV458798 BPR458798 BZN458798 CJJ458798 CTF458798 DDB458798 DMX458798 DWT458798 EGP458798 EQL458798 FAH458798 FKD458798 FTZ458798 GDV458798 GNR458798 GXN458798 HHJ458798 HRF458798 IBB458798 IKX458798 IUT458798 JEP458798 JOL458798 JYH458798 KID458798 KRZ458798 LBV458798 LLR458798 LVN458798 MFJ458798 MPF458798 MZB458798 NIX458798 NST458798 OCP458798 OML458798 OWH458798 PGD458798 PPZ458798 PZV458798 QJR458798 QTN458798 RDJ458798 RNF458798 RXB458798 SGX458798 SQT458798 TAP458798 TKL458798 TUH458798 UED458798 UNZ458798 UXV458798 VHR458798 VRN458798 WBJ458798 WLF458798 WVB458798 IP524334 SL524334 ACH524334 AMD524334 AVZ524334 BFV524334 BPR524334 BZN524334 CJJ524334 CTF524334 DDB524334 DMX524334 DWT524334 EGP524334 EQL524334 FAH524334 FKD524334 FTZ524334 GDV524334 GNR524334 GXN524334 HHJ524334 HRF524334 IBB524334 IKX524334 IUT524334 JEP524334 JOL524334 JYH524334 KID524334 KRZ524334 LBV524334 LLR524334 LVN524334 MFJ524334 MPF524334 MZB524334 NIX524334 NST524334 OCP524334 OML524334 OWH524334 PGD524334 PPZ524334 PZV524334 QJR524334 QTN524334 RDJ524334 RNF524334 RXB524334 SGX524334 SQT524334 TAP524334 TKL524334 TUH524334 UED524334 UNZ524334 UXV524334 VHR524334 VRN524334 WBJ524334 WLF524334 WVB524334 IP589870 SL589870 ACH589870 AMD589870 AVZ589870 BFV589870 BPR589870 BZN589870 CJJ589870 CTF589870 DDB589870 DMX589870 DWT589870 EGP589870 EQL589870 FAH589870 FKD589870 FTZ589870 GDV589870 GNR589870 GXN589870 HHJ589870 HRF589870 IBB589870 IKX589870 IUT589870 JEP589870 JOL589870 JYH589870 KID589870 KRZ589870 LBV589870 LLR589870 LVN589870 MFJ589870 MPF589870 MZB589870 NIX589870 NST589870 OCP589870 OML589870 OWH589870 PGD589870 PPZ589870 PZV589870 QJR589870 QTN589870 RDJ589870 RNF589870 RXB589870 SGX589870 SQT589870 TAP589870 TKL589870 TUH589870 UED589870 UNZ589870 UXV589870 VHR589870 VRN589870 WBJ589870 WLF589870 WVB589870 IP655406 SL655406 ACH655406 AMD655406 AVZ655406 BFV655406 BPR655406 BZN655406 CJJ655406 CTF655406 DDB655406 DMX655406 DWT655406 EGP655406 EQL655406 FAH655406 FKD655406 FTZ655406 GDV655406 GNR655406 GXN655406 HHJ655406 HRF655406 IBB655406 IKX655406 IUT655406 JEP655406 JOL655406 JYH655406 KID655406 KRZ655406 LBV655406 LLR655406 LVN655406 MFJ655406 MPF655406 MZB655406 NIX655406 NST655406 OCP655406 OML655406 OWH655406 PGD655406 PPZ655406 PZV655406 QJR655406 QTN655406 RDJ655406 RNF655406 RXB655406 SGX655406 SQT655406 TAP655406 TKL655406 TUH655406 UED655406 UNZ655406 UXV655406 VHR655406 VRN655406 WBJ655406 WLF655406 WVB655406 IP720942 SL720942 ACH720942 AMD720942 AVZ720942 BFV720942 BPR720942 BZN720942 CJJ720942 CTF720942 DDB720942 DMX720942 DWT720942 EGP720942 EQL720942 FAH720942 FKD720942 FTZ720942 GDV720942 GNR720942 GXN720942 HHJ720942 HRF720942 IBB720942 IKX720942 IUT720942 JEP720942 JOL720942 JYH720942 KID720942 KRZ720942 LBV720942 LLR720942 LVN720942 MFJ720942 MPF720942 MZB720942 NIX720942 NST720942 OCP720942 OML720942 OWH720942 PGD720942 PPZ720942 PZV720942 QJR720942 QTN720942 RDJ720942 RNF720942 RXB720942 SGX720942 SQT720942 TAP720942 TKL720942 TUH720942 UED720942 UNZ720942 UXV720942 VHR720942 VRN720942 WBJ720942 WLF720942 WVB720942 IP786478 SL786478 ACH786478 AMD786478 AVZ786478 BFV786478 BPR786478 BZN786478 CJJ786478 CTF786478 DDB786478 DMX786478 DWT786478 EGP786478 EQL786478 FAH786478 FKD786478 FTZ786478 GDV786478 GNR786478 GXN786478 HHJ786478 HRF786478 IBB786478 IKX786478 IUT786478 JEP786478 JOL786478 JYH786478 KID786478 KRZ786478 LBV786478 LLR786478 LVN786478 MFJ786478 MPF786478 MZB786478 NIX786478 NST786478 OCP786478 OML786478 OWH786478 PGD786478 PPZ786478 PZV786478 QJR786478 QTN786478 RDJ786478 RNF786478 RXB786478 SGX786478 SQT786478 TAP786478 TKL786478 TUH786478 UED786478 UNZ786478 UXV786478 VHR786478 VRN786478 WBJ786478 WLF786478 WVB786478 IP852014 SL852014 ACH852014 AMD852014 AVZ852014 BFV852014 BPR852014 BZN852014 CJJ852014 CTF852014 DDB852014 DMX852014 DWT852014 EGP852014 EQL852014 FAH852014 FKD852014 FTZ852014 GDV852014 GNR852014 GXN852014 HHJ852014 HRF852014 IBB852014 IKX852014 IUT852014 JEP852014 JOL852014 JYH852014 KID852014 KRZ852014 LBV852014 LLR852014 LVN852014 MFJ852014 MPF852014 MZB852014 NIX852014 NST852014 OCP852014 OML852014 OWH852014 PGD852014 PPZ852014 PZV852014 QJR852014 QTN852014 RDJ852014 RNF852014 RXB852014 SGX852014 SQT852014 TAP852014 TKL852014 TUH852014 UED852014 UNZ852014 UXV852014 VHR852014 VRN852014 WBJ852014 WLF852014 WVB852014 IP917550 SL917550 ACH917550 AMD917550 AVZ917550 BFV917550 BPR917550 BZN917550 CJJ917550 CTF917550 DDB917550 DMX917550 DWT917550 EGP917550 EQL917550 FAH917550 FKD917550 FTZ917550 GDV917550 GNR917550 GXN917550 HHJ917550 HRF917550 IBB917550 IKX917550 IUT917550 JEP917550 JOL917550 JYH917550 KID917550 KRZ917550 LBV917550 LLR917550 LVN917550 MFJ917550 MPF917550 MZB917550 NIX917550 NST917550 OCP917550 OML917550 OWH917550 PGD917550 PPZ917550 PZV917550 QJR917550 QTN917550 RDJ917550 RNF917550 RXB917550 SGX917550 SQT917550 TAP917550 TKL917550 TUH917550 UED917550 UNZ917550 UXV917550 VHR917550 VRN917550 WBJ917550 WLF917550 WVB917550 IP983086 SL983086 ACH983086 AMD983086 AVZ983086 BFV983086 BPR983086 BZN983086 CJJ983086 CTF983086 DDB983086 DMX983086 DWT983086 EGP983086 EQL983086 FAH983086 FKD983086 FTZ983086 GDV983086 GNR983086 GXN983086 HHJ983086 HRF983086 IBB983086 IKX983086 IUT983086 JEP983086 JOL983086 JYH983086 KID983086 KRZ983086 LBV983086 LLR983086 LVN983086 MFJ983086 MPF983086 MZB983086 NIX983086 NST983086 OCP983086 OML983086 OWH983086 PGD983086 PPZ983086 PZV983086 QJR983086 QTN983086 RDJ983086 RNF983086 RXB983086 SGX983086 SQT983086 TAP983086 TKL983086 TUH983086 UED983086 UNZ983086 UXV983086 VHR983086 VRN983086 WBJ983086 WLF983086 WVB983086 IP106 SL106 ACH106 AMD106 AVZ106 BFV106 BPR106 BZN106 CJJ106 CTF106 DDB106 DMX106 DWT106 EGP106 EQL106 FAH106 FKD106 FTZ106 GDV106 GNR106 GXN106 HHJ106 HRF106 IBB106 IKX106 IUT106 JEP106 JOL106 JYH106 KID106 KRZ106 LBV106 LLR106 LVN106 MFJ106 MPF106 MZB106 NIX106 NST106 OCP106 OML106 OWH106 PGD106 PPZ106 PZV106 QJR106 QTN106 RDJ106 RNF106 RXB106 SGX106 SQT106 TAP106 TKL106 TUH106 UED106 UNZ106 UXV106 VHR106 VRN106 WBJ106 WLF106 WVB106 IP65642 SL65642 ACH65642 AMD65642 AVZ65642 BFV65642 BPR65642 BZN65642 CJJ65642 CTF65642 DDB65642 DMX65642 DWT65642 EGP65642 EQL65642 FAH65642 FKD65642 FTZ65642 GDV65642 GNR65642 GXN65642 HHJ65642 HRF65642 IBB65642 IKX65642 IUT65642 JEP65642 JOL65642 JYH65642 KID65642 KRZ65642 LBV65642 LLR65642 LVN65642 MFJ65642 MPF65642 MZB65642 NIX65642 NST65642 OCP65642 OML65642 OWH65642 PGD65642 PPZ65642 PZV65642 QJR65642 QTN65642 RDJ65642 RNF65642 RXB65642 SGX65642 SQT65642 TAP65642 TKL65642 TUH65642 UED65642 UNZ65642 UXV65642 VHR65642 VRN65642 WBJ65642 WLF65642 WVB65642 IP131178 SL131178 ACH131178 AMD131178 AVZ131178 BFV131178 BPR131178 BZN131178 CJJ131178 CTF131178 DDB131178 DMX131178 DWT131178 EGP131178 EQL131178 FAH131178 FKD131178 FTZ131178 GDV131178 GNR131178 GXN131178 HHJ131178 HRF131178 IBB131178 IKX131178 IUT131178 JEP131178 JOL131178 JYH131178 KID131178 KRZ131178 LBV131178 LLR131178 LVN131178 MFJ131178 MPF131178 MZB131178 NIX131178 NST131178 OCP131178 OML131178 OWH131178 PGD131178 PPZ131178 PZV131178 QJR131178 QTN131178 RDJ131178 RNF131178 RXB131178 SGX131178 SQT131178 TAP131178 TKL131178 TUH131178 UED131178 UNZ131178 UXV131178 VHR131178 VRN131178 WBJ131178 WLF131178 WVB131178 IP196714 SL196714 ACH196714 AMD196714 AVZ196714 BFV196714 BPR196714 BZN196714 CJJ196714 CTF196714 DDB196714 DMX196714 DWT196714 EGP196714 EQL196714 FAH196714 FKD196714 FTZ196714 GDV196714 GNR196714 GXN196714 HHJ196714 HRF196714 IBB196714 IKX196714 IUT196714 JEP196714 JOL196714 JYH196714 KID196714 KRZ196714 LBV196714 LLR196714 LVN196714 MFJ196714 MPF196714 MZB196714 NIX196714 NST196714 OCP196714 OML196714 OWH196714 PGD196714 PPZ196714 PZV196714 QJR196714 QTN196714 RDJ196714 RNF196714 RXB196714 SGX196714 SQT196714 TAP196714 TKL196714 TUH196714 UED196714 UNZ196714 UXV196714 VHR196714 VRN196714 WBJ196714 WLF196714 WVB196714 IP262250 SL262250 ACH262250 AMD262250 AVZ262250 BFV262250 BPR262250 BZN262250 CJJ262250 CTF262250 DDB262250 DMX262250 DWT262250 EGP262250 EQL262250 FAH262250 FKD262250 FTZ262250 GDV262250 GNR262250 GXN262250 HHJ262250 HRF262250 IBB262250 IKX262250 IUT262250 JEP262250 JOL262250 JYH262250 KID262250 KRZ262250 LBV262250 LLR262250 LVN262250 MFJ262250 MPF262250 MZB262250 NIX262250 NST262250 OCP262250 OML262250 OWH262250 PGD262250 PPZ262250 PZV262250 QJR262250 QTN262250 RDJ262250 RNF262250 RXB262250 SGX262250 SQT262250 TAP262250 TKL262250 TUH262250 UED262250 UNZ262250 UXV262250 VHR262250 VRN262250 WBJ262250 WLF262250 WVB262250 IP327786 SL327786 ACH327786 AMD327786 AVZ327786 BFV327786 BPR327786 BZN327786 CJJ327786 CTF327786 DDB327786 DMX327786 DWT327786 EGP327786 EQL327786 FAH327786 FKD327786 FTZ327786 GDV327786 GNR327786 GXN327786 HHJ327786 HRF327786 IBB327786 IKX327786 IUT327786 JEP327786 JOL327786 JYH327786 KID327786 KRZ327786 LBV327786 LLR327786 LVN327786 MFJ327786 MPF327786 MZB327786 NIX327786 NST327786 OCP327786 OML327786 OWH327786 PGD327786 PPZ327786 PZV327786 QJR327786 QTN327786 RDJ327786 RNF327786 RXB327786 SGX327786 SQT327786 TAP327786 TKL327786 TUH327786 UED327786 UNZ327786 UXV327786 VHR327786 VRN327786 WBJ327786 WLF327786 WVB327786 IP393322 SL393322 ACH393322 AMD393322 AVZ393322 BFV393322 BPR393322 BZN393322 CJJ393322 CTF393322 DDB393322 DMX393322 DWT393322 EGP393322 EQL393322 FAH393322 FKD393322 FTZ393322 GDV393322 GNR393322 GXN393322 HHJ393322 HRF393322 IBB393322 IKX393322 IUT393322 JEP393322 JOL393322 JYH393322 KID393322 KRZ393322 LBV393322 LLR393322 LVN393322 MFJ393322 MPF393322 MZB393322 NIX393322 NST393322 OCP393322 OML393322 OWH393322 PGD393322 PPZ393322 PZV393322 QJR393322 QTN393322 RDJ393322 RNF393322 RXB393322 SGX393322 SQT393322 TAP393322 TKL393322 TUH393322 UED393322 UNZ393322 UXV393322 VHR393322 VRN393322 WBJ393322 WLF393322 WVB393322 IP458858 SL458858 ACH458858 AMD458858 AVZ458858 BFV458858 BPR458858 BZN458858 CJJ458858 CTF458858 DDB458858 DMX458858 DWT458858 EGP458858 EQL458858 FAH458858 FKD458858 FTZ458858 GDV458858 GNR458858 GXN458858 HHJ458858 HRF458858 IBB458858 IKX458858 IUT458858 JEP458858 JOL458858 JYH458858 KID458858 KRZ458858 LBV458858 LLR458858 LVN458858 MFJ458858 MPF458858 MZB458858 NIX458858 NST458858 OCP458858 OML458858 OWH458858 PGD458858 PPZ458858 PZV458858 QJR458858 QTN458858 RDJ458858 RNF458858 RXB458858 SGX458858 SQT458858 TAP458858 TKL458858 TUH458858 UED458858 UNZ458858 UXV458858 VHR458858 VRN458858 WBJ458858 WLF458858 WVB458858 IP524394 SL524394 ACH524394 AMD524394 AVZ524394 BFV524394 BPR524394 BZN524394 CJJ524394 CTF524394 DDB524394 DMX524394 DWT524394 EGP524394 EQL524394 FAH524394 FKD524394 FTZ524394 GDV524394 GNR524394 GXN524394 HHJ524394 HRF524394 IBB524394 IKX524394 IUT524394 JEP524394 JOL524394 JYH524394 KID524394 KRZ524394 LBV524394 LLR524394 LVN524394 MFJ524394 MPF524394 MZB524394 NIX524394 NST524394 OCP524394 OML524394 OWH524394 PGD524394 PPZ524394 PZV524394 QJR524394 QTN524394 RDJ524394 RNF524394 RXB524394 SGX524394 SQT524394 TAP524394 TKL524394 TUH524394 UED524394 UNZ524394 UXV524394 VHR524394 VRN524394 WBJ524394 WLF524394 WVB524394 IP589930 SL589930 ACH589930 AMD589930 AVZ589930 BFV589930 BPR589930 BZN589930 CJJ589930 CTF589930 DDB589930 DMX589930 DWT589930 EGP589930 EQL589930 FAH589930 FKD589930 FTZ589930 GDV589930 GNR589930 GXN589930 HHJ589930 HRF589930 IBB589930 IKX589930 IUT589930 JEP589930 JOL589930 JYH589930 KID589930 KRZ589930 LBV589930 LLR589930 LVN589930 MFJ589930 MPF589930 MZB589930 NIX589930 NST589930 OCP589930 OML589930 OWH589930 PGD589930 PPZ589930 PZV589930 QJR589930 QTN589930 RDJ589930 RNF589930 RXB589930 SGX589930 SQT589930 TAP589930 TKL589930 TUH589930 UED589930 UNZ589930 UXV589930 VHR589930 VRN589930 WBJ589930 WLF589930 WVB589930 IP655466 SL655466 ACH655466 AMD655466 AVZ655466 BFV655466 BPR655466 BZN655466 CJJ655466 CTF655466 DDB655466 DMX655466 DWT655466 EGP655466 EQL655466 FAH655466 FKD655466 FTZ655466 GDV655466 GNR655466 GXN655466 HHJ655466 HRF655466 IBB655466 IKX655466 IUT655466 JEP655466 JOL655466 JYH655466 KID655466 KRZ655466 LBV655466 LLR655466 LVN655466 MFJ655466 MPF655466 MZB655466 NIX655466 NST655466 OCP655466 OML655466 OWH655466 PGD655466 PPZ655466 PZV655466 QJR655466 QTN655466 RDJ655466 RNF655466 RXB655466 SGX655466 SQT655466 TAP655466 TKL655466 TUH655466 UED655466 UNZ655466 UXV655466 VHR655466 VRN655466 WBJ655466 WLF655466 WVB655466 IP721002 SL721002 ACH721002 AMD721002 AVZ721002 BFV721002 BPR721002 BZN721002 CJJ721002 CTF721002 DDB721002 DMX721002 DWT721002 EGP721002 EQL721002 FAH721002 FKD721002 FTZ721002 GDV721002 GNR721002 GXN721002 HHJ721002 HRF721002 IBB721002 IKX721002 IUT721002 JEP721002 JOL721002 JYH721002 KID721002 KRZ721002 LBV721002 LLR721002 LVN721002 MFJ721002 MPF721002 MZB721002 NIX721002 NST721002 OCP721002 OML721002 OWH721002 PGD721002 PPZ721002 PZV721002 QJR721002 QTN721002 RDJ721002 RNF721002 RXB721002 SGX721002 SQT721002 TAP721002 TKL721002 TUH721002 UED721002 UNZ721002 UXV721002 VHR721002 VRN721002 WBJ721002 WLF721002 WVB721002 IP786538 SL786538 ACH786538 AMD786538 AVZ786538 BFV786538 BPR786538 BZN786538 CJJ786538 CTF786538 DDB786538 DMX786538 DWT786538 EGP786538 EQL786538 FAH786538 FKD786538 FTZ786538 GDV786538 GNR786538 GXN786538 HHJ786538 HRF786538 IBB786538 IKX786538 IUT786538 JEP786538 JOL786538 JYH786538 KID786538 KRZ786538 LBV786538 LLR786538 LVN786538 MFJ786538 MPF786538 MZB786538 NIX786538 NST786538 OCP786538 OML786538 OWH786538 PGD786538 PPZ786538 PZV786538 QJR786538 QTN786538 RDJ786538 RNF786538 RXB786538 SGX786538 SQT786538 TAP786538 TKL786538 TUH786538 UED786538 UNZ786538 UXV786538 VHR786538 VRN786538 WBJ786538 WLF786538 WVB786538 IP852074 SL852074 ACH852074 AMD852074 AVZ852074 BFV852074 BPR852074 BZN852074 CJJ852074 CTF852074 DDB852074 DMX852074 DWT852074 EGP852074 EQL852074 FAH852074 FKD852074 FTZ852074 GDV852074 GNR852074 GXN852074 HHJ852074 HRF852074 IBB852074 IKX852074 IUT852074 JEP852074 JOL852074 JYH852074 KID852074 KRZ852074 LBV852074 LLR852074 LVN852074 MFJ852074 MPF852074 MZB852074 NIX852074 NST852074 OCP852074 OML852074 OWH852074 PGD852074 PPZ852074 PZV852074 QJR852074 QTN852074 RDJ852074 RNF852074 RXB852074 SGX852074 SQT852074 TAP852074 TKL852074 TUH852074 UED852074 UNZ852074 UXV852074 VHR852074 VRN852074 WBJ852074 WLF852074 WVB852074 IP917610 SL917610 ACH917610 AMD917610 AVZ917610 BFV917610 BPR917610 BZN917610 CJJ917610 CTF917610 DDB917610 DMX917610 DWT917610 EGP917610 EQL917610 FAH917610 FKD917610 FTZ917610 GDV917610 GNR917610 GXN917610 HHJ917610 HRF917610 IBB917610 IKX917610 IUT917610 JEP917610 JOL917610 JYH917610 KID917610 KRZ917610 LBV917610 LLR917610 LVN917610 MFJ917610 MPF917610 MZB917610 NIX917610 NST917610 OCP917610 OML917610 OWH917610 PGD917610 PPZ917610 PZV917610 QJR917610 QTN917610 RDJ917610 RNF917610 RXB917610 SGX917610 SQT917610 TAP917610 TKL917610 TUH917610 UED917610 UNZ917610 UXV917610 VHR917610 VRN917610 WBJ917610 WLF917610 WVB917610 IP983146 SL983146 ACH983146 AMD983146 AVZ983146 BFV983146 BPR983146 BZN983146 CJJ983146 CTF983146 DDB983146 DMX983146 DWT983146 EGP983146 EQL983146 FAH983146 FKD983146 FTZ983146 GDV983146 GNR983146 GXN983146 HHJ983146 HRF983146 IBB983146 IKX983146 IUT983146 JEP983146 JOL983146 JYH983146 KID983146 KRZ983146 LBV983146 LLR983146 LVN983146 MFJ983146 MPF983146 MZB983146 NIX983146 NST983146 OCP983146 OML983146 OWH983146 PGD983146 PPZ983146 PZV983146 QJR983146 QTN983146 RDJ983146 RNF983146 RXB983146 SGX983146 SQT983146 TAP983146 TKL983146 TUH983146 UED983146 UNZ983146 UXV983146 VHR983146 VRN983146 WBJ983146 WLF983146 WVB983146 IP116 SL116 ACH116 AMD116 AVZ116 BFV116 BPR116 BZN116 CJJ116 CTF116 DDB116 DMX116 DWT116 EGP116 EQL116 FAH116 FKD116 FTZ116 GDV116 GNR116 GXN116 HHJ116 HRF116 IBB116 IKX116 IUT116 JEP116 JOL116 JYH116 KID116 KRZ116 LBV116 LLR116 LVN116 MFJ116 MPF116 MZB116 NIX116 NST116 OCP116 OML116 OWH116 PGD116 PPZ116 PZV116 QJR116 QTN116 RDJ116 RNF116 RXB116 SGX116 SQT116 TAP116 TKL116 TUH116 UED116 UNZ116 UXV116 VHR116 VRN116 WBJ116 WLF116 WVB116 IP65652 SL65652 ACH65652 AMD65652 AVZ65652 BFV65652 BPR65652 BZN65652 CJJ65652 CTF65652 DDB65652 DMX65652 DWT65652 EGP65652 EQL65652 FAH65652 FKD65652 FTZ65652 GDV65652 GNR65652 GXN65652 HHJ65652 HRF65652 IBB65652 IKX65652 IUT65652 JEP65652 JOL65652 JYH65652 KID65652 KRZ65652 LBV65652 LLR65652 LVN65652 MFJ65652 MPF65652 MZB65652 NIX65652 NST65652 OCP65652 OML65652 OWH65652 PGD65652 PPZ65652 PZV65652 QJR65652 QTN65652 RDJ65652 RNF65652 RXB65652 SGX65652 SQT65652 TAP65652 TKL65652 TUH65652 UED65652 UNZ65652 UXV65652 VHR65652 VRN65652 WBJ65652 WLF65652 WVB65652 IP131188 SL131188 ACH131188 AMD131188 AVZ131188 BFV131188 BPR131188 BZN131188 CJJ131188 CTF131188 DDB131188 DMX131188 DWT131188 EGP131188 EQL131188 FAH131188 FKD131188 FTZ131188 GDV131188 GNR131188 GXN131188 HHJ131188 HRF131188 IBB131188 IKX131188 IUT131188 JEP131188 JOL131188 JYH131188 KID131188 KRZ131188 LBV131188 LLR131188 LVN131188 MFJ131188 MPF131188 MZB131188 NIX131188 NST131188 OCP131188 OML131188 OWH131188 PGD131188 PPZ131188 PZV131188 QJR131188 QTN131188 RDJ131188 RNF131188 RXB131188 SGX131188 SQT131188 TAP131188 TKL131188 TUH131188 UED131188 UNZ131188 UXV131188 VHR131188 VRN131188 WBJ131188 WLF131188 WVB131188 IP196724 SL196724 ACH196724 AMD196724 AVZ196724 BFV196724 BPR196724 BZN196724 CJJ196724 CTF196724 DDB196724 DMX196724 DWT196724 EGP196724 EQL196724 FAH196724 FKD196724 FTZ196724 GDV196724 GNR196724 GXN196724 HHJ196724 HRF196724 IBB196724 IKX196724 IUT196724 JEP196724 JOL196724 JYH196724 KID196724 KRZ196724 LBV196724 LLR196724 LVN196724 MFJ196724 MPF196724 MZB196724 NIX196724 NST196724 OCP196724 OML196724 OWH196724 PGD196724 PPZ196724 PZV196724 QJR196724 QTN196724 RDJ196724 RNF196724 RXB196724 SGX196724 SQT196724 TAP196724 TKL196724 TUH196724 UED196724 UNZ196724 UXV196724 VHR196724 VRN196724 WBJ196724 WLF196724 WVB196724 IP262260 SL262260 ACH262260 AMD262260 AVZ262260 BFV262260 BPR262260 BZN262260 CJJ262260 CTF262260 DDB262260 DMX262260 DWT262260 EGP262260 EQL262260 FAH262260 FKD262260 FTZ262260 GDV262260 GNR262260 GXN262260 HHJ262260 HRF262260 IBB262260 IKX262260 IUT262260 JEP262260 JOL262260 JYH262260 KID262260 KRZ262260 LBV262260 LLR262260 LVN262260 MFJ262260 MPF262260 MZB262260 NIX262260 NST262260 OCP262260 OML262260 OWH262260 PGD262260 PPZ262260 PZV262260 QJR262260 QTN262260 RDJ262260 RNF262260 RXB262260 SGX262260 SQT262260 TAP262260 TKL262260 TUH262260 UED262260 UNZ262260 UXV262260 VHR262260 VRN262260 WBJ262260 WLF262260 WVB262260 IP327796 SL327796 ACH327796 AMD327796 AVZ327796 BFV327796 BPR327796 BZN327796 CJJ327796 CTF327796 DDB327796 DMX327796 DWT327796 EGP327796 EQL327796 FAH327796 FKD327796 FTZ327796 GDV327796 GNR327796 GXN327796 HHJ327796 HRF327796 IBB327796 IKX327796 IUT327796 JEP327796 JOL327796 JYH327796 KID327796 KRZ327796 LBV327796 LLR327796 LVN327796 MFJ327796 MPF327796 MZB327796 NIX327796 NST327796 OCP327796 OML327796 OWH327796 PGD327796 PPZ327796 PZV327796 QJR327796 QTN327796 RDJ327796 RNF327796 RXB327796 SGX327796 SQT327796 TAP327796 TKL327796 TUH327796 UED327796 UNZ327796 UXV327796 VHR327796 VRN327796 WBJ327796 WLF327796 WVB327796 IP393332 SL393332 ACH393332 AMD393332 AVZ393332 BFV393332 BPR393332 BZN393332 CJJ393332 CTF393332 DDB393332 DMX393332 DWT393332 EGP393332 EQL393332 FAH393332 FKD393332 FTZ393332 GDV393332 GNR393332 GXN393332 HHJ393332 HRF393332 IBB393332 IKX393332 IUT393332 JEP393332 JOL393332 JYH393332 KID393332 KRZ393332 LBV393332 LLR393332 LVN393332 MFJ393332 MPF393332 MZB393332 NIX393332 NST393332 OCP393332 OML393332 OWH393332 PGD393332 PPZ393332 PZV393332 QJR393332 QTN393332 RDJ393332 RNF393332 RXB393332 SGX393332 SQT393332 TAP393332 TKL393332 TUH393332 UED393332 UNZ393332 UXV393332 VHR393332 VRN393332 WBJ393332 WLF393332 WVB393332 IP458868 SL458868 ACH458868 AMD458868 AVZ458868 BFV458868 BPR458868 BZN458868 CJJ458868 CTF458868 DDB458868 DMX458868 DWT458868 EGP458868 EQL458868 FAH458868 FKD458868 FTZ458868 GDV458868 GNR458868 GXN458868 HHJ458868 HRF458868 IBB458868 IKX458868 IUT458868 JEP458868 JOL458868 JYH458868 KID458868 KRZ458868 LBV458868 LLR458868 LVN458868 MFJ458868 MPF458868 MZB458868 NIX458868 NST458868 OCP458868 OML458868 OWH458868 PGD458868 PPZ458868 PZV458868 QJR458868 QTN458868 RDJ458868 RNF458868 RXB458868 SGX458868 SQT458868 TAP458868 TKL458868 TUH458868 UED458868 UNZ458868 UXV458868 VHR458868 VRN458868 WBJ458868 WLF458868 WVB458868 IP524404 SL524404 ACH524404 AMD524404 AVZ524404 BFV524404 BPR524404 BZN524404 CJJ524404 CTF524404 DDB524404 DMX524404 DWT524404 EGP524404 EQL524404 FAH524404 FKD524404 FTZ524404 GDV524404 GNR524404 GXN524404 HHJ524404 HRF524404 IBB524404 IKX524404 IUT524404 JEP524404 JOL524404 JYH524404 KID524404 KRZ524404 LBV524404 LLR524404 LVN524404 MFJ524404 MPF524404 MZB524404 NIX524404 NST524404 OCP524404 OML524404 OWH524404 PGD524404 PPZ524404 PZV524404 QJR524404 QTN524404 RDJ524404 RNF524404 RXB524404 SGX524404 SQT524404 TAP524404 TKL524404 TUH524404 UED524404 UNZ524404 UXV524404 VHR524404 VRN524404 WBJ524404 WLF524404 WVB524404 IP589940 SL589940 ACH589940 AMD589940 AVZ589940 BFV589940 BPR589940 BZN589940 CJJ589940 CTF589940 DDB589940 DMX589940 DWT589940 EGP589940 EQL589940 FAH589940 FKD589940 FTZ589940 GDV589940 GNR589940 GXN589940 HHJ589940 HRF589940 IBB589940 IKX589940 IUT589940 JEP589940 JOL589940 JYH589940 KID589940 KRZ589940 LBV589940 LLR589940 LVN589940 MFJ589940 MPF589940 MZB589940 NIX589940 NST589940 OCP589940 OML589940 OWH589940 PGD589940 PPZ589940 PZV589940 QJR589940 QTN589940 RDJ589940 RNF589940 RXB589940 SGX589940 SQT589940 TAP589940 TKL589940 TUH589940 UED589940 UNZ589940 UXV589940 VHR589940 VRN589940 WBJ589940 WLF589940 WVB589940 IP655476 SL655476 ACH655476 AMD655476 AVZ655476 BFV655476 BPR655476 BZN655476 CJJ655476 CTF655476 DDB655476 DMX655476 DWT655476 EGP655476 EQL655476 FAH655476 FKD655476 FTZ655476 GDV655476 GNR655476 GXN655476 HHJ655476 HRF655476 IBB655476 IKX655476 IUT655476 JEP655476 JOL655476 JYH655476 KID655476 KRZ655476 LBV655476 LLR655476 LVN655476 MFJ655476 MPF655476 MZB655476 NIX655476 NST655476 OCP655476 OML655476 OWH655476 PGD655476 PPZ655476 PZV655476 QJR655476 QTN655476 RDJ655476 RNF655476 RXB655476 SGX655476 SQT655476 TAP655476 TKL655476 TUH655476 UED655476 UNZ655476 UXV655476 VHR655476 VRN655476 WBJ655476 WLF655476 WVB655476 IP721012 SL721012 ACH721012 AMD721012 AVZ721012 BFV721012 BPR721012 BZN721012 CJJ721012 CTF721012 DDB721012 DMX721012 DWT721012 EGP721012 EQL721012 FAH721012 FKD721012 FTZ721012 GDV721012 GNR721012 GXN721012 HHJ721012 HRF721012 IBB721012 IKX721012 IUT721012 JEP721012 JOL721012 JYH721012 KID721012 KRZ721012 LBV721012 LLR721012 LVN721012 MFJ721012 MPF721012 MZB721012 NIX721012 NST721012 OCP721012 OML721012 OWH721012 PGD721012 PPZ721012 PZV721012 QJR721012 QTN721012 RDJ721012 RNF721012 RXB721012 SGX721012 SQT721012 TAP721012 TKL721012 TUH721012 UED721012 UNZ721012 UXV721012 VHR721012 VRN721012 WBJ721012 WLF721012 WVB721012 IP786548 SL786548 ACH786548 AMD786548 AVZ786548 BFV786548 BPR786548 BZN786548 CJJ786548 CTF786548 DDB786548 DMX786548 DWT786548 EGP786548 EQL786548 FAH786548 FKD786548 FTZ786548 GDV786548 GNR786548 GXN786548 HHJ786548 HRF786548 IBB786548 IKX786548 IUT786548 JEP786548 JOL786548 JYH786548 KID786548 KRZ786548 LBV786548 LLR786548 LVN786548 MFJ786548 MPF786548 MZB786548 NIX786548 NST786548 OCP786548 OML786548 OWH786548 PGD786548 PPZ786548 PZV786548 QJR786548 QTN786548 RDJ786548 RNF786548 RXB786548 SGX786548 SQT786548 TAP786548 TKL786548 TUH786548 UED786548 UNZ786548 UXV786548 VHR786548 VRN786548 WBJ786548 WLF786548 WVB786548 IP852084 SL852084 ACH852084 AMD852084 AVZ852084 BFV852084 BPR852084 BZN852084 CJJ852084 CTF852084 DDB852084 DMX852084 DWT852084 EGP852084 EQL852084 FAH852084 FKD852084 FTZ852084 GDV852084 GNR852084 GXN852084 HHJ852084 HRF852084 IBB852084 IKX852084 IUT852084 JEP852084 JOL852084 JYH852084 KID852084 KRZ852084 LBV852084 LLR852084 LVN852084 MFJ852084 MPF852084 MZB852084 NIX852084 NST852084 OCP852084 OML852084 OWH852084 PGD852084 PPZ852084 PZV852084 QJR852084 QTN852084 RDJ852084 RNF852084 RXB852084 SGX852084 SQT852084 TAP852084 TKL852084 TUH852084 UED852084 UNZ852084 UXV852084 VHR852084 VRN852084 WBJ852084 WLF852084 WVB852084 IP917620 SL917620 ACH917620 AMD917620 AVZ917620 BFV917620 BPR917620 BZN917620 CJJ917620 CTF917620 DDB917620 DMX917620 DWT917620 EGP917620 EQL917620 FAH917620 FKD917620 FTZ917620 GDV917620 GNR917620 GXN917620 HHJ917620 HRF917620 IBB917620 IKX917620 IUT917620 JEP917620 JOL917620 JYH917620 KID917620 KRZ917620 LBV917620 LLR917620 LVN917620 MFJ917620 MPF917620 MZB917620 NIX917620 NST917620 OCP917620 OML917620 OWH917620 PGD917620 PPZ917620 PZV917620 QJR917620 QTN917620 RDJ917620 RNF917620 RXB917620 SGX917620 SQT917620 TAP917620 TKL917620 TUH917620 UED917620 UNZ917620 UXV917620 VHR917620 VRN917620 WBJ917620 WLF917620 WVB917620 IP983156 SL983156 ACH983156 AMD983156 AVZ983156 BFV983156 BPR983156 BZN983156 CJJ983156 CTF983156 DDB983156 DMX983156 DWT983156 EGP983156 EQL983156 FAH983156 FKD983156 FTZ983156 GDV983156 GNR983156 GXN983156 HHJ983156 HRF983156 IBB983156 IKX983156 IUT983156 JEP983156 JOL983156 JYH983156 KID983156 KRZ983156 LBV983156 LLR983156 LVN983156 MFJ983156 MPF983156 MZB983156 NIX983156 NST983156 OCP983156 OML983156 OWH983156 PGD983156 PPZ983156 PZV983156 QJR983156 QTN983156 RDJ983156 RNF983156 RXB983156 SGX983156 SQT983156 TAP983156 TKL983156 TUH983156 UED983156 UNZ983156 UXV983156 VHR983156 VRN983156 WBJ983156 WLF983156 WVB983156 IP126 SL126 ACH126 AMD126 AVZ126 BFV126 BPR126 BZN126 CJJ126 CTF126 DDB126 DMX126 DWT126 EGP126 EQL126 FAH126 FKD126 FTZ126 GDV126 GNR126 GXN126 HHJ126 HRF126 IBB126 IKX126 IUT126 JEP126 JOL126 JYH126 KID126 KRZ126 LBV126 LLR126 LVN126 MFJ126 MPF126 MZB126 NIX126 NST126 OCP126 OML126 OWH126 PGD126 PPZ126 PZV126 QJR126 QTN126 RDJ126 RNF126 RXB126 SGX126 SQT126 TAP126 TKL126 TUH126 UED126 UNZ126 UXV126 VHR126 VRN126 WBJ126 WLF126 WVB126 IP65662 SL65662 ACH65662 AMD65662 AVZ65662 BFV65662 BPR65662 BZN65662 CJJ65662 CTF65662 DDB65662 DMX65662 DWT65662 EGP65662 EQL65662 FAH65662 FKD65662 FTZ65662 GDV65662 GNR65662 GXN65662 HHJ65662 HRF65662 IBB65662 IKX65662 IUT65662 JEP65662 JOL65662 JYH65662 KID65662 KRZ65662 LBV65662 LLR65662 LVN65662 MFJ65662 MPF65662 MZB65662 NIX65662 NST65662 OCP65662 OML65662 OWH65662 PGD65662 PPZ65662 PZV65662 QJR65662 QTN65662 RDJ65662 RNF65662 RXB65662 SGX65662 SQT65662 TAP65662 TKL65662 TUH65662 UED65662 UNZ65662 UXV65662 VHR65662 VRN65662 WBJ65662 WLF65662 WVB65662 IP131198 SL131198 ACH131198 AMD131198 AVZ131198 BFV131198 BPR131198 BZN131198 CJJ131198 CTF131198 DDB131198 DMX131198 DWT131198 EGP131198 EQL131198 FAH131198 FKD131198 FTZ131198 GDV131198 GNR131198 GXN131198 HHJ131198 HRF131198 IBB131198 IKX131198 IUT131198 JEP131198 JOL131198 JYH131198 KID131198 KRZ131198 LBV131198 LLR131198 LVN131198 MFJ131198 MPF131198 MZB131198 NIX131198 NST131198 OCP131198 OML131198 OWH131198 PGD131198 PPZ131198 PZV131198 QJR131198 QTN131198 RDJ131198 RNF131198 RXB131198 SGX131198 SQT131198 TAP131198 TKL131198 TUH131198 UED131198 UNZ131198 UXV131198 VHR131198 VRN131198 WBJ131198 WLF131198 WVB131198 IP196734 SL196734 ACH196734 AMD196734 AVZ196734 BFV196734 BPR196734 BZN196734 CJJ196734 CTF196734 DDB196734 DMX196734 DWT196734 EGP196734 EQL196734 FAH196734 FKD196734 FTZ196734 GDV196734 GNR196734 GXN196734 HHJ196734 HRF196734 IBB196734 IKX196734 IUT196734 JEP196734 JOL196734 JYH196734 KID196734 KRZ196734 LBV196734 LLR196734 LVN196734 MFJ196734 MPF196734 MZB196734 NIX196734 NST196734 OCP196734 OML196734 OWH196734 PGD196734 PPZ196734 PZV196734 QJR196734 QTN196734 RDJ196734 RNF196734 RXB196734 SGX196734 SQT196734 TAP196734 TKL196734 TUH196734 UED196734 UNZ196734 UXV196734 VHR196734 VRN196734 WBJ196734 WLF196734 WVB196734 IP262270 SL262270 ACH262270 AMD262270 AVZ262270 BFV262270 BPR262270 BZN262270 CJJ262270 CTF262270 DDB262270 DMX262270 DWT262270 EGP262270 EQL262270 FAH262270 FKD262270 FTZ262270 GDV262270 GNR262270 GXN262270 HHJ262270 HRF262270 IBB262270 IKX262270 IUT262270 JEP262270 JOL262270 JYH262270 KID262270 KRZ262270 LBV262270 LLR262270 LVN262270 MFJ262270 MPF262270 MZB262270 NIX262270 NST262270 OCP262270 OML262270 OWH262270 PGD262270 PPZ262270 PZV262270 QJR262270 QTN262270 RDJ262270 RNF262270 RXB262270 SGX262270 SQT262270 TAP262270 TKL262270 TUH262270 UED262270 UNZ262270 UXV262270 VHR262270 VRN262270 WBJ262270 WLF262270 WVB262270 IP327806 SL327806 ACH327806 AMD327806 AVZ327806 BFV327806 BPR327806 BZN327806 CJJ327806 CTF327806 DDB327806 DMX327806 DWT327806 EGP327806 EQL327806 FAH327806 FKD327806 FTZ327806 GDV327806 GNR327806 GXN327806 HHJ327806 HRF327806 IBB327806 IKX327806 IUT327806 JEP327806 JOL327806 JYH327806 KID327806 KRZ327806 LBV327806 LLR327806 LVN327806 MFJ327806 MPF327806 MZB327806 NIX327806 NST327806 OCP327806 OML327806 OWH327806 PGD327806 PPZ327806 PZV327806 QJR327806 QTN327806 RDJ327806 RNF327806 RXB327806 SGX327806 SQT327806 TAP327806 TKL327806 TUH327806 UED327806 UNZ327806 UXV327806 VHR327806 VRN327806 WBJ327806 WLF327806 WVB327806 IP393342 SL393342 ACH393342 AMD393342 AVZ393342 BFV393342 BPR393342 BZN393342 CJJ393342 CTF393342 DDB393342 DMX393342 DWT393342 EGP393342 EQL393342 FAH393342 FKD393342 FTZ393342 GDV393342 GNR393342 GXN393342 HHJ393342 HRF393342 IBB393342 IKX393342 IUT393342 JEP393342 JOL393342 JYH393342 KID393342 KRZ393342 LBV393342 LLR393342 LVN393342 MFJ393342 MPF393342 MZB393342 NIX393342 NST393342 OCP393342 OML393342 OWH393342 PGD393342 PPZ393342 PZV393342 QJR393342 QTN393342 RDJ393342 RNF393342 RXB393342 SGX393342 SQT393342 TAP393342 TKL393342 TUH393342 UED393342 UNZ393342 UXV393342 VHR393342 VRN393342 WBJ393342 WLF393342 WVB393342 IP458878 SL458878 ACH458878 AMD458878 AVZ458878 BFV458878 BPR458878 BZN458878 CJJ458878 CTF458878 DDB458878 DMX458878 DWT458878 EGP458878 EQL458878 FAH458878 FKD458878 FTZ458878 GDV458878 GNR458878 GXN458878 HHJ458878 HRF458878 IBB458878 IKX458878 IUT458878 JEP458878 JOL458878 JYH458878 KID458878 KRZ458878 LBV458878 LLR458878 LVN458878 MFJ458878 MPF458878 MZB458878 NIX458878 NST458878 OCP458878 OML458878 OWH458878 PGD458878 PPZ458878 PZV458878 QJR458878 QTN458878 RDJ458878 RNF458878 RXB458878 SGX458878 SQT458878 TAP458878 TKL458878 TUH458878 UED458878 UNZ458878 UXV458878 VHR458878 VRN458878 WBJ458878 WLF458878 WVB458878 IP524414 SL524414 ACH524414 AMD524414 AVZ524414 BFV524414 BPR524414 BZN524414 CJJ524414 CTF524414 DDB524414 DMX524414 DWT524414 EGP524414 EQL524414 FAH524414 FKD524414 FTZ524414 GDV524414 GNR524414 GXN524414 HHJ524414 HRF524414 IBB524414 IKX524414 IUT524414 JEP524414 JOL524414 JYH524414 KID524414 KRZ524414 LBV524414 LLR524414 LVN524414 MFJ524414 MPF524414 MZB524414 NIX524414 NST524414 OCP524414 OML524414 OWH524414 PGD524414 PPZ524414 PZV524414 QJR524414 QTN524414 RDJ524414 RNF524414 RXB524414 SGX524414 SQT524414 TAP524414 TKL524414 TUH524414 UED524414 UNZ524414 UXV524414 VHR524414 VRN524414 WBJ524414 WLF524414 WVB524414 IP589950 SL589950 ACH589950 AMD589950 AVZ589950 BFV589950 BPR589950 BZN589950 CJJ589950 CTF589950 DDB589950 DMX589950 DWT589950 EGP589950 EQL589950 FAH589950 FKD589950 FTZ589950 GDV589950 GNR589950 GXN589950 HHJ589950 HRF589950 IBB589950 IKX589950 IUT589950 JEP589950 JOL589950 JYH589950 KID589950 KRZ589950 LBV589950 LLR589950 LVN589950 MFJ589950 MPF589950 MZB589950 NIX589950 NST589950 OCP589950 OML589950 OWH589950 PGD589950 PPZ589950 PZV589950 QJR589950 QTN589950 RDJ589950 RNF589950 RXB589950 SGX589950 SQT589950 TAP589950 TKL589950 TUH589950 UED589950 UNZ589950 UXV589950 VHR589950 VRN589950 WBJ589950 WLF589950 WVB589950 IP655486 SL655486 ACH655486 AMD655486 AVZ655486 BFV655486 BPR655486 BZN655486 CJJ655486 CTF655486 DDB655486 DMX655486 DWT655486 EGP655486 EQL655486 FAH655486 FKD655486 FTZ655486 GDV655486 GNR655486 GXN655486 HHJ655486 HRF655486 IBB655486 IKX655486 IUT655486 JEP655486 JOL655486 JYH655486 KID655486 KRZ655486 LBV655486 LLR655486 LVN655486 MFJ655486 MPF655486 MZB655486 NIX655486 NST655486 OCP655486 OML655486 OWH655486 PGD655486 PPZ655486 PZV655486 QJR655486 QTN655486 RDJ655486 RNF655486 RXB655486 SGX655486 SQT655486 TAP655486 TKL655486 TUH655486 UED655486 UNZ655486 UXV655486 VHR655486 VRN655486 WBJ655486 WLF655486 WVB655486 IP721022 SL721022 ACH721022 AMD721022 AVZ721022 BFV721022 BPR721022 BZN721022 CJJ721022 CTF721022 DDB721022 DMX721022 DWT721022 EGP721022 EQL721022 FAH721022 FKD721022 FTZ721022 GDV721022 GNR721022 GXN721022 HHJ721022 HRF721022 IBB721022 IKX721022 IUT721022 JEP721022 JOL721022 JYH721022 KID721022 KRZ721022 LBV721022 LLR721022 LVN721022 MFJ721022 MPF721022 MZB721022 NIX721022 NST721022 OCP721022 OML721022 OWH721022 PGD721022 PPZ721022 PZV721022 QJR721022 QTN721022 RDJ721022 RNF721022 RXB721022 SGX721022 SQT721022 TAP721022 TKL721022 TUH721022 UED721022 UNZ721022 UXV721022 VHR721022 VRN721022 WBJ721022 WLF721022 WVB721022 IP786558 SL786558 ACH786558 AMD786558 AVZ786558 BFV786558 BPR786558 BZN786558 CJJ786558 CTF786558 DDB786558 DMX786558 DWT786558 EGP786558 EQL786558 FAH786558 FKD786558 FTZ786558 GDV786558 GNR786558 GXN786558 HHJ786558 HRF786558 IBB786558 IKX786558 IUT786558 JEP786558 JOL786558 JYH786558 KID786558 KRZ786558 LBV786558 LLR786558 LVN786558 MFJ786558 MPF786558 MZB786558 NIX786558 NST786558 OCP786558 OML786558 OWH786558 PGD786558 PPZ786558 PZV786558 QJR786558 QTN786558 RDJ786558 RNF786558 RXB786558 SGX786558 SQT786558 TAP786558 TKL786558 TUH786558 UED786558 UNZ786558 UXV786558 VHR786558 VRN786558 WBJ786558 WLF786558 WVB786558 IP852094 SL852094 ACH852094 AMD852094 AVZ852094 BFV852094 BPR852094 BZN852094 CJJ852094 CTF852094 DDB852094 DMX852094 DWT852094 EGP852094 EQL852094 FAH852094 FKD852094 FTZ852094 GDV852094 GNR852094 GXN852094 HHJ852094 HRF852094 IBB852094 IKX852094 IUT852094 JEP852094 JOL852094 JYH852094 KID852094 KRZ852094 LBV852094 LLR852094 LVN852094 MFJ852094 MPF852094 MZB852094 NIX852094 NST852094 OCP852094 OML852094 OWH852094 PGD852094 PPZ852094 PZV852094 QJR852094 QTN852094 RDJ852094 RNF852094 RXB852094 SGX852094 SQT852094 TAP852094 TKL852094 TUH852094 UED852094 UNZ852094 UXV852094 VHR852094 VRN852094 WBJ852094 WLF852094 WVB852094 IP917630 SL917630 ACH917630 AMD917630 AVZ917630 BFV917630 BPR917630 BZN917630 CJJ917630 CTF917630 DDB917630 DMX917630 DWT917630 EGP917630 EQL917630 FAH917630 FKD917630 FTZ917630 GDV917630 GNR917630 GXN917630 HHJ917630 HRF917630 IBB917630 IKX917630 IUT917630 JEP917630 JOL917630 JYH917630 KID917630 KRZ917630 LBV917630 LLR917630 LVN917630 MFJ917630 MPF917630 MZB917630 NIX917630 NST917630 OCP917630 OML917630 OWH917630 PGD917630 PPZ917630 PZV917630 QJR917630 QTN917630 RDJ917630 RNF917630 RXB917630 SGX917630 SQT917630 TAP917630 TKL917630 TUH917630 UED917630 UNZ917630 UXV917630 VHR917630 VRN917630 WBJ917630 WLF917630 WVB917630 IP983166 SL983166 ACH983166 AMD983166 AVZ983166 BFV983166 BPR983166 BZN983166 CJJ983166 CTF983166 DDB983166 DMX983166 DWT983166 EGP983166 EQL983166 FAH983166 FKD983166 FTZ983166 GDV983166 GNR983166 GXN983166 HHJ983166 HRF983166 IBB983166 IKX983166 IUT983166 JEP983166 JOL983166 JYH983166 KID983166 KRZ983166 LBV983166 LLR983166 LVN983166 MFJ983166 MPF983166 MZB983166 NIX983166 NST983166 OCP983166 OML983166 OWH983166 PGD983166 PPZ983166 PZV983166 QJR983166 QTN983166 RDJ983166 RNF983166 RXB983166 SGX983166 SQT983166 TAP983166 TKL983166 TUH983166 UED983166 UNZ983166 UXV983166 VHR983166 VRN983166 WBJ983166 WLF983166 WVB983166 IP136 SL136 ACH136 AMD136 AVZ136 BFV136 BPR136 BZN136 CJJ136 CTF136 DDB136 DMX136 DWT136 EGP136 EQL136 FAH136 FKD136 FTZ136 GDV136 GNR136 GXN136 HHJ136 HRF136 IBB136 IKX136 IUT136 JEP136 JOL136 JYH136 KID136 KRZ136 LBV136 LLR136 LVN136 MFJ136 MPF136 MZB136 NIX136 NST136 OCP136 OML136 OWH136 PGD136 PPZ136 PZV136 QJR136 QTN136 RDJ136 RNF136 RXB136 SGX136 SQT136 TAP136 TKL136 TUH136 UED136 UNZ136 UXV136 VHR136 VRN136 WBJ136 WLF136 WVB136 IP65672 SL65672 ACH65672 AMD65672 AVZ65672 BFV65672 BPR65672 BZN65672 CJJ65672 CTF65672 DDB65672 DMX65672 DWT65672 EGP65672 EQL65672 FAH65672 FKD65672 FTZ65672 GDV65672 GNR65672 GXN65672 HHJ65672 HRF65672 IBB65672 IKX65672 IUT65672 JEP65672 JOL65672 JYH65672 KID65672 KRZ65672 LBV65672 LLR65672 LVN65672 MFJ65672 MPF65672 MZB65672 NIX65672 NST65672 OCP65672 OML65672 OWH65672 PGD65672 PPZ65672 PZV65672 QJR65672 QTN65672 RDJ65672 RNF65672 RXB65672 SGX65672 SQT65672 TAP65672 TKL65672 TUH65672 UED65672 UNZ65672 UXV65672 VHR65672 VRN65672 WBJ65672 WLF65672 WVB65672 IP131208 SL131208 ACH131208 AMD131208 AVZ131208 BFV131208 BPR131208 BZN131208 CJJ131208 CTF131208 DDB131208 DMX131208 DWT131208 EGP131208 EQL131208 FAH131208 FKD131208 FTZ131208 GDV131208 GNR131208 GXN131208 HHJ131208 HRF131208 IBB131208 IKX131208 IUT131208 JEP131208 JOL131208 JYH131208 KID131208 KRZ131208 LBV131208 LLR131208 LVN131208 MFJ131208 MPF131208 MZB131208 NIX131208 NST131208 OCP131208 OML131208 OWH131208 PGD131208 PPZ131208 PZV131208 QJR131208 QTN131208 RDJ131208 RNF131208 RXB131208 SGX131208 SQT131208 TAP131208 TKL131208 TUH131208 UED131208 UNZ131208 UXV131208 VHR131208 VRN131208 WBJ131208 WLF131208 WVB131208 IP196744 SL196744 ACH196744 AMD196744 AVZ196744 BFV196744 BPR196744 BZN196744 CJJ196744 CTF196744 DDB196744 DMX196744 DWT196744 EGP196744 EQL196744 FAH196744 FKD196744 FTZ196744 GDV196744 GNR196744 GXN196744 HHJ196744 HRF196744 IBB196744 IKX196744 IUT196744 JEP196744 JOL196744 JYH196744 KID196744 KRZ196744 LBV196744 LLR196744 LVN196744 MFJ196744 MPF196744 MZB196744 NIX196744 NST196744 OCP196744 OML196744 OWH196744 PGD196744 PPZ196744 PZV196744 QJR196744 QTN196744 RDJ196744 RNF196744 RXB196744 SGX196744 SQT196744 TAP196744 TKL196744 TUH196744 UED196744 UNZ196744 UXV196744 VHR196744 VRN196744 WBJ196744 WLF196744 WVB196744 IP262280 SL262280 ACH262280 AMD262280 AVZ262280 BFV262280 BPR262280 BZN262280 CJJ262280 CTF262280 DDB262280 DMX262280 DWT262280 EGP262280 EQL262280 FAH262280 FKD262280 FTZ262280 GDV262280 GNR262280 GXN262280 HHJ262280 HRF262280 IBB262280 IKX262280 IUT262280 JEP262280 JOL262280 JYH262280 KID262280 KRZ262280 LBV262280 LLR262280 LVN262280 MFJ262280 MPF262280 MZB262280 NIX262280 NST262280 OCP262280 OML262280 OWH262280 PGD262280 PPZ262280 PZV262280 QJR262280 QTN262280 RDJ262280 RNF262280 RXB262280 SGX262280 SQT262280 TAP262280 TKL262280 TUH262280 UED262280 UNZ262280 UXV262280 VHR262280 VRN262280 WBJ262280 WLF262280 WVB262280 IP327816 SL327816 ACH327816 AMD327816 AVZ327816 BFV327816 BPR327816 BZN327816 CJJ327816 CTF327816 DDB327816 DMX327816 DWT327816 EGP327816 EQL327816 FAH327816 FKD327816 FTZ327816 GDV327816 GNR327816 GXN327816 HHJ327816 HRF327816 IBB327816 IKX327816 IUT327816 JEP327816 JOL327816 JYH327816 KID327816 KRZ327816 LBV327816 LLR327816 LVN327816 MFJ327816 MPF327816 MZB327816 NIX327816 NST327816 OCP327816 OML327816 OWH327816 PGD327816 PPZ327816 PZV327816 QJR327816 QTN327816 RDJ327816 RNF327816 RXB327816 SGX327816 SQT327816 TAP327816 TKL327816 TUH327816 UED327816 UNZ327816 UXV327816 VHR327816 VRN327816 WBJ327816 WLF327816 WVB327816 IP393352 SL393352 ACH393352 AMD393352 AVZ393352 BFV393352 BPR393352 BZN393352 CJJ393352 CTF393352 DDB393352 DMX393352 DWT393352 EGP393352 EQL393352 FAH393352 FKD393352 FTZ393352 GDV393352 GNR393352 GXN393352 HHJ393352 HRF393352 IBB393352 IKX393352 IUT393352 JEP393352 JOL393352 JYH393352 KID393352 KRZ393352 LBV393352 LLR393352 LVN393352 MFJ393352 MPF393352 MZB393352 NIX393352 NST393352 OCP393352 OML393352 OWH393352 PGD393352 PPZ393352 PZV393352 QJR393352 QTN393352 RDJ393352 RNF393352 RXB393352 SGX393352 SQT393352 TAP393352 TKL393352 TUH393352 UED393352 UNZ393352 UXV393352 VHR393352 VRN393352 WBJ393352 WLF393352 WVB393352 IP458888 SL458888 ACH458888 AMD458888 AVZ458888 BFV458888 BPR458888 BZN458888 CJJ458888 CTF458888 DDB458888 DMX458888 DWT458888 EGP458888 EQL458888 FAH458888 FKD458888 FTZ458888 GDV458888 GNR458888 GXN458888 HHJ458888 HRF458888 IBB458888 IKX458888 IUT458888 JEP458888 JOL458888 JYH458888 KID458888 KRZ458888 LBV458888 LLR458888 LVN458888 MFJ458888 MPF458888 MZB458888 NIX458888 NST458888 OCP458888 OML458888 OWH458888 PGD458888 PPZ458888 PZV458888 QJR458888 QTN458888 RDJ458888 RNF458888 RXB458888 SGX458888 SQT458888 TAP458888 TKL458888 TUH458888 UED458888 UNZ458888 UXV458888 VHR458888 VRN458888 WBJ458888 WLF458888 WVB458888 IP524424 SL524424 ACH524424 AMD524424 AVZ524424 BFV524424 BPR524424 BZN524424 CJJ524424 CTF524424 DDB524424 DMX524424 DWT524424 EGP524424 EQL524424 FAH524424 FKD524424 FTZ524424 GDV524424 GNR524424 GXN524424 HHJ524424 HRF524424 IBB524424 IKX524424 IUT524424 JEP524424 JOL524424 JYH524424 KID524424 KRZ524424 LBV524424 LLR524424 LVN524424 MFJ524424 MPF524424 MZB524424 NIX524424 NST524424 OCP524424 OML524424 OWH524424 PGD524424 PPZ524424 PZV524424 QJR524424 QTN524424 RDJ524424 RNF524424 RXB524424 SGX524424 SQT524424 TAP524424 TKL524424 TUH524424 UED524424 UNZ524424 UXV524424 VHR524424 VRN524424 WBJ524424 WLF524424 WVB524424 IP589960 SL589960 ACH589960 AMD589960 AVZ589960 BFV589960 BPR589960 BZN589960 CJJ589960 CTF589960 DDB589960 DMX589960 DWT589960 EGP589960 EQL589960 FAH589960 FKD589960 FTZ589960 GDV589960 GNR589960 GXN589960 HHJ589960 HRF589960 IBB589960 IKX589960 IUT589960 JEP589960 JOL589960 JYH589960 KID589960 KRZ589960 LBV589960 LLR589960 LVN589960 MFJ589960 MPF589960 MZB589960 NIX589960 NST589960 OCP589960 OML589960 OWH589960 PGD589960 PPZ589960 PZV589960 QJR589960 QTN589960 RDJ589960 RNF589960 RXB589960 SGX589960 SQT589960 TAP589960 TKL589960 TUH589960 UED589960 UNZ589960 UXV589960 VHR589960 VRN589960 WBJ589960 WLF589960 WVB589960 IP655496 SL655496 ACH655496 AMD655496 AVZ655496 BFV655496 BPR655496 BZN655496 CJJ655496 CTF655496 DDB655496 DMX655496 DWT655496 EGP655496 EQL655496 FAH655496 FKD655496 FTZ655496 GDV655496 GNR655496 GXN655496 HHJ655496 HRF655496 IBB655496 IKX655496 IUT655496 JEP655496 JOL655496 JYH655496 KID655496 KRZ655496 LBV655496 LLR655496 LVN655496 MFJ655496 MPF655496 MZB655496 NIX655496 NST655496 OCP655496 OML655496 OWH655496 PGD655496 PPZ655496 PZV655496 QJR655496 QTN655496 RDJ655496 RNF655496 RXB655496 SGX655496 SQT655496 TAP655496 TKL655496 TUH655496 UED655496 UNZ655496 UXV655496 VHR655496 VRN655496 WBJ655496 WLF655496 WVB655496 IP721032 SL721032 ACH721032 AMD721032 AVZ721032 BFV721032 BPR721032 BZN721032 CJJ721032 CTF721032 DDB721032 DMX721032 DWT721032 EGP721032 EQL721032 FAH721032 FKD721032 FTZ721032 GDV721032 GNR721032 GXN721032 HHJ721032 HRF721032 IBB721032 IKX721032 IUT721032 JEP721032 JOL721032 JYH721032 KID721032 KRZ721032 LBV721032 LLR721032 LVN721032 MFJ721032 MPF721032 MZB721032 NIX721032 NST721032 OCP721032 OML721032 OWH721032 PGD721032 PPZ721032 PZV721032 QJR721032 QTN721032 RDJ721032 RNF721032 RXB721032 SGX721032 SQT721032 TAP721032 TKL721032 TUH721032 UED721032 UNZ721032 UXV721032 VHR721032 VRN721032 WBJ721032 WLF721032 WVB721032 IP786568 SL786568 ACH786568 AMD786568 AVZ786568 BFV786568 BPR786568 BZN786568 CJJ786568 CTF786568 DDB786568 DMX786568 DWT786568 EGP786568 EQL786568 FAH786568 FKD786568 FTZ786568 GDV786568 GNR786568 GXN786568 HHJ786568 HRF786568 IBB786568 IKX786568 IUT786568 JEP786568 JOL786568 JYH786568 KID786568 KRZ786568 LBV786568 LLR786568 LVN786568 MFJ786568 MPF786568 MZB786568 NIX786568 NST786568 OCP786568 OML786568 OWH786568 PGD786568 PPZ786568 PZV786568 QJR786568 QTN786568 RDJ786568 RNF786568 RXB786568 SGX786568 SQT786568 TAP786568 TKL786568 TUH786568 UED786568 UNZ786568 UXV786568 VHR786568 VRN786568 WBJ786568 WLF786568 WVB786568 IP852104 SL852104 ACH852104 AMD852104 AVZ852104 BFV852104 BPR852104 BZN852104 CJJ852104 CTF852104 DDB852104 DMX852104 DWT852104 EGP852104 EQL852104 FAH852104 FKD852104 FTZ852104 GDV852104 GNR852104 GXN852104 HHJ852104 HRF852104 IBB852104 IKX852104 IUT852104 JEP852104 JOL852104 JYH852104 KID852104 KRZ852104 LBV852104 LLR852104 LVN852104 MFJ852104 MPF852104 MZB852104 NIX852104 NST852104 OCP852104 OML852104 OWH852104 PGD852104 PPZ852104 PZV852104 QJR852104 QTN852104 RDJ852104 RNF852104 RXB852104 SGX852104 SQT852104 TAP852104 TKL852104 TUH852104 UED852104 UNZ852104 UXV852104 VHR852104 VRN852104 WBJ852104 WLF852104 WVB852104 IP917640 SL917640 ACH917640 AMD917640 AVZ917640 BFV917640 BPR917640 BZN917640 CJJ917640 CTF917640 DDB917640 DMX917640 DWT917640 EGP917640 EQL917640 FAH917640 FKD917640 FTZ917640 GDV917640 GNR917640 GXN917640 HHJ917640 HRF917640 IBB917640 IKX917640 IUT917640 JEP917640 JOL917640 JYH917640 KID917640 KRZ917640 LBV917640 LLR917640 LVN917640 MFJ917640 MPF917640 MZB917640 NIX917640 NST917640 OCP917640 OML917640 OWH917640 PGD917640 PPZ917640 PZV917640 QJR917640 QTN917640 RDJ917640 RNF917640 RXB917640 SGX917640 SQT917640 TAP917640 TKL917640 TUH917640 UED917640 UNZ917640 UXV917640 VHR917640 VRN917640 WBJ917640 WLF917640 WVB917640 IP983176 SL983176 ACH983176 AMD983176 AVZ983176 BFV983176 BPR983176 BZN983176 CJJ983176 CTF983176 DDB983176 DMX983176 DWT983176 EGP983176 EQL983176 FAH983176 FKD983176 FTZ983176 GDV983176 GNR983176 GXN983176 HHJ983176 HRF983176 IBB983176 IKX983176 IUT983176 JEP983176 JOL983176 JYH983176 KID983176 KRZ983176 LBV983176 LLR983176 LVN983176 MFJ983176 MPF983176 MZB983176 NIX983176 NST983176 OCP983176 OML983176 OWH983176 PGD983176 PPZ983176 PZV983176 QJR983176 QTN983176 RDJ983176 RNF983176 RXB983176 SGX983176 SQT983176 TAP983176 TKL983176 TUH983176 UED983176 UNZ983176 UXV983176 VHR983176 VRN983176 WBJ983176 WLF983176 WVB983176 IP146 SL146 ACH146 AMD146 AVZ146 BFV146 BPR146 BZN146 CJJ146 CTF146 DDB146 DMX146 DWT146 EGP146 EQL146 FAH146 FKD146 FTZ146 GDV146 GNR146 GXN146 HHJ146 HRF146 IBB146 IKX146 IUT146 JEP146 JOL146 JYH146 KID146 KRZ146 LBV146 LLR146 LVN146 MFJ146 MPF146 MZB146 NIX146 NST146 OCP146 OML146 OWH146 PGD146 PPZ146 PZV146 QJR146 QTN146 RDJ146 RNF146 RXB146 SGX146 SQT146 TAP146 TKL146 TUH146 UED146 UNZ146 UXV146 VHR146 VRN146 WBJ146 WLF146 WVB146 IP65682 SL65682 ACH65682 AMD65682 AVZ65682 BFV65682 BPR65682 BZN65682 CJJ65682 CTF65682 DDB65682 DMX65682 DWT65682 EGP65682 EQL65682 FAH65682 FKD65682 FTZ65682 GDV65682 GNR65682 GXN65682 HHJ65682 HRF65682 IBB65682 IKX65682 IUT65682 JEP65682 JOL65682 JYH65682 KID65682 KRZ65682 LBV65682 LLR65682 LVN65682 MFJ65682 MPF65682 MZB65682 NIX65682 NST65682 OCP65682 OML65682 OWH65682 PGD65682 PPZ65682 PZV65682 QJR65682 QTN65682 RDJ65682 RNF65682 RXB65682 SGX65682 SQT65682 TAP65682 TKL65682 TUH65682 UED65682 UNZ65682 UXV65682 VHR65682 VRN65682 WBJ65682 WLF65682 WVB65682 IP131218 SL131218 ACH131218 AMD131218 AVZ131218 BFV131218 BPR131218 BZN131218 CJJ131218 CTF131218 DDB131218 DMX131218 DWT131218 EGP131218 EQL131218 FAH131218 FKD131218 FTZ131218 GDV131218 GNR131218 GXN131218 HHJ131218 HRF131218 IBB131218 IKX131218 IUT131218 JEP131218 JOL131218 JYH131218 KID131218 KRZ131218 LBV131218 LLR131218 LVN131218 MFJ131218 MPF131218 MZB131218 NIX131218 NST131218 OCP131218 OML131218 OWH131218 PGD131218 PPZ131218 PZV131218 QJR131218 QTN131218 RDJ131218 RNF131218 RXB131218 SGX131218 SQT131218 TAP131218 TKL131218 TUH131218 UED131218 UNZ131218 UXV131218 VHR131218 VRN131218 WBJ131218 WLF131218 WVB131218 IP196754 SL196754 ACH196754 AMD196754 AVZ196754 BFV196754 BPR196754 BZN196754 CJJ196754 CTF196754 DDB196754 DMX196754 DWT196754 EGP196754 EQL196754 FAH196754 FKD196754 FTZ196754 GDV196754 GNR196754 GXN196754 HHJ196754 HRF196754 IBB196754 IKX196754 IUT196754 JEP196754 JOL196754 JYH196754 KID196754 KRZ196754 LBV196754 LLR196754 LVN196754 MFJ196754 MPF196754 MZB196754 NIX196754 NST196754 OCP196754 OML196754 OWH196754 PGD196754 PPZ196754 PZV196754 QJR196754 QTN196754 RDJ196754 RNF196754 RXB196754 SGX196754 SQT196754 TAP196754 TKL196754 TUH196754 UED196754 UNZ196754 UXV196754 VHR196754 VRN196754 WBJ196754 WLF196754 WVB196754 IP262290 SL262290 ACH262290 AMD262290 AVZ262290 BFV262290 BPR262290 BZN262290 CJJ262290 CTF262290 DDB262290 DMX262290 DWT262290 EGP262290 EQL262290 FAH262290 FKD262290 FTZ262290 GDV262290 GNR262290 GXN262290 HHJ262290 HRF262290 IBB262290 IKX262290 IUT262290 JEP262290 JOL262290 JYH262290 KID262290 KRZ262290 LBV262290 LLR262290 LVN262290 MFJ262290 MPF262290 MZB262290 NIX262290 NST262290 OCP262290 OML262290 OWH262290 PGD262290 PPZ262290 PZV262290 QJR262290 QTN262290 RDJ262290 RNF262290 RXB262290 SGX262290 SQT262290 TAP262290 TKL262290 TUH262290 UED262290 UNZ262290 UXV262290 VHR262290 VRN262290 WBJ262290 WLF262290 WVB262290 IP327826 SL327826 ACH327826 AMD327826 AVZ327826 BFV327826 BPR327826 BZN327826 CJJ327826 CTF327826 DDB327826 DMX327826 DWT327826 EGP327826 EQL327826 FAH327826 FKD327826 FTZ327826 GDV327826 GNR327826 GXN327826 HHJ327826 HRF327826 IBB327826 IKX327826 IUT327826 JEP327826 JOL327826 JYH327826 KID327826 KRZ327826 LBV327826 LLR327826 LVN327826 MFJ327826 MPF327826 MZB327826 NIX327826 NST327826 OCP327826 OML327826 OWH327826 PGD327826 PPZ327826 PZV327826 QJR327826 QTN327826 RDJ327826 RNF327826 RXB327826 SGX327826 SQT327826 TAP327826 TKL327826 TUH327826 UED327826 UNZ327826 UXV327826 VHR327826 VRN327826 WBJ327826 WLF327826 WVB327826 IP393362 SL393362 ACH393362 AMD393362 AVZ393362 BFV393362 BPR393362 BZN393362 CJJ393362 CTF393362 DDB393362 DMX393362 DWT393362 EGP393362 EQL393362 FAH393362 FKD393362 FTZ393362 GDV393362 GNR393362 GXN393362 HHJ393362 HRF393362 IBB393362 IKX393362 IUT393362 JEP393362 JOL393362 JYH393362 KID393362 KRZ393362 LBV393362 LLR393362 LVN393362 MFJ393362 MPF393362 MZB393362 NIX393362 NST393362 OCP393362 OML393362 OWH393362 PGD393362 PPZ393362 PZV393362 QJR393362 QTN393362 RDJ393362 RNF393362 RXB393362 SGX393362 SQT393362 TAP393362 TKL393362 TUH393362 UED393362 UNZ393362 UXV393362 VHR393362 VRN393362 WBJ393362 WLF393362 WVB393362 IP458898 SL458898 ACH458898 AMD458898 AVZ458898 BFV458898 BPR458898 BZN458898 CJJ458898 CTF458898 DDB458898 DMX458898 DWT458898 EGP458898 EQL458898 FAH458898 FKD458898 FTZ458898 GDV458898 GNR458898 GXN458898 HHJ458898 HRF458898 IBB458898 IKX458898 IUT458898 JEP458898 JOL458898 JYH458898 KID458898 KRZ458898 LBV458898 LLR458898 LVN458898 MFJ458898 MPF458898 MZB458898 NIX458898 NST458898 OCP458898 OML458898 OWH458898 PGD458898 PPZ458898 PZV458898 QJR458898 QTN458898 RDJ458898 RNF458898 RXB458898 SGX458898 SQT458898 TAP458898 TKL458898 TUH458898 UED458898 UNZ458898 UXV458898 VHR458898 VRN458898 WBJ458898 WLF458898 WVB458898 IP524434 SL524434 ACH524434 AMD524434 AVZ524434 BFV524434 BPR524434 BZN524434 CJJ524434 CTF524434 DDB524434 DMX524434 DWT524434 EGP524434 EQL524434 FAH524434 FKD524434 FTZ524434 GDV524434 GNR524434 GXN524434 HHJ524434 HRF524434 IBB524434 IKX524434 IUT524434 JEP524434 JOL524434 JYH524434 KID524434 KRZ524434 LBV524434 LLR524434 LVN524434 MFJ524434 MPF524434 MZB524434 NIX524434 NST524434 OCP524434 OML524434 OWH524434 PGD524434 PPZ524434 PZV524434 QJR524434 QTN524434 RDJ524434 RNF524434 RXB524434 SGX524434 SQT524434 TAP524434 TKL524434 TUH524434 UED524434 UNZ524434 UXV524434 VHR524434 VRN524434 WBJ524434 WLF524434 WVB524434 IP589970 SL589970 ACH589970 AMD589970 AVZ589970 BFV589970 BPR589970 BZN589970 CJJ589970 CTF589970 DDB589970 DMX589970 DWT589970 EGP589970 EQL589970 FAH589970 FKD589970 FTZ589970 GDV589970 GNR589970 GXN589970 HHJ589970 HRF589970 IBB589970 IKX589970 IUT589970 JEP589970 JOL589970 JYH589970 KID589970 KRZ589970 LBV589970 LLR589970 LVN589970 MFJ589970 MPF589970 MZB589970 NIX589970 NST589970 OCP589970 OML589970 OWH589970 PGD589970 PPZ589970 PZV589970 QJR589970 QTN589970 RDJ589970 RNF589970 RXB589970 SGX589970 SQT589970 TAP589970 TKL589970 TUH589970 UED589970 UNZ589970 UXV589970 VHR589970 VRN589970 WBJ589970 WLF589970 WVB589970 IP655506 SL655506 ACH655506 AMD655506 AVZ655506 BFV655506 BPR655506 BZN655506 CJJ655506 CTF655506 DDB655506 DMX655506 DWT655506 EGP655506 EQL655506 FAH655506 FKD655506 FTZ655506 GDV655506 GNR655506 GXN655506 HHJ655506 HRF655506 IBB655506 IKX655506 IUT655506 JEP655506 JOL655506 JYH655506 KID655506 KRZ655506 LBV655506 LLR655506 LVN655506 MFJ655506 MPF655506 MZB655506 NIX655506 NST655506 OCP655506 OML655506 OWH655506 PGD655506 PPZ655506 PZV655506 QJR655506 QTN655506 RDJ655506 RNF655506 RXB655506 SGX655506 SQT655506 TAP655506 TKL655506 TUH655506 UED655506 UNZ655506 UXV655506 VHR655506 VRN655506 WBJ655506 WLF655506 WVB655506 IP721042 SL721042 ACH721042 AMD721042 AVZ721042 BFV721042 BPR721042 BZN721042 CJJ721042 CTF721042 DDB721042 DMX721042 DWT721042 EGP721042 EQL721042 FAH721042 FKD721042 FTZ721042 GDV721042 GNR721042 GXN721042 HHJ721042 HRF721042 IBB721042 IKX721042 IUT721042 JEP721042 JOL721042 JYH721042 KID721042 KRZ721042 LBV721042 LLR721042 LVN721042 MFJ721042 MPF721042 MZB721042 NIX721042 NST721042 OCP721042 OML721042 OWH721042 PGD721042 PPZ721042 PZV721042 QJR721042 QTN721042 RDJ721042 RNF721042 RXB721042 SGX721042 SQT721042 TAP721042 TKL721042 TUH721042 UED721042 UNZ721042 UXV721042 VHR721042 VRN721042 WBJ721042 WLF721042 WVB721042 IP786578 SL786578 ACH786578 AMD786578 AVZ786578 BFV786578 BPR786578 BZN786578 CJJ786578 CTF786578 DDB786578 DMX786578 DWT786578 EGP786578 EQL786578 FAH786578 FKD786578 FTZ786578 GDV786578 GNR786578 GXN786578 HHJ786578 HRF786578 IBB786578 IKX786578 IUT786578 JEP786578 JOL786578 JYH786578 KID786578 KRZ786578 LBV786578 LLR786578 LVN786578 MFJ786578 MPF786578 MZB786578 NIX786578 NST786578 OCP786578 OML786578 OWH786578 PGD786578 PPZ786578 PZV786578 QJR786578 QTN786578 RDJ786578 RNF786578 RXB786578 SGX786578 SQT786578 TAP786578 TKL786578 TUH786578 UED786578 UNZ786578 UXV786578 VHR786578 VRN786578 WBJ786578 WLF786578 WVB786578 IP852114 SL852114 ACH852114 AMD852114 AVZ852114 BFV852114 BPR852114 BZN852114 CJJ852114 CTF852114 DDB852114 DMX852114 DWT852114 EGP852114 EQL852114 FAH852114 FKD852114 FTZ852114 GDV852114 GNR852114 GXN852114 HHJ852114 HRF852114 IBB852114 IKX852114 IUT852114 JEP852114 JOL852114 JYH852114 KID852114 KRZ852114 LBV852114 LLR852114 LVN852114 MFJ852114 MPF852114 MZB852114 NIX852114 NST852114 OCP852114 OML852114 OWH852114 PGD852114 PPZ852114 PZV852114 QJR852114 QTN852114 RDJ852114 RNF852114 RXB852114 SGX852114 SQT852114 TAP852114 TKL852114 TUH852114 UED852114 UNZ852114 UXV852114 VHR852114 VRN852114 WBJ852114 WLF852114 WVB852114 IP917650 SL917650 ACH917650 AMD917650 AVZ917650 BFV917650 BPR917650 BZN917650 CJJ917650 CTF917650 DDB917650 DMX917650 DWT917650 EGP917650 EQL917650 FAH917650 FKD917650 FTZ917650 GDV917650 GNR917650 GXN917650 HHJ917650 HRF917650 IBB917650 IKX917650 IUT917650 JEP917650 JOL917650 JYH917650 KID917650 KRZ917650 LBV917650 LLR917650 LVN917650 MFJ917650 MPF917650 MZB917650 NIX917650 NST917650 OCP917650 OML917650 OWH917650 PGD917650 PPZ917650 PZV917650 QJR917650 QTN917650 RDJ917650 RNF917650 RXB917650 SGX917650 SQT917650 TAP917650 TKL917650 TUH917650 UED917650 UNZ917650 UXV917650 VHR917650 VRN917650 WBJ917650 WLF917650 WVB917650 IP983186 SL983186 ACH983186 AMD983186 AVZ983186 BFV983186 BPR983186 BZN983186 CJJ983186 CTF983186 DDB983186 DMX983186 DWT983186 EGP983186 EQL983186 FAH983186 FKD983186 FTZ983186 GDV983186 GNR983186 GXN983186 HHJ983186 HRF983186 IBB983186 IKX983186 IUT983186 JEP983186 JOL983186 JYH983186 KID983186 KRZ983186 LBV983186 LLR983186 LVN983186 MFJ983186 MPF983186 MZB983186 NIX983186 NST983186 OCP983186 OML983186 OWH983186 PGD983186 PPZ983186 PZV983186 QJR983186 QTN983186 RDJ983186 RNF983186 RXB983186 SGX983186 SQT983186 TAP983186 TKL983186 TUH983186 UED983186 UNZ983186 UXV983186 VHR983186 VRN983186 WBJ983186 WLF983186 WVB983186 IP156 SL156 ACH156 AMD156 AVZ156 BFV156 BPR156 BZN156 CJJ156 CTF156 DDB156 DMX156 DWT156 EGP156 EQL156 FAH156 FKD156 FTZ156 GDV156 GNR156 GXN156 HHJ156 HRF156 IBB156 IKX156 IUT156 JEP156 JOL156 JYH156 KID156 KRZ156 LBV156 LLR156 LVN156 MFJ156 MPF156 MZB156 NIX156 NST156 OCP156 OML156 OWH156 PGD156 PPZ156 PZV156 QJR156 QTN156 RDJ156 RNF156 RXB156 SGX156 SQT156 TAP156 TKL156 TUH156 UED156 UNZ156 UXV156 VHR156 VRN156 WBJ156 WLF156 WVB156 IP65692 SL65692 ACH65692 AMD65692 AVZ65692 BFV65692 BPR65692 BZN65692 CJJ65692 CTF65692 DDB65692 DMX65692 DWT65692 EGP65692 EQL65692 FAH65692 FKD65692 FTZ65692 GDV65692 GNR65692 GXN65692 HHJ65692 HRF65692 IBB65692 IKX65692 IUT65692 JEP65692 JOL65692 JYH65692 KID65692 KRZ65692 LBV65692 LLR65692 LVN65692 MFJ65692 MPF65692 MZB65692 NIX65692 NST65692 OCP65692 OML65692 OWH65692 PGD65692 PPZ65692 PZV65692 QJR65692 QTN65692 RDJ65692 RNF65692 RXB65692 SGX65692 SQT65692 TAP65692 TKL65692 TUH65692 UED65692 UNZ65692 UXV65692 VHR65692 VRN65692 WBJ65692 WLF65692 WVB65692 IP131228 SL131228 ACH131228 AMD131228 AVZ131228 BFV131228 BPR131228 BZN131228 CJJ131228 CTF131228 DDB131228 DMX131228 DWT131228 EGP131228 EQL131228 FAH131228 FKD131228 FTZ131228 GDV131228 GNR131228 GXN131228 HHJ131228 HRF131228 IBB131228 IKX131228 IUT131228 JEP131228 JOL131228 JYH131228 KID131228 KRZ131228 LBV131228 LLR131228 LVN131228 MFJ131228 MPF131228 MZB131228 NIX131228 NST131228 OCP131228 OML131228 OWH131228 PGD131228 PPZ131228 PZV131228 QJR131228 QTN131228 RDJ131228 RNF131228 RXB131228 SGX131228 SQT131228 TAP131228 TKL131228 TUH131228 UED131228 UNZ131228 UXV131228 VHR131228 VRN131228 WBJ131228 WLF131228 WVB131228 IP196764 SL196764 ACH196764 AMD196764 AVZ196764 BFV196764 BPR196764 BZN196764 CJJ196764 CTF196764 DDB196764 DMX196764 DWT196764 EGP196764 EQL196764 FAH196764 FKD196764 FTZ196764 GDV196764 GNR196764 GXN196764 HHJ196764 HRF196764 IBB196764 IKX196764 IUT196764 JEP196764 JOL196764 JYH196764 KID196764 KRZ196764 LBV196764 LLR196764 LVN196764 MFJ196764 MPF196764 MZB196764 NIX196764 NST196764 OCP196764 OML196764 OWH196764 PGD196764 PPZ196764 PZV196764 QJR196764 QTN196764 RDJ196764 RNF196764 RXB196764 SGX196764 SQT196764 TAP196764 TKL196764 TUH196764 UED196764 UNZ196764 UXV196764 VHR196764 VRN196764 WBJ196764 WLF196764 WVB196764 IP262300 SL262300 ACH262300 AMD262300 AVZ262300 BFV262300 BPR262300 BZN262300 CJJ262300 CTF262300 DDB262300 DMX262300 DWT262300 EGP262300 EQL262300 FAH262300 FKD262300 FTZ262300 GDV262300 GNR262300 GXN262300 HHJ262300 HRF262300 IBB262300 IKX262300 IUT262300 JEP262300 JOL262300 JYH262300 KID262300 KRZ262300 LBV262300 LLR262300 LVN262300 MFJ262300 MPF262300 MZB262300 NIX262300 NST262300 OCP262300 OML262300 OWH262300 PGD262300 PPZ262300 PZV262300 QJR262300 QTN262300 RDJ262300 RNF262300 RXB262300 SGX262300 SQT262300 TAP262300 TKL262300 TUH262300 UED262300 UNZ262300 UXV262300 VHR262300 VRN262300 WBJ262300 WLF262300 WVB262300 IP327836 SL327836 ACH327836 AMD327836 AVZ327836 BFV327836 BPR327836 BZN327836 CJJ327836 CTF327836 DDB327836 DMX327836 DWT327836 EGP327836 EQL327836 FAH327836 FKD327836 FTZ327836 GDV327836 GNR327836 GXN327836 HHJ327836 HRF327836 IBB327836 IKX327836 IUT327836 JEP327836 JOL327836 JYH327836 KID327836 KRZ327836 LBV327836 LLR327836 LVN327836 MFJ327836 MPF327836 MZB327836 NIX327836 NST327836 OCP327836 OML327836 OWH327836 PGD327836 PPZ327836 PZV327836 QJR327836 QTN327836 RDJ327836 RNF327836 RXB327836 SGX327836 SQT327836 TAP327836 TKL327836 TUH327836 UED327836 UNZ327836 UXV327836 VHR327836 VRN327836 WBJ327836 WLF327836 WVB327836 IP393372 SL393372 ACH393372 AMD393372 AVZ393372 BFV393372 BPR393372 BZN393372 CJJ393372 CTF393372 DDB393372 DMX393372 DWT393372 EGP393372 EQL393372 FAH393372 FKD393372 FTZ393372 GDV393372 GNR393372 GXN393372 HHJ393372 HRF393372 IBB393372 IKX393372 IUT393372 JEP393372 JOL393372 JYH393372 KID393372 KRZ393372 LBV393372 LLR393372 LVN393372 MFJ393372 MPF393372 MZB393372 NIX393372 NST393372 OCP393372 OML393372 OWH393372 PGD393372 PPZ393372 PZV393372 QJR393372 QTN393372 RDJ393372 RNF393372 RXB393372 SGX393372 SQT393372 TAP393372 TKL393372 TUH393372 UED393372 UNZ393372 UXV393372 VHR393372 VRN393372 WBJ393372 WLF393372 WVB393372 IP458908 SL458908 ACH458908 AMD458908 AVZ458908 BFV458908 BPR458908 BZN458908 CJJ458908 CTF458908 DDB458908 DMX458908 DWT458908 EGP458908 EQL458908 FAH458908 FKD458908 FTZ458908 GDV458908 GNR458908 GXN458908 HHJ458908 HRF458908 IBB458908 IKX458908 IUT458908 JEP458908 JOL458908 JYH458908 KID458908 KRZ458908 LBV458908 LLR458908 LVN458908 MFJ458908 MPF458908 MZB458908 NIX458908 NST458908 OCP458908 OML458908 OWH458908 PGD458908 PPZ458908 PZV458908 QJR458908 QTN458908 RDJ458908 RNF458908 RXB458908 SGX458908 SQT458908 TAP458908 TKL458908 TUH458908 UED458908 UNZ458908 UXV458908 VHR458908 VRN458908 WBJ458908 WLF458908 WVB458908 IP524444 SL524444 ACH524444 AMD524444 AVZ524444 BFV524444 BPR524444 BZN524444 CJJ524444 CTF524444 DDB524444 DMX524444 DWT524444 EGP524444 EQL524444 FAH524444 FKD524444 FTZ524444 GDV524444 GNR524444 GXN524444 HHJ524444 HRF524444 IBB524444 IKX524444 IUT524444 JEP524444 JOL524444 JYH524444 KID524444 KRZ524444 LBV524444 LLR524444 LVN524444 MFJ524444 MPF524444 MZB524444 NIX524444 NST524444 OCP524444 OML524444 OWH524444 PGD524444 PPZ524444 PZV524444 QJR524444 QTN524444 RDJ524444 RNF524444 RXB524444 SGX524444 SQT524444 TAP524444 TKL524444 TUH524444 UED524444 UNZ524444 UXV524444 VHR524444 VRN524444 WBJ524444 WLF524444 WVB524444 IP589980 SL589980 ACH589980 AMD589980 AVZ589980 BFV589980 BPR589980 BZN589980 CJJ589980 CTF589980 DDB589980 DMX589980 DWT589980 EGP589980 EQL589980 FAH589980 FKD589980 FTZ589980 GDV589980 GNR589980 GXN589980 HHJ589980 HRF589980 IBB589980 IKX589980 IUT589980 JEP589980 JOL589980 JYH589980 KID589980 KRZ589980 LBV589980 LLR589980 LVN589980 MFJ589980 MPF589980 MZB589980 NIX589980 NST589980 OCP589980 OML589980 OWH589980 PGD589980 PPZ589980 PZV589980 QJR589980 QTN589980 RDJ589980 RNF589980 RXB589980 SGX589980 SQT589980 TAP589980 TKL589980 TUH589980 UED589980 UNZ589980 UXV589980 VHR589980 VRN589980 WBJ589980 WLF589980 WVB589980 IP655516 SL655516 ACH655516 AMD655516 AVZ655516 BFV655516 BPR655516 BZN655516 CJJ655516 CTF655516 DDB655516 DMX655516 DWT655516 EGP655516 EQL655516 FAH655516 FKD655516 FTZ655516 GDV655516 GNR655516 GXN655516 HHJ655516 HRF655516 IBB655516 IKX655516 IUT655516 JEP655516 JOL655516 JYH655516 KID655516 KRZ655516 LBV655516 LLR655516 LVN655516 MFJ655516 MPF655516 MZB655516 NIX655516 NST655516 OCP655516 OML655516 OWH655516 PGD655516 PPZ655516 PZV655516 QJR655516 QTN655516 RDJ655516 RNF655516 RXB655516 SGX655516 SQT655516 TAP655516 TKL655516 TUH655516 UED655516 UNZ655516 UXV655516 VHR655516 VRN655516 WBJ655516 WLF655516 WVB655516 IP721052 SL721052 ACH721052 AMD721052 AVZ721052 BFV721052 BPR721052 BZN721052 CJJ721052 CTF721052 DDB721052 DMX721052 DWT721052 EGP721052 EQL721052 FAH721052 FKD721052 FTZ721052 GDV721052 GNR721052 GXN721052 HHJ721052 HRF721052 IBB721052 IKX721052 IUT721052 JEP721052 JOL721052 JYH721052 KID721052 KRZ721052 LBV721052 LLR721052 LVN721052 MFJ721052 MPF721052 MZB721052 NIX721052 NST721052 OCP721052 OML721052 OWH721052 PGD721052 PPZ721052 PZV721052 QJR721052 QTN721052 RDJ721052 RNF721052 RXB721052 SGX721052 SQT721052 TAP721052 TKL721052 TUH721052 UED721052 UNZ721052 UXV721052 VHR721052 VRN721052 WBJ721052 WLF721052 WVB721052 IP786588 SL786588 ACH786588 AMD786588 AVZ786588 BFV786588 BPR786588 BZN786588 CJJ786588 CTF786588 DDB786588 DMX786588 DWT786588 EGP786588 EQL786588 FAH786588 FKD786588 FTZ786588 GDV786588 GNR786588 GXN786588 HHJ786588 HRF786588 IBB786588 IKX786588 IUT786588 JEP786588 JOL786588 JYH786588 KID786588 KRZ786588 LBV786588 LLR786588 LVN786588 MFJ786588 MPF786588 MZB786588 NIX786588 NST786588 OCP786588 OML786588 OWH786588 PGD786588 PPZ786588 PZV786588 QJR786588 QTN786588 RDJ786588 RNF786588 RXB786588 SGX786588 SQT786588 TAP786588 TKL786588 TUH786588 UED786588 UNZ786588 UXV786588 VHR786588 VRN786588 WBJ786588 WLF786588 WVB786588 IP852124 SL852124 ACH852124 AMD852124 AVZ852124 BFV852124 BPR852124 BZN852124 CJJ852124 CTF852124 DDB852124 DMX852124 DWT852124 EGP852124 EQL852124 FAH852124 FKD852124 FTZ852124 GDV852124 GNR852124 GXN852124 HHJ852124 HRF852124 IBB852124 IKX852124 IUT852124 JEP852124 JOL852124 JYH852124 KID852124 KRZ852124 LBV852124 LLR852124 LVN852124 MFJ852124 MPF852124 MZB852124 NIX852124 NST852124 OCP852124 OML852124 OWH852124 PGD852124 PPZ852124 PZV852124 QJR852124 QTN852124 RDJ852124 RNF852124 RXB852124 SGX852124 SQT852124 TAP852124 TKL852124 TUH852124 UED852124 UNZ852124 UXV852124 VHR852124 VRN852124 WBJ852124 WLF852124 WVB852124 IP917660 SL917660 ACH917660 AMD917660 AVZ917660 BFV917660 BPR917660 BZN917660 CJJ917660 CTF917660 DDB917660 DMX917660 DWT917660 EGP917660 EQL917660 FAH917660 FKD917660 FTZ917660 GDV917660 GNR917660 GXN917660 HHJ917660 HRF917660 IBB917660 IKX917660 IUT917660 JEP917660 JOL917660 JYH917660 KID917660 KRZ917660 LBV917660 LLR917660 LVN917660 MFJ917660 MPF917660 MZB917660 NIX917660 NST917660 OCP917660 OML917660 OWH917660 PGD917660 PPZ917660 PZV917660 QJR917660 QTN917660 RDJ917660 RNF917660 RXB917660 SGX917660 SQT917660 TAP917660 TKL917660 TUH917660 UED917660 UNZ917660 UXV917660 VHR917660 VRN917660 WBJ917660 WLF917660 WVB917660 IP983196 SL983196 ACH983196 AMD983196 AVZ983196 BFV983196 BPR983196 BZN983196 CJJ983196 CTF983196 DDB983196 DMX983196 DWT983196 EGP983196 EQL983196 FAH983196 FKD983196 FTZ983196 GDV983196 GNR983196 GXN983196 HHJ983196 HRF983196 IBB983196 IKX983196 IUT983196 JEP983196 JOL983196 JYH983196 KID983196 KRZ983196 LBV983196 LLR983196 LVN983196 MFJ983196 MPF983196 MZB983196 NIX983196 NST983196 OCP983196 OML983196 OWH983196 PGD983196 PPZ983196 PZV983196 QJR983196 QTN983196 RDJ983196 RNF983196 RXB983196 SGX983196 SQT983196 TAP983196 TKL983196 TUH983196 UED983196 UNZ983196 UXV983196 VHR983196 VRN983196 WBJ983196 WLF983196 WVB983196 IP166 SL166 ACH166 AMD166 AVZ166 BFV166 BPR166 BZN166 CJJ166 CTF166 DDB166 DMX166 DWT166 EGP166 EQL166 FAH166 FKD166 FTZ166 GDV166 GNR166 GXN166 HHJ166 HRF166 IBB166 IKX166 IUT166 JEP166 JOL166 JYH166 KID166 KRZ166 LBV166 LLR166 LVN166 MFJ166 MPF166 MZB166 NIX166 NST166 OCP166 OML166 OWH166 PGD166 PPZ166 PZV166 QJR166 QTN166 RDJ166 RNF166 RXB166 SGX166 SQT166 TAP166 TKL166 TUH166 UED166 UNZ166 UXV166 VHR166 VRN166 WBJ166 WLF166 WVB166 IP65702 SL65702 ACH65702 AMD65702 AVZ65702 BFV65702 BPR65702 BZN65702 CJJ65702 CTF65702 DDB65702 DMX65702 DWT65702 EGP65702 EQL65702 FAH65702 FKD65702 FTZ65702 GDV65702 GNR65702 GXN65702 HHJ65702 HRF65702 IBB65702 IKX65702 IUT65702 JEP65702 JOL65702 JYH65702 KID65702 KRZ65702 LBV65702 LLR65702 LVN65702 MFJ65702 MPF65702 MZB65702 NIX65702 NST65702 OCP65702 OML65702 OWH65702 PGD65702 PPZ65702 PZV65702 QJR65702 QTN65702 RDJ65702 RNF65702 RXB65702 SGX65702 SQT65702 TAP65702 TKL65702 TUH65702 UED65702 UNZ65702 UXV65702 VHR65702 VRN65702 WBJ65702 WLF65702 WVB65702 IP131238 SL131238 ACH131238 AMD131238 AVZ131238 BFV131238 BPR131238 BZN131238 CJJ131238 CTF131238 DDB131238 DMX131238 DWT131238 EGP131238 EQL131238 FAH131238 FKD131238 FTZ131238 GDV131238 GNR131238 GXN131238 HHJ131238 HRF131238 IBB131238 IKX131238 IUT131238 JEP131238 JOL131238 JYH131238 KID131238 KRZ131238 LBV131238 LLR131238 LVN131238 MFJ131238 MPF131238 MZB131238 NIX131238 NST131238 OCP131238 OML131238 OWH131238 PGD131238 PPZ131238 PZV131238 QJR131238 QTN131238 RDJ131238 RNF131238 RXB131238 SGX131238 SQT131238 TAP131238 TKL131238 TUH131238 UED131238 UNZ131238 UXV131238 VHR131238 VRN131238 WBJ131238 WLF131238 WVB131238 IP196774 SL196774 ACH196774 AMD196774 AVZ196774 BFV196774 BPR196774 BZN196774 CJJ196774 CTF196774 DDB196774 DMX196774 DWT196774 EGP196774 EQL196774 FAH196774 FKD196774 FTZ196774 GDV196774 GNR196774 GXN196774 HHJ196774 HRF196774 IBB196774 IKX196774 IUT196774 JEP196774 JOL196774 JYH196774 KID196774 KRZ196774 LBV196774 LLR196774 LVN196774 MFJ196774 MPF196774 MZB196774 NIX196774 NST196774 OCP196774 OML196774 OWH196774 PGD196774 PPZ196774 PZV196774 QJR196774 QTN196774 RDJ196774 RNF196774 RXB196774 SGX196774 SQT196774 TAP196774 TKL196774 TUH196774 UED196774 UNZ196774 UXV196774 VHR196774 VRN196774 WBJ196774 WLF196774 WVB196774 IP262310 SL262310 ACH262310 AMD262310 AVZ262310 BFV262310 BPR262310 BZN262310 CJJ262310 CTF262310 DDB262310 DMX262310 DWT262310 EGP262310 EQL262310 FAH262310 FKD262310 FTZ262310 GDV262310 GNR262310 GXN262310 HHJ262310 HRF262310 IBB262310 IKX262310 IUT262310 JEP262310 JOL262310 JYH262310 KID262310 KRZ262310 LBV262310 LLR262310 LVN262310 MFJ262310 MPF262310 MZB262310 NIX262310 NST262310 OCP262310 OML262310 OWH262310 PGD262310 PPZ262310 PZV262310 QJR262310 QTN262310 RDJ262310 RNF262310 RXB262310 SGX262310 SQT262310 TAP262310 TKL262310 TUH262310 UED262310 UNZ262310 UXV262310 VHR262310 VRN262310 WBJ262310 WLF262310 WVB262310 IP327846 SL327846 ACH327846 AMD327846 AVZ327846 BFV327846 BPR327846 BZN327846 CJJ327846 CTF327846 DDB327846 DMX327846 DWT327846 EGP327846 EQL327846 FAH327846 FKD327846 FTZ327846 GDV327846 GNR327846 GXN327846 HHJ327846 HRF327846 IBB327846 IKX327846 IUT327846 JEP327846 JOL327846 JYH327846 KID327846 KRZ327846 LBV327846 LLR327846 LVN327846 MFJ327846 MPF327846 MZB327846 NIX327846 NST327846 OCP327846 OML327846 OWH327846 PGD327846 PPZ327846 PZV327846 QJR327846 QTN327846 RDJ327846 RNF327846 RXB327846 SGX327846 SQT327846 TAP327846 TKL327846 TUH327846 UED327846 UNZ327846 UXV327846 VHR327846 VRN327846 WBJ327846 WLF327846 WVB327846 IP393382 SL393382 ACH393382 AMD393382 AVZ393382 BFV393382 BPR393382 BZN393382 CJJ393382 CTF393382 DDB393382 DMX393382 DWT393382 EGP393382 EQL393382 FAH393382 FKD393382 FTZ393382 GDV393382 GNR393382 GXN393382 HHJ393382 HRF393382 IBB393382 IKX393382 IUT393382 JEP393382 JOL393382 JYH393382 KID393382 KRZ393382 LBV393382 LLR393382 LVN393382 MFJ393382 MPF393382 MZB393382 NIX393382 NST393382 OCP393382 OML393382 OWH393382 PGD393382 PPZ393382 PZV393382 QJR393382 QTN393382 RDJ393382 RNF393382 RXB393382 SGX393382 SQT393382 TAP393382 TKL393382 TUH393382 UED393382 UNZ393382 UXV393382 VHR393382 VRN393382 WBJ393382 WLF393382 WVB393382 IP458918 SL458918 ACH458918 AMD458918 AVZ458918 BFV458918 BPR458918 BZN458918 CJJ458918 CTF458918 DDB458918 DMX458918 DWT458918 EGP458918 EQL458918 FAH458918 FKD458918 FTZ458918 GDV458918 GNR458918 GXN458918 HHJ458918 HRF458918 IBB458918 IKX458918 IUT458918 JEP458918 JOL458918 JYH458918 KID458918 KRZ458918 LBV458918 LLR458918 LVN458918 MFJ458918 MPF458918 MZB458918 NIX458918 NST458918 OCP458918 OML458918 OWH458918 PGD458918 PPZ458918 PZV458918 QJR458918 QTN458918 RDJ458918 RNF458918 RXB458918 SGX458918 SQT458918 TAP458918 TKL458918 TUH458918 UED458918 UNZ458918 UXV458918 VHR458918 VRN458918 WBJ458918 WLF458918 WVB458918 IP524454 SL524454 ACH524454 AMD524454 AVZ524454 BFV524454 BPR524454 BZN524454 CJJ524454 CTF524454 DDB524454 DMX524454 DWT524454 EGP524454 EQL524454 FAH524454 FKD524454 FTZ524454 GDV524454 GNR524454 GXN524454 HHJ524454 HRF524454 IBB524454 IKX524454 IUT524454 JEP524454 JOL524454 JYH524454 KID524454 KRZ524454 LBV524454 LLR524454 LVN524454 MFJ524454 MPF524454 MZB524454 NIX524454 NST524454 OCP524454 OML524454 OWH524454 PGD524454 PPZ524454 PZV524454 QJR524454 QTN524454 RDJ524454 RNF524454 RXB524454 SGX524454 SQT524454 TAP524454 TKL524454 TUH524454 UED524454 UNZ524454 UXV524454 VHR524454 VRN524454 WBJ524454 WLF524454 WVB524454 IP589990 SL589990 ACH589990 AMD589990 AVZ589990 BFV589990 BPR589990 BZN589990 CJJ589990 CTF589990 DDB589990 DMX589990 DWT589990 EGP589990 EQL589990 FAH589990 FKD589990 FTZ589990 GDV589990 GNR589990 GXN589990 HHJ589990 HRF589990 IBB589990 IKX589990 IUT589990 JEP589990 JOL589990 JYH589990 KID589990 KRZ589990 LBV589990 LLR589990 LVN589990 MFJ589990 MPF589990 MZB589990 NIX589990 NST589990 OCP589990 OML589990 OWH589990 PGD589990 PPZ589990 PZV589990 QJR589990 QTN589990 RDJ589990 RNF589990 RXB589990 SGX589990 SQT589990 TAP589990 TKL589990 TUH589990 UED589990 UNZ589990 UXV589990 VHR589990 VRN589990 WBJ589990 WLF589990 WVB589990 IP655526 SL655526 ACH655526 AMD655526 AVZ655526 BFV655526 BPR655526 BZN655526 CJJ655526 CTF655526 DDB655526 DMX655526 DWT655526 EGP655526 EQL655526 FAH655526 FKD655526 FTZ655526 GDV655526 GNR655526 GXN655526 HHJ655526 HRF655526 IBB655526 IKX655526 IUT655526 JEP655526 JOL655526 JYH655526 KID655526 KRZ655526 LBV655526 LLR655526 LVN655526 MFJ655526 MPF655526 MZB655526 NIX655526 NST655526 OCP655526 OML655526 OWH655526 PGD655526 PPZ655526 PZV655526 QJR655526 QTN655526 RDJ655526 RNF655526 RXB655526 SGX655526 SQT655526 TAP655526 TKL655526 TUH655526 UED655526 UNZ655526 UXV655526 VHR655526 VRN655526 WBJ655526 WLF655526 WVB655526 IP721062 SL721062 ACH721062 AMD721062 AVZ721062 BFV721062 BPR721062 BZN721062 CJJ721062 CTF721062 DDB721062 DMX721062 DWT721062 EGP721062 EQL721062 FAH721062 FKD721062 FTZ721062 GDV721062 GNR721062 GXN721062 HHJ721062 HRF721062 IBB721062 IKX721062 IUT721062 JEP721062 JOL721062 JYH721062 KID721062 KRZ721062 LBV721062 LLR721062 LVN721062 MFJ721062 MPF721062 MZB721062 NIX721062 NST721062 OCP721062 OML721062 OWH721062 PGD721062 PPZ721062 PZV721062 QJR721062 QTN721062 RDJ721062 RNF721062 RXB721062 SGX721062 SQT721062 TAP721062 TKL721062 TUH721062 UED721062 UNZ721062 UXV721062 VHR721062 VRN721062 WBJ721062 WLF721062 WVB721062 IP786598 SL786598 ACH786598 AMD786598 AVZ786598 BFV786598 BPR786598 BZN786598 CJJ786598 CTF786598 DDB786598 DMX786598 DWT786598 EGP786598 EQL786598 FAH786598 FKD786598 FTZ786598 GDV786598 GNR786598 GXN786598 HHJ786598 HRF786598 IBB786598 IKX786598 IUT786598 JEP786598 JOL786598 JYH786598 KID786598 KRZ786598 LBV786598 LLR786598 LVN786598 MFJ786598 MPF786598 MZB786598 NIX786598 NST786598 OCP786598 OML786598 OWH786598 PGD786598 PPZ786598 PZV786598 QJR786598 QTN786598 RDJ786598 RNF786598 RXB786598 SGX786598 SQT786598 TAP786598 TKL786598 TUH786598 UED786598 UNZ786598 UXV786598 VHR786598 VRN786598 WBJ786598 WLF786598 WVB786598 IP852134 SL852134 ACH852134 AMD852134 AVZ852134 BFV852134 BPR852134 BZN852134 CJJ852134 CTF852134 DDB852134 DMX852134 DWT852134 EGP852134 EQL852134 FAH852134 FKD852134 FTZ852134 GDV852134 GNR852134 GXN852134 HHJ852134 HRF852134 IBB852134 IKX852134 IUT852134 JEP852134 JOL852134 JYH852134 KID852134 KRZ852134 LBV852134 LLR852134 LVN852134 MFJ852134 MPF852134 MZB852134 NIX852134 NST852134 OCP852134 OML852134 OWH852134 PGD852134 PPZ852134 PZV852134 QJR852134 QTN852134 RDJ852134 RNF852134 RXB852134 SGX852134 SQT852134 TAP852134 TKL852134 TUH852134 UED852134 UNZ852134 UXV852134 VHR852134 VRN852134 WBJ852134 WLF852134 WVB852134 IP917670 SL917670 ACH917670 AMD917670 AVZ917670 BFV917670 BPR917670 BZN917670 CJJ917670 CTF917670 DDB917670 DMX917670 DWT917670 EGP917670 EQL917670 FAH917670 FKD917670 FTZ917670 GDV917670 GNR917670 GXN917670 HHJ917670 HRF917670 IBB917670 IKX917670 IUT917670 JEP917670 JOL917670 JYH917670 KID917670 KRZ917670 LBV917670 LLR917670 LVN917670 MFJ917670 MPF917670 MZB917670 NIX917670 NST917670 OCP917670 OML917670 OWH917670 PGD917670 PPZ917670 PZV917670 QJR917670 QTN917670 RDJ917670 RNF917670 RXB917670 SGX917670 SQT917670 TAP917670 TKL917670 TUH917670 UED917670 UNZ917670 UXV917670 VHR917670 VRN917670 WBJ917670 WLF917670 WVB917670 IP983206 SL983206 ACH983206 AMD983206 AVZ983206 BFV983206 BPR983206 BZN983206 CJJ983206 CTF983206 DDB983206 DMX983206 DWT983206 EGP983206 EQL983206 FAH983206 FKD983206 FTZ983206 GDV983206 GNR983206 GXN983206 HHJ983206 HRF983206 IBB983206 IKX983206 IUT983206 JEP983206 JOL983206 JYH983206 KID983206 KRZ983206 LBV983206 LLR983206 LVN983206 MFJ983206 MPF983206 MZB983206 NIX983206 NST983206 OCP983206 OML983206 OWH983206 PGD983206 PPZ983206 PZV983206 QJR983206 QTN983206 RDJ983206 RNF983206 RXB983206 SGX983206 SQT983206 TAP983206 TKL983206 TUH983206 UED983206 UNZ983206 UXV983206 VHR983206 VRN983206 WBJ983206 WLF983206 WVB983206 IP176 SL176 ACH176 AMD176 AVZ176 BFV176 BPR176 BZN176 CJJ176 CTF176 DDB176 DMX176 DWT176 EGP176 EQL176 FAH176 FKD176 FTZ176 GDV176 GNR176 GXN176 HHJ176 HRF176 IBB176 IKX176 IUT176 JEP176 JOL176 JYH176 KID176 KRZ176 LBV176 LLR176 LVN176 MFJ176 MPF176 MZB176 NIX176 NST176 OCP176 OML176 OWH176 PGD176 PPZ176 PZV176 QJR176 QTN176 RDJ176 RNF176 RXB176 SGX176 SQT176 TAP176 TKL176 TUH176 UED176 UNZ176 UXV176 VHR176 VRN176 WBJ176 WLF176 WVB176 IP65712 SL65712 ACH65712 AMD65712 AVZ65712 BFV65712 BPR65712 BZN65712 CJJ65712 CTF65712 DDB65712 DMX65712 DWT65712 EGP65712 EQL65712 FAH65712 FKD65712 FTZ65712 GDV65712 GNR65712 GXN65712 HHJ65712 HRF65712 IBB65712 IKX65712 IUT65712 JEP65712 JOL65712 JYH65712 KID65712 KRZ65712 LBV65712 LLR65712 LVN65712 MFJ65712 MPF65712 MZB65712 NIX65712 NST65712 OCP65712 OML65712 OWH65712 PGD65712 PPZ65712 PZV65712 QJR65712 QTN65712 RDJ65712 RNF65712 RXB65712 SGX65712 SQT65712 TAP65712 TKL65712 TUH65712 UED65712 UNZ65712 UXV65712 VHR65712 VRN65712 WBJ65712 WLF65712 WVB65712 IP131248 SL131248 ACH131248 AMD131248 AVZ131248 BFV131248 BPR131248 BZN131248 CJJ131248 CTF131248 DDB131248 DMX131248 DWT131248 EGP131248 EQL131248 FAH131248 FKD131248 FTZ131248 GDV131248 GNR131248 GXN131248 HHJ131248 HRF131248 IBB131248 IKX131248 IUT131248 JEP131248 JOL131248 JYH131248 KID131248 KRZ131248 LBV131248 LLR131248 LVN131248 MFJ131248 MPF131248 MZB131248 NIX131248 NST131248 OCP131248 OML131248 OWH131248 PGD131248 PPZ131248 PZV131248 QJR131248 QTN131248 RDJ131248 RNF131248 RXB131248 SGX131248 SQT131248 TAP131248 TKL131248 TUH131248 UED131248 UNZ131248 UXV131248 VHR131248 VRN131248 WBJ131248 WLF131248 WVB131248 IP196784 SL196784 ACH196784 AMD196784 AVZ196784 BFV196784 BPR196784 BZN196784 CJJ196784 CTF196784 DDB196784 DMX196784 DWT196784 EGP196784 EQL196784 FAH196784 FKD196784 FTZ196784 GDV196784 GNR196784 GXN196784 HHJ196784 HRF196784 IBB196784 IKX196784 IUT196784 JEP196784 JOL196784 JYH196784 KID196784 KRZ196784 LBV196784 LLR196784 LVN196784 MFJ196784 MPF196784 MZB196784 NIX196784 NST196784 OCP196784 OML196784 OWH196784 PGD196784 PPZ196784 PZV196784 QJR196784 QTN196784 RDJ196784 RNF196784 RXB196784 SGX196784 SQT196784 TAP196784 TKL196784 TUH196784 UED196784 UNZ196784 UXV196784 VHR196784 VRN196784 WBJ196784 WLF196784 WVB196784 IP262320 SL262320 ACH262320 AMD262320 AVZ262320 BFV262320 BPR262320 BZN262320 CJJ262320 CTF262320 DDB262320 DMX262320 DWT262320 EGP262320 EQL262320 FAH262320 FKD262320 FTZ262320 GDV262320 GNR262320 GXN262320 HHJ262320 HRF262320 IBB262320 IKX262320 IUT262320 JEP262320 JOL262320 JYH262320 KID262320 KRZ262320 LBV262320 LLR262320 LVN262320 MFJ262320 MPF262320 MZB262320 NIX262320 NST262320 OCP262320 OML262320 OWH262320 PGD262320 PPZ262320 PZV262320 QJR262320 QTN262320 RDJ262320 RNF262320 RXB262320 SGX262320 SQT262320 TAP262320 TKL262320 TUH262320 UED262320 UNZ262320 UXV262320 VHR262320 VRN262320 WBJ262320 WLF262320 WVB262320 IP327856 SL327856 ACH327856 AMD327856 AVZ327856 BFV327856 BPR327856 BZN327856 CJJ327856 CTF327856 DDB327856 DMX327856 DWT327856 EGP327856 EQL327856 FAH327856 FKD327856 FTZ327856 GDV327856 GNR327856 GXN327856 HHJ327856 HRF327856 IBB327856 IKX327856 IUT327856 JEP327856 JOL327856 JYH327856 KID327856 KRZ327856 LBV327856 LLR327856 LVN327856 MFJ327856 MPF327856 MZB327856 NIX327856 NST327856 OCP327856 OML327856 OWH327856 PGD327856 PPZ327856 PZV327856 QJR327856 QTN327856 RDJ327856 RNF327856 RXB327856 SGX327856 SQT327856 TAP327856 TKL327856 TUH327856 UED327856 UNZ327856 UXV327856 VHR327856 VRN327856 WBJ327856 WLF327856 WVB327856 IP393392 SL393392 ACH393392 AMD393392 AVZ393392 BFV393392 BPR393392 BZN393392 CJJ393392 CTF393392 DDB393392 DMX393392 DWT393392 EGP393392 EQL393392 FAH393392 FKD393392 FTZ393392 GDV393392 GNR393392 GXN393392 HHJ393392 HRF393392 IBB393392 IKX393392 IUT393392 JEP393392 JOL393392 JYH393392 KID393392 KRZ393392 LBV393392 LLR393392 LVN393392 MFJ393392 MPF393392 MZB393392 NIX393392 NST393392 OCP393392 OML393392 OWH393392 PGD393392 PPZ393392 PZV393392 QJR393392 QTN393392 RDJ393392 RNF393392 RXB393392 SGX393392 SQT393392 TAP393392 TKL393392 TUH393392 UED393392 UNZ393392 UXV393392 VHR393392 VRN393392 WBJ393392 WLF393392 WVB393392 IP458928 SL458928 ACH458928 AMD458928 AVZ458928 BFV458928 BPR458928 BZN458928 CJJ458928 CTF458928 DDB458928 DMX458928 DWT458928 EGP458928 EQL458928 FAH458928 FKD458928 FTZ458928 GDV458928 GNR458928 GXN458928 HHJ458928 HRF458928 IBB458928 IKX458928 IUT458928 JEP458928 JOL458928 JYH458928 KID458928 KRZ458928 LBV458928 LLR458928 LVN458928 MFJ458928 MPF458928 MZB458928 NIX458928 NST458928 OCP458928 OML458928 OWH458928 PGD458928 PPZ458928 PZV458928 QJR458928 QTN458928 RDJ458928 RNF458928 RXB458928 SGX458928 SQT458928 TAP458928 TKL458928 TUH458928 UED458928 UNZ458928 UXV458928 VHR458928 VRN458928 WBJ458928 WLF458928 WVB458928 IP524464 SL524464 ACH524464 AMD524464 AVZ524464 BFV524464 BPR524464 BZN524464 CJJ524464 CTF524464 DDB524464 DMX524464 DWT524464 EGP524464 EQL524464 FAH524464 FKD524464 FTZ524464 GDV524464 GNR524464 GXN524464 HHJ524464 HRF524464 IBB524464 IKX524464 IUT524464 JEP524464 JOL524464 JYH524464 KID524464 KRZ524464 LBV524464 LLR524464 LVN524464 MFJ524464 MPF524464 MZB524464 NIX524464 NST524464 OCP524464 OML524464 OWH524464 PGD524464 PPZ524464 PZV524464 QJR524464 QTN524464 RDJ524464 RNF524464 RXB524464 SGX524464 SQT524464 TAP524464 TKL524464 TUH524464 UED524464 UNZ524464 UXV524464 VHR524464 VRN524464 WBJ524464 WLF524464 WVB524464 IP590000 SL590000 ACH590000 AMD590000 AVZ590000 BFV590000 BPR590000 BZN590000 CJJ590000 CTF590000 DDB590000 DMX590000 DWT590000 EGP590000 EQL590000 FAH590000 FKD590000 FTZ590000 GDV590000 GNR590000 GXN590000 HHJ590000 HRF590000 IBB590000 IKX590000 IUT590000 JEP590000 JOL590000 JYH590000 KID590000 KRZ590000 LBV590000 LLR590000 LVN590000 MFJ590000 MPF590000 MZB590000 NIX590000 NST590000 OCP590000 OML590000 OWH590000 PGD590000 PPZ590000 PZV590000 QJR590000 QTN590000 RDJ590000 RNF590000 RXB590000 SGX590000 SQT590000 TAP590000 TKL590000 TUH590000 UED590000 UNZ590000 UXV590000 VHR590000 VRN590000 WBJ590000 WLF590000 WVB590000 IP655536 SL655536 ACH655536 AMD655536 AVZ655536 BFV655536 BPR655536 BZN655536 CJJ655536 CTF655536 DDB655536 DMX655536 DWT655536 EGP655536 EQL655536 FAH655536 FKD655536 FTZ655536 GDV655536 GNR655536 GXN655536 HHJ655536 HRF655536 IBB655536 IKX655536 IUT655536 JEP655536 JOL655536 JYH655536 KID655536 KRZ655536 LBV655536 LLR655536 LVN655536 MFJ655536 MPF655536 MZB655536 NIX655536 NST655536 OCP655536 OML655536 OWH655536 PGD655536 PPZ655536 PZV655536 QJR655536 QTN655536 RDJ655536 RNF655536 RXB655536 SGX655536 SQT655536 TAP655536 TKL655536 TUH655536 UED655536 UNZ655536 UXV655536 VHR655536 VRN655536 WBJ655536 WLF655536 WVB655536 IP721072 SL721072 ACH721072 AMD721072 AVZ721072 BFV721072 BPR721072 BZN721072 CJJ721072 CTF721072 DDB721072 DMX721072 DWT721072 EGP721072 EQL721072 FAH721072 FKD721072 FTZ721072 GDV721072 GNR721072 GXN721072 HHJ721072 HRF721072 IBB721072 IKX721072 IUT721072 JEP721072 JOL721072 JYH721072 KID721072 KRZ721072 LBV721072 LLR721072 LVN721072 MFJ721072 MPF721072 MZB721072 NIX721072 NST721072 OCP721072 OML721072 OWH721072 PGD721072 PPZ721072 PZV721072 QJR721072 QTN721072 RDJ721072 RNF721072 RXB721072 SGX721072 SQT721072 TAP721072 TKL721072 TUH721072 UED721072 UNZ721072 UXV721072 VHR721072 VRN721072 WBJ721072 WLF721072 WVB721072 IP786608 SL786608 ACH786608 AMD786608 AVZ786608 BFV786608 BPR786608 BZN786608 CJJ786608 CTF786608 DDB786608 DMX786608 DWT786608 EGP786608 EQL786608 FAH786608 FKD786608 FTZ786608 GDV786608 GNR786608 GXN786608 HHJ786608 HRF786608 IBB786608 IKX786608 IUT786608 JEP786608 JOL786608 JYH786608 KID786608 KRZ786608 LBV786608 LLR786608 LVN786608 MFJ786608 MPF786608 MZB786608 NIX786608 NST786608 OCP786608 OML786608 OWH786608 PGD786608 PPZ786608 PZV786608 QJR786608 QTN786608 RDJ786608 RNF786608 RXB786608 SGX786608 SQT786608 TAP786608 TKL786608 TUH786608 UED786608 UNZ786608 UXV786608 VHR786608 VRN786608 WBJ786608 WLF786608 WVB786608 IP852144 SL852144 ACH852144 AMD852144 AVZ852144 BFV852144 BPR852144 BZN852144 CJJ852144 CTF852144 DDB852144 DMX852144 DWT852144 EGP852144 EQL852144 FAH852144 FKD852144 FTZ852144 GDV852144 GNR852144 GXN852144 HHJ852144 HRF852144 IBB852144 IKX852144 IUT852144 JEP852144 JOL852144 JYH852144 KID852144 KRZ852144 LBV852144 LLR852144 LVN852144 MFJ852144 MPF852144 MZB852144 NIX852144 NST852144 OCP852144 OML852144 OWH852144 PGD852144 PPZ852144 PZV852144 QJR852144 QTN852144 RDJ852144 RNF852144 RXB852144 SGX852144 SQT852144 TAP852144 TKL852144 TUH852144 UED852144 UNZ852144 UXV852144 VHR852144 VRN852144 WBJ852144 WLF852144 WVB852144 IP917680 SL917680 ACH917680 AMD917680 AVZ917680 BFV917680 BPR917680 BZN917680 CJJ917680 CTF917680 DDB917680 DMX917680 DWT917680 EGP917680 EQL917680 FAH917680 FKD917680 FTZ917680 GDV917680 GNR917680 GXN917680 HHJ917680 HRF917680 IBB917680 IKX917680 IUT917680 JEP917680 JOL917680 JYH917680 KID917680 KRZ917680 LBV917680 LLR917680 LVN917680 MFJ917680 MPF917680 MZB917680 NIX917680 NST917680 OCP917680 OML917680 OWH917680 PGD917680 PPZ917680 PZV917680 QJR917680 QTN917680 RDJ917680 RNF917680 RXB917680 SGX917680 SQT917680 TAP917680 TKL917680 TUH917680 UED917680 UNZ917680 UXV917680 VHR917680 VRN917680 WBJ917680 WLF917680 WVB917680 IP983216 SL983216 ACH983216 AMD983216 AVZ983216 BFV983216 BPR983216 BZN983216 CJJ983216 CTF983216 DDB983216 DMX983216 DWT983216 EGP983216 EQL983216 FAH983216 FKD983216 FTZ983216 GDV983216 GNR983216 GXN983216 HHJ983216 HRF983216 IBB983216 IKX983216 IUT983216 JEP983216 JOL983216 JYH983216 KID983216 KRZ983216 LBV983216 LLR983216 LVN983216 MFJ983216 MPF983216 MZB983216 NIX983216 NST983216 OCP983216 OML983216 OWH983216 PGD983216 PPZ983216 PZV983216 QJR983216 QTN983216 RDJ983216 RNF983216 RXB983216 SGX983216 SQT983216 TAP983216 TKL983216 TUH983216 UED983216 UNZ983216 UXV983216 VHR983216 VRN983216 WBJ983216 WLF983216 WVB983216 IP196 SL196 ACH196 AMD196 AVZ196 BFV196 BPR196 BZN196 CJJ196 CTF196 DDB196 DMX196 DWT196 EGP196 EQL196 FAH196 FKD196 FTZ196 GDV196 GNR196 GXN196 HHJ196 HRF196 IBB196 IKX196 IUT196 JEP196 JOL196 JYH196 KID196 KRZ196 LBV196 LLR196 LVN196 MFJ196 MPF196 MZB196 NIX196 NST196 OCP196 OML196 OWH196 PGD196 PPZ196 PZV196 QJR196 QTN196 RDJ196 RNF196 RXB196 SGX196 SQT196 TAP196 TKL196 TUH196 UED196 UNZ196 UXV196 VHR196 VRN196 WBJ196 WLF196 WVB196 IP65732 SL65732 ACH65732 AMD65732 AVZ65732 BFV65732 BPR65732 BZN65732 CJJ65732 CTF65732 DDB65732 DMX65732 DWT65732 EGP65732 EQL65732 FAH65732 FKD65732 FTZ65732 GDV65732 GNR65732 GXN65732 HHJ65732 HRF65732 IBB65732 IKX65732 IUT65732 JEP65732 JOL65732 JYH65732 KID65732 KRZ65732 LBV65732 LLR65732 LVN65732 MFJ65732 MPF65732 MZB65732 NIX65732 NST65732 OCP65732 OML65732 OWH65732 PGD65732 PPZ65732 PZV65732 QJR65732 QTN65732 RDJ65732 RNF65732 RXB65732 SGX65732 SQT65732 TAP65732 TKL65732 TUH65732 UED65732 UNZ65732 UXV65732 VHR65732 VRN65732 WBJ65732 WLF65732 WVB65732 IP131268 SL131268 ACH131268 AMD131268 AVZ131268 BFV131268 BPR131268 BZN131268 CJJ131268 CTF131268 DDB131268 DMX131268 DWT131268 EGP131268 EQL131268 FAH131268 FKD131268 FTZ131268 GDV131268 GNR131268 GXN131268 HHJ131268 HRF131268 IBB131268 IKX131268 IUT131268 JEP131268 JOL131268 JYH131268 KID131268 KRZ131268 LBV131268 LLR131268 LVN131268 MFJ131268 MPF131268 MZB131268 NIX131268 NST131268 OCP131268 OML131268 OWH131268 PGD131268 PPZ131268 PZV131268 QJR131268 QTN131268 RDJ131268 RNF131268 RXB131268 SGX131268 SQT131268 TAP131268 TKL131268 TUH131268 UED131268 UNZ131268 UXV131268 VHR131268 VRN131268 WBJ131268 WLF131268 WVB131268 IP196804 SL196804 ACH196804 AMD196804 AVZ196804 BFV196804 BPR196804 BZN196804 CJJ196804 CTF196804 DDB196804 DMX196804 DWT196804 EGP196804 EQL196804 FAH196804 FKD196804 FTZ196804 GDV196804 GNR196804 GXN196804 HHJ196804 HRF196804 IBB196804 IKX196804 IUT196804 JEP196804 JOL196804 JYH196804 KID196804 KRZ196804 LBV196804 LLR196804 LVN196804 MFJ196804 MPF196804 MZB196804 NIX196804 NST196804 OCP196804 OML196804 OWH196804 PGD196804 PPZ196804 PZV196804 QJR196804 QTN196804 RDJ196804 RNF196804 RXB196804 SGX196804 SQT196804 TAP196804 TKL196804 TUH196804 UED196804 UNZ196804 UXV196804 VHR196804 VRN196804 WBJ196804 WLF196804 WVB196804 IP262340 SL262340 ACH262340 AMD262340 AVZ262340 BFV262340 BPR262340 BZN262340 CJJ262340 CTF262340 DDB262340 DMX262340 DWT262340 EGP262340 EQL262340 FAH262340 FKD262340 FTZ262340 GDV262340 GNR262340 GXN262340 HHJ262340 HRF262340 IBB262340 IKX262340 IUT262340 JEP262340 JOL262340 JYH262340 KID262340 KRZ262340 LBV262340 LLR262340 LVN262340 MFJ262340 MPF262340 MZB262340 NIX262340 NST262340 OCP262340 OML262340 OWH262340 PGD262340 PPZ262340 PZV262340 QJR262340 QTN262340 RDJ262340 RNF262340 RXB262340 SGX262340 SQT262340 TAP262340 TKL262340 TUH262340 UED262340 UNZ262340 UXV262340 VHR262340 VRN262340 WBJ262340 WLF262340 WVB262340 IP327876 SL327876 ACH327876 AMD327876 AVZ327876 BFV327876 BPR327876 BZN327876 CJJ327876 CTF327876 DDB327876 DMX327876 DWT327876 EGP327876 EQL327876 FAH327876 FKD327876 FTZ327876 GDV327876 GNR327876 GXN327876 HHJ327876 HRF327876 IBB327876 IKX327876 IUT327876 JEP327876 JOL327876 JYH327876 KID327876 KRZ327876 LBV327876 LLR327876 LVN327876 MFJ327876 MPF327876 MZB327876 NIX327876 NST327876 OCP327876 OML327876 OWH327876 PGD327876 PPZ327876 PZV327876 QJR327876 QTN327876 RDJ327876 RNF327876 RXB327876 SGX327876 SQT327876 TAP327876 TKL327876 TUH327876 UED327876 UNZ327876 UXV327876 VHR327876 VRN327876 WBJ327876 WLF327876 WVB327876 IP393412 SL393412 ACH393412 AMD393412 AVZ393412 BFV393412 BPR393412 BZN393412 CJJ393412 CTF393412 DDB393412 DMX393412 DWT393412 EGP393412 EQL393412 FAH393412 FKD393412 FTZ393412 GDV393412 GNR393412 GXN393412 HHJ393412 HRF393412 IBB393412 IKX393412 IUT393412 JEP393412 JOL393412 JYH393412 KID393412 KRZ393412 LBV393412 LLR393412 LVN393412 MFJ393412 MPF393412 MZB393412 NIX393412 NST393412 OCP393412 OML393412 OWH393412 PGD393412 PPZ393412 PZV393412 QJR393412 QTN393412 RDJ393412 RNF393412 RXB393412 SGX393412 SQT393412 TAP393412 TKL393412 TUH393412 UED393412 UNZ393412 UXV393412 VHR393412 VRN393412 WBJ393412 WLF393412 WVB393412 IP458948 SL458948 ACH458948 AMD458948 AVZ458948 BFV458948 BPR458948 BZN458948 CJJ458948 CTF458948 DDB458948 DMX458948 DWT458948 EGP458948 EQL458948 FAH458948 FKD458948 FTZ458948 GDV458948 GNR458948 GXN458948 HHJ458948 HRF458948 IBB458948 IKX458948 IUT458948 JEP458948 JOL458948 JYH458948 KID458948 KRZ458948 LBV458948 LLR458948 LVN458948 MFJ458948 MPF458948 MZB458948 NIX458948 NST458948 OCP458948 OML458948 OWH458948 PGD458948 PPZ458948 PZV458948 QJR458948 QTN458948 RDJ458948 RNF458948 RXB458948 SGX458948 SQT458948 TAP458948 TKL458948 TUH458948 UED458948 UNZ458948 UXV458948 VHR458948 VRN458948 WBJ458948 WLF458948 WVB458948 IP524484 SL524484 ACH524484 AMD524484 AVZ524484 BFV524484 BPR524484 BZN524484 CJJ524484 CTF524484 DDB524484 DMX524484 DWT524484 EGP524484 EQL524484 FAH524484 FKD524484 FTZ524484 GDV524484 GNR524484 GXN524484 HHJ524484 HRF524484 IBB524484 IKX524484 IUT524484 JEP524484 JOL524484 JYH524484 KID524484 KRZ524484 LBV524484 LLR524484 LVN524484 MFJ524484 MPF524484 MZB524484 NIX524484 NST524484 OCP524484 OML524484 OWH524484 PGD524484 PPZ524484 PZV524484 QJR524484 QTN524484 RDJ524484 RNF524484 RXB524484 SGX524484 SQT524484 TAP524484 TKL524484 TUH524484 UED524484 UNZ524484 UXV524484 VHR524484 VRN524484 WBJ524484 WLF524484 WVB524484 IP590020 SL590020 ACH590020 AMD590020 AVZ590020 BFV590020 BPR590020 BZN590020 CJJ590020 CTF590020 DDB590020 DMX590020 DWT590020 EGP590020 EQL590020 FAH590020 FKD590020 FTZ590020 GDV590020 GNR590020 GXN590020 HHJ590020 HRF590020 IBB590020 IKX590020 IUT590020 JEP590020 JOL590020 JYH590020 KID590020 KRZ590020 LBV590020 LLR590020 LVN590020 MFJ590020 MPF590020 MZB590020 NIX590020 NST590020 OCP590020 OML590020 OWH590020 PGD590020 PPZ590020 PZV590020 QJR590020 QTN590020 RDJ590020 RNF590020 RXB590020 SGX590020 SQT590020 TAP590020 TKL590020 TUH590020 UED590020 UNZ590020 UXV590020 VHR590020 VRN590020 WBJ590020 WLF590020 WVB590020 IP655556 SL655556 ACH655556 AMD655556 AVZ655556 BFV655556 BPR655556 BZN655556 CJJ655556 CTF655556 DDB655556 DMX655556 DWT655556 EGP655556 EQL655556 FAH655556 FKD655556 FTZ655556 GDV655556 GNR655556 GXN655556 HHJ655556 HRF655556 IBB655556 IKX655556 IUT655556 JEP655556 JOL655556 JYH655556 KID655556 KRZ655556 LBV655556 LLR655556 LVN655556 MFJ655556 MPF655556 MZB655556 NIX655556 NST655556 OCP655556 OML655556 OWH655556 PGD655556 PPZ655556 PZV655556 QJR655556 QTN655556 RDJ655556 RNF655556 RXB655556 SGX655556 SQT655556 TAP655556 TKL655556 TUH655556 UED655556 UNZ655556 UXV655556 VHR655556 VRN655556 WBJ655556 WLF655556 WVB655556 IP721092 SL721092 ACH721092 AMD721092 AVZ721092 BFV721092 BPR721092 BZN721092 CJJ721092 CTF721092 DDB721092 DMX721092 DWT721092 EGP721092 EQL721092 FAH721092 FKD721092 FTZ721092 GDV721092 GNR721092 GXN721092 HHJ721092 HRF721092 IBB721092 IKX721092 IUT721092 JEP721092 JOL721092 JYH721092 KID721092 KRZ721092 LBV721092 LLR721092 LVN721092 MFJ721092 MPF721092 MZB721092 NIX721092 NST721092 OCP721092 OML721092 OWH721092 PGD721092 PPZ721092 PZV721092 QJR721092 QTN721092 RDJ721092 RNF721092 RXB721092 SGX721092 SQT721092 TAP721092 TKL721092 TUH721092 UED721092 UNZ721092 UXV721092 VHR721092 VRN721092 WBJ721092 WLF721092 WVB721092 IP786628 SL786628 ACH786628 AMD786628 AVZ786628 BFV786628 BPR786628 BZN786628 CJJ786628 CTF786628 DDB786628 DMX786628 DWT786628 EGP786628 EQL786628 FAH786628 FKD786628 FTZ786628 GDV786628 GNR786628 GXN786628 HHJ786628 HRF786628 IBB786628 IKX786628 IUT786628 JEP786628 JOL786628 JYH786628 KID786628 KRZ786628 LBV786628 LLR786628 LVN786628 MFJ786628 MPF786628 MZB786628 NIX786628 NST786628 OCP786628 OML786628 OWH786628 PGD786628 PPZ786628 PZV786628 QJR786628 QTN786628 RDJ786628 RNF786628 RXB786628 SGX786628 SQT786628 TAP786628 TKL786628 TUH786628 UED786628 UNZ786628 UXV786628 VHR786628 VRN786628 WBJ786628 WLF786628 WVB786628 IP852164 SL852164 ACH852164 AMD852164 AVZ852164 BFV852164 BPR852164 BZN852164 CJJ852164 CTF852164 DDB852164 DMX852164 DWT852164 EGP852164 EQL852164 FAH852164 FKD852164 FTZ852164 GDV852164 GNR852164 GXN852164 HHJ852164 HRF852164 IBB852164 IKX852164 IUT852164 JEP852164 JOL852164 JYH852164 KID852164 KRZ852164 LBV852164 LLR852164 LVN852164 MFJ852164 MPF852164 MZB852164 NIX852164 NST852164 OCP852164 OML852164 OWH852164 PGD852164 PPZ852164 PZV852164 QJR852164 QTN852164 RDJ852164 RNF852164 RXB852164 SGX852164 SQT852164 TAP852164 TKL852164 TUH852164 UED852164 UNZ852164 UXV852164 VHR852164 VRN852164 WBJ852164 WLF852164 WVB852164 IP917700 SL917700 ACH917700 AMD917700 AVZ917700 BFV917700 BPR917700 BZN917700 CJJ917700 CTF917700 DDB917700 DMX917700 DWT917700 EGP917700 EQL917700 FAH917700 FKD917700 FTZ917700 GDV917700 GNR917700 GXN917700 HHJ917700 HRF917700 IBB917700 IKX917700 IUT917700 JEP917700 JOL917700 JYH917700 KID917700 KRZ917700 LBV917700 LLR917700 LVN917700 MFJ917700 MPF917700 MZB917700 NIX917700 NST917700 OCP917700 OML917700 OWH917700 PGD917700 PPZ917700 PZV917700 QJR917700 QTN917700 RDJ917700 RNF917700 RXB917700 SGX917700 SQT917700 TAP917700 TKL917700 TUH917700 UED917700 UNZ917700 UXV917700 VHR917700 VRN917700 WBJ917700 WLF917700 WVB917700 IP983236 SL983236 ACH983236 AMD983236 AVZ983236 BFV983236 BPR983236 BZN983236 CJJ983236 CTF983236 DDB983236 DMX983236 DWT983236 EGP983236 EQL983236 FAH983236 FKD983236 FTZ983236 GDV983236 GNR983236 GXN983236 HHJ983236 HRF983236 IBB983236 IKX983236 IUT983236 JEP983236 JOL983236 JYH983236 KID983236 KRZ983236 LBV983236 LLR983236 LVN983236 MFJ983236 MPF983236 MZB983236 NIX983236 NST983236 OCP983236 OML983236 OWH983236 PGD983236 PPZ983236 PZV983236 QJR983236 QTN983236 RDJ983236 RNF983236 RXB983236 SGX983236 SQT983236 TAP983236 TKL983236 TUH983236 UED983236 UNZ983236 UXV983236 VHR983236 VRN983236 WBJ983236 WLF983236 WVB983236 H983236 H917700 H852164 H786628 H721092 H655556 H590020 H524484 H458948 H393412 H327876 H262340 H196804 H131268 H65732 H262210 H983216 H917680 H852144 H786608 H721072 H655536 H590000 H524464 H458928 H393392 H327856 H262320 H196784 H131248 H65712 H852034 H983206 H917670 H852134 H786598 H721062 H655526 H589990 H524454 H458918 H393382 H327846 H262310 H196774 H131238 H65702 H786498 H983196 H917660 H852124 H786588 H721052 H655516 H589980 H524444 H458908 H393372 H327836 H262300 H196764 H131228 H65692 H720962 H983186 H917650 H852114 H786578 H721042 H655506 H589970 H524434 H458898 H393362 H327826 H262290 H196754 H131218 H65682 H655426 H983176 H917640 H852104 H786568 H721032 H655496 H589960 H524424 H458888 H393352 H327816 H262280 H196744 H131208 H65672 H589890 H983166 H917630 H852094 H786558 H721022 H655486 H589950 H524414 H458878 H393342 H327806 H262270 H196734 H131198 H65662 H983106 H983156 H917620 H852084 H786548 H721012 H655476 H589940 H524404 H458868 H393332 H327796 H262260 H196724 H131188 H65652 H524354 H983146 H917610 H852074 H786538 H721002 H655466 H589930 H524394 H458858 H393322 H327786 H262250 H196714 H131178 H65642 H458818 H983086 H917550 H852014 H786478 H720942 H655406 H589870 H524334 H458798 H393262 H327726 H262190 H196654 H131118 H65582 H196674 H983136 H917600 H852064 H786528 H720992 H655456 H589920 H524384 H458848 H393312 H327776 H262240 H196704 H131168 H65632 H65602 H983126 H917590 H852054 H786518 H720982 H655446 H589910 H524374 H458838 H393302 H327766 H262230 H196694 H131158 H65622 H393282 H983116 H917580 H852044 H786508 H720972 H655436 H589900 H524364 H458828 H393292 H327756 H262220 H196684 H131148 H65612 H327746 H983096 H917560 H852024 H786488 H720952 H655416 H589880 H524344 H458808 H393272 H327736 H262200 H196664 H131128 H65592 H131138 H983226 H917690 H852154 H786618 H721082 H655546 H590010 H524474 H458938 H393402 H327866 H262330 H196794 H131258 H65722 H917570 H126</xm:sqref>
        </x14:dataValidation>
        <x14:dataValidation type="textLength" allowBlank="1" showInputMessage="1" showErrorMessage="1" errorTitle="max. 40 Zeichen möglich" error="Einschränkung von 40 Zeichen wurde überschritten!_x000a__x000a_Um die Daten zu ändern &quot;Wiederholen&quot; wählen. Bei Abbruch wird der Text gelöscht.">
          <x14:formula1>
            <xm:f>0</xm:f>
          </x14:formula1>
          <x14:formula2>
            <xm:f>40</xm:f>
          </x14:formula2>
          <xm:sqref>IJ44:IL44 SF44:SH44 ACB44:ACD44 ALX44:ALZ44 AVT44:AVV44 BFP44:BFR44 BPL44:BPN44 BZH44:BZJ44 CJD44:CJF44 CSZ44:CTB44 DCV44:DCX44 DMR44:DMT44 DWN44:DWP44 EGJ44:EGL44 EQF44:EQH44 FAB44:FAD44 FJX44:FJZ44 FTT44:FTV44 GDP44:GDR44 GNL44:GNN44 GXH44:GXJ44 HHD44:HHF44 HQZ44:HRB44 IAV44:IAX44 IKR44:IKT44 IUN44:IUP44 JEJ44:JEL44 JOF44:JOH44 JYB44:JYD44 KHX44:KHZ44 KRT44:KRV44 LBP44:LBR44 LLL44:LLN44 LVH44:LVJ44 MFD44:MFF44 MOZ44:MPB44 MYV44:MYX44 NIR44:NIT44 NSN44:NSP44 OCJ44:OCL44 OMF44:OMH44 OWB44:OWD44 PFX44:PFZ44 PPT44:PPV44 PZP44:PZR44 QJL44:QJN44 QTH44:QTJ44 RDD44:RDF44 RMZ44:RNB44 RWV44:RWX44 SGR44:SGT44 SQN44:SQP44 TAJ44:TAL44 TKF44:TKH44 TUB44:TUD44 UDX44:UDZ44 UNT44:UNV44 UXP44:UXR44 VHL44:VHN44 VRH44:VRJ44 WBD44:WBF44 WKZ44:WLB44 WUV44:WUX44 IJ65580:IL65580 SF65580:SH65580 ACB65580:ACD65580 ALX65580:ALZ65580 AVT65580:AVV65580 BFP65580:BFR65580 BPL65580:BPN65580 BZH65580:BZJ65580 CJD65580:CJF65580 CSZ65580:CTB65580 DCV65580:DCX65580 DMR65580:DMT65580 DWN65580:DWP65580 EGJ65580:EGL65580 EQF65580:EQH65580 FAB65580:FAD65580 FJX65580:FJZ65580 FTT65580:FTV65580 GDP65580:GDR65580 GNL65580:GNN65580 GXH65580:GXJ65580 HHD65580:HHF65580 HQZ65580:HRB65580 IAV65580:IAX65580 IKR65580:IKT65580 IUN65580:IUP65580 JEJ65580:JEL65580 JOF65580:JOH65580 JYB65580:JYD65580 KHX65580:KHZ65580 KRT65580:KRV65580 LBP65580:LBR65580 LLL65580:LLN65580 LVH65580:LVJ65580 MFD65580:MFF65580 MOZ65580:MPB65580 MYV65580:MYX65580 NIR65580:NIT65580 NSN65580:NSP65580 OCJ65580:OCL65580 OMF65580:OMH65580 OWB65580:OWD65580 PFX65580:PFZ65580 PPT65580:PPV65580 PZP65580:PZR65580 QJL65580:QJN65580 QTH65580:QTJ65580 RDD65580:RDF65580 RMZ65580:RNB65580 RWV65580:RWX65580 SGR65580:SGT65580 SQN65580:SQP65580 TAJ65580:TAL65580 TKF65580:TKH65580 TUB65580:TUD65580 UDX65580:UDZ65580 UNT65580:UNV65580 UXP65580:UXR65580 VHL65580:VHN65580 VRH65580:VRJ65580 WBD65580:WBF65580 WKZ65580:WLB65580 WUV65580:WUX65580 IJ131116:IL131116 SF131116:SH131116 ACB131116:ACD131116 ALX131116:ALZ131116 AVT131116:AVV131116 BFP131116:BFR131116 BPL131116:BPN131116 BZH131116:BZJ131116 CJD131116:CJF131116 CSZ131116:CTB131116 DCV131116:DCX131116 DMR131116:DMT131116 DWN131116:DWP131116 EGJ131116:EGL131116 EQF131116:EQH131116 FAB131116:FAD131116 FJX131116:FJZ131116 FTT131116:FTV131116 GDP131116:GDR131116 GNL131116:GNN131116 GXH131116:GXJ131116 HHD131116:HHF131116 HQZ131116:HRB131116 IAV131116:IAX131116 IKR131116:IKT131116 IUN131116:IUP131116 JEJ131116:JEL131116 JOF131116:JOH131116 JYB131116:JYD131116 KHX131116:KHZ131116 KRT131116:KRV131116 LBP131116:LBR131116 LLL131116:LLN131116 LVH131116:LVJ131116 MFD131116:MFF131116 MOZ131116:MPB131116 MYV131116:MYX131116 NIR131116:NIT131116 NSN131116:NSP131116 OCJ131116:OCL131116 OMF131116:OMH131116 OWB131116:OWD131116 PFX131116:PFZ131116 PPT131116:PPV131116 PZP131116:PZR131116 QJL131116:QJN131116 QTH131116:QTJ131116 RDD131116:RDF131116 RMZ131116:RNB131116 RWV131116:RWX131116 SGR131116:SGT131116 SQN131116:SQP131116 TAJ131116:TAL131116 TKF131116:TKH131116 TUB131116:TUD131116 UDX131116:UDZ131116 UNT131116:UNV131116 UXP131116:UXR131116 VHL131116:VHN131116 VRH131116:VRJ131116 WBD131116:WBF131116 WKZ131116:WLB131116 WUV131116:WUX131116 IJ196652:IL196652 SF196652:SH196652 ACB196652:ACD196652 ALX196652:ALZ196652 AVT196652:AVV196652 BFP196652:BFR196652 BPL196652:BPN196652 BZH196652:BZJ196652 CJD196652:CJF196652 CSZ196652:CTB196652 DCV196652:DCX196652 DMR196652:DMT196652 DWN196652:DWP196652 EGJ196652:EGL196652 EQF196652:EQH196652 FAB196652:FAD196652 FJX196652:FJZ196652 FTT196652:FTV196652 GDP196652:GDR196652 GNL196652:GNN196652 GXH196652:GXJ196652 HHD196652:HHF196652 HQZ196652:HRB196652 IAV196652:IAX196652 IKR196652:IKT196652 IUN196652:IUP196652 JEJ196652:JEL196652 JOF196652:JOH196652 JYB196652:JYD196652 KHX196652:KHZ196652 KRT196652:KRV196652 LBP196652:LBR196652 LLL196652:LLN196652 LVH196652:LVJ196652 MFD196652:MFF196652 MOZ196652:MPB196652 MYV196652:MYX196652 NIR196652:NIT196652 NSN196652:NSP196652 OCJ196652:OCL196652 OMF196652:OMH196652 OWB196652:OWD196652 PFX196652:PFZ196652 PPT196652:PPV196652 PZP196652:PZR196652 QJL196652:QJN196652 QTH196652:QTJ196652 RDD196652:RDF196652 RMZ196652:RNB196652 RWV196652:RWX196652 SGR196652:SGT196652 SQN196652:SQP196652 TAJ196652:TAL196652 TKF196652:TKH196652 TUB196652:TUD196652 UDX196652:UDZ196652 UNT196652:UNV196652 UXP196652:UXR196652 VHL196652:VHN196652 VRH196652:VRJ196652 WBD196652:WBF196652 WKZ196652:WLB196652 WUV196652:WUX196652 IJ262188:IL262188 SF262188:SH262188 ACB262188:ACD262188 ALX262188:ALZ262188 AVT262188:AVV262188 BFP262188:BFR262188 BPL262188:BPN262188 BZH262188:BZJ262188 CJD262188:CJF262188 CSZ262188:CTB262188 DCV262188:DCX262188 DMR262188:DMT262188 DWN262188:DWP262188 EGJ262188:EGL262188 EQF262188:EQH262188 FAB262188:FAD262188 FJX262188:FJZ262188 FTT262188:FTV262188 GDP262188:GDR262188 GNL262188:GNN262188 GXH262188:GXJ262188 HHD262188:HHF262188 HQZ262188:HRB262188 IAV262188:IAX262188 IKR262188:IKT262188 IUN262188:IUP262188 JEJ262188:JEL262188 JOF262188:JOH262188 JYB262188:JYD262188 KHX262188:KHZ262188 KRT262188:KRV262188 LBP262188:LBR262188 LLL262188:LLN262188 LVH262188:LVJ262188 MFD262188:MFF262188 MOZ262188:MPB262188 MYV262188:MYX262188 NIR262188:NIT262188 NSN262188:NSP262188 OCJ262188:OCL262188 OMF262188:OMH262188 OWB262188:OWD262188 PFX262188:PFZ262188 PPT262188:PPV262188 PZP262188:PZR262188 QJL262188:QJN262188 QTH262188:QTJ262188 RDD262188:RDF262188 RMZ262188:RNB262188 RWV262188:RWX262188 SGR262188:SGT262188 SQN262188:SQP262188 TAJ262188:TAL262188 TKF262188:TKH262188 TUB262188:TUD262188 UDX262188:UDZ262188 UNT262188:UNV262188 UXP262188:UXR262188 VHL262188:VHN262188 VRH262188:VRJ262188 WBD262188:WBF262188 WKZ262188:WLB262188 WUV262188:WUX262188 IJ327724:IL327724 SF327724:SH327724 ACB327724:ACD327724 ALX327724:ALZ327724 AVT327724:AVV327724 BFP327724:BFR327724 BPL327724:BPN327724 BZH327724:BZJ327724 CJD327724:CJF327724 CSZ327724:CTB327724 DCV327724:DCX327724 DMR327724:DMT327724 DWN327724:DWP327724 EGJ327724:EGL327724 EQF327724:EQH327724 FAB327724:FAD327724 FJX327724:FJZ327724 FTT327724:FTV327724 GDP327724:GDR327724 GNL327724:GNN327724 GXH327724:GXJ327724 HHD327724:HHF327724 HQZ327724:HRB327724 IAV327724:IAX327724 IKR327724:IKT327724 IUN327724:IUP327724 JEJ327724:JEL327724 JOF327724:JOH327724 JYB327724:JYD327724 KHX327724:KHZ327724 KRT327724:KRV327724 LBP327724:LBR327724 LLL327724:LLN327724 LVH327724:LVJ327724 MFD327724:MFF327724 MOZ327724:MPB327724 MYV327724:MYX327724 NIR327724:NIT327724 NSN327724:NSP327724 OCJ327724:OCL327724 OMF327724:OMH327724 OWB327724:OWD327724 PFX327724:PFZ327724 PPT327724:PPV327724 PZP327724:PZR327724 QJL327724:QJN327724 QTH327724:QTJ327724 RDD327724:RDF327724 RMZ327724:RNB327724 RWV327724:RWX327724 SGR327724:SGT327724 SQN327724:SQP327724 TAJ327724:TAL327724 TKF327724:TKH327724 TUB327724:TUD327724 UDX327724:UDZ327724 UNT327724:UNV327724 UXP327724:UXR327724 VHL327724:VHN327724 VRH327724:VRJ327724 WBD327724:WBF327724 WKZ327724:WLB327724 WUV327724:WUX327724 IJ393260:IL393260 SF393260:SH393260 ACB393260:ACD393260 ALX393260:ALZ393260 AVT393260:AVV393260 BFP393260:BFR393260 BPL393260:BPN393260 BZH393260:BZJ393260 CJD393260:CJF393260 CSZ393260:CTB393260 DCV393260:DCX393260 DMR393260:DMT393260 DWN393260:DWP393260 EGJ393260:EGL393260 EQF393260:EQH393260 FAB393260:FAD393260 FJX393260:FJZ393260 FTT393260:FTV393260 GDP393260:GDR393260 GNL393260:GNN393260 GXH393260:GXJ393260 HHD393260:HHF393260 HQZ393260:HRB393260 IAV393260:IAX393260 IKR393260:IKT393260 IUN393260:IUP393260 JEJ393260:JEL393260 JOF393260:JOH393260 JYB393260:JYD393260 KHX393260:KHZ393260 KRT393260:KRV393260 LBP393260:LBR393260 LLL393260:LLN393260 LVH393260:LVJ393260 MFD393260:MFF393260 MOZ393260:MPB393260 MYV393260:MYX393260 NIR393260:NIT393260 NSN393260:NSP393260 OCJ393260:OCL393260 OMF393260:OMH393260 OWB393260:OWD393260 PFX393260:PFZ393260 PPT393260:PPV393260 PZP393260:PZR393260 QJL393260:QJN393260 QTH393260:QTJ393260 RDD393260:RDF393260 RMZ393260:RNB393260 RWV393260:RWX393260 SGR393260:SGT393260 SQN393260:SQP393260 TAJ393260:TAL393260 TKF393260:TKH393260 TUB393260:TUD393260 UDX393260:UDZ393260 UNT393260:UNV393260 UXP393260:UXR393260 VHL393260:VHN393260 VRH393260:VRJ393260 WBD393260:WBF393260 WKZ393260:WLB393260 WUV393260:WUX393260 IJ458796:IL458796 SF458796:SH458796 ACB458796:ACD458796 ALX458796:ALZ458796 AVT458796:AVV458796 BFP458796:BFR458796 BPL458796:BPN458796 BZH458796:BZJ458796 CJD458796:CJF458796 CSZ458796:CTB458796 DCV458796:DCX458796 DMR458796:DMT458796 DWN458796:DWP458796 EGJ458796:EGL458796 EQF458796:EQH458796 FAB458796:FAD458796 FJX458796:FJZ458796 FTT458796:FTV458796 GDP458796:GDR458796 GNL458796:GNN458796 GXH458796:GXJ458796 HHD458796:HHF458796 HQZ458796:HRB458796 IAV458796:IAX458796 IKR458796:IKT458796 IUN458796:IUP458796 JEJ458796:JEL458796 JOF458796:JOH458796 JYB458796:JYD458796 KHX458796:KHZ458796 KRT458796:KRV458796 LBP458796:LBR458796 LLL458796:LLN458796 LVH458796:LVJ458796 MFD458796:MFF458796 MOZ458796:MPB458796 MYV458796:MYX458796 NIR458796:NIT458796 NSN458796:NSP458796 OCJ458796:OCL458796 OMF458796:OMH458796 OWB458796:OWD458796 PFX458796:PFZ458796 PPT458796:PPV458796 PZP458796:PZR458796 QJL458796:QJN458796 QTH458796:QTJ458796 RDD458796:RDF458796 RMZ458796:RNB458796 RWV458796:RWX458796 SGR458796:SGT458796 SQN458796:SQP458796 TAJ458796:TAL458796 TKF458796:TKH458796 TUB458796:TUD458796 UDX458796:UDZ458796 UNT458796:UNV458796 UXP458796:UXR458796 VHL458796:VHN458796 VRH458796:VRJ458796 WBD458796:WBF458796 WKZ458796:WLB458796 WUV458796:WUX458796 IJ524332:IL524332 SF524332:SH524332 ACB524332:ACD524332 ALX524332:ALZ524332 AVT524332:AVV524332 BFP524332:BFR524332 BPL524332:BPN524332 BZH524332:BZJ524332 CJD524332:CJF524332 CSZ524332:CTB524332 DCV524332:DCX524332 DMR524332:DMT524332 DWN524332:DWP524332 EGJ524332:EGL524332 EQF524332:EQH524332 FAB524332:FAD524332 FJX524332:FJZ524332 FTT524332:FTV524332 GDP524332:GDR524332 GNL524332:GNN524332 GXH524332:GXJ524332 HHD524332:HHF524332 HQZ524332:HRB524332 IAV524332:IAX524332 IKR524332:IKT524332 IUN524332:IUP524332 JEJ524332:JEL524332 JOF524332:JOH524332 JYB524332:JYD524332 KHX524332:KHZ524332 KRT524332:KRV524332 LBP524332:LBR524332 LLL524332:LLN524332 LVH524332:LVJ524332 MFD524332:MFF524332 MOZ524332:MPB524332 MYV524332:MYX524332 NIR524332:NIT524332 NSN524332:NSP524332 OCJ524332:OCL524332 OMF524332:OMH524332 OWB524332:OWD524332 PFX524332:PFZ524332 PPT524332:PPV524332 PZP524332:PZR524332 QJL524332:QJN524332 QTH524332:QTJ524332 RDD524332:RDF524332 RMZ524332:RNB524332 RWV524332:RWX524332 SGR524332:SGT524332 SQN524332:SQP524332 TAJ524332:TAL524332 TKF524332:TKH524332 TUB524332:TUD524332 UDX524332:UDZ524332 UNT524332:UNV524332 UXP524332:UXR524332 VHL524332:VHN524332 VRH524332:VRJ524332 WBD524332:WBF524332 WKZ524332:WLB524332 WUV524332:WUX524332 IJ589868:IL589868 SF589868:SH589868 ACB589868:ACD589868 ALX589868:ALZ589868 AVT589868:AVV589868 BFP589868:BFR589868 BPL589868:BPN589868 BZH589868:BZJ589868 CJD589868:CJF589868 CSZ589868:CTB589868 DCV589868:DCX589868 DMR589868:DMT589868 DWN589868:DWP589868 EGJ589868:EGL589868 EQF589868:EQH589868 FAB589868:FAD589868 FJX589868:FJZ589868 FTT589868:FTV589868 GDP589868:GDR589868 GNL589868:GNN589868 GXH589868:GXJ589868 HHD589868:HHF589868 HQZ589868:HRB589868 IAV589868:IAX589868 IKR589868:IKT589868 IUN589868:IUP589868 JEJ589868:JEL589868 JOF589868:JOH589868 JYB589868:JYD589868 KHX589868:KHZ589868 KRT589868:KRV589868 LBP589868:LBR589868 LLL589868:LLN589868 LVH589868:LVJ589868 MFD589868:MFF589868 MOZ589868:MPB589868 MYV589868:MYX589868 NIR589868:NIT589868 NSN589868:NSP589868 OCJ589868:OCL589868 OMF589868:OMH589868 OWB589868:OWD589868 PFX589868:PFZ589868 PPT589868:PPV589868 PZP589868:PZR589868 QJL589868:QJN589868 QTH589868:QTJ589868 RDD589868:RDF589868 RMZ589868:RNB589868 RWV589868:RWX589868 SGR589868:SGT589868 SQN589868:SQP589868 TAJ589868:TAL589868 TKF589868:TKH589868 TUB589868:TUD589868 UDX589868:UDZ589868 UNT589868:UNV589868 UXP589868:UXR589868 VHL589868:VHN589868 VRH589868:VRJ589868 WBD589868:WBF589868 WKZ589868:WLB589868 WUV589868:WUX589868 IJ655404:IL655404 SF655404:SH655404 ACB655404:ACD655404 ALX655404:ALZ655404 AVT655404:AVV655404 BFP655404:BFR655404 BPL655404:BPN655404 BZH655404:BZJ655404 CJD655404:CJF655404 CSZ655404:CTB655404 DCV655404:DCX655404 DMR655404:DMT655404 DWN655404:DWP655404 EGJ655404:EGL655404 EQF655404:EQH655404 FAB655404:FAD655404 FJX655404:FJZ655404 FTT655404:FTV655404 GDP655404:GDR655404 GNL655404:GNN655404 GXH655404:GXJ655404 HHD655404:HHF655404 HQZ655404:HRB655404 IAV655404:IAX655404 IKR655404:IKT655404 IUN655404:IUP655404 JEJ655404:JEL655404 JOF655404:JOH655404 JYB655404:JYD655404 KHX655404:KHZ655404 KRT655404:KRV655404 LBP655404:LBR655404 LLL655404:LLN655404 LVH655404:LVJ655404 MFD655404:MFF655404 MOZ655404:MPB655404 MYV655404:MYX655404 NIR655404:NIT655404 NSN655404:NSP655404 OCJ655404:OCL655404 OMF655404:OMH655404 OWB655404:OWD655404 PFX655404:PFZ655404 PPT655404:PPV655404 PZP655404:PZR655404 QJL655404:QJN655404 QTH655404:QTJ655404 RDD655404:RDF655404 RMZ655404:RNB655404 RWV655404:RWX655404 SGR655404:SGT655404 SQN655404:SQP655404 TAJ655404:TAL655404 TKF655404:TKH655404 TUB655404:TUD655404 UDX655404:UDZ655404 UNT655404:UNV655404 UXP655404:UXR655404 VHL655404:VHN655404 VRH655404:VRJ655404 WBD655404:WBF655404 WKZ655404:WLB655404 WUV655404:WUX655404 IJ720940:IL720940 SF720940:SH720940 ACB720940:ACD720940 ALX720940:ALZ720940 AVT720940:AVV720940 BFP720940:BFR720940 BPL720940:BPN720940 BZH720940:BZJ720940 CJD720940:CJF720940 CSZ720940:CTB720940 DCV720940:DCX720940 DMR720940:DMT720940 DWN720940:DWP720940 EGJ720940:EGL720940 EQF720940:EQH720940 FAB720940:FAD720940 FJX720940:FJZ720940 FTT720940:FTV720940 GDP720940:GDR720940 GNL720940:GNN720940 GXH720940:GXJ720940 HHD720940:HHF720940 HQZ720940:HRB720940 IAV720940:IAX720940 IKR720940:IKT720940 IUN720940:IUP720940 JEJ720940:JEL720940 JOF720940:JOH720940 JYB720940:JYD720940 KHX720940:KHZ720940 KRT720940:KRV720940 LBP720940:LBR720940 LLL720940:LLN720940 LVH720940:LVJ720940 MFD720940:MFF720940 MOZ720940:MPB720940 MYV720940:MYX720940 NIR720940:NIT720940 NSN720940:NSP720940 OCJ720940:OCL720940 OMF720940:OMH720940 OWB720940:OWD720940 PFX720940:PFZ720940 PPT720940:PPV720940 PZP720940:PZR720940 QJL720940:QJN720940 QTH720940:QTJ720940 RDD720940:RDF720940 RMZ720940:RNB720940 RWV720940:RWX720940 SGR720940:SGT720940 SQN720940:SQP720940 TAJ720940:TAL720940 TKF720940:TKH720940 TUB720940:TUD720940 UDX720940:UDZ720940 UNT720940:UNV720940 UXP720940:UXR720940 VHL720940:VHN720940 VRH720940:VRJ720940 WBD720940:WBF720940 WKZ720940:WLB720940 WUV720940:WUX720940 IJ786476:IL786476 SF786476:SH786476 ACB786476:ACD786476 ALX786476:ALZ786476 AVT786476:AVV786476 BFP786476:BFR786476 BPL786476:BPN786476 BZH786476:BZJ786476 CJD786476:CJF786476 CSZ786476:CTB786476 DCV786476:DCX786476 DMR786476:DMT786476 DWN786476:DWP786476 EGJ786476:EGL786476 EQF786476:EQH786476 FAB786476:FAD786476 FJX786476:FJZ786476 FTT786476:FTV786476 GDP786476:GDR786476 GNL786476:GNN786476 GXH786476:GXJ786476 HHD786476:HHF786476 HQZ786476:HRB786476 IAV786476:IAX786476 IKR786476:IKT786476 IUN786476:IUP786476 JEJ786476:JEL786476 JOF786476:JOH786476 JYB786476:JYD786476 KHX786476:KHZ786476 KRT786476:KRV786476 LBP786476:LBR786476 LLL786476:LLN786476 LVH786476:LVJ786476 MFD786476:MFF786476 MOZ786476:MPB786476 MYV786476:MYX786476 NIR786476:NIT786476 NSN786476:NSP786476 OCJ786476:OCL786476 OMF786476:OMH786476 OWB786476:OWD786476 PFX786476:PFZ786476 PPT786476:PPV786476 PZP786476:PZR786476 QJL786476:QJN786476 QTH786476:QTJ786476 RDD786476:RDF786476 RMZ786476:RNB786476 RWV786476:RWX786476 SGR786476:SGT786476 SQN786476:SQP786476 TAJ786476:TAL786476 TKF786476:TKH786476 TUB786476:TUD786476 UDX786476:UDZ786476 UNT786476:UNV786476 UXP786476:UXR786476 VHL786476:VHN786476 VRH786476:VRJ786476 WBD786476:WBF786476 WKZ786476:WLB786476 WUV786476:WUX786476 IJ852012:IL852012 SF852012:SH852012 ACB852012:ACD852012 ALX852012:ALZ852012 AVT852012:AVV852012 BFP852012:BFR852012 BPL852012:BPN852012 BZH852012:BZJ852012 CJD852012:CJF852012 CSZ852012:CTB852012 DCV852012:DCX852012 DMR852012:DMT852012 DWN852012:DWP852012 EGJ852012:EGL852012 EQF852012:EQH852012 FAB852012:FAD852012 FJX852012:FJZ852012 FTT852012:FTV852012 GDP852012:GDR852012 GNL852012:GNN852012 GXH852012:GXJ852012 HHD852012:HHF852012 HQZ852012:HRB852012 IAV852012:IAX852012 IKR852012:IKT852012 IUN852012:IUP852012 JEJ852012:JEL852012 JOF852012:JOH852012 JYB852012:JYD852012 KHX852012:KHZ852012 KRT852012:KRV852012 LBP852012:LBR852012 LLL852012:LLN852012 LVH852012:LVJ852012 MFD852012:MFF852012 MOZ852012:MPB852012 MYV852012:MYX852012 NIR852012:NIT852012 NSN852012:NSP852012 OCJ852012:OCL852012 OMF852012:OMH852012 OWB852012:OWD852012 PFX852012:PFZ852012 PPT852012:PPV852012 PZP852012:PZR852012 QJL852012:QJN852012 QTH852012:QTJ852012 RDD852012:RDF852012 RMZ852012:RNB852012 RWV852012:RWX852012 SGR852012:SGT852012 SQN852012:SQP852012 TAJ852012:TAL852012 TKF852012:TKH852012 TUB852012:TUD852012 UDX852012:UDZ852012 UNT852012:UNV852012 UXP852012:UXR852012 VHL852012:VHN852012 VRH852012:VRJ852012 WBD852012:WBF852012 WKZ852012:WLB852012 WUV852012:WUX852012 IJ917548:IL917548 SF917548:SH917548 ACB917548:ACD917548 ALX917548:ALZ917548 AVT917548:AVV917548 BFP917548:BFR917548 BPL917548:BPN917548 BZH917548:BZJ917548 CJD917548:CJF917548 CSZ917548:CTB917548 DCV917548:DCX917548 DMR917548:DMT917548 DWN917548:DWP917548 EGJ917548:EGL917548 EQF917548:EQH917548 FAB917548:FAD917548 FJX917548:FJZ917548 FTT917548:FTV917548 GDP917548:GDR917548 GNL917548:GNN917548 GXH917548:GXJ917548 HHD917548:HHF917548 HQZ917548:HRB917548 IAV917548:IAX917548 IKR917548:IKT917548 IUN917548:IUP917548 JEJ917548:JEL917548 JOF917548:JOH917548 JYB917548:JYD917548 KHX917548:KHZ917548 KRT917548:KRV917548 LBP917548:LBR917548 LLL917548:LLN917548 LVH917548:LVJ917548 MFD917548:MFF917548 MOZ917548:MPB917548 MYV917548:MYX917548 NIR917548:NIT917548 NSN917548:NSP917548 OCJ917548:OCL917548 OMF917548:OMH917548 OWB917548:OWD917548 PFX917548:PFZ917548 PPT917548:PPV917548 PZP917548:PZR917548 QJL917548:QJN917548 QTH917548:QTJ917548 RDD917548:RDF917548 RMZ917548:RNB917548 RWV917548:RWX917548 SGR917548:SGT917548 SQN917548:SQP917548 TAJ917548:TAL917548 TKF917548:TKH917548 TUB917548:TUD917548 UDX917548:UDZ917548 UNT917548:UNV917548 UXP917548:UXR917548 VHL917548:VHN917548 VRH917548:VRJ917548 WBD917548:WBF917548 WKZ917548:WLB917548 WUV917548:WUX917548 IJ983084:IL983084 SF983084:SH983084 ACB983084:ACD983084 ALX983084:ALZ983084 AVT983084:AVV983084 BFP983084:BFR983084 BPL983084:BPN983084 BZH983084:BZJ983084 CJD983084:CJF983084 CSZ983084:CTB983084 DCV983084:DCX983084 DMR983084:DMT983084 DWN983084:DWP983084 EGJ983084:EGL983084 EQF983084:EQH983084 FAB983084:FAD983084 FJX983084:FJZ983084 FTT983084:FTV983084 GDP983084:GDR983084 GNL983084:GNN983084 GXH983084:GXJ983084 HHD983084:HHF983084 HQZ983084:HRB983084 IAV983084:IAX983084 IKR983084:IKT983084 IUN983084:IUP983084 JEJ983084:JEL983084 JOF983084:JOH983084 JYB983084:JYD983084 KHX983084:KHZ983084 KRT983084:KRV983084 LBP983084:LBR983084 LLL983084:LLN983084 LVH983084:LVJ983084 MFD983084:MFF983084 MOZ983084:MPB983084 MYV983084:MYX983084 NIR983084:NIT983084 NSN983084:NSP983084 OCJ983084:OCL983084 OMF983084:OMH983084 OWB983084:OWD983084 PFX983084:PFZ983084 PPT983084:PPV983084 PZP983084:PZR983084 QJL983084:QJN983084 QTH983084:QTJ983084 RDD983084:RDF983084 RMZ983084:RNB983084 RWV983084:RWX983084 SGR983084:SGT983084 SQN983084:SQP983084 TAJ983084:TAL983084 TKF983084:TKH983084 TUB983084:TUD983084 UDX983084:UDZ983084 UNT983084:UNV983084 UXP983084:UXR983084 VHL983084:VHN983084 VRH983084:VRJ983084 WBD983084:WBF983084 WKZ983084:WLB983084 WUV983084:WUX983084 IJ54:IL54 SF54:SH54 ACB54:ACD54 ALX54:ALZ54 AVT54:AVV54 BFP54:BFR54 BPL54:BPN54 BZH54:BZJ54 CJD54:CJF54 CSZ54:CTB54 DCV54:DCX54 DMR54:DMT54 DWN54:DWP54 EGJ54:EGL54 EQF54:EQH54 FAB54:FAD54 FJX54:FJZ54 FTT54:FTV54 GDP54:GDR54 GNL54:GNN54 GXH54:GXJ54 HHD54:HHF54 HQZ54:HRB54 IAV54:IAX54 IKR54:IKT54 IUN54:IUP54 JEJ54:JEL54 JOF54:JOH54 JYB54:JYD54 KHX54:KHZ54 KRT54:KRV54 LBP54:LBR54 LLL54:LLN54 LVH54:LVJ54 MFD54:MFF54 MOZ54:MPB54 MYV54:MYX54 NIR54:NIT54 NSN54:NSP54 OCJ54:OCL54 OMF54:OMH54 OWB54:OWD54 PFX54:PFZ54 PPT54:PPV54 PZP54:PZR54 QJL54:QJN54 QTH54:QTJ54 RDD54:RDF54 RMZ54:RNB54 RWV54:RWX54 SGR54:SGT54 SQN54:SQP54 TAJ54:TAL54 TKF54:TKH54 TUB54:TUD54 UDX54:UDZ54 UNT54:UNV54 UXP54:UXR54 VHL54:VHN54 VRH54:VRJ54 WBD54:WBF54 WKZ54:WLB54 WUV54:WUX54 IJ65590:IL65590 SF65590:SH65590 ACB65590:ACD65590 ALX65590:ALZ65590 AVT65590:AVV65590 BFP65590:BFR65590 BPL65590:BPN65590 BZH65590:BZJ65590 CJD65590:CJF65590 CSZ65590:CTB65590 DCV65590:DCX65590 DMR65590:DMT65590 DWN65590:DWP65590 EGJ65590:EGL65590 EQF65590:EQH65590 FAB65590:FAD65590 FJX65590:FJZ65590 FTT65590:FTV65590 GDP65590:GDR65590 GNL65590:GNN65590 GXH65590:GXJ65590 HHD65590:HHF65590 HQZ65590:HRB65590 IAV65590:IAX65590 IKR65590:IKT65590 IUN65590:IUP65590 JEJ65590:JEL65590 JOF65590:JOH65590 JYB65590:JYD65590 KHX65590:KHZ65590 KRT65590:KRV65590 LBP65590:LBR65590 LLL65590:LLN65590 LVH65590:LVJ65590 MFD65590:MFF65590 MOZ65590:MPB65590 MYV65590:MYX65590 NIR65590:NIT65590 NSN65590:NSP65590 OCJ65590:OCL65590 OMF65590:OMH65590 OWB65590:OWD65590 PFX65590:PFZ65590 PPT65590:PPV65590 PZP65590:PZR65590 QJL65590:QJN65590 QTH65590:QTJ65590 RDD65590:RDF65590 RMZ65590:RNB65590 RWV65590:RWX65590 SGR65590:SGT65590 SQN65590:SQP65590 TAJ65590:TAL65590 TKF65590:TKH65590 TUB65590:TUD65590 UDX65590:UDZ65590 UNT65590:UNV65590 UXP65590:UXR65590 VHL65590:VHN65590 VRH65590:VRJ65590 WBD65590:WBF65590 WKZ65590:WLB65590 WUV65590:WUX65590 IJ131126:IL131126 SF131126:SH131126 ACB131126:ACD131126 ALX131126:ALZ131126 AVT131126:AVV131126 BFP131126:BFR131126 BPL131126:BPN131126 BZH131126:BZJ131126 CJD131126:CJF131126 CSZ131126:CTB131126 DCV131126:DCX131126 DMR131126:DMT131126 DWN131126:DWP131126 EGJ131126:EGL131126 EQF131126:EQH131126 FAB131126:FAD131126 FJX131126:FJZ131126 FTT131126:FTV131126 GDP131126:GDR131126 GNL131126:GNN131126 GXH131126:GXJ131126 HHD131126:HHF131126 HQZ131126:HRB131126 IAV131126:IAX131126 IKR131126:IKT131126 IUN131126:IUP131126 JEJ131126:JEL131126 JOF131126:JOH131126 JYB131126:JYD131126 KHX131126:KHZ131126 KRT131126:KRV131126 LBP131126:LBR131126 LLL131126:LLN131126 LVH131126:LVJ131126 MFD131126:MFF131126 MOZ131126:MPB131126 MYV131126:MYX131126 NIR131126:NIT131126 NSN131126:NSP131126 OCJ131126:OCL131126 OMF131126:OMH131126 OWB131126:OWD131126 PFX131126:PFZ131126 PPT131126:PPV131126 PZP131126:PZR131126 QJL131126:QJN131126 QTH131126:QTJ131126 RDD131126:RDF131126 RMZ131126:RNB131126 RWV131126:RWX131126 SGR131126:SGT131126 SQN131126:SQP131126 TAJ131126:TAL131126 TKF131126:TKH131126 TUB131126:TUD131126 UDX131126:UDZ131126 UNT131126:UNV131126 UXP131126:UXR131126 VHL131126:VHN131126 VRH131126:VRJ131126 WBD131126:WBF131126 WKZ131126:WLB131126 WUV131126:WUX131126 IJ196662:IL196662 SF196662:SH196662 ACB196662:ACD196662 ALX196662:ALZ196662 AVT196662:AVV196662 BFP196662:BFR196662 BPL196662:BPN196662 BZH196662:BZJ196662 CJD196662:CJF196662 CSZ196662:CTB196662 DCV196662:DCX196662 DMR196662:DMT196662 DWN196662:DWP196662 EGJ196662:EGL196662 EQF196662:EQH196662 FAB196662:FAD196662 FJX196662:FJZ196662 FTT196662:FTV196662 GDP196662:GDR196662 GNL196662:GNN196662 GXH196662:GXJ196662 HHD196662:HHF196662 HQZ196662:HRB196662 IAV196662:IAX196662 IKR196662:IKT196662 IUN196662:IUP196662 JEJ196662:JEL196662 JOF196662:JOH196662 JYB196662:JYD196662 KHX196662:KHZ196662 KRT196662:KRV196662 LBP196662:LBR196662 LLL196662:LLN196662 LVH196662:LVJ196662 MFD196662:MFF196662 MOZ196662:MPB196662 MYV196662:MYX196662 NIR196662:NIT196662 NSN196662:NSP196662 OCJ196662:OCL196662 OMF196662:OMH196662 OWB196662:OWD196662 PFX196662:PFZ196662 PPT196662:PPV196662 PZP196662:PZR196662 QJL196662:QJN196662 QTH196662:QTJ196662 RDD196662:RDF196662 RMZ196662:RNB196662 RWV196662:RWX196662 SGR196662:SGT196662 SQN196662:SQP196662 TAJ196662:TAL196662 TKF196662:TKH196662 TUB196662:TUD196662 UDX196662:UDZ196662 UNT196662:UNV196662 UXP196662:UXR196662 VHL196662:VHN196662 VRH196662:VRJ196662 WBD196662:WBF196662 WKZ196662:WLB196662 WUV196662:WUX196662 IJ262198:IL262198 SF262198:SH262198 ACB262198:ACD262198 ALX262198:ALZ262198 AVT262198:AVV262198 BFP262198:BFR262198 BPL262198:BPN262198 BZH262198:BZJ262198 CJD262198:CJF262198 CSZ262198:CTB262198 DCV262198:DCX262198 DMR262198:DMT262198 DWN262198:DWP262198 EGJ262198:EGL262198 EQF262198:EQH262198 FAB262198:FAD262198 FJX262198:FJZ262198 FTT262198:FTV262198 GDP262198:GDR262198 GNL262198:GNN262198 GXH262198:GXJ262198 HHD262198:HHF262198 HQZ262198:HRB262198 IAV262198:IAX262198 IKR262198:IKT262198 IUN262198:IUP262198 JEJ262198:JEL262198 JOF262198:JOH262198 JYB262198:JYD262198 KHX262198:KHZ262198 KRT262198:KRV262198 LBP262198:LBR262198 LLL262198:LLN262198 LVH262198:LVJ262198 MFD262198:MFF262198 MOZ262198:MPB262198 MYV262198:MYX262198 NIR262198:NIT262198 NSN262198:NSP262198 OCJ262198:OCL262198 OMF262198:OMH262198 OWB262198:OWD262198 PFX262198:PFZ262198 PPT262198:PPV262198 PZP262198:PZR262198 QJL262198:QJN262198 QTH262198:QTJ262198 RDD262198:RDF262198 RMZ262198:RNB262198 RWV262198:RWX262198 SGR262198:SGT262198 SQN262198:SQP262198 TAJ262198:TAL262198 TKF262198:TKH262198 TUB262198:TUD262198 UDX262198:UDZ262198 UNT262198:UNV262198 UXP262198:UXR262198 VHL262198:VHN262198 VRH262198:VRJ262198 WBD262198:WBF262198 WKZ262198:WLB262198 WUV262198:WUX262198 IJ327734:IL327734 SF327734:SH327734 ACB327734:ACD327734 ALX327734:ALZ327734 AVT327734:AVV327734 BFP327734:BFR327734 BPL327734:BPN327734 BZH327734:BZJ327734 CJD327734:CJF327734 CSZ327734:CTB327734 DCV327734:DCX327734 DMR327734:DMT327734 DWN327734:DWP327734 EGJ327734:EGL327734 EQF327734:EQH327734 FAB327734:FAD327734 FJX327734:FJZ327734 FTT327734:FTV327734 GDP327734:GDR327734 GNL327734:GNN327734 GXH327734:GXJ327734 HHD327734:HHF327734 HQZ327734:HRB327734 IAV327734:IAX327734 IKR327734:IKT327734 IUN327734:IUP327734 JEJ327734:JEL327734 JOF327734:JOH327734 JYB327734:JYD327734 KHX327734:KHZ327734 KRT327734:KRV327734 LBP327734:LBR327734 LLL327734:LLN327734 LVH327734:LVJ327734 MFD327734:MFF327734 MOZ327734:MPB327734 MYV327734:MYX327734 NIR327734:NIT327734 NSN327734:NSP327734 OCJ327734:OCL327734 OMF327734:OMH327734 OWB327734:OWD327734 PFX327734:PFZ327734 PPT327734:PPV327734 PZP327734:PZR327734 QJL327734:QJN327734 QTH327734:QTJ327734 RDD327734:RDF327734 RMZ327734:RNB327734 RWV327734:RWX327734 SGR327734:SGT327734 SQN327734:SQP327734 TAJ327734:TAL327734 TKF327734:TKH327734 TUB327734:TUD327734 UDX327734:UDZ327734 UNT327734:UNV327734 UXP327734:UXR327734 VHL327734:VHN327734 VRH327734:VRJ327734 WBD327734:WBF327734 WKZ327734:WLB327734 WUV327734:WUX327734 IJ393270:IL393270 SF393270:SH393270 ACB393270:ACD393270 ALX393270:ALZ393270 AVT393270:AVV393270 BFP393270:BFR393270 BPL393270:BPN393270 BZH393270:BZJ393270 CJD393270:CJF393270 CSZ393270:CTB393270 DCV393270:DCX393270 DMR393270:DMT393270 DWN393270:DWP393270 EGJ393270:EGL393270 EQF393270:EQH393270 FAB393270:FAD393270 FJX393270:FJZ393270 FTT393270:FTV393270 GDP393270:GDR393270 GNL393270:GNN393270 GXH393270:GXJ393270 HHD393270:HHF393270 HQZ393270:HRB393270 IAV393270:IAX393270 IKR393270:IKT393270 IUN393270:IUP393270 JEJ393270:JEL393270 JOF393270:JOH393270 JYB393270:JYD393270 KHX393270:KHZ393270 KRT393270:KRV393270 LBP393270:LBR393270 LLL393270:LLN393270 LVH393270:LVJ393270 MFD393270:MFF393270 MOZ393270:MPB393270 MYV393270:MYX393270 NIR393270:NIT393270 NSN393270:NSP393270 OCJ393270:OCL393270 OMF393270:OMH393270 OWB393270:OWD393270 PFX393270:PFZ393270 PPT393270:PPV393270 PZP393270:PZR393270 QJL393270:QJN393270 QTH393270:QTJ393270 RDD393270:RDF393270 RMZ393270:RNB393270 RWV393270:RWX393270 SGR393270:SGT393270 SQN393270:SQP393270 TAJ393270:TAL393270 TKF393270:TKH393270 TUB393270:TUD393270 UDX393270:UDZ393270 UNT393270:UNV393270 UXP393270:UXR393270 VHL393270:VHN393270 VRH393270:VRJ393270 WBD393270:WBF393270 WKZ393270:WLB393270 WUV393270:WUX393270 IJ458806:IL458806 SF458806:SH458806 ACB458806:ACD458806 ALX458806:ALZ458806 AVT458806:AVV458806 BFP458806:BFR458806 BPL458806:BPN458806 BZH458806:BZJ458806 CJD458806:CJF458806 CSZ458806:CTB458806 DCV458806:DCX458806 DMR458806:DMT458806 DWN458806:DWP458806 EGJ458806:EGL458806 EQF458806:EQH458806 FAB458806:FAD458806 FJX458806:FJZ458806 FTT458806:FTV458806 GDP458806:GDR458806 GNL458806:GNN458806 GXH458806:GXJ458806 HHD458806:HHF458806 HQZ458806:HRB458806 IAV458806:IAX458806 IKR458806:IKT458806 IUN458806:IUP458806 JEJ458806:JEL458806 JOF458806:JOH458806 JYB458806:JYD458806 KHX458806:KHZ458806 KRT458806:KRV458806 LBP458806:LBR458806 LLL458806:LLN458806 LVH458806:LVJ458806 MFD458806:MFF458806 MOZ458806:MPB458806 MYV458806:MYX458806 NIR458806:NIT458806 NSN458806:NSP458806 OCJ458806:OCL458806 OMF458806:OMH458806 OWB458806:OWD458806 PFX458806:PFZ458806 PPT458806:PPV458806 PZP458806:PZR458806 QJL458806:QJN458806 QTH458806:QTJ458806 RDD458806:RDF458806 RMZ458806:RNB458806 RWV458806:RWX458806 SGR458806:SGT458806 SQN458806:SQP458806 TAJ458806:TAL458806 TKF458806:TKH458806 TUB458806:TUD458806 UDX458806:UDZ458806 UNT458806:UNV458806 UXP458806:UXR458806 VHL458806:VHN458806 VRH458806:VRJ458806 WBD458806:WBF458806 WKZ458806:WLB458806 WUV458806:WUX458806 IJ524342:IL524342 SF524342:SH524342 ACB524342:ACD524342 ALX524342:ALZ524342 AVT524342:AVV524342 BFP524342:BFR524342 BPL524342:BPN524342 BZH524342:BZJ524342 CJD524342:CJF524342 CSZ524342:CTB524342 DCV524342:DCX524342 DMR524342:DMT524342 DWN524342:DWP524342 EGJ524342:EGL524342 EQF524342:EQH524342 FAB524342:FAD524342 FJX524342:FJZ524342 FTT524342:FTV524342 GDP524342:GDR524342 GNL524342:GNN524342 GXH524342:GXJ524342 HHD524342:HHF524342 HQZ524342:HRB524342 IAV524342:IAX524342 IKR524342:IKT524342 IUN524342:IUP524342 JEJ524342:JEL524342 JOF524342:JOH524342 JYB524342:JYD524342 KHX524342:KHZ524342 KRT524342:KRV524342 LBP524342:LBR524342 LLL524342:LLN524342 LVH524342:LVJ524342 MFD524342:MFF524342 MOZ524342:MPB524342 MYV524342:MYX524342 NIR524342:NIT524342 NSN524342:NSP524342 OCJ524342:OCL524342 OMF524342:OMH524342 OWB524342:OWD524342 PFX524342:PFZ524342 PPT524342:PPV524342 PZP524342:PZR524342 QJL524342:QJN524342 QTH524342:QTJ524342 RDD524342:RDF524342 RMZ524342:RNB524342 RWV524342:RWX524342 SGR524342:SGT524342 SQN524342:SQP524342 TAJ524342:TAL524342 TKF524342:TKH524342 TUB524342:TUD524342 UDX524342:UDZ524342 UNT524342:UNV524342 UXP524342:UXR524342 VHL524342:VHN524342 VRH524342:VRJ524342 WBD524342:WBF524342 WKZ524342:WLB524342 WUV524342:WUX524342 IJ589878:IL589878 SF589878:SH589878 ACB589878:ACD589878 ALX589878:ALZ589878 AVT589878:AVV589878 BFP589878:BFR589878 BPL589878:BPN589878 BZH589878:BZJ589878 CJD589878:CJF589878 CSZ589878:CTB589878 DCV589878:DCX589878 DMR589878:DMT589878 DWN589878:DWP589878 EGJ589878:EGL589878 EQF589878:EQH589878 FAB589878:FAD589878 FJX589878:FJZ589878 FTT589878:FTV589878 GDP589878:GDR589878 GNL589878:GNN589878 GXH589878:GXJ589878 HHD589878:HHF589878 HQZ589878:HRB589878 IAV589878:IAX589878 IKR589878:IKT589878 IUN589878:IUP589878 JEJ589878:JEL589878 JOF589878:JOH589878 JYB589878:JYD589878 KHX589878:KHZ589878 KRT589878:KRV589878 LBP589878:LBR589878 LLL589878:LLN589878 LVH589878:LVJ589878 MFD589878:MFF589878 MOZ589878:MPB589878 MYV589878:MYX589878 NIR589878:NIT589878 NSN589878:NSP589878 OCJ589878:OCL589878 OMF589878:OMH589878 OWB589878:OWD589878 PFX589878:PFZ589878 PPT589878:PPV589878 PZP589878:PZR589878 QJL589878:QJN589878 QTH589878:QTJ589878 RDD589878:RDF589878 RMZ589878:RNB589878 RWV589878:RWX589878 SGR589878:SGT589878 SQN589878:SQP589878 TAJ589878:TAL589878 TKF589878:TKH589878 TUB589878:TUD589878 UDX589878:UDZ589878 UNT589878:UNV589878 UXP589878:UXR589878 VHL589878:VHN589878 VRH589878:VRJ589878 WBD589878:WBF589878 WKZ589878:WLB589878 WUV589878:WUX589878 IJ655414:IL655414 SF655414:SH655414 ACB655414:ACD655414 ALX655414:ALZ655414 AVT655414:AVV655414 BFP655414:BFR655414 BPL655414:BPN655414 BZH655414:BZJ655414 CJD655414:CJF655414 CSZ655414:CTB655414 DCV655414:DCX655414 DMR655414:DMT655414 DWN655414:DWP655414 EGJ655414:EGL655414 EQF655414:EQH655414 FAB655414:FAD655414 FJX655414:FJZ655414 FTT655414:FTV655414 GDP655414:GDR655414 GNL655414:GNN655414 GXH655414:GXJ655414 HHD655414:HHF655414 HQZ655414:HRB655414 IAV655414:IAX655414 IKR655414:IKT655414 IUN655414:IUP655414 JEJ655414:JEL655414 JOF655414:JOH655414 JYB655414:JYD655414 KHX655414:KHZ655414 KRT655414:KRV655414 LBP655414:LBR655414 LLL655414:LLN655414 LVH655414:LVJ655414 MFD655414:MFF655414 MOZ655414:MPB655414 MYV655414:MYX655414 NIR655414:NIT655414 NSN655414:NSP655414 OCJ655414:OCL655414 OMF655414:OMH655414 OWB655414:OWD655414 PFX655414:PFZ655414 PPT655414:PPV655414 PZP655414:PZR655414 QJL655414:QJN655414 QTH655414:QTJ655414 RDD655414:RDF655414 RMZ655414:RNB655414 RWV655414:RWX655414 SGR655414:SGT655414 SQN655414:SQP655414 TAJ655414:TAL655414 TKF655414:TKH655414 TUB655414:TUD655414 UDX655414:UDZ655414 UNT655414:UNV655414 UXP655414:UXR655414 VHL655414:VHN655414 VRH655414:VRJ655414 WBD655414:WBF655414 WKZ655414:WLB655414 WUV655414:WUX655414 IJ720950:IL720950 SF720950:SH720950 ACB720950:ACD720950 ALX720950:ALZ720950 AVT720950:AVV720950 BFP720950:BFR720950 BPL720950:BPN720950 BZH720950:BZJ720950 CJD720950:CJF720950 CSZ720950:CTB720950 DCV720950:DCX720950 DMR720950:DMT720950 DWN720950:DWP720950 EGJ720950:EGL720950 EQF720950:EQH720950 FAB720950:FAD720950 FJX720950:FJZ720950 FTT720950:FTV720950 GDP720950:GDR720950 GNL720950:GNN720950 GXH720950:GXJ720950 HHD720950:HHF720950 HQZ720950:HRB720950 IAV720950:IAX720950 IKR720950:IKT720950 IUN720950:IUP720950 JEJ720950:JEL720950 JOF720950:JOH720950 JYB720950:JYD720950 KHX720950:KHZ720950 KRT720950:KRV720950 LBP720950:LBR720950 LLL720950:LLN720950 LVH720950:LVJ720950 MFD720950:MFF720950 MOZ720950:MPB720950 MYV720950:MYX720950 NIR720950:NIT720950 NSN720950:NSP720950 OCJ720950:OCL720950 OMF720950:OMH720950 OWB720950:OWD720950 PFX720950:PFZ720950 PPT720950:PPV720950 PZP720950:PZR720950 QJL720950:QJN720950 QTH720950:QTJ720950 RDD720950:RDF720950 RMZ720950:RNB720950 RWV720950:RWX720950 SGR720950:SGT720950 SQN720950:SQP720950 TAJ720950:TAL720950 TKF720950:TKH720950 TUB720950:TUD720950 UDX720950:UDZ720950 UNT720950:UNV720950 UXP720950:UXR720950 VHL720950:VHN720950 VRH720950:VRJ720950 WBD720950:WBF720950 WKZ720950:WLB720950 WUV720950:WUX720950 IJ786486:IL786486 SF786486:SH786486 ACB786486:ACD786486 ALX786486:ALZ786486 AVT786486:AVV786486 BFP786486:BFR786486 BPL786486:BPN786486 BZH786486:BZJ786486 CJD786486:CJF786486 CSZ786486:CTB786486 DCV786486:DCX786486 DMR786486:DMT786486 DWN786486:DWP786486 EGJ786486:EGL786486 EQF786486:EQH786486 FAB786486:FAD786486 FJX786486:FJZ786486 FTT786486:FTV786486 GDP786486:GDR786486 GNL786486:GNN786486 GXH786486:GXJ786486 HHD786486:HHF786486 HQZ786486:HRB786486 IAV786486:IAX786486 IKR786486:IKT786486 IUN786486:IUP786486 JEJ786486:JEL786486 JOF786486:JOH786486 JYB786486:JYD786486 KHX786486:KHZ786486 KRT786486:KRV786486 LBP786486:LBR786486 LLL786486:LLN786486 LVH786486:LVJ786486 MFD786486:MFF786486 MOZ786486:MPB786486 MYV786486:MYX786486 NIR786486:NIT786486 NSN786486:NSP786486 OCJ786486:OCL786486 OMF786486:OMH786486 OWB786486:OWD786486 PFX786486:PFZ786486 PPT786486:PPV786486 PZP786486:PZR786486 QJL786486:QJN786486 QTH786486:QTJ786486 RDD786486:RDF786486 RMZ786486:RNB786486 RWV786486:RWX786486 SGR786486:SGT786486 SQN786486:SQP786486 TAJ786486:TAL786486 TKF786486:TKH786486 TUB786486:TUD786486 UDX786486:UDZ786486 UNT786486:UNV786486 UXP786486:UXR786486 VHL786486:VHN786486 VRH786486:VRJ786486 WBD786486:WBF786486 WKZ786486:WLB786486 WUV786486:WUX786486 IJ852022:IL852022 SF852022:SH852022 ACB852022:ACD852022 ALX852022:ALZ852022 AVT852022:AVV852022 BFP852022:BFR852022 BPL852022:BPN852022 BZH852022:BZJ852022 CJD852022:CJF852022 CSZ852022:CTB852022 DCV852022:DCX852022 DMR852022:DMT852022 DWN852022:DWP852022 EGJ852022:EGL852022 EQF852022:EQH852022 FAB852022:FAD852022 FJX852022:FJZ852022 FTT852022:FTV852022 GDP852022:GDR852022 GNL852022:GNN852022 GXH852022:GXJ852022 HHD852022:HHF852022 HQZ852022:HRB852022 IAV852022:IAX852022 IKR852022:IKT852022 IUN852022:IUP852022 JEJ852022:JEL852022 JOF852022:JOH852022 JYB852022:JYD852022 KHX852022:KHZ852022 KRT852022:KRV852022 LBP852022:LBR852022 LLL852022:LLN852022 LVH852022:LVJ852022 MFD852022:MFF852022 MOZ852022:MPB852022 MYV852022:MYX852022 NIR852022:NIT852022 NSN852022:NSP852022 OCJ852022:OCL852022 OMF852022:OMH852022 OWB852022:OWD852022 PFX852022:PFZ852022 PPT852022:PPV852022 PZP852022:PZR852022 QJL852022:QJN852022 QTH852022:QTJ852022 RDD852022:RDF852022 RMZ852022:RNB852022 RWV852022:RWX852022 SGR852022:SGT852022 SQN852022:SQP852022 TAJ852022:TAL852022 TKF852022:TKH852022 TUB852022:TUD852022 UDX852022:UDZ852022 UNT852022:UNV852022 UXP852022:UXR852022 VHL852022:VHN852022 VRH852022:VRJ852022 WBD852022:WBF852022 WKZ852022:WLB852022 WUV852022:WUX852022 IJ917558:IL917558 SF917558:SH917558 ACB917558:ACD917558 ALX917558:ALZ917558 AVT917558:AVV917558 BFP917558:BFR917558 BPL917558:BPN917558 BZH917558:BZJ917558 CJD917558:CJF917558 CSZ917558:CTB917558 DCV917558:DCX917558 DMR917558:DMT917558 DWN917558:DWP917558 EGJ917558:EGL917558 EQF917558:EQH917558 FAB917558:FAD917558 FJX917558:FJZ917558 FTT917558:FTV917558 GDP917558:GDR917558 GNL917558:GNN917558 GXH917558:GXJ917558 HHD917558:HHF917558 HQZ917558:HRB917558 IAV917558:IAX917558 IKR917558:IKT917558 IUN917558:IUP917558 JEJ917558:JEL917558 JOF917558:JOH917558 JYB917558:JYD917558 KHX917558:KHZ917558 KRT917558:KRV917558 LBP917558:LBR917558 LLL917558:LLN917558 LVH917558:LVJ917558 MFD917558:MFF917558 MOZ917558:MPB917558 MYV917558:MYX917558 NIR917558:NIT917558 NSN917558:NSP917558 OCJ917558:OCL917558 OMF917558:OMH917558 OWB917558:OWD917558 PFX917558:PFZ917558 PPT917558:PPV917558 PZP917558:PZR917558 QJL917558:QJN917558 QTH917558:QTJ917558 RDD917558:RDF917558 RMZ917558:RNB917558 RWV917558:RWX917558 SGR917558:SGT917558 SQN917558:SQP917558 TAJ917558:TAL917558 TKF917558:TKH917558 TUB917558:TUD917558 UDX917558:UDZ917558 UNT917558:UNV917558 UXP917558:UXR917558 VHL917558:VHN917558 VRH917558:VRJ917558 WBD917558:WBF917558 WKZ917558:WLB917558 WUV917558:WUX917558 IJ983094:IL983094 SF983094:SH983094 ACB983094:ACD983094 ALX983094:ALZ983094 AVT983094:AVV983094 BFP983094:BFR983094 BPL983094:BPN983094 BZH983094:BZJ983094 CJD983094:CJF983094 CSZ983094:CTB983094 DCV983094:DCX983094 DMR983094:DMT983094 DWN983094:DWP983094 EGJ983094:EGL983094 EQF983094:EQH983094 FAB983094:FAD983094 FJX983094:FJZ983094 FTT983094:FTV983094 GDP983094:GDR983094 GNL983094:GNN983094 GXH983094:GXJ983094 HHD983094:HHF983094 HQZ983094:HRB983094 IAV983094:IAX983094 IKR983094:IKT983094 IUN983094:IUP983094 JEJ983094:JEL983094 JOF983094:JOH983094 JYB983094:JYD983094 KHX983094:KHZ983094 KRT983094:KRV983094 LBP983094:LBR983094 LLL983094:LLN983094 LVH983094:LVJ983094 MFD983094:MFF983094 MOZ983094:MPB983094 MYV983094:MYX983094 NIR983094:NIT983094 NSN983094:NSP983094 OCJ983094:OCL983094 OMF983094:OMH983094 OWB983094:OWD983094 PFX983094:PFZ983094 PPT983094:PPV983094 PZP983094:PZR983094 QJL983094:QJN983094 QTH983094:QTJ983094 RDD983094:RDF983094 RMZ983094:RNB983094 RWV983094:RWX983094 SGR983094:SGT983094 SQN983094:SQP983094 TAJ983094:TAL983094 TKF983094:TKH983094 TUB983094:TUD983094 UDX983094:UDZ983094 UNT983094:UNV983094 UXP983094:UXR983094 VHL983094:VHN983094 VRH983094:VRJ983094 WBD983094:WBF983094 WKZ983094:WLB983094 WUV983094:WUX983094 IJ64:IL64 SF64:SH64 ACB64:ACD64 ALX64:ALZ64 AVT64:AVV64 BFP64:BFR64 BPL64:BPN64 BZH64:BZJ64 CJD64:CJF64 CSZ64:CTB64 DCV64:DCX64 DMR64:DMT64 DWN64:DWP64 EGJ64:EGL64 EQF64:EQH64 FAB64:FAD64 FJX64:FJZ64 FTT64:FTV64 GDP64:GDR64 GNL64:GNN64 GXH64:GXJ64 HHD64:HHF64 HQZ64:HRB64 IAV64:IAX64 IKR64:IKT64 IUN64:IUP64 JEJ64:JEL64 JOF64:JOH64 JYB64:JYD64 KHX64:KHZ64 KRT64:KRV64 LBP64:LBR64 LLL64:LLN64 LVH64:LVJ64 MFD64:MFF64 MOZ64:MPB64 MYV64:MYX64 NIR64:NIT64 NSN64:NSP64 OCJ64:OCL64 OMF64:OMH64 OWB64:OWD64 PFX64:PFZ64 PPT64:PPV64 PZP64:PZR64 QJL64:QJN64 QTH64:QTJ64 RDD64:RDF64 RMZ64:RNB64 RWV64:RWX64 SGR64:SGT64 SQN64:SQP64 TAJ64:TAL64 TKF64:TKH64 TUB64:TUD64 UDX64:UDZ64 UNT64:UNV64 UXP64:UXR64 VHL64:VHN64 VRH64:VRJ64 WBD64:WBF64 WKZ64:WLB64 WUV64:WUX64 IJ65600:IL65600 SF65600:SH65600 ACB65600:ACD65600 ALX65600:ALZ65600 AVT65600:AVV65600 BFP65600:BFR65600 BPL65600:BPN65600 BZH65600:BZJ65600 CJD65600:CJF65600 CSZ65600:CTB65600 DCV65600:DCX65600 DMR65600:DMT65600 DWN65600:DWP65600 EGJ65600:EGL65600 EQF65600:EQH65600 FAB65600:FAD65600 FJX65600:FJZ65600 FTT65600:FTV65600 GDP65600:GDR65600 GNL65600:GNN65600 GXH65600:GXJ65600 HHD65600:HHF65600 HQZ65600:HRB65600 IAV65600:IAX65600 IKR65600:IKT65600 IUN65600:IUP65600 JEJ65600:JEL65600 JOF65600:JOH65600 JYB65600:JYD65600 KHX65600:KHZ65600 KRT65600:KRV65600 LBP65600:LBR65600 LLL65600:LLN65600 LVH65600:LVJ65600 MFD65600:MFF65600 MOZ65600:MPB65600 MYV65600:MYX65600 NIR65600:NIT65600 NSN65600:NSP65600 OCJ65600:OCL65600 OMF65600:OMH65600 OWB65600:OWD65600 PFX65600:PFZ65600 PPT65600:PPV65600 PZP65600:PZR65600 QJL65600:QJN65600 QTH65600:QTJ65600 RDD65600:RDF65600 RMZ65600:RNB65600 RWV65600:RWX65600 SGR65600:SGT65600 SQN65600:SQP65600 TAJ65600:TAL65600 TKF65600:TKH65600 TUB65600:TUD65600 UDX65600:UDZ65600 UNT65600:UNV65600 UXP65600:UXR65600 VHL65600:VHN65600 VRH65600:VRJ65600 WBD65600:WBF65600 WKZ65600:WLB65600 WUV65600:WUX65600 IJ131136:IL131136 SF131136:SH131136 ACB131136:ACD131136 ALX131136:ALZ131136 AVT131136:AVV131136 BFP131136:BFR131136 BPL131136:BPN131136 BZH131136:BZJ131136 CJD131136:CJF131136 CSZ131136:CTB131136 DCV131136:DCX131136 DMR131136:DMT131136 DWN131136:DWP131136 EGJ131136:EGL131136 EQF131136:EQH131136 FAB131136:FAD131136 FJX131136:FJZ131136 FTT131136:FTV131136 GDP131136:GDR131136 GNL131136:GNN131136 GXH131136:GXJ131136 HHD131136:HHF131136 HQZ131136:HRB131136 IAV131136:IAX131136 IKR131136:IKT131136 IUN131136:IUP131136 JEJ131136:JEL131136 JOF131136:JOH131136 JYB131136:JYD131136 KHX131136:KHZ131136 KRT131136:KRV131136 LBP131136:LBR131136 LLL131136:LLN131136 LVH131136:LVJ131136 MFD131136:MFF131136 MOZ131136:MPB131136 MYV131136:MYX131136 NIR131136:NIT131136 NSN131136:NSP131136 OCJ131136:OCL131136 OMF131136:OMH131136 OWB131136:OWD131136 PFX131136:PFZ131136 PPT131136:PPV131136 PZP131136:PZR131136 QJL131136:QJN131136 QTH131136:QTJ131136 RDD131136:RDF131136 RMZ131136:RNB131136 RWV131136:RWX131136 SGR131136:SGT131136 SQN131136:SQP131136 TAJ131136:TAL131136 TKF131136:TKH131136 TUB131136:TUD131136 UDX131136:UDZ131136 UNT131136:UNV131136 UXP131136:UXR131136 VHL131136:VHN131136 VRH131136:VRJ131136 WBD131136:WBF131136 WKZ131136:WLB131136 WUV131136:WUX131136 IJ196672:IL196672 SF196672:SH196672 ACB196672:ACD196672 ALX196672:ALZ196672 AVT196672:AVV196672 BFP196672:BFR196672 BPL196672:BPN196672 BZH196672:BZJ196672 CJD196672:CJF196672 CSZ196672:CTB196672 DCV196672:DCX196672 DMR196672:DMT196672 DWN196672:DWP196672 EGJ196672:EGL196672 EQF196672:EQH196672 FAB196672:FAD196672 FJX196672:FJZ196672 FTT196672:FTV196672 GDP196672:GDR196672 GNL196672:GNN196672 GXH196672:GXJ196672 HHD196672:HHF196672 HQZ196672:HRB196672 IAV196672:IAX196672 IKR196672:IKT196672 IUN196672:IUP196672 JEJ196672:JEL196672 JOF196672:JOH196672 JYB196672:JYD196672 KHX196672:KHZ196672 KRT196672:KRV196672 LBP196672:LBR196672 LLL196672:LLN196672 LVH196672:LVJ196672 MFD196672:MFF196672 MOZ196672:MPB196672 MYV196672:MYX196672 NIR196672:NIT196672 NSN196672:NSP196672 OCJ196672:OCL196672 OMF196672:OMH196672 OWB196672:OWD196672 PFX196672:PFZ196672 PPT196672:PPV196672 PZP196672:PZR196672 QJL196672:QJN196672 QTH196672:QTJ196672 RDD196672:RDF196672 RMZ196672:RNB196672 RWV196672:RWX196672 SGR196672:SGT196672 SQN196672:SQP196672 TAJ196672:TAL196672 TKF196672:TKH196672 TUB196672:TUD196672 UDX196672:UDZ196672 UNT196672:UNV196672 UXP196672:UXR196672 VHL196672:VHN196672 VRH196672:VRJ196672 WBD196672:WBF196672 WKZ196672:WLB196672 WUV196672:WUX196672 IJ262208:IL262208 SF262208:SH262208 ACB262208:ACD262208 ALX262208:ALZ262208 AVT262208:AVV262208 BFP262208:BFR262208 BPL262208:BPN262208 BZH262208:BZJ262208 CJD262208:CJF262208 CSZ262208:CTB262208 DCV262208:DCX262208 DMR262208:DMT262208 DWN262208:DWP262208 EGJ262208:EGL262208 EQF262208:EQH262208 FAB262208:FAD262208 FJX262208:FJZ262208 FTT262208:FTV262208 GDP262208:GDR262208 GNL262208:GNN262208 GXH262208:GXJ262208 HHD262208:HHF262208 HQZ262208:HRB262208 IAV262208:IAX262208 IKR262208:IKT262208 IUN262208:IUP262208 JEJ262208:JEL262208 JOF262208:JOH262208 JYB262208:JYD262208 KHX262208:KHZ262208 KRT262208:KRV262208 LBP262208:LBR262208 LLL262208:LLN262208 LVH262208:LVJ262208 MFD262208:MFF262208 MOZ262208:MPB262208 MYV262208:MYX262208 NIR262208:NIT262208 NSN262208:NSP262208 OCJ262208:OCL262208 OMF262208:OMH262208 OWB262208:OWD262208 PFX262208:PFZ262208 PPT262208:PPV262208 PZP262208:PZR262208 QJL262208:QJN262208 QTH262208:QTJ262208 RDD262208:RDF262208 RMZ262208:RNB262208 RWV262208:RWX262208 SGR262208:SGT262208 SQN262208:SQP262208 TAJ262208:TAL262208 TKF262208:TKH262208 TUB262208:TUD262208 UDX262208:UDZ262208 UNT262208:UNV262208 UXP262208:UXR262208 VHL262208:VHN262208 VRH262208:VRJ262208 WBD262208:WBF262208 WKZ262208:WLB262208 WUV262208:WUX262208 IJ327744:IL327744 SF327744:SH327744 ACB327744:ACD327744 ALX327744:ALZ327744 AVT327744:AVV327744 BFP327744:BFR327744 BPL327744:BPN327744 BZH327744:BZJ327744 CJD327744:CJF327744 CSZ327744:CTB327744 DCV327744:DCX327744 DMR327744:DMT327744 DWN327744:DWP327744 EGJ327744:EGL327744 EQF327744:EQH327744 FAB327744:FAD327744 FJX327744:FJZ327744 FTT327744:FTV327744 GDP327744:GDR327744 GNL327744:GNN327744 GXH327744:GXJ327744 HHD327744:HHF327744 HQZ327744:HRB327744 IAV327744:IAX327744 IKR327744:IKT327744 IUN327744:IUP327744 JEJ327744:JEL327744 JOF327744:JOH327744 JYB327744:JYD327744 KHX327744:KHZ327744 KRT327744:KRV327744 LBP327744:LBR327744 LLL327744:LLN327744 LVH327744:LVJ327744 MFD327744:MFF327744 MOZ327744:MPB327744 MYV327744:MYX327744 NIR327744:NIT327744 NSN327744:NSP327744 OCJ327744:OCL327744 OMF327744:OMH327744 OWB327744:OWD327744 PFX327744:PFZ327744 PPT327744:PPV327744 PZP327744:PZR327744 QJL327744:QJN327744 QTH327744:QTJ327744 RDD327744:RDF327744 RMZ327744:RNB327744 RWV327744:RWX327744 SGR327744:SGT327744 SQN327744:SQP327744 TAJ327744:TAL327744 TKF327744:TKH327744 TUB327744:TUD327744 UDX327744:UDZ327744 UNT327744:UNV327744 UXP327744:UXR327744 VHL327744:VHN327744 VRH327744:VRJ327744 WBD327744:WBF327744 WKZ327744:WLB327744 WUV327744:WUX327744 IJ393280:IL393280 SF393280:SH393280 ACB393280:ACD393280 ALX393280:ALZ393280 AVT393280:AVV393280 BFP393280:BFR393280 BPL393280:BPN393280 BZH393280:BZJ393280 CJD393280:CJF393280 CSZ393280:CTB393280 DCV393280:DCX393280 DMR393280:DMT393280 DWN393280:DWP393280 EGJ393280:EGL393280 EQF393280:EQH393280 FAB393280:FAD393280 FJX393280:FJZ393280 FTT393280:FTV393280 GDP393280:GDR393280 GNL393280:GNN393280 GXH393280:GXJ393280 HHD393280:HHF393280 HQZ393280:HRB393280 IAV393280:IAX393280 IKR393280:IKT393280 IUN393280:IUP393280 JEJ393280:JEL393280 JOF393280:JOH393280 JYB393280:JYD393280 KHX393280:KHZ393280 KRT393280:KRV393280 LBP393280:LBR393280 LLL393280:LLN393280 LVH393280:LVJ393280 MFD393280:MFF393280 MOZ393280:MPB393280 MYV393280:MYX393280 NIR393280:NIT393280 NSN393280:NSP393280 OCJ393280:OCL393280 OMF393280:OMH393280 OWB393280:OWD393280 PFX393280:PFZ393280 PPT393280:PPV393280 PZP393280:PZR393280 QJL393280:QJN393280 QTH393280:QTJ393280 RDD393280:RDF393280 RMZ393280:RNB393280 RWV393280:RWX393280 SGR393280:SGT393280 SQN393280:SQP393280 TAJ393280:TAL393280 TKF393280:TKH393280 TUB393280:TUD393280 UDX393280:UDZ393280 UNT393280:UNV393280 UXP393280:UXR393280 VHL393280:VHN393280 VRH393280:VRJ393280 WBD393280:WBF393280 WKZ393280:WLB393280 WUV393280:WUX393280 IJ458816:IL458816 SF458816:SH458816 ACB458816:ACD458816 ALX458816:ALZ458816 AVT458816:AVV458816 BFP458816:BFR458816 BPL458816:BPN458816 BZH458816:BZJ458816 CJD458816:CJF458816 CSZ458816:CTB458816 DCV458816:DCX458816 DMR458816:DMT458816 DWN458816:DWP458816 EGJ458816:EGL458816 EQF458816:EQH458816 FAB458816:FAD458816 FJX458816:FJZ458816 FTT458816:FTV458816 GDP458816:GDR458816 GNL458816:GNN458816 GXH458816:GXJ458816 HHD458816:HHF458816 HQZ458816:HRB458816 IAV458816:IAX458816 IKR458816:IKT458816 IUN458816:IUP458816 JEJ458816:JEL458816 JOF458816:JOH458816 JYB458816:JYD458816 KHX458816:KHZ458816 KRT458816:KRV458816 LBP458816:LBR458816 LLL458816:LLN458816 LVH458816:LVJ458816 MFD458816:MFF458816 MOZ458816:MPB458816 MYV458816:MYX458816 NIR458816:NIT458816 NSN458816:NSP458816 OCJ458816:OCL458816 OMF458816:OMH458816 OWB458816:OWD458816 PFX458816:PFZ458816 PPT458816:PPV458816 PZP458816:PZR458816 QJL458816:QJN458816 QTH458816:QTJ458816 RDD458816:RDF458816 RMZ458816:RNB458816 RWV458816:RWX458816 SGR458816:SGT458816 SQN458816:SQP458816 TAJ458816:TAL458816 TKF458816:TKH458816 TUB458816:TUD458816 UDX458816:UDZ458816 UNT458816:UNV458816 UXP458816:UXR458816 VHL458816:VHN458816 VRH458816:VRJ458816 WBD458816:WBF458816 WKZ458816:WLB458816 WUV458816:WUX458816 IJ524352:IL524352 SF524352:SH524352 ACB524352:ACD524352 ALX524352:ALZ524352 AVT524352:AVV524352 BFP524352:BFR524352 BPL524352:BPN524352 BZH524352:BZJ524352 CJD524352:CJF524352 CSZ524352:CTB524352 DCV524352:DCX524352 DMR524352:DMT524352 DWN524352:DWP524352 EGJ524352:EGL524352 EQF524352:EQH524352 FAB524352:FAD524352 FJX524352:FJZ524352 FTT524352:FTV524352 GDP524352:GDR524352 GNL524352:GNN524352 GXH524352:GXJ524352 HHD524352:HHF524352 HQZ524352:HRB524352 IAV524352:IAX524352 IKR524352:IKT524352 IUN524352:IUP524352 JEJ524352:JEL524352 JOF524352:JOH524352 JYB524352:JYD524352 KHX524352:KHZ524352 KRT524352:KRV524352 LBP524352:LBR524352 LLL524352:LLN524352 LVH524352:LVJ524352 MFD524352:MFF524352 MOZ524352:MPB524352 MYV524352:MYX524352 NIR524352:NIT524352 NSN524352:NSP524352 OCJ524352:OCL524352 OMF524352:OMH524352 OWB524352:OWD524352 PFX524352:PFZ524352 PPT524352:PPV524352 PZP524352:PZR524352 QJL524352:QJN524352 QTH524352:QTJ524352 RDD524352:RDF524352 RMZ524352:RNB524352 RWV524352:RWX524352 SGR524352:SGT524352 SQN524352:SQP524352 TAJ524352:TAL524352 TKF524352:TKH524352 TUB524352:TUD524352 UDX524352:UDZ524352 UNT524352:UNV524352 UXP524352:UXR524352 VHL524352:VHN524352 VRH524352:VRJ524352 WBD524352:WBF524352 WKZ524352:WLB524352 WUV524352:WUX524352 IJ589888:IL589888 SF589888:SH589888 ACB589888:ACD589888 ALX589888:ALZ589888 AVT589888:AVV589888 BFP589888:BFR589888 BPL589888:BPN589888 BZH589888:BZJ589888 CJD589888:CJF589888 CSZ589888:CTB589888 DCV589888:DCX589888 DMR589888:DMT589888 DWN589888:DWP589888 EGJ589888:EGL589888 EQF589888:EQH589888 FAB589888:FAD589888 FJX589888:FJZ589888 FTT589888:FTV589888 GDP589888:GDR589888 GNL589888:GNN589888 GXH589888:GXJ589888 HHD589888:HHF589888 HQZ589888:HRB589888 IAV589888:IAX589888 IKR589888:IKT589888 IUN589888:IUP589888 JEJ589888:JEL589888 JOF589888:JOH589888 JYB589888:JYD589888 KHX589888:KHZ589888 KRT589888:KRV589888 LBP589888:LBR589888 LLL589888:LLN589888 LVH589888:LVJ589888 MFD589888:MFF589888 MOZ589888:MPB589888 MYV589888:MYX589888 NIR589888:NIT589888 NSN589888:NSP589888 OCJ589888:OCL589888 OMF589888:OMH589888 OWB589888:OWD589888 PFX589888:PFZ589888 PPT589888:PPV589888 PZP589888:PZR589888 QJL589888:QJN589888 QTH589888:QTJ589888 RDD589888:RDF589888 RMZ589888:RNB589888 RWV589888:RWX589888 SGR589888:SGT589888 SQN589888:SQP589888 TAJ589888:TAL589888 TKF589888:TKH589888 TUB589888:TUD589888 UDX589888:UDZ589888 UNT589888:UNV589888 UXP589888:UXR589888 VHL589888:VHN589888 VRH589888:VRJ589888 WBD589888:WBF589888 WKZ589888:WLB589888 WUV589888:WUX589888 IJ655424:IL655424 SF655424:SH655424 ACB655424:ACD655424 ALX655424:ALZ655424 AVT655424:AVV655424 BFP655424:BFR655424 BPL655424:BPN655424 BZH655424:BZJ655424 CJD655424:CJF655424 CSZ655424:CTB655424 DCV655424:DCX655424 DMR655424:DMT655424 DWN655424:DWP655424 EGJ655424:EGL655424 EQF655424:EQH655424 FAB655424:FAD655424 FJX655424:FJZ655424 FTT655424:FTV655424 GDP655424:GDR655424 GNL655424:GNN655424 GXH655424:GXJ655424 HHD655424:HHF655424 HQZ655424:HRB655424 IAV655424:IAX655424 IKR655424:IKT655424 IUN655424:IUP655424 JEJ655424:JEL655424 JOF655424:JOH655424 JYB655424:JYD655424 KHX655424:KHZ655424 KRT655424:KRV655424 LBP655424:LBR655424 LLL655424:LLN655424 LVH655424:LVJ655424 MFD655424:MFF655424 MOZ655424:MPB655424 MYV655424:MYX655424 NIR655424:NIT655424 NSN655424:NSP655424 OCJ655424:OCL655424 OMF655424:OMH655424 OWB655424:OWD655424 PFX655424:PFZ655424 PPT655424:PPV655424 PZP655424:PZR655424 QJL655424:QJN655424 QTH655424:QTJ655424 RDD655424:RDF655424 RMZ655424:RNB655424 RWV655424:RWX655424 SGR655424:SGT655424 SQN655424:SQP655424 TAJ655424:TAL655424 TKF655424:TKH655424 TUB655424:TUD655424 UDX655424:UDZ655424 UNT655424:UNV655424 UXP655424:UXR655424 VHL655424:VHN655424 VRH655424:VRJ655424 WBD655424:WBF655424 WKZ655424:WLB655424 WUV655424:WUX655424 IJ720960:IL720960 SF720960:SH720960 ACB720960:ACD720960 ALX720960:ALZ720960 AVT720960:AVV720960 BFP720960:BFR720960 BPL720960:BPN720960 BZH720960:BZJ720960 CJD720960:CJF720960 CSZ720960:CTB720960 DCV720960:DCX720960 DMR720960:DMT720960 DWN720960:DWP720960 EGJ720960:EGL720960 EQF720960:EQH720960 FAB720960:FAD720960 FJX720960:FJZ720960 FTT720960:FTV720960 GDP720960:GDR720960 GNL720960:GNN720960 GXH720960:GXJ720960 HHD720960:HHF720960 HQZ720960:HRB720960 IAV720960:IAX720960 IKR720960:IKT720960 IUN720960:IUP720960 JEJ720960:JEL720960 JOF720960:JOH720960 JYB720960:JYD720960 KHX720960:KHZ720960 KRT720960:KRV720960 LBP720960:LBR720960 LLL720960:LLN720960 LVH720960:LVJ720960 MFD720960:MFF720960 MOZ720960:MPB720960 MYV720960:MYX720960 NIR720960:NIT720960 NSN720960:NSP720960 OCJ720960:OCL720960 OMF720960:OMH720960 OWB720960:OWD720960 PFX720960:PFZ720960 PPT720960:PPV720960 PZP720960:PZR720960 QJL720960:QJN720960 QTH720960:QTJ720960 RDD720960:RDF720960 RMZ720960:RNB720960 RWV720960:RWX720960 SGR720960:SGT720960 SQN720960:SQP720960 TAJ720960:TAL720960 TKF720960:TKH720960 TUB720960:TUD720960 UDX720960:UDZ720960 UNT720960:UNV720960 UXP720960:UXR720960 VHL720960:VHN720960 VRH720960:VRJ720960 WBD720960:WBF720960 WKZ720960:WLB720960 WUV720960:WUX720960 IJ786496:IL786496 SF786496:SH786496 ACB786496:ACD786496 ALX786496:ALZ786496 AVT786496:AVV786496 BFP786496:BFR786496 BPL786496:BPN786496 BZH786496:BZJ786496 CJD786496:CJF786496 CSZ786496:CTB786496 DCV786496:DCX786496 DMR786496:DMT786496 DWN786496:DWP786496 EGJ786496:EGL786496 EQF786496:EQH786496 FAB786496:FAD786496 FJX786496:FJZ786496 FTT786496:FTV786496 GDP786496:GDR786496 GNL786496:GNN786496 GXH786496:GXJ786496 HHD786496:HHF786496 HQZ786496:HRB786496 IAV786496:IAX786496 IKR786496:IKT786496 IUN786496:IUP786496 JEJ786496:JEL786496 JOF786496:JOH786496 JYB786496:JYD786496 KHX786496:KHZ786496 KRT786496:KRV786496 LBP786496:LBR786496 LLL786496:LLN786496 LVH786496:LVJ786496 MFD786496:MFF786496 MOZ786496:MPB786496 MYV786496:MYX786496 NIR786496:NIT786496 NSN786496:NSP786496 OCJ786496:OCL786496 OMF786496:OMH786496 OWB786496:OWD786496 PFX786496:PFZ786496 PPT786496:PPV786496 PZP786496:PZR786496 QJL786496:QJN786496 QTH786496:QTJ786496 RDD786496:RDF786496 RMZ786496:RNB786496 RWV786496:RWX786496 SGR786496:SGT786496 SQN786496:SQP786496 TAJ786496:TAL786496 TKF786496:TKH786496 TUB786496:TUD786496 UDX786496:UDZ786496 UNT786496:UNV786496 UXP786496:UXR786496 VHL786496:VHN786496 VRH786496:VRJ786496 WBD786496:WBF786496 WKZ786496:WLB786496 WUV786496:WUX786496 IJ852032:IL852032 SF852032:SH852032 ACB852032:ACD852032 ALX852032:ALZ852032 AVT852032:AVV852032 BFP852032:BFR852032 BPL852032:BPN852032 BZH852032:BZJ852032 CJD852032:CJF852032 CSZ852032:CTB852032 DCV852032:DCX852032 DMR852032:DMT852032 DWN852032:DWP852032 EGJ852032:EGL852032 EQF852032:EQH852032 FAB852032:FAD852032 FJX852032:FJZ852032 FTT852032:FTV852032 GDP852032:GDR852032 GNL852032:GNN852032 GXH852032:GXJ852032 HHD852032:HHF852032 HQZ852032:HRB852032 IAV852032:IAX852032 IKR852032:IKT852032 IUN852032:IUP852032 JEJ852032:JEL852032 JOF852032:JOH852032 JYB852032:JYD852032 KHX852032:KHZ852032 KRT852032:KRV852032 LBP852032:LBR852032 LLL852032:LLN852032 LVH852032:LVJ852032 MFD852032:MFF852032 MOZ852032:MPB852032 MYV852032:MYX852032 NIR852032:NIT852032 NSN852032:NSP852032 OCJ852032:OCL852032 OMF852032:OMH852032 OWB852032:OWD852032 PFX852032:PFZ852032 PPT852032:PPV852032 PZP852032:PZR852032 QJL852032:QJN852032 QTH852032:QTJ852032 RDD852032:RDF852032 RMZ852032:RNB852032 RWV852032:RWX852032 SGR852032:SGT852032 SQN852032:SQP852032 TAJ852032:TAL852032 TKF852032:TKH852032 TUB852032:TUD852032 UDX852032:UDZ852032 UNT852032:UNV852032 UXP852032:UXR852032 VHL852032:VHN852032 VRH852032:VRJ852032 WBD852032:WBF852032 WKZ852032:WLB852032 WUV852032:WUX852032 IJ917568:IL917568 SF917568:SH917568 ACB917568:ACD917568 ALX917568:ALZ917568 AVT917568:AVV917568 BFP917568:BFR917568 BPL917568:BPN917568 BZH917568:BZJ917568 CJD917568:CJF917568 CSZ917568:CTB917568 DCV917568:DCX917568 DMR917568:DMT917568 DWN917568:DWP917568 EGJ917568:EGL917568 EQF917568:EQH917568 FAB917568:FAD917568 FJX917568:FJZ917568 FTT917568:FTV917568 GDP917568:GDR917568 GNL917568:GNN917568 GXH917568:GXJ917568 HHD917568:HHF917568 HQZ917568:HRB917568 IAV917568:IAX917568 IKR917568:IKT917568 IUN917568:IUP917568 JEJ917568:JEL917568 JOF917568:JOH917568 JYB917568:JYD917568 KHX917568:KHZ917568 KRT917568:KRV917568 LBP917568:LBR917568 LLL917568:LLN917568 LVH917568:LVJ917568 MFD917568:MFF917568 MOZ917568:MPB917568 MYV917568:MYX917568 NIR917568:NIT917568 NSN917568:NSP917568 OCJ917568:OCL917568 OMF917568:OMH917568 OWB917568:OWD917568 PFX917568:PFZ917568 PPT917568:PPV917568 PZP917568:PZR917568 QJL917568:QJN917568 QTH917568:QTJ917568 RDD917568:RDF917568 RMZ917568:RNB917568 RWV917568:RWX917568 SGR917568:SGT917568 SQN917568:SQP917568 TAJ917568:TAL917568 TKF917568:TKH917568 TUB917568:TUD917568 UDX917568:UDZ917568 UNT917568:UNV917568 UXP917568:UXR917568 VHL917568:VHN917568 VRH917568:VRJ917568 WBD917568:WBF917568 WKZ917568:WLB917568 WUV917568:WUX917568 IJ983104:IL983104 SF983104:SH983104 ACB983104:ACD983104 ALX983104:ALZ983104 AVT983104:AVV983104 BFP983104:BFR983104 BPL983104:BPN983104 BZH983104:BZJ983104 CJD983104:CJF983104 CSZ983104:CTB983104 DCV983104:DCX983104 DMR983104:DMT983104 DWN983104:DWP983104 EGJ983104:EGL983104 EQF983104:EQH983104 FAB983104:FAD983104 FJX983104:FJZ983104 FTT983104:FTV983104 GDP983104:GDR983104 GNL983104:GNN983104 GXH983104:GXJ983104 HHD983104:HHF983104 HQZ983104:HRB983104 IAV983104:IAX983104 IKR983104:IKT983104 IUN983104:IUP983104 JEJ983104:JEL983104 JOF983104:JOH983104 JYB983104:JYD983104 KHX983104:KHZ983104 KRT983104:KRV983104 LBP983104:LBR983104 LLL983104:LLN983104 LVH983104:LVJ983104 MFD983104:MFF983104 MOZ983104:MPB983104 MYV983104:MYX983104 NIR983104:NIT983104 NSN983104:NSP983104 OCJ983104:OCL983104 OMF983104:OMH983104 OWB983104:OWD983104 PFX983104:PFZ983104 PPT983104:PPV983104 PZP983104:PZR983104 QJL983104:QJN983104 QTH983104:QTJ983104 RDD983104:RDF983104 RMZ983104:RNB983104 RWV983104:RWX983104 SGR983104:SGT983104 SQN983104:SQP983104 TAJ983104:TAL983104 TKF983104:TKH983104 TUB983104:TUD983104 UDX983104:UDZ983104 UNT983104:UNV983104 UXP983104:UXR983104 VHL983104:VHN983104 VRH983104:VRJ983104 WBD983104:WBF983104 WKZ983104:WLB983104 WUV983104:WUX983104 IJ74:IL74 SF74:SH74 ACB74:ACD74 ALX74:ALZ74 AVT74:AVV74 BFP74:BFR74 BPL74:BPN74 BZH74:BZJ74 CJD74:CJF74 CSZ74:CTB74 DCV74:DCX74 DMR74:DMT74 DWN74:DWP74 EGJ74:EGL74 EQF74:EQH74 FAB74:FAD74 FJX74:FJZ74 FTT74:FTV74 GDP74:GDR74 GNL74:GNN74 GXH74:GXJ74 HHD74:HHF74 HQZ74:HRB74 IAV74:IAX74 IKR74:IKT74 IUN74:IUP74 JEJ74:JEL74 JOF74:JOH74 JYB74:JYD74 KHX74:KHZ74 KRT74:KRV74 LBP74:LBR74 LLL74:LLN74 LVH74:LVJ74 MFD74:MFF74 MOZ74:MPB74 MYV74:MYX74 NIR74:NIT74 NSN74:NSP74 OCJ74:OCL74 OMF74:OMH74 OWB74:OWD74 PFX74:PFZ74 PPT74:PPV74 PZP74:PZR74 QJL74:QJN74 QTH74:QTJ74 RDD74:RDF74 RMZ74:RNB74 RWV74:RWX74 SGR74:SGT74 SQN74:SQP74 TAJ74:TAL74 TKF74:TKH74 TUB74:TUD74 UDX74:UDZ74 UNT74:UNV74 UXP74:UXR74 VHL74:VHN74 VRH74:VRJ74 WBD74:WBF74 WKZ74:WLB74 WUV74:WUX74 IJ65610:IL65610 SF65610:SH65610 ACB65610:ACD65610 ALX65610:ALZ65610 AVT65610:AVV65610 BFP65610:BFR65610 BPL65610:BPN65610 BZH65610:BZJ65610 CJD65610:CJF65610 CSZ65610:CTB65610 DCV65610:DCX65610 DMR65610:DMT65610 DWN65610:DWP65610 EGJ65610:EGL65610 EQF65610:EQH65610 FAB65610:FAD65610 FJX65610:FJZ65610 FTT65610:FTV65610 GDP65610:GDR65610 GNL65610:GNN65610 GXH65610:GXJ65610 HHD65610:HHF65610 HQZ65610:HRB65610 IAV65610:IAX65610 IKR65610:IKT65610 IUN65610:IUP65610 JEJ65610:JEL65610 JOF65610:JOH65610 JYB65610:JYD65610 KHX65610:KHZ65610 KRT65610:KRV65610 LBP65610:LBR65610 LLL65610:LLN65610 LVH65610:LVJ65610 MFD65610:MFF65610 MOZ65610:MPB65610 MYV65610:MYX65610 NIR65610:NIT65610 NSN65610:NSP65610 OCJ65610:OCL65610 OMF65610:OMH65610 OWB65610:OWD65610 PFX65610:PFZ65610 PPT65610:PPV65610 PZP65610:PZR65610 QJL65610:QJN65610 QTH65610:QTJ65610 RDD65610:RDF65610 RMZ65610:RNB65610 RWV65610:RWX65610 SGR65610:SGT65610 SQN65610:SQP65610 TAJ65610:TAL65610 TKF65610:TKH65610 TUB65610:TUD65610 UDX65610:UDZ65610 UNT65610:UNV65610 UXP65610:UXR65610 VHL65610:VHN65610 VRH65610:VRJ65610 WBD65610:WBF65610 WKZ65610:WLB65610 WUV65610:WUX65610 IJ131146:IL131146 SF131146:SH131146 ACB131146:ACD131146 ALX131146:ALZ131146 AVT131146:AVV131146 BFP131146:BFR131146 BPL131146:BPN131146 BZH131146:BZJ131146 CJD131146:CJF131146 CSZ131146:CTB131146 DCV131146:DCX131146 DMR131146:DMT131146 DWN131146:DWP131146 EGJ131146:EGL131146 EQF131146:EQH131146 FAB131146:FAD131146 FJX131146:FJZ131146 FTT131146:FTV131146 GDP131146:GDR131146 GNL131146:GNN131146 GXH131146:GXJ131146 HHD131146:HHF131146 HQZ131146:HRB131146 IAV131146:IAX131146 IKR131146:IKT131146 IUN131146:IUP131146 JEJ131146:JEL131146 JOF131146:JOH131146 JYB131146:JYD131146 KHX131146:KHZ131146 KRT131146:KRV131146 LBP131146:LBR131146 LLL131146:LLN131146 LVH131146:LVJ131146 MFD131146:MFF131146 MOZ131146:MPB131146 MYV131146:MYX131146 NIR131146:NIT131146 NSN131146:NSP131146 OCJ131146:OCL131146 OMF131146:OMH131146 OWB131146:OWD131146 PFX131146:PFZ131146 PPT131146:PPV131146 PZP131146:PZR131146 QJL131146:QJN131146 QTH131146:QTJ131146 RDD131146:RDF131146 RMZ131146:RNB131146 RWV131146:RWX131146 SGR131146:SGT131146 SQN131146:SQP131146 TAJ131146:TAL131146 TKF131146:TKH131146 TUB131146:TUD131146 UDX131146:UDZ131146 UNT131146:UNV131146 UXP131146:UXR131146 VHL131146:VHN131146 VRH131146:VRJ131146 WBD131146:WBF131146 WKZ131146:WLB131146 WUV131146:WUX131146 IJ196682:IL196682 SF196682:SH196682 ACB196682:ACD196682 ALX196682:ALZ196682 AVT196682:AVV196682 BFP196682:BFR196682 BPL196682:BPN196682 BZH196682:BZJ196682 CJD196682:CJF196682 CSZ196682:CTB196682 DCV196682:DCX196682 DMR196682:DMT196682 DWN196682:DWP196682 EGJ196682:EGL196682 EQF196682:EQH196682 FAB196682:FAD196682 FJX196682:FJZ196682 FTT196682:FTV196682 GDP196682:GDR196682 GNL196682:GNN196682 GXH196682:GXJ196682 HHD196682:HHF196682 HQZ196682:HRB196682 IAV196682:IAX196682 IKR196682:IKT196682 IUN196682:IUP196682 JEJ196682:JEL196682 JOF196682:JOH196682 JYB196682:JYD196682 KHX196682:KHZ196682 KRT196682:KRV196682 LBP196682:LBR196682 LLL196682:LLN196682 LVH196682:LVJ196682 MFD196682:MFF196682 MOZ196682:MPB196682 MYV196682:MYX196682 NIR196682:NIT196682 NSN196682:NSP196682 OCJ196682:OCL196682 OMF196682:OMH196682 OWB196682:OWD196682 PFX196682:PFZ196682 PPT196682:PPV196682 PZP196682:PZR196682 QJL196682:QJN196682 QTH196682:QTJ196682 RDD196682:RDF196682 RMZ196682:RNB196682 RWV196682:RWX196682 SGR196682:SGT196682 SQN196682:SQP196682 TAJ196682:TAL196682 TKF196682:TKH196682 TUB196682:TUD196682 UDX196682:UDZ196682 UNT196682:UNV196682 UXP196682:UXR196682 VHL196682:VHN196682 VRH196682:VRJ196682 WBD196682:WBF196682 WKZ196682:WLB196682 WUV196682:WUX196682 IJ262218:IL262218 SF262218:SH262218 ACB262218:ACD262218 ALX262218:ALZ262218 AVT262218:AVV262218 BFP262218:BFR262218 BPL262218:BPN262218 BZH262218:BZJ262218 CJD262218:CJF262218 CSZ262218:CTB262218 DCV262218:DCX262218 DMR262218:DMT262218 DWN262218:DWP262218 EGJ262218:EGL262218 EQF262218:EQH262218 FAB262218:FAD262218 FJX262218:FJZ262218 FTT262218:FTV262218 GDP262218:GDR262218 GNL262218:GNN262218 GXH262218:GXJ262218 HHD262218:HHF262218 HQZ262218:HRB262218 IAV262218:IAX262218 IKR262218:IKT262218 IUN262218:IUP262218 JEJ262218:JEL262218 JOF262218:JOH262218 JYB262218:JYD262218 KHX262218:KHZ262218 KRT262218:KRV262218 LBP262218:LBR262218 LLL262218:LLN262218 LVH262218:LVJ262218 MFD262218:MFF262218 MOZ262218:MPB262218 MYV262218:MYX262218 NIR262218:NIT262218 NSN262218:NSP262218 OCJ262218:OCL262218 OMF262218:OMH262218 OWB262218:OWD262218 PFX262218:PFZ262218 PPT262218:PPV262218 PZP262218:PZR262218 QJL262218:QJN262218 QTH262218:QTJ262218 RDD262218:RDF262218 RMZ262218:RNB262218 RWV262218:RWX262218 SGR262218:SGT262218 SQN262218:SQP262218 TAJ262218:TAL262218 TKF262218:TKH262218 TUB262218:TUD262218 UDX262218:UDZ262218 UNT262218:UNV262218 UXP262218:UXR262218 VHL262218:VHN262218 VRH262218:VRJ262218 WBD262218:WBF262218 WKZ262218:WLB262218 WUV262218:WUX262218 IJ327754:IL327754 SF327754:SH327754 ACB327754:ACD327754 ALX327754:ALZ327754 AVT327754:AVV327754 BFP327754:BFR327754 BPL327754:BPN327754 BZH327754:BZJ327754 CJD327754:CJF327754 CSZ327754:CTB327754 DCV327754:DCX327754 DMR327754:DMT327754 DWN327754:DWP327754 EGJ327754:EGL327754 EQF327754:EQH327754 FAB327754:FAD327754 FJX327754:FJZ327754 FTT327754:FTV327754 GDP327754:GDR327754 GNL327754:GNN327754 GXH327754:GXJ327754 HHD327754:HHF327754 HQZ327754:HRB327754 IAV327754:IAX327754 IKR327754:IKT327754 IUN327754:IUP327754 JEJ327754:JEL327754 JOF327754:JOH327754 JYB327754:JYD327754 KHX327754:KHZ327754 KRT327754:KRV327754 LBP327754:LBR327754 LLL327754:LLN327754 LVH327754:LVJ327754 MFD327754:MFF327754 MOZ327754:MPB327754 MYV327754:MYX327754 NIR327754:NIT327754 NSN327754:NSP327754 OCJ327754:OCL327754 OMF327754:OMH327754 OWB327754:OWD327754 PFX327754:PFZ327754 PPT327754:PPV327754 PZP327754:PZR327754 QJL327754:QJN327754 QTH327754:QTJ327754 RDD327754:RDF327754 RMZ327754:RNB327754 RWV327754:RWX327754 SGR327754:SGT327754 SQN327754:SQP327754 TAJ327754:TAL327754 TKF327754:TKH327754 TUB327754:TUD327754 UDX327754:UDZ327754 UNT327754:UNV327754 UXP327754:UXR327754 VHL327754:VHN327754 VRH327754:VRJ327754 WBD327754:WBF327754 WKZ327754:WLB327754 WUV327754:WUX327754 IJ393290:IL393290 SF393290:SH393290 ACB393290:ACD393290 ALX393290:ALZ393290 AVT393290:AVV393290 BFP393290:BFR393290 BPL393290:BPN393290 BZH393290:BZJ393290 CJD393290:CJF393290 CSZ393290:CTB393290 DCV393290:DCX393290 DMR393290:DMT393290 DWN393290:DWP393290 EGJ393290:EGL393290 EQF393290:EQH393290 FAB393290:FAD393290 FJX393290:FJZ393290 FTT393290:FTV393290 GDP393290:GDR393290 GNL393290:GNN393290 GXH393290:GXJ393290 HHD393290:HHF393290 HQZ393290:HRB393290 IAV393290:IAX393290 IKR393290:IKT393290 IUN393290:IUP393290 JEJ393290:JEL393290 JOF393290:JOH393290 JYB393290:JYD393290 KHX393290:KHZ393290 KRT393290:KRV393290 LBP393290:LBR393290 LLL393290:LLN393290 LVH393290:LVJ393290 MFD393290:MFF393290 MOZ393290:MPB393290 MYV393290:MYX393290 NIR393290:NIT393290 NSN393290:NSP393290 OCJ393290:OCL393290 OMF393290:OMH393290 OWB393290:OWD393290 PFX393290:PFZ393290 PPT393290:PPV393290 PZP393290:PZR393290 QJL393290:QJN393290 QTH393290:QTJ393290 RDD393290:RDF393290 RMZ393290:RNB393290 RWV393290:RWX393290 SGR393290:SGT393290 SQN393290:SQP393290 TAJ393290:TAL393290 TKF393290:TKH393290 TUB393290:TUD393290 UDX393290:UDZ393290 UNT393290:UNV393290 UXP393290:UXR393290 VHL393290:VHN393290 VRH393290:VRJ393290 WBD393290:WBF393290 WKZ393290:WLB393290 WUV393290:WUX393290 IJ458826:IL458826 SF458826:SH458826 ACB458826:ACD458826 ALX458826:ALZ458826 AVT458826:AVV458826 BFP458826:BFR458826 BPL458826:BPN458826 BZH458826:BZJ458826 CJD458826:CJF458826 CSZ458826:CTB458826 DCV458826:DCX458826 DMR458826:DMT458826 DWN458826:DWP458826 EGJ458826:EGL458826 EQF458826:EQH458826 FAB458826:FAD458826 FJX458826:FJZ458826 FTT458826:FTV458826 GDP458826:GDR458826 GNL458826:GNN458826 GXH458826:GXJ458826 HHD458826:HHF458826 HQZ458826:HRB458826 IAV458826:IAX458826 IKR458826:IKT458826 IUN458826:IUP458826 JEJ458826:JEL458826 JOF458826:JOH458826 JYB458826:JYD458826 KHX458826:KHZ458826 KRT458826:KRV458826 LBP458826:LBR458826 LLL458826:LLN458826 LVH458826:LVJ458826 MFD458826:MFF458826 MOZ458826:MPB458826 MYV458826:MYX458826 NIR458826:NIT458826 NSN458826:NSP458826 OCJ458826:OCL458826 OMF458826:OMH458826 OWB458826:OWD458826 PFX458826:PFZ458826 PPT458826:PPV458826 PZP458826:PZR458826 QJL458826:QJN458826 QTH458826:QTJ458826 RDD458826:RDF458826 RMZ458826:RNB458826 RWV458826:RWX458826 SGR458826:SGT458826 SQN458826:SQP458826 TAJ458826:TAL458826 TKF458826:TKH458826 TUB458826:TUD458826 UDX458826:UDZ458826 UNT458826:UNV458826 UXP458826:UXR458826 VHL458826:VHN458826 VRH458826:VRJ458826 WBD458826:WBF458826 WKZ458826:WLB458826 WUV458826:WUX458826 IJ524362:IL524362 SF524362:SH524362 ACB524362:ACD524362 ALX524362:ALZ524362 AVT524362:AVV524362 BFP524362:BFR524362 BPL524362:BPN524362 BZH524362:BZJ524362 CJD524362:CJF524362 CSZ524362:CTB524362 DCV524362:DCX524362 DMR524362:DMT524362 DWN524362:DWP524362 EGJ524362:EGL524362 EQF524362:EQH524362 FAB524362:FAD524362 FJX524362:FJZ524362 FTT524362:FTV524362 GDP524362:GDR524362 GNL524362:GNN524362 GXH524362:GXJ524362 HHD524362:HHF524362 HQZ524362:HRB524362 IAV524362:IAX524362 IKR524362:IKT524362 IUN524362:IUP524362 JEJ524362:JEL524362 JOF524362:JOH524362 JYB524362:JYD524362 KHX524362:KHZ524362 KRT524362:KRV524362 LBP524362:LBR524362 LLL524362:LLN524362 LVH524362:LVJ524362 MFD524362:MFF524362 MOZ524362:MPB524362 MYV524362:MYX524362 NIR524362:NIT524362 NSN524362:NSP524362 OCJ524362:OCL524362 OMF524362:OMH524362 OWB524362:OWD524362 PFX524362:PFZ524362 PPT524362:PPV524362 PZP524362:PZR524362 QJL524362:QJN524362 QTH524362:QTJ524362 RDD524362:RDF524362 RMZ524362:RNB524362 RWV524362:RWX524362 SGR524362:SGT524362 SQN524362:SQP524362 TAJ524362:TAL524362 TKF524362:TKH524362 TUB524362:TUD524362 UDX524362:UDZ524362 UNT524362:UNV524362 UXP524362:UXR524362 VHL524362:VHN524362 VRH524362:VRJ524362 WBD524362:WBF524362 WKZ524362:WLB524362 WUV524362:WUX524362 IJ589898:IL589898 SF589898:SH589898 ACB589898:ACD589898 ALX589898:ALZ589898 AVT589898:AVV589898 BFP589898:BFR589898 BPL589898:BPN589898 BZH589898:BZJ589898 CJD589898:CJF589898 CSZ589898:CTB589898 DCV589898:DCX589898 DMR589898:DMT589898 DWN589898:DWP589898 EGJ589898:EGL589898 EQF589898:EQH589898 FAB589898:FAD589898 FJX589898:FJZ589898 FTT589898:FTV589898 GDP589898:GDR589898 GNL589898:GNN589898 GXH589898:GXJ589898 HHD589898:HHF589898 HQZ589898:HRB589898 IAV589898:IAX589898 IKR589898:IKT589898 IUN589898:IUP589898 JEJ589898:JEL589898 JOF589898:JOH589898 JYB589898:JYD589898 KHX589898:KHZ589898 KRT589898:KRV589898 LBP589898:LBR589898 LLL589898:LLN589898 LVH589898:LVJ589898 MFD589898:MFF589898 MOZ589898:MPB589898 MYV589898:MYX589898 NIR589898:NIT589898 NSN589898:NSP589898 OCJ589898:OCL589898 OMF589898:OMH589898 OWB589898:OWD589898 PFX589898:PFZ589898 PPT589898:PPV589898 PZP589898:PZR589898 QJL589898:QJN589898 QTH589898:QTJ589898 RDD589898:RDF589898 RMZ589898:RNB589898 RWV589898:RWX589898 SGR589898:SGT589898 SQN589898:SQP589898 TAJ589898:TAL589898 TKF589898:TKH589898 TUB589898:TUD589898 UDX589898:UDZ589898 UNT589898:UNV589898 UXP589898:UXR589898 VHL589898:VHN589898 VRH589898:VRJ589898 WBD589898:WBF589898 WKZ589898:WLB589898 WUV589898:WUX589898 IJ655434:IL655434 SF655434:SH655434 ACB655434:ACD655434 ALX655434:ALZ655434 AVT655434:AVV655434 BFP655434:BFR655434 BPL655434:BPN655434 BZH655434:BZJ655434 CJD655434:CJF655434 CSZ655434:CTB655434 DCV655434:DCX655434 DMR655434:DMT655434 DWN655434:DWP655434 EGJ655434:EGL655434 EQF655434:EQH655434 FAB655434:FAD655434 FJX655434:FJZ655434 FTT655434:FTV655434 GDP655434:GDR655434 GNL655434:GNN655434 GXH655434:GXJ655434 HHD655434:HHF655434 HQZ655434:HRB655434 IAV655434:IAX655434 IKR655434:IKT655434 IUN655434:IUP655434 JEJ655434:JEL655434 JOF655434:JOH655434 JYB655434:JYD655434 KHX655434:KHZ655434 KRT655434:KRV655434 LBP655434:LBR655434 LLL655434:LLN655434 LVH655434:LVJ655434 MFD655434:MFF655434 MOZ655434:MPB655434 MYV655434:MYX655434 NIR655434:NIT655434 NSN655434:NSP655434 OCJ655434:OCL655434 OMF655434:OMH655434 OWB655434:OWD655434 PFX655434:PFZ655434 PPT655434:PPV655434 PZP655434:PZR655434 QJL655434:QJN655434 QTH655434:QTJ655434 RDD655434:RDF655434 RMZ655434:RNB655434 RWV655434:RWX655434 SGR655434:SGT655434 SQN655434:SQP655434 TAJ655434:TAL655434 TKF655434:TKH655434 TUB655434:TUD655434 UDX655434:UDZ655434 UNT655434:UNV655434 UXP655434:UXR655434 VHL655434:VHN655434 VRH655434:VRJ655434 WBD655434:WBF655434 WKZ655434:WLB655434 WUV655434:WUX655434 IJ720970:IL720970 SF720970:SH720970 ACB720970:ACD720970 ALX720970:ALZ720970 AVT720970:AVV720970 BFP720970:BFR720970 BPL720970:BPN720970 BZH720970:BZJ720970 CJD720970:CJF720970 CSZ720970:CTB720970 DCV720970:DCX720970 DMR720970:DMT720970 DWN720970:DWP720970 EGJ720970:EGL720970 EQF720970:EQH720970 FAB720970:FAD720970 FJX720970:FJZ720970 FTT720970:FTV720970 GDP720970:GDR720970 GNL720970:GNN720970 GXH720970:GXJ720970 HHD720970:HHF720970 HQZ720970:HRB720970 IAV720970:IAX720970 IKR720970:IKT720970 IUN720970:IUP720970 JEJ720970:JEL720970 JOF720970:JOH720970 JYB720970:JYD720970 KHX720970:KHZ720970 KRT720970:KRV720970 LBP720970:LBR720970 LLL720970:LLN720970 LVH720970:LVJ720970 MFD720970:MFF720970 MOZ720970:MPB720970 MYV720970:MYX720970 NIR720970:NIT720970 NSN720970:NSP720970 OCJ720970:OCL720970 OMF720970:OMH720970 OWB720970:OWD720970 PFX720970:PFZ720970 PPT720970:PPV720970 PZP720970:PZR720970 QJL720970:QJN720970 QTH720970:QTJ720970 RDD720970:RDF720970 RMZ720970:RNB720970 RWV720970:RWX720970 SGR720970:SGT720970 SQN720970:SQP720970 TAJ720970:TAL720970 TKF720970:TKH720970 TUB720970:TUD720970 UDX720970:UDZ720970 UNT720970:UNV720970 UXP720970:UXR720970 VHL720970:VHN720970 VRH720970:VRJ720970 WBD720970:WBF720970 WKZ720970:WLB720970 WUV720970:WUX720970 IJ786506:IL786506 SF786506:SH786506 ACB786506:ACD786506 ALX786506:ALZ786506 AVT786506:AVV786506 BFP786506:BFR786506 BPL786506:BPN786506 BZH786506:BZJ786506 CJD786506:CJF786506 CSZ786506:CTB786506 DCV786506:DCX786506 DMR786506:DMT786506 DWN786506:DWP786506 EGJ786506:EGL786506 EQF786506:EQH786506 FAB786506:FAD786506 FJX786506:FJZ786506 FTT786506:FTV786506 GDP786506:GDR786506 GNL786506:GNN786506 GXH786506:GXJ786506 HHD786506:HHF786506 HQZ786506:HRB786506 IAV786506:IAX786506 IKR786506:IKT786506 IUN786506:IUP786506 JEJ786506:JEL786506 JOF786506:JOH786506 JYB786506:JYD786506 KHX786506:KHZ786506 KRT786506:KRV786506 LBP786506:LBR786506 LLL786506:LLN786506 LVH786506:LVJ786506 MFD786506:MFF786506 MOZ786506:MPB786506 MYV786506:MYX786506 NIR786506:NIT786506 NSN786506:NSP786506 OCJ786506:OCL786506 OMF786506:OMH786506 OWB786506:OWD786506 PFX786506:PFZ786506 PPT786506:PPV786506 PZP786506:PZR786506 QJL786506:QJN786506 QTH786506:QTJ786506 RDD786506:RDF786506 RMZ786506:RNB786506 RWV786506:RWX786506 SGR786506:SGT786506 SQN786506:SQP786506 TAJ786506:TAL786506 TKF786506:TKH786506 TUB786506:TUD786506 UDX786506:UDZ786506 UNT786506:UNV786506 UXP786506:UXR786506 VHL786506:VHN786506 VRH786506:VRJ786506 WBD786506:WBF786506 WKZ786506:WLB786506 WUV786506:WUX786506 IJ852042:IL852042 SF852042:SH852042 ACB852042:ACD852042 ALX852042:ALZ852042 AVT852042:AVV852042 BFP852042:BFR852042 BPL852042:BPN852042 BZH852042:BZJ852042 CJD852042:CJF852042 CSZ852042:CTB852042 DCV852042:DCX852042 DMR852042:DMT852042 DWN852042:DWP852042 EGJ852042:EGL852042 EQF852042:EQH852042 FAB852042:FAD852042 FJX852042:FJZ852042 FTT852042:FTV852042 GDP852042:GDR852042 GNL852042:GNN852042 GXH852042:GXJ852042 HHD852042:HHF852042 HQZ852042:HRB852042 IAV852042:IAX852042 IKR852042:IKT852042 IUN852042:IUP852042 JEJ852042:JEL852042 JOF852042:JOH852042 JYB852042:JYD852042 KHX852042:KHZ852042 KRT852042:KRV852042 LBP852042:LBR852042 LLL852042:LLN852042 LVH852042:LVJ852042 MFD852042:MFF852042 MOZ852042:MPB852042 MYV852042:MYX852042 NIR852042:NIT852042 NSN852042:NSP852042 OCJ852042:OCL852042 OMF852042:OMH852042 OWB852042:OWD852042 PFX852042:PFZ852042 PPT852042:PPV852042 PZP852042:PZR852042 QJL852042:QJN852042 QTH852042:QTJ852042 RDD852042:RDF852042 RMZ852042:RNB852042 RWV852042:RWX852042 SGR852042:SGT852042 SQN852042:SQP852042 TAJ852042:TAL852042 TKF852042:TKH852042 TUB852042:TUD852042 UDX852042:UDZ852042 UNT852042:UNV852042 UXP852042:UXR852042 VHL852042:VHN852042 VRH852042:VRJ852042 WBD852042:WBF852042 WKZ852042:WLB852042 WUV852042:WUX852042 IJ917578:IL917578 SF917578:SH917578 ACB917578:ACD917578 ALX917578:ALZ917578 AVT917578:AVV917578 BFP917578:BFR917578 BPL917578:BPN917578 BZH917578:BZJ917578 CJD917578:CJF917578 CSZ917578:CTB917578 DCV917578:DCX917578 DMR917578:DMT917578 DWN917578:DWP917578 EGJ917578:EGL917578 EQF917578:EQH917578 FAB917578:FAD917578 FJX917578:FJZ917578 FTT917578:FTV917578 GDP917578:GDR917578 GNL917578:GNN917578 GXH917578:GXJ917578 HHD917578:HHF917578 HQZ917578:HRB917578 IAV917578:IAX917578 IKR917578:IKT917578 IUN917578:IUP917578 JEJ917578:JEL917578 JOF917578:JOH917578 JYB917578:JYD917578 KHX917578:KHZ917578 KRT917578:KRV917578 LBP917578:LBR917578 LLL917578:LLN917578 LVH917578:LVJ917578 MFD917578:MFF917578 MOZ917578:MPB917578 MYV917578:MYX917578 NIR917578:NIT917578 NSN917578:NSP917578 OCJ917578:OCL917578 OMF917578:OMH917578 OWB917578:OWD917578 PFX917578:PFZ917578 PPT917578:PPV917578 PZP917578:PZR917578 QJL917578:QJN917578 QTH917578:QTJ917578 RDD917578:RDF917578 RMZ917578:RNB917578 RWV917578:RWX917578 SGR917578:SGT917578 SQN917578:SQP917578 TAJ917578:TAL917578 TKF917578:TKH917578 TUB917578:TUD917578 UDX917578:UDZ917578 UNT917578:UNV917578 UXP917578:UXR917578 VHL917578:VHN917578 VRH917578:VRJ917578 WBD917578:WBF917578 WKZ917578:WLB917578 WUV917578:WUX917578 IJ983114:IL983114 SF983114:SH983114 ACB983114:ACD983114 ALX983114:ALZ983114 AVT983114:AVV983114 BFP983114:BFR983114 BPL983114:BPN983114 BZH983114:BZJ983114 CJD983114:CJF983114 CSZ983114:CTB983114 DCV983114:DCX983114 DMR983114:DMT983114 DWN983114:DWP983114 EGJ983114:EGL983114 EQF983114:EQH983114 FAB983114:FAD983114 FJX983114:FJZ983114 FTT983114:FTV983114 GDP983114:GDR983114 GNL983114:GNN983114 GXH983114:GXJ983114 HHD983114:HHF983114 HQZ983114:HRB983114 IAV983114:IAX983114 IKR983114:IKT983114 IUN983114:IUP983114 JEJ983114:JEL983114 JOF983114:JOH983114 JYB983114:JYD983114 KHX983114:KHZ983114 KRT983114:KRV983114 LBP983114:LBR983114 LLL983114:LLN983114 LVH983114:LVJ983114 MFD983114:MFF983114 MOZ983114:MPB983114 MYV983114:MYX983114 NIR983114:NIT983114 NSN983114:NSP983114 OCJ983114:OCL983114 OMF983114:OMH983114 OWB983114:OWD983114 PFX983114:PFZ983114 PPT983114:PPV983114 PZP983114:PZR983114 QJL983114:QJN983114 QTH983114:QTJ983114 RDD983114:RDF983114 RMZ983114:RNB983114 RWV983114:RWX983114 SGR983114:SGT983114 SQN983114:SQP983114 TAJ983114:TAL983114 TKF983114:TKH983114 TUB983114:TUD983114 UDX983114:UDZ983114 UNT983114:UNV983114 UXP983114:UXR983114 VHL983114:VHN983114 VRH983114:VRJ983114 WBD983114:WBF983114 WKZ983114:WLB983114 WUV983114:WUX983114 IJ84:IL84 SF84:SH84 ACB84:ACD84 ALX84:ALZ84 AVT84:AVV84 BFP84:BFR84 BPL84:BPN84 BZH84:BZJ84 CJD84:CJF84 CSZ84:CTB84 DCV84:DCX84 DMR84:DMT84 DWN84:DWP84 EGJ84:EGL84 EQF84:EQH84 FAB84:FAD84 FJX84:FJZ84 FTT84:FTV84 GDP84:GDR84 GNL84:GNN84 GXH84:GXJ84 HHD84:HHF84 HQZ84:HRB84 IAV84:IAX84 IKR84:IKT84 IUN84:IUP84 JEJ84:JEL84 JOF84:JOH84 JYB84:JYD84 KHX84:KHZ84 KRT84:KRV84 LBP84:LBR84 LLL84:LLN84 LVH84:LVJ84 MFD84:MFF84 MOZ84:MPB84 MYV84:MYX84 NIR84:NIT84 NSN84:NSP84 OCJ84:OCL84 OMF84:OMH84 OWB84:OWD84 PFX84:PFZ84 PPT84:PPV84 PZP84:PZR84 QJL84:QJN84 QTH84:QTJ84 RDD84:RDF84 RMZ84:RNB84 RWV84:RWX84 SGR84:SGT84 SQN84:SQP84 TAJ84:TAL84 TKF84:TKH84 TUB84:TUD84 UDX84:UDZ84 UNT84:UNV84 UXP84:UXR84 VHL84:VHN84 VRH84:VRJ84 WBD84:WBF84 WKZ84:WLB84 WUV84:WUX84 IJ65620:IL65620 SF65620:SH65620 ACB65620:ACD65620 ALX65620:ALZ65620 AVT65620:AVV65620 BFP65620:BFR65620 BPL65620:BPN65620 BZH65620:BZJ65620 CJD65620:CJF65620 CSZ65620:CTB65620 DCV65620:DCX65620 DMR65620:DMT65620 DWN65620:DWP65620 EGJ65620:EGL65620 EQF65620:EQH65620 FAB65620:FAD65620 FJX65620:FJZ65620 FTT65620:FTV65620 GDP65620:GDR65620 GNL65620:GNN65620 GXH65620:GXJ65620 HHD65620:HHF65620 HQZ65620:HRB65620 IAV65620:IAX65620 IKR65620:IKT65620 IUN65620:IUP65620 JEJ65620:JEL65620 JOF65620:JOH65620 JYB65620:JYD65620 KHX65620:KHZ65620 KRT65620:KRV65620 LBP65620:LBR65620 LLL65620:LLN65620 LVH65620:LVJ65620 MFD65620:MFF65620 MOZ65620:MPB65620 MYV65620:MYX65620 NIR65620:NIT65620 NSN65620:NSP65620 OCJ65620:OCL65620 OMF65620:OMH65620 OWB65620:OWD65620 PFX65620:PFZ65620 PPT65620:PPV65620 PZP65620:PZR65620 QJL65620:QJN65620 QTH65620:QTJ65620 RDD65620:RDF65620 RMZ65620:RNB65620 RWV65620:RWX65620 SGR65620:SGT65620 SQN65620:SQP65620 TAJ65620:TAL65620 TKF65620:TKH65620 TUB65620:TUD65620 UDX65620:UDZ65620 UNT65620:UNV65620 UXP65620:UXR65620 VHL65620:VHN65620 VRH65620:VRJ65620 WBD65620:WBF65620 WKZ65620:WLB65620 WUV65620:WUX65620 IJ131156:IL131156 SF131156:SH131156 ACB131156:ACD131156 ALX131156:ALZ131156 AVT131156:AVV131156 BFP131156:BFR131156 BPL131156:BPN131156 BZH131156:BZJ131156 CJD131156:CJF131156 CSZ131156:CTB131156 DCV131156:DCX131156 DMR131156:DMT131156 DWN131156:DWP131156 EGJ131156:EGL131156 EQF131156:EQH131156 FAB131156:FAD131156 FJX131156:FJZ131156 FTT131156:FTV131156 GDP131156:GDR131156 GNL131156:GNN131156 GXH131156:GXJ131156 HHD131156:HHF131156 HQZ131156:HRB131156 IAV131156:IAX131156 IKR131156:IKT131156 IUN131156:IUP131156 JEJ131156:JEL131156 JOF131156:JOH131156 JYB131156:JYD131156 KHX131156:KHZ131156 KRT131156:KRV131156 LBP131156:LBR131156 LLL131156:LLN131156 LVH131156:LVJ131156 MFD131156:MFF131156 MOZ131156:MPB131156 MYV131156:MYX131156 NIR131156:NIT131156 NSN131156:NSP131156 OCJ131156:OCL131156 OMF131156:OMH131156 OWB131156:OWD131156 PFX131156:PFZ131156 PPT131156:PPV131156 PZP131156:PZR131156 QJL131156:QJN131156 QTH131156:QTJ131156 RDD131156:RDF131156 RMZ131156:RNB131156 RWV131156:RWX131156 SGR131156:SGT131156 SQN131156:SQP131156 TAJ131156:TAL131156 TKF131156:TKH131156 TUB131156:TUD131156 UDX131156:UDZ131156 UNT131156:UNV131156 UXP131156:UXR131156 VHL131156:VHN131156 VRH131156:VRJ131156 WBD131156:WBF131156 WKZ131156:WLB131156 WUV131156:WUX131156 IJ196692:IL196692 SF196692:SH196692 ACB196692:ACD196692 ALX196692:ALZ196692 AVT196692:AVV196692 BFP196692:BFR196692 BPL196692:BPN196692 BZH196692:BZJ196692 CJD196692:CJF196692 CSZ196692:CTB196692 DCV196692:DCX196692 DMR196692:DMT196692 DWN196692:DWP196692 EGJ196692:EGL196692 EQF196692:EQH196692 FAB196692:FAD196692 FJX196692:FJZ196692 FTT196692:FTV196692 GDP196692:GDR196692 GNL196692:GNN196692 GXH196692:GXJ196692 HHD196692:HHF196692 HQZ196692:HRB196692 IAV196692:IAX196692 IKR196692:IKT196692 IUN196692:IUP196692 JEJ196692:JEL196692 JOF196692:JOH196692 JYB196692:JYD196692 KHX196692:KHZ196692 KRT196692:KRV196692 LBP196692:LBR196692 LLL196692:LLN196692 LVH196692:LVJ196692 MFD196692:MFF196692 MOZ196692:MPB196692 MYV196692:MYX196692 NIR196692:NIT196692 NSN196692:NSP196692 OCJ196692:OCL196692 OMF196692:OMH196692 OWB196692:OWD196692 PFX196692:PFZ196692 PPT196692:PPV196692 PZP196692:PZR196692 QJL196692:QJN196692 QTH196692:QTJ196692 RDD196692:RDF196692 RMZ196692:RNB196692 RWV196692:RWX196692 SGR196692:SGT196692 SQN196692:SQP196692 TAJ196692:TAL196692 TKF196692:TKH196692 TUB196692:TUD196692 UDX196692:UDZ196692 UNT196692:UNV196692 UXP196692:UXR196692 VHL196692:VHN196692 VRH196692:VRJ196692 WBD196692:WBF196692 WKZ196692:WLB196692 WUV196692:WUX196692 IJ262228:IL262228 SF262228:SH262228 ACB262228:ACD262228 ALX262228:ALZ262228 AVT262228:AVV262228 BFP262228:BFR262228 BPL262228:BPN262228 BZH262228:BZJ262228 CJD262228:CJF262228 CSZ262228:CTB262228 DCV262228:DCX262228 DMR262228:DMT262228 DWN262228:DWP262228 EGJ262228:EGL262228 EQF262228:EQH262228 FAB262228:FAD262228 FJX262228:FJZ262228 FTT262228:FTV262228 GDP262228:GDR262228 GNL262228:GNN262228 GXH262228:GXJ262228 HHD262228:HHF262228 HQZ262228:HRB262228 IAV262228:IAX262228 IKR262228:IKT262228 IUN262228:IUP262228 JEJ262228:JEL262228 JOF262228:JOH262228 JYB262228:JYD262228 KHX262228:KHZ262228 KRT262228:KRV262228 LBP262228:LBR262228 LLL262228:LLN262228 LVH262228:LVJ262228 MFD262228:MFF262228 MOZ262228:MPB262228 MYV262228:MYX262228 NIR262228:NIT262228 NSN262228:NSP262228 OCJ262228:OCL262228 OMF262228:OMH262228 OWB262228:OWD262228 PFX262228:PFZ262228 PPT262228:PPV262228 PZP262228:PZR262228 QJL262228:QJN262228 QTH262228:QTJ262228 RDD262228:RDF262228 RMZ262228:RNB262228 RWV262228:RWX262228 SGR262228:SGT262228 SQN262228:SQP262228 TAJ262228:TAL262228 TKF262228:TKH262228 TUB262228:TUD262228 UDX262228:UDZ262228 UNT262228:UNV262228 UXP262228:UXR262228 VHL262228:VHN262228 VRH262228:VRJ262228 WBD262228:WBF262228 WKZ262228:WLB262228 WUV262228:WUX262228 IJ327764:IL327764 SF327764:SH327764 ACB327764:ACD327764 ALX327764:ALZ327764 AVT327764:AVV327764 BFP327764:BFR327764 BPL327764:BPN327764 BZH327764:BZJ327764 CJD327764:CJF327764 CSZ327764:CTB327764 DCV327764:DCX327764 DMR327764:DMT327764 DWN327764:DWP327764 EGJ327764:EGL327764 EQF327764:EQH327764 FAB327764:FAD327764 FJX327764:FJZ327764 FTT327764:FTV327764 GDP327764:GDR327764 GNL327764:GNN327764 GXH327764:GXJ327764 HHD327764:HHF327764 HQZ327764:HRB327764 IAV327764:IAX327764 IKR327764:IKT327764 IUN327764:IUP327764 JEJ327764:JEL327764 JOF327764:JOH327764 JYB327764:JYD327764 KHX327764:KHZ327764 KRT327764:KRV327764 LBP327764:LBR327764 LLL327764:LLN327764 LVH327764:LVJ327764 MFD327764:MFF327764 MOZ327764:MPB327764 MYV327764:MYX327764 NIR327764:NIT327764 NSN327764:NSP327764 OCJ327764:OCL327764 OMF327764:OMH327764 OWB327764:OWD327764 PFX327764:PFZ327764 PPT327764:PPV327764 PZP327764:PZR327764 QJL327764:QJN327764 QTH327764:QTJ327764 RDD327764:RDF327764 RMZ327764:RNB327764 RWV327764:RWX327764 SGR327764:SGT327764 SQN327764:SQP327764 TAJ327764:TAL327764 TKF327764:TKH327764 TUB327764:TUD327764 UDX327764:UDZ327764 UNT327764:UNV327764 UXP327764:UXR327764 VHL327764:VHN327764 VRH327764:VRJ327764 WBD327764:WBF327764 WKZ327764:WLB327764 WUV327764:WUX327764 IJ393300:IL393300 SF393300:SH393300 ACB393300:ACD393300 ALX393300:ALZ393300 AVT393300:AVV393300 BFP393300:BFR393300 BPL393300:BPN393300 BZH393300:BZJ393300 CJD393300:CJF393300 CSZ393300:CTB393300 DCV393300:DCX393300 DMR393300:DMT393300 DWN393300:DWP393300 EGJ393300:EGL393300 EQF393300:EQH393300 FAB393300:FAD393300 FJX393300:FJZ393300 FTT393300:FTV393300 GDP393300:GDR393300 GNL393300:GNN393300 GXH393300:GXJ393300 HHD393300:HHF393300 HQZ393300:HRB393300 IAV393300:IAX393300 IKR393300:IKT393300 IUN393300:IUP393300 JEJ393300:JEL393300 JOF393300:JOH393300 JYB393300:JYD393300 KHX393300:KHZ393300 KRT393300:KRV393300 LBP393300:LBR393300 LLL393300:LLN393300 LVH393300:LVJ393300 MFD393300:MFF393300 MOZ393300:MPB393300 MYV393300:MYX393300 NIR393300:NIT393300 NSN393300:NSP393300 OCJ393300:OCL393300 OMF393300:OMH393300 OWB393300:OWD393300 PFX393300:PFZ393300 PPT393300:PPV393300 PZP393300:PZR393300 QJL393300:QJN393300 QTH393300:QTJ393300 RDD393300:RDF393300 RMZ393300:RNB393300 RWV393300:RWX393300 SGR393300:SGT393300 SQN393300:SQP393300 TAJ393300:TAL393300 TKF393300:TKH393300 TUB393300:TUD393300 UDX393300:UDZ393300 UNT393300:UNV393300 UXP393300:UXR393300 VHL393300:VHN393300 VRH393300:VRJ393300 WBD393300:WBF393300 WKZ393300:WLB393300 WUV393300:WUX393300 IJ458836:IL458836 SF458836:SH458836 ACB458836:ACD458836 ALX458836:ALZ458836 AVT458836:AVV458836 BFP458836:BFR458836 BPL458836:BPN458836 BZH458836:BZJ458836 CJD458836:CJF458836 CSZ458836:CTB458836 DCV458836:DCX458836 DMR458836:DMT458836 DWN458836:DWP458836 EGJ458836:EGL458836 EQF458836:EQH458836 FAB458836:FAD458836 FJX458836:FJZ458836 FTT458836:FTV458836 GDP458836:GDR458836 GNL458836:GNN458836 GXH458836:GXJ458836 HHD458836:HHF458836 HQZ458836:HRB458836 IAV458836:IAX458836 IKR458836:IKT458836 IUN458836:IUP458836 JEJ458836:JEL458836 JOF458836:JOH458836 JYB458836:JYD458836 KHX458836:KHZ458836 KRT458836:KRV458836 LBP458836:LBR458836 LLL458836:LLN458836 LVH458836:LVJ458836 MFD458836:MFF458836 MOZ458836:MPB458836 MYV458836:MYX458836 NIR458836:NIT458836 NSN458836:NSP458836 OCJ458836:OCL458836 OMF458836:OMH458836 OWB458836:OWD458836 PFX458836:PFZ458836 PPT458836:PPV458836 PZP458836:PZR458836 QJL458836:QJN458836 QTH458836:QTJ458836 RDD458836:RDF458836 RMZ458836:RNB458836 RWV458836:RWX458836 SGR458836:SGT458836 SQN458836:SQP458836 TAJ458836:TAL458836 TKF458836:TKH458836 TUB458836:TUD458836 UDX458836:UDZ458836 UNT458836:UNV458836 UXP458836:UXR458836 VHL458836:VHN458836 VRH458836:VRJ458836 WBD458836:WBF458836 WKZ458836:WLB458836 WUV458836:WUX458836 IJ524372:IL524372 SF524372:SH524372 ACB524372:ACD524372 ALX524372:ALZ524372 AVT524372:AVV524372 BFP524372:BFR524372 BPL524372:BPN524372 BZH524372:BZJ524372 CJD524372:CJF524372 CSZ524372:CTB524372 DCV524372:DCX524372 DMR524372:DMT524372 DWN524372:DWP524372 EGJ524372:EGL524372 EQF524372:EQH524372 FAB524372:FAD524372 FJX524372:FJZ524372 FTT524372:FTV524372 GDP524372:GDR524372 GNL524372:GNN524372 GXH524372:GXJ524372 HHD524372:HHF524372 HQZ524372:HRB524372 IAV524372:IAX524372 IKR524372:IKT524372 IUN524372:IUP524372 JEJ524372:JEL524372 JOF524372:JOH524372 JYB524372:JYD524372 KHX524372:KHZ524372 KRT524372:KRV524372 LBP524372:LBR524372 LLL524372:LLN524372 LVH524372:LVJ524372 MFD524372:MFF524372 MOZ524372:MPB524372 MYV524372:MYX524372 NIR524372:NIT524372 NSN524372:NSP524372 OCJ524372:OCL524372 OMF524372:OMH524372 OWB524372:OWD524372 PFX524372:PFZ524372 PPT524372:PPV524372 PZP524372:PZR524372 QJL524372:QJN524372 QTH524372:QTJ524372 RDD524372:RDF524372 RMZ524372:RNB524372 RWV524372:RWX524372 SGR524372:SGT524372 SQN524372:SQP524372 TAJ524372:TAL524372 TKF524372:TKH524372 TUB524372:TUD524372 UDX524372:UDZ524372 UNT524372:UNV524372 UXP524372:UXR524372 VHL524372:VHN524372 VRH524372:VRJ524372 WBD524372:WBF524372 WKZ524372:WLB524372 WUV524372:WUX524372 IJ589908:IL589908 SF589908:SH589908 ACB589908:ACD589908 ALX589908:ALZ589908 AVT589908:AVV589908 BFP589908:BFR589908 BPL589908:BPN589908 BZH589908:BZJ589908 CJD589908:CJF589908 CSZ589908:CTB589908 DCV589908:DCX589908 DMR589908:DMT589908 DWN589908:DWP589908 EGJ589908:EGL589908 EQF589908:EQH589908 FAB589908:FAD589908 FJX589908:FJZ589908 FTT589908:FTV589908 GDP589908:GDR589908 GNL589908:GNN589908 GXH589908:GXJ589908 HHD589908:HHF589908 HQZ589908:HRB589908 IAV589908:IAX589908 IKR589908:IKT589908 IUN589908:IUP589908 JEJ589908:JEL589908 JOF589908:JOH589908 JYB589908:JYD589908 KHX589908:KHZ589908 KRT589908:KRV589908 LBP589908:LBR589908 LLL589908:LLN589908 LVH589908:LVJ589908 MFD589908:MFF589908 MOZ589908:MPB589908 MYV589908:MYX589908 NIR589908:NIT589908 NSN589908:NSP589908 OCJ589908:OCL589908 OMF589908:OMH589908 OWB589908:OWD589908 PFX589908:PFZ589908 PPT589908:PPV589908 PZP589908:PZR589908 QJL589908:QJN589908 QTH589908:QTJ589908 RDD589908:RDF589908 RMZ589908:RNB589908 RWV589908:RWX589908 SGR589908:SGT589908 SQN589908:SQP589908 TAJ589908:TAL589908 TKF589908:TKH589908 TUB589908:TUD589908 UDX589908:UDZ589908 UNT589908:UNV589908 UXP589908:UXR589908 VHL589908:VHN589908 VRH589908:VRJ589908 WBD589908:WBF589908 WKZ589908:WLB589908 WUV589908:WUX589908 IJ655444:IL655444 SF655444:SH655444 ACB655444:ACD655444 ALX655444:ALZ655444 AVT655444:AVV655444 BFP655444:BFR655444 BPL655444:BPN655444 BZH655444:BZJ655444 CJD655444:CJF655444 CSZ655444:CTB655444 DCV655444:DCX655444 DMR655444:DMT655444 DWN655444:DWP655444 EGJ655444:EGL655444 EQF655444:EQH655444 FAB655444:FAD655444 FJX655444:FJZ655444 FTT655444:FTV655444 GDP655444:GDR655444 GNL655444:GNN655444 GXH655444:GXJ655444 HHD655444:HHF655444 HQZ655444:HRB655444 IAV655444:IAX655444 IKR655444:IKT655444 IUN655444:IUP655444 JEJ655444:JEL655444 JOF655444:JOH655444 JYB655444:JYD655444 KHX655444:KHZ655444 KRT655444:KRV655444 LBP655444:LBR655444 LLL655444:LLN655444 LVH655444:LVJ655444 MFD655444:MFF655444 MOZ655444:MPB655444 MYV655444:MYX655444 NIR655444:NIT655444 NSN655444:NSP655444 OCJ655444:OCL655444 OMF655444:OMH655444 OWB655444:OWD655444 PFX655444:PFZ655444 PPT655444:PPV655444 PZP655444:PZR655444 QJL655444:QJN655444 QTH655444:QTJ655444 RDD655444:RDF655444 RMZ655444:RNB655444 RWV655444:RWX655444 SGR655444:SGT655444 SQN655444:SQP655444 TAJ655444:TAL655444 TKF655444:TKH655444 TUB655444:TUD655444 UDX655444:UDZ655444 UNT655444:UNV655444 UXP655444:UXR655444 VHL655444:VHN655444 VRH655444:VRJ655444 WBD655444:WBF655444 WKZ655444:WLB655444 WUV655444:WUX655444 IJ720980:IL720980 SF720980:SH720980 ACB720980:ACD720980 ALX720980:ALZ720980 AVT720980:AVV720980 BFP720980:BFR720980 BPL720980:BPN720980 BZH720980:BZJ720980 CJD720980:CJF720980 CSZ720980:CTB720980 DCV720980:DCX720980 DMR720980:DMT720980 DWN720980:DWP720980 EGJ720980:EGL720980 EQF720980:EQH720980 FAB720980:FAD720980 FJX720980:FJZ720980 FTT720980:FTV720980 GDP720980:GDR720980 GNL720980:GNN720980 GXH720980:GXJ720980 HHD720980:HHF720980 HQZ720980:HRB720980 IAV720980:IAX720980 IKR720980:IKT720980 IUN720980:IUP720980 JEJ720980:JEL720980 JOF720980:JOH720980 JYB720980:JYD720980 KHX720980:KHZ720980 KRT720980:KRV720980 LBP720980:LBR720980 LLL720980:LLN720980 LVH720980:LVJ720980 MFD720980:MFF720980 MOZ720980:MPB720980 MYV720980:MYX720980 NIR720980:NIT720980 NSN720980:NSP720980 OCJ720980:OCL720980 OMF720980:OMH720980 OWB720980:OWD720980 PFX720980:PFZ720980 PPT720980:PPV720980 PZP720980:PZR720980 QJL720980:QJN720980 QTH720980:QTJ720980 RDD720980:RDF720980 RMZ720980:RNB720980 RWV720980:RWX720980 SGR720980:SGT720980 SQN720980:SQP720980 TAJ720980:TAL720980 TKF720980:TKH720980 TUB720980:TUD720980 UDX720980:UDZ720980 UNT720980:UNV720980 UXP720980:UXR720980 VHL720980:VHN720980 VRH720980:VRJ720980 WBD720980:WBF720980 WKZ720980:WLB720980 WUV720980:WUX720980 IJ786516:IL786516 SF786516:SH786516 ACB786516:ACD786516 ALX786516:ALZ786516 AVT786516:AVV786516 BFP786516:BFR786516 BPL786516:BPN786516 BZH786516:BZJ786516 CJD786516:CJF786516 CSZ786516:CTB786516 DCV786516:DCX786516 DMR786516:DMT786516 DWN786516:DWP786516 EGJ786516:EGL786516 EQF786516:EQH786516 FAB786516:FAD786516 FJX786516:FJZ786516 FTT786516:FTV786516 GDP786516:GDR786516 GNL786516:GNN786516 GXH786516:GXJ786516 HHD786516:HHF786516 HQZ786516:HRB786516 IAV786516:IAX786516 IKR786516:IKT786516 IUN786516:IUP786516 JEJ786516:JEL786516 JOF786516:JOH786516 JYB786516:JYD786516 KHX786516:KHZ786516 KRT786516:KRV786516 LBP786516:LBR786516 LLL786516:LLN786516 LVH786516:LVJ786516 MFD786516:MFF786516 MOZ786516:MPB786516 MYV786516:MYX786516 NIR786516:NIT786516 NSN786516:NSP786516 OCJ786516:OCL786516 OMF786516:OMH786516 OWB786516:OWD786516 PFX786516:PFZ786516 PPT786516:PPV786516 PZP786516:PZR786516 QJL786516:QJN786516 QTH786516:QTJ786516 RDD786516:RDF786516 RMZ786516:RNB786516 RWV786516:RWX786516 SGR786516:SGT786516 SQN786516:SQP786516 TAJ786516:TAL786516 TKF786516:TKH786516 TUB786516:TUD786516 UDX786516:UDZ786516 UNT786516:UNV786516 UXP786516:UXR786516 VHL786516:VHN786516 VRH786516:VRJ786516 WBD786516:WBF786516 WKZ786516:WLB786516 WUV786516:WUX786516 IJ852052:IL852052 SF852052:SH852052 ACB852052:ACD852052 ALX852052:ALZ852052 AVT852052:AVV852052 BFP852052:BFR852052 BPL852052:BPN852052 BZH852052:BZJ852052 CJD852052:CJF852052 CSZ852052:CTB852052 DCV852052:DCX852052 DMR852052:DMT852052 DWN852052:DWP852052 EGJ852052:EGL852052 EQF852052:EQH852052 FAB852052:FAD852052 FJX852052:FJZ852052 FTT852052:FTV852052 GDP852052:GDR852052 GNL852052:GNN852052 GXH852052:GXJ852052 HHD852052:HHF852052 HQZ852052:HRB852052 IAV852052:IAX852052 IKR852052:IKT852052 IUN852052:IUP852052 JEJ852052:JEL852052 JOF852052:JOH852052 JYB852052:JYD852052 KHX852052:KHZ852052 KRT852052:KRV852052 LBP852052:LBR852052 LLL852052:LLN852052 LVH852052:LVJ852052 MFD852052:MFF852052 MOZ852052:MPB852052 MYV852052:MYX852052 NIR852052:NIT852052 NSN852052:NSP852052 OCJ852052:OCL852052 OMF852052:OMH852052 OWB852052:OWD852052 PFX852052:PFZ852052 PPT852052:PPV852052 PZP852052:PZR852052 QJL852052:QJN852052 QTH852052:QTJ852052 RDD852052:RDF852052 RMZ852052:RNB852052 RWV852052:RWX852052 SGR852052:SGT852052 SQN852052:SQP852052 TAJ852052:TAL852052 TKF852052:TKH852052 TUB852052:TUD852052 UDX852052:UDZ852052 UNT852052:UNV852052 UXP852052:UXR852052 VHL852052:VHN852052 VRH852052:VRJ852052 WBD852052:WBF852052 WKZ852052:WLB852052 WUV852052:WUX852052 IJ917588:IL917588 SF917588:SH917588 ACB917588:ACD917588 ALX917588:ALZ917588 AVT917588:AVV917588 BFP917588:BFR917588 BPL917588:BPN917588 BZH917588:BZJ917588 CJD917588:CJF917588 CSZ917588:CTB917588 DCV917588:DCX917588 DMR917588:DMT917588 DWN917588:DWP917588 EGJ917588:EGL917588 EQF917588:EQH917588 FAB917588:FAD917588 FJX917588:FJZ917588 FTT917588:FTV917588 GDP917588:GDR917588 GNL917588:GNN917588 GXH917588:GXJ917588 HHD917588:HHF917588 HQZ917588:HRB917588 IAV917588:IAX917588 IKR917588:IKT917588 IUN917588:IUP917588 JEJ917588:JEL917588 JOF917588:JOH917588 JYB917588:JYD917588 KHX917588:KHZ917588 KRT917588:KRV917588 LBP917588:LBR917588 LLL917588:LLN917588 LVH917588:LVJ917588 MFD917588:MFF917588 MOZ917588:MPB917588 MYV917588:MYX917588 NIR917588:NIT917588 NSN917588:NSP917588 OCJ917588:OCL917588 OMF917588:OMH917588 OWB917588:OWD917588 PFX917588:PFZ917588 PPT917588:PPV917588 PZP917588:PZR917588 QJL917588:QJN917588 QTH917588:QTJ917588 RDD917588:RDF917588 RMZ917588:RNB917588 RWV917588:RWX917588 SGR917588:SGT917588 SQN917588:SQP917588 TAJ917588:TAL917588 TKF917588:TKH917588 TUB917588:TUD917588 UDX917588:UDZ917588 UNT917588:UNV917588 UXP917588:UXR917588 VHL917588:VHN917588 VRH917588:VRJ917588 WBD917588:WBF917588 WKZ917588:WLB917588 WUV917588:WUX917588 IJ983124:IL983124 SF983124:SH983124 ACB983124:ACD983124 ALX983124:ALZ983124 AVT983124:AVV983124 BFP983124:BFR983124 BPL983124:BPN983124 BZH983124:BZJ983124 CJD983124:CJF983124 CSZ983124:CTB983124 DCV983124:DCX983124 DMR983124:DMT983124 DWN983124:DWP983124 EGJ983124:EGL983124 EQF983124:EQH983124 FAB983124:FAD983124 FJX983124:FJZ983124 FTT983124:FTV983124 GDP983124:GDR983124 GNL983124:GNN983124 GXH983124:GXJ983124 HHD983124:HHF983124 HQZ983124:HRB983124 IAV983124:IAX983124 IKR983124:IKT983124 IUN983124:IUP983124 JEJ983124:JEL983124 JOF983124:JOH983124 JYB983124:JYD983124 KHX983124:KHZ983124 KRT983124:KRV983124 LBP983124:LBR983124 LLL983124:LLN983124 LVH983124:LVJ983124 MFD983124:MFF983124 MOZ983124:MPB983124 MYV983124:MYX983124 NIR983124:NIT983124 NSN983124:NSP983124 OCJ983124:OCL983124 OMF983124:OMH983124 OWB983124:OWD983124 PFX983124:PFZ983124 PPT983124:PPV983124 PZP983124:PZR983124 QJL983124:QJN983124 QTH983124:QTJ983124 RDD983124:RDF983124 RMZ983124:RNB983124 RWV983124:RWX983124 SGR983124:SGT983124 SQN983124:SQP983124 TAJ983124:TAL983124 TKF983124:TKH983124 TUB983124:TUD983124 UDX983124:UDZ983124 UNT983124:UNV983124 UXP983124:UXR983124 VHL983124:VHN983124 VRH983124:VRJ983124 WBD983124:WBF983124 WKZ983124:WLB983124 WUV983124:WUX983124 IJ94:IL94 SF94:SH94 ACB94:ACD94 ALX94:ALZ94 AVT94:AVV94 BFP94:BFR94 BPL94:BPN94 BZH94:BZJ94 CJD94:CJF94 CSZ94:CTB94 DCV94:DCX94 DMR94:DMT94 DWN94:DWP94 EGJ94:EGL94 EQF94:EQH94 FAB94:FAD94 FJX94:FJZ94 FTT94:FTV94 GDP94:GDR94 GNL94:GNN94 GXH94:GXJ94 HHD94:HHF94 HQZ94:HRB94 IAV94:IAX94 IKR94:IKT94 IUN94:IUP94 JEJ94:JEL94 JOF94:JOH94 JYB94:JYD94 KHX94:KHZ94 KRT94:KRV94 LBP94:LBR94 LLL94:LLN94 LVH94:LVJ94 MFD94:MFF94 MOZ94:MPB94 MYV94:MYX94 NIR94:NIT94 NSN94:NSP94 OCJ94:OCL94 OMF94:OMH94 OWB94:OWD94 PFX94:PFZ94 PPT94:PPV94 PZP94:PZR94 QJL94:QJN94 QTH94:QTJ94 RDD94:RDF94 RMZ94:RNB94 RWV94:RWX94 SGR94:SGT94 SQN94:SQP94 TAJ94:TAL94 TKF94:TKH94 TUB94:TUD94 UDX94:UDZ94 UNT94:UNV94 UXP94:UXR94 VHL94:VHN94 VRH94:VRJ94 WBD94:WBF94 WKZ94:WLB94 WUV94:WUX94 IJ65630:IL65630 SF65630:SH65630 ACB65630:ACD65630 ALX65630:ALZ65630 AVT65630:AVV65630 BFP65630:BFR65630 BPL65630:BPN65630 BZH65630:BZJ65630 CJD65630:CJF65630 CSZ65630:CTB65630 DCV65630:DCX65630 DMR65630:DMT65630 DWN65630:DWP65630 EGJ65630:EGL65630 EQF65630:EQH65630 FAB65630:FAD65630 FJX65630:FJZ65630 FTT65630:FTV65630 GDP65630:GDR65630 GNL65630:GNN65630 GXH65630:GXJ65630 HHD65630:HHF65630 HQZ65630:HRB65630 IAV65630:IAX65630 IKR65630:IKT65630 IUN65630:IUP65630 JEJ65630:JEL65630 JOF65630:JOH65630 JYB65630:JYD65630 KHX65630:KHZ65630 KRT65630:KRV65630 LBP65630:LBR65630 LLL65630:LLN65630 LVH65630:LVJ65630 MFD65630:MFF65630 MOZ65630:MPB65630 MYV65630:MYX65630 NIR65630:NIT65630 NSN65630:NSP65630 OCJ65630:OCL65630 OMF65630:OMH65630 OWB65630:OWD65630 PFX65630:PFZ65630 PPT65630:PPV65630 PZP65630:PZR65630 QJL65630:QJN65630 QTH65630:QTJ65630 RDD65630:RDF65630 RMZ65630:RNB65630 RWV65630:RWX65630 SGR65630:SGT65630 SQN65630:SQP65630 TAJ65630:TAL65630 TKF65630:TKH65630 TUB65630:TUD65630 UDX65630:UDZ65630 UNT65630:UNV65630 UXP65630:UXR65630 VHL65630:VHN65630 VRH65630:VRJ65630 WBD65630:WBF65630 WKZ65630:WLB65630 WUV65630:WUX65630 IJ131166:IL131166 SF131166:SH131166 ACB131166:ACD131166 ALX131166:ALZ131166 AVT131166:AVV131166 BFP131166:BFR131166 BPL131166:BPN131166 BZH131166:BZJ131166 CJD131166:CJF131166 CSZ131166:CTB131166 DCV131166:DCX131166 DMR131166:DMT131166 DWN131166:DWP131166 EGJ131166:EGL131166 EQF131166:EQH131166 FAB131166:FAD131166 FJX131166:FJZ131166 FTT131166:FTV131166 GDP131166:GDR131166 GNL131166:GNN131166 GXH131166:GXJ131166 HHD131166:HHF131166 HQZ131166:HRB131166 IAV131166:IAX131166 IKR131166:IKT131166 IUN131166:IUP131166 JEJ131166:JEL131166 JOF131166:JOH131166 JYB131166:JYD131166 KHX131166:KHZ131166 KRT131166:KRV131166 LBP131166:LBR131166 LLL131166:LLN131166 LVH131166:LVJ131166 MFD131166:MFF131166 MOZ131166:MPB131166 MYV131166:MYX131166 NIR131166:NIT131166 NSN131166:NSP131166 OCJ131166:OCL131166 OMF131166:OMH131166 OWB131166:OWD131166 PFX131166:PFZ131166 PPT131166:PPV131166 PZP131166:PZR131166 QJL131166:QJN131166 QTH131166:QTJ131166 RDD131166:RDF131166 RMZ131166:RNB131166 RWV131166:RWX131166 SGR131166:SGT131166 SQN131166:SQP131166 TAJ131166:TAL131166 TKF131166:TKH131166 TUB131166:TUD131166 UDX131166:UDZ131166 UNT131166:UNV131166 UXP131166:UXR131166 VHL131166:VHN131166 VRH131166:VRJ131166 WBD131166:WBF131166 WKZ131166:WLB131166 WUV131166:WUX131166 IJ196702:IL196702 SF196702:SH196702 ACB196702:ACD196702 ALX196702:ALZ196702 AVT196702:AVV196702 BFP196702:BFR196702 BPL196702:BPN196702 BZH196702:BZJ196702 CJD196702:CJF196702 CSZ196702:CTB196702 DCV196702:DCX196702 DMR196702:DMT196702 DWN196702:DWP196702 EGJ196702:EGL196702 EQF196702:EQH196702 FAB196702:FAD196702 FJX196702:FJZ196702 FTT196702:FTV196702 GDP196702:GDR196702 GNL196702:GNN196702 GXH196702:GXJ196702 HHD196702:HHF196702 HQZ196702:HRB196702 IAV196702:IAX196702 IKR196702:IKT196702 IUN196702:IUP196702 JEJ196702:JEL196702 JOF196702:JOH196702 JYB196702:JYD196702 KHX196702:KHZ196702 KRT196702:KRV196702 LBP196702:LBR196702 LLL196702:LLN196702 LVH196702:LVJ196702 MFD196702:MFF196702 MOZ196702:MPB196702 MYV196702:MYX196702 NIR196702:NIT196702 NSN196702:NSP196702 OCJ196702:OCL196702 OMF196702:OMH196702 OWB196702:OWD196702 PFX196702:PFZ196702 PPT196702:PPV196702 PZP196702:PZR196702 QJL196702:QJN196702 QTH196702:QTJ196702 RDD196702:RDF196702 RMZ196702:RNB196702 RWV196702:RWX196702 SGR196702:SGT196702 SQN196702:SQP196702 TAJ196702:TAL196702 TKF196702:TKH196702 TUB196702:TUD196702 UDX196702:UDZ196702 UNT196702:UNV196702 UXP196702:UXR196702 VHL196702:VHN196702 VRH196702:VRJ196702 WBD196702:WBF196702 WKZ196702:WLB196702 WUV196702:WUX196702 IJ262238:IL262238 SF262238:SH262238 ACB262238:ACD262238 ALX262238:ALZ262238 AVT262238:AVV262238 BFP262238:BFR262238 BPL262238:BPN262238 BZH262238:BZJ262238 CJD262238:CJF262238 CSZ262238:CTB262238 DCV262238:DCX262238 DMR262238:DMT262238 DWN262238:DWP262238 EGJ262238:EGL262238 EQF262238:EQH262238 FAB262238:FAD262238 FJX262238:FJZ262238 FTT262238:FTV262238 GDP262238:GDR262238 GNL262238:GNN262238 GXH262238:GXJ262238 HHD262238:HHF262238 HQZ262238:HRB262238 IAV262238:IAX262238 IKR262238:IKT262238 IUN262238:IUP262238 JEJ262238:JEL262238 JOF262238:JOH262238 JYB262238:JYD262238 KHX262238:KHZ262238 KRT262238:KRV262238 LBP262238:LBR262238 LLL262238:LLN262238 LVH262238:LVJ262238 MFD262238:MFF262238 MOZ262238:MPB262238 MYV262238:MYX262238 NIR262238:NIT262238 NSN262238:NSP262238 OCJ262238:OCL262238 OMF262238:OMH262238 OWB262238:OWD262238 PFX262238:PFZ262238 PPT262238:PPV262238 PZP262238:PZR262238 QJL262238:QJN262238 QTH262238:QTJ262238 RDD262238:RDF262238 RMZ262238:RNB262238 RWV262238:RWX262238 SGR262238:SGT262238 SQN262238:SQP262238 TAJ262238:TAL262238 TKF262238:TKH262238 TUB262238:TUD262238 UDX262238:UDZ262238 UNT262238:UNV262238 UXP262238:UXR262238 VHL262238:VHN262238 VRH262238:VRJ262238 WBD262238:WBF262238 WKZ262238:WLB262238 WUV262238:WUX262238 IJ327774:IL327774 SF327774:SH327774 ACB327774:ACD327774 ALX327774:ALZ327774 AVT327774:AVV327774 BFP327774:BFR327774 BPL327774:BPN327774 BZH327774:BZJ327774 CJD327774:CJF327774 CSZ327774:CTB327774 DCV327774:DCX327774 DMR327774:DMT327774 DWN327774:DWP327774 EGJ327774:EGL327774 EQF327774:EQH327774 FAB327774:FAD327774 FJX327774:FJZ327774 FTT327774:FTV327774 GDP327774:GDR327774 GNL327774:GNN327774 GXH327774:GXJ327774 HHD327774:HHF327774 HQZ327774:HRB327774 IAV327774:IAX327774 IKR327774:IKT327774 IUN327774:IUP327774 JEJ327774:JEL327774 JOF327774:JOH327774 JYB327774:JYD327774 KHX327774:KHZ327774 KRT327774:KRV327774 LBP327774:LBR327774 LLL327774:LLN327774 LVH327774:LVJ327774 MFD327774:MFF327774 MOZ327774:MPB327774 MYV327774:MYX327774 NIR327774:NIT327774 NSN327774:NSP327774 OCJ327774:OCL327774 OMF327774:OMH327774 OWB327774:OWD327774 PFX327774:PFZ327774 PPT327774:PPV327774 PZP327774:PZR327774 QJL327774:QJN327774 QTH327774:QTJ327774 RDD327774:RDF327774 RMZ327774:RNB327774 RWV327774:RWX327774 SGR327774:SGT327774 SQN327774:SQP327774 TAJ327774:TAL327774 TKF327774:TKH327774 TUB327774:TUD327774 UDX327774:UDZ327774 UNT327774:UNV327774 UXP327774:UXR327774 VHL327774:VHN327774 VRH327774:VRJ327774 WBD327774:WBF327774 WKZ327774:WLB327774 WUV327774:WUX327774 IJ393310:IL393310 SF393310:SH393310 ACB393310:ACD393310 ALX393310:ALZ393310 AVT393310:AVV393310 BFP393310:BFR393310 BPL393310:BPN393310 BZH393310:BZJ393310 CJD393310:CJF393310 CSZ393310:CTB393310 DCV393310:DCX393310 DMR393310:DMT393310 DWN393310:DWP393310 EGJ393310:EGL393310 EQF393310:EQH393310 FAB393310:FAD393310 FJX393310:FJZ393310 FTT393310:FTV393310 GDP393310:GDR393310 GNL393310:GNN393310 GXH393310:GXJ393310 HHD393310:HHF393310 HQZ393310:HRB393310 IAV393310:IAX393310 IKR393310:IKT393310 IUN393310:IUP393310 JEJ393310:JEL393310 JOF393310:JOH393310 JYB393310:JYD393310 KHX393310:KHZ393310 KRT393310:KRV393310 LBP393310:LBR393310 LLL393310:LLN393310 LVH393310:LVJ393310 MFD393310:MFF393310 MOZ393310:MPB393310 MYV393310:MYX393310 NIR393310:NIT393310 NSN393310:NSP393310 OCJ393310:OCL393310 OMF393310:OMH393310 OWB393310:OWD393310 PFX393310:PFZ393310 PPT393310:PPV393310 PZP393310:PZR393310 QJL393310:QJN393310 QTH393310:QTJ393310 RDD393310:RDF393310 RMZ393310:RNB393310 RWV393310:RWX393310 SGR393310:SGT393310 SQN393310:SQP393310 TAJ393310:TAL393310 TKF393310:TKH393310 TUB393310:TUD393310 UDX393310:UDZ393310 UNT393310:UNV393310 UXP393310:UXR393310 VHL393310:VHN393310 VRH393310:VRJ393310 WBD393310:WBF393310 WKZ393310:WLB393310 WUV393310:WUX393310 IJ458846:IL458846 SF458846:SH458846 ACB458846:ACD458846 ALX458846:ALZ458846 AVT458846:AVV458846 BFP458846:BFR458846 BPL458846:BPN458846 BZH458846:BZJ458846 CJD458846:CJF458846 CSZ458846:CTB458846 DCV458846:DCX458846 DMR458846:DMT458846 DWN458846:DWP458846 EGJ458846:EGL458846 EQF458846:EQH458846 FAB458846:FAD458846 FJX458846:FJZ458846 FTT458846:FTV458846 GDP458846:GDR458846 GNL458846:GNN458846 GXH458846:GXJ458846 HHD458846:HHF458846 HQZ458846:HRB458846 IAV458846:IAX458846 IKR458846:IKT458846 IUN458846:IUP458846 JEJ458846:JEL458846 JOF458846:JOH458846 JYB458846:JYD458846 KHX458846:KHZ458846 KRT458846:KRV458846 LBP458846:LBR458846 LLL458846:LLN458846 LVH458846:LVJ458846 MFD458846:MFF458846 MOZ458846:MPB458846 MYV458846:MYX458846 NIR458846:NIT458846 NSN458846:NSP458846 OCJ458846:OCL458846 OMF458846:OMH458846 OWB458846:OWD458846 PFX458846:PFZ458846 PPT458846:PPV458846 PZP458846:PZR458846 QJL458846:QJN458846 QTH458846:QTJ458846 RDD458846:RDF458846 RMZ458846:RNB458846 RWV458846:RWX458846 SGR458846:SGT458846 SQN458846:SQP458846 TAJ458846:TAL458846 TKF458846:TKH458846 TUB458846:TUD458846 UDX458846:UDZ458846 UNT458846:UNV458846 UXP458846:UXR458846 VHL458846:VHN458846 VRH458846:VRJ458846 WBD458846:WBF458846 WKZ458846:WLB458846 WUV458846:WUX458846 IJ524382:IL524382 SF524382:SH524382 ACB524382:ACD524382 ALX524382:ALZ524382 AVT524382:AVV524382 BFP524382:BFR524382 BPL524382:BPN524382 BZH524382:BZJ524382 CJD524382:CJF524382 CSZ524382:CTB524382 DCV524382:DCX524382 DMR524382:DMT524382 DWN524382:DWP524382 EGJ524382:EGL524382 EQF524382:EQH524382 FAB524382:FAD524382 FJX524382:FJZ524382 FTT524382:FTV524382 GDP524382:GDR524382 GNL524382:GNN524382 GXH524382:GXJ524382 HHD524382:HHF524382 HQZ524382:HRB524382 IAV524382:IAX524382 IKR524382:IKT524382 IUN524382:IUP524382 JEJ524382:JEL524382 JOF524382:JOH524382 JYB524382:JYD524382 KHX524382:KHZ524382 KRT524382:KRV524382 LBP524382:LBR524382 LLL524382:LLN524382 LVH524382:LVJ524382 MFD524382:MFF524382 MOZ524382:MPB524382 MYV524382:MYX524382 NIR524382:NIT524382 NSN524382:NSP524382 OCJ524382:OCL524382 OMF524382:OMH524382 OWB524382:OWD524382 PFX524382:PFZ524382 PPT524382:PPV524382 PZP524382:PZR524382 QJL524382:QJN524382 QTH524382:QTJ524382 RDD524382:RDF524382 RMZ524382:RNB524382 RWV524382:RWX524382 SGR524382:SGT524382 SQN524382:SQP524382 TAJ524382:TAL524382 TKF524382:TKH524382 TUB524382:TUD524382 UDX524382:UDZ524382 UNT524382:UNV524382 UXP524382:UXR524382 VHL524382:VHN524382 VRH524382:VRJ524382 WBD524382:WBF524382 WKZ524382:WLB524382 WUV524382:WUX524382 IJ589918:IL589918 SF589918:SH589918 ACB589918:ACD589918 ALX589918:ALZ589918 AVT589918:AVV589918 BFP589918:BFR589918 BPL589918:BPN589918 BZH589918:BZJ589918 CJD589918:CJF589918 CSZ589918:CTB589918 DCV589918:DCX589918 DMR589918:DMT589918 DWN589918:DWP589918 EGJ589918:EGL589918 EQF589918:EQH589918 FAB589918:FAD589918 FJX589918:FJZ589918 FTT589918:FTV589918 GDP589918:GDR589918 GNL589918:GNN589918 GXH589918:GXJ589918 HHD589918:HHF589918 HQZ589918:HRB589918 IAV589918:IAX589918 IKR589918:IKT589918 IUN589918:IUP589918 JEJ589918:JEL589918 JOF589918:JOH589918 JYB589918:JYD589918 KHX589918:KHZ589918 KRT589918:KRV589918 LBP589918:LBR589918 LLL589918:LLN589918 LVH589918:LVJ589918 MFD589918:MFF589918 MOZ589918:MPB589918 MYV589918:MYX589918 NIR589918:NIT589918 NSN589918:NSP589918 OCJ589918:OCL589918 OMF589918:OMH589918 OWB589918:OWD589918 PFX589918:PFZ589918 PPT589918:PPV589918 PZP589918:PZR589918 QJL589918:QJN589918 QTH589918:QTJ589918 RDD589918:RDF589918 RMZ589918:RNB589918 RWV589918:RWX589918 SGR589918:SGT589918 SQN589918:SQP589918 TAJ589918:TAL589918 TKF589918:TKH589918 TUB589918:TUD589918 UDX589918:UDZ589918 UNT589918:UNV589918 UXP589918:UXR589918 VHL589918:VHN589918 VRH589918:VRJ589918 WBD589918:WBF589918 WKZ589918:WLB589918 WUV589918:WUX589918 IJ655454:IL655454 SF655454:SH655454 ACB655454:ACD655454 ALX655454:ALZ655454 AVT655454:AVV655454 BFP655454:BFR655454 BPL655454:BPN655454 BZH655454:BZJ655454 CJD655454:CJF655454 CSZ655454:CTB655454 DCV655454:DCX655454 DMR655454:DMT655454 DWN655454:DWP655454 EGJ655454:EGL655454 EQF655454:EQH655454 FAB655454:FAD655454 FJX655454:FJZ655454 FTT655454:FTV655454 GDP655454:GDR655454 GNL655454:GNN655454 GXH655454:GXJ655454 HHD655454:HHF655454 HQZ655454:HRB655454 IAV655454:IAX655454 IKR655454:IKT655454 IUN655454:IUP655454 JEJ655454:JEL655454 JOF655454:JOH655454 JYB655454:JYD655454 KHX655454:KHZ655454 KRT655454:KRV655454 LBP655454:LBR655454 LLL655454:LLN655454 LVH655454:LVJ655454 MFD655454:MFF655454 MOZ655454:MPB655454 MYV655454:MYX655454 NIR655454:NIT655454 NSN655454:NSP655454 OCJ655454:OCL655454 OMF655454:OMH655454 OWB655454:OWD655454 PFX655454:PFZ655454 PPT655454:PPV655454 PZP655454:PZR655454 QJL655454:QJN655454 QTH655454:QTJ655454 RDD655454:RDF655454 RMZ655454:RNB655454 RWV655454:RWX655454 SGR655454:SGT655454 SQN655454:SQP655454 TAJ655454:TAL655454 TKF655454:TKH655454 TUB655454:TUD655454 UDX655454:UDZ655454 UNT655454:UNV655454 UXP655454:UXR655454 VHL655454:VHN655454 VRH655454:VRJ655454 WBD655454:WBF655454 WKZ655454:WLB655454 WUV655454:WUX655454 IJ720990:IL720990 SF720990:SH720990 ACB720990:ACD720990 ALX720990:ALZ720990 AVT720990:AVV720990 BFP720990:BFR720990 BPL720990:BPN720990 BZH720990:BZJ720990 CJD720990:CJF720990 CSZ720990:CTB720990 DCV720990:DCX720990 DMR720990:DMT720990 DWN720990:DWP720990 EGJ720990:EGL720990 EQF720990:EQH720990 FAB720990:FAD720990 FJX720990:FJZ720990 FTT720990:FTV720990 GDP720990:GDR720990 GNL720990:GNN720990 GXH720990:GXJ720990 HHD720990:HHF720990 HQZ720990:HRB720990 IAV720990:IAX720990 IKR720990:IKT720990 IUN720990:IUP720990 JEJ720990:JEL720990 JOF720990:JOH720990 JYB720990:JYD720990 KHX720990:KHZ720990 KRT720990:KRV720990 LBP720990:LBR720990 LLL720990:LLN720990 LVH720990:LVJ720990 MFD720990:MFF720990 MOZ720990:MPB720990 MYV720990:MYX720990 NIR720990:NIT720990 NSN720990:NSP720990 OCJ720990:OCL720990 OMF720990:OMH720990 OWB720990:OWD720990 PFX720990:PFZ720990 PPT720990:PPV720990 PZP720990:PZR720990 QJL720990:QJN720990 QTH720990:QTJ720990 RDD720990:RDF720990 RMZ720990:RNB720990 RWV720990:RWX720990 SGR720990:SGT720990 SQN720990:SQP720990 TAJ720990:TAL720990 TKF720990:TKH720990 TUB720990:TUD720990 UDX720990:UDZ720990 UNT720990:UNV720990 UXP720990:UXR720990 VHL720990:VHN720990 VRH720990:VRJ720990 WBD720990:WBF720990 WKZ720990:WLB720990 WUV720990:WUX720990 IJ786526:IL786526 SF786526:SH786526 ACB786526:ACD786526 ALX786526:ALZ786526 AVT786526:AVV786526 BFP786526:BFR786526 BPL786526:BPN786526 BZH786526:BZJ786526 CJD786526:CJF786526 CSZ786526:CTB786526 DCV786526:DCX786526 DMR786526:DMT786526 DWN786526:DWP786526 EGJ786526:EGL786526 EQF786526:EQH786526 FAB786526:FAD786526 FJX786526:FJZ786526 FTT786526:FTV786526 GDP786526:GDR786526 GNL786526:GNN786526 GXH786526:GXJ786526 HHD786526:HHF786526 HQZ786526:HRB786526 IAV786526:IAX786526 IKR786526:IKT786526 IUN786526:IUP786526 JEJ786526:JEL786526 JOF786526:JOH786526 JYB786526:JYD786526 KHX786526:KHZ786526 KRT786526:KRV786526 LBP786526:LBR786526 LLL786526:LLN786526 LVH786526:LVJ786526 MFD786526:MFF786526 MOZ786526:MPB786526 MYV786526:MYX786526 NIR786526:NIT786526 NSN786526:NSP786526 OCJ786526:OCL786526 OMF786526:OMH786526 OWB786526:OWD786526 PFX786526:PFZ786526 PPT786526:PPV786526 PZP786526:PZR786526 QJL786526:QJN786526 QTH786526:QTJ786526 RDD786526:RDF786526 RMZ786526:RNB786526 RWV786526:RWX786526 SGR786526:SGT786526 SQN786526:SQP786526 TAJ786526:TAL786526 TKF786526:TKH786526 TUB786526:TUD786526 UDX786526:UDZ786526 UNT786526:UNV786526 UXP786526:UXR786526 VHL786526:VHN786526 VRH786526:VRJ786526 WBD786526:WBF786526 WKZ786526:WLB786526 WUV786526:WUX786526 IJ852062:IL852062 SF852062:SH852062 ACB852062:ACD852062 ALX852062:ALZ852062 AVT852062:AVV852062 BFP852062:BFR852062 BPL852062:BPN852062 BZH852062:BZJ852062 CJD852062:CJF852062 CSZ852062:CTB852062 DCV852062:DCX852062 DMR852062:DMT852062 DWN852062:DWP852062 EGJ852062:EGL852062 EQF852062:EQH852062 FAB852062:FAD852062 FJX852062:FJZ852062 FTT852062:FTV852062 GDP852062:GDR852062 GNL852062:GNN852062 GXH852062:GXJ852062 HHD852062:HHF852062 HQZ852062:HRB852062 IAV852062:IAX852062 IKR852062:IKT852062 IUN852062:IUP852062 JEJ852062:JEL852062 JOF852062:JOH852062 JYB852062:JYD852062 KHX852062:KHZ852062 KRT852062:KRV852062 LBP852062:LBR852062 LLL852062:LLN852062 LVH852062:LVJ852062 MFD852062:MFF852062 MOZ852062:MPB852062 MYV852062:MYX852062 NIR852062:NIT852062 NSN852062:NSP852062 OCJ852062:OCL852062 OMF852062:OMH852062 OWB852062:OWD852062 PFX852062:PFZ852062 PPT852062:PPV852062 PZP852062:PZR852062 QJL852062:QJN852062 QTH852062:QTJ852062 RDD852062:RDF852062 RMZ852062:RNB852062 RWV852062:RWX852062 SGR852062:SGT852062 SQN852062:SQP852062 TAJ852062:TAL852062 TKF852062:TKH852062 TUB852062:TUD852062 UDX852062:UDZ852062 UNT852062:UNV852062 UXP852062:UXR852062 VHL852062:VHN852062 VRH852062:VRJ852062 WBD852062:WBF852062 WKZ852062:WLB852062 WUV852062:WUX852062 IJ917598:IL917598 SF917598:SH917598 ACB917598:ACD917598 ALX917598:ALZ917598 AVT917598:AVV917598 BFP917598:BFR917598 BPL917598:BPN917598 BZH917598:BZJ917598 CJD917598:CJF917598 CSZ917598:CTB917598 DCV917598:DCX917598 DMR917598:DMT917598 DWN917598:DWP917598 EGJ917598:EGL917598 EQF917598:EQH917598 FAB917598:FAD917598 FJX917598:FJZ917598 FTT917598:FTV917598 GDP917598:GDR917598 GNL917598:GNN917598 GXH917598:GXJ917598 HHD917598:HHF917598 HQZ917598:HRB917598 IAV917598:IAX917598 IKR917598:IKT917598 IUN917598:IUP917598 JEJ917598:JEL917598 JOF917598:JOH917598 JYB917598:JYD917598 KHX917598:KHZ917598 KRT917598:KRV917598 LBP917598:LBR917598 LLL917598:LLN917598 LVH917598:LVJ917598 MFD917598:MFF917598 MOZ917598:MPB917598 MYV917598:MYX917598 NIR917598:NIT917598 NSN917598:NSP917598 OCJ917598:OCL917598 OMF917598:OMH917598 OWB917598:OWD917598 PFX917598:PFZ917598 PPT917598:PPV917598 PZP917598:PZR917598 QJL917598:QJN917598 QTH917598:QTJ917598 RDD917598:RDF917598 RMZ917598:RNB917598 RWV917598:RWX917598 SGR917598:SGT917598 SQN917598:SQP917598 TAJ917598:TAL917598 TKF917598:TKH917598 TUB917598:TUD917598 UDX917598:UDZ917598 UNT917598:UNV917598 UXP917598:UXR917598 VHL917598:VHN917598 VRH917598:VRJ917598 WBD917598:WBF917598 WKZ917598:WLB917598 WUV917598:WUX917598 IJ983134:IL983134 SF983134:SH983134 ACB983134:ACD983134 ALX983134:ALZ983134 AVT983134:AVV983134 BFP983134:BFR983134 BPL983134:BPN983134 BZH983134:BZJ983134 CJD983134:CJF983134 CSZ983134:CTB983134 DCV983134:DCX983134 DMR983134:DMT983134 DWN983134:DWP983134 EGJ983134:EGL983134 EQF983134:EQH983134 FAB983134:FAD983134 FJX983134:FJZ983134 FTT983134:FTV983134 GDP983134:GDR983134 GNL983134:GNN983134 GXH983134:GXJ983134 HHD983134:HHF983134 HQZ983134:HRB983134 IAV983134:IAX983134 IKR983134:IKT983134 IUN983134:IUP983134 JEJ983134:JEL983134 JOF983134:JOH983134 JYB983134:JYD983134 KHX983134:KHZ983134 KRT983134:KRV983134 LBP983134:LBR983134 LLL983134:LLN983134 LVH983134:LVJ983134 MFD983134:MFF983134 MOZ983134:MPB983134 MYV983134:MYX983134 NIR983134:NIT983134 NSN983134:NSP983134 OCJ983134:OCL983134 OMF983134:OMH983134 OWB983134:OWD983134 PFX983134:PFZ983134 PPT983134:PPV983134 PZP983134:PZR983134 QJL983134:QJN983134 QTH983134:QTJ983134 RDD983134:RDF983134 RMZ983134:RNB983134 RWV983134:RWX983134 SGR983134:SGT983134 SQN983134:SQP983134 TAJ983134:TAL983134 TKF983134:TKH983134 TUB983134:TUD983134 UDX983134:UDZ983134 UNT983134:UNV983134 UXP983134:UXR983134 VHL983134:VHN983134 VRH983134:VRJ983134 WBD983134:WBF983134 WKZ983134:WLB983134 WUV983134:WUX983134 IJ104:IL104 SF104:SH104 ACB104:ACD104 ALX104:ALZ104 AVT104:AVV104 BFP104:BFR104 BPL104:BPN104 BZH104:BZJ104 CJD104:CJF104 CSZ104:CTB104 DCV104:DCX104 DMR104:DMT104 DWN104:DWP104 EGJ104:EGL104 EQF104:EQH104 FAB104:FAD104 FJX104:FJZ104 FTT104:FTV104 GDP104:GDR104 GNL104:GNN104 GXH104:GXJ104 HHD104:HHF104 HQZ104:HRB104 IAV104:IAX104 IKR104:IKT104 IUN104:IUP104 JEJ104:JEL104 JOF104:JOH104 JYB104:JYD104 KHX104:KHZ104 KRT104:KRV104 LBP104:LBR104 LLL104:LLN104 LVH104:LVJ104 MFD104:MFF104 MOZ104:MPB104 MYV104:MYX104 NIR104:NIT104 NSN104:NSP104 OCJ104:OCL104 OMF104:OMH104 OWB104:OWD104 PFX104:PFZ104 PPT104:PPV104 PZP104:PZR104 QJL104:QJN104 QTH104:QTJ104 RDD104:RDF104 RMZ104:RNB104 RWV104:RWX104 SGR104:SGT104 SQN104:SQP104 TAJ104:TAL104 TKF104:TKH104 TUB104:TUD104 UDX104:UDZ104 UNT104:UNV104 UXP104:UXR104 VHL104:VHN104 VRH104:VRJ104 WBD104:WBF104 WKZ104:WLB104 WUV104:WUX104 IJ65640:IL65640 SF65640:SH65640 ACB65640:ACD65640 ALX65640:ALZ65640 AVT65640:AVV65640 BFP65640:BFR65640 BPL65640:BPN65640 BZH65640:BZJ65640 CJD65640:CJF65640 CSZ65640:CTB65640 DCV65640:DCX65640 DMR65640:DMT65640 DWN65640:DWP65640 EGJ65640:EGL65640 EQF65640:EQH65640 FAB65640:FAD65640 FJX65640:FJZ65640 FTT65640:FTV65640 GDP65640:GDR65640 GNL65640:GNN65640 GXH65640:GXJ65640 HHD65640:HHF65640 HQZ65640:HRB65640 IAV65640:IAX65640 IKR65640:IKT65640 IUN65640:IUP65640 JEJ65640:JEL65640 JOF65640:JOH65640 JYB65640:JYD65640 KHX65640:KHZ65640 KRT65640:KRV65640 LBP65640:LBR65640 LLL65640:LLN65640 LVH65640:LVJ65640 MFD65640:MFF65640 MOZ65640:MPB65640 MYV65640:MYX65640 NIR65640:NIT65640 NSN65640:NSP65640 OCJ65640:OCL65640 OMF65640:OMH65640 OWB65640:OWD65640 PFX65640:PFZ65640 PPT65640:PPV65640 PZP65640:PZR65640 QJL65640:QJN65640 QTH65640:QTJ65640 RDD65640:RDF65640 RMZ65640:RNB65640 RWV65640:RWX65640 SGR65640:SGT65640 SQN65640:SQP65640 TAJ65640:TAL65640 TKF65640:TKH65640 TUB65640:TUD65640 UDX65640:UDZ65640 UNT65640:UNV65640 UXP65640:UXR65640 VHL65640:VHN65640 VRH65640:VRJ65640 WBD65640:WBF65640 WKZ65640:WLB65640 WUV65640:WUX65640 IJ131176:IL131176 SF131176:SH131176 ACB131176:ACD131176 ALX131176:ALZ131176 AVT131176:AVV131176 BFP131176:BFR131176 BPL131176:BPN131176 BZH131176:BZJ131176 CJD131176:CJF131176 CSZ131176:CTB131176 DCV131176:DCX131176 DMR131176:DMT131176 DWN131176:DWP131176 EGJ131176:EGL131176 EQF131176:EQH131176 FAB131176:FAD131176 FJX131176:FJZ131176 FTT131176:FTV131176 GDP131176:GDR131176 GNL131176:GNN131176 GXH131176:GXJ131176 HHD131176:HHF131176 HQZ131176:HRB131176 IAV131176:IAX131176 IKR131176:IKT131176 IUN131176:IUP131176 JEJ131176:JEL131176 JOF131176:JOH131176 JYB131176:JYD131176 KHX131176:KHZ131176 KRT131176:KRV131176 LBP131176:LBR131176 LLL131176:LLN131176 LVH131176:LVJ131176 MFD131176:MFF131176 MOZ131176:MPB131176 MYV131176:MYX131176 NIR131176:NIT131176 NSN131176:NSP131176 OCJ131176:OCL131176 OMF131176:OMH131176 OWB131176:OWD131176 PFX131176:PFZ131176 PPT131176:PPV131176 PZP131176:PZR131176 QJL131176:QJN131176 QTH131176:QTJ131176 RDD131176:RDF131176 RMZ131176:RNB131176 RWV131176:RWX131176 SGR131176:SGT131176 SQN131176:SQP131176 TAJ131176:TAL131176 TKF131176:TKH131176 TUB131176:TUD131176 UDX131176:UDZ131176 UNT131176:UNV131176 UXP131176:UXR131176 VHL131176:VHN131176 VRH131176:VRJ131176 WBD131176:WBF131176 WKZ131176:WLB131176 WUV131176:WUX131176 IJ196712:IL196712 SF196712:SH196712 ACB196712:ACD196712 ALX196712:ALZ196712 AVT196712:AVV196712 BFP196712:BFR196712 BPL196712:BPN196712 BZH196712:BZJ196712 CJD196712:CJF196712 CSZ196712:CTB196712 DCV196712:DCX196712 DMR196712:DMT196712 DWN196712:DWP196712 EGJ196712:EGL196712 EQF196712:EQH196712 FAB196712:FAD196712 FJX196712:FJZ196712 FTT196712:FTV196712 GDP196712:GDR196712 GNL196712:GNN196712 GXH196712:GXJ196712 HHD196712:HHF196712 HQZ196712:HRB196712 IAV196712:IAX196712 IKR196712:IKT196712 IUN196712:IUP196712 JEJ196712:JEL196712 JOF196712:JOH196712 JYB196712:JYD196712 KHX196712:KHZ196712 KRT196712:KRV196712 LBP196712:LBR196712 LLL196712:LLN196712 LVH196712:LVJ196712 MFD196712:MFF196712 MOZ196712:MPB196712 MYV196712:MYX196712 NIR196712:NIT196712 NSN196712:NSP196712 OCJ196712:OCL196712 OMF196712:OMH196712 OWB196712:OWD196712 PFX196712:PFZ196712 PPT196712:PPV196712 PZP196712:PZR196712 QJL196712:QJN196712 QTH196712:QTJ196712 RDD196712:RDF196712 RMZ196712:RNB196712 RWV196712:RWX196712 SGR196712:SGT196712 SQN196712:SQP196712 TAJ196712:TAL196712 TKF196712:TKH196712 TUB196712:TUD196712 UDX196712:UDZ196712 UNT196712:UNV196712 UXP196712:UXR196712 VHL196712:VHN196712 VRH196712:VRJ196712 WBD196712:WBF196712 WKZ196712:WLB196712 WUV196712:WUX196712 IJ262248:IL262248 SF262248:SH262248 ACB262248:ACD262248 ALX262248:ALZ262248 AVT262248:AVV262248 BFP262248:BFR262248 BPL262248:BPN262248 BZH262248:BZJ262248 CJD262248:CJF262248 CSZ262248:CTB262248 DCV262248:DCX262248 DMR262248:DMT262248 DWN262248:DWP262248 EGJ262248:EGL262248 EQF262248:EQH262248 FAB262248:FAD262248 FJX262248:FJZ262248 FTT262248:FTV262248 GDP262248:GDR262248 GNL262248:GNN262248 GXH262248:GXJ262248 HHD262248:HHF262248 HQZ262248:HRB262248 IAV262248:IAX262248 IKR262248:IKT262248 IUN262248:IUP262248 JEJ262248:JEL262248 JOF262248:JOH262248 JYB262248:JYD262248 KHX262248:KHZ262248 KRT262248:KRV262248 LBP262248:LBR262248 LLL262248:LLN262248 LVH262248:LVJ262248 MFD262248:MFF262248 MOZ262248:MPB262248 MYV262248:MYX262248 NIR262248:NIT262248 NSN262248:NSP262248 OCJ262248:OCL262248 OMF262248:OMH262248 OWB262248:OWD262248 PFX262248:PFZ262248 PPT262248:PPV262248 PZP262248:PZR262248 QJL262248:QJN262248 QTH262248:QTJ262248 RDD262248:RDF262248 RMZ262248:RNB262248 RWV262248:RWX262248 SGR262248:SGT262248 SQN262248:SQP262248 TAJ262248:TAL262248 TKF262248:TKH262248 TUB262248:TUD262248 UDX262248:UDZ262248 UNT262248:UNV262248 UXP262248:UXR262248 VHL262248:VHN262248 VRH262248:VRJ262248 WBD262248:WBF262248 WKZ262248:WLB262248 WUV262248:WUX262248 IJ327784:IL327784 SF327784:SH327784 ACB327784:ACD327784 ALX327784:ALZ327784 AVT327784:AVV327784 BFP327784:BFR327784 BPL327784:BPN327784 BZH327784:BZJ327784 CJD327784:CJF327784 CSZ327784:CTB327784 DCV327784:DCX327784 DMR327784:DMT327784 DWN327784:DWP327784 EGJ327784:EGL327784 EQF327784:EQH327784 FAB327784:FAD327784 FJX327784:FJZ327784 FTT327784:FTV327784 GDP327784:GDR327784 GNL327784:GNN327784 GXH327784:GXJ327784 HHD327784:HHF327784 HQZ327784:HRB327784 IAV327784:IAX327784 IKR327784:IKT327784 IUN327784:IUP327784 JEJ327784:JEL327784 JOF327784:JOH327784 JYB327784:JYD327784 KHX327784:KHZ327784 KRT327784:KRV327784 LBP327784:LBR327784 LLL327784:LLN327784 LVH327784:LVJ327784 MFD327784:MFF327784 MOZ327784:MPB327784 MYV327784:MYX327784 NIR327784:NIT327784 NSN327784:NSP327784 OCJ327784:OCL327784 OMF327784:OMH327784 OWB327784:OWD327784 PFX327784:PFZ327784 PPT327784:PPV327784 PZP327784:PZR327784 QJL327784:QJN327784 QTH327784:QTJ327784 RDD327784:RDF327784 RMZ327784:RNB327784 RWV327784:RWX327784 SGR327784:SGT327784 SQN327784:SQP327784 TAJ327784:TAL327784 TKF327784:TKH327784 TUB327784:TUD327784 UDX327784:UDZ327784 UNT327784:UNV327784 UXP327784:UXR327784 VHL327784:VHN327784 VRH327784:VRJ327784 WBD327784:WBF327784 WKZ327784:WLB327784 WUV327784:WUX327784 IJ393320:IL393320 SF393320:SH393320 ACB393320:ACD393320 ALX393320:ALZ393320 AVT393320:AVV393320 BFP393320:BFR393320 BPL393320:BPN393320 BZH393320:BZJ393320 CJD393320:CJF393320 CSZ393320:CTB393320 DCV393320:DCX393320 DMR393320:DMT393320 DWN393320:DWP393320 EGJ393320:EGL393320 EQF393320:EQH393320 FAB393320:FAD393320 FJX393320:FJZ393320 FTT393320:FTV393320 GDP393320:GDR393320 GNL393320:GNN393320 GXH393320:GXJ393320 HHD393320:HHF393320 HQZ393320:HRB393320 IAV393320:IAX393320 IKR393320:IKT393320 IUN393320:IUP393320 JEJ393320:JEL393320 JOF393320:JOH393320 JYB393320:JYD393320 KHX393320:KHZ393320 KRT393320:KRV393320 LBP393320:LBR393320 LLL393320:LLN393320 LVH393320:LVJ393320 MFD393320:MFF393320 MOZ393320:MPB393320 MYV393320:MYX393320 NIR393320:NIT393320 NSN393320:NSP393320 OCJ393320:OCL393320 OMF393320:OMH393320 OWB393320:OWD393320 PFX393320:PFZ393320 PPT393320:PPV393320 PZP393320:PZR393320 QJL393320:QJN393320 QTH393320:QTJ393320 RDD393320:RDF393320 RMZ393320:RNB393320 RWV393320:RWX393320 SGR393320:SGT393320 SQN393320:SQP393320 TAJ393320:TAL393320 TKF393320:TKH393320 TUB393320:TUD393320 UDX393320:UDZ393320 UNT393320:UNV393320 UXP393320:UXR393320 VHL393320:VHN393320 VRH393320:VRJ393320 WBD393320:WBF393320 WKZ393320:WLB393320 WUV393320:WUX393320 IJ458856:IL458856 SF458856:SH458856 ACB458856:ACD458856 ALX458856:ALZ458856 AVT458856:AVV458856 BFP458856:BFR458856 BPL458856:BPN458856 BZH458856:BZJ458856 CJD458856:CJF458856 CSZ458856:CTB458856 DCV458856:DCX458856 DMR458856:DMT458856 DWN458856:DWP458856 EGJ458856:EGL458856 EQF458856:EQH458856 FAB458856:FAD458856 FJX458856:FJZ458856 FTT458856:FTV458856 GDP458856:GDR458856 GNL458856:GNN458856 GXH458856:GXJ458856 HHD458856:HHF458856 HQZ458856:HRB458856 IAV458856:IAX458856 IKR458856:IKT458856 IUN458856:IUP458856 JEJ458856:JEL458856 JOF458856:JOH458856 JYB458856:JYD458856 KHX458856:KHZ458856 KRT458856:KRV458856 LBP458856:LBR458856 LLL458856:LLN458856 LVH458856:LVJ458856 MFD458856:MFF458856 MOZ458856:MPB458856 MYV458856:MYX458856 NIR458856:NIT458856 NSN458856:NSP458856 OCJ458856:OCL458856 OMF458856:OMH458856 OWB458856:OWD458856 PFX458856:PFZ458856 PPT458856:PPV458856 PZP458856:PZR458856 QJL458856:QJN458856 QTH458856:QTJ458856 RDD458856:RDF458856 RMZ458856:RNB458856 RWV458856:RWX458856 SGR458856:SGT458856 SQN458856:SQP458856 TAJ458856:TAL458856 TKF458856:TKH458856 TUB458856:TUD458856 UDX458856:UDZ458856 UNT458856:UNV458856 UXP458856:UXR458856 VHL458856:VHN458856 VRH458856:VRJ458856 WBD458856:WBF458856 WKZ458856:WLB458856 WUV458856:WUX458856 IJ524392:IL524392 SF524392:SH524392 ACB524392:ACD524392 ALX524392:ALZ524392 AVT524392:AVV524392 BFP524392:BFR524392 BPL524392:BPN524392 BZH524392:BZJ524392 CJD524392:CJF524392 CSZ524392:CTB524392 DCV524392:DCX524392 DMR524392:DMT524392 DWN524392:DWP524392 EGJ524392:EGL524392 EQF524392:EQH524392 FAB524392:FAD524392 FJX524392:FJZ524392 FTT524392:FTV524392 GDP524392:GDR524392 GNL524392:GNN524392 GXH524392:GXJ524392 HHD524392:HHF524392 HQZ524392:HRB524392 IAV524392:IAX524392 IKR524392:IKT524392 IUN524392:IUP524392 JEJ524392:JEL524392 JOF524392:JOH524392 JYB524392:JYD524392 KHX524392:KHZ524392 KRT524392:KRV524392 LBP524392:LBR524392 LLL524392:LLN524392 LVH524392:LVJ524392 MFD524392:MFF524392 MOZ524392:MPB524392 MYV524392:MYX524392 NIR524392:NIT524392 NSN524392:NSP524392 OCJ524392:OCL524392 OMF524392:OMH524392 OWB524392:OWD524392 PFX524392:PFZ524392 PPT524392:PPV524392 PZP524392:PZR524392 QJL524392:QJN524392 QTH524392:QTJ524392 RDD524392:RDF524392 RMZ524392:RNB524392 RWV524392:RWX524392 SGR524392:SGT524392 SQN524392:SQP524392 TAJ524392:TAL524392 TKF524392:TKH524392 TUB524392:TUD524392 UDX524392:UDZ524392 UNT524392:UNV524392 UXP524392:UXR524392 VHL524392:VHN524392 VRH524392:VRJ524392 WBD524392:WBF524392 WKZ524392:WLB524392 WUV524392:WUX524392 IJ589928:IL589928 SF589928:SH589928 ACB589928:ACD589928 ALX589928:ALZ589928 AVT589928:AVV589928 BFP589928:BFR589928 BPL589928:BPN589928 BZH589928:BZJ589928 CJD589928:CJF589928 CSZ589928:CTB589928 DCV589928:DCX589928 DMR589928:DMT589928 DWN589928:DWP589928 EGJ589928:EGL589928 EQF589928:EQH589928 FAB589928:FAD589928 FJX589928:FJZ589928 FTT589928:FTV589928 GDP589928:GDR589928 GNL589928:GNN589928 GXH589928:GXJ589928 HHD589928:HHF589928 HQZ589928:HRB589928 IAV589928:IAX589928 IKR589928:IKT589928 IUN589928:IUP589928 JEJ589928:JEL589928 JOF589928:JOH589928 JYB589928:JYD589928 KHX589928:KHZ589928 KRT589928:KRV589928 LBP589928:LBR589928 LLL589928:LLN589928 LVH589928:LVJ589928 MFD589928:MFF589928 MOZ589928:MPB589928 MYV589928:MYX589928 NIR589928:NIT589928 NSN589928:NSP589928 OCJ589928:OCL589928 OMF589928:OMH589928 OWB589928:OWD589928 PFX589928:PFZ589928 PPT589928:PPV589928 PZP589928:PZR589928 QJL589928:QJN589928 QTH589928:QTJ589928 RDD589928:RDF589928 RMZ589928:RNB589928 RWV589928:RWX589928 SGR589928:SGT589928 SQN589928:SQP589928 TAJ589928:TAL589928 TKF589928:TKH589928 TUB589928:TUD589928 UDX589928:UDZ589928 UNT589928:UNV589928 UXP589928:UXR589928 VHL589928:VHN589928 VRH589928:VRJ589928 WBD589928:WBF589928 WKZ589928:WLB589928 WUV589928:WUX589928 IJ655464:IL655464 SF655464:SH655464 ACB655464:ACD655464 ALX655464:ALZ655464 AVT655464:AVV655464 BFP655464:BFR655464 BPL655464:BPN655464 BZH655464:BZJ655464 CJD655464:CJF655464 CSZ655464:CTB655464 DCV655464:DCX655464 DMR655464:DMT655464 DWN655464:DWP655464 EGJ655464:EGL655464 EQF655464:EQH655464 FAB655464:FAD655464 FJX655464:FJZ655464 FTT655464:FTV655464 GDP655464:GDR655464 GNL655464:GNN655464 GXH655464:GXJ655464 HHD655464:HHF655464 HQZ655464:HRB655464 IAV655464:IAX655464 IKR655464:IKT655464 IUN655464:IUP655464 JEJ655464:JEL655464 JOF655464:JOH655464 JYB655464:JYD655464 KHX655464:KHZ655464 KRT655464:KRV655464 LBP655464:LBR655464 LLL655464:LLN655464 LVH655464:LVJ655464 MFD655464:MFF655464 MOZ655464:MPB655464 MYV655464:MYX655464 NIR655464:NIT655464 NSN655464:NSP655464 OCJ655464:OCL655464 OMF655464:OMH655464 OWB655464:OWD655464 PFX655464:PFZ655464 PPT655464:PPV655464 PZP655464:PZR655464 QJL655464:QJN655464 QTH655464:QTJ655464 RDD655464:RDF655464 RMZ655464:RNB655464 RWV655464:RWX655464 SGR655464:SGT655464 SQN655464:SQP655464 TAJ655464:TAL655464 TKF655464:TKH655464 TUB655464:TUD655464 UDX655464:UDZ655464 UNT655464:UNV655464 UXP655464:UXR655464 VHL655464:VHN655464 VRH655464:VRJ655464 WBD655464:WBF655464 WKZ655464:WLB655464 WUV655464:WUX655464 IJ721000:IL721000 SF721000:SH721000 ACB721000:ACD721000 ALX721000:ALZ721000 AVT721000:AVV721000 BFP721000:BFR721000 BPL721000:BPN721000 BZH721000:BZJ721000 CJD721000:CJF721000 CSZ721000:CTB721000 DCV721000:DCX721000 DMR721000:DMT721000 DWN721000:DWP721000 EGJ721000:EGL721000 EQF721000:EQH721000 FAB721000:FAD721000 FJX721000:FJZ721000 FTT721000:FTV721000 GDP721000:GDR721000 GNL721000:GNN721000 GXH721000:GXJ721000 HHD721000:HHF721000 HQZ721000:HRB721000 IAV721000:IAX721000 IKR721000:IKT721000 IUN721000:IUP721000 JEJ721000:JEL721000 JOF721000:JOH721000 JYB721000:JYD721000 KHX721000:KHZ721000 KRT721000:KRV721000 LBP721000:LBR721000 LLL721000:LLN721000 LVH721000:LVJ721000 MFD721000:MFF721000 MOZ721000:MPB721000 MYV721000:MYX721000 NIR721000:NIT721000 NSN721000:NSP721000 OCJ721000:OCL721000 OMF721000:OMH721000 OWB721000:OWD721000 PFX721000:PFZ721000 PPT721000:PPV721000 PZP721000:PZR721000 QJL721000:QJN721000 QTH721000:QTJ721000 RDD721000:RDF721000 RMZ721000:RNB721000 RWV721000:RWX721000 SGR721000:SGT721000 SQN721000:SQP721000 TAJ721000:TAL721000 TKF721000:TKH721000 TUB721000:TUD721000 UDX721000:UDZ721000 UNT721000:UNV721000 UXP721000:UXR721000 VHL721000:VHN721000 VRH721000:VRJ721000 WBD721000:WBF721000 WKZ721000:WLB721000 WUV721000:WUX721000 IJ786536:IL786536 SF786536:SH786536 ACB786536:ACD786536 ALX786536:ALZ786536 AVT786536:AVV786536 BFP786536:BFR786536 BPL786536:BPN786536 BZH786536:BZJ786536 CJD786536:CJF786536 CSZ786536:CTB786536 DCV786536:DCX786536 DMR786536:DMT786536 DWN786536:DWP786536 EGJ786536:EGL786536 EQF786536:EQH786536 FAB786536:FAD786536 FJX786536:FJZ786536 FTT786536:FTV786536 GDP786536:GDR786536 GNL786536:GNN786536 GXH786536:GXJ786536 HHD786536:HHF786536 HQZ786536:HRB786536 IAV786536:IAX786536 IKR786536:IKT786536 IUN786536:IUP786536 JEJ786536:JEL786536 JOF786536:JOH786536 JYB786536:JYD786536 KHX786536:KHZ786536 KRT786536:KRV786536 LBP786536:LBR786536 LLL786536:LLN786536 LVH786536:LVJ786536 MFD786536:MFF786536 MOZ786536:MPB786536 MYV786536:MYX786536 NIR786536:NIT786536 NSN786536:NSP786536 OCJ786536:OCL786536 OMF786536:OMH786536 OWB786536:OWD786536 PFX786536:PFZ786536 PPT786536:PPV786536 PZP786536:PZR786536 QJL786536:QJN786536 QTH786536:QTJ786536 RDD786536:RDF786536 RMZ786536:RNB786536 RWV786536:RWX786536 SGR786536:SGT786536 SQN786536:SQP786536 TAJ786536:TAL786536 TKF786536:TKH786536 TUB786536:TUD786536 UDX786536:UDZ786536 UNT786536:UNV786536 UXP786536:UXR786536 VHL786536:VHN786536 VRH786536:VRJ786536 WBD786536:WBF786536 WKZ786536:WLB786536 WUV786536:WUX786536 IJ852072:IL852072 SF852072:SH852072 ACB852072:ACD852072 ALX852072:ALZ852072 AVT852072:AVV852072 BFP852072:BFR852072 BPL852072:BPN852072 BZH852072:BZJ852072 CJD852072:CJF852072 CSZ852072:CTB852072 DCV852072:DCX852072 DMR852072:DMT852072 DWN852072:DWP852072 EGJ852072:EGL852072 EQF852072:EQH852072 FAB852072:FAD852072 FJX852072:FJZ852072 FTT852072:FTV852072 GDP852072:GDR852072 GNL852072:GNN852072 GXH852072:GXJ852072 HHD852072:HHF852072 HQZ852072:HRB852072 IAV852072:IAX852072 IKR852072:IKT852072 IUN852072:IUP852072 JEJ852072:JEL852072 JOF852072:JOH852072 JYB852072:JYD852072 KHX852072:KHZ852072 KRT852072:KRV852072 LBP852072:LBR852072 LLL852072:LLN852072 LVH852072:LVJ852072 MFD852072:MFF852072 MOZ852072:MPB852072 MYV852072:MYX852072 NIR852072:NIT852072 NSN852072:NSP852072 OCJ852072:OCL852072 OMF852072:OMH852072 OWB852072:OWD852072 PFX852072:PFZ852072 PPT852072:PPV852072 PZP852072:PZR852072 QJL852072:QJN852072 QTH852072:QTJ852072 RDD852072:RDF852072 RMZ852072:RNB852072 RWV852072:RWX852072 SGR852072:SGT852072 SQN852072:SQP852072 TAJ852072:TAL852072 TKF852072:TKH852072 TUB852072:TUD852072 UDX852072:UDZ852072 UNT852072:UNV852072 UXP852072:UXR852072 VHL852072:VHN852072 VRH852072:VRJ852072 WBD852072:WBF852072 WKZ852072:WLB852072 WUV852072:WUX852072 IJ917608:IL917608 SF917608:SH917608 ACB917608:ACD917608 ALX917608:ALZ917608 AVT917608:AVV917608 BFP917608:BFR917608 BPL917608:BPN917608 BZH917608:BZJ917608 CJD917608:CJF917608 CSZ917608:CTB917608 DCV917608:DCX917608 DMR917608:DMT917608 DWN917608:DWP917608 EGJ917608:EGL917608 EQF917608:EQH917608 FAB917608:FAD917608 FJX917608:FJZ917608 FTT917608:FTV917608 GDP917608:GDR917608 GNL917608:GNN917608 GXH917608:GXJ917608 HHD917608:HHF917608 HQZ917608:HRB917608 IAV917608:IAX917608 IKR917608:IKT917608 IUN917608:IUP917608 JEJ917608:JEL917608 JOF917608:JOH917608 JYB917608:JYD917608 KHX917608:KHZ917608 KRT917608:KRV917608 LBP917608:LBR917608 LLL917608:LLN917608 LVH917608:LVJ917608 MFD917608:MFF917608 MOZ917608:MPB917608 MYV917608:MYX917608 NIR917608:NIT917608 NSN917608:NSP917608 OCJ917608:OCL917608 OMF917608:OMH917608 OWB917608:OWD917608 PFX917608:PFZ917608 PPT917608:PPV917608 PZP917608:PZR917608 QJL917608:QJN917608 QTH917608:QTJ917608 RDD917608:RDF917608 RMZ917608:RNB917608 RWV917608:RWX917608 SGR917608:SGT917608 SQN917608:SQP917608 TAJ917608:TAL917608 TKF917608:TKH917608 TUB917608:TUD917608 UDX917608:UDZ917608 UNT917608:UNV917608 UXP917608:UXR917608 VHL917608:VHN917608 VRH917608:VRJ917608 WBD917608:WBF917608 WKZ917608:WLB917608 WUV917608:WUX917608 IJ983144:IL983144 SF983144:SH983144 ACB983144:ACD983144 ALX983144:ALZ983144 AVT983144:AVV983144 BFP983144:BFR983144 BPL983144:BPN983144 BZH983144:BZJ983144 CJD983144:CJF983144 CSZ983144:CTB983144 DCV983144:DCX983144 DMR983144:DMT983144 DWN983144:DWP983144 EGJ983144:EGL983144 EQF983144:EQH983144 FAB983144:FAD983144 FJX983144:FJZ983144 FTT983144:FTV983144 GDP983144:GDR983144 GNL983144:GNN983144 GXH983144:GXJ983144 HHD983144:HHF983144 HQZ983144:HRB983144 IAV983144:IAX983144 IKR983144:IKT983144 IUN983144:IUP983144 JEJ983144:JEL983144 JOF983144:JOH983144 JYB983144:JYD983144 KHX983144:KHZ983144 KRT983144:KRV983144 LBP983144:LBR983144 LLL983144:LLN983144 LVH983144:LVJ983144 MFD983144:MFF983144 MOZ983144:MPB983144 MYV983144:MYX983144 NIR983144:NIT983144 NSN983144:NSP983144 OCJ983144:OCL983144 OMF983144:OMH983144 OWB983144:OWD983144 PFX983144:PFZ983144 PPT983144:PPV983144 PZP983144:PZR983144 QJL983144:QJN983144 QTH983144:QTJ983144 RDD983144:RDF983144 RMZ983144:RNB983144 RWV983144:RWX983144 SGR983144:SGT983144 SQN983144:SQP983144 TAJ983144:TAL983144 TKF983144:TKH983144 TUB983144:TUD983144 UDX983144:UDZ983144 UNT983144:UNV983144 UXP983144:UXR983144 VHL983144:VHN983144 VRH983144:VRJ983144 WBD983144:WBF983144 WKZ983144:WLB983144 WUV983144:WUX983144 IJ114:IL114 SF114:SH114 ACB114:ACD114 ALX114:ALZ114 AVT114:AVV114 BFP114:BFR114 BPL114:BPN114 BZH114:BZJ114 CJD114:CJF114 CSZ114:CTB114 DCV114:DCX114 DMR114:DMT114 DWN114:DWP114 EGJ114:EGL114 EQF114:EQH114 FAB114:FAD114 FJX114:FJZ114 FTT114:FTV114 GDP114:GDR114 GNL114:GNN114 GXH114:GXJ114 HHD114:HHF114 HQZ114:HRB114 IAV114:IAX114 IKR114:IKT114 IUN114:IUP114 JEJ114:JEL114 JOF114:JOH114 JYB114:JYD114 KHX114:KHZ114 KRT114:KRV114 LBP114:LBR114 LLL114:LLN114 LVH114:LVJ114 MFD114:MFF114 MOZ114:MPB114 MYV114:MYX114 NIR114:NIT114 NSN114:NSP114 OCJ114:OCL114 OMF114:OMH114 OWB114:OWD114 PFX114:PFZ114 PPT114:PPV114 PZP114:PZR114 QJL114:QJN114 QTH114:QTJ114 RDD114:RDF114 RMZ114:RNB114 RWV114:RWX114 SGR114:SGT114 SQN114:SQP114 TAJ114:TAL114 TKF114:TKH114 TUB114:TUD114 UDX114:UDZ114 UNT114:UNV114 UXP114:UXR114 VHL114:VHN114 VRH114:VRJ114 WBD114:WBF114 WKZ114:WLB114 WUV114:WUX114 IJ65650:IL65650 SF65650:SH65650 ACB65650:ACD65650 ALX65650:ALZ65650 AVT65650:AVV65650 BFP65650:BFR65650 BPL65650:BPN65650 BZH65650:BZJ65650 CJD65650:CJF65650 CSZ65650:CTB65650 DCV65650:DCX65650 DMR65650:DMT65650 DWN65650:DWP65650 EGJ65650:EGL65650 EQF65650:EQH65650 FAB65650:FAD65650 FJX65650:FJZ65650 FTT65650:FTV65650 GDP65650:GDR65650 GNL65650:GNN65650 GXH65650:GXJ65650 HHD65650:HHF65650 HQZ65650:HRB65650 IAV65650:IAX65650 IKR65650:IKT65650 IUN65650:IUP65650 JEJ65650:JEL65650 JOF65650:JOH65650 JYB65650:JYD65650 KHX65650:KHZ65650 KRT65650:KRV65650 LBP65650:LBR65650 LLL65650:LLN65650 LVH65650:LVJ65650 MFD65650:MFF65650 MOZ65650:MPB65650 MYV65650:MYX65650 NIR65650:NIT65650 NSN65650:NSP65650 OCJ65650:OCL65650 OMF65650:OMH65650 OWB65650:OWD65650 PFX65650:PFZ65650 PPT65650:PPV65650 PZP65650:PZR65650 QJL65650:QJN65650 QTH65650:QTJ65650 RDD65650:RDF65650 RMZ65650:RNB65650 RWV65650:RWX65650 SGR65650:SGT65650 SQN65650:SQP65650 TAJ65650:TAL65650 TKF65650:TKH65650 TUB65650:TUD65650 UDX65650:UDZ65650 UNT65650:UNV65650 UXP65650:UXR65650 VHL65650:VHN65650 VRH65650:VRJ65650 WBD65650:WBF65650 WKZ65650:WLB65650 WUV65650:WUX65650 IJ131186:IL131186 SF131186:SH131186 ACB131186:ACD131186 ALX131186:ALZ131186 AVT131186:AVV131186 BFP131186:BFR131186 BPL131186:BPN131186 BZH131186:BZJ131186 CJD131186:CJF131186 CSZ131186:CTB131186 DCV131186:DCX131186 DMR131186:DMT131186 DWN131186:DWP131186 EGJ131186:EGL131186 EQF131186:EQH131186 FAB131186:FAD131186 FJX131186:FJZ131186 FTT131186:FTV131186 GDP131186:GDR131186 GNL131186:GNN131186 GXH131186:GXJ131186 HHD131186:HHF131186 HQZ131186:HRB131186 IAV131186:IAX131186 IKR131186:IKT131186 IUN131186:IUP131186 JEJ131186:JEL131186 JOF131186:JOH131186 JYB131186:JYD131186 KHX131186:KHZ131186 KRT131186:KRV131186 LBP131186:LBR131186 LLL131186:LLN131186 LVH131186:LVJ131186 MFD131186:MFF131186 MOZ131186:MPB131186 MYV131186:MYX131186 NIR131186:NIT131186 NSN131186:NSP131186 OCJ131186:OCL131186 OMF131186:OMH131186 OWB131186:OWD131186 PFX131186:PFZ131186 PPT131186:PPV131186 PZP131186:PZR131186 QJL131186:QJN131186 QTH131186:QTJ131186 RDD131186:RDF131186 RMZ131186:RNB131186 RWV131186:RWX131186 SGR131186:SGT131186 SQN131186:SQP131186 TAJ131186:TAL131186 TKF131186:TKH131186 TUB131186:TUD131186 UDX131186:UDZ131186 UNT131186:UNV131186 UXP131186:UXR131186 VHL131186:VHN131186 VRH131186:VRJ131186 WBD131186:WBF131186 WKZ131186:WLB131186 WUV131186:WUX131186 IJ196722:IL196722 SF196722:SH196722 ACB196722:ACD196722 ALX196722:ALZ196722 AVT196722:AVV196722 BFP196722:BFR196722 BPL196722:BPN196722 BZH196722:BZJ196722 CJD196722:CJF196722 CSZ196722:CTB196722 DCV196722:DCX196722 DMR196722:DMT196722 DWN196722:DWP196722 EGJ196722:EGL196722 EQF196722:EQH196722 FAB196722:FAD196722 FJX196722:FJZ196722 FTT196722:FTV196722 GDP196722:GDR196722 GNL196722:GNN196722 GXH196722:GXJ196722 HHD196722:HHF196722 HQZ196722:HRB196722 IAV196722:IAX196722 IKR196722:IKT196722 IUN196722:IUP196722 JEJ196722:JEL196722 JOF196722:JOH196722 JYB196722:JYD196722 KHX196722:KHZ196722 KRT196722:KRV196722 LBP196722:LBR196722 LLL196722:LLN196722 LVH196722:LVJ196722 MFD196722:MFF196722 MOZ196722:MPB196722 MYV196722:MYX196722 NIR196722:NIT196722 NSN196722:NSP196722 OCJ196722:OCL196722 OMF196722:OMH196722 OWB196722:OWD196722 PFX196722:PFZ196722 PPT196722:PPV196722 PZP196722:PZR196722 QJL196722:QJN196722 QTH196722:QTJ196722 RDD196722:RDF196722 RMZ196722:RNB196722 RWV196722:RWX196722 SGR196722:SGT196722 SQN196722:SQP196722 TAJ196722:TAL196722 TKF196722:TKH196722 TUB196722:TUD196722 UDX196722:UDZ196722 UNT196722:UNV196722 UXP196722:UXR196722 VHL196722:VHN196722 VRH196722:VRJ196722 WBD196722:WBF196722 WKZ196722:WLB196722 WUV196722:WUX196722 IJ262258:IL262258 SF262258:SH262258 ACB262258:ACD262258 ALX262258:ALZ262258 AVT262258:AVV262258 BFP262258:BFR262258 BPL262258:BPN262258 BZH262258:BZJ262258 CJD262258:CJF262258 CSZ262258:CTB262258 DCV262258:DCX262258 DMR262258:DMT262258 DWN262258:DWP262258 EGJ262258:EGL262258 EQF262258:EQH262258 FAB262258:FAD262258 FJX262258:FJZ262258 FTT262258:FTV262258 GDP262258:GDR262258 GNL262258:GNN262258 GXH262258:GXJ262258 HHD262258:HHF262258 HQZ262258:HRB262258 IAV262258:IAX262258 IKR262258:IKT262258 IUN262258:IUP262258 JEJ262258:JEL262258 JOF262258:JOH262258 JYB262258:JYD262258 KHX262258:KHZ262258 KRT262258:KRV262258 LBP262258:LBR262258 LLL262258:LLN262258 LVH262258:LVJ262258 MFD262258:MFF262258 MOZ262258:MPB262258 MYV262258:MYX262258 NIR262258:NIT262258 NSN262258:NSP262258 OCJ262258:OCL262258 OMF262258:OMH262258 OWB262258:OWD262258 PFX262258:PFZ262258 PPT262258:PPV262258 PZP262258:PZR262258 QJL262258:QJN262258 QTH262258:QTJ262258 RDD262258:RDF262258 RMZ262258:RNB262258 RWV262258:RWX262258 SGR262258:SGT262258 SQN262258:SQP262258 TAJ262258:TAL262258 TKF262258:TKH262258 TUB262258:TUD262258 UDX262258:UDZ262258 UNT262258:UNV262258 UXP262258:UXR262258 VHL262258:VHN262258 VRH262258:VRJ262258 WBD262258:WBF262258 WKZ262258:WLB262258 WUV262258:WUX262258 IJ327794:IL327794 SF327794:SH327794 ACB327794:ACD327794 ALX327794:ALZ327794 AVT327794:AVV327794 BFP327794:BFR327794 BPL327794:BPN327794 BZH327794:BZJ327794 CJD327794:CJF327794 CSZ327794:CTB327794 DCV327794:DCX327794 DMR327794:DMT327794 DWN327794:DWP327794 EGJ327794:EGL327794 EQF327794:EQH327794 FAB327794:FAD327794 FJX327794:FJZ327794 FTT327794:FTV327794 GDP327794:GDR327794 GNL327794:GNN327794 GXH327794:GXJ327794 HHD327794:HHF327794 HQZ327794:HRB327794 IAV327794:IAX327794 IKR327794:IKT327794 IUN327794:IUP327794 JEJ327794:JEL327794 JOF327794:JOH327794 JYB327794:JYD327794 KHX327794:KHZ327794 KRT327794:KRV327794 LBP327794:LBR327794 LLL327794:LLN327794 LVH327794:LVJ327794 MFD327794:MFF327794 MOZ327794:MPB327794 MYV327794:MYX327794 NIR327794:NIT327794 NSN327794:NSP327794 OCJ327794:OCL327794 OMF327794:OMH327794 OWB327794:OWD327794 PFX327794:PFZ327794 PPT327794:PPV327794 PZP327794:PZR327794 QJL327794:QJN327794 QTH327794:QTJ327794 RDD327794:RDF327794 RMZ327794:RNB327794 RWV327794:RWX327794 SGR327794:SGT327794 SQN327794:SQP327794 TAJ327794:TAL327794 TKF327794:TKH327794 TUB327794:TUD327794 UDX327794:UDZ327794 UNT327794:UNV327794 UXP327794:UXR327794 VHL327794:VHN327794 VRH327794:VRJ327794 WBD327794:WBF327794 WKZ327794:WLB327794 WUV327794:WUX327794 IJ393330:IL393330 SF393330:SH393330 ACB393330:ACD393330 ALX393330:ALZ393330 AVT393330:AVV393330 BFP393330:BFR393330 BPL393330:BPN393330 BZH393330:BZJ393330 CJD393330:CJF393330 CSZ393330:CTB393330 DCV393330:DCX393330 DMR393330:DMT393330 DWN393330:DWP393330 EGJ393330:EGL393330 EQF393330:EQH393330 FAB393330:FAD393330 FJX393330:FJZ393330 FTT393330:FTV393330 GDP393330:GDR393330 GNL393330:GNN393330 GXH393330:GXJ393330 HHD393330:HHF393330 HQZ393330:HRB393330 IAV393330:IAX393330 IKR393330:IKT393330 IUN393330:IUP393330 JEJ393330:JEL393330 JOF393330:JOH393330 JYB393330:JYD393330 KHX393330:KHZ393330 KRT393330:KRV393330 LBP393330:LBR393330 LLL393330:LLN393330 LVH393330:LVJ393330 MFD393330:MFF393330 MOZ393330:MPB393330 MYV393330:MYX393330 NIR393330:NIT393330 NSN393330:NSP393330 OCJ393330:OCL393330 OMF393330:OMH393330 OWB393330:OWD393330 PFX393330:PFZ393330 PPT393330:PPV393330 PZP393330:PZR393330 QJL393330:QJN393330 QTH393330:QTJ393330 RDD393330:RDF393330 RMZ393330:RNB393330 RWV393330:RWX393330 SGR393330:SGT393330 SQN393330:SQP393330 TAJ393330:TAL393330 TKF393330:TKH393330 TUB393330:TUD393330 UDX393330:UDZ393330 UNT393330:UNV393330 UXP393330:UXR393330 VHL393330:VHN393330 VRH393330:VRJ393330 WBD393330:WBF393330 WKZ393330:WLB393330 WUV393330:WUX393330 IJ458866:IL458866 SF458866:SH458866 ACB458866:ACD458866 ALX458866:ALZ458866 AVT458866:AVV458866 BFP458866:BFR458866 BPL458866:BPN458866 BZH458866:BZJ458866 CJD458866:CJF458866 CSZ458866:CTB458866 DCV458866:DCX458866 DMR458866:DMT458866 DWN458866:DWP458866 EGJ458866:EGL458866 EQF458866:EQH458866 FAB458866:FAD458866 FJX458866:FJZ458866 FTT458866:FTV458866 GDP458866:GDR458866 GNL458866:GNN458866 GXH458866:GXJ458866 HHD458866:HHF458866 HQZ458866:HRB458866 IAV458866:IAX458866 IKR458866:IKT458866 IUN458866:IUP458866 JEJ458866:JEL458866 JOF458866:JOH458866 JYB458866:JYD458866 KHX458866:KHZ458866 KRT458866:KRV458866 LBP458866:LBR458866 LLL458866:LLN458866 LVH458866:LVJ458866 MFD458866:MFF458866 MOZ458866:MPB458866 MYV458866:MYX458866 NIR458866:NIT458866 NSN458866:NSP458866 OCJ458866:OCL458866 OMF458866:OMH458866 OWB458866:OWD458866 PFX458866:PFZ458866 PPT458866:PPV458866 PZP458866:PZR458866 QJL458866:QJN458866 QTH458866:QTJ458866 RDD458866:RDF458866 RMZ458866:RNB458866 RWV458866:RWX458866 SGR458866:SGT458866 SQN458866:SQP458866 TAJ458866:TAL458866 TKF458866:TKH458866 TUB458866:TUD458866 UDX458866:UDZ458866 UNT458866:UNV458866 UXP458866:UXR458866 VHL458866:VHN458866 VRH458866:VRJ458866 WBD458866:WBF458866 WKZ458866:WLB458866 WUV458866:WUX458866 IJ524402:IL524402 SF524402:SH524402 ACB524402:ACD524402 ALX524402:ALZ524402 AVT524402:AVV524402 BFP524402:BFR524402 BPL524402:BPN524402 BZH524402:BZJ524402 CJD524402:CJF524402 CSZ524402:CTB524402 DCV524402:DCX524402 DMR524402:DMT524402 DWN524402:DWP524402 EGJ524402:EGL524402 EQF524402:EQH524402 FAB524402:FAD524402 FJX524402:FJZ524402 FTT524402:FTV524402 GDP524402:GDR524402 GNL524402:GNN524402 GXH524402:GXJ524402 HHD524402:HHF524402 HQZ524402:HRB524402 IAV524402:IAX524402 IKR524402:IKT524402 IUN524402:IUP524402 JEJ524402:JEL524402 JOF524402:JOH524402 JYB524402:JYD524402 KHX524402:KHZ524402 KRT524402:KRV524402 LBP524402:LBR524402 LLL524402:LLN524402 LVH524402:LVJ524402 MFD524402:MFF524402 MOZ524402:MPB524402 MYV524402:MYX524402 NIR524402:NIT524402 NSN524402:NSP524402 OCJ524402:OCL524402 OMF524402:OMH524402 OWB524402:OWD524402 PFX524402:PFZ524402 PPT524402:PPV524402 PZP524402:PZR524402 QJL524402:QJN524402 QTH524402:QTJ524402 RDD524402:RDF524402 RMZ524402:RNB524402 RWV524402:RWX524402 SGR524402:SGT524402 SQN524402:SQP524402 TAJ524402:TAL524402 TKF524402:TKH524402 TUB524402:TUD524402 UDX524402:UDZ524402 UNT524402:UNV524402 UXP524402:UXR524402 VHL524402:VHN524402 VRH524402:VRJ524402 WBD524402:WBF524402 WKZ524402:WLB524402 WUV524402:WUX524402 IJ589938:IL589938 SF589938:SH589938 ACB589938:ACD589938 ALX589938:ALZ589938 AVT589938:AVV589938 BFP589938:BFR589938 BPL589938:BPN589938 BZH589938:BZJ589938 CJD589938:CJF589938 CSZ589938:CTB589938 DCV589938:DCX589938 DMR589938:DMT589938 DWN589938:DWP589938 EGJ589938:EGL589938 EQF589938:EQH589938 FAB589938:FAD589938 FJX589938:FJZ589938 FTT589938:FTV589938 GDP589938:GDR589938 GNL589938:GNN589938 GXH589938:GXJ589938 HHD589938:HHF589938 HQZ589938:HRB589938 IAV589938:IAX589938 IKR589938:IKT589938 IUN589938:IUP589938 JEJ589938:JEL589938 JOF589938:JOH589938 JYB589938:JYD589938 KHX589938:KHZ589938 KRT589938:KRV589938 LBP589938:LBR589938 LLL589938:LLN589938 LVH589938:LVJ589938 MFD589938:MFF589938 MOZ589938:MPB589938 MYV589938:MYX589938 NIR589938:NIT589938 NSN589938:NSP589938 OCJ589938:OCL589938 OMF589938:OMH589938 OWB589938:OWD589938 PFX589938:PFZ589938 PPT589938:PPV589938 PZP589938:PZR589938 QJL589938:QJN589938 QTH589938:QTJ589938 RDD589938:RDF589938 RMZ589938:RNB589938 RWV589938:RWX589938 SGR589938:SGT589938 SQN589938:SQP589938 TAJ589938:TAL589938 TKF589938:TKH589938 TUB589938:TUD589938 UDX589938:UDZ589938 UNT589938:UNV589938 UXP589938:UXR589938 VHL589938:VHN589938 VRH589938:VRJ589938 WBD589938:WBF589938 WKZ589938:WLB589938 WUV589938:WUX589938 IJ655474:IL655474 SF655474:SH655474 ACB655474:ACD655474 ALX655474:ALZ655474 AVT655474:AVV655474 BFP655474:BFR655474 BPL655474:BPN655474 BZH655474:BZJ655474 CJD655474:CJF655474 CSZ655474:CTB655474 DCV655474:DCX655474 DMR655474:DMT655474 DWN655474:DWP655474 EGJ655474:EGL655474 EQF655474:EQH655474 FAB655474:FAD655474 FJX655474:FJZ655474 FTT655474:FTV655474 GDP655474:GDR655474 GNL655474:GNN655474 GXH655474:GXJ655474 HHD655474:HHF655474 HQZ655474:HRB655474 IAV655474:IAX655474 IKR655474:IKT655474 IUN655474:IUP655474 JEJ655474:JEL655474 JOF655474:JOH655474 JYB655474:JYD655474 KHX655474:KHZ655474 KRT655474:KRV655474 LBP655474:LBR655474 LLL655474:LLN655474 LVH655474:LVJ655474 MFD655474:MFF655474 MOZ655474:MPB655474 MYV655474:MYX655474 NIR655474:NIT655474 NSN655474:NSP655474 OCJ655474:OCL655474 OMF655474:OMH655474 OWB655474:OWD655474 PFX655474:PFZ655474 PPT655474:PPV655474 PZP655474:PZR655474 QJL655474:QJN655474 QTH655474:QTJ655474 RDD655474:RDF655474 RMZ655474:RNB655474 RWV655474:RWX655474 SGR655474:SGT655474 SQN655474:SQP655474 TAJ655474:TAL655474 TKF655474:TKH655474 TUB655474:TUD655474 UDX655474:UDZ655474 UNT655474:UNV655474 UXP655474:UXR655474 VHL655474:VHN655474 VRH655474:VRJ655474 WBD655474:WBF655474 WKZ655474:WLB655474 WUV655474:WUX655474 IJ721010:IL721010 SF721010:SH721010 ACB721010:ACD721010 ALX721010:ALZ721010 AVT721010:AVV721010 BFP721010:BFR721010 BPL721010:BPN721010 BZH721010:BZJ721010 CJD721010:CJF721010 CSZ721010:CTB721010 DCV721010:DCX721010 DMR721010:DMT721010 DWN721010:DWP721010 EGJ721010:EGL721010 EQF721010:EQH721010 FAB721010:FAD721010 FJX721010:FJZ721010 FTT721010:FTV721010 GDP721010:GDR721010 GNL721010:GNN721010 GXH721010:GXJ721010 HHD721010:HHF721010 HQZ721010:HRB721010 IAV721010:IAX721010 IKR721010:IKT721010 IUN721010:IUP721010 JEJ721010:JEL721010 JOF721010:JOH721010 JYB721010:JYD721010 KHX721010:KHZ721010 KRT721010:KRV721010 LBP721010:LBR721010 LLL721010:LLN721010 LVH721010:LVJ721010 MFD721010:MFF721010 MOZ721010:MPB721010 MYV721010:MYX721010 NIR721010:NIT721010 NSN721010:NSP721010 OCJ721010:OCL721010 OMF721010:OMH721010 OWB721010:OWD721010 PFX721010:PFZ721010 PPT721010:PPV721010 PZP721010:PZR721010 QJL721010:QJN721010 QTH721010:QTJ721010 RDD721010:RDF721010 RMZ721010:RNB721010 RWV721010:RWX721010 SGR721010:SGT721010 SQN721010:SQP721010 TAJ721010:TAL721010 TKF721010:TKH721010 TUB721010:TUD721010 UDX721010:UDZ721010 UNT721010:UNV721010 UXP721010:UXR721010 VHL721010:VHN721010 VRH721010:VRJ721010 WBD721010:WBF721010 WKZ721010:WLB721010 WUV721010:WUX721010 IJ786546:IL786546 SF786546:SH786546 ACB786546:ACD786546 ALX786546:ALZ786546 AVT786546:AVV786546 BFP786546:BFR786546 BPL786546:BPN786546 BZH786546:BZJ786546 CJD786546:CJF786546 CSZ786546:CTB786546 DCV786546:DCX786546 DMR786546:DMT786546 DWN786546:DWP786546 EGJ786546:EGL786546 EQF786546:EQH786546 FAB786546:FAD786546 FJX786546:FJZ786546 FTT786546:FTV786546 GDP786546:GDR786546 GNL786546:GNN786546 GXH786546:GXJ786546 HHD786546:HHF786546 HQZ786546:HRB786546 IAV786546:IAX786546 IKR786546:IKT786546 IUN786546:IUP786546 JEJ786546:JEL786546 JOF786546:JOH786546 JYB786546:JYD786546 KHX786546:KHZ786546 KRT786546:KRV786546 LBP786546:LBR786546 LLL786546:LLN786546 LVH786546:LVJ786546 MFD786546:MFF786546 MOZ786546:MPB786546 MYV786546:MYX786546 NIR786546:NIT786546 NSN786546:NSP786546 OCJ786546:OCL786546 OMF786546:OMH786546 OWB786546:OWD786546 PFX786546:PFZ786546 PPT786546:PPV786546 PZP786546:PZR786546 QJL786546:QJN786546 QTH786546:QTJ786546 RDD786546:RDF786546 RMZ786546:RNB786546 RWV786546:RWX786546 SGR786546:SGT786546 SQN786546:SQP786546 TAJ786546:TAL786546 TKF786546:TKH786546 TUB786546:TUD786546 UDX786546:UDZ786546 UNT786546:UNV786546 UXP786546:UXR786546 VHL786546:VHN786546 VRH786546:VRJ786546 WBD786546:WBF786546 WKZ786546:WLB786546 WUV786546:WUX786546 IJ852082:IL852082 SF852082:SH852082 ACB852082:ACD852082 ALX852082:ALZ852082 AVT852082:AVV852082 BFP852082:BFR852082 BPL852082:BPN852082 BZH852082:BZJ852082 CJD852082:CJF852082 CSZ852082:CTB852082 DCV852082:DCX852082 DMR852082:DMT852082 DWN852082:DWP852082 EGJ852082:EGL852082 EQF852082:EQH852082 FAB852082:FAD852082 FJX852082:FJZ852082 FTT852082:FTV852082 GDP852082:GDR852082 GNL852082:GNN852082 GXH852082:GXJ852082 HHD852082:HHF852082 HQZ852082:HRB852082 IAV852082:IAX852082 IKR852082:IKT852082 IUN852082:IUP852082 JEJ852082:JEL852082 JOF852082:JOH852082 JYB852082:JYD852082 KHX852082:KHZ852082 KRT852082:KRV852082 LBP852082:LBR852082 LLL852082:LLN852082 LVH852082:LVJ852082 MFD852082:MFF852082 MOZ852082:MPB852082 MYV852082:MYX852082 NIR852082:NIT852082 NSN852082:NSP852082 OCJ852082:OCL852082 OMF852082:OMH852082 OWB852082:OWD852082 PFX852082:PFZ852082 PPT852082:PPV852082 PZP852082:PZR852082 QJL852082:QJN852082 QTH852082:QTJ852082 RDD852082:RDF852082 RMZ852082:RNB852082 RWV852082:RWX852082 SGR852082:SGT852082 SQN852082:SQP852082 TAJ852082:TAL852082 TKF852082:TKH852082 TUB852082:TUD852082 UDX852082:UDZ852082 UNT852082:UNV852082 UXP852082:UXR852082 VHL852082:VHN852082 VRH852082:VRJ852082 WBD852082:WBF852082 WKZ852082:WLB852082 WUV852082:WUX852082 IJ917618:IL917618 SF917618:SH917618 ACB917618:ACD917618 ALX917618:ALZ917618 AVT917618:AVV917618 BFP917618:BFR917618 BPL917618:BPN917618 BZH917618:BZJ917618 CJD917618:CJF917618 CSZ917618:CTB917618 DCV917618:DCX917618 DMR917618:DMT917618 DWN917618:DWP917618 EGJ917618:EGL917618 EQF917618:EQH917618 FAB917618:FAD917618 FJX917618:FJZ917618 FTT917618:FTV917618 GDP917618:GDR917618 GNL917618:GNN917618 GXH917618:GXJ917618 HHD917618:HHF917618 HQZ917618:HRB917618 IAV917618:IAX917618 IKR917618:IKT917618 IUN917618:IUP917618 JEJ917618:JEL917618 JOF917618:JOH917618 JYB917618:JYD917618 KHX917618:KHZ917618 KRT917618:KRV917618 LBP917618:LBR917618 LLL917618:LLN917618 LVH917618:LVJ917618 MFD917618:MFF917618 MOZ917618:MPB917618 MYV917618:MYX917618 NIR917618:NIT917618 NSN917618:NSP917618 OCJ917618:OCL917618 OMF917618:OMH917618 OWB917618:OWD917618 PFX917618:PFZ917618 PPT917618:PPV917618 PZP917618:PZR917618 QJL917618:QJN917618 QTH917618:QTJ917618 RDD917618:RDF917618 RMZ917618:RNB917618 RWV917618:RWX917618 SGR917618:SGT917618 SQN917618:SQP917618 TAJ917618:TAL917618 TKF917618:TKH917618 TUB917618:TUD917618 UDX917618:UDZ917618 UNT917618:UNV917618 UXP917618:UXR917618 VHL917618:VHN917618 VRH917618:VRJ917618 WBD917618:WBF917618 WKZ917618:WLB917618 WUV917618:WUX917618 IJ983154:IL983154 SF983154:SH983154 ACB983154:ACD983154 ALX983154:ALZ983154 AVT983154:AVV983154 BFP983154:BFR983154 BPL983154:BPN983154 BZH983154:BZJ983154 CJD983154:CJF983154 CSZ983154:CTB983154 DCV983154:DCX983154 DMR983154:DMT983154 DWN983154:DWP983154 EGJ983154:EGL983154 EQF983154:EQH983154 FAB983154:FAD983154 FJX983154:FJZ983154 FTT983154:FTV983154 GDP983154:GDR983154 GNL983154:GNN983154 GXH983154:GXJ983154 HHD983154:HHF983154 HQZ983154:HRB983154 IAV983154:IAX983154 IKR983154:IKT983154 IUN983154:IUP983154 JEJ983154:JEL983154 JOF983154:JOH983154 JYB983154:JYD983154 KHX983154:KHZ983154 KRT983154:KRV983154 LBP983154:LBR983154 LLL983154:LLN983154 LVH983154:LVJ983154 MFD983154:MFF983154 MOZ983154:MPB983154 MYV983154:MYX983154 NIR983154:NIT983154 NSN983154:NSP983154 OCJ983154:OCL983154 OMF983154:OMH983154 OWB983154:OWD983154 PFX983154:PFZ983154 PPT983154:PPV983154 PZP983154:PZR983154 QJL983154:QJN983154 QTH983154:QTJ983154 RDD983154:RDF983154 RMZ983154:RNB983154 RWV983154:RWX983154 SGR983154:SGT983154 SQN983154:SQP983154 TAJ983154:TAL983154 TKF983154:TKH983154 TUB983154:TUD983154 UDX983154:UDZ983154 UNT983154:UNV983154 UXP983154:UXR983154 VHL983154:VHN983154 VRH983154:VRJ983154 WBD983154:WBF983154 WKZ983154:WLB983154 WUV983154:WUX983154 IJ124:IL124 SF124:SH124 ACB124:ACD124 ALX124:ALZ124 AVT124:AVV124 BFP124:BFR124 BPL124:BPN124 BZH124:BZJ124 CJD124:CJF124 CSZ124:CTB124 DCV124:DCX124 DMR124:DMT124 DWN124:DWP124 EGJ124:EGL124 EQF124:EQH124 FAB124:FAD124 FJX124:FJZ124 FTT124:FTV124 GDP124:GDR124 GNL124:GNN124 GXH124:GXJ124 HHD124:HHF124 HQZ124:HRB124 IAV124:IAX124 IKR124:IKT124 IUN124:IUP124 JEJ124:JEL124 JOF124:JOH124 JYB124:JYD124 KHX124:KHZ124 KRT124:KRV124 LBP124:LBR124 LLL124:LLN124 LVH124:LVJ124 MFD124:MFF124 MOZ124:MPB124 MYV124:MYX124 NIR124:NIT124 NSN124:NSP124 OCJ124:OCL124 OMF124:OMH124 OWB124:OWD124 PFX124:PFZ124 PPT124:PPV124 PZP124:PZR124 QJL124:QJN124 QTH124:QTJ124 RDD124:RDF124 RMZ124:RNB124 RWV124:RWX124 SGR124:SGT124 SQN124:SQP124 TAJ124:TAL124 TKF124:TKH124 TUB124:TUD124 UDX124:UDZ124 UNT124:UNV124 UXP124:UXR124 VHL124:VHN124 VRH124:VRJ124 WBD124:WBF124 WKZ124:WLB124 WUV124:WUX124 IJ65660:IL65660 SF65660:SH65660 ACB65660:ACD65660 ALX65660:ALZ65660 AVT65660:AVV65660 BFP65660:BFR65660 BPL65660:BPN65660 BZH65660:BZJ65660 CJD65660:CJF65660 CSZ65660:CTB65660 DCV65660:DCX65660 DMR65660:DMT65660 DWN65660:DWP65660 EGJ65660:EGL65660 EQF65660:EQH65660 FAB65660:FAD65660 FJX65660:FJZ65660 FTT65660:FTV65660 GDP65660:GDR65660 GNL65660:GNN65660 GXH65660:GXJ65660 HHD65660:HHF65660 HQZ65660:HRB65660 IAV65660:IAX65660 IKR65660:IKT65660 IUN65660:IUP65660 JEJ65660:JEL65660 JOF65660:JOH65660 JYB65660:JYD65660 KHX65660:KHZ65660 KRT65660:KRV65660 LBP65660:LBR65660 LLL65660:LLN65660 LVH65660:LVJ65660 MFD65660:MFF65660 MOZ65660:MPB65660 MYV65660:MYX65660 NIR65660:NIT65660 NSN65660:NSP65660 OCJ65660:OCL65660 OMF65660:OMH65660 OWB65660:OWD65660 PFX65660:PFZ65660 PPT65660:PPV65660 PZP65660:PZR65660 QJL65660:QJN65660 QTH65660:QTJ65660 RDD65660:RDF65660 RMZ65660:RNB65660 RWV65660:RWX65660 SGR65660:SGT65660 SQN65660:SQP65660 TAJ65660:TAL65660 TKF65660:TKH65660 TUB65660:TUD65660 UDX65660:UDZ65660 UNT65660:UNV65660 UXP65660:UXR65660 VHL65660:VHN65660 VRH65660:VRJ65660 WBD65660:WBF65660 WKZ65660:WLB65660 WUV65660:WUX65660 IJ131196:IL131196 SF131196:SH131196 ACB131196:ACD131196 ALX131196:ALZ131196 AVT131196:AVV131196 BFP131196:BFR131196 BPL131196:BPN131196 BZH131196:BZJ131196 CJD131196:CJF131196 CSZ131196:CTB131196 DCV131196:DCX131196 DMR131196:DMT131196 DWN131196:DWP131196 EGJ131196:EGL131196 EQF131196:EQH131196 FAB131196:FAD131196 FJX131196:FJZ131196 FTT131196:FTV131196 GDP131196:GDR131196 GNL131196:GNN131196 GXH131196:GXJ131196 HHD131196:HHF131196 HQZ131196:HRB131196 IAV131196:IAX131196 IKR131196:IKT131196 IUN131196:IUP131196 JEJ131196:JEL131196 JOF131196:JOH131196 JYB131196:JYD131196 KHX131196:KHZ131196 KRT131196:KRV131196 LBP131196:LBR131196 LLL131196:LLN131196 LVH131196:LVJ131196 MFD131196:MFF131196 MOZ131196:MPB131196 MYV131196:MYX131196 NIR131196:NIT131196 NSN131196:NSP131196 OCJ131196:OCL131196 OMF131196:OMH131196 OWB131196:OWD131196 PFX131196:PFZ131196 PPT131196:PPV131196 PZP131196:PZR131196 QJL131196:QJN131196 QTH131196:QTJ131196 RDD131196:RDF131196 RMZ131196:RNB131196 RWV131196:RWX131196 SGR131196:SGT131196 SQN131196:SQP131196 TAJ131196:TAL131196 TKF131196:TKH131196 TUB131196:TUD131196 UDX131196:UDZ131196 UNT131196:UNV131196 UXP131196:UXR131196 VHL131196:VHN131196 VRH131196:VRJ131196 WBD131196:WBF131196 WKZ131196:WLB131196 WUV131196:WUX131196 IJ196732:IL196732 SF196732:SH196732 ACB196732:ACD196732 ALX196732:ALZ196732 AVT196732:AVV196732 BFP196732:BFR196732 BPL196732:BPN196732 BZH196732:BZJ196732 CJD196732:CJF196732 CSZ196732:CTB196732 DCV196732:DCX196732 DMR196732:DMT196732 DWN196732:DWP196732 EGJ196732:EGL196732 EQF196732:EQH196732 FAB196732:FAD196732 FJX196732:FJZ196732 FTT196732:FTV196732 GDP196732:GDR196732 GNL196732:GNN196732 GXH196732:GXJ196732 HHD196732:HHF196732 HQZ196732:HRB196732 IAV196732:IAX196732 IKR196732:IKT196732 IUN196732:IUP196732 JEJ196732:JEL196732 JOF196732:JOH196732 JYB196732:JYD196732 KHX196732:KHZ196732 KRT196732:KRV196732 LBP196732:LBR196732 LLL196732:LLN196732 LVH196732:LVJ196732 MFD196732:MFF196732 MOZ196732:MPB196732 MYV196732:MYX196732 NIR196732:NIT196732 NSN196732:NSP196732 OCJ196732:OCL196732 OMF196732:OMH196732 OWB196732:OWD196732 PFX196732:PFZ196732 PPT196732:PPV196732 PZP196732:PZR196732 QJL196732:QJN196732 QTH196732:QTJ196732 RDD196732:RDF196732 RMZ196732:RNB196732 RWV196732:RWX196732 SGR196732:SGT196732 SQN196732:SQP196732 TAJ196732:TAL196732 TKF196732:TKH196732 TUB196732:TUD196732 UDX196732:UDZ196732 UNT196732:UNV196732 UXP196732:UXR196732 VHL196732:VHN196732 VRH196732:VRJ196732 WBD196732:WBF196732 WKZ196732:WLB196732 WUV196732:WUX196732 IJ262268:IL262268 SF262268:SH262268 ACB262268:ACD262268 ALX262268:ALZ262268 AVT262268:AVV262268 BFP262268:BFR262268 BPL262268:BPN262268 BZH262268:BZJ262268 CJD262268:CJF262268 CSZ262268:CTB262268 DCV262268:DCX262268 DMR262268:DMT262268 DWN262268:DWP262268 EGJ262268:EGL262268 EQF262268:EQH262268 FAB262268:FAD262268 FJX262268:FJZ262268 FTT262268:FTV262268 GDP262268:GDR262268 GNL262268:GNN262268 GXH262268:GXJ262268 HHD262268:HHF262268 HQZ262268:HRB262268 IAV262268:IAX262268 IKR262268:IKT262268 IUN262268:IUP262268 JEJ262268:JEL262268 JOF262268:JOH262268 JYB262268:JYD262268 KHX262268:KHZ262268 KRT262268:KRV262268 LBP262268:LBR262268 LLL262268:LLN262268 LVH262268:LVJ262268 MFD262268:MFF262268 MOZ262268:MPB262268 MYV262268:MYX262268 NIR262268:NIT262268 NSN262268:NSP262268 OCJ262268:OCL262268 OMF262268:OMH262268 OWB262268:OWD262268 PFX262268:PFZ262268 PPT262268:PPV262268 PZP262268:PZR262268 QJL262268:QJN262268 QTH262268:QTJ262268 RDD262268:RDF262268 RMZ262268:RNB262268 RWV262268:RWX262268 SGR262268:SGT262268 SQN262268:SQP262268 TAJ262268:TAL262268 TKF262268:TKH262268 TUB262268:TUD262268 UDX262268:UDZ262268 UNT262268:UNV262268 UXP262268:UXR262268 VHL262268:VHN262268 VRH262268:VRJ262268 WBD262268:WBF262268 WKZ262268:WLB262268 WUV262268:WUX262268 IJ327804:IL327804 SF327804:SH327804 ACB327804:ACD327804 ALX327804:ALZ327804 AVT327804:AVV327804 BFP327804:BFR327804 BPL327804:BPN327804 BZH327804:BZJ327804 CJD327804:CJF327804 CSZ327804:CTB327804 DCV327804:DCX327804 DMR327804:DMT327804 DWN327804:DWP327804 EGJ327804:EGL327804 EQF327804:EQH327804 FAB327804:FAD327804 FJX327804:FJZ327804 FTT327804:FTV327804 GDP327804:GDR327804 GNL327804:GNN327804 GXH327804:GXJ327804 HHD327804:HHF327804 HQZ327804:HRB327804 IAV327804:IAX327804 IKR327804:IKT327804 IUN327804:IUP327804 JEJ327804:JEL327804 JOF327804:JOH327804 JYB327804:JYD327804 KHX327804:KHZ327804 KRT327804:KRV327804 LBP327804:LBR327804 LLL327804:LLN327804 LVH327804:LVJ327804 MFD327804:MFF327804 MOZ327804:MPB327804 MYV327804:MYX327804 NIR327804:NIT327804 NSN327804:NSP327804 OCJ327804:OCL327804 OMF327804:OMH327804 OWB327804:OWD327804 PFX327804:PFZ327804 PPT327804:PPV327804 PZP327804:PZR327804 QJL327804:QJN327804 QTH327804:QTJ327804 RDD327804:RDF327804 RMZ327804:RNB327804 RWV327804:RWX327804 SGR327804:SGT327804 SQN327804:SQP327804 TAJ327804:TAL327804 TKF327804:TKH327804 TUB327804:TUD327804 UDX327804:UDZ327804 UNT327804:UNV327804 UXP327804:UXR327804 VHL327804:VHN327804 VRH327804:VRJ327804 WBD327804:WBF327804 WKZ327804:WLB327804 WUV327804:WUX327804 IJ393340:IL393340 SF393340:SH393340 ACB393340:ACD393340 ALX393340:ALZ393340 AVT393340:AVV393340 BFP393340:BFR393340 BPL393340:BPN393340 BZH393340:BZJ393340 CJD393340:CJF393340 CSZ393340:CTB393340 DCV393340:DCX393340 DMR393340:DMT393340 DWN393340:DWP393340 EGJ393340:EGL393340 EQF393340:EQH393340 FAB393340:FAD393340 FJX393340:FJZ393340 FTT393340:FTV393340 GDP393340:GDR393340 GNL393340:GNN393340 GXH393340:GXJ393340 HHD393340:HHF393340 HQZ393340:HRB393340 IAV393340:IAX393340 IKR393340:IKT393340 IUN393340:IUP393340 JEJ393340:JEL393340 JOF393340:JOH393340 JYB393340:JYD393340 KHX393340:KHZ393340 KRT393340:KRV393340 LBP393340:LBR393340 LLL393340:LLN393340 LVH393340:LVJ393340 MFD393340:MFF393340 MOZ393340:MPB393340 MYV393340:MYX393340 NIR393340:NIT393340 NSN393340:NSP393340 OCJ393340:OCL393340 OMF393340:OMH393340 OWB393340:OWD393340 PFX393340:PFZ393340 PPT393340:PPV393340 PZP393340:PZR393340 QJL393340:QJN393340 QTH393340:QTJ393340 RDD393340:RDF393340 RMZ393340:RNB393340 RWV393340:RWX393340 SGR393340:SGT393340 SQN393340:SQP393340 TAJ393340:TAL393340 TKF393340:TKH393340 TUB393340:TUD393340 UDX393340:UDZ393340 UNT393340:UNV393340 UXP393340:UXR393340 VHL393340:VHN393340 VRH393340:VRJ393340 WBD393340:WBF393340 WKZ393340:WLB393340 WUV393340:WUX393340 IJ458876:IL458876 SF458876:SH458876 ACB458876:ACD458876 ALX458876:ALZ458876 AVT458876:AVV458876 BFP458876:BFR458876 BPL458876:BPN458876 BZH458876:BZJ458876 CJD458876:CJF458876 CSZ458876:CTB458876 DCV458876:DCX458876 DMR458876:DMT458876 DWN458876:DWP458876 EGJ458876:EGL458876 EQF458876:EQH458876 FAB458876:FAD458876 FJX458876:FJZ458876 FTT458876:FTV458876 GDP458876:GDR458876 GNL458876:GNN458876 GXH458876:GXJ458876 HHD458876:HHF458876 HQZ458876:HRB458876 IAV458876:IAX458876 IKR458876:IKT458876 IUN458876:IUP458876 JEJ458876:JEL458876 JOF458876:JOH458876 JYB458876:JYD458876 KHX458876:KHZ458876 KRT458876:KRV458876 LBP458876:LBR458876 LLL458876:LLN458876 LVH458876:LVJ458876 MFD458876:MFF458876 MOZ458876:MPB458876 MYV458876:MYX458876 NIR458876:NIT458876 NSN458876:NSP458876 OCJ458876:OCL458876 OMF458876:OMH458876 OWB458876:OWD458876 PFX458876:PFZ458876 PPT458876:PPV458876 PZP458876:PZR458876 QJL458876:QJN458876 QTH458876:QTJ458876 RDD458876:RDF458876 RMZ458876:RNB458876 RWV458876:RWX458876 SGR458876:SGT458876 SQN458876:SQP458876 TAJ458876:TAL458876 TKF458876:TKH458876 TUB458876:TUD458876 UDX458876:UDZ458876 UNT458876:UNV458876 UXP458876:UXR458876 VHL458876:VHN458876 VRH458876:VRJ458876 WBD458876:WBF458876 WKZ458876:WLB458876 WUV458876:WUX458876 IJ524412:IL524412 SF524412:SH524412 ACB524412:ACD524412 ALX524412:ALZ524412 AVT524412:AVV524412 BFP524412:BFR524412 BPL524412:BPN524412 BZH524412:BZJ524412 CJD524412:CJF524412 CSZ524412:CTB524412 DCV524412:DCX524412 DMR524412:DMT524412 DWN524412:DWP524412 EGJ524412:EGL524412 EQF524412:EQH524412 FAB524412:FAD524412 FJX524412:FJZ524412 FTT524412:FTV524412 GDP524412:GDR524412 GNL524412:GNN524412 GXH524412:GXJ524412 HHD524412:HHF524412 HQZ524412:HRB524412 IAV524412:IAX524412 IKR524412:IKT524412 IUN524412:IUP524412 JEJ524412:JEL524412 JOF524412:JOH524412 JYB524412:JYD524412 KHX524412:KHZ524412 KRT524412:KRV524412 LBP524412:LBR524412 LLL524412:LLN524412 LVH524412:LVJ524412 MFD524412:MFF524412 MOZ524412:MPB524412 MYV524412:MYX524412 NIR524412:NIT524412 NSN524412:NSP524412 OCJ524412:OCL524412 OMF524412:OMH524412 OWB524412:OWD524412 PFX524412:PFZ524412 PPT524412:PPV524412 PZP524412:PZR524412 QJL524412:QJN524412 QTH524412:QTJ524412 RDD524412:RDF524412 RMZ524412:RNB524412 RWV524412:RWX524412 SGR524412:SGT524412 SQN524412:SQP524412 TAJ524412:TAL524412 TKF524412:TKH524412 TUB524412:TUD524412 UDX524412:UDZ524412 UNT524412:UNV524412 UXP524412:UXR524412 VHL524412:VHN524412 VRH524412:VRJ524412 WBD524412:WBF524412 WKZ524412:WLB524412 WUV524412:WUX524412 IJ589948:IL589948 SF589948:SH589948 ACB589948:ACD589948 ALX589948:ALZ589948 AVT589948:AVV589948 BFP589948:BFR589948 BPL589948:BPN589948 BZH589948:BZJ589948 CJD589948:CJF589948 CSZ589948:CTB589948 DCV589948:DCX589948 DMR589948:DMT589948 DWN589948:DWP589948 EGJ589948:EGL589948 EQF589948:EQH589948 FAB589948:FAD589948 FJX589948:FJZ589948 FTT589948:FTV589948 GDP589948:GDR589948 GNL589948:GNN589948 GXH589948:GXJ589948 HHD589948:HHF589948 HQZ589948:HRB589948 IAV589948:IAX589948 IKR589948:IKT589948 IUN589948:IUP589948 JEJ589948:JEL589948 JOF589948:JOH589948 JYB589948:JYD589948 KHX589948:KHZ589948 KRT589948:KRV589948 LBP589948:LBR589948 LLL589948:LLN589948 LVH589948:LVJ589948 MFD589948:MFF589948 MOZ589948:MPB589948 MYV589948:MYX589948 NIR589948:NIT589948 NSN589948:NSP589948 OCJ589948:OCL589948 OMF589948:OMH589948 OWB589948:OWD589948 PFX589948:PFZ589948 PPT589948:PPV589948 PZP589948:PZR589948 QJL589948:QJN589948 QTH589948:QTJ589948 RDD589948:RDF589948 RMZ589948:RNB589948 RWV589948:RWX589948 SGR589948:SGT589948 SQN589948:SQP589948 TAJ589948:TAL589948 TKF589948:TKH589948 TUB589948:TUD589948 UDX589948:UDZ589948 UNT589948:UNV589948 UXP589948:UXR589948 VHL589948:VHN589948 VRH589948:VRJ589948 WBD589948:WBF589948 WKZ589948:WLB589948 WUV589948:WUX589948 IJ655484:IL655484 SF655484:SH655484 ACB655484:ACD655484 ALX655484:ALZ655484 AVT655484:AVV655484 BFP655484:BFR655484 BPL655484:BPN655484 BZH655484:BZJ655484 CJD655484:CJF655484 CSZ655484:CTB655484 DCV655484:DCX655484 DMR655484:DMT655484 DWN655484:DWP655484 EGJ655484:EGL655484 EQF655484:EQH655484 FAB655484:FAD655484 FJX655484:FJZ655484 FTT655484:FTV655484 GDP655484:GDR655484 GNL655484:GNN655484 GXH655484:GXJ655484 HHD655484:HHF655484 HQZ655484:HRB655484 IAV655484:IAX655484 IKR655484:IKT655484 IUN655484:IUP655484 JEJ655484:JEL655484 JOF655484:JOH655484 JYB655484:JYD655484 KHX655484:KHZ655484 KRT655484:KRV655484 LBP655484:LBR655484 LLL655484:LLN655484 LVH655484:LVJ655484 MFD655484:MFF655484 MOZ655484:MPB655484 MYV655484:MYX655484 NIR655484:NIT655484 NSN655484:NSP655484 OCJ655484:OCL655484 OMF655484:OMH655484 OWB655484:OWD655484 PFX655484:PFZ655484 PPT655484:PPV655484 PZP655484:PZR655484 QJL655484:QJN655484 QTH655484:QTJ655484 RDD655484:RDF655484 RMZ655484:RNB655484 RWV655484:RWX655484 SGR655484:SGT655484 SQN655484:SQP655484 TAJ655484:TAL655484 TKF655484:TKH655484 TUB655484:TUD655484 UDX655484:UDZ655484 UNT655484:UNV655484 UXP655484:UXR655484 VHL655484:VHN655484 VRH655484:VRJ655484 WBD655484:WBF655484 WKZ655484:WLB655484 WUV655484:WUX655484 IJ721020:IL721020 SF721020:SH721020 ACB721020:ACD721020 ALX721020:ALZ721020 AVT721020:AVV721020 BFP721020:BFR721020 BPL721020:BPN721020 BZH721020:BZJ721020 CJD721020:CJF721020 CSZ721020:CTB721020 DCV721020:DCX721020 DMR721020:DMT721020 DWN721020:DWP721020 EGJ721020:EGL721020 EQF721020:EQH721020 FAB721020:FAD721020 FJX721020:FJZ721020 FTT721020:FTV721020 GDP721020:GDR721020 GNL721020:GNN721020 GXH721020:GXJ721020 HHD721020:HHF721020 HQZ721020:HRB721020 IAV721020:IAX721020 IKR721020:IKT721020 IUN721020:IUP721020 JEJ721020:JEL721020 JOF721020:JOH721020 JYB721020:JYD721020 KHX721020:KHZ721020 KRT721020:KRV721020 LBP721020:LBR721020 LLL721020:LLN721020 LVH721020:LVJ721020 MFD721020:MFF721020 MOZ721020:MPB721020 MYV721020:MYX721020 NIR721020:NIT721020 NSN721020:NSP721020 OCJ721020:OCL721020 OMF721020:OMH721020 OWB721020:OWD721020 PFX721020:PFZ721020 PPT721020:PPV721020 PZP721020:PZR721020 QJL721020:QJN721020 QTH721020:QTJ721020 RDD721020:RDF721020 RMZ721020:RNB721020 RWV721020:RWX721020 SGR721020:SGT721020 SQN721020:SQP721020 TAJ721020:TAL721020 TKF721020:TKH721020 TUB721020:TUD721020 UDX721020:UDZ721020 UNT721020:UNV721020 UXP721020:UXR721020 VHL721020:VHN721020 VRH721020:VRJ721020 WBD721020:WBF721020 WKZ721020:WLB721020 WUV721020:WUX721020 IJ786556:IL786556 SF786556:SH786556 ACB786556:ACD786556 ALX786556:ALZ786556 AVT786556:AVV786556 BFP786556:BFR786556 BPL786556:BPN786556 BZH786556:BZJ786556 CJD786556:CJF786556 CSZ786556:CTB786556 DCV786556:DCX786556 DMR786556:DMT786556 DWN786556:DWP786556 EGJ786556:EGL786556 EQF786556:EQH786556 FAB786556:FAD786556 FJX786556:FJZ786556 FTT786556:FTV786556 GDP786556:GDR786556 GNL786556:GNN786556 GXH786556:GXJ786556 HHD786556:HHF786556 HQZ786556:HRB786556 IAV786556:IAX786556 IKR786556:IKT786556 IUN786556:IUP786556 JEJ786556:JEL786556 JOF786556:JOH786556 JYB786556:JYD786556 KHX786556:KHZ786556 KRT786556:KRV786556 LBP786556:LBR786556 LLL786556:LLN786556 LVH786556:LVJ786556 MFD786556:MFF786556 MOZ786556:MPB786556 MYV786556:MYX786556 NIR786556:NIT786556 NSN786556:NSP786556 OCJ786556:OCL786556 OMF786556:OMH786556 OWB786556:OWD786556 PFX786556:PFZ786556 PPT786556:PPV786556 PZP786556:PZR786556 QJL786556:QJN786556 QTH786556:QTJ786556 RDD786556:RDF786556 RMZ786556:RNB786556 RWV786556:RWX786556 SGR786556:SGT786556 SQN786556:SQP786556 TAJ786556:TAL786556 TKF786556:TKH786556 TUB786556:TUD786556 UDX786556:UDZ786556 UNT786556:UNV786556 UXP786556:UXR786556 VHL786556:VHN786556 VRH786556:VRJ786556 WBD786556:WBF786556 WKZ786556:WLB786556 WUV786556:WUX786556 IJ852092:IL852092 SF852092:SH852092 ACB852092:ACD852092 ALX852092:ALZ852092 AVT852092:AVV852092 BFP852092:BFR852092 BPL852092:BPN852092 BZH852092:BZJ852092 CJD852092:CJF852092 CSZ852092:CTB852092 DCV852092:DCX852092 DMR852092:DMT852092 DWN852092:DWP852092 EGJ852092:EGL852092 EQF852092:EQH852092 FAB852092:FAD852092 FJX852092:FJZ852092 FTT852092:FTV852092 GDP852092:GDR852092 GNL852092:GNN852092 GXH852092:GXJ852092 HHD852092:HHF852092 HQZ852092:HRB852092 IAV852092:IAX852092 IKR852092:IKT852092 IUN852092:IUP852092 JEJ852092:JEL852092 JOF852092:JOH852092 JYB852092:JYD852092 KHX852092:KHZ852092 KRT852092:KRV852092 LBP852092:LBR852092 LLL852092:LLN852092 LVH852092:LVJ852092 MFD852092:MFF852092 MOZ852092:MPB852092 MYV852092:MYX852092 NIR852092:NIT852092 NSN852092:NSP852092 OCJ852092:OCL852092 OMF852092:OMH852092 OWB852092:OWD852092 PFX852092:PFZ852092 PPT852092:PPV852092 PZP852092:PZR852092 QJL852092:QJN852092 QTH852092:QTJ852092 RDD852092:RDF852092 RMZ852092:RNB852092 RWV852092:RWX852092 SGR852092:SGT852092 SQN852092:SQP852092 TAJ852092:TAL852092 TKF852092:TKH852092 TUB852092:TUD852092 UDX852092:UDZ852092 UNT852092:UNV852092 UXP852092:UXR852092 VHL852092:VHN852092 VRH852092:VRJ852092 WBD852092:WBF852092 WKZ852092:WLB852092 WUV852092:WUX852092 IJ917628:IL917628 SF917628:SH917628 ACB917628:ACD917628 ALX917628:ALZ917628 AVT917628:AVV917628 BFP917628:BFR917628 BPL917628:BPN917628 BZH917628:BZJ917628 CJD917628:CJF917628 CSZ917628:CTB917628 DCV917628:DCX917628 DMR917628:DMT917628 DWN917628:DWP917628 EGJ917628:EGL917628 EQF917628:EQH917628 FAB917628:FAD917628 FJX917628:FJZ917628 FTT917628:FTV917628 GDP917628:GDR917628 GNL917628:GNN917628 GXH917628:GXJ917628 HHD917628:HHF917628 HQZ917628:HRB917628 IAV917628:IAX917628 IKR917628:IKT917628 IUN917628:IUP917628 JEJ917628:JEL917628 JOF917628:JOH917628 JYB917628:JYD917628 KHX917628:KHZ917628 KRT917628:KRV917628 LBP917628:LBR917628 LLL917628:LLN917628 LVH917628:LVJ917628 MFD917628:MFF917628 MOZ917628:MPB917628 MYV917628:MYX917628 NIR917628:NIT917628 NSN917628:NSP917628 OCJ917628:OCL917628 OMF917628:OMH917628 OWB917628:OWD917628 PFX917628:PFZ917628 PPT917628:PPV917628 PZP917628:PZR917628 QJL917628:QJN917628 QTH917628:QTJ917628 RDD917628:RDF917628 RMZ917628:RNB917628 RWV917628:RWX917628 SGR917628:SGT917628 SQN917628:SQP917628 TAJ917628:TAL917628 TKF917628:TKH917628 TUB917628:TUD917628 UDX917628:UDZ917628 UNT917628:UNV917628 UXP917628:UXR917628 VHL917628:VHN917628 VRH917628:VRJ917628 WBD917628:WBF917628 WKZ917628:WLB917628 WUV917628:WUX917628 IJ983164:IL983164 SF983164:SH983164 ACB983164:ACD983164 ALX983164:ALZ983164 AVT983164:AVV983164 BFP983164:BFR983164 BPL983164:BPN983164 BZH983164:BZJ983164 CJD983164:CJF983164 CSZ983164:CTB983164 DCV983164:DCX983164 DMR983164:DMT983164 DWN983164:DWP983164 EGJ983164:EGL983164 EQF983164:EQH983164 FAB983164:FAD983164 FJX983164:FJZ983164 FTT983164:FTV983164 GDP983164:GDR983164 GNL983164:GNN983164 GXH983164:GXJ983164 HHD983164:HHF983164 HQZ983164:HRB983164 IAV983164:IAX983164 IKR983164:IKT983164 IUN983164:IUP983164 JEJ983164:JEL983164 JOF983164:JOH983164 JYB983164:JYD983164 KHX983164:KHZ983164 KRT983164:KRV983164 LBP983164:LBR983164 LLL983164:LLN983164 LVH983164:LVJ983164 MFD983164:MFF983164 MOZ983164:MPB983164 MYV983164:MYX983164 NIR983164:NIT983164 NSN983164:NSP983164 OCJ983164:OCL983164 OMF983164:OMH983164 OWB983164:OWD983164 PFX983164:PFZ983164 PPT983164:PPV983164 PZP983164:PZR983164 QJL983164:QJN983164 QTH983164:QTJ983164 RDD983164:RDF983164 RMZ983164:RNB983164 RWV983164:RWX983164 SGR983164:SGT983164 SQN983164:SQP983164 TAJ983164:TAL983164 TKF983164:TKH983164 TUB983164:TUD983164 UDX983164:UDZ983164 UNT983164:UNV983164 UXP983164:UXR983164 VHL983164:VHN983164 VRH983164:VRJ983164 WBD983164:WBF983164 WKZ983164:WLB983164 WUV983164:WUX983164 IJ134:IL134 SF134:SH134 ACB134:ACD134 ALX134:ALZ134 AVT134:AVV134 BFP134:BFR134 BPL134:BPN134 BZH134:BZJ134 CJD134:CJF134 CSZ134:CTB134 DCV134:DCX134 DMR134:DMT134 DWN134:DWP134 EGJ134:EGL134 EQF134:EQH134 FAB134:FAD134 FJX134:FJZ134 FTT134:FTV134 GDP134:GDR134 GNL134:GNN134 GXH134:GXJ134 HHD134:HHF134 HQZ134:HRB134 IAV134:IAX134 IKR134:IKT134 IUN134:IUP134 JEJ134:JEL134 JOF134:JOH134 JYB134:JYD134 KHX134:KHZ134 KRT134:KRV134 LBP134:LBR134 LLL134:LLN134 LVH134:LVJ134 MFD134:MFF134 MOZ134:MPB134 MYV134:MYX134 NIR134:NIT134 NSN134:NSP134 OCJ134:OCL134 OMF134:OMH134 OWB134:OWD134 PFX134:PFZ134 PPT134:PPV134 PZP134:PZR134 QJL134:QJN134 QTH134:QTJ134 RDD134:RDF134 RMZ134:RNB134 RWV134:RWX134 SGR134:SGT134 SQN134:SQP134 TAJ134:TAL134 TKF134:TKH134 TUB134:TUD134 UDX134:UDZ134 UNT134:UNV134 UXP134:UXR134 VHL134:VHN134 VRH134:VRJ134 WBD134:WBF134 WKZ134:WLB134 WUV134:WUX134 IJ65670:IL65670 SF65670:SH65670 ACB65670:ACD65670 ALX65670:ALZ65670 AVT65670:AVV65670 BFP65670:BFR65670 BPL65670:BPN65670 BZH65670:BZJ65670 CJD65670:CJF65670 CSZ65670:CTB65670 DCV65670:DCX65670 DMR65670:DMT65670 DWN65670:DWP65670 EGJ65670:EGL65670 EQF65670:EQH65670 FAB65670:FAD65670 FJX65670:FJZ65670 FTT65670:FTV65670 GDP65670:GDR65670 GNL65670:GNN65670 GXH65670:GXJ65670 HHD65670:HHF65670 HQZ65670:HRB65670 IAV65670:IAX65670 IKR65670:IKT65670 IUN65670:IUP65670 JEJ65670:JEL65670 JOF65670:JOH65670 JYB65670:JYD65670 KHX65670:KHZ65670 KRT65670:KRV65670 LBP65670:LBR65670 LLL65670:LLN65670 LVH65670:LVJ65670 MFD65670:MFF65670 MOZ65670:MPB65670 MYV65670:MYX65670 NIR65670:NIT65670 NSN65670:NSP65670 OCJ65670:OCL65670 OMF65670:OMH65670 OWB65670:OWD65670 PFX65670:PFZ65670 PPT65670:PPV65670 PZP65670:PZR65670 QJL65670:QJN65670 QTH65670:QTJ65670 RDD65670:RDF65670 RMZ65670:RNB65670 RWV65670:RWX65670 SGR65670:SGT65670 SQN65670:SQP65670 TAJ65670:TAL65670 TKF65670:TKH65670 TUB65670:TUD65670 UDX65670:UDZ65670 UNT65670:UNV65670 UXP65670:UXR65670 VHL65670:VHN65670 VRH65670:VRJ65670 WBD65670:WBF65670 WKZ65670:WLB65670 WUV65670:WUX65670 IJ131206:IL131206 SF131206:SH131206 ACB131206:ACD131206 ALX131206:ALZ131206 AVT131206:AVV131206 BFP131206:BFR131206 BPL131206:BPN131206 BZH131206:BZJ131206 CJD131206:CJF131206 CSZ131206:CTB131206 DCV131206:DCX131206 DMR131206:DMT131206 DWN131206:DWP131206 EGJ131206:EGL131206 EQF131206:EQH131206 FAB131206:FAD131206 FJX131206:FJZ131206 FTT131206:FTV131206 GDP131206:GDR131206 GNL131206:GNN131206 GXH131206:GXJ131206 HHD131206:HHF131206 HQZ131206:HRB131206 IAV131206:IAX131206 IKR131206:IKT131206 IUN131206:IUP131206 JEJ131206:JEL131206 JOF131206:JOH131206 JYB131206:JYD131206 KHX131206:KHZ131206 KRT131206:KRV131206 LBP131206:LBR131206 LLL131206:LLN131206 LVH131206:LVJ131206 MFD131206:MFF131206 MOZ131206:MPB131206 MYV131206:MYX131206 NIR131206:NIT131206 NSN131206:NSP131206 OCJ131206:OCL131206 OMF131206:OMH131206 OWB131206:OWD131206 PFX131206:PFZ131206 PPT131206:PPV131206 PZP131206:PZR131206 QJL131206:QJN131206 QTH131206:QTJ131206 RDD131206:RDF131206 RMZ131206:RNB131206 RWV131206:RWX131206 SGR131206:SGT131206 SQN131206:SQP131206 TAJ131206:TAL131206 TKF131206:TKH131206 TUB131206:TUD131206 UDX131206:UDZ131206 UNT131206:UNV131206 UXP131206:UXR131206 VHL131206:VHN131206 VRH131206:VRJ131206 WBD131206:WBF131206 WKZ131206:WLB131206 WUV131206:WUX131206 IJ196742:IL196742 SF196742:SH196742 ACB196742:ACD196742 ALX196742:ALZ196742 AVT196742:AVV196742 BFP196742:BFR196742 BPL196742:BPN196742 BZH196742:BZJ196742 CJD196742:CJF196742 CSZ196742:CTB196742 DCV196742:DCX196742 DMR196742:DMT196742 DWN196742:DWP196742 EGJ196742:EGL196742 EQF196742:EQH196742 FAB196742:FAD196742 FJX196742:FJZ196742 FTT196742:FTV196742 GDP196742:GDR196742 GNL196742:GNN196742 GXH196742:GXJ196742 HHD196742:HHF196742 HQZ196742:HRB196742 IAV196742:IAX196742 IKR196742:IKT196742 IUN196742:IUP196742 JEJ196742:JEL196742 JOF196742:JOH196742 JYB196742:JYD196742 KHX196742:KHZ196742 KRT196742:KRV196742 LBP196742:LBR196742 LLL196742:LLN196742 LVH196742:LVJ196742 MFD196742:MFF196742 MOZ196742:MPB196742 MYV196742:MYX196742 NIR196742:NIT196742 NSN196742:NSP196742 OCJ196742:OCL196742 OMF196742:OMH196742 OWB196742:OWD196742 PFX196742:PFZ196742 PPT196742:PPV196742 PZP196742:PZR196742 QJL196742:QJN196742 QTH196742:QTJ196742 RDD196742:RDF196742 RMZ196742:RNB196742 RWV196742:RWX196742 SGR196742:SGT196742 SQN196742:SQP196742 TAJ196742:TAL196742 TKF196742:TKH196742 TUB196742:TUD196742 UDX196742:UDZ196742 UNT196742:UNV196742 UXP196742:UXR196742 VHL196742:VHN196742 VRH196742:VRJ196742 WBD196742:WBF196742 WKZ196742:WLB196742 WUV196742:WUX196742 IJ262278:IL262278 SF262278:SH262278 ACB262278:ACD262278 ALX262278:ALZ262278 AVT262278:AVV262278 BFP262278:BFR262278 BPL262278:BPN262278 BZH262278:BZJ262278 CJD262278:CJF262278 CSZ262278:CTB262278 DCV262278:DCX262278 DMR262278:DMT262278 DWN262278:DWP262278 EGJ262278:EGL262278 EQF262278:EQH262278 FAB262278:FAD262278 FJX262278:FJZ262278 FTT262278:FTV262278 GDP262278:GDR262278 GNL262278:GNN262278 GXH262278:GXJ262278 HHD262278:HHF262278 HQZ262278:HRB262278 IAV262278:IAX262278 IKR262278:IKT262278 IUN262278:IUP262278 JEJ262278:JEL262278 JOF262278:JOH262278 JYB262278:JYD262278 KHX262278:KHZ262278 KRT262278:KRV262278 LBP262278:LBR262278 LLL262278:LLN262278 LVH262278:LVJ262278 MFD262278:MFF262278 MOZ262278:MPB262278 MYV262278:MYX262278 NIR262278:NIT262278 NSN262278:NSP262278 OCJ262278:OCL262278 OMF262278:OMH262278 OWB262278:OWD262278 PFX262278:PFZ262278 PPT262278:PPV262278 PZP262278:PZR262278 QJL262278:QJN262278 QTH262278:QTJ262278 RDD262278:RDF262278 RMZ262278:RNB262278 RWV262278:RWX262278 SGR262278:SGT262278 SQN262278:SQP262278 TAJ262278:TAL262278 TKF262278:TKH262278 TUB262278:TUD262278 UDX262278:UDZ262278 UNT262278:UNV262278 UXP262278:UXR262278 VHL262278:VHN262278 VRH262278:VRJ262278 WBD262278:WBF262278 WKZ262278:WLB262278 WUV262278:WUX262278 IJ327814:IL327814 SF327814:SH327814 ACB327814:ACD327814 ALX327814:ALZ327814 AVT327814:AVV327814 BFP327814:BFR327814 BPL327814:BPN327814 BZH327814:BZJ327814 CJD327814:CJF327814 CSZ327814:CTB327814 DCV327814:DCX327814 DMR327814:DMT327814 DWN327814:DWP327814 EGJ327814:EGL327814 EQF327814:EQH327814 FAB327814:FAD327814 FJX327814:FJZ327814 FTT327814:FTV327814 GDP327814:GDR327814 GNL327814:GNN327814 GXH327814:GXJ327814 HHD327814:HHF327814 HQZ327814:HRB327814 IAV327814:IAX327814 IKR327814:IKT327814 IUN327814:IUP327814 JEJ327814:JEL327814 JOF327814:JOH327814 JYB327814:JYD327814 KHX327814:KHZ327814 KRT327814:KRV327814 LBP327814:LBR327814 LLL327814:LLN327814 LVH327814:LVJ327814 MFD327814:MFF327814 MOZ327814:MPB327814 MYV327814:MYX327814 NIR327814:NIT327814 NSN327814:NSP327814 OCJ327814:OCL327814 OMF327814:OMH327814 OWB327814:OWD327814 PFX327814:PFZ327814 PPT327814:PPV327814 PZP327814:PZR327814 QJL327814:QJN327814 QTH327814:QTJ327814 RDD327814:RDF327814 RMZ327814:RNB327814 RWV327814:RWX327814 SGR327814:SGT327814 SQN327814:SQP327814 TAJ327814:TAL327814 TKF327814:TKH327814 TUB327814:TUD327814 UDX327814:UDZ327814 UNT327814:UNV327814 UXP327814:UXR327814 VHL327814:VHN327814 VRH327814:VRJ327814 WBD327814:WBF327814 WKZ327814:WLB327814 WUV327814:WUX327814 IJ393350:IL393350 SF393350:SH393350 ACB393350:ACD393350 ALX393350:ALZ393350 AVT393350:AVV393350 BFP393350:BFR393350 BPL393350:BPN393350 BZH393350:BZJ393350 CJD393350:CJF393350 CSZ393350:CTB393350 DCV393350:DCX393350 DMR393350:DMT393350 DWN393350:DWP393350 EGJ393350:EGL393350 EQF393350:EQH393350 FAB393350:FAD393350 FJX393350:FJZ393350 FTT393350:FTV393350 GDP393350:GDR393350 GNL393350:GNN393350 GXH393350:GXJ393350 HHD393350:HHF393350 HQZ393350:HRB393350 IAV393350:IAX393350 IKR393350:IKT393350 IUN393350:IUP393350 JEJ393350:JEL393350 JOF393350:JOH393350 JYB393350:JYD393350 KHX393350:KHZ393350 KRT393350:KRV393350 LBP393350:LBR393350 LLL393350:LLN393350 LVH393350:LVJ393350 MFD393350:MFF393350 MOZ393350:MPB393350 MYV393350:MYX393350 NIR393350:NIT393350 NSN393350:NSP393350 OCJ393350:OCL393350 OMF393350:OMH393350 OWB393350:OWD393350 PFX393350:PFZ393350 PPT393350:PPV393350 PZP393350:PZR393350 QJL393350:QJN393350 QTH393350:QTJ393350 RDD393350:RDF393350 RMZ393350:RNB393350 RWV393350:RWX393350 SGR393350:SGT393350 SQN393350:SQP393350 TAJ393350:TAL393350 TKF393350:TKH393350 TUB393350:TUD393350 UDX393350:UDZ393350 UNT393350:UNV393350 UXP393350:UXR393350 VHL393350:VHN393350 VRH393350:VRJ393350 WBD393350:WBF393350 WKZ393350:WLB393350 WUV393350:WUX393350 IJ458886:IL458886 SF458886:SH458886 ACB458886:ACD458886 ALX458886:ALZ458886 AVT458886:AVV458886 BFP458886:BFR458886 BPL458886:BPN458886 BZH458886:BZJ458886 CJD458886:CJF458886 CSZ458886:CTB458886 DCV458886:DCX458886 DMR458886:DMT458886 DWN458886:DWP458886 EGJ458886:EGL458886 EQF458886:EQH458886 FAB458886:FAD458886 FJX458886:FJZ458886 FTT458886:FTV458886 GDP458886:GDR458886 GNL458886:GNN458886 GXH458886:GXJ458886 HHD458886:HHF458886 HQZ458886:HRB458886 IAV458886:IAX458886 IKR458886:IKT458886 IUN458886:IUP458886 JEJ458886:JEL458886 JOF458886:JOH458886 JYB458886:JYD458886 KHX458886:KHZ458886 KRT458886:KRV458886 LBP458886:LBR458886 LLL458886:LLN458886 LVH458886:LVJ458886 MFD458886:MFF458886 MOZ458886:MPB458886 MYV458886:MYX458886 NIR458886:NIT458886 NSN458886:NSP458886 OCJ458886:OCL458886 OMF458886:OMH458886 OWB458886:OWD458886 PFX458886:PFZ458886 PPT458886:PPV458886 PZP458886:PZR458886 QJL458886:QJN458886 QTH458886:QTJ458886 RDD458886:RDF458886 RMZ458886:RNB458886 RWV458886:RWX458886 SGR458886:SGT458886 SQN458886:SQP458886 TAJ458886:TAL458886 TKF458886:TKH458886 TUB458886:TUD458886 UDX458886:UDZ458886 UNT458886:UNV458886 UXP458886:UXR458886 VHL458886:VHN458886 VRH458886:VRJ458886 WBD458886:WBF458886 WKZ458886:WLB458886 WUV458886:WUX458886 IJ524422:IL524422 SF524422:SH524422 ACB524422:ACD524422 ALX524422:ALZ524422 AVT524422:AVV524422 BFP524422:BFR524422 BPL524422:BPN524422 BZH524422:BZJ524422 CJD524422:CJF524422 CSZ524422:CTB524422 DCV524422:DCX524422 DMR524422:DMT524422 DWN524422:DWP524422 EGJ524422:EGL524422 EQF524422:EQH524422 FAB524422:FAD524422 FJX524422:FJZ524422 FTT524422:FTV524422 GDP524422:GDR524422 GNL524422:GNN524422 GXH524422:GXJ524422 HHD524422:HHF524422 HQZ524422:HRB524422 IAV524422:IAX524422 IKR524422:IKT524422 IUN524422:IUP524422 JEJ524422:JEL524422 JOF524422:JOH524422 JYB524422:JYD524422 KHX524422:KHZ524422 KRT524422:KRV524422 LBP524422:LBR524422 LLL524422:LLN524422 LVH524422:LVJ524422 MFD524422:MFF524422 MOZ524422:MPB524422 MYV524422:MYX524422 NIR524422:NIT524422 NSN524422:NSP524422 OCJ524422:OCL524422 OMF524422:OMH524422 OWB524422:OWD524422 PFX524422:PFZ524422 PPT524422:PPV524422 PZP524422:PZR524422 QJL524422:QJN524422 QTH524422:QTJ524422 RDD524422:RDF524422 RMZ524422:RNB524422 RWV524422:RWX524422 SGR524422:SGT524422 SQN524422:SQP524422 TAJ524422:TAL524422 TKF524422:TKH524422 TUB524422:TUD524422 UDX524422:UDZ524422 UNT524422:UNV524422 UXP524422:UXR524422 VHL524422:VHN524422 VRH524422:VRJ524422 WBD524422:WBF524422 WKZ524422:WLB524422 WUV524422:WUX524422 IJ589958:IL589958 SF589958:SH589958 ACB589958:ACD589958 ALX589958:ALZ589958 AVT589958:AVV589958 BFP589958:BFR589958 BPL589958:BPN589958 BZH589958:BZJ589958 CJD589958:CJF589958 CSZ589958:CTB589958 DCV589958:DCX589958 DMR589958:DMT589958 DWN589958:DWP589958 EGJ589958:EGL589958 EQF589958:EQH589958 FAB589958:FAD589958 FJX589958:FJZ589958 FTT589958:FTV589958 GDP589958:GDR589958 GNL589958:GNN589958 GXH589958:GXJ589958 HHD589958:HHF589958 HQZ589958:HRB589958 IAV589958:IAX589958 IKR589958:IKT589958 IUN589958:IUP589958 JEJ589958:JEL589958 JOF589958:JOH589958 JYB589958:JYD589958 KHX589958:KHZ589958 KRT589958:KRV589958 LBP589958:LBR589958 LLL589958:LLN589958 LVH589958:LVJ589958 MFD589958:MFF589958 MOZ589958:MPB589958 MYV589958:MYX589958 NIR589958:NIT589958 NSN589958:NSP589958 OCJ589958:OCL589958 OMF589958:OMH589958 OWB589958:OWD589958 PFX589958:PFZ589958 PPT589958:PPV589958 PZP589958:PZR589958 QJL589958:QJN589958 QTH589958:QTJ589958 RDD589958:RDF589958 RMZ589958:RNB589958 RWV589958:RWX589958 SGR589958:SGT589958 SQN589958:SQP589958 TAJ589958:TAL589958 TKF589958:TKH589958 TUB589958:TUD589958 UDX589958:UDZ589958 UNT589958:UNV589958 UXP589958:UXR589958 VHL589958:VHN589958 VRH589958:VRJ589958 WBD589958:WBF589958 WKZ589958:WLB589958 WUV589958:WUX589958 IJ655494:IL655494 SF655494:SH655494 ACB655494:ACD655494 ALX655494:ALZ655494 AVT655494:AVV655494 BFP655494:BFR655494 BPL655494:BPN655494 BZH655494:BZJ655494 CJD655494:CJF655494 CSZ655494:CTB655494 DCV655494:DCX655494 DMR655494:DMT655494 DWN655494:DWP655494 EGJ655494:EGL655494 EQF655494:EQH655494 FAB655494:FAD655494 FJX655494:FJZ655494 FTT655494:FTV655494 GDP655494:GDR655494 GNL655494:GNN655494 GXH655494:GXJ655494 HHD655494:HHF655494 HQZ655494:HRB655494 IAV655494:IAX655494 IKR655494:IKT655494 IUN655494:IUP655494 JEJ655494:JEL655494 JOF655494:JOH655494 JYB655494:JYD655494 KHX655494:KHZ655494 KRT655494:KRV655494 LBP655494:LBR655494 LLL655494:LLN655494 LVH655494:LVJ655494 MFD655494:MFF655494 MOZ655494:MPB655494 MYV655494:MYX655494 NIR655494:NIT655494 NSN655494:NSP655494 OCJ655494:OCL655494 OMF655494:OMH655494 OWB655494:OWD655494 PFX655494:PFZ655494 PPT655494:PPV655494 PZP655494:PZR655494 QJL655494:QJN655494 QTH655494:QTJ655494 RDD655494:RDF655494 RMZ655494:RNB655494 RWV655494:RWX655494 SGR655494:SGT655494 SQN655494:SQP655494 TAJ655494:TAL655494 TKF655494:TKH655494 TUB655494:TUD655494 UDX655494:UDZ655494 UNT655494:UNV655494 UXP655494:UXR655494 VHL655494:VHN655494 VRH655494:VRJ655494 WBD655494:WBF655494 WKZ655494:WLB655494 WUV655494:WUX655494 IJ721030:IL721030 SF721030:SH721030 ACB721030:ACD721030 ALX721030:ALZ721030 AVT721030:AVV721030 BFP721030:BFR721030 BPL721030:BPN721030 BZH721030:BZJ721030 CJD721030:CJF721030 CSZ721030:CTB721030 DCV721030:DCX721030 DMR721030:DMT721030 DWN721030:DWP721030 EGJ721030:EGL721030 EQF721030:EQH721030 FAB721030:FAD721030 FJX721030:FJZ721030 FTT721030:FTV721030 GDP721030:GDR721030 GNL721030:GNN721030 GXH721030:GXJ721030 HHD721030:HHF721030 HQZ721030:HRB721030 IAV721030:IAX721030 IKR721030:IKT721030 IUN721030:IUP721030 JEJ721030:JEL721030 JOF721030:JOH721030 JYB721030:JYD721030 KHX721030:KHZ721030 KRT721030:KRV721030 LBP721030:LBR721030 LLL721030:LLN721030 LVH721030:LVJ721030 MFD721030:MFF721030 MOZ721030:MPB721030 MYV721030:MYX721030 NIR721030:NIT721030 NSN721030:NSP721030 OCJ721030:OCL721030 OMF721030:OMH721030 OWB721030:OWD721030 PFX721030:PFZ721030 PPT721030:PPV721030 PZP721030:PZR721030 QJL721030:QJN721030 QTH721030:QTJ721030 RDD721030:RDF721030 RMZ721030:RNB721030 RWV721030:RWX721030 SGR721030:SGT721030 SQN721030:SQP721030 TAJ721030:TAL721030 TKF721030:TKH721030 TUB721030:TUD721030 UDX721030:UDZ721030 UNT721030:UNV721030 UXP721030:UXR721030 VHL721030:VHN721030 VRH721030:VRJ721030 WBD721030:WBF721030 WKZ721030:WLB721030 WUV721030:WUX721030 IJ786566:IL786566 SF786566:SH786566 ACB786566:ACD786566 ALX786566:ALZ786566 AVT786566:AVV786566 BFP786566:BFR786566 BPL786566:BPN786566 BZH786566:BZJ786566 CJD786566:CJF786566 CSZ786566:CTB786566 DCV786566:DCX786566 DMR786566:DMT786566 DWN786566:DWP786566 EGJ786566:EGL786566 EQF786566:EQH786566 FAB786566:FAD786566 FJX786566:FJZ786566 FTT786566:FTV786566 GDP786566:GDR786566 GNL786566:GNN786566 GXH786566:GXJ786566 HHD786566:HHF786566 HQZ786566:HRB786566 IAV786566:IAX786566 IKR786566:IKT786566 IUN786566:IUP786566 JEJ786566:JEL786566 JOF786566:JOH786566 JYB786566:JYD786566 KHX786566:KHZ786566 KRT786566:KRV786566 LBP786566:LBR786566 LLL786566:LLN786566 LVH786566:LVJ786566 MFD786566:MFF786566 MOZ786566:MPB786566 MYV786566:MYX786566 NIR786566:NIT786566 NSN786566:NSP786566 OCJ786566:OCL786566 OMF786566:OMH786566 OWB786566:OWD786566 PFX786566:PFZ786566 PPT786566:PPV786566 PZP786566:PZR786566 QJL786566:QJN786566 QTH786566:QTJ786566 RDD786566:RDF786566 RMZ786566:RNB786566 RWV786566:RWX786566 SGR786566:SGT786566 SQN786566:SQP786566 TAJ786566:TAL786566 TKF786566:TKH786566 TUB786566:TUD786566 UDX786566:UDZ786566 UNT786566:UNV786566 UXP786566:UXR786566 VHL786566:VHN786566 VRH786566:VRJ786566 WBD786566:WBF786566 WKZ786566:WLB786566 WUV786566:WUX786566 IJ852102:IL852102 SF852102:SH852102 ACB852102:ACD852102 ALX852102:ALZ852102 AVT852102:AVV852102 BFP852102:BFR852102 BPL852102:BPN852102 BZH852102:BZJ852102 CJD852102:CJF852102 CSZ852102:CTB852102 DCV852102:DCX852102 DMR852102:DMT852102 DWN852102:DWP852102 EGJ852102:EGL852102 EQF852102:EQH852102 FAB852102:FAD852102 FJX852102:FJZ852102 FTT852102:FTV852102 GDP852102:GDR852102 GNL852102:GNN852102 GXH852102:GXJ852102 HHD852102:HHF852102 HQZ852102:HRB852102 IAV852102:IAX852102 IKR852102:IKT852102 IUN852102:IUP852102 JEJ852102:JEL852102 JOF852102:JOH852102 JYB852102:JYD852102 KHX852102:KHZ852102 KRT852102:KRV852102 LBP852102:LBR852102 LLL852102:LLN852102 LVH852102:LVJ852102 MFD852102:MFF852102 MOZ852102:MPB852102 MYV852102:MYX852102 NIR852102:NIT852102 NSN852102:NSP852102 OCJ852102:OCL852102 OMF852102:OMH852102 OWB852102:OWD852102 PFX852102:PFZ852102 PPT852102:PPV852102 PZP852102:PZR852102 QJL852102:QJN852102 QTH852102:QTJ852102 RDD852102:RDF852102 RMZ852102:RNB852102 RWV852102:RWX852102 SGR852102:SGT852102 SQN852102:SQP852102 TAJ852102:TAL852102 TKF852102:TKH852102 TUB852102:TUD852102 UDX852102:UDZ852102 UNT852102:UNV852102 UXP852102:UXR852102 VHL852102:VHN852102 VRH852102:VRJ852102 WBD852102:WBF852102 WKZ852102:WLB852102 WUV852102:WUX852102 IJ917638:IL917638 SF917638:SH917638 ACB917638:ACD917638 ALX917638:ALZ917638 AVT917638:AVV917638 BFP917638:BFR917638 BPL917638:BPN917638 BZH917638:BZJ917638 CJD917638:CJF917638 CSZ917638:CTB917638 DCV917638:DCX917638 DMR917638:DMT917638 DWN917638:DWP917638 EGJ917638:EGL917638 EQF917638:EQH917638 FAB917638:FAD917638 FJX917638:FJZ917638 FTT917638:FTV917638 GDP917638:GDR917638 GNL917638:GNN917638 GXH917638:GXJ917638 HHD917638:HHF917638 HQZ917638:HRB917638 IAV917638:IAX917638 IKR917638:IKT917638 IUN917638:IUP917638 JEJ917638:JEL917638 JOF917638:JOH917638 JYB917638:JYD917638 KHX917638:KHZ917638 KRT917638:KRV917638 LBP917638:LBR917638 LLL917638:LLN917638 LVH917638:LVJ917638 MFD917638:MFF917638 MOZ917638:MPB917638 MYV917638:MYX917638 NIR917638:NIT917638 NSN917638:NSP917638 OCJ917638:OCL917638 OMF917638:OMH917638 OWB917638:OWD917638 PFX917638:PFZ917638 PPT917638:PPV917638 PZP917638:PZR917638 QJL917638:QJN917638 QTH917638:QTJ917638 RDD917638:RDF917638 RMZ917638:RNB917638 RWV917638:RWX917638 SGR917638:SGT917638 SQN917638:SQP917638 TAJ917638:TAL917638 TKF917638:TKH917638 TUB917638:TUD917638 UDX917638:UDZ917638 UNT917638:UNV917638 UXP917638:UXR917638 VHL917638:VHN917638 VRH917638:VRJ917638 WBD917638:WBF917638 WKZ917638:WLB917638 WUV917638:WUX917638 IJ983174:IL983174 SF983174:SH983174 ACB983174:ACD983174 ALX983174:ALZ983174 AVT983174:AVV983174 BFP983174:BFR983174 BPL983174:BPN983174 BZH983174:BZJ983174 CJD983174:CJF983174 CSZ983174:CTB983174 DCV983174:DCX983174 DMR983174:DMT983174 DWN983174:DWP983174 EGJ983174:EGL983174 EQF983174:EQH983174 FAB983174:FAD983174 FJX983174:FJZ983174 FTT983174:FTV983174 GDP983174:GDR983174 GNL983174:GNN983174 GXH983174:GXJ983174 HHD983174:HHF983174 HQZ983174:HRB983174 IAV983174:IAX983174 IKR983174:IKT983174 IUN983174:IUP983174 JEJ983174:JEL983174 JOF983174:JOH983174 JYB983174:JYD983174 KHX983174:KHZ983174 KRT983174:KRV983174 LBP983174:LBR983174 LLL983174:LLN983174 LVH983174:LVJ983174 MFD983174:MFF983174 MOZ983174:MPB983174 MYV983174:MYX983174 NIR983174:NIT983174 NSN983174:NSP983174 OCJ983174:OCL983174 OMF983174:OMH983174 OWB983174:OWD983174 PFX983174:PFZ983174 PPT983174:PPV983174 PZP983174:PZR983174 QJL983174:QJN983174 QTH983174:QTJ983174 RDD983174:RDF983174 RMZ983174:RNB983174 RWV983174:RWX983174 SGR983174:SGT983174 SQN983174:SQP983174 TAJ983174:TAL983174 TKF983174:TKH983174 TUB983174:TUD983174 UDX983174:UDZ983174 UNT983174:UNV983174 UXP983174:UXR983174 VHL983174:VHN983174 VRH983174:VRJ983174 WBD983174:WBF983174 WKZ983174:WLB983174 WUV983174:WUX983174 IJ144:IL144 SF144:SH144 ACB144:ACD144 ALX144:ALZ144 AVT144:AVV144 BFP144:BFR144 BPL144:BPN144 BZH144:BZJ144 CJD144:CJF144 CSZ144:CTB144 DCV144:DCX144 DMR144:DMT144 DWN144:DWP144 EGJ144:EGL144 EQF144:EQH144 FAB144:FAD144 FJX144:FJZ144 FTT144:FTV144 GDP144:GDR144 GNL144:GNN144 GXH144:GXJ144 HHD144:HHF144 HQZ144:HRB144 IAV144:IAX144 IKR144:IKT144 IUN144:IUP144 JEJ144:JEL144 JOF144:JOH144 JYB144:JYD144 KHX144:KHZ144 KRT144:KRV144 LBP144:LBR144 LLL144:LLN144 LVH144:LVJ144 MFD144:MFF144 MOZ144:MPB144 MYV144:MYX144 NIR144:NIT144 NSN144:NSP144 OCJ144:OCL144 OMF144:OMH144 OWB144:OWD144 PFX144:PFZ144 PPT144:PPV144 PZP144:PZR144 QJL144:QJN144 QTH144:QTJ144 RDD144:RDF144 RMZ144:RNB144 RWV144:RWX144 SGR144:SGT144 SQN144:SQP144 TAJ144:TAL144 TKF144:TKH144 TUB144:TUD144 UDX144:UDZ144 UNT144:UNV144 UXP144:UXR144 VHL144:VHN144 VRH144:VRJ144 WBD144:WBF144 WKZ144:WLB144 WUV144:WUX144 IJ65680:IL65680 SF65680:SH65680 ACB65680:ACD65680 ALX65680:ALZ65680 AVT65680:AVV65680 BFP65680:BFR65680 BPL65680:BPN65680 BZH65680:BZJ65680 CJD65680:CJF65680 CSZ65680:CTB65680 DCV65680:DCX65680 DMR65680:DMT65680 DWN65680:DWP65680 EGJ65680:EGL65680 EQF65680:EQH65680 FAB65680:FAD65680 FJX65680:FJZ65680 FTT65680:FTV65680 GDP65680:GDR65680 GNL65680:GNN65680 GXH65680:GXJ65680 HHD65680:HHF65680 HQZ65680:HRB65680 IAV65680:IAX65680 IKR65680:IKT65680 IUN65680:IUP65680 JEJ65680:JEL65680 JOF65680:JOH65680 JYB65680:JYD65680 KHX65680:KHZ65680 KRT65680:KRV65680 LBP65680:LBR65680 LLL65680:LLN65680 LVH65680:LVJ65680 MFD65680:MFF65680 MOZ65680:MPB65680 MYV65680:MYX65680 NIR65680:NIT65680 NSN65680:NSP65680 OCJ65680:OCL65680 OMF65680:OMH65680 OWB65680:OWD65680 PFX65680:PFZ65680 PPT65680:PPV65680 PZP65680:PZR65680 QJL65680:QJN65680 QTH65680:QTJ65680 RDD65680:RDF65680 RMZ65680:RNB65680 RWV65680:RWX65680 SGR65680:SGT65680 SQN65680:SQP65680 TAJ65680:TAL65680 TKF65680:TKH65680 TUB65680:TUD65680 UDX65680:UDZ65680 UNT65680:UNV65680 UXP65680:UXR65680 VHL65680:VHN65680 VRH65680:VRJ65680 WBD65680:WBF65680 WKZ65680:WLB65680 WUV65680:WUX65680 IJ131216:IL131216 SF131216:SH131216 ACB131216:ACD131216 ALX131216:ALZ131216 AVT131216:AVV131216 BFP131216:BFR131216 BPL131216:BPN131216 BZH131216:BZJ131216 CJD131216:CJF131216 CSZ131216:CTB131216 DCV131216:DCX131216 DMR131216:DMT131216 DWN131216:DWP131216 EGJ131216:EGL131216 EQF131216:EQH131216 FAB131216:FAD131216 FJX131216:FJZ131216 FTT131216:FTV131216 GDP131216:GDR131216 GNL131216:GNN131216 GXH131216:GXJ131216 HHD131216:HHF131216 HQZ131216:HRB131216 IAV131216:IAX131216 IKR131216:IKT131216 IUN131216:IUP131216 JEJ131216:JEL131216 JOF131216:JOH131216 JYB131216:JYD131216 KHX131216:KHZ131216 KRT131216:KRV131216 LBP131216:LBR131216 LLL131216:LLN131216 LVH131216:LVJ131216 MFD131216:MFF131216 MOZ131216:MPB131216 MYV131216:MYX131216 NIR131216:NIT131216 NSN131216:NSP131216 OCJ131216:OCL131216 OMF131216:OMH131216 OWB131216:OWD131216 PFX131216:PFZ131216 PPT131216:PPV131216 PZP131216:PZR131216 QJL131216:QJN131216 QTH131216:QTJ131216 RDD131216:RDF131216 RMZ131216:RNB131216 RWV131216:RWX131216 SGR131216:SGT131216 SQN131216:SQP131216 TAJ131216:TAL131216 TKF131216:TKH131216 TUB131216:TUD131216 UDX131216:UDZ131216 UNT131216:UNV131216 UXP131216:UXR131216 VHL131216:VHN131216 VRH131216:VRJ131216 WBD131216:WBF131216 WKZ131216:WLB131216 WUV131216:WUX131216 IJ196752:IL196752 SF196752:SH196752 ACB196752:ACD196752 ALX196752:ALZ196752 AVT196752:AVV196752 BFP196752:BFR196752 BPL196752:BPN196752 BZH196752:BZJ196752 CJD196752:CJF196752 CSZ196752:CTB196752 DCV196752:DCX196752 DMR196752:DMT196752 DWN196752:DWP196752 EGJ196752:EGL196752 EQF196752:EQH196752 FAB196752:FAD196752 FJX196752:FJZ196752 FTT196752:FTV196752 GDP196752:GDR196752 GNL196752:GNN196752 GXH196752:GXJ196752 HHD196752:HHF196752 HQZ196752:HRB196752 IAV196752:IAX196752 IKR196752:IKT196752 IUN196752:IUP196752 JEJ196752:JEL196752 JOF196752:JOH196752 JYB196752:JYD196752 KHX196752:KHZ196752 KRT196752:KRV196752 LBP196752:LBR196752 LLL196752:LLN196752 LVH196752:LVJ196752 MFD196752:MFF196752 MOZ196752:MPB196752 MYV196752:MYX196752 NIR196752:NIT196752 NSN196752:NSP196752 OCJ196752:OCL196752 OMF196752:OMH196752 OWB196752:OWD196752 PFX196752:PFZ196752 PPT196752:PPV196752 PZP196752:PZR196752 QJL196752:QJN196752 QTH196752:QTJ196752 RDD196752:RDF196752 RMZ196752:RNB196752 RWV196752:RWX196752 SGR196752:SGT196752 SQN196752:SQP196752 TAJ196752:TAL196752 TKF196752:TKH196752 TUB196752:TUD196752 UDX196752:UDZ196752 UNT196752:UNV196752 UXP196752:UXR196752 VHL196752:VHN196752 VRH196752:VRJ196752 WBD196752:WBF196752 WKZ196752:WLB196752 WUV196752:WUX196752 IJ262288:IL262288 SF262288:SH262288 ACB262288:ACD262288 ALX262288:ALZ262288 AVT262288:AVV262288 BFP262288:BFR262288 BPL262288:BPN262288 BZH262288:BZJ262288 CJD262288:CJF262288 CSZ262288:CTB262288 DCV262288:DCX262288 DMR262288:DMT262288 DWN262288:DWP262288 EGJ262288:EGL262288 EQF262288:EQH262288 FAB262288:FAD262288 FJX262288:FJZ262288 FTT262288:FTV262288 GDP262288:GDR262288 GNL262288:GNN262288 GXH262288:GXJ262288 HHD262288:HHF262288 HQZ262288:HRB262288 IAV262288:IAX262288 IKR262288:IKT262288 IUN262288:IUP262288 JEJ262288:JEL262288 JOF262288:JOH262288 JYB262288:JYD262288 KHX262288:KHZ262288 KRT262288:KRV262288 LBP262288:LBR262288 LLL262288:LLN262288 LVH262288:LVJ262288 MFD262288:MFF262288 MOZ262288:MPB262288 MYV262288:MYX262288 NIR262288:NIT262288 NSN262288:NSP262288 OCJ262288:OCL262288 OMF262288:OMH262288 OWB262288:OWD262288 PFX262288:PFZ262288 PPT262288:PPV262288 PZP262288:PZR262288 QJL262288:QJN262288 QTH262288:QTJ262288 RDD262288:RDF262288 RMZ262288:RNB262288 RWV262288:RWX262288 SGR262288:SGT262288 SQN262288:SQP262288 TAJ262288:TAL262288 TKF262288:TKH262288 TUB262288:TUD262288 UDX262288:UDZ262288 UNT262288:UNV262288 UXP262288:UXR262288 VHL262288:VHN262288 VRH262288:VRJ262288 WBD262288:WBF262288 WKZ262288:WLB262288 WUV262288:WUX262288 IJ327824:IL327824 SF327824:SH327824 ACB327824:ACD327824 ALX327824:ALZ327824 AVT327824:AVV327824 BFP327824:BFR327824 BPL327824:BPN327824 BZH327824:BZJ327824 CJD327824:CJF327824 CSZ327824:CTB327824 DCV327824:DCX327824 DMR327824:DMT327824 DWN327824:DWP327824 EGJ327824:EGL327824 EQF327824:EQH327824 FAB327824:FAD327824 FJX327824:FJZ327824 FTT327824:FTV327824 GDP327824:GDR327824 GNL327824:GNN327824 GXH327824:GXJ327824 HHD327824:HHF327824 HQZ327824:HRB327824 IAV327824:IAX327824 IKR327824:IKT327824 IUN327824:IUP327824 JEJ327824:JEL327824 JOF327824:JOH327824 JYB327824:JYD327824 KHX327824:KHZ327824 KRT327824:KRV327824 LBP327824:LBR327824 LLL327824:LLN327824 LVH327824:LVJ327824 MFD327824:MFF327824 MOZ327824:MPB327824 MYV327824:MYX327824 NIR327824:NIT327824 NSN327824:NSP327824 OCJ327824:OCL327824 OMF327824:OMH327824 OWB327824:OWD327824 PFX327824:PFZ327824 PPT327824:PPV327824 PZP327824:PZR327824 QJL327824:QJN327824 QTH327824:QTJ327824 RDD327824:RDF327824 RMZ327824:RNB327824 RWV327824:RWX327824 SGR327824:SGT327824 SQN327824:SQP327824 TAJ327824:TAL327824 TKF327824:TKH327824 TUB327824:TUD327824 UDX327824:UDZ327824 UNT327824:UNV327824 UXP327824:UXR327824 VHL327824:VHN327824 VRH327824:VRJ327824 WBD327824:WBF327824 WKZ327824:WLB327824 WUV327824:WUX327824 IJ393360:IL393360 SF393360:SH393360 ACB393360:ACD393360 ALX393360:ALZ393360 AVT393360:AVV393360 BFP393360:BFR393360 BPL393360:BPN393360 BZH393360:BZJ393360 CJD393360:CJF393360 CSZ393360:CTB393360 DCV393360:DCX393360 DMR393360:DMT393360 DWN393360:DWP393360 EGJ393360:EGL393360 EQF393360:EQH393360 FAB393360:FAD393360 FJX393360:FJZ393360 FTT393360:FTV393360 GDP393360:GDR393360 GNL393360:GNN393360 GXH393360:GXJ393360 HHD393360:HHF393360 HQZ393360:HRB393360 IAV393360:IAX393360 IKR393360:IKT393360 IUN393360:IUP393360 JEJ393360:JEL393360 JOF393360:JOH393360 JYB393360:JYD393360 KHX393360:KHZ393360 KRT393360:KRV393360 LBP393360:LBR393360 LLL393360:LLN393360 LVH393360:LVJ393360 MFD393360:MFF393360 MOZ393360:MPB393360 MYV393360:MYX393360 NIR393360:NIT393360 NSN393360:NSP393360 OCJ393360:OCL393360 OMF393360:OMH393360 OWB393360:OWD393360 PFX393360:PFZ393360 PPT393360:PPV393360 PZP393360:PZR393360 QJL393360:QJN393360 QTH393360:QTJ393360 RDD393360:RDF393360 RMZ393360:RNB393360 RWV393360:RWX393360 SGR393360:SGT393360 SQN393360:SQP393360 TAJ393360:TAL393360 TKF393360:TKH393360 TUB393360:TUD393360 UDX393360:UDZ393360 UNT393360:UNV393360 UXP393360:UXR393360 VHL393360:VHN393360 VRH393360:VRJ393360 WBD393360:WBF393360 WKZ393360:WLB393360 WUV393360:WUX393360 IJ458896:IL458896 SF458896:SH458896 ACB458896:ACD458896 ALX458896:ALZ458896 AVT458896:AVV458896 BFP458896:BFR458896 BPL458896:BPN458896 BZH458896:BZJ458896 CJD458896:CJF458896 CSZ458896:CTB458896 DCV458896:DCX458896 DMR458896:DMT458896 DWN458896:DWP458896 EGJ458896:EGL458896 EQF458896:EQH458896 FAB458896:FAD458896 FJX458896:FJZ458896 FTT458896:FTV458896 GDP458896:GDR458896 GNL458896:GNN458896 GXH458896:GXJ458896 HHD458896:HHF458896 HQZ458896:HRB458896 IAV458896:IAX458896 IKR458896:IKT458896 IUN458896:IUP458896 JEJ458896:JEL458896 JOF458896:JOH458896 JYB458896:JYD458896 KHX458896:KHZ458896 KRT458896:KRV458896 LBP458896:LBR458896 LLL458896:LLN458896 LVH458896:LVJ458896 MFD458896:MFF458896 MOZ458896:MPB458896 MYV458896:MYX458896 NIR458896:NIT458896 NSN458896:NSP458896 OCJ458896:OCL458896 OMF458896:OMH458896 OWB458896:OWD458896 PFX458896:PFZ458896 PPT458896:PPV458896 PZP458896:PZR458896 QJL458896:QJN458896 QTH458896:QTJ458896 RDD458896:RDF458896 RMZ458896:RNB458896 RWV458896:RWX458896 SGR458896:SGT458896 SQN458896:SQP458896 TAJ458896:TAL458896 TKF458896:TKH458896 TUB458896:TUD458896 UDX458896:UDZ458896 UNT458896:UNV458896 UXP458896:UXR458896 VHL458896:VHN458896 VRH458896:VRJ458896 WBD458896:WBF458896 WKZ458896:WLB458896 WUV458896:WUX458896 IJ524432:IL524432 SF524432:SH524432 ACB524432:ACD524432 ALX524432:ALZ524432 AVT524432:AVV524432 BFP524432:BFR524432 BPL524432:BPN524432 BZH524432:BZJ524432 CJD524432:CJF524432 CSZ524432:CTB524432 DCV524432:DCX524432 DMR524432:DMT524432 DWN524432:DWP524432 EGJ524432:EGL524432 EQF524432:EQH524432 FAB524432:FAD524432 FJX524432:FJZ524432 FTT524432:FTV524432 GDP524432:GDR524432 GNL524432:GNN524432 GXH524432:GXJ524432 HHD524432:HHF524432 HQZ524432:HRB524432 IAV524432:IAX524432 IKR524432:IKT524432 IUN524432:IUP524432 JEJ524432:JEL524432 JOF524432:JOH524432 JYB524432:JYD524432 KHX524432:KHZ524432 KRT524432:KRV524432 LBP524432:LBR524432 LLL524432:LLN524432 LVH524432:LVJ524432 MFD524432:MFF524432 MOZ524432:MPB524432 MYV524432:MYX524432 NIR524432:NIT524432 NSN524432:NSP524432 OCJ524432:OCL524432 OMF524432:OMH524432 OWB524432:OWD524432 PFX524432:PFZ524432 PPT524432:PPV524432 PZP524432:PZR524432 QJL524432:QJN524432 QTH524432:QTJ524432 RDD524432:RDF524432 RMZ524432:RNB524432 RWV524432:RWX524432 SGR524432:SGT524432 SQN524432:SQP524432 TAJ524432:TAL524432 TKF524432:TKH524432 TUB524432:TUD524432 UDX524432:UDZ524432 UNT524432:UNV524432 UXP524432:UXR524432 VHL524432:VHN524432 VRH524432:VRJ524432 WBD524432:WBF524432 WKZ524432:WLB524432 WUV524432:WUX524432 IJ589968:IL589968 SF589968:SH589968 ACB589968:ACD589968 ALX589968:ALZ589968 AVT589968:AVV589968 BFP589968:BFR589968 BPL589968:BPN589968 BZH589968:BZJ589968 CJD589968:CJF589968 CSZ589968:CTB589968 DCV589968:DCX589968 DMR589968:DMT589968 DWN589968:DWP589968 EGJ589968:EGL589968 EQF589968:EQH589968 FAB589968:FAD589968 FJX589968:FJZ589968 FTT589968:FTV589968 GDP589968:GDR589968 GNL589968:GNN589968 GXH589968:GXJ589968 HHD589968:HHF589968 HQZ589968:HRB589968 IAV589968:IAX589968 IKR589968:IKT589968 IUN589968:IUP589968 JEJ589968:JEL589968 JOF589968:JOH589968 JYB589968:JYD589968 KHX589968:KHZ589968 KRT589968:KRV589968 LBP589968:LBR589968 LLL589968:LLN589968 LVH589968:LVJ589968 MFD589968:MFF589968 MOZ589968:MPB589968 MYV589968:MYX589968 NIR589968:NIT589968 NSN589968:NSP589968 OCJ589968:OCL589968 OMF589968:OMH589968 OWB589968:OWD589968 PFX589968:PFZ589968 PPT589968:PPV589968 PZP589968:PZR589968 QJL589968:QJN589968 QTH589968:QTJ589968 RDD589968:RDF589968 RMZ589968:RNB589968 RWV589968:RWX589968 SGR589968:SGT589968 SQN589968:SQP589968 TAJ589968:TAL589968 TKF589968:TKH589968 TUB589968:TUD589968 UDX589968:UDZ589968 UNT589968:UNV589968 UXP589968:UXR589968 VHL589968:VHN589968 VRH589968:VRJ589968 WBD589968:WBF589968 WKZ589968:WLB589968 WUV589968:WUX589968 IJ655504:IL655504 SF655504:SH655504 ACB655504:ACD655504 ALX655504:ALZ655504 AVT655504:AVV655504 BFP655504:BFR655504 BPL655504:BPN655504 BZH655504:BZJ655504 CJD655504:CJF655504 CSZ655504:CTB655504 DCV655504:DCX655504 DMR655504:DMT655504 DWN655504:DWP655504 EGJ655504:EGL655504 EQF655504:EQH655504 FAB655504:FAD655504 FJX655504:FJZ655504 FTT655504:FTV655504 GDP655504:GDR655504 GNL655504:GNN655504 GXH655504:GXJ655504 HHD655504:HHF655504 HQZ655504:HRB655504 IAV655504:IAX655504 IKR655504:IKT655504 IUN655504:IUP655504 JEJ655504:JEL655504 JOF655504:JOH655504 JYB655504:JYD655504 KHX655504:KHZ655504 KRT655504:KRV655504 LBP655504:LBR655504 LLL655504:LLN655504 LVH655504:LVJ655504 MFD655504:MFF655504 MOZ655504:MPB655504 MYV655504:MYX655504 NIR655504:NIT655504 NSN655504:NSP655504 OCJ655504:OCL655504 OMF655504:OMH655504 OWB655504:OWD655504 PFX655504:PFZ655504 PPT655504:PPV655504 PZP655504:PZR655504 QJL655504:QJN655504 QTH655504:QTJ655504 RDD655504:RDF655504 RMZ655504:RNB655504 RWV655504:RWX655504 SGR655504:SGT655504 SQN655504:SQP655504 TAJ655504:TAL655504 TKF655504:TKH655504 TUB655504:TUD655504 UDX655504:UDZ655504 UNT655504:UNV655504 UXP655504:UXR655504 VHL655504:VHN655504 VRH655504:VRJ655504 WBD655504:WBF655504 WKZ655504:WLB655504 WUV655504:WUX655504 IJ721040:IL721040 SF721040:SH721040 ACB721040:ACD721040 ALX721040:ALZ721040 AVT721040:AVV721040 BFP721040:BFR721040 BPL721040:BPN721040 BZH721040:BZJ721040 CJD721040:CJF721040 CSZ721040:CTB721040 DCV721040:DCX721040 DMR721040:DMT721040 DWN721040:DWP721040 EGJ721040:EGL721040 EQF721040:EQH721040 FAB721040:FAD721040 FJX721040:FJZ721040 FTT721040:FTV721040 GDP721040:GDR721040 GNL721040:GNN721040 GXH721040:GXJ721040 HHD721040:HHF721040 HQZ721040:HRB721040 IAV721040:IAX721040 IKR721040:IKT721040 IUN721040:IUP721040 JEJ721040:JEL721040 JOF721040:JOH721040 JYB721040:JYD721040 KHX721040:KHZ721040 KRT721040:KRV721040 LBP721040:LBR721040 LLL721040:LLN721040 LVH721040:LVJ721040 MFD721040:MFF721040 MOZ721040:MPB721040 MYV721040:MYX721040 NIR721040:NIT721040 NSN721040:NSP721040 OCJ721040:OCL721040 OMF721040:OMH721040 OWB721040:OWD721040 PFX721040:PFZ721040 PPT721040:PPV721040 PZP721040:PZR721040 QJL721040:QJN721040 QTH721040:QTJ721040 RDD721040:RDF721040 RMZ721040:RNB721040 RWV721040:RWX721040 SGR721040:SGT721040 SQN721040:SQP721040 TAJ721040:TAL721040 TKF721040:TKH721040 TUB721040:TUD721040 UDX721040:UDZ721040 UNT721040:UNV721040 UXP721040:UXR721040 VHL721040:VHN721040 VRH721040:VRJ721040 WBD721040:WBF721040 WKZ721040:WLB721040 WUV721040:WUX721040 IJ786576:IL786576 SF786576:SH786576 ACB786576:ACD786576 ALX786576:ALZ786576 AVT786576:AVV786576 BFP786576:BFR786576 BPL786576:BPN786576 BZH786576:BZJ786576 CJD786576:CJF786576 CSZ786576:CTB786576 DCV786576:DCX786576 DMR786576:DMT786576 DWN786576:DWP786576 EGJ786576:EGL786576 EQF786576:EQH786576 FAB786576:FAD786576 FJX786576:FJZ786576 FTT786576:FTV786576 GDP786576:GDR786576 GNL786576:GNN786576 GXH786576:GXJ786576 HHD786576:HHF786576 HQZ786576:HRB786576 IAV786576:IAX786576 IKR786576:IKT786576 IUN786576:IUP786576 JEJ786576:JEL786576 JOF786576:JOH786576 JYB786576:JYD786576 KHX786576:KHZ786576 KRT786576:KRV786576 LBP786576:LBR786576 LLL786576:LLN786576 LVH786576:LVJ786576 MFD786576:MFF786576 MOZ786576:MPB786576 MYV786576:MYX786576 NIR786576:NIT786576 NSN786576:NSP786576 OCJ786576:OCL786576 OMF786576:OMH786576 OWB786576:OWD786576 PFX786576:PFZ786576 PPT786576:PPV786576 PZP786576:PZR786576 QJL786576:QJN786576 QTH786576:QTJ786576 RDD786576:RDF786576 RMZ786576:RNB786576 RWV786576:RWX786576 SGR786576:SGT786576 SQN786576:SQP786576 TAJ786576:TAL786576 TKF786576:TKH786576 TUB786576:TUD786576 UDX786576:UDZ786576 UNT786576:UNV786576 UXP786576:UXR786576 VHL786576:VHN786576 VRH786576:VRJ786576 WBD786576:WBF786576 WKZ786576:WLB786576 WUV786576:WUX786576 IJ852112:IL852112 SF852112:SH852112 ACB852112:ACD852112 ALX852112:ALZ852112 AVT852112:AVV852112 BFP852112:BFR852112 BPL852112:BPN852112 BZH852112:BZJ852112 CJD852112:CJF852112 CSZ852112:CTB852112 DCV852112:DCX852112 DMR852112:DMT852112 DWN852112:DWP852112 EGJ852112:EGL852112 EQF852112:EQH852112 FAB852112:FAD852112 FJX852112:FJZ852112 FTT852112:FTV852112 GDP852112:GDR852112 GNL852112:GNN852112 GXH852112:GXJ852112 HHD852112:HHF852112 HQZ852112:HRB852112 IAV852112:IAX852112 IKR852112:IKT852112 IUN852112:IUP852112 JEJ852112:JEL852112 JOF852112:JOH852112 JYB852112:JYD852112 KHX852112:KHZ852112 KRT852112:KRV852112 LBP852112:LBR852112 LLL852112:LLN852112 LVH852112:LVJ852112 MFD852112:MFF852112 MOZ852112:MPB852112 MYV852112:MYX852112 NIR852112:NIT852112 NSN852112:NSP852112 OCJ852112:OCL852112 OMF852112:OMH852112 OWB852112:OWD852112 PFX852112:PFZ852112 PPT852112:PPV852112 PZP852112:PZR852112 QJL852112:QJN852112 QTH852112:QTJ852112 RDD852112:RDF852112 RMZ852112:RNB852112 RWV852112:RWX852112 SGR852112:SGT852112 SQN852112:SQP852112 TAJ852112:TAL852112 TKF852112:TKH852112 TUB852112:TUD852112 UDX852112:UDZ852112 UNT852112:UNV852112 UXP852112:UXR852112 VHL852112:VHN852112 VRH852112:VRJ852112 WBD852112:WBF852112 WKZ852112:WLB852112 WUV852112:WUX852112 IJ917648:IL917648 SF917648:SH917648 ACB917648:ACD917648 ALX917648:ALZ917648 AVT917648:AVV917648 BFP917648:BFR917648 BPL917648:BPN917648 BZH917648:BZJ917648 CJD917648:CJF917648 CSZ917648:CTB917648 DCV917648:DCX917648 DMR917648:DMT917648 DWN917648:DWP917648 EGJ917648:EGL917648 EQF917648:EQH917648 FAB917648:FAD917648 FJX917648:FJZ917648 FTT917648:FTV917648 GDP917648:GDR917648 GNL917648:GNN917648 GXH917648:GXJ917648 HHD917648:HHF917648 HQZ917648:HRB917648 IAV917648:IAX917648 IKR917648:IKT917648 IUN917648:IUP917648 JEJ917648:JEL917648 JOF917648:JOH917648 JYB917648:JYD917648 KHX917648:KHZ917648 KRT917648:KRV917648 LBP917648:LBR917648 LLL917648:LLN917648 LVH917648:LVJ917648 MFD917648:MFF917648 MOZ917648:MPB917648 MYV917648:MYX917648 NIR917648:NIT917648 NSN917648:NSP917648 OCJ917648:OCL917648 OMF917648:OMH917648 OWB917648:OWD917648 PFX917648:PFZ917648 PPT917648:PPV917648 PZP917648:PZR917648 QJL917648:QJN917648 QTH917648:QTJ917648 RDD917648:RDF917648 RMZ917648:RNB917648 RWV917648:RWX917648 SGR917648:SGT917648 SQN917648:SQP917648 TAJ917648:TAL917648 TKF917648:TKH917648 TUB917648:TUD917648 UDX917648:UDZ917648 UNT917648:UNV917648 UXP917648:UXR917648 VHL917648:VHN917648 VRH917648:VRJ917648 WBD917648:WBF917648 WKZ917648:WLB917648 WUV917648:WUX917648 IJ983184:IL983184 SF983184:SH983184 ACB983184:ACD983184 ALX983184:ALZ983184 AVT983184:AVV983184 BFP983184:BFR983184 BPL983184:BPN983184 BZH983184:BZJ983184 CJD983184:CJF983184 CSZ983184:CTB983184 DCV983184:DCX983184 DMR983184:DMT983184 DWN983184:DWP983184 EGJ983184:EGL983184 EQF983184:EQH983184 FAB983184:FAD983184 FJX983184:FJZ983184 FTT983184:FTV983184 GDP983184:GDR983184 GNL983184:GNN983184 GXH983184:GXJ983184 HHD983184:HHF983184 HQZ983184:HRB983184 IAV983184:IAX983184 IKR983184:IKT983184 IUN983184:IUP983184 JEJ983184:JEL983184 JOF983184:JOH983184 JYB983184:JYD983184 KHX983184:KHZ983184 KRT983184:KRV983184 LBP983184:LBR983184 LLL983184:LLN983184 LVH983184:LVJ983184 MFD983184:MFF983184 MOZ983184:MPB983184 MYV983184:MYX983184 NIR983184:NIT983184 NSN983184:NSP983184 OCJ983184:OCL983184 OMF983184:OMH983184 OWB983184:OWD983184 PFX983184:PFZ983184 PPT983184:PPV983184 PZP983184:PZR983184 QJL983184:QJN983184 QTH983184:QTJ983184 RDD983184:RDF983184 RMZ983184:RNB983184 RWV983184:RWX983184 SGR983184:SGT983184 SQN983184:SQP983184 TAJ983184:TAL983184 TKF983184:TKH983184 TUB983184:TUD983184 UDX983184:UDZ983184 UNT983184:UNV983184 UXP983184:UXR983184 VHL983184:VHN983184 VRH983184:VRJ983184 WBD983184:WBF983184 WKZ983184:WLB983184 WUV983184:WUX983184 IJ154:IL154 SF154:SH154 ACB154:ACD154 ALX154:ALZ154 AVT154:AVV154 BFP154:BFR154 BPL154:BPN154 BZH154:BZJ154 CJD154:CJF154 CSZ154:CTB154 DCV154:DCX154 DMR154:DMT154 DWN154:DWP154 EGJ154:EGL154 EQF154:EQH154 FAB154:FAD154 FJX154:FJZ154 FTT154:FTV154 GDP154:GDR154 GNL154:GNN154 GXH154:GXJ154 HHD154:HHF154 HQZ154:HRB154 IAV154:IAX154 IKR154:IKT154 IUN154:IUP154 JEJ154:JEL154 JOF154:JOH154 JYB154:JYD154 KHX154:KHZ154 KRT154:KRV154 LBP154:LBR154 LLL154:LLN154 LVH154:LVJ154 MFD154:MFF154 MOZ154:MPB154 MYV154:MYX154 NIR154:NIT154 NSN154:NSP154 OCJ154:OCL154 OMF154:OMH154 OWB154:OWD154 PFX154:PFZ154 PPT154:PPV154 PZP154:PZR154 QJL154:QJN154 QTH154:QTJ154 RDD154:RDF154 RMZ154:RNB154 RWV154:RWX154 SGR154:SGT154 SQN154:SQP154 TAJ154:TAL154 TKF154:TKH154 TUB154:TUD154 UDX154:UDZ154 UNT154:UNV154 UXP154:UXR154 VHL154:VHN154 VRH154:VRJ154 WBD154:WBF154 WKZ154:WLB154 WUV154:WUX154 IJ65690:IL65690 SF65690:SH65690 ACB65690:ACD65690 ALX65690:ALZ65690 AVT65690:AVV65690 BFP65690:BFR65690 BPL65690:BPN65690 BZH65690:BZJ65690 CJD65690:CJF65690 CSZ65690:CTB65690 DCV65690:DCX65690 DMR65690:DMT65690 DWN65690:DWP65690 EGJ65690:EGL65690 EQF65690:EQH65690 FAB65690:FAD65690 FJX65690:FJZ65690 FTT65690:FTV65690 GDP65690:GDR65690 GNL65690:GNN65690 GXH65690:GXJ65690 HHD65690:HHF65690 HQZ65690:HRB65690 IAV65690:IAX65690 IKR65690:IKT65690 IUN65690:IUP65690 JEJ65690:JEL65690 JOF65690:JOH65690 JYB65690:JYD65690 KHX65690:KHZ65690 KRT65690:KRV65690 LBP65690:LBR65690 LLL65690:LLN65690 LVH65690:LVJ65690 MFD65690:MFF65690 MOZ65690:MPB65690 MYV65690:MYX65690 NIR65690:NIT65690 NSN65690:NSP65690 OCJ65690:OCL65690 OMF65690:OMH65690 OWB65690:OWD65690 PFX65690:PFZ65690 PPT65690:PPV65690 PZP65690:PZR65690 QJL65690:QJN65690 QTH65690:QTJ65690 RDD65690:RDF65690 RMZ65690:RNB65690 RWV65690:RWX65690 SGR65690:SGT65690 SQN65690:SQP65690 TAJ65690:TAL65690 TKF65690:TKH65690 TUB65690:TUD65690 UDX65690:UDZ65690 UNT65690:UNV65690 UXP65690:UXR65690 VHL65690:VHN65690 VRH65690:VRJ65690 WBD65690:WBF65690 WKZ65690:WLB65690 WUV65690:WUX65690 IJ131226:IL131226 SF131226:SH131226 ACB131226:ACD131226 ALX131226:ALZ131226 AVT131226:AVV131226 BFP131226:BFR131226 BPL131226:BPN131226 BZH131226:BZJ131226 CJD131226:CJF131226 CSZ131226:CTB131226 DCV131226:DCX131226 DMR131226:DMT131226 DWN131226:DWP131226 EGJ131226:EGL131226 EQF131226:EQH131226 FAB131226:FAD131226 FJX131226:FJZ131226 FTT131226:FTV131226 GDP131226:GDR131226 GNL131226:GNN131226 GXH131226:GXJ131226 HHD131226:HHF131226 HQZ131226:HRB131226 IAV131226:IAX131226 IKR131226:IKT131226 IUN131226:IUP131226 JEJ131226:JEL131226 JOF131226:JOH131226 JYB131226:JYD131226 KHX131226:KHZ131226 KRT131226:KRV131226 LBP131226:LBR131226 LLL131226:LLN131226 LVH131226:LVJ131226 MFD131226:MFF131226 MOZ131226:MPB131226 MYV131226:MYX131226 NIR131226:NIT131226 NSN131226:NSP131226 OCJ131226:OCL131226 OMF131226:OMH131226 OWB131226:OWD131226 PFX131226:PFZ131226 PPT131226:PPV131226 PZP131226:PZR131226 QJL131226:QJN131226 QTH131226:QTJ131226 RDD131226:RDF131226 RMZ131226:RNB131226 RWV131226:RWX131226 SGR131226:SGT131226 SQN131226:SQP131226 TAJ131226:TAL131226 TKF131226:TKH131226 TUB131226:TUD131226 UDX131226:UDZ131226 UNT131226:UNV131226 UXP131226:UXR131226 VHL131226:VHN131226 VRH131226:VRJ131226 WBD131226:WBF131226 WKZ131226:WLB131226 WUV131226:WUX131226 IJ196762:IL196762 SF196762:SH196762 ACB196762:ACD196762 ALX196762:ALZ196762 AVT196762:AVV196762 BFP196762:BFR196762 BPL196762:BPN196762 BZH196762:BZJ196762 CJD196762:CJF196762 CSZ196762:CTB196762 DCV196762:DCX196762 DMR196762:DMT196762 DWN196762:DWP196762 EGJ196762:EGL196762 EQF196762:EQH196762 FAB196762:FAD196762 FJX196762:FJZ196762 FTT196762:FTV196762 GDP196762:GDR196762 GNL196762:GNN196762 GXH196762:GXJ196762 HHD196762:HHF196762 HQZ196762:HRB196762 IAV196762:IAX196762 IKR196762:IKT196762 IUN196762:IUP196762 JEJ196762:JEL196762 JOF196762:JOH196762 JYB196762:JYD196762 KHX196762:KHZ196762 KRT196762:KRV196762 LBP196762:LBR196762 LLL196762:LLN196762 LVH196762:LVJ196762 MFD196762:MFF196762 MOZ196762:MPB196762 MYV196762:MYX196762 NIR196762:NIT196762 NSN196762:NSP196762 OCJ196762:OCL196762 OMF196762:OMH196762 OWB196762:OWD196762 PFX196762:PFZ196762 PPT196762:PPV196762 PZP196762:PZR196762 QJL196762:QJN196762 QTH196762:QTJ196762 RDD196762:RDF196762 RMZ196762:RNB196762 RWV196762:RWX196762 SGR196762:SGT196762 SQN196762:SQP196762 TAJ196762:TAL196762 TKF196762:TKH196762 TUB196762:TUD196762 UDX196762:UDZ196762 UNT196762:UNV196762 UXP196762:UXR196762 VHL196762:VHN196762 VRH196762:VRJ196762 WBD196762:WBF196762 WKZ196762:WLB196762 WUV196762:WUX196762 IJ262298:IL262298 SF262298:SH262298 ACB262298:ACD262298 ALX262298:ALZ262298 AVT262298:AVV262298 BFP262298:BFR262298 BPL262298:BPN262298 BZH262298:BZJ262298 CJD262298:CJF262298 CSZ262298:CTB262298 DCV262298:DCX262298 DMR262298:DMT262298 DWN262298:DWP262298 EGJ262298:EGL262298 EQF262298:EQH262298 FAB262298:FAD262298 FJX262298:FJZ262298 FTT262298:FTV262298 GDP262298:GDR262298 GNL262298:GNN262298 GXH262298:GXJ262298 HHD262298:HHF262298 HQZ262298:HRB262298 IAV262298:IAX262298 IKR262298:IKT262298 IUN262298:IUP262298 JEJ262298:JEL262298 JOF262298:JOH262298 JYB262298:JYD262298 KHX262298:KHZ262298 KRT262298:KRV262298 LBP262298:LBR262298 LLL262298:LLN262298 LVH262298:LVJ262298 MFD262298:MFF262298 MOZ262298:MPB262298 MYV262298:MYX262298 NIR262298:NIT262298 NSN262298:NSP262298 OCJ262298:OCL262298 OMF262298:OMH262298 OWB262298:OWD262298 PFX262298:PFZ262298 PPT262298:PPV262298 PZP262298:PZR262298 QJL262298:QJN262298 QTH262298:QTJ262298 RDD262298:RDF262298 RMZ262298:RNB262298 RWV262298:RWX262298 SGR262298:SGT262298 SQN262298:SQP262298 TAJ262298:TAL262298 TKF262298:TKH262298 TUB262298:TUD262298 UDX262298:UDZ262298 UNT262298:UNV262298 UXP262298:UXR262298 VHL262298:VHN262298 VRH262298:VRJ262298 WBD262298:WBF262298 WKZ262298:WLB262298 WUV262298:WUX262298 IJ327834:IL327834 SF327834:SH327834 ACB327834:ACD327834 ALX327834:ALZ327834 AVT327834:AVV327834 BFP327834:BFR327834 BPL327834:BPN327834 BZH327834:BZJ327834 CJD327834:CJF327834 CSZ327834:CTB327834 DCV327834:DCX327834 DMR327834:DMT327834 DWN327834:DWP327834 EGJ327834:EGL327834 EQF327834:EQH327834 FAB327834:FAD327834 FJX327834:FJZ327834 FTT327834:FTV327834 GDP327834:GDR327834 GNL327834:GNN327834 GXH327834:GXJ327834 HHD327834:HHF327834 HQZ327834:HRB327834 IAV327834:IAX327834 IKR327834:IKT327834 IUN327834:IUP327834 JEJ327834:JEL327834 JOF327834:JOH327834 JYB327834:JYD327834 KHX327834:KHZ327834 KRT327834:KRV327834 LBP327834:LBR327834 LLL327834:LLN327834 LVH327834:LVJ327834 MFD327834:MFF327834 MOZ327834:MPB327834 MYV327834:MYX327834 NIR327834:NIT327834 NSN327834:NSP327834 OCJ327834:OCL327834 OMF327834:OMH327834 OWB327834:OWD327834 PFX327834:PFZ327834 PPT327834:PPV327834 PZP327834:PZR327834 QJL327834:QJN327834 QTH327834:QTJ327834 RDD327834:RDF327834 RMZ327834:RNB327834 RWV327834:RWX327834 SGR327834:SGT327834 SQN327834:SQP327834 TAJ327834:TAL327834 TKF327834:TKH327834 TUB327834:TUD327834 UDX327834:UDZ327834 UNT327834:UNV327834 UXP327834:UXR327834 VHL327834:VHN327834 VRH327834:VRJ327834 WBD327834:WBF327834 WKZ327834:WLB327834 WUV327834:WUX327834 IJ393370:IL393370 SF393370:SH393370 ACB393370:ACD393370 ALX393370:ALZ393370 AVT393370:AVV393370 BFP393370:BFR393370 BPL393370:BPN393370 BZH393370:BZJ393370 CJD393370:CJF393370 CSZ393370:CTB393370 DCV393370:DCX393370 DMR393370:DMT393370 DWN393370:DWP393370 EGJ393370:EGL393370 EQF393370:EQH393370 FAB393370:FAD393370 FJX393370:FJZ393370 FTT393370:FTV393370 GDP393370:GDR393370 GNL393370:GNN393370 GXH393370:GXJ393370 HHD393370:HHF393370 HQZ393370:HRB393370 IAV393370:IAX393370 IKR393370:IKT393370 IUN393370:IUP393370 JEJ393370:JEL393370 JOF393370:JOH393370 JYB393370:JYD393370 KHX393370:KHZ393370 KRT393370:KRV393370 LBP393370:LBR393370 LLL393370:LLN393370 LVH393370:LVJ393370 MFD393370:MFF393370 MOZ393370:MPB393370 MYV393370:MYX393370 NIR393370:NIT393370 NSN393370:NSP393370 OCJ393370:OCL393370 OMF393370:OMH393370 OWB393370:OWD393370 PFX393370:PFZ393370 PPT393370:PPV393370 PZP393370:PZR393370 QJL393370:QJN393370 QTH393370:QTJ393370 RDD393370:RDF393370 RMZ393370:RNB393370 RWV393370:RWX393370 SGR393370:SGT393370 SQN393370:SQP393370 TAJ393370:TAL393370 TKF393370:TKH393370 TUB393370:TUD393370 UDX393370:UDZ393370 UNT393370:UNV393370 UXP393370:UXR393370 VHL393370:VHN393370 VRH393370:VRJ393370 WBD393370:WBF393370 WKZ393370:WLB393370 WUV393370:WUX393370 IJ458906:IL458906 SF458906:SH458906 ACB458906:ACD458906 ALX458906:ALZ458906 AVT458906:AVV458906 BFP458906:BFR458906 BPL458906:BPN458906 BZH458906:BZJ458906 CJD458906:CJF458906 CSZ458906:CTB458906 DCV458906:DCX458906 DMR458906:DMT458906 DWN458906:DWP458906 EGJ458906:EGL458906 EQF458906:EQH458906 FAB458906:FAD458906 FJX458906:FJZ458906 FTT458906:FTV458906 GDP458906:GDR458906 GNL458906:GNN458906 GXH458906:GXJ458906 HHD458906:HHF458906 HQZ458906:HRB458906 IAV458906:IAX458906 IKR458906:IKT458906 IUN458906:IUP458906 JEJ458906:JEL458906 JOF458906:JOH458906 JYB458906:JYD458906 KHX458906:KHZ458906 KRT458906:KRV458906 LBP458906:LBR458906 LLL458906:LLN458906 LVH458906:LVJ458906 MFD458906:MFF458906 MOZ458906:MPB458906 MYV458906:MYX458906 NIR458906:NIT458906 NSN458906:NSP458906 OCJ458906:OCL458906 OMF458906:OMH458906 OWB458906:OWD458906 PFX458906:PFZ458906 PPT458906:PPV458906 PZP458906:PZR458906 QJL458906:QJN458906 QTH458906:QTJ458906 RDD458906:RDF458906 RMZ458906:RNB458906 RWV458906:RWX458906 SGR458906:SGT458906 SQN458906:SQP458906 TAJ458906:TAL458906 TKF458906:TKH458906 TUB458906:TUD458906 UDX458906:UDZ458906 UNT458906:UNV458906 UXP458906:UXR458906 VHL458906:VHN458906 VRH458906:VRJ458906 WBD458906:WBF458906 WKZ458906:WLB458906 WUV458906:WUX458906 IJ524442:IL524442 SF524442:SH524442 ACB524442:ACD524442 ALX524442:ALZ524442 AVT524442:AVV524442 BFP524442:BFR524442 BPL524442:BPN524442 BZH524442:BZJ524442 CJD524442:CJF524442 CSZ524442:CTB524442 DCV524442:DCX524442 DMR524442:DMT524442 DWN524442:DWP524442 EGJ524442:EGL524442 EQF524442:EQH524442 FAB524442:FAD524442 FJX524442:FJZ524442 FTT524442:FTV524442 GDP524442:GDR524442 GNL524442:GNN524442 GXH524442:GXJ524442 HHD524442:HHF524442 HQZ524442:HRB524442 IAV524442:IAX524442 IKR524442:IKT524442 IUN524442:IUP524442 JEJ524442:JEL524442 JOF524442:JOH524442 JYB524442:JYD524442 KHX524442:KHZ524442 KRT524442:KRV524442 LBP524442:LBR524442 LLL524442:LLN524442 LVH524442:LVJ524442 MFD524442:MFF524442 MOZ524442:MPB524442 MYV524442:MYX524442 NIR524442:NIT524442 NSN524442:NSP524442 OCJ524442:OCL524442 OMF524442:OMH524442 OWB524442:OWD524442 PFX524442:PFZ524442 PPT524442:PPV524442 PZP524442:PZR524442 QJL524442:QJN524442 QTH524442:QTJ524442 RDD524442:RDF524442 RMZ524442:RNB524442 RWV524442:RWX524442 SGR524442:SGT524442 SQN524442:SQP524442 TAJ524442:TAL524442 TKF524442:TKH524442 TUB524442:TUD524442 UDX524442:UDZ524442 UNT524442:UNV524442 UXP524442:UXR524442 VHL524442:VHN524442 VRH524442:VRJ524442 WBD524442:WBF524442 WKZ524442:WLB524442 WUV524442:WUX524442 IJ589978:IL589978 SF589978:SH589978 ACB589978:ACD589978 ALX589978:ALZ589978 AVT589978:AVV589978 BFP589978:BFR589978 BPL589978:BPN589978 BZH589978:BZJ589978 CJD589978:CJF589978 CSZ589978:CTB589978 DCV589978:DCX589978 DMR589978:DMT589978 DWN589978:DWP589978 EGJ589978:EGL589978 EQF589978:EQH589978 FAB589978:FAD589978 FJX589978:FJZ589978 FTT589978:FTV589978 GDP589978:GDR589978 GNL589978:GNN589978 GXH589978:GXJ589978 HHD589978:HHF589978 HQZ589978:HRB589978 IAV589978:IAX589978 IKR589978:IKT589978 IUN589978:IUP589978 JEJ589978:JEL589978 JOF589978:JOH589978 JYB589978:JYD589978 KHX589978:KHZ589978 KRT589978:KRV589978 LBP589978:LBR589978 LLL589978:LLN589978 LVH589978:LVJ589978 MFD589978:MFF589978 MOZ589978:MPB589978 MYV589978:MYX589978 NIR589978:NIT589978 NSN589978:NSP589978 OCJ589978:OCL589978 OMF589978:OMH589978 OWB589978:OWD589978 PFX589978:PFZ589978 PPT589978:PPV589978 PZP589978:PZR589978 QJL589978:QJN589978 QTH589978:QTJ589978 RDD589978:RDF589978 RMZ589978:RNB589978 RWV589978:RWX589978 SGR589978:SGT589978 SQN589978:SQP589978 TAJ589978:TAL589978 TKF589978:TKH589978 TUB589978:TUD589978 UDX589978:UDZ589978 UNT589978:UNV589978 UXP589978:UXR589978 VHL589978:VHN589978 VRH589978:VRJ589978 WBD589978:WBF589978 WKZ589978:WLB589978 WUV589978:WUX589978 IJ655514:IL655514 SF655514:SH655514 ACB655514:ACD655514 ALX655514:ALZ655514 AVT655514:AVV655514 BFP655514:BFR655514 BPL655514:BPN655514 BZH655514:BZJ655514 CJD655514:CJF655514 CSZ655514:CTB655514 DCV655514:DCX655514 DMR655514:DMT655514 DWN655514:DWP655514 EGJ655514:EGL655514 EQF655514:EQH655514 FAB655514:FAD655514 FJX655514:FJZ655514 FTT655514:FTV655514 GDP655514:GDR655514 GNL655514:GNN655514 GXH655514:GXJ655514 HHD655514:HHF655514 HQZ655514:HRB655514 IAV655514:IAX655514 IKR655514:IKT655514 IUN655514:IUP655514 JEJ655514:JEL655514 JOF655514:JOH655514 JYB655514:JYD655514 KHX655514:KHZ655514 KRT655514:KRV655514 LBP655514:LBR655514 LLL655514:LLN655514 LVH655514:LVJ655514 MFD655514:MFF655514 MOZ655514:MPB655514 MYV655514:MYX655514 NIR655514:NIT655514 NSN655514:NSP655514 OCJ655514:OCL655514 OMF655514:OMH655514 OWB655514:OWD655514 PFX655514:PFZ655514 PPT655514:PPV655514 PZP655514:PZR655514 QJL655514:QJN655514 QTH655514:QTJ655514 RDD655514:RDF655514 RMZ655514:RNB655514 RWV655514:RWX655514 SGR655514:SGT655514 SQN655514:SQP655514 TAJ655514:TAL655514 TKF655514:TKH655514 TUB655514:TUD655514 UDX655514:UDZ655514 UNT655514:UNV655514 UXP655514:UXR655514 VHL655514:VHN655514 VRH655514:VRJ655514 WBD655514:WBF655514 WKZ655514:WLB655514 WUV655514:WUX655514 IJ721050:IL721050 SF721050:SH721050 ACB721050:ACD721050 ALX721050:ALZ721050 AVT721050:AVV721050 BFP721050:BFR721050 BPL721050:BPN721050 BZH721050:BZJ721050 CJD721050:CJF721050 CSZ721050:CTB721050 DCV721050:DCX721050 DMR721050:DMT721050 DWN721050:DWP721050 EGJ721050:EGL721050 EQF721050:EQH721050 FAB721050:FAD721050 FJX721050:FJZ721050 FTT721050:FTV721050 GDP721050:GDR721050 GNL721050:GNN721050 GXH721050:GXJ721050 HHD721050:HHF721050 HQZ721050:HRB721050 IAV721050:IAX721050 IKR721050:IKT721050 IUN721050:IUP721050 JEJ721050:JEL721050 JOF721050:JOH721050 JYB721050:JYD721050 KHX721050:KHZ721050 KRT721050:KRV721050 LBP721050:LBR721050 LLL721050:LLN721050 LVH721050:LVJ721050 MFD721050:MFF721050 MOZ721050:MPB721050 MYV721050:MYX721050 NIR721050:NIT721050 NSN721050:NSP721050 OCJ721050:OCL721050 OMF721050:OMH721050 OWB721050:OWD721050 PFX721050:PFZ721050 PPT721050:PPV721050 PZP721050:PZR721050 QJL721050:QJN721050 QTH721050:QTJ721050 RDD721050:RDF721050 RMZ721050:RNB721050 RWV721050:RWX721050 SGR721050:SGT721050 SQN721050:SQP721050 TAJ721050:TAL721050 TKF721050:TKH721050 TUB721050:TUD721050 UDX721050:UDZ721050 UNT721050:UNV721050 UXP721050:UXR721050 VHL721050:VHN721050 VRH721050:VRJ721050 WBD721050:WBF721050 WKZ721050:WLB721050 WUV721050:WUX721050 IJ786586:IL786586 SF786586:SH786586 ACB786586:ACD786586 ALX786586:ALZ786586 AVT786586:AVV786586 BFP786586:BFR786586 BPL786586:BPN786586 BZH786586:BZJ786586 CJD786586:CJF786586 CSZ786586:CTB786586 DCV786586:DCX786586 DMR786586:DMT786586 DWN786586:DWP786586 EGJ786586:EGL786586 EQF786586:EQH786586 FAB786586:FAD786586 FJX786586:FJZ786586 FTT786586:FTV786586 GDP786586:GDR786586 GNL786586:GNN786586 GXH786586:GXJ786586 HHD786586:HHF786586 HQZ786586:HRB786586 IAV786586:IAX786586 IKR786586:IKT786586 IUN786586:IUP786586 JEJ786586:JEL786586 JOF786586:JOH786586 JYB786586:JYD786586 KHX786586:KHZ786586 KRT786586:KRV786586 LBP786586:LBR786586 LLL786586:LLN786586 LVH786586:LVJ786586 MFD786586:MFF786586 MOZ786586:MPB786586 MYV786586:MYX786586 NIR786586:NIT786586 NSN786586:NSP786586 OCJ786586:OCL786586 OMF786586:OMH786586 OWB786586:OWD786586 PFX786586:PFZ786586 PPT786586:PPV786586 PZP786586:PZR786586 QJL786586:QJN786586 QTH786586:QTJ786586 RDD786586:RDF786586 RMZ786586:RNB786586 RWV786586:RWX786586 SGR786586:SGT786586 SQN786586:SQP786586 TAJ786586:TAL786586 TKF786586:TKH786586 TUB786586:TUD786586 UDX786586:UDZ786586 UNT786586:UNV786586 UXP786586:UXR786586 VHL786586:VHN786586 VRH786586:VRJ786586 WBD786586:WBF786586 WKZ786586:WLB786586 WUV786586:WUX786586 IJ852122:IL852122 SF852122:SH852122 ACB852122:ACD852122 ALX852122:ALZ852122 AVT852122:AVV852122 BFP852122:BFR852122 BPL852122:BPN852122 BZH852122:BZJ852122 CJD852122:CJF852122 CSZ852122:CTB852122 DCV852122:DCX852122 DMR852122:DMT852122 DWN852122:DWP852122 EGJ852122:EGL852122 EQF852122:EQH852122 FAB852122:FAD852122 FJX852122:FJZ852122 FTT852122:FTV852122 GDP852122:GDR852122 GNL852122:GNN852122 GXH852122:GXJ852122 HHD852122:HHF852122 HQZ852122:HRB852122 IAV852122:IAX852122 IKR852122:IKT852122 IUN852122:IUP852122 JEJ852122:JEL852122 JOF852122:JOH852122 JYB852122:JYD852122 KHX852122:KHZ852122 KRT852122:KRV852122 LBP852122:LBR852122 LLL852122:LLN852122 LVH852122:LVJ852122 MFD852122:MFF852122 MOZ852122:MPB852122 MYV852122:MYX852122 NIR852122:NIT852122 NSN852122:NSP852122 OCJ852122:OCL852122 OMF852122:OMH852122 OWB852122:OWD852122 PFX852122:PFZ852122 PPT852122:PPV852122 PZP852122:PZR852122 QJL852122:QJN852122 QTH852122:QTJ852122 RDD852122:RDF852122 RMZ852122:RNB852122 RWV852122:RWX852122 SGR852122:SGT852122 SQN852122:SQP852122 TAJ852122:TAL852122 TKF852122:TKH852122 TUB852122:TUD852122 UDX852122:UDZ852122 UNT852122:UNV852122 UXP852122:UXR852122 VHL852122:VHN852122 VRH852122:VRJ852122 WBD852122:WBF852122 WKZ852122:WLB852122 WUV852122:WUX852122 IJ917658:IL917658 SF917658:SH917658 ACB917658:ACD917658 ALX917658:ALZ917658 AVT917658:AVV917658 BFP917658:BFR917658 BPL917658:BPN917658 BZH917658:BZJ917658 CJD917658:CJF917658 CSZ917658:CTB917658 DCV917658:DCX917658 DMR917658:DMT917658 DWN917658:DWP917658 EGJ917658:EGL917658 EQF917658:EQH917658 FAB917658:FAD917658 FJX917658:FJZ917658 FTT917658:FTV917658 GDP917658:GDR917658 GNL917658:GNN917658 GXH917658:GXJ917658 HHD917658:HHF917658 HQZ917658:HRB917658 IAV917658:IAX917658 IKR917658:IKT917658 IUN917658:IUP917658 JEJ917658:JEL917658 JOF917658:JOH917658 JYB917658:JYD917658 KHX917658:KHZ917658 KRT917658:KRV917658 LBP917658:LBR917658 LLL917658:LLN917658 LVH917658:LVJ917658 MFD917658:MFF917658 MOZ917658:MPB917658 MYV917658:MYX917658 NIR917658:NIT917658 NSN917658:NSP917658 OCJ917658:OCL917658 OMF917658:OMH917658 OWB917658:OWD917658 PFX917658:PFZ917658 PPT917658:PPV917658 PZP917658:PZR917658 QJL917658:QJN917658 QTH917658:QTJ917658 RDD917658:RDF917658 RMZ917658:RNB917658 RWV917658:RWX917658 SGR917658:SGT917658 SQN917658:SQP917658 TAJ917658:TAL917658 TKF917658:TKH917658 TUB917658:TUD917658 UDX917658:UDZ917658 UNT917658:UNV917658 UXP917658:UXR917658 VHL917658:VHN917658 VRH917658:VRJ917658 WBD917658:WBF917658 WKZ917658:WLB917658 WUV917658:WUX917658 IJ983194:IL983194 SF983194:SH983194 ACB983194:ACD983194 ALX983194:ALZ983194 AVT983194:AVV983194 BFP983194:BFR983194 BPL983194:BPN983194 BZH983194:BZJ983194 CJD983194:CJF983194 CSZ983194:CTB983194 DCV983194:DCX983194 DMR983194:DMT983194 DWN983194:DWP983194 EGJ983194:EGL983194 EQF983194:EQH983194 FAB983194:FAD983194 FJX983194:FJZ983194 FTT983194:FTV983194 GDP983194:GDR983194 GNL983194:GNN983194 GXH983194:GXJ983194 HHD983194:HHF983194 HQZ983194:HRB983194 IAV983194:IAX983194 IKR983194:IKT983194 IUN983194:IUP983194 JEJ983194:JEL983194 JOF983194:JOH983194 JYB983194:JYD983194 KHX983194:KHZ983194 KRT983194:KRV983194 LBP983194:LBR983194 LLL983194:LLN983194 LVH983194:LVJ983194 MFD983194:MFF983194 MOZ983194:MPB983194 MYV983194:MYX983194 NIR983194:NIT983194 NSN983194:NSP983194 OCJ983194:OCL983194 OMF983194:OMH983194 OWB983194:OWD983194 PFX983194:PFZ983194 PPT983194:PPV983194 PZP983194:PZR983194 QJL983194:QJN983194 QTH983194:QTJ983194 RDD983194:RDF983194 RMZ983194:RNB983194 RWV983194:RWX983194 SGR983194:SGT983194 SQN983194:SQP983194 TAJ983194:TAL983194 TKF983194:TKH983194 TUB983194:TUD983194 UDX983194:UDZ983194 UNT983194:UNV983194 UXP983194:UXR983194 VHL983194:VHN983194 VRH983194:VRJ983194 WBD983194:WBF983194 WKZ983194:WLB983194 WUV983194:WUX983194 IJ164:IL164 SF164:SH164 ACB164:ACD164 ALX164:ALZ164 AVT164:AVV164 BFP164:BFR164 BPL164:BPN164 BZH164:BZJ164 CJD164:CJF164 CSZ164:CTB164 DCV164:DCX164 DMR164:DMT164 DWN164:DWP164 EGJ164:EGL164 EQF164:EQH164 FAB164:FAD164 FJX164:FJZ164 FTT164:FTV164 GDP164:GDR164 GNL164:GNN164 GXH164:GXJ164 HHD164:HHF164 HQZ164:HRB164 IAV164:IAX164 IKR164:IKT164 IUN164:IUP164 JEJ164:JEL164 JOF164:JOH164 JYB164:JYD164 KHX164:KHZ164 KRT164:KRV164 LBP164:LBR164 LLL164:LLN164 LVH164:LVJ164 MFD164:MFF164 MOZ164:MPB164 MYV164:MYX164 NIR164:NIT164 NSN164:NSP164 OCJ164:OCL164 OMF164:OMH164 OWB164:OWD164 PFX164:PFZ164 PPT164:PPV164 PZP164:PZR164 QJL164:QJN164 QTH164:QTJ164 RDD164:RDF164 RMZ164:RNB164 RWV164:RWX164 SGR164:SGT164 SQN164:SQP164 TAJ164:TAL164 TKF164:TKH164 TUB164:TUD164 UDX164:UDZ164 UNT164:UNV164 UXP164:UXR164 VHL164:VHN164 VRH164:VRJ164 WBD164:WBF164 WKZ164:WLB164 WUV164:WUX164 IJ65700:IL65700 SF65700:SH65700 ACB65700:ACD65700 ALX65700:ALZ65700 AVT65700:AVV65700 BFP65700:BFR65700 BPL65700:BPN65700 BZH65700:BZJ65700 CJD65700:CJF65700 CSZ65700:CTB65700 DCV65700:DCX65700 DMR65700:DMT65700 DWN65700:DWP65700 EGJ65700:EGL65700 EQF65700:EQH65700 FAB65700:FAD65700 FJX65700:FJZ65700 FTT65700:FTV65700 GDP65700:GDR65700 GNL65700:GNN65700 GXH65700:GXJ65700 HHD65700:HHF65700 HQZ65700:HRB65700 IAV65700:IAX65700 IKR65700:IKT65700 IUN65700:IUP65700 JEJ65700:JEL65700 JOF65700:JOH65700 JYB65700:JYD65700 KHX65700:KHZ65700 KRT65700:KRV65700 LBP65700:LBR65700 LLL65700:LLN65700 LVH65700:LVJ65700 MFD65700:MFF65700 MOZ65700:MPB65700 MYV65700:MYX65700 NIR65700:NIT65700 NSN65700:NSP65700 OCJ65700:OCL65700 OMF65700:OMH65700 OWB65700:OWD65700 PFX65700:PFZ65700 PPT65700:PPV65700 PZP65700:PZR65700 QJL65700:QJN65700 QTH65700:QTJ65700 RDD65700:RDF65700 RMZ65700:RNB65700 RWV65700:RWX65700 SGR65700:SGT65700 SQN65700:SQP65700 TAJ65700:TAL65700 TKF65700:TKH65700 TUB65700:TUD65700 UDX65700:UDZ65700 UNT65700:UNV65700 UXP65700:UXR65700 VHL65700:VHN65700 VRH65700:VRJ65700 WBD65700:WBF65700 WKZ65700:WLB65700 WUV65700:WUX65700 IJ131236:IL131236 SF131236:SH131236 ACB131236:ACD131236 ALX131236:ALZ131236 AVT131236:AVV131236 BFP131236:BFR131236 BPL131236:BPN131236 BZH131236:BZJ131236 CJD131236:CJF131236 CSZ131236:CTB131236 DCV131236:DCX131236 DMR131236:DMT131236 DWN131236:DWP131236 EGJ131236:EGL131236 EQF131236:EQH131236 FAB131236:FAD131236 FJX131236:FJZ131236 FTT131236:FTV131236 GDP131236:GDR131236 GNL131236:GNN131236 GXH131236:GXJ131236 HHD131236:HHF131236 HQZ131236:HRB131236 IAV131236:IAX131236 IKR131236:IKT131236 IUN131236:IUP131236 JEJ131236:JEL131236 JOF131236:JOH131236 JYB131236:JYD131236 KHX131236:KHZ131236 KRT131236:KRV131236 LBP131236:LBR131236 LLL131236:LLN131236 LVH131236:LVJ131236 MFD131236:MFF131236 MOZ131236:MPB131236 MYV131236:MYX131236 NIR131236:NIT131236 NSN131236:NSP131236 OCJ131236:OCL131236 OMF131236:OMH131236 OWB131236:OWD131236 PFX131236:PFZ131236 PPT131236:PPV131236 PZP131236:PZR131236 QJL131236:QJN131236 QTH131236:QTJ131236 RDD131236:RDF131236 RMZ131236:RNB131236 RWV131236:RWX131236 SGR131236:SGT131236 SQN131236:SQP131236 TAJ131236:TAL131236 TKF131236:TKH131236 TUB131236:TUD131236 UDX131236:UDZ131236 UNT131236:UNV131236 UXP131236:UXR131236 VHL131236:VHN131236 VRH131236:VRJ131236 WBD131236:WBF131236 WKZ131236:WLB131236 WUV131236:WUX131236 IJ196772:IL196772 SF196772:SH196772 ACB196772:ACD196772 ALX196772:ALZ196772 AVT196772:AVV196772 BFP196772:BFR196772 BPL196772:BPN196772 BZH196772:BZJ196772 CJD196772:CJF196772 CSZ196772:CTB196772 DCV196772:DCX196772 DMR196772:DMT196772 DWN196772:DWP196772 EGJ196772:EGL196772 EQF196772:EQH196772 FAB196772:FAD196772 FJX196772:FJZ196772 FTT196772:FTV196772 GDP196772:GDR196772 GNL196772:GNN196772 GXH196772:GXJ196772 HHD196772:HHF196772 HQZ196772:HRB196772 IAV196772:IAX196772 IKR196772:IKT196772 IUN196772:IUP196772 JEJ196772:JEL196772 JOF196772:JOH196772 JYB196772:JYD196772 KHX196772:KHZ196772 KRT196772:KRV196772 LBP196772:LBR196772 LLL196772:LLN196772 LVH196772:LVJ196772 MFD196772:MFF196772 MOZ196772:MPB196772 MYV196772:MYX196772 NIR196772:NIT196772 NSN196772:NSP196772 OCJ196772:OCL196772 OMF196772:OMH196772 OWB196772:OWD196772 PFX196772:PFZ196772 PPT196772:PPV196772 PZP196772:PZR196772 QJL196772:QJN196772 QTH196772:QTJ196772 RDD196772:RDF196772 RMZ196772:RNB196772 RWV196772:RWX196772 SGR196772:SGT196772 SQN196772:SQP196772 TAJ196772:TAL196772 TKF196772:TKH196772 TUB196772:TUD196772 UDX196772:UDZ196772 UNT196772:UNV196772 UXP196772:UXR196772 VHL196772:VHN196772 VRH196772:VRJ196772 WBD196772:WBF196772 WKZ196772:WLB196772 WUV196772:WUX196772 IJ262308:IL262308 SF262308:SH262308 ACB262308:ACD262308 ALX262308:ALZ262308 AVT262308:AVV262308 BFP262308:BFR262308 BPL262308:BPN262308 BZH262308:BZJ262308 CJD262308:CJF262308 CSZ262308:CTB262308 DCV262308:DCX262308 DMR262308:DMT262308 DWN262308:DWP262308 EGJ262308:EGL262308 EQF262308:EQH262308 FAB262308:FAD262308 FJX262308:FJZ262308 FTT262308:FTV262308 GDP262308:GDR262308 GNL262308:GNN262308 GXH262308:GXJ262308 HHD262308:HHF262308 HQZ262308:HRB262308 IAV262308:IAX262308 IKR262308:IKT262308 IUN262308:IUP262308 JEJ262308:JEL262308 JOF262308:JOH262308 JYB262308:JYD262308 KHX262308:KHZ262308 KRT262308:KRV262308 LBP262308:LBR262308 LLL262308:LLN262308 LVH262308:LVJ262308 MFD262308:MFF262308 MOZ262308:MPB262308 MYV262308:MYX262308 NIR262308:NIT262308 NSN262308:NSP262308 OCJ262308:OCL262308 OMF262308:OMH262308 OWB262308:OWD262308 PFX262308:PFZ262308 PPT262308:PPV262308 PZP262308:PZR262308 QJL262308:QJN262308 QTH262308:QTJ262308 RDD262308:RDF262308 RMZ262308:RNB262308 RWV262308:RWX262308 SGR262308:SGT262308 SQN262308:SQP262308 TAJ262308:TAL262308 TKF262308:TKH262308 TUB262308:TUD262308 UDX262308:UDZ262308 UNT262308:UNV262308 UXP262308:UXR262308 VHL262308:VHN262308 VRH262308:VRJ262308 WBD262308:WBF262308 WKZ262308:WLB262308 WUV262308:WUX262308 IJ327844:IL327844 SF327844:SH327844 ACB327844:ACD327844 ALX327844:ALZ327844 AVT327844:AVV327844 BFP327844:BFR327844 BPL327844:BPN327844 BZH327844:BZJ327844 CJD327844:CJF327844 CSZ327844:CTB327844 DCV327844:DCX327844 DMR327844:DMT327844 DWN327844:DWP327844 EGJ327844:EGL327844 EQF327844:EQH327844 FAB327844:FAD327844 FJX327844:FJZ327844 FTT327844:FTV327844 GDP327844:GDR327844 GNL327844:GNN327844 GXH327844:GXJ327844 HHD327844:HHF327844 HQZ327844:HRB327844 IAV327844:IAX327844 IKR327844:IKT327844 IUN327844:IUP327844 JEJ327844:JEL327844 JOF327844:JOH327844 JYB327844:JYD327844 KHX327844:KHZ327844 KRT327844:KRV327844 LBP327844:LBR327844 LLL327844:LLN327844 LVH327844:LVJ327844 MFD327844:MFF327844 MOZ327844:MPB327844 MYV327844:MYX327844 NIR327844:NIT327844 NSN327844:NSP327844 OCJ327844:OCL327844 OMF327844:OMH327844 OWB327844:OWD327844 PFX327844:PFZ327844 PPT327844:PPV327844 PZP327844:PZR327844 QJL327844:QJN327844 QTH327844:QTJ327844 RDD327844:RDF327844 RMZ327844:RNB327844 RWV327844:RWX327844 SGR327844:SGT327844 SQN327844:SQP327844 TAJ327844:TAL327844 TKF327844:TKH327844 TUB327844:TUD327844 UDX327844:UDZ327844 UNT327844:UNV327844 UXP327844:UXR327844 VHL327844:VHN327844 VRH327844:VRJ327844 WBD327844:WBF327844 WKZ327844:WLB327844 WUV327844:WUX327844 IJ393380:IL393380 SF393380:SH393380 ACB393380:ACD393380 ALX393380:ALZ393380 AVT393380:AVV393380 BFP393380:BFR393380 BPL393380:BPN393380 BZH393380:BZJ393380 CJD393380:CJF393380 CSZ393380:CTB393380 DCV393380:DCX393380 DMR393380:DMT393380 DWN393380:DWP393380 EGJ393380:EGL393380 EQF393380:EQH393380 FAB393380:FAD393380 FJX393380:FJZ393380 FTT393380:FTV393380 GDP393380:GDR393380 GNL393380:GNN393380 GXH393380:GXJ393380 HHD393380:HHF393380 HQZ393380:HRB393380 IAV393380:IAX393380 IKR393380:IKT393380 IUN393380:IUP393380 JEJ393380:JEL393380 JOF393380:JOH393380 JYB393380:JYD393380 KHX393380:KHZ393380 KRT393380:KRV393380 LBP393380:LBR393380 LLL393380:LLN393380 LVH393380:LVJ393380 MFD393380:MFF393380 MOZ393380:MPB393380 MYV393380:MYX393380 NIR393380:NIT393380 NSN393380:NSP393380 OCJ393380:OCL393380 OMF393380:OMH393380 OWB393380:OWD393380 PFX393380:PFZ393380 PPT393380:PPV393380 PZP393380:PZR393380 QJL393380:QJN393380 QTH393380:QTJ393380 RDD393380:RDF393380 RMZ393380:RNB393380 RWV393380:RWX393380 SGR393380:SGT393380 SQN393380:SQP393380 TAJ393380:TAL393380 TKF393380:TKH393380 TUB393380:TUD393380 UDX393380:UDZ393380 UNT393380:UNV393380 UXP393380:UXR393380 VHL393380:VHN393380 VRH393380:VRJ393380 WBD393380:WBF393380 WKZ393380:WLB393380 WUV393380:WUX393380 IJ458916:IL458916 SF458916:SH458916 ACB458916:ACD458916 ALX458916:ALZ458916 AVT458916:AVV458916 BFP458916:BFR458916 BPL458916:BPN458916 BZH458916:BZJ458916 CJD458916:CJF458916 CSZ458916:CTB458916 DCV458916:DCX458916 DMR458916:DMT458916 DWN458916:DWP458916 EGJ458916:EGL458916 EQF458916:EQH458916 FAB458916:FAD458916 FJX458916:FJZ458916 FTT458916:FTV458916 GDP458916:GDR458916 GNL458916:GNN458916 GXH458916:GXJ458916 HHD458916:HHF458916 HQZ458916:HRB458916 IAV458916:IAX458916 IKR458916:IKT458916 IUN458916:IUP458916 JEJ458916:JEL458916 JOF458916:JOH458916 JYB458916:JYD458916 KHX458916:KHZ458916 KRT458916:KRV458916 LBP458916:LBR458916 LLL458916:LLN458916 LVH458916:LVJ458916 MFD458916:MFF458916 MOZ458916:MPB458916 MYV458916:MYX458916 NIR458916:NIT458916 NSN458916:NSP458916 OCJ458916:OCL458916 OMF458916:OMH458916 OWB458916:OWD458916 PFX458916:PFZ458916 PPT458916:PPV458916 PZP458916:PZR458916 QJL458916:QJN458916 QTH458916:QTJ458916 RDD458916:RDF458916 RMZ458916:RNB458916 RWV458916:RWX458916 SGR458916:SGT458916 SQN458916:SQP458916 TAJ458916:TAL458916 TKF458916:TKH458916 TUB458916:TUD458916 UDX458916:UDZ458916 UNT458916:UNV458916 UXP458916:UXR458916 VHL458916:VHN458916 VRH458916:VRJ458916 WBD458916:WBF458916 WKZ458916:WLB458916 WUV458916:WUX458916 IJ524452:IL524452 SF524452:SH524452 ACB524452:ACD524452 ALX524452:ALZ524452 AVT524452:AVV524452 BFP524452:BFR524452 BPL524452:BPN524452 BZH524452:BZJ524452 CJD524452:CJF524452 CSZ524452:CTB524452 DCV524452:DCX524452 DMR524452:DMT524452 DWN524452:DWP524452 EGJ524452:EGL524452 EQF524452:EQH524452 FAB524452:FAD524452 FJX524452:FJZ524452 FTT524452:FTV524452 GDP524452:GDR524452 GNL524452:GNN524452 GXH524452:GXJ524452 HHD524452:HHF524452 HQZ524452:HRB524452 IAV524452:IAX524452 IKR524452:IKT524452 IUN524452:IUP524452 JEJ524452:JEL524452 JOF524452:JOH524452 JYB524452:JYD524452 KHX524452:KHZ524452 KRT524452:KRV524452 LBP524452:LBR524452 LLL524452:LLN524452 LVH524452:LVJ524452 MFD524452:MFF524452 MOZ524452:MPB524452 MYV524452:MYX524452 NIR524452:NIT524452 NSN524452:NSP524452 OCJ524452:OCL524452 OMF524452:OMH524452 OWB524452:OWD524452 PFX524452:PFZ524452 PPT524452:PPV524452 PZP524452:PZR524452 QJL524452:QJN524452 QTH524452:QTJ524452 RDD524452:RDF524452 RMZ524452:RNB524452 RWV524452:RWX524452 SGR524452:SGT524452 SQN524452:SQP524452 TAJ524452:TAL524452 TKF524452:TKH524452 TUB524452:TUD524452 UDX524452:UDZ524452 UNT524452:UNV524452 UXP524452:UXR524452 VHL524452:VHN524452 VRH524452:VRJ524452 WBD524452:WBF524452 WKZ524452:WLB524452 WUV524452:WUX524452 IJ589988:IL589988 SF589988:SH589988 ACB589988:ACD589988 ALX589988:ALZ589988 AVT589988:AVV589988 BFP589988:BFR589988 BPL589988:BPN589988 BZH589988:BZJ589988 CJD589988:CJF589988 CSZ589988:CTB589988 DCV589988:DCX589988 DMR589988:DMT589988 DWN589988:DWP589988 EGJ589988:EGL589988 EQF589988:EQH589988 FAB589988:FAD589988 FJX589988:FJZ589988 FTT589988:FTV589988 GDP589988:GDR589988 GNL589988:GNN589988 GXH589988:GXJ589988 HHD589988:HHF589988 HQZ589988:HRB589988 IAV589988:IAX589988 IKR589988:IKT589988 IUN589988:IUP589988 JEJ589988:JEL589988 JOF589988:JOH589988 JYB589988:JYD589988 KHX589988:KHZ589988 KRT589988:KRV589988 LBP589988:LBR589988 LLL589988:LLN589988 LVH589988:LVJ589988 MFD589988:MFF589988 MOZ589988:MPB589988 MYV589988:MYX589988 NIR589988:NIT589988 NSN589988:NSP589988 OCJ589988:OCL589988 OMF589988:OMH589988 OWB589988:OWD589988 PFX589988:PFZ589988 PPT589988:PPV589988 PZP589988:PZR589988 QJL589988:QJN589988 QTH589988:QTJ589988 RDD589988:RDF589988 RMZ589988:RNB589988 RWV589988:RWX589988 SGR589988:SGT589988 SQN589988:SQP589988 TAJ589988:TAL589988 TKF589988:TKH589988 TUB589988:TUD589988 UDX589988:UDZ589988 UNT589988:UNV589988 UXP589988:UXR589988 VHL589988:VHN589988 VRH589988:VRJ589988 WBD589988:WBF589988 WKZ589988:WLB589988 WUV589988:WUX589988 IJ655524:IL655524 SF655524:SH655524 ACB655524:ACD655524 ALX655524:ALZ655524 AVT655524:AVV655524 BFP655524:BFR655524 BPL655524:BPN655524 BZH655524:BZJ655524 CJD655524:CJF655524 CSZ655524:CTB655524 DCV655524:DCX655524 DMR655524:DMT655524 DWN655524:DWP655524 EGJ655524:EGL655524 EQF655524:EQH655524 FAB655524:FAD655524 FJX655524:FJZ655524 FTT655524:FTV655524 GDP655524:GDR655524 GNL655524:GNN655524 GXH655524:GXJ655524 HHD655524:HHF655524 HQZ655524:HRB655524 IAV655524:IAX655524 IKR655524:IKT655524 IUN655524:IUP655524 JEJ655524:JEL655524 JOF655524:JOH655524 JYB655524:JYD655524 KHX655524:KHZ655524 KRT655524:KRV655524 LBP655524:LBR655524 LLL655524:LLN655524 LVH655524:LVJ655524 MFD655524:MFF655524 MOZ655524:MPB655524 MYV655524:MYX655524 NIR655524:NIT655524 NSN655524:NSP655524 OCJ655524:OCL655524 OMF655524:OMH655524 OWB655524:OWD655524 PFX655524:PFZ655524 PPT655524:PPV655524 PZP655524:PZR655524 QJL655524:QJN655524 QTH655524:QTJ655524 RDD655524:RDF655524 RMZ655524:RNB655524 RWV655524:RWX655524 SGR655524:SGT655524 SQN655524:SQP655524 TAJ655524:TAL655524 TKF655524:TKH655524 TUB655524:TUD655524 UDX655524:UDZ655524 UNT655524:UNV655524 UXP655524:UXR655524 VHL655524:VHN655524 VRH655524:VRJ655524 WBD655524:WBF655524 WKZ655524:WLB655524 WUV655524:WUX655524 IJ721060:IL721060 SF721060:SH721060 ACB721060:ACD721060 ALX721060:ALZ721060 AVT721060:AVV721060 BFP721060:BFR721060 BPL721060:BPN721060 BZH721060:BZJ721060 CJD721060:CJF721060 CSZ721060:CTB721060 DCV721060:DCX721060 DMR721060:DMT721060 DWN721060:DWP721060 EGJ721060:EGL721060 EQF721060:EQH721060 FAB721060:FAD721060 FJX721060:FJZ721060 FTT721060:FTV721060 GDP721060:GDR721060 GNL721060:GNN721060 GXH721060:GXJ721060 HHD721060:HHF721060 HQZ721060:HRB721060 IAV721060:IAX721060 IKR721060:IKT721060 IUN721060:IUP721060 JEJ721060:JEL721060 JOF721060:JOH721060 JYB721060:JYD721060 KHX721060:KHZ721060 KRT721060:KRV721060 LBP721060:LBR721060 LLL721060:LLN721060 LVH721060:LVJ721060 MFD721060:MFF721060 MOZ721060:MPB721060 MYV721060:MYX721060 NIR721060:NIT721060 NSN721060:NSP721060 OCJ721060:OCL721060 OMF721060:OMH721060 OWB721060:OWD721060 PFX721060:PFZ721060 PPT721060:PPV721060 PZP721060:PZR721060 QJL721060:QJN721060 QTH721060:QTJ721060 RDD721060:RDF721060 RMZ721060:RNB721060 RWV721060:RWX721060 SGR721060:SGT721060 SQN721060:SQP721060 TAJ721060:TAL721060 TKF721060:TKH721060 TUB721060:TUD721060 UDX721060:UDZ721060 UNT721060:UNV721060 UXP721060:UXR721060 VHL721060:VHN721060 VRH721060:VRJ721060 WBD721060:WBF721060 WKZ721060:WLB721060 WUV721060:WUX721060 IJ786596:IL786596 SF786596:SH786596 ACB786596:ACD786596 ALX786596:ALZ786596 AVT786596:AVV786596 BFP786596:BFR786596 BPL786596:BPN786596 BZH786596:BZJ786596 CJD786596:CJF786596 CSZ786596:CTB786596 DCV786596:DCX786596 DMR786596:DMT786596 DWN786596:DWP786596 EGJ786596:EGL786596 EQF786596:EQH786596 FAB786596:FAD786596 FJX786596:FJZ786596 FTT786596:FTV786596 GDP786596:GDR786596 GNL786596:GNN786596 GXH786596:GXJ786596 HHD786596:HHF786596 HQZ786596:HRB786596 IAV786596:IAX786596 IKR786596:IKT786596 IUN786596:IUP786596 JEJ786596:JEL786596 JOF786596:JOH786596 JYB786596:JYD786596 KHX786596:KHZ786596 KRT786596:KRV786596 LBP786596:LBR786596 LLL786596:LLN786596 LVH786596:LVJ786596 MFD786596:MFF786596 MOZ786596:MPB786596 MYV786596:MYX786596 NIR786596:NIT786596 NSN786596:NSP786596 OCJ786596:OCL786596 OMF786596:OMH786596 OWB786596:OWD786596 PFX786596:PFZ786596 PPT786596:PPV786596 PZP786596:PZR786596 QJL786596:QJN786596 QTH786596:QTJ786596 RDD786596:RDF786596 RMZ786596:RNB786596 RWV786596:RWX786596 SGR786596:SGT786596 SQN786596:SQP786596 TAJ786596:TAL786596 TKF786596:TKH786596 TUB786596:TUD786596 UDX786596:UDZ786596 UNT786596:UNV786596 UXP786596:UXR786596 VHL786596:VHN786596 VRH786596:VRJ786596 WBD786596:WBF786596 WKZ786596:WLB786596 WUV786596:WUX786596 IJ852132:IL852132 SF852132:SH852132 ACB852132:ACD852132 ALX852132:ALZ852132 AVT852132:AVV852132 BFP852132:BFR852132 BPL852132:BPN852132 BZH852132:BZJ852132 CJD852132:CJF852132 CSZ852132:CTB852132 DCV852132:DCX852132 DMR852132:DMT852132 DWN852132:DWP852132 EGJ852132:EGL852132 EQF852132:EQH852132 FAB852132:FAD852132 FJX852132:FJZ852132 FTT852132:FTV852132 GDP852132:GDR852132 GNL852132:GNN852132 GXH852132:GXJ852132 HHD852132:HHF852132 HQZ852132:HRB852132 IAV852132:IAX852132 IKR852132:IKT852132 IUN852132:IUP852132 JEJ852132:JEL852132 JOF852132:JOH852132 JYB852132:JYD852132 KHX852132:KHZ852132 KRT852132:KRV852132 LBP852132:LBR852132 LLL852132:LLN852132 LVH852132:LVJ852132 MFD852132:MFF852132 MOZ852132:MPB852132 MYV852132:MYX852132 NIR852132:NIT852132 NSN852132:NSP852132 OCJ852132:OCL852132 OMF852132:OMH852132 OWB852132:OWD852132 PFX852132:PFZ852132 PPT852132:PPV852132 PZP852132:PZR852132 QJL852132:QJN852132 QTH852132:QTJ852132 RDD852132:RDF852132 RMZ852132:RNB852132 RWV852132:RWX852132 SGR852132:SGT852132 SQN852132:SQP852132 TAJ852132:TAL852132 TKF852132:TKH852132 TUB852132:TUD852132 UDX852132:UDZ852132 UNT852132:UNV852132 UXP852132:UXR852132 VHL852132:VHN852132 VRH852132:VRJ852132 WBD852132:WBF852132 WKZ852132:WLB852132 WUV852132:WUX852132 IJ917668:IL917668 SF917668:SH917668 ACB917668:ACD917668 ALX917668:ALZ917668 AVT917668:AVV917668 BFP917668:BFR917668 BPL917668:BPN917668 BZH917668:BZJ917668 CJD917668:CJF917668 CSZ917668:CTB917668 DCV917668:DCX917668 DMR917668:DMT917668 DWN917668:DWP917668 EGJ917668:EGL917668 EQF917668:EQH917668 FAB917668:FAD917668 FJX917668:FJZ917668 FTT917668:FTV917668 GDP917668:GDR917668 GNL917668:GNN917668 GXH917668:GXJ917668 HHD917668:HHF917668 HQZ917668:HRB917668 IAV917668:IAX917668 IKR917668:IKT917668 IUN917668:IUP917668 JEJ917668:JEL917668 JOF917668:JOH917668 JYB917668:JYD917668 KHX917668:KHZ917668 KRT917668:KRV917668 LBP917668:LBR917668 LLL917668:LLN917668 LVH917668:LVJ917668 MFD917668:MFF917668 MOZ917668:MPB917668 MYV917668:MYX917668 NIR917668:NIT917668 NSN917668:NSP917668 OCJ917668:OCL917668 OMF917668:OMH917668 OWB917668:OWD917668 PFX917668:PFZ917668 PPT917668:PPV917668 PZP917668:PZR917668 QJL917668:QJN917668 QTH917668:QTJ917668 RDD917668:RDF917668 RMZ917668:RNB917668 RWV917668:RWX917668 SGR917668:SGT917668 SQN917668:SQP917668 TAJ917668:TAL917668 TKF917668:TKH917668 TUB917668:TUD917668 UDX917668:UDZ917668 UNT917668:UNV917668 UXP917668:UXR917668 VHL917668:VHN917668 VRH917668:VRJ917668 WBD917668:WBF917668 WKZ917668:WLB917668 WUV917668:WUX917668 IJ983204:IL983204 SF983204:SH983204 ACB983204:ACD983204 ALX983204:ALZ983204 AVT983204:AVV983204 BFP983204:BFR983204 BPL983204:BPN983204 BZH983204:BZJ983204 CJD983204:CJF983204 CSZ983204:CTB983204 DCV983204:DCX983204 DMR983204:DMT983204 DWN983204:DWP983204 EGJ983204:EGL983204 EQF983204:EQH983204 FAB983204:FAD983204 FJX983204:FJZ983204 FTT983204:FTV983204 GDP983204:GDR983204 GNL983204:GNN983204 GXH983204:GXJ983204 HHD983204:HHF983204 HQZ983204:HRB983204 IAV983204:IAX983204 IKR983204:IKT983204 IUN983204:IUP983204 JEJ983204:JEL983204 JOF983204:JOH983204 JYB983204:JYD983204 KHX983204:KHZ983204 KRT983204:KRV983204 LBP983204:LBR983204 LLL983204:LLN983204 LVH983204:LVJ983204 MFD983204:MFF983204 MOZ983204:MPB983204 MYV983204:MYX983204 NIR983204:NIT983204 NSN983204:NSP983204 OCJ983204:OCL983204 OMF983204:OMH983204 OWB983204:OWD983204 PFX983204:PFZ983204 PPT983204:PPV983204 PZP983204:PZR983204 QJL983204:QJN983204 QTH983204:QTJ983204 RDD983204:RDF983204 RMZ983204:RNB983204 RWV983204:RWX983204 SGR983204:SGT983204 SQN983204:SQP983204 TAJ983204:TAL983204 TKF983204:TKH983204 TUB983204:TUD983204 UDX983204:UDZ983204 UNT983204:UNV983204 UXP983204:UXR983204 VHL983204:VHN983204 VRH983204:VRJ983204 WBD983204:WBF983204 WKZ983204:WLB983204 WUV983204:WUX983204 IJ174:IL174 SF174:SH174 ACB174:ACD174 ALX174:ALZ174 AVT174:AVV174 BFP174:BFR174 BPL174:BPN174 BZH174:BZJ174 CJD174:CJF174 CSZ174:CTB174 DCV174:DCX174 DMR174:DMT174 DWN174:DWP174 EGJ174:EGL174 EQF174:EQH174 FAB174:FAD174 FJX174:FJZ174 FTT174:FTV174 GDP174:GDR174 GNL174:GNN174 GXH174:GXJ174 HHD174:HHF174 HQZ174:HRB174 IAV174:IAX174 IKR174:IKT174 IUN174:IUP174 JEJ174:JEL174 JOF174:JOH174 JYB174:JYD174 KHX174:KHZ174 KRT174:KRV174 LBP174:LBR174 LLL174:LLN174 LVH174:LVJ174 MFD174:MFF174 MOZ174:MPB174 MYV174:MYX174 NIR174:NIT174 NSN174:NSP174 OCJ174:OCL174 OMF174:OMH174 OWB174:OWD174 PFX174:PFZ174 PPT174:PPV174 PZP174:PZR174 QJL174:QJN174 QTH174:QTJ174 RDD174:RDF174 RMZ174:RNB174 RWV174:RWX174 SGR174:SGT174 SQN174:SQP174 TAJ174:TAL174 TKF174:TKH174 TUB174:TUD174 UDX174:UDZ174 UNT174:UNV174 UXP174:UXR174 VHL174:VHN174 VRH174:VRJ174 WBD174:WBF174 WKZ174:WLB174 WUV174:WUX174 IJ65710:IL65710 SF65710:SH65710 ACB65710:ACD65710 ALX65710:ALZ65710 AVT65710:AVV65710 BFP65710:BFR65710 BPL65710:BPN65710 BZH65710:BZJ65710 CJD65710:CJF65710 CSZ65710:CTB65710 DCV65710:DCX65710 DMR65710:DMT65710 DWN65710:DWP65710 EGJ65710:EGL65710 EQF65710:EQH65710 FAB65710:FAD65710 FJX65710:FJZ65710 FTT65710:FTV65710 GDP65710:GDR65710 GNL65710:GNN65710 GXH65710:GXJ65710 HHD65710:HHF65710 HQZ65710:HRB65710 IAV65710:IAX65710 IKR65710:IKT65710 IUN65710:IUP65710 JEJ65710:JEL65710 JOF65710:JOH65710 JYB65710:JYD65710 KHX65710:KHZ65710 KRT65710:KRV65710 LBP65710:LBR65710 LLL65710:LLN65710 LVH65710:LVJ65710 MFD65710:MFF65710 MOZ65710:MPB65710 MYV65710:MYX65710 NIR65710:NIT65710 NSN65710:NSP65710 OCJ65710:OCL65710 OMF65710:OMH65710 OWB65710:OWD65710 PFX65710:PFZ65710 PPT65710:PPV65710 PZP65710:PZR65710 QJL65710:QJN65710 QTH65710:QTJ65710 RDD65710:RDF65710 RMZ65710:RNB65710 RWV65710:RWX65710 SGR65710:SGT65710 SQN65710:SQP65710 TAJ65710:TAL65710 TKF65710:TKH65710 TUB65710:TUD65710 UDX65710:UDZ65710 UNT65710:UNV65710 UXP65710:UXR65710 VHL65710:VHN65710 VRH65710:VRJ65710 WBD65710:WBF65710 WKZ65710:WLB65710 WUV65710:WUX65710 IJ131246:IL131246 SF131246:SH131246 ACB131246:ACD131246 ALX131246:ALZ131246 AVT131246:AVV131246 BFP131246:BFR131246 BPL131246:BPN131246 BZH131246:BZJ131246 CJD131246:CJF131246 CSZ131246:CTB131246 DCV131246:DCX131246 DMR131246:DMT131246 DWN131246:DWP131246 EGJ131246:EGL131246 EQF131246:EQH131246 FAB131246:FAD131246 FJX131246:FJZ131246 FTT131246:FTV131246 GDP131246:GDR131246 GNL131246:GNN131246 GXH131246:GXJ131246 HHD131246:HHF131246 HQZ131246:HRB131246 IAV131246:IAX131246 IKR131246:IKT131246 IUN131246:IUP131246 JEJ131246:JEL131246 JOF131246:JOH131246 JYB131246:JYD131246 KHX131246:KHZ131246 KRT131246:KRV131246 LBP131246:LBR131246 LLL131246:LLN131246 LVH131246:LVJ131246 MFD131246:MFF131246 MOZ131246:MPB131246 MYV131246:MYX131246 NIR131246:NIT131246 NSN131246:NSP131246 OCJ131246:OCL131246 OMF131246:OMH131246 OWB131246:OWD131246 PFX131246:PFZ131246 PPT131246:PPV131246 PZP131246:PZR131246 QJL131246:QJN131246 QTH131246:QTJ131246 RDD131246:RDF131246 RMZ131246:RNB131246 RWV131246:RWX131246 SGR131246:SGT131246 SQN131246:SQP131246 TAJ131246:TAL131246 TKF131246:TKH131246 TUB131246:TUD131246 UDX131246:UDZ131246 UNT131246:UNV131246 UXP131246:UXR131246 VHL131246:VHN131246 VRH131246:VRJ131246 WBD131246:WBF131246 WKZ131246:WLB131246 WUV131246:WUX131246 IJ196782:IL196782 SF196782:SH196782 ACB196782:ACD196782 ALX196782:ALZ196782 AVT196782:AVV196782 BFP196782:BFR196782 BPL196782:BPN196782 BZH196782:BZJ196782 CJD196782:CJF196782 CSZ196782:CTB196782 DCV196782:DCX196782 DMR196782:DMT196782 DWN196782:DWP196782 EGJ196782:EGL196782 EQF196782:EQH196782 FAB196782:FAD196782 FJX196782:FJZ196782 FTT196782:FTV196782 GDP196782:GDR196782 GNL196782:GNN196782 GXH196782:GXJ196782 HHD196782:HHF196782 HQZ196782:HRB196782 IAV196782:IAX196782 IKR196782:IKT196782 IUN196782:IUP196782 JEJ196782:JEL196782 JOF196782:JOH196782 JYB196782:JYD196782 KHX196782:KHZ196782 KRT196782:KRV196782 LBP196782:LBR196782 LLL196782:LLN196782 LVH196782:LVJ196782 MFD196782:MFF196782 MOZ196782:MPB196782 MYV196782:MYX196782 NIR196782:NIT196782 NSN196782:NSP196782 OCJ196782:OCL196782 OMF196782:OMH196782 OWB196782:OWD196782 PFX196782:PFZ196782 PPT196782:PPV196782 PZP196782:PZR196782 QJL196782:QJN196782 QTH196782:QTJ196782 RDD196782:RDF196782 RMZ196782:RNB196782 RWV196782:RWX196782 SGR196782:SGT196782 SQN196782:SQP196782 TAJ196782:TAL196782 TKF196782:TKH196782 TUB196782:TUD196782 UDX196782:UDZ196782 UNT196782:UNV196782 UXP196782:UXR196782 VHL196782:VHN196782 VRH196782:VRJ196782 WBD196782:WBF196782 WKZ196782:WLB196782 WUV196782:WUX196782 IJ262318:IL262318 SF262318:SH262318 ACB262318:ACD262318 ALX262318:ALZ262318 AVT262318:AVV262318 BFP262318:BFR262318 BPL262318:BPN262318 BZH262318:BZJ262318 CJD262318:CJF262318 CSZ262318:CTB262318 DCV262318:DCX262318 DMR262318:DMT262318 DWN262318:DWP262318 EGJ262318:EGL262318 EQF262318:EQH262318 FAB262318:FAD262318 FJX262318:FJZ262318 FTT262318:FTV262318 GDP262318:GDR262318 GNL262318:GNN262318 GXH262318:GXJ262318 HHD262318:HHF262318 HQZ262318:HRB262318 IAV262318:IAX262318 IKR262318:IKT262318 IUN262318:IUP262318 JEJ262318:JEL262318 JOF262318:JOH262318 JYB262318:JYD262318 KHX262318:KHZ262318 KRT262318:KRV262318 LBP262318:LBR262318 LLL262318:LLN262318 LVH262318:LVJ262318 MFD262318:MFF262318 MOZ262318:MPB262318 MYV262318:MYX262318 NIR262318:NIT262318 NSN262318:NSP262318 OCJ262318:OCL262318 OMF262318:OMH262318 OWB262318:OWD262318 PFX262318:PFZ262318 PPT262318:PPV262318 PZP262318:PZR262318 QJL262318:QJN262318 QTH262318:QTJ262318 RDD262318:RDF262318 RMZ262318:RNB262318 RWV262318:RWX262318 SGR262318:SGT262318 SQN262318:SQP262318 TAJ262318:TAL262318 TKF262318:TKH262318 TUB262318:TUD262318 UDX262318:UDZ262318 UNT262318:UNV262318 UXP262318:UXR262318 VHL262318:VHN262318 VRH262318:VRJ262318 WBD262318:WBF262318 WKZ262318:WLB262318 WUV262318:WUX262318 IJ327854:IL327854 SF327854:SH327854 ACB327854:ACD327854 ALX327854:ALZ327854 AVT327854:AVV327854 BFP327854:BFR327854 BPL327854:BPN327854 BZH327854:BZJ327854 CJD327854:CJF327854 CSZ327854:CTB327854 DCV327854:DCX327854 DMR327854:DMT327854 DWN327854:DWP327854 EGJ327854:EGL327854 EQF327854:EQH327854 FAB327854:FAD327854 FJX327854:FJZ327854 FTT327854:FTV327854 GDP327854:GDR327854 GNL327854:GNN327854 GXH327854:GXJ327854 HHD327854:HHF327854 HQZ327854:HRB327854 IAV327854:IAX327854 IKR327854:IKT327854 IUN327854:IUP327854 JEJ327854:JEL327854 JOF327854:JOH327854 JYB327854:JYD327854 KHX327854:KHZ327854 KRT327854:KRV327854 LBP327854:LBR327854 LLL327854:LLN327854 LVH327854:LVJ327854 MFD327854:MFF327854 MOZ327854:MPB327854 MYV327854:MYX327854 NIR327854:NIT327854 NSN327854:NSP327854 OCJ327854:OCL327854 OMF327854:OMH327854 OWB327854:OWD327854 PFX327854:PFZ327854 PPT327854:PPV327854 PZP327854:PZR327854 QJL327854:QJN327854 QTH327854:QTJ327854 RDD327854:RDF327854 RMZ327854:RNB327854 RWV327854:RWX327854 SGR327854:SGT327854 SQN327854:SQP327854 TAJ327854:TAL327854 TKF327854:TKH327854 TUB327854:TUD327854 UDX327854:UDZ327854 UNT327854:UNV327854 UXP327854:UXR327854 VHL327854:VHN327854 VRH327854:VRJ327854 WBD327854:WBF327854 WKZ327854:WLB327854 WUV327854:WUX327854 IJ393390:IL393390 SF393390:SH393390 ACB393390:ACD393390 ALX393390:ALZ393390 AVT393390:AVV393390 BFP393390:BFR393390 BPL393390:BPN393390 BZH393390:BZJ393390 CJD393390:CJF393390 CSZ393390:CTB393390 DCV393390:DCX393390 DMR393390:DMT393390 DWN393390:DWP393390 EGJ393390:EGL393390 EQF393390:EQH393390 FAB393390:FAD393390 FJX393390:FJZ393390 FTT393390:FTV393390 GDP393390:GDR393390 GNL393390:GNN393390 GXH393390:GXJ393390 HHD393390:HHF393390 HQZ393390:HRB393390 IAV393390:IAX393390 IKR393390:IKT393390 IUN393390:IUP393390 JEJ393390:JEL393390 JOF393390:JOH393390 JYB393390:JYD393390 KHX393390:KHZ393390 KRT393390:KRV393390 LBP393390:LBR393390 LLL393390:LLN393390 LVH393390:LVJ393390 MFD393390:MFF393390 MOZ393390:MPB393390 MYV393390:MYX393390 NIR393390:NIT393390 NSN393390:NSP393390 OCJ393390:OCL393390 OMF393390:OMH393390 OWB393390:OWD393390 PFX393390:PFZ393390 PPT393390:PPV393390 PZP393390:PZR393390 QJL393390:QJN393390 QTH393390:QTJ393390 RDD393390:RDF393390 RMZ393390:RNB393390 RWV393390:RWX393390 SGR393390:SGT393390 SQN393390:SQP393390 TAJ393390:TAL393390 TKF393390:TKH393390 TUB393390:TUD393390 UDX393390:UDZ393390 UNT393390:UNV393390 UXP393390:UXR393390 VHL393390:VHN393390 VRH393390:VRJ393390 WBD393390:WBF393390 WKZ393390:WLB393390 WUV393390:WUX393390 IJ458926:IL458926 SF458926:SH458926 ACB458926:ACD458926 ALX458926:ALZ458926 AVT458926:AVV458926 BFP458926:BFR458926 BPL458926:BPN458926 BZH458926:BZJ458926 CJD458926:CJF458926 CSZ458926:CTB458926 DCV458926:DCX458926 DMR458926:DMT458926 DWN458926:DWP458926 EGJ458926:EGL458926 EQF458926:EQH458926 FAB458926:FAD458926 FJX458926:FJZ458926 FTT458926:FTV458926 GDP458926:GDR458926 GNL458926:GNN458926 GXH458926:GXJ458926 HHD458926:HHF458926 HQZ458926:HRB458926 IAV458926:IAX458926 IKR458926:IKT458926 IUN458926:IUP458926 JEJ458926:JEL458926 JOF458926:JOH458926 JYB458926:JYD458926 KHX458926:KHZ458926 KRT458926:KRV458926 LBP458926:LBR458926 LLL458926:LLN458926 LVH458926:LVJ458926 MFD458926:MFF458926 MOZ458926:MPB458926 MYV458926:MYX458926 NIR458926:NIT458926 NSN458926:NSP458926 OCJ458926:OCL458926 OMF458926:OMH458926 OWB458926:OWD458926 PFX458926:PFZ458926 PPT458926:PPV458926 PZP458926:PZR458926 QJL458926:QJN458926 QTH458926:QTJ458926 RDD458926:RDF458926 RMZ458926:RNB458926 RWV458926:RWX458926 SGR458926:SGT458926 SQN458926:SQP458926 TAJ458926:TAL458926 TKF458926:TKH458926 TUB458926:TUD458926 UDX458926:UDZ458926 UNT458926:UNV458926 UXP458926:UXR458926 VHL458926:VHN458926 VRH458926:VRJ458926 WBD458926:WBF458926 WKZ458926:WLB458926 WUV458926:WUX458926 IJ524462:IL524462 SF524462:SH524462 ACB524462:ACD524462 ALX524462:ALZ524462 AVT524462:AVV524462 BFP524462:BFR524462 BPL524462:BPN524462 BZH524462:BZJ524462 CJD524462:CJF524462 CSZ524462:CTB524462 DCV524462:DCX524462 DMR524462:DMT524462 DWN524462:DWP524462 EGJ524462:EGL524462 EQF524462:EQH524462 FAB524462:FAD524462 FJX524462:FJZ524462 FTT524462:FTV524462 GDP524462:GDR524462 GNL524462:GNN524462 GXH524462:GXJ524462 HHD524462:HHF524462 HQZ524462:HRB524462 IAV524462:IAX524462 IKR524462:IKT524462 IUN524462:IUP524462 JEJ524462:JEL524462 JOF524462:JOH524462 JYB524462:JYD524462 KHX524462:KHZ524462 KRT524462:KRV524462 LBP524462:LBR524462 LLL524462:LLN524462 LVH524462:LVJ524462 MFD524462:MFF524462 MOZ524462:MPB524462 MYV524462:MYX524462 NIR524462:NIT524462 NSN524462:NSP524462 OCJ524462:OCL524462 OMF524462:OMH524462 OWB524462:OWD524462 PFX524462:PFZ524462 PPT524462:PPV524462 PZP524462:PZR524462 QJL524462:QJN524462 QTH524462:QTJ524462 RDD524462:RDF524462 RMZ524462:RNB524462 RWV524462:RWX524462 SGR524462:SGT524462 SQN524462:SQP524462 TAJ524462:TAL524462 TKF524462:TKH524462 TUB524462:TUD524462 UDX524462:UDZ524462 UNT524462:UNV524462 UXP524462:UXR524462 VHL524462:VHN524462 VRH524462:VRJ524462 WBD524462:WBF524462 WKZ524462:WLB524462 WUV524462:WUX524462 IJ589998:IL589998 SF589998:SH589998 ACB589998:ACD589998 ALX589998:ALZ589998 AVT589998:AVV589998 BFP589998:BFR589998 BPL589998:BPN589998 BZH589998:BZJ589998 CJD589998:CJF589998 CSZ589998:CTB589998 DCV589998:DCX589998 DMR589998:DMT589998 DWN589998:DWP589998 EGJ589998:EGL589998 EQF589998:EQH589998 FAB589998:FAD589998 FJX589998:FJZ589998 FTT589998:FTV589998 GDP589998:GDR589998 GNL589998:GNN589998 GXH589998:GXJ589998 HHD589998:HHF589998 HQZ589998:HRB589998 IAV589998:IAX589998 IKR589998:IKT589998 IUN589998:IUP589998 JEJ589998:JEL589998 JOF589998:JOH589998 JYB589998:JYD589998 KHX589998:KHZ589998 KRT589998:KRV589998 LBP589998:LBR589998 LLL589998:LLN589998 LVH589998:LVJ589998 MFD589998:MFF589998 MOZ589998:MPB589998 MYV589998:MYX589998 NIR589998:NIT589998 NSN589998:NSP589998 OCJ589998:OCL589998 OMF589998:OMH589998 OWB589998:OWD589998 PFX589998:PFZ589998 PPT589998:PPV589998 PZP589998:PZR589998 QJL589998:QJN589998 QTH589998:QTJ589998 RDD589998:RDF589998 RMZ589998:RNB589998 RWV589998:RWX589998 SGR589998:SGT589998 SQN589998:SQP589998 TAJ589998:TAL589998 TKF589998:TKH589998 TUB589998:TUD589998 UDX589998:UDZ589998 UNT589998:UNV589998 UXP589998:UXR589998 VHL589998:VHN589998 VRH589998:VRJ589998 WBD589998:WBF589998 WKZ589998:WLB589998 WUV589998:WUX589998 IJ655534:IL655534 SF655534:SH655534 ACB655534:ACD655534 ALX655534:ALZ655534 AVT655534:AVV655534 BFP655534:BFR655534 BPL655534:BPN655534 BZH655534:BZJ655534 CJD655534:CJF655534 CSZ655534:CTB655534 DCV655534:DCX655534 DMR655534:DMT655534 DWN655534:DWP655534 EGJ655534:EGL655534 EQF655534:EQH655534 FAB655534:FAD655534 FJX655534:FJZ655534 FTT655534:FTV655534 GDP655534:GDR655534 GNL655534:GNN655534 GXH655534:GXJ655534 HHD655534:HHF655534 HQZ655534:HRB655534 IAV655534:IAX655534 IKR655534:IKT655534 IUN655534:IUP655534 JEJ655534:JEL655534 JOF655534:JOH655534 JYB655534:JYD655534 KHX655534:KHZ655534 KRT655534:KRV655534 LBP655534:LBR655534 LLL655534:LLN655534 LVH655534:LVJ655534 MFD655534:MFF655534 MOZ655534:MPB655534 MYV655534:MYX655534 NIR655534:NIT655534 NSN655534:NSP655534 OCJ655534:OCL655534 OMF655534:OMH655534 OWB655534:OWD655534 PFX655534:PFZ655534 PPT655534:PPV655534 PZP655534:PZR655534 QJL655534:QJN655534 QTH655534:QTJ655534 RDD655534:RDF655534 RMZ655534:RNB655534 RWV655534:RWX655534 SGR655534:SGT655534 SQN655534:SQP655534 TAJ655534:TAL655534 TKF655534:TKH655534 TUB655534:TUD655534 UDX655534:UDZ655534 UNT655534:UNV655534 UXP655534:UXR655534 VHL655534:VHN655534 VRH655534:VRJ655534 WBD655534:WBF655534 WKZ655534:WLB655534 WUV655534:WUX655534 IJ721070:IL721070 SF721070:SH721070 ACB721070:ACD721070 ALX721070:ALZ721070 AVT721070:AVV721070 BFP721070:BFR721070 BPL721070:BPN721070 BZH721070:BZJ721070 CJD721070:CJF721070 CSZ721070:CTB721070 DCV721070:DCX721070 DMR721070:DMT721070 DWN721070:DWP721070 EGJ721070:EGL721070 EQF721070:EQH721070 FAB721070:FAD721070 FJX721070:FJZ721070 FTT721070:FTV721070 GDP721070:GDR721070 GNL721070:GNN721070 GXH721070:GXJ721070 HHD721070:HHF721070 HQZ721070:HRB721070 IAV721070:IAX721070 IKR721070:IKT721070 IUN721070:IUP721070 JEJ721070:JEL721070 JOF721070:JOH721070 JYB721070:JYD721070 KHX721070:KHZ721070 KRT721070:KRV721070 LBP721070:LBR721070 LLL721070:LLN721070 LVH721070:LVJ721070 MFD721070:MFF721070 MOZ721070:MPB721070 MYV721070:MYX721070 NIR721070:NIT721070 NSN721070:NSP721070 OCJ721070:OCL721070 OMF721070:OMH721070 OWB721070:OWD721070 PFX721070:PFZ721070 PPT721070:PPV721070 PZP721070:PZR721070 QJL721070:QJN721070 QTH721070:QTJ721070 RDD721070:RDF721070 RMZ721070:RNB721070 RWV721070:RWX721070 SGR721070:SGT721070 SQN721070:SQP721070 TAJ721070:TAL721070 TKF721070:TKH721070 TUB721070:TUD721070 UDX721070:UDZ721070 UNT721070:UNV721070 UXP721070:UXR721070 VHL721070:VHN721070 VRH721070:VRJ721070 WBD721070:WBF721070 WKZ721070:WLB721070 WUV721070:WUX721070 IJ786606:IL786606 SF786606:SH786606 ACB786606:ACD786606 ALX786606:ALZ786606 AVT786606:AVV786606 BFP786606:BFR786606 BPL786606:BPN786606 BZH786606:BZJ786606 CJD786606:CJF786606 CSZ786606:CTB786606 DCV786606:DCX786606 DMR786606:DMT786606 DWN786606:DWP786606 EGJ786606:EGL786606 EQF786606:EQH786606 FAB786606:FAD786606 FJX786606:FJZ786606 FTT786606:FTV786606 GDP786606:GDR786606 GNL786606:GNN786606 GXH786606:GXJ786606 HHD786606:HHF786606 HQZ786606:HRB786606 IAV786606:IAX786606 IKR786606:IKT786606 IUN786606:IUP786606 JEJ786606:JEL786606 JOF786606:JOH786606 JYB786606:JYD786606 KHX786606:KHZ786606 KRT786606:KRV786606 LBP786606:LBR786606 LLL786606:LLN786606 LVH786606:LVJ786606 MFD786606:MFF786606 MOZ786606:MPB786606 MYV786606:MYX786606 NIR786606:NIT786606 NSN786606:NSP786606 OCJ786606:OCL786606 OMF786606:OMH786606 OWB786606:OWD786606 PFX786606:PFZ786606 PPT786606:PPV786606 PZP786606:PZR786606 QJL786606:QJN786606 QTH786606:QTJ786606 RDD786606:RDF786606 RMZ786606:RNB786606 RWV786606:RWX786606 SGR786606:SGT786606 SQN786606:SQP786606 TAJ786606:TAL786606 TKF786606:TKH786606 TUB786606:TUD786606 UDX786606:UDZ786606 UNT786606:UNV786606 UXP786606:UXR786606 VHL786606:VHN786606 VRH786606:VRJ786606 WBD786606:WBF786606 WKZ786606:WLB786606 WUV786606:WUX786606 IJ852142:IL852142 SF852142:SH852142 ACB852142:ACD852142 ALX852142:ALZ852142 AVT852142:AVV852142 BFP852142:BFR852142 BPL852142:BPN852142 BZH852142:BZJ852142 CJD852142:CJF852142 CSZ852142:CTB852142 DCV852142:DCX852142 DMR852142:DMT852142 DWN852142:DWP852142 EGJ852142:EGL852142 EQF852142:EQH852142 FAB852142:FAD852142 FJX852142:FJZ852142 FTT852142:FTV852142 GDP852142:GDR852142 GNL852142:GNN852142 GXH852142:GXJ852142 HHD852142:HHF852142 HQZ852142:HRB852142 IAV852142:IAX852142 IKR852142:IKT852142 IUN852142:IUP852142 JEJ852142:JEL852142 JOF852142:JOH852142 JYB852142:JYD852142 KHX852142:KHZ852142 KRT852142:KRV852142 LBP852142:LBR852142 LLL852142:LLN852142 LVH852142:LVJ852142 MFD852142:MFF852142 MOZ852142:MPB852142 MYV852142:MYX852142 NIR852142:NIT852142 NSN852142:NSP852142 OCJ852142:OCL852142 OMF852142:OMH852142 OWB852142:OWD852142 PFX852142:PFZ852142 PPT852142:PPV852142 PZP852142:PZR852142 QJL852142:QJN852142 QTH852142:QTJ852142 RDD852142:RDF852142 RMZ852142:RNB852142 RWV852142:RWX852142 SGR852142:SGT852142 SQN852142:SQP852142 TAJ852142:TAL852142 TKF852142:TKH852142 TUB852142:TUD852142 UDX852142:UDZ852142 UNT852142:UNV852142 UXP852142:UXR852142 VHL852142:VHN852142 VRH852142:VRJ852142 WBD852142:WBF852142 WKZ852142:WLB852142 WUV852142:WUX852142 IJ917678:IL917678 SF917678:SH917678 ACB917678:ACD917678 ALX917678:ALZ917678 AVT917678:AVV917678 BFP917678:BFR917678 BPL917678:BPN917678 BZH917678:BZJ917678 CJD917678:CJF917678 CSZ917678:CTB917678 DCV917678:DCX917678 DMR917678:DMT917678 DWN917678:DWP917678 EGJ917678:EGL917678 EQF917678:EQH917678 FAB917678:FAD917678 FJX917678:FJZ917678 FTT917678:FTV917678 GDP917678:GDR917678 GNL917678:GNN917678 GXH917678:GXJ917678 HHD917678:HHF917678 HQZ917678:HRB917678 IAV917678:IAX917678 IKR917678:IKT917678 IUN917678:IUP917678 JEJ917678:JEL917678 JOF917678:JOH917678 JYB917678:JYD917678 KHX917678:KHZ917678 KRT917678:KRV917678 LBP917678:LBR917678 LLL917678:LLN917678 LVH917678:LVJ917678 MFD917678:MFF917678 MOZ917678:MPB917678 MYV917678:MYX917678 NIR917678:NIT917678 NSN917678:NSP917678 OCJ917678:OCL917678 OMF917678:OMH917678 OWB917678:OWD917678 PFX917678:PFZ917678 PPT917678:PPV917678 PZP917678:PZR917678 QJL917678:QJN917678 QTH917678:QTJ917678 RDD917678:RDF917678 RMZ917678:RNB917678 RWV917678:RWX917678 SGR917678:SGT917678 SQN917678:SQP917678 TAJ917678:TAL917678 TKF917678:TKH917678 TUB917678:TUD917678 UDX917678:UDZ917678 UNT917678:UNV917678 UXP917678:UXR917678 VHL917678:VHN917678 VRH917678:VRJ917678 WBD917678:WBF917678 WKZ917678:WLB917678 WUV917678:WUX917678 IJ983214:IL983214 SF983214:SH983214 ACB983214:ACD983214 ALX983214:ALZ983214 AVT983214:AVV983214 BFP983214:BFR983214 BPL983214:BPN983214 BZH983214:BZJ983214 CJD983214:CJF983214 CSZ983214:CTB983214 DCV983214:DCX983214 DMR983214:DMT983214 DWN983214:DWP983214 EGJ983214:EGL983214 EQF983214:EQH983214 FAB983214:FAD983214 FJX983214:FJZ983214 FTT983214:FTV983214 GDP983214:GDR983214 GNL983214:GNN983214 GXH983214:GXJ983214 HHD983214:HHF983214 HQZ983214:HRB983214 IAV983214:IAX983214 IKR983214:IKT983214 IUN983214:IUP983214 JEJ983214:JEL983214 JOF983214:JOH983214 JYB983214:JYD983214 KHX983214:KHZ983214 KRT983214:KRV983214 LBP983214:LBR983214 LLL983214:LLN983214 LVH983214:LVJ983214 MFD983214:MFF983214 MOZ983214:MPB983214 MYV983214:MYX983214 NIR983214:NIT983214 NSN983214:NSP983214 OCJ983214:OCL983214 OMF983214:OMH983214 OWB983214:OWD983214 PFX983214:PFZ983214 PPT983214:PPV983214 PZP983214:PZR983214 QJL983214:QJN983214 QTH983214:QTJ983214 RDD983214:RDF983214 RMZ983214:RNB983214 RWV983214:RWX983214 SGR983214:SGT983214 SQN983214:SQP983214 TAJ983214:TAL983214 TKF983214:TKH983214 TUB983214:TUD983214 UDX983214:UDZ983214 UNT983214:UNV983214 UXP983214:UXR983214 VHL983214:VHN983214 VRH983214:VRJ983214 WBD983214:WBF983214 WKZ983214:WLB983214 WUV983214:WUX983214 IJ184:IL184 SF184:SH184 ACB184:ACD184 ALX184:ALZ184 AVT184:AVV184 BFP184:BFR184 BPL184:BPN184 BZH184:BZJ184 CJD184:CJF184 CSZ184:CTB184 DCV184:DCX184 DMR184:DMT184 DWN184:DWP184 EGJ184:EGL184 EQF184:EQH184 FAB184:FAD184 FJX184:FJZ184 FTT184:FTV184 GDP184:GDR184 GNL184:GNN184 GXH184:GXJ184 HHD184:HHF184 HQZ184:HRB184 IAV184:IAX184 IKR184:IKT184 IUN184:IUP184 JEJ184:JEL184 JOF184:JOH184 JYB184:JYD184 KHX184:KHZ184 KRT184:KRV184 LBP184:LBR184 LLL184:LLN184 LVH184:LVJ184 MFD184:MFF184 MOZ184:MPB184 MYV184:MYX184 NIR184:NIT184 NSN184:NSP184 OCJ184:OCL184 OMF184:OMH184 OWB184:OWD184 PFX184:PFZ184 PPT184:PPV184 PZP184:PZR184 QJL184:QJN184 QTH184:QTJ184 RDD184:RDF184 RMZ184:RNB184 RWV184:RWX184 SGR184:SGT184 SQN184:SQP184 TAJ184:TAL184 TKF184:TKH184 TUB184:TUD184 UDX184:UDZ184 UNT184:UNV184 UXP184:UXR184 VHL184:VHN184 VRH184:VRJ184 WBD184:WBF184 WKZ184:WLB184 WUV184:WUX184 IJ65720:IL65720 SF65720:SH65720 ACB65720:ACD65720 ALX65720:ALZ65720 AVT65720:AVV65720 BFP65720:BFR65720 BPL65720:BPN65720 BZH65720:BZJ65720 CJD65720:CJF65720 CSZ65720:CTB65720 DCV65720:DCX65720 DMR65720:DMT65720 DWN65720:DWP65720 EGJ65720:EGL65720 EQF65720:EQH65720 FAB65720:FAD65720 FJX65720:FJZ65720 FTT65720:FTV65720 GDP65720:GDR65720 GNL65720:GNN65720 GXH65720:GXJ65720 HHD65720:HHF65720 HQZ65720:HRB65720 IAV65720:IAX65720 IKR65720:IKT65720 IUN65720:IUP65720 JEJ65720:JEL65720 JOF65720:JOH65720 JYB65720:JYD65720 KHX65720:KHZ65720 KRT65720:KRV65720 LBP65720:LBR65720 LLL65720:LLN65720 LVH65720:LVJ65720 MFD65720:MFF65720 MOZ65720:MPB65720 MYV65720:MYX65720 NIR65720:NIT65720 NSN65720:NSP65720 OCJ65720:OCL65720 OMF65720:OMH65720 OWB65720:OWD65720 PFX65720:PFZ65720 PPT65720:PPV65720 PZP65720:PZR65720 QJL65720:QJN65720 QTH65720:QTJ65720 RDD65720:RDF65720 RMZ65720:RNB65720 RWV65720:RWX65720 SGR65720:SGT65720 SQN65720:SQP65720 TAJ65720:TAL65720 TKF65720:TKH65720 TUB65720:TUD65720 UDX65720:UDZ65720 UNT65720:UNV65720 UXP65720:UXR65720 VHL65720:VHN65720 VRH65720:VRJ65720 WBD65720:WBF65720 WKZ65720:WLB65720 WUV65720:WUX65720 IJ131256:IL131256 SF131256:SH131256 ACB131256:ACD131256 ALX131256:ALZ131256 AVT131256:AVV131256 BFP131256:BFR131256 BPL131256:BPN131256 BZH131256:BZJ131256 CJD131256:CJF131256 CSZ131256:CTB131256 DCV131256:DCX131256 DMR131256:DMT131256 DWN131256:DWP131256 EGJ131256:EGL131256 EQF131256:EQH131256 FAB131256:FAD131256 FJX131256:FJZ131256 FTT131256:FTV131256 GDP131256:GDR131256 GNL131256:GNN131256 GXH131256:GXJ131256 HHD131256:HHF131256 HQZ131256:HRB131256 IAV131256:IAX131256 IKR131256:IKT131256 IUN131256:IUP131256 JEJ131256:JEL131256 JOF131256:JOH131256 JYB131256:JYD131256 KHX131256:KHZ131256 KRT131256:KRV131256 LBP131256:LBR131256 LLL131256:LLN131256 LVH131256:LVJ131256 MFD131256:MFF131256 MOZ131256:MPB131256 MYV131256:MYX131256 NIR131256:NIT131256 NSN131256:NSP131256 OCJ131256:OCL131256 OMF131256:OMH131256 OWB131256:OWD131256 PFX131256:PFZ131256 PPT131256:PPV131256 PZP131256:PZR131256 QJL131256:QJN131256 QTH131256:QTJ131256 RDD131256:RDF131256 RMZ131256:RNB131256 RWV131256:RWX131256 SGR131256:SGT131256 SQN131256:SQP131256 TAJ131256:TAL131256 TKF131256:TKH131256 TUB131256:TUD131256 UDX131256:UDZ131256 UNT131256:UNV131256 UXP131256:UXR131256 VHL131256:VHN131256 VRH131256:VRJ131256 WBD131256:WBF131256 WKZ131256:WLB131256 WUV131256:WUX131256 IJ196792:IL196792 SF196792:SH196792 ACB196792:ACD196792 ALX196792:ALZ196792 AVT196792:AVV196792 BFP196792:BFR196792 BPL196792:BPN196792 BZH196792:BZJ196792 CJD196792:CJF196792 CSZ196792:CTB196792 DCV196792:DCX196792 DMR196792:DMT196792 DWN196792:DWP196792 EGJ196792:EGL196792 EQF196792:EQH196792 FAB196792:FAD196792 FJX196792:FJZ196792 FTT196792:FTV196792 GDP196792:GDR196792 GNL196792:GNN196792 GXH196792:GXJ196792 HHD196792:HHF196792 HQZ196792:HRB196792 IAV196792:IAX196792 IKR196792:IKT196792 IUN196792:IUP196792 JEJ196792:JEL196792 JOF196792:JOH196792 JYB196792:JYD196792 KHX196792:KHZ196792 KRT196792:KRV196792 LBP196792:LBR196792 LLL196792:LLN196792 LVH196792:LVJ196792 MFD196792:MFF196792 MOZ196792:MPB196792 MYV196792:MYX196792 NIR196792:NIT196792 NSN196792:NSP196792 OCJ196792:OCL196792 OMF196792:OMH196792 OWB196792:OWD196792 PFX196792:PFZ196792 PPT196792:PPV196792 PZP196792:PZR196792 QJL196792:QJN196792 QTH196792:QTJ196792 RDD196792:RDF196792 RMZ196792:RNB196792 RWV196792:RWX196792 SGR196792:SGT196792 SQN196792:SQP196792 TAJ196792:TAL196792 TKF196792:TKH196792 TUB196792:TUD196792 UDX196792:UDZ196792 UNT196792:UNV196792 UXP196792:UXR196792 VHL196792:VHN196792 VRH196792:VRJ196792 WBD196792:WBF196792 WKZ196792:WLB196792 WUV196792:WUX196792 IJ262328:IL262328 SF262328:SH262328 ACB262328:ACD262328 ALX262328:ALZ262328 AVT262328:AVV262328 BFP262328:BFR262328 BPL262328:BPN262328 BZH262328:BZJ262328 CJD262328:CJF262328 CSZ262328:CTB262328 DCV262328:DCX262328 DMR262328:DMT262328 DWN262328:DWP262328 EGJ262328:EGL262328 EQF262328:EQH262328 FAB262328:FAD262328 FJX262328:FJZ262328 FTT262328:FTV262328 GDP262328:GDR262328 GNL262328:GNN262328 GXH262328:GXJ262328 HHD262328:HHF262328 HQZ262328:HRB262328 IAV262328:IAX262328 IKR262328:IKT262328 IUN262328:IUP262328 JEJ262328:JEL262328 JOF262328:JOH262328 JYB262328:JYD262328 KHX262328:KHZ262328 KRT262328:KRV262328 LBP262328:LBR262328 LLL262328:LLN262328 LVH262328:LVJ262328 MFD262328:MFF262328 MOZ262328:MPB262328 MYV262328:MYX262328 NIR262328:NIT262328 NSN262328:NSP262328 OCJ262328:OCL262328 OMF262328:OMH262328 OWB262328:OWD262328 PFX262328:PFZ262328 PPT262328:PPV262328 PZP262328:PZR262328 QJL262328:QJN262328 QTH262328:QTJ262328 RDD262328:RDF262328 RMZ262328:RNB262328 RWV262328:RWX262328 SGR262328:SGT262328 SQN262328:SQP262328 TAJ262328:TAL262328 TKF262328:TKH262328 TUB262328:TUD262328 UDX262328:UDZ262328 UNT262328:UNV262328 UXP262328:UXR262328 VHL262328:VHN262328 VRH262328:VRJ262328 WBD262328:WBF262328 WKZ262328:WLB262328 WUV262328:WUX262328 IJ327864:IL327864 SF327864:SH327864 ACB327864:ACD327864 ALX327864:ALZ327864 AVT327864:AVV327864 BFP327864:BFR327864 BPL327864:BPN327864 BZH327864:BZJ327864 CJD327864:CJF327864 CSZ327864:CTB327864 DCV327864:DCX327864 DMR327864:DMT327864 DWN327864:DWP327864 EGJ327864:EGL327864 EQF327864:EQH327864 FAB327864:FAD327864 FJX327864:FJZ327864 FTT327864:FTV327864 GDP327864:GDR327864 GNL327864:GNN327864 GXH327864:GXJ327864 HHD327864:HHF327864 HQZ327864:HRB327864 IAV327864:IAX327864 IKR327864:IKT327864 IUN327864:IUP327864 JEJ327864:JEL327864 JOF327864:JOH327864 JYB327864:JYD327864 KHX327864:KHZ327864 KRT327864:KRV327864 LBP327864:LBR327864 LLL327864:LLN327864 LVH327864:LVJ327864 MFD327864:MFF327864 MOZ327864:MPB327864 MYV327864:MYX327864 NIR327864:NIT327864 NSN327864:NSP327864 OCJ327864:OCL327864 OMF327864:OMH327864 OWB327864:OWD327864 PFX327864:PFZ327864 PPT327864:PPV327864 PZP327864:PZR327864 QJL327864:QJN327864 QTH327864:QTJ327864 RDD327864:RDF327864 RMZ327864:RNB327864 RWV327864:RWX327864 SGR327864:SGT327864 SQN327864:SQP327864 TAJ327864:TAL327864 TKF327864:TKH327864 TUB327864:TUD327864 UDX327864:UDZ327864 UNT327864:UNV327864 UXP327864:UXR327864 VHL327864:VHN327864 VRH327864:VRJ327864 WBD327864:WBF327864 WKZ327864:WLB327864 WUV327864:WUX327864 IJ393400:IL393400 SF393400:SH393400 ACB393400:ACD393400 ALX393400:ALZ393400 AVT393400:AVV393400 BFP393400:BFR393400 BPL393400:BPN393400 BZH393400:BZJ393400 CJD393400:CJF393400 CSZ393400:CTB393400 DCV393400:DCX393400 DMR393400:DMT393400 DWN393400:DWP393400 EGJ393400:EGL393400 EQF393400:EQH393400 FAB393400:FAD393400 FJX393400:FJZ393400 FTT393400:FTV393400 GDP393400:GDR393400 GNL393400:GNN393400 GXH393400:GXJ393400 HHD393400:HHF393400 HQZ393400:HRB393400 IAV393400:IAX393400 IKR393400:IKT393400 IUN393400:IUP393400 JEJ393400:JEL393400 JOF393400:JOH393400 JYB393400:JYD393400 KHX393400:KHZ393400 KRT393400:KRV393400 LBP393400:LBR393400 LLL393400:LLN393400 LVH393400:LVJ393400 MFD393400:MFF393400 MOZ393400:MPB393400 MYV393400:MYX393400 NIR393400:NIT393400 NSN393400:NSP393400 OCJ393400:OCL393400 OMF393400:OMH393400 OWB393400:OWD393400 PFX393400:PFZ393400 PPT393400:PPV393400 PZP393400:PZR393400 QJL393400:QJN393400 QTH393400:QTJ393400 RDD393400:RDF393400 RMZ393400:RNB393400 RWV393400:RWX393400 SGR393400:SGT393400 SQN393400:SQP393400 TAJ393400:TAL393400 TKF393400:TKH393400 TUB393400:TUD393400 UDX393400:UDZ393400 UNT393400:UNV393400 UXP393400:UXR393400 VHL393400:VHN393400 VRH393400:VRJ393400 WBD393400:WBF393400 WKZ393400:WLB393400 WUV393400:WUX393400 IJ458936:IL458936 SF458936:SH458936 ACB458936:ACD458936 ALX458936:ALZ458936 AVT458936:AVV458936 BFP458936:BFR458936 BPL458936:BPN458936 BZH458936:BZJ458936 CJD458936:CJF458936 CSZ458936:CTB458936 DCV458936:DCX458936 DMR458936:DMT458936 DWN458936:DWP458936 EGJ458936:EGL458936 EQF458936:EQH458936 FAB458936:FAD458936 FJX458936:FJZ458936 FTT458936:FTV458936 GDP458936:GDR458936 GNL458936:GNN458936 GXH458936:GXJ458936 HHD458936:HHF458936 HQZ458936:HRB458936 IAV458936:IAX458936 IKR458936:IKT458936 IUN458936:IUP458936 JEJ458936:JEL458936 JOF458936:JOH458936 JYB458936:JYD458936 KHX458936:KHZ458936 KRT458936:KRV458936 LBP458936:LBR458936 LLL458936:LLN458936 LVH458936:LVJ458936 MFD458936:MFF458936 MOZ458936:MPB458936 MYV458936:MYX458936 NIR458936:NIT458936 NSN458936:NSP458936 OCJ458936:OCL458936 OMF458936:OMH458936 OWB458936:OWD458936 PFX458936:PFZ458936 PPT458936:PPV458936 PZP458936:PZR458936 QJL458936:QJN458936 QTH458936:QTJ458936 RDD458936:RDF458936 RMZ458936:RNB458936 RWV458936:RWX458936 SGR458936:SGT458936 SQN458936:SQP458936 TAJ458936:TAL458936 TKF458936:TKH458936 TUB458936:TUD458936 UDX458936:UDZ458936 UNT458936:UNV458936 UXP458936:UXR458936 VHL458936:VHN458936 VRH458936:VRJ458936 WBD458936:WBF458936 WKZ458936:WLB458936 WUV458936:WUX458936 IJ524472:IL524472 SF524472:SH524472 ACB524472:ACD524472 ALX524472:ALZ524472 AVT524472:AVV524472 BFP524472:BFR524472 BPL524472:BPN524472 BZH524472:BZJ524472 CJD524472:CJF524472 CSZ524472:CTB524472 DCV524472:DCX524472 DMR524472:DMT524472 DWN524472:DWP524472 EGJ524472:EGL524472 EQF524472:EQH524472 FAB524472:FAD524472 FJX524472:FJZ524472 FTT524472:FTV524472 GDP524472:GDR524472 GNL524472:GNN524472 GXH524472:GXJ524472 HHD524472:HHF524472 HQZ524472:HRB524472 IAV524472:IAX524472 IKR524472:IKT524472 IUN524472:IUP524472 JEJ524472:JEL524472 JOF524472:JOH524472 JYB524472:JYD524472 KHX524472:KHZ524472 KRT524472:KRV524472 LBP524472:LBR524472 LLL524472:LLN524472 LVH524472:LVJ524472 MFD524472:MFF524472 MOZ524472:MPB524472 MYV524472:MYX524472 NIR524472:NIT524472 NSN524472:NSP524472 OCJ524472:OCL524472 OMF524472:OMH524472 OWB524472:OWD524472 PFX524472:PFZ524472 PPT524472:PPV524472 PZP524472:PZR524472 QJL524472:QJN524472 QTH524472:QTJ524472 RDD524472:RDF524472 RMZ524472:RNB524472 RWV524472:RWX524472 SGR524472:SGT524472 SQN524472:SQP524472 TAJ524472:TAL524472 TKF524472:TKH524472 TUB524472:TUD524472 UDX524472:UDZ524472 UNT524472:UNV524472 UXP524472:UXR524472 VHL524472:VHN524472 VRH524472:VRJ524472 WBD524472:WBF524472 WKZ524472:WLB524472 WUV524472:WUX524472 IJ590008:IL590008 SF590008:SH590008 ACB590008:ACD590008 ALX590008:ALZ590008 AVT590008:AVV590008 BFP590008:BFR590008 BPL590008:BPN590008 BZH590008:BZJ590008 CJD590008:CJF590008 CSZ590008:CTB590008 DCV590008:DCX590008 DMR590008:DMT590008 DWN590008:DWP590008 EGJ590008:EGL590008 EQF590008:EQH590008 FAB590008:FAD590008 FJX590008:FJZ590008 FTT590008:FTV590008 GDP590008:GDR590008 GNL590008:GNN590008 GXH590008:GXJ590008 HHD590008:HHF590008 HQZ590008:HRB590008 IAV590008:IAX590008 IKR590008:IKT590008 IUN590008:IUP590008 JEJ590008:JEL590008 JOF590008:JOH590008 JYB590008:JYD590008 KHX590008:KHZ590008 KRT590008:KRV590008 LBP590008:LBR590008 LLL590008:LLN590008 LVH590008:LVJ590008 MFD590008:MFF590008 MOZ590008:MPB590008 MYV590008:MYX590008 NIR590008:NIT590008 NSN590008:NSP590008 OCJ590008:OCL590008 OMF590008:OMH590008 OWB590008:OWD590008 PFX590008:PFZ590008 PPT590008:PPV590008 PZP590008:PZR590008 QJL590008:QJN590008 QTH590008:QTJ590008 RDD590008:RDF590008 RMZ590008:RNB590008 RWV590008:RWX590008 SGR590008:SGT590008 SQN590008:SQP590008 TAJ590008:TAL590008 TKF590008:TKH590008 TUB590008:TUD590008 UDX590008:UDZ590008 UNT590008:UNV590008 UXP590008:UXR590008 VHL590008:VHN590008 VRH590008:VRJ590008 WBD590008:WBF590008 WKZ590008:WLB590008 WUV590008:WUX590008 IJ655544:IL655544 SF655544:SH655544 ACB655544:ACD655544 ALX655544:ALZ655544 AVT655544:AVV655544 BFP655544:BFR655544 BPL655544:BPN655544 BZH655544:BZJ655544 CJD655544:CJF655544 CSZ655544:CTB655544 DCV655544:DCX655544 DMR655544:DMT655544 DWN655544:DWP655544 EGJ655544:EGL655544 EQF655544:EQH655544 FAB655544:FAD655544 FJX655544:FJZ655544 FTT655544:FTV655544 GDP655544:GDR655544 GNL655544:GNN655544 GXH655544:GXJ655544 HHD655544:HHF655544 HQZ655544:HRB655544 IAV655544:IAX655544 IKR655544:IKT655544 IUN655544:IUP655544 JEJ655544:JEL655544 JOF655544:JOH655544 JYB655544:JYD655544 KHX655544:KHZ655544 KRT655544:KRV655544 LBP655544:LBR655544 LLL655544:LLN655544 LVH655544:LVJ655544 MFD655544:MFF655544 MOZ655544:MPB655544 MYV655544:MYX655544 NIR655544:NIT655544 NSN655544:NSP655544 OCJ655544:OCL655544 OMF655544:OMH655544 OWB655544:OWD655544 PFX655544:PFZ655544 PPT655544:PPV655544 PZP655544:PZR655544 QJL655544:QJN655544 QTH655544:QTJ655544 RDD655544:RDF655544 RMZ655544:RNB655544 RWV655544:RWX655544 SGR655544:SGT655544 SQN655544:SQP655544 TAJ655544:TAL655544 TKF655544:TKH655544 TUB655544:TUD655544 UDX655544:UDZ655544 UNT655544:UNV655544 UXP655544:UXR655544 VHL655544:VHN655544 VRH655544:VRJ655544 WBD655544:WBF655544 WKZ655544:WLB655544 WUV655544:WUX655544 IJ721080:IL721080 SF721080:SH721080 ACB721080:ACD721080 ALX721080:ALZ721080 AVT721080:AVV721080 BFP721080:BFR721080 BPL721080:BPN721080 BZH721080:BZJ721080 CJD721080:CJF721080 CSZ721080:CTB721080 DCV721080:DCX721080 DMR721080:DMT721080 DWN721080:DWP721080 EGJ721080:EGL721080 EQF721080:EQH721080 FAB721080:FAD721080 FJX721080:FJZ721080 FTT721080:FTV721080 GDP721080:GDR721080 GNL721080:GNN721080 GXH721080:GXJ721080 HHD721080:HHF721080 HQZ721080:HRB721080 IAV721080:IAX721080 IKR721080:IKT721080 IUN721080:IUP721080 JEJ721080:JEL721080 JOF721080:JOH721080 JYB721080:JYD721080 KHX721080:KHZ721080 KRT721080:KRV721080 LBP721080:LBR721080 LLL721080:LLN721080 LVH721080:LVJ721080 MFD721080:MFF721080 MOZ721080:MPB721080 MYV721080:MYX721080 NIR721080:NIT721080 NSN721080:NSP721080 OCJ721080:OCL721080 OMF721080:OMH721080 OWB721080:OWD721080 PFX721080:PFZ721080 PPT721080:PPV721080 PZP721080:PZR721080 QJL721080:QJN721080 QTH721080:QTJ721080 RDD721080:RDF721080 RMZ721080:RNB721080 RWV721080:RWX721080 SGR721080:SGT721080 SQN721080:SQP721080 TAJ721080:TAL721080 TKF721080:TKH721080 TUB721080:TUD721080 UDX721080:UDZ721080 UNT721080:UNV721080 UXP721080:UXR721080 VHL721080:VHN721080 VRH721080:VRJ721080 WBD721080:WBF721080 WKZ721080:WLB721080 WUV721080:WUX721080 IJ786616:IL786616 SF786616:SH786616 ACB786616:ACD786616 ALX786616:ALZ786616 AVT786616:AVV786616 BFP786616:BFR786616 BPL786616:BPN786616 BZH786616:BZJ786616 CJD786616:CJF786616 CSZ786616:CTB786616 DCV786616:DCX786616 DMR786616:DMT786616 DWN786616:DWP786616 EGJ786616:EGL786616 EQF786616:EQH786616 FAB786616:FAD786616 FJX786616:FJZ786616 FTT786616:FTV786616 GDP786616:GDR786616 GNL786616:GNN786616 GXH786616:GXJ786616 HHD786616:HHF786616 HQZ786616:HRB786616 IAV786616:IAX786616 IKR786616:IKT786616 IUN786616:IUP786616 JEJ786616:JEL786616 JOF786616:JOH786616 JYB786616:JYD786616 KHX786616:KHZ786616 KRT786616:KRV786616 LBP786616:LBR786616 LLL786616:LLN786616 LVH786616:LVJ786616 MFD786616:MFF786616 MOZ786616:MPB786616 MYV786616:MYX786616 NIR786616:NIT786616 NSN786616:NSP786616 OCJ786616:OCL786616 OMF786616:OMH786616 OWB786616:OWD786616 PFX786616:PFZ786616 PPT786616:PPV786616 PZP786616:PZR786616 QJL786616:QJN786616 QTH786616:QTJ786616 RDD786616:RDF786616 RMZ786616:RNB786616 RWV786616:RWX786616 SGR786616:SGT786616 SQN786616:SQP786616 TAJ786616:TAL786616 TKF786616:TKH786616 TUB786616:TUD786616 UDX786616:UDZ786616 UNT786616:UNV786616 UXP786616:UXR786616 VHL786616:VHN786616 VRH786616:VRJ786616 WBD786616:WBF786616 WKZ786616:WLB786616 WUV786616:WUX786616 IJ852152:IL852152 SF852152:SH852152 ACB852152:ACD852152 ALX852152:ALZ852152 AVT852152:AVV852152 BFP852152:BFR852152 BPL852152:BPN852152 BZH852152:BZJ852152 CJD852152:CJF852152 CSZ852152:CTB852152 DCV852152:DCX852152 DMR852152:DMT852152 DWN852152:DWP852152 EGJ852152:EGL852152 EQF852152:EQH852152 FAB852152:FAD852152 FJX852152:FJZ852152 FTT852152:FTV852152 GDP852152:GDR852152 GNL852152:GNN852152 GXH852152:GXJ852152 HHD852152:HHF852152 HQZ852152:HRB852152 IAV852152:IAX852152 IKR852152:IKT852152 IUN852152:IUP852152 JEJ852152:JEL852152 JOF852152:JOH852152 JYB852152:JYD852152 KHX852152:KHZ852152 KRT852152:KRV852152 LBP852152:LBR852152 LLL852152:LLN852152 LVH852152:LVJ852152 MFD852152:MFF852152 MOZ852152:MPB852152 MYV852152:MYX852152 NIR852152:NIT852152 NSN852152:NSP852152 OCJ852152:OCL852152 OMF852152:OMH852152 OWB852152:OWD852152 PFX852152:PFZ852152 PPT852152:PPV852152 PZP852152:PZR852152 QJL852152:QJN852152 QTH852152:QTJ852152 RDD852152:RDF852152 RMZ852152:RNB852152 RWV852152:RWX852152 SGR852152:SGT852152 SQN852152:SQP852152 TAJ852152:TAL852152 TKF852152:TKH852152 TUB852152:TUD852152 UDX852152:UDZ852152 UNT852152:UNV852152 UXP852152:UXR852152 VHL852152:VHN852152 VRH852152:VRJ852152 WBD852152:WBF852152 WKZ852152:WLB852152 WUV852152:WUX852152 IJ917688:IL917688 SF917688:SH917688 ACB917688:ACD917688 ALX917688:ALZ917688 AVT917688:AVV917688 BFP917688:BFR917688 BPL917688:BPN917688 BZH917688:BZJ917688 CJD917688:CJF917688 CSZ917688:CTB917688 DCV917688:DCX917688 DMR917688:DMT917688 DWN917688:DWP917688 EGJ917688:EGL917688 EQF917688:EQH917688 FAB917688:FAD917688 FJX917688:FJZ917688 FTT917688:FTV917688 GDP917688:GDR917688 GNL917688:GNN917688 GXH917688:GXJ917688 HHD917688:HHF917688 HQZ917688:HRB917688 IAV917688:IAX917688 IKR917688:IKT917688 IUN917688:IUP917688 JEJ917688:JEL917688 JOF917688:JOH917688 JYB917688:JYD917688 KHX917688:KHZ917688 KRT917688:KRV917688 LBP917688:LBR917688 LLL917688:LLN917688 LVH917688:LVJ917688 MFD917688:MFF917688 MOZ917688:MPB917688 MYV917688:MYX917688 NIR917688:NIT917688 NSN917688:NSP917688 OCJ917688:OCL917688 OMF917688:OMH917688 OWB917688:OWD917688 PFX917688:PFZ917688 PPT917688:PPV917688 PZP917688:PZR917688 QJL917688:QJN917688 QTH917688:QTJ917688 RDD917688:RDF917688 RMZ917688:RNB917688 RWV917688:RWX917688 SGR917688:SGT917688 SQN917688:SQP917688 TAJ917688:TAL917688 TKF917688:TKH917688 TUB917688:TUD917688 UDX917688:UDZ917688 UNT917688:UNV917688 UXP917688:UXR917688 VHL917688:VHN917688 VRH917688:VRJ917688 WBD917688:WBF917688 WKZ917688:WLB917688 WUV917688:WUX917688 IJ983224:IL983224 SF983224:SH983224 ACB983224:ACD983224 ALX983224:ALZ983224 AVT983224:AVV983224 BFP983224:BFR983224 BPL983224:BPN983224 BZH983224:BZJ983224 CJD983224:CJF983224 CSZ983224:CTB983224 DCV983224:DCX983224 DMR983224:DMT983224 DWN983224:DWP983224 EGJ983224:EGL983224 EQF983224:EQH983224 FAB983224:FAD983224 FJX983224:FJZ983224 FTT983224:FTV983224 GDP983224:GDR983224 GNL983224:GNN983224 GXH983224:GXJ983224 HHD983224:HHF983224 HQZ983224:HRB983224 IAV983224:IAX983224 IKR983224:IKT983224 IUN983224:IUP983224 JEJ983224:JEL983224 JOF983224:JOH983224 JYB983224:JYD983224 KHX983224:KHZ983224 KRT983224:KRV983224 LBP983224:LBR983224 LLL983224:LLN983224 LVH983224:LVJ983224 MFD983224:MFF983224 MOZ983224:MPB983224 MYV983224:MYX983224 NIR983224:NIT983224 NSN983224:NSP983224 OCJ983224:OCL983224 OMF983224:OMH983224 OWB983224:OWD983224 PFX983224:PFZ983224 PPT983224:PPV983224 PZP983224:PZR983224 QJL983224:QJN983224 QTH983224:QTJ983224 RDD983224:RDF983224 RMZ983224:RNB983224 RWV983224:RWX983224 SGR983224:SGT983224 SQN983224:SQP983224 TAJ983224:TAL983224 TKF983224:TKH983224 TUB983224:TUD983224 UDX983224:UDZ983224 UNT983224:UNV983224 UXP983224:UXR983224 VHL983224:VHN983224 VRH983224:VRJ983224 WBD983224:WBF983224 WKZ983224:WLB983224 WUV983224:WUX983224 IJ194:IL194 SF194:SH194 ACB194:ACD194 ALX194:ALZ194 AVT194:AVV194 BFP194:BFR194 BPL194:BPN194 BZH194:BZJ194 CJD194:CJF194 CSZ194:CTB194 DCV194:DCX194 DMR194:DMT194 DWN194:DWP194 EGJ194:EGL194 EQF194:EQH194 FAB194:FAD194 FJX194:FJZ194 FTT194:FTV194 GDP194:GDR194 GNL194:GNN194 GXH194:GXJ194 HHD194:HHF194 HQZ194:HRB194 IAV194:IAX194 IKR194:IKT194 IUN194:IUP194 JEJ194:JEL194 JOF194:JOH194 JYB194:JYD194 KHX194:KHZ194 KRT194:KRV194 LBP194:LBR194 LLL194:LLN194 LVH194:LVJ194 MFD194:MFF194 MOZ194:MPB194 MYV194:MYX194 NIR194:NIT194 NSN194:NSP194 OCJ194:OCL194 OMF194:OMH194 OWB194:OWD194 PFX194:PFZ194 PPT194:PPV194 PZP194:PZR194 QJL194:QJN194 QTH194:QTJ194 RDD194:RDF194 RMZ194:RNB194 RWV194:RWX194 SGR194:SGT194 SQN194:SQP194 TAJ194:TAL194 TKF194:TKH194 TUB194:TUD194 UDX194:UDZ194 UNT194:UNV194 UXP194:UXR194 VHL194:VHN194 VRH194:VRJ194 WBD194:WBF194 WKZ194:WLB194 WUV194:WUX194 IJ65730:IL65730 SF65730:SH65730 ACB65730:ACD65730 ALX65730:ALZ65730 AVT65730:AVV65730 BFP65730:BFR65730 BPL65730:BPN65730 BZH65730:BZJ65730 CJD65730:CJF65730 CSZ65730:CTB65730 DCV65730:DCX65730 DMR65730:DMT65730 DWN65730:DWP65730 EGJ65730:EGL65730 EQF65730:EQH65730 FAB65730:FAD65730 FJX65730:FJZ65730 FTT65730:FTV65730 GDP65730:GDR65730 GNL65730:GNN65730 GXH65730:GXJ65730 HHD65730:HHF65730 HQZ65730:HRB65730 IAV65730:IAX65730 IKR65730:IKT65730 IUN65730:IUP65730 JEJ65730:JEL65730 JOF65730:JOH65730 JYB65730:JYD65730 KHX65730:KHZ65730 KRT65730:KRV65730 LBP65730:LBR65730 LLL65730:LLN65730 LVH65730:LVJ65730 MFD65730:MFF65730 MOZ65730:MPB65730 MYV65730:MYX65730 NIR65730:NIT65730 NSN65730:NSP65730 OCJ65730:OCL65730 OMF65730:OMH65730 OWB65730:OWD65730 PFX65730:PFZ65730 PPT65730:PPV65730 PZP65730:PZR65730 QJL65730:QJN65730 QTH65730:QTJ65730 RDD65730:RDF65730 RMZ65730:RNB65730 RWV65730:RWX65730 SGR65730:SGT65730 SQN65730:SQP65730 TAJ65730:TAL65730 TKF65730:TKH65730 TUB65730:TUD65730 UDX65730:UDZ65730 UNT65730:UNV65730 UXP65730:UXR65730 VHL65730:VHN65730 VRH65730:VRJ65730 WBD65730:WBF65730 WKZ65730:WLB65730 WUV65730:WUX65730 IJ131266:IL131266 SF131266:SH131266 ACB131266:ACD131266 ALX131266:ALZ131266 AVT131266:AVV131266 BFP131266:BFR131266 BPL131266:BPN131266 BZH131266:BZJ131266 CJD131266:CJF131266 CSZ131266:CTB131266 DCV131266:DCX131266 DMR131266:DMT131266 DWN131266:DWP131266 EGJ131266:EGL131266 EQF131266:EQH131266 FAB131266:FAD131266 FJX131266:FJZ131266 FTT131266:FTV131266 GDP131266:GDR131266 GNL131266:GNN131266 GXH131266:GXJ131266 HHD131266:HHF131266 HQZ131266:HRB131266 IAV131266:IAX131266 IKR131266:IKT131266 IUN131266:IUP131266 JEJ131266:JEL131266 JOF131266:JOH131266 JYB131266:JYD131266 KHX131266:KHZ131266 KRT131266:KRV131266 LBP131266:LBR131266 LLL131266:LLN131266 LVH131266:LVJ131266 MFD131266:MFF131266 MOZ131266:MPB131266 MYV131266:MYX131266 NIR131266:NIT131266 NSN131266:NSP131266 OCJ131266:OCL131266 OMF131266:OMH131266 OWB131266:OWD131266 PFX131266:PFZ131266 PPT131266:PPV131266 PZP131266:PZR131266 QJL131266:QJN131266 QTH131266:QTJ131266 RDD131266:RDF131266 RMZ131266:RNB131266 RWV131266:RWX131266 SGR131266:SGT131266 SQN131266:SQP131266 TAJ131266:TAL131266 TKF131266:TKH131266 TUB131266:TUD131266 UDX131266:UDZ131266 UNT131266:UNV131266 UXP131266:UXR131266 VHL131266:VHN131266 VRH131266:VRJ131266 WBD131266:WBF131266 WKZ131266:WLB131266 WUV131266:WUX131266 IJ196802:IL196802 SF196802:SH196802 ACB196802:ACD196802 ALX196802:ALZ196802 AVT196802:AVV196802 BFP196802:BFR196802 BPL196802:BPN196802 BZH196802:BZJ196802 CJD196802:CJF196802 CSZ196802:CTB196802 DCV196802:DCX196802 DMR196802:DMT196802 DWN196802:DWP196802 EGJ196802:EGL196802 EQF196802:EQH196802 FAB196802:FAD196802 FJX196802:FJZ196802 FTT196802:FTV196802 GDP196802:GDR196802 GNL196802:GNN196802 GXH196802:GXJ196802 HHD196802:HHF196802 HQZ196802:HRB196802 IAV196802:IAX196802 IKR196802:IKT196802 IUN196802:IUP196802 JEJ196802:JEL196802 JOF196802:JOH196802 JYB196802:JYD196802 KHX196802:KHZ196802 KRT196802:KRV196802 LBP196802:LBR196802 LLL196802:LLN196802 LVH196802:LVJ196802 MFD196802:MFF196802 MOZ196802:MPB196802 MYV196802:MYX196802 NIR196802:NIT196802 NSN196802:NSP196802 OCJ196802:OCL196802 OMF196802:OMH196802 OWB196802:OWD196802 PFX196802:PFZ196802 PPT196802:PPV196802 PZP196802:PZR196802 QJL196802:QJN196802 QTH196802:QTJ196802 RDD196802:RDF196802 RMZ196802:RNB196802 RWV196802:RWX196802 SGR196802:SGT196802 SQN196802:SQP196802 TAJ196802:TAL196802 TKF196802:TKH196802 TUB196802:TUD196802 UDX196802:UDZ196802 UNT196802:UNV196802 UXP196802:UXR196802 VHL196802:VHN196802 VRH196802:VRJ196802 WBD196802:WBF196802 WKZ196802:WLB196802 WUV196802:WUX196802 IJ262338:IL262338 SF262338:SH262338 ACB262338:ACD262338 ALX262338:ALZ262338 AVT262338:AVV262338 BFP262338:BFR262338 BPL262338:BPN262338 BZH262338:BZJ262338 CJD262338:CJF262338 CSZ262338:CTB262338 DCV262338:DCX262338 DMR262338:DMT262338 DWN262338:DWP262338 EGJ262338:EGL262338 EQF262338:EQH262338 FAB262338:FAD262338 FJX262338:FJZ262338 FTT262338:FTV262338 GDP262338:GDR262338 GNL262338:GNN262338 GXH262338:GXJ262338 HHD262338:HHF262338 HQZ262338:HRB262338 IAV262338:IAX262338 IKR262338:IKT262338 IUN262338:IUP262338 JEJ262338:JEL262338 JOF262338:JOH262338 JYB262338:JYD262338 KHX262338:KHZ262338 KRT262338:KRV262338 LBP262338:LBR262338 LLL262338:LLN262338 LVH262338:LVJ262338 MFD262338:MFF262338 MOZ262338:MPB262338 MYV262338:MYX262338 NIR262338:NIT262338 NSN262338:NSP262338 OCJ262338:OCL262338 OMF262338:OMH262338 OWB262338:OWD262338 PFX262338:PFZ262338 PPT262338:PPV262338 PZP262338:PZR262338 QJL262338:QJN262338 QTH262338:QTJ262338 RDD262338:RDF262338 RMZ262338:RNB262338 RWV262338:RWX262338 SGR262338:SGT262338 SQN262338:SQP262338 TAJ262338:TAL262338 TKF262338:TKH262338 TUB262338:TUD262338 UDX262338:UDZ262338 UNT262338:UNV262338 UXP262338:UXR262338 VHL262338:VHN262338 VRH262338:VRJ262338 WBD262338:WBF262338 WKZ262338:WLB262338 WUV262338:WUX262338 IJ327874:IL327874 SF327874:SH327874 ACB327874:ACD327874 ALX327874:ALZ327874 AVT327874:AVV327874 BFP327874:BFR327874 BPL327874:BPN327874 BZH327874:BZJ327874 CJD327874:CJF327874 CSZ327874:CTB327874 DCV327874:DCX327874 DMR327874:DMT327874 DWN327874:DWP327874 EGJ327874:EGL327874 EQF327874:EQH327874 FAB327874:FAD327874 FJX327874:FJZ327874 FTT327874:FTV327874 GDP327874:GDR327874 GNL327874:GNN327874 GXH327874:GXJ327874 HHD327874:HHF327874 HQZ327874:HRB327874 IAV327874:IAX327874 IKR327874:IKT327874 IUN327874:IUP327874 JEJ327874:JEL327874 JOF327874:JOH327874 JYB327874:JYD327874 KHX327874:KHZ327874 KRT327874:KRV327874 LBP327874:LBR327874 LLL327874:LLN327874 LVH327874:LVJ327874 MFD327874:MFF327874 MOZ327874:MPB327874 MYV327874:MYX327874 NIR327874:NIT327874 NSN327874:NSP327874 OCJ327874:OCL327874 OMF327874:OMH327874 OWB327874:OWD327874 PFX327874:PFZ327874 PPT327874:PPV327874 PZP327874:PZR327874 QJL327874:QJN327874 QTH327874:QTJ327874 RDD327874:RDF327874 RMZ327874:RNB327874 RWV327874:RWX327874 SGR327874:SGT327874 SQN327874:SQP327874 TAJ327874:TAL327874 TKF327874:TKH327874 TUB327874:TUD327874 UDX327874:UDZ327874 UNT327874:UNV327874 UXP327874:UXR327874 VHL327874:VHN327874 VRH327874:VRJ327874 WBD327874:WBF327874 WKZ327874:WLB327874 WUV327874:WUX327874 IJ393410:IL393410 SF393410:SH393410 ACB393410:ACD393410 ALX393410:ALZ393410 AVT393410:AVV393410 BFP393410:BFR393410 BPL393410:BPN393410 BZH393410:BZJ393410 CJD393410:CJF393410 CSZ393410:CTB393410 DCV393410:DCX393410 DMR393410:DMT393410 DWN393410:DWP393410 EGJ393410:EGL393410 EQF393410:EQH393410 FAB393410:FAD393410 FJX393410:FJZ393410 FTT393410:FTV393410 GDP393410:GDR393410 GNL393410:GNN393410 GXH393410:GXJ393410 HHD393410:HHF393410 HQZ393410:HRB393410 IAV393410:IAX393410 IKR393410:IKT393410 IUN393410:IUP393410 JEJ393410:JEL393410 JOF393410:JOH393410 JYB393410:JYD393410 KHX393410:KHZ393410 KRT393410:KRV393410 LBP393410:LBR393410 LLL393410:LLN393410 LVH393410:LVJ393410 MFD393410:MFF393410 MOZ393410:MPB393410 MYV393410:MYX393410 NIR393410:NIT393410 NSN393410:NSP393410 OCJ393410:OCL393410 OMF393410:OMH393410 OWB393410:OWD393410 PFX393410:PFZ393410 PPT393410:PPV393410 PZP393410:PZR393410 QJL393410:QJN393410 QTH393410:QTJ393410 RDD393410:RDF393410 RMZ393410:RNB393410 RWV393410:RWX393410 SGR393410:SGT393410 SQN393410:SQP393410 TAJ393410:TAL393410 TKF393410:TKH393410 TUB393410:TUD393410 UDX393410:UDZ393410 UNT393410:UNV393410 UXP393410:UXR393410 VHL393410:VHN393410 VRH393410:VRJ393410 WBD393410:WBF393410 WKZ393410:WLB393410 WUV393410:WUX393410 IJ458946:IL458946 SF458946:SH458946 ACB458946:ACD458946 ALX458946:ALZ458946 AVT458946:AVV458946 BFP458946:BFR458946 BPL458946:BPN458946 BZH458946:BZJ458946 CJD458946:CJF458946 CSZ458946:CTB458946 DCV458946:DCX458946 DMR458946:DMT458946 DWN458946:DWP458946 EGJ458946:EGL458946 EQF458946:EQH458946 FAB458946:FAD458946 FJX458946:FJZ458946 FTT458946:FTV458946 GDP458946:GDR458946 GNL458946:GNN458946 GXH458946:GXJ458946 HHD458946:HHF458946 HQZ458946:HRB458946 IAV458946:IAX458946 IKR458946:IKT458946 IUN458946:IUP458946 JEJ458946:JEL458946 JOF458946:JOH458946 JYB458946:JYD458946 KHX458946:KHZ458946 KRT458946:KRV458946 LBP458946:LBR458946 LLL458946:LLN458946 LVH458946:LVJ458946 MFD458946:MFF458946 MOZ458946:MPB458946 MYV458946:MYX458946 NIR458946:NIT458946 NSN458946:NSP458946 OCJ458946:OCL458946 OMF458946:OMH458946 OWB458946:OWD458946 PFX458946:PFZ458946 PPT458946:PPV458946 PZP458946:PZR458946 QJL458946:QJN458946 QTH458946:QTJ458946 RDD458946:RDF458946 RMZ458946:RNB458946 RWV458946:RWX458946 SGR458946:SGT458946 SQN458946:SQP458946 TAJ458946:TAL458946 TKF458946:TKH458946 TUB458946:TUD458946 UDX458946:UDZ458946 UNT458946:UNV458946 UXP458946:UXR458946 VHL458946:VHN458946 VRH458946:VRJ458946 WBD458946:WBF458946 WKZ458946:WLB458946 WUV458946:WUX458946 IJ524482:IL524482 SF524482:SH524482 ACB524482:ACD524482 ALX524482:ALZ524482 AVT524482:AVV524482 BFP524482:BFR524482 BPL524482:BPN524482 BZH524482:BZJ524482 CJD524482:CJF524482 CSZ524482:CTB524482 DCV524482:DCX524482 DMR524482:DMT524482 DWN524482:DWP524482 EGJ524482:EGL524482 EQF524482:EQH524482 FAB524482:FAD524482 FJX524482:FJZ524482 FTT524482:FTV524482 GDP524482:GDR524482 GNL524482:GNN524482 GXH524482:GXJ524482 HHD524482:HHF524482 HQZ524482:HRB524482 IAV524482:IAX524482 IKR524482:IKT524482 IUN524482:IUP524482 JEJ524482:JEL524482 JOF524482:JOH524482 JYB524482:JYD524482 KHX524482:KHZ524482 KRT524482:KRV524482 LBP524482:LBR524482 LLL524482:LLN524482 LVH524482:LVJ524482 MFD524482:MFF524482 MOZ524482:MPB524482 MYV524482:MYX524482 NIR524482:NIT524482 NSN524482:NSP524482 OCJ524482:OCL524482 OMF524482:OMH524482 OWB524482:OWD524482 PFX524482:PFZ524482 PPT524482:PPV524482 PZP524482:PZR524482 QJL524482:QJN524482 QTH524482:QTJ524482 RDD524482:RDF524482 RMZ524482:RNB524482 RWV524482:RWX524482 SGR524482:SGT524482 SQN524482:SQP524482 TAJ524482:TAL524482 TKF524482:TKH524482 TUB524482:TUD524482 UDX524482:UDZ524482 UNT524482:UNV524482 UXP524482:UXR524482 VHL524482:VHN524482 VRH524482:VRJ524482 WBD524482:WBF524482 WKZ524482:WLB524482 WUV524482:WUX524482 IJ590018:IL590018 SF590018:SH590018 ACB590018:ACD590018 ALX590018:ALZ590018 AVT590018:AVV590018 BFP590018:BFR590018 BPL590018:BPN590018 BZH590018:BZJ590018 CJD590018:CJF590018 CSZ590018:CTB590018 DCV590018:DCX590018 DMR590018:DMT590018 DWN590018:DWP590018 EGJ590018:EGL590018 EQF590018:EQH590018 FAB590018:FAD590018 FJX590018:FJZ590018 FTT590018:FTV590018 GDP590018:GDR590018 GNL590018:GNN590018 GXH590018:GXJ590018 HHD590018:HHF590018 HQZ590018:HRB590018 IAV590018:IAX590018 IKR590018:IKT590018 IUN590018:IUP590018 JEJ590018:JEL590018 JOF590018:JOH590018 JYB590018:JYD590018 KHX590018:KHZ590018 KRT590018:KRV590018 LBP590018:LBR590018 LLL590018:LLN590018 LVH590018:LVJ590018 MFD590018:MFF590018 MOZ590018:MPB590018 MYV590018:MYX590018 NIR590018:NIT590018 NSN590018:NSP590018 OCJ590018:OCL590018 OMF590018:OMH590018 OWB590018:OWD590018 PFX590018:PFZ590018 PPT590018:PPV590018 PZP590018:PZR590018 QJL590018:QJN590018 QTH590018:QTJ590018 RDD590018:RDF590018 RMZ590018:RNB590018 RWV590018:RWX590018 SGR590018:SGT590018 SQN590018:SQP590018 TAJ590018:TAL590018 TKF590018:TKH590018 TUB590018:TUD590018 UDX590018:UDZ590018 UNT590018:UNV590018 UXP590018:UXR590018 VHL590018:VHN590018 VRH590018:VRJ590018 WBD590018:WBF590018 WKZ590018:WLB590018 WUV590018:WUX590018 IJ655554:IL655554 SF655554:SH655554 ACB655554:ACD655554 ALX655554:ALZ655554 AVT655554:AVV655554 BFP655554:BFR655554 BPL655554:BPN655554 BZH655554:BZJ655554 CJD655554:CJF655554 CSZ655554:CTB655554 DCV655554:DCX655554 DMR655554:DMT655554 DWN655554:DWP655554 EGJ655554:EGL655554 EQF655554:EQH655554 FAB655554:FAD655554 FJX655554:FJZ655554 FTT655554:FTV655554 GDP655554:GDR655554 GNL655554:GNN655554 GXH655554:GXJ655554 HHD655554:HHF655554 HQZ655554:HRB655554 IAV655554:IAX655554 IKR655554:IKT655554 IUN655554:IUP655554 JEJ655554:JEL655554 JOF655554:JOH655554 JYB655554:JYD655554 KHX655554:KHZ655554 KRT655554:KRV655554 LBP655554:LBR655554 LLL655554:LLN655554 LVH655554:LVJ655554 MFD655554:MFF655554 MOZ655554:MPB655554 MYV655554:MYX655554 NIR655554:NIT655554 NSN655554:NSP655554 OCJ655554:OCL655554 OMF655554:OMH655554 OWB655554:OWD655554 PFX655554:PFZ655554 PPT655554:PPV655554 PZP655554:PZR655554 QJL655554:QJN655554 QTH655554:QTJ655554 RDD655554:RDF655554 RMZ655554:RNB655554 RWV655554:RWX655554 SGR655554:SGT655554 SQN655554:SQP655554 TAJ655554:TAL655554 TKF655554:TKH655554 TUB655554:TUD655554 UDX655554:UDZ655554 UNT655554:UNV655554 UXP655554:UXR655554 VHL655554:VHN655554 VRH655554:VRJ655554 WBD655554:WBF655554 WKZ655554:WLB655554 WUV655554:WUX655554 IJ721090:IL721090 SF721090:SH721090 ACB721090:ACD721090 ALX721090:ALZ721090 AVT721090:AVV721090 BFP721090:BFR721090 BPL721090:BPN721090 BZH721090:BZJ721090 CJD721090:CJF721090 CSZ721090:CTB721090 DCV721090:DCX721090 DMR721090:DMT721090 DWN721090:DWP721090 EGJ721090:EGL721090 EQF721090:EQH721090 FAB721090:FAD721090 FJX721090:FJZ721090 FTT721090:FTV721090 GDP721090:GDR721090 GNL721090:GNN721090 GXH721090:GXJ721090 HHD721090:HHF721090 HQZ721090:HRB721090 IAV721090:IAX721090 IKR721090:IKT721090 IUN721090:IUP721090 JEJ721090:JEL721090 JOF721090:JOH721090 JYB721090:JYD721090 KHX721090:KHZ721090 KRT721090:KRV721090 LBP721090:LBR721090 LLL721090:LLN721090 LVH721090:LVJ721090 MFD721090:MFF721090 MOZ721090:MPB721090 MYV721090:MYX721090 NIR721090:NIT721090 NSN721090:NSP721090 OCJ721090:OCL721090 OMF721090:OMH721090 OWB721090:OWD721090 PFX721090:PFZ721090 PPT721090:PPV721090 PZP721090:PZR721090 QJL721090:QJN721090 QTH721090:QTJ721090 RDD721090:RDF721090 RMZ721090:RNB721090 RWV721090:RWX721090 SGR721090:SGT721090 SQN721090:SQP721090 TAJ721090:TAL721090 TKF721090:TKH721090 TUB721090:TUD721090 UDX721090:UDZ721090 UNT721090:UNV721090 UXP721090:UXR721090 VHL721090:VHN721090 VRH721090:VRJ721090 WBD721090:WBF721090 WKZ721090:WLB721090 WUV721090:WUX721090 IJ786626:IL786626 SF786626:SH786626 ACB786626:ACD786626 ALX786626:ALZ786626 AVT786626:AVV786626 BFP786626:BFR786626 BPL786626:BPN786626 BZH786626:BZJ786626 CJD786626:CJF786626 CSZ786626:CTB786626 DCV786626:DCX786626 DMR786626:DMT786626 DWN786626:DWP786626 EGJ786626:EGL786626 EQF786626:EQH786626 FAB786626:FAD786626 FJX786626:FJZ786626 FTT786626:FTV786626 GDP786626:GDR786626 GNL786626:GNN786626 GXH786626:GXJ786626 HHD786626:HHF786626 HQZ786626:HRB786626 IAV786626:IAX786626 IKR786626:IKT786626 IUN786626:IUP786626 JEJ786626:JEL786626 JOF786626:JOH786626 JYB786626:JYD786626 KHX786626:KHZ786626 KRT786626:KRV786626 LBP786626:LBR786626 LLL786626:LLN786626 LVH786626:LVJ786626 MFD786626:MFF786626 MOZ786626:MPB786626 MYV786626:MYX786626 NIR786626:NIT786626 NSN786626:NSP786626 OCJ786626:OCL786626 OMF786626:OMH786626 OWB786626:OWD786626 PFX786626:PFZ786626 PPT786626:PPV786626 PZP786626:PZR786626 QJL786626:QJN786626 QTH786626:QTJ786626 RDD786626:RDF786626 RMZ786626:RNB786626 RWV786626:RWX786626 SGR786626:SGT786626 SQN786626:SQP786626 TAJ786626:TAL786626 TKF786626:TKH786626 TUB786626:TUD786626 UDX786626:UDZ786626 UNT786626:UNV786626 UXP786626:UXR786626 VHL786626:VHN786626 VRH786626:VRJ786626 WBD786626:WBF786626 WKZ786626:WLB786626 WUV786626:WUX786626 IJ852162:IL852162 SF852162:SH852162 ACB852162:ACD852162 ALX852162:ALZ852162 AVT852162:AVV852162 BFP852162:BFR852162 BPL852162:BPN852162 BZH852162:BZJ852162 CJD852162:CJF852162 CSZ852162:CTB852162 DCV852162:DCX852162 DMR852162:DMT852162 DWN852162:DWP852162 EGJ852162:EGL852162 EQF852162:EQH852162 FAB852162:FAD852162 FJX852162:FJZ852162 FTT852162:FTV852162 GDP852162:GDR852162 GNL852162:GNN852162 GXH852162:GXJ852162 HHD852162:HHF852162 HQZ852162:HRB852162 IAV852162:IAX852162 IKR852162:IKT852162 IUN852162:IUP852162 JEJ852162:JEL852162 JOF852162:JOH852162 JYB852162:JYD852162 KHX852162:KHZ852162 KRT852162:KRV852162 LBP852162:LBR852162 LLL852162:LLN852162 LVH852162:LVJ852162 MFD852162:MFF852162 MOZ852162:MPB852162 MYV852162:MYX852162 NIR852162:NIT852162 NSN852162:NSP852162 OCJ852162:OCL852162 OMF852162:OMH852162 OWB852162:OWD852162 PFX852162:PFZ852162 PPT852162:PPV852162 PZP852162:PZR852162 QJL852162:QJN852162 QTH852162:QTJ852162 RDD852162:RDF852162 RMZ852162:RNB852162 RWV852162:RWX852162 SGR852162:SGT852162 SQN852162:SQP852162 TAJ852162:TAL852162 TKF852162:TKH852162 TUB852162:TUD852162 UDX852162:UDZ852162 UNT852162:UNV852162 UXP852162:UXR852162 VHL852162:VHN852162 VRH852162:VRJ852162 WBD852162:WBF852162 WKZ852162:WLB852162 WUV852162:WUX852162 IJ917698:IL917698 SF917698:SH917698 ACB917698:ACD917698 ALX917698:ALZ917698 AVT917698:AVV917698 BFP917698:BFR917698 BPL917698:BPN917698 BZH917698:BZJ917698 CJD917698:CJF917698 CSZ917698:CTB917698 DCV917698:DCX917698 DMR917698:DMT917698 DWN917698:DWP917698 EGJ917698:EGL917698 EQF917698:EQH917698 FAB917698:FAD917698 FJX917698:FJZ917698 FTT917698:FTV917698 GDP917698:GDR917698 GNL917698:GNN917698 GXH917698:GXJ917698 HHD917698:HHF917698 HQZ917698:HRB917698 IAV917698:IAX917698 IKR917698:IKT917698 IUN917698:IUP917698 JEJ917698:JEL917698 JOF917698:JOH917698 JYB917698:JYD917698 KHX917698:KHZ917698 KRT917698:KRV917698 LBP917698:LBR917698 LLL917698:LLN917698 LVH917698:LVJ917698 MFD917698:MFF917698 MOZ917698:MPB917698 MYV917698:MYX917698 NIR917698:NIT917698 NSN917698:NSP917698 OCJ917698:OCL917698 OMF917698:OMH917698 OWB917698:OWD917698 PFX917698:PFZ917698 PPT917698:PPV917698 PZP917698:PZR917698 QJL917698:QJN917698 QTH917698:QTJ917698 RDD917698:RDF917698 RMZ917698:RNB917698 RWV917698:RWX917698 SGR917698:SGT917698 SQN917698:SQP917698 TAJ917698:TAL917698 TKF917698:TKH917698 TUB917698:TUD917698 UDX917698:UDZ917698 UNT917698:UNV917698 UXP917698:UXR917698 VHL917698:VHN917698 VRH917698:VRJ917698 WBD917698:WBF917698 WKZ917698:WLB917698 WUV917698:WUX917698 IJ983234:IL983234 SF983234:SH983234 ACB983234:ACD983234 ALX983234:ALZ983234 AVT983234:AVV983234 BFP983234:BFR983234 BPL983234:BPN983234 BZH983234:BZJ983234 CJD983234:CJF983234 CSZ983234:CTB983234 DCV983234:DCX983234 DMR983234:DMT983234 DWN983234:DWP983234 EGJ983234:EGL983234 EQF983234:EQH983234 FAB983234:FAD983234 FJX983234:FJZ983234 FTT983234:FTV983234 GDP983234:GDR983234 GNL983234:GNN983234 GXH983234:GXJ983234 HHD983234:HHF983234 HQZ983234:HRB983234 IAV983234:IAX983234 IKR983234:IKT983234 IUN983234:IUP983234 JEJ983234:JEL983234 JOF983234:JOH983234 JYB983234:JYD983234 KHX983234:KHZ983234 KRT983234:KRV983234 LBP983234:LBR983234 LLL983234:LLN983234 LVH983234:LVJ983234 MFD983234:MFF983234 MOZ983234:MPB983234 MYV983234:MYX983234 NIR983234:NIT983234 NSN983234:NSP983234 OCJ983234:OCL983234 OMF983234:OMH983234 OWB983234:OWD983234 PFX983234:PFZ983234 PPT983234:PPV983234 PZP983234:PZR983234 QJL983234:QJN983234 QTH983234:QTJ983234 RDD983234:RDF983234 RMZ983234:RNB983234 RWV983234:RWX983234 SGR983234:SGT983234 SQN983234:SQP983234 TAJ983234:TAL983234 TKF983234:TKH983234 TUB983234:TUD983234 UDX983234:UDZ983234 UNT983234:UNV983234 UXP983234:UXR983234 VHL983234:VHN983234 VRH983234:VRJ983234 WBD983234:WBF983234 WKZ983234:WLB983234 WUV983234:WUX983234 B983234:D983234 B917698:D917698 B852162:D852162 B786626:D786626 B721090:D721090 B655554:D655554 B590018:D590018 B524482:D524482 B458946:D458946 B393410:D393410 B327874:D327874 B262338:D262338 B196802:D196802 B131266:D131266 B65730:D65730 B983084:D983084 B983224:D983224 B917688:D917688 B852152:D852152 B786616:D786616 B721080:D721080 B655544:D655544 B590008:D590008 B524472:D524472 B458936:D458936 B393400:D393400 B327864:D327864 B262328:D262328 B196792:D196792 B131256:D131256 B65720:D65720 B917548:D917548 B983214:D983214 B917678:D917678 B852142:D852142 B786606:D786606 B721070:D721070 B655534:D655534 B589998:D589998 B524462:D524462 B458926:D458926 B393390:D393390 B327854:D327854 B262318:D262318 B196782:D196782 B131246:D131246 B65710:D65710 B852012:D852012 B983204:D983204 B917668:D917668 B852132:D852132 B786596:D786596 B721060:D721060 B655524:D655524 B589988:D589988 B524452:D524452 B458916:D458916 B393380:D393380 B327844:D327844 B262308:D262308 B196772:D196772 B131236:D131236 B65700:D65700 B786476:D786476 B983194:D983194 B917658:D917658 B852122:D852122 B786586:D786586 B721050:D721050 B655514:D655514 B589978:D589978 B524442:D524442 B458906:D458906 B393370:D393370 B327834:D327834 B262298:D262298 B196762:D196762 B131226:D131226 B65690:D65690 B720940:D720940 B983184:D983184 B917648:D917648 B852112:D852112 B786576:D786576 B721040:D721040 B655504:D655504 B589968:D589968 B524432:D524432 B458896:D458896 B393360:D393360 B327824:D327824 B262288:D262288 B196752:D196752 B131216:D131216 B65680:D65680 B655404:D655404 B983174:D983174 B917638:D917638 B852102:D852102 B786566:D786566 B721030:D721030 B655494:D655494 B589958:D589958 B524422:D524422 B458886:D458886 B393350:D393350 B327814:D327814 B262278:D262278 B196742:D196742 B131206:D131206 B65670:D65670 B589868:D589868 B983164:D983164 B917628:D917628 B852092:D852092 B786556:D786556 B721020:D721020 B655484:D655484 B589948:D589948 B524412:D524412 B458876:D458876 B393340:D393340 B327804:D327804 B262268:D262268 B196732:D196732 B131196:D131196 B65660:D65660 B524332:D524332 B983154:D983154 B917618:D917618 B852082:D852082 B786546:D786546 B721010:D721010 B655474:D655474 B589938:D589938 B524402:D524402 B458866:D458866 B393330:D393330 B327794:D327794 B262258:D262258 B196722:D196722 B131186:D131186 B65650:D65650 B458796:D458796 B983144:D983144 B917608:D917608 B852072:D852072 B786536:D786536 B721000:D721000 B655464:D655464 B589928:D589928 B524392:D524392 B458856:D458856 B393320:D393320 B327784:D327784 B262248:D262248 B196712:D196712 B131176:D131176 B65640:D65640 B393260:D393260 B983134:D983134 B917598:D917598 B852062:D852062 B786526:D786526 B720990:D720990 B655454:D655454 B589918:D589918 B524382:D524382 B458846:D458846 B393310:D393310 B327774:D327774 B262238:D262238 B196702:D196702 B131166:D131166 B65630:D65630 B327724:D327724 B983124:D983124 B917588:D917588 B852052:D852052 B786516:D786516 B720980:D720980 B655444:D655444 B589908:D589908 B524372:D524372 B458836:D458836 B393300:D393300 B327764:D327764 B262228:D262228 B196692:D196692 B131156:D131156 B65620:D65620 B262188:D262188 B983114:D983114 B917578:D917578 B852042:D852042 B786506:D786506 B720970:D720970 B655434:D655434 B589898:D589898 B524362:D524362 B458826:D458826 B393290:D393290 B327754:D327754 B262218:D262218 B196682:D196682 B131146:D131146 B65610:D65610 B196652:D196652 B983104:D983104 B917568:D917568 B852032:D852032 B786496:D786496 B720960:D720960 B655424:D655424 B589888:D589888 B524352:D524352 B458816:D458816 B393280:D393280 B327744:D327744 B262208:D262208 B196672:D196672 B131136:D131136 B65600:D65600 B131116:D131116 B983094:D983094 B917558:D917558 B852022:D852022 B786486:D786486 B720950:D720950 B655414:D655414 B589878:D589878 B524342:D524342 B458806:D458806 B393270:D393270 B327734:D327734 B262198:D262198 B196662:D196662 B131126:D131126 B65590:D65590 B65580:D65580 B194:D194 B184:D184 B174:D174 B164:D164 B154:D154 B144:D144 B134:D134 B124:D124 B114:D114 B104:D104 B94:D94 B44:D44 B74:D74 B64:D64 B54:D54 B84:D84 B334:D334 B324:D324 B314:D314 B304:D304 B294:D294 B284:D284 B274:D274 B264:D264 B254:D254 B204:D204 B234:D234 B224:D224 B214:D214 B244:D244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tabColor theme="6"/>
    <pageSetUpPr fitToPage="1"/>
  </sheetPr>
  <dimension ref="A1:BG427"/>
  <sheetViews>
    <sheetView zoomScale="85" zoomScaleNormal="85" workbookViewId="0">
      <pane xSplit="3" ySplit="15" topLeftCell="D97" activePane="bottomRight" state="frozen"/>
      <selection activeCell="J21" sqref="J21"/>
      <selection pane="topRight" activeCell="J21" sqref="J21"/>
      <selection pane="bottomLeft" activeCell="J21" sqref="J21"/>
      <selection pane="bottomRight" activeCell="D15" sqref="D15"/>
    </sheetView>
  </sheetViews>
  <sheetFormatPr defaultColWidth="11.44140625" defaultRowHeight="13.8"/>
  <cols>
    <col min="1" max="1" width="23.5546875" style="126" customWidth="1"/>
    <col min="2" max="2" width="6.5546875" style="126" customWidth="1"/>
    <col min="3" max="3" width="21.5546875" style="126" customWidth="1"/>
    <col min="4" max="41" width="10.6640625" style="126" customWidth="1"/>
    <col min="42" max="42" width="11.44140625" style="126" customWidth="1"/>
    <col min="43" max="43" width="13.88671875" style="539" customWidth="1"/>
    <col min="44" max="47" width="11.44140625" style="539" customWidth="1"/>
    <col min="48" max="49" width="11.44140625" style="507" customWidth="1"/>
    <col min="50" max="51" width="11.44140625" style="126"/>
    <col min="52" max="52" width="30.33203125" style="126" bestFit="1" customWidth="1"/>
    <col min="53" max="16384" width="11.44140625" style="126"/>
  </cols>
  <sheetData>
    <row r="1" spans="1:49"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c r="AQ1" s="478"/>
      <c r="AR1" s="478"/>
      <c r="AS1" s="478"/>
      <c r="AT1" s="478"/>
      <c r="AU1" s="478"/>
      <c r="AV1" s="479"/>
      <c r="AW1" s="479"/>
    </row>
    <row r="2" spans="1:49"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c r="AQ2" s="478"/>
      <c r="AR2" s="478"/>
      <c r="AS2" s="478"/>
      <c r="AT2" s="478"/>
      <c r="AU2" s="478"/>
      <c r="AV2" s="479"/>
      <c r="AW2" s="479"/>
    </row>
    <row r="3" spans="1:49" s="153" customFormat="1" ht="26.25" customHeight="1">
      <c r="A3" s="126"/>
      <c r="B3" s="126"/>
      <c r="C3" s="126"/>
      <c r="D3" s="126"/>
      <c r="E3" s="126"/>
      <c r="F3" s="126"/>
      <c r="H3" s="129" t="s">
        <v>1506</v>
      </c>
      <c r="I3" s="126"/>
      <c r="J3" s="126"/>
      <c r="K3" s="126"/>
      <c r="L3" s="126"/>
      <c r="M3" s="126"/>
      <c r="N3" s="126"/>
      <c r="O3" s="126"/>
      <c r="P3" s="126"/>
      <c r="Q3" s="126"/>
      <c r="R3" s="126"/>
      <c r="S3" s="126"/>
      <c r="T3" s="126"/>
      <c r="AQ3" s="478"/>
      <c r="AR3" s="478"/>
      <c r="AS3" s="478"/>
      <c r="AT3" s="478"/>
      <c r="AU3" s="478"/>
      <c r="AV3" s="479"/>
      <c r="AW3" s="479"/>
    </row>
    <row r="4" spans="1:49" s="153" customFormat="1" ht="15" customHeight="1">
      <c r="A4" s="126"/>
      <c r="B4" s="126"/>
      <c r="C4" s="126"/>
      <c r="D4" s="126"/>
      <c r="E4" s="126"/>
      <c r="F4" s="126"/>
      <c r="G4" s="126"/>
      <c r="H4" s="126"/>
      <c r="I4" s="126"/>
      <c r="J4" s="126"/>
      <c r="K4" s="126"/>
      <c r="L4" s="126"/>
      <c r="M4" s="126"/>
      <c r="N4" s="126"/>
      <c r="O4" s="126"/>
      <c r="P4" s="126"/>
      <c r="Q4" s="126"/>
      <c r="R4" s="126"/>
      <c r="S4" s="126"/>
      <c r="T4" s="126"/>
      <c r="AQ4" s="478"/>
      <c r="AR4" s="478"/>
      <c r="AS4" s="478"/>
      <c r="AT4" s="478"/>
      <c r="AU4" s="478"/>
      <c r="AV4" s="479"/>
      <c r="AW4" s="479"/>
    </row>
    <row r="5" spans="1:49">
      <c r="A5" s="480"/>
      <c r="B5" s="141"/>
      <c r="C5" s="141"/>
      <c r="D5" s="1186" t="s">
        <v>470</v>
      </c>
      <c r="E5" s="1187"/>
      <c r="F5" s="1187"/>
      <c r="G5" s="141"/>
      <c r="H5" s="1186" t="s">
        <v>471</v>
      </c>
      <c r="I5" s="1187"/>
      <c r="J5" s="1187"/>
      <c r="K5" s="141"/>
      <c r="L5" s="1186" t="s">
        <v>472</v>
      </c>
      <c r="M5" s="1187"/>
      <c r="N5" s="1187"/>
      <c r="O5" s="141"/>
      <c r="P5" s="141"/>
      <c r="Q5" s="141"/>
      <c r="R5" s="141"/>
      <c r="S5" s="141"/>
      <c r="T5" s="141"/>
      <c r="U5" s="141"/>
      <c r="V5" s="141"/>
      <c r="W5" s="141"/>
      <c r="X5" s="141"/>
      <c r="Y5" s="141"/>
      <c r="Z5" s="141"/>
      <c r="AA5" s="141"/>
      <c r="AB5" s="141"/>
      <c r="AC5" s="141"/>
      <c r="AD5" s="141"/>
      <c r="AE5" s="141"/>
      <c r="AF5" s="141"/>
      <c r="AG5" s="141"/>
      <c r="AH5" s="141"/>
      <c r="AI5" s="141"/>
      <c r="AJ5" s="141"/>
      <c r="AK5" s="141"/>
      <c r="AL5" s="141"/>
      <c r="AM5" s="141"/>
      <c r="AN5" s="141"/>
      <c r="AO5" s="141"/>
      <c r="AP5" s="141"/>
      <c r="AQ5" s="481"/>
      <c r="AR5" s="481"/>
      <c r="AS5" s="481"/>
      <c r="AT5" s="481"/>
      <c r="AU5" s="481"/>
      <c r="AV5" s="452"/>
      <c r="AW5" s="452"/>
    </row>
    <row r="6" spans="1:49" ht="14.4" thickBot="1">
      <c r="A6" s="480"/>
      <c r="B6" s="141"/>
      <c r="C6" s="141"/>
      <c r="D6" s="482" t="s">
        <v>473</v>
      </c>
      <c r="E6" s="482" t="s">
        <v>474</v>
      </c>
      <c r="F6" s="482" t="s">
        <v>475</v>
      </c>
      <c r="G6" s="142"/>
      <c r="H6" s="482" t="s">
        <v>476</v>
      </c>
      <c r="I6" s="482" t="s">
        <v>477</v>
      </c>
      <c r="J6" s="482" t="s">
        <v>478</v>
      </c>
      <c r="K6" s="142"/>
      <c r="L6" s="482" t="s">
        <v>479</v>
      </c>
      <c r="M6" s="482" t="s">
        <v>480</v>
      </c>
      <c r="N6" s="482" t="s">
        <v>481</v>
      </c>
      <c r="O6" s="143"/>
      <c r="P6" s="141"/>
      <c r="Q6" s="141"/>
      <c r="R6" s="141"/>
      <c r="S6" s="141"/>
      <c r="T6" s="141"/>
      <c r="U6" s="141"/>
      <c r="V6" s="141"/>
      <c r="W6" s="141"/>
      <c r="X6" s="141"/>
      <c r="Y6" s="141"/>
      <c r="Z6" s="141"/>
      <c r="AA6" s="141"/>
      <c r="AB6" s="141"/>
      <c r="AC6" s="141"/>
      <c r="AD6" s="141"/>
      <c r="AE6" s="141"/>
      <c r="AF6" s="141"/>
      <c r="AG6" s="141"/>
      <c r="AH6" s="141"/>
      <c r="AI6" s="141"/>
      <c r="AJ6" s="141"/>
      <c r="AK6" s="141"/>
      <c r="AL6" s="141"/>
      <c r="AM6" s="141"/>
      <c r="AN6" s="141"/>
      <c r="AO6" s="141"/>
      <c r="AP6" s="141"/>
      <c r="AQ6" s="481"/>
      <c r="AR6" s="481"/>
      <c r="AS6" s="481"/>
      <c r="AT6" s="481"/>
      <c r="AU6" s="481"/>
      <c r="AV6" s="452"/>
      <c r="AW6" s="452"/>
    </row>
    <row r="7" spans="1:49">
      <c r="A7" s="1188"/>
      <c r="B7" s="483"/>
      <c r="C7" s="484" t="str">
        <f>TMDPeriodValueTypeReported</f>
        <v>reported</v>
      </c>
      <c r="D7" s="485">
        <f>AQ362</f>
        <v>0</v>
      </c>
      <c r="E7" s="485">
        <f>AVReportedEffort</f>
        <v>0</v>
      </c>
      <c r="F7" s="486">
        <f>AVReportedCompletion</f>
        <v>0</v>
      </c>
      <c r="G7" s="487"/>
      <c r="H7" s="485">
        <f>AQ354</f>
        <v>0</v>
      </c>
      <c r="I7" s="485">
        <f>AQ355</f>
        <v>0</v>
      </c>
      <c r="J7" s="485">
        <f>I7+H7</f>
        <v>0</v>
      </c>
      <c r="K7" s="487"/>
      <c r="L7" s="485">
        <f>AQ358</f>
        <v>0</v>
      </c>
      <c r="M7" s="485">
        <f>AQ359</f>
        <v>0</v>
      </c>
      <c r="N7" s="485">
        <f>M7+L7</f>
        <v>0</v>
      </c>
      <c r="O7" s="487"/>
      <c r="P7" s="532">
        <f>N7+J7</f>
        <v>0</v>
      </c>
      <c r="Q7" s="141"/>
      <c r="R7" s="141"/>
      <c r="S7" s="141"/>
      <c r="T7" s="141"/>
      <c r="U7" s="141"/>
      <c r="V7" s="141"/>
      <c r="W7" s="488"/>
      <c r="X7" s="488"/>
      <c r="Y7" s="488"/>
      <c r="Z7" s="488"/>
      <c r="AA7" s="488"/>
      <c r="AB7" s="488"/>
      <c r="AC7" s="488"/>
      <c r="AD7" s="488"/>
      <c r="AE7" s="488"/>
      <c r="AF7" s="488"/>
      <c r="AG7" s="488"/>
      <c r="AH7" s="488"/>
      <c r="AI7" s="488"/>
      <c r="AJ7" s="488"/>
      <c r="AK7" s="488"/>
      <c r="AL7" s="488"/>
      <c r="AM7" s="488"/>
      <c r="AN7" s="488"/>
      <c r="AO7" s="488"/>
      <c r="AP7" s="141"/>
      <c r="AQ7" s="481"/>
      <c r="AR7" s="481"/>
      <c r="AS7" s="481"/>
      <c r="AT7" s="481"/>
      <c r="AU7" s="481"/>
      <c r="AV7" s="452"/>
      <c r="AW7" s="452"/>
    </row>
    <row r="8" spans="1:49">
      <c r="A8" s="1189"/>
      <c r="B8" s="483"/>
      <c r="C8" s="484" t="str">
        <f>TMDPeriodValueTypeForecast</f>
        <v>forecast</v>
      </c>
      <c r="D8" s="485">
        <f ca="1">AR362</f>
        <v>0</v>
      </c>
      <c r="E8" s="485">
        <f>AVForecastEffort</f>
        <v>0</v>
      </c>
      <c r="F8" s="487"/>
      <c r="G8" s="487"/>
      <c r="H8" s="485">
        <f>AR354</f>
        <v>0</v>
      </c>
      <c r="I8" s="485">
        <f ca="1">AR355</f>
        <v>0</v>
      </c>
      <c r="J8" s="485">
        <f ca="1">I8+H8</f>
        <v>0</v>
      </c>
      <c r="K8" s="487"/>
      <c r="L8" s="485">
        <f>AR358</f>
        <v>0</v>
      </c>
      <c r="M8" s="485">
        <f>AR359</f>
        <v>0</v>
      </c>
      <c r="N8" s="485">
        <f>M8+L8</f>
        <v>0</v>
      </c>
      <c r="O8" s="487"/>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481"/>
      <c r="AR8" s="481"/>
      <c r="AS8" s="481"/>
      <c r="AT8" s="481"/>
      <c r="AU8" s="481"/>
      <c r="AV8" s="452"/>
      <c r="AW8" s="452"/>
    </row>
    <row r="9" spans="1:49" ht="14.4" thickBot="1">
      <c r="A9" s="1190"/>
      <c r="B9" s="483"/>
      <c r="C9" s="484" t="s">
        <v>482</v>
      </c>
      <c r="D9" s="485">
        <f ca="1">DCBudgetExpProjectTotal</f>
        <v>93800</v>
      </c>
      <c r="E9" s="485">
        <f>DCBudgetEffProjectTotal</f>
        <v>584</v>
      </c>
      <c r="F9" s="489"/>
      <c r="G9" s="487"/>
      <c r="H9" s="485">
        <f>DCBudgetExpClTravel</f>
        <v>0</v>
      </c>
      <c r="I9" s="485">
        <f ca="1">DCBudgetExpClPersonal</f>
        <v>93800</v>
      </c>
      <c r="J9" s="485">
        <f ca="1">I9+H9</f>
        <v>93800</v>
      </c>
      <c r="K9" s="487"/>
      <c r="L9" s="485"/>
      <c r="M9" s="485"/>
      <c r="N9" s="485"/>
      <c r="O9" s="487"/>
      <c r="P9" s="141"/>
      <c r="Q9" s="141"/>
      <c r="R9" s="141"/>
      <c r="S9" s="141"/>
      <c r="T9" s="141"/>
      <c r="U9" s="141"/>
      <c r="V9" s="141"/>
      <c r="W9" s="141"/>
      <c r="X9" s="141"/>
      <c r="Y9" s="141"/>
      <c r="Z9" s="141"/>
      <c r="AA9" s="141"/>
      <c r="AB9" s="141"/>
      <c r="AC9" s="141"/>
      <c r="AD9" s="141"/>
      <c r="AE9" s="141"/>
      <c r="AF9" s="141"/>
      <c r="AG9" s="141"/>
      <c r="AH9" s="141"/>
      <c r="AI9" s="141"/>
      <c r="AJ9" s="141"/>
      <c r="AK9" s="141"/>
      <c r="AL9" s="141"/>
      <c r="AM9" s="141"/>
      <c r="AN9" s="141"/>
      <c r="AO9" s="141"/>
      <c r="AP9" s="141"/>
      <c r="AQ9" s="481"/>
      <c r="AR9" s="481"/>
      <c r="AS9" s="481"/>
      <c r="AT9" s="481"/>
      <c r="AU9" s="481"/>
      <c r="AV9" s="452"/>
      <c r="AW9" s="452"/>
    </row>
    <row r="10" spans="1:49">
      <c r="A10" s="490"/>
      <c r="B10" s="483"/>
      <c r="C10" s="484" t="s">
        <v>1383</v>
      </c>
      <c r="D10" s="485">
        <f>LandingPointChangeRequestChangeLog</f>
        <v>0</v>
      </c>
      <c r="E10" s="485">
        <f>LandingPointChangeRequestPDChangeLog*MDWorkhours</f>
        <v>0</v>
      </c>
      <c r="F10" s="489"/>
      <c r="G10" s="487"/>
      <c r="H10" s="485"/>
      <c r="I10" s="485">
        <f>LandingPointChangeRequestChangeLog</f>
        <v>0</v>
      </c>
      <c r="J10" s="485">
        <f>LandingPointChangeRequestPDChangeLog*MDWorkhours</f>
        <v>0</v>
      </c>
      <c r="K10" s="487"/>
      <c r="L10" s="485"/>
      <c r="M10" s="485"/>
      <c r="N10" s="485"/>
      <c r="O10" s="487"/>
      <c r="P10" s="141"/>
      <c r="Q10" s="141"/>
      <c r="R10" s="141"/>
      <c r="S10" s="141"/>
      <c r="T10" s="141"/>
      <c r="U10" s="141"/>
      <c r="V10" s="141"/>
      <c r="W10" s="141"/>
      <c r="X10" s="141"/>
      <c r="Y10" s="141"/>
      <c r="Z10" s="141"/>
      <c r="AA10" s="141"/>
      <c r="AB10" s="141"/>
      <c r="AC10" s="141"/>
      <c r="AD10" s="141"/>
      <c r="AE10" s="141"/>
      <c r="AF10" s="141"/>
      <c r="AG10" s="141"/>
      <c r="AH10" s="141"/>
      <c r="AI10" s="141"/>
      <c r="AJ10" s="141"/>
      <c r="AK10" s="141"/>
      <c r="AL10" s="141"/>
      <c r="AM10" s="141"/>
      <c r="AN10" s="141"/>
      <c r="AO10" s="141"/>
      <c r="AP10" s="141"/>
      <c r="AQ10" s="481"/>
      <c r="AR10" s="481"/>
      <c r="AS10" s="481"/>
      <c r="AT10" s="481"/>
      <c r="AU10" s="481"/>
      <c r="AV10" s="452"/>
      <c r="AW10" s="452"/>
    </row>
    <row r="11" spans="1:49">
      <c r="A11" s="143"/>
      <c r="B11" s="483"/>
      <c r="C11" s="484" t="s">
        <v>483</v>
      </c>
      <c r="D11" s="491">
        <f ca="1">D9+D10-D8-D7</f>
        <v>93800</v>
      </c>
      <c r="E11" s="491">
        <f>E9+E10-E8-E7</f>
        <v>584</v>
      </c>
      <c r="F11" s="492">
        <f>F7-1</f>
        <v>-1</v>
      </c>
      <c r="G11" s="493"/>
      <c r="H11" s="491">
        <f>H9-H8-H7</f>
        <v>0</v>
      </c>
      <c r="I11" s="491">
        <f ca="1">I9+I10-I8-I7</f>
        <v>93800</v>
      </c>
      <c r="J11" s="491">
        <f ca="1">I11+H11</f>
        <v>93800</v>
      </c>
      <c r="K11" s="493"/>
      <c r="L11" s="491">
        <f>L9-L8-L7</f>
        <v>0</v>
      </c>
      <c r="M11" s="491">
        <f>M9-M8-M7</f>
        <v>0</v>
      </c>
      <c r="N11" s="491">
        <f>M11+L11</f>
        <v>0</v>
      </c>
      <c r="O11" s="487"/>
      <c r="P11" s="141"/>
      <c r="Q11" s="141"/>
      <c r="R11" s="141"/>
      <c r="S11" s="141"/>
      <c r="T11" s="141"/>
      <c r="U11" s="141"/>
      <c r="V11" s="141"/>
      <c r="W11" s="141"/>
      <c r="X11" s="141"/>
      <c r="Y11" s="141"/>
      <c r="Z11" s="141"/>
      <c r="AA11" s="141"/>
      <c r="AB11" s="141"/>
      <c r="AC11" s="141"/>
      <c r="AD11" s="141"/>
      <c r="AE11" s="141"/>
      <c r="AF11" s="141"/>
      <c r="AG11" s="141"/>
      <c r="AH11" s="141"/>
      <c r="AI11" s="141"/>
      <c r="AJ11" s="141"/>
      <c r="AK11" s="141"/>
      <c r="AL11" s="141"/>
      <c r="AM11" s="141"/>
      <c r="AN11" s="141"/>
      <c r="AO11" s="141"/>
      <c r="AP11" s="141"/>
      <c r="AQ11" s="481"/>
      <c r="AR11" s="481"/>
      <c r="AS11" s="481"/>
      <c r="AT11" s="481"/>
      <c r="AU11" s="481"/>
      <c r="AV11" s="452"/>
      <c r="AW11" s="452"/>
    </row>
    <row r="12" spans="1:49">
      <c r="A12" s="143"/>
      <c r="B12" s="483"/>
      <c r="C12" s="494"/>
      <c r="D12" s="493"/>
      <c r="E12" s="493"/>
      <c r="F12" s="495"/>
      <c r="G12" s="493"/>
      <c r="H12" s="493"/>
      <c r="I12" s="493"/>
      <c r="J12" s="493"/>
      <c r="K12" s="493"/>
      <c r="L12" s="493"/>
      <c r="M12" s="493"/>
      <c r="N12" s="493"/>
      <c r="O12" s="487"/>
      <c r="P12" s="141"/>
      <c r="Q12" s="141"/>
      <c r="R12" s="141"/>
      <c r="S12" s="141"/>
      <c r="T12" s="141"/>
      <c r="U12" s="141"/>
      <c r="V12" s="141"/>
      <c r="W12" s="141"/>
      <c r="X12" s="141"/>
      <c r="Y12" s="141"/>
      <c r="Z12" s="141"/>
      <c r="AA12" s="141"/>
      <c r="AB12" s="141"/>
      <c r="AC12" s="141"/>
      <c r="AD12" s="141"/>
      <c r="AE12" s="141"/>
      <c r="AF12" s="141"/>
      <c r="AG12" s="141"/>
      <c r="AH12" s="141"/>
      <c r="AI12" s="141"/>
      <c r="AJ12" s="141"/>
      <c r="AK12" s="141"/>
      <c r="AL12" s="141"/>
      <c r="AM12" s="141"/>
      <c r="AN12" s="141"/>
      <c r="AO12" s="141"/>
      <c r="AP12" s="141"/>
      <c r="AQ12" s="481"/>
      <c r="AR12" s="481"/>
      <c r="AS12" s="481"/>
      <c r="AT12" s="481"/>
      <c r="AU12" s="481"/>
      <c r="AV12" s="452"/>
      <c r="AW12" s="452"/>
    </row>
    <row r="13" spans="1:49">
      <c r="A13" s="143"/>
      <c r="B13" s="483"/>
      <c r="C13" s="496"/>
      <c r="D13" s="141"/>
      <c r="E13" s="141"/>
      <c r="F13" s="141"/>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c r="AD13" s="141"/>
      <c r="AE13" s="141"/>
      <c r="AF13" s="141"/>
      <c r="AG13" s="141"/>
      <c r="AH13" s="141"/>
      <c r="AI13" s="141"/>
      <c r="AJ13" s="141"/>
      <c r="AK13" s="141"/>
      <c r="AL13" s="141"/>
      <c r="AM13" s="141"/>
      <c r="AN13" s="141"/>
      <c r="AO13" s="141"/>
      <c r="AP13" s="141"/>
      <c r="AQ13" s="481"/>
      <c r="AR13" s="481"/>
      <c r="AS13" s="481"/>
      <c r="AT13" s="481"/>
      <c r="AU13" s="481"/>
      <c r="AV13" s="452"/>
      <c r="AW13" s="452"/>
    </row>
    <row r="14" spans="1:49">
      <c r="A14" s="497" t="s">
        <v>484</v>
      </c>
      <c r="B14" s="498" t="s">
        <v>485</v>
      </c>
      <c r="C14" s="499"/>
      <c r="D14" s="500">
        <f t="array" ref="D14:AO14">MDReportingDates</f>
        <v>41774</v>
      </c>
      <c r="E14" s="500">
        <v>41788</v>
      </c>
      <c r="F14" s="500">
        <v>41802</v>
      </c>
      <c r="G14" s="500">
        <v>41816</v>
      </c>
      <c r="H14" s="500">
        <v>41830</v>
      </c>
      <c r="I14" s="500">
        <v>41844</v>
      </c>
      <c r="J14" s="500">
        <v>41858</v>
      </c>
      <c r="K14" s="500">
        <v>41872</v>
      </c>
      <c r="L14" s="500">
        <v>41886</v>
      </c>
      <c r="M14" s="500">
        <v>41900</v>
      </c>
      <c r="N14" s="500">
        <v>41914</v>
      </c>
      <c r="O14" s="500">
        <v>41928</v>
      </c>
      <c r="P14" s="500">
        <v>41942</v>
      </c>
      <c r="Q14" s="500">
        <v>41956</v>
      </c>
      <c r="R14" s="500">
        <v>41970</v>
      </c>
      <c r="S14" s="500">
        <v>41984</v>
      </c>
      <c r="T14" s="500">
        <v>41998</v>
      </c>
      <c r="U14" s="500">
        <v>42012</v>
      </c>
      <c r="V14" s="500">
        <v>42026</v>
      </c>
      <c r="W14" s="500">
        <v>42040</v>
      </c>
      <c r="X14" s="500">
        <v>42054</v>
      </c>
      <c r="Y14" s="500">
        <v>42068</v>
      </c>
      <c r="Z14" s="500">
        <v>42082</v>
      </c>
      <c r="AA14" s="500">
        <v>42096</v>
      </c>
      <c r="AB14" s="500">
        <v>42110</v>
      </c>
      <c r="AC14" s="500">
        <v>42124</v>
      </c>
      <c r="AD14" s="500">
        <v>42138</v>
      </c>
      <c r="AE14" s="500">
        <v>42152</v>
      </c>
      <c r="AF14" s="500">
        <v>42166</v>
      </c>
      <c r="AG14" s="500">
        <v>42180</v>
      </c>
      <c r="AH14" s="500">
        <v>42194</v>
      </c>
      <c r="AI14" s="500">
        <v>42208</v>
      </c>
      <c r="AJ14" s="500">
        <v>42222</v>
      </c>
      <c r="AK14" s="500">
        <v>42236</v>
      </c>
      <c r="AL14" s="500">
        <v>42250</v>
      </c>
      <c r="AM14" s="500">
        <v>42264</v>
      </c>
      <c r="AN14" s="500">
        <v>42278</v>
      </c>
      <c r="AO14" s="500">
        <v>42292</v>
      </c>
      <c r="AP14" s="501"/>
      <c r="AQ14" s="502" t="s">
        <v>486</v>
      </c>
      <c r="AR14" s="502" t="s">
        <v>277</v>
      </c>
      <c r="AS14" s="502" t="s">
        <v>275</v>
      </c>
      <c r="AT14" s="502" t="s">
        <v>487</v>
      </c>
      <c r="AU14" s="503" t="s">
        <v>1390</v>
      </c>
      <c r="AV14" s="504" t="s">
        <v>488</v>
      </c>
      <c r="AW14" s="452"/>
    </row>
    <row r="15" spans="1:49">
      <c r="A15" s="1191"/>
      <c r="B15" s="1191"/>
      <c r="C15" s="1192"/>
      <c r="D15" s="542" t="s">
        <v>22</v>
      </c>
      <c r="E15" s="542" t="s">
        <v>22</v>
      </c>
      <c r="F15" s="542" t="s">
        <v>22</v>
      </c>
      <c r="G15" s="542" t="s">
        <v>22</v>
      </c>
      <c r="H15" s="542" t="s">
        <v>22</v>
      </c>
      <c r="I15" s="542" t="s">
        <v>22</v>
      </c>
      <c r="J15" s="542" t="s">
        <v>489</v>
      </c>
      <c r="K15" s="542" t="s">
        <v>490</v>
      </c>
      <c r="L15" s="542" t="s">
        <v>22</v>
      </c>
      <c r="M15" s="542" t="s">
        <v>491</v>
      </c>
      <c r="N15" s="542" t="s">
        <v>22</v>
      </c>
      <c r="O15" s="542" t="s">
        <v>492</v>
      </c>
      <c r="P15" s="542" t="s">
        <v>22</v>
      </c>
      <c r="Q15" s="542" t="s">
        <v>493</v>
      </c>
      <c r="R15" s="542" t="s">
        <v>494</v>
      </c>
      <c r="S15" s="542" t="s">
        <v>495</v>
      </c>
      <c r="T15" s="542" t="s">
        <v>496</v>
      </c>
      <c r="U15" s="542" t="s">
        <v>497</v>
      </c>
      <c r="V15" s="542" t="s">
        <v>498</v>
      </c>
      <c r="W15" s="542" t="s">
        <v>499</v>
      </c>
      <c r="X15" s="542" t="s">
        <v>500</v>
      </c>
      <c r="Y15" s="542" t="s">
        <v>501</v>
      </c>
      <c r="Z15" s="542" t="s">
        <v>502</v>
      </c>
      <c r="AA15" s="542" t="s">
        <v>503</v>
      </c>
      <c r="AB15" s="542" t="s">
        <v>504</v>
      </c>
      <c r="AC15" s="542" t="s">
        <v>505</v>
      </c>
      <c r="AD15" s="542" t="s">
        <v>506</v>
      </c>
      <c r="AE15" s="542" t="s">
        <v>507</v>
      </c>
      <c r="AF15" s="542" t="s">
        <v>508</v>
      </c>
      <c r="AG15" s="542" t="s">
        <v>509</v>
      </c>
      <c r="AH15" s="542" t="s">
        <v>510</v>
      </c>
      <c r="AI15" s="542" t="s">
        <v>511</v>
      </c>
      <c r="AJ15" s="542" t="s">
        <v>512</v>
      </c>
      <c r="AK15" s="542" t="s">
        <v>513</v>
      </c>
      <c r="AL15" s="542" t="s">
        <v>514</v>
      </c>
      <c r="AM15" s="542" t="s">
        <v>515</v>
      </c>
      <c r="AN15" s="542" t="s">
        <v>516</v>
      </c>
      <c r="AO15" s="542" t="s">
        <v>517</v>
      </c>
      <c r="AP15" s="501"/>
      <c r="AQ15" s="502"/>
      <c r="AR15" s="505"/>
      <c r="AS15" s="505"/>
      <c r="AT15" s="505"/>
      <c r="AU15" s="505"/>
      <c r="AV15" s="506" t="str">
        <f>IF(COUNTIF($D$15:$AO$15,TMDPeriodValueTypeReported)&gt;0,INDEX(D14:AO14,1,COUNTIF($D$15:$AO$15,TMDPeriodValueTypeReported)),"")</f>
        <v/>
      </c>
      <c r="AW15" s="452"/>
    </row>
    <row r="16" spans="1:49" s="698" customFormat="1">
      <c r="A16" s="793"/>
      <c r="B16" s="794"/>
      <c r="C16" s="797" t="s">
        <v>1348</v>
      </c>
      <c r="D16" s="795" t="str">
        <f>Milestones!G19</f>
        <v/>
      </c>
      <c r="E16" s="795" t="str">
        <f>Milestones!H19</f>
        <v/>
      </c>
      <c r="F16" s="795" t="str">
        <f>Milestones!I19</f>
        <v/>
      </c>
      <c r="G16" s="795" t="str">
        <f>Milestones!J19</f>
        <v/>
      </c>
      <c r="H16" s="795" t="str">
        <f>Milestones!K19</f>
        <v/>
      </c>
      <c r="I16" s="795" t="str">
        <f>Milestones!L19</f>
        <v/>
      </c>
      <c r="J16" s="795" t="str">
        <f>Milestones!M19</f>
        <v/>
      </c>
      <c r="K16" s="795" t="str">
        <f>Milestones!N19</f>
        <v/>
      </c>
      <c r="L16" s="795" t="str">
        <f>Milestones!O19</f>
        <v/>
      </c>
      <c r="M16" s="795" t="str">
        <f>Milestones!P19</f>
        <v/>
      </c>
      <c r="N16" s="795" t="str">
        <f>Milestones!Q19</f>
        <v/>
      </c>
      <c r="O16" s="795" t="str">
        <f>Milestones!R19</f>
        <v/>
      </c>
      <c r="P16" s="795" t="str">
        <f>Milestones!S19</f>
        <v/>
      </c>
      <c r="Q16" s="795" t="str">
        <f>Milestones!T19</f>
        <v/>
      </c>
      <c r="R16" s="795" t="str">
        <f>Milestones!U19</f>
        <v/>
      </c>
      <c r="S16" s="795" t="str">
        <f>Milestones!V19</f>
        <v/>
      </c>
      <c r="T16" s="795" t="str">
        <f>Milestones!W19</f>
        <v/>
      </c>
      <c r="U16" s="795" t="str">
        <f>Milestones!X19</f>
        <v/>
      </c>
      <c r="V16" s="795" t="str">
        <f>Milestones!Y19</f>
        <v/>
      </c>
      <c r="W16" s="795" t="str">
        <f>Milestones!Z19</f>
        <v/>
      </c>
      <c r="X16" s="795" t="str">
        <f>Milestones!AA19</f>
        <v/>
      </c>
      <c r="Y16" s="795" t="str">
        <f>Milestones!AB19</f>
        <v/>
      </c>
      <c r="Z16" s="795" t="str">
        <f>Milestones!AC19</f>
        <v/>
      </c>
      <c r="AA16" s="795" t="str">
        <f>Milestones!AD19</f>
        <v/>
      </c>
      <c r="AB16" s="795" t="str">
        <f>Milestones!AE19</f>
        <v/>
      </c>
      <c r="AC16" s="795" t="str">
        <f>Milestones!AF19</f>
        <v/>
      </c>
      <c r="AD16" s="795" t="str">
        <f>Milestones!AG19</f>
        <v/>
      </c>
      <c r="AE16" s="795" t="str">
        <f>Milestones!AH19</f>
        <v/>
      </c>
      <c r="AF16" s="795" t="str">
        <f>Milestones!AI19</f>
        <v/>
      </c>
      <c r="AG16" s="795" t="str">
        <f>Milestones!AJ19</f>
        <v/>
      </c>
      <c r="AH16" s="795" t="str">
        <f>Milestones!AK19</f>
        <v/>
      </c>
      <c r="AI16" s="795" t="str">
        <f>Milestones!AL19</f>
        <v/>
      </c>
      <c r="AJ16" s="795" t="str">
        <f>Milestones!AM19</f>
        <v/>
      </c>
      <c r="AK16" s="795" t="str">
        <f>Milestones!AN19</f>
        <v/>
      </c>
      <c r="AL16" s="795" t="str">
        <f>Milestones!AO19</f>
        <v/>
      </c>
      <c r="AM16" s="795" t="str">
        <f>Milestones!AP19</f>
        <v/>
      </c>
      <c r="AN16" s="795" t="str">
        <f>Milestones!AQ19</f>
        <v/>
      </c>
      <c r="AO16" s="795" t="str">
        <f>Milestones!AR19</f>
        <v/>
      </c>
      <c r="AP16" s="797"/>
      <c r="AQ16" s="796"/>
      <c r="AR16" s="798"/>
      <c r="AS16" s="798"/>
      <c r="AT16" s="798"/>
      <c r="AU16" s="798"/>
      <c r="AV16" s="799" t="str">
        <f>IF(AVLastReportedPeriod&lt;&gt;"",TEXT(DAY(AVLastReportedPeriod),"00")&amp;"." &amp; TEXT(MONTH(AVLastReportedPeriod),"00")&amp;"." &amp; TEXT(MOD(YEAR(AVLastReportedPeriod), 1000),"00"),"")</f>
        <v/>
      </c>
      <c r="AW16" s="800"/>
    </row>
    <row r="17" spans="1:49">
      <c r="A17" s="508" t="s">
        <v>518</v>
      </c>
      <c r="B17" s="498"/>
      <c r="C17" s="485">
        <f>SUM(D17:AO17)</f>
        <v>0</v>
      </c>
      <c r="D17" s="509" t="str">
        <f>Milestones!G21</f>
        <v/>
      </c>
      <c r="E17" s="509" t="str">
        <f>Milestones!H21</f>
        <v/>
      </c>
      <c r="F17" s="509" t="str">
        <f>Milestones!I21</f>
        <v/>
      </c>
      <c r="G17" s="509" t="str">
        <f>Milestones!J21</f>
        <v/>
      </c>
      <c r="H17" s="509" t="str">
        <f>Milestones!K21</f>
        <v/>
      </c>
      <c r="I17" s="509" t="str">
        <f>Milestones!L21</f>
        <v/>
      </c>
      <c r="J17" s="509" t="str">
        <f>Milestones!M21</f>
        <v/>
      </c>
      <c r="K17" s="509" t="str">
        <f>Milestones!N21</f>
        <v/>
      </c>
      <c r="L17" s="509" t="str">
        <f>Milestones!O21</f>
        <v/>
      </c>
      <c r="M17" s="509" t="str">
        <f>Milestones!P21</f>
        <v/>
      </c>
      <c r="N17" s="509" t="str">
        <f>Milestones!Q21</f>
        <v/>
      </c>
      <c r="O17" s="509" t="str">
        <f>Milestones!R21</f>
        <v/>
      </c>
      <c r="P17" s="509" t="str">
        <f>Milestones!S21</f>
        <v/>
      </c>
      <c r="Q17" s="509" t="str">
        <f>Milestones!T21</f>
        <v/>
      </c>
      <c r="R17" s="509" t="str">
        <f>Milestones!U21</f>
        <v/>
      </c>
      <c r="S17" s="509" t="str">
        <f>Milestones!V21</f>
        <v/>
      </c>
      <c r="T17" s="509" t="str">
        <f>Milestones!W21</f>
        <v/>
      </c>
      <c r="U17" s="509" t="str">
        <f>Milestones!X21</f>
        <v/>
      </c>
      <c r="V17" s="509" t="str">
        <f>Milestones!Y21</f>
        <v/>
      </c>
      <c r="W17" s="509" t="str">
        <f>Milestones!Z21</f>
        <v/>
      </c>
      <c r="X17" s="509" t="str">
        <f>Milestones!AA21</f>
        <v/>
      </c>
      <c r="Y17" s="509" t="str">
        <f>Milestones!AB21</f>
        <v/>
      </c>
      <c r="Z17" s="509" t="str">
        <f>Milestones!AC21</f>
        <v/>
      </c>
      <c r="AA17" s="509" t="str">
        <f>Milestones!AD21</f>
        <v/>
      </c>
      <c r="AB17" s="509" t="str">
        <f>Milestones!AE21</f>
        <v/>
      </c>
      <c r="AC17" s="509" t="str">
        <f>Milestones!AF21</f>
        <v/>
      </c>
      <c r="AD17" s="509" t="str">
        <f>Milestones!AG21</f>
        <v/>
      </c>
      <c r="AE17" s="509" t="str">
        <f>Milestones!AH21</f>
        <v/>
      </c>
      <c r="AF17" s="509" t="str">
        <f>Milestones!AI21</f>
        <v/>
      </c>
      <c r="AG17" s="509" t="str">
        <f>Milestones!AJ21</f>
        <v/>
      </c>
      <c r="AH17" s="509" t="str">
        <f>Milestones!AK21</f>
        <v/>
      </c>
      <c r="AI17" s="509" t="str">
        <f>Milestones!AL21</f>
        <v/>
      </c>
      <c r="AJ17" s="509" t="str">
        <f>Milestones!AM21</f>
        <v/>
      </c>
      <c r="AK17" s="509" t="str">
        <f>Milestones!AN21</f>
        <v/>
      </c>
      <c r="AL17" s="509" t="str">
        <f>Milestones!AO21</f>
        <v/>
      </c>
      <c r="AM17" s="509" t="str">
        <f>Milestones!AP21</f>
        <v/>
      </c>
      <c r="AN17" s="509" t="str">
        <f>Milestones!AQ21</f>
        <v/>
      </c>
      <c r="AO17" s="509" t="str">
        <f>Milestones!AR21</f>
        <v/>
      </c>
      <c r="AP17" s="496"/>
      <c r="AQ17" s="505">
        <f>SUMIF($D$15:$AO$15,TMDPeriodValueTypeReported,D17:AO17)</f>
        <v>0</v>
      </c>
      <c r="AR17" s="505">
        <f>SUMIF($D$15:$AO$15,TMDPeriodValueTypeForecast,D17:AO17)</f>
        <v>0</v>
      </c>
      <c r="AS17" s="505"/>
      <c r="AT17" s="505">
        <f>AQ17+AR17</f>
        <v>0</v>
      </c>
      <c r="AU17" s="505"/>
      <c r="AV17" s="510"/>
      <c r="AW17" s="452"/>
    </row>
    <row r="18" spans="1:49">
      <c r="A18" s="511"/>
      <c r="B18" s="512"/>
      <c r="C18" s="496"/>
      <c r="D18" s="513"/>
      <c r="E18" s="513"/>
      <c r="F18" s="513"/>
      <c r="G18" s="513"/>
      <c r="H18" s="513"/>
      <c r="I18" s="513"/>
      <c r="J18" s="513"/>
      <c r="K18" s="513"/>
      <c r="L18" s="513"/>
      <c r="M18" s="513"/>
      <c r="N18" s="513"/>
      <c r="O18" s="513"/>
      <c r="P18" s="513"/>
      <c r="Q18" s="513"/>
      <c r="R18" s="513"/>
      <c r="S18" s="513"/>
      <c r="T18" s="513"/>
      <c r="U18" s="513"/>
      <c r="V18" s="513"/>
      <c r="W18" s="513"/>
      <c r="X18" s="513"/>
      <c r="Y18" s="513"/>
      <c r="Z18" s="513"/>
      <c r="AA18" s="513"/>
      <c r="AB18" s="513"/>
      <c r="AC18" s="513"/>
      <c r="AD18" s="513"/>
      <c r="AE18" s="513"/>
      <c r="AF18" s="513"/>
      <c r="AG18" s="513"/>
      <c r="AH18" s="513"/>
      <c r="AI18" s="513"/>
      <c r="AJ18" s="513"/>
      <c r="AK18" s="513"/>
      <c r="AL18" s="513"/>
      <c r="AM18" s="513"/>
      <c r="AN18" s="513"/>
      <c r="AO18" s="513"/>
      <c r="AP18" s="496"/>
      <c r="AQ18" s="502"/>
      <c r="AR18" s="505"/>
      <c r="AS18" s="505"/>
      <c r="AT18" s="505"/>
      <c r="AU18" s="505"/>
      <c r="AV18" s="510"/>
      <c r="AW18" s="452"/>
    </row>
    <row r="19" spans="1:49">
      <c r="A19" s="514" t="str">
        <f>'Delivery Calculation'!A7</f>
        <v xml:space="preserve">Travel </v>
      </c>
      <c r="B19" s="1180"/>
      <c r="C19" s="499" t="s">
        <v>519</v>
      </c>
      <c r="D19" s="509">
        <f>'Delivery Calculation'!M81</f>
        <v>0</v>
      </c>
      <c r="E19" s="509">
        <f>'Delivery Calculation'!N81</f>
        <v>0</v>
      </c>
      <c r="F19" s="509">
        <f>'Delivery Calculation'!O81</f>
        <v>0</v>
      </c>
      <c r="G19" s="509">
        <f>'Delivery Calculation'!P81</f>
        <v>0</v>
      </c>
      <c r="H19" s="509">
        <f>'Delivery Calculation'!Q81</f>
        <v>0</v>
      </c>
      <c r="I19" s="509">
        <f>'Delivery Calculation'!R81</f>
        <v>0</v>
      </c>
      <c r="J19" s="509">
        <f>'Delivery Calculation'!S81</f>
        <v>0</v>
      </c>
      <c r="K19" s="509">
        <f>'Delivery Calculation'!T81</f>
        <v>0</v>
      </c>
      <c r="L19" s="509">
        <f>'Delivery Calculation'!U81</f>
        <v>0</v>
      </c>
      <c r="M19" s="509">
        <f>'Delivery Calculation'!V81</f>
        <v>0</v>
      </c>
      <c r="N19" s="509">
        <f>'Delivery Calculation'!W81</f>
        <v>0</v>
      </c>
      <c r="O19" s="509">
        <f>'Delivery Calculation'!X81</f>
        <v>0</v>
      </c>
      <c r="P19" s="509">
        <f>'Delivery Calculation'!Y81</f>
        <v>0</v>
      </c>
      <c r="Q19" s="509">
        <f>'Delivery Calculation'!Z81</f>
        <v>0</v>
      </c>
      <c r="R19" s="509">
        <f>'Delivery Calculation'!AA81</f>
        <v>0</v>
      </c>
      <c r="S19" s="509">
        <f>'Delivery Calculation'!AB81</f>
        <v>0</v>
      </c>
      <c r="T19" s="509">
        <f>'Delivery Calculation'!AC81</f>
        <v>0</v>
      </c>
      <c r="U19" s="509">
        <f>'Delivery Calculation'!AD81</f>
        <v>0</v>
      </c>
      <c r="V19" s="509">
        <f>'Delivery Calculation'!AE81</f>
        <v>0</v>
      </c>
      <c r="W19" s="509">
        <f>'Delivery Calculation'!AF81</f>
        <v>0</v>
      </c>
      <c r="X19" s="509">
        <f>'Delivery Calculation'!AG81</f>
        <v>0</v>
      </c>
      <c r="Y19" s="509">
        <f>'Delivery Calculation'!AH81</f>
        <v>0</v>
      </c>
      <c r="Z19" s="509">
        <f>'Delivery Calculation'!AI81</f>
        <v>0</v>
      </c>
      <c r="AA19" s="509">
        <f>'Delivery Calculation'!AJ81</f>
        <v>0</v>
      </c>
      <c r="AB19" s="509">
        <f>'Delivery Calculation'!AK81</f>
        <v>0</v>
      </c>
      <c r="AC19" s="509">
        <f>'Delivery Calculation'!AL81</f>
        <v>0</v>
      </c>
      <c r="AD19" s="509">
        <f>'Delivery Calculation'!AM81</f>
        <v>0</v>
      </c>
      <c r="AE19" s="509">
        <f>'Delivery Calculation'!AN81</f>
        <v>0</v>
      </c>
      <c r="AF19" s="509">
        <f>'Delivery Calculation'!AO81</f>
        <v>0</v>
      </c>
      <c r="AG19" s="509">
        <f>'Delivery Calculation'!AP81</f>
        <v>0</v>
      </c>
      <c r="AH19" s="509">
        <f>'Delivery Calculation'!AQ81</f>
        <v>0</v>
      </c>
      <c r="AI19" s="509">
        <f>'Delivery Calculation'!AR81</f>
        <v>0</v>
      </c>
      <c r="AJ19" s="509">
        <f>'Delivery Calculation'!AS81</f>
        <v>0</v>
      </c>
      <c r="AK19" s="509">
        <f>'Delivery Calculation'!AT81</f>
        <v>0</v>
      </c>
      <c r="AL19" s="509">
        <f>'Delivery Calculation'!AU81</f>
        <v>0</v>
      </c>
      <c r="AM19" s="509">
        <f>'Delivery Calculation'!AV81</f>
        <v>0</v>
      </c>
      <c r="AN19" s="509">
        <f>'Delivery Calculation'!AW81</f>
        <v>0</v>
      </c>
      <c r="AO19" s="509">
        <f>'Delivery Calculation'!AX81</f>
        <v>0</v>
      </c>
      <c r="AP19" s="501"/>
      <c r="AQ19" s="505">
        <f>SUMIF($D$15:$AO$15,TMDPeriodValueTypeReported,D19:AO19)</f>
        <v>0</v>
      </c>
      <c r="AR19" s="505">
        <f>SUMIF($D$15:$AO$15,TMDPeriodValueTypeForecast,D19:AO19)</f>
        <v>0</v>
      </c>
      <c r="AS19" s="505">
        <f>DCBudgetExpClTravel</f>
        <v>0</v>
      </c>
      <c r="AT19" s="505">
        <f>AS19-(AQ19+AR19)</f>
        <v>0</v>
      </c>
      <c r="AU19" s="505"/>
      <c r="AV19" s="510"/>
      <c r="AW19" s="452"/>
    </row>
    <row r="20" spans="1:49">
      <c r="A20" s="515"/>
      <c r="B20" s="1182"/>
      <c r="C20" s="499" t="s">
        <v>520</v>
      </c>
      <c r="D20" s="509">
        <v>0</v>
      </c>
      <c r="E20" s="509">
        <v>0</v>
      </c>
      <c r="F20" s="509">
        <v>0</v>
      </c>
      <c r="G20" s="509">
        <v>0</v>
      </c>
      <c r="H20" s="509">
        <v>0</v>
      </c>
      <c r="I20" s="509">
        <v>0</v>
      </c>
      <c r="J20" s="509">
        <v>0</v>
      </c>
      <c r="K20" s="509">
        <v>0</v>
      </c>
      <c r="L20" s="509">
        <v>0</v>
      </c>
      <c r="M20" s="509">
        <v>0</v>
      </c>
      <c r="N20" s="509">
        <v>0</v>
      </c>
      <c r="O20" s="509">
        <v>0</v>
      </c>
      <c r="P20" s="509">
        <v>0</v>
      </c>
      <c r="Q20" s="509">
        <v>0</v>
      </c>
      <c r="R20" s="509">
        <v>0</v>
      </c>
      <c r="S20" s="509">
        <v>0</v>
      </c>
      <c r="T20" s="509">
        <v>0</v>
      </c>
      <c r="U20" s="509">
        <v>0</v>
      </c>
      <c r="V20" s="509">
        <v>0</v>
      </c>
      <c r="W20" s="509">
        <v>0</v>
      </c>
      <c r="X20" s="509">
        <v>0</v>
      </c>
      <c r="Y20" s="509">
        <v>0</v>
      </c>
      <c r="Z20" s="509">
        <v>0</v>
      </c>
      <c r="AA20" s="509">
        <v>0</v>
      </c>
      <c r="AB20" s="509">
        <v>0</v>
      </c>
      <c r="AC20" s="509">
        <v>0</v>
      </c>
      <c r="AD20" s="509">
        <v>0</v>
      </c>
      <c r="AE20" s="509">
        <v>0</v>
      </c>
      <c r="AF20" s="509">
        <v>0</v>
      </c>
      <c r="AG20" s="509">
        <v>0</v>
      </c>
      <c r="AH20" s="509">
        <v>0</v>
      </c>
      <c r="AI20" s="509">
        <v>0</v>
      </c>
      <c r="AJ20" s="509">
        <v>0</v>
      </c>
      <c r="AK20" s="509">
        <v>0</v>
      </c>
      <c r="AL20" s="509">
        <v>0</v>
      </c>
      <c r="AM20" s="509">
        <v>0</v>
      </c>
      <c r="AN20" s="509">
        <v>0</v>
      </c>
      <c r="AO20" s="509">
        <v>0</v>
      </c>
      <c r="AP20" s="501"/>
      <c r="AQ20" s="505">
        <f>SUMIF($D$15:$AO$15,TMDPeriodValueTypeReported,D20:AO20)</f>
        <v>0</v>
      </c>
      <c r="AR20" s="505">
        <f>SUMIF($D$15:$AO$15,TMDPeriodValueTypeForecast,D20:AO20)</f>
        <v>0</v>
      </c>
      <c r="AS20" s="505"/>
      <c r="AT20" s="505"/>
      <c r="AU20" s="505"/>
      <c r="AV20" s="510"/>
      <c r="AW20" s="452"/>
    </row>
    <row r="21" spans="1:49" hidden="1">
      <c r="A21" s="143"/>
      <c r="B21" s="483"/>
      <c r="C21" s="496" t="s">
        <v>1339</v>
      </c>
      <c r="D21" s="516">
        <f t="shared" ref="D21:AO21" si="0">IF(ISERR(GETPIVOTDATA("[Measures].[Hours]",TRIMARANweekly,"[Order].[Position Number]","[Order].[Position Number].&amp;[" &amp; $B28 &amp; "]","[Period].[Week]","[Period].[Week].&amp;[" &amp; YEAR(D$14-7) &amp; TEXT(WEEKNUM(D$14-7),"00") &amp; "]")),0,GETPIVOTDATA("[Measures].[Hours]",TRIMARANweekly,"[Order].[Position Number]","[Order].[Position Number].&amp;[" &amp; $B28 &amp; "]","[Period].[Week]","[Period].[Week].&amp;[" &amp; YEAR(D$14-7) &amp; TEXT(WEEKNUM(D$14-7),"00") &amp; "]"))</f>
        <v>0</v>
      </c>
      <c r="E21" s="516">
        <f t="shared" si="0"/>
        <v>0</v>
      </c>
      <c r="F21" s="516">
        <f t="shared" si="0"/>
        <v>0</v>
      </c>
      <c r="G21" s="516">
        <f t="shared" si="0"/>
        <v>0</v>
      </c>
      <c r="H21" s="516">
        <f t="shared" si="0"/>
        <v>0</v>
      </c>
      <c r="I21" s="516">
        <f t="shared" si="0"/>
        <v>0</v>
      </c>
      <c r="J21" s="516">
        <f t="shared" si="0"/>
        <v>0</v>
      </c>
      <c r="K21" s="516">
        <f t="shared" si="0"/>
        <v>0</v>
      </c>
      <c r="L21" s="516">
        <f t="shared" si="0"/>
        <v>0</v>
      </c>
      <c r="M21" s="516">
        <f t="shared" si="0"/>
        <v>0</v>
      </c>
      <c r="N21" s="516">
        <f t="shared" si="0"/>
        <v>0</v>
      </c>
      <c r="O21" s="516">
        <f t="shared" si="0"/>
        <v>0</v>
      </c>
      <c r="P21" s="516">
        <f t="shared" si="0"/>
        <v>0</v>
      </c>
      <c r="Q21" s="516">
        <f t="shared" si="0"/>
        <v>0</v>
      </c>
      <c r="R21" s="516">
        <f t="shared" si="0"/>
        <v>0</v>
      </c>
      <c r="S21" s="516">
        <f t="shared" si="0"/>
        <v>0</v>
      </c>
      <c r="T21" s="516">
        <f t="shared" si="0"/>
        <v>0</v>
      </c>
      <c r="U21" s="516">
        <f t="shared" si="0"/>
        <v>0</v>
      </c>
      <c r="V21" s="516">
        <f t="shared" si="0"/>
        <v>0</v>
      </c>
      <c r="W21" s="516">
        <f t="shared" si="0"/>
        <v>0</v>
      </c>
      <c r="X21" s="516">
        <f t="shared" si="0"/>
        <v>0</v>
      </c>
      <c r="Y21" s="516">
        <f t="shared" si="0"/>
        <v>0</v>
      </c>
      <c r="Z21" s="516">
        <f t="shared" si="0"/>
        <v>0</v>
      </c>
      <c r="AA21" s="516">
        <f t="shared" si="0"/>
        <v>0</v>
      </c>
      <c r="AB21" s="516">
        <f t="shared" si="0"/>
        <v>0</v>
      </c>
      <c r="AC21" s="516">
        <f t="shared" si="0"/>
        <v>0</v>
      </c>
      <c r="AD21" s="516">
        <f t="shared" si="0"/>
        <v>0</v>
      </c>
      <c r="AE21" s="516">
        <f t="shared" si="0"/>
        <v>0</v>
      </c>
      <c r="AF21" s="516">
        <f t="shared" si="0"/>
        <v>0</v>
      </c>
      <c r="AG21" s="516">
        <f t="shared" si="0"/>
        <v>0</v>
      </c>
      <c r="AH21" s="516">
        <f t="shared" si="0"/>
        <v>0</v>
      </c>
      <c r="AI21" s="516">
        <f t="shared" si="0"/>
        <v>0</v>
      </c>
      <c r="AJ21" s="516">
        <f t="shared" si="0"/>
        <v>0</v>
      </c>
      <c r="AK21" s="516">
        <f t="shared" si="0"/>
        <v>0</v>
      </c>
      <c r="AL21" s="516">
        <f t="shared" si="0"/>
        <v>0</v>
      </c>
      <c r="AM21" s="516">
        <f t="shared" si="0"/>
        <v>0</v>
      </c>
      <c r="AN21" s="516">
        <f t="shared" si="0"/>
        <v>0</v>
      </c>
      <c r="AO21" s="516">
        <f t="shared" si="0"/>
        <v>0</v>
      </c>
      <c r="AP21" s="501"/>
      <c r="AQ21" s="505"/>
      <c r="AR21" s="505"/>
      <c r="AS21" s="505"/>
      <c r="AT21" s="505"/>
      <c r="AU21" s="505"/>
      <c r="AV21" s="510"/>
      <c r="AW21" s="452"/>
    </row>
    <row r="22" spans="1:49" hidden="1">
      <c r="A22" s="143"/>
      <c r="B22" s="483"/>
      <c r="C22" s="496" t="s">
        <v>1340</v>
      </c>
      <c r="D22" s="516">
        <f t="shared" ref="D22:AO22" si="1">IF(ISERR(GETPIVOTDATA("[Measures].[Hours]",TRIMARANweekly,"[Order].[Position Number]","[Order].[Position Number].&amp;[" &amp; $B28 &amp; "]","[Period].[Week]","[Period].[Week].&amp;[" &amp; YEAR(D$14-14) &amp; TEXT(WEEKNUM(D$14-14),"00") &amp; "]")),0,GETPIVOTDATA("[Measures].[Hours]",TRIMARANweekly,"[Order].[Position Number]","[Order].[Position Number].&amp;[" &amp; $B28 &amp; "]","[Period].[Week]","[Period].[Week].&amp;[" &amp; YEAR(D$14-14) &amp; TEXT(WEEKNUM(D$14-14),"00") &amp; "]"))+D21</f>
        <v>0</v>
      </c>
      <c r="E22" s="516">
        <f t="shared" si="1"/>
        <v>0</v>
      </c>
      <c r="F22" s="516">
        <f t="shared" si="1"/>
        <v>0</v>
      </c>
      <c r="G22" s="516">
        <f t="shared" si="1"/>
        <v>0</v>
      </c>
      <c r="H22" s="516">
        <f t="shared" si="1"/>
        <v>0</v>
      </c>
      <c r="I22" s="516">
        <f t="shared" si="1"/>
        <v>0</v>
      </c>
      <c r="J22" s="516">
        <f t="shared" si="1"/>
        <v>0</v>
      </c>
      <c r="K22" s="516">
        <f t="shared" si="1"/>
        <v>0</v>
      </c>
      <c r="L22" s="516">
        <f t="shared" si="1"/>
        <v>0</v>
      </c>
      <c r="M22" s="516">
        <f t="shared" si="1"/>
        <v>0</v>
      </c>
      <c r="N22" s="516">
        <f t="shared" si="1"/>
        <v>0</v>
      </c>
      <c r="O22" s="516">
        <f t="shared" si="1"/>
        <v>0</v>
      </c>
      <c r="P22" s="516">
        <f t="shared" si="1"/>
        <v>0</v>
      </c>
      <c r="Q22" s="516">
        <f t="shared" si="1"/>
        <v>0</v>
      </c>
      <c r="R22" s="516">
        <f t="shared" si="1"/>
        <v>0</v>
      </c>
      <c r="S22" s="516">
        <f t="shared" si="1"/>
        <v>0</v>
      </c>
      <c r="T22" s="516">
        <f t="shared" si="1"/>
        <v>0</v>
      </c>
      <c r="U22" s="516">
        <f t="shared" si="1"/>
        <v>0</v>
      </c>
      <c r="V22" s="516">
        <f t="shared" si="1"/>
        <v>0</v>
      </c>
      <c r="W22" s="516">
        <f t="shared" si="1"/>
        <v>0</v>
      </c>
      <c r="X22" s="516">
        <f t="shared" si="1"/>
        <v>0</v>
      </c>
      <c r="Y22" s="516">
        <f t="shared" si="1"/>
        <v>0</v>
      </c>
      <c r="Z22" s="516">
        <f t="shared" si="1"/>
        <v>0</v>
      </c>
      <c r="AA22" s="516">
        <f t="shared" si="1"/>
        <v>0</v>
      </c>
      <c r="AB22" s="516">
        <f t="shared" si="1"/>
        <v>0</v>
      </c>
      <c r="AC22" s="516">
        <f t="shared" si="1"/>
        <v>0</v>
      </c>
      <c r="AD22" s="516">
        <f t="shared" si="1"/>
        <v>0</v>
      </c>
      <c r="AE22" s="516">
        <f t="shared" si="1"/>
        <v>0</v>
      </c>
      <c r="AF22" s="516">
        <f t="shared" si="1"/>
        <v>0</v>
      </c>
      <c r="AG22" s="516">
        <f t="shared" si="1"/>
        <v>0</v>
      </c>
      <c r="AH22" s="516">
        <f t="shared" si="1"/>
        <v>0</v>
      </c>
      <c r="AI22" s="516">
        <f t="shared" si="1"/>
        <v>0</v>
      </c>
      <c r="AJ22" s="516">
        <f t="shared" si="1"/>
        <v>0</v>
      </c>
      <c r="AK22" s="516">
        <f t="shared" si="1"/>
        <v>0</v>
      </c>
      <c r="AL22" s="516">
        <f t="shared" si="1"/>
        <v>0</v>
      </c>
      <c r="AM22" s="516">
        <f t="shared" si="1"/>
        <v>0</v>
      </c>
      <c r="AN22" s="516">
        <f t="shared" si="1"/>
        <v>0</v>
      </c>
      <c r="AO22" s="516">
        <f t="shared" si="1"/>
        <v>0</v>
      </c>
      <c r="AP22" s="501"/>
      <c r="AQ22" s="505"/>
      <c r="AR22" s="505"/>
      <c r="AS22" s="505"/>
      <c r="AT22" s="505"/>
      <c r="AU22" s="505"/>
      <c r="AV22" s="510"/>
      <c r="AW22" s="452"/>
    </row>
    <row r="23" spans="1:49" hidden="1">
      <c r="A23" s="143"/>
      <c r="B23" s="483"/>
      <c r="C23" s="496" t="s">
        <v>1341</v>
      </c>
      <c r="D23" s="516">
        <f t="shared" ref="D23:AO23" si="2">IF(ISERR(GETPIVOTDATA("[Measures].[Hours]",TRIMARANmonthly,"[Period].[Month]","[Period].[Month].&amp;["&amp;IF(MONTH(D$14)=1,YEAR(D$14)-1&amp;TEXT(12,"00"),YEAR(D$14)&amp;TEXT(MONTH(D$14)-1,"00"))&amp;"]","[Order].[Position Number]","[Order].[Position Number].&amp;["&amp;$B28&amp;"]")),0,GETPIVOTDATA("[Measures].[Hours]",TRIMARANmonthly,"[Period].[Month]","[Period].[Month].&amp;["&amp;IF(MONTH(D$14)=1,YEAR(D$14)-1&amp;TEXT(12,"00"),YEAR(D$14)&amp;TEXT(MONTH(D$14)-1,"00"))&amp;"]","[Order].[Position Number]","[Order].[Position Number].&amp;["&amp;$B28&amp;"]"))</f>
        <v>0</v>
      </c>
      <c r="E23" s="516">
        <f t="shared" si="2"/>
        <v>0</v>
      </c>
      <c r="F23" s="516">
        <f t="shared" si="2"/>
        <v>0</v>
      </c>
      <c r="G23" s="516">
        <f t="shared" si="2"/>
        <v>0</v>
      </c>
      <c r="H23" s="516">
        <f t="shared" si="2"/>
        <v>0</v>
      </c>
      <c r="I23" s="516">
        <f t="shared" si="2"/>
        <v>0</v>
      </c>
      <c r="J23" s="516">
        <f t="shared" si="2"/>
        <v>0</v>
      </c>
      <c r="K23" s="516">
        <f t="shared" si="2"/>
        <v>0</v>
      </c>
      <c r="L23" s="516">
        <f t="shared" si="2"/>
        <v>0</v>
      </c>
      <c r="M23" s="516">
        <f t="shared" si="2"/>
        <v>0</v>
      </c>
      <c r="N23" s="516">
        <f t="shared" si="2"/>
        <v>0</v>
      </c>
      <c r="O23" s="516">
        <f t="shared" si="2"/>
        <v>0</v>
      </c>
      <c r="P23" s="516">
        <f t="shared" si="2"/>
        <v>0</v>
      </c>
      <c r="Q23" s="516">
        <f t="shared" si="2"/>
        <v>0</v>
      </c>
      <c r="R23" s="516">
        <f t="shared" si="2"/>
        <v>0</v>
      </c>
      <c r="S23" s="516">
        <f t="shared" si="2"/>
        <v>0</v>
      </c>
      <c r="T23" s="516">
        <f t="shared" si="2"/>
        <v>0</v>
      </c>
      <c r="U23" s="516">
        <f t="shared" si="2"/>
        <v>0</v>
      </c>
      <c r="V23" s="516">
        <f t="shared" si="2"/>
        <v>0</v>
      </c>
      <c r="W23" s="516">
        <f t="shared" si="2"/>
        <v>0</v>
      </c>
      <c r="X23" s="516">
        <f t="shared" si="2"/>
        <v>0</v>
      </c>
      <c r="Y23" s="516">
        <f t="shared" si="2"/>
        <v>0</v>
      </c>
      <c r="Z23" s="516">
        <f t="shared" si="2"/>
        <v>0</v>
      </c>
      <c r="AA23" s="516">
        <f t="shared" si="2"/>
        <v>0</v>
      </c>
      <c r="AB23" s="516">
        <f t="shared" si="2"/>
        <v>0</v>
      </c>
      <c r="AC23" s="516">
        <f t="shared" si="2"/>
        <v>0</v>
      </c>
      <c r="AD23" s="516">
        <f t="shared" si="2"/>
        <v>0</v>
      </c>
      <c r="AE23" s="516">
        <f t="shared" si="2"/>
        <v>0</v>
      </c>
      <c r="AF23" s="516">
        <f t="shared" si="2"/>
        <v>0</v>
      </c>
      <c r="AG23" s="516">
        <f t="shared" si="2"/>
        <v>0</v>
      </c>
      <c r="AH23" s="516">
        <f t="shared" si="2"/>
        <v>0</v>
      </c>
      <c r="AI23" s="516">
        <f t="shared" si="2"/>
        <v>0</v>
      </c>
      <c r="AJ23" s="516">
        <f t="shared" si="2"/>
        <v>0</v>
      </c>
      <c r="AK23" s="516">
        <f t="shared" si="2"/>
        <v>0</v>
      </c>
      <c r="AL23" s="516">
        <f t="shared" si="2"/>
        <v>0</v>
      </c>
      <c r="AM23" s="516">
        <f t="shared" si="2"/>
        <v>0</v>
      </c>
      <c r="AN23" s="516">
        <f t="shared" si="2"/>
        <v>0</v>
      </c>
      <c r="AO23" s="516">
        <f t="shared" si="2"/>
        <v>0</v>
      </c>
      <c r="AP23" s="501"/>
      <c r="AQ23" s="505"/>
      <c r="AR23" s="505"/>
      <c r="AS23" s="505"/>
      <c r="AT23" s="505"/>
      <c r="AU23" s="505"/>
      <c r="AV23" s="510"/>
      <c r="AW23" s="452"/>
    </row>
    <row r="24" spans="1:49" hidden="1">
      <c r="A24" s="143"/>
      <c r="B24" s="483"/>
      <c r="C24" s="496" t="s">
        <v>1339</v>
      </c>
      <c r="D24" s="516">
        <f t="shared" ref="D24:AO24" si="3">IF(ISERR(GETPIVOTDATA("[Measures].[" &amp; MDContractCurrency &amp; "]",TRIMARANweekly,"[Order].[Position Number]","[Order].[Position Number].&amp;[" &amp; $B28 &amp; "]","[Period].[Week]","[Period].[Week].&amp;[" &amp; YEAR(D$14-7) &amp; TEXT(WEEKNUM(D$14-7),"00") &amp; "]")),0,GETPIVOTDATA("[Measures].[" &amp; MDContractCurrency &amp; "]",TRIMARANweekly,"[Order].[Position Number]","[Order].[Position Number].&amp;[" &amp; $B28 &amp; "]","[Period].[Week]","[Period].[Week].&amp;[" &amp; YEAR(D$14-7) &amp; TEXT(WEEKNUM(D$14-7),"00") &amp; "]"))</f>
        <v>0</v>
      </c>
      <c r="E24" s="516">
        <f t="shared" si="3"/>
        <v>0</v>
      </c>
      <c r="F24" s="516">
        <f t="shared" si="3"/>
        <v>0</v>
      </c>
      <c r="G24" s="516">
        <f t="shared" si="3"/>
        <v>0</v>
      </c>
      <c r="H24" s="516">
        <f t="shared" si="3"/>
        <v>0</v>
      </c>
      <c r="I24" s="516">
        <f t="shared" si="3"/>
        <v>0</v>
      </c>
      <c r="J24" s="516">
        <f t="shared" si="3"/>
        <v>0</v>
      </c>
      <c r="K24" s="516">
        <f t="shared" si="3"/>
        <v>0</v>
      </c>
      <c r="L24" s="516">
        <f t="shared" si="3"/>
        <v>0</v>
      </c>
      <c r="M24" s="516">
        <f t="shared" si="3"/>
        <v>0</v>
      </c>
      <c r="N24" s="516">
        <f t="shared" si="3"/>
        <v>0</v>
      </c>
      <c r="O24" s="516">
        <f t="shared" si="3"/>
        <v>0</v>
      </c>
      <c r="P24" s="516">
        <f t="shared" si="3"/>
        <v>0</v>
      </c>
      <c r="Q24" s="516">
        <f t="shared" si="3"/>
        <v>0</v>
      </c>
      <c r="R24" s="516">
        <f t="shared" si="3"/>
        <v>0</v>
      </c>
      <c r="S24" s="516">
        <f t="shared" si="3"/>
        <v>0</v>
      </c>
      <c r="T24" s="516">
        <f t="shared" si="3"/>
        <v>0</v>
      </c>
      <c r="U24" s="516">
        <f t="shared" si="3"/>
        <v>0</v>
      </c>
      <c r="V24" s="516">
        <f t="shared" si="3"/>
        <v>0</v>
      </c>
      <c r="W24" s="516">
        <f t="shared" si="3"/>
        <v>0</v>
      </c>
      <c r="X24" s="516">
        <f t="shared" si="3"/>
        <v>0</v>
      </c>
      <c r="Y24" s="516">
        <f t="shared" si="3"/>
        <v>0</v>
      </c>
      <c r="Z24" s="516">
        <f t="shared" si="3"/>
        <v>0</v>
      </c>
      <c r="AA24" s="516">
        <f t="shared" si="3"/>
        <v>0</v>
      </c>
      <c r="AB24" s="516">
        <f t="shared" si="3"/>
        <v>0</v>
      </c>
      <c r="AC24" s="516">
        <f t="shared" si="3"/>
        <v>0</v>
      </c>
      <c r="AD24" s="516">
        <f t="shared" si="3"/>
        <v>0</v>
      </c>
      <c r="AE24" s="516">
        <f t="shared" si="3"/>
        <v>0</v>
      </c>
      <c r="AF24" s="516">
        <f t="shared" si="3"/>
        <v>0</v>
      </c>
      <c r="AG24" s="516">
        <f t="shared" si="3"/>
        <v>0</v>
      </c>
      <c r="AH24" s="516">
        <f t="shared" si="3"/>
        <v>0</v>
      </c>
      <c r="AI24" s="516">
        <f t="shared" si="3"/>
        <v>0</v>
      </c>
      <c r="AJ24" s="516">
        <f t="shared" si="3"/>
        <v>0</v>
      </c>
      <c r="AK24" s="516">
        <f t="shared" si="3"/>
        <v>0</v>
      </c>
      <c r="AL24" s="516">
        <f t="shared" si="3"/>
        <v>0</v>
      </c>
      <c r="AM24" s="516">
        <f t="shared" si="3"/>
        <v>0</v>
      </c>
      <c r="AN24" s="516">
        <f t="shared" si="3"/>
        <v>0</v>
      </c>
      <c r="AO24" s="516">
        <f t="shared" si="3"/>
        <v>0</v>
      </c>
      <c r="AP24" s="501"/>
      <c r="AQ24" s="505"/>
      <c r="AR24" s="505"/>
      <c r="AS24" s="505"/>
      <c r="AT24" s="505"/>
      <c r="AU24" s="505"/>
      <c r="AV24" s="510"/>
      <c r="AW24" s="452"/>
    </row>
    <row r="25" spans="1:49" hidden="1">
      <c r="A25" s="143"/>
      <c r="B25" s="483"/>
      <c r="C25" s="496" t="s">
        <v>1340</v>
      </c>
      <c r="D25" s="516">
        <f t="shared" ref="D25:AO25" si="4">IF(ISERR(GETPIVOTDATA("[Measures].[" &amp; MDContractCurrency &amp; "]",TRIMARANweekly,"[Order].[Position Number]","[Order].[Position Number].&amp;[" &amp; $B28 &amp; "]","[Period].[Week]","[Period].[Week].&amp;[" &amp; YEAR(D$14-14) &amp; TEXT(WEEKNUM(D$14-14),"00") &amp; "]")),0,GETPIVOTDATA("[Measures].[" &amp; MDContractCurrency &amp; "]",TRIMARANweekly,"[Order].[Position Number]","[Order].[Position Number].&amp;[" &amp; $B28 &amp; "]","[Period].[Week]","[Period].[Week].&amp;[" &amp; YEAR(D$14-14) &amp; TEXT(WEEKNUM(D$14-14),"00") &amp; "]"))+D24</f>
        <v>0</v>
      </c>
      <c r="E25" s="516">
        <f t="shared" si="4"/>
        <v>0</v>
      </c>
      <c r="F25" s="516">
        <f t="shared" si="4"/>
        <v>0</v>
      </c>
      <c r="G25" s="516">
        <f t="shared" si="4"/>
        <v>0</v>
      </c>
      <c r="H25" s="516">
        <f t="shared" si="4"/>
        <v>0</v>
      </c>
      <c r="I25" s="516">
        <f t="shared" si="4"/>
        <v>0</v>
      </c>
      <c r="J25" s="516">
        <f t="shared" si="4"/>
        <v>0</v>
      </c>
      <c r="K25" s="516">
        <f t="shared" si="4"/>
        <v>0</v>
      </c>
      <c r="L25" s="516">
        <f t="shared" si="4"/>
        <v>0</v>
      </c>
      <c r="M25" s="516">
        <f t="shared" si="4"/>
        <v>0</v>
      </c>
      <c r="N25" s="516">
        <f t="shared" si="4"/>
        <v>0</v>
      </c>
      <c r="O25" s="516">
        <f t="shared" si="4"/>
        <v>0</v>
      </c>
      <c r="P25" s="516">
        <f t="shared" si="4"/>
        <v>0</v>
      </c>
      <c r="Q25" s="516">
        <f t="shared" si="4"/>
        <v>0</v>
      </c>
      <c r="R25" s="516">
        <f t="shared" si="4"/>
        <v>0</v>
      </c>
      <c r="S25" s="516">
        <f t="shared" si="4"/>
        <v>0</v>
      </c>
      <c r="T25" s="516">
        <f t="shared" si="4"/>
        <v>0</v>
      </c>
      <c r="U25" s="516">
        <f t="shared" si="4"/>
        <v>0</v>
      </c>
      <c r="V25" s="516">
        <f t="shared" si="4"/>
        <v>0</v>
      </c>
      <c r="W25" s="516">
        <f t="shared" si="4"/>
        <v>0</v>
      </c>
      <c r="X25" s="516">
        <f t="shared" si="4"/>
        <v>0</v>
      </c>
      <c r="Y25" s="516">
        <f t="shared" si="4"/>
        <v>0</v>
      </c>
      <c r="Z25" s="516">
        <f t="shared" si="4"/>
        <v>0</v>
      </c>
      <c r="AA25" s="516">
        <f t="shared" si="4"/>
        <v>0</v>
      </c>
      <c r="AB25" s="516">
        <f t="shared" si="4"/>
        <v>0</v>
      </c>
      <c r="AC25" s="516">
        <f t="shared" si="4"/>
        <v>0</v>
      </c>
      <c r="AD25" s="516">
        <f t="shared" si="4"/>
        <v>0</v>
      </c>
      <c r="AE25" s="516">
        <f t="shared" si="4"/>
        <v>0</v>
      </c>
      <c r="AF25" s="516">
        <f t="shared" si="4"/>
        <v>0</v>
      </c>
      <c r="AG25" s="516">
        <f t="shared" si="4"/>
        <v>0</v>
      </c>
      <c r="AH25" s="516">
        <f t="shared" si="4"/>
        <v>0</v>
      </c>
      <c r="AI25" s="516">
        <f t="shared" si="4"/>
        <v>0</v>
      </c>
      <c r="AJ25" s="516">
        <f t="shared" si="4"/>
        <v>0</v>
      </c>
      <c r="AK25" s="516">
        <f t="shared" si="4"/>
        <v>0</v>
      </c>
      <c r="AL25" s="516">
        <f t="shared" si="4"/>
        <v>0</v>
      </c>
      <c r="AM25" s="516">
        <f t="shared" si="4"/>
        <v>0</v>
      </c>
      <c r="AN25" s="516">
        <f t="shared" si="4"/>
        <v>0</v>
      </c>
      <c r="AO25" s="516">
        <f t="shared" si="4"/>
        <v>0</v>
      </c>
      <c r="AP25" s="501"/>
      <c r="AQ25" s="505"/>
      <c r="AR25" s="505"/>
      <c r="AS25" s="505"/>
      <c r="AT25" s="505"/>
      <c r="AU25" s="505"/>
      <c r="AV25" s="510"/>
      <c r="AW25" s="452"/>
    </row>
    <row r="26" spans="1:49" hidden="1">
      <c r="A26" s="141"/>
      <c r="B26" s="517"/>
      <c r="C26" s="496" t="s">
        <v>1341</v>
      </c>
      <c r="D26" s="516">
        <f t="shared" ref="D26:AO26" si="5">IF(ISERR(GETPIVOTDATA("[Measures].[" &amp; MDContractCurrency &amp; "]",TRIMARANmonthly,"[Period].[Month]","[Period].[Month].&amp;["&amp;IF(MONTH(D$14)=1,YEAR(D$14)-1&amp;TEXT(12,"00"),YEAR(D$14)&amp;TEXT(MONTH(D$14)-1,"00"))&amp;"]","[Order].[Position Number]","[Order].[Position Number].&amp;["&amp;$B28&amp;"]")),0,GETPIVOTDATA("[Measures].[" &amp; MDContractCurrency &amp; "]",TRIMARANmonthly,"[Period].[Month]","[Period].[Month].&amp;["&amp;IF(MONTH(D$14)=1,YEAR(D$14)-1&amp;TEXT(12,"00"),YEAR(D$14)&amp;TEXT(MONTH(D$14)-1,"00"))&amp;"]","[Order].[Position Number]","[Order].[Position Number].&amp;["&amp;$B28&amp;"]"))</f>
        <v>0</v>
      </c>
      <c r="E26" s="516">
        <f t="shared" si="5"/>
        <v>0</v>
      </c>
      <c r="F26" s="516">
        <f t="shared" si="5"/>
        <v>0</v>
      </c>
      <c r="G26" s="516">
        <f t="shared" si="5"/>
        <v>0</v>
      </c>
      <c r="H26" s="516">
        <f t="shared" si="5"/>
        <v>0</v>
      </c>
      <c r="I26" s="516">
        <f t="shared" si="5"/>
        <v>0</v>
      </c>
      <c r="J26" s="516">
        <f t="shared" si="5"/>
        <v>0</v>
      </c>
      <c r="K26" s="516">
        <f t="shared" si="5"/>
        <v>0</v>
      </c>
      <c r="L26" s="516">
        <f t="shared" si="5"/>
        <v>0</v>
      </c>
      <c r="M26" s="516">
        <f t="shared" si="5"/>
        <v>0</v>
      </c>
      <c r="N26" s="516">
        <f t="shared" si="5"/>
        <v>0</v>
      </c>
      <c r="O26" s="516">
        <f t="shared" si="5"/>
        <v>0</v>
      </c>
      <c r="P26" s="516">
        <f t="shared" si="5"/>
        <v>0</v>
      </c>
      <c r="Q26" s="516">
        <f t="shared" si="5"/>
        <v>0</v>
      </c>
      <c r="R26" s="516">
        <f t="shared" si="5"/>
        <v>0</v>
      </c>
      <c r="S26" s="516">
        <f t="shared" si="5"/>
        <v>0</v>
      </c>
      <c r="T26" s="516">
        <f t="shared" si="5"/>
        <v>0</v>
      </c>
      <c r="U26" s="516">
        <f t="shared" si="5"/>
        <v>0</v>
      </c>
      <c r="V26" s="516">
        <f t="shared" si="5"/>
        <v>0</v>
      </c>
      <c r="W26" s="516">
        <f t="shared" si="5"/>
        <v>0</v>
      </c>
      <c r="X26" s="516">
        <f t="shared" si="5"/>
        <v>0</v>
      </c>
      <c r="Y26" s="516">
        <f t="shared" si="5"/>
        <v>0</v>
      </c>
      <c r="Z26" s="516">
        <f t="shared" si="5"/>
        <v>0</v>
      </c>
      <c r="AA26" s="516">
        <f t="shared" si="5"/>
        <v>0</v>
      </c>
      <c r="AB26" s="516">
        <f t="shared" si="5"/>
        <v>0</v>
      </c>
      <c r="AC26" s="516">
        <f t="shared" si="5"/>
        <v>0</v>
      </c>
      <c r="AD26" s="516">
        <f t="shared" si="5"/>
        <v>0</v>
      </c>
      <c r="AE26" s="516">
        <f t="shared" si="5"/>
        <v>0</v>
      </c>
      <c r="AF26" s="516">
        <f t="shared" si="5"/>
        <v>0</v>
      </c>
      <c r="AG26" s="516">
        <f t="shared" si="5"/>
        <v>0</v>
      </c>
      <c r="AH26" s="516">
        <f t="shared" si="5"/>
        <v>0</v>
      </c>
      <c r="AI26" s="516">
        <f t="shared" si="5"/>
        <v>0</v>
      </c>
      <c r="AJ26" s="516">
        <f t="shared" si="5"/>
        <v>0</v>
      </c>
      <c r="AK26" s="516">
        <f t="shared" si="5"/>
        <v>0</v>
      </c>
      <c r="AL26" s="516">
        <f t="shared" si="5"/>
        <v>0</v>
      </c>
      <c r="AM26" s="516">
        <f t="shared" si="5"/>
        <v>0</v>
      </c>
      <c r="AN26" s="516">
        <f t="shared" si="5"/>
        <v>0</v>
      </c>
      <c r="AO26" s="516">
        <f t="shared" si="5"/>
        <v>0</v>
      </c>
      <c r="AP26" s="501"/>
      <c r="AQ26" s="505"/>
      <c r="AR26" s="505"/>
      <c r="AS26" s="505"/>
      <c r="AT26" s="505"/>
      <c r="AU26" s="505"/>
      <c r="AV26" s="510"/>
      <c r="AW26" s="452"/>
    </row>
    <row r="27" spans="1:49">
      <c r="A27" s="141"/>
      <c r="B27" s="517"/>
      <c r="C27" s="496"/>
      <c r="D27" s="516"/>
      <c r="E27" s="516"/>
      <c r="F27" s="516"/>
      <c r="G27" s="516"/>
      <c r="H27" s="516"/>
      <c r="I27" s="516"/>
      <c r="J27" s="516"/>
      <c r="K27" s="516"/>
      <c r="L27" s="516"/>
      <c r="M27" s="516"/>
      <c r="N27" s="516"/>
      <c r="O27" s="516"/>
      <c r="P27" s="516"/>
      <c r="Q27" s="516"/>
      <c r="R27" s="516"/>
      <c r="S27" s="516"/>
      <c r="T27" s="516"/>
      <c r="U27" s="516"/>
      <c r="V27" s="516"/>
      <c r="W27" s="516"/>
      <c r="X27" s="516"/>
      <c r="Y27" s="516"/>
      <c r="Z27" s="516"/>
      <c r="AA27" s="516"/>
      <c r="AB27" s="516"/>
      <c r="AC27" s="516"/>
      <c r="AD27" s="516"/>
      <c r="AE27" s="516"/>
      <c r="AF27" s="516"/>
      <c r="AG27" s="516"/>
      <c r="AH27" s="516"/>
      <c r="AI27" s="516"/>
      <c r="AJ27" s="516"/>
      <c r="AK27" s="516"/>
      <c r="AL27" s="516"/>
      <c r="AM27" s="516"/>
      <c r="AN27" s="516"/>
      <c r="AO27" s="516"/>
      <c r="AP27" s="501"/>
      <c r="AQ27" s="505"/>
      <c r="AR27" s="505"/>
      <c r="AS27" s="505"/>
      <c r="AT27" s="505"/>
      <c r="AU27" s="505"/>
      <c r="AV27" s="510"/>
      <c r="AW27" s="452"/>
    </row>
    <row r="28" spans="1:49">
      <c r="A28" s="1183" t="str">
        <f>'Delivery Calculation'!B13 &amp; CHAR(10) &amp; 'Delivery Calculation'!P13 &amp; " - " &amp; 'Delivery Calculation'!Q13</f>
        <v xml:space="preserve">GEFI Migration
 - </v>
      </c>
      <c r="B28" s="1180">
        <f>'Delivery Calculation'!A13</f>
        <v>0</v>
      </c>
      <c r="C28" s="499" t="s">
        <v>521</v>
      </c>
      <c r="D28" s="518">
        <f>'Delivery Calculation'!M194</f>
        <v>0</v>
      </c>
      <c r="E28" s="518">
        <f>'Delivery Calculation'!N194</f>
        <v>0</v>
      </c>
      <c r="F28" s="518">
        <f>'Delivery Calculation'!O194</f>
        <v>0</v>
      </c>
      <c r="G28" s="518">
        <f>'Delivery Calculation'!P194</f>
        <v>0</v>
      </c>
      <c r="H28" s="518">
        <f>'Delivery Calculation'!Q194</f>
        <v>0</v>
      </c>
      <c r="I28" s="518">
        <f>'Delivery Calculation'!R194</f>
        <v>0</v>
      </c>
      <c r="J28" s="518">
        <f>'Delivery Calculation'!S194</f>
        <v>0</v>
      </c>
      <c r="K28" s="518">
        <f>'Delivery Calculation'!T194</f>
        <v>0</v>
      </c>
      <c r="L28" s="518">
        <f>'Delivery Calculation'!U194</f>
        <v>0</v>
      </c>
      <c r="M28" s="518">
        <f>'Delivery Calculation'!V194</f>
        <v>0</v>
      </c>
      <c r="N28" s="518">
        <f>'Delivery Calculation'!W194</f>
        <v>0</v>
      </c>
      <c r="O28" s="518">
        <f>'Delivery Calculation'!X194</f>
        <v>0</v>
      </c>
      <c r="P28" s="518">
        <f>'Delivery Calculation'!Y194</f>
        <v>0</v>
      </c>
      <c r="Q28" s="518">
        <f>'Delivery Calculation'!Z194</f>
        <v>0</v>
      </c>
      <c r="R28" s="518">
        <f>'Delivery Calculation'!AA194</f>
        <v>0</v>
      </c>
      <c r="S28" s="518">
        <f>'Delivery Calculation'!AB194</f>
        <v>0</v>
      </c>
      <c r="T28" s="518">
        <f>'Delivery Calculation'!AC194</f>
        <v>0</v>
      </c>
      <c r="U28" s="518">
        <f>'Delivery Calculation'!AD194</f>
        <v>0</v>
      </c>
      <c r="V28" s="518">
        <f>'Delivery Calculation'!AE194</f>
        <v>0</v>
      </c>
      <c r="W28" s="518">
        <f>'Delivery Calculation'!AF194</f>
        <v>0</v>
      </c>
      <c r="X28" s="518">
        <f>'Delivery Calculation'!AG194</f>
        <v>0</v>
      </c>
      <c r="Y28" s="518">
        <f>'Delivery Calculation'!AH194</f>
        <v>0</v>
      </c>
      <c r="Z28" s="518">
        <f>'Delivery Calculation'!AI194</f>
        <v>0</v>
      </c>
      <c r="AA28" s="518">
        <f>'Delivery Calculation'!AJ194</f>
        <v>0</v>
      </c>
      <c r="AB28" s="518">
        <f>'Delivery Calculation'!AK194</f>
        <v>0</v>
      </c>
      <c r="AC28" s="518">
        <f>'Delivery Calculation'!AL194</f>
        <v>0</v>
      </c>
      <c r="AD28" s="518">
        <f>'Delivery Calculation'!AM194</f>
        <v>0</v>
      </c>
      <c r="AE28" s="518">
        <f>'Delivery Calculation'!AN194</f>
        <v>0</v>
      </c>
      <c r="AF28" s="518">
        <f>'Delivery Calculation'!AO194</f>
        <v>0</v>
      </c>
      <c r="AG28" s="518">
        <f>'Delivery Calculation'!AP194</f>
        <v>0</v>
      </c>
      <c r="AH28" s="518">
        <f>'Delivery Calculation'!AQ194</f>
        <v>0</v>
      </c>
      <c r="AI28" s="518">
        <f>'Delivery Calculation'!AR194</f>
        <v>0</v>
      </c>
      <c r="AJ28" s="518">
        <f>'Delivery Calculation'!AS194</f>
        <v>0</v>
      </c>
      <c r="AK28" s="518">
        <f>'Delivery Calculation'!AT194</f>
        <v>0</v>
      </c>
      <c r="AL28" s="518">
        <f>'Delivery Calculation'!AU194</f>
        <v>0</v>
      </c>
      <c r="AM28" s="518">
        <f>'Delivery Calculation'!AV194</f>
        <v>0</v>
      </c>
      <c r="AN28" s="518">
        <f>'Delivery Calculation'!AW194</f>
        <v>0</v>
      </c>
      <c r="AO28" s="518">
        <f>'Delivery Calculation'!AX194</f>
        <v>0</v>
      </c>
      <c r="AP28" s="501"/>
      <c r="AQ28" s="519">
        <f>IF(COUNTIF($D$15:$AO$15, TMDPeriodValueTypeReported)&gt;0, INDEX(D28:AO28,1,COUNTIF(D$15:$AO$15,TMDPeriodValueTypeReported)),0)</f>
        <v>0</v>
      </c>
      <c r="AR28" s="519"/>
      <c r="AS28" s="520">
        <f>'Delivery Calculation'!N13</f>
        <v>1</v>
      </c>
      <c r="AT28" s="520">
        <f>AQ28*'Delivery Calculation'!N13</f>
        <v>0</v>
      </c>
      <c r="AU28" s="521" t="s">
        <v>522</v>
      </c>
      <c r="AV28" s="510"/>
      <c r="AW28" s="452"/>
    </row>
    <row r="29" spans="1:49">
      <c r="A29" s="1184"/>
      <c r="B29" s="1181"/>
      <c r="C29" s="499" t="s">
        <v>523</v>
      </c>
      <c r="D29" s="509">
        <f>IF(D$15=TMDPeriodValueTypeForecast,IF('Delivery Calculation'!$H$13=TMDAllocationTandM,0,'Delivery Calculation'!M123),IF(MDReportingPeriod=TMDMonthly,D23,IF(MDReportingPeriod=TMDTwoweekly,D22,D21)))</f>
        <v>0</v>
      </c>
      <c r="E29" s="509">
        <f>IF(E$15=TMDPeriodValueTypeForecast,IF('Delivery Calculation'!$H$13=TMDAllocationTandM,0,'Delivery Calculation'!N123),IF(MDReportingPeriod=TMDMonthly,E23,IF(MDReportingPeriod=TMDTwoweekly,E22,E21)))</f>
        <v>0</v>
      </c>
      <c r="F29" s="509">
        <f>IF(F$15=TMDPeriodValueTypeForecast,IF('Delivery Calculation'!$H$13=TMDAllocationTandM,0,'Delivery Calculation'!O123),IF(MDReportingPeriod=TMDMonthly,F23,IF(MDReportingPeriod=TMDTwoweekly,F22,F21)))</f>
        <v>0</v>
      </c>
      <c r="G29" s="509">
        <f>IF(G$15=TMDPeriodValueTypeForecast,IF('Delivery Calculation'!$H$13=TMDAllocationTandM,0,'Delivery Calculation'!P123),IF(MDReportingPeriod=TMDMonthly,G23,IF(MDReportingPeriod=TMDTwoweekly,G22,G21)))</f>
        <v>0</v>
      </c>
      <c r="H29" s="509">
        <f>IF(H$15=TMDPeriodValueTypeForecast,IF('Delivery Calculation'!$H$13=TMDAllocationTandM,0,'Delivery Calculation'!Q123),IF(MDReportingPeriod=TMDMonthly,H23,IF(MDReportingPeriod=TMDTwoweekly,H22,H21)))</f>
        <v>0</v>
      </c>
      <c r="I29" s="509">
        <f>IF(I$15=TMDPeriodValueTypeForecast,IF('Delivery Calculation'!$H$13=TMDAllocationTandM,0,'Delivery Calculation'!R123),IF(MDReportingPeriod=TMDMonthly,I23,IF(MDReportingPeriod=TMDTwoweekly,I22,I21)))</f>
        <v>0</v>
      </c>
      <c r="J29" s="509">
        <f>IF(J$15=TMDPeriodValueTypeForecast,IF('Delivery Calculation'!$H$13=TMDAllocationTandM,0,'Delivery Calculation'!S123),IF(MDReportingPeriod=TMDMonthly,J23,IF(MDReportingPeriod=TMDTwoweekly,J22,J21)))</f>
        <v>0</v>
      </c>
      <c r="K29" s="509">
        <f>IF(K$15=TMDPeriodValueTypeForecast,IF('Delivery Calculation'!$H$13=TMDAllocationTandM,0,'Delivery Calculation'!T123),IF(MDReportingPeriod=TMDMonthly,K23,IF(MDReportingPeriod=TMDTwoweekly,K22,K21)))</f>
        <v>0</v>
      </c>
      <c r="L29" s="509">
        <f>IF(L$15=TMDPeriodValueTypeForecast,IF('Delivery Calculation'!$H$13=TMDAllocationTandM,0,'Delivery Calculation'!U123),IF(MDReportingPeriod=TMDMonthly,L23,IF(MDReportingPeriod=TMDTwoweekly,L22,L21)))</f>
        <v>0</v>
      </c>
      <c r="M29" s="509">
        <f>IF(M$15=TMDPeriodValueTypeForecast,IF('Delivery Calculation'!$H$13=TMDAllocationTandM,0,'Delivery Calculation'!V123),IF(MDReportingPeriod=TMDMonthly,M23,IF(MDReportingPeriod=TMDTwoweekly,M22,M21)))</f>
        <v>0</v>
      </c>
      <c r="N29" s="509">
        <f>IF(N$15=TMDPeriodValueTypeForecast,IF('Delivery Calculation'!$H$13=TMDAllocationTandM,0,'Delivery Calculation'!W123),IF(MDReportingPeriod=TMDMonthly,N23,IF(MDReportingPeriod=TMDTwoweekly,N22,N21)))</f>
        <v>0</v>
      </c>
      <c r="O29" s="509">
        <f>IF(O$15=TMDPeriodValueTypeForecast,IF('Delivery Calculation'!$H$13=TMDAllocationTandM,0,'Delivery Calculation'!X123),IF(MDReportingPeriod=TMDMonthly,O23,IF(MDReportingPeriod=TMDTwoweekly,O22,O21)))</f>
        <v>0</v>
      </c>
      <c r="P29" s="509">
        <f>IF(P$15=TMDPeriodValueTypeForecast,IF('Delivery Calculation'!$H$13=TMDAllocationTandM,0,'Delivery Calculation'!Y123),IF(MDReportingPeriod=TMDMonthly,P23,IF(MDReportingPeriod=TMDTwoweekly,P22,P21)))</f>
        <v>0</v>
      </c>
      <c r="Q29" s="509">
        <f>IF(Q$15=TMDPeriodValueTypeForecast,IF('Delivery Calculation'!$H$13=TMDAllocationTandM,0,'Delivery Calculation'!Z123),IF(MDReportingPeriod=TMDMonthly,Q23,IF(MDReportingPeriod=TMDTwoweekly,Q22,Q21)))</f>
        <v>0</v>
      </c>
      <c r="R29" s="509">
        <f>IF(R$15=TMDPeriodValueTypeForecast,IF('Delivery Calculation'!$H$13=TMDAllocationTandM,0,'Delivery Calculation'!AA123),IF(MDReportingPeriod=TMDMonthly,R23,IF(MDReportingPeriod=TMDTwoweekly,R22,R21)))</f>
        <v>0</v>
      </c>
      <c r="S29" s="509">
        <f>IF(S$15=TMDPeriodValueTypeForecast,IF('Delivery Calculation'!$H$13=TMDAllocationTandM,0,'Delivery Calculation'!AB123),IF(MDReportingPeriod=TMDMonthly,S23,IF(MDReportingPeriod=TMDTwoweekly,S22,S21)))</f>
        <v>0</v>
      </c>
      <c r="T29" s="509">
        <f>IF(T$15=TMDPeriodValueTypeForecast,IF('Delivery Calculation'!$H$13=TMDAllocationTandM,0,'Delivery Calculation'!AC123),IF(MDReportingPeriod=TMDMonthly,T23,IF(MDReportingPeriod=TMDTwoweekly,T22,T21)))</f>
        <v>0</v>
      </c>
      <c r="U29" s="509">
        <f>IF(U$15=TMDPeriodValueTypeForecast,IF('Delivery Calculation'!$H$13=TMDAllocationTandM,0,'Delivery Calculation'!AD123),IF(MDReportingPeriod=TMDMonthly,U23,IF(MDReportingPeriod=TMDTwoweekly,U22,U21)))</f>
        <v>0</v>
      </c>
      <c r="V29" s="509">
        <f>IF(V$15=TMDPeriodValueTypeForecast,IF('Delivery Calculation'!$H$13=TMDAllocationTandM,0,'Delivery Calculation'!AE123),IF(MDReportingPeriod=TMDMonthly,V23,IF(MDReportingPeriod=TMDTwoweekly,V22,V21)))</f>
        <v>0</v>
      </c>
      <c r="W29" s="509">
        <f>IF(W$15=TMDPeriodValueTypeForecast,IF('Delivery Calculation'!$H$13=TMDAllocationTandM,0,'Delivery Calculation'!AF123),IF(MDReportingPeriod=TMDMonthly,W23,IF(MDReportingPeriod=TMDTwoweekly,W22,W21)))</f>
        <v>0</v>
      </c>
      <c r="X29" s="509">
        <f>IF(X$15=TMDPeriodValueTypeForecast,IF('Delivery Calculation'!$H$13=TMDAllocationTandM,0,'Delivery Calculation'!AG123),IF(MDReportingPeriod=TMDMonthly,X23,IF(MDReportingPeriod=TMDTwoweekly,X22,X21)))</f>
        <v>0</v>
      </c>
      <c r="Y29" s="509">
        <f>IF(Y$15=TMDPeriodValueTypeForecast,IF('Delivery Calculation'!$H$13=TMDAllocationTandM,0,'Delivery Calculation'!AH123),IF(MDReportingPeriod=TMDMonthly,Y23,IF(MDReportingPeriod=TMDTwoweekly,Y22,Y21)))</f>
        <v>0</v>
      </c>
      <c r="Z29" s="509">
        <f>IF(Z$15=TMDPeriodValueTypeForecast,IF('Delivery Calculation'!$H$13=TMDAllocationTandM,0,'Delivery Calculation'!AI123),IF(MDReportingPeriod=TMDMonthly,Z23,IF(MDReportingPeriod=TMDTwoweekly,Z22,Z21)))</f>
        <v>0</v>
      </c>
      <c r="AA29" s="509">
        <f>IF(AA$15=TMDPeriodValueTypeForecast,IF('Delivery Calculation'!$H$13=TMDAllocationTandM,0,'Delivery Calculation'!AJ123),IF(MDReportingPeriod=TMDMonthly,AA23,IF(MDReportingPeriod=TMDTwoweekly,AA22,AA21)))</f>
        <v>0</v>
      </c>
      <c r="AB29" s="509">
        <f>IF(AB$15=TMDPeriodValueTypeForecast,IF('Delivery Calculation'!$H$13=TMDAllocationTandM,0,'Delivery Calculation'!AK123),IF(MDReportingPeriod=TMDMonthly,AB23,IF(MDReportingPeriod=TMDTwoweekly,AB22,AB21)))</f>
        <v>0</v>
      </c>
      <c r="AC29" s="509">
        <f>IF(AC$15=TMDPeriodValueTypeForecast,IF('Delivery Calculation'!$H$13=TMDAllocationTandM,0,'Delivery Calculation'!AL123),IF(MDReportingPeriod=TMDMonthly,AC23,IF(MDReportingPeriod=TMDTwoweekly,AC22,AC21)))</f>
        <v>0</v>
      </c>
      <c r="AD29" s="509">
        <f>IF(AD$15=TMDPeriodValueTypeForecast,IF('Delivery Calculation'!$H$13=TMDAllocationTandM,0,'Delivery Calculation'!AM123),IF(MDReportingPeriod=TMDMonthly,AD23,IF(MDReportingPeriod=TMDTwoweekly,AD22,AD21)))</f>
        <v>0</v>
      </c>
      <c r="AE29" s="509">
        <f>IF(AE$15=TMDPeriodValueTypeForecast,IF('Delivery Calculation'!$H$13=TMDAllocationTandM,0,'Delivery Calculation'!AN123),IF(MDReportingPeriod=TMDMonthly,AE23,IF(MDReportingPeriod=TMDTwoweekly,AE22,AE21)))</f>
        <v>0</v>
      </c>
      <c r="AF29" s="509">
        <f>IF(AF$15=TMDPeriodValueTypeForecast,IF('Delivery Calculation'!$H$13=TMDAllocationTandM,0,'Delivery Calculation'!AO123),IF(MDReportingPeriod=TMDMonthly,AF23,IF(MDReportingPeriod=TMDTwoweekly,AF22,AF21)))</f>
        <v>0</v>
      </c>
      <c r="AG29" s="509">
        <f>IF(AG$15=TMDPeriodValueTypeForecast,IF('Delivery Calculation'!$H$13=TMDAllocationTandM,0,'Delivery Calculation'!AP123),IF(MDReportingPeriod=TMDMonthly,AG23,IF(MDReportingPeriod=TMDTwoweekly,AG22,AG21)))</f>
        <v>0</v>
      </c>
      <c r="AH29" s="509">
        <f>IF(AH$15=TMDPeriodValueTypeForecast,IF('Delivery Calculation'!$H$13=TMDAllocationTandM,0,'Delivery Calculation'!AQ123),IF(MDReportingPeriod=TMDMonthly,AH23,IF(MDReportingPeriod=TMDTwoweekly,AH22,AH21)))</f>
        <v>0</v>
      </c>
      <c r="AI29" s="509">
        <f>IF(AI$15=TMDPeriodValueTypeForecast,IF('Delivery Calculation'!$H$13=TMDAllocationTandM,0,'Delivery Calculation'!AR123),IF(MDReportingPeriod=TMDMonthly,AI23,IF(MDReportingPeriod=TMDTwoweekly,AI22,AI21)))</f>
        <v>0</v>
      </c>
      <c r="AJ29" s="509">
        <f>IF(AJ$15=TMDPeriodValueTypeForecast,IF('Delivery Calculation'!$H$13=TMDAllocationTandM,0,'Delivery Calculation'!AS123),IF(MDReportingPeriod=TMDMonthly,AJ23,IF(MDReportingPeriod=TMDTwoweekly,AJ22,AJ21)))</f>
        <v>0</v>
      </c>
      <c r="AK29" s="509">
        <f>IF(AK$15=TMDPeriodValueTypeForecast,IF('Delivery Calculation'!$H$13=TMDAllocationTandM,0,'Delivery Calculation'!AT123),IF(MDReportingPeriod=TMDMonthly,AK23,IF(MDReportingPeriod=TMDTwoweekly,AK22,AK21)))</f>
        <v>0</v>
      </c>
      <c r="AL29" s="509">
        <f>IF(AL$15=TMDPeriodValueTypeForecast,IF('Delivery Calculation'!$H$13=TMDAllocationTandM,0,'Delivery Calculation'!AU123),IF(MDReportingPeriod=TMDMonthly,AL23,IF(MDReportingPeriod=TMDTwoweekly,AL22,AL21)))</f>
        <v>0</v>
      </c>
      <c r="AM29" s="509">
        <f>IF(AM$15=TMDPeriodValueTypeForecast,IF('Delivery Calculation'!$H$13=TMDAllocationTandM,0,'Delivery Calculation'!AV123),IF(MDReportingPeriod=TMDMonthly,AM23,IF(MDReportingPeriod=TMDTwoweekly,AM22,AM21)))</f>
        <v>0</v>
      </c>
      <c r="AN29" s="509">
        <f>IF(AN$15=TMDPeriodValueTypeForecast,IF('Delivery Calculation'!$H$13=TMDAllocationTandM,0,'Delivery Calculation'!AW123),IF(MDReportingPeriod=TMDMonthly,AN23,IF(MDReportingPeriod=TMDTwoweekly,AN22,AN21)))</f>
        <v>0</v>
      </c>
      <c r="AO29" s="509">
        <f>IF(AO$15=TMDPeriodValueTypeForecast,IF('Delivery Calculation'!$H$13=TMDAllocationTandM,0,'Delivery Calculation'!AX123),IF(MDReportingPeriod=TMDMonthly,AO23,IF(MDReportingPeriod=TMDTwoweekly,AO22,AO21)))</f>
        <v>0</v>
      </c>
      <c r="AP29" s="501"/>
      <c r="AQ29" s="522">
        <f>SUMIF($D$15:$AO$15,TMDPeriodValueTypeReported,D29:AO29)</f>
        <v>0</v>
      </c>
      <c r="AR29" s="505">
        <f>SUMIF($D$15:$AO$15,TMDPeriodValueTypeForecast,D29:AO29)</f>
        <v>0</v>
      </c>
      <c r="AS29" s="523">
        <f>'Delivery Calculation'!J13</f>
        <v>584</v>
      </c>
      <c r="AT29" s="505">
        <f>AS29-(AQ29+AR29)</f>
        <v>584</v>
      </c>
      <c r="AU29" s="505"/>
      <c r="AV29" s="510"/>
      <c r="AW29" s="452"/>
    </row>
    <row r="30" spans="1:49">
      <c r="A30" s="1184"/>
      <c r="B30" s="1181"/>
      <c r="C30" s="499" t="s">
        <v>524</v>
      </c>
      <c r="D30" s="509">
        <f ca="1">IF(D$15=TMDPeriodValueTypeForecast,IF('Delivery Calculation'!$H$13=TMDAllocationTandM,0,'Delivery Calculation'!M87),IF(MDReportingPeriod=TMDMonthly,D26,IF(MDReportingPeriod=TMDTwoweekly,D25,D24)))</f>
        <v>0</v>
      </c>
      <c r="E30" s="509">
        <f ca="1">IF(E$15=TMDPeriodValueTypeForecast,IF('Delivery Calculation'!$H$13=TMDAllocationTandM,0,'Delivery Calculation'!N87),IF(MDReportingPeriod=TMDMonthly,E26,IF(MDReportingPeriod=TMDTwoweekly,E25,E24)))</f>
        <v>0</v>
      </c>
      <c r="F30" s="509">
        <f ca="1">IF(F$15=TMDPeriodValueTypeForecast,IF('Delivery Calculation'!$H$13=TMDAllocationTandM,0,'Delivery Calculation'!O87),IF(MDReportingPeriod=TMDMonthly,F26,IF(MDReportingPeriod=TMDTwoweekly,F25,F24)))</f>
        <v>0</v>
      </c>
      <c r="G30" s="509">
        <f ca="1">IF(G$15=TMDPeriodValueTypeForecast,IF('Delivery Calculation'!$H$13=TMDAllocationTandM,0,'Delivery Calculation'!P87),IF(MDReportingPeriod=TMDMonthly,G26,IF(MDReportingPeriod=TMDTwoweekly,G25,G24)))</f>
        <v>0</v>
      </c>
      <c r="H30" s="509">
        <f ca="1">IF(H$15=TMDPeriodValueTypeForecast,IF('Delivery Calculation'!$H$13=TMDAllocationTandM,0,'Delivery Calculation'!Q87),IF(MDReportingPeriod=TMDMonthly,H26,IF(MDReportingPeriod=TMDTwoweekly,H25,H24)))</f>
        <v>0</v>
      </c>
      <c r="I30" s="509">
        <f ca="1">IF(I$15=TMDPeriodValueTypeForecast,IF('Delivery Calculation'!$H$13=TMDAllocationTandM,0,'Delivery Calculation'!R87),IF(MDReportingPeriod=TMDMonthly,I26,IF(MDReportingPeriod=TMDTwoweekly,I25,I24)))</f>
        <v>0</v>
      </c>
      <c r="J30" s="509">
        <f ca="1">IF(J$15=TMDPeriodValueTypeForecast,IF('Delivery Calculation'!$H$13=TMDAllocationTandM,0,'Delivery Calculation'!S87),IF(MDReportingPeriod=TMDMonthly,J26,IF(MDReportingPeriod=TMDTwoweekly,J25,J24)))</f>
        <v>0</v>
      </c>
      <c r="K30" s="509">
        <f ca="1">IF(K$15=TMDPeriodValueTypeForecast,IF('Delivery Calculation'!$H$13=TMDAllocationTandM,0,'Delivery Calculation'!T87),IF(MDReportingPeriod=TMDMonthly,K26,IF(MDReportingPeriod=TMDTwoweekly,K25,K24)))</f>
        <v>0</v>
      </c>
      <c r="L30" s="509">
        <f ca="1">IF(L$15=TMDPeriodValueTypeForecast,IF('Delivery Calculation'!$H$13=TMDAllocationTandM,0,'Delivery Calculation'!U87),IF(MDReportingPeriod=TMDMonthly,L26,IF(MDReportingPeriod=TMDTwoweekly,L25,L24)))</f>
        <v>0</v>
      </c>
      <c r="M30" s="509">
        <f ca="1">IF(M$15=TMDPeriodValueTypeForecast,IF('Delivery Calculation'!$H$13=TMDAllocationTandM,0,'Delivery Calculation'!V87),IF(MDReportingPeriod=TMDMonthly,M26,IF(MDReportingPeriod=TMDTwoweekly,M25,M24)))</f>
        <v>0</v>
      </c>
      <c r="N30" s="509">
        <f ca="1">IF(N$15=TMDPeriodValueTypeForecast,IF('Delivery Calculation'!$H$13=TMDAllocationTandM,0,'Delivery Calculation'!W87),IF(MDReportingPeriod=TMDMonthly,N26,IF(MDReportingPeriod=TMDTwoweekly,N25,N24)))</f>
        <v>0</v>
      </c>
      <c r="O30" s="509">
        <f ca="1">IF(O$15=TMDPeriodValueTypeForecast,IF('Delivery Calculation'!$H$13=TMDAllocationTandM,0,'Delivery Calculation'!X87),IF(MDReportingPeriod=TMDMonthly,O26,IF(MDReportingPeriod=TMDTwoweekly,O25,O24)))</f>
        <v>0</v>
      </c>
      <c r="P30" s="509">
        <f ca="1">IF(P$15=TMDPeriodValueTypeForecast,IF('Delivery Calculation'!$H$13=TMDAllocationTandM,0,'Delivery Calculation'!Y87),IF(MDReportingPeriod=TMDMonthly,P26,IF(MDReportingPeriod=TMDTwoweekly,P25,P24)))</f>
        <v>0</v>
      </c>
      <c r="Q30" s="509">
        <f ca="1">IF(Q$15=TMDPeriodValueTypeForecast,IF('Delivery Calculation'!$H$13=TMDAllocationTandM,0,'Delivery Calculation'!Z87),IF(MDReportingPeriod=TMDMonthly,Q26,IF(MDReportingPeriod=TMDTwoweekly,Q25,Q24)))</f>
        <v>0</v>
      </c>
      <c r="R30" s="509">
        <f ca="1">IF(R$15=TMDPeriodValueTypeForecast,IF('Delivery Calculation'!$H$13=TMDAllocationTandM,0,'Delivery Calculation'!AA87),IF(MDReportingPeriod=TMDMonthly,R26,IF(MDReportingPeriod=TMDTwoweekly,R25,R24)))</f>
        <v>0</v>
      </c>
      <c r="S30" s="509">
        <f ca="1">IF(S$15=TMDPeriodValueTypeForecast,IF('Delivery Calculation'!$H$13=TMDAllocationTandM,0,'Delivery Calculation'!AB87),IF(MDReportingPeriod=TMDMonthly,S26,IF(MDReportingPeriod=TMDTwoweekly,S25,S24)))</f>
        <v>0</v>
      </c>
      <c r="T30" s="509">
        <f ca="1">IF(T$15=TMDPeriodValueTypeForecast,IF('Delivery Calculation'!$H$13=TMDAllocationTandM,0,'Delivery Calculation'!AC87),IF(MDReportingPeriod=TMDMonthly,T26,IF(MDReportingPeriod=TMDTwoweekly,T25,T24)))</f>
        <v>0</v>
      </c>
      <c r="U30" s="509">
        <f ca="1">IF(U$15=TMDPeriodValueTypeForecast,IF('Delivery Calculation'!$H$13=TMDAllocationTandM,0,'Delivery Calculation'!AD87),IF(MDReportingPeriod=TMDMonthly,U26,IF(MDReportingPeriod=TMDTwoweekly,U25,U24)))</f>
        <v>0</v>
      </c>
      <c r="V30" s="509">
        <f ca="1">IF(V$15=TMDPeriodValueTypeForecast,IF('Delivery Calculation'!$H$13=TMDAllocationTandM,0,'Delivery Calculation'!AE87),IF(MDReportingPeriod=TMDMonthly,V26,IF(MDReportingPeriod=TMDTwoweekly,V25,V24)))</f>
        <v>0</v>
      </c>
      <c r="W30" s="509">
        <f ca="1">IF(W$15=TMDPeriodValueTypeForecast,IF('Delivery Calculation'!$H$13=TMDAllocationTandM,0,'Delivery Calculation'!AF87),IF(MDReportingPeriod=TMDMonthly,W26,IF(MDReportingPeriod=TMDTwoweekly,W25,W24)))</f>
        <v>0</v>
      </c>
      <c r="X30" s="509">
        <f ca="1">IF(X$15=TMDPeriodValueTypeForecast,IF('Delivery Calculation'!$H$13=TMDAllocationTandM,0,'Delivery Calculation'!AG87),IF(MDReportingPeriod=TMDMonthly,X26,IF(MDReportingPeriod=TMDTwoweekly,X25,X24)))</f>
        <v>0</v>
      </c>
      <c r="Y30" s="509">
        <f ca="1">IF(Y$15=TMDPeriodValueTypeForecast,IF('Delivery Calculation'!$H$13=TMDAllocationTandM,0,'Delivery Calculation'!AH87),IF(MDReportingPeriod=TMDMonthly,Y26,IF(MDReportingPeriod=TMDTwoweekly,Y25,Y24)))</f>
        <v>0</v>
      </c>
      <c r="Z30" s="509">
        <f ca="1">IF(Z$15=TMDPeriodValueTypeForecast,IF('Delivery Calculation'!$H$13=TMDAllocationTandM,0,'Delivery Calculation'!AI87),IF(MDReportingPeriod=TMDMonthly,Z26,IF(MDReportingPeriod=TMDTwoweekly,Z25,Z24)))</f>
        <v>0</v>
      </c>
      <c r="AA30" s="509">
        <f ca="1">IF(AA$15=TMDPeriodValueTypeForecast,IF('Delivery Calculation'!$H$13=TMDAllocationTandM,0,'Delivery Calculation'!AJ87),IF(MDReportingPeriod=TMDMonthly,AA26,IF(MDReportingPeriod=TMDTwoweekly,AA25,AA24)))</f>
        <v>0</v>
      </c>
      <c r="AB30" s="509">
        <f ca="1">IF(AB$15=TMDPeriodValueTypeForecast,IF('Delivery Calculation'!$H$13=TMDAllocationTandM,0,'Delivery Calculation'!AK87),IF(MDReportingPeriod=TMDMonthly,AB26,IF(MDReportingPeriod=TMDTwoweekly,AB25,AB24)))</f>
        <v>0</v>
      </c>
      <c r="AC30" s="509">
        <f ca="1">IF(AC$15=TMDPeriodValueTypeForecast,IF('Delivery Calculation'!$H$13=TMDAllocationTandM,0,'Delivery Calculation'!AL87),IF(MDReportingPeriod=TMDMonthly,AC26,IF(MDReportingPeriod=TMDTwoweekly,AC25,AC24)))</f>
        <v>0</v>
      </c>
      <c r="AD30" s="509">
        <f ca="1">IF(AD$15=TMDPeriodValueTypeForecast,IF('Delivery Calculation'!$H$13=TMDAllocationTandM,0,'Delivery Calculation'!AM87),IF(MDReportingPeriod=TMDMonthly,AD26,IF(MDReportingPeriod=TMDTwoweekly,AD25,AD24)))</f>
        <v>0</v>
      </c>
      <c r="AE30" s="509">
        <f ca="1">IF(AE$15=TMDPeriodValueTypeForecast,IF('Delivery Calculation'!$H$13=TMDAllocationTandM,0,'Delivery Calculation'!AN87),IF(MDReportingPeriod=TMDMonthly,AE26,IF(MDReportingPeriod=TMDTwoweekly,AE25,AE24)))</f>
        <v>0</v>
      </c>
      <c r="AF30" s="509">
        <f ca="1">IF(AF$15=TMDPeriodValueTypeForecast,IF('Delivery Calculation'!$H$13=TMDAllocationTandM,0,'Delivery Calculation'!AO87),IF(MDReportingPeriod=TMDMonthly,AF26,IF(MDReportingPeriod=TMDTwoweekly,AF25,AF24)))</f>
        <v>0</v>
      </c>
      <c r="AG30" s="509">
        <f ca="1">IF(AG$15=TMDPeriodValueTypeForecast,IF('Delivery Calculation'!$H$13=TMDAllocationTandM,0,'Delivery Calculation'!AP87),IF(MDReportingPeriod=TMDMonthly,AG26,IF(MDReportingPeriod=TMDTwoweekly,AG25,AG24)))</f>
        <v>0</v>
      </c>
      <c r="AH30" s="509">
        <f ca="1">IF(AH$15=TMDPeriodValueTypeForecast,IF('Delivery Calculation'!$H$13=TMDAllocationTandM,0,'Delivery Calculation'!AQ87),IF(MDReportingPeriod=TMDMonthly,AH26,IF(MDReportingPeriod=TMDTwoweekly,AH25,AH24)))</f>
        <v>0</v>
      </c>
      <c r="AI30" s="509">
        <f ca="1">IF(AI$15=TMDPeriodValueTypeForecast,IF('Delivery Calculation'!$H$13=TMDAllocationTandM,0,'Delivery Calculation'!AR87),IF(MDReportingPeriod=TMDMonthly,AI26,IF(MDReportingPeriod=TMDTwoweekly,AI25,AI24)))</f>
        <v>0</v>
      </c>
      <c r="AJ30" s="509">
        <f ca="1">IF(AJ$15=TMDPeriodValueTypeForecast,IF('Delivery Calculation'!$H$13=TMDAllocationTandM,0,'Delivery Calculation'!AS87),IF(MDReportingPeriod=TMDMonthly,AJ26,IF(MDReportingPeriod=TMDTwoweekly,AJ25,AJ24)))</f>
        <v>0</v>
      </c>
      <c r="AK30" s="509">
        <f ca="1">IF(AK$15=TMDPeriodValueTypeForecast,IF('Delivery Calculation'!$H$13=TMDAllocationTandM,0,'Delivery Calculation'!AT87),IF(MDReportingPeriod=TMDMonthly,AK26,IF(MDReportingPeriod=TMDTwoweekly,AK25,AK24)))</f>
        <v>0</v>
      </c>
      <c r="AL30" s="509">
        <f ca="1">IF(AL$15=TMDPeriodValueTypeForecast,IF('Delivery Calculation'!$H$13=TMDAllocationTandM,0,'Delivery Calculation'!AU87),IF(MDReportingPeriod=TMDMonthly,AL26,IF(MDReportingPeriod=TMDTwoweekly,AL25,AL24)))</f>
        <v>0</v>
      </c>
      <c r="AM30" s="509">
        <f ca="1">IF(AM$15=TMDPeriodValueTypeForecast,IF('Delivery Calculation'!$H$13=TMDAllocationTandM,0,'Delivery Calculation'!AV87),IF(MDReportingPeriod=TMDMonthly,AM26,IF(MDReportingPeriod=TMDTwoweekly,AM25,AM24)))</f>
        <v>0</v>
      </c>
      <c r="AN30" s="509">
        <f ca="1">IF(AN$15=TMDPeriodValueTypeForecast,IF('Delivery Calculation'!$H$13=TMDAllocationTandM,0,'Delivery Calculation'!AW87),IF(MDReportingPeriod=TMDMonthly,AN26,IF(MDReportingPeriod=TMDTwoweekly,AN25,AN24)))</f>
        <v>0</v>
      </c>
      <c r="AO30" s="509">
        <f ca="1">IF(AO$15=TMDPeriodValueTypeForecast,IF('Delivery Calculation'!$H$13=TMDAllocationTandM,0,'Delivery Calculation'!AX87),IF(MDReportingPeriod=TMDMonthly,AO26,IF(MDReportingPeriod=TMDTwoweekly,AO25,AO24)))</f>
        <v>0</v>
      </c>
      <c r="AP30" s="501"/>
      <c r="AQ30" s="505">
        <f>SUMIF($D$15:$AO$15,TMDPeriodValueTypeReported,D30:AO30)</f>
        <v>0</v>
      </c>
      <c r="AR30" s="505">
        <f ca="1">SUMIF($D$15:$AO$15,TMDPeriodValueTypeForecast,D30:AO30)</f>
        <v>0</v>
      </c>
      <c r="AS30" s="523">
        <f ca="1">'Delivery Calculation'!I13</f>
        <v>93800</v>
      </c>
      <c r="AT30" s="505">
        <f ca="1">AS30-(AQ30+AR30)</f>
        <v>93800</v>
      </c>
      <c r="AU30" s="505"/>
      <c r="AV30" s="510"/>
      <c r="AW30" s="452"/>
    </row>
    <row r="31" spans="1:49">
      <c r="A31" s="1185"/>
      <c r="B31" s="1182"/>
      <c r="C31" s="499" t="s">
        <v>525</v>
      </c>
      <c r="D31" s="509"/>
      <c r="E31" s="509"/>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09"/>
      <c r="AE31" s="509"/>
      <c r="AF31" s="509"/>
      <c r="AG31" s="509"/>
      <c r="AH31" s="509"/>
      <c r="AI31" s="509"/>
      <c r="AJ31" s="509"/>
      <c r="AK31" s="509"/>
      <c r="AL31" s="509"/>
      <c r="AM31" s="509"/>
      <c r="AN31" s="509"/>
      <c r="AO31" s="509"/>
      <c r="AP31" s="501"/>
      <c r="AQ31" s="505">
        <f>SUMIF($D$15:$AO$15,TMDPeriodValueTypeReported,D31:AO31)</f>
        <v>0</v>
      </c>
      <c r="AR31" s="505">
        <f>SUMIF($D$15:$AO$15,TMDPeriodValueTypeForecast,D31:AO31)</f>
        <v>0</v>
      </c>
      <c r="AS31" s="505"/>
      <c r="AT31" s="505">
        <f>AQ31+AR31</f>
        <v>0</v>
      </c>
      <c r="AU31" s="505"/>
      <c r="AV31" s="510"/>
      <c r="AW31" s="452"/>
    </row>
    <row r="32" spans="1:49" hidden="1">
      <c r="A32" s="143"/>
      <c r="B32" s="483"/>
      <c r="C32" s="496" t="s">
        <v>1339</v>
      </c>
      <c r="D32" s="516">
        <f t="shared" ref="D32:AO32" si="6">IF(ISERR(GETPIVOTDATA("[Measures].[Hours]",TRIMARANweekly,"[Order].[Position Number]","[Order].[Position Number].&amp;[" &amp; $B39 &amp; "]","[Period].[Week]","[Period].[Week].&amp;[" &amp; YEAR(D$14-7) &amp; TEXT(WEEKNUM(D$14-7),"00") &amp; "]")),0,GETPIVOTDATA("[Measures].[Hours]",TRIMARANweekly,"[Order].[Position Number]","[Order].[Position Number].&amp;[" &amp; $B39 &amp; "]","[Period].[Week]","[Period].[Week].&amp;[" &amp; YEAR(D$14-7) &amp; TEXT(WEEKNUM(D$14-7),"00") &amp; "]"))</f>
        <v>0</v>
      </c>
      <c r="E32" s="516">
        <f t="shared" si="6"/>
        <v>0</v>
      </c>
      <c r="F32" s="516">
        <f t="shared" si="6"/>
        <v>0</v>
      </c>
      <c r="G32" s="516">
        <f t="shared" si="6"/>
        <v>0</v>
      </c>
      <c r="H32" s="516">
        <f t="shared" si="6"/>
        <v>0</v>
      </c>
      <c r="I32" s="516">
        <f t="shared" si="6"/>
        <v>0</v>
      </c>
      <c r="J32" s="516">
        <f t="shared" si="6"/>
        <v>0</v>
      </c>
      <c r="K32" s="516">
        <f t="shared" si="6"/>
        <v>0</v>
      </c>
      <c r="L32" s="516">
        <f t="shared" si="6"/>
        <v>0</v>
      </c>
      <c r="M32" s="516">
        <f t="shared" si="6"/>
        <v>0</v>
      </c>
      <c r="N32" s="516">
        <f t="shared" si="6"/>
        <v>0</v>
      </c>
      <c r="O32" s="516">
        <f t="shared" si="6"/>
        <v>0</v>
      </c>
      <c r="P32" s="516">
        <f t="shared" si="6"/>
        <v>0</v>
      </c>
      <c r="Q32" s="516">
        <f t="shared" si="6"/>
        <v>0</v>
      </c>
      <c r="R32" s="516">
        <f t="shared" si="6"/>
        <v>0</v>
      </c>
      <c r="S32" s="516">
        <f t="shared" si="6"/>
        <v>0</v>
      </c>
      <c r="T32" s="516">
        <f t="shared" si="6"/>
        <v>0</v>
      </c>
      <c r="U32" s="516">
        <f t="shared" si="6"/>
        <v>0</v>
      </c>
      <c r="V32" s="516">
        <f t="shared" si="6"/>
        <v>0</v>
      </c>
      <c r="W32" s="516">
        <f t="shared" si="6"/>
        <v>0</v>
      </c>
      <c r="X32" s="516">
        <f t="shared" si="6"/>
        <v>0</v>
      </c>
      <c r="Y32" s="516">
        <f t="shared" si="6"/>
        <v>0</v>
      </c>
      <c r="Z32" s="516">
        <f t="shared" si="6"/>
        <v>0</v>
      </c>
      <c r="AA32" s="516">
        <f t="shared" si="6"/>
        <v>0</v>
      </c>
      <c r="AB32" s="516">
        <f t="shared" si="6"/>
        <v>0</v>
      </c>
      <c r="AC32" s="516">
        <f t="shared" si="6"/>
        <v>0</v>
      </c>
      <c r="AD32" s="516">
        <f t="shared" si="6"/>
        <v>0</v>
      </c>
      <c r="AE32" s="516">
        <f t="shared" si="6"/>
        <v>0</v>
      </c>
      <c r="AF32" s="516">
        <f t="shared" si="6"/>
        <v>0</v>
      </c>
      <c r="AG32" s="516">
        <f t="shared" si="6"/>
        <v>0</v>
      </c>
      <c r="AH32" s="516">
        <f t="shared" si="6"/>
        <v>0</v>
      </c>
      <c r="AI32" s="516">
        <f t="shared" si="6"/>
        <v>0</v>
      </c>
      <c r="AJ32" s="516">
        <f t="shared" si="6"/>
        <v>0</v>
      </c>
      <c r="AK32" s="516">
        <f t="shared" si="6"/>
        <v>0</v>
      </c>
      <c r="AL32" s="516">
        <f t="shared" si="6"/>
        <v>0</v>
      </c>
      <c r="AM32" s="516">
        <f t="shared" si="6"/>
        <v>0</v>
      </c>
      <c r="AN32" s="516">
        <f t="shared" si="6"/>
        <v>0</v>
      </c>
      <c r="AO32" s="516">
        <f t="shared" si="6"/>
        <v>0</v>
      </c>
      <c r="AP32" s="501"/>
      <c r="AQ32" s="505"/>
      <c r="AR32" s="505"/>
      <c r="AS32" s="505"/>
      <c r="AT32" s="505"/>
      <c r="AU32" s="505"/>
      <c r="AV32" s="510"/>
      <c r="AW32" s="452"/>
    </row>
    <row r="33" spans="1:49" hidden="1">
      <c r="A33" s="143"/>
      <c r="B33" s="483"/>
      <c r="C33" s="496" t="s">
        <v>1340</v>
      </c>
      <c r="D33" s="516">
        <f t="shared" ref="D33:AO33" si="7">IF(ISERR(GETPIVOTDATA("[Measures].[Hours]",TRIMARANweekly,"[Order].[Position Number]","[Order].[Position Number].&amp;[" &amp; $B39 &amp; "]","[Period].[Week]","[Period].[Week].&amp;[" &amp; YEAR(D$14-14) &amp; TEXT(WEEKNUM(D$14-14),"00") &amp; "]")),0,GETPIVOTDATA("[Measures].[Hours]",TRIMARANweekly,"[Order].[Position Number]","[Order].[Position Number].&amp;[" &amp; $B39 &amp; "]","[Period].[Week]","[Period].[Week].&amp;[" &amp; YEAR(D$14-14) &amp; TEXT(WEEKNUM(D$14-14),"00") &amp; "]"))+D32</f>
        <v>0</v>
      </c>
      <c r="E33" s="516">
        <f t="shared" si="7"/>
        <v>0</v>
      </c>
      <c r="F33" s="516">
        <f t="shared" si="7"/>
        <v>0</v>
      </c>
      <c r="G33" s="516">
        <f t="shared" si="7"/>
        <v>0</v>
      </c>
      <c r="H33" s="516">
        <f t="shared" si="7"/>
        <v>0</v>
      </c>
      <c r="I33" s="516">
        <f t="shared" si="7"/>
        <v>0</v>
      </c>
      <c r="J33" s="516">
        <f t="shared" si="7"/>
        <v>0</v>
      </c>
      <c r="K33" s="516">
        <f t="shared" si="7"/>
        <v>0</v>
      </c>
      <c r="L33" s="516">
        <f t="shared" si="7"/>
        <v>0</v>
      </c>
      <c r="M33" s="516">
        <f t="shared" si="7"/>
        <v>0</v>
      </c>
      <c r="N33" s="516">
        <f t="shared" si="7"/>
        <v>0</v>
      </c>
      <c r="O33" s="516">
        <f t="shared" si="7"/>
        <v>0</v>
      </c>
      <c r="P33" s="516">
        <f t="shared" si="7"/>
        <v>0</v>
      </c>
      <c r="Q33" s="516">
        <f t="shared" si="7"/>
        <v>0</v>
      </c>
      <c r="R33" s="516">
        <f t="shared" si="7"/>
        <v>0</v>
      </c>
      <c r="S33" s="516">
        <f t="shared" si="7"/>
        <v>0</v>
      </c>
      <c r="T33" s="516">
        <f t="shared" si="7"/>
        <v>0</v>
      </c>
      <c r="U33" s="516">
        <f t="shared" si="7"/>
        <v>0</v>
      </c>
      <c r="V33" s="516">
        <f t="shared" si="7"/>
        <v>0</v>
      </c>
      <c r="W33" s="516">
        <f t="shared" si="7"/>
        <v>0</v>
      </c>
      <c r="X33" s="516">
        <f t="shared" si="7"/>
        <v>0</v>
      </c>
      <c r="Y33" s="516">
        <f t="shared" si="7"/>
        <v>0</v>
      </c>
      <c r="Z33" s="516">
        <f t="shared" si="7"/>
        <v>0</v>
      </c>
      <c r="AA33" s="516">
        <f t="shared" si="7"/>
        <v>0</v>
      </c>
      <c r="AB33" s="516">
        <f t="shared" si="7"/>
        <v>0</v>
      </c>
      <c r="AC33" s="516">
        <f t="shared" si="7"/>
        <v>0</v>
      </c>
      <c r="AD33" s="516">
        <f t="shared" si="7"/>
        <v>0</v>
      </c>
      <c r="AE33" s="516">
        <f t="shared" si="7"/>
        <v>0</v>
      </c>
      <c r="AF33" s="516">
        <f t="shared" si="7"/>
        <v>0</v>
      </c>
      <c r="AG33" s="516">
        <f t="shared" si="7"/>
        <v>0</v>
      </c>
      <c r="AH33" s="516">
        <f t="shared" si="7"/>
        <v>0</v>
      </c>
      <c r="AI33" s="516">
        <f t="shared" si="7"/>
        <v>0</v>
      </c>
      <c r="AJ33" s="516">
        <f t="shared" si="7"/>
        <v>0</v>
      </c>
      <c r="AK33" s="516">
        <f t="shared" si="7"/>
        <v>0</v>
      </c>
      <c r="AL33" s="516">
        <f t="shared" si="7"/>
        <v>0</v>
      </c>
      <c r="AM33" s="516">
        <f t="shared" si="7"/>
        <v>0</v>
      </c>
      <c r="AN33" s="516">
        <f t="shared" si="7"/>
        <v>0</v>
      </c>
      <c r="AO33" s="516">
        <f t="shared" si="7"/>
        <v>0</v>
      </c>
      <c r="AP33" s="501"/>
      <c r="AQ33" s="505"/>
      <c r="AR33" s="505"/>
      <c r="AS33" s="505"/>
      <c r="AT33" s="505"/>
      <c r="AU33" s="505"/>
      <c r="AV33" s="510"/>
      <c r="AW33" s="452"/>
    </row>
    <row r="34" spans="1:49" hidden="1">
      <c r="A34" s="143"/>
      <c r="B34" s="483"/>
      <c r="C34" s="496" t="s">
        <v>1341</v>
      </c>
      <c r="D34" s="516">
        <f t="shared" ref="D34:AO34" si="8">IF(ISERR(GETPIVOTDATA("[Measures].[Hours]",TRIMARANmonthly,"[Period].[Month]","[Period].[Month].&amp;["&amp;IF(MONTH(D$14)=1,YEAR(D$14)-1&amp;TEXT(12,"00"),YEAR(D$14)&amp;TEXT(MONTH(D$14)-1,"00"))&amp;"]","[Order].[Position Number]","[Order].[Position Number].&amp;["&amp;$B39&amp;"]")),0,GETPIVOTDATA("[Measures].[Hours]",TRIMARANmonthly,"[Period].[Month]","[Period].[Month].&amp;["&amp;IF(MONTH(D$14)=1,YEAR(D$14)-1&amp;TEXT(12,"00"),YEAR(D$14)&amp;TEXT(MONTH(D$14)-1,"00"))&amp;"]","[Order].[Position Number]","[Order].[Position Number].&amp;["&amp;$B39&amp;"]"))</f>
        <v>0</v>
      </c>
      <c r="E34" s="516">
        <f t="shared" si="8"/>
        <v>0</v>
      </c>
      <c r="F34" s="516">
        <f t="shared" si="8"/>
        <v>0</v>
      </c>
      <c r="G34" s="516">
        <f t="shared" si="8"/>
        <v>0</v>
      </c>
      <c r="H34" s="516">
        <f t="shared" si="8"/>
        <v>0</v>
      </c>
      <c r="I34" s="516">
        <f t="shared" si="8"/>
        <v>0</v>
      </c>
      <c r="J34" s="516">
        <f t="shared" si="8"/>
        <v>0</v>
      </c>
      <c r="K34" s="516">
        <f t="shared" si="8"/>
        <v>0</v>
      </c>
      <c r="L34" s="516">
        <f t="shared" si="8"/>
        <v>0</v>
      </c>
      <c r="M34" s="516">
        <f t="shared" si="8"/>
        <v>0</v>
      </c>
      <c r="N34" s="516">
        <f t="shared" si="8"/>
        <v>0</v>
      </c>
      <c r="O34" s="516">
        <f t="shared" si="8"/>
        <v>0</v>
      </c>
      <c r="P34" s="516">
        <f t="shared" si="8"/>
        <v>0</v>
      </c>
      <c r="Q34" s="516">
        <f t="shared" si="8"/>
        <v>0</v>
      </c>
      <c r="R34" s="516">
        <f t="shared" si="8"/>
        <v>0</v>
      </c>
      <c r="S34" s="516">
        <f t="shared" si="8"/>
        <v>0</v>
      </c>
      <c r="T34" s="516">
        <f t="shared" si="8"/>
        <v>0</v>
      </c>
      <c r="U34" s="516">
        <f t="shared" si="8"/>
        <v>0</v>
      </c>
      <c r="V34" s="516">
        <f t="shared" si="8"/>
        <v>0</v>
      </c>
      <c r="W34" s="516">
        <f t="shared" si="8"/>
        <v>0</v>
      </c>
      <c r="X34" s="516">
        <f t="shared" si="8"/>
        <v>0</v>
      </c>
      <c r="Y34" s="516">
        <f t="shared" si="8"/>
        <v>0</v>
      </c>
      <c r="Z34" s="516">
        <f t="shared" si="8"/>
        <v>0</v>
      </c>
      <c r="AA34" s="516">
        <f t="shared" si="8"/>
        <v>0</v>
      </c>
      <c r="AB34" s="516">
        <f t="shared" si="8"/>
        <v>0</v>
      </c>
      <c r="AC34" s="516">
        <f t="shared" si="8"/>
        <v>0</v>
      </c>
      <c r="AD34" s="516">
        <f t="shared" si="8"/>
        <v>0</v>
      </c>
      <c r="AE34" s="516">
        <f t="shared" si="8"/>
        <v>0</v>
      </c>
      <c r="AF34" s="516">
        <f t="shared" si="8"/>
        <v>0</v>
      </c>
      <c r="AG34" s="516">
        <f t="shared" si="8"/>
        <v>0</v>
      </c>
      <c r="AH34" s="516">
        <f t="shared" si="8"/>
        <v>0</v>
      </c>
      <c r="AI34" s="516">
        <f t="shared" si="8"/>
        <v>0</v>
      </c>
      <c r="AJ34" s="516">
        <f t="shared" si="8"/>
        <v>0</v>
      </c>
      <c r="AK34" s="516">
        <f t="shared" si="8"/>
        <v>0</v>
      </c>
      <c r="AL34" s="516">
        <f t="shared" si="8"/>
        <v>0</v>
      </c>
      <c r="AM34" s="516">
        <f t="shared" si="8"/>
        <v>0</v>
      </c>
      <c r="AN34" s="516">
        <f t="shared" si="8"/>
        <v>0</v>
      </c>
      <c r="AO34" s="516">
        <f t="shared" si="8"/>
        <v>0</v>
      </c>
      <c r="AP34" s="501"/>
      <c r="AQ34" s="505"/>
      <c r="AR34" s="505"/>
      <c r="AS34" s="505"/>
      <c r="AT34" s="505"/>
      <c r="AU34" s="505"/>
      <c r="AV34" s="510"/>
      <c r="AW34" s="452"/>
    </row>
    <row r="35" spans="1:49" hidden="1">
      <c r="A35" s="143"/>
      <c r="B35" s="483"/>
      <c r="C35" s="496" t="s">
        <v>1339</v>
      </c>
      <c r="D35" s="516">
        <f t="shared" ref="D35:AO35" si="9">IF(ISERR(GETPIVOTDATA("[Measures].[" &amp; MDContractCurrency &amp; "]",TRIMARANweekly,"[Order].[Position Number]","[Order].[Position Number].&amp;[" &amp; $B39 &amp; "]","[Period].[Week]","[Period].[Week].&amp;[" &amp; YEAR(D$14-7) &amp; TEXT(WEEKNUM(D$14-7),"00") &amp; "]")),0,GETPIVOTDATA("[Measures].[" &amp; MDContractCurrency &amp; "]",TRIMARANweekly,"[Order].[Position Number]","[Order].[Position Number].&amp;[" &amp; $B39 &amp; "]","[Period].[Week]","[Period].[Week].&amp;[" &amp; YEAR(D$14-7) &amp; TEXT(WEEKNUM(D$14-7),"00") &amp; "]"))</f>
        <v>0</v>
      </c>
      <c r="E35" s="516">
        <f t="shared" si="9"/>
        <v>0</v>
      </c>
      <c r="F35" s="516">
        <f t="shared" si="9"/>
        <v>0</v>
      </c>
      <c r="G35" s="516">
        <f t="shared" si="9"/>
        <v>0</v>
      </c>
      <c r="H35" s="516">
        <f t="shared" si="9"/>
        <v>0</v>
      </c>
      <c r="I35" s="516">
        <f t="shared" si="9"/>
        <v>0</v>
      </c>
      <c r="J35" s="516">
        <f t="shared" si="9"/>
        <v>0</v>
      </c>
      <c r="K35" s="516">
        <f t="shared" si="9"/>
        <v>0</v>
      </c>
      <c r="L35" s="516">
        <f t="shared" si="9"/>
        <v>0</v>
      </c>
      <c r="M35" s="516">
        <f t="shared" si="9"/>
        <v>0</v>
      </c>
      <c r="N35" s="516">
        <f t="shared" si="9"/>
        <v>0</v>
      </c>
      <c r="O35" s="516">
        <f t="shared" si="9"/>
        <v>0</v>
      </c>
      <c r="P35" s="516">
        <f t="shared" si="9"/>
        <v>0</v>
      </c>
      <c r="Q35" s="516">
        <f t="shared" si="9"/>
        <v>0</v>
      </c>
      <c r="R35" s="516">
        <f t="shared" si="9"/>
        <v>0</v>
      </c>
      <c r="S35" s="516">
        <f t="shared" si="9"/>
        <v>0</v>
      </c>
      <c r="T35" s="516">
        <f t="shared" si="9"/>
        <v>0</v>
      </c>
      <c r="U35" s="516">
        <f t="shared" si="9"/>
        <v>0</v>
      </c>
      <c r="V35" s="516">
        <f t="shared" si="9"/>
        <v>0</v>
      </c>
      <c r="W35" s="516">
        <f t="shared" si="9"/>
        <v>0</v>
      </c>
      <c r="X35" s="516">
        <f t="shared" si="9"/>
        <v>0</v>
      </c>
      <c r="Y35" s="516">
        <f t="shared" si="9"/>
        <v>0</v>
      </c>
      <c r="Z35" s="516">
        <f t="shared" si="9"/>
        <v>0</v>
      </c>
      <c r="AA35" s="516">
        <f t="shared" si="9"/>
        <v>0</v>
      </c>
      <c r="AB35" s="516">
        <f t="shared" si="9"/>
        <v>0</v>
      </c>
      <c r="AC35" s="516">
        <f t="shared" si="9"/>
        <v>0</v>
      </c>
      <c r="AD35" s="516">
        <f t="shared" si="9"/>
        <v>0</v>
      </c>
      <c r="AE35" s="516">
        <f t="shared" si="9"/>
        <v>0</v>
      </c>
      <c r="AF35" s="516">
        <f t="shared" si="9"/>
        <v>0</v>
      </c>
      <c r="AG35" s="516">
        <f t="shared" si="9"/>
        <v>0</v>
      </c>
      <c r="AH35" s="516">
        <f t="shared" si="9"/>
        <v>0</v>
      </c>
      <c r="AI35" s="516">
        <f t="shared" si="9"/>
        <v>0</v>
      </c>
      <c r="AJ35" s="516">
        <f t="shared" si="9"/>
        <v>0</v>
      </c>
      <c r="AK35" s="516">
        <f t="shared" si="9"/>
        <v>0</v>
      </c>
      <c r="AL35" s="516">
        <f t="shared" si="9"/>
        <v>0</v>
      </c>
      <c r="AM35" s="516">
        <f t="shared" si="9"/>
        <v>0</v>
      </c>
      <c r="AN35" s="516">
        <f t="shared" si="9"/>
        <v>0</v>
      </c>
      <c r="AO35" s="516">
        <f t="shared" si="9"/>
        <v>0</v>
      </c>
      <c r="AP35" s="501"/>
      <c r="AQ35" s="505"/>
      <c r="AR35" s="505"/>
      <c r="AS35" s="505"/>
      <c r="AT35" s="505"/>
      <c r="AU35" s="505"/>
      <c r="AV35" s="510"/>
      <c r="AW35" s="452"/>
    </row>
    <row r="36" spans="1:49" hidden="1">
      <c r="A36" s="143"/>
      <c r="B36" s="483"/>
      <c r="C36" s="496" t="s">
        <v>1340</v>
      </c>
      <c r="D36" s="516">
        <f t="shared" ref="D36:AO36" si="10">IF(ISERR(GETPIVOTDATA("[Measures].[" &amp; MDContractCurrency &amp; "]",TRIMARANweekly,"[Order].[Position Number]","[Order].[Position Number].&amp;[" &amp; $B39 &amp; "]","[Period].[Week]","[Period].[Week].&amp;[" &amp; YEAR(D$14-14) &amp; TEXT(WEEKNUM(D$14-14),"00") &amp; "]")),0,GETPIVOTDATA("[Measures].[" &amp; MDContractCurrency &amp; "]",TRIMARANweekly,"[Order].[Position Number]","[Order].[Position Number].&amp;[" &amp; $B39 &amp; "]","[Period].[Week]","[Period].[Week].&amp;[" &amp; YEAR(D$14-14) &amp; TEXT(WEEKNUM(D$14-14),"00") &amp; "]"))+D35</f>
        <v>0</v>
      </c>
      <c r="E36" s="516">
        <f t="shared" si="10"/>
        <v>0</v>
      </c>
      <c r="F36" s="516">
        <f t="shared" si="10"/>
        <v>0</v>
      </c>
      <c r="G36" s="516">
        <f t="shared" si="10"/>
        <v>0</v>
      </c>
      <c r="H36" s="516">
        <f t="shared" si="10"/>
        <v>0</v>
      </c>
      <c r="I36" s="516">
        <f t="shared" si="10"/>
        <v>0</v>
      </c>
      <c r="J36" s="516">
        <f t="shared" si="10"/>
        <v>0</v>
      </c>
      <c r="K36" s="516">
        <f t="shared" si="10"/>
        <v>0</v>
      </c>
      <c r="L36" s="516">
        <f t="shared" si="10"/>
        <v>0</v>
      </c>
      <c r="M36" s="516">
        <f t="shared" si="10"/>
        <v>0</v>
      </c>
      <c r="N36" s="516">
        <f t="shared" si="10"/>
        <v>0</v>
      </c>
      <c r="O36" s="516">
        <f t="shared" si="10"/>
        <v>0</v>
      </c>
      <c r="P36" s="516">
        <f t="shared" si="10"/>
        <v>0</v>
      </c>
      <c r="Q36" s="516">
        <f t="shared" si="10"/>
        <v>0</v>
      </c>
      <c r="R36" s="516">
        <f t="shared" si="10"/>
        <v>0</v>
      </c>
      <c r="S36" s="516">
        <f t="shared" si="10"/>
        <v>0</v>
      </c>
      <c r="T36" s="516">
        <f t="shared" si="10"/>
        <v>0</v>
      </c>
      <c r="U36" s="516">
        <f t="shared" si="10"/>
        <v>0</v>
      </c>
      <c r="V36" s="516">
        <f t="shared" si="10"/>
        <v>0</v>
      </c>
      <c r="W36" s="516">
        <f t="shared" si="10"/>
        <v>0</v>
      </c>
      <c r="X36" s="516">
        <f t="shared" si="10"/>
        <v>0</v>
      </c>
      <c r="Y36" s="516">
        <f t="shared" si="10"/>
        <v>0</v>
      </c>
      <c r="Z36" s="516">
        <f t="shared" si="10"/>
        <v>0</v>
      </c>
      <c r="AA36" s="516">
        <f t="shared" si="10"/>
        <v>0</v>
      </c>
      <c r="AB36" s="516">
        <f t="shared" si="10"/>
        <v>0</v>
      </c>
      <c r="AC36" s="516">
        <f t="shared" si="10"/>
        <v>0</v>
      </c>
      <c r="AD36" s="516">
        <f t="shared" si="10"/>
        <v>0</v>
      </c>
      <c r="AE36" s="516">
        <f t="shared" si="10"/>
        <v>0</v>
      </c>
      <c r="AF36" s="516">
        <f t="shared" si="10"/>
        <v>0</v>
      </c>
      <c r="AG36" s="516">
        <f t="shared" si="10"/>
        <v>0</v>
      </c>
      <c r="AH36" s="516">
        <f t="shared" si="10"/>
        <v>0</v>
      </c>
      <c r="AI36" s="516">
        <f t="shared" si="10"/>
        <v>0</v>
      </c>
      <c r="AJ36" s="516">
        <f t="shared" si="10"/>
        <v>0</v>
      </c>
      <c r="AK36" s="516">
        <f t="shared" si="10"/>
        <v>0</v>
      </c>
      <c r="AL36" s="516">
        <f t="shared" si="10"/>
        <v>0</v>
      </c>
      <c r="AM36" s="516">
        <f t="shared" si="10"/>
        <v>0</v>
      </c>
      <c r="AN36" s="516">
        <f t="shared" si="10"/>
        <v>0</v>
      </c>
      <c r="AO36" s="516">
        <f t="shared" si="10"/>
        <v>0</v>
      </c>
      <c r="AP36" s="501"/>
      <c r="AQ36" s="505"/>
      <c r="AR36" s="505"/>
      <c r="AS36" s="505"/>
      <c r="AT36" s="505"/>
      <c r="AU36" s="505"/>
      <c r="AV36" s="510"/>
      <c r="AW36" s="452"/>
    </row>
    <row r="37" spans="1:49" hidden="1">
      <c r="A37" s="141"/>
      <c r="B37" s="517"/>
      <c r="C37" s="496" t="s">
        <v>1341</v>
      </c>
      <c r="D37" s="516">
        <f t="shared" ref="D37:AO37" si="11">IF(ISERR(GETPIVOTDATA("[Measures].[" &amp; MDContractCurrency &amp; "]",TRIMARANmonthly,"[Period].[Month]","[Period].[Month].&amp;["&amp;IF(MONTH(D$14)=1,YEAR(D$14)-1&amp;TEXT(12,"00"),YEAR(D$14)&amp;TEXT(MONTH(D$14)-1,"00"))&amp;"]","[Order].[Position Number]","[Order].[Position Number].&amp;["&amp;$B39&amp;"]")),0,GETPIVOTDATA("[Measures].[" &amp; MDContractCurrency &amp; "]",TRIMARANmonthly,"[Period].[Month]","[Period].[Month].&amp;["&amp;IF(MONTH(D$14)=1,YEAR(D$14)-1&amp;TEXT(12,"00"),YEAR(D$14)&amp;TEXT(MONTH(D$14)-1,"00"))&amp;"]","[Order].[Position Number]","[Order].[Position Number].&amp;["&amp;$B39&amp;"]"))</f>
        <v>0</v>
      </c>
      <c r="E37" s="516">
        <f t="shared" si="11"/>
        <v>0</v>
      </c>
      <c r="F37" s="516">
        <f t="shared" si="11"/>
        <v>0</v>
      </c>
      <c r="G37" s="516">
        <f t="shared" si="11"/>
        <v>0</v>
      </c>
      <c r="H37" s="516">
        <f t="shared" si="11"/>
        <v>0</v>
      </c>
      <c r="I37" s="516">
        <f t="shared" si="11"/>
        <v>0</v>
      </c>
      <c r="J37" s="516">
        <f t="shared" si="11"/>
        <v>0</v>
      </c>
      <c r="K37" s="516">
        <f t="shared" si="11"/>
        <v>0</v>
      </c>
      <c r="L37" s="516">
        <f t="shared" si="11"/>
        <v>0</v>
      </c>
      <c r="M37" s="516">
        <f t="shared" si="11"/>
        <v>0</v>
      </c>
      <c r="N37" s="516">
        <f t="shared" si="11"/>
        <v>0</v>
      </c>
      <c r="O37" s="516">
        <f t="shared" si="11"/>
        <v>0</v>
      </c>
      <c r="P37" s="516">
        <f t="shared" si="11"/>
        <v>0</v>
      </c>
      <c r="Q37" s="516">
        <f t="shared" si="11"/>
        <v>0</v>
      </c>
      <c r="R37" s="516">
        <f t="shared" si="11"/>
        <v>0</v>
      </c>
      <c r="S37" s="516">
        <f t="shared" si="11"/>
        <v>0</v>
      </c>
      <c r="T37" s="516">
        <f t="shared" si="11"/>
        <v>0</v>
      </c>
      <c r="U37" s="516">
        <f t="shared" si="11"/>
        <v>0</v>
      </c>
      <c r="V37" s="516">
        <f t="shared" si="11"/>
        <v>0</v>
      </c>
      <c r="W37" s="516">
        <f t="shared" si="11"/>
        <v>0</v>
      </c>
      <c r="X37" s="516">
        <f t="shared" si="11"/>
        <v>0</v>
      </c>
      <c r="Y37" s="516">
        <f t="shared" si="11"/>
        <v>0</v>
      </c>
      <c r="Z37" s="516">
        <f t="shared" si="11"/>
        <v>0</v>
      </c>
      <c r="AA37" s="516">
        <f t="shared" si="11"/>
        <v>0</v>
      </c>
      <c r="AB37" s="516">
        <f t="shared" si="11"/>
        <v>0</v>
      </c>
      <c r="AC37" s="516">
        <f t="shared" si="11"/>
        <v>0</v>
      </c>
      <c r="AD37" s="516">
        <f t="shared" si="11"/>
        <v>0</v>
      </c>
      <c r="AE37" s="516">
        <f t="shared" si="11"/>
        <v>0</v>
      </c>
      <c r="AF37" s="516">
        <f t="shared" si="11"/>
        <v>0</v>
      </c>
      <c r="AG37" s="516">
        <f t="shared" si="11"/>
        <v>0</v>
      </c>
      <c r="AH37" s="516">
        <f t="shared" si="11"/>
        <v>0</v>
      </c>
      <c r="AI37" s="516">
        <f t="shared" si="11"/>
        <v>0</v>
      </c>
      <c r="AJ37" s="516">
        <f t="shared" si="11"/>
        <v>0</v>
      </c>
      <c r="AK37" s="516">
        <f t="shared" si="11"/>
        <v>0</v>
      </c>
      <c r="AL37" s="516">
        <f t="shared" si="11"/>
        <v>0</v>
      </c>
      <c r="AM37" s="516">
        <f t="shared" si="11"/>
        <v>0</v>
      </c>
      <c r="AN37" s="516">
        <f t="shared" si="11"/>
        <v>0</v>
      </c>
      <c r="AO37" s="516">
        <f t="shared" si="11"/>
        <v>0</v>
      </c>
      <c r="AP37" s="501"/>
      <c r="AQ37" s="505"/>
      <c r="AR37" s="505"/>
      <c r="AS37" s="505"/>
      <c r="AT37" s="505"/>
      <c r="AU37" s="505"/>
      <c r="AV37" s="510"/>
      <c r="AW37" s="452"/>
    </row>
    <row r="38" spans="1:49">
      <c r="A38" s="143"/>
      <c r="B38" s="483"/>
      <c r="C38" s="524"/>
      <c r="D38" s="501"/>
      <c r="E38" s="501"/>
      <c r="F38" s="501"/>
      <c r="G38" s="501"/>
      <c r="H38" s="501"/>
      <c r="I38" s="501"/>
      <c r="J38" s="501"/>
      <c r="K38" s="501"/>
      <c r="L38" s="501"/>
      <c r="M38" s="501"/>
      <c r="N38" s="501"/>
      <c r="O38" s="501"/>
      <c r="P38" s="501"/>
      <c r="Q38" s="501"/>
      <c r="R38" s="501"/>
      <c r="S38" s="501"/>
      <c r="T38" s="501"/>
      <c r="U38" s="501"/>
      <c r="V38" s="501"/>
      <c r="W38" s="501"/>
      <c r="X38" s="501"/>
      <c r="Y38" s="501"/>
      <c r="Z38" s="501"/>
      <c r="AA38" s="501"/>
      <c r="AB38" s="501"/>
      <c r="AC38" s="501"/>
      <c r="AD38" s="501"/>
      <c r="AE38" s="501"/>
      <c r="AF38" s="501"/>
      <c r="AG38" s="501"/>
      <c r="AH38" s="501"/>
      <c r="AI38" s="501"/>
      <c r="AJ38" s="501"/>
      <c r="AK38" s="501"/>
      <c r="AL38" s="501"/>
      <c r="AM38" s="501"/>
      <c r="AN38" s="501"/>
      <c r="AO38" s="501"/>
      <c r="AP38" s="501"/>
      <c r="AQ38" s="505"/>
      <c r="AR38" s="505"/>
      <c r="AS38" s="505"/>
      <c r="AT38" s="505"/>
      <c r="AU38" s="505"/>
      <c r="AV38" s="510"/>
      <c r="AW38" s="452"/>
    </row>
    <row r="39" spans="1:49">
      <c r="A39" s="1183" t="str">
        <f>'Delivery Calculation'!B14 &amp; CHAR(10) &amp; 'Delivery Calculation'!P14 &amp; " - " &amp; 'Delivery Calculation'!Q14</f>
        <v xml:space="preserve">0
 - </v>
      </c>
      <c r="B39" s="1180">
        <f>'Delivery Calculation'!A14</f>
        <v>0</v>
      </c>
      <c r="C39" s="499" t="s">
        <v>526</v>
      </c>
      <c r="D39" s="518">
        <f>'Delivery Calculation'!M195</f>
        <v>0</v>
      </c>
      <c r="E39" s="518">
        <f>'Delivery Calculation'!N195</f>
        <v>0</v>
      </c>
      <c r="F39" s="518">
        <f>'Delivery Calculation'!O195</f>
        <v>0</v>
      </c>
      <c r="G39" s="518">
        <f>'Delivery Calculation'!P195</f>
        <v>0</v>
      </c>
      <c r="H39" s="518">
        <f>'Delivery Calculation'!Q195</f>
        <v>0</v>
      </c>
      <c r="I39" s="518">
        <f>'Delivery Calculation'!R195</f>
        <v>0</v>
      </c>
      <c r="J39" s="518">
        <f>'Delivery Calculation'!S195</f>
        <v>0</v>
      </c>
      <c r="K39" s="518">
        <f>'Delivery Calculation'!T195</f>
        <v>0</v>
      </c>
      <c r="L39" s="518">
        <f>'Delivery Calculation'!U195</f>
        <v>0</v>
      </c>
      <c r="M39" s="518">
        <f>'Delivery Calculation'!V195</f>
        <v>0</v>
      </c>
      <c r="N39" s="518">
        <f>'Delivery Calculation'!W195</f>
        <v>0</v>
      </c>
      <c r="O39" s="518">
        <f>'Delivery Calculation'!X195</f>
        <v>0</v>
      </c>
      <c r="P39" s="518">
        <f>'Delivery Calculation'!Y195</f>
        <v>0</v>
      </c>
      <c r="Q39" s="518">
        <f>'Delivery Calculation'!Z195</f>
        <v>0</v>
      </c>
      <c r="R39" s="518">
        <f>'Delivery Calculation'!AA195</f>
        <v>0</v>
      </c>
      <c r="S39" s="518">
        <f>'Delivery Calculation'!AB195</f>
        <v>0</v>
      </c>
      <c r="T39" s="518">
        <f>'Delivery Calculation'!AC195</f>
        <v>0</v>
      </c>
      <c r="U39" s="518">
        <f>'Delivery Calculation'!AD195</f>
        <v>0</v>
      </c>
      <c r="V39" s="518">
        <f>'Delivery Calculation'!AE195</f>
        <v>0</v>
      </c>
      <c r="W39" s="518">
        <f>'Delivery Calculation'!AF195</f>
        <v>0</v>
      </c>
      <c r="X39" s="518">
        <f>'Delivery Calculation'!AG195</f>
        <v>0</v>
      </c>
      <c r="Y39" s="518">
        <f>'Delivery Calculation'!AH195</f>
        <v>0</v>
      </c>
      <c r="Z39" s="518">
        <f>'Delivery Calculation'!AI195</f>
        <v>0</v>
      </c>
      <c r="AA39" s="518">
        <f>'Delivery Calculation'!AJ195</f>
        <v>0</v>
      </c>
      <c r="AB39" s="518">
        <f>'Delivery Calculation'!AK195</f>
        <v>0</v>
      </c>
      <c r="AC39" s="518">
        <f>'Delivery Calculation'!AL195</f>
        <v>0</v>
      </c>
      <c r="AD39" s="518">
        <f>'Delivery Calculation'!AM195</f>
        <v>0</v>
      </c>
      <c r="AE39" s="518">
        <f>'Delivery Calculation'!AN195</f>
        <v>0</v>
      </c>
      <c r="AF39" s="518">
        <f>'Delivery Calculation'!AO195</f>
        <v>0</v>
      </c>
      <c r="AG39" s="518">
        <f>'Delivery Calculation'!AP195</f>
        <v>0</v>
      </c>
      <c r="AH39" s="518">
        <f>'Delivery Calculation'!AQ195</f>
        <v>0</v>
      </c>
      <c r="AI39" s="518">
        <f>'Delivery Calculation'!AR195</f>
        <v>0</v>
      </c>
      <c r="AJ39" s="518">
        <f>'Delivery Calculation'!AS195</f>
        <v>0</v>
      </c>
      <c r="AK39" s="518">
        <f>'Delivery Calculation'!AT195</f>
        <v>0</v>
      </c>
      <c r="AL39" s="518">
        <f>'Delivery Calculation'!AU195</f>
        <v>0</v>
      </c>
      <c r="AM39" s="518">
        <f>'Delivery Calculation'!AV195</f>
        <v>0</v>
      </c>
      <c r="AN39" s="518">
        <f>'Delivery Calculation'!AW195</f>
        <v>0</v>
      </c>
      <c r="AO39" s="518">
        <f>'Delivery Calculation'!AX195</f>
        <v>0</v>
      </c>
      <c r="AP39" s="501"/>
      <c r="AQ39" s="519">
        <f>IF(COUNTIF($D$15:$AO$15, TMDPeriodValueTypeReported)&gt;0, INDEX(D39:AO39,1,COUNTIF(D$15:$AO$15,TMDPeriodValueTypeReported)),0)</f>
        <v>0</v>
      </c>
      <c r="AR39" s="519"/>
      <c r="AS39" s="520">
        <f>'Delivery Calculation'!N14</f>
        <v>0</v>
      </c>
      <c r="AT39" s="520">
        <f>AQ39*'Delivery Calculation'!N14</f>
        <v>0</v>
      </c>
      <c r="AU39" s="521" t="s">
        <v>522</v>
      </c>
      <c r="AV39" s="510"/>
      <c r="AW39" s="452"/>
    </row>
    <row r="40" spans="1:49">
      <c r="A40" s="1184"/>
      <c r="B40" s="1181"/>
      <c r="C40" s="499" t="s">
        <v>527</v>
      </c>
      <c r="D40" s="509">
        <f>IF(D$15=TMDPeriodValueTypeForecast,IF('Delivery Calculation'!$H$14=TMDAllocationTandM,0,'Delivery Calculation'!M124),IF(MDReportingPeriod=TMDMonthly,D34,IF(MDReportingPeriod=TMDTwoweekly,D33,D32)))</f>
        <v>0</v>
      </c>
      <c r="E40" s="509">
        <f>IF(E$15=TMDPeriodValueTypeForecast,IF('Delivery Calculation'!$H$14=TMDAllocationTandM,0,'Delivery Calculation'!N124),IF(MDReportingPeriod=TMDMonthly,E34,IF(MDReportingPeriod=TMDTwoweekly,E33,E32)))</f>
        <v>0</v>
      </c>
      <c r="F40" s="509">
        <f>IF(F$15=TMDPeriodValueTypeForecast,IF('Delivery Calculation'!$H$14=TMDAllocationTandM,0,'Delivery Calculation'!O124),IF(MDReportingPeriod=TMDMonthly,F34,IF(MDReportingPeriod=TMDTwoweekly,F33,F32)))</f>
        <v>0</v>
      </c>
      <c r="G40" s="509">
        <f>IF(G$15=TMDPeriodValueTypeForecast,IF('Delivery Calculation'!$H$14=TMDAllocationTandM,0,'Delivery Calculation'!P124),IF(MDReportingPeriod=TMDMonthly,G34,IF(MDReportingPeriod=TMDTwoweekly,G33,G32)))</f>
        <v>0</v>
      </c>
      <c r="H40" s="509">
        <f>IF(H$15=TMDPeriodValueTypeForecast,IF('Delivery Calculation'!$H$14=TMDAllocationTandM,0,'Delivery Calculation'!Q124),IF(MDReportingPeriod=TMDMonthly,H34,IF(MDReportingPeriod=TMDTwoweekly,H33,H32)))</f>
        <v>0</v>
      </c>
      <c r="I40" s="509">
        <f>IF(I$15=TMDPeriodValueTypeForecast,IF('Delivery Calculation'!$H$14=TMDAllocationTandM,0,'Delivery Calculation'!R124),IF(MDReportingPeriod=TMDMonthly,I34,IF(MDReportingPeriod=TMDTwoweekly,I33,I32)))</f>
        <v>0</v>
      </c>
      <c r="J40" s="509">
        <f>IF(J$15=TMDPeriodValueTypeForecast,IF('Delivery Calculation'!$H$14=TMDAllocationTandM,0,'Delivery Calculation'!S124),IF(MDReportingPeriod=TMDMonthly,J34,IF(MDReportingPeriod=TMDTwoweekly,J33,J32)))</f>
        <v>0</v>
      </c>
      <c r="K40" s="509">
        <f>IF(K$15=TMDPeriodValueTypeForecast,IF('Delivery Calculation'!$H$14=TMDAllocationTandM,0,'Delivery Calculation'!T124),IF(MDReportingPeriod=TMDMonthly,K34,IF(MDReportingPeriod=TMDTwoweekly,K33,K32)))</f>
        <v>0</v>
      </c>
      <c r="L40" s="509">
        <f>IF(L$15=TMDPeriodValueTypeForecast,IF('Delivery Calculation'!$H$14=TMDAllocationTandM,0,'Delivery Calculation'!U124),IF(MDReportingPeriod=TMDMonthly,L34,IF(MDReportingPeriod=TMDTwoweekly,L33,L32)))</f>
        <v>0</v>
      </c>
      <c r="M40" s="509">
        <f>IF(M$15=TMDPeriodValueTypeForecast,IF('Delivery Calculation'!$H$14=TMDAllocationTandM,0,'Delivery Calculation'!V124),IF(MDReportingPeriod=TMDMonthly,M34,IF(MDReportingPeriod=TMDTwoweekly,M33,M32)))</f>
        <v>0</v>
      </c>
      <c r="N40" s="509">
        <f>IF(N$15=TMDPeriodValueTypeForecast,IF('Delivery Calculation'!$H$14=TMDAllocationTandM,0,'Delivery Calculation'!W124),IF(MDReportingPeriod=TMDMonthly,N34,IF(MDReportingPeriod=TMDTwoweekly,N33,N32)))</f>
        <v>0</v>
      </c>
      <c r="O40" s="509">
        <f>IF(O$15=TMDPeriodValueTypeForecast,IF('Delivery Calculation'!$H$14=TMDAllocationTandM,0,'Delivery Calculation'!X124),IF(MDReportingPeriod=TMDMonthly,O34,IF(MDReportingPeriod=TMDTwoweekly,O33,O32)))</f>
        <v>0</v>
      </c>
      <c r="P40" s="509">
        <f>IF(P$15=TMDPeriodValueTypeForecast,IF('Delivery Calculation'!$H$14=TMDAllocationTandM,0,'Delivery Calculation'!Y124),IF(MDReportingPeriod=TMDMonthly,P34,IF(MDReportingPeriod=TMDTwoweekly,P33,P32)))</f>
        <v>0</v>
      </c>
      <c r="Q40" s="509">
        <f>IF(Q$15=TMDPeriodValueTypeForecast,IF('Delivery Calculation'!$H$14=TMDAllocationTandM,0,'Delivery Calculation'!Z124),IF(MDReportingPeriod=TMDMonthly,Q34,IF(MDReportingPeriod=TMDTwoweekly,Q33,Q32)))</f>
        <v>0</v>
      </c>
      <c r="R40" s="509">
        <f>IF(R$15=TMDPeriodValueTypeForecast,IF('Delivery Calculation'!$H$14=TMDAllocationTandM,0,'Delivery Calculation'!AA124),IF(MDReportingPeriod=TMDMonthly,R34,IF(MDReportingPeriod=TMDTwoweekly,R33,R32)))</f>
        <v>0</v>
      </c>
      <c r="S40" s="509">
        <f>IF(S$15=TMDPeriodValueTypeForecast,IF('Delivery Calculation'!$H$14=TMDAllocationTandM,0,'Delivery Calculation'!AB124),IF(MDReportingPeriod=TMDMonthly,S34,IF(MDReportingPeriod=TMDTwoweekly,S33,S32)))</f>
        <v>0</v>
      </c>
      <c r="T40" s="509">
        <f>IF(T$15=TMDPeriodValueTypeForecast,IF('Delivery Calculation'!$H$14=TMDAllocationTandM,0,'Delivery Calculation'!AC124),IF(MDReportingPeriod=TMDMonthly,T34,IF(MDReportingPeriod=TMDTwoweekly,T33,T32)))</f>
        <v>0</v>
      </c>
      <c r="U40" s="509">
        <f>IF(U$15=TMDPeriodValueTypeForecast,IF('Delivery Calculation'!$H$14=TMDAllocationTandM,0,'Delivery Calculation'!AD124),IF(MDReportingPeriod=TMDMonthly,U34,IF(MDReportingPeriod=TMDTwoweekly,U33,U32)))</f>
        <v>0</v>
      </c>
      <c r="V40" s="509">
        <f>IF(V$15=TMDPeriodValueTypeForecast,IF('Delivery Calculation'!$H$14=TMDAllocationTandM,0,'Delivery Calculation'!AE124),IF(MDReportingPeriod=TMDMonthly,V34,IF(MDReportingPeriod=TMDTwoweekly,V33,V32)))</f>
        <v>0</v>
      </c>
      <c r="W40" s="509">
        <f>IF(W$15=TMDPeriodValueTypeForecast,IF('Delivery Calculation'!$H$14=TMDAllocationTandM,0,'Delivery Calculation'!AF124),IF(MDReportingPeriod=TMDMonthly,W34,IF(MDReportingPeriod=TMDTwoweekly,W33,W32)))</f>
        <v>0</v>
      </c>
      <c r="X40" s="509">
        <f>IF(X$15=TMDPeriodValueTypeForecast,IF('Delivery Calculation'!$H$14=TMDAllocationTandM,0,'Delivery Calculation'!AG124),IF(MDReportingPeriod=TMDMonthly,X34,IF(MDReportingPeriod=TMDTwoweekly,X33,X32)))</f>
        <v>0</v>
      </c>
      <c r="Y40" s="509">
        <f>IF(Y$15=TMDPeriodValueTypeForecast,IF('Delivery Calculation'!$H$14=TMDAllocationTandM,0,'Delivery Calculation'!AH124),IF(MDReportingPeriod=TMDMonthly,Y34,IF(MDReportingPeriod=TMDTwoweekly,Y33,Y32)))</f>
        <v>0</v>
      </c>
      <c r="Z40" s="509">
        <f>IF(Z$15=TMDPeriodValueTypeForecast,IF('Delivery Calculation'!$H$14=TMDAllocationTandM,0,'Delivery Calculation'!AI124),IF(MDReportingPeriod=TMDMonthly,Z34,IF(MDReportingPeriod=TMDTwoweekly,Z33,Z32)))</f>
        <v>0</v>
      </c>
      <c r="AA40" s="509">
        <f>IF(AA$15=TMDPeriodValueTypeForecast,IF('Delivery Calculation'!$H$14=TMDAllocationTandM,0,'Delivery Calculation'!AJ124),IF(MDReportingPeriod=TMDMonthly,AA34,IF(MDReportingPeriod=TMDTwoweekly,AA33,AA32)))</f>
        <v>0</v>
      </c>
      <c r="AB40" s="509">
        <f>IF(AB$15=TMDPeriodValueTypeForecast,IF('Delivery Calculation'!$H$14=TMDAllocationTandM,0,'Delivery Calculation'!AK124),IF(MDReportingPeriod=TMDMonthly,AB34,IF(MDReportingPeriod=TMDTwoweekly,AB33,AB32)))</f>
        <v>0</v>
      </c>
      <c r="AC40" s="509">
        <f>IF(AC$15=TMDPeriodValueTypeForecast,IF('Delivery Calculation'!$H$14=TMDAllocationTandM,0,'Delivery Calculation'!AL124),IF(MDReportingPeriod=TMDMonthly,AC34,IF(MDReportingPeriod=TMDTwoweekly,AC33,AC32)))</f>
        <v>0</v>
      </c>
      <c r="AD40" s="509">
        <f>IF(AD$15=TMDPeriodValueTypeForecast,IF('Delivery Calculation'!$H$14=TMDAllocationTandM,0,'Delivery Calculation'!AM124),IF(MDReportingPeriod=TMDMonthly,AD34,IF(MDReportingPeriod=TMDTwoweekly,AD33,AD32)))</f>
        <v>0</v>
      </c>
      <c r="AE40" s="509">
        <f>IF(AE$15=TMDPeriodValueTypeForecast,IF('Delivery Calculation'!$H$14=TMDAllocationTandM,0,'Delivery Calculation'!AN124),IF(MDReportingPeriod=TMDMonthly,AE34,IF(MDReportingPeriod=TMDTwoweekly,AE33,AE32)))</f>
        <v>0</v>
      </c>
      <c r="AF40" s="509">
        <f>IF(AF$15=TMDPeriodValueTypeForecast,IF('Delivery Calculation'!$H$14=TMDAllocationTandM,0,'Delivery Calculation'!AO124),IF(MDReportingPeriod=TMDMonthly,AF34,IF(MDReportingPeriod=TMDTwoweekly,AF33,AF32)))</f>
        <v>0</v>
      </c>
      <c r="AG40" s="509">
        <f>IF(AG$15=TMDPeriodValueTypeForecast,IF('Delivery Calculation'!$H$14=TMDAllocationTandM,0,'Delivery Calculation'!AP124),IF(MDReportingPeriod=TMDMonthly,AG34,IF(MDReportingPeriod=TMDTwoweekly,AG33,AG32)))</f>
        <v>0</v>
      </c>
      <c r="AH40" s="509">
        <f>IF(AH$15=TMDPeriodValueTypeForecast,IF('Delivery Calculation'!$H$14=TMDAllocationTandM,0,'Delivery Calculation'!AQ124),IF(MDReportingPeriod=TMDMonthly,AH34,IF(MDReportingPeriod=TMDTwoweekly,AH33,AH32)))</f>
        <v>0</v>
      </c>
      <c r="AI40" s="509">
        <f>IF(AI$15=TMDPeriodValueTypeForecast,IF('Delivery Calculation'!$H$14=TMDAllocationTandM,0,'Delivery Calculation'!AR124),IF(MDReportingPeriod=TMDMonthly,AI34,IF(MDReportingPeriod=TMDTwoweekly,AI33,AI32)))</f>
        <v>0</v>
      </c>
      <c r="AJ40" s="509">
        <f>IF(AJ$15=TMDPeriodValueTypeForecast,IF('Delivery Calculation'!$H$14=TMDAllocationTandM,0,'Delivery Calculation'!AS124),IF(MDReportingPeriod=TMDMonthly,AJ34,IF(MDReportingPeriod=TMDTwoweekly,AJ33,AJ32)))</f>
        <v>0</v>
      </c>
      <c r="AK40" s="509">
        <f>IF(AK$15=TMDPeriodValueTypeForecast,IF('Delivery Calculation'!$H$14=TMDAllocationTandM,0,'Delivery Calculation'!AT124),IF(MDReportingPeriod=TMDMonthly,AK34,IF(MDReportingPeriod=TMDTwoweekly,AK33,AK32)))</f>
        <v>0</v>
      </c>
      <c r="AL40" s="509">
        <f>IF(AL$15=TMDPeriodValueTypeForecast,IF('Delivery Calculation'!$H$14=TMDAllocationTandM,0,'Delivery Calculation'!AU124),IF(MDReportingPeriod=TMDMonthly,AL34,IF(MDReportingPeriod=TMDTwoweekly,AL33,AL32)))</f>
        <v>0</v>
      </c>
      <c r="AM40" s="509">
        <f>IF(AM$15=TMDPeriodValueTypeForecast,IF('Delivery Calculation'!$H$14=TMDAllocationTandM,0,'Delivery Calculation'!AV124),IF(MDReportingPeriod=TMDMonthly,AM34,IF(MDReportingPeriod=TMDTwoweekly,AM33,AM32)))</f>
        <v>0</v>
      </c>
      <c r="AN40" s="509">
        <f>IF(AN$15=TMDPeriodValueTypeForecast,IF('Delivery Calculation'!$H$14=TMDAllocationTandM,0,'Delivery Calculation'!AW124),IF(MDReportingPeriod=TMDMonthly,AN34,IF(MDReportingPeriod=TMDTwoweekly,AN33,AN32)))</f>
        <v>0</v>
      </c>
      <c r="AO40" s="509">
        <f>IF(AO$15=TMDPeriodValueTypeForecast,IF('Delivery Calculation'!$H$14=TMDAllocationTandM,0,'Delivery Calculation'!AX124),IF(MDReportingPeriod=TMDMonthly,AO34,IF(MDReportingPeriod=TMDTwoweekly,AO33,AO32)))</f>
        <v>0</v>
      </c>
      <c r="AP40" s="501"/>
      <c r="AQ40" s="505">
        <f>SUMIF($D$15:$AO$15,TMDPeriodValueTypeReported,D40:AO40)</f>
        <v>0</v>
      </c>
      <c r="AR40" s="505">
        <f>SUMIF($D$15:$AO$15,TMDPeriodValueTypeForecast,D40:AO40)</f>
        <v>0</v>
      </c>
      <c r="AS40" s="523">
        <f>'Delivery Calculation'!J14</f>
        <v>0</v>
      </c>
      <c r="AT40" s="505">
        <f>AS40-(AQ40+AR40)</f>
        <v>0</v>
      </c>
      <c r="AU40" s="505"/>
      <c r="AV40" s="510"/>
      <c r="AW40" s="452"/>
    </row>
    <row r="41" spans="1:49">
      <c r="A41" s="1184"/>
      <c r="B41" s="1181"/>
      <c r="C41" s="499" t="s">
        <v>528</v>
      </c>
      <c r="D41" s="509">
        <f>IF(D$15=TMDPeriodValueTypeForecast,IF('Delivery Calculation'!$H$14=TMDAllocationTandM,0,'Delivery Calculation'!M88),IF(MDReportingPeriod=TMDMonthly,D37,IF(MDReportingPeriod=TMDTwoweekly,D36,D35)))</f>
        <v>0</v>
      </c>
      <c r="E41" s="509">
        <f>IF(E$15=TMDPeriodValueTypeForecast,IF('Delivery Calculation'!$H$14=TMDAllocationTandM,0,'Delivery Calculation'!N88),IF(MDReportingPeriod=TMDMonthly,E37,IF(MDReportingPeriod=TMDTwoweekly,E36,E35)))</f>
        <v>0</v>
      </c>
      <c r="F41" s="509">
        <f>IF(F$15=TMDPeriodValueTypeForecast,IF('Delivery Calculation'!$H$14=TMDAllocationTandM,0,'Delivery Calculation'!O88),IF(MDReportingPeriod=TMDMonthly,F37,IF(MDReportingPeriod=TMDTwoweekly,F36,F35)))</f>
        <v>0</v>
      </c>
      <c r="G41" s="509">
        <f>IF(G$15=TMDPeriodValueTypeForecast,IF('Delivery Calculation'!$H$14=TMDAllocationTandM,0,'Delivery Calculation'!P88),IF(MDReportingPeriod=TMDMonthly,G37,IF(MDReportingPeriod=TMDTwoweekly,G36,G35)))</f>
        <v>0</v>
      </c>
      <c r="H41" s="509">
        <f>IF(H$15=TMDPeriodValueTypeForecast,IF('Delivery Calculation'!$H$14=TMDAllocationTandM,0,'Delivery Calculation'!Q88),IF(MDReportingPeriod=TMDMonthly,H37,IF(MDReportingPeriod=TMDTwoweekly,H36,H35)))</f>
        <v>0</v>
      </c>
      <c r="I41" s="509">
        <f>IF(I$15=TMDPeriodValueTypeForecast,IF('Delivery Calculation'!$H$14=TMDAllocationTandM,0,'Delivery Calculation'!R88),IF(MDReportingPeriod=TMDMonthly,I37,IF(MDReportingPeriod=TMDTwoweekly,I36,I35)))</f>
        <v>0</v>
      </c>
      <c r="J41" s="509">
        <f>IF(J$15=TMDPeriodValueTypeForecast,IF('Delivery Calculation'!$H$14=TMDAllocationTandM,0,'Delivery Calculation'!S88),IF(MDReportingPeriod=TMDMonthly,J37,IF(MDReportingPeriod=TMDTwoweekly,J36,J35)))</f>
        <v>0</v>
      </c>
      <c r="K41" s="509">
        <f>IF(K$15=TMDPeriodValueTypeForecast,IF('Delivery Calculation'!$H$14=TMDAllocationTandM,0,'Delivery Calculation'!T88),IF(MDReportingPeriod=TMDMonthly,K37,IF(MDReportingPeriod=TMDTwoweekly,K36,K35)))</f>
        <v>0</v>
      </c>
      <c r="L41" s="509">
        <f>IF(L$15=TMDPeriodValueTypeForecast,IF('Delivery Calculation'!$H$14=TMDAllocationTandM,0,'Delivery Calculation'!U88),IF(MDReportingPeriod=TMDMonthly,L37,IF(MDReportingPeriod=TMDTwoweekly,L36,L35)))</f>
        <v>0</v>
      </c>
      <c r="M41" s="509">
        <f>IF(M$15=TMDPeriodValueTypeForecast,IF('Delivery Calculation'!$H$14=TMDAllocationTandM,0,'Delivery Calculation'!V88),IF(MDReportingPeriod=TMDMonthly,M37,IF(MDReportingPeriod=TMDTwoweekly,M36,M35)))</f>
        <v>0</v>
      </c>
      <c r="N41" s="509">
        <f>IF(N$15=TMDPeriodValueTypeForecast,IF('Delivery Calculation'!$H$14=TMDAllocationTandM,0,'Delivery Calculation'!W88),IF(MDReportingPeriod=TMDMonthly,N37,IF(MDReportingPeriod=TMDTwoweekly,N36,N35)))</f>
        <v>0</v>
      </c>
      <c r="O41" s="509">
        <f>IF(O$15=TMDPeriodValueTypeForecast,IF('Delivery Calculation'!$H$14=TMDAllocationTandM,0,'Delivery Calculation'!X88),IF(MDReportingPeriod=TMDMonthly,O37,IF(MDReportingPeriod=TMDTwoweekly,O36,O35)))</f>
        <v>0</v>
      </c>
      <c r="P41" s="509">
        <f>IF(P$15=TMDPeriodValueTypeForecast,IF('Delivery Calculation'!$H$14=TMDAllocationTandM,0,'Delivery Calculation'!Y88),IF(MDReportingPeriod=TMDMonthly,P37,IF(MDReportingPeriod=TMDTwoweekly,P36,P35)))</f>
        <v>0</v>
      </c>
      <c r="Q41" s="509">
        <f>IF(Q$15=TMDPeriodValueTypeForecast,IF('Delivery Calculation'!$H$14=TMDAllocationTandM,0,'Delivery Calculation'!Z88),IF(MDReportingPeriod=TMDMonthly,Q37,IF(MDReportingPeriod=TMDTwoweekly,Q36,Q35)))</f>
        <v>0</v>
      </c>
      <c r="R41" s="509">
        <f>IF(R$15=TMDPeriodValueTypeForecast,IF('Delivery Calculation'!$H$14=TMDAllocationTandM,0,'Delivery Calculation'!AA88),IF(MDReportingPeriod=TMDMonthly,R37,IF(MDReportingPeriod=TMDTwoweekly,R36,R35)))</f>
        <v>0</v>
      </c>
      <c r="S41" s="509">
        <f>IF(S$15=TMDPeriodValueTypeForecast,IF('Delivery Calculation'!$H$14=TMDAllocationTandM,0,'Delivery Calculation'!AB88),IF(MDReportingPeriod=TMDMonthly,S37,IF(MDReportingPeriod=TMDTwoweekly,S36,S35)))</f>
        <v>0</v>
      </c>
      <c r="T41" s="509">
        <f>IF(T$15=TMDPeriodValueTypeForecast,IF('Delivery Calculation'!$H$14=TMDAllocationTandM,0,'Delivery Calculation'!AC88),IF(MDReportingPeriod=TMDMonthly,T37,IF(MDReportingPeriod=TMDTwoweekly,T36,T35)))</f>
        <v>0</v>
      </c>
      <c r="U41" s="509">
        <f>IF(U$15=TMDPeriodValueTypeForecast,IF('Delivery Calculation'!$H$14=TMDAllocationTandM,0,'Delivery Calculation'!AD88),IF(MDReportingPeriod=TMDMonthly,U37,IF(MDReportingPeriod=TMDTwoweekly,U36,U35)))</f>
        <v>0</v>
      </c>
      <c r="V41" s="509">
        <f>IF(V$15=TMDPeriodValueTypeForecast,IF('Delivery Calculation'!$H$14=TMDAllocationTandM,0,'Delivery Calculation'!AE88),IF(MDReportingPeriod=TMDMonthly,V37,IF(MDReportingPeriod=TMDTwoweekly,V36,V35)))</f>
        <v>0</v>
      </c>
      <c r="W41" s="509">
        <f>IF(W$15=TMDPeriodValueTypeForecast,IF('Delivery Calculation'!$H$14=TMDAllocationTandM,0,'Delivery Calculation'!AF88),IF(MDReportingPeriod=TMDMonthly,W37,IF(MDReportingPeriod=TMDTwoweekly,W36,W35)))</f>
        <v>0</v>
      </c>
      <c r="X41" s="509">
        <f>IF(X$15=TMDPeriodValueTypeForecast,IF('Delivery Calculation'!$H$14=TMDAllocationTandM,0,'Delivery Calculation'!AG88),IF(MDReportingPeriod=TMDMonthly,X37,IF(MDReportingPeriod=TMDTwoweekly,X36,X35)))</f>
        <v>0</v>
      </c>
      <c r="Y41" s="509">
        <f>IF(Y$15=TMDPeriodValueTypeForecast,IF('Delivery Calculation'!$H$14=TMDAllocationTandM,0,'Delivery Calculation'!AH88),IF(MDReportingPeriod=TMDMonthly,Y37,IF(MDReportingPeriod=TMDTwoweekly,Y36,Y35)))</f>
        <v>0</v>
      </c>
      <c r="Z41" s="509">
        <f>IF(Z$15=TMDPeriodValueTypeForecast,IF('Delivery Calculation'!$H$14=TMDAllocationTandM,0,'Delivery Calculation'!AI88),IF(MDReportingPeriod=TMDMonthly,Z37,IF(MDReportingPeriod=TMDTwoweekly,Z36,Z35)))</f>
        <v>0</v>
      </c>
      <c r="AA41" s="509">
        <f>IF(AA$15=TMDPeriodValueTypeForecast,IF('Delivery Calculation'!$H$14=TMDAllocationTandM,0,'Delivery Calculation'!AJ88),IF(MDReportingPeriod=TMDMonthly,AA37,IF(MDReportingPeriod=TMDTwoweekly,AA36,AA35)))</f>
        <v>0</v>
      </c>
      <c r="AB41" s="509">
        <f>IF(AB$15=TMDPeriodValueTypeForecast,IF('Delivery Calculation'!$H$14=TMDAllocationTandM,0,'Delivery Calculation'!AK88),IF(MDReportingPeriod=TMDMonthly,AB37,IF(MDReportingPeriod=TMDTwoweekly,AB36,AB35)))</f>
        <v>0</v>
      </c>
      <c r="AC41" s="509">
        <f>IF(AC$15=TMDPeriodValueTypeForecast,IF('Delivery Calculation'!$H$14=TMDAllocationTandM,0,'Delivery Calculation'!AL88),IF(MDReportingPeriod=TMDMonthly,AC37,IF(MDReportingPeriod=TMDTwoweekly,AC36,AC35)))</f>
        <v>0</v>
      </c>
      <c r="AD41" s="509">
        <f>IF(AD$15=TMDPeriodValueTypeForecast,IF('Delivery Calculation'!$H$14=TMDAllocationTandM,0,'Delivery Calculation'!AM88),IF(MDReportingPeriod=TMDMonthly,AD37,IF(MDReportingPeriod=TMDTwoweekly,AD36,AD35)))</f>
        <v>0</v>
      </c>
      <c r="AE41" s="509">
        <f>IF(AE$15=TMDPeriodValueTypeForecast,IF('Delivery Calculation'!$H$14=TMDAllocationTandM,0,'Delivery Calculation'!AN88),IF(MDReportingPeriod=TMDMonthly,AE37,IF(MDReportingPeriod=TMDTwoweekly,AE36,AE35)))</f>
        <v>0</v>
      </c>
      <c r="AF41" s="509">
        <f>IF(AF$15=TMDPeriodValueTypeForecast,IF('Delivery Calculation'!$H$14=TMDAllocationTandM,0,'Delivery Calculation'!AO88),IF(MDReportingPeriod=TMDMonthly,AF37,IF(MDReportingPeriod=TMDTwoweekly,AF36,AF35)))</f>
        <v>0</v>
      </c>
      <c r="AG41" s="509">
        <f>IF(AG$15=TMDPeriodValueTypeForecast,IF('Delivery Calculation'!$H$14=TMDAllocationTandM,0,'Delivery Calculation'!AP88),IF(MDReportingPeriod=TMDMonthly,AG37,IF(MDReportingPeriod=TMDTwoweekly,AG36,AG35)))</f>
        <v>0</v>
      </c>
      <c r="AH41" s="509">
        <f>IF(AH$15=TMDPeriodValueTypeForecast,IF('Delivery Calculation'!$H$14=TMDAllocationTandM,0,'Delivery Calculation'!AQ88),IF(MDReportingPeriod=TMDMonthly,AH37,IF(MDReportingPeriod=TMDTwoweekly,AH36,AH35)))</f>
        <v>0</v>
      </c>
      <c r="AI41" s="509">
        <f>IF(AI$15=TMDPeriodValueTypeForecast,IF('Delivery Calculation'!$H$14=TMDAllocationTandM,0,'Delivery Calculation'!AR88),IF(MDReportingPeriod=TMDMonthly,AI37,IF(MDReportingPeriod=TMDTwoweekly,AI36,AI35)))</f>
        <v>0</v>
      </c>
      <c r="AJ41" s="509">
        <f>IF(AJ$15=TMDPeriodValueTypeForecast,IF('Delivery Calculation'!$H$14=TMDAllocationTandM,0,'Delivery Calculation'!AS88),IF(MDReportingPeriod=TMDMonthly,AJ37,IF(MDReportingPeriod=TMDTwoweekly,AJ36,AJ35)))</f>
        <v>0</v>
      </c>
      <c r="AK41" s="509">
        <f>IF(AK$15=TMDPeriodValueTypeForecast,IF('Delivery Calculation'!$H$14=TMDAllocationTandM,0,'Delivery Calculation'!AT88),IF(MDReportingPeriod=TMDMonthly,AK37,IF(MDReportingPeriod=TMDTwoweekly,AK36,AK35)))</f>
        <v>0</v>
      </c>
      <c r="AL41" s="509">
        <f>IF(AL$15=TMDPeriodValueTypeForecast,IF('Delivery Calculation'!$H$14=TMDAllocationTandM,0,'Delivery Calculation'!AU88),IF(MDReportingPeriod=TMDMonthly,AL37,IF(MDReportingPeriod=TMDTwoweekly,AL36,AL35)))</f>
        <v>0</v>
      </c>
      <c r="AM41" s="509">
        <f>IF(AM$15=TMDPeriodValueTypeForecast,IF('Delivery Calculation'!$H$14=TMDAllocationTandM,0,'Delivery Calculation'!AV88),IF(MDReportingPeriod=TMDMonthly,AM37,IF(MDReportingPeriod=TMDTwoweekly,AM36,AM35)))</f>
        <v>0</v>
      </c>
      <c r="AN41" s="509">
        <f>IF(AN$15=TMDPeriodValueTypeForecast,IF('Delivery Calculation'!$H$14=TMDAllocationTandM,0,'Delivery Calculation'!AW88),IF(MDReportingPeriod=TMDMonthly,AN37,IF(MDReportingPeriod=TMDTwoweekly,AN36,AN35)))</f>
        <v>0</v>
      </c>
      <c r="AO41" s="509">
        <f>IF(AO$15=TMDPeriodValueTypeForecast,IF('Delivery Calculation'!$H$14=TMDAllocationTandM,0,'Delivery Calculation'!AX88),IF(MDReportingPeriod=TMDMonthly,AO37,IF(MDReportingPeriod=TMDTwoweekly,AO36,AO35)))</f>
        <v>0</v>
      </c>
      <c r="AP41" s="501"/>
      <c r="AQ41" s="505">
        <f>SUMIF($D$15:$AO$15,TMDPeriodValueTypeReported,D41:AO41)</f>
        <v>0</v>
      </c>
      <c r="AR41" s="505">
        <f>SUMIF($D$15:$AO$15,TMDPeriodValueTypeForecast,D41:AO41)</f>
        <v>0</v>
      </c>
      <c r="AS41" s="523">
        <f>'Delivery Calculation'!I14</f>
        <v>0</v>
      </c>
      <c r="AT41" s="505">
        <f>AS41-(AQ41+AR41)</f>
        <v>0</v>
      </c>
      <c r="AU41" s="505"/>
      <c r="AV41" s="510"/>
      <c r="AW41" s="452"/>
    </row>
    <row r="42" spans="1:49">
      <c r="A42" s="1185"/>
      <c r="B42" s="1182"/>
      <c r="C42" s="499" t="s">
        <v>529</v>
      </c>
      <c r="D42" s="509"/>
      <c r="E42" s="509"/>
      <c r="F42" s="509"/>
      <c r="G42" s="509"/>
      <c r="H42" s="509"/>
      <c r="I42" s="509"/>
      <c r="J42" s="509"/>
      <c r="K42" s="509"/>
      <c r="L42" s="509"/>
      <c r="M42" s="509"/>
      <c r="N42" s="509"/>
      <c r="O42" s="509"/>
      <c r="P42" s="509"/>
      <c r="Q42" s="509"/>
      <c r="R42" s="509"/>
      <c r="S42" s="509"/>
      <c r="T42" s="509"/>
      <c r="U42" s="509"/>
      <c r="V42" s="509"/>
      <c r="W42" s="509"/>
      <c r="X42" s="509"/>
      <c r="Y42" s="509"/>
      <c r="Z42" s="509"/>
      <c r="AA42" s="509"/>
      <c r="AB42" s="509"/>
      <c r="AC42" s="509"/>
      <c r="AD42" s="509"/>
      <c r="AE42" s="509"/>
      <c r="AF42" s="509"/>
      <c r="AG42" s="509"/>
      <c r="AH42" s="509"/>
      <c r="AI42" s="509"/>
      <c r="AJ42" s="509"/>
      <c r="AK42" s="509"/>
      <c r="AL42" s="509"/>
      <c r="AM42" s="509"/>
      <c r="AN42" s="509"/>
      <c r="AO42" s="509"/>
      <c r="AP42" s="501"/>
      <c r="AQ42" s="505">
        <f>SUMIF($D$15:$AO$15,TMDPeriodValueTypeReported,D42:AO42)</f>
        <v>0</v>
      </c>
      <c r="AR42" s="505">
        <f>SUMIF($D$15:$AO$15,TMDPeriodValueTypeForecast,D42:AO42)</f>
        <v>0</v>
      </c>
      <c r="AS42" s="505"/>
      <c r="AT42" s="505">
        <f>AQ42+AR42</f>
        <v>0</v>
      </c>
      <c r="AU42" s="505"/>
      <c r="AV42" s="510"/>
      <c r="AW42" s="452"/>
    </row>
    <row r="43" spans="1:49" hidden="1">
      <c r="A43" s="143"/>
      <c r="B43" s="483"/>
      <c r="C43" s="496" t="s">
        <v>1339</v>
      </c>
      <c r="D43" s="516">
        <f t="shared" ref="D43:AO43" si="12">IF(ISERR(GETPIVOTDATA("[Measures].[Hours]",TRIMARANweekly,"[Order].[Position Number]","[Order].[Position Number].&amp;[" &amp; $B50 &amp; "]","[Period].[Week]","[Period].[Week].&amp;[" &amp; YEAR(D$14-7) &amp; TEXT(WEEKNUM(D$14-7),"00") &amp; "]")),0,GETPIVOTDATA("[Measures].[Hours]",TRIMARANweekly,"[Order].[Position Number]","[Order].[Position Number].&amp;[" &amp; $B50 &amp; "]","[Period].[Week]","[Period].[Week].&amp;[" &amp; YEAR(D$14-7) &amp; TEXT(WEEKNUM(D$14-7),"00") &amp; "]"))</f>
        <v>0</v>
      </c>
      <c r="E43" s="516">
        <f t="shared" si="12"/>
        <v>0</v>
      </c>
      <c r="F43" s="516">
        <f t="shared" si="12"/>
        <v>0</v>
      </c>
      <c r="G43" s="516">
        <f t="shared" si="12"/>
        <v>0</v>
      </c>
      <c r="H43" s="516">
        <f t="shared" si="12"/>
        <v>0</v>
      </c>
      <c r="I43" s="516">
        <f t="shared" si="12"/>
        <v>0</v>
      </c>
      <c r="J43" s="516">
        <f t="shared" si="12"/>
        <v>0</v>
      </c>
      <c r="K43" s="516">
        <f t="shared" si="12"/>
        <v>0</v>
      </c>
      <c r="L43" s="516">
        <f t="shared" si="12"/>
        <v>0</v>
      </c>
      <c r="M43" s="516">
        <f t="shared" si="12"/>
        <v>0</v>
      </c>
      <c r="N43" s="516">
        <f t="shared" si="12"/>
        <v>0</v>
      </c>
      <c r="O43" s="516">
        <f t="shared" si="12"/>
        <v>0</v>
      </c>
      <c r="P43" s="516">
        <f t="shared" si="12"/>
        <v>0</v>
      </c>
      <c r="Q43" s="516">
        <f t="shared" si="12"/>
        <v>0</v>
      </c>
      <c r="R43" s="516">
        <f t="shared" si="12"/>
        <v>0</v>
      </c>
      <c r="S43" s="516">
        <f t="shared" si="12"/>
        <v>0</v>
      </c>
      <c r="T43" s="516">
        <f t="shared" si="12"/>
        <v>0</v>
      </c>
      <c r="U43" s="516">
        <f t="shared" si="12"/>
        <v>0</v>
      </c>
      <c r="V43" s="516">
        <f t="shared" si="12"/>
        <v>0</v>
      </c>
      <c r="W43" s="516">
        <f t="shared" si="12"/>
        <v>0</v>
      </c>
      <c r="X43" s="516">
        <f t="shared" si="12"/>
        <v>0</v>
      </c>
      <c r="Y43" s="516">
        <f t="shared" si="12"/>
        <v>0</v>
      </c>
      <c r="Z43" s="516">
        <f t="shared" si="12"/>
        <v>0</v>
      </c>
      <c r="AA43" s="516">
        <f t="shared" si="12"/>
        <v>0</v>
      </c>
      <c r="AB43" s="516">
        <f t="shared" si="12"/>
        <v>0</v>
      </c>
      <c r="AC43" s="516">
        <f t="shared" si="12"/>
        <v>0</v>
      </c>
      <c r="AD43" s="516">
        <f t="shared" si="12"/>
        <v>0</v>
      </c>
      <c r="AE43" s="516">
        <f t="shared" si="12"/>
        <v>0</v>
      </c>
      <c r="AF43" s="516">
        <f t="shared" si="12"/>
        <v>0</v>
      </c>
      <c r="AG43" s="516">
        <f t="shared" si="12"/>
        <v>0</v>
      </c>
      <c r="AH43" s="516">
        <f t="shared" si="12"/>
        <v>0</v>
      </c>
      <c r="AI43" s="516">
        <f t="shared" si="12"/>
        <v>0</v>
      </c>
      <c r="AJ43" s="516">
        <f t="shared" si="12"/>
        <v>0</v>
      </c>
      <c r="AK43" s="516">
        <f t="shared" si="12"/>
        <v>0</v>
      </c>
      <c r="AL43" s="516">
        <f t="shared" si="12"/>
        <v>0</v>
      </c>
      <c r="AM43" s="516">
        <f t="shared" si="12"/>
        <v>0</v>
      </c>
      <c r="AN43" s="516">
        <f t="shared" si="12"/>
        <v>0</v>
      </c>
      <c r="AO43" s="516">
        <f t="shared" si="12"/>
        <v>0</v>
      </c>
      <c r="AP43" s="501"/>
      <c r="AQ43" s="505"/>
      <c r="AR43" s="505"/>
      <c r="AS43" s="505"/>
      <c r="AT43" s="505"/>
      <c r="AU43" s="505"/>
      <c r="AV43" s="510"/>
      <c r="AW43" s="452"/>
    </row>
    <row r="44" spans="1:49" hidden="1">
      <c r="A44" s="143"/>
      <c r="B44" s="483"/>
      <c r="C44" s="496" t="s">
        <v>1340</v>
      </c>
      <c r="D44" s="516">
        <f t="shared" ref="D44:AO44" si="13">IF(ISERR(GETPIVOTDATA("[Measures].[Hours]",TRIMARANweekly,"[Order].[Position Number]","[Order].[Position Number].&amp;[" &amp; $B50 &amp; "]","[Period].[Week]","[Period].[Week].&amp;[" &amp; YEAR(D$14-14) &amp; TEXT(WEEKNUM(D$14-14),"00") &amp; "]")),0,GETPIVOTDATA("[Measures].[Hours]",TRIMARANweekly,"[Order].[Position Number]","[Order].[Position Number].&amp;[" &amp; $B50 &amp; "]","[Period].[Week]","[Period].[Week].&amp;[" &amp; YEAR(D$14-14) &amp; TEXT(WEEKNUM(D$14-14),"00") &amp; "]"))+D43</f>
        <v>0</v>
      </c>
      <c r="E44" s="516">
        <f t="shared" si="13"/>
        <v>0</v>
      </c>
      <c r="F44" s="516">
        <f t="shared" si="13"/>
        <v>0</v>
      </c>
      <c r="G44" s="516">
        <f t="shared" si="13"/>
        <v>0</v>
      </c>
      <c r="H44" s="516">
        <f t="shared" si="13"/>
        <v>0</v>
      </c>
      <c r="I44" s="516">
        <f t="shared" si="13"/>
        <v>0</v>
      </c>
      <c r="J44" s="516">
        <f t="shared" si="13"/>
        <v>0</v>
      </c>
      <c r="K44" s="516">
        <f t="shared" si="13"/>
        <v>0</v>
      </c>
      <c r="L44" s="516">
        <f t="shared" si="13"/>
        <v>0</v>
      </c>
      <c r="M44" s="516">
        <f t="shared" si="13"/>
        <v>0</v>
      </c>
      <c r="N44" s="516">
        <f t="shared" si="13"/>
        <v>0</v>
      </c>
      <c r="O44" s="516">
        <f t="shared" si="13"/>
        <v>0</v>
      </c>
      <c r="P44" s="516">
        <f t="shared" si="13"/>
        <v>0</v>
      </c>
      <c r="Q44" s="516">
        <f t="shared" si="13"/>
        <v>0</v>
      </c>
      <c r="R44" s="516">
        <f t="shared" si="13"/>
        <v>0</v>
      </c>
      <c r="S44" s="516">
        <f t="shared" si="13"/>
        <v>0</v>
      </c>
      <c r="T44" s="516">
        <f t="shared" si="13"/>
        <v>0</v>
      </c>
      <c r="U44" s="516">
        <f t="shared" si="13"/>
        <v>0</v>
      </c>
      <c r="V44" s="516">
        <f t="shared" si="13"/>
        <v>0</v>
      </c>
      <c r="W44" s="516">
        <f t="shared" si="13"/>
        <v>0</v>
      </c>
      <c r="X44" s="516">
        <f t="shared" si="13"/>
        <v>0</v>
      </c>
      <c r="Y44" s="516">
        <f t="shared" si="13"/>
        <v>0</v>
      </c>
      <c r="Z44" s="516">
        <f t="shared" si="13"/>
        <v>0</v>
      </c>
      <c r="AA44" s="516">
        <f t="shared" si="13"/>
        <v>0</v>
      </c>
      <c r="AB44" s="516">
        <f t="shared" si="13"/>
        <v>0</v>
      </c>
      <c r="AC44" s="516">
        <f t="shared" si="13"/>
        <v>0</v>
      </c>
      <c r="AD44" s="516">
        <f t="shared" si="13"/>
        <v>0</v>
      </c>
      <c r="AE44" s="516">
        <f t="shared" si="13"/>
        <v>0</v>
      </c>
      <c r="AF44" s="516">
        <f t="shared" si="13"/>
        <v>0</v>
      </c>
      <c r="AG44" s="516">
        <f t="shared" si="13"/>
        <v>0</v>
      </c>
      <c r="AH44" s="516">
        <f t="shared" si="13"/>
        <v>0</v>
      </c>
      <c r="AI44" s="516">
        <f t="shared" si="13"/>
        <v>0</v>
      </c>
      <c r="AJ44" s="516">
        <f t="shared" si="13"/>
        <v>0</v>
      </c>
      <c r="AK44" s="516">
        <f t="shared" si="13"/>
        <v>0</v>
      </c>
      <c r="AL44" s="516">
        <f t="shared" si="13"/>
        <v>0</v>
      </c>
      <c r="AM44" s="516">
        <f t="shared" si="13"/>
        <v>0</v>
      </c>
      <c r="AN44" s="516">
        <f t="shared" si="13"/>
        <v>0</v>
      </c>
      <c r="AO44" s="516">
        <f t="shared" si="13"/>
        <v>0</v>
      </c>
      <c r="AP44" s="501"/>
      <c r="AQ44" s="505"/>
      <c r="AR44" s="505"/>
      <c r="AS44" s="505"/>
      <c r="AT44" s="505"/>
      <c r="AU44" s="505"/>
      <c r="AV44" s="510"/>
      <c r="AW44" s="452"/>
    </row>
    <row r="45" spans="1:49" hidden="1">
      <c r="A45" s="143"/>
      <c r="B45" s="483"/>
      <c r="C45" s="496" t="s">
        <v>1341</v>
      </c>
      <c r="D45" s="516">
        <f t="shared" ref="D45:AO45" si="14">IF(ISERR(GETPIVOTDATA("[Measures].[Hours]",TRIMARANmonthly,"[Period].[Month]","[Period].[Month].&amp;["&amp;IF(MONTH(D$14)=1,YEAR(D$14)-1&amp;TEXT(12,"00"),YEAR(D$14)&amp;TEXT(MONTH(D$14)-1,"00"))&amp;"]","[Order].[Position Number]","[Order].[Position Number].&amp;["&amp;$B50&amp;"]")),0,GETPIVOTDATA("[Measures].[Hours]",TRIMARANmonthly,"[Period].[Month]","[Period].[Month].&amp;["&amp;IF(MONTH(D$14)=1,YEAR(D$14)-1&amp;TEXT(12,"00"),YEAR(D$14)&amp;TEXT(MONTH(D$14)-1,"00"))&amp;"]","[Order].[Position Number]","[Order].[Position Number].&amp;["&amp;$B50&amp;"]"))</f>
        <v>0</v>
      </c>
      <c r="E45" s="516">
        <f t="shared" si="14"/>
        <v>0</v>
      </c>
      <c r="F45" s="516">
        <f t="shared" si="14"/>
        <v>0</v>
      </c>
      <c r="G45" s="516">
        <f t="shared" si="14"/>
        <v>0</v>
      </c>
      <c r="H45" s="516">
        <f t="shared" si="14"/>
        <v>0</v>
      </c>
      <c r="I45" s="516">
        <f t="shared" si="14"/>
        <v>0</v>
      </c>
      <c r="J45" s="516">
        <f t="shared" si="14"/>
        <v>0</v>
      </c>
      <c r="K45" s="516">
        <f t="shared" si="14"/>
        <v>0</v>
      </c>
      <c r="L45" s="516">
        <f t="shared" si="14"/>
        <v>0</v>
      </c>
      <c r="M45" s="516">
        <f t="shared" si="14"/>
        <v>0</v>
      </c>
      <c r="N45" s="516">
        <f t="shared" si="14"/>
        <v>0</v>
      </c>
      <c r="O45" s="516">
        <f t="shared" si="14"/>
        <v>0</v>
      </c>
      <c r="P45" s="516">
        <f t="shared" si="14"/>
        <v>0</v>
      </c>
      <c r="Q45" s="516">
        <f t="shared" si="14"/>
        <v>0</v>
      </c>
      <c r="R45" s="516">
        <f t="shared" si="14"/>
        <v>0</v>
      </c>
      <c r="S45" s="516">
        <f t="shared" si="14"/>
        <v>0</v>
      </c>
      <c r="T45" s="516">
        <f t="shared" si="14"/>
        <v>0</v>
      </c>
      <c r="U45" s="516">
        <f t="shared" si="14"/>
        <v>0</v>
      </c>
      <c r="V45" s="516">
        <f t="shared" si="14"/>
        <v>0</v>
      </c>
      <c r="W45" s="516">
        <f t="shared" si="14"/>
        <v>0</v>
      </c>
      <c r="X45" s="516">
        <f t="shared" si="14"/>
        <v>0</v>
      </c>
      <c r="Y45" s="516">
        <f t="shared" si="14"/>
        <v>0</v>
      </c>
      <c r="Z45" s="516">
        <f t="shared" si="14"/>
        <v>0</v>
      </c>
      <c r="AA45" s="516">
        <f t="shared" si="14"/>
        <v>0</v>
      </c>
      <c r="AB45" s="516">
        <f t="shared" si="14"/>
        <v>0</v>
      </c>
      <c r="AC45" s="516">
        <f t="shared" si="14"/>
        <v>0</v>
      </c>
      <c r="AD45" s="516">
        <f t="shared" si="14"/>
        <v>0</v>
      </c>
      <c r="AE45" s="516">
        <f t="shared" si="14"/>
        <v>0</v>
      </c>
      <c r="AF45" s="516">
        <f t="shared" si="14"/>
        <v>0</v>
      </c>
      <c r="AG45" s="516">
        <f t="shared" si="14"/>
        <v>0</v>
      </c>
      <c r="AH45" s="516">
        <f t="shared" si="14"/>
        <v>0</v>
      </c>
      <c r="AI45" s="516">
        <f t="shared" si="14"/>
        <v>0</v>
      </c>
      <c r="AJ45" s="516">
        <f t="shared" si="14"/>
        <v>0</v>
      </c>
      <c r="AK45" s="516">
        <f t="shared" si="14"/>
        <v>0</v>
      </c>
      <c r="AL45" s="516">
        <f t="shared" si="14"/>
        <v>0</v>
      </c>
      <c r="AM45" s="516">
        <f t="shared" si="14"/>
        <v>0</v>
      </c>
      <c r="AN45" s="516">
        <f t="shared" si="14"/>
        <v>0</v>
      </c>
      <c r="AO45" s="516">
        <f t="shared" si="14"/>
        <v>0</v>
      </c>
      <c r="AP45" s="501"/>
      <c r="AQ45" s="505"/>
      <c r="AR45" s="505"/>
      <c r="AS45" s="505"/>
      <c r="AT45" s="505"/>
      <c r="AU45" s="505"/>
      <c r="AV45" s="510"/>
      <c r="AW45" s="452"/>
    </row>
    <row r="46" spans="1:49" hidden="1">
      <c r="A46" s="143"/>
      <c r="B46" s="483"/>
      <c r="C46" s="496" t="s">
        <v>1339</v>
      </c>
      <c r="D46" s="516">
        <f t="shared" ref="D46:AO46" si="15">IF(ISERR(GETPIVOTDATA("[Measures].[" &amp; MDContractCurrency &amp; "]",TRIMARANweekly,"[Order].[Position Number]","[Order].[Position Number].&amp;[" &amp; $B50 &amp; "]","[Period].[Week]","[Period].[Week].&amp;[" &amp; YEAR(D$14-7) &amp; TEXT(WEEKNUM(D$14-7),"00") &amp; "]")),0,GETPIVOTDATA("[Measures].[" &amp; MDContractCurrency &amp; "]",TRIMARANweekly,"[Order].[Position Number]","[Order].[Position Number].&amp;[" &amp; $B50 &amp; "]","[Period].[Week]","[Period].[Week].&amp;[" &amp; YEAR(D$14-7) &amp; TEXT(WEEKNUM(D$14-7),"00") &amp; "]"))</f>
        <v>0</v>
      </c>
      <c r="E46" s="516">
        <f t="shared" si="15"/>
        <v>0</v>
      </c>
      <c r="F46" s="516">
        <f t="shared" si="15"/>
        <v>0</v>
      </c>
      <c r="G46" s="516">
        <f t="shared" si="15"/>
        <v>0</v>
      </c>
      <c r="H46" s="516">
        <f t="shared" si="15"/>
        <v>0</v>
      </c>
      <c r="I46" s="516">
        <f t="shared" si="15"/>
        <v>0</v>
      </c>
      <c r="J46" s="516">
        <f t="shared" si="15"/>
        <v>0</v>
      </c>
      <c r="K46" s="516">
        <f t="shared" si="15"/>
        <v>0</v>
      </c>
      <c r="L46" s="516">
        <f t="shared" si="15"/>
        <v>0</v>
      </c>
      <c r="M46" s="516">
        <f t="shared" si="15"/>
        <v>0</v>
      </c>
      <c r="N46" s="516">
        <f t="shared" si="15"/>
        <v>0</v>
      </c>
      <c r="O46" s="516">
        <f t="shared" si="15"/>
        <v>0</v>
      </c>
      <c r="P46" s="516">
        <f t="shared" si="15"/>
        <v>0</v>
      </c>
      <c r="Q46" s="516">
        <f t="shared" si="15"/>
        <v>0</v>
      </c>
      <c r="R46" s="516">
        <f t="shared" si="15"/>
        <v>0</v>
      </c>
      <c r="S46" s="516">
        <f t="shared" si="15"/>
        <v>0</v>
      </c>
      <c r="T46" s="516">
        <f t="shared" si="15"/>
        <v>0</v>
      </c>
      <c r="U46" s="516">
        <f t="shared" si="15"/>
        <v>0</v>
      </c>
      <c r="V46" s="516">
        <f t="shared" si="15"/>
        <v>0</v>
      </c>
      <c r="W46" s="516">
        <f t="shared" si="15"/>
        <v>0</v>
      </c>
      <c r="X46" s="516">
        <f t="shared" si="15"/>
        <v>0</v>
      </c>
      <c r="Y46" s="516">
        <f t="shared" si="15"/>
        <v>0</v>
      </c>
      <c r="Z46" s="516">
        <f t="shared" si="15"/>
        <v>0</v>
      </c>
      <c r="AA46" s="516">
        <f t="shared" si="15"/>
        <v>0</v>
      </c>
      <c r="AB46" s="516">
        <f t="shared" si="15"/>
        <v>0</v>
      </c>
      <c r="AC46" s="516">
        <f t="shared" si="15"/>
        <v>0</v>
      </c>
      <c r="AD46" s="516">
        <f t="shared" si="15"/>
        <v>0</v>
      </c>
      <c r="AE46" s="516">
        <f t="shared" si="15"/>
        <v>0</v>
      </c>
      <c r="AF46" s="516">
        <f t="shared" si="15"/>
        <v>0</v>
      </c>
      <c r="AG46" s="516">
        <f t="shared" si="15"/>
        <v>0</v>
      </c>
      <c r="AH46" s="516">
        <f t="shared" si="15"/>
        <v>0</v>
      </c>
      <c r="AI46" s="516">
        <f t="shared" si="15"/>
        <v>0</v>
      </c>
      <c r="AJ46" s="516">
        <f t="shared" si="15"/>
        <v>0</v>
      </c>
      <c r="AK46" s="516">
        <f t="shared" si="15"/>
        <v>0</v>
      </c>
      <c r="AL46" s="516">
        <f t="shared" si="15"/>
        <v>0</v>
      </c>
      <c r="AM46" s="516">
        <f t="shared" si="15"/>
        <v>0</v>
      </c>
      <c r="AN46" s="516">
        <f t="shared" si="15"/>
        <v>0</v>
      </c>
      <c r="AO46" s="516">
        <f t="shared" si="15"/>
        <v>0</v>
      </c>
      <c r="AP46" s="501"/>
      <c r="AQ46" s="505"/>
      <c r="AR46" s="505"/>
      <c r="AS46" s="505"/>
      <c r="AT46" s="505"/>
      <c r="AU46" s="505"/>
      <c r="AV46" s="510"/>
      <c r="AW46" s="452"/>
    </row>
    <row r="47" spans="1:49" hidden="1">
      <c r="A47" s="143"/>
      <c r="B47" s="483"/>
      <c r="C47" s="496" t="s">
        <v>1340</v>
      </c>
      <c r="D47" s="516">
        <f t="shared" ref="D47:AO47" si="16">IF(ISERR(GETPIVOTDATA("[Measures].[" &amp; MDContractCurrency &amp; "]",TRIMARANweekly,"[Order].[Position Number]","[Order].[Position Number].&amp;[" &amp; $B50 &amp; "]","[Period].[Week]","[Period].[Week].&amp;[" &amp; YEAR(D$14-14) &amp; TEXT(WEEKNUM(D$14-14),"00") &amp; "]")),0,GETPIVOTDATA("[Measures].[" &amp; MDContractCurrency &amp; "]",TRIMARANweekly,"[Order].[Position Number]","[Order].[Position Number].&amp;[" &amp; $B50 &amp; "]","[Period].[Week]","[Period].[Week].&amp;[" &amp; YEAR(D$14-14) &amp; TEXT(WEEKNUM(D$14-14),"00") &amp; "]"))+D46</f>
        <v>0</v>
      </c>
      <c r="E47" s="516">
        <f t="shared" si="16"/>
        <v>0</v>
      </c>
      <c r="F47" s="516">
        <f t="shared" si="16"/>
        <v>0</v>
      </c>
      <c r="G47" s="516">
        <f t="shared" si="16"/>
        <v>0</v>
      </c>
      <c r="H47" s="516">
        <f t="shared" si="16"/>
        <v>0</v>
      </c>
      <c r="I47" s="516">
        <f t="shared" si="16"/>
        <v>0</v>
      </c>
      <c r="J47" s="516">
        <f t="shared" si="16"/>
        <v>0</v>
      </c>
      <c r="K47" s="516">
        <f t="shared" si="16"/>
        <v>0</v>
      </c>
      <c r="L47" s="516">
        <f t="shared" si="16"/>
        <v>0</v>
      </c>
      <c r="M47" s="516">
        <f t="shared" si="16"/>
        <v>0</v>
      </c>
      <c r="N47" s="516">
        <f t="shared" si="16"/>
        <v>0</v>
      </c>
      <c r="O47" s="516">
        <f t="shared" si="16"/>
        <v>0</v>
      </c>
      <c r="P47" s="516">
        <f t="shared" si="16"/>
        <v>0</v>
      </c>
      <c r="Q47" s="516">
        <f t="shared" si="16"/>
        <v>0</v>
      </c>
      <c r="R47" s="516">
        <f t="shared" si="16"/>
        <v>0</v>
      </c>
      <c r="S47" s="516">
        <f t="shared" si="16"/>
        <v>0</v>
      </c>
      <c r="T47" s="516">
        <f t="shared" si="16"/>
        <v>0</v>
      </c>
      <c r="U47" s="516">
        <f t="shared" si="16"/>
        <v>0</v>
      </c>
      <c r="V47" s="516">
        <f t="shared" si="16"/>
        <v>0</v>
      </c>
      <c r="W47" s="516">
        <f t="shared" si="16"/>
        <v>0</v>
      </c>
      <c r="X47" s="516">
        <f t="shared" si="16"/>
        <v>0</v>
      </c>
      <c r="Y47" s="516">
        <f t="shared" si="16"/>
        <v>0</v>
      </c>
      <c r="Z47" s="516">
        <f t="shared" si="16"/>
        <v>0</v>
      </c>
      <c r="AA47" s="516">
        <f t="shared" si="16"/>
        <v>0</v>
      </c>
      <c r="AB47" s="516">
        <f t="shared" si="16"/>
        <v>0</v>
      </c>
      <c r="AC47" s="516">
        <f t="shared" si="16"/>
        <v>0</v>
      </c>
      <c r="AD47" s="516">
        <f t="shared" si="16"/>
        <v>0</v>
      </c>
      <c r="AE47" s="516">
        <f t="shared" si="16"/>
        <v>0</v>
      </c>
      <c r="AF47" s="516">
        <f t="shared" si="16"/>
        <v>0</v>
      </c>
      <c r="AG47" s="516">
        <f t="shared" si="16"/>
        <v>0</v>
      </c>
      <c r="AH47" s="516">
        <f t="shared" si="16"/>
        <v>0</v>
      </c>
      <c r="AI47" s="516">
        <f t="shared" si="16"/>
        <v>0</v>
      </c>
      <c r="AJ47" s="516">
        <f t="shared" si="16"/>
        <v>0</v>
      </c>
      <c r="AK47" s="516">
        <f t="shared" si="16"/>
        <v>0</v>
      </c>
      <c r="AL47" s="516">
        <f t="shared" si="16"/>
        <v>0</v>
      </c>
      <c r="AM47" s="516">
        <f t="shared" si="16"/>
        <v>0</v>
      </c>
      <c r="AN47" s="516">
        <f t="shared" si="16"/>
        <v>0</v>
      </c>
      <c r="AO47" s="516">
        <f t="shared" si="16"/>
        <v>0</v>
      </c>
      <c r="AP47" s="501"/>
      <c r="AQ47" s="505"/>
      <c r="AR47" s="505"/>
      <c r="AS47" s="505"/>
      <c r="AT47" s="505"/>
      <c r="AU47" s="505"/>
      <c r="AV47" s="510"/>
      <c r="AW47" s="452"/>
    </row>
    <row r="48" spans="1:49" hidden="1">
      <c r="A48" s="141"/>
      <c r="B48" s="517"/>
      <c r="C48" s="496" t="s">
        <v>1341</v>
      </c>
      <c r="D48" s="516">
        <f t="shared" ref="D48:AO48" si="17">IF(ISERR(GETPIVOTDATA("[Measures].[" &amp; MDContractCurrency &amp; "]",TRIMARANmonthly,"[Period].[Month]","[Period].[Month].&amp;["&amp;IF(MONTH(D$14)=1,YEAR(D$14)-1&amp;TEXT(12,"00"),YEAR(D$14)&amp;TEXT(MONTH(D$14)-1,"00"))&amp;"]","[Order].[Position Number]","[Order].[Position Number].&amp;["&amp;$B50&amp;"]")),0,GETPIVOTDATA("[Measures].[" &amp; MDContractCurrency &amp; "]",TRIMARANmonthly,"[Period].[Month]","[Period].[Month].&amp;["&amp;IF(MONTH(D$14)=1,YEAR(D$14)-1&amp;TEXT(12,"00"),YEAR(D$14)&amp;TEXT(MONTH(D$14)-1,"00"))&amp;"]","[Order].[Position Number]","[Order].[Position Number].&amp;["&amp;$B50&amp;"]"))</f>
        <v>0</v>
      </c>
      <c r="E48" s="516">
        <f t="shared" si="17"/>
        <v>0</v>
      </c>
      <c r="F48" s="516">
        <f t="shared" si="17"/>
        <v>0</v>
      </c>
      <c r="G48" s="516">
        <f t="shared" si="17"/>
        <v>0</v>
      </c>
      <c r="H48" s="516">
        <f t="shared" si="17"/>
        <v>0</v>
      </c>
      <c r="I48" s="516">
        <f t="shared" si="17"/>
        <v>0</v>
      </c>
      <c r="J48" s="516">
        <f t="shared" si="17"/>
        <v>0</v>
      </c>
      <c r="K48" s="516">
        <f t="shared" si="17"/>
        <v>0</v>
      </c>
      <c r="L48" s="516">
        <f t="shared" si="17"/>
        <v>0</v>
      </c>
      <c r="M48" s="516">
        <f t="shared" si="17"/>
        <v>0</v>
      </c>
      <c r="N48" s="516">
        <f t="shared" si="17"/>
        <v>0</v>
      </c>
      <c r="O48" s="516">
        <f t="shared" si="17"/>
        <v>0</v>
      </c>
      <c r="P48" s="516">
        <f t="shared" si="17"/>
        <v>0</v>
      </c>
      <c r="Q48" s="516">
        <f t="shared" si="17"/>
        <v>0</v>
      </c>
      <c r="R48" s="516">
        <f t="shared" si="17"/>
        <v>0</v>
      </c>
      <c r="S48" s="516">
        <f t="shared" si="17"/>
        <v>0</v>
      </c>
      <c r="T48" s="516">
        <f t="shared" si="17"/>
        <v>0</v>
      </c>
      <c r="U48" s="516">
        <f t="shared" si="17"/>
        <v>0</v>
      </c>
      <c r="V48" s="516">
        <f t="shared" si="17"/>
        <v>0</v>
      </c>
      <c r="W48" s="516">
        <f t="shared" si="17"/>
        <v>0</v>
      </c>
      <c r="X48" s="516">
        <f t="shared" si="17"/>
        <v>0</v>
      </c>
      <c r="Y48" s="516">
        <f t="shared" si="17"/>
        <v>0</v>
      </c>
      <c r="Z48" s="516">
        <f t="shared" si="17"/>
        <v>0</v>
      </c>
      <c r="AA48" s="516">
        <f t="shared" si="17"/>
        <v>0</v>
      </c>
      <c r="AB48" s="516">
        <f t="shared" si="17"/>
        <v>0</v>
      </c>
      <c r="AC48" s="516">
        <f t="shared" si="17"/>
        <v>0</v>
      </c>
      <c r="AD48" s="516">
        <f t="shared" si="17"/>
        <v>0</v>
      </c>
      <c r="AE48" s="516">
        <f t="shared" si="17"/>
        <v>0</v>
      </c>
      <c r="AF48" s="516">
        <f t="shared" si="17"/>
        <v>0</v>
      </c>
      <c r="AG48" s="516">
        <f t="shared" si="17"/>
        <v>0</v>
      </c>
      <c r="AH48" s="516">
        <f t="shared" si="17"/>
        <v>0</v>
      </c>
      <c r="AI48" s="516">
        <f t="shared" si="17"/>
        <v>0</v>
      </c>
      <c r="AJ48" s="516">
        <f t="shared" si="17"/>
        <v>0</v>
      </c>
      <c r="AK48" s="516">
        <f t="shared" si="17"/>
        <v>0</v>
      </c>
      <c r="AL48" s="516">
        <f t="shared" si="17"/>
        <v>0</v>
      </c>
      <c r="AM48" s="516">
        <f t="shared" si="17"/>
        <v>0</v>
      </c>
      <c r="AN48" s="516">
        <f t="shared" si="17"/>
        <v>0</v>
      </c>
      <c r="AO48" s="516">
        <f t="shared" si="17"/>
        <v>0</v>
      </c>
      <c r="AP48" s="501"/>
      <c r="AQ48" s="505"/>
      <c r="AR48" s="505"/>
      <c r="AS48" s="505"/>
      <c r="AT48" s="505"/>
      <c r="AU48" s="505"/>
      <c r="AV48" s="510"/>
      <c r="AW48" s="452"/>
    </row>
    <row r="49" spans="1:49">
      <c r="A49" s="143"/>
      <c r="B49" s="483"/>
      <c r="C49" s="524"/>
      <c r="D49" s="501"/>
      <c r="E49" s="501"/>
      <c r="F49" s="501"/>
      <c r="G49" s="501"/>
      <c r="H49" s="501"/>
      <c r="I49" s="501"/>
      <c r="J49" s="501"/>
      <c r="K49" s="501"/>
      <c r="L49" s="501"/>
      <c r="M49" s="501"/>
      <c r="N49" s="501"/>
      <c r="O49" s="501"/>
      <c r="P49" s="501"/>
      <c r="Q49" s="501"/>
      <c r="R49" s="501"/>
      <c r="S49" s="501"/>
      <c r="T49" s="501"/>
      <c r="U49" s="501"/>
      <c r="V49" s="501"/>
      <c r="W49" s="501"/>
      <c r="X49" s="501"/>
      <c r="Y49" s="501"/>
      <c r="Z49" s="501"/>
      <c r="AA49" s="501"/>
      <c r="AB49" s="501"/>
      <c r="AC49" s="501"/>
      <c r="AD49" s="501"/>
      <c r="AE49" s="501"/>
      <c r="AF49" s="501"/>
      <c r="AG49" s="501"/>
      <c r="AH49" s="501"/>
      <c r="AI49" s="501"/>
      <c r="AJ49" s="501"/>
      <c r="AK49" s="501"/>
      <c r="AL49" s="501"/>
      <c r="AM49" s="501"/>
      <c r="AN49" s="501"/>
      <c r="AO49" s="501"/>
      <c r="AP49" s="501"/>
      <c r="AQ49" s="505"/>
      <c r="AR49" s="505"/>
      <c r="AS49" s="505"/>
      <c r="AT49" s="505"/>
      <c r="AU49" s="505"/>
      <c r="AV49" s="510"/>
      <c r="AW49" s="452"/>
    </row>
    <row r="50" spans="1:49">
      <c r="A50" s="1183" t="str">
        <f>'Delivery Calculation'!B15 &amp; CHAR(10) &amp; 'Delivery Calculation'!P15 &amp; " - " &amp; 'Delivery Calculation'!Q15</f>
        <v xml:space="preserve">0
 - </v>
      </c>
      <c r="B50" s="1180">
        <f>'Delivery Calculation'!A15</f>
        <v>0</v>
      </c>
      <c r="C50" s="499" t="s">
        <v>530</v>
      </c>
      <c r="D50" s="518">
        <f>'Delivery Calculation'!M196</f>
        <v>0</v>
      </c>
      <c r="E50" s="518">
        <f>'Delivery Calculation'!N196</f>
        <v>0</v>
      </c>
      <c r="F50" s="518">
        <f>'Delivery Calculation'!O196</f>
        <v>0</v>
      </c>
      <c r="G50" s="518">
        <f>'Delivery Calculation'!P196</f>
        <v>0</v>
      </c>
      <c r="H50" s="518">
        <f>'Delivery Calculation'!Q196</f>
        <v>0</v>
      </c>
      <c r="I50" s="518">
        <f>'Delivery Calculation'!R196</f>
        <v>0</v>
      </c>
      <c r="J50" s="518">
        <f>'Delivery Calculation'!S196</f>
        <v>0</v>
      </c>
      <c r="K50" s="518">
        <f>'Delivery Calculation'!T196</f>
        <v>0</v>
      </c>
      <c r="L50" s="518">
        <f>'Delivery Calculation'!U196</f>
        <v>0</v>
      </c>
      <c r="M50" s="518">
        <f>'Delivery Calculation'!V196</f>
        <v>0</v>
      </c>
      <c r="N50" s="518">
        <f>'Delivery Calculation'!W196</f>
        <v>0</v>
      </c>
      <c r="O50" s="518">
        <f>'Delivery Calculation'!X196</f>
        <v>0</v>
      </c>
      <c r="P50" s="518">
        <f>'Delivery Calculation'!Y196</f>
        <v>0</v>
      </c>
      <c r="Q50" s="518">
        <f>'Delivery Calculation'!Z196</f>
        <v>0</v>
      </c>
      <c r="R50" s="518">
        <f>'Delivery Calculation'!AA196</f>
        <v>0</v>
      </c>
      <c r="S50" s="518">
        <f>'Delivery Calculation'!AB196</f>
        <v>0</v>
      </c>
      <c r="T50" s="518">
        <f>'Delivery Calculation'!AC196</f>
        <v>0</v>
      </c>
      <c r="U50" s="518">
        <f>'Delivery Calculation'!AD196</f>
        <v>0</v>
      </c>
      <c r="V50" s="518">
        <f>'Delivery Calculation'!AE196</f>
        <v>0</v>
      </c>
      <c r="W50" s="518">
        <f>'Delivery Calculation'!AF196</f>
        <v>0</v>
      </c>
      <c r="X50" s="518">
        <f>'Delivery Calculation'!AG196</f>
        <v>0</v>
      </c>
      <c r="Y50" s="518">
        <f>'Delivery Calculation'!AH196</f>
        <v>0</v>
      </c>
      <c r="Z50" s="518">
        <f>'Delivery Calculation'!AI196</f>
        <v>0</v>
      </c>
      <c r="AA50" s="518">
        <f>'Delivery Calculation'!AJ196</f>
        <v>0</v>
      </c>
      <c r="AB50" s="518">
        <f>'Delivery Calculation'!AK196</f>
        <v>0</v>
      </c>
      <c r="AC50" s="518">
        <f>'Delivery Calculation'!AL196</f>
        <v>0</v>
      </c>
      <c r="AD50" s="518">
        <f>'Delivery Calculation'!AM196</f>
        <v>0</v>
      </c>
      <c r="AE50" s="518">
        <f>'Delivery Calculation'!AN196</f>
        <v>0</v>
      </c>
      <c r="AF50" s="518">
        <f>'Delivery Calculation'!AO196</f>
        <v>0</v>
      </c>
      <c r="AG50" s="518">
        <f>'Delivery Calculation'!AP196</f>
        <v>0</v>
      </c>
      <c r="AH50" s="518">
        <f>'Delivery Calculation'!AQ196</f>
        <v>0</v>
      </c>
      <c r="AI50" s="518">
        <f>'Delivery Calculation'!AR196</f>
        <v>0</v>
      </c>
      <c r="AJ50" s="518">
        <f>'Delivery Calculation'!AS196</f>
        <v>0</v>
      </c>
      <c r="AK50" s="518">
        <f>'Delivery Calculation'!AT196</f>
        <v>0</v>
      </c>
      <c r="AL50" s="518">
        <f>'Delivery Calculation'!AU196</f>
        <v>0</v>
      </c>
      <c r="AM50" s="518">
        <f>'Delivery Calculation'!AV196</f>
        <v>0</v>
      </c>
      <c r="AN50" s="518">
        <f>'Delivery Calculation'!AW196</f>
        <v>0</v>
      </c>
      <c r="AO50" s="518">
        <f>'Delivery Calculation'!AX196</f>
        <v>0</v>
      </c>
      <c r="AP50" s="501"/>
      <c r="AQ50" s="519">
        <f>IF(COUNTIF($D$15:$AO$15, TMDPeriodValueTypeReported)&gt;0, INDEX(D50:AO50,1,COUNTIF(D$15:$AO$15,TMDPeriodValueTypeReported)),0)</f>
        <v>0</v>
      </c>
      <c r="AR50" s="519"/>
      <c r="AS50" s="520">
        <f>'Delivery Calculation'!N15</f>
        <v>0</v>
      </c>
      <c r="AT50" s="520">
        <f>AQ50*'Delivery Calculation'!N15</f>
        <v>0</v>
      </c>
      <c r="AU50" s="521" t="s">
        <v>522</v>
      </c>
      <c r="AV50" s="510"/>
      <c r="AW50" s="452"/>
    </row>
    <row r="51" spans="1:49">
      <c r="A51" s="1184"/>
      <c r="B51" s="1181"/>
      <c r="C51" s="499" t="s">
        <v>531</v>
      </c>
      <c r="D51" s="509">
        <f>IF(D$15=TMDPeriodValueTypeForecast,IF('Delivery Calculation'!$H$15=TMDAllocationTandM,0,'Delivery Calculation'!M125),IF(MDReportingPeriod=TMDMonthly,D45,IF(MDReportingPeriod=TMDTwoweekly,D44,D43)))</f>
        <v>0</v>
      </c>
      <c r="E51" s="509">
        <f>IF(E$15=TMDPeriodValueTypeForecast,IF('Delivery Calculation'!$H$15=TMDAllocationTandM,0,'Delivery Calculation'!N125),IF(MDReportingPeriod=TMDMonthly,E45,IF(MDReportingPeriod=TMDTwoweekly,E44,E43)))</f>
        <v>0</v>
      </c>
      <c r="F51" s="509">
        <f>IF(F$15=TMDPeriodValueTypeForecast,IF('Delivery Calculation'!$H$15=TMDAllocationTandM,0,'Delivery Calculation'!O125),IF(MDReportingPeriod=TMDMonthly,F45,IF(MDReportingPeriod=TMDTwoweekly,F44,F43)))</f>
        <v>0</v>
      </c>
      <c r="G51" s="509">
        <f>IF(G$15=TMDPeriodValueTypeForecast,IF('Delivery Calculation'!$H$15=TMDAllocationTandM,0,'Delivery Calculation'!P125),IF(MDReportingPeriod=TMDMonthly,G45,IF(MDReportingPeriod=TMDTwoweekly,G44,G43)))</f>
        <v>0</v>
      </c>
      <c r="H51" s="509">
        <f>IF(H$15=TMDPeriodValueTypeForecast,IF('Delivery Calculation'!$H$15=TMDAllocationTandM,0,'Delivery Calculation'!Q125),IF(MDReportingPeriod=TMDMonthly,H45,IF(MDReportingPeriod=TMDTwoweekly,H44,H43)))</f>
        <v>0</v>
      </c>
      <c r="I51" s="509">
        <f>IF(I$15=TMDPeriodValueTypeForecast,IF('Delivery Calculation'!$H$15=TMDAllocationTandM,0,'Delivery Calculation'!R125),IF(MDReportingPeriod=TMDMonthly,I45,IF(MDReportingPeriod=TMDTwoweekly,I44,I43)))</f>
        <v>0</v>
      </c>
      <c r="J51" s="509">
        <f>IF(J$15=TMDPeriodValueTypeForecast,IF('Delivery Calculation'!$H$15=TMDAllocationTandM,0,'Delivery Calculation'!S125),IF(MDReportingPeriod=TMDMonthly,J45,IF(MDReportingPeriod=TMDTwoweekly,J44,J43)))</f>
        <v>0</v>
      </c>
      <c r="K51" s="509">
        <f>IF(K$15=TMDPeriodValueTypeForecast,IF('Delivery Calculation'!$H$15=TMDAllocationTandM,0,'Delivery Calculation'!T125),IF(MDReportingPeriod=TMDMonthly,K45,IF(MDReportingPeriod=TMDTwoweekly,K44,K43)))</f>
        <v>0</v>
      </c>
      <c r="L51" s="509">
        <f>IF(L$15=TMDPeriodValueTypeForecast,IF('Delivery Calculation'!$H$15=TMDAllocationTandM,0,'Delivery Calculation'!U125),IF(MDReportingPeriod=TMDMonthly,L45,IF(MDReportingPeriod=TMDTwoweekly,L44,L43)))</f>
        <v>0</v>
      </c>
      <c r="M51" s="509">
        <f>IF(M$15=TMDPeriodValueTypeForecast,IF('Delivery Calculation'!$H$15=TMDAllocationTandM,0,'Delivery Calculation'!V125),IF(MDReportingPeriod=TMDMonthly,M45,IF(MDReportingPeriod=TMDTwoweekly,M44,M43)))</f>
        <v>0</v>
      </c>
      <c r="N51" s="509">
        <f>IF(N$15=TMDPeriodValueTypeForecast,IF('Delivery Calculation'!$H$15=TMDAllocationTandM,0,'Delivery Calculation'!W125),IF(MDReportingPeriod=TMDMonthly,N45,IF(MDReportingPeriod=TMDTwoweekly,N44,N43)))</f>
        <v>0</v>
      </c>
      <c r="O51" s="509">
        <f>IF(O$15=TMDPeriodValueTypeForecast,IF('Delivery Calculation'!$H$15=TMDAllocationTandM,0,'Delivery Calculation'!X125),IF(MDReportingPeriod=TMDMonthly,O45,IF(MDReportingPeriod=TMDTwoweekly,O44,O43)))</f>
        <v>0</v>
      </c>
      <c r="P51" s="509">
        <f>IF(P$15=TMDPeriodValueTypeForecast,IF('Delivery Calculation'!$H$15=TMDAllocationTandM,0,'Delivery Calculation'!Y125),IF(MDReportingPeriod=TMDMonthly,P45,IF(MDReportingPeriod=TMDTwoweekly,P44,P43)))</f>
        <v>0</v>
      </c>
      <c r="Q51" s="509">
        <f>IF(Q$15=TMDPeriodValueTypeForecast,IF('Delivery Calculation'!$H$15=TMDAllocationTandM,0,'Delivery Calculation'!Z125),IF(MDReportingPeriod=TMDMonthly,Q45,IF(MDReportingPeriod=TMDTwoweekly,Q44,Q43)))</f>
        <v>0</v>
      </c>
      <c r="R51" s="509">
        <f>IF(R$15=TMDPeriodValueTypeForecast,IF('Delivery Calculation'!$H$15=TMDAllocationTandM,0,'Delivery Calculation'!AA125),IF(MDReportingPeriod=TMDMonthly,R45,IF(MDReportingPeriod=TMDTwoweekly,R44,R43)))</f>
        <v>0</v>
      </c>
      <c r="S51" s="509">
        <f>IF(S$15=TMDPeriodValueTypeForecast,IF('Delivery Calculation'!$H$15=TMDAllocationTandM,0,'Delivery Calculation'!AB125),IF(MDReportingPeriod=TMDMonthly,S45,IF(MDReportingPeriod=TMDTwoweekly,S44,S43)))</f>
        <v>0</v>
      </c>
      <c r="T51" s="509">
        <f>IF(T$15=TMDPeriodValueTypeForecast,IF('Delivery Calculation'!$H$15=TMDAllocationTandM,0,'Delivery Calculation'!AC125),IF(MDReportingPeriod=TMDMonthly,T45,IF(MDReportingPeriod=TMDTwoweekly,T44,T43)))</f>
        <v>0</v>
      </c>
      <c r="U51" s="509">
        <f>IF(U$15=TMDPeriodValueTypeForecast,IF('Delivery Calculation'!$H$15=TMDAllocationTandM,0,'Delivery Calculation'!AD125),IF(MDReportingPeriod=TMDMonthly,U45,IF(MDReportingPeriod=TMDTwoweekly,U44,U43)))</f>
        <v>0</v>
      </c>
      <c r="V51" s="509">
        <f>IF(V$15=TMDPeriodValueTypeForecast,IF('Delivery Calculation'!$H$15=TMDAllocationTandM,0,'Delivery Calculation'!AE125),IF(MDReportingPeriod=TMDMonthly,V45,IF(MDReportingPeriod=TMDTwoweekly,V44,V43)))</f>
        <v>0</v>
      </c>
      <c r="W51" s="509">
        <f>IF(W$15=TMDPeriodValueTypeForecast,IF('Delivery Calculation'!$H$15=TMDAllocationTandM,0,'Delivery Calculation'!AF125),IF(MDReportingPeriod=TMDMonthly,W45,IF(MDReportingPeriod=TMDTwoweekly,W44,W43)))</f>
        <v>0</v>
      </c>
      <c r="X51" s="509">
        <f>IF(X$15=TMDPeriodValueTypeForecast,IF('Delivery Calculation'!$H$15=TMDAllocationTandM,0,'Delivery Calculation'!AG125),IF(MDReportingPeriod=TMDMonthly,X45,IF(MDReportingPeriod=TMDTwoweekly,X44,X43)))</f>
        <v>0</v>
      </c>
      <c r="Y51" s="509">
        <f>IF(Y$15=TMDPeriodValueTypeForecast,IF('Delivery Calculation'!$H$15=TMDAllocationTandM,0,'Delivery Calculation'!AH125),IF(MDReportingPeriod=TMDMonthly,Y45,IF(MDReportingPeriod=TMDTwoweekly,Y44,Y43)))</f>
        <v>0</v>
      </c>
      <c r="Z51" s="509">
        <f>IF(Z$15=TMDPeriodValueTypeForecast,IF('Delivery Calculation'!$H$15=TMDAllocationTandM,0,'Delivery Calculation'!AI125),IF(MDReportingPeriod=TMDMonthly,Z45,IF(MDReportingPeriod=TMDTwoweekly,Z44,Z43)))</f>
        <v>0</v>
      </c>
      <c r="AA51" s="509">
        <f>IF(AA$15=TMDPeriodValueTypeForecast,IF('Delivery Calculation'!$H$15=TMDAllocationTandM,0,'Delivery Calculation'!AJ125),IF(MDReportingPeriod=TMDMonthly,AA45,IF(MDReportingPeriod=TMDTwoweekly,AA44,AA43)))</f>
        <v>0</v>
      </c>
      <c r="AB51" s="509">
        <f>IF(AB$15=TMDPeriodValueTypeForecast,IF('Delivery Calculation'!$H$15=TMDAllocationTandM,0,'Delivery Calculation'!AK125),IF(MDReportingPeriod=TMDMonthly,AB45,IF(MDReportingPeriod=TMDTwoweekly,AB44,AB43)))</f>
        <v>0</v>
      </c>
      <c r="AC51" s="509">
        <f>IF(AC$15=TMDPeriodValueTypeForecast,IF('Delivery Calculation'!$H$15=TMDAllocationTandM,0,'Delivery Calculation'!AL125),IF(MDReportingPeriod=TMDMonthly,AC45,IF(MDReportingPeriod=TMDTwoweekly,AC44,AC43)))</f>
        <v>0</v>
      </c>
      <c r="AD51" s="509">
        <f>IF(AD$15=TMDPeriodValueTypeForecast,IF('Delivery Calculation'!$H$15=TMDAllocationTandM,0,'Delivery Calculation'!AM125),IF(MDReportingPeriod=TMDMonthly,AD45,IF(MDReportingPeriod=TMDTwoweekly,AD44,AD43)))</f>
        <v>0</v>
      </c>
      <c r="AE51" s="509">
        <f>IF(AE$15=TMDPeriodValueTypeForecast,IF('Delivery Calculation'!$H$15=TMDAllocationTandM,0,'Delivery Calculation'!AN125),IF(MDReportingPeriod=TMDMonthly,AE45,IF(MDReportingPeriod=TMDTwoweekly,AE44,AE43)))</f>
        <v>0</v>
      </c>
      <c r="AF51" s="509">
        <f>IF(AF$15=TMDPeriodValueTypeForecast,IF('Delivery Calculation'!$H$15=TMDAllocationTandM,0,'Delivery Calculation'!AO125),IF(MDReportingPeriod=TMDMonthly,AF45,IF(MDReportingPeriod=TMDTwoweekly,AF44,AF43)))</f>
        <v>0</v>
      </c>
      <c r="AG51" s="509">
        <f>IF(AG$15=TMDPeriodValueTypeForecast,IF('Delivery Calculation'!$H$15=TMDAllocationTandM,0,'Delivery Calculation'!AP125),IF(MDReportingPeriod=TMDMonthly,AG45,IF(MDReportingPeriod=TMDTwoweekly,AG44,AG43)))</f>
        <v>0</v>
      </c>
      <c r="AH51" s="509">
        <f>IF(AH$15=TMDPeriodValueTypeForecast,IF('Delivery Calculation'!$H$15=TMDAllocationTandM,0,'Delivery Calculation'!AQ125),IF(MDReportingPeriod=TMDMonthly,AH45,IF(MDReportingPeriod=TMDTwoweekly,AH44,AH43)))</f>
        <v>0</v>
      </c>
      <c r="AI51" s="509">
        <f>IF(AI$15=TMDPeriodValueTypeForecast,IF('Delivery Calculation'!$H$15=TMDAllocationTandM,0,'Delivery Calculation'!AR125),IF(MDReportingPeriod=TMDMonthly,AI45,IF(MDReportingPeriod=TMDTwoweekly,AI44,AI43)))</f>
        <v>0</v>
      </c>
      <c r="AJ51" s="509">
        <f>IF(AJ$15=TMDPeriodValueTypeForecast,IF('Delivery Calculation'!$H$15=TMDAllocationTandM,0,'Delivery Calculation'!AS125),IF(MDReportingPeriod=TMDMonthly,AJ45,IF(MDReportingPeriod=TMDTwoweekly,AJ44,AJ43)))</f>
        <v>0</v>
      </c>
      <c r="AK51" s="509">
        <f>IF(AK$15=TMDPeriodValueTypeForecast,IF('Delivery Calculation'!$H$15=TMDAllocationTandM,0,'Delivery Calculation'!AT125),IF(MDReportingPeriod=TMDMonthly,AK45,IF(MDReportingPeriod=TMDTwoweekly,AK44,AK43)))</f>
        <v>0</v>
      </c>
      <c r="AL51" s="509">
        <f>IF(AL$15=TMDPeriodValueTypeForecast,IF('Delivery Calculation'!$H$15=TMDAllocationTandM,0,'Delivery Calculation'!AU125),IF(MDReportingPeriod=TMDMonthly,AL45,IF(MDReportingPeriod=TMDTwoweekly,AL44,AL43)))</f>
        <v>0</v>
      </c>
      <c r="AM51" s="509">
        <f>IF(AM$15=TMDPeriodValueTypeForecast,IF('Delivery Calculation'!$H$15=TMDAllocationTandM,0,'Delivery Calculation'!AV125),IF(MDReportingPeriod=TMDMonthly,AM45,IF(MDReportingPeriod=TMDTwoweekly,AM44,AM43)))</f>
        <v>0</v>
      </c>
      <c r="AN51" s="509">
        <f>IF(AN$15=TMDPeriodValueTypeForecast,IF('Delivery Calculation'!$H$15=TMDAllocationTandM,0,'Delivery Calculation'!AW125),IF(MDReportingPeriod=TMDMonthly,AN45,IF(MDReportingPeriod=TMDTwoweekly,AN44,AN43)))</f>
        <v>0</v>
      </c>
      <c r="AO51" s="509">
        <f>IF(AO$15=TMDPeriodValueTypeForecast,IF('Delivery Calculation'!$H$15=TMDAllocationTandM,0,'Delivery Calculation'!AX125),IF(MDReportingPeriod=TMDMonthly,AO45,IF(MDReportingPeriod=TMDTwoweekly,AO44,AO43)))</f>
        <v>0</v>
      </c>
      <c r="AP51" s="501"/>
      <c r="AQ51" s="505">
        <f>SUMIF($D$15:$AO$15,TMDPeriodValueTypeReported,D51:AO51)</f>
        <v>0</v>
      </c>
      <c r="AR51" s="505">
        <f>SUMIF($D$15:$AO$15,TMDPeriodValueTypeForecast,D51:AO51)</f>
        <v>0</v>
      </c>
      <c r="AS51" s="523">
        <f>'Delivery Calculation'!J15</f>
        <v>0</v>
      </c>
      <c r="AT51" s="505">
        <f>AS51-(AQ51+AR51)</f>
        <v>0</v>
      </c>
      <c r="AU51" s="505"/>
      <c r="AV51" s="510"/>
      <c r="AW51" s="452"/>
    </row>
    <row r="52" spans="1:49">
      <c r="A52" s="1184"/>
      <c r="B52" s="1181"/>
      <c r="C52" s="499" t="s">
        <v>532</v>
      </c>
      <c r="D52" s="509">
        <f>IF(D$15=TMDPeriodValueTypeForecast,IF('Delivery Calculation'!$H$15=TMDAllocationTandM,0,'Delivery Calculation'!M89),IF(MDReportingPeriod=TMDMonthly,D48,IF(MDReportingPeriod=TMDTwoweekly,D47,D46)))</f>
        <v>0</v>
      </c>
      <c r="E52" s="509">
        <f>IF(E$15=TMDPeriodValueTypeForecast,IF('Delivery Calculation'!$H$15=TMDAllocationTandM,0,'Delivery Calculation'!N89),IF(MDReportingPeriod=TMDMonthly,E48,IF(MDReportingPeriod=TMDTwoweekly,E47,E46)))</f>
        <v>0</v>
      </c>
      <c r="F52" s="509">
        <f>IF(F$15=TMDPeriodValueTypeForecast,IF('Delivery Calculation'!$H$15=TMDAllocationTandM,0,'Delivery Calculation'!O89),IF(MDReportingPeriod=TMDMonthly,F48,IF(MDReportingPeriod=TMDTwoweekly,F47,F46)))</f>
        <v>0</v>
      </c>
      <c r="G52" s="509">
        <f>IF(G$15=TMDPeriodValueTypeForecast,IF('Delivery Calculation'!$H$15=TMDAllocationTandM,0,'Delivery Calculation'!P89),IF(MDReportingPeriod=TMDMonthly,G48,IF(MDReportingPeriod=TMDTwoweekly,G47,G46)))</f>
        <v>0</v>
      </c>
      <c r="H52" s="509">
        <f>IF(H$15=TMDPeriodValueTypeForecast,IF('Delivery Calculation'!$H$15=TMDAllocationTandM,0,'Delivery Calculation'!Q89),IF(MDReportingPeriod=TMDMonthly,H48,IF(MDReportingPeriod=TMDTwoweekly,H47,H46)))</f>
        <v>0</v>
      </c>
      <c r="I52" s="509">
        <f>IF(I$15=TMDPeriodValueTypeForecast,IF('Delivery Calculation'!$H$15=TMDAllocationTandM,0,'Delivery Calculation'!R89),IF(MDReportingPeriod=TMDMonthly,I48,IF(MDReportingPeriod=TMDTwoweekly,I47,I46)))</f>
        <v>0</v>
      </c>
      <c r="J52" s="509">
        <f>IF(J$15=TMDPeriodValueTypeForecast,IF('Delivery Calculation'!$H$15=TMDAllocationTandM,0,'Delivery Calculation'!S89),IF(MDReportingPeriod=TMDMonthly,J48,IF(MDReportingPeriod=TMDTwoweekly,J47,J46)))</f>
        <v>0</v>
      </c>
      <c r="K52" s="509">
        <f>IF(K$15=TMDPeriodValueTypeForecast,IF('Delivery Calculation'!$H$15=TMDAllocationTandM,0,'Delivery Calculation'!T89),IF(MDReportingPeriod=TMDMonthly,K48,IF(MDReportingPeriod=TMDTwoweekly,K47,K46)))</f>
        <v>0</v>
      </c>
      <c r="L52" s="509">
        <f>IF(L$15=TMDPeriodValueTypeForecast,IF('Delivery Calculation'!$H$15=TMDAllocationTandM,0,'Delivery Calculation'!U89),IF(MDReportingPeriod=TMDMonthly,L48,IF(MDReportingPeriod=TMDTwoweekly,L47,L46)))</f>
        <v>0</v>
      </c>
      <c r="M52" s="509">
        <f>IF(M$15=TMDPeriodValueTypeForecast,IF('Delivery Calculation'!$H$15=TMDAllocationTandM,0,'Delivery Calculation'!V89),IF(MDReportingPeriod=TMDMonthly,M48,IF(MDReportingPeriod=TMDTwoweekly,M47,M46)))</f>
        <v>0</v>
      </c>
      <c r="N52" s="509">
        <f>IF(N$15=TMDPeriodValueTypeForecast,IF('Delivery Calculation'!$H$15=TMDAllocationTandM,0,'Delivery Calculation'!W89),IF(MDReportingPeriod=TMDMonthly,N48,IF(MDReportingPeriod=TMDTwoweekly,N47,N46)))</f>
        <v>0</v>
      </c>
      <c r="O52" s="509">
        <f>IF(O$15=TMDPeriodValueTypeForecast,IF('Delivery Calculation'!$H$15=TMDAllocationTandM,0,'Delivery Calculation'!X89),IF(MDReportingPeriod=TMDMonthly,O48,IF(MDReportingPeriod=TMDTwoweekly,O47,O46)))</f>
        <v>0</v>
      </c>
      <c r="P52" s="509">
        <f>IF(P$15=TMDPeriodValueTypeForecast,IF('Delivery Calculation'!$H$15=TMDAllocationTandM,0,'Delivery Calculation'!Y89),IF(MDReportingPeriod=TMDMonthly,P48,IF(MDReportingPeriod=TMDTwoweekly,P47,P46)))</f>
        <v>0</v>
      </c>
      <c r="Q52" s="509">
        <f>IF(Q$15=TMDPeriodValueTypeForecast,IF('Delivery Calculation'!$H$15=TMDAllocationTandM,0,'Delivery Calculation'!Z89),IF(MDReportingPeriod=TMDMonthly,Q48,IF(MDReportingPeriod=TMDTwoweekly,Q47,Q46)))</f>
        <v>0</v>
      </c>
      <c r="R52" s="509">
        <f>IF(R$15=TMDPeriodValueTypeForecast,IF('Delivery Calculation'!$H$15=TMDAllocationTandM,0,'Delivery Calculation'!AA89),IF(MDReportingPeriod=TMDMonthly,R48,IF(MDReportingPeriod=TMDTwoweekly,R47,R46)))</f>
        <v>0</v>
      </c>
      <c r="S52" s="509">
        <f>IF(S$15=TMDPeriodValueTypeForecast,IF('Delivery Calculation'!$H$15=TMDAllocationTandM,0,'Delivery Calculation'!AB89),IF(MDReportingPeriod=TMDMonthly,S48,IF(MDReportingPeriod=TMDTwoweekly,S47,S46)))</f>
        <v>0</v>
      </c>
      <c r="T52" s="509">
        <f>IF(T$15=TMDPeriodValueTypeForecast,IF('Delivery Calculation'!$H$15=TMDAllocationTandM,0,'Delivery Calculation'!AC89),IF(MDReportingPeriod=TMDMonthly,T48,IF(MDReportingPeriod=TMDTwoweekly,T47,T46)))</f>
        <v>0</v>
      </c>
      <c r="U52" s="509">
        <f>IF(U$15=TMDPeriodValueTypeForecast,IF('Delivery Calculation'!$H$15=TMDAllocationTandM,0,'Delivery Calculation'!AD89),IF(MDReportingPeriod=TMDMonthly,U48,IF(MDReportingPeriod=TMDTwoweekly,U47,U46)))</f>
        <v>0</v>
      </c>
      <c r="V52" s="509">
        <f>IF(V$15=TMDPeriodValueTypeForecast,IF('Delivery Calculation'!$H$15=TMDAllocationTandM,0,'Delivery Calculation'!AE89),IF(MDReportingPeriod=TMDMonthly,V48,IF(MDReportingPeriod=TMDTwoweekly,V47,V46)))</f>
        <v>0</v>
      </c>
      <c r="W52" s="509">
        <f>IF(W$15=TMDPeriodValueTypeForecast,IF('Delivery Calculation'!$H$15=TMDAllocationTandM,0,'Delivery Calculation'!AF89),IF(MDReportingPeriod=TMDMonthly,W48,IF(MDReportingPeriod=TMDTwoweekly,W47,W46)))</f>
        <v>0</v>
      </c>
      <c r="X52" s="509">
        <f>IF(X$15=TMDPeriodValueTypeForecast,IF('Delivery Calculation'!$H$15=TMDAllocationTandM,0,'Delivery Calculation'!AG89),IF(MDReportingPeriod=TMDMonthly,X48,IF(MDReportingPeriod=TMDTwoweekly,X47,X46)))</f>
        <v>0</v>
      </c>
      <c r="Y52" s="509">
        <f>IF(Y$15=TMDPeriodValueTypeForecast,IF('Delivery Calculation'!$H$15=TMDAllocationTandM,0,'Delivery Calculation'!AH89),IF(MDReportingPeriod=TMDMonthly,Y48,IF(MDReportingPeriod=TMDTwoweekly,Y47,Y46)))</f>
        <v>0</v>
      </c>
      <c r="Z52" s="509">
        <f>IF(Z$15=TMDPeriodValueTypeForecast,IF('Delivery Calculation'!$H$15=TMDAllocationTandM,0,'Delivery Calculation'!AI89),IF(MDReportingPeriod=TMDMonthly,Z48,IF(MDReportingPeriod=TMDTwoweekly,Z47,Z46)))</f>
        <v>0</v>
      </c>
      <c r="AA52" s="509">
        <f>IF(AA$15=TMDPeriodValueTypeForecast,IF('Delivery Calculation'!$H$15=TMDAllocationTandM,0,'Delivery Calculation'!AJ89),IF(MDReportingPeriod=TMDMonthly,AA48,IF(MDReportingPeriod=TMDTwoweekly,AA47,AA46)))</f>
        <v>0</v>
      </c>
      <c r="AB52" s="509">
        <f>IF(AB$15=TMDPeriodValueTypeForecast,IF('Delivery Calculation'!$H$15=TMDAllocationTandM,0,'Delivery Calculation'!AK89),IF(MDReportingPeriod=TMDMonthly,AB48,IF(MDReportingPeriod=TMDTwoweekly,AB47,AB46)))</f>
        <v>0</v>
      </c>
      <c r="AC52" s="509">
        <f>IF(AC$15=TMDPeriodValueTypeForecast,IF('Delivery Calculation'!$H$15=TMDAllocationTandM,0,'Delivery Calculation'!AL89),IF(MDReportingPeriod=TMDMonthly,AC48,IF(MDReportingPeriod=TMDTwoweekly,AC47,AC46)))</f>
        <v>0</v>
      </c>
      <c r="AD52" s="509">
        <f>IF(AD$15=TMDPeriodValueTypeForecast,IF('Delivery Calculation'!$H$15=TMDAllocationTandM,0,'Delivery Calculation'!AM89),IF(MDReportingPeriod=TMDMonthly,AD48,IF(MDReportingPeriod=TMDTwoweekly,AD47,AD46)))</f>
        <v>0</v>
      </c>
      <c r="AE52" s="509">
        <f>IF(AE$15=TMDPeriodValueTypeForecast,IF('Delivery Calculation'!$H$15=TMDAllocationTandM,0,'Delivery Calculation'!AN89),IF(MDReportingPeriod=TMDMonthly,AE48,IF(MDReportingPeriod=TMDTwoweekly,AE47,AE46)))</f>
        <v>0</v>
      </c>
      <c r="AF52" s="509">
        <f>IF(AF$15=TMDPeriodValueTypeForecast,IF('Delivery Calculation'!$H$15=TMDAllocationTandM,0,'Delivery Calculation'!AO89),IF(MDReportingPeriod=TMDMonthly,AF48,IF(MDReportingPeriod=TMDTwoweekly,AF47,AF46)))</f>
        <v>0</v>
      </c>
      <c r="AG52" s="509">
        <f>IF(AG$15=TMDPeriodValueTypeForecast,IF('Delivery Calculation'!$H$15=TMDAllocationTandM,0,'Delivery Calculation'!AP89),IF(MDReportingPeriod=TMDMonthly,AG48,IF(MDReportingPeriod=TMDTwoweekly,AG47,AG46)))</f>
        <v>0</v>
      </c>
      <c r="AH52" s="509">
        <f>IF(AH$15=TMDPeriodValueTypeForecast,IF('Delivery Calculation'!$H$15=TMDAllocationTandM,0,'Delivery Calculation'!AQ89),IF(MDReportingPeriod=TMDMonthly,AH48,IF(MDReportingPeriod=TMDTwoweekly,AH47,AH46)))</f>
        <v>0</v>
      </c>
      <c r="AI52" s="509">
        <f>IF(AI$15=TMDPeriodValueTypeForecast,IF('Delivery Calculation'!$H$15=TMDAllocationTandM,0,'Delivery Calculation'!AR89),IF(MDReportingPeriod=TMDMonthly,AI48,IF(MDReportingPeriod=TMDTwoweekly,AI47,AI46)))</f>
        <v>0</v>
      </c>
      <c r="AJ52" s="509">
        <f>IF(AJ$15=TMDPeriodValueTypeForecast,IF('Delivery Calculation'!$H$15=TMDAllocationTandM,0,'Delivery Calculation'!AS89),IF(MDReportingPeriod=TMDMonthly,AJ48,IF(MDReportingPeriod=TMDTwoweekly,AJ47,AJ46)))</f>
        <v>0</v>
      </c>
      <c r="AK52" s="509">
        <f>IF(AK$15=TMDPeriodValueTypeForecast,IF('Delivery Calculation'!$H$15=TMDAllocationTandM,0,'Delivery Calculation'!AT89),IF(MDReportingPeriod=TMDMonthly,AK48,IF(MDReportingPeriod=TMDTwoweekly,AK47,AK46)))</f>
        <v>0</v>
      </c>
      <c r="AL52" s="509">
        <f>IF(AL$15=TMDPeriodValueTypeForecast,IF('Delivery Calculation'!$H$15=TMDAllocationTandM,0,'Delivery Calculation'!AU89),IF(MDReportingPeriod=TMDMonthly,AL48,IF(MDReportingPeriod=TMDTwoweekly,AL47,AL46)))</f>
        <v>0</v>
      </c>
      <c r="AM52" s="509">
        <f>IF(AM$15=TMDPeriodValueTypeForecast,IF('Delivery Calculation'!$H$15=TMDAllocationTandM,0,'Delivery Calculation'!AV89),IF(MDReportingPeriod=TMDMonthly,AM48,IF(MDReportingPeriod=TMDTwoweekly,AM47,AM46)))</f>
        <v>0</v>
      </c>
      <c r="AN52" s="509">
        <f>IF(AN$15=TMDPeriodValueTypeForecast,IF('Delivery Calculation'!$H$15=TMDAllocationTandM,0,'Delivery Calculation'!AW89),IF(MDReportingPeriod=TMDMonthly,AN48,IF(MDReportingPeriod=TMDTwoweekly,AN47,AN46)))</f>
        <v>0</v>
      </c>
      <c r="AO52" s="509">
        <f>IF(AO$15=TMDPeriodValueTypeForecast,IF('Delivery Calculation'!$H$15=TMDAllocationTandM,0,'Delivery Calculation'!AX89),IF(MDReportingPeriod=TMDMonthly,AO48,IF(MDReportingPeriod=TMDTwoweekly,AO47,AO46)))</f>
        <v>0</v>
      </c>
      <c r="AP52" s="501"/>
      <c r="AQ52" s="505">
        <f>SUMIF($D$15:$AO$15,TMDPeriodValueTypeReported,D52:AO52)</f>
        <v>0</v>
      </c>
      <c r="AR52" s="505">
        <f>SUMIF($D$15:$AO$15,TMDPeriodValueTypeForecast,D52:AO52)</f>
        <v>0</v>
      </c>
      <c r="AS52" s="523">
        <f>'Delivery Calculation'!I15</f>
        <v>0</v>
      </c>
      <c r="AT52" s="505">
        <f>AS52-(AQ52+AR52)</f>
        <v>0</v>
      </c>
      <c r="AU52" s="505"/>
      <c r="AV52" s="510"/>
      <c r="AW52" s="452"/>
    </row>
    <row r="53" spans="1:49">
      <c r="A53" s="1185"/>
      <c r="B53" s="1182"/>
      <c r="C53" s="499" t="s">
        <v>533</v>
      </c>
      <c r="D53" s="509"/>
      <c r="E53" s="509"/>
      <c r="F53" s="509"/>
      <c r="G53" s="509"/>
      <c r="H53" s="509"/>
      <c r="I53" s="509"/>
      <c r="J53" s="509"/>
      <c r="K53" s="509"/>
      <c r="L53" s="509"/>
      <c r="M53" s="509"/>
      <c r="N53" s="509"/>
      <c r="O53" s="509"/>
      <c r="P53" s="509"/>
      <c r="Q53" s="509"/>
      <c r="R53" s="509"/>
      <c r="S53" s="509"/>
      <c r="T53" s="509"/>
      <c r="U53" s="509"/>
      <c r="V53" s="509"/>
      <c r="W53" s="509"/>
      <c r="X53" s="509"/>
      <c r="Y53" s="509"/>
      <c r="Z53" s="509"/>
      <c r="AA53" s="509"/>
      <c r="AB53" s="509"/>
      <c r="AC53" s="509"/>
      <c r="AD53" s="509"/>
      <c r="AE53" s="509"/>
      <c r="AF53" s="509"/>
      <c r="AG53" s="509"/>
      <c r="AH53" s="509"/>
      <c r="AI53" s="509"/>
      <c r="AJ53" s="509"/>
      <c r="AK53" s="509"/>
      <c r="AL53" s="509"/>
      <c r="AM53" s="509"/>
      <c r="AN53" s="509"/>
      <c r="AO53" s="509"/>
      <c r="AP53" s="501"/>
      <c r="AQ53" s="505">
        <f>SUMIF($D$15:$AO$15,TMDPeriodValueTypeReported,D53:AO53)</f>
        <v>0</v>
      </c>
      <c r="AR53" s="505">
        <f>SUMIF($D$15:$AO$15,TMDPeriodValueTypeForecast,D53:AO53)</f>
        <v>0</v>
      </c>
      <c r="AS53" s="505"/>
      <c r="AT53" s="505">
        <f>AQ53+AR53</f>
        <v>0</v>
      </c>
      <c r="AU53" s="505"/>
      <c r="AV53" s="510"/>
      <c r="AW53" s="452"/>
    </row>
    <row r="54" spans="1:49" hidden="1">
      <c r="A54" s="143"/>
      <c r="B54" s="483"/>
      <c r="C54" s="496" t="s">
        <v>1339</v>
      </c>
      <c r="D54" s="516">
        <f t="shared" ref="D54:AO54" si="18">IF(ISERR(GETPIVOTDATA("[Measures].[Hours]",TRIMARANweekly,"[Order].[Position Number]","[Order].[Position Number].&amp;[" &amp; $B61 &amp; "]","[Period].[Week]","[Period].[Week].&amp;[" &amp; YEAR(D$14-7) &amp; TEXT(WEEKNUM(D$14-7),"00") &amp; "]")),0,GETPIVOTDATA("[Measures].[Hours]",TRIMARANweekly,"[Order].[Position Number]","[Order].[Position Number].&amp;[" &amp; $B61 &amp; "]","[Period].[Week]","[Period].[Week].&amp;[" &amp; YEAR(D$14-7) &amp; TEXT(WEEKNUM(D$14-7),"00") &amp; "]"))</f>
        <v>0</v>
      </c>
      <c r="E54" s="516">
        <f t="shared" si="18"/>
        <v>0</v>
      </c>
      <c r="F54" s="516">
        <f t="shared" si="18"/>
        <v>0</v>
      </c>
      <c r="G54" s="516">
        <f t="shared" si="18"/>
        <v>0</v>
      </c>
      <c r="H54" s="516">
        <f t="shared" si="18"/>
        <v>0</v>
      </c>
      <c r="I54" s="516">
        <f t="shared" si="18"/>
        <v>0</v>
      </c>
      <c r="J54" s="516">
        <f t="shared" si="18"/>
        <v>0</v>
      </c>
      <c r="K54" s="516">
        <f t="shared" si="18"/>
        <v>0</v>
      </c>
      <c r="L54" s="516">
        <f t="shared" si="18"/>
        <v>0</v>
      </c>
      <c r="M54" s="516">
        <f t="shared" si="18"/>
        <v>0</v>
      </c>
      <c r="N54" s="516">
        <f t="shared" si="18"/>
        <v>0</v>
      </c>
      <c r="O54" s="516">
        <f t="shared" si="18"/>
        <v>0</v>
      </c>
      <c r="P54" s="516">
        <f t="shared" si="18"/>
        <v>0</v>
      </c>
      <c r="Q54" s="516">
        <f t="shared" si="18"/>
        <v>0</v>
      </c>
      <c r="R54" s="516">
        <f t="shared" si="18"/>
        <v>0</v>
      </c>
      <c r="S54" s="516">
        <f t="shared" si="18"/>
        <v>0</v>
      </c>
      <c r="T54" s="516">
        <f t="shared" si="18"/>
        <v>0</v>
      </c>
      <c r="U54" s="516">
        <f t="shared" si="18"/>
        <v>0</v>
      </c>
      <c r="V54" s="516">
        <f t="shared" si="18"/>
        <v>0</v>
      </c>
      <c r="W54" s="516">
        <f t="shared" si="18"/>
        <v>0</v>
      </c>
      <c r="X54" s="516">
        <f t="shared" si="18"/>
        <v>0</v>
      </c>
      <c r="Y54" s="516">
        <f t="shared" si="18"/>
        <v>0</v>
      </c>
      <c r="Z54" s="516">
        <f t="shared" si="18"/>
        <v>0</v>
      </c>
      <c r="AA54" s="516">
        <f t="shared" si="18"/>
        <v>0</v>
      </c>
      <c r="AB54" s="516">
        <f t="shared" si="18"/>
        <v>0</v>
      </c>
      <c r="AC54" s="516">
        <f t="shared" si="18"/>
        <v>0</v>
      </c>
      <c r="AD54" s="516">
        <f t="shared" si="18"/>
        <v>0</v>
      </c>
      <c r="AE54" s="516">
        <f t="shared" si="18"/>
        <v>0</v>
      </c>
      <c r="AF54" s="516">
        <f t="shared" si="18"/>
        <v>0</v>
      </c>
      <c r="AG54" s="516">
        <f t="shared" si="18"/>
        <v>0</v>
      </c>
      <c r="AH54" s="516">
        <f t="shared" si="18"/>
        <v>0</v>
      </c>
      <c r="AI54" s="516">
        <f t="shared" si="18"/>
        <v>0</v>
      </c>
      <c r="AJ54" s="516">
        <f t="shared" si="18"/>
        <v>0</v>
      </c>
      <c r="AK54" s="516">
        <f t="shared" si="18"/>
        <v>0</v>
      </c>
      <c r="AL54" s="516">
        <f t="shared" si="18"/>
        <v>0</v>
      </c>
      <c r="AM54" s="516">
        <f t="shared" si="18"/>
        <v>0</v>
      </c>
      <c r="AN54" s="516">
        <f t="shared" si="18"/>
        <v>0</v>
      </c>
      <c r="AO54" s="516">
        <f t="shared" si="18"/>
        <v>0</v>
      </c>
      <c r="AP54" s="501"/>
      <c r="AQ54" s="505"/>
      <c r="AR54" s="505"/>
      <c r="AS54" s="505"/>
      <c r="AT54" s="505"/>
      <c r="AU54" s="505"/>
      <c r="AV54" s="510"/>
      <c r="AW54" s="452"/>
    </row>
    <row r="55" spans="1:49" hidden="1">
      <c r="A55" s="143"/>
      <c r="B55" s="483"/>
      <c r="C55" s="496" t="s">
        <v>1340</v>
      </c>
      <c r="D55" s="516">
        <f t="shared" ref="D55:AO55" si="19">IF(ISERR(GETPIVOTDATA("[Measures].[Hours]",TRIMARANweekly,"[Order].[Position Number]","[Order].[Position Number].&amp;[" &amp; $B61 &amp; "]","[Period].[Week]","[Period].[Week].&amp;[" &amp; YEAR(D$14-14) &amp; TEXT(WEEKNUM(D$14-14),"00") &amp; "]")),0,GETPIVOTDATA("[Measures].[Hours]",TRIMARANweekly,"[Order].[Position Number]","[Order].[Position Number].&amp;[" &amp; $B61 &amp; "]","[Period].[Week]","[Period].[Week].&amp;[" &amp; YEAR(D$14-14) &amp; TEXT(WEEKNUM(D$14-14),"00") &amp; "]"))+D54</f>
        <v>0</v>
      </c>
      <c r="E55" s="516">
        <f t="shared" si="19"/>
        <v>0</v>
      </c>
      <c r="F55" s="516">
        <f t="shared" si="19"/>
        <v>0</v>
      </c>
      <c r="G55" s="516">
        <f t="shared" si="19"/>
        <v>0</v>
      </c>
      <c r="H55" s="516">
        <f t="shared" si="19"/>
        <v>0</v>
      </c>
      <c r="I55" s="516">
        <f t="shared" si="19"/>
        <v>0</v>
      </c>
      <c r="J55" s="516">
        <f t="shared" si="19"/>
        <v>0</v>
      </c>
      <c r="K55" s="516">
        <f t="shared" si="19"/>
        <v>0</v>
      </c>
      <c r="L55" s="516">
        <f t="shared" si="19"/>
        <v>0</v>
      </c>
      <c r="M55" s="516">
        <f t="shared" si="19"/>
        <v>0</v>
      </c>
      <c r="N55" s="516">
        <f t="shared" si="19"/>
        <v>0</v>
      </c>
      <c r="O55" s="516">
        <f t="shared" si="19"/>
        <v>0</v>
      </c>
      <c r="P55" s="516">
        <f t="shared" si="19"/>
        <v>0</v>
      </c>
      <c r="Q55" s="516">
        <f t="shared" si="19"/>
        <v>0</v>
      </c>
      <c r="R55" s="516">
        <f t="shared" si="19"/>
        <v>0</v>
      </c>
      <c r="S55" s="516">
        <f t="shared" si="19"/>
        <v>0</v>
      </c>
      <c r="T55" s="516">
        <f t="shared" si="19"/>
        <v>0</v>
      </c>
      <c r="U55" s="516">
        <f t="shared" si="19"/>
        <v>0</v>
      </c>
      <c r="V55" s="516">
        <f t="shared" si="19"/>
        <v>0</v>
      </c>
      <c r="W55" s="516">
        <f t="shared" si="19"/>
        <v>0</v>
      </c>
      <c r="X55" s="516">
        <f t="shared" si="19"/>
        <v>0</v>
      </c>
      <c r="Y55" s="516">
        <f t="shared" si="19"/>
        <v>0</v>
      </c>
      <c r="Z55" s="516">
        <f t="shared" si="19"/>
        <v>0</v>
      </c>
      <c r="AA55" s="516">
        <f t="shared" si="19"/>
        <v>0</v>
      </c>
      <c r="AB55" s="516">
        <f t="shared" si="19"/>
        <v>0</v>
      </c>
      <c r="AC55" s="516">
        <f t="shared" si="19"/>
        <v>0</v>
      </c>
      <c r="AD55" s="516">
        <f t="shared" si="19"/>
        <v>0</v>
      </c>
      <c r="AE55" s="516">
        <f t="shared" si="19"/>
        <v>0</v>
      </c>
      <c r="AF55" s="516">
        <f t="shared" si="19"/>
        <v>0</v>
      </c>
      <c r="AG55" s="516">
        <f t="shared" si="19"/>
        <v>0</v>
      </c>
      <c r="AH55" s="516">
        <f t="shared" si="19"/>
        <v>0</v>
      </c>
      <c r="AI55" s="516">
        <f t="shared" si="19"/>
        <v>0</v>
      </c>
      <c r="AJ55" s="516">
        <f t="shared" si="19"/>
        <v>0</v>
      </c>
      <c r="AK55" s="516">
        <f t="shared" si="19"/>
        <v>0</v>
      </c>
      <c r="AL55" s="516">
        <f t="shared" si="19"/>
        <v>0</v>
      </c>
      <c r="AM55" s="516">
        <f t="shared" si="19"/>
        <v>0</v>
      </c>
      <c r="AN55" s="516">
        <f t="shared" si="19"/>
        <v>0</v>
      </c>
      <c r="AO55" s="516">
        <f t="shared" si="19"/>
        <v>0</v>
      </c>
      <c r="AP55" s="501"/>
      <c r="AQ55" s="505"/>
      <c r="AR55" s="505"/>
      <c r="AS55" s="505"/>
      <c r="AT55" s="505"/>
      <c r="AU55" s="505"/>
      <c r="AV55" s="510"/>
      <c r="AW55" s="452"/>
    </row>
    <row r="56" spans="1:49" hidden="1">
      <c r="A56" s="143"/>
      <c r="B56" s="483"/>
      <c r="C56" s="496" t="s">
        <v>1341</v>
      </c>
      <c r="D56" s="516">
        <f t="shared" ref="D56:AO56" si="20">IF(ISERR(GETPIVOTDATA("[Measures].[Hours]",TRIMARANmonthly,"[Period].[Month]","[Period].[Month].&amp;["&amp;IF(MONTH(D$14)=1,YEAR(D$14)-1&amp;TEXT(12,"00"),YEAR(D$14)&amp;TEXT(MONTH(D$14)-1,"00"))&amp;"]","[Order].[Position Number]","[Order].[Position Number].&amp;["&amp;$B61&amp;"]")),0,GETPIVOTDATA("[Measures].[Hours]",TRIMARANmonthly,"[Period].[Month]","[Period].[Month].&amp;["&amp;IF(MONTH(D$14)=1,YEAR(D$14)-1&amp;TEXT(12,"00"),YEAR(D$14)&amp;TEXT(MONTH(D$14)-1,"00"))&amp;"]","[Order].[Position Number]","[Order].[Position Number].&amp;["&amp;$B61&amp;"]"))</f>
        <v>0</v>
      </c>
      <c r="E56" s="516">
        <f t="shared" si="20"/>
        <v>0</v>
      </c>
      <c r="F56" s="516">
        <f t="shared" si="20"/>
        <v>0</v>
      </c>
      <c r="G56" s="516">
        <f t="shared" si="20"/>
        <v>0</v>
      </c>
      <c r="H56" s="516">
        <f t="shared" si="20"/>
        <v>0</v>
      </c>
      <c r="I56" s="516">
        <f t="shared" si="20"/>
        <v>0</v>
      </c>
      <c r="J56" s="516">
        <f t="shared" si="20"/>
        <v>0</v>
      </c>
      <c r="K56" s="516">
        <f t="shared" si="20"/>
        <v>0</v>
      </c>
      <c r="L56" s="516">
        <f t="shared" si="20"/>
        <v>0</v>
      </c>
      <c r="M56" s="516">
        <f t="shared" si="20"/>
        <v>0</v>
      </c>
      <c r="N56" s="516">
        <f t="shared" si="20"/>
        <v>0</v>
      </c>
      <c r="O56" s="516">
        <f t="shared" si="20"/>
        <v>0</v>
      </c>
      <c r="P56" s="516">
        <f t="shared" si="20"/>
        <v>0</v>
      </c>
      <c r="Q56" s="516">
        <f t="shared" si="20"/>
        <v>0</v>
      </c>
      <c r="R56" s="516">
        <f t="shared" si="20"/>
        <v>0</v>
      </c>
      <c r="S56" s="516">
        <f t="shared" si="20"/>
        <v>0</v>
      </c>
      <c r="T56" s="516">
        <f t="shared" si="20"/>
        <v>0</v>
      </c>
      <c r="U56" s="516">
        <f t="shared" si="20"/>
        <v>0</v>
      </c>
      <c r="V56" s="516">
        <f t="shared" si="20"/>
        <v>0</v>
      </c>
      <c r="W56" s="516">
        <f t="shared" si="20"/>
        <v>0</v>
      </c>
      <c r="X56" s="516">
        <f t="shared" si="20"/>
        <v>0</v>
      </c>
      <c r="Y56" s="516">
        <f t="shared" si="20"/>
        <v>0</v>
      </c>
      <c r="Z56" s="516">
        <f t="shared" si="20"/>
        <v>0</v>
      </c>
      <c r="AA56" s="516">
        <f t="shared" si="20"/>
        <v>0</v>
      </c>
      <c r="AB56" s="516">
        <f t="shared" si="20"/>
        <v>0</v>
      </c>
      <c r="AC56" s="516">
        <f t="shared" si="20"/>
        <v>0</v>
      </c>
      <c r="AD56" s="516">
        <f t="shared" si="20"/>
        <v>0</v>
      </c>
      <c r="AE56" s="516">
        <f t="shared" si="20"/>
        <v>0</v>
      </c>
      <c r="AF56" s="516">
        <f t="shared" si="20"/>
        <v>0</v>
      </c>
      <c r="AG56" s="516">
        <f t="shared" si="20"/>
        <v>0</v>
      </c>
      <c r="AH56" s="516">
        <f t="shared" si="20"/>
        <v>0</v>
      </c>
      <c r="AI56" s="516">
        <f t="shared" si="20"/>
        <v>0</v>
      </c>
      <c r="AJ56" s="516">
        <f t="shared" si="20"/>
        <v>0</v>
      </c>
      <c r="AK56" s="516">
        <f t="shared" si="20"/>
        <v>0</v>
      </c>
      <c r="AL56" s="516">
        <f t="shared" si="20"/>
        <v>0</v>
      </c>
      <c r="AM56" s="516">
        <f t="shared" si="20"/>
        <v>0</v>
      </c>
      <c r="AN56" s="516">
        <f t="shared" si="20"/>
        <v>0</v>
      </c>
      <c r="AO56" s="516">
        <f t="shared" si="20"/>
        <v>0</v>
      </c>
      <c r="AP56" s="501"/>
      <c r="AQ56" s="505"/>
      <c r="AR56" s="505"/>
      <c r="AS56" s="505"/>
      <c r="AT56" s="505"/>
      <c r="AU56" s="505"/>
      <c r="AV56" s="510"/>
      <c r="AW56" s="452"/>
    </row>
    <row r="57" spans="1:49" hidden="1">
      <c r="A57" s="143"/>
      <c r="B57" s="483"/>
      <c r="C57" s="496" t="s">
        <v>1339</v>
      </c>
      <c r="D57" s="516">
        <f t="shared" ref="D57:AO57" si="21">IF(ISERR(GETPIVOTDATA("[Measures].[" &amp; MDContractCurrency &amp; "]",TRIMARANweekly,"[Order].[Position Number]","[Order].[Position Number].&amp;[" &amp; $B61 &amp; "]","[Period].[Week]","[Period].[Week].&amp;[" &amp; YEAR(D$14-7) &amp; TEXT(WEEKNUM(D$14-7),"00") &amp; "]")),0,GETPIVOTDATA("[Measures].[" &amp; MDContractCurrency &amp; "]",TRIMARANweekly,"[Order].[Position Number]","[Order].[Position Number].&amp;[" &amp; $B61 &amp; "]","[Period].[Week]","[Period].[Week].&amp;[" &amp; YEAR(D$14-7) &amp; TEXT(WEEKNUM(D$14-7),"00") &amp; "]"))</f>
        <v>0</v>
      </c>
      <c r="E57" s="516">
        <f t="shared" si="21"/>
        <v>0</v>
      </c>
      <c r="F57" s="516">
        <f t="shared" si="21"/>
        <v>0</v>
      </c>
      <c r="G57" s="516">
        <f t="shared" si="21"/>
        <v>0</v>
      </c>
      <c r="H57" s="516">
        <f t="shared" si="21"/>
        <v>0</v>
      </c>
      <c r="I57" s="516">
        <f t="shared" si="21"/>
        <v>0</v>
      </c>
      <c r="J57" s="516">
        <f t="shared" si="21"/>
        <v>0</v>
      </c>
      <c r="K57" s="516">
        <f t="shared" si="21"/>
        <v>0</v>
      </c>
      <c r="L57" s="516">
        <f t="shared" si="21"/>
        <v>0</v>
      </c>
      <c r="M57" s="516">
        <f t="shared" si="21"/>
        <v>0</v>
      </c>
      <c r="N57" s="516">
        <f t="shared" si="21"/>
        <v>0</v>
      </c>
      <c r="O57" s="516">
        <f t="shared" si="21"/>
        <v>0</v>
      </c>
      <c r="P57" s="516">
        <f t="shared" si="21"/>
        <v>0</v>
      </c>
      <c r="Q57" s="516">
        <f t="shared" si="21"/>
        <v>0</v>
      </c>
      <c r="R57" s="516">
        <f t="shared" si="21"/>
        <v>0</v>
      </c>
      <c r="S57" s="516">
        <f t="shared" si="21"/>
        <v>0</v>
      </c>
      <c r="T57" s="516">
        <f t="shared" si="21"/>
        <v>0</v>
      </c>
      <c r="U57" s="516">
        <f t="shared" si="21"/>
        <v>0</v>
      </c>
      <c r="V57" s="516">
        <f t="shared" si="21"/>
        <v>0</v>
      </c>
      <c r="W57" s="516">
        <f t="shared" si="21"/>
        <v>0</v>
      </c>
      <c r="X57" s="516">
        <f t="shared" si="21"/>
        <v>0</v>
      </c>
      <c r="Y57" s="516">
        <f t="shared" si="21"/>
        <v>0</v>
      </c>
      <c r="Z57" s="516">
        <f t="shared" si="21"/>
        <v>0</v>
      </c>
      <c r="AA57" s="516">
        <f t="shared" si="21"/>
        <v>0</v>
      </c>
      <c r="AB57" s="516">
        <f t="shared" si="21"/>
        <v>0</v>
      </c>
      <c r="AC57" s="516">
        <f t="shared" si="21"/>
        <v>0</v>
      </c>
      <c r="AD57" s="516">
        <f t="shared" si="21"/>
        <v>0</v>
      </c>
      <c r="AE57" s="516">
        <f t="shared" si="21"/>
        <v>0</v>
      </c>
      <c r="AF57" s="516">
        <f t="shared" si="21"/>
        <v>0</v>
      </c>
      <c r="AG57" s="516">
        <f t="shared" si="21"/>
        <v>0</v>
      </c>
      <c r="AH57" s="516">
        <f t="shared" si="21"/>
        <v>0</v>
      </c>
      <c r="AI57" s="516">
        <f t="shared" si="21"/>
        <v>0</v>
      </c>
      <c r="AJ57" s="516">
        <f t="shared" si="21"/>
        <v>0</v>
      </c>
      <c r="AK57" s="516">
        <f t="shared" si="21"/>
        <v>0</v>
      </c>
      <c r="AL57" s="516">
        <f t="shared" si="21"/>
        <v>0</v>
      </c>
      <c r="AM57" s="516">
        <f t="shared" si="21"/>
        <v>0</v>
      </c>
      <c r="AN57" s="516">
        <f t="shared" si="21"/>
        <v>0</v>
      </c>
      <c r="AO57" s="516">
        <f t="shared" si="21"/>
        <v>0</v>
      </c>
      <c r="AP57" s="501"/>
      <c r="AQ57" s="505"/>
      <c r="AR57" s="505"/>
      <c r="AS57" s="505"/>
      <c r="AT57" s="505"/>
      <c r="AU57" s="505"/>
      <c r="AV57" s="510"/>
      <c r="AW57" s="452"/>
    </row>
    <row r="58" spans="1:49" hidden="1">
      <c r="A58" s="143"/>
      <c r="B58" s="483"/>
      <c r="C58" s="496" t="s">
        <v>1340</v>
      </c>
      <c r="D58" s="516">
        <f t="shared" ref="D58:AO58" si="22">IF(ISERR(GETPIVOTDATA("[Measures].[" &amp; MDContractCurrency &amp; "]",TRIMARANweekly,"[Order].[Position Number]","[Order].[Position Number].&amp;[" &amp; $B61 &amp; "]","[Period].[Week]","[Period].[Week].&amp;[" &amp; YEAR(D$14-14) &amp; TEXT(WEEKNUM(D$14-14),"00") &amp; "]")),0,GETPIVOTDATA("[Measures].[" &amp; MDContractCurrency &amp; "]",TRIMARANweekly,"[Order].[Position Number]","[Order].[Position Number].&amp;[" &amp; $B61 &amp; "]","[Period].[Week]","[Period].[Week].&amp;[" &amp; YEAR(D$14-14) &amp; TEXT(WEEKNUM(D$14-14),"00") &amp; "]"))+D57</f>
        <v>0</v>
      </c>
      <c r="E58" s="516">
        <f t="shared" si="22"/>
        <v>0</v>
      </c>
      <c r="F58" s="516">
        <f t="shared" si="22"/>
        <v>0</v>
      </c>
      <c r="G58" s="516">
        <f t="shared" si="22"/>
        <v>0</v>
      </c>
      <c r="H58" s="516">
        <f t="shared" si="22"/>
        <v>0</v>
      </c>
      <c r="I58" s="516">
        <f t="shared" si="22"/>
        <v>0</v>
      </c>
      <c r="J58" s="516">
        <f t="shared" si="22"/>
        <v>0</v>
      </c>
      <c r="K58" s="516">
        <f t="shared" si="22"/>
        <v>0</v>
      </c>
      <c r="L58" s="516">
        <f t="shared" si="22"/>
        <v>0</v>
      </c>
      <c r="M58" s="516">
        <f t="shared" si="22"/>
        <v>0</v>
      </c>
      <c r="N58" s="516">
        <f t="shared" si="22"/>
        <v>0</v>
      </c>
      <c r="O58" s="516">
        <f t="shared" si="22"/>
        <v>0</v>
      </c>
      <c r="P58" s="516">
        <f t="shared" si="22"/>
        <v>0</v>
      </c>
      <c r="Q58" s="516">
        <f t="shared" si="22"/>
        <v>0</v>
      </c>
      <c r="R58" s="516">
        <f t="shared" si="22"/>
        <v>0</v>
      </c>
      <c r="S58" s="516">
        <f t="shared" si="22"/>
        <v>0</v>
      </c>
      <c r="T58" s="516">
        <f t="shared" si="22"/>
        <v>0</v>
      </c>
      <c r="U58" s="516">
        <f t="shared" si="22"/>
        <v>0</v>
      </c>
      <c r="V58" s="516">
        <f t="shared" si="22"/>
        <v>0</v>
      </c>
      <c r="W58" s="516">
        <f t="shared" si="22"/>
        <v>0</v>
      </c>
      <c r="X58" s="516">
        <f t="shared" si="22"/>
        <v>0</v>
      </c>
      <c r="Y58" s="516">
        <f t="shared" si="22"/>
        <v>0</v>
      </c>
      <c r="Z58" s="516">
        <f t="shared" si="22"/>
        <v>0</v>
      </c>
      <c r="AA58" s="516">
        <f t="shared" si="22"/>
        <v>0</v>
      </c>
      <c r="AB58" s="516">
        <f t="shared" si="22"/>
        <v>0</v>
      </c>
      <c r="AC58" s="516">
        <f t="shared" si="22"/>
        <v>0</v>
      </c>
      <c r="AD58" s="516">
        <f t="shared" si="22"/>
        <v>0</v>
      </c>
      <c r="AE58" s="516">
        <f t="shared" si="22"/>
        <v>0</v>
      </c>
      <c r="AF58" s="516">
        <f t="shared" si="22"/>
        <v>0</v>
      </c>
      <c r="AG58" s="516">
        <f t="shared" si="22"/>
        <v>0</v>
      </c>
      <c r="AH58" s="516">
        <f t="shared" si="22"/>
        <v>0</v>
      </c>
      <c r="AI58" s="516">
        <f t="shared" si="22"/>
        <v>0</v>
      </c>
      <c r="AJ58" s="516">
        <f t="shared" si="22"/>
        <v>0</v>
      </c>
      <c r="AK58" s="516">
        <f t="shared" si="22"/>
        <v>0</v>
      </c>
      <c r="AL58" s="516">
        <f t="shared" si="22"/>
        <v>0</v>
      </c>
      <c r="AM58" s="516">
        <f t="shared" si="22"/>
        <v>0</v>
      </c>
      <c r="AN58" s="516">
        <f t="shared" si="22"/>
        <v>0</v>
      </c>
      <c r="AO58" s="516">
        <f t="shared" si="22"/>
        <v>0</v>
      </c>
      <c r="AP58" s="501"/>
      <c r="AQ58" s="505"/>
      <c r="AR58" s="505"/>
      <c r="AS58" s="505"/>
      <c r="AT58" s="505"/>
      <c r="AU58" s="505"/>
      <c r="AV58" s="510"/>
      <c r="AW58" s="452"/>
    </row>
    <row r="59" spans="1:49" hidden="1">
      <c r="A59" s="141"/>
      <c r="B59" s="517"/>
      <c r="C59" s="496" t="s">
        <v>1341</v>
      </c>
      <c r="D59" s="516">
        <f t="shared" ref="D59:AO59" si="23">IF(ISERR(GETPIVOTDATA("[Measures].[" &amp; MDContractCurrency &amp; "]",TRIMARANmonthly,"[Period].[Month]","[Period].[Month].&amp;["&amp;IF(MONTH(D$14)=1,YEAR(D$14)-1&amp;TEXT(12,"00"),YEAR(D$14)&amp;TEXT(MONTH(D$14)-1,"00"))&amp;"]","[Order].[Position Number]","[Order].[Position Number].&amp;["&amp;$B61&amp;"]")),0,GETPIVOTDATA("[Measures].[" &amp; MDContractCurrency &amp; "]",TRIMARANmonthly,"[Period].[Month]","[Period].[Month].&amp;["&amp;IF(MONTH(D$14)=1,YEAR(D$14)-1&amp;TEXT(12,"00"),YEAR(D$14)&amp;TEXT(MONTH(D$14)-1,"00"))&amp;"]","[Order].[Position Number]","[Order].[Position Number].&amp;["&amp;$B61&amp;"]"))</f>
        <v>0</v>
      </c>
      <c r="E59" s="516">
        <f t="shared" si="23"/>
        <v>0</v>
      </c>
      <c r="F59" s="516">
        <f t="shared" si="23"/>
        <v>0</v>
      </c>
      <c r="G59" s="516">
        <f t="shared" si="23"/>
        <v>0</v>
      </c>
      <c r="H59" s="516">
        <f t="shared" si="23"/>
        <v>0</v>
      </c>
      <c r="I59" s="516">
        <f t="shared" si="23"/>
        <v>0</v>
      </c>
      <c r="J59" s="516">
        <f t="shared" si="23"/>
        <v>0</v>
      </c>
      <c r="K59" s="516">
        <f t="shared" si="23"/>
        <v>0</v>
      </c>
      <c r="L59" s="516">
        <f t="shared" si="23"/>
        <v>0</v>
      </c>
      <c r="M59" s="516">
        <f t="shared" si="23"/>
        <v>0</v>
      </c>
      <c r="N59" s="516">
        <f t="shared" si="23"/>
        <v>0</v>
      </c>
      <c r="O59" s="516">
        <f t="shared" si="23"/>
        <v>0</v>
      </c>
      <c r="P59" s="516">
        <f t="shared" si="23"/>
        <v>0</v>
      </c>
      <c r="Q59" s="516">
        <f t="shared" si="23"/>
        <v>0</v>
      </c>
      <c r="R59" s="516">
        <f t="shared" si="23"/>
        <v>0</v>
      </c>
      <c r="S59" s="516">
        <f t="shared" si="23"/>
        <v>0</v>
      </c>
      <c r="T59" s="516">
        <f t="shared" si="23"/>
        <v>0</v>
      </c>
      <c r="U59" s="516">
        <f t="shared" si="23"/>
        <v>0</v>
      </c>
      <c r="V59" s="516">
        <f t="shared" si="23"/>
        <v>0</v>
      </c>
      <c r="W59" s="516">
        <f t="shared" si="23"/>
        <v>0</v>
      </c>
      <c r="X59" s="516">
        <f t="shared" si="23"/>
        <v>0</v>
      </c>
      <c r="Y59" s="516">
        <f t="shared" si="23"/>
        <v>0</v>
      </c>
      <c r="Z59" s="516">
        <f t="shared" si="23"/>
        <v>0</v>
      </c>
      <c r="AA59" s="516">
        <f t="shared" si="23"/>
        <v>0</v>
      </c>
      <c r="AB59" s="516">
        <f t="shared" si="23"/>
        <v>0</v>
      </c>
      <c r="AC59" s="516">
        <f t="shared" si="23"/>
        <v>0</v>
      </c>
      <c r="AD59" s="516">
        <f t="shared" si="23"/>
        <v>0</v>
      </c>
      <c r="AE59" s="516">
        <f t="shared" si="23"/>
        <v>0</v>
      </c>
      <c r="AF59" s="516">
        <f t="shared" si="23"/>
        <v>0</v>
      </c>
      <c r="AG59" s="516">
        <f t="shared" si="23"/>
        <v>0</v>
      </c>
      <c r="AH59" s="516">
        <f t="shared" si="23"/>
        <v>0</v>
      </c>
      <c r="AI59" s="516">
        <f t="shared" si="23"/>
        <v>0</v>
      </c>
      <c r="AJ59" s="516">
        <f t="shared" si="23"/>
        <v>0</v>
      </c>
      <c r="AK59" s="516">
        <f t="shared" si="23"/>
        <v>0</v>
      </c>
      <c r="AL59" s="516">
        <f t="shared" si="23"/>
        <v>0</v>
      </c>
      <c r="AM59" s="516">
        <f t="shared" si="23"/>
        <v>0</v>
      </c>
      <c r="AN59" s="516">
        <f t="shared" si="23"/>
        <v>0</v>
      </c>
      <c r="AO59" s="516">
        <f t="shared" si="23"/>
        <v>0</v>
      </c>
      <c r="AP59" s="501"/>
      <c r="AQ59" s="505"/>
      <c r="AR59" s="505"/>
      <c r="AS59" s="505"/>
      <c r="AT59" s="505"/>
      <c r="AU59" s="505"/>
      <c r="AV59" s="510"/>
      <c r="AW59" s="452"/>
    </row>
    <row r="60" spans="1:49">
      <c r="A60" s="143"/>
      <c r="B60" s="483"/>
      <c r="C60" s="524"/>
      <c r="D60" s="501"/>
      <c r="E60" s="501"/>
      <c r="F60" s="501"/>
      <c r="G60" s="501"/>
      <c r="H60" s="501"/>
      <c r="I60" s="501"/>
      <c r="J60" s="501"/>
      <c r="K60" s="501"/>
      <c r="L60" s="501"/>
      <c r="M60" s="501"/>
      <c r="N60" s="501"/>
      <c r="O60" s="501"/>
      <c r="P60" s="501"/>
      <c r="Q60" s="501"/>
      <c r="R60" s="501"/>
      <c r="S60" s="501"/>
      <c r="T60" s="501"/>
      <c r="U60" s="501"/>
      <c r="V60" s="501"/>
      <c r="W60" s="501"/>
      <c r="X60" s="501"/>
      <c r="Y60" s="501"/>
      <c r="Z60" s="501"/>
      <c r="AA60" s="501"/>
      <c r="AB60" s="501"/>
      <c r="AC60" s="501"/>
      <c r="AD60" s="501"/>
      <c r="AE60" s="501"/>
      <c r="AF60" s="501"/>
      <c r="AG60" s="501"/>
      <c r="AH60" s="501"/>
      <c r="AI60" s="501"/>
      <c r="AJ60" s="501"/>
      <c r="AK60" s="501"/>
      <c r="AL60" s="501"/>
      <c r="AM60" s="501"/>
      <c r="AN60" s="501"/>
      <c r="AO60" s="501"/>
      <c r="AP60" s="501"/>
      <c r="AQ60" s="505"/>
      <c r="AR60" s="505"/>
      <c r="AS60" s="505"/>
      <c r="AT60" s="505"/>
      <c r="AU60" s="505"/>
      <c r="AV60" s="510"/>
      <c r="AW60" s="452"/>
    </row>
    <row r="61" spans="1:49">
      <c r="A61" s="1183" t="str">
        <f>'Delivery Calculation'!B16 &amp; CHAR(10) &amp; 'Delivery Calculation'!P16 &amp; " - " &amp; 'Delivery Calculation'!Q16</f>
        <v xml:space="preserve">0
 - </v>
      </c>
      <c r="B61" s="1180">
        <f>'Delivery Calculation'!A16</f>
        <v>0</v>
      </c>
      <c r="C61" s="499" t="s">
        <v>534</v>
      </c>
      <c r="D61" s="518">
        <f>'Delivery Calculation'!M197</f>
        <v>0</v>
      </c>
      <c r="E61" s="518">
        <f>'Delivery Calculation'!N197</f>
        <v>0</v>
      </c>
      <c r="F61" s="518">
        <f>'Delivery Calculation'!O197</f>
        <v>0</v>
      </c>
      <c r="G61" s="518">
        <f>'Delivery Calculation'!P197</f>
        <v>0</v>
      </c>
      <c r="H61" s="518">
        <f>'Delivery Calculation'!Q197</f>
        <v>0</v>
      </c>
      <c r="I61" s="518">
        <f>'Delivery Calculation'!R197</f>
        <v>0</v>
      </c>
      <c r="J61" s="518">
        <f>'Delivery Calculation'!S197</f>
        <v>0</v>
      </c>
      <c r="K61" s="518">
        <f>'Delivery Calculation'!T197</f>
        <v>0</v>
      </c>
      <c r="L61" s="518">
        <f>'Delivery Calculation'!U197</f>
        <v>0</v>
      </c>
      <c r="M61" s="518">
        <f>'Delivery Calculation'!V197</f>
        <v>0</v>
      </c>
      <c r="N61" s="518">
        <f>'Delivery Calculation'!W197</f>
        <v>0</v>
      </c>
      <c r="O61" s="518">
        <f>'Delivery Calculation'!X197</f>
        <v>0</v>
      </c>
      <c r="P61" s="518">
        <f>'Delivery Calculation'!Y197</f>
        <v>0</v>
      </c>
      <c r="Q61" s="518">
        <f>'Delivery Calculation'!Z197</f>
        <v>0</v>
      </c>
      <c r="R61" s="518">
        <f>'Delivery Calculation'!AA197</f>
        <v>0</v>
      </c>
      <c r="S61" s="518">
        <f>'Delivery Calculation'!AB197</f>
        <v>0</v>
      </c>
      <c r="T61" s="518">
        <f>'Delivery Calculation'!AC197</f>
        <v>0</v>
      </c>
      <c r="U61" s="518">
        <f>'Delivery Calculation'!AD197</f>
        <v>0</v>
      </c>
      <c r="V61" s="518">
        <f>'Delivery Calculation'!AE197</f>
        <v>0</v>
      </c>
      <c r="W61" s="518">
        <f>'Delivery Calculation'!AF197</f>
        <v>0</v>
      </c>
      <c r="X61" s="518">
        <f>'Delivery Calculation'!AG197</f>
        <v>0</v>
      </c>
      <c r="Y61" s="518">
        <f>'Delivery Calculation'!AH197</f>
        <v>0</v>
      </c>
      <c r="Z61" s="518">
        <f>'Delivery Calculation'!AI197</f>
        <v>0</v>
      </c>
      <c r="AA61" s="518">
        <f>'Delivery Calculation'!AJ197</f>
        <v>0</v>
      </c>
      <c r="AB61" s="518">
        <f>'Delivery Calculation'!AK197</f>
        <v>0</v>
      </c>
      <c r="AC61" s="518">
        <f>'Delivery Calculation'!AL197</f>
        <v>0</v>
      </c>
      <c r="AD61" s="518">
        <f>'Delivery Calculation'!AM197</f>
        <v>0</v>
      </c>
      <c r="AE61" s="518">
        <f>'Delivery Calculation'!AN197</f>
        <v>0</v>
      </c>
      <c r="AF61" s="518">
        <f>'Delivery Calculation'!AO197</f>
        <v>0</v>
      </c>
      <c r="AG61" s="518">
        <f>'Delivery Calculation'!AP197</f>
        <v>0</v>
      </c>
      <c r="AH61" s="518">
        <f>'Delivery Calculation'!AQ197</f>
        <v>0</v>
      </c>
      <c r="AI61" s="518">
        <f>'Delivery Calculation'!AR197</f>
        <v>0</v>
      </c>
      <c r="AJ61" s="518">
        <f>'Delivery Calculation'!AS197</f>
        <v>0</v>
      </c>
      <c r="AK61" s="518">
        <f>'Delivery Calculation'!AT197</f>
        <v>0</v>
      </c>
      <c r="AL61" s="518">
        <f>'Delivery Calculation'!AU197</f>
        <v>0</v>
      </c>
      <c r="AM61" s="518">
        <f>'Delivery Calculation'!AV197</f>
        <v>0</v>
      </c>
      <c r="AN61" s="518">
        <f>'Delivery Calculation'!AW197</f>
        <v>0</v>
      </c>
      <c r="AO61" s="518">
        <f>'Delivery Calculation'!AX197</f>
        <v>0</v>
      </c>
      <c r="AP61" s="501"/>
      <c r="AQ61" s="519">
        <f>IF(COUNTIF($D$15:$AO$15, TMDPeriodValueTypeReported)&gt;0, INDEX(D61:AO61,1,COUNTIF(D$15:$AO$15,TMDPeriodValueTypeReported)),0)</f>
        <v>0</v>
      </c>
      <c r="AR61" s="519"/>
      <c r="AS61" s="520">
        <f>'Delivery Calculation'!N16</f>
        <v>0</v>
      </c>
      <c r="AT61" s="519">
        <f>AQ61*'Delivery Calculation'!N16</f>
        <v>0</v>
      </c>
      <c r="AU61" s="521" t="s">
        <v>522</v>
      </c>
      <c r="AV61" s="510"/>
      <c r="AW61" s="452"/>
    </row>
    <row r="62" spans="1:49">
      <c r="A62" s="1184"/>
      <c r="B62" s="1181"/>
      <c r="C62" s="499" t="s">
        <v>535</v>
      </c>
      <c r="D62" s="509">
        <f>IF(D$15=TMDPeriodValueTypeForecast,IF('Delivery Calculation'!$H$16=TMDAllocationTandM,0,'Delivery Calculation'!M126),IF(MDReportingPeriod=TMDMonthly,D56,IF(MDReportingPeriod=TMDTwoweekly,D55,D54)))</f>
        <v>0</v>
      </c>
      <c r="E62" s="509">
        <f>IF(E$15=TMDPeriodValueTypeForecast,IF('Delivery Calculation'!$H$16=TMDAllocationTandM,0,'Delivery Calculation'!N126),IF(MDReportingPeriod=TMDMonthly,E56,IF(MDReportingPeriod=TMDTwoweekly,E55,E54)))</f>
        <v>0</v>
      </c>
      <c r="F62" s="509">
        <f>IF(F$15=TMDPeriodValueTypeForecast,IF('Delivery Calculation'!$H$16=TMDAllocationTandM,0,'Delivery Calculation'!O126),IF(MDReportingPeriod=TMDMonthly,F56,IF(MDReportingPeriod=TMDTwoweekly,F55,F54)))</f>
        <v>0</v>
      </c>
      <c r="G62" s="509">
        <f>IF(G$15=TMDPeriodValueTypeForecast,IF('Delivery Calculation'!$H$16=TMDAllocationTandM,0,'Delivery Calculation'!P126),IF(MDReportingPeriod=TMDMonthly,G56,IF(MDReportingPeriod=TMDTwoweekly,G55,G54)))</f>
        <v>0</v>
      </c>
      <c r="H62" s="509">
        <f>IF(H$15=TMDPeriodValueTypeForecast,IF('Delivery Calculation'!$H$16=TMDAllocationTandM,0,'Delivery Calculation'!Q126),IF(MDReportingPeriod=TMDMonthly,H56,IF(MDReportingPeriod=TMDTwoweekly,H55,H54)))</f>
        <v>0</v>
      </c>
      <c r="I62" s="509">
        <f>IF(I$15=TMDPeriodValueTypeForecast,IF('Delivery Calculation'!$H$16=TMDAllocationTandM,0,'Delivery Calculation'!R126),IF(MDReportingPeriod=TMDMonthly,I56,IF(MDReportingPeriod=TMDTwoweekly,I55,I54)))</f>
        <v>0</v>
      </c>
      <c r="J62" s="509">
        <f>IF(J$15=TMDPeriodValueTypeForecast,IF('Delivery Calculation'!$H$16=TMDAllocationTandM,0,'Delivery Calculation'!S126),IF(MDReportingPeriod=TMDMonthly,J56,IF(MDReportingPeriod=TMDTwoweekly,J55,J54)))</f>
        <v>0</v>
      </c>
      <c r="K62" s="509">
        <f>IF(K$15=TMDPeriodValueTypeForecast,IF('Delivery Calculation'!$H$16=TMDAllocationTandM,0,'Delivery Calculation'!T126),IF(MDReportingPeriod=TMDMonthly,K56,IF(MDReportingPeriod=TMDTwoweekly,K55,K54)))</f>
        <v>0</v>
      </c>
      <c r="L62" s="509">
        <f>IF(L$15=TMDPeriodValueTypeForecast,IF('Delivery Calculation'!$H$16=TMDAllocationTandM,0,'Delivery Calculation'!U126),IF(MDReportingPeriod=TMDMonthly,L56,IF(MDReportingPeriod=TMDTwoweekly,L55,L54)))</f>
        <v>0</v>
      </c>
      <c r="M62" s="509">
        <f>IF(M$15=TMDPeriodValueTypeForecast,IF('Delivery Calculation'!$H$16=TMDAllocationTandM,0,'Delivery Calculation'!V126),IF(MDReportingPeriod=TMDMonthly,M56,IF(MDReportingPeriod=TMDTwoweekly,M55,M54)))</f>
        <v>0</v>
      </c>
      <c r="N62" s="509">
        <f>IF(N$15=TMDPeriodValueTypeForecast,IF('Delivery Calculation'!$H$16=TMDAllocationTandM,0,'Delivery Calculation'!W126),IF(MDReportingPeriod=TMDMonthly,N56,IF(MDReportingPeriod=TMDTwoweekly,N55,N54)))</f>
        <v>0</v>
      </c>
      <c r="O62" s="509">
        <f>IF(O$15=TMDPeriodValueTypeForecast,IF('Delivery Calculation'!$H$16=TMDAllocationTandM,0,'Delivery Calculation'!X126),IF(MDReportingPeriod=TMDMonthly,O56,IF(MDReportingPeriod=TMDTwoweekly,O55,O54)))</f>
        <v>0</v>
      </c>
      <c r="P62" s="509">
        <f>IF(P$15=TMDPeriodValueTypeForecast,IF('Delivery Calculation'!$H$16=TMDAllocationTandM,0,'Delivery Calculation'!Y126),IF(MDReportingPeriod=TMDMonthly,P56,IF(MDReportingPeriod=TMDTwoweekly,P55,P54)))</f>
        <v>0</v>
      </c>
      <c r="Q62" s="509">
        <f>IF(Q$15=TMDPeriodValueTypeForecast,IF('Delivery Calculation'!$H$16=TMDAllocationTandM,0,'Delivery Calculation'!Z126),IF(MDReportingPeriod=TMDMonthly,Q56,IF(MDReportingPeriod=TMDTwoweekly,Q55,Q54)))</f>
        <v>0</v>
      </c>
      <c r="R62" s="509">
        <f>IF(R$15=TMDPeriodValueTypeForecast,IF('Delivery Calculation'!$H$16=TMDAllocationTandM,0,'Delivery Calculation'!AA126),IF(MDReportingPeriod=TMDMonthly,R56,IF(MDReportingPeriod=TMDTwoweekly,R55,R54)))</f>
        <v>0</v>
      </c>
      <c r="S62" s="509">
        <f>IF(S$15=TMDPeriodValueTypeForecast,IF('Delivery Calculation'!$H$16=TMDAllocationTandM,0,'Delivery Calculation'!AB126),IF(MDReportingPeriod=TMDMonthly,S56,IF(MDReportingPeriod=TMDTwoweekly,S55,S54)))</f>
        <v>0</v>
      </c>
      <c r="T62" s="509">
        <f>IF(T$15=TMDPeriodValueTypeForecast,IF('Delivery Calculation'!$H$16=TMDAllocationTandM,0,'Delivery Calculation'!AC126),IF(MDReportingPeriod=TMDMonthly,T56,IF(MDReportingPeriod=TMDTwoweekly,T55,T54)))</f>
        <v>0</v>
      </c>
      <c r="U62" s="509">
        <f>IF(U$15=TMDPeriodValueTypeForecast,IF('Delivery Calculation'!$H$16=TMDAllocationTandM,0,'Delivery Calculation'!AD126),IF(MDReportingPeriod=TMDMonthly,U56,IF(MDReportingPeriod=TMDTwoweekly,U55,U54)))</f>
        <v>0</v>
      </c>
      <c r="V62" s="509">
        <f>IF(V$15=TMDPeriodValueTypeForecast,IF('Delivery Calculation'!$H$16=TMDAllocationTandM,0,'Delivery Calculation'!AE126),IF(MDReportingPeriod=TMDMonthly,V56,IF(MDReportingPeriod=TMDTwoweekly,V55,V54)))</f>
        <v>0</v>
      </c>
      <c r="W62" s="509">
        <f>IF(W$15=TMDPeriodValueTypeForecast,IF('Delivery Calculation'!$H$16=TMDAllocationTandM,0,'Delivery Calculation'!AF126),IF(MDReportingPeriod=TMDMonthly,W56,IF(MDReportingPeriod=TMDTwoweekly,W55,W54)))</f>
        <v>0</v>
      </c>
      <c r="X62" s="509">
        <f>IF(X$15=TMDPeriodValueTypeForecast,IF('Delivery Calculation'!$H$16=TMDAllocationTandM,0,'Delivery Calculation'!AG126),IF(MDReportingPeriod=TMDMonthly,X56,IF(MDReportingPeriod=TMDTwoweekly,X55,X54)))</f>
        <v>0</v>
      </c>
      <c r="Y62" s="509">
        <f>IF(Y$15=TMDPeriodValueTypeForecast,IF('Delivery Calculation'!$H$16=TMDAllocationTandM,0,'Delivery Calculation'!AH126),IF(MDReportingPeriod=TMDMonthly,Y56,IF(MDReportingPeriod=TMDTwoweekly,Y55,Y54)))</f>
        <v>0</v>
      </c>
      <c r="Z62" s="509">
        <f>IF(Z$15=TMDPeriodValueTypeForecast,IF('Delivery Calculation'!$H$16=TMDAllocationTandM,0,'Delivery Calculation'!AI126),IF(MDReportingPeriod=TMDMonthly,Z56,IF(MDReportingPeriod=TMDTwoweekly,Z55,Z54)))</f>
        <v>0</v>
      </c>
      <c r="AA62" s="509">
        <f>IF(AA$15=TMDPeriodValueTypeForecast,IF('Delivery Calculation'!$H$16=TMDAllocationTandM,0,'Delivery Calculation'!AJ126),IF(MDReportingPeriod=TMDMonthly,AA56,IF(MDReportingPeriod=TMDTwoweekly,AA55,AA54)))</f>
        <v>0</v>
      </c>
      <c r="AB62" s="509">
        <f>IF(AB$15=TMDPeriodValueTypeForecast,IF('Delivery Calculation'!$H$16=TMDAllocationTandM,0,'Delivery Calculation'!AK126),IF(MDReportingPeriod=TMDMonthly,AB56,IF(MDReportingPeriod=TMDTwoweekly,AB55,AB54)))</f>
        <v>0</v>
      </c>
      <c r="AC62" s="509">
        <f>IF(AC$15=TMDPeriodValueTypeForecast,IF('Delivery Calculation'!$H$16=TMDAllocationTandM,0,'Delivery Calculation'!AL126),IF(MDReportingPeriod=TMDMonthly,AC56,IF(MDReportingPeriod=TMDTwoweekly,AC55,AC54)))</f>
        <v>0</v>
      </c>
      <c r="AD62" s="509">
        <f>IF(AD$15=TMDPeriodValueTypeForecast,IF('Delivery Calculation'!$H$16=TMDAllocationTandM,0,'Delivery Calculation'!AM126),IF(MDReportingPeriod=TMDMonthly,AD56,IF(MDReportingPeriod=TMDTwoweekly,AD55,AD54)))</f>
        <v>0</v>
      </c>
      <c r="AE62" s="509">
        <f>IF(AE$15=TMDPeriodValueTypeForecast,IF('Delivery Calculation'!$H$16=TMDAllocationTandM,0,'Delivery Calculation'!AN126),IF(MDReportingPeriod=TMDMonthly,AE56,IF(MDReportingPeriod=TMDTwoweekly,AE55,AE54)))</f>
        <v>0</v>
      </c>
      <c r="AF62" s="509">
        <f>IF(AF$15=TMDPeriodValueTypeForecast,IF('Delivery Calculation'!$H$16=TMDAllocationTandM,0,'Delivery Calculation'!AO126),IF(MDReportingPeriod=TMDMonthly,AF56,IF(MDReportingPeriod=TMDTwoweekly,AF55,AF54)))</f>
        <v>0</v>
      </c>
      <c r="AG62" s="509">
        <f>IF(AG$15=TMDPeriodValueTypeForecast,IF('Delivery Calculation'!$H$16=TMDAllocationTandM,0,'Delivery Calculation'!AP126),IF(MDReportingPeriod=TMDMonthly,AG56,IF(MDReportingPeriod=TMDTwoweekly,AG55,AG54)))</f>
        <v>0</v>
      </c>
      <c r="AH62" s="509">
        <f>IF(AH$15=TMDPeriodValueTypeForecast,IF('Delivery Calculation'!$H$16=TMDAllocationTandM,0,'Delivery Calculation'!AQ126),IF(MDReportingPeriod=TMDMonthly,AH56,IF(MDReportingPeriod=TMDTwoweekly,AH55,AH54)))</f>
        <v>0</v>
      </c>
      <c r="AI62" s="509">
        <f>IF(AI$15=TMDPeriodValueTypeForecast,IF('Delivery Calculation'!$H$16=TMDAllocationTandM,0,'Delivery Calculation'!AR126),IF(MDReportingPeriod=TMDMonthly,AI56,IF(MDReportingPeriod=TMDTwoweekly,AI55,AI54)))</f>
        <v>0</v>
      </c>
      <c r="AJ62" s="509">
        <f>IF(AJ$15=TMDPeriodValueTypeForecast,IF('Delivery Calculation'!$H$16=TMDAllocationTandM,0,'Delivery Calculation'!AS126),IF(MDReportingPeriod=TMDMonthly,AJ56,IF(MDReportingPeriod=TMDTwoweekly,AJ55,AJ54)))</f>
        <v>0</v>
      </c>
      <c r="AK62" s="509">
        <f>IF(AK$15=TMDPeriodValueTypeForecast,IF('Delivery Calculation'!$H$16=TMDAllocationTandM,0,'Delivery Calculation'!AT126),IF(MDReportingPeriod=TMDMonthly,AK56,IF(MDReportingPeriod=TMDTwoweekly,AK55,AK54)))</f>
        <v>0</v>
      </c>
      <c r="AL62" s="509">
        <f>IF(AL$15=TMDPeriodValueTypeForecast,IF('Delivery Calculation'!$H$16=TMDAllocationTandM,0,'Delivery Calculation'!AU126),IF(MDReportingPeriod=TMDMonthly,AL56,IF(MDReportingPeriod=TMDTwoweekly,AL55,AL54)))</f>
        <v>0</v>
      </c>
      <c r="AM62" s="509">
        <f>IF(AM$15=TMDPeriodValueTypeForecast,IF('Delivery Calculation'!$H$16=TMDAllocationTandM,0,'Delivery Calculation'!AV126),IF(MDReportingPeriod=TMDMonthly,AM56,IF(MDReportingPeriod=TMDTwoweekly,AM55,AM54)))</f>
        <v>0</v>
      </c>
      <c r="AN62" s="509">
        <f>IF(AN$15=TMDPeriodValueTypeForecast,IF('Delivery Calculation'!$H$16=TMDAllocationTandM,0,'Delivery Calculation'!AW126),IF(MDReportingPeriod=TMDMonthly,AN56,IF(MDReportingPeriod=TMDTwoweekly,AN55,AN54)))</f>
        <v>0</v>
      </c>
      <c r="AO62" s="509">
        <f>IF(AO$15=TMDPeriodValueTypeForecast,IF('Delivery Calculation'!$H$16=TMDAllocationTandM,0,'Delivery Calculation'!AX126),IF(MDReportingPeriod=TMDMonthly,AO56,IF(MDReportingPeriod=TMDTwoweekly,AO55,AO54)))</f>
        <v>0</v>
      </c>
      <c r="AP62" s="501"/>
      <c r="AQ62" s="505">
        <f>SUMIF($D$15:$AO$15,TMDPeriodValueTypeReported,D62:AO62)</f>
        <v>0</v>
      </c>
      <c r="AR62" s="505">
        <f>SUMIF($D$15:$AO$15,TMDPeriodValueTypeForecast,D62:AO62)</f>
        <v>0</v>
      </c>
      <c r="AS62" s="523">
        <f>'Delivery Calculation'!J16</f>
        <v>0</v>
      </c>
      <c r="AT62" s="505">
        <f>AS62-(AQ62+AR62)</f>
        <v>0</v>
      </c>
      <c r="AU62" s="505"/>
      <c r="AV62" s="510"/>
      <c r="AW62" s="452"/>
    </row>
    <row r="63" spans="1:49">
      <c r="A63" s="1184"/>
      <c r="B63" s="1181"/>
      <c r="C63" s="499" t="s">
        <v>536</v>
      </c>
      <c r="D63" s="509">
        <f>IF(D$15=TMDPeriodValueTypeForecast,IF('Delivery Calculation'!$H$16=TMDAllocationTandM,0,'Delivery Calculation'!M90),IF(MDReportingPeriod=TMDMonthly,D59,IF(MDReportingPeriod=TMDTwoweekly,D58,D57)))</f>
        <v>0</v>
      </c>
      <c r="E63" s="509">
        <f>IF(E$15=TMDPeriodValueTypeForecast,IF('Delivery Calculation'!$H$16=TMDAllocationTandM,0,'Delivery Calculation'!N90),IF(MDReportingPeriod=TMDMonthly,E59,IF(MDReportingPeriod=TMDTwoweekly,E58,E57)))</f>
        <v>0</v>
      </c>
      <c r="F63" s="509">
        <f>IF(F$15=TMDPeriodValueTypeForecast,IF('Delivery Calculation'!$H$16=TMDAllocationTandM,0,'Delivery Calculation'!O90),IF(MDReportingPeriod=TMDMonthly,F59,IF(MDReportingPeriod=TMDTwoweekly,F58,F57)))</f>
        <v>0</v>
      </c>
      <c r="G63" s="509">
        <f>IF(G$15=TMDPeriodValueTypeForecast,IF('Delivery Calculation'!$H$16=TMDAllocationTandM,0,'Delivery Calculation'!P90),IF(MDReportingPeriod=TMDMonthly,G59,IF(MDReportingPeriod=TMDTwoweekly,G58,G57)))</f>
        <v>0</v>
      </c>
      <c r="H63" s="509">
        <f>IF(H$15=TMDPeriodValueTypeForecast,IF('Delivery Calculation'!$H$16=TMDAllocationTandM,0,'Delivery Calculation'!Q90),IF(MDReportingPeriod=TMDMonthly,H59,IF(MDReportingPeriod=TMDTwoweekly,H58,H57)))</f>
        <v>0</v>
      </c>
      <c r="I63" s="509">
        <f>IF(I$15=TMDPeriodValueTypeForecast,IF('Delivery Calculation'!$H$16=TMDAllocationTandM,0,'Delivery Calculation'!R90),IF(MDReportingPeriod=TMDMonthly,I59,IF(MDReportingPeriod=TMDTwoweekly,I58,I57)))</f>
        <v>0</v>
      </c>
      <c r="J63" s="509">
        <f>IF(J$15=TMDPeriodValueTypeForecast,IF('Delivery Calculation'!$H$16=TMDAllocationTandM,0,'Delivery Calculation'!S90),IF(MDReportingPeriod=TMDMonthly,J59,IF(MDReportingPeriod=TMDTwoweekly,J58,J57)))</f>
        <v>0</v>
      </c>
      <c r="K63" s="509">
        <f>IF(K$15=TMDPeriodValueTypeForecast,IF('Delivery Calculation'!$H$16=TMDAllocationTandM,0,'Delivery Calculation'!T90),IF(MDReportingPeriod=TMDMonthly,K59,IF(MDReportingPeriod=TMDTwoweekly,K58,K57)))</f>
        <v>0</v>
      </c>
      <c r="L63" s="509">
        <f>IF(L$15=TMDPeriodValueTypeForecast,IF('Delivery Calculation'!$H$16=TMDAllocationTandM,0,'Delivery Calculation'!U90),IF(MDReportingPeriod=TMDMonthly,L59,IF(MDReportingPeriod=TMDTwoweekly,L58,L57)))</f>
        <v>0</v>
      </c>
      <c r="M63" s="509">
        <f>IF(M$15=TMDPeriodValueTypeForecast,IF('Delivery Calculation'!$H$16=TMDAllocationTandM,0,'Delivery Calculation'!V90),IF(MDReportingPeriod=TMDMonthly,M59,IF(MDReportingPeriod=TMDTwoweekly,M58,M57)))</f>
        <v>0</v>
      </c>
      <c r="N63" s="509">
        <f>IF(N$15=TMDPeriodValueTypeForecast,IF('Delivery Calculation'!$H$16=TMDAllocationTandM,0,'Delivery Calculation'!W90),IF(MDReportingPeriod=TMDMonthly,N59,IF(MDReportingPeriod=TMDTwoweekly,N58,N57)))</f>
        <v>0</v>
      </c>
      <c r="O63" s="509">
        <f>IF(O$15=TMDPeriodValueTypeForecast,IF('Delivery Calculation'!$H$16=TMDAllocationTandM,0,'Delivery Calculation'!X90),IF(MDReportingPeriod=TMDMonthly,O59,IF(MDReportingPeriod=TMDTwoweekly,O58,O57)))</f>
        <v>0</v>
      </c>
      <c r="P63" s="509">
        <f>IF(P$15=TMDPeriodValueTypeForecast,IF('Delivery Calculation'!$H$16=TMDAllocationTandM,0,'Delivery Calculation'!Y90),IF(MDReportingPeriod=TMDMonthly,P59,IF(MDReportingPeriod=TMDTwoweekly,P58,P57)))</f>
        <v>0</v>
      </c>
      <c r="Q63" s="509">
        <f>IF(Q$15=TMDPeriodValueTypeForecast,IF('Delivery Calculation'!$H$16=TMDAllocationTandM,0,'Delivery Calculation'!Z90),IF(MDReportingPeriod=TMDMonthly,Q59,IF(MDReportingPeriod=TMDTwoweekly,Q58,Q57)))</f>
        <v>0</v>
      </c>
      <c r="R63" s="509">
        <f>IF(R$15=TMDPeriodValueTypeForecast,IF('Delivery Calculation'!$H$16=TMDAllocationTandM,0,'Delivery Calculation'!AA90),IF(MDReportingPeriod=TMDMonthly,R59,IF(MDReportingPeriod=TMDTwoweekly,R58,R57)))</f>
        <v>0</v>
      </c>
      <c r="S63" s="509">
        <f>IF(S$15=TMDPeriodValueTypeForecast,IF('Delivery Calculation'!$H$16=TMDAllocationTandM,0,'Delivery Calculation'!AB90),IF(MDReportingPeriod=TMDMonthly,S59,IF(MDReportingPeriod=TMDTwoweekly,S58,S57)))</f>
        <v>0</v>
      </c>
      <c r="T63" s="509">
        <f>IF(T$15=TMDPeriodValueTypeForecast,IF('Delivery Calculation'!$H$16=TMDAllocationTandM,0,'Delivery Calculation'!AC90),IF(MDReportingPeriod=TMDMonthly,T59,IF(MDReportingPeriod=TMDTwoweekly,T58,T57)))</f>
        <v>0</v>
      </c>
      <c r="U63" s="509">
        <f>IF(U$15=TMDPeriodValueTypeForecast,IF('Delivery Calculation'!$H$16=TMDAllocationTandM,0,'Delivery Calculation'!AD90),IF(MDReportingPeriod=TMDMonthly,U59,IF(MDReportingPeriod=TMDTwoweekly,U58,U57)))</f>
        <v>0</v>
      </c>
      <c r="V63" s="509">
        <f>IF(V$15=TMDPeriodValueTypeForecast,IF('Delivery Calculation'!$H$16=TMDAllocationTandM,0,'Delivery Calculation'!AE90),IF(MDReportingPeriod=TMDMonthly,V59,IF(MDReportingPeriod=TMDTwoweekly,V58,V57)))</f>
        <v>0</v>
      </c>
      <c r="W63" s="509">
        <f>IF(W$15=TMDPeriodValueTypeForecast,IF('Delivery Calculation'!$H$16=TMDAllocationTandM,0,'Delivery Calculation'!AF90),IF(MDReportingPeriod=TMDMonthly,W59,IF(MDReportingPeriod=TMDTwoweekly,W58,W57)))</f>
        <v>0</v>
      </c>
      <c r="X63" s="509">
        <f>IF(X$15=TMDPeriodValueTypeForecast,IF('Delivery Calculation'!$H$16=TMDAllocationTandM,0,'Delivery Calculation'!AG90),IF(MDReportingPeriod=TMDMonthly,X59,IF(MDReportingPeriod=TMDTwoweekly,X58,X57)))</f>
        <v>0</v>
      </c>
      <c r="Y63" s="509">
        <f>IF(Y$15=TMDPeriodValueTypeForecast,IF('Delivery Calculation'!$H$16=TMDAllocationTandM,0,'Delivery Calculation'!AH90),IF(MDReportingPeriod=TMDMonthly,Y59,IF(MDReportingPeriod=TMDTwoweekly,Y58,Y57)))</f>
        <v>0</v>
      </c>
      <c r="Z63" s="509">
        <f>IF(Z$15=TMDPeriodValueTypeForecast,IF('Delivery Calculation'!$H$16=TMDAllocationTandM,0,'Delivery Calculation'!AI90),IF(MDReportingPeriod=TMDMonthly,Z59,IF(MDReportingPeriod=TMDTwoweekly,Z58,Z57)))</f>
        <v>0</v>
      </c>
      <c r="AA63" s="509">
        <f>IF(AA$15=TMDPeriodValueTypeForecast,IF('Delivery Calculation'!$H$16=TMDAllocationTandM,0,'Delivery Calculation'!AJ90),IF(MDReportingPeriod=TMDMonthly,AA59,IF(MDReportingPeriod=TMDTwoweekly,AA58,AA57)))</f>
        <v>0</v>
      </c>
      <c r="AB63" s="509">
        <f>IF(AB$15=TMDPeriodValueTypeForecast,IF('Delivery Calculation'!$H$16=TMDAllocationTandM,0,'Delivery Calculation'!AK90),IF(MDReportingPeriod=TMDMonthly,AB59,IF(MDReportingPeriod=TMDTwoweekly,AB58,AB57)))</f>
        <v>0</v>
      </c>
      <c r="AC63" s="509">
        <f>IF(AC$15=TMDPeriodValueTypeForecast,IF('Delivery Calculation'!$H$16=TMDAllocationTandM,0,'Delivery Calculation'!AL90),IF(MDReportingPeriod=TMDMonthly,AC59,IF(MDReportingPeriod=TMDTwoweekly,AC58,AC57)))</f>
        <v>0</v>
      </c>
      <c r="AD63" s="509">
        <f>IF(AD$15=TMDPeriodValueTypeForecast,IF('Delivery Calculation'!$H$16=TMDAllocationTandM,0,'Delivery Calculation'!AM90),IF(MDReportingPeriod=TMDMonthly,AD59,IF(MDReportingPeriod=TMDTwoweekly,AD58,AD57)))</f>
        <v>0</v>
      </c>
      <c r="AE63" s="509">
        <f>IF(AE$15=TMDPeriodValueTypeForecast,IF('Delivery Calculation'!$H$16=TMDAllocationTandM,0,'Delivery Calculation'!AN90),IF(MDReportingPeriod=TMDMonthly,AE59,IF(MDReportingPeriod=TMDTwoweekly,AE58,AE57)))</f>
        <v>0</v>
      </c>
      <c r="AF63" s="509">
        <f>IF(AF$15=TMDPeriodValueTypeForecast,IF('Delivery Calculation'!$H$16=TMDAllocationTandM,0,'Delivery Calculation'!AO90),IF(MDReportingPeriod=TMDMonthly,AF59,IF(MDReportingPeriod=TMDTwoweekly,AF58,AF57)))</f>
        <v>0</v>
      </c>
      <c r="AG63" s="509">
        <f>IF(AG$15=TMDPeriodValueTypeForecast,IF('Delivery Calculation'!$H$16=TMDAllocationTandM,0,'Delivery Calculation'!AP90),IF(MDReportingPeriod=TMDMonthly,AG59,IF(MDReportingPeriod=TMDTwoweekly,AG58,AG57)))</f>
        <v>0</v>
      </c>
      <c r="AH63" s="509">
        <f>IF(AH$15=TMDPeriodValueTypeForecast,IF('Delivery Calculation'!$H$16=TMDAllocationTandM,0,'Delivery Calculation'!AQ90),IF(MDReportingPeriod=TMDMonthly,AH59,IF(MDReportingPeriod=TMDTwoweekly,AH58,AH57)))</f>
        <v>0</v>
      </c>
      <c r="AI63" s="509">
        <f>IF(AI$15=TMDPeriodValueTypeForecast,IF('Delivery Calculation'!$H$16=TMDAllocationTandM,0,'Delivery Calculation'!AR90),IF(MDReportingPeriod=TMDMonthly,AI59,IF(MDReportingPeriod=TMDTwoweekly,AI58,AI57)))</f>
        <v>0</v>
      </c>
      <c r="AJ63" s="509">
        <f>IF(AJ$15=TMDPeriodValueTypeForecast,IF('Delivery Calculation'!$H$16=TMDAllocationTandM,0,'Delivery Calculation'!AS90),IF(MDReportingPeriod=TMDMonthly,AJ59,IF(MDReportingPeriod=TMDTwoweekly,AJ58,AJ57)))</f>
        <v>0</v>
      </c>
      <c r="AK63" s="509">
        <f>IF(AK$15=TMDPeriodValueTypeForecast,IF('Delivery Calculation'!$H$16=TMDAllocationTandM,0,'Delivery Calculation'!AT90),IF(MDReportingPeriod=TMDMonthly,AK59,IF(MDReportingPeriod=TMDTwoweekly,AK58,AK57)))</f>
        <v>0</v>
      </c>
      <c r="AL63" s="509">
        <f>IF(AL$15=TMDPeriodValueTypeForecast,IF('Delivery Calculation'!$H$16=TMDAllocationTandM,0,'Delivery Calculation'!AU90),IF(MDReportingPeriod=TMDMonthly,AL59,IF(MDReportingPeriod=TMDTwoweekly,AL58,AL57)))</f>
        <v>0</v>
      </c>
      <c r="AM63" s="509">
        <f>IF(AM$15=TMDPeriodValueTypeForecast,IF('Delivery Calculation'!$H$16=TMDAllocationTandM,0,'Delivery Calculation'!AV90),IF(MDReportingPeriod=TMDMonthly,AM59,IF(MDReportingPeriod=TMDTwoweekly,AM58,AM57)))</f>
        <v>0</v>
      </c>
      <c r="AN63" s="509">
        <f>IF(AN$15=TMDPeriodValueTypeForecast,IF('Delivery Calculation'!$H$16=TMDAllocationTandM,0,'Delivery Calculation'!AW90),IF(MDReportingPeriod=TMDMonthly,AN59,IF(MDReportingPeriod=TMDTwoweekly,AN58,AN57)))</f>
        <v>0</v>
      </c>
      <c r="AO63" s="509">
        <f>IF(AO$15=TMDPeriodValueTypeForecast,IF('Delivery Calculation'!$H$16=TMDAllocationTandM,0,'Delivery Calculation'!AX90),IF(MDReportingPeriod=TMDMonthly,AO59,IF(MDReportingPeriod=TMDTwoweekly,AO58,AO57)))</f>
        <v>0</v>
      </c>
      <c r="AP63" s="501"/>
      <c r="AQ63" s="505">
        <f>SUMIF($D$15:$AO$15,TMDPeriodValueTypeReported,D63:AO63)</f>
        <v>0</v>
      </c>
      <c r="AR63" s="505">
        <f>SUMIF($D$15:$AO$15,TMDPeriodValueTypeForecast,D63:AO63)</f>
        <v>0</v>
      </c>
      <c r="AS63" s="523">
        <f>'Delivery Calculation'!I16</f>
        <v>0</v>
      </c>
      <c r="AT63" s="505">
        <f>AS63-(AQ63+AR63)</f>
        <v>0</v>
      </c>
      <c r="AU63" s="505"/>
      <c r="AV63" s="510"/>
      <c r="AW63" s="452"/>
    </row>
    <row r="64" spans="1:49">
      <c r="A64" s="1185"/>
      <c r="B64" s="1182"/>
      <c r="C64" s="499" t="s">
        <v>537</v>
      </c>
      <c r="D64" s="509"/>
      <c r="E64" s="509"/>
      <c r="F64" s="509"/>
      <c r="G64" s="509"/>
      <c r="H64" s="509"/>
      <c r="I64" s="509"/>
      <c r="J64" s="509"/>
      <c r="K64" s="509"/>
      <c r="L64" s="509"/>
      <c r="M64" s="509"/>
      <c r="N64" s="509"/>
      <c r="O64" s="509"/>
      <c r="P64" s="509"/>
      <c r="Q64" s="509"/>
      <c r="R64" s="509"/>
      <c r="S64" s="509"/>
      <c r="T64" s="509"/>
      <c r="U64" s="509"/>
      <c r="V64" s="509"/>
      <c r="W64" s="509"/>
      <c r="X64" s="509"/>
      <c r="Y64" s="509"/>
      <c r="Z64" s="509"/>
      <c r="AA64" s="509"/>
      <c r="AB64" s="509"/>
      <c r="AC64" s="509"/>
      <c r="AD64" s="509"/>
      <c r="AE64" s="509"/>
      <c r="AF64" s="509"/>
      <c r="AG64" s="509"/>
      <c r="AH64" s="509"/>
      <c r="AI64" s="509"/>
      <c r="AJ64" s="509"/>
      <c r="AK64" s="509"/>
      <c r="AL64" s="509"/>
      <c r="AM64" s="509"/>
      <c r="AN64" s="509"/>
      <c r="AO64" s="509"/>
      <c r="AP64" s="501"/>
      <c r="AQ64" s="505">
        <f>SUMIF($D$15:$AO$15,TMDPeriodValueTypeReported,D64:AO64)</f>
        <v>0</v>
      </c>
      <c r="AR64" s="505">
        <f>SUMIF($D$15:$AO$15,TMDPeriodValueTypeForecast,D64:AO64)</f>
        <v>0</v>
      </c>
      <c r="AS64" s="505"/>
      <c r="AT64" s="505">
        <f>AQ64+AR64</f>
        <v>0</v>
      </c>
      <c r="AU64" s="505"/>
      <c r="AV64" s="510"/>
      <c r="AW64" s="452"/>
    </row>
    <row r="65" spans="1:49" hidden="1">
      <c r="A65" s="143"/>
      <c r="B65" s="483"/>
      <c r="C65" s="496" t="s">
        <v>1339</v>
      </c>
      <c r="D65" s="516">
        <f t="shared" ref="D65:AO65" si="24">IF(ISERR(GETPIVOTDATA("[Measures].[Hours]",TRIMARANweekly,"[Order].[Position Number]","[Order].[Position Number].&amp;[" &amp; $B72 &amp; "]","[Period].[Week]","[Period].[Week].&amp;[" &amp; YEAR(D$14-7) &amp; TEXT(WEEKNUM(D$14-7),"00") &amp; "]")),0,GETPIVOTDATA("[Measures].[Hours]",TRIMARANweekly,"[Order].[Position Number]","[Order].[Position Number].&amp;[" &amp; $B72 &amp; "]","[Period].[Week]","[Period].[Week].&amp;[" &amp; YEAR(D$14-7) &amp; TEXT(WEEKNUM(D$14-7),"00") &amp; "]"))</f>
        <v>0</v>
      </c>
      <c r="E65" s="516">
        <f t="shared" si="24"/>
        <v>0</v>
      </c>
      <c r="F65" s="516">
        <f t="shared" si="24"/>
        <v>0</v>
      </c>
      <c r="G65" s="516">
        <f t="shared" si="24"/>
        <v>0</v>
      </c>
      <c r="H65" s="516">
        <f t="shared" si="24"/>
        <v>0</v>
      </c>
      <c r="I65" s="516">
        <f t="shared" si="24"/>
        <v>0</v>
      </c>
      <c r="J65" s="516">
        <f t="shared" si="24"/>
        <v>0</v>
      </c>
      <c r="K65" s="516">
        <f t="shared" si="24"/>
        <v>0</v>
      </c>
      <c r="L65" s="516">
        <f t="shared" si="24"/>
        <v>0</v>
      </c>
      <c r="M65" s="516">
        <f t="shared" si="24"/>
        <v>0</v>
      </c>
      <c r="N65" s="516">
        <f t="shared" si="24"/>
        <v>0</v>
      </c>
      <c r="O65" s="516">
        <f t="shared" si="24"/>
        <v>0</v>
      </c>
      <c r="P65" s="516">
        <f t="shared" si="24"/>
        <v>0</v>
      </c>
      <c r="Q65" s="516">
        <f t="shared" si="24"/>
        <v>0</v>
      </c>
      <c r="R65" s="516">
        <f t="shared" si="24"/>
        <v>0</v>
      </c>
      <c r="S65" s="516">
        <f t="shared" si="24"/>
        <v>0</v>
      </c>
      <c r="T65" s="516">
        <f t="shared" si="24"/>
        <v>0</v>
      </c>
      <c r="U65" s="516">
        <f t="shared" si="24"/>
        <v>0</v>
      </c>
      <c r="V65" s="516">
        <f t="shared" si="24"/>
        <v>0</v>
      </c>
      <c r="W65" s="516">
        <f t="shared" si="24"/>
        <v>0</v>
      </c>
      <c r="X65" s="516">
        <f t="shared" si="24"/>
        <v>0</v>
      </c>
      <c r="Y65" s="516">
        <f t="shared" si="24"/>
        <v>0</v>
      </c>
      <c r="Z65" s="516">
        <f t="shared" si="24"/>
        <v>0</v>
      </c>
      <c r="AA65" s="516">
        <f t="shared" si="24"/>
        <v>0</v>
      </c>
      <c r="AB65" s="516">
        <f t="shared" si="24"/>
        <v>0</v>
      </c>
      <c r="AC65" s="516">
        <f t="shared" si="24"/>
        <v>0</v>
      </c>
      <c r="AD65" s="516">
        <f t="shared" si="24"/>
        <v>0</v>
      </c>
      <c r="AE65" s="516">
        <f t="shared" si="24"/>
        <v>0</v>
      </c>
      <c r="AF65" s="516">
        <f t="shared" si="24"/>
        <v>0</v>
      </c>
      <c r="AG65" s="516">
        <f t="shared" si="24"/>
        <v>0</v>
      </c>
      <c r="AH65" s="516">
        <f t="shared" si="24"/>
        <v>0</v>
      </c>
      <c r="AI65" s="516">
        <f t="shared" si="24"/>
        <v>0</v>
      </c>
      <c r="AJ65" s="516">
        <f t="shared" si="24"/>
        <v>0</v>
      </c>
      <c r="AK65" s="516">
        <f t="shared" si="24"/>
        <v>0</v>
      </c>
      <c r="AL65" s="516">
        <f t="shared" si="24"/>
        <v>0</v>
      </c>
      <c r="AM65" s="516">
        <f t="shared" si="24"/>
        <v>0</v>
      </c>
      <c r="AN65" s="516">
        <f t="shared" si="24"/>
        <v>0</v>
      </c>
      <c r="AO65" s="516">
        <f t="shared" si="24"/>
        <v>0</v>
      </c>
      <c r="AP65" s="501"/>
      <c r="AQ65" s="505"/>
      <c r="AR65" s="505"/>
      <c r="AS65" s="505"/>
      <c r="AT65" s="505"/>
      <c r="AU65" s="505"/>
      <c r="AV65" s="510"/>
      <c r="AW65" s="452"/>
    </row>
    <row r="66" spans="1:49" hidden="1">
      <c r="A66" s="143"/>
      <c r="B66" s="483"/>
      <c r="C66" s="496" t="s">
        <v>1340</v>
      </c>
      <c r="D66" s="516">
        <f t="shared" ref="D66:AO66" si="25">IF(ISERR(GETPIVOTDATA("[Measures].[Hours]",TRIMARANweekly,"[Order].[Position Number]","[Order].[Position Number].&amp;[" &amp; $B72 &amp; "]","[Period].[Week]","[Period].[Week].&amp;[" &amp; YEAR(D$14-14) &amp; TEXT(WEEKNUM(D$14-14),"00") &amp; "]")),0,GETPIVOTDATA("[Measures].[Hours]",TRIMARANweekly,"[Order].[Position Number]","[Order].[Position Number].&amp;[" &amp; $B72 &amp; "]","[Period].[Week]","[Period].[Week].&amp;[" &amp; YEAR(D$14-14) &amp; TEXT(WEEKNUM(D$14-14),"00") &amp; "]"))+D65</f>
        <v>0</v>
      </c>
      <c r="E66" s="516">
        <f t="shared" si="25"/>
        <v>0</v>
      </c>
      <c r="F66" s="516">
        <f t="shared" si="25"/>
        <v>0</v>
      </c>
      <c r="G66" s="516">
        <f t="shared" si="25"/>
        <v>0</v>
      </c>
      <c r="H66" s="516">
        <f t="shared" si="25"/>
        <v>0</v>
      </c>
      <c r="I66" s="516">
        <f t="shared" si="25"/>
        <v>0</v>
      </c>
      <c r="J66" s="516">
        <f t="shared" si="25"/>
        <v>0</v>
      </c>
      <c r="K66" s="516">
        <f t="shared" si="25"/>
        <v>0</v>
      </c>
      <c r="L66" s="516">
        <f t="shared" si="25"/>
        <v>0</v>
      </c>
      <c r="M66" s="516">
        <f t="shared" si="25"/>
        <v>0</v>
      </c>
      <c r="N66" s="516">
        <f t="shared" si="25"/>
        <v>0</v>
      </c>
      <c r="O66" s="516">
        <f t="shared" si="25"/>
        <v>0</v>
      </c>
      <c r="P66" s="516">
        <f t="shared" si="25"/>
        <v>0</v>
      </c>
      <c r="Q66" s="516">
        <f t="shared" si="25"/>
        <v>0</v>
      </c>
      <c r="R66" s="516">
        <f t="shared" si="25"/>
        <v>0</v>
      </c>
      <c r="S66" s="516">
        <f t="shared" si="25"/>
        <v>0</v>
      </c>
      <c r="T66" s="516">
        <f t="shared" si="25"/>
        <v>0</v>
      </c>
      <c r="U66" s="516">
        <f t="shared" si="25"/>
        <v>0</v>
      </c>
      <c r="V66" s="516">
        <f t="shared" si="25"/>
        <v>0</v>
      </c>
      <c r="W66" s="516">
        <f t="shared" si="25"/>
        <v>0</v>
      </c>
      <c r="X66" s="516">
        <f t="shared" si="25"/>
        <v>0</v>
      </c>
      <c r="Y66" s="516">
        <f t="shared" si="25"/>
        <v>0</v>
      </c>
      <c r="Z66" s="516">
        <f t="shared" si="25"/>
        <v>0</v>
      </c>
      <c r="AA66" s="516">
        <f t="shared" si="25"/>
        <v>0</v>
      </c>
      <c r="AB66" s="516">
        <f t="shared" si="25"/>
        <v>0</v>
      </c>
      <c r="AC66" s="516">
        <f t="shared" si="25"/>
        <v>0</v>
      </c>
      <c r="AD66" s="516">
        <f t="shared" si="25"/>
        <v>0</v>
      </c>
      <c r="AE66" s="516">
        <f t="shared" si="25"/>
        <v>0</v>
      </c>
      <c r="AF66" s="516">
        <f t="shared" si="25"/>
        <v>0</v>
      </c>
      <c r="AG66" s="516">
        <f t="shared" si="25"/>
        <v>0</v>
      </c>
      <c r="AH66" s="516">
        <f t="shared" si="25"/>
        <v>0</v>
      </c>
      <c r="AI66" s="516">
        <f t="shared" si="25"/>
        <v>0</v>
      </c>
      <c r="AJ66" s="516">
        <f t="shared" si="25"/>
        <v>0</v>
      </c>
      <c r="AK66" s="516">
        <f t="shared" si="25"/>
        <v>0</v>
      </c>
      <c r="AL66" s="516">
        <f t="shared" si="25"/>
        <v>0</v>
      </c>
      <c r="AM66" s="516">
        <f t="shared" si="25"/>
        <v>0</v>
      </c>
      <c r="AN66" s="516">
        <f t="shared" si="25"/>
        <v>0</v>
      </c>
      <c r="AO66" s="516">
        <f t="shared" si="25"/>
        <v>0</v>
      </c>
      <c r="AP66" s="501"/>
      <c r="AQ66" s="505"/>
      <c r="AR66" s="505"/>
      <c r="AS66" s="505"/>
      <c r="AT66" s="505"/>
      <c r="AU66" s="505"/>
      <c r="AV66" s="510"/>
      <c r="AW66" s="452"/>
    </row>
    <row r="67" spans="1:49" hidden="1">
      <c r="A67" s="143"/>
      <c r="B67" s="483"/>
      <c r="C67" s="496" t="s">
        <v>1341</v>
      </c>
      <c r="D67" s="516">
        <f t="shared" ref="D67:AO67" si="26">IF(ISERR(GETPIVOTDATA("[Measures].[Hours]",TRIMARANmonthly,"[Period].[Month]","[Period].[Month].&amp;["&amp;IF(MONTH(D$14)=1,YEAR(D$14)-1&amp;TEXT(12,"00"),YEAR(D$14)&amp;TEXT(MONTH(D$14)-1,"00"))&amp;"]","[Order].[Position Number]","[Order].[Position Number].&amp;["&amp;$B72&amp;"]")),0,GETPIVOTDATA("[Measures].[Hours]",TRIMARANmonthly,"[Period].[Month]","[Period].[Month].&amp;["&amp;IF(MONTH(D$14)=1,YEAR(D$14)-1&amp;TEXT(12,"00"),YEAR(D$14)&amp;TEXT(MONTH(D$14)-1,"00"))&amp;"]","[Order].[Position Number]","[Order].[Position Number].&amp;["&amp;$B72&amp;"]"))</f>
        <v>0</v>
      </c>
      <c r="E67" s="516">
        <f t="shared" si="26"/>
        <v>0</v>
      </c>
      <c r="F67" s="516">
        <f t="shared" si="26"/>
        <v>0</v>
      </c>
      <c r="G67" s="516">
        <f t="shared" si="26"/>
        <v>0</v>
      </c>
      <c r="H67" s="516">
        <f t="shared" si="26"/>
        <v>0</v>
      </c>
      <c r="I67" s="516">
        <f t="shared" si="26"/>
        <v>0</v>
      </c>
      <c r="J67" s="516">
        <f t="shared" si="26"/>
        <v>0</v>
      </c>
      <c r="K67" s="516">
        <f t="shared" si="26"/>
        <v>0</v>
      </c>
      <c r="L67" s="516">
        <f t="shared" si="26"/>
        <v>0</v>
      </c>
      <c r="M67" s="516">
        <f t="shared" si="26"/>
        <v>0</v>
      </c>
      <c r="N67" s="516">
        <f t="shared" si="26"/>
        <v>0</v>
      </c>
      <c r="O67" s="516">
        <f t="shared" si="26"/>
        <v>0</v>
      </c>
      <c r="P67" s="516">
        <f t="shared" si="26"/>
        <v>0</v>
      </c>
      <c r="Q67" s="516">
        <f t="shared" si="26"/>
        <v>0</v>
      </c>
      <c r="R67" s="516">
        <f t="shared" si="26"/>
        <v>0</v>
      </c>
      <c r="S67" s="516">
        <f t="shared" si="26"/>
        <v>0</v>
      </c>
      <c r="T67" s="516">
        <f t="shared" si="26"/>
        <v>0</v>
      </c>
      <c r="U67" s="516">
        <f t="shared" si="26"/>
        <v>0</v>
      </c>
      <c r="V67" s="516">
        <f t="shared" si="26"/>
        <v>0</v>
      </c>
      <c r="W67" s="516">
        <f t="shared" si="26"/>
        <v>0</v>
      </c>
      <c r="X67" s="516">
        <f t="shared" si="26"/>
        <v>0</v>
      </c>
      <c r="Y67" s="516">
        <f t="shared" si="26"/>
        <v>0</v>
      </c>
      <c r="Z67" s="516">
        <f t="shared" si="26"/>
        <v>0</v>
      </c>
      <c r="AA67" s="516">
        <f t="shared" si="26"/>
        <v>0</v>
      </c>
      <c r="AB67" s="516">
        <f t="shared" si="26"/>
        <v>0</v>
      </c>
      <c r="AC67" s="516">
        <f t="shared" si="26"/>
        <v>0</v>
      </c>
      <c r="AD67" s="516">
        <f t="shared" si="26"/>
        <v>0</v>
      </c>
      <c r="AE67" s="516">
        <f t="shared" si="26"/>
        <v>0</v>
      </c>
      <c r="AF67" s="516">
        <f t="shared" si="26"/>
        <v>0</v>
      </c>
      <c r="AG67" s="516">
        <f t="shared" si="26"/>
        <v>0</v>
      </c>
      <c r="AH67" s="516">
        <f t="shared" si="26"/>
        <v>0</v>
      </c>
      <c r="AI67" s="516">
        <f t="shared" si="26"/>
        <v>0</v>
      </c>
      <c r="AJ67" s="516">
        <f t="shared" si="26"/>
        <v>0</v>
      </c>
      <c r="AK67" s="516">
        <f t="shared" si="26"/>
        <v>0</v>
      </c>
      <c r="AL67" s="516">
        <f t="shared" si="26"/>
        <v>0</v>
      </c>
      <c r="AM67" s="516">
        <f t="shared" si="26"/>
        <v>0</v>
      </c>
      <c r="AN67" s="516">
        <f t="shared" si="26"/>
        <v>0</v>
      </c>
      <c r="AO67" s="516">
        <f t="shared" si="26"/>
        <v>0</v>
      </c>
      <c r="AP67" s="501"/>
      <c r="AQ67" s="505"/>
      <c r="AR67" s="505"/>
      <c r="AS67" s="505"/>
      <c r="AT67" s="505"/>
      <c r="AU67" s="505"/>
      <c r="AV67" s="510"/>
      <c r="AW67" s="452"/>
    </row>
    <row r="68" spans="1:49" hidden="1">
      <c r="A68" s="143"/>
      <c r="B68" s="483"/>
      <c r="C68" s="496" t="s">
        <v>1339</v>
      </c>
      <c r="D68" s="516">
        <f t="shared" ref="D68:AO68" si="27">IF(ISERR(GETPIVOTDATA("[Measures].[" &amp; MDContractCurrency &amp; "]",TRIMARANweekly,"[Order].[Position Number]","[Order].[Position Number].&amp;[" &amp; $B72 &amp; "]","[Period].[Week]","[Period].[Week].&amp;[" &amp; YEAR(D$14-7) &amp; TEXT(WEEKNUM(D$14-7),"00") &amp; "]")),0,GETPIVOTDATA("[Measures].[" &amp; MDContractCurrency &amp; "]",TRIMARANweekly,"[Order].[Position Number]","[Order].[Position Number].&amp;[" &amp; $B72 &amp; "]","[Period].[Week]","[Period].[Week].&amp;[" &amp; YEAR(D$14-7) &amp; TEXT(WEEKNUM(D$14-7),"00") &amp; "]"))</f>
        <v>0</v>
      </c>
      <c r="E68" s="516">
        <f t="shared" si="27"/>
        <v>0</v>
      </c>
      <c r="F68" s="516">
        <f t="shared" si="27"/>
        <v>0</v>
      </c>
      <c r="G68" s="516">
        <f t="shared" si="27"/>
        <v>0</v>
      </c>
      <c r="H68" s="516">
        <f t="shared" si="27"/>
        <v>0</v>
      </c>
      <c r="I68" s="516">
        <f t="shared" si="27"/>
        <v>0</v>
      </c>
      <c r="J68" s="516">
        <f t="shared" si="27"/>
        <v>0</v>
      </c>
      <c r="K68" s="516">
        <f t="shared" si="27"/>
        <v>0</v>
      </c>
      <c r="L68" s="516">
        <f t="shared" si="27"/>
        <v>0</v>
      </c>
      <c r="M68" s="516">
        <f t="shared" si="27"/>
        <v>0</v>
      </c>
      <c r="N68" s="516">
        <f t="shared" si="27"/>
        <v>0</v>
      </c>
      <c r="O68" s="516">
        <f t="shared" si="27"/>
        <v>0</v>
      </c>
      <c r="P68" s="516">
        <f t="shared" si="27"/>
        <v>0</v>
      </c>
      <c r="Q68" s="516">
        <f t="shared" si="27"/>
        <v>0</v>
      </c>
      <c r="R68" s="516">
        <f t="shared" si="27"/>
        <v>0</v>
      </c>
      <c r="S68" s="516">
        <f t="shared" si="27"/>
        <v>0</v>
      </c>
      <c r="T68" s="516">
        <f t="shared" si="27"/>
        <v>0</v>
      </c>
      <c r="U68" s="516">
        <f t="shared" si="27"/>
        <v>0</v>
      </c>
      <c r="V68" s="516">
        <f t="shared" si="27"/>
        <v>0</v>
      </c>
      <c r="W68" s="516">
        <f t="shared" si="27"/>
        <v>0</v>
      </c>
      <c r="X68" s="516">
        <f t="shared" si="27"/>
        <v>0</v>
      </c>
      <c r="Y68" s="516">
        <f t="shared" si="27"/>
        <v>0</v>
      </c>
      <c r="Z68" s="516">
        <f t="shared" si="27"/>
        <v>0</v>
      </c>
      <c r="AA68" s="516">
        <f t="shared" si="27"/>
        <v>0</v>
      </c>
      <c r="AB68" s="516">
        <f t="shared" si="27"/>
        <v>0</v>
      </c>
      <c r="AC68" s="516">
        <f t="shared" si="27"/>
        <v>0</v>
      </c>
      <c r="AD68" s="516">
        <f t="shared" si="27"/>
        <v>0</v>
      </c>
      <c r="AE68" s="516">
        <f t="shared" si="27"/>
        <v>0</v>
      </c>
      <c r="AF68" s="516">
        <f t="shared" si="27"/>
        <v>0</v>
      </c>
      <c r="AG68" s="516">
        <f t="shared" si="27"/>
        <v>0</v>
      </c>
      <c r="AH68" s="516">
        <f t="shared" si="27"/>
        <v>0</v>
      </c>
      <c r="AI68" s="516">
        <f t="shared" si="27"/>
        <v>0</v>
      </c>
      <c r="AJ68" s="516">
        <f t="shared" si="27"/>
        <v>0</v>
      </c>
      <c r="AK68" s="516">
        <f t="shared" si="27"/>
        <v>0</v>
      </c>
      <c r="AL68" s="516">
        <f t="shared" si="27"/>
        <v>0</v>
      </c>
      <c r="AM68" s="516">
        <f t="shared" si="27"/>
        <v>0</v>
      </c>
      <c r="AN68" s="516">
        <f t="shared" si="27"/>
        <v>0</v>
      </c>
      <c r="AO68" s="516">
        <f t="shared" si="27"/>
        <v>0</v>
      </c>
      <c r="AP68" s="501"/>
      <c r="AQ68" s="505"/>
      <c r="AR68" s="505"/>
      <c r="AS68" s="505"/>
      <c r="AT68" s="505"/>
      <c r="AU68" s="505"/>
      <c r="AV68" s="510"/>
      <c r="AW68" s="452"/>
    </row>
    <row r="69" spans="1:49" hidden="1">
      <c r="A69" s="143"/>
      <c r="B69" s="483"/>
      <c r="C69" s="496" t="s">
        <v>1340</v>
      </c>
      <c r="D69" s="516">
        <f t="shared" ref="D69:AO69" si="28">IF(ISERR(GETPIVOTDATA("[Measures].[" &amp; MDContractCurrency &amp; "]",TRIMARANweekly,"[Order].[Position Number]","[Order].[Position Number].&amp;[" &amp; $B72 &amp; "]","[Period].[Week]","[Period].[Week].&amp;[" &amp; YEAR(D$14-14) &amp; TEXT(WEEKNUM(D$14-14),"00") &amp; "]")),0,GETPIVOTDATA("[Measures].[" &amp; MDContractCurrency &amp; "]",TRIMARANweekly,"[Order].[Position Number]","[Order].[Position Number].&amp;[" &amp; $B72 &amp; "]","[Period].[Week]","[Period].[Week].&amp;[" &amp; YEAR(D$14-14) &amp; TEXT(WEEKNUM(D$14-14),"00") &amp; "]"))+D68</f>
        <v>0</v>
      </c>
      <c r="E69" s="516">
        <f t="shared" si="28"/>
        <v>0</v>
      </c>
      <c r="F69" s="516">
        <f t="shared" si="28"/>
        <v>0</v>
      </c>
      <c r="G69" s="516">
        <f t="shared" si="28"/>
        <v>0</v>
      </c>
      <c r="H69" s="516">
        <f t="shared" si="28"/>
        <v>0</v>
      </c>
      <c r="I69" s="516">
        <f t="shared" si="28"/>
        <v>0</v>
      </c>
      <c r="J69" s="516">
        <f t="shared" si="28"/>
        <v>0</v>
      </c>
      <c r="K69" s="516">
        <f t="shared" si="28"/>
        <v>0</v>
      </c>
      <c r="L69" s="516">
        <f t="shared" si="28"/>
        <v>0</v>
      </c>
      <c r="M69" s="516">
        <f t="shared" si="28"/>
        <v>0</v>
      </c>
      <c r="N69" s="516">
        <f t="shared" si="28"/>
        <v>0</v>
      </c>
      <c r="O69" s="516">
        <f t="shared" si="28"/>
        <v>0</v>
      </c>
      <c r="P69" s="516">
        <f t="shared" si="28"/>
        <v>0</v>
      </c>
      <c r="Q69" s="516">
        <f t="shared" si="28"/>
        <v>0</v>
      </c>
      <c r="R69" s="516">
        <f t="shared" si="28"/>
        <v>0</v>
      </c>
      <c r="S69" s="516">
        <f t="shared" si="28"/>
        <v>0</v>
      </c>
      <c r="T69" s="516">
        <f t="shared" si="28"/>
        <v>0</v>
      </c>
      <c r="U69" s="516">
        <f t="shared" si="28"/>
        <v>0</v>
      </c>
      <c r="V69" s="516">
        <f t="shared" si="28"/>
        <v>0</v>
      </c>
      <c r="W69" s="516">
        <f t="shared" si="28"/>
        <v>0</v>
      </c>
      <c r="X69" s="516">
        <f t="shared" si="28"/>
        <v>0</v>
      </c>
      <c r="Y69" s="516">
        <f t="shared" si="28"/>
        <v>0</v>
      </c>
      <c r="Z69" s="516">
        <f t="shared" si="28"/>
        <v>0</v>
      </c>
      <c r="AA69" s="516">
        <f t="shared" si="28"/>
        <v>0</v>
      </c>
      <c r="AB69" s="516">
        <f t="shared" si="28"/>
        <v>0</v>
      </c>
      <c r="AC69" s="516">
        <f t="shared" si="28"/>
        <v>0</v>
      </c>
      <c r="AD69" s="516">
        <f t="shared" si="28"/>
        <v>0</v>
      </c>
      <c r="AE69" s="516">
        <f t="shared" si="28"/>
        <v>0</v>
      </c>
      <c r="AF69" s="516">
        <f t="shared" si="28"/>
        <v>0</v>
      </c>
      <c r="AG69" s="516">
        <f t="shared" si="28"/>
        <v>0</v>
      </c>
      <c r="AH69" s="516">
        <f t="shared" si="28"/>
        <v>0</v>
      </c>
      <c r="AI69" s="516">
        <f t="shared" si="28"/>
        <v>0</v>
      </c>
      <c r="AJ69" s="516">
        <f t="shared" si="28"/>
        <v>0</v>
      </c>
      <c r="AK69" s="516">
        <f t="shared" si="28"/>
        <v>0</v>
      </c>
      <c r="AL69" s="516">
        <f t="shared" si="28"/>
        <v>0</v>
      </c>
      <c r="AM69" s="516">
        <f t="shared" si="28"/>
        <v>0</v>
      </c>
      <c r="AN69" s="516">
        <f t="shared" si="28"/>
        <v>0</v>
      </c>
      <c r="AO69" s="516">
        <f t="shared" si="28"/>
        <v>0</v>
      </c>
      <c r="AP69" s="501"/>
      <c r="AQ69" s="505"/>
      <c r="AR69" s="505"/>
      <c r="AS69" s="505"/>
      <c r="AT69" s="505"/>
      <c r="AU69" s="505"/>
      <c r="AV69" s="510"/>
      <c r="AW69" s="452"/>
    </row>
    <row r="70" spans="1:49" hidden="1">
      <c r="A70" s="141"/>
      <c r="B70" s="517"/>
      <c r="C70" s="496" t="s">
        <v>1341</v>
      </c>
      <c r="D70" s="516">
        <f t="shared" ref="D70:AO70" si="29">IF(ISERR(GETPIVOTDATA("[Measures].[" &amp; MDContractCurrency &amp; "]",TRIMARANmonthly,"[Period].[Month]","[Period].[Month].&amp;["&amp;IF(MONTH(D$14)=1,YEAR(D$14)-1&amp;TEXT(12,"00"),YEAR(D$14)&amp;TEXT(MONTH(D$14)-1,"00"))&amp;"]","[Order].[Position Number]","[Order].[Position Number].&amp;["&amp;$B72&amp;"]")),0,GETPIVOTDATA("[Measures].[" &amp; MDContractCurrency &amp; "]",TRIMARANmonthly,"[Period].[Month]","[Period].[Month].&amp;["&amp;IF(MONTH(D$14)=1,YEAR(D$14)-1&amp;TEXT(12,"00"),YEAR(D$14)&amp;TEXT(MONTH(D$14)-1,"00"))&amp;"]","[Order].[Position Number]","[Order].[Position Number].&amp;["&amp;$B72&amp;"]"))</f>
        <v>0</v>
      </c>
      <c r="E70" s="516">
        <f t="shared" si="29"/>
        <v>0</v>
      </c>
      <c r="F70" s="516">
        <f t="shared" si="29"/>
        <v>0</v>
      </c>
      <c r="G70" s="516">
        <f t="shared" si="29"/>
        <v>0</v>
      </c>
      <c r="H70" s="516">
        <f t="shared" si="29"/>
        <v>0</v>
      </c>
      <c r="I70" s="516">
        <f t="shared" si="29"/>
        <v>0</v>
      </c>
      <c r="J70" s="516">
        <f t="shared" si="29"/>
        <v>0</v>
      </c>
      <c r="K70" s="516">
        <f t="shared" si="29"/>
        <v>0</v>
      </c>
      <c r="L70" s="516">
        <f t="shared" si="29"/>
        <v>0</v>
      </c>
      <c r="M70" s="516">
        <f t="shared" si="29"/>
        <v>0</v>
      </c>
      <c r="N70" s="516">
        <f t="shared" si="29"/>
        <v>0</v>
      </c>
      <c r="O70" s="516">
        <f t="shared" si="29"/>
        <v>0</v>
      </c>
      <c r="P70" s="516">
        <f t="shared" si="29"/>
        <v>0</v>
      </c>
      <c r="Q70" s="516">
        <f t="shared" si="29"/>
        <v>0</v>
      </c>
      <c r="R70" s="516">
        <f t="shared" si="29"/>
        <v>0</v>
      </c>
      <c r="S70" s="516">
        <f t="shared" si="29"/>
        <v>0</v>
      </c>
      <c r="T70" s="516">
        <f t="shared" si="29"/>
        <v>0</v>
      </c>
      <c r="U70" s="516">
        <f t="shared" si="29"/>
        <v>0</v>
      </c>
      <c r="V70" s="516">
        <f t="shared" si="29"/>
        <v>0</v>
      </c>
      <c r="W70" s="516">
        <f t="shared" si="29"/>
        <v>0</v>
      </c>
      <c r="X70" s="516">
        <f t="shared" si="29"/>
        <v>0</v>
      </c>
      <c r="Y70" s="516">
        <f t="shared" si="29"/>
        <v>0</v>
      </c>
      <c r="Z70" s="516">
        <f t="shared" si="29"/>
        <v>0</v>
      </c>
      <c r="AA70" s="516">
        <f t="shared" si="29"/>
        <v>0</v>
      </c>
      <c r="AB70" s="516">
        <f t="shared" si="29"/>
        <v>0</v>
      </c>
      <c r="AC70" s="516">
        <f t="shared" si="29"/>
        <v>0</v>
      </c>
      <c r="AD70" s="516">
        <f t="shared" si="29"/>
        <v>0</v>
      </c>
      <c r="AE70" s="516">
        <f t="shared" si="29"/>
        <v>0</v>
      </c>
      <c r="AF70" s="516">
        <f t="shared" si="29"/>
        <v>0</v>
      </c>
      <c r="AG70" s="516">
        <f t="shared" si="29"/>
        <v>0</v>
      </c>
      <c r="AH70" s="516">
        <f t="shared" si="29"/>
        <v>0</v>
      </c>
      <c r="AI70" s="516">
        <f t="shared" si="29"/>
        <v>0</v>
      </c>
      <c r="AJ70" s="516">
        <f t="shared" si="29"/>
        <v>0</v>
      </c>
      <c r="AK70" s="516">
        <f t="shared" si="29"/>
        <v>0</v>
      </c>
      <c r="AL70" s="516">
        <f t="shared" si="29"/>
        <v>0</v>
      </c>
      <c r="AM70" s="516">
        <f t="shared" si="29"/>
        <v>0</v>
      </c>
      <c r="AN70" s="516">
        <f t="shared" si="29"/>
        <v>0</v>
      </c>
      <c r="AO70" s="516">
        <f t="shared" si="29"/>
        <v>0</v>
      </c>
      <c r="AP70" s="501"/>
      <c r="AQ70" s="505"/>
      <c r="AR70" s="505"/>
      <c r="AS70" s="505"/>
      <c r="AT70" s="505"/>
      <c r="AU70" s="505"/>
      <c r="AV70" s="510"/>
      <c r="AW70" s="452"/>
    </row>
    <row r="71" spans="1:49">
      <c r="A71" s="143"/>
      <c r="B71" s="483"/>
      <c r="C71" s="524"/>
      <c r="D71" s="501"/>
      <c r="E71" s="501"/>
      <c r="F71" s="501"/>
      <c r="G71" s="501"/>
      <c r="H71" s="501"/>
      <c r="I71" s="501"/>
      <c r="J71" s="501"/>
      <c r="K71" s="501"/>
      <c r="L71" s="501"/>
      <c r="M71" s="501"/>
      <c r="N71" s="501"/>
      <c r="O71" s="501"/>
      <c r="P71" s="501"/>
      <c r="Q71" s="501"/>
      <c r="R71" s="501"/>
      <c r="S71" s="501"/>
      <c r="T71" s="501"/>
      <c r="U71" s="501"/>
      <c r="V71" s="501"/>
      <c r="W71" s="501"/>
      <c r="X71" s="501"/>
      <c r="Y71" s="501"/>
      <c r="Z71" s="501"/>
      <c r="AA71" s="501"/>
      <c r="AB71" s="501"/>
      <c r="AC71" s="501"/>
      <c r="AD71" s="501"/>
      <c r="AE71" s="501"/>
      <c r="AF71" s="501"/>
      <c r="AG71" s="501"/>
      <c r="AH71" s="501"/>
      <c r="AI71" s="501"/>
      <c r="AJ71" s="501"/>
      <c r="AK71" s="501"/>
      <c r="AL71" s="501"/>
      <c r="AM71" s="501"/>
      <c r="AN71" s="501"/>
      <c r="AO71" s="501"/>
      <c r="AP71" s="501"/>
      <c r="AQ71" s="505"/>
      <c r="AR71" s="505"/>
      <c r="AS71" s="505"/>
      <c r="AT71" s="505"/>
      <c r="AU71" s="505"/>
      <c r="AV71" s="510"/>
      <c r="AW71" s="452"/>
    </row>
    <row r="72" spans="1:49">
      <c r="A72" s="1183" t="str">
        <f>'Delivery Calculation'!B17 &amp; CHAR(10) &amp; 'Delivery Calculation'!P17 &amp; " - " &amp; 'Delivery Calculation'!Q17</f>
        <v xml:space="preserve">0
 - </v>
      </c>
      <c r="B72" s="1180">
        <f>'Delivery Calculation'!A17</f>
        <v>0</v>
      </c>
      <c r="C72" s="499" t="s">
        <v>538</v>
      </c>
      <c r="D72" s="518">
        <f>'Delivery Calculation'!M198</f>
        <v>0</v>
      </c>
      <c r="E72" s="518">
        <f>'Delivery Calculation'!N198</f>
        <v>0</v>
      </c>
      <c r="F72" s="518">
        <f>'Delivery Calculation'!O198</f>
        <v>0</v>
      </c>
      <c r="G72" s="518">
        <f>'Delivery Calculation'!P198</f>
        <v>0</v>
      </c>
      <c r="H72" s="518">
        <f>'Delivery Calculation'!Q198</f>
        <v>0</v>
      </c>
      <c r="I72" s="518">
        <f>'Delivery Calculation'!R198</f>
        <v>0</v>
      </c>
      <c r="J72" s="518">
        <f>'Delivery Calculation'!S198</f>
        <v>0</v>
      </c>
      <c r="K72" s="518">
        <f>'Delivery Calculation'!T198</f>
        <v>0</v>
      </c>
      <c r="L72" s="518">
        <f>'Delivery Calculation'!U198</f>
        <v>0</v>
      </c>
      <c r="M72" s="518">
        <f>'Delivery Calculation'!V198</f>
        <v>0</v>
      </c>
      <c r="N72" s="518">
        <f>'Delivery Calculation'!W198</f>
        <v>0</v>
      </c>
      <c r="O72" s="518">
        <f>'Delivery Calculation'!X198</f>
        <v>0</v>
      </c>
      <c r="P72" s="518">
        <f>'Delivery Calculation'!Y198</f>
        <v>0</v>
      </c>
      <c r="Q72" s="518">
        <f>'Delivery Calculation'!Z198</f>
        <v>0</v>
      </c>
      <c r="R72" s="518">
        <f>'Delivery Calculation'!AA198</f>
        <v>0</v>
      </c>
      <c r="S72" s="518">
        <f>'Delivery Calculation'!AB198</f>
        <v>0</v>
      </c>
      <c r="T72" s="518">
        <f>'Delivery Calculation'!AC198</f>
        <v>0</v>
      </c>
      <c r="U72" s="518">
        <f>'Delivery Calculation'!AD198</f>
        <v>0</v>
      </c>
      <c r="V72" s="518">
        <f>'Delivery Calculation'!AE198</f>
        <v>0</v>
      </c>
      <c r="W72" s="518">
        <f>'Delivery Calculation'!AF198</f>
        <v>0</v>
      </c>
      <c r="X72" s="518">
        <f>'Delivery Calculation'!AG198</f>
        <v>0</v>
      </c>
      <c r="Y72" s="518">
        <f>'Delivery Calculation'!AH198</f>
        <v>0</v>
      </c>
      <c r="Z72" s="518">
        <f>'Delivery Calculation'!AI198</f>
        <v>0</v>
      </c>
      <c r="AA72" s="518">
        <f>'Delivery Calculation'!AJ198</f>
        <v>0</v>
      </c>
      <c r="AB72" s="518">
        <f>'Delivery Calculation'!AK198</f>
        <v>0</v>
      </c>
      <c r="AC72" s="518">
        <f>'Delivery Calculation'!AL198</f>
        <v>0</v>
      </c>
      <c r="AD72" s="518">
        <f>'Delivery Calculation'!AM198</f>
        <v>0</v>
      </c>
      <c r="AE72" s="518">
        <f>'Delivery Calculation'!AN198</f>
        <v>0</v>
      </c>
      <c r="AF72" s="518">
        <f>'Delivery Calculation'!AO198</f>
        <v>0</v>
      </c>
      <c r="AG72" s="518">
        <f>'Delivery Calculation'!AP198</f>
        <v>0</v>
      </c>
      <c r="AH72" s="518">
        <f>'Delivery Calculation'!AQ198</f>
        <v>0</v>
      </c>
      <c r="AI72" s="518">
        <f>'Delivery Calculation'!AR198</f>
        <v>0</v>
      </c>
      <c r="AJ72" s="518">
        <f>'Delivery Calculation'!AS198</f>
        <v>0</v>
      </c>
      <c r="AK72" s="518">
        <f>'Delivery Calculation'!AT198</f>
        <v>0</v>
      </c>
      <c r="AL72" s="518">
        <f>'Delivery Calculation'!AU198</f>
        <v>0</v>
      </c>
      <c r="AM72" s="518">
        <f>'Delivery Calculation'!AV198</f>
        <v>0</v>
      </c>
      <c r="AN72" s="518">
        <f>'Delivery Calculation'!AW198</f>
        <v>0</v>
      </c>
      <c r="AO72" s="518">
        <f>'Delivery Calculation'!AX198</f>
        <v>0</v>
      </c>
      <c r="AP72" s="501"/>
      <c r="AQ72" s="519">
        <f>IF(COUNTIF($D$15:$AO$15, TMDPeriodValueTypeReported)&gt;0, INDEX(D72:AO72,1,COUNTIF(D$15:$AO$15,TMDPeriodValueTypeReported)),0)</f>
        <v>0</v>
      </c>
      <c r="AR72" s="519"/>
      <c r="AS72" s="520">
        <f>'Delivery Calculation'!N17</f>
        <v>0</v>
      </c>
      <c r="AT72" s="519">
        <f>AQ72*'Delivery Calculation'!N17</f>
        <v>0</v>
      </c>
      <c r="AU72" s="521" t="s">
        <v>522</v>
      </c>
      <c r="AV72" s="510"/>
      <c r="AW72" s="452"/>
    </row>
    <row r="73" spans="1:49">
      <c r="A73" s="1184"/>
      <c r="B73" s="1181"/>
      <c r="C73" s="499" t="s">
        <v>539</v>
      </c>
      <c r="D73" s="509">
        <f>IF(D$15=TMDPeriodValueTypeForecast,IF('Delivery Calculation'!$H$17=TMDAllocationTandM,0,'Delivery Calculation'!M127),IF(MDReportingPeriod=TMDMonthly,D67,IF(MDReportingPeriod=TMDTwoweekly,D66,D65)))</f>
        <v>0</v>
      </c>
      <c r="E73" s="509">
        <f>IF(E$15=TMDPeriodValueTypeForecast,IF('Delivery Calculation'!$H$17=TMDAllocationTandM,0,'Delivery Calculation'!N127),IF(MDReportingPeriod=TMDMonthly,E67,IF(MDReportingPeriod=TMDTwoweekly,E66,E65)))</f>
        <v>0</v>
      </c>
      <c r="F73" s="509">
        <f>IF(F$15=TMDPeriodValueTypeForecast,IF('Delivery Calculation'!$H$17=TMDAllocationTandM,0,'Delivery Calculation'!O127),IF(MDReportingPeriod=TMDMonthly,F67,IF(MDReportingPeriod=TMDTwoweekly,F66,F65)))</f>
        <v>0</v>
      </c>
      <c r="G73" s="509">
        <f>IF(G$15=TMDPeriodValueTypeForecast,IF('Delivery Calculation'!$H$17=TMDAllocationTandM,0,'Delivery Calculation'!P127),IF(MDReportingPeriod=TMDMonthly,G67,IF(MDReportingPeriod=TMDTwoweekly,G66,G65)))</f>
        <v>0</v>
      </c>
      <c r="H73" s="509">
        <f>IF(H$15=TMDPeriodValueTypeForecast,IF('Delivery Calculation'!$H$17=TMDAllocationTandM,0,'Delivery Calculation'!Q127),IF(MDReportingPeriod=TMDMonthly,H67,IF(MDReportingPeriod=TMDTwoweekly,H66,H65)))</f>
        <v>0</v>
      </c>
      <c r="I73" s="509">
        <f>IF(I$15=TMDPeriodValueTypeForecast,IF('Delivery Calculation'!$H$17=TMDAllocationTandM,0,'Delivery Calculation'!R127),IF(MDReportingPeriod=TMDMonthly,I67,IF(MDReportingPeriod=TMDTwoweekly,I66,I65)))</f>
        <v>0</v>
      </c>
      <c r="J73" s="509">
        <f>IF(J$15=TMDPeriodValueTypeForecast,IF('Delivery Calculation'!$H$17=TMDAllocationTandM,0,'Delivery Calculation'!S127),IF(MDReportingPeriod=TMDMonthly,J67,IF(MDReportingPeriod=TMDTwoweekly,J66,J65)))</f>
        <v>0</v>
      </c>
      <c r="K73" s="509">
        <f>IF(K$15=TMDPeriodValueTypeForecast,IF('Delivery Calculation'!$H$17=TMDAllocationTandM,0,'Delivery Calculation'!T127),IF(MDReportingPeriod=TMDMonthly,K67,IF(MDReportingPeriod=TMDTwoweekly,K66,K65)))</f>
        <v>0</v>
      </c>
      <c r="L73" s="509">
        <f>IF(L$15=TMDPeriodValueTypeForecast,IF('Delivery Calculation'!$H$17=TMDAllocationTandM,0,'Delivery Calculation'!U127),IF(MDReportingPeriod=TMDMonthly,L67,IF(MDReportingPeriod=TMDTwoweekly,L66,L65)))</f>
        <v>0</v>
      </c>
      <c r="M73" s="509">
        <f>IF(M$15=TMDPeriodValueTypeForecast,IF('Delivery Calculation'!$H$17=TMDAllocationTandM,0,'Delivery Calculation'!V127),IF(MDReportingPeriod=TMDMonthly,M67,IF(MDReportingPeriod=TMDTwoweekly,M66,M65)))</f>
        <v>0</v>
      </c>
      <c r="N73" s="509">
        <f>IF(N$15=TMDPeriodValueTypeForecast,IF('Delivery Calculation'!$H$17=TMDAllocationTandM,0,'Delivery Calculation'!W127),IF(MDReportingPeriod=TMDMonthly,N67,IF(MDReportingPeriod=TMDTwoweekly,N66,N65)))</f>
        <v>0</v>
      </c>
      <c r="O73" s="509">
        <f>IF(O$15=TMDPeriodValueTypeForecast,IF('Delivery Calculation'!$H$17=TMDAllocationTandM,0,'Delivery Calculation'!X127),IF(MDReportingPeriod=TMDMonthly,O67,IF(MDReportingPeriod=TMDTwoweekly,O66,O65)))</f>
        <v>0</v>
      </c>
      <c r="P73" s="509">
        <f>IF(P$15=TMDPeriodValueTypeForecast,IF('Delivery Calculation'!$H$17=TMDAllocationTandM,0,'Delivery Calculation'!Y127),IF(MDReportingPeriod=TMDMonthly,P67,IF(MDReportingPeriod=TMDTwoweekly,P66,P65)))</f>
        <v>0</v>
      </c>
      <c r="Q73" s="509">
        <f>IF(Q$15=TMDPeriodValueTypeForecast,IF('Delivery Calculation'!$H$17=TMDAllocationTandM,0,'Delivery Calculation'!Z127),IF(MDReportingPeriod=TMDMonthly,Q67,IF(MDReportingPeriod=TMDTwoweekly,Q66,Q65)))</f>
        <v>0</v>
      </c>
      <c r="R73" s="509">
        <f>IF(R$15=TMDPeriodValueTypeForecast,IF('Delivery Calculation'!$H$17=TMDAllocationTandM,0,'Delivery Calculation'!AA127),IF(MDReportingPeriod=TMDMonthly,R67,IF(MDReportingPeriod=TMDTwoweekly,R66,R65)))</f>
        <v>0</v>
      </c>
      <c r="S73" s="509">
        <f>IF(S$15=TMDPeriodValueTypeForecast,IF('Delivery Calculation'!$H$17=TMDAllocationTandM,0,'Delivery Calculation'!AB127),IF(MDReportingPeriod=TMDMonthly,S67,IF(MDReportingPeriod=TMDTwoweekly,S66,S65)))</f>
        <v>0</v>
      </c>
      <c r="T73" s="509">
        <f>IF(T$15=TMDPeriodValueTypeForecast,IF('Delivery Calculation'!$H$17=TMDAllocationTandM,0,'Delivery Calculation'!AC127),IF(MDReportingPeriod=TMDMonthly,T67,IF(MDReportingPeriod=TMDTwoweekly,T66,T65)))</f>
        <v>0</v>
      </c>
      <c r="U73" s="509">
        <f>IF(U$15=TMDPeriodValueTypeForecast,IF('Delivery Calculation'!$H$17=TMDAllocationTandM,0,'Delivery Calculation'!AD127),IF(MDReportingPeriod=TMDMonthly,U67,IF(MDReportingPeriod=TMDTwoweekly,U66,U65)))</f>
        <v>0</v>
      </c>
      <c r="V73" s="509">
        <f>IF(V$15=TMDPeriodValueTypeForecast,IF('Delivery Calculation'!$H$17=TMDAllocationTandM,0,'Delivery Calculation'!AE127),IF(MDReportingPeriod=TMDMonthly,V67,IF(MDReportingPeriod=TMDTwoweekly,V66,V65)))</f>
        <v>0</v>
      </c>
      <c r="W73" s="509">
        <f>IF(W$15=TMDPeriodValueTypeForecast,IF('Delivery Calculation'!$H$17=TMDAllocationTandM,0,'Delivery Calculation'!AF127),IF(MDReportingPeriod=TMDMonthly,W67,IF(MDReportingPeriod=TMDTwoweekly,W66,W65)))</f>
        <v>0</v>
      </c>
      <c r="X73" s="509">
        <f>IF(X$15=TMDPeriodValueTypeForecast,IF('Delivery Calculation'!$H$17=TMDAllocationTandM,0,'Delivery Calculation'!AG127),IF(MDReportingPeriod=TMDMonthly,X67,IF(MDReportingPeriod=TMDTwoweekly,X66,X65)))</f>
        <v>0</v>
      </c>
      <c r="Y73" s="509">
        <f>IF(Y$15=TMDPeriodValueTypeForecast,IF('Delivery Calculation'!$H$17=TMDAllocationTandM,0,'Delivery Calculation'!AH127),IF(MDReportingPeriod=TMDMonthly,Y67,IF(MDReportingPeriod=TMDTwoweekly,Y66,Y65)))</f>
        <v>0</v>
      </c>
      <c r="Z73" s="509">
        <f>IF(Z$15=TMDPeriodValueTypeForecast,IF('Delivery Calculation'!$H$17=TMDAllocationTandM,0,'Delivery Calculation'!AI127),IF(MDReportingPeriod=TMDMonthly,Z67,IF(MDReportingPeriod=TMDTwoweekly,Z66,Z65)))</f>
        <v>0</v>
      </c>
      <c r="AA73" s="509">
        <f>IF(AA$15=TMDPeriodValueTypeForecast,IF('Delivery Calculation'!$H$17=TMDAllocationTandM,0,'Delivery Calculation'!AJ127),IF(MDReportingPeriod=TMDMonthly,AA67,IF(MDReportingPeriod=TMDTwoweekly,AA66,AA65)))</f>
        <v>0</v>
      </c>
      <c r="AB73" s="509">
        <f>IF(AB$15=TMDPeriodValueTypeForecast,IF('Delivery Calculation'!$H$17=TMDAllocationTandM,0,'Delivery Calculation'!AK127),IF(MDReportingPeriod=TMDMonthly,AB67,IF(MDReportingPeriod=TMDTwoweekly,AB66,AB65)))</f>
        <v>0</v>
      </c>
      <c r="AC73" s="509">
        <f>IF(AC$15=TMDPeriodValueTypeForecast,IF('Delivery Calculation'!$H$17=TMDAllocationTandM,0,'Delivery Calculation'!AL127),IF(MDReportingPeriod=TMDMonthly,AC67,IF(MDReportingPeriod=TMDTwoweekly,AC66,AC65)))</f>
        <v>0</v>
      </c>
      <c r="AD73" s="509">
        <f>IF(AD$15=TMDPeriodValueTypeForecast,IF('Delivery Calculation'!$H$17=TMDAllocationTandM,0,'Delivery Calculation'!AM127),IF(MDReportingPeriod=TMDMonthly,AD67,IF(MDReportingPeriod=TMDTwoweekly,AD66,AD65)))</f>
        <v>0</v>
      </c>
      <c r="AE73" s="509">
        <f>IF(AE$15=TMDPeriodValueTypeForecast,IF('Delivery Calculation'!$H$17=TMDAllocationTandM,0,'Delivery Calculation'!AN127),IF(MDReportingPeriod=TMDMonthly,AE67,IF(MDReportingPeriod=TMDTwoweekly,AE66,AE65)))</f>
        <v>0</v>
      </c>
      <c r="AF73" s="509">
        <f>IF(AF$15=TMDPeriodValueTypeForecast,IF('Delivery Calculation'!$H$17=TMDAllocationTandM,0,'Delivery Calculation'!AO127),IF(MDReportingPeriod=TMDMonthly,AF67,IF(MDReportingPeriod=TMDTwoweekly,AF66,AF65)))</f>
        <v>0</v>
      </c>
      <c r="AG73" s="509">
        <f>IF(AG$15=TMDPeriodValueTypeForecast,IF('Delivery Calculation'!$H$17=TMDAllocationTandM,0,'Delivery Calculation'!AP127),IF(MDReportingPeriod=TMDMonthly,AG67,IF(MDReportingPeriod=TMDTwoweekly,AG66,AG65)))</f>
        <v>0</v>
      </c>
      <c r="AH73" s="509">
        <f>IF(AH$15=TMDPeriodValueTypeForecast,IF('Delivery Calculation'!$H$17=TMDAllocationTandM,0,'Delivery Calculation'!AQ127),IF(MDReportingPeriod=TMDMonthly,AH67,IF(MDReportingPeriod=TMDTwoweekly,AH66,AH65)))</f>
        <v>0</v>
      </c>
      <c r="AI73" s="509">
        <f>IF(AI$15=TMDPeriodValueTypeForecast,IF('Delivery Calculation'!$H$17=TMDAllocationTandM,0,'Delivery Calculation'!AR127),IF(MDReportingPeriod=TMDMonthly,AI67,IF(MDReportingPeriod=TMDTwoweekly,AI66,AI65)))</f>
        <v>0</v>
      </c>
      <c r="AJ73" s="509">
        <f>IF(AJ$15=TMDPeriodValueTypeForecast,IF('Delivery Calculation'!$H$17=TMDAllocationTandM,0,'Delivery Calculation'!AS127),IF(MDReportingPeriod=TMDMonthly,AJ67,IF(MDReportingPeriod=TMDTwoweekly,AJ66,AJ65)))</f>
        <v>0</v>
      </c>
      <c r="AK73" s="509">
        <f>IF(AK$15=TMDPeriodValueTypeForecast,IF('Delivery Calculation'!$H$17=TMDAllocationTandM,0,'Delivery Calculation'!AT127),IF(MDReportingPeriod=TMDMonthly,AK67,IF(MDReportingPeriod=TMDTwoweekly,AK66,AK65)))</f>
        <v>0</v>
      </c>
      <c r="AL73" s="509">
        <f>IF(AL$15=TMDPeriodValueTypeForecast,IF('Delivery Calculation'!$H$17=TMDAllocationTandM,0,'Delivery Calculation'!AU127),IF(MDReportingPeriod=TMDMonthly,AL67,IF(MDReportingPeriod=TMDTwoweekly,AL66,AL65)))</f>
        <v>0</v>
      </c>
      <c r="AM73" s="509">
        <f>IF(AM$15=TMDPeriodValueTypeForecast,IF('Delivery Calculation'!$H$17=TMDAllocationTandM,0,'Delivery Calculation'!AV127),IF(MDReportingPeriod=TMDMonthly,AM67,IF(MDReportingPeriod=TMDTwoweekly,AM66,AM65)))</f>
        <v>0</v>
      </c>
      <c r="AN73" s="509">
        <f>IF(AN$15=TMDPeriodValueTypeForecast,IF('Delivery Calculation'!$H$17=TMDAllocationTandM,0,'Delivery Calculation'!AW127),IF(MDReportingPeriod=TMDMonthly,AN67,IF(MDReportingPeriod=TMDTwoweekly,AN66,AN65)))</f>
        <v>0</v>
      </c>
      <c r="AO73" s="509">
        <f>IF(AO$15=TMDPeriodValueTypeForecast,IF('Delivery Calculation'!$H$17=TMDAllocationTandM,0,'Delivery Calculation'!AX127),IF(MDReportingPeriod=TMDMonthly,AO67,IF(MDReportingPeriod=TMDTwoweekly,AO66,AO65)))</f>
        <v>0</v>
      </c>
      <c r="AP73" s="501"/>
      <c r="AQ73" s="505">
        <f>SUMIF($D$15:$AO$15,TMDPeriodValueTypeReported,D73:AO73)</f>
        <v>0</v>
      </c>
      <c r="AR73" s="505">
        <f>SUMIF($D$15:$AO$15,TMDPeriodValueTypeForecast,D73:AO73)</f>
        <v>0</v>
      </c>
      <c r="AS73" s="523">
        <f>'Delivery Calculation'!J17</f>
        <v>0</v>
      </c>
      <c r="AT73" s="505">
        <f>AS73-(AQ73+AR73)</f>
        <v>0</v>
      </c>
      <c r="AU73" s="505"/>
      <c r="AV73" s="510"/>
      <c r="AW73" s="452"/>
    </row>
    <row r="74" spans="1:49">
      <c r="A74" s="1184"/>
      <c r="B74" s="1181"/>
      <c r="C74" s="499" t="s">
        <v>540</v>
      </c>
      <c r="D74" s="509">
        <f>IF(D$15=TMDPeriodValueTypeForecast,IF('Delivery Calculation'!$H$17=TMDAllocationTandM,0,'Delivery Calculation'!M91),IF(MDReportingPeriod=TMDMonthly,D70,IF(MDReportingPeriod=TMDTwoweekly,D69,D68)))</f>
        <v>0</v>
      </c>
      <c r="E74" s="509">
        <f>IF(E$15=TMDPeriodValueTypeForecast,IF('Delivery Calculation'!$H$17=TMDAllocationTandM,0,'Delivery Calculation'!N91),IF(MDReportingPeriod=TMDMonthly,E70,IF(MDReportingPeriod=TMDTwoweekly,E69,E68)))</f>
        <v>0</v>
      </c>
      <c r="F74" s="509">
        <f>IF(F$15=TMDPeriodValueTypeForecast,IF('Delivery Calculation'!$H$17=TMDAllocationTandM,0,'Delivery Calculation'!O91),IF(MDReportingPeriod=TMDMonthly,F70,IF(MDReportingPeriod=TMDTwoweekly,F69,F68)))</f>
        <v>0</v>
      </c>
      <c r="G74" s="509">
        <f>IF(G$15=TMDPeriodValueTypeForecast,IF('Delivery Calculation'!$H$17=TMDAllocationTandM,0,'Delivery Calculation'!P91),IF(MDReportingPeriod=TMDMonthly,G70,IF(MDReportingPeriod=TMDTwoweekly,G69,G68)))</f>
        <v>0</v>
      </c>
      <c r="H74" s="509">
        <f>IF(H$15=TMDPeriodValueTypeForecast,IF('Delivery Calculation'!$H$17=TMDAllocationTandM,0,'Delivery Calculation'!Q91),IF(MDReportingPeriod=TMDMonthly,H70,IF(MDReportingPeriod=TMDTwoweekly,H69,H68)))</f>
        <v>0</v>
      </c>
      <c r="I74" s="509">
        <f>IF(I$15=TMDPeriodValueTypeForecast,IF('Delivery Calculation'!$H$17=TMDAllocationTandM,0,'Delivery Calculation'!R91),IF(MDReportingPeriod=TMDMonthly,I70,IF(MDReportingPeriod=TMDTwoweekly,I69,I68)))</f>
        <v>0</v>
      </c>
      <c r="J74" s="509">
        <f>IF(J$15=TMDPeriodValueTypeForecast,IF('Delivery Calculation'!$H$17=TMDAllocationTandM,0,'Delivery Calculation'!S91),IF(MDReportingPeriod=TMDMonthly,J70,IF(MDReportingPeriod=TMDTwoweekly,J69,J68)))</f>
        <v>0</v>
      </c>
      <c r="K74" s="509">
        <f>IF(K$15=TMDPeriodValueTypeForecast,IF('Delivery Calculation'!$H$17=TMDAllocationTandM,0,'Delivery Calculation'!T91),IF(MDReportingPeriod=TMDMonthly,K70,IF(MDReportingPeriod=TMDTwoweekly,K69,K68)))</f>
        <v>0</v>
      </c>
      <c r="L74" s="509">
        <f>IF(L$15=TMDPeriodValueTypeForecast,IF('Delivery Calculation'!$H$17=TMDAllocationTandM,0,'Delivery Calculation'!U91),IF(MDReportingPeriod=TMDMonthly,L70,IF(MDReportingPeriod=TMDTwoweekly,L69,L68)))</f>
        <v>0</v>
      </c>
      <c r="M74" s="509">
        <f>IF(M$15=TMDPeriodValueTypeForecast,IF('Delivery Calculation'!$H$17=TMDAllocationTandM,0,'Delivery Calculation'!V91),IF(MDReportingPeriod=TMDMonthly,M70,IF(MDReportingPeriod=TMDTwoweekly,M69,M68)))</f>
        <v>0</v>
      </c>
      <c r="N74" s="509">
        <f>IF(N$15=TMDPeriodValueTypeForecast,IF('Delivery Calculation'!$H$17=TMDAllocationTandM,0,'Delivery Calculation'!W91),IF(MDReportingPeriod=TMDMonthly,N70,IF(MDReportingPeriod=TMDTwoweekly,N69,N68)))</f>
        <v>0</v>
      </c>
      <c r="O74" s="509">
        <f>IF(O$15=TMDPeriodValueTypeForecast,IF('Delivery Calculation'!$H$17=TMDAllocationTandM,0,'Delivery Calculation'!X91),IF(MDReportingPeriod=TMDMonthly,O70,IF(MDReportingPeriod=TMDTwoweekly,O69,O68)))</f>
        <v>0</v>
      </c>
      <c r="P74" s="509">
        <f>IF(P$15=TMDPeriodValueTypeForecast,IF('Delivery Calculation'!$H$17=TMDAllocationTandM,0,'Delivery Calculation'!Y91),IF(MDReportingPeriod=TMDMonthly,P70,IF(MDReportingPeriod=TMDTwoweekly,P69,P68)))</f>
        <v>0</v>
      </c>
      <c r="Q74" s="509">
        <f>IF(Q$15=TMDPeriodValueTypeForecast,IF('Delivery Calculation'!$H$17=TMDAllocationTandM,0,'Delivery Calculation'!Z91),IF(MDReportingPeriod=TMDMonthly,Q70,IF(MDReportingPeriod=TMDTwoweekly,Q69,Q68)))</f>
        <v>0</v>
      </c>
      <c r="R74" s="509">
        <f>IF(R$15=TMDPeriodValueTypeForecast,IF('Delivery Calculation'!$H$17=TMDAllocationTandM,0,'Delivery Calculation'!AA91),IF(MDReportingPeriod=TMDMonthly,R70,IF(MDReportingPeriod=TMDTwoweekly,R69,R68)))</f>
        <v>0</v>
      </c>
      <c r="S74" s="509">
        <f>IF(S$15=TMDPeriodValueTypeForecast,IF('Delivery Calculation'!$H$17=TMDAllocationTandM,0,'Delivery Calculation'!AB91),IF(MDReportingPeriod=TMDMonthly,S70,IF(MDReportingPeriod=TMDTwoweekly,S69,S68)))</f>
        <v>0</v>
      </c>
      <c r="T74" s="509">
        <f>IF(T$15=TMDPeriodValueTypeForecast,IF('Delivery Calculation'!$H$17=TMDAllocationTandM,0,'Delivery Calculation'!AC91),IF(MDReportingPeriod=TMDMonthly,T70,IF(MDReportingPeriod=TMDTwoweekly,T69,T68)))</f>
        <v>0</v>
      </c>
      <c r="U74" s="509">
        <f>IF(U$15=TMDPeriodValueTypeForecast,IF('Delivery Calculation'!$H$17=TMDAllocationTandM,0,'Delivery Calculation'!AD91),IF(MDReportingPeriod=TMDMonthly,U70,IF(MDReportingPeriod=TMDTwoweekly,U69,U68)))</f>
        <v>0</v>
      </c>
      <c r="V74" s="509">
        <f>IF(V$15=TMDPeriodValueTypeForecast,IF('Delivery Calculation'!$H$17=TMDAllocationTandM,0,'Delivery Calculation'!AE91),IF(MDReportingPeriod=TMDMonthly,V70,IF(MDReportingPeriod=TMDTwoweekly,V69,V68)))</f>
        <v>0</v>
      </c>
      <c r="W74" s="509">
        <f>IF(W$15=TMDPeriodValueTypeForecast,IF('Delivery Calculation'!$H$17=TMDAllocationTandM,0,'Delivery Calculation'!AF91),IF(MDReportingPeriod=TMDMonthly,W70,IF(MDReportingPeriod=TMDTwoweekly,W69,W68)))</f>
        <v>0</v>
      </c>
      <c r="X74" s="509">
        <f>IF(X$15=TMDPeriodValueTypeForecast,IF('Delivery Calculation'!$H$17=TMDAllocationTandM,0,'Delivery Calculation'!AG91),IF(MDReportingPeriod=TMDMonthly,X70,IF(MDReportingPeriod=TMDTwoweekly,X69,X68)))</f>
        <v>0</v>
      </c>
      <c r="Y74" s="509">
        <f>IF(Y$15=TMDPeriodValueTypeForecast,IF('Delivery Calculation'!$H$17=TMDAllocationTandM,0,'Delivery Calculation'!AH91),IF(MDReportingPeriod=TMDMonthly,Y70,IF(MDReportingPeriod=TMDTwoweekly,Y69,Y68)))</f>
        <v>0</v>
      </c>
      <c r="Z74" s="509">
        <f>IF(Z$15=TMDPeriodValueTypeForecast,IF('Delivery Calculation'!$H$17=TMDAllocationTandM,0,'Delivery Calculation'!AI91),IF(MDReportingPeriod=TMDMonthly,Z70,IF(MDReportingPeriod=TMDTwoweekly,Z69,Z68)))</f>
        <v>0</v>
      </c>
      <c r="AA74" s="509">
        <f>IF(AA$15=TMDPeriodValueTypeForecast,IF('Delivery Calculation'!$H$17=TMDAllocationTandM,0,'Delivery Calculation'!AJ91),IF(MDReportingPeriod=TMDMonthly,AA70,IF(MDReportingPeriod=TMDTwoweekly,AA69,AA68)))</f>
        <v>0</v>
      </c>
      <c r="AB74" s="509">
        <f>IF(AB$15=TMDPeriodValueTypeForecast,IF('Delivery Calculation'!$H$17=TMDAllocationTandM,0,'Delivery Calculation'!AK91),IF(MDReportingPeriod=TMDMonthly,AB70,IF(MDReportingPeriod=TMDTwoweekly,AB69,AB68)))</f>
        <v>0</v>
      </c>
      <c r="AC74" s="509">
        <f>IF(AC$15=TMDPeriodValueTypeForecast,IF('Delivery Calculation'!$H$17=TMDAllocationTandM,0,'Delivery Calculation'!AL91),IF(MDReportingPeriod=TMDMonthly,AC70,IF(MDReportingPeriod=TMDTwoweekly,AC69,AC68)))</f>
        <v>0</v>
      </c>
      <c r="AD74" s="509">
        <f>IF(AD$15=TMDPeriodValueTypeForecast,IF('Delivery Calculation'!$H$17=TMDAllocationTandM,0,'Delivery Calculation'!AM91),IF(MDReportingPeriod=TMDMonthly,AD70,IF(MDReportingPeriod=TMDTwoweekly,AD69,AD68)))</f>
        <v>0</v>
      </c>
      <c r="AE74" s="509">
        <f>IF(AE$15=TMDPeriodValueTypeForecast,IF('Delivery Calculation'!$H$17=TMDAllocationTandM,0,'Delivery Calculation'!AN91),IF(MDReportingPeriod=TMDMonthly,AE70,IF(MDReportingPeriod=TMDTwoweekly,AE69,AE68)))</f>
        <v>0</v>
      </c>
      <c r="AF74" s="509">
        <f>IF(AF$15=TMDPeriodValueTypeForecast,IF('Delivery Calculation'!$H$17=TMDAllocationTandM,0,'Delivery Calculation'!AO91),IF(MDReportingPeriod=TMDMonthly,AF70,IF(MDReportingPeriod=TMDTwoweekly,AF69,AF68)))</f>
        <v>0</v>
      </c>
      <c r="AG74" s="509">
        <f>IF(AG$15=TMDPeriodValueTypeForecast,IF('Delivery Calculation'!$H$17=TMDAllocationTandM,0,'Delivery Calculation'!AP91),IF(MDReportingPeriod=TMDMonthly,AG70,IF(MDReportingPeriod=TMDTwoweekly,AG69,AG68)))</f>
        <v>0</v>
      </c>
      <c r="AH74" s="509">
        <f>IF(AH$15=TMDPeriodValueTypeForecast,IF('Delivery Calculation'!$H$17=TMDAllocationTandM,0,'Delivery Calculation'!AQ91),IF(MDReportingPeriod=TMDMonthly,AH70,IF(MDReportingPeriod=TMDTwoweekly,AH69,AH68)))</f>
        <v>0</v>
      </c>
      <c r="AI74" s="509">
        <f>IF(AI$15=TMDPeriodValueTypeForecast,IF('Delivery Calculation'!$H$17=TMDAllocationTandM,0,'Delivery Calculation'!AR91),IF(MDReportingPeriod=TMDMonthly,AI70,IF(MDReportingPeriod=TMDTwoweekly,AI69,AI68)))</f>
        <v>0</v>
      </c>
      <c r="AJ74" s="509">
        <f>IF(AJ$15=TMDPeriodValueTypeForecast,IF('Delivery Calculation'!$H$17=TMDAllocationTandM,0,'Delivery Calculation'!AS91),IF(MDReportingPeriod=TMDMonthly,AJ70,IF(MDReportingPeriod=TMDTwoweekly,AJ69,AJ68)))</f>
        <v>0</v>
      </c>
      <c r="AK74" s="509">
        <f>IF(AK$15=TMDPeriodValueTypeForecast,IF('Delivery Calculation'!$H$17=TMDAllocationTandM,0,'Delivery Calculation'!AT91),IF(MDReportingPeriod=TMDMonthly,AK70,IF(MDReportingPeriod=TMDTwoweekly,AK69,AK68)))</f>
        <v>0</v>
      </c>
      <c r="AL74" s="509">
        <f>IF(AL$15=TMDPeriodValueTypeForecast,IF('Delivery Calculation'!$H$17=TMDAllocationTandM,0,'Delivery Calculation'!AU91),IF(MDReportingPeriod=TMDMonthly,AL70,IF(MDReportingPeriod=TMDTwoweekly,AL69,AL68)))</f>
        <v>0</v>
      </c>
      <c r="AM74" s="509">
        <f>IF(AM$15=TMDPeriodValueTypeForecast,IF('Delivery Calculation'!$H$17=TMDAllocationTandM,0,'Delivery Calculation'!AV91),IF(MDReportingPeriod=TMDMonthly,AM70,IF(MDReportingPeriod=TMDTwoweekly,AM69,AM68)))</f>
        <v>0</v>
      </c>
      <c r="AN74" s="509">
        <f>IF(AN$15=TMDPeriodValueTypeForecast,IF('Delivery Calculation'!$H$17=TMDAllocationTandM,0,'Delivery Calculation'!AW91),IF(MDReportingPeriod=TMDMonthly,AN70,IF(MDReportingPeriod=TMDTwoweekly,AN69,AN68)))</f>
        <v>0</v>
      </c>
      <c r="AO74" s="509">
        <f>IF(AO$15=TMDPeriodValueTypeForecast,IF('Delivery Calculation'!$H$17=TMDAllocationTandM,0,'Delivery Calculation'!AX91),IF(MDReportingPeriod=TMDMonthly,AO70,IF(MDReportingPeriod=TMDTwoweekly,AO69,AO68)))</f>
        <v>0</v>
      </c>
      <c r="AP74" s="501"/>
      <c r="AQ74" s="505">
        <f>SUMIF($D$15:$AO$15,TMDPeriodValueTypeReported,D74:AO74)</f>
        <v>0</v>
      </c>
      <c r="AR74" s="505">
        <f>SUMIF($D$15:$AO$15,TMDPeriodValueTypeForecast,D74:AO74)</f>
        <v>0</v>
      </c>
      <c r="AS74" s="523">
        <f>'Delivery Calculation'!I17</f>
        <v>0</v>
      </c>
      <c r="AT74" s="505">
        <f>AS74-(AQ74+AR74)</f>
        <v>0</v>
      </c>
      <c r="AU74" s="505"/>
      <c r="AV74" s="510"/>
      <c r="AW74" s="452"/>
    </row>
    <row r="75" spans="1:49">
      <c r="A75" s="1185"/>
      <c r="B75" s="1182"/>
      <c r="C75" s="499" t="s">
        <v>541</v>
      </c>
      <c r="D75" s="509"/>
      <c r="E75" s="509"/>
      <c r="F75" s="509"/>
      <c r="G75" s="509"/>
      <c r="H75" s="509"/>
      <c r="I75" s="509"/>
      <c r="J75" s="509"/>
      <c r="K75" s="509"/>
      <c r="L75" s="509"/>
      <c r="M75" s="509"/>
      <c r="N75" s="509"/>
      <c r="O75" s="509"/>
      <c r="P75" s="509"/>
      <c r="Q75" s="509"/>
      <c r="R75" s="509"/>
      <c r="S75" s="509"/>
      <c r="T75" s="509"/>
      <c r="U75" s="509"/>
      <c r="V75" s="509"/>
      <c r="W75" s="509"/>
      <c r="X75" s="509"/>
      <c r="Y75" s="509"/>
      <c r="Z75" s="509"/>
      <c r="AA75" s="509"/>
      <c r="AB75" s="509"/>
      <c r="AC75" s="509"/>
      <c r="AD75" s="509"/>
      <c r="AE75" s="509"/>
      <c r="AF75" s="509"/>
      <c r="AG75" s="509"/>
      <c r="AH75" s="509"/>
      <c r="AI75" s="509"/>
      <c r="AJ75" s="509"/>
      <c r="AK75" s="509"/>
      <c r="AL75" s="509"/>
      <c r="AM75" s="509"/>
      <c r="AN75" s="509"/>
      <c r="AO75" s="509"/>
      <c r="AP75" s="501"/>
      <c r="AQ75" s="505">
        <f>SUMIF($D$15:$AO$15,TMDPeriodValueTypeReported,D75:AO75)</f>
        <v>0</v>
      </c>
      <c r="AR75" s="505">
        <f>SUMIF($D$15:$AO$15,TMDPeriodValueTypeForecast,D75:AO75)</f>
        <v>0</v>
      </c>
      <c r="AS75" s="505"/>
      <c r="AT75" s="505">
        <f>AQ75+AR75</f>
        <v>0</v>
      </c>
      <c r="AU75" s="505"/>
      <c r="AV75" s="510"/>
      <c r="AW75" s="452"/>
    </row>
    <row r="76" spans="1:49" hidden="1">
      <c r="A76" s="143"/>
      <c r="B76" s="483"/>
      <c r="C76" s="496" t="s">
        <v>1339</v>
      </c>
      <c r="D76" s="516">
        <f t="shared" ref="D76:AO76" si="30">IF(ISERR(GETPIVOTDATA("[Measures].[Hours]",TRIMARANweekly,"[Order].[Position Number]","[Order].[Position Number].&amp;[" &amp; $B83 &amp; "]","[Period].[Week]","[Period].[Week].&amp;[" &amp; YEAR(D$14-7) &amp; TEXT(WEEKNUM(D$14-7),"00") &amp; "]")),0,GETPIVOTDATA("[Measures].[Hours]",TRIMARANweekly,"[Order].[Position Number]","[Order].[Position Number].&amp;[" &amp; $B83 &amp; "]","[Period].[Week]","[Period].[Week].&amp;[" &amp; YEAR(D$14-7) &amp; TEXT(WEEKNUM(D$14-7),"00") &amp; "]"))</f>
        <v>0</v>
      </c>
      <c r="E76" s="516">
        <f t="shared" si="30"/>
        <v>0</v>
      </c>
      <c r="F76" s="516">
        <f t="shared" si="30"/>
        <v>0</v>
      </c>
      <c r="G76" s="516">
        <f t="shared" si="30"/>
        <v>0</v>
      </c>
      <c r="H76" s="516">
        <f t="shared" si="30"/>
        <v>0</v>
      </c>
      <c r="I76" s="516">
        <f t="shared" si="30"/>
        <v>0</v>
      </c>
      <c r="J76" s="516">
        <f t="shared" si="30"/>
        <v>0</v>
      </c>
      <c r="K76" s="516">
        <f t="shared" si="30"/>
        <v>0</v>
      </c>
      <c r="L76" s="516">
        <f t="shared" si="30"/>
        <v>0</v>
      </c>
      <c r="M76" s="516">
        <f t="shared" si="30"/>
        <v>0</v>
      </c>
      <c r="N76" s="516">
        <f t="shared" si="30"/>
        <v>0</v>
      </c>
      <c r="O76" s="516">
        <f t="shared" si="30"/>
        <v>0</v>
      </c>
      <c r="P76" s="516">
        <f t="shared" si="30"/>
        <v>0</v>
      </c>
      <c r="Q76" s="516">
        <f t="shared" si="30"/>
        <v>0</v>
      </c>
      <c r="R76" s="516">
        <f t="shared" si="30"/>
        <v>0</v>
      </c>
      <c r="S76" s="516">
        <f t="shared" si="30"/>
        <v>0</v>
      </c>
      <c r="T76" s="516">
        <f t="shared" si="30"/>
        <v>0</v>
      </c>
      <c r="U76" s="516">
        <f t="shared" si="30"/>
        <v>0</v>
      </c>
      <c r="V76" s="516">
        <f t="shared" si="30"/>
        <v>0</v>
      </c>
      <c r="W76" s="516">
        <f t="shared" si="30"/>
        <v>0</v>
      </c>
      <c r="X76" s="516">
        <f t="shared" si="30"/>
        <v>0</v>
      </c>
      <c r="Y76" s="516">
        <f t="shared" si="30"/>
        <v>0</v>
      </c>
      <c r="Z76" s="516">
        <f t="shared" si="30"/>
        <v>0</v>
      </c>
      <c r="AA76" s="516">
        <f t="shared" si="30"/>
        <v>0</v>
      </c>
      <c r="AB76" s="516">
        <f t="shared" si="30"/>
        <v>0</v>
      </c>
      <c r="AC76" s="516">
        <f t="shared" si="30"/>
        <v>0</v>
      </c>
      <c r="AD76" s="516">
        <f t="shared" si="30"/>
        <v>0</v>
      </c>
      <c r="AE76" s="516">
        <f t="shared" si="30"/>
        <v>0</v>
      </c>
      <c r="AF76" s="516">
        <f t="shared" si="30"/>
        <v>0</v>
      </c>
      <c r="AG76" s="516">
        <f t="shared" si="30"/>
        <v>0</v>
      </c>
      <c r="AH76" s="516">
        <f t="shared" si="30"/>
        <v>0</v>
      </c>
      <c r="AI76" s="516">
        <f t="shared" si="30"/>
        <v>0</v>
      </c>
      <c r="AJ76" s="516">
        <f t="shared" si="30"/>
        <v>0</v>
      </c>
      <c r="AK76" s="516">
        <f t="shared" si="30"/>
        <v>0</v>
      </c>
      <c r="AL76" s="516">
        <f t="shared" si="30"/>
        <v>0</v>
      </c>
      <c r="AM76" s="516">
        <f t="shared" si="30"/>
        <v>0</v>
      </c>
      <c r="AN76" s="516">
        <f t="shared" si="30"/>
        <v>0</v>
      </c>
      <c r="AO76" s="516">
        <f t="shared" si="30"/>
        <v>0</v>
      </c>
      <c r="AP76" s="501"/>
      <c r="AQ76" s="505"/>
      <c r="AR76" s="505"/>
      <c r="AS76" s="505"/>
      <c r="AT76" s="505"/>
      <c r="AU76" s="505"/>
      <c r="AV76" s="510"/>
      <c r="AW76" s="452"/>
    </row>
    <row r="77" spans="1:49" hidden="1">
      <c r="A77" s="143"/>
      <c r="B77" s="483"/>
      <c r="C77" s="496" t="s">
        <v>1340</v>
      </c>
      <c r="D77" s="516">
        <f t="shared" ref="D77:AO77" si="31">IF(ISERR(GETPIVOTDATA("[Measures].[Hours]",TRIMARANweekly,"[Order].[Position Number]","[Order].[Position Number].&amp;[" &amp; $B83 &amp; "]","[Period].[Week]","[Period].[Week].&amp;[" &amp; YEAR(D$14-14) &amp; TEXT(WEEKNUM(D$14-14),"00") &amp; "]")),0,GETPIVOTDATA("[Measures].[Hours]",TRIMARANweekly,"[Order].[Position Number]","[Order].[Position Number].&amp;[" &amp; $B83 &amp; "]","[Period].[Week]","[Period].[Week].&amp;[" &amp; YEAR(D$14-14) &amp; TEXT(WEEKNUM(D$14-14),"00") &amp; "]"))+D76</f>
        <v>0</v>
      </c>
      <c r="E77" s="516">
        <f t="shared" si="31"/>
        <v>0</v>
      </c>
      <c r="F77" s="516">
        <f t="shared" si="31"/>
        <v>0</v>
      </c>
      <c r="G77" s="516">
        <f t="shared" si="31"/>
        <v>0</v>
      </c>
      <c r="H77" s="516">
        <f t="shared" si="31"/>
        <v>0</v>
      </c>
      <c r="I77" s="516">
        <f t="shared" si="31"/>
        <v>0</v>
      </c>
      <c r="J77" s="516">
        <f t="shared" si="31"/>
        <v>0</v>
      </c>
      <c r="K77" s="516">
        <f t="shared" si="31"/>
        <v>0</v>
      </c>
      <c r="L77" s="516">
        <f t="shared" si="31"/>
        <v>0</v>
      </c>
      <c r="M77" s="516">
        <f t="shared" si="31"/>
        <v>0</v>
      </c>
      <c r="N77" s="516">
        <f t="shared" si="31"/>
        <v>0</v>
      </c>
      <c r="O77" s="516">
        <f t="shared" si="31"/>
        <v>0</v>
      </c>
      <c r="P77" s="516">
        <f t="shared" si="31"/>
        <v>0</v>
      </c>
      <c r="Q77" s="516">
        <f t="shared" si="31"/>
        <v>0</v>
      </c>
      <c r="R77" s="516">
        <f t="shared" si="31"/>
        <v>0</v>
      </c>
      <c r="S77" s="516">
        <f t="shared" si="31"/>
        <v>0</v>
      </c>
      <c r="T77" s="516">
        <f t="shared" si="31"/>
        <v>0</v>
      </c>
      <c r="U77" s="516">
        <f t="shared" si="31"/>
        <v>0</v>
      </c>
      <c r="V77" s="516">
        <f t="shared" si="31"/>
        <v>0</v>
      </c>
      <c r="W77" s="516">
        <f t="shared" si="31"/>
        <v>0</v>
      </c>
      <c r="X77" s="516">
        <f t="shared" si="31"/>
        <v>0</v>
      </c>
      <c r="Y77" s="516">
        <f t="shared" si="31"/>
        <v>0</v>
      </c>
      <c r="Z77" s="516">
        <f t="shared" si="31"/>
        <v>0</v>
      </c>
      <c r="AA77" s="516">
        <f t="shared" si="31"/>
        <v>0</v>
      </c>
      <c r="AB77" s="516">
        <f t="shared" si="31"/>
        <v>0</v>
      </c>
      <c r="AC77" s="516">
        <f t="shared" si="31"/>
        <v>0</v>
      </c>
      <c r="AD77" s="516">
        <f t="shared" si="31"/>
        <v>0</v>
      </c>
      <c r="AE77" s="516">
        <f t="shared" si="31"/>
        <v>0</v>
      </c>
      <c r="AF77" s="516">
        <f t="shared" si="31"/>
        <v>0</v>
      </c>
      <c r="AG77" s="516">
        <f t="shared" si="31"/>
        <v>0</v>
      </c>
      <c r="AH77" s="516">
        <f t="shared" si="31"/>
        <v>0</v>
      </c>
      <c r="AI77" s="516">
        <f t="shared" si="31"/>
        <v>0</v>
      </c>
      <c r="AJ77" s="516">
        <f t="shared" si="31"/>
        <v>0</v>
      </c>
      <c r="AK77" s="516">
        <f t="shared" si="31"/>
        <v>0</v>
      </c>
      <c r="AL77" s="516">
        <f t="shared" si="31"/>
        <v>0</v>
      </c>
      <c r="AM77" s="516">
        <f t="shared" si="31"/>
        <v>0</v>
      </c>
      <c r="AN77" s="516">
        <f t="shared" si="31"/>
        <v>0</v>
      </c>
      <c r="AO77" s="516">
        <f t="shared" si="31"/>
        <v>0</v>
      </c>
      <c r="AP77" s="501"/>
      <c r="AQ77" s="505"/>
      <c r="AR77" s="505"/>
      <c r="AS77" s="505"/>
      <c r="AT77" s="505"/>
      <c r="AU77" s="505"/>
      <c r="AV77" s="510"/>
      <c r="AW77" s="452"/>
    </row>
    <row r="78" spans="1:49" hidden="1">
      <c r="A78" s="143"/>
      <c r="B78" s="483"/>
      <c r="C78" s="496" t="s">
        <v>1341</v>
      </c>
      <c r="D78" s="516">
        <f t="shared" ref="D78:AO78" si="32">IF(ISERR(GETPIVOTDATA("[Measures].[Hours]",TRIMARANmonthly,"[Period].[Month]","[Period].[Month].&amp;["&amp;IF(MONTH(D$14)=1,YEAR(D$14)-1&amp;TEXT(12,"00"),YEAR(D$14)&amp;TEXT(MONTH(D$14)-1,"00"))&amp;"]","[Order].[Position Number]","[Order].[Position Number].&amp;["&amp;$B83&amp;"]")),0,GETPIVOTDATA("[Measures].[Hours]",TRIMARANmonthly,"[Period].[Month]","[Period].[Month].&amp;["&amp;IF(MONTH(D$14)=1,YEAR(D$14)-1&amp;TEXT(12,"00"),YEAR(D$14)&amp;TEXT(MONTH(D$14)-1,"00"))&amp;"]","[Order].[Position Number]","[Order].[Position Number].&amp;["&amp;$B83&amp;"]"))</f>
        <v>0</v>
      </c>
      <c r="E78" s="516">
        <f t="shared" si="32"/>
        <v>0</v>
      </c>
      <c r="F78" s="516">
        <f t="shared" si="32"/>
        <v>0</v>
      </c>
      <c r="G78" s="516">
        <f t="shared" si="32"/>
        <v>0</v>
      </c>
      <c r="H78" s="516">
        <f t="shared" si="32"/>
        <v>0</v>
      </c>
      <c r="I78" s="516">
        <f t="shared" si="32"/>
        <v>0</v>
      </c>
      <c r="J78" s="516">
        <f t="shared" si="32"/>
        <v>0</v>
      </c>
      <c r="K78" s="516">
        <f t="shared" si="32"/>
        <v>0</v>
      </c>
      <c r="L78" s="516">
        <f t="shared" si="32"/>
        <v>0</v>
      </c>
      <c r="M78" s="516">
        <f t="shared" si="32"/>
        <v>0</v>
      </c>
      <c r="N78" s="516">
        <f t="shared" si="32"/>
        <v>0</v>
      </c>
      <c r="O78" s="516">
        <f t="shared" si="32"/>
        <v>0</v>
      </c>
      <c r="P78" s="516">
        <f t="shared" si="32"/>
        <v>0</v>
      </c>
      <c r="Q78" s="516">
        <f t="shared" si="32"/>
        <v>0</v>
      </c>
      <c r="R78" s="516">
        <f t="shared" si="32"/>
        <v>0</v>
      </c>
      <c r="S78" s="516">
        <f t="shared" si="32"/>
        <v>0</v>
      </c>
      <c r="T78" s="516">
        <f t="shared" si="32"/>
        <v>0</v>
      </c>
      <c r="U78" s="516">
        <f t="shared" si="32"/>
        <v>0</v>
      </c>
      <c r="V78" s="516">
        <f t="shared" si="32"/>
        <v>0</v>
      </c>
      <c r="W78" s="516">
        <f t="shared" si="32"/>
        <v>0</v>
      </c>
      <c r="X78" s="516">
        <f t="shared" si="32"/>
        <v>0</v>
      </c>
      <c r="Y78" s="516">
        <f t="shared" si="32"/>
        <v>0</v>
      </c>
      <c r="Z78" s="516">
        <f t="shared" si="32"/>
        <v>0</v>
      </c>
      <c r="AA78" s="516">
        <f t="shared" si="32"/>
        <v>0</v>
      </c>
      <c r="AB78" s="516">
        <f t="shared" si="32"/>
        <v>0</v>
      </c>
      <c r="AC78" s="516">
        <f t="shared" si="32"/>
        <v>0</v>
      </c>
      <c r="AD78" s="516">
        <f t="shared" si="32"/>
        <v>0</v>
      </c>
      <c r="AE78" s="516">
        <f t="shared" si="32"/>
        <v>0</v>
      </c>
      <c r="AF78" s="516">
        <f t="shared" si="32"/>
        <v>0</v>
      </c>
      <c r="AG78" s="516">
        <f t="shared" si="32"/>
        <v>0</v>
      </c>
      <c r="AH78" s="516">
        <f t="shared" si="32"/>
        <v>0</v>
      </c>
      <c r="AI78" s="516">
        <f t="shared" si="32"/>
        <v>0</v>
      </c>
      <c r="AJ78" s="516">
        <f t="shared" si="32"/>
        <v>0</v>
      </c>
      <c r="AK78" s="516">
        <f t="shared" si="32"/>
        <v>0</v>
      </c>
      <c r="AL78" s="516">
        <f t="shared" si="32"/>
        <v>0</v>
      </c>
      <c r="AM78" s="516">
        <f t="shared" si="32"/>
        <v>0</v>
      </c>
      <c r="AN78" s="516">
        <f t="shared" si="32"/>
        <v>0</v>
      </c>
      <c r="AO78" s="516">
        <f t="shared" si="32"/>
        <v>0</v>
      </c>
      <c r="AP78" s="501"/>
      <c r="AQ78" s="505"/>
      <c r="AR78" s="505"/>
      <c r="AS78" s="505"/>
      <c r="AT78" s="505"/>
      <c r="AU78" s="505"/>
      <c r="AV78" s="510"/>
      <c r="AW78" s="452"/>
    </row>
    <row r="79" spans="1:49" hidden="1">
      <c r="A79" s="143"/>
      <c r="B79" s="483"/>
      <c r="C79" s="496" t="s">
        <v>1339</v>
      </c>
      <c r="D79" s="516">
        <f t="shared" ref="D79:AO79" si="33">IF(ISERR(GETPIVOTDATA("[Measures].[" &amp; MDContractCurrency &amp; "]",TRIMARANweekly,"[Order].[Position Number]","[Order].[Position Number].&amp;[" &amp; $B83 &amp; "]","[Period].[Week]","[Period].[Week].&amp;[" &amp; YEAR(D$14-7) &amp; TEXT(WEEKNUM(D$14-7),"00") &amp; "]")),0,GETPIVOTDATA("[Measures].[" &amp; MDContractCurrency &amp; "]",TRIMARANweekly,"[Order].[Position Number]","[Order].[Position Number].&amp;[" &amp; $B83 &amp; "]","[Period].[Week]","[Period].[Week].&amp;[" &amp; YEAR(D$14-7) &amp; TEXT(WEEKNUM(D$14-7),"00") &amp; "]"))</f>
        <v>0</v>
      </c>
      <c r="E79" s="516">
        <f t="shared" si="33"/>
        <v>0</v>
      </c>
      <c r="F79" s="516">
        <f t="shared" si="33"/>
        <v>0</v>
      </c>
      <c r="G79" s="516">
        <f t="shared" si="33"/>
        <v>0</v>
      </c>
      <c r="H79" s="516">
        <f t="shared" si="33"/>
        <v>0</v>
      </c>
      <c r="I79" s="516">
        <f t="shared" si="33"/>
        <v>0</v>
      </c>
      <c r="J79" s="516">
        <f t="shared" si="33"/>
        <v>0</v>
      </c>
      <c r="K79" s="516">
        <f t="shared" si="33"/>
        <v>0</v>
      </c>
      <c r="L79" s="516">
        <f t="shared" si="33"/>
        <v>0</v>
      </c>
      <c r="M79" s="516">
        <f t="shared" si="33"/>
        <v>0</v>
      </c>
      <c r="N79" s="516">
        <f t="shared" si="33"/>
        <v>0</v>
      </c>
      <c r="O79" s="516">
        <f t="shared" si="33"/>
        <v>0</v>
      </c>
      <c r="P79" s="516">
        <f t="shared" si="33"/>
        <v>0</v>
      </c>
      <c r="Q79" s="516">
        <f t="shared" si="33"/>
        <v>0</v>
      </c>
      <c r="R79" s="516">
        <f t="shared" si="33"/>
        <v>0</v>
      </c>
      <c r="S79" s="516">
        <f t="shared" si="33"/>
        <v>0</v>
      </c>
      <c r="T79" s="516">
        <f t="shared" si="33"/>
        <v>0</v>
      </c>
      <c r="U79" s="516">
        <f t="shared" si="33"/>
        <v>0</v>
      </c>
      <c r="V79" s="516">
        <f t="shared" si="33"/>
        <v>0</v>
      </c>
      <c r="W79" s="516">
        <f t="shared" si="33"/>
        <v>0</v>
      </c>
      <c r="X79" s="516">
        <f t="shared" si="33"/>
        <v>0</v>
      </c>
      <c r="Y79" s="516">
        <f t="shared" si="33"/>
        <v>0</v>
      </c>
      <c r="Z79" s="516">
        <f t="shared" si="33"/>
        <v>0</v>
      </c>
      <c r="AA79" s="516">
        <f t="shared" si="33"/>
        <v>0</v>
      </c>
      <c r="AB79" s="516">
        <f t="shared" si="33"/>
        <v>0</v>
      </c>
      <c r="AC79" s="516">
        <f t="shared" si="33"/>
        <v>0</v>
      </c>
      <c r="AD79" s="516">
        <f t="shared" si="33"/>
        <v>0</v>
      </c>
      <c r="AE79" s="516">
        <f t="shared" si="33"/>
        <v>0</v>
      </c>
      <c r="AF79" s="516">
        <f t="shared" si="33"/>
        <v>0</v>
      </c>
      <c r="AG79" s="516">
        <f t="shared" si="33"/>
        <v>0</v>
      </c>
      <c r="AH79" s="516">
        <f t="shared" si="33"/>
        <v>0</v>
      </c>
      <c r="AI79" s="516">
        <f t="shared" si="33"/>
        <v>0</v>
      </c>
      <c r="AJ79" s="516">
        <f t="shared" si="33"/>
        <v>0</v>
      </c>
      <c r="AK79" s="516">
        <f t="shared" si="33"/>
        <v>0</v>
      </c>
      <c r="AL79" s="516">
        <f t="shared" si="33"/>
        <v>0</v>
      </c>
      <c r="AM79" s="516">
        <f t="shared" si="33"/>
        <v>0</v>
      </c>
      <c r="AN79" s="516">
        <f t="shared" si="33"/>
        <v>0</v>
      </c>
      <c r="AO79" s="516">
        <f t="shared" si="33"/>
        <v>0</v>
      </c>
      <c r="AP79" s="501"/>
      <c r="AQ79" s="505"/>
      <c r="AR79" s="505"/>
      <c r="AS79" s="505"/>
      <c r="AT79" s="505"/>
      <c r="AU79" s="505"/>
      <c r="AV79" s="510"/>
      <c r="AW79" s="452"/>
    </row>
    <row r="80" spans="1:49" hidden="1">
      <c r="A80" s="143"/>
      <c r="B80" s="483"/>
      <c r="C80" s="496" t="s">
        <v>1340</v>
      </c>
      <c r="D80" s="516">
        <f t="shared" ref="D80:AO80" si="34">IF(ISERR(GETPIVOTDATA("[Measures].[" &amp; MDContractCurrency &amp; "]",TRIMARANweekly,"[Order].[Position Number]","[Order].[Position Number].&amp;[" &amp; $B83 &amp; "]","[Period].[Week]","[Period].[Week].&amp;[" &amp; YEAR(D$14-14) &amp; TEXT(WEEKNUM(D$14-14),"00") &amp; "]")),0,GETPIVOTDATA("[Measures].[" &amp; MDContractCurrency &amp; "]",TRIMARANweekly,"[Order].[Position Number]","[Order].[Position Number].&amp;[" &amp; $B83 &amp; "]","[Period].[Week]","[Period].[Week].&amp;[" &amp; YEAR(D$14-14) &amp; TEXT(WEEKNUM(D$14-14),"00") &amp; "]"))+D79</f>
        <v>0</v>
      </c>
      <c r="E80" s="516">
        <f t="shared" si="34"/>
        <v>0</v>
      </c>
      <c r="F80" s="516">
        <f t="shared" si="34"/>
        <v>0</v>
      </c>
      <c r="G80" s="516">
        <f t="shared" si="34"/>
        <v>0</v>
      </c>
      <c r="H80" s="516">
        <f t="shared" si="34"/>
        <v>0</v>
      </c>
      <c r="I80" s="516">
        <f t="shared" si="34"/>
        <v>0</v>
      </c>
      <c r="J80" s="516">
        <f t="shared" si="34"/>
        <v>0</v>
      </c>
      <c r="K80" s="516">
        <f t="shared" si="34"/>
        <v>0</v>
      </c>
      <c r="L80" s="516">
        <f t="shared" si="34"/>
        <v>0</v>
      </c>
      <c r="M80" s="516">
        <f t="shared" si="34"/>
        <v>0</v>
      </c>
      <c r="N80" s="516">
        <f t="shared" si="34"/>
        <v>0</v>
      </c>
      <c r="O80" s="516">
        <f t="shared" si="34"/>
        <v>0</v>
      </c>
      <c r="P80" s="516">
        <f t="shared" si="34"/>
        <v>0</v>
      </c>
      <c r="Q80" s="516">
        <f t="shared" si="34"/>
        <v>0</v>
      </c>
      <c r="R80" s="516">
        <f t="shared" si="34"/>
        <v>0</v>
      </c>
      <c r="S80" s="516">
        <f t="shared" si="34"/>
        <v>0</v>
      </c>
      <c r="T80" s="516">
        <f t="shared" si="34"/>
        <v>0</v>
      </c>
      <c r="U80" s="516">
        <f t="shared" si="34"/>
        <v>0</v>
      </c>
      <c r="V80" s="516">
        <f t="shared" si="34"/>
        <v>0</v>
      </c>
      <c r="W80" s="516">
        <f t="shared" si="34"/>
        <v>0</v>
      </c>
      <c r="X80" s="516">
        <f t="shared" si="34"/>
        <v>0</v>
      </c>
      <c r="Y80" s="516">
        <f t="shared" si="34"/>
        <v>0</v>
      </c>
      <c r="Z80" s="516">
        <f t="shared" si="34"/>
        <v>0</v>
      </c>
      <c r="AA80" s="516">
        <f t="shared" si="34"/>
        <v>0</v>
      </c>
      <c r="AB80" s="516">
        <f t="shared" si="34"/>
        <v>0</v>
      </c>
      <c r="AC80" s="516">
        <f t="shared" si="34"/>
        <v>0</v>
      </c>
      <c r="AD80" s="516">
        <f t="shared" si="34"/>
        <v>0</v>
      </c>
      <c r="AE80" s="516">
        <f t="shared" si="34"/>
        <v>0</v>
      </c>
      <c r="AF80" s="516">
        <f t="shared" si="34"/>
        <v>0</v>
      </c>
      <c r="AG80" s="516">
        <f t="shared" si="34"/>
        <v>0</v>
      </c>
      <c r="AH80" s="516">
        <f t="shared" si="34"/>
        <v>0</v>
      </c>
      <c r="AI80" s="516">
        <f t="shared" si="34"/>
        <v>0</v>
      </c>
      <c r="AJ80" s="516">
        <f t="shared" si="34"/>
        <v>0</v>
      </c>
      <c r="AK80" s="516">
        <f t="shared" si="34"/>
        <v>0</v>
      </c>
      <c r="AL80" s="516">
        <f t="shared" si="34"/>
        <v>0</v>
      </c>
      <c r="AM80" s="516">
        <f t="shared" si="34"/>
        <v>0</v>
      </c>
      <c r="AN80" s="516">
        <f t="shared" si="34"/>
        <v>0</v>
      </c>
      <c r="AO80" s="516">
        <f t="shared" si="34"/>
        <v>0</v>
      </c>
      <c r="AP80" s="501"/>
      <c r="AQ80" s="505"/>
      <c r="AR80" s="505"/>
      <c r="AS80" s="505"/>
      <c r="AT80" s="505"/>
      <c r="AU80" s="505"/>
      <c r="AV80" s="510"/>
      <c r="AW80" s="452"/>
    </row>
    <row r="81" spans="1:49" hidden="1">
      <c r="A81" s="141"/>
      <c r="B81" s="517"/>
      <c r="C81" s="496" t="s">
        <v>1341</v>
      </c>
      <c r="D81" s="516">
        <f t="shared" ref="D81:AO81" si="35">IF(ISERR(GETPIVOTDATA("[Measures].[" &amp; MDContractCurrency &amp; "]",TRIMARANmonthly,"[Period].[Month]","[Period].[Month].&amp;["&amp;IF(MONTH(D$14)=1,YEAR(D$14)-1&amp;TEXT(12,"00"),YEAR(D$14)&amp;TEXT(MONTH(D$14)-1,"00"))&amp;"]","[Order].[Position Number]","[Order].[Position Number].&amp;["&amp;$B83&amp;"]")),0,GETPIVOTDATA("[Measures].[" &amp; MDContractCurrency &amp; "]",TRIMARANmonthly,"[Period].[Month]","[Period].[Month].&amp;["&amp;IF(MONTH(D$14)=1,YEAR(D$14)-1&amp;TEXT(12,"00"),YEAR(D$14)&amp;TEXT(MONTH(D$14)-1,"00"))&amp;"]","[Order].[Position Number]","[Order].[Position Number].&amp;["&amp;$B83&amp;"]"))</f>
        <v>0</v>
      </c>
      <c r="E81" s="516">
        <f t="shared" si="35"/>
        <v>0</v>
      </c>
      <c r="F81" s="516">
        <f t="shared" si="35"/>
        <v>0</v>
      </c>
      <c r="G81" s="516">
        <f t="shared" si="35"/>
        <v>0</v>
      </c>
      <c r="H81" s="516">
        <f t="shared" si="35"/>
        <v>0</v>
      </c>
      <c r="I81" s="516">
        <f t="shared" si="35"/>
        <v>0</v>
      </c>
      <c r="J81" s="516">
        <f t="shared" si="35"/>
        <v>0</v>
      </c>
      <c r="K81" s="516">
        <f t="shared" si="35"/>
        <v>0</v>
      </c>
      <c r="L81" s="516">
        <f t="shared" si="35"/>
        <v>0</v>
      </c>
      <c r="M81" s="516">
        <f t="shared" si="35"/>
        <v>0</v>
      </c>
      <c r="N81" s="516">
        <f t="shared" si="35"/>
        <v>0</v>
      </c>
      <c r="O81" s="516">
        <f t="shared" si="35"/>
        <v>0</v>
      </c>
      <c r="P81" s="516">
        <f t="shared" si="35"/>
        <v>0</v>
      </c>
      <c r="Q81" s="516">
        <f t="shared" si="35"/>
        <v>0</v>
      </c>
      <c r="R81" s="516">
        <f t="shared" si="35"/>
        <v>0</v>
      </c>
      <c r="S81" s="516">
        <f t="shared" si="35"/>
        <v>0</v>
      </c>
      <c r="T81" s="516">
        <f t="shared" si="35"/>
        <v>0</v>
      </c>
      <c r="U81" s="516">
        <f t="shared" si="35"/>
        <v>0</v>
      </c>
      <c r="V81" s="516">
        <f t="shared" si="35"/>
        <v>0</v>
      </c>
      <c r="W81" s="516">
        <f t="shared" si="35"/>
        <v>0</v>
      </c>
      <c r="X81" s="516">
        <f t="shared" si="35"/>
        <v>0</v>
      </c>
      <c r="Y81" s="516">
        <f t="shared" si="35"/>
        <v>0</v>
      </c>
      <c r="Z81" s="516">
        <f t="shared" si="35"/>
        <v>0</v>
      </c>
      <c r="AA81" s="516">
        <f t="shared" si="35"/>
        <v>0</v>
      </c>
      <c r="AB81" s="516">
        <f t="shared" si="35"/>
        <v>0</v>
      </c>
      <c r="AC81" s="516">
        <f t="shared" si="35"/>
        <v>0</v>
      </c>
      <c r="AD81" s="516">
        <f t="shared" si="35"/>
        <v>0</v>
      </c>
      <c r="AE81" s="516">
        <f t="shared" si="35"/>
        <v>0</v>
      </c>
      <c r="AF81" s="516">
        <f t="shared" si="35"/>
        <v>0</v>
      </c>
      <c r="AG81" s="516">
        <f t="shared" si="35"/>
        <v>0</v>
      </c>
      <c r="AH81" s="516">
        <f t="shared" si="35"/>
        <v>0</v>
      </c>
      <c r="AI81" s="516">
        <f t="shared" si="35"/>
        <v>0</v>
      </c>
      <c r="AJ81" s="516">
        <f t="shared" si="35"/>
        <v>0</v>
      </c>
      <c r="AK81" s="516">
        <f t="shared" si="35"/>
        <v>0</v>
      </c>
      <c r="AL81" s="516">
        <f t="shared" si="35"/>
        <v>0</v>
      </c>
      <c r="AM81" s="516">
        <f t="shared" si="35"/>
        <v>0</v>
      </c>
      <c r="AN81" s="516">
        <f t="shared" si="35"/>
        <v>0</v>
      </c>
      <c r="AO81" s="516">
        <f t="shared" si="35"/>
        <v>0</v>
      </c>
      <c r="AP81" s="501"/>
      <c r="AQ81" s="505"/>
      <c r="AR81" s="505"/>
      <c r="AS81" s="505"/>
      <c r="AT81" s="505"/>
      <c r="AU81" s="505"/>
      <c r="AV81" s="510"/>
      <c r="AW81" s="452"/>
    </row>
    <row r="82" spans="1:49">
      <c r="A82" s="143"/>
      <c r="B82" s="483"/>
      <c r="C82" s="524"/>
      <c r="D82" s="501"/>
      <c r="E82" s="501"/>
      <c r="F82" s="501"/>
      <c r="G82" s="501"/>
      <c r="H82" s="501"/>
      <c r="I82" s="501"/>
      <c r="J82" s="501"/>
      <c r="K82" s="501"/>
      <c r="L82" s="501"/>
      <c r="M82" s="501"/>
      <c r="N82" s="501"/>
      <c r="O82" s="501"/>
      <c r="P82" s="501"/>
      <c r="Q82" s="501"/>
      <c r="R82" s="501"/>
      <c r="S82" s="501"/>
      <c r="T82" s="501"/>
      <c r="U82" s="501"/>
      <c r="V82" s="501"/>
      <c r="W82" s="501"/>
      <c r="X82" s="501"/>
      <c r="Y82" s="501"/>
      <c r="Z82" s="501"/>
      <c r="AA82" s="501"/>
      <c r="AB82" s="501"/>
      <c r="AC82" s="501"/>
      <c r="AD82" s="501"/>
      <c r="AE82" s="501"/>
      <c r="AF82" s="501"/>
      <c r="AG82" s="501"/>
      <c r="AH82" s="501"/>
      <c r="AI82" s="501"/>
      <c r="AJ82" s="501"/>
      <c r="AK82" s="501"/>
      <c r="AL82" s="501"/>
      <c r="AM82" s="501"/>
      <c r="AN82" s="501"/>
      <c r="AO82" s="501"/>
      <c r="AP82" s="501"/>
      <c r="AQ82" s="505"/>
      <c r="AR82" s="505"/>
      <c r="AS82" s="505"/>
      <c r="AT82" s="505"/>
      <c r="AU82" s="505"/>
      <c r="AV82" s="510"/>
      <c r="AW82" s="452"/>
    </row>
    <row r="83" spans="1:49">
      <c r="A83" s="1183" t="str">
        <f>'Delivery Calculation'!B18 &amp; CHAR(10) &amp; 'Delivery Calculation'!P18 &amp; " - " &amp; 'Delivery Calculation'!Q18</f>
        <v xml:space="preserve">0
 - </v>
      </c>
      <c r="B83" s="1180">
        <f>'Delivery Calculation'!A18</f>
        <v>0</v>
      </c>
      <c r="C83" s="499" t="s">
        <v>542</v>
      </c>
      <c r="D83" s="518">
        <f>'Delivery Calculation'!M199</f>
        <v>0</v>
      </c>
      <c r="E83" s="518">
        <f>'Delivery Calculation'!N199</f>
        <v>0</v>
      </c>
      <c r="F83" s="518">
        <f>'Delivery Calculation'!O199</f>
        <v>0</v>
      </c>
      <c r="G83" s="518">
        <f>'Delivery Calculation'!P199</f>
        <v>0</v>
      </c>
      <c r="H83" s="518">
        <f>'Delivery Calculation'!Q199</f>
        <v>0</v>
      </c>
      <c r="I83" s="518">
        <f>'Delivery Calculation'!R199</f>
        <v>0</v>
      </c>
      <c r="J83" s="518">
        <f>'Delivery Calculation'!S199</f>
        <v>0</v>
      </c>
      <c r="K83" s="518">
        <f>'Delivery Calculation'!T199</f>
        <v>0</v>
      </c>
      <c r="L83" s="518">
        <f>'Delivery Calculation'!U199</f>
        <v>0</v>
      </c>
      <c r="M83" s="518">
        <f>'Delivery Calculation'!V199</f>
        <v>0</v>
      </c>
      <c r="N83" s="518">
        <f>'Delivery Calculation'!W199</f>
        <v>0</v>
      </c>
      <c r="O83" s="518">
        <f>'Delivery Calculation'!X199</f>
        <v>0</v>
      </c>
      <c r="P83" s="518">
        <f>'Delivery Calculation'!Y199</f>
        <v>0</v>
      </c>
      <c r="Q83" s="518">
        <f>'Delivery Calculation'!Z199</f>
        <v>0</v>
      </c>
      <c r="R83" s="518">
        <f>'Delivery Calculation'!AA199</f>
        <v>0</v>
      </c>
      <c r="S83" s="518">
        <f>'Delivery Calculation'!AB199</f>
        <v>0</v>
      </c>
      <c r="T83" s="518">
        <f>'Delivery Calculation'!AC199</f>
        <v>0</v>
      </c>
      <c r="U83" s="518">
        <f>'Delivery Calculation'!AD199</f>
        <v>0</v>
      </c>
      <c r="V83" s="518">
        <f>'Delivery Calculation'!AE199</f>
        <v>0</v>
      </c>
      <c r="W83" s="518">
        <f>'Delivery Calculation'!AF199</f>
        <v>0</v>
      </c>
      <c r="X83" s="518">
        <f>'Delivery Calculation'!AG199</f>
        <v>0</v>
      </c>
      <c r="Y83" s="518">
        <f>'Delivery Calculation'!AH199</f>
        <v>0</v>
      </c>
      <c r="Z83" s="518">
        <f>'Delivery Calculation'!AI199</f>
        <v>0</v>
      </c>
      <c r="AA83" s="518">
        <f>'Delivery Calculation'!AJ199</f>
        <v>0</v>
      </c>
      <c r="AB83" s="518">
        <f>'Delivery Calculation'!AK199</f>
        <v>0</v>
      </c>
      <c r="AC83" s="518">
        <f>'Delivery Calculation'!AL199</f>
        <v>0</v>
      </c>
      <c r="AD83" s="518">
        <f>'Delivery Calculation'!AM199</f>
        <v>0</v>
      </c>
      <c r="AE83" s="518">
        <f>'Delivery Calculation'!AN199</f>
        <v>0</v>
      </c>
      <c r="AF83" s="518">
        <f>'Delivery Calculation'!AO199</f>
        <v>0</v>
      </c>
      <c r="AG83" s="518">
        <f>'Delivery Calculation'!AP199</f>
        <v>0</v>
      </c>
      <c r="AH83" s="518">
        <f>'Delivery Calculation'!AQ199</f>
        <v>0</v>
      </c>
      <c r="AI83" s="518">
        <f>'Delivery Calculation'!AR199</f>
        <v>0</v>
      </c>
      <c r="AJ83" s="518">
        <f>'Delivery Calculation'!AS199</f>
        <v>0</v>
      </c>
      <c r="AK83" s="518">
        <f>'Delivery Calculation'!AT199</f>
        <v>0</v>
      </c>
      <c r="AL83" s="518">
        <f>'Delivery Calculation'!AU199</f>
        <v>0</v>
      </c>
      <c r="AM83" s="518">
        <f>'Delivery Calculation'!AV199</f>
        <v>0</v>
      </c>
      <c r="AN83" s="518">
        <f>'Delivery Calculation'!AW199</f>
        <v>0</v>
      </c>
      <c r="AO83" s="518">
        <f>'Delivery Calculation'!AX199</f>
        <v>0</v>
      </c>
      <c r="AP83" s="501"/>
      <c r="AQ83" s="519">
        <f>IF(COUNTIF($D$15:$AO$15, TMDPeriodValueTypeReported)&gt;0, INDEX(D83:AO83,1,COUNTIF(D$15:$AO$15,TMDPeriodValueTypeReported)),0)</f>
        <v>0</v>
      </c>
      <c r="AR83" s="519"/>
      <c r="AS83" s="520">
        <f>'Delivery Calculation'!N18</f>
        <v>0</v>
      </c>
      <c r="AT83" s="519">
        <f>AQ83*'Delivery Calculation'!N18</f>
        <v>0</v>
      </c>
      <c r="AU83" s="521" t="s">
        <v>522</v>
      </c>
      <c r="AV83" s="510"/>
      <c r="AW83" s="452"/>
    </row>
    <row r="84" spans="1:49">
      <c r="A84" s="1184"/>
      <c r="B84" s="1181"/>
      <c r="C84" s="499" t="s">
        <v>543</v>
      </c>
      <c r="D84" s="509">
        <f>IF(D$15=TMDPeriodValueTypeForecast,IF('Delivery Calculation'!$H$18=TMDAllocationTandM,0,'Delivery Calculation'!M128),IF(MDReportingPeriod=TMDMonthly,D78,IF(MDReportingPeriod=TMDTwoweekly,D77,D76)))</f>
        <v>0</v>
      </c>
      <c r="E84" s="509">
        <f>IF(E$15=TMDPeriodValueTypeForecast,IF('Delivery Calculation'!$H$18=TMDAllocationTandM,0,'Delivery Calculation'!N128),IF(MDReportingPeriod=TMDMonthly,E78,IF(MDReportingPeriod=TMDTwoweekly,E77,E76)))</f>
        <v>0</v>
      </c>
      <c r="F84" s="509">
        <f>IF(F$15=TMDPeriodValueTypeForecast,IF('Delivery Calculation'!$H$18=TMDAllocationTandM,0,'Delivery Calculation'!O128),IF(MDReportingPeriod=TMDMonthly,F78,IF(MDReportingPeriod=TMDTwoweekly,F77,F76)))</f>
        <v>0</v>
      </c>
      <c r="G84" s="509">
        <f>IF(G$15=TMDPeriodValueTypeForecast,IF('Delivery Calculation'!$H$18=TMDAllocationTandM,0,'Delivery Calculation'!P128),IF(MDReportingPeriod=TMDMonthly,G78,IF(MDReportingPeriod=TMDTwoweekly,G77,G76)))</f>
        <v>0</v>
      </c>
      <c r="H84" s="509">
        <f>IF(H$15=TMDPeriodValueTypeForecast,IF('Delivery Calculation'!$H$18=TMDAllocationTandM,0,'Delivery Calculation'!Q128),IF(MDReportingPeriod=TMDMonthly,H78,IF(MDReportingPeriod=TMDTwoweekly,H77,H76)))</f>
        <v>0</v>
      </c>
      <c r="I84" s="509">
        <f>IF(I$15=TMDPeriodValueTypeForecast,IF('Delivery Calculation'!$H$18=TMDAllocationTandM,0,'Delivery Calculation'!R128),IF(MDReportingPeriod=TMDMonthly,I78,IF(MDReportingPeriod=TMDTwoweekly,I77,I76)))</f>
        <v>0</v>
      </c>
      <c r="J84" s="509">
        <f>IF(J$15=TMDPeriodValueTypeForecast,IF('Delivery Calculation'!$H$18=TMDAllocationTandM,0,'Delivery Calculation'!S128),IF(MDReportingPeriod=TMDMonthly,J78,IF(MDReportingPeriod=TMDTwoweekly,J77,J76)))</f>
        <v>0</v>
      </c>
      <c r="K84" s="509">
        <f>IF(K$15=TMDPeriodValueTypeForecast,IF('Delivery Calculation'!$H$18=TMDAllocationTandM,0,'Delivery Calculation'!T128),IF(MDReportingPeriod=TMDMonthly,K78,IF(MDReportingPeriod=TMDTwoweekly,K77,K76)))</f>
        <v>0</v>
      </c>
      <c r="L84" s="509">
        <f>IF(L$15=TMDPeriodValueTypeForecast,IF('Delivery Calculation'!$H$18=TMDAllocationTandM,0,'Delivery Calculation'!U128),IF(MDReportingPeriod=TMDMonthly,L78,IF(MDReportingPeriod=TMDTwoweekly,L77,L76)))</f>
        <v>0</v>
      </c>
      <c r="M84" s="509">
        <f>IF(M$15=TMDPeriodValueTypeForecast,IF('Delivery Calculation'!$H$18=TMDAllocationTandM,0,'Delivery Calculation'!V128),IF(MDReportingPeriod=TMDMonthly,M78,IF(MDReportingPeriod=TMDTwoweekly,M77,M76)))</f>
        <v>0</v>
      </c>
      <c r="N84" s="509">
        <f>IF(N$15=TMDPeriodValueTypeForecast,IF('Delivery Calculation'!$H$18=TMDAllocationTandM,0,'Delivery Calculation'!W128),IF(MDReportingPeriod=TMDMonthly,N78,IF(MDReportingPeriod=TMDTwoweekly,N77,N76)))</f>
        <v>0</v>
      </c>
      <c r="O84" s="509">
        <f>IF(O$15=TMDPeriodValueTypeForecast,IF('Delivery Calculation'!$H$18=TMDAllocationTandM,0,'Delivery Calculation'!X128),IF(MDReportingPeriod=TMDMonthly,O78,IF(MDReportingPeriod=TMDTwoweekly,O77,O76)))</f>
        <v>0</v>
      </c>
      <c r="P84" s="509">
        <f>IF(P$15=TMDPeriodValueTypeForecast,IF('Delivery Calculation'!$H$18=TMDAllocationTandM,0,'Delivery Calculation'!Y128),IF(MDReportingPeriod=TMDMonthly,P78,IF(MDReportingPeriod=TMDTwoweekly,P77,P76)))</f>
        <v>0</v>
      </c>
      <c r="Q84" s="509">
        <f>IF(Q$15=TMDPeriodValueTypeForecast,IF('Delivery Calculation'!$H$18=TMDAllocationTandM,0,'Delivery Calculation'!Z128),IF(MDReportingPeriod=TMDMonthly,Q78,IF(MDReportingPeriod=TMDTwoweekly,Q77,Q76)))</f>
        <v>0</v>
      </c>
      <c r="R84" s="509">
        <f>IF(R$15=TMDPeriodValueTypeForecast,IF('Delivery Calculation'!$H$18=TMDAllocationTandM,0,'Delivery Calculation'!AA128),IF(MDReportingPeriod=TMDMonthly,R78,IF(MDReportingPeriod=TMDTwoweekly,R77,R76)))</f>
        <v>0</v>
      </c>
      <c r="S84" s="509">
        <f>IF(S$15=TMDPeriodValueTypeForecast,IF('Delivery Calculation'!$H$18=TMDAllocationTandM,0,'Delivery Calculation'!AB128),IF(MDReportingPeriod=TMDMonthly,S78,IF(MDReportingPeriod=TMDTwoweekly,S77,S76)))</f>
        <v>0</v>
      </c>
      <c r="T84" s="509">
        <f>IF(T$15=TMDPeriodValueTypeForecast,IF('Delivery Calculation'!$H$18=TMDAllocationTandM,0,'Delivery Calculation'!AC128),IF(MDReportingPeriod=TMDMonthly,T78,IF(MDReportingPeriod=TMDTwoweekly,T77,T76)))</f>
        <v>0</v>
      </c>
      <c r="U84" s="509">
        <f>IF(U$15=TMDPeriodValueTypeForecast,IF('Delivery Calculation'!$H$18=TMDAllocationTandM,0,'Delivery Calculation'!AD128),IF(MDReportingPeriod=TMDMonthly,U78,IF(MDReportingPeriod=TMDTwoweekly,U77,U76)))</f>
        <v>0</v>
      </c>
      <c r="V84" s="509">
        <f>IF(V$15=TMDPeriodValueTypeForecast,IF('Delivery Calculation'!$H$18=TMDAllocationTandM,0,'Delivery Calculation'!AE128),IF(MDReportingPeriod=TMDMonthly,V78,IF(MDReportingPeriod=TMDTwoweekly,V77,V76)))</f>
        <v>0</v>
      </c>
      <c r="W84" s="509">
        <f>IF(W$15=TMDPeriodValueTypeForecast,IF('Delivery Calculation'!$H$18=TMDAllocationTandM,0,'Delivery Calculation'!AF128),IF(MDReportingPeriod=TMDMonthly,W78,IF(MDReportingPeriod=TMDTwoweekly,W77,W76)))</f>
        <v>0</v>
      </c>
      <c r="X84" s="509">
        <f>IF(X$15=TMDPeriodValueTypeForecast,IF('Delivery Calculation'!$H$18=TMDAllocationTandM,0,'Delivery Calculation'!AG128),IF(MDReportingPeriod=TMDMonthly,X78,IF(MDReportingPeriod=TMDTwoweekly,X77,X76)))</f>
        <v>0</v>
      </c>
      <c r="Y84" s="509">
        <f>IF(Y$15=TMDPeriodValueTypeForecast,IF('Delivery Calculation'!$H$18=TMDAllocationTandM,0,'Delivery Calculation'!AH128),IF(MDReportingPeriod=TMDMonthly,Y78,IF(MDReportingPeriod=TMDTwoweekly,Y77,Y76)))</f>
        <v>0</v>
      </c>
      <c r="Z84" s="509">
        <f>IF(Z$15=TMDPeriodValueTypeForecast,IF('Delivery Calculation'!$H$18=TMDAllocationTandM,0,'Delivery Calculation'!AI128),IF(MDReportingPeriod=TMDMonthly,Z78,IF(MDReportingPeriod=TMDTwoweekly,Z77,Z76)))</f>
        <v>0</v>
      </c>
      <c r="AA84" s="509">
        <f>IF(AA$15=TMDPeriodValueTypeForecast,IF('Delivery Calculation'!$H$18=TMDAllocationTandM,0,'Delivery Calculation'!AJ128),IF(MDReportingPeriod=TMDMonthly,AA78,IF(MDReportingPeriod=TMDTwoweekly,AA77,AA76)))</f>
        <v>0</v>
      </c>
      <c r="AB84" s="509">
        <f>IF(AB$15=TMDPeriodValueTypeForecast,IF('Delivery Calculation'!$H$18=TMDAllocationTandM,0,'Delivery Calculation'!AK128),IF(MDReportingPeriod=TMDMonthly,AB78,IF(MDReportingPeriod=TMDTwoweekly,AB77,AB76)))</f>
        <v>0</v>
      </c>
      <c r="AC84" s="509">
        <f>IF(AC$15=TMDPeriodValueTypeForecast,IF('Delivery Calculation'!$H$18=TMDAllocationTandM,0,'Delivery Calculation'!AL128),IF(MDReportingPeriod=TMDMonthly,AC78,IF(MDReportingPeriod=TMDTwoweekly,AC77,AC76)))</f>
        <v>0</v>
      </c>
      <c r="AD84" s="509">
        <f>IF(AD$15=TMDPeriodValueTypeForecast,IF('Delivery Calculation'!$H$18=TMDAllocationTandM,0,'Delivery Calculation'!AM128),IF(MDReportingPeriod=TMDMonthly,AD78,IF(MDReportingPeriod=TMDTwoweekly,AD77,AD76)))</f>
        <v>0</v>
      </c>
      <c r="AE84" s="509">
        <f>IF(AE$15=TMDPeriodValueTypeForecast,IF('Delivery Calculation'!$H$18=TMDAllocationTandM,0,'Delivery Calculation'!AN128),IF(MDReportingPeriod=TMDMonthly,AE78,IF(MDReportingPeriod=TMDTwoweekly,AE77,AE76)))</f>
        <v>0</v>
      </c>
      <c r="AF84" s="509">
        <f>IF(AF$15=TMDPeriodValueTypeForecast,IF('Delivery Calculation'!$H$18=TMDAllocationTandM,0,'Delivery Calculation'!AO128),IF(MDReportingPeriod=TMDMonthly,AF78,IF(MDReportingPeriod=TMDTwoweekly,AF77,AF76)))</f>
        <v>0</v>
      </c>
      <c r="AG84" s="509">
        <f>IF(AG$15=TMDPeriodValueTypeForecast,IF('Delivery Calculation'!$H$18=TMDAllocationTandM,0,'Delivery Calculation'!AP128),IF(MDReportingPeriod=TMDMonthly,AG78,IF(MDReportingPeriod=TMDTwoweekly,AG77,AG76)))</f>
        <v>0</v>
      </c>
      <c r="AH84" s="509">
        <f>IF(AH$15=TMDPeriodValueTypeForecast,IF('Delivery Calculation'!$H$18=TMDAllocationTandM,0,'Delivery Calculation'!AQ128),IF(MDReportingPeriod=TMDMonthly,AH78,IF(MDReportingPeriod=TMDTwoweekly,AH77,AH76)))</f>
        <v>0</v>
      </c>
      <c r="AI84" s="509">
        <f>IF(AI$15=TMDPeriodValueTypeForecast,IF('Delivery Calculation'!$H$18=TMDAllocationTandM,0,'Delivery Calculation'!AR128),IF(MDReportingPeriod=TMDMonthly,AI78,IF(MDReportingPeriod=TMDTwoweekly,AI77,AI76)))</f>
        <v>0</v>
      </c>
      <c r="AJ84" s="509">
        <f>IF(AJ$15=TMDPeriodValueTypeForecast,IF('Delivery Calculation'!$H$18=TMDAllocationTandM,0,'Delivery Calculation'!AS128),IF(MDReportingPeriod=TMDMonthly,AJ78,IF(MDReportingPeriod=TMDTwoweekly,AJ77,AJ76)))</f>
        <v>0</v>
      </c>
      <c r="AK84" s="509">
        <f>IF(AK$15=TMDPeriodValueTypeForecast,IF('Delivery Calculation'!$H$18=TMDAllocationTandM,0,'Delivery Calculation'!AT128),IF(MDReportingPeriod=TMDMonthly,AK78,IF(MDReportingPeriod=TMDTwoweekly,AK77,AK76)))</f>
        <v>0</v>
      </c>
      <c r="AL84" s="509">
        <f>IF(AL$15=TMDPeriodValueTypeForecast,IF('Delivery Calculation'!$H$18=TMDAllocationTandM,0,'Delivery Calculation'!AU128),IF(MDReportingPeriod=TMDMonthly,AL78,IF(MDReportingPeriod=TMDTwoweekly,AL77,AL76)))</f>
        <v>0</v>
      </c>
      <c r="AM84" s="509">
        <f>IF(AM$15=TMDPeriodValueTypeForecast,IF('Delivery Calculation'!$H$18=TMDAllocationTandM,0,'Delivery Calculation'!AV128),IF(MDReportingPeriod=TMDMonthly,AM78,IF(MDReportingPeriod=TMDTwoweekly,AM77,AM76)))</f>
        <v>0</v>
      </c>
      <c r="AN84" s="509">
        <f>IF(AN$15=TMDPeriodValueTypeForecast,IF('Delivery Calculation'!$H$18=TMDAllocationTandM,0,'Delivery Calculation'!AW128),IF(MDReportingPeriod=TMDMonthly,AN78,IF(MDReportingPeriod=TMDTwoweekly,AN77,AN76)))</f>
        <v>0</v>
      </c>
      <c r="AO84" s="509">
        <f>IF(AO$15=TMDPeriodValueTypeForecast,IF('Delivery Calculation'!$H$18=TMDAllocationTandM,0,'Delivery Calculation'!AX128),IF(MDReportingPeriod=TMDMonthly,AO78,IF(MDReportingPeriod=TMDTwoweekly,AO77,AO76)))</f>
        <v>0</v>
      </c>
      <c r="AP84" s="501"/>
      <c r="AQ84" s="505">
        <f>SUMIF($D$15:$AO$15,TMDPeriodValueTypeReported,D84:AO84)</f>
        <v>0</v>
      </c>
      <c r="AR84" s="505">
        <f>SUMIF($D$15:$AO$15,TMDPeriodValueTypeForecast,D84:AO84)</f>
        <v>0</v>
      </c>
      <c r="AS84" s="523">
        <f>'Delivery Calculation'!J18</f>
        <v>0</v>
      </c>
      <c r="AT84" s="505">
        <f>AS84-(AQ84+AR84)</f>
        <v>0</v>
      </c>
      <c r="AU84" s="505"/>
      <c r="AV84" s="510"/>
      <c r="AW84" s="452"/>
    </row>
    <row r="85" spans="1:49">
      <c r="A85" s="1184"/>
      <c r="B85" s="1181"/>
      <c r="C85" s="499" t="s">
        <v>544</v>
      </c>
      <c r="D85" s="509">
        <f>IF(D$15=TMDPeriodValueTypeForecast,IF('Delivery Calculation'!$H$18=TMDAllocationTandM,0,'Delivery Calculation'!M92),IF(MDReportingPeriod=TMDMonthly,D81,IF(MDReportingPeriod=TMDTwoweekly,D80,D79)))</f>
        <v>0</v>
      </c>
      <c r="E85" s="509">
        <f>IF(E$15=TMDPeriodValueTypeForecast,IF('Delivery Calculation'!$H$18=TMDAllocationTandM,0,'Delivery Calculation'!N92),IF(MDReportingPeriod=TMDMonthly,E81,IF(MDReportingPeriod=TMDTwoweekly,E80,E79)))</f>
        <v>0</v>
      </c>
      <c r="F85" s="509">
        <f>IF(F$15=TMDPeriodValueTypeForecast,IF('Delivery Calculation'!$H$18=TMDAllocationTandM,0,'Delivery Calculation'!O92),IF(MDReportingPeriod=TMDMonthly,F81,IF(MDReportingPeriod=TMDTwoweekly,F80,F79)))</f>
        <v>0</v>
      </c>
      <c r="G85" s="509">
        <f>IF(G$15=TMDPeriodValueTypeForecast,IF('Delivery Calculation'!$H$18=TMDAllocationTandM,0,'Delivery Calculation'!P92),IF(MDReportingPeriod=TMDMonthly,G81,IF(MDReportingPeriod=TMDTwoweekly,G80,G79)))</f>
        <v>0</v>
      </c>
      <c r="H85" s="509">
        <f>IF(H$15=TMDPeriodValueTypeForecast,IF('Delivery Calculation'!$H$18=TMDAllocationTandM,0,'Delivery Calculation'!Q92),IF(MDReportingPeriod=TMDMonthly,H81,IF(MDReportingPeriod=TMDTwoweekly,H80,H79)))</f>
        <v>0</v>
      </c>
      <c r="I85" s="509">
        <f>IF(I$15=TMDPeriodValueTypeForecast,IF('Delivery Calculation'!$H$18=TMDAllocationTandM,0,'Delivery Calculation'!R92),IF(MDReportingPeriod=TMDMonthly,I81,IF(MDReportingPeriod=TMDTwoweekly,I80,I79)))</f>
        <v>0</v>
      </c>
      <c r="J85" s="509">
        <f>IF(J$15=TMDPeriodValueTypeForecast,IF('Delivery Calculation'!$H$18=TMDAllocationTandM,0,'Delivery Calculation'!S92),IF(MDReportingPeriod=TMDMonthly,J81,IF(MDReportingPeriod=TMDTwoweekly,J80,J79)))</f>
        <v>0</v>
      </c>
      <c r="K85" s="509">
        <f>IF(K$15=TMDPeriodValueTypeForecast,IF('Delivery Calculation'!$H$18=TMDAllocationTandM,0,'Delivery Calculation'!T92),IF(MDReportingPeriod=TMDMonthly,K81,IF(MDReportingPeriod=TMDTwoweekly,K80,K79)))</f>
        <v>0</v>
      </c>
      <c r="L85" s="509">
        <f>IF(L$15=TMDPeriodValueTypeForecast,IF('Delivery Calculation'!$H$18=TMDAllocationTandM,0,'Delivery Calculation'!U92),IF(MDReportingPeriod=TMDMonthly,L81,IF(MDReportingPeriod=TMDTwoweekly,L80,L79)))</f>
        <v>0</v>
      </c>
      <c r="M85" s="509">
        <f>IF(M$15=TMDPeriodValueTypeForecast,IF('Delivery Calculation'!$H$18=TMDAllocationTandM,0,'Delivery Calculation'!V92),IF(MDReportingPeriod=TMDMonthly,M81,IF(MDReportingPeriod=TMDTwoweekly,M80,M79)))</f>
        <v>0</v>
      </c>
      <c r="N85" s="509">
        <f>IF(N$15=TMDPeriodValueTypeForecast,IF('Delivery Calculation'!$H$18=TMDAllocationTandM,0,'Delivery Calculation'!W92),IF(MDReportingPeriod=TMDMonthly,N81,IF(MDReportingPeriod=TMDTwoweekly,N80,N79)))</f>
        <v>0</v>
      </c>
      <c r="O85" s="509">
        <f>IF(O$15=TMDPeriodValueTypeForecast,IF('Delivery Calculation'!$H$18=TMDAllocationTandM,0,'Delivery Calculation'!X92),IF(MDReportingPeriod=TMDMonthly,O81,IF(MDReportingPeriod=TMDTwoweekly,O80,O79)))</f>
        <v>0</v>
      </c>
      <c r="P85" s="509">
        <f>IF(P$15=TMDPeriodValueTypeForecast,IF('Delivery Calculation'!$H$18=TMDAllocationTandM,0,'Delivery Calculation'!Y92),IF(MDReportingPeriod=TMDMonthly,P81,IF(MDReportingPeriod=TMDTwoweekly,P80,P79)))</f>
        <v>0</v>
      </c>
      <c r="Q85" s="509">
        <f>IF(Q$15=TMDPeriodValueTypeForecast,IF('Delivery Calculation'!$H$18=TMDAllocationTandM,0,'Delivery Calculation'!Z92),IF(MDReportingPeriod=TMDMonthly,Q81,IF(MDReportingPeriod=TMDTwoweekly,Q80,Q79)))</f>
        <v>0</v>
      </c>
      <c r="R85" s="509">
        <f>IF(R$15=TMDPeriodValueTypeForecast,IF('Delivery Calculation'!$H$18=TMDAllocationTandM,0,'Delivery Calculation'!AA92),IF(MDReportingPeriod=TMDMonthly,R81,IF(MDReportingPeriod=TMDTwoweekly,R80,R79)))</f>
        <v>0</v>
      </c>
      <c r="S85" s="509">
        <f>IF(S$15=TMDPeriodValueTypeForecast,IF('Delivery Calculation'!$H$18=TMDAllocationTandM,0,'Delivery Calculation'!AB92),IF(MDReportingPeriod=TMDMonthly,S81,IF(MDReportingPeriod=TMDTwoweekly,S80,S79)))</f>
        <v>0</v>
      </c>
      <c r="T85" s="509">
        <f>IF(T$15=TMDPeriodValueTypeForecast,IF('Delivery Calculation'!$H$18=TMDAllocationTandM,0,'Delivery Calculation'!AC92),IF(MDReportingPeriod=TMDMonthly,T81,IF(MDReportingPeriod=TMDTwoweekly,T80,T79)))</f>
        <v>0</v>
      </c>
      <c r="U85" s="509">
        <f>IF(U$15=TMDPeriodValueTypeForecast,IF('Delivery Calculation'!$H$18=TMDAllocationTandM,0,'Delivery Calculation'!AD92),IF(MDReportingPeriod=TMDMonthly,U81,IF(MDReportingPeriod=TMDTwoweekly,U80,U79)))</f>
        <v>0</v>
      </c>
      <c r="V85" s="509">
        <f>IF(V$15=TMDPeriodValueTypeForecast,IF('Delivery Calculation'!$H$18=TMDAllocationTandM,0,'Delivery Calculation'!AE92),IF(MDReportingPeriod=TMDMonthly,V81,IF(MDReportingPeriod=TMDTwoweekly,V80,V79)))</f>
        <v>0</v>
      </c>
      <c r="W85" s="509">
        <f>IF(W$15=TMDPeriodValueTypeForecast,IF('Delivery Calculation'!$H$18=TMDAllocationTandM,0,'Delivery Calculation'!AF92),IF(MDReportingPeriod=TMDMonthly,W81,IF(MDReportingPeriod=TMDTwoweekly,W80,W79)))</f>
        <v>0</v>
      </c>
      <c r="X85" s="509">
        <f>IF(X$15=TMDPeriodValueTypeForecast,IF('Delivery Calculation'!$H$18=TMDAllocationTandM,0,'Delivery Calculation'!AG92),IF(MDReportingPeriod=TMDMonthly,X81,IF(MDReportingPeriod=TMDTwoweekly,X80,X79)))</f>
        <v>0</v>
      </c>
      <c r="Y85" s="509">
        <f>IF(Y$15=TMDPeriodValueTypeForecast,IF('Delivery Calculation'!$H$18=TMDAllocationTandM,0,'Delivery Calculation'!AH92),IF(MDReportingPeriod=TMDMonthly,Y81,IF(MDReportingPeriod=TMDTwoweekly,Y80,Y79)))</f>
        <v>0</v>
      </c>
      <c r="Z85" s="509">
        <f>IF(Z$15=TMDPeriodValueTypeForecast,IF('Delivery Calculation'!$H$18=TMDAllocationTandM,0,'Delivery Calculation'!AI92),IF(MDReportingPeriod=TMDMonthly,Z81,IF(MDReportingPeriod=TMDTwoweekly,Z80,Z79)))</f>
        <v>0</v>
      </c>
      <c r="AA85" s="509">
        <f>IF(AA$15=TMDPeriodValueTypeForecast,IF('Delivery Calculation'!$H$18=TMDAllocationTandM,0,'Delivery Calculation'!AJ92),IF(MDReportingPeriod=TMDMonthly,AA81,IF(MDReportingPeriod=TMDTwoweekly,AA80,AA79)))</f>
        <v>0</v>
      </c>
      <c r="AB85" s="509">
        <f>IF(AB$15=TMDPeriodValueTypeForecast,IF('Delivery Calculation'!$H$18=TMDAllocationTandM,0,'Delivery Calculation'!AK92),IF(MDReportingPeriod=TMDMonthly,AB81,IF(MDReportingPeriod=TMDTwoweekly,AB80,AB79)))</f>
        <v>0</v>
      </c>
      <c r="AC85" s="509">
        <f>IF(AC$15=TMDPeriodValueTypeForecast,IF('Delivery Calculation'!$H$18=TMDAllocationTandM,0,'Delivery Calculation'!AL92),IF(MDReportingPeriod=TMDMonthly,AC81,IF(MDReportingPeriod=TMDTwoweekly,AC80,AC79)))</f>
        <v>0</v>
      </c>
      <c r="AD85" s="509">
        <f>IF(AD$15=TMDPeriodValueTypeForecast,IF('Delivery Calculation'!$H$18=TMDAllocationTandM,0,'Delivery Calculation'!AM92),IF(MDReportingPeriod=TMDMonthly,AD81,IF(MDReportingPeriod=TMDTwoweekly,AD80,AD79)))</f>
        <v>0</v>
      </c>
      <c r="AE85" s="509">
        <f>IF(AE$15=TMDPeriodValueTypeForecast,IF('Delivery Calculation'!$H$18=TMDAllocationTandM,0,'Delivery Calculation'!AN92),IF(MDReportingPeriod=TMDMonthly,AE81,IF(MDReportingPeriod=TMDTwoweekly,AE80,AE79)))</f>
        <v>0</v>
      </c>
      <c r="AF85" s="509">
        <f>IF(AF$15=TMDPeriodValueTypeForecast,IF('Delivery Calculation'!$H$18=TMDAllocationTandM,0,'Delivery Calculation'!AO92),IF(MDReportingPeriod=TMDMonthly,AF81,IF(MDReportingPeriod=TMDTwoweekly,AF80,AF79)))</f>
        <v>0</v>
      </c>
      <c r="AG85" s="509">
        <f>IF(AG$15=TMDPeriodValueTypeForecast,IF('Delivery Calculation'!$H$18=TMDAllocationTandM,0,'Delivery Calculation'!AP92),IF(MDReportingPeriod=TMDMonthly,AG81,IF(MDReportingPeriod=TMDTwoweekly,AG80,AG79)))</f>
        <v>0</v>
      </c>
      <c r="AH85" s="509">
        <f>IF(AH$15=TMDPeriodValueTypeForecast,IF('Delivery Calculation'!$H$18=TMDAllocationTandM,0,'Delivery Calculation'!AQ92),IF(MDReportingPeriod=TMDMonthly,AH81,IF(MDReportingPeriod=TMDTwoweekly,AH80,AH79)))</f>
        <v>0</v>
      </c>
      <c r="AI85" s="509">
        <f>IF(AI$15=TMDPeriodValueTypeForecast,IF('Delivery Calculation'!$H$18=TMDAllocationTandM,0,'Delivery Calculation'!AR92),IF(MDReportingPeriod=TMDMonthly,AI81,IF(MDReportingPeriod=TMDTwoweekly,AI80,AI79)))</f>
        <v>0</v>
      </c>
      <c r="AJ85" s="509">
        <f>IF(AJ$15=TMDPeriodValueTypeForecast,IF('Delivery Calculation'!$H$18=TMDAllocationTandM,0,'Delivery Calculation'!AS92),IF(MDReportingPeriod=TMDMonthly,AJ81,IF(MDReportingPeriod=TMDTwoweekly,AJ80,AJ79)))</f>
        <v>0</v>
      </c>
      <c r="AK85" s="509">
        <f>IF(AK$15=TMDPeriodValueTypeForecast,IF('Delivery Calculation'!$H$18=TMDAllocationTandM,0,'Delivery Calculation'!AT92),IF(MDReportingPeriod=TMDMonthly,AK81,IF(MDReportingPeriod=TMDTwoweekly,AK80,AK79)))</f>
        <v>0</v>
      </c>
      <c r="AL85" s="509">
        <f>IF(AL$15=TMDPeriodValueTypeForecast,IF('Delivery Calculation'!$H$18=TMDAllocationTandM,0,'Delivery Calculation'!AU92),IF(MDReportingPeriod=TMDMonthly,AL81,IF(MDReportingPeriod=TMDTwoweekly,AL80,AL79)))</f>
        <v>0</v>
      </c>
      <c r="AM85" s="509">
        <f>IF(AM$15=TMDPeriodValueTypeForecast,IF('Delivery Calculation'!$H$18=TMDAllocationTandM,0,'Delivery Calculation'!AV92),IF(MDReportingPeriod=TMDMonthly,AM81,IF(MDReportingPeriod=TMDTwoweekly,AM80,AM79)))</f>
        <v>0</v>
      </c>
      <c r="AN85" s="509">
        <f>IF(AN$15=TMDPeriodValueTypeForecast,IF('Delivery Calculation'!$H$18=TMDAllocationTandM,0,'Delivery Calculation'!AW92),IF(MDReportingPeriod=TMDMonthly,AN81,IF(MDReportingPeriod=TMDTwoweekly,AN80,AN79)))</f>
        <v>0</v>
      </c>
      <c r="AO85" s="509">
        <f>IF(AO$15=TMDPeriodValueTypeForecast,IF('Delivery Calculation'!$H$18=TMDAllocationTandM,0,'Delivery Calculation'!AX92),IF(MDReportingPeriod=TMDMonthly,AO81,IF(MDReportingPeriod=TMDTwoweekly,AO80,AO79)))</f>
        <v>0</v>
      </c>
      <c r="AP85" s="501"/>
      <c r="AQ85" s="505">
        <f>SUMIF($D$15:$AO$15,TMDPeriodValueTypeReported,D85:AO85)</f>
        <v>0</v>
      </c>
      <c r="AR85" s="505">
        <f>SUMIF($D$15:$AO$15,TMDPeriodValueTypeForecast,D85:AO85)</f>
        <v>0</v>
      </c>
      <c r="AS85" s="523">
        <f>'Delivery Calculation'!I18</f>
        <v>0</v>
      </c>
      <c r="AT85" s="505">
        <f>AS85-(AQ85+AR85)</f>
        <v>0</v>
      </c>
      <c r="AU85" s="505"/>
      <c r="AV85" s="510"/>
      <c r="AW85" s="452"/>
    </row>
    <row r="86" spans="1:49">
      <c r="A86" s="1185"/>
      <c r="B86" s="1182"/>
      <c r="C86" s="499" t="s">
        <v>545</v>
      </c>
      <c r="D86" s="509"/>
      <c r="E86" s="509"/>
      <c r="F86" s="509"/>
      <c r="G86" s="509"/>
      <c r="H86" s="509"/>
      <c r="I86" s="509"/>
      <c r="J86" s="509"/>
      <c r="K86" s="509"/>
      <c r="L86" s="509"/>
      <c r="M86" s="509"/>
      <c r="N86" s="509"/>
      <c r="O86" s="509"/>
      <c r="P86" s="509"/>
      <c r="Q86" s="509"/>
      <c r="R86" s="509"/>
      <c r="S86" s="509"/>
      <c r="T86" s="509"/>
      <c r="U86" s="509"/>
      <c r="V86" s="509"/>
      <c r="W86" s="509"/>
      <c r="X86" s="509"/>
      <c r="Y86" s="509"/>
      <c r="Z86" s="509"/>
      <c r="AA86" s="509"/>
      <c r="AB86" s="509"/>
      <c r="AC86" s="509"/>
      <c r="AD86" s="509"/>
      <c r="AE86" s="509"/>
      <c r="AF86" s="509"/>
      <c r="AG86" s="509"/>
      <c r="AH86" s="509"/>
      <c r="AI86" s="509"/>
      <c r="AJ86" s="509"/>
      <c r="AK86" s="509"/>
      <c r="AL86" s="509"/>
      <c r="AM86" s="509"/>
      <c r="AN86" s="509"/>
      <c r="AO86" s="509"/>
      <c r="AP86" s="501"/>
      <c r="AQ86" s="505">
        <f>SUMIF($D$15:$AO$15,TMDPeriodValueTypeReported,D86:AO86)</f>
        <v>0</v>
      </c>
      <c r="AR86" s="505">
        <f>SUMIF($D$15:$AO$15,TMDPeriodValueTypeForecast,D86:AO86)</f>
        <v>0</v>
      </c>
      <c r="AS86" s="505"/>
      <c r="AT86" s="505">
        <f>AQ86+AR86</f>
        <v>0</v>
      </c>
      <c r="AU86" s="505"/>
      <c r="AV86" s="510"/>
      <c r="AW86" s="452"/>
    </row>
    <row r="87" spans="1:49" hidden="1">
      <c r="A87" s="143"/>
      <c r="B87" s="483"/>
      <c r="C87" s="496" t="s">
        <v>1339</v>
      </c>
      <c r="D87" s="516">
        <f t="shared" ref="D87:AO87" si="36">IF(ISERR(GETPIVOTDATA("[Measures].[Hours]",TRIMARANweekly,"[Order].[Position Number]","[Order].[Position Number].&amp;[" &amp; $B94 &amp; "]","[Period].[Week]","[Period].[Week].&amp;[" &amp; YEAR(D$14-7) &amp; TEXT(WEEKNUM(D$14-7),"00") &amp; "]")),0,GETPIVOTDATA("[Measures].[Hours]",TRIMARANweekly,"[Order].[Position Number]","[Order].[Position Number].&amp;[" &amp; $B94 &amp; "]","[Period].[Week]","[Period].[Week].&amp;[" &amp; YEAR(D$14-7) &amp; TEXT(WEEKNUM(D$14-7),"00") &amp; "]"))</f>
        <v>0</v>
      </c>
      <c r="E87" s="516">
        <f t="shared" si="36"/>
        <v>0</v>
      </c>
      <c r="F87" s="516">
        <f t="shared" si="36"/>
        <v>0</v>
      </c>
      <c r="G87" s="516">
        <f t="shared" si="36"/>
        <v>0</v>
      </c>
      <c r="H87" s="516">
        <f t="shared" si="36"/>
        <v>0</v>
      </c>
      <c r="I87" s="516">
        <f t="shared" si="36"/>
        <v>0</v>
      </c>
      <c r="J87" s="516">
        <f t="shared" si="36"/>
        <v>0</v>
      </c>
      <c r="K87" s="516">
        <f t="shared" si="36"/>
        <v>0</v>
      </c>
      <c r="L87" s="516">
        <f t="shared" si="36"/>
        <v>0</v>
      </c>
      <c r="M87" s="516">
        <f t="shared" si="36"/>
        <v>0</v>
      </c>
      <c r="N87" s="516">
        <f t="shared" si="36"/>
        <v>0</v>
      </c>
      <c r="O87" s="516">
        <f t="shared" si="36"/>
        <v>0</v>
      </c>
      <c r="P87" s="516">
        <f t="shared" si="36"/>
        <v>0</v>
      </c>
      <c r="Q87" s="516">
        <f t="shared" si="36"/>
        <v>0</v>
      </c>
      <c r="R87" s="516">
        <f t="shared" si="36"/>
        <v>0</v>
      </c>
      <c r="S87" s="516">
        <f t="shared" si="36"/>
        <v>0</v>
      </c>
      <c r="T87" s="516">
        <f t="shared" si="36"/>
        <v>0</v>
      </c>
      <c r="U87" s="516">
        <f t="shared" si="36"/>
        <v>0</v>
      </c>
      <c r="V87" s="516">
        <f t="shared" si="36"/>
        <v>0</v>
      </c>
      <c r="W87" s="516">
        <f t="shared" si="36"/>
        <v>0</v>
      </c>
      <c r="X87" s="516">
        <f t="shared" si="36"/>
        <v>0</v>
      </c>
      <c r="Y87" s="516">
        <f t="shared" si="36"/>
        <v>0</v>
      </c>
      <c r="Z87" s="516">
        <f t="shared" si="36"/>
        <v>0</v>
      </c>
      <c r="AA87" s="516">
        <f t="shared" si="36"/>
        <v>0</v>
      </c>
      <c r="AB87" s="516">
        <f t="shared" si="36"/>
        <v>0</v>
      </c>
      <c r="AC87" s="516">
        <f t="shared" si="36"/>
        <v>0</v>
      </c>
      <c r="AD87" s="516">
        <f t="shared" si="36"/>
        <v>0</v>
      </c>
      <c r="AE87" s="516">
        <f t="shared" si="36"/>
        <v>0</v>
      </c>
      <c r="AF87" s="516">
        <f t="shared" si="36"/>
        <v>0</v>
      </c>
      <c r="AG87" s="516">
        <f t="shared" si="36"/>
        <v>0</v>
      </c>
      <c r="AH87" s="516">
        <f t="shared" si="36"/>
        <v>0</v>
      </c>
      <c r="AI87" s="516">
        <f t="shared" si="36"/>
        <v>0</v>
      </c>
      <c r="AJ87" s="516">
        <f t="shared" si="36"/>
        <v>0</v>
      </c>
      <c r="AK87" s="516">
        <f t="shared" si="36"/>
        <v>0</v>
      </c>
      <c r="AL87" s="516">
        <f t="shared" si="36"/>
        <v>0</v>
      </c>
      <c r="AM87" s="516">
        <f t="shared" si="36"/>
        <v>0</v>
      </c>
      <c r="AN87" s="516">
        <f t="shared" si="36"/>
        <v>0</v>
      </c>
      <c r="AO87" s="516">
        <f t="shared" si="36"/>
        <v>0</v>
      </c>
      <c r="AP87" s="501"/>
      <c r="AQ87" s="505"/>
      <c r="AR87" s="505"/>
      <c r="AS87" s="505"/>
      <c r="AT87" s="505"/>
      <c r="AU87" s="505"/>
      <c r="AV87" s="510"/>
      <c r="AW87" s="452"/>
    </row>
    <row r="88" spans="1:49" hidden="1">
      <c r="A88" s="143"/>
      <c r="B88" s="483"/>
      <c r="C88" s="496" t="s">
        <v>1340</v>
      </c>
      <c r="D88" s="516">
        <f t="shared" ref="D88:AO88" si="37">IF(ISERR(GETPIVOTDATA("[Measures].[Hours]",TRIMARANweekly,"[Order].[Position Number]","[Order].[Position Number].&amp;[" &amp; $B94 &amp; "]","[Period].[Week]","[Period].[Week].&amp;[" &amp; YEAR(D$14-14) &amp; TEXT(WEEKNUM(D$14-14),"00") &amp; "]")),0,GETPIVOTDATA("[Measures].[Hours]",TRIMARANweekly,"[Order].[Position Number]","[Order].[Position Number].&amp;[" &amp; $B94 &amp; "]","[Period].[Week]","[Period].[Week].&amp;[" &amp; YEAR(D$14-14) &amp; TEXT(WEEKNUM(D$14-14),"00") &amp; "]"))+D87</f>
        <v>0</v>
      </c>
      <c r="E88" s="516">
        <f t="shared" si="37"/>
        <v>0</v>
      </c>
      <c r="F88" s="516">
        <f t="shared" si="37"/>
        <v>0</v>
      </c>
      <c r="G88" s="516">
        <f t="shared" si="37"/>
        <v>0</v>
      </c>
      <c r="H88" s="516">
        <f t="shared" si="37"/>
        <v>0</v>
      </c>
      <c r="I88" s="516">
        <f t="shared" si="37"/>
        <v>0</v>
      </c>
      <c r="J88" s="516">
        <f t="shared" si="37"/>
        <v>0</v>
      </c>
      <c r="K88" s="516">
        <f t="shared" si="37"/>
        <v>0</v>
      </c>
      <c r="L88" s="516">
        <f t="shared" si="37"/>
        <v>0</v>
      </c>
      <c r="M88" s="516">
        <f t="shared" si="37"/>
        <v>0</v>
      </c>
      <c r="N88" s="516">
        <f t="shared" si="37"/>
        <v>0</v>
      </c>
      <c r="O88" s="516">
        <f t="shared" si="37"/>
        <v>0</v>
      </c>
      <c r="P88" s="516">
        <f t="shared" si="37"/>
        <v>0</v>
      </c>
      <c r="Q88" s="516">
        <f t="shared" si="37"/>
        <v>0</v>
      </c>
      <c r="R88" s="516">
        <f t="shared" si="37"/>
        <v>0</v>
      </c>
      <c r="S88" s="516">
        <f t="shared" si="37"/>
        <v>0</v>
      </c>
      <c r="T88" s="516">
        <f t="shared" si="37"/>
        <v>0</v>
      </c>
      <c r="U88" s="516">
        <f t="shared" si="37"/>
        <v>0</v>
      </c>
      <c r="V88" s="516">
        <f t="shared" si="37"/>
        <v>0</v>
      </c>
      <c r="W88" s="516">
        <f t="shared" si="37"/>
        <v>0</v>
      </c>
      <c r="X88" s="516">
        <f t="shared" si="37"/>
        <v>0</v>
      </c>
      <c r="Y88" s="516">
        <f t="shared" si="37"/>
        <v>0</v>
      </c>
      <c r="Z88" s="516">
        <f t="shared" si="37"/>
        <v>0</v>
      </c>
      <c r="AA88" s="516">
        <f t="shared" si="37"/>
        <v>0</v>
      </c>
      <c r="AB88" s="516">
        <f t="shared" si="37"/>
        <v>0</v>
      </c>
      <c r="AC88" s="516">
        <f t="shared" si="37"/>
        <v>0</v>
      </c>
      <c r="AD88" s="516">
        <f t="shared" si="37"/>
        <v>0</v>
      </c>
      <c r="AE88" s="516">
        <f t="shared" si="37"/>
        <v>0</v>
      </c>
      <c r="AF88" s="516">
        <f t="shared" si="37"/>
        <v>0</v>
      </c>
      <c r="AG88" s="516">
        <f t="shared" si="37"/>
        <v>0</v>
      </c>
      <c r="AH88" s="516">
        <f t="shared" si="37"/>
        <v>0</v>
      </c>
      <c r="AI88" s="516">
        <f t="shared" si="37"/>
        <v>0</v>
      </c>
      <c r="AJ88" s="516">
        <f t="shared" si="37"/>
        <v>0</v>
      </c>
      <c r="AK88" s="516">
        <f t="shared" si="37"/>
        <v>0</v>
      </c>
      <c r="AL88" s="516">
        <f t="shared" si="37"/>
        <v>0</v>
      </c>
      <c r="AM88" s="516">
        <f t="shared" si="37"/>
        <v>0</v>
      </c>
      <c r="AN88" s="516">
        <f t="shared" si="37"/>
        <v>0</v>
      </c>
      <c r="AO88" s="516">
        <f t="shared" si="37"/>
        <v>0</v>
      </c>
      <c r="AP88" s="501"/>
      <c r="AQ88" s="505"/>
      <c r="AR88" s="505"/>
      <c r="AS88" s="505"/>
      <c r="AT88" s="505"/>
      <c r="AU88" s="505"/>
      <c r="AV88" s="510"/>
      <c r="AW88" s="452"/>
    </row>
    <row r="89" spans="1:49" hidden="1">
      <c r="A89" s="143"/>
      <c r="B89" s="483"/>
      <c r="C89" s="496" t="s">
        <v>1341</v>
      </c>
      <c r="D89" s="516">
        <f t="shared" ref="D89:AO89" si="38">IF(ISERR(GETPIVOTDATA("[Measures].[Hours]",TRIMARANmonthly,"[Period].[Month]","[Period].[Month].&amp;["&amp;IF(MONTH(D$14)=1,YEAR(D$14)-1&amp;TEXT(12,"00"),YEAR(D$14)&amp;TEXT(MONTH(D$14)-1,"00"))&amp;"]","[Order].[Position Number]","[Order].[Position Number].&amp;["&amp;$B94&amp;"]")),0,GETPIVOTDATA("[Measures].[Hours]",TRIMARANmonthly,"[Period].[Month]","[Period].[Month].&amp;["&amp;IF(MONTH(D$14)=1,YEAR(D$14)-1&amp;TEXT(12,"00"),YEAR(D$14)&amp;TEXT(MONTH(D$14)-1,"00"))&amp;"]","[Order].[Position Number]","[Order].[Position Number].&amp;["&amp;$B94&amp;"]"))</f>
        <v>0</v>
      </c>
      <c r="E89" s="516">
        <f t="shared" si="38"/>
        <v>0</v>
      </c>
      <c r="F89" s="516">
        <f t="shared" si="38"/>
        <v>0</v>
      </c>
      <c r="G89" s="516">
        <f t="shared" si="38"/>
        <v>0</v>
      </c>
      <c r="H89" s="516">
        <f t="shared" si="38"/>
        <v>0</v>
      </c>
      <c r="I89" s="516">
        <f t="shared" si="38"/>
        <v>0</v>
      </c>
      <c r="J89" s="516">
        <f t="shared" si="38"/>
        <v>0</v>
      </c>
      <c r="K89" s="516">
        <f t="shared" si="38"/>
        <v>0</v>
      </c>
      <c r="L89" s="516">
        <f t="shared" si="38"/>
        <v>0</v>
      </c>
      <c r="M89" s="516">
        <f t="shared" si="38"/>
        <v>0</v>
      </c>
      <c r="N89" s="516">
        <f t="shared" si="38"/>
        <v>0</v>
      </c>
      <c r="O89" s="516">
        <f t="shared" si="38"/>
        <v>0</v>
      </c>
      <c r="P89" s="516">
        <f t="shared" si="38"/>
        <v>0</v>
      </c>
      <c r="Q89" s="516">
        <f t="shared" si="38"/>
        <v>0</v>
      </c>
      <c r="R89" s="516">
        <f t="shared" si="38"/>
        <v>0</v>
      </c>
      <c r="S89" s="516">
        <f t="shared" si="38"/>
        <v>0</v>
      </c>
      <c r="T89" s="516">
        <f t="shared" si="38"/>
        <v>0</v>
      </c>
      <c r="U89" s="516">
        <f t="shared" si="38"/>
        <v>0</v>
      </c>
      <c r="V89" s="516">
        <f t="shared" si="38"/>
        <v>0</v>
      </c>
      <c r="W89" s="516">
        <f t="shared" si="38"/>
        <v>0</v>
      </c>
      <c r="X89" s="516">
        <f t="shared" si="38"/>
        <v>0</v>
      </c>
      <c r="Y89" s="516">
        <f t="shared" si="38"/>
        <v>0</v>
      </c>
      <c r="Z89" s="516">
        <f t="shared" si="38"/>
        <v>0</v>
      </c>
      <c r="AA89" s="516">
        <f t="shared" si="38"/>
        <v>0</v>
      </c>
      <c r="AB89" s="516">
        <f t="shared" si="38"/>
        <v>0</v>
      </c>
      <c r="AC89" s="516">
        <f t="shared" si="38"/>
        <v>0</v>
      </c>
      <c r="AD89" s="516">
        <f t="shared" si="38"/>
        <v>0</v>
      </c>
      <c r="AE89" s="516">
        <f t="shared" si="38"/>
        <v>0</v>
      </c>
      <c r="AF89" s="516">
        <f t="shared" si="38"/>
        <v>0</v>
      </c>
      <c r="AG89" s="516">
        <f t="shared" si="38"/>
        <v>0</v>
      </c>
      <c r="AH89" s="516">
        <f t="shared" si="38"/>
        <v>0</v>
      </c>
      <c r="AI89" s="516">
        <f t="shared" si="38"/>
        <v>0</v>
      </c>
      <c r="AJ89" s="516">
        <f t="shared" si="38"/>
        <v>0</v>
      </c>
      <c r="AK89" s="516">
        <f t="shared" si="38"/>
        <v>0</v>
      </c>
      <c r="AL89" s="516">
        <f t="shared" si="38"/>
        <v>0</v>
      </c>
      <c r="AM89" s="516">
        <f t="shared" si="38"/>
        <v>0</v>
      </c>
      <c r="AN89" s="516">
        <f t="shared" si="38"/>
        <v>0</v>
      </c>
      <c r="AO89" s="516">
        <f t="shared" si="38"/>
        <v>0</v>
      </c>
      <c r="AP89" s="501"/>
      <c r="AQ89" s="505"/>
      <c r="AR89" s="505"/>
      <c r="AS89" s="505"/>
      <c r="AT89" s="505"/>
      <c r="AU89" s="505"/>
      <c r="AV89" s="510"/>
      <c r="AW89" s="452"/>
    </row>
    <row r="90" spans="1:49" hidden="1">
      <c r="A90" s="143"/>
      <c r="B90" s="483"/>
      <c r="C90" s="496" t="s">
        <v>1339</v>
      </c>
      <c r="D90" s="516">
        <f t="shared" ref="D90:AO90" si="39">IF(ISERR(GETPIVOTDATA("[Measures].[" &amp; MDContractCurrency &amp; "]",TRIMARANweekly,"[Order].[Position Number]","[Order].[Position Number].&amp;[" &amp; $B94 &amp; "]","[Period].[Week]","[Period].[Week].&amp;[" &amp; YEAR(D$14-7) &amp; TEXT(WEEKNUM(D$14-7),"00") &amp; "]")),0,GETPIVOTDATA("[Measures].[" &amp; MDContractCurrency &amp; "]",TRIMARANweekly,"[Order].[Position Number]","[Order].[Position Number].&amp;[" &amp; $B94 &amp; "]","[Period].[Week]","[Period].[Week].&amp;[" &amp; YEAR(D$14-7) &amp; TEXT(WEEKNUM(D$14-7),"00") &amp; "]"))</f>
        <v>0</v>
      </c>
      <c r="E90" s="516">
        <f t="shared" si="39"/>
        <v>0</v>
      </c>
      <c r="F90" s="516">
        <f t="shared" si="39"/>
        <v>0</v>
      </c>
      <c r="G90" s="516">
        <f t="shared" si="39"/>
        <v>0</v>
      </c>
      <c r="H90" s="516">
        <f t="shared" si="39"/>
        <v>0</v>
      </c>
      <c r="I90" s="516">
        <f t="shared" si="39"/>
        <v>0</v>
      </c>
      <c r="J90" s="516">
        <f t="shared" si="39"/>
        <v>0</v>
      </c>
      <c r="K90" s="516">
        <f t="shared" si="39"/>
        <v>0</v>
      </c>
      <c r="L90" s="516">
        <f t="shared" si="39"/>
        <v>0</v>
      </c>
      <c r="M90" s="516">
        <f t="shared" si="39"/>
        <v>0</v>
      </c>
      <c r="N90" s="516">
        <f t="shared" si="39"/>
        <v>0</v>
      </c>
      <c r="O90" s="516">
        <f t="shared" si="39"/>
        <v>0</v>
      </c>
      <c r="P90" s="516">
        <f t="shared" si="39"/>
        <v>0</v>
      </c>
      <c r="Q90" s="516">
        <f t="shared" si="39"/>
        <v>0</v>
      </c>
      <c r="R90" s="516">
        <f t="shared" si="39"/>
        <v>0</v>
      </c>
      <c r="S90" s="516">
        <f t="shared" si="39"/>
        <v>0</v>
      </c>
      <c r="T90" s="516">
        <f t="shared" si="39"/>
        <v>0</v>
      </c>
      <c r="U90" s="516">
        <f t="shared" si="39"/>
        <v>0</v>
      </c>
      <c r="V90" s="516">
        <f t="shared" si="39"/>
        <v>0</v>
      </c>
      <c r="W90" s="516">
        <f t="shared" si="39"/>
        <v>0</v>
      </c>
      <c r="X90" s="516">
        <f t="shared" si="39"/>
        <v>0</v>
      </c>
      <c r="Y90" s="516">
        <f t="shared" si="39"/>
        <v>0</v>
      </c>
      <c r="Z90" s="516">
        <f t="shared" si="39"/>
        <v>0</v>
      </c>
      <c r="AA90" s="516">
        <f t="shared" si="39"/>
        <v>0</v>
      </c>
      <c r="AB90" s="516">
        <f t="shared" si="39"/>
        <v>0</v>
      </c>
      <c r="AC90" s="516">
        <f t="shared" si="39"/>
        <v>0</v>
      </c>
      <c r="AD90" s="516">
        <f t="shared" si="39"/>
        <v>0</v>
      </c>
      <c r="AE90" s="516">
        <f t="shared" si="39"/>
        <v>0</v>
      </c>
      <c r="AF90" s="516">
        <f t="shared" si="39"/>
        <v>0</v>
      </c>
      <c r="AG90" s="516">
        <f t="shared" si="39"/>
        <v>0</v>
      </c>
      <c r="AH90" s="516">
        <f t="shared" si="39"/>
        <v>0</v>
      </c>
      <c r="AI90" s="516">
        <f t="shared" si="39"/>
        <v>0</v>
      </c>
      <c r="AJ90" s="516">
        <f t="shared" si="39"/>
        <v>0</v>
      </c>
      <c r="AK90" s="516">
        <f t="shared" si="39"/>
        <v>0</v>
      </c>
      <c r="AL90" s="516">
        <f t="shared" si="39"/>
        <v>0</v>
      </c>
      <c r="AM90" s="516">
        <f t="shared" si="39"/>
        <v>0</v>
      </c>
      <c r="AN90" s="516">
        <f t="shared" si="39"/>
        <v>0</v>
      </c>
      <c r="AO90" s="516">
        <f t="shared" si="39"/>
        <v>0</v>
      </c>
      <c r="AP90" s="501"/>
      <c r="AQ90" s="505"/>
      <c r="AR90" s="505"/>
      <c r="AS90" s="505"/>
      <c r="AT90" s="505"/>
      <c r="AU90" s="505"/>
      <c r="AV90" s="510"/>
      <c r="AW90" s="452"/>
    </row>
    <row r="91" spans="1:49" hidden="1">
      <c r="A91" s="143"/>
      <c r="B91" s="483"/>
      <c r="C91" s="496" t="s">
        <v>1340</v>
      </c>
      <c r="D91" s="516">
        <f t="shared" ref="D91:AO91" si="40">IF(ISERR(GETPIVOTDATA("[Measures].[" &amp; MDContractCurrency &amp; "]",TRIMARANweekly,"[Order].[Position Number]","[Order].[Position Number].&amp;[" &amp; $B94 &amp; "]","[Period].[Week]","[Period].[Week].&amp;[" &amp; YEAR(D$14-14) &amp; TEXT(WEEKNUM(D$14-14),"00") &amp; "]")),0,GETPIVOTDATA("[Measures].[" &amp; MDContractCurrency &amp; "]",TRIMARANweekly,"[Order].[Position Number]","[Order].[Position Number].&amp;[" &amp; $B94 &amp; "]","[Period].[Week]","[Period].[Week].&amp;[" &amp; YEAR(D$14-14) &amp; TEXT(WEEKNUM(D$14-14),"00") &amp; "]"))+D90</f>
        <v>0</v>
      </c>
      <c r="E91" s="516">
        <f t="shared" si="40"/>
        <v>0</v>
      </c>
      <c r="F91" s="516">
        <f t="shared" si="40"/>
        <v>0</v>
      </c>
      <c r="G91" s="516">
        <f t="shared" si="40"/>
        <v>0</v>
      </c>
      <c r="H91" s="516">
        <f t="shared" si="40"/>
        <v>0</v>
      </c>
      <c r="I91" s="516">
        <f t="shared" si="40"/>
        <v>0</v>
      </c>
      <c r="J91" s="516">
        <f t="shared" si="40"/>
        <v>0</v>
      </c>
      <c r="K91" s="516">
        <f t="shared" si="40"/>
        <v>0</v>
      </c>
      <c r="L91" s="516">
        <f t="shared" si="40"/>
        <v>0</v>
      </c>
      <c r="M91" s="516">
        <f t="shared" si="40"/>
        <v>0</v>
      </c>
      <c r="N91" s="516">
        <f t="shared" si="40"/>
        <v>0</v>
      </c>
      <c r="O91" s="516">
        <f t="shared" si="40"/>
        <v>0</v>
      </c>
      <c r="P91" s="516">
        <f t="shared" si="40"/>
        <v>0</v>
      </c>
      <c r="Q91" s="516">
        <f t="shared" si="40"/>
        <v>0</v>
      </c>
      <c r="R91" s="516">
        <f t="shared" si="40"/>
        <v>0</v>
      </c>
      <c r="S91" s="516">
        <f t="shared" si="40"/>
        <v>0</v>
      </c>
      <c r="T91" s="516">
        <f t="shared" si="40"/>
        <v>0</v>
      </c>
      <c r="U91" s="516">
        <f t="shared" si="40"/>
        <v>0</v>
      </c>
      <c r="V91" s="516">
        <f t="shared" si="40"/>
        <v>0</v>
      </c>
      <c r="W91" s="516">
        <f t="shared" si="40"/>
        <v>0</v>
      </c>
      <c r="X91" s="516">
        <f t="shared" si="40"/>
        <v>0</v>
      </c>
      <c r="Y91" s="516">
        <f t="shared" si="40"/>
        <v>0</v>
      </c>
      <c r="Z91" s="516">
        <f t="shared" si="40"/>
        <v>0</v>
      </c>
      <c r="AA91" s="516">
        <f t="shared" si="40"/>
        <v>0</v>
      </c>
      <c r="AB91" s="516">
        <f t="shared" si="40"/>
        <v>0</v>
      </c>
      <c r="AC91" s="516">
        <f t="shared" si="40"/>
        <v>0</v>
      </c>
      <c r="AD91" s="516">
        <f t="shared" si="40"/>
        <v>0</v>
      </c>
      <c r="AE91" s="516">
        <f t="shared" si="40"/>
        <v>0</v>
      </c>
      <c r="AF91" s="516">
        <f t="shared" si="40"/>
        <v>0</v>
      </c>
      <c r="AG91" s="516">
        <f t="shared" si="40"/>
        <v>0</v>
      </c>
      <c r="AH91" s="516">
        <f t="shared" si="40"/>
        <v>0</v>
      </c>
      <c r="AI91" s="516">
        <f t="shared" si="40"/>
        <v>0</v>
      </c>
      <c r="AJ91" s="516">
        <f t="shared" si="40"/>
        <v>0</v>
      </c>
      <c r="AK91" s="516">
        <f t="shared" si="40"/>
        <v>0</v>
      </c>
      <c r="AL91" s="516">
        <f t="shared" si="40"/>
        <v>0</v>
      </c>
      <c r="AM91" s="516">
        <f t="shared" si="40"/>
        <v>0</v>
      </c>
      <c r="AN91" s="516">
        <f t="shared" si="40"/>
        <v>0</v>
      </c>
      <c r="AO91" s="516">
        <f t="shared" si="40"/>
        <v>0</v>
      </c>
      <c r="AP91" s="501"/>
      <c r="AQ91" s="505"/>
      <c r="AR91" s="505"/>
      <c r="AS91" s="505"/>
      <c r="AT91" s="505"/>
      <c r="AU91" s="505"/>
      <c r="AV91" s="510"/>
      <c r="AW91" s="452"/>
    </row>
    <row r="92" spans="1:49" hidden="1">
      <c r="A92" s="141"/>
      <c r="B92" s="517"/>
      <c r="C92" s="496" t="s">
        <v>1341</v>
      </c>
      <c r="D92" s="516">
        <f t="shared" ref="D92:AO92" si="41">IF(ISERR(GETPIVOTDATA("[Measures].[" &amp; MDContractCurrency &amp; "]",TRIMARANmonthly,"[Period].[Month]","[Period].[Month].&amp;["&amp;IF(MONTH(D$14)=1,YEAR(D$14)-1&amp;TEXT(12,"00"),YEAR(D$14)&amp;TEXT(MONTH(D$14)-1,"00"))&amp;"]","[Order].[Position Number]","[Order].[Position Number].&amp;["&amp;$B94&amp;"]")),0,GETPIVOTDATA("[Measures].[" &amp; MDContractCurrency &amp; "]",TRIMARANmonthly,"[Period].[Month]","[Period].[Month].&amp;["&amp;IF(MONTH(D$14)=1,YEAR(D$14)-1&amp;TEXT(12,"00"),YEAR(D$14)&amp;TEXT(MONTH(D$14)-1,"00"))&amp;"]","[Order].[Position Number]","[Order].[Position Number].&amp;["&amp;$B94&amp;"]"))</f>
        <v>0</v>
      </c>
      <c r="E92" s="516">
        <f t="shared" si="41"/>
        <v>0</v>
      </c>
      <c r="F92" s="516">
        <f t="shared" si="41"/>
        <v>0</v>
      </c>
      <c r="G92" s="516">
        <f t="shared" si="41"/>
        <v>0</v>
      </c>
      <c r="H92" s="516">
        <f t="shared" si="41"/>
        <v>0</v>
      </c>
      <c r="I92" s="516">
        <f t="shared" si="41"/>
        <v>0</v>
      </c>
      <c r="J92" s="516">
        <f t="shared" si="41"/>
        <v>0</v>
      </c>
      <c r="K92" s="516">
        <f t="shared" si="41"/>
        <v>0</v>
      </c>
      <c r="L92" s="516">
        <f t="shared" si="41"/>
        <v>0</v>
      </c>
      <c r="M92" s="516">
        <f t="shared" si="41"/>
        <v>0</v>
      </c>
      <c r="N92" s="516">
        <f t="shared" si="41"/>
        <v>0</v>
      </c>
      <c r="O92" s="516">
        <f t="shared" si="41"/>
        <v>0</v>
      </c>
      <c r="P92" s="516">
        <f t="shared" si="41"/>
        <v>0</v>
      </c>
      <c r="Q92" s="516">
        <f t="shared" si="41"/>
        <v>0</v>
      </c>
      <c r="R92" s="516">
        <f t="shared" si="41"/>
        <v>0</v>
      </c>
      <c r="S92" s="516">
        <f t="shared" si="41"/>
        <v>0</v>
      </c>
      <c r="T92" s="516">
        <f t="shared" si="41"/>
        <v>0</v>
      </c>
      <c r="U92" s="516">
        <f t="shared" si="41"/>
        <v>0</v>
      </c>
      <c r="V92" s="516">
        <f t="shared" si="41"/>
        <v>0</v>
      </c>
      <c r="W92" s="516">
        <f t="shared" si="41"/>
        <v>0</v>
      </c>
      <c r="X92" s="516">
        <f t="shared" si="41"/>
        <v>0</v>
      </c>
      <c r="Y92" s="516">
        <f t="shared" si="41"/>
        <v>0</v>
      </c>
      <c r="Z92" s="516">
        <f t="shared" si="41"/>
        <v>0</v>
      </c>
      <c r="AA92" s="516">
        <f t="shared" si="41"/>
        <v>0</v>
      </c>
      <c r="AB92" s="516">
        <f t="shared" si="41"/>
        <v>0</v>
      </c>
      <c r="AC92" s="516">
        <f t="shared" si="41"/>
        <v>0</v>
      </c>
      <c r="AD92" s="516">
        <f t="shared" si="41"/>
        <v>0</v>
      </c>
      <c r="AE92" s="516">
        <f t="shared" si="41"/>
        <v>0</v>
      </c>
      <c r="AF92" s="516">
        <f t="shared" si="41"/>
        <v>0</v>
      </c>
      <c r="AG92" s="516">
        <f t="shared" si="41"/>
        <v>0</v>
      </c>
      <c r="AH92" s="516">
        <f t="shared" si="41"/>
        <v>0</v>
      </c>
      <c r="AI92" s="516">
        <f t="shared" si="41"/>
        <v>0</v>
      </c>
      <c r="AJ92" s="516">
        <f t="shared" si="41"/>
        <v>0</v>
      </c>
      <c r="AK92" s="516">
        <f t="shared" si="41"/>
        <v>0</v>
      </c>
      <c r="AL92" s="516">
        <f t="shared" si="41"/>
        <v>0</v>
      </c>
      <c r="AM92" s="516">
        <f t="shared" si="41"/>
        <v>0</v>
      </c>
      <c r="AN92" s="516">
        <f t="shared" si="41"/>
        <v>0</v>
      </c>
      <c r="AO92" s="516">
        <f t="shared" si="41"/>
        <v>0</v>
      </c>
      <c r="AP92" s="501"/>
      <c r="AQ92" s="505"/>
      <c r="AR92" s="505"/>
      <c r="AS92" s="505"/>
      <c r="AT92" s="505"/>
      <c r="AU92" s="505"/>
      <c r="AV92" s="510"/>
      <c r="AW92" s="452"/>
    </row>
    <row r="93" spans="1:49">
      <c r="A93" s="143"/>
      <c r="B93" s="483"/>
      <c r="C93" s="524"/>
      <c r="D93" s="501"/>
      <c r="E93" s="501"/>
      <c r="F93" s="501"/>
      <c r="G93" s="501"/>
      <c r="H93" s="501"/>
      <c r="I93" s="501"/>
      <c r="J93" s="501"/>
      <c r="K93" s="501"/>
      <c r="L93" s="501"/>
      <c r="M93" s="501"/>
      <c r="N93" s="501"/>
      <c r="O93" s="501"/>
      <c r="P93" s="501"/>
      <c r="Q93" s="501"/>
      <c r="R93" s="501"/>
      <c r="S93" s="501"/>
      <c r="T93" s="501"/>
      <c r="U93" s="501"/>
      <c r="V93" s="501"/>
      <c r="W93" s="501"/>
      <c r="X93" s="501"/>
      <c r="Y93" s="501"/>
      <c r="Z93" s="501"/>
      <c r="AA93" s="501"/>
      <c r="AB93" s="501"/>
      <c r="AC93" s="501"/>
      <c r="AD93" s="501"/>
      <c r="AE93" s="501"/>
      <c r="AF93" s="501"/>
      <c r="AG93" s="501"/>
      <c r="AH93" s="501"/>
      <c r="AI93" s="501"/>
      <c r="AJ93" s="501"/>
      <c r="AK93" s="501"/>
      <c r="AL93" s="501"/>
      <c r="AM93" s="501"/>
      <c r="AN93" s="501"/>
      <c r="AO93" s="501"/>
      <c r="AP93" s="501"/>
      <c r="AQ93" s="505"/>
      <c r="AR93" s="505"/>
      <c r="AS93" s="505"/>
      <c r="AT93" s="505"/>
      <c r="AU93" s="505"/>
      <c r="AV93" s="510"/>
      <c r="AW93" s="452"/>
    </row>
    <row r="94" spans="1:49">
      <c r="A94" s="1183" t="str">
        <f>'Delivery Calculation'!B19 &amp; CHAR(10) &amp; 'Delivery Calculation'!P19 &amp; " - " &amp; 'Delivery Calculation'!Q19</f>
        <v xml:space="preserve">0
 - </v>
      </c>
      <c r="B94" s="1180">
        <f>'Delivery Calculation'!A19</f>
        <v>0</v>
      </c>
      <c r="C94" s="499" t="s">
        <v>546</v>
      </c>
      <c r="D94" s="518">
        <f>'Delivery Calculation'!M200</f>
        <v>0</v>
      </c>
      <c r="E94" s="518">
        <f>'Delivery Calculation'!N200</f>
        <v>0</v>
      </c>
      <c r="F94" s="518">
        <f>'Delivery Calculation'!O200</f>
        <v>0</v>
      </c>
      <c r="G94" s="518">
        <f>'Delivery Calculation'!P200</f>
        <v>0</v>
      </c>
      <c r="H94" s="518">
        <f>'Delivery Calculation'!Q200</f>
        <v>0</v>
      </c>
      <c r="I94" s="518">
        <f>'Delivery Calculation'!R200</f>
        <v>0</v>
      </c>
      <c r="J94" s="518">
        <f>'Delivery Calculation'!S200</f>
        <v>0</v>
      </c>
      <c r="K94" s="518">
        <f>'Delivery Calculation'!T200</f>
        <v>0</v>
      </c>
      <c r="L94" s="518">
        <f>'Delivery Calculation'!U200</f>
        <v>0</v>
      </c>
      <c r="M94" s="518">
        <f>'Delivery Calculation'!V200</f>
        <v>0</v>
      </c>
      <c r="N94" s="518">
        <f>'Delivery Calculation'!W200</f>
        <v>0</v>
      </c>
      <c r="O94" s="518">
        <f>'Delivery Calculation'!X200</f>
        <v>0</v>
      </c>
      <c r="P94" s="518">
        <f>'Delivery Calculation'!Y200</f>
        <v>0</v>
      </c>
      <c r="Q94" s="518">
        <f>'Delivery Calculation'!Z200</f>
        <v>0</v>
      </c>
      <c r="R94" s="518">
        <f>'Delivery Calculation'!AA200</f>
        <v>0</v>
      </c>
      <c r="S94" s="518">
        <f>'Delivery Calculation'!AB200</f>
        <v>0</v>
      </c>
      <c r="T94" s="518">
        <f>'Delivery Calculation'!AC200</f>
        <v>0</v>
      </c>
      <c r="U94" s="518">
        <f>'Delivery Calculation'!AD200</f>
        <v>0</v>
      </c>
      <c r="V94" s="518">
        <f>'Delivery Calculation'!AE200</f>
        <v>0</v>
      </c>
      <c r="W94" s="518">
        <f>'Delivery Calculation'!AF200</f>
        <v>0</v>
      </c>
      <c r="X94" s="518">
        <f>'Delivery Calculation'!AG200</f>
        <v>0</v>
      </c>
      <c r="Y94" s="518">
        <f>'Delivery Calculation'!AH200</f>
        <v>0</v>
      </c>
      <c r="Z94" s="518">
        <f>'Delivery Calculation'!AI200</f>
        <v>0</v>
      </c>
      <c r="AA94" s="518">
        <f>'Delivery Calculation'!AJ200</f>
        <v>0</v>
      </c>
      <c r="AB94" s="518">
        <f>'Delivery Calculation'!AK200</f>
        <v>0</v>
      </c>
      <c r="AC94" s="518">
        <f>'Delivery Calculation'!AL200</f>
        <v>0</v>
      </c>
      <c r="AD94" s="518">
        <f>'Delivery Calculation'!AM200</f>
        <v>0</v>
      </c>
      <c r="AE94" s="518">
        <f>'Delivery Calculation'!AN200</f>
        <v>0</v>
      </c>
      <c r="AF94" s="518">
        <f>'Delivery Calculation'!AO200</f>
        <v>0</v>
      </c>
      <c r="AG94" s="518">
        <f>'Delivery Calculation'!AP200</f>
        <v>0</v>
      </c>
      <c r="AH94" s="518">
        <f>'Delivery Calculation'!AQ200</f>
        <v>0</v>
      </c>
      <c r="AI94" s="518">
        <f>'Delivery Calculation'!AR200</f>
        <v>0</v>
      </c>
      <c r="AJ94" s="518">
        <f>'Delivery Calculation'!AS200</f>
        <v>0</v>
      </c>
      <c r="AK94" s="518">
        <f>'Delivery Calculation'!AT200</f>
        <v>0</v>
      </c>
      <c r="AL94" s="518">
        <f>'Delivery Calculation'!AU200</f>
        <v>0</v>
      </c>
      <c r="AM94" s="518">
        <f>'Delivery Calculation'!AV200</f>
        <v>0</v>
      </c>
      <c r="AN94" s="518">
        <f>'Delivery Calculation'!AW200</f>
        <v>0</v>
      </c>
      <c r="AO94" s="518">
        <f>'Delivery Calculation'!AX200</f>
        <v>0</v>
      </c>
      <c r="AP94" s="501"/>
      <c r="AQ94" s="519">
        <f>IF(COUNTIF($D$15:$AO$15, TMDPeriodValueTypeReported)&gt;0, INDEX(D94:AO94,1,COUNTIF(D$15:$AO$15,TMDPeriodValueTypeReported)),0)</f>
        <v>0</v>
      </c>
      <c r="AR94" s="519"/>
      <c r="AS94" s="520">
        <f>'Delivery Calculation'!N19</f>
        <v>0</v>
      </c>
      <c r="AT94" s="519">
        <f>AQ94*'Delivery Calculation'!N19</f>
        <v>0</v>
      </c>
      <c r="AU94" s="521" t="s">
        <v>522</v>
      </c>
      <c r="AV94" s="525"/>
      <c r="AW94" s="452"/>
    </row>
    <row r="95" spans="1:49">
      <c r="A95" s="1184"/>
      <c r="B95" s="1181"/>
      <c r="C95" s="499" t="s">
        <v>547</v>
      </c>
      <c r="D95" s="509">
        <f>IF(D$15=TMDPeriodValueTypeForecast,IF('Delivery Calculation'!$H$19=TMDAllocationTandM,0,'Delivery Calculation'!M129),IF(MDReportingPeriod=TMDMonthly,D89,IF(MDReportingPeriod=TMDTwoweekly,D88,D87)))</f>
        <v>0</v>
      </c>
      <c r="E95" s="509">
        <f>IF(E$15=TMDPeriodValueTypeForecast,IF('Delivery Calculation'!$H$19=TMDAllocationTandM,0,'Delivery Calculation'!N129),IF(MDReportingPeriod=TMDMonthly,E89,IF(MDReportingPeriod=TMDTwoweekly,E88,E87)))</f>
        <v>0</v>
      </c>
      <c r="F95" s="509">
        <f>IF(F$15=TMDPeriodValueTypeForecast,IF('Delivery Calculation'!$H$19=TMDAllocationTandM,0,'Delivery Calculation'!O129),IF(MDReportingPeriod=TMDMonthly,F89,IF(MDReportingPeriod=TMDTwoweekly,F88,F87)))</f>
        <v>0</v>
      </c>
      <c r="G95" s="509">
        <f>IF(G$15=TMDPeriodValueTypeForecast,IF('Delivery Calculation'!$H$19=TMDAllocationTandM,0,'Delivery Calculation'!P129),IF(MDReportingPeriod=TMDMonthly,G89,IF(MDReportingPeriod=TMDTwoweekly,G88,G87)))</f>
        <v>0</v>
      </c>
      <c r="H95" s="509">
        <f>IF(H$15=TMDPeriodValueTypeForecast,IF('Delivery Calculation'!$H$19=TMDAllocationTandM,0,'Delivery Calculation'!Q129),IF(MDReportingPeriod=TMDMonthly,H89,IF(MDReportingPeriod=TMDTwoweekly,H88,H87)))</f>
        <v>0</v>
      </c>
      <c r="I95" s="509">
        <f>IF(I$15=TMDPeriodValueTypeForecast,IF('Delivery Calculation'!$H$19=TMDAllocationTandM,0,'Delivery Calculation'!R129),IF(MDReportingPeriod=TMDMonthly,I89,IF(MDReportingPeriod=TMDTwoweekly,I88,I87)))</f>
        <v>0</v>
      </c>
      <c r="J95" s="509">
        <f>IF(J$15=TMDPeriodValueTypeForecast,IF('Delivery Calculation'!$H$19=TMDAllocationTandM,0,'Delivery Calculation'!S129),IF(MDReportingPeriod=TMDMonthly,J89,IF(MDReportingPeriod=TMDTwoweekly,J88,J87)))</f>
        <v>0</v>
      </c>
      <c r="K95" s="509">
        <f>IF(K$15=TMDPeriodValueTypeForecast,IF('Delivery Calculation'!$H$19=TMDAllocationTandM,0,'Delivery Calculation'!T129),IF(MDReportingPeriod=TMDMonthly,K89,IF(MDReportingPeriod=TMDTwoweekly,K88,K87)))</f>
        <v>0</v>
      </c>
      <c r="L95" s="509">
        <f>IF(L$15=TMDPeriodValueTypeForecast,IF('Delivery Calculation'!$H$19=TMDAllocationTandM,0,'Delivery Calculation'!U129),IF(MDReportingPeriod=TMDMonthly,L89,IF(MDReportingPeriod=TMDTwoweekly,L88,L87)))</f>
        <v>0</v>
      </c>
      <c r="M95" s="509">
        <f>IF(M$15=TMDPeriodValueTypeForecast,IF('Delivery Calculation'!$H$19=TMDAllocationTandM,0,'Delivery Calculation'!V129),IF(MDReportingPeriod=TMDMonthly,M89,IF(MDReportingPeriod=TMDTwoweekly,M88,M87)))</f>
        <v>0</v>
      </c>
      <c r="N95" s="509">
        <f>IF(N$15=TMDPeriodValueTypeForecast,IF('Delivery Calculation'!$H$19=TMDAllocationTandM,0,'Delivery Calculation'!W129),IF(MDReportingPeriod=TMDMonthly,N89,IF(MDReportingPeriod=TMDTwoweekly,N88,N87)))</f>
        <v>0</v>
      </c>
      <c r="O95" s="509">
        <f>IF(O$15=TMDPeriodValueTypeForecast,IF('Delivery Calculation'!$H$19=TMDAllocationTandM,0,'Delivery Calculation'!X129),IF(MDReportingPeriod=TMDMonthly,O89,IF(MDReportingPeriod=TMDTwoweekly,O88,O87)))</f>
        <v>0</v>
      </c>
      <c r="P95" s="509">
        <f>IF(P$15=TMDPeriodValueTypeForecast,IF('Delivery Calculation'!$H$19=TMDAllocationTandM,0,'Delivery Calculation'!Y129),IF(MDReportingPeriod=TMDMonthly,P89,IF(MDReportingPeriod=TMDTwoweekly,P88,P87)))</f>
        <v>0</v>
      </c>
      <c r="Q95" s="509">
        <f>IF(Q$15=TMDPeriodValueTypeForecast,IF('Delivery Calculation'!$H$19=TMDAllocationTandM,0,'Delivery Calculation'!Z129),IF(MDReportingPeriod=TMDMonthly,Q89,IF(MDReportingPeriod=TMDTwoweekly,Q88,Q87)))</f>
        <v>0</v>
      </c>
      <c r="R95" s="509">
        <f>IF(R$15=TMDPeriodValueTypeForecast,IF('Delivery Calculation'!$H$19=TMDAllocationTandM,0,'Delivery Calculation'!AA129),IF(MDReportingPeriod=TMDMonthly,R89,IF(MDReportingPeriod=TMDTwoweekly,R88,R87)))</f>
        <v>0</v>
      </c>
      <c r="S95" s="509">
        <f>IF(S$15=TMDPeriodValueTypeForecast,IF('Delivery Calculation'!$H$19=TMDAllocationTandM,0,'Delivery Calculation'!AB129),IF(MDReportingPeriod=TMDMonthly,S89,IF(MDReportingPeriod=TMDTwoweekly,S88,S87)))</f>
        <v>0</v>
      </c>
      <c r="T95" s="509">
        <f>IF(T$15=TMDPeriodValueTypeForecast,IF('Delivery Calculation'!$H$19=TMDAllocationTandM,0,'Delivery Calculation'!AC129),IF(MDReportingPeriod=TMDMonthly,T89,IF(MDReportingPeriod=TMDTwoweekly,T88,T87)))</f>
        <v>0</v>
      </c>
      <c r="U95" s="509">
        <f>IF(U$15=TMDPeriodValueTypeForecast,IF('Delivery Calculation'!$H$19=TMDAllocationTandM,0,'Delivery Calculation'!AD129),IF(MDReportingPeriod=TMDMonthly,U89,IF(MDReportingPeriod=TMDTwoweekly,U88,U87)))</f>
        <v>0</v>
      </c>
      <c r="V95" s="509">
        <f>IF(V$15=TMDPeriodValueTypeForecast,IF('Delivery Calculation'!$H$19=TMDAllocationTandM,0,'Delivery Calculation'!AE129),IF(MDReportingPeriod=TMDMonthly,V89,IF(MDReportingPeriod=TMDTwoweekly,V88,V87)))</f>
        <v>0</v>
      </c>
      <c r="W95" s="509">
        <f>IF(W$15=TMDPeriodValueTypeForecast,IF('Delivery Calculation'!$H$19=TMDAllocationTandM,0,'Delivery Calculation'!AF129),IF(MDReportingPeriod=TMDMonthly,W89,IF(MDReportingPeriod=TMDTwoweekly,W88,W87)))</f>
        <v>0</v>
      </c>
      <c r="X95" s="509">
        <f>IF(X$15=TMDPeriodValueTypeForecast,IF('Delivery Calculation'!$H$19=TMDAllocationTandM,0,'Delivery Calculation'!AG129),IF(MDReportingPeriod=TMDMonthly,X89,IF(MDReportingPeriod=TMDTwoweekly,X88,X87)))</f>
        <v>0</v>
      </c>
      <c r="Y95" s="509">
        <f>IF(Y$15=TMDPeriodValueTypeForecast,IF('Delivery Calculation'!$H$19=TMDAllocationTandM,0,'Delivery Calculation'!AH129),IF(MDReportingPeriod=TMDMonthly,Y89,IF(MDReportingPeriod=TMDTwoweekly,Y88,Y87)))</f>
        <v>0</v>
      </c>
      <c r="Z95" s="509">
        <f>IF(Z$15=TMDPeriodValueTypeForecast,IF('Delivery Calculation'!$H$19=TMDAllocationTandM,0,'Delivery Calculation'!AI129),IF(MDReportingPeriod=TMDMonthly,Z89,IF(MDReportingPeriod=TMDTwoweekly,Z88,Z87)))</f>
        <v>0</v>
      </c>
      <c r="AA95" s="509">
        <f>IF(AA$15=TMDPeriodValueTypeForecast,IF('Delivery Calculation'!$H$19=TMDAllocationTandM,0,'Delivery Calculation'!AJ129),IF(MDReportingPeriod=TMDMonthly,AA89,IF(MDReportingPeriod=TMDTwoweekly,AA88,AA87)))</f>
        <v>0</v>
      </c>
      <c r="AB95" s="509">
        <f>IF(AB$15=TMDPeriodValueTypeForecast,IF('Delivery Calculation'!$H$19=TMDAllocationTandM,0,'Delivery Calculation'!AK129),IF(MDReportingPeriod=TMDMonthly,AB89,IF(MDReportingPeriod=TMDTwoweekly,AB88,AB87)))</f>
        <v>0</v>
      </c>
      <c r="AC95" s="509">
        <f>IF(AC$15=TMDPeriodValueTypeForecast,IF('Delivery Calculation'!$H$19=TMDAllocationTandM,0,'Delivery Calculation'!AL129),IF(MDReportingPeriod=TMDMonthly,AC89,IF(MDReportingPeriod=TMDTwoweekly,AC88,AC87)))</f>
        <v>0</v>
      </c>
      <c r="AD95" s="509">
        <f>IF(AD$15=TMDPeriodValueTypeForecast,IF('Delivery Calculation'!$H$19=TMDAllocationTandM,0,'Delivery Calculation'!AM129),IF(MDReportingPeriod=TMDMonthly,AD89,IF(MDReportingPeriod=TMDTwoweekly,AD88,AD87)))</f>
        <v>0</v>
      </c>
      <c r="AE95" s="509">
        <f>IF(AE$15=TMDPeriodValueTypeForecast,IF('Delivery Calculation'!$H$19=TMDAllocationTandM,0,'Delivery Calculation'!AN129),IF(MDReportingPeriod=TMDMonthly,AE89,IF(MDReportingPeriod=TMDTwoweekly,AE88,AE87)))</f>
        <v>0</v>
      </c>
      <c r="AF95" s="509">
        <f>IF(AF$15=TMDPeriodValueTypeForecast,IF('Delivery Calculation'!$H$19=TMDAllocationTandM,0,'Delivery Calculation'!AO129),IF(MDReportingPeriod=TMDMonthly,AF89,IF(MDReportingPeriod=TMDTwoweekly,AF88,AF87)))</f>
        <v>0</v>
      </c>
      <c r="AG95" s="509">
        <f>IF(AG$15=TMDPeriodValueTypeForecast,IF('Delivery Calculation'!$H$19=TMDAllocationTandM,0,'Delivery Calculation'!AP129),IF(MDReportingPeriod=TMDMonthly,AG89,IF(MDReportingPeriod=TMDTwoweekly,AG88,AG87)))</f>
        <v>0</v>
      </c>
      <c r="AH95" s="509">
        <f>IF(AH$15=TMDPeriodValueTypeForecast,IF('Delivery Calculation'!$H$19=TMDAllocationTandM,0,'Delivery Calculation'!AQ129),IF(MDReportingPeriod=TMDMonthly,AH89,IF(MDReportingPeriod=TMDTwoweekly,AH88,AH87)))</f>
        <v>0</v>
      </c>
      <c r="AI95" s="509">
        <f>IF(AI$15=TMDPeriodValueTypeForecast,IF('Delivery Calculation'!$H$19=TMDAllocationTandM,0,'Delivery Calculation'!AR129),IF(MDReportingPeriod=TMDMonthly,AI89,IF(MDReportingPeriod=TMDTwoweekly,AI88,AI87)))</f>
        <v>0</v>
      </c>
      <c r="AJ95" s="509">
        <f>IF(AJ$15=TMDPeriodValueTypeForecast,IF('Delivery Calculation'!$H$19=TMDAllocationTandM,0,'Delivery Calculation'!AS129),IF(MDReportingPeriod=TMDMonthly,AJ89,IF(MDReportingPeriod=TMDTwoweekly,AJ88,AJ87)))</f>
        <v>0</v>
      </c>
      <c r="AK95" s="509">
        <f>IF(AK$15=TMDPeriodValueTypeForecast,IF('Delivery Calculation'!$H$19=TMDAllocationTandM,0,'Delivery Calculation'!AT129),IF(MDReportingPeriod=TMDMonthly,AK89,IF(MDReportingPeriod=TMDTwoweekly,AK88,AK87)))</f>
        <v>0</v>
      </c>
      <c r="AL95" s="509">
        <f>IF(AL$15=TMDPeriodValueTypeForecast,IF('Delivery Calculation'!$H$19=TMDAllocationTandM,0,'Delivery Calculation'!AU129),IF(MDReportingPeriod=TMDMonthly,AL89,IF(MDReportingPeriod=TMDTwoweekly,AL88,AL87)))</f>
        <v>0</v>
      </c>
      <c r="AM95" s="509">
        <f>IF(AM$15=TMDPeriodValueTypeForecast,IF('Delivery Calculation'!$H$19=TMDAllocationTandM,0,'Delivery Calculation'!AV129),IF(MDReportingPeriod=TMDMonthly,AM89,IF(MDReportingPeriod=TMDTwoweekly,AM88,AM87)))</f>
        <v>0</v>
      </c>
      <c r="AN95" s="509">
        <f>IF(AN$15=TMDPeriodValueTypeForecast,IF('Delivery Calculation'!$H$19=TMDAllocationTandM,0,'Delivery Calculation'!AW129),IF(MDReportingPeriod=TMDMonthly,AN89,IF(MDReportingPeriod=TMDTwoweekly,AN88,AN87)))</f>
        <v>0</v>
      </c>
      <c r="AO95" s="509">
        <f>IF(AO$15=TMDPeriodValueTypeForecast,IF('Delivery Calculation'!$H$19=TMDAllocationTandM,0,'Delivery Calculation'!AX129),IF(MDReportingPeriod=TMDMonthly,AO89,IF(MDReportingPeriod=TMDTwoweekly,AO88,AO87)))</f>
        <v>0</v>
      </c>
      <c r="AP95" s="501"/>
      <c r="AQ95" s="505">
        <f>SUMIF($D$15:$AO$15,TMDPeriodValueTypeReported,D95:AO95)</f>
        <v>0</v>
      </c>
      <c r="AR95" s="505">
        <f>SUMIF($D$15:$AO$15,TMDPeriodValueTypeForecast,D95:AO95)</f>
        <v>0</v>
      </c>
      <c r="AS95" s="523">
        <f>'Delivery Calculation'!J19</f>
        <v>0</v>
      </c>
      <c r="AT95" s="505">
        <f>AS95-(AQ95+AR95)</f>
        <v>0</v>
      </c>
      <c r="AU95" s="505"/>
      <c r="AV95" s="510"/>
      <c r="AW95" s="452"/>
    </row>
    <row r="96" spans="1:49">
      <c r="A96" s="1184"/>
      <c r="B96" s="1181"/>
      <c r="C96" s="499" t="s">
        <v>548</v>
      </c>
      <c r="D96" s="509">
        <f>IF(D$15=TMDPeriodValueTypeForecast,IF('Delivery Calculation'!$H$19=TMDAllocationTandM,0,'Delivery Calculation'!M93),IF(MDReportingPeriod=TMDMonthly,D92,IF(MDReportingPeriod=TMDTwoweekly,D91,D90)))</f>
        <v>0</v>
      </c>
      <c r="E96" s="509">
        <f>IF(E$15=TMDPeriodValueTypeForecast,IF('Delivery Calculation'!$H$19=TMDAllocationTandM,0,'Delivery Calculation'!N93),IF(MDReportingPeriod=TMDMonthly,E92,IF(MDReportingPeriod=TMDTwoweekly,E91,E90)))</f>
        <v>0</v>
      </c>
      <c r="F96" s="509">
        <f>IF(F$15=TMDPeriodValueTypeForecast,IF('Delivery Calculation'!$H$19=TMDAllocationTandM,0,'Delivery Calculation'!O93),IF(MDReportingPeriod=TMDMonthly,F92,IF(MDReportingPeriod=TMDTwoweekly,F91,F90)))</f>
        <v>0</v>
      </c>
      <c r="G96" s="509">
        <f>IF(G$15=TMDPeriodValueTypeForecast,IF('Delivery Calculation'!$H$19=TMDAllocationTandM,0,'Delivery Calculation'!P93),IF(MDReportingPeriod=TMDMonthly,G92,IF(MDReportingPeriod=TMDTwoweekly,G91,G90)))</f>
        <v>0</v>
      </c>
      <c r="H96" s="509">
        <f>IF(H$15=TMDPeriodValueTypeForecast,IF('Delivery Calculation'!$H$19=TMDAllocationTandM,0,'Delivery Calculation'!Q93),IF(MDReportingPeriod=TMDMonthly,H92,IF(MDReportingPeriod=TMDTwoweekly,H91,H90)))</f>
        <v>0</v>
      </c>
      <c r="I96" s="509">
        <f>IF(I$15=TMDPeriodValueTypeForecast,IF('Delivery Calculation'!$H$19=TMDAllocationTandM,0,'Delivery Calculation'!R93),IF(MDReportingPeriod=TMDMonthly,I92,IF(MDReportingPeriod=TMDTwoweekly,I91,I90)))</f>
        <v>0</v>
      </c>
      <c r="J96" s="509">
        <f>IF(J$15=TMDPeriodValueTypeForecast,IF('Delivery Calculation'!$H$19=TMDAllocationTandM,0,'Delivery Calculation'!S93),IF(MDReportingPeriod=TMDMonthly,J92,IF(MDReportingPeriod=TMDTwoweekly,J91,J90)))</f>
        <v>0</v>
      </c>
      <c r="K96" s="509">
        <f>IF(K$15=TMDPeriodValueTypeForecast,IF('Delivery Calculation'!$H$19=TMDAllocationTandM,0,'Delivery Calculation'!T93),IF(MDReportingPeriod=TMDMonthly,K92,IF(MDReportingPeriod=TMDTwoweekly,K91,K90)))</f>
        <v>0</v>
      </c>
      <c r="L96" s="509">
        <f>IF(L$15=TMDPeriodValueTypeForecast,IF('Delivery Calculation'!$H$19=TMDAllocationTandM,0,'Delivery Calculation'!U93),IF(MDReportingPeriod=TMDMonthly,L92,IF(MDReportingPeriod=TMDTwoweekly,L91,L90)))</f>
        <v>0</v>
      </c>
      <c r="M96" s="509">
        <f>IF(M$15=TMDPeriodValueTypeForecast,IF('Delivery Calculation'!$H$19=TMDAllocationTandM,0,'Delivery Calculation'!V93),IF(MDReportingPeriod=TMDMonthly,M92,IF(MDReportingPeriod=TMDTwoweekly,M91,M90)))</f>
        <v>0</v>
      </c>
      <c r="N96" s="509">
        <f>IF(N$15=TMDPeriodValueTypeForecast,IF('Delivery Calculation'!$H$19=TMDAllocationTandM,0,'Delivery Calculation'!W93),IF(MDReportingPeriod=TMDMonthly,N92,IF(MDReportingPeriod=TMDTwoweekly,N91,N90)))</f>
        <v>0</v>
      </c>
      <c r="O96" s="509">
        <f>IF(O$15=TMDPeriodValueTypeForecast,IF('Delivery Calculation'!$H$19=TMDAllocationTandM,0,'Delivery Calculation'!X93),IF(MDReportingPeriod=TMDMonthly,O92,IF(MDReportingPeriod=TMDTwoweekly,O91,O90)))</f>
        <v>0</v>
      </c>
      <c r="P96" s="509">
        <f>IF(P$15=TMDPeriodValueTypeForecast,IF('Delivery Calculation'!$H$19=TMDAllocationTandM,0,'Delivery Calculation'!Y93),IF(MDReportingPeriod=TMDMonthly,P92,IF(MDReportingPeriod=TMDTwoweekly,P91,P90)))</f>
        <v>0</v>
      </c>
      <c r="Q96" s="509">
        <f>IF(Q$15=TMDPeriodValueTypeForecast,IF('Delivery Calculation'!$H$19=TMDAllocationTandM,0,'Delivery Calculation'!Z93),IF(MDReportingPeriod=TMDMonthly,Q92,IF(MDReportingPeriod=TMDTwoweekly,Q91,Q90)))</f>
        <v>0</v>
      </c>
      <c r="R96" s="509">
        <f>IF(R$15=TMDPeriodValueTypeForecast,IF('Delivery Calculation'!$H$19=TMDAllocationTandM,0,'Delivery Calculation'!AA93),IF(MDReportingPeriod=TMDMonthly,R92,IF(MDReportingPeriod=TMDTwoweekly,R91,R90)))</f>
        <v>0</v>
      </c>
      <c r="S96" s="509">
        <f>IF(S$15=TMDPeriodValueTypeForecast,IF('Delivery Calculation'!$H$19=TMDAllocationTandM,0,'Delivery Calculation'!AB93),IF(MDReportingPeriod=TMDMonthly,S92,IF(MDReportingPeriod=TMDTwoweekly,S91,S90)))</f>
        <v>0</v>
      </c>
      <c r="T96" s="509">
        <f>IF(T$15=TMDPeriodValueTypeForecast,IF('Delivery Calculation'!$H$19=TMDAllocationTandM,0,'Delivery Calculation'!AC93),IF(MDReportingPeriod=TMDMonthly,T92,IF(MDReportingPeriod=TMDTwoweekly,T91,T90)))</f>
        <v>0</v>
      </c>
      <c r="U96" s="509">
        <f>IF(U$15=TMDPeriodValueTypeForecast,IF('Delivery Calculation'!$H$19=TMDAllocationTandM,0,'Delivery Calculation'!AD93),IF(MDReportingPeriod=TMDMonthly,U92,IF(MDReportingPeriod=TMDTwoweekly,U91,U90)))</f>
        <v>0</v>
      </c>
      <c r="V96" s="509">
        <f>IF(V$15=TMDPeriodValueTypeForecast,IF('Delivery Calculation'!$H$19=TMDAllocationTandM,0,'Delivery Calculation'!AE93),IF(MDReportingPeriod=TMDMonthly,V92,IF(MDReportingPeriod=TMDTwoweekly,V91,V90)))</f>
        <v>0</v>
      </c>
      <c r="W96" s="509">
        <f>IF(W$15=TMDPeriodValueTypeForecast,IF('Delivery Calculation'!$H$19=TMDAllocationTandM,0,'Delivery Calculation'!AF93),IF(MDReportingPeriod=TMDMonthly,W92,IF(MDReportingPeriod=TMDTwoweekly,W91,W90)))</f>
        <v>0</v>
      </c>
      <c r="X96" s="509">
        <f>IF(X$15=TMDPeriodValueTypeForecast,IF('Delivery Calculation'!$H$19=TMDAllocationTandM,0,'Delivery Calculation'!AG93),IF(MDReportingPeriod=TMDMonthly,X92,IF(MDReportingPeriod=TMDTwoweekly,X91,X90)))</f>
        <v>0</v>
      </c>
      <c r="Y96" s="509">
        <f>IF(Y$15=TMDPeriodValueTypeForecast,IF('Delivery Calculation'!$H$19=TMDAllocationTandM,0,'Delivery Calculation'!AH93),IF(MDReportingPeriod=TMDMonthly,Y92,IF(MDReportingPeriod=TMDTwoweekly,Y91,Y90)))</f>
        <v>0</v>
      </c>
      <c r="Z96" s="509">
        <f>IF(Z$15=TMDPeriodValueTypeForecast,IF('Delivery Calculation'!$H$19=TMDAllocationTandM,0,'Delivery Calculation'!AI93),IF(MDReportingPeriod=TMDMonthly,Z92,IF(MDReportingPeriod=TMDTwoweekly,Z91,Z90)))</f>
        <v>0</v>
      </c>
      <c r="AA96" s="509">
        <f>IF(AA$15=TMDPeriodValueTypeForecast,IF('Delivery Calculation'!$H$19=TMDAllocationTandM,0,'Delivery Calculation'!AJ93),IF(MDReportingPeriod=TMDMonthly,AA92,IF(MDReportingPeriod=TMDTwoweekly,AA91,AA90)))</f>
        <v>0</v>
      </c>
      <c r="AB96" s="509">
        <f>IF(AB$15=TMDPeriodValueTypeForecast,IF('Delivery Calculation'!$H$19=TMDAllocationTandM,0,'Delivery Calculation'!AK93),IF(MDReportingPeriod=TMDMonthly,AB92,IF(MDReportingPeriod=TMDTwoweekly,AB91,AB90)))</f>
        <v>0</v>
      </c>
      <c r="AC96" s="509">
        <f>IF(AC$15=TMDPeriodValueTypeForecast,IF('Delivery Calculation'!$H$19=TMDAllocationTandM,0,'Delivery Calculation'!AL93),IF(MDReportingPeriod=TMDMonthly,AC92,IF(MDReportingPeriod=TMDTwoweekly,AC91,AC90)))</f>
        <v>0</v>
      </c>
      <c r="AD96" s="509">
        <f>IF(AD$15=TMDPeriodValueTypeForecast,IF('Delivery Calculation'!$H$19=TMDAllocationTandM,0,'Delivery Calculation'!AM93),IF(MDReportingPeriod=TMDMonthly,AD92,IF(MDReportingPeriod=TMDTwoweekly,AD91,AD90)))</f>
        <v>0</v>
      </c>
      <c r="AE96" s="509">
        <f>IF(AE$15=TMDPeriodValueTypeForecast,IF('Delivery Calculation'!$H$19=TMDAllocationTandM,0,'Delivery Calculation'!AN93),IF(MDReportingPeriod=TMDMonthly,AE92,IF(MDReportingPeriod=TMDTwoweekly,AE91,AE90)))</f>
        <v>0</v>
      </c>
      <c r="AF96" s="509">
        <f>IF(AF$15=TMDPeriodValueTypeForecast,IF('Delivery Calculation'!$H$19=TMDAllocationTandM,0,'Delivery Calculation'!AO93),IF(MDReportingPeriod=TMDMonthly,AF92,IF(MDReportingPeriod=TMDTwoweekly,AF91,AF90)))</f>
        <v>0</v>
      </c>
      <c r="AG96" s="509">
        <f>IF(AG$15=TMDPeriodValueTypeForecast,IF('Delivery Calculation'!$H$19=TMDAllocationTandM,0,'Delivery Calculation'!AP93),IF(MDReportingPeriod=TMDMonthly,AG92,IF(MDReportingPeriod=TMDTwoweekly,AG91,AG90)))</f>
        <v>0</v>
      </c>
      <c r="AH96" s="509">
        <f>IF(AH$15=TMDPeriodValueTypeForecast,IF('Delivery Calculation'!$H$19=TMDAllocationTandM,0,'Delivery Calculation'!AQ93),IF(MDReportingPeriod=TMDMonthly,AH92,IF(MDReportingPeriod=TMDTwoweekly,AH91,AH90)))</f>
        <v>0</v>
      </c>
      <c r="AI96" s="509">
        <f>IF(AI$15=TMDPeriodValueTypeForecast,IF('Delivery Calculation'!$H$19=TMDAllocationTandM,0,'Delivery Calculation'!AR93),IF(MDReportingPeriod=TMDMonthly,AI92,IF(MDReportingPeriod=TMDTwoweekly,AI91,AI90)))</f>
        <v>0</v>
      </c>
      <c r="AJ96" s="509">
        <f>IF(AJ$15=TMDPeriodValueTypeForecast,IF('Delivery Calculation'!$H$19=TMDAllocationTandM,0,'Delivery Calculation'!AS93),IF(MDReportingPeriod=TMDMonthly,AJ92,IF(MDReportingPeriod=TMDTwoweekly,AJ91,AJ90)))</f>
        <v>0</v>
      </c>
      <c r="AK96" s="509">
        <f>IF(AK$15=TMDPeriodValueTypeForecast,IF('Delivery Calculation'!$H$19=TMDAllocationTandM,0,'Delivery Calculation'!AT93),IF(MDReportingPeriod=TMDMonthly,AK92,IF(MDReportingPeriod=TMDTwoweekly,AK91,AK90)))</f>
        <v>0</v>
      </c>
      <c r="AL96" s="509">
        <f>IF(AL$15=TMDPeriodValueTypeForecast,IF('Delivery Calculation'!$H$19=TMDAllocationTandM,0,'Delivery Calculation'!AU93),IF(MDReportingPeriod=TMDMonthly,AL92,IF(MDReportingPeriod=TMDTwoweekly,AL91,AL90)))</f>
        <v>0</v>
      </c>
      <c r="AM96" s="509">
        <f>IF(AM$15=TMDPeriodValueTypeForecast,IF('Delivery Calculation'!$H$19=TMDAllocationTandM,0,'Delivery Calculation'!AV93),IF(MDReportingPeriod=TMDMonthly,AM92,IF(MDReportingPeriod=TMDTwoweekly,AM91,AM90)))</f>
        <v>0</v>
      </c>
      <c r="AN96" s="509">
        <f>IF(AN$15=TMDPeriodValueTypeForecast,IF('Delivery Calculation'!$H$19=TMDAllocationTandM,0,'Delivery Calculation'!AW93),IF(MDReportingPeriod=TMDMonthly,AN92,IF(MDReportingPeriod=TMDTwoweekly,AN91,AN90)))</f>
        <v>0</v>
      </c>
      <c r="AO96" s="509">
        <f>IF(AO$15=TMDPeriodValueTypeForecast,IF('Delivery Calculation'!$H$19=TMDAllocationTandM,0,'Delivery Calculation'!AX93),IF(MDReportingPeriod=TMDMonthly,AO92,IF(MDReportingPeriod=TMDTwoweekly,AO91,AO90)))</f>
        <v>0</v>
      </c>
      <c r="AP96" s="501"/>
      <c r="AQ96" s="505">
        <f>SUMIF($D$15:$AO$15,TMDPeriodValueTypeReported,D96:AO96)</f>
        <v>0</v>
      </c>
      <c r="AR96" s="505">
        <f>SUMIF($D$15:$AO$15,TMDPeriodValueTypeForecast,D96:AO96)</f>
        <v>0</v>
      </c>
      <c r="AS96" s="523">
        <f>'Delivery Calculation'!I19</f>
        <v>0</v>
      </c>
      <c r="AT96" s="505">
        <f>AS96-(AQ96+AR96)</f>
        <v>0</v>
      </c>
      <c r="AU96" s="505"/>
      <c r="AV96" s="510"/>
      <c r="AW96" s="452"/>
    </row>
    <row r="97" spans="1:49">
      <c r="A97" s="1185"/>
      <c r="B97" s="1182"/>
      <c r="C97" s="499" t="s">
        <v>549</v>
      </c>
      <c r="D97" s="509"/>
      <c r="E97" s="509"/>
      <c r="F97" s="509"/>
      <c r="G97" s="509"/>
      <c r="H97" s="509"/>
      <c r="I97" s="509"/>
      <c r="J97" s="509"/>
      <c r="K97" s="509"/>
      <c r="L97" s="509"/>
      <c r="M97" s="509"/>
      <c r="N97" s="509"/>
      <c r="O97" s="509"/>
      <c r="P97" s="509"/>
      <c r="Q97" s="509"/>
      <c r="R97" s="509"/>
      <c r="S97" s="509"/>
      <c r="T97" s="509"/>
      <c r="U97" s="509"/>
      <c r="V97" s="509"/>
      <c r="W97" s="509"/>
      <c r="X97" s="509"/>
      <c r="Y97" s="509"/>
      <c r="Z97" s="509"/>
      <c r="AA97" s="509"/>
      <c r="AB97" s="509"/>
      <c r="AC97" s="509"/>
      <c r="AD97" s="509"/>
      <c r="AE97" s="509"/>
      <c r="AF97" s="509"/>
      <c r="AG97" s="509"/>
      <c r="AH97" s="509"/>
      <c r="AI97" s="509"/>
      <c r="AJ97" s="509"/>
      <c r="AK97" s="509"/>
      <c r="AL97" s="509"/>
      <c r="AM97" s="509"/>
      <c r="AN97" s="509"/>
      <c r="AO97" s="509"/>
      <c r="AP97" s="501"/>
      <c r="AQ97" s="505">
        <f>SUMIF($D$15:$AO$15,TMDPeriodValueTypeReported,D97:AO97)</f>
        <v>0</v>
      </c>
      <c r="AR97" s="505">
        <f>SUMIF($D$15:$AO$15,TMDPeriodValueTypeForecast,D97:AO97)</f>
        <v>0</v>
      </c>
      <c r="AS97" s="505"/>
      <c r="AT97" s="505">
        <f>AQ97+AR97</f>
        <v>0</v>
      </c>
      <c r="AU97" s="505"/>
      <c r="AV97" s="510"/>
      <c r="AW97" s="452"/>
    </row>
    <row r="98" spans="1:49" hidden="1">
      <c r="A98" s="143"/>
      <c r="B98" s="483"/>
      <c r="C98" s="496" t="s">
        <v>1339</v>
      </c>
      <c r="D98" s="516">
        <f t="shared" ref="D98:AO98" si="42">IF(ISERR(GETPIVOTDATA("[Measures].[Hours]",TRIMARANweekly,"[Order].[Position Number]","[Order].[Position Number].&amp;[" &amp; $B105 &amp; "]","[Period].[Week]","[Period].[Week].&amp;[" &amp; YEAR(D$14-7) &amp; TEXT(WEEKNUM(D$14-7),"00") &amp; "]")),0,GETPIVOTDATA("[Measures].[Hours]",TRIMARANweekly,"[Order].[Position Number]","[Order].[Position Number].&amp;[" &amp; $B105 &amp; "]","[Period].[Week]","[Period].[Week].&amp;[" &amp; YEAR(D$14-7) &amp; TEXT(WEEKNUM(D$14-7),"00") &amp; "]"))</f>
        <v>0</v>
      </c>
      <c r="E98" s="516">
        <f t="shared" si="42"/>
        <v>0</v>
      </c>
      <c r="F98" s="516">
        <f t="shared" si="42"/>
        <v>0</v>
      </c>
      <c r="G98" s="516">
        <f t="shared" si="42"/>
        <v>0</v>
      </c>
      <c r="H98" s="516">
        <f t="shared" si="42"/>
        <v>0</v>
      </c>
      <c r="I98" s="516">
        <f t="shared" si="42"/>
        <v>0</v>
      </c>
      <c r="J98" s="516">
        <f t="shared" si="42"/>
        <v>0</v>
      </c>
      <c r="K98" s="516">
        <f t="shared" si="42"/>
        <v>0</v>
      </c>
      <c r="L98" s="516">
        <f t="shared" si="42"/>
        <v>0</v>
      </c>
      <c r="M98" s="516">
        <f t="shared" si="42"/>
        <v>0</v>
      </c>
      <c r="N98" s="516">
        <f t="shared" si="42"/>
        <v>0</v>
      </c>
      <c r="O98" s="516">
        <f t="shared" si="42"/>
        <v>0</v>
      </c>
      <c r="P98" s="516">
        <f t="shared" si="42"/>
        <v>0</v>
      </c>
      <c r="Q98" s="516">
        <f t="shared" si="42"/>
        <v>0</v>
      </c>
      <c r="R98" s="516">
        <f t="shared" si="42"/>
        <v>0</v>
      </c>
      <c r="S98" s="516">
        <f t="shared" si="42"/>
        <v>0</v>
      </c>
      <c r="T98" s="516">
        <f t="shared" si="42"/>
        <v>0</v>
      </c>
      <c r="U98" s="516">
        <f t="shared" si="42"/>
        <v>0</v>
      </c>
      <c r="V98" s="516">
        <f t="shared" si="42"/>
        <v>0</v>
      </c>
      <c r="W98" s="516">
        <f t="shared" si="42"/>
        <v>0</v>
      </c>
      <c r="X98" s="516">
        <f t="shared" si="42"/>
        <v>0</v>
      </c>
      <c r="Y98" s="516">
        <f t="shared" si="42"/>
        <v>0</v>
      </c>
      <c r="Z98" s="516">
        <f t="shared" si="42"/>
        <v>0</v>
      </c>
      <c r="AA98" s="516">
        <f t="shared" si="42"/>
        <v>0</v>
      </c>
      <c r="AB98" s="516">
        <f t="shared" si="42"/>
        <v>0</v>
      </c>
      <c r="AC98" s="516">
        <f t="shared" si="42"/>
        <v>0</v>
      </c>
      <c r="AD98" s="516">
        <f t="shared" si="42"/>
        <v>0</v>
      </c>
      <c r="AE98" s="516">
        <f t="shared" si="42"/>
        <v>0</v>
      </c>
      <c r="AF98" s="516">
        <f t="shared" si="42"/>
        <v>0</v>
      </c>
      <c r="AG98" s="516">
        <f t="shared" si="42"/>
        <v>0</v>
      </c>
      <c r="AH98" s="516">
        <f t="shared" si="42"/>
        <v>0</v>
      </c>
      <c r="AI98" s="516">
        <f t="shared" si="42"/>
        <v>0</v>
      </c>
      <c r="AJ98" s="516">
        <f t="shared" si="42"/>
        <v>0</v>
      </c>
      <c r="AK98" s="516">
        <f t="shared" si="42"/>
        <v>0</v>
      </c>
      <c r="AL98" s="516">
        <f t="shared" si="42"/>
        <v>0</v>
      </c>
      <c r="AM98" s="516">
        <f t="shared" si="42"/>
        <v>0</v>
      </c>
      <c r="AN98" s="516">
        <f t="shared" si="42"/>
        <v>0</v>
      </c>
      <c r="AO98" s="516">
        <f t="shared" si="42"/>
        <v>0</v>
      </c>
      <c r="AP98" s="501"/>
      <c r="AQ98" s="505"/>
      <c r="AR98" s="505"/>
      <c r="AS98" s="505"/>
      <c r="AT98" s="505"/>
      <c r="AU98" s="505"/>
      <c r="AV98" s="510"/>
      <c r="AW98" s="452"/>
    </row>
    <row r="99" spans="1:49" hidden="1">
      <c r="A99" s="143"/>
      <c r="B99" s="483"/>
      <c r="C99" s="496" t="s">
        <v>1340</v>
      </c>
      <c r="D99" s="516">
        <f t="shared" ref="D99:AO99" si="43">IF(ISERR(GETPIVOTDATA("[Measures].[Hours]",TRIMARANweekly,"[Order].[Position Number]","[Order].[Position Number].&amp;[" &amp; $B105 &amp; "]","[Period].[Week]","[Period].[Week].&amp;[" &amp; YEAR(D$14-14) &amp; TEXT(WEEKNUM(D$14-14),"00") &amp; "]")),0,GETPIVOTDATA("[Measures].[Hours]",TRIMARANweekly,"[Order].[Position Number]","[Order].[Position Number].&amp;[" &amp; $B105 &amp; "]","[Period].[Week]","[Period].[Week].&amp;[" &amp; YEAR(D$14-14) &amp; TEXT(WEEKNUM(D$14-14),"00") &amp; "]"))+D98</f>
        <v>0</v>
      </c>
      <c r="E99" s="516">
        <f t="shared" si="43"/>
        <v>0</v>
      </c>
      <c r="F99" s="516">
        <f t="shared" si="43"/>
        <v>0</v>
      </c>
      <c r="G99" s="516">
        <f t="shared" si="43"/>
        <v>0</v>
      </c>
      <c r="H99" s="516">
        <f t="shared" si="43"/>
        <v>0</v>
      </c>
      <c r="I99" s="516">
        <f t="shared" si="43"/>
        <v>0</v>
      </c>
      <c r="J99" s="516">
        <f t="shared" si="43"/>
        <v>0</v>
      </c>
      <c r="K99" s="516">
        <f t="shared" si="43"/>
        <v>0</v>
      </c>
      <c r="L99" s="516">
        <f t="shared" si="43"/>
        <v>0</v>
      </c>
      <c r="M99" s="516">
        <f t="shared" si="43"/>
        <v>0</v>
      </c>
      <c r="N99" s="516">
        <f t="shared" si="43"/>
        <v>0</v>
      </c>
      <c r="O99" s="516">
        <f t="shared" si="43"/>
        <v>0</v>
      </c>
      <c r="P99" s="516">
        <f t="shared" si="43"/>
        <v>0</v>
      </c>
      <c r="Q99" s="516">
        <f t="shared" si="43"/>
        <v>0</v>
      </c>
      <c r="R99" s="516">
        <f t="shared" si="43"/>
        <v>0</v>
      </c>
      <c r="S99" s="516">
        <f t="shared" si="43"/>
        <v>0</v>
      </c>
      <c r="T99" s="516">
        <f t="shared" si="43"/>
        <v>0</v>
      </c>
      <c r="U99" s="516">
        <f t="shared" si="43"/>
        <v>0</v>
      </c>
      <c r="V99" s="516">
        <f t="shared" si="43"/>
        <v>0</v>
      </c>
      <c r="W99" s="516">
        <f t="shared" si="43"/>
        <v>0</v>
      </c>
      <c r="X99" s="516">
        <f t="shared" si="43"/>
        <v>0</v>
      </c>
      <c r="Y99" s="516">
        <f t="shared" si="43"/>
        <v>0</v>
      </c>
      <c r="Z99" s="516">
        <f t="shared" si="43"/>
        <v>0</v>
      </c>
      <c r="AA99" s="516">
        <f t="shared" si="43"/>
        <v>0</v>
      </c>
      <c r="AB99" s="516">
        <f t="shared" si="43"/>
        <v>0</v>
      </c>
      <c r="AC99" s="516">
        <f t="shared" si="43"/>
        <v>0</v>
      </c>
      <c r="AD99" s="516">
        <f t="shared" si="43"/>
        <v>0</v>
      </c>
      <c r="AE99" s="516">
        <f t="shared" si="43"/>
        <v>0</v>
      </c>
      <c r="AF99" s="516">
        <f t="shared" si="43"/>
        <v>0</v>
      </c>
      <c r="AG99" s="516">
        <f t="shared" si="43"/>
        <v>0</v>
      </c>
      <c r="AH99" s="516">
        <f t="shared" si="43"/>
        <v>0</v>
      </c>
      <c r="AI99" s="516">
        <f t="shared" si="43"/>
        <v>0</v>
      </c>
      <c r="AJ99" s="516">
        <f t="shared" si="43"/>
        <v>0</v>
      </c>
      <c r="AK99" s="516">
        <f t="shared" si="43"/>
        <v>0</v>
      </c>
      <c r="AL99" s="516">
        <f t="shared" si="43"/>
        <v>0</v>
      </c>
      <c r="AM99" s="516">
        <f t="shared" si="43"/>
        <v>0</v>
      </c>
      <c r="AN99" s="516">
        <f t="shared" si="43"/>
        <v>0</v>
      </c>
      <c r="AO99" s="516">
        <f t="shared" si="43"/>
        <v>0</v>
      </c>
      <c r="AP99" s="501"/>
      <c r="AQ99" s="505"/>
      <c r="AR99" s="505"/>
      <c r="AS99" s="505"/>
      <c r="AT99" s="505"/>
      <c r="AU99" s="505"/>
      <c r="AV99" s="510"/>
      <c r="AW99" s="452"/>
    </row>
    <row r="100" spans="1:49" hidden="1">
      <c r="A100" s="143"/>
      <c r="B100" s="483"/>
      <c r="C100" s="496" t="s">
        <v>1341</v>
      </c>
      <c r="D100" s="516">
        <f t="shared" ref="D100:AO100" si="44">IF(ISERR(GETPIVOTDATA("[Measures].[Hours]",TRIMARANmonthly,"[Period].[Month]","[Period].[Month].&amp;["&amp;IF(MONTH(D$14)=1,YEAR(D$14)-1&amp;TEXT(12,"00"),YEAR(D$14)&amp;TEXT(MONTH(D$14)-1,"00"))&amp;"]","[Order].[Position Number]","[Order].[Position Number].&amp;["&amp;$B105&amp;"]")),0,GETPIVOTDATA("[Measures].[Hours]",TRIMARANmonthly,"[Period].[Month]","[Period].[Month].&amp;["&amp;IF(MONTH(D$14)=1,YEAR(D$14)-1&amp;TEXT(12,"00"),YEAR(D$14)&amp;TEXT(MONTH(D$14)-1,"00"))&amp;"]","[Order].[Position Number]","[Order].[Position Number].&amp;["&amp;$B105&amp;"]"))</f>
        <v>0</v>
      </c>
      <c r="E100" s="516">
        <f t="shared" si="44"/>
        <v>0</v>
      </c>
      <c r="F100" s="516">
        <f t="shared" si="44"/>
        <v>0</v>
      </c>
      <c r="G100" s="516">
        <f t="shared" si="44"/>
        <v>0</v>
      </c>
      <c r="H100" s="516">
        <f t="shared" si="44"/>
        <v>0</v>
      </c>
      <c r="I100" s="516">
        <f t="shared" si="44"/>
        <v>0</v>
      </c>
      <c r="J100" s="516">
        <f t="shared" si="44"/>
        <v>0</v>
      </c>
      <c r="K100" s="516">
        <f t="shared" si="44"/>
        <v>0</v>
      </c>
      <c r="L100" s="516">
        <f t="shared" si="44"/>
        <v>0</v>
      </c>
      <c r="M100" s="516">
        <f t="shared" si="44"/>
        <v>0</v>
      </c>
      <c r="N100" s="516">
        <f t="shared" si="44"/>
        <v>0</v>
      </c>
      <c r="O100" s="516">
        <f t="shared" si="44"/>
        <v>0</v>
      </c>
      <c r="P100" s="516">
        <f t="shared" si="44"/>
        <v>0</v>
      </c>
      <c r="Q100" s="516">
        <f t="shared" si="44"/>
        <v>0</v>
      </c>
      <c r="R100" s="516">
        <f t="shared" si="44"/>
        <v>0</v>
      </c>
      <c r="S100" s="516">
        <f t="shared" si="44"/>
        <v>0</v>
      </c>
      <c r="T100" s="516">
        <f t="shared" si="44"/>
        <v>0</v>
      </c>
      <c r="U100" s="516">
        <f t="shared" si="44"/>
        <v>0</v>
      </c>
      <c r="V100" s="516">
        <f t="shared" si="44"/>
        <v>0</v>
      </c>
      <c r="W100" s="516">
        <f t="shared" si="44"/>
        <v>0</v>
      </c>
      <c r="X100" s="516">
        <f t="shared" si="44"/>
        <v>0</v>
      </c>
      <c r="Y100" s="516">
        <f t="shared" si="44"/>
        <v>0</v>
      </c>
      <c r="Z100" s="516">
        <f t="shared" si="44"/>
        <v>0</v>
      </c>
      <c r="AA100" s="516">
        <f t="shared" si="44"/>
        <v>0</v>
      </c>
      <c r="AB100" s="516">
        <f t="shared" si="44"/>
        <v>0</v>
      </c>
      <c r="AC100" s="516">
        <f t="shared" si="44"/>
        <v>0</v>
      </c>
      <c r="AD100" s="516">
        <f t="shared" si="44"/>
        <v>0</v>
      </c>
      <c r="AE100" s="516">
        <f t="shared" si="44"/>
        <v>0</v>
      </c>
      <c r="AF100" s="516">
        <f t="shared" si="44"/>
        <v>0</v>
      </c>
      <c r="AG100" s="516">
        <f t="shared" si="44"/>
        <v>0</v>
      </c>
      <c r="AH100" s="516">
        <f t="shared" si="44"/>
        <v>0</v>
      </c>
      <c r="AI100" s="516">
        <f t="shared" si="44"/>
        <v>0</v>
      </c>
      <c r="AJ100" s="516">
        <f t="shared" si="44"/>
        <v>0</v>
      </c>
      <c r="AK100" s="516">
        <f t="shared" si="44"/>
        <v>0</v>
      </c>
      <c r="AL100" s="516">
        <f t="shared" si="44"/>
        <v>0</v>
      </c>
      <c r="AM100" s="516">
        <f t="shared" si="44"/>
        <v>0</v>
      </c>
      <c r="AN100" s="516">
        <f t="shared" si="44"/>
        <v>0</v>
      </c>
      <c r="AO100" s="516">
        <f t="shared" si="44"/>
        <v>0</v>
      </c>
      <c r="AP100" s="501"/>
      <c r="AQ100" s="505"/>
      <c r="AR100" s="505"/>
      <c r="AS100" s="505"/>
      <c r="AT100" s="505"/>
      <c r="AU100" s="505"/>
      <c r="AV100" s="510"/>
      <c r="AW100" s="452"/>
    </row>
    <row r="101" spans="1:49" hidden="1">
      <c r="A101" s="143"/>
      <c r="B101" s="483"/>
      <c r="C101" s="496" t="s">
        <v>1339</v>
      </c>
      <c r="D101" s="516">
        <f t="shared" ref="D101:AO101" si="45">IF(ISERR(GETPIVOTDATA("[Measures].[" &amp; MDContractCurrency &amp; "]",TRIMARANweekly,"[Order].[Position Number]","[Order].[Position Number].&amp;[" &amp; $B105 &amp; "]","[Period].[Week]","[Period].[Week].&amp;[" &amp; YEAR(D$14-7) &amp; TEXT(WEEKNUM(D$14-7),"00") &amp; "]")),0,GETPIVOTDATA("[Measures].[" &amp; MDContractCurrency &amp; "]",TRIMARANweekly,"[Order].[Position Number]","[Order].[Position Number].&amp;[" &amp; $B105 &amp; "]","[Period].[Week]","[Period].[Week].&amp;[" &amp; YEAR(D$14-7) &amp; TEXT(WEEKNUM(D$14-7),"00") &amp; "]"))</f>
        <v>0</v>
      </c>
      <c r="E101" s="516">
        <f t="shared" si="45"/>
        <v>0</v>
      </c>
      <c r="F101" s="516">
        <f t="shared" si="45"/>
        <v>0</v>
      </c>
      <c r="G101" s="516">
        <f t="shared" si="45"/>
        <v>0</v>
      </c>
      <c r="H101" s="516">
        <f t="shared" si="45"/>
        <v>0</v>
      </c>
      <c r="I101" s="516">
        <f t="shared" si="45"/>
        <v>0</v>
      </c>
      <c r="J101" s="516">
        <f t="shared" si="45"/>
        <v>0</v>
      </c>
      <c r="K101" s="516">
        <f t="shared" si="45"/>
        <v>0</v>
      </c>
      <c r="L101" s="516">
        <f t="shared" si="45"/>
        <v>0</v>
      </c>
      <c r="M101" s="516">
        <f t="shared" si="45"/>
        <v>0</v>
      </c>
      <c r="N101" s="516">
        <f t="shared" si="45"/>
        <v>0</v>
      </c>
      <c r="O101" s="516">
        <f t="shared" si="45"/>
        <v>0</v>
      </c>
      <c r="P101" s="516">
        <f t="shared" si="45"/>
        <v>0</v>
      </c>
      <c r="Q101" s="516">
        <f t="shared" si="45"/>
        <v>0</v>
      </c>
      <c r="R101" s="516">
        <f t="shared" si="45"/>
        <v>0</v>
      </c>
      <c r="S101" s="516">
        <f t="shared" si="45"/>
        <v>0</v>
      </c>
      <c r="T101" s="516">
        <f t="shared" si="45"/>
        <v>0</v>
      </c>
      <c r="U101" s="516">
        <f t="shared" si="45"/>
        <v>0</v>
      </c>
      <c r="V101" s="516">
        <f t="shared" si="45"/>
        <v>0</v>
      </c>
      <c r="W101" s="516">
        <f t="shared" si="45"/>
        <v>0</v>
      </c>
      <c r="X101" s="516">
        <f t="shared" si="45"/>
        <v>0</v>
      </c>
      <c r="Y101" s="516">
        <f t="shared" si="45"/>
        <v>0</v>
      </c>
      <c r="Z101" s="516">
        <f t="shared" si="45"/>
        <v>0</v>
      </c>
      <c r="AA101" s="516">
        <f t="shared" si="45"/>
        <v>0</v>
      </c>
      <c r="AB101" s="516">
        <f t="shared" si="45"/>
        <v>0</v>
      </c>
      <c r="AC101" s="516">
        <f t="shared" si="45"/>
        <v>0</v>
      </c>
      <c r="AD101" s="516">
        <f t="shared" si="45"/>
        <v>0</v>
      </c>
      <c r="AE101" s="516">
        <f t="shared" si="45"/>
        <v>0</v>
      </c>
      <c r="AF101" s="516">
        <f t="shared" si="45"/>
        <v>0</v>
      </c>
      <c r="AG101" s="516">
        <f t="shared" si="45"/>
        <v>0</v>
      </c>
      <c r="AH101" s="516">
        <f t="shared" si="45"/>
        <v>0</v>
      </c>
      <c r="AI101" s="516">
        <f t="shared" si="45"/>
        <v>0</v>
      </c>
      <c r="AJ101" s="516">
        <f t="shared" si="45"/>
        <v>0</v>
      </c>
      <c r="AK101" s="516">
        <f t="shared" si="45"/>
        <v>0</v>
      </c>
      <c r="AL101" s="516">
        <f t="shared" si="45"/>
        <v>0</v>
      </c>
      <c r="AM101" s="516">
        <f t="shared" si="45"/>
        <v>0</v>
      </c>
      <c r="AN101" s="516">
        <f t="shared" si="45"/>
        <v>0</v>
      </c>
      <c r="AO101" s="516">
        <f t="shared" si="45"/>
        <v>0</v>
      </c>
      <c r="AP101" s="501"/>
      <c r="AQ101" s="505"/>
      <c r="AR101" s="505"/>
      <c r="AS101" s="505"/>
      <c r="AT101" s="505"/>
      <c r="AU101" s="505"/>
      <c r="AV101" s="510"/>
      <c r="AW101" s="452"/>
    </row>
    <row r="102" spans="1:49" hidden="1">
      <c r="A102" s="143"/>
      <c r="B102" s="483"/>
      <c r="C102" s="496" t="s">
        <v>1340</v>
      </c>
      <c r="D102" s="516">
        <f t="shared" ref="D102:AO102" si="46">IF(ISERR(GETPIVOTDATA("[Measures].[" &amp; MDContractCurrency &amp; "]",TRIMARANweekly,"[Order].[Position Number]","[Order].[Position Number].&amp;[" &amp; $B105 &amp; "]","[Period].[Week]","[Period].[Week].&amp;[" &amp; YEAR(D$14-14) &amp; TEXT(WEEKNUM(D$14-14),"00") &amp; "]")),0,GETPIVOTDATA("[Measures].[" &amp; MDContractCurrency &amp; "]",TRIMARANweekly,"[Order].[Position Number]","[Order].[Position Number].&amp;[" &amp; $B105 &amp; "]","[Period].[Week]","[Period].[Week].&amp;[" &amp; YEAR(D$14-14) &amp; TEXT(WEEKNUM(D$14-14),"00") &amp; "]"))+D101</f>
        <v>0</v>
      </c>
      <c r="E102" s="516">
        <f t="shared" si="46"/>
        <v>0</v>
      </c>
      <c r="F102" s="516">
        <f t="shared" si="46"/>
        <v>0</v>
      </c>
      <c r="G102" s="516">
        <f t="shared" si="46"/>
        <v>0</v>
      </c>
      <c r="H102" s="516">
        <f t="shared" si="46"/>
        <v>0</v>
      </c>
      <c r="I102" s="516">
        <f t="shared" si="46"/>
        <v>0</v>
      </c>
      <c r="J102" s="516">
        <f t="shared" si="46"/>
        <v>0</v>
      </c>
      <c r="K102" s="516">
        <f t="shared" si="46"/>
        <v>0</v>
      </c>
      <c r="L102" s="516">
        <f t="shared" si="46"/>
        <v>0</v>
      </c>
      <c r="M102" s="516">
        <f t="shared" si="46"/>
        <v>0</v>
      </c>
      <c r="N102" s="516">
        <f t="shared" si="46"/>
        <v>0</v>
      </c>
      <c r="O102" s="516">
        <f t="shared" si="46"/>
        <v>0</v>
      </c>
      <c r="P102" s="516">
        <f t="shared" si="46"/>
        <v>0</v>
      </c>
      <c r="Q102" s="516">
        <f t="shared" si="46"/>
        <v>0</v>
      </c>
      <c r="R102" s="516">
        <f t="shared" si="46"/>
        <v>0</v>
      </c>
      <c r="S102" s="516">
        <f t="shared" si="46"/>
        <v>0</v>
      </c>
      <c r="T102" s="516">
        <f t="shared" si="46"/>
        <v>0</v>
      </c>
      <c r="U102" s="516">
        <f t="shared" si="46"/>
        <v>0</v>
      </c>
      <c r="V102" s="516">
        <f t="shared" si="46"/>
        <v>0</v>
      </c>
      <c r="W102" s="516">
        <f t="shared" si="46"/>
        <v>0</v>
      </c>
      <c r="X102" s="516">
        <f t="shared" si="46"/>
        <v>0</v>
      </c>
      <c r="Y102" s="516">
        <f t="shared" si="46"/>
        <v>0</v>
      </c>
      <c r="Z102" s="516">
        <f t="shared" si="46"/>
        <v>0</v>
      </c>
      <c r="AA102" s="516">
        <f t="shared" si="46"/>
        <v>0</v>
      </c>
      <c r="AB102" s="516">
        <f t="shared" si="46"/>
        <v>0</v>
      </c>
      <c r="AC102" s="516">
        <f t="shared" si="46"/>
        <v>0</v>
      </c>
      <c r="AD102" s="516">
        <f t="shared" si="46"/>
        <v>0</v>
      </c>
      <c r="AE102" s="516">
        <f t="shared" si="46"/>
        <v>0</v>
      </c>
      <c r="AF102" s="516">
        <f t="shared" si="46"/>
        <v>0</v>
      </c>
      <c r="AG102" s="516">
        <f t="shared" si="46"/>
        <v>0</v>
      </c>
      <c r="AH102" s="516">
        <f t="shared" si="46"/>
        <v>0</v>
      </c>
      <c r="AI102" s="516">
        <f t="shared" si="46"/>
        <v>0</v>
      </c>
      <c r="AJ102" s="516">
        <f t="shared" si="46"/>
        <v>0</v>
      </c>
      <c r="AK102" s="516">
        <f t="shared" si="46"/>
        <v>0</v>
      </c>
      <c r="AL102" s="516">
        <f t="shared" si="46"/>
        <v>0</v>
      </c>
      <c r="AM102" s="516">
        <f t="shared" si="46"/>
        <v>0</v>
      </c>
      <c r="AN102" s="516">
        <f t="shared" si="46"/>
        <v>0</v>
      </c>
      <c r="AO102" s="516">
        <f t="shared" si="46"/>
        <v>0</v>
      </c>
      <c r="AP102" s="501"/>
      <c r="AQ102" s="505"/>
      <c r="AR102" s="505"/>
      <c r="AS102" s="505"/>
      <c r="AT102" s="505"/>
      <c r="AU102" s="505"/>
      <c r="AV102" s="510"/>
      <c r="AW102" s="452"/>
    </row>
    <row r="103" spans="1:49" hidden="1">
      <c r="A103" s="141"/>
      <c r="B103" s="517"/>
      <c r="C103" s="496" t="s">
        <v>1341</v>
      </c>
      <c r="D103" s="516">
        <f t="shared" ref="D103:AO103" si="47">IF(ISERR(GETPIVOTDATA("[Measures].[" &amp; MDContractCurrency &amp; "]",TRIMARANmonthly,"[Period].[Month]","[Period].[Month].&amp;["&amp;IF(MONTH(D$14)=1,YEAR(D$14)-1&amp;TEXT(12,"00"),YEAR(D$14)&amp;TEXT(MONTH(D$14)-1,"00"))&amp;"]","[Order].[Position Number]","[Order].[Position Number].&amp;["&amp;$B105&amp;"]")),0,GETPIVOTDATA("[Measures].[" &amp; MDContractCurrency &amp; "]",TRIMARANmonthly,"[Period].[Month]","[Period].[Month].&amp;["&amp;IF(MONTH(D$14)=1,YEAR(D$14)-1&amp;TEXT(12,"00"),YEAR(D$14)&amp;TEXT(MONTH(D$14)-1,"00"))&amp;"]","[Order].[Position Number]","[Order].[Position Number].&amp;["&amp;$B105&amp;"]"))</f>
        <v>0</v>
      </c>
      <c r="E103" s="516">
        <f t="shared" si="47"/>
        <v>0</v>
      </c>
      <c r="F103" s="516">
        <f t="shared" si="47"/>
        <v>0</v>
      </c>
      <c r="G103" s="516">
        <f t="shared" si="47"/>
        <v>0</v>
      </c>
      <c r="H103" s="516">
        <f t="shared" si="47"/>
        <v>0</v>
      </c>
      <c r="I103" s="516">
        <f t="shared" si="47"/>
        <v>0</v>
      </c>
      <c r="J103" s="516">
        <f t="shared" si="47"/>
        <v>0</v>
      </c>
      <c r="K103" s="516">
        <f t="shared" si="47"/>
        <v>0</v>
      </c>
      <c r="L103" s="516">
        <f t="shared" si="47"/>
        <v>0</v>
      </c>
      <c r="M103" s="516">
        <f t="shared" si="47"/>
        <v>0</v>
      </c>
      <c r="N103" s="516">
        <f t="shared" si="47"/>
        <v>0</v>
      </c>
      <c r="O103" s="516">
        <f t="shared" si="47"/>
        <v>0</v>
      </c>
      <c r="P103" s="516">
        <f t="shared" si="47"/>
        <v>0</v>
      </c>
      <c r="Q103" s="516">
        <f t="shared" si="47"/>
        <v>0</v>
      </c>
      <c r="R103" s="516">
        <f t="shared" si="47"/>
        <v>0</v>
      </c>
      <c r="S103" s="516">
        <f t="shared" si="47"/>
        <v>0</v>
      </c>
      <c r="T103" s="516">
        <f t="shared" si="47"/>
        <v>0</v>
      </c>
      <c r="U103" s="516">
        <f t="shared" si="47"/>
        <v>0</v>
      </c>
      <c r="V103" s="516">
        <f t="shared" si="47"/>
        <v>0</v>
      </c>
      <c r="W103" s="516">
        <f t="shared" si="47"/>
        <v>0</v>
      </c>
      <c r="X103" s="516">
        <f t="shared" si="47"/>
        <v>0</v>
      </c>
      <c r="Y103" s="516">
        <f t="shared" si="47"/>
        <v>0</v>
      </c>
      <c r="Z103" s="516">
        <f t="shared" si="47"/>
        <v>0</v>
      </c>
      <c r="AA103" s="516">
        <f t="shared" si="47"/>
        <v>0</v>
      </c>
      <c r="AB103" s="516">
        <f t="shared" si="47"/>
        <v>0</v>
      </c>
      <c r="AC103" s="516">
        <f t="shared" si="47"/>
        <v>0</v>
      </c>
      <c r="AD103" s="516">
        <f t="shared" si="47"/>
        <v>0</v>
      </c>
      <c r="AE103" s="516">
        <f t="shared" si="47"/>
        <v>0</v>
      </c>
      <c r="AF103" s="516">
        <f t="shared" si="47"/>
        <v>0</v>
      </c>
      <c r="AG103" s="516">
        <f t="shared" si="47"/>
        <v>0</v>
      </c>
      <c r="AH103" s="516">
        <f t="shared" si="47"/>
        <v>0</v>
      </c>
      <c r="AI103" s="516">
        <f t="shared" si="47"/>
        <v>0</v>
      </c>
      <c r="AJ103" s="516">
        <f t="shared" si="47"/>
        <v>0</v>
      </c>
      <c r="AK103" s="516">
        <f t="shared" si="47"/>
        <v>0</v>
      </c>
      <c r="AL103" s="516">
        <f t="shared" si="47"/>
        <v>0</v>
      </c>
      <c r="AM103" s="516">
        <f t="shared" si="47"/>
        <v>0</v>
      </c>
      <c r="AN103" s="516">
        <f t="shared" si="47"/>
        <v>0</v>
      </c>
      <c r="AO103" s="516">
        <f t="shared" si="47"/>
        <v>0</v>
      </c>
      <c r="AP103" s="501"/>
      <c r="AQ103" s="505"/>
      <c r="AR103" s="505"/>
      <c r="AS103" s="505"/>
      <c r="AT103" s="505"/>
      <c r="AU103" s="505"/>
      <c r="AV103" s="510"/>
      <c r="AW103" s="452"/>
    </row>
    <row r="104" spans="1:49">
      <c r="A104" s="143"/>
      <c r="B104" s="483"/>
      <c r="C104" s="524"/>
      <c r="D104" s="501"/>
      <c r="E104" s="501"/>
      <c r="F104" s="501"/>
      <c r="G104" s="501"/>
      <c r="H104" s="501"/>
      <c r="I104" s="501"/>
      <c r="J104" s="501"/>
      <c r="K104" s="501"/>
      <c r="L104" s="501"/>
      <c r="M104" s="501"/>
      <c r="N104" s="501"/>
      <c r="O104" s="501"/>
      <c r="P104" s="501"/>
      <c r="Q104" s="501"/>
      <c r="R104" s="501"/>
      <c r="S104" s="501"/>
      <c r="T104" s="501"/>
      <c r="U104" s="501"/>
      <c r="V104" s="501"/>
      <c r="W104" s="501"/>
      <c r="X104" s="501"/>
      <c r="Y104" s="501"/>
      <c r="Z104" s="501"/>
      <c r="AA104" s="501"/>
      <c r="AB104" s="501"/>
      <c r="AC104" s="501"/>
      <c r="AD104" s="501"/>
      <c r="AE104" s="501"/>
      <c r="AF104" s="501"/>
      <c r="AG104" s="501"/>
      <c r="AH104" s="501"/>
      <c r="AI104" s="501"/>
      <c r="AJ104" s="501"/>
      <c r="AK104" s="501"/>
      <c r="AL104" s="501"/>
      <c r="AM104" s="501"/>
      <c r="AN104" s="501"/>
      <c r="AO104" s="501"/>
      <c r="AP104" s="501"/>
      <c r="AQ104" s="505"/>
      <c r="AR104" s="505"/>
      <c r="AS104" s="505"/>
      <c r="AT104" s="505"/>
      <c r="AU104" s="505"/>
      <c r="AV104" s="510"/>
      <c r="AW104" s="452"/>
    </row>
    <row r="105" spans="1:49">
      <c r="A105" s="1183" t="str">
        <f>'Delivery Calculation'!B20 &amp; CHAR(10) &amp; 'Delivery Calculation'!P20 &amp; " - " &amp; 'Delivery Calculation'!Q20</f>
        <v xml:space="preserve">0
 - </v>
      </c>
      <c r="B105" s="1180">
        <f>'Delivery Calculation'!A20</f>
        <v>0</v>
      </c>
      <c r="C105" s="499" t="s">
        <v>550</v>
      </c>
      <c r="D105" s="518">
        <f>'Delivery Calculation'!M201</f>
        <v>0</v>
      </c>
      <c r="E105" s="518">
        <f>'Delivery Calculation'!N201</f>
        <v>0</v>
      </c>
      <c r="F105" s="518">
        <f>'Delivery Calculation'!O201</f>
        <v>0</v>
      </c>
      <c r="G105" s="518">
        <f>'Delivery Calculation'!P201</f>
        <v>0</v>
      </c>
      <c r="H105" s="518">
        <f>'Delivery Calculation'!Q201</f>
        <v>0</v>
      </c>
      <c r="I105" s="518">
        <f>'Delivery Calculation'!R201</f>
        <v>0</v>
      </c>
      <c r="J105" s="518">
        <f>'Delivery Calculation'!S201</f>
        <v>0</v>
      </c>
      <c r="K105" s="518">
        <f>'Delivery Calculation'!T201</f>
        <v>0</v>
      </c>
      <c r="L105" s="518">
        <f>'Delivery Calculation'!U201</f>
        <v>0</v>
      </c>
      <c r="M105" s="518">
        <f>'Delivery Calculation'!V201</f>
        <v>0</v>
      </c>
      <c r="N105" s="518">
        <f>'Delivery Calculation'!W201</f>
        <v>0</v>
      </c>
      <c r="O105" s="518">
        <f>'Delivery Calculation'!X201</f>
        <v>0</v>
      </c>
      <c r="P105" s="518">
        <f>'Delivery Calculation'!Y201</f>
        <v>0</v>
      </c>
      <c r="Q105" s="518">
        <f>'Delivery Calculation'!Z201</f>
        <v>0</v>
      </c>
      <c r="R105" s="518">
        <f>'Delivery Calculation'!AA201</f>
        <v>0</v>
      </c>
      <c r="S105" s="518">
        <f>'Delivery Calculation'!AB201</f>
        <v>0</v>
      </c>
      <c r="T105" s="518">
        <f>'Delivery Calculation'!AC201</f>
        <v>0</v>
      </c>
      <c r="U105" s="518">
        <f>'Delivery Calculation'!AD201</f>
        <v>0</v>
      </c>
      <c r="V105" s="518">
        <f>'Delivery Calculation'!AE201</f>
        <v>0</v>
      </c>
      <c r="W105" s="518">
        <f>'Delivery Calculation'!AF201</f>
        <v>0</v>
      </c>
      <c r="X105" s="518">
        <f>'Delivery Calculation'!AG201</f>
        <v>0</v>
      </c>
      <c r="Y105" s="518">
        <f>'Delivery Calculation'!AH201</f>
        <v>0</v>
      </c>
      <c r="Z105" s="518">
        <f>'Delivery Calculation'!AI201</f>
        <v>0</v>
      </c>
      <c r="AA105" s="518">
        <f>'Delivery Calculation'!AJ201</f>
        <v>0</v>
      </c>
      <c r="AB105" s="518">
        <f>'Delivery Calculation'!AK201</f>
        <v>0</v>
      </c>
      <c r="AC105" s="518">
        <f>'Delivery Calculation'!AL201</f>
        <v>0</v>
      </c>
      <c r="AD105" s="518">
        <f>'Delivery Calculation'!AM201</f>
        <v>0</v>
      </c>
      <c r="AE105" s="518">
        <f>'Delivery Calculation'!AN201</f>
        <v>0</v>
      </c>
      <c r="AF105" s="518">
        <f>'Delivery Calculation'!AO201</f>
        <v>0</v>
      </c>
      <c r="AG105" s="518">
        <f>'Delivery Calculation'!AP201</f>
        <v>0</v>
      </c>
      <c r="AH105" s="518">
        <f>'Delivery Calculation'!AQ201</f>
        <v>0</v>
      </c>
      <c r="AI105" s="518">
        <f>'Delivery Calculation'!AR201</f>
        <v>0</v>
      </c>
      <c r="AJ105" s="518">
        <f>'Delivery Calculation'!AS201</f>
        <v>0</v>
      </c>
      <c r="AK105" s="518">
        <f>'Delivery Calculation'!AT201</f>
        <v>0</v>
      </c>
      <c r="AL105" s="518">
        <f>'Delivery Calculation'!AU201</f>
        <v>0</v>
      </c>
      <c r="AM105" s="518">
        <f>'Delivery Calculation'!AV201</f>
        <v>0</v>
      </c>
      <c r="AN105" s="518">
        <f>'Delivery Calculation'!AW201</f>
        <v>0</v>
      </c>
      <c r="AO105" s="518">
        <f>'Delivery Calculation'!AX201</f>
        <v>0</v>
      </c>
      <c r="AP105" s="501"/>
      <c r="AQ105" s="519">
        <f>IF(COUNTIF($D$15:$AO$15, TMDPeriodValueTypeReported)&gt;0, INDEX(D105:AO105,1,COUNTIF(D$15:$AO$15,TMDPeriodValueTypeReported)),0)</f>
        <v>0</v>
      </c>
      <c r="AR105" s="519"/>
      <c r="AS105" s="520">
        <f>'Delivery Calculation'!N20</f>
        <v>0</v>
      </c>
      <c r="AT105" s="519">
        <f>AQ105*'Delivery Calculation'!N20</f>
        <v>0</v>
      </c>
      <c r="AU105" s="521" t="s">
        <v>522</v>
      </c>
      <c r="AV105" s="510"/>
      <c r="AW105" s="452"/>
    </row>
    <row r="106" spans="1:49">
      <c r="A106" s="1184"/>
      <c r="B106" s="1181"/>
      <c r="C106" s="499" t="s">
        <v>551</v>
      </c>
      <c r="D106" s="509">
        <f>IF(D$15=TMDPeriodValueTypeForecast,IF('Delivery Calculation'!$H$20=TMDAllocationTandM,0,'Delivery Calculation'!M130),IF(MDReportingPeriod=TMDMonthly,D100,IF(MDReportingPeriod=TMDTwoweekly,D99,D98)))</f>
        <v>0</v>
      </c>
      <c r="E106" s="509">
        <f>IF(E$15=TMDPeriodValueTypeForecast,IF('Delivery Calculation'!$H$20=TMDAllocationTandM,0,'Delivery Calculation'!N130),IF(MDReportingPeriod=TMDMonthly,E100,IF(MDReportingPeriod=TMDTwoweekly,E99,E98)))</f>
        <v>0</v>
      </c>
      <c r="F106" s="509">
        <f>IF(F$15=TMDPeriodValueTypeForecast,IF('Delivery Calculation'!$H$20=TMDAllocationTandM,0,'Delivery Calculation'!O130),IF(MDReportingPeriod=TMDMonthly,F100,IF(MDReportingPeriod=TMDTwoweekly,F99,F98)))</f>
        <v>0</v>
      </c>
      <c r="G106" s="509">
        <f>IF(G$15=TMDPeriodValueTypeForecast,IF('Delivery Calculation'!$H$20=TMDAllocationTandM,0,'Delivery Calculation'!P130),IF(MDReportingPeriod=TMDMonthly,G100,IF(MDReportingPeriod=TMDTwoweekly,G99,G98)))</f>
        <v>0</v>
      </c>
      <c r="H106" s="509">
        <f>IF(H$15=TMDPeriodValueTypeForecast,IF('Delivery Calculation'!$H$20=TMDAllocationTandM,0,'Delivery Calculation'!Q130),IF(MDReportingPeriod=TMDMonthly,H100,IF(MDReportingPeriod=TMDTwoweekly,H99,H98)))</f>
        <v>0</v>
      </c>
      <c r="I106" s="509">
        <f>IF(I$15=TMDPeriodValueTypeForecast,IF('Delivery Calculation'!$H$20=TMDAllocationTandM,0,'Delivery Calculation'!R130),IF(MDReportingPeriod=TMDMonthly,I100,IF(MDReportingPeriod=TMDTwoweekly,I99,I98)))</f>
        <v>0</v>
      </c>
      <c r="J106" s="509">
        <f>IF(J$15=TMDPeriodValueTypeForecast,IF('Delivery Calculation'!$H$20=TMDAllocationTandM,0,'Delivery Calculation'!S130),IF(MDReportingPeriod=TMDMonthly,J100,IF(MDReportingPeriod=TMDTwoweekly,J99,J98)))</f>
        <v>0</v>
      </c>
      <c r="K106" s="509">
        <f>IF(K$15=TMDPeriodValueTypeForecast,IF('Delivery Calculation'!$H$20=TMDAllocationTandM,0,'Delivery Calculation'!T130),IF(MDReportingPeriod=TMDMonthly,K100,IF(MDReportingPeriod=TMDTwoweekly,K99,K98)))</f>
        <v>0</v>
      </c>
      <c r="L106" s="509">
        <f>IF(L$15=TMDPeriodValueTypeForecast,IF('Delivery Calculation'!$H$20=TMDAllocationTandM,0,'Delivery Calculation'!U130),IF(MDReportingPeriod=TMDMonthly,L100,IF(MDReportingPeriod=TMDTwoweekly,L99,L98)))</f>
        <v>0</v>
      </c>
      <c r="M106" s="509">
        <f>IF(M$15=TMDPeriodValueTypeForecast,IF('Delivery Calculation'!$H$20=TMDAllocationTandM,0,'Delivery Calculation'!V130),IF(MDReportingPeriod=TMDMonthly,M100,IF(MDReportingPeriod=TMDTwoweekly,M99,M98)))</f>
        <v>0</v>
      </c>
      <c r="N106" s="509">
        <f>IF(N$15=TMDPeriodValueTypeForecast,IF('Delivery Calculation'!$H$20=TMDAllocationTandM,0,'Delivery Calculation'!W130),IF(MDReportingPeriod=TMDMonthly,N100,IF(MDReportingPeriod=TMDTwoweekly,N99,N98)))</f>
        <v>0</v>
      </c>
      <c r="O106" s="509">
        <f>IF(O$15=TMDPeriodValueTypeForecast,IF('Delivery Calculation'!$H$20=TMDAllocationTandM,0,'Delivery Calculation'!X130),IF(MDReportingPeriod=TMDMonthly,O100,IF(MDReportingPeriod=TMDTwoweekly,O99,O98)))</f>
        <v>0</v>
      </c>
      <c r="P106" s="509">
        <f>IF(P$15=TMDPeriodValueTypeForecast,IF('Delivery Calculation'!$H$20=TMDAllocationTandM,0,'Delivery Calculation'!Y130),IF(MDReportingPeriod=TMDMonthly,P100,IF(MDReportingPeriod=TMDTwoweekly,P99,P98)))</f>
        <v>0</v>
      </c>
      <c r="Q106" s="509">
        <f>IF(Q$15=TMDPeriodValueTypeForecast,IF('Delivery Calculation'!$H$20=TMDAllocationTandM,0,'Delivery Calculation'!Z130),IF(MDReportingPeriod=TMDMonthly,Q100,IF(MDReportingPeriod=TMDTwoweekly,Q99,Q98)))</f>
        <v>0</v>
      </c>
      <c r="R106" s="509">
        <f>IF(R$15=TMDPeriodValueTypeForecast,IF('Delivery Calculation'!$H$20=TMDAllocationTandM,0,'Delivery Calculation'!AA130),IF(MDReportingPeriod=TMDMonthly,R100,IF(MDReportingPeriod=TMDTwoweekly,R99,R98)))</f>
        <v>0</v>
      </c>
      <c r="S106" s="509">
        <f>IF(S$15=TMDPeriodValueTypeForecast,IF('Delivery Calculation'!$H$20=TMDAllocationTandM,0,'Delivery Calculation'!AB130),IF(MDReportingPeriod=TMDMonthly,S100,IF(MDReportingPeriod=TMDTwoweekly,S99,S98)))</f>
        <v>0</v>
      </c>
      <c r="T106" s="509">
        <f>IF(T$15=TMDPeriodValueTypeForecast,IF('Delivery Calculation'!$H$20=TMDAllocationTandM,0,'Delivery Calculation'!AC130),IF(MDReportingPeriod=TMDMonthly,T100,IF(MDReportingPeriod=TMDTwoweekly,T99,T98)))</f>
        <v>0</v>
      </c>
      <c r="U106" s="509">
        <f>IF(U$15=TMDPeriodValueTypeForecast,IF('Delivery Calculation'!$H$20=TMDAllocationTandM,0,'Delivery Calculation'!AD130),IF(MDReportingPeriod=TMDMonthly,U100,IF(MDReportingPeriod=TMDTwoweekly,U99,U98)))</f>
        <v>0</v>
      </c>
      <c r="V106" s="509">
        <f>IF(V$15=TMDPeriodValueTypeForecast,IF('Delivery Calculation'!$H$20=TMDAllocationTandM,0,'Delivery Calculation'!AE130),IF(MDReportingPeriod=TMDMonthly,V100,IF(MDReportingPeriod=TMDTwoweekly,V99,V98)))</f>
        <v>0</v>
      </c>
      <c r="W106" s="509">
        <f>IF(W$15=TMDPeriodValueTypeForecast,IF('Delivery Calculation'!$H$20=TMDAllocationTandM,0,'Delivery Calculation'!AF130),IF(MDReportingPeriod=TMDMonthly,W100,IF(MDReportingPeriod=TMDTwoweekly,W99,W98)))</f>
        <v>0</v>
      </c>
      <c r="X106" s="509">
        <f>IF(X$15=TMDPeriodValueTypeForecast,IF('Delivery Calculation'!$H$20=TMDAllocationTandM,0,'Delivery Calculation'!AG130),IF(MDReportingPeriod=TMDMonthly,X100,IF(MDReportingPeriod=TMDTwoweekly,X99,X98)))</f>
        <v>0</v>
      </c>
      <c r="Y106" s="509">
        <f>IF(Y$15=TMDPeriodValueTypeForecast,IF('Delivery Calculation'!$H$20=TMDAllocationTandM,0,'Delivery Calculation'!AH130),IF(MDReportingPeriod=TMDMonthly,Y100,IF(MDReportingPeriod=TMDTwoweekly,Y99,Y98)))</f>
        <v>0</v>
      </c>
      <c r="Z106" s="509">
        <f>IF(Z$15=TMDPeriodValueTypeForecast,IF('Delivery Calculation'!$H$20=TMDAllocationTandM,0,'Delivery Calculation'!AI130),IF(MDReportingPeriod=TMDMonthly,Z100,IF(MDReportingPeriod=TMDTwoweekly,Z99,Z98)))</f>
        <v>0</v>
      </c>
      <c r="AA106" s="509">
        <f>IF(AA$15=TMDPeriodValueTypeForecast,IF('Delivery Calculation'!$H$20=TMDAllocationTandM,0,'Delivery Calculation'!AJ130),IF(MDReportingPeriod=TMDMonthly,AA100,IF(MDReportingPeriod=TMDTwoweekly,AA99,AA98)))</f>
        <v>0</v>
      </c>
      <c r="AB106" s="509">
        <f>IF(AB$15=TMDPeriodValueTypeForecast,IF('Delivery Calculation'!$H$20=TMDAllocationTandM,0,'Delivery Calculation'!AK130),IF(MDReportingPeriod=TMDMonthly,AB100,IF(MDReportingPeriod=TMDTwoweekly,AB99,AB98)))</f>
        <v>0</v>
      </c>
      <c r="AC106" s="509">
        <f>IF(AC$15=TMDPeriodValueTypeForecast,IF('Delivery Calculation'!$H$20=TMDAllocationTandM,0,'Delivery Calculation'!AL130),IF(MDReportingPeriod=TMDMonthly,AC100,IF(MDReportingPeriod=TMDTwoweekly,AC99,AC98)))</f>
        <v>0</v>
      </c>
      <c r="AD106" s="509">
        <f>IF(AD$15=TMDPeriodValueTypeForecast,IF('Delivery Calculation'!$H$20=TMDAllocationTandM,0,'Delivery Calculation'!AM130),IF(MDReportingPeriod=TMDMonthly,AD100,IF(MDReportingPeriod=TMDTwoweekly,AD99,AD98)))</f>
        <v>0</v>
      </c>
      <c r="AE106" s="509">
        <f>IF(AE$15=TMDPeriodValueTypeForecast,IF('Delivery Calculation'!$H$20=TMDAllocationTandM,0,'Delivery Calculation'!AN130),IF(MDReportingPeriod=TMDMonthly,AE100,IF(MDReportingPeriod=TMDTwoweekly,AE99,AE98)))</f>
        <v>0</v>
      </c>
      <c r="AF106" s="509">
        <f>IF(AF$15=TMDPeriodValueTypeForecast,IF('Delivery Calculation'!$H$20=TMDAllocationTandM,0,'Delivery Calculation'!AO130),IF(MDReportingPeriod=TMDMonthly,AF100,IF(MDReportingPeriod=TMDTwoweekly,AF99,AF98)))</f>
        <v>0</v>
      </c>
      <c r="AG106" s="509">
        <f>IF(AG$15=TMDPeriodValueTypeForecast,IF('Delivery Calculation'!$H$20=TMDAllocationTandM,0,'Delivery Calculation'!AP130),IF(MDReportingPeriod=TMDMonthly,AG100,IF(MDReportingPeriod=TMDTwoweekly,AG99,AG98)))</f>
        <v>0</v>
      </c>
      <c r="AH106" s="509">
        <f>IF(AH$15=TMDPeriodValueTypeForecast,IF('Delivery Calculation'!$H$20=TMDAllocationTandM,0,'Delivery Calculation'!AQ130),IF(MDReportingPeriod=TMDMonthly,AH100,IF(MDReportingPeriod=TMDTwoweekly,AH99,AH98)))</f>
        <v>0</v>
      </c>
      <c r="AI106" s="509">
        <f>IF(AI$15=TMDPeriodValueTypeForecast,IF('Delivery Calculation'!$H$20=TMDAllocationTandM,0,'Delivery Calculation'!AR130),IF(MDReportingPeriod=TMDMonthly,AI100,IF(MDReportingPeriod=TMDTwoweekly,AI99,AI98)))</f>
        <v>0</v>
      </c>
      <c r="AJ106" s="509">
        <f>IF(AJ$15=TMDPeriodValueTypeForecast,IF('Delivery Calculation'!$H$20=TMDAllocationTandM,0,'Delivery Calculation'!AS130),IF(MDReportingPeriod=TMDMonthly,AJ100,IF(MDReportingPeriod=TMDTwoweekly,AJ99,AJ98)))</f>
        <v>0</v>
      </c>
      <c r="AK106" s="509">
        <f>IF(AK$15=TMDPeriodValueTypeForecast,IF('Delivery Calculation'!$H$20=TMDAllocationTandM,0,'Delivery Calculation'!AT130),IF(MDReportingPeriod=TMDMonthly,AK100,IF(MDReportingPeriod=TMDTwoweekly,AK99,AK98)))</f>
        <v>0</v>
      </c>
      <c r="AL106" s="509">
        <f>IF(AL$15=TMDPeriodValueTypeForecast,IF('Delivery Calculation'!$H$20=TMDAllocationTandM,0,'Delivery Calculation'!AU130),IF(MDReportingPeriod=TMDMonthly,AL100,IF(MDReportingPeriod=TMDTwoweekly,AL99,AL98)))</f>
        <v>0</v>
      </c>
      <c r="AM106" s="509">
        <f>IF(AM$15=TMDPeriodValueTypeForecast,IF('Delivery Calculation'!$H$20=TMDAllocationTandM,0,'Delivery Calculation'!AV130),IF(MDReportingPeriod=TMDMonthly,AM100,IF(MDReportingPeriod=TMDTwoweekly,AM99,AM98)))</f>
        <v>0</v>
      </c>
      <c r="AN106" s="509">
        <f>IF(AN$15=TMDPeriodValueTypeForecast,IF('Delivery Calculation'!$H$20=TMDAllocationTandM,0,'Delivery Calculation'!AW130),IF(MDReportingPeriod=TMDMonthly,AN100,IF(MDReportingPeriod=TMDTwoweekly,AN99,AN98)))</f>
        <v>0</v>
      </c>
      <c r="AO106" s="509">
        <f>IF(AO$15=TMDPeriodValueTypeForecast,IF('Delivery Calculation'!$H$20=TMDAllocationTandM,0,'Delivery Calculation'!AX130),IF(MDReportingPeriod=TMDMonthly,AO100,IF(MDReportingPeriod=TMDTwoweekly,AO99,AO98)))</f>
        <v>0</v>
      </c>
      <c r="AP106" s="501"/>
      <c r="AQ106" s="505">
        <f>SUMIF($D$15:$AO$15,TMDPeriodValueTypeReported,D106:AO106)</f>
        <v>0</v>
      </c>
      <c r="AR106" s="505">
        <f>SUMIF($D$15:$AO$15,TMDPeriodValueTypeForecast,D106:AO106)</f>
        <v>0</v>
      </c>
      <c r="AS106" s="523">
        <f>'Delivery Calculation'!J20</f>
        <v>0</v>
      </c>
      <c r="AT106" s="505">
        <f>AS106-(AQ106+AR106)</f>
        <v>0</v>
      </c>
      <c r="AU106" s="505"/>
      <c r="AV106" s="510"/>
      <c r="AW106" s="452"/>
    </row>
    <row r="107" spans="1:49">
      <c r="A107" s="1184"/>
      <c r="B107" s="1181"/>
      <c r="C107" s="499" t="s">
        <v>552</v>
      </c>
      <c r="D107" s="509">
        <f>IF(D$15=TMDPeriodValueTypeForecast,IF('Delivery Calculation'!$H$20=TMDAllocationTandM,0,'Delivery Calculation'!M94),IF(MDReportingPeriod=TMDMonthly,D103,IF(MDReportingPeriod=TMDTwoweekly,D102,D101)))</f>
        <v>0</v>
      </c>
      <c r="E107" s="509">
        <f>IF(E$15=TMDPeriodValueTypeForecast,IF('Delivery Calculation'!$H$20=TMDAllocationTandM,0,'Delivery Calculation'!N94),IF(MDReportingPeriod=TMDMonthly,E103,IF(MDReportingPeriod=TMDTwoweekly,E102,E101)))</f>
        <v>0</v>
      </c>
      <c r="F107" s="509">
        <f>IF(F$15=TMDPeriodValueTypeForecast,IF('Delivery Calculation'!$H$20=TMDAllocationTandM,0,'Delivery Calculation'!O94),IF(MDReportingPeriod=TMDMonthly,F103,IF(MDReportingPeriod=TMDTwoweekly,F102,F101)))</f>
        <v>0</v>
      </c>
      <c r="G107" s="509">
        <f>IF(G$15=TMDPeriodValueTypeForecast,IF('Delivery Calculation'!$H$20=TMDAllocationTandM,0,'Delivery Calculation'!P94),IF(MDReportingPeriod=TMDMonthly,G103,IF(MDReportingPeriod=TMDTwoweekly,G102,G101)))</f>
        <v>0</v>
      </c>
      <c r="H107" s="509">
        <f>IF(H$15=TMDPeriodValueTypeForecast,IF('Delivery Calculation'!$H$20=TMDAllocationTandM,0,'Delivery Calculation'!Q94),IF(MDReportingPeriod=TMDMonthly,H103,IF(MDReportingPeriod=TMDTwoweekly,H102,H101)))</f>
        <v>0</v>
      </c>
      <c r="I107" s="509">
        <f>IF(I$15=TMDPeriodValueTypeForecast,IF('Delivery Calculation'!$H$20=TMDAllocationTandM,0,'Delivery Calculation'!R94),IF(MDReportingPeriod=TMDMonthly,I103,IF(MDReportingPeriod=TMDTwoweekly,I102,I101)))</f>
        <v>0</v>
      </c>
      <c r="J107" s="509">
        <f>IF(J$15=TMDPeriodValueTypeForecast,IF('Delivery Calculation'!$H$20=TMDAllocationTandM,0,'Delivery Calculation'!S94),IF(MDReportingPeriod=TMDMonthly,J103,IF(MDReportingPeriod=TMDTwoweekly,J102,J101)))</f>
        <v>0</v>
      </c>
      <c r="K107" s="509">
        <f>IF(K$15=TMDPeriodValueTypeForecast,IF('Delivery Calculation'!$H$20=TMDAllocationTandM,0,'Delivery Calculation'!T94),IF(MDReportingPeriod=TMDMonthly,K103,IF(MDReportingPeriod=TMDTwoweekly,K102,K101)))</f>
        <v>0</v>
      </c>
      <c r="L107" s="509">
        <f>IF(L$15=TMDPeriodValueTypeForecast,IF('Delivery Calculation'!$H$20=TMDAllocationTandM,0,'Delivery Calculation'!U94),IF(MDReportingPeriod=TMDMonthly,L103,IF(MDReportingPeriod=TMDTwoweekly,L102,L101)))</f>
        <v>0</v>
      </c>
      <c r="M107" s="509">
        <f>IF(M$15=TMDPeriodValueTypeForecast,IF('Delivery Calculation'!$H$20=TMDAllocationTandM,0,'Delivery Calculation'!V94),IF(MDReportingPeriod=TMDMonthly,M103,IF(MDReportingPeriod=TMDTwoweekly,M102,M101)))</f>
        <v>0</v>
      </c>
      <c r="N107" s="509">
        <f>IF(N$15=TMDPeriodValueTypeForecast,IF('Delivery Calculation'!$H$20=TMDAllocationTandM,0,'Delivery Calculation'!W94),IF(MDReportingPeriod=TMDMonthly,N103,IF(MDReportingPeriod=TMDTwoweekly,N102,N101)))</f>
        <v>0</v>
      </c>
      <c r="O107" s="509">
        <f>IF(O$15=TMDPeriodValueTypeForecast,IF('Delivery Calculation'!$H$20=TMDAllocationTandM,0,'Delivery Calculation'!X94),IF(MDReportingPeriod=TMDMonthly,O103,IF(MDReportingPeriod=TMDTwoweekly,O102,O101)))</f>
        <v>0</v>
      </c>
      <c r="P107" s="509">
        <f>IF(P$15=TMDPeriodValueTypeForecast,IF('Delivery Calculation'!$H$20=TMDAllocationTandM,0,'Delivery Calculation'!Y94),IF(MDReportingPeriod=TMDMonthly,P103,IF(MDReportingPeriod=TMDTwoweekly,P102,P101)))</f>
        <v>0</v>
      </c>
      <c r="Q107" s="509">
        <f>IF(Q$15=TMDPeriodValueTypeForecast,IF('Delivery Calculation'!$H$20=TMDAllocationTandM,0,'Delivery Calculation'!Z94),IF(MDReportingPeriod=TMDMonthly,Q103,IF(MDReportingPeriod=TMDTwoweekly,Q102,Q101)))</f>
        <v>0</v>
      </c>
      <c r="R107" s="509">
        <f>IF(R$15=TMDPeriodValueTypeForecast,IF('Delivery Calculation'!$H$20=TMDAllocationTandM,0,'Delivery Calculation'!AA94),IF(MDReportingPeriod=TMDMonthly,R103,IF(MDReportingPeriod=TMDTwoweekly,R102,R101)))</f>
        <v>0</v>
      </c>
      <c r="S107" s="509">
        <f>IF(S$15=TMDPeriodValueTypeForecast,IF('Delivery Calculation'!$H$20=TMDAllocationTandM,0,'Delivery Calculation'!AB94),IF(MDReportingPeriod=TMDMonthly,S103,IF(MDReportingPeriod=TMDTwoweekly,S102,S101)))</f>
        <v>0</v>
      </c>
      <c r="T107" s="509">
        <f>IF(T$15=TMDPeriodValueTypeForecast,IF('Delivery Calculation'!$H$20=TMDAllocationTandM,0,'Delivery Calculation'!AC94),IF(MDReportingPeriod=TMDMonthly,T103,IF(MDReportingPeriod=TMDTwoweekly,T102,T101)))</f>
        <v>0</v>
      </c>
      <c r="U107" s="509">
        <f>IF(U$15=TMDPeriodValueTypeForecast,IF('Delivery Calculation'!$H$20=TMDAllocationTandM,0,'Delivery Calculation'!AD94),IF(MDReportingPeriod=TMDMonthly,U103,IF(MDReportingPeriod=TMDTwoweekly,U102,U101)))</f>
        <v>0</v>
      </c>
      <c r="V107" s="509">
        <f>IF(V$15=TMDPeriodValueTypeForecast,IF('Delivery Calculation'!$H$20=TMDAllocationTandM,0,'Delivery Calculation'!AE94),IF(MDReportingPeriod=TMDMonthly,V103,IF(MDReportingPeriod=TMDTwoweekly,V102,V101)))</f>
        <v>0</v>
      </c>
      <c r="W107" s="509">
        <f>IF(W$15=TMDPeriodValueTypeForecast,IF('Delivery Calculation'!$H$20=TMDAllocationTandM,0,'Delivery Calculation'!AF94),IF(MDReportingPeriod=TMDMonthly,W103,IF(MDReportingPeriod=TMDTwoweekly,W102,W101)))</f>
        <v>0</v>
      </c>
      <c r="X107" s="509">
        <f>IF(X$15=TMDPeriodValueTypeForecast,IF('Delivery Calculation'!$H$20=TMDAllocationTandM,0,'Delivery Calculation'!AG94),IF(MDReportingPeriod=TMDMonthly,X103,IF(MDReportingPeriod=TMDTwoweekly,X102,X101)))</f>
        <v>0</v>
      </c>
      <c r="Y107" s="509">
        <f>IF(Y$15=TMDPeriodValueTypeForecast,IF('Delivery Calculation'!$H$20=TMDAllocationTandM,0,'Delivery Calculation'!AH94),IF(MDReportingPeriod=TMDMonthly,Y103,IF(MDReportingPeriod=TMDTwoweekly,Y102,Y101)))</f>
        <v>0</v>
      </c>
      <c r="Z107" s="509">
        <f>IF(Z$15=TMDPeriodValueTypeForecast,IF('Delivery Calculation'!$H$20=TMDAllocationTandM,0,'Delivery Calculation'!AI94),IF(MDReportingPeriod=TMDMonthly,Z103,IF(MDReportingPeriod=TMDTwoweekly,Z102,Z101)))</f>
        <v>0</v>
      </c>
      <c r="AA107" s="509">
        <f>IF(AA$15=TMDPeriodValueTypeForecast,IF('Delivery Calculation'!$H$20=TMDAllocationTandM,0,'Delivery Calculation'!AJ94),IF(MDReportingPeriod=TMDMonthly,AA103,IF(MDReportingPeriod=TMDTwoweekly,AA102,AA101)))</f>
        <v>0</v>
      </c>
      <c r="AB107" s="509">
        <f>IF(AB$15=TMDPeriodValueTypeForecast,IF('Delivery Calculation'!$H$20=TMDAllocationTandM,0,'Delivery Calculation'!AK94),IF(MDReportingPeriod=TMDMonthly,AB103,IF(MDReportingPeriod=TMDTwoweekly,AB102,AB101)))</f>
        <v>0</v>
      </c>
      <c r="AC107" s="509">
        <f>IF(AC$15=TMDPeriodValueTypeForecast,IF('Delivery Calculation'!$H$20=TMDAllocationTandM,0,'Delivery Calculation'!AL94),IF(MDReportingPeriod=TMDMonthly,AC103,IF(MDReportingPeriod=TMDTwoweekly,AC102,AC101)))</f>
        <v>0</v>
      </c>
      <c r="AD107" s="509">
        <f>IF(AD$15=TMDPeriodValueTypeForecast,IF('Delivery Calculation'!$H$20=TMDAllocationTandM,0,'Delivery Calculation'!AM94),IF(MDReportingPeriod=TMDMonthly,AD103,IF(MDReportingPeriod=TMDTwoweekly,AD102,AD101)))</f>
        <v>0</v>
      </c>
      <c r="AE107" s="509">
        <f>IF(AE$15=TMDPeriodValueTypeForecast,IF('Delivery Calculation'!$H$20=TMDAllocationTandM,0,'Delivery Calculation'!AN94),IF(MDReportingPeriod=TMDMonthly,AE103,IF(MDReportingPeriod=TMDTwoweekly,AE102,AE101)))</f>
        <v>0</v>
      </c>
      <c r="AF107" s="509">
        <f>IF(AF$15=TMDPeriodValueTypeForecast,IF('Delivery Calculation'!$H$20=TMDAllocationTandM,0,'Delivery Calculation'!AO94),IF(MDReportingPeriod=TMDMonthly,AF103,IF(MDReportingPeriod=TMDTwoweekly,AF102,AF101)))</f>
        <v>0</v>
      </c>
      <c r="AG107" s="509">
        <f>IF(AG$15=TMDPeriodValueTypeForecast,IF('Delivery Calculation'!$H$20=TMDAllocationTandM,0,'Delivery Calculation'!AP94),IF(MDReportingPeriod=TMDMonthly,AG103,IF(MDReportingPeriod=TMDTwoweekly,AG102,AG101)))</f>
        <v>0</v>
      </c>
      <c r="AH107" s="509">
        <f>IF(AH$15=TMDPeriodValueTypeForecast,IF('Delivery Calculation'!$H$20=TMDAllocationTandM,0,'Delivery Calculation'!AQ94),IF(MDReportingPeriod=TMDMonthly,AH103,IF(MDReportingPeriod=TMDTwoweekly,AH102,AH101)))</f>
        <v>0</v>
      </c>
      <c r="AI107" s="509">
        <f>IF(AI$15=TMDPeriodValueTypeForecast,IF('Delivery Calculation'!$H$20=TMDAllocationTandM,0,'Delivery Calculation'!AR94),IF(MDReportingPeriod=TMDMonthly,AI103,IF(MDReportingPeriod=TMDTwoweekly,AI102,AI101)))</f>
        <v>0</v>
      </c>
      <c r="AJ107" s="509">
        <f>IF(AJ$15=TMDPeriodValueTypeForecast,IF('Delivery Calculation'!$H$20=TMDAllocationTandM,0,'Delivery Calculation'!AS94),IF(MDReportingPeriod=TMDMonthly,AJ103,IF(MDReportingPeriod=TMDTwoweekly,AJ102,AJ101)))</f>
        <v>0</v>
      </c>
      <c r="AK107" s="509">
        <f>IF(AK$15=TMDPeriodValueTypeForecast,IF('Delivery Calculation'!$H$20=TMDAllocationTandM,0,'Delivery Calculation'!AT94),IF(MDReportingPeriod=TMDMonthly,AK103,IF(MDReportingPeriod=TMDTwoweekly,AK102,AK101)))</f>
        <v>0</v>
      </c>
      <c r="AL107" s="509">
        <f>IF(AL$15=TMDPeriodValueTypeForecast,IF('Delivery Calculation'!$H$20=TMDAllocationTandM,0,'Delivery Calculation'!AU94),IF(MDReportingPeriod=TMDMonthly,AL103,IF(MDReportingPeriod=TMDTwoweekly,AL102,AL101)))</f>
        <v>0</v>
      </c>
      <c r="AM107" s="509">
        <f>IF(AM$15=TMDPeriodValueTypeForecast,IF('Delivery Calculation'!$H$20=TMDAllocationTandM,0,'Delivery Calculation'!AV94),IF(MDReportingPeriod=TMDMonthly,AM103,IF(MDReportingPeriod=TMDTwoweekly,AM102,AM101)))</f>
        <v>0</v>
      </c>
      <c r="AN107" s="509">
        <f>IF(AN$15=TMDPeriodValueTypeForecast,IF('Delivery Calculation'!$H$20=TMDAllocationTandM,0,'Delivery Calculation'!AW94),IF(MDReportingPeriod=TMDMonthly,AN103,IF(MDReportingPeriod=TMDTwoweekly,AN102,AN101)))</f>
        <v>0</v>
      </c>
      <c r="AO107" s="509">
        <f>IF(AO$15=TMDPeriodValueTypeForecast,IF('Delivery Calculation'!$H$20=TMDAllocationTandM,0,'Delivery Calculation'!AX94),IF(MDReportingPeriod=TMDMonthly,AO103,IF(MDReportingPeriod=TMDTwoweekly,AO102,AO101)))</f>
        <v>0</v>
      </c>
      <c r="AP107" s="501"/>
      <c r="AQ107" s="505">
        <f>SUMIF($D$15:$AO$15,TMDPeriodValueTypeReported,D107:AO107)</f>
        <v>0</v>
      </c>
      <c r="AR107" s="505">
        <f>SUMIF($D$15:$AO$15,TMDPeriodValueTypeForecast,D107:AO107)</f>
        <v>0</v>
      </c>
      <c r="AS107" s="523">
        <f>'Delivery Calculation'!I20</f>
        <v>0</v>
      </c>
      <c r="AT107" s="505">
        <f>AS107-(AQ107+AR107)</f>
        <v>0</v>
      </c>
      <c r="AU107" s="505"/>
      <c r="AV107" s="510"/>
      <c r="AW107" s="452"/>
    </row>
    <row r="108" spans="1:49">
      <c r="A108" s="1185"/>
      <c r="B108" s="1182"/>
      <c r="C108" s="499" t="s">
        <v>553</v>
      </c>
      <c r="D108" s="509"/>
      <c r="E108" s="509"/>
      <c r="F108" s="509"/>
      <c r="G108" s="509"/>
      <c r="H108" s="509"/>
      <c r="I108" s="509"/>
      <c r="J108" s="509"/>
      <c r="K108" s="509"/>
      <c r="L108" s="509"/>
      <c r="M108" s="509"/>
      <c r="N108" s="509"/>
      <c r="O108" s="509"/>
      <c r="P108" s="509"/>
      <c r="Q108" s="509"/>
      <c r="R108" s="509"/>
      <c r="S108" s="509"/>
      <c r="T108" s="509"/>
      <c r="U108" s="509"/>
      <c r="V108" s="509"/>
      <c r="W108" s="509"/>
      <c r="X108" s="509"/>
      <c r="Y108" s="509"/>
      <c r="Z108" s="509"/>
      <c r="AA108" s="509"/>
      <c r="AB108" s="509"/>
      <c r="AC108" s="509"/>
      <c r="AD108" s="509"/>
      <c r="AE108" s="509"/>
      <c r="AF108" s="509"/>
      <c r="AG108" s="509"/>
      <c r="AH108" s="509"/>
      <c r="AI108" s="509"/>
      <c r="AJ108" s="509"/>
      <c r="AK108" s="509"/>
      <c r="AL108" s="509"/>
      <c r="AM108" s="509"/>
      <c r="AN108" s="509"/>
      <c r="AO108" s="509"/>
      <c r="AP108" s="501"/>
      <c r="AQ108" s="505">
        <f>SUMIF($D$15:$AO$15,TMDPeriodValueTypeReported,D108:AO108)</f>
        <v>0</v>
      </c>
      <c r="AR108" s="505">
        <f>SUMIF($D$15:$AO$15,TMDPeriodValueTypeForecast,D108:AO108)</f>
        <v>0</v>
      </c>
      <c r="AS108" s="505"/>
      <c r="AT108" s="505">
        <f>AQ108+AR108</f>
        <v>0</v>
      </c>
      <c r="AU108" s="505"/>
      <c r="AV108" s="510"/>
      <c r="AW108" s="452"/>
    </row>
    <row r="109" spans="1:49" hidden="1">
      <c r="A109" s="143"/>
      <c r="B109" s="483"/>
      <c r="C109" s="496" t="s">
        <v>1339</v>
      </c>
      <c r="D109" s="516">
        <f t="shared" ref="D109:AO109" si="48">IF(ISERR(GETPIVOTDATA("[Measures].[Hours]",TRIMARANweekly,"[Order].[Position Number]","[Order].[Position Number].&amp;[" &amp; $B116 &amp; "]","[Period].[Week]","[Period].[Week].&amp;[" &amp; YEAR(D$14-7) &amp; TEXT(WEEKNUM(D$14-7),"00") &amp; "]")),0,GETPIVOTDATA("[Measures].[Hours]",TRIMARANweekly,"[Order].[Position Number]","[Order].[Position Number].&amp;[" &amp; $B116 &amp; "]","[Period].[Week]","[Period].[Week].&amp;[" &amp; YEAR(D$14-7) &amp; TEXT(WEEKNUM(D$14-7),"00") &amp; "]"))</f>
        <v>0</v>
      </c>
      <c r="E109" s="516">
        <f t="shared" si="48"/>
        <v>0</v>
      </c>
      <c r="F109" s="516">
        <f t="shared" si="48"/>
        <v>0</v>
      </c>
      <c r="G109" s="516">
        <f t="shared" si="48"/>
        <v>0</v>
      </c>
      <c r="H109" s="516">
        <f t="shared" si="48"/>
        <v>0</v>
      </c>
      <c r="I109" s="516">
        <f t="shared" si="48"/>
        <v>0</v>
      </c>
      <c r="J109" s="516">
        <f t="shared" si="48"/>
        <v>0</v>
      </c>
      <c r="K109" s="516">
        <f t="shared" si="48"/>
        <v>0</v>
      </c>
      <c r="L109" s="516">
        <f t="shared" si="48"/>
        <v>0</v>
      </c>
      <c r="M109" s="516">
        <f t="shared" si="48"/>
        <v>0</v>
      </c>
      <c r="N109" s="516">
        <f t="shared" si="48"/>
        <v>0</v>
      </c>
      <c r="O109" s="516">
        <f t="shared" si="48"/>
        <v>0</v>
      </c>
      <c r="P109" s="516">
        <f t="shared" si="48"/>
        <v>0</v>
      </c>
      <c r="Q109" s="516">
        <f t="shared" si="48"/>
        <v>0</v>
      </c>
      <c r="R109" s="516">
        <f t="shared" si="48"/>
        <v>0</v>
      </c>
      <c r="S109" s="516">
        <f t="shared" si="48"/>
        <v>0</v>
      </c>
      <c r="T109" s="516">
        <f t="shared" si="48"/>
        <v>0</v>
      </c>
      <c r="U109" s="516">
        <f t="shared" si="48"/>
        <v>0</v>
      </c>
      <c r="V109" s="516">
        <f t="shared" si="48"/>
        <v>0</v>
      </c>
      <c r="W109" s="516">
        <f t="shared" si="48"/>
        <v>0</v>
      </c>
      <c r="X109" s="516">
        <f t="shared" si="48"/>
        <v>0</v>
      </c>
      <c r="Y109" s="516">
        <f t="shared" si="48"/>
        <v>0</v>
      </c>
      <c r="Z109" s="516">
        <f t="shared" si="48"/>
        <v>0</v>
      </c>
      <c r="AA109" s="516">
        <f t="shared" si="48"/>
        <v>0</v>
      </c>
      <c r="AB109" s="516">
        <f t="shared" si="48"/>
        <v>0</v>
      </c>
      <c r="AC109" s="516">
        <f t="shared" si="48"/>
        <v>0</v>
      </c>
      <c r="AD109" s="516">
        <f t="shared" si="48"/>
        <v>0</v>
      </c>
      <c r="AE109" s="516">
        <f t="shared" si="48"/>
        <v>0</v>
      </c>
      <c r="AF109" s="516">
        <f t="shared" si="48"/>
        <v>0</v>
      </c>
      <c r="AG109" s="516">
        <f t="shared" si="48"/>
        <v>0</v>
      </c>
      <c r="AH109" s="516">
        <f t="shared" si="48"/>
        <v>0</v>
      </c>
      <c r="AI109" s="516">
        <f t="shared" si="48"/>
        <v>0</v>
      </c>
      <c r="AJ109" s="516">
        <f t="shared" si="48"/>
        <v>0</v>
      </c>
      <c r="AK109" s="516">
        <f t="shared" si="48"/>
        <v>0</v>
      </c>
      <c r="AL109" s="516">
        <f t="shared" si="48"/>
        <v>0</v>
      </c>
      <c r="AM109" s="516">
        <f t="shared" si="48"/>
        <v>0</v>
      </c>
      <c r="AN109" s="516">
        <f t="shared" si="48"/>
        <v>0</v>
      </c>
      <c r="AO109" s="516">
        <f t="shared" si="48"/>
        <v>0</v>
      </c>
      <c r="AP109" s="501"/>
      <c r="AQ109" s="505"/>
      <c r="AR109" s="505"/>
      <c r="AS109" s="505"/>
      <c r="AT109" s="505"/>
      <c r="AU109" s="505"/>
      <c r="AV109" s="510"/>
      <c r="AW109" s="452"/>
    </row>
    <row r="110" spans="1:49" hidden="1">
      <c r="A110" s="143"/>
      <c r="B110" s="483"/>
      <c r="C110" s="496" t="s">
        <v>1340</v>
      </c>
      <c r="D110" s="516">
        <f t="shared" ref="D110:AO110" si="49">IF(ISERR(GETPIVOTDATA("[Measures].[Hours]",TRIMARANweekly,"[Order].[Position Number]","[Order].[Position Number].&amp;[" &amp; $B116 &amp; "]","[Period].[Week]","[Period].[Week].&amp;[" &amp; YEAR(D$14-14) &amp; TEXT(WEEKNUM(D$14-14),"00") &amp; "]")),0,GETPIVOTDATA("[Measures].[Hours]",TRIMARANweekly,"[Order].[Position Number]","[Order].[Position Number].&amp;[" &amp; $B116 &amp; "]","[Period].[Week]","[Period].[Week].&amp;[" &amp; YEAR(D$14-14) &amp; TEXT(WEEKNUM(D$14-14),"00") &amp; "]"))+D109</f>
        <v>0</v>
      </c>
      <c r="E110" s="516">
        <f t="shared" si="49"/>
        <v>0</v>
      </c>
      <c r="F110" s="516">
        <f t="shared" si="49"/>
        <v>0</v>
      </c>
      <c r="G110" s="516">
        <f t="shared" si="49"/>
        <v>0</v>
      </c>
      <c r="H110" s="516">
        <f t="shared" si="49"/>
        <v>0</v>
      </c>
      <c r="I110" s="516">
        <f t="shared" si="49"/>
        <v>0</v>
      </c>
      <c r="J110" s="516">
        <f t="shared" si="49"/>
        <v>0</v>
      </c>
      <c r="K110" s="516">
        <f t="shared" si="49"/>
        <v>0</v>
      </c>
      <c r="L110" s="516">
        <f t="shared" si="49"/>
        <v>0</v>
      </c>
      <c r="M110" s="516">
        <f t="shared" si="49"/>
        <v>0</v>
      </c>
      <c r="N110" s="516">
        <f t="shared" si="49"/>
        <v>0</v>
      </c>
      <c r="O110" s="516">
        <f t="shared" si="49"/>
        <v>0</v>
      </c>
      <c r="P110" s="516">
        <f t="shared" si="49"/>
        <v>0</v>
      </c>
      <c r="Q110" s="516">
        <f t="shared" si="49"/>
        <v>0</v>
      </c>
      <c r="R110" s="516">
        <f t="shared" si="49"/>
        <v>0</v>
      </c>
      <c r="S110" s="516">
        <f t="shared" si="49"/>
        <v>0</v>
      </c>
      <c r="T110" s="516">
        <f t="shared" si="49"/>
        <v>0</v>
      </c>
      <c r="U110" s="516">
        <f t="shared" si="49"/>
        <v>0</v>
      </c>
      <c r="V110" s="516">
        <f t="shared" si="49"/>
        <v>0</v>
      </c>
      <c r="W110" s="516">
        <f t="shared" si="49"/>
        <v>0</v>
      </c>
      <c r="X110" s="516">
        <f t="shared" si="49"/>
        <v>0</v>
      </c>
      <c r="Y110" s="516">
        <f t="shared" si="49"/>
        <v>0</v>
      </c>
      <c r="Z110" s="516">
        <f t="shared" si="49"/>
        <v>0</v>
      </c>
      <c r="AA110" s="516">
        <f t="shared" si="49"/>
        <v>0</v>
      </c>
      <c r="AB110" s="516">
        <f t="shared" si="49"/>
        <v>0</v>
      </c>
      <c r="AC110" s="516">
        <f t="shared" si="49"/>
        <v>0</v>
      </c>
      <c r="AD110" s="516">
        <f t="shared" si="49"/>
        <v>0</v>
      </c>
      <c r="AE110" s="516">
        <f t="shared" si="49"/>
        <v>0</v>
      </c>
      <c r="AF110" s="516">
        <f t="shared" si="49"/>
        <v>0</v>
      </c>
      <c r="AG110" s="516">
        <f t="shared" si="49"/>
        <v>0</v>
      </c>
      <c r="AH110" s="516">
        <f t="shared" si="49"/>
        <v>0</v>
      </c>
      <c r="AI110" s="516">
        <f t="shared" si="49"/>
        <v>0</v>
      </c>
      <c r="AJ110" s="516">
        <f t="shared" si="49"/>
        <v>0</v>
      </c>
      <c r="AK110" s="516">
        <f t="shared" si="49"/>
        <v>0</v>
      </c>
      <c r="AL110" s="516">
        <f t="shared" si="49"/>
        <v>0</v>
      </c>
      <c r="AM110" s="516">
        <f t="shared" si="49"/>
        <v>0</v>
      </c>
      <c r="AN110" s="516">
        <f t="shared" si="49"/>
        <v>0</v>
      </c>
      <c r="AO110" s="516">
        <f t="shared" si="49"/>
        <v>0</v>
      </c>
      <c r="AP110" s="501"/>
      <c r="AQ110" s="505"/>
      <c r="AR110" s="505"/>
      <c r="AS110" s="505"/>
      <c r="AT110" s="505"/>
      <c r="AU110" s="505"/>
      <c r="AV110" s="510"/>
      <c r="AW110" s="452"/>
    </row>
    <row r="111" spans="1:49" hidden="1">
      <c r="A111" s="143"/>
      <c r="B111" s="483"/>
      <c r="C111" s="496" t="s">
        <v>1341</v>
      </c>
      <c r="D111" s="516">
        <f t="shared" ref="D111:AO111" si="50">IF(ISERR(GETPIVOTDATA("[Measures].[Hours]",TRIMARANmonthly,"[Period].[Month]","[Period].[Month].&amp;["&amp;IF(MONTH(D$14)=1,YEAR(D$14)-1&amp;TEXT(12,"00"),YEAR(D$14)&amp;TEXT(MONTH(D$14)-1,"00"))&amp;"]","[Order].[Position Number]","[Order].[Position Number].&amp;["&amp;$B116&amp;"]")),0,GETPIVOTDATA("[Measures].[Hours]",TRIMARANmonthly,"[Period].[Month]","[Period].[Month].&amp;["&amp;IF(MONTH(D$14)=1,YEAR(D$14)-1&amp;TEXT(12,"00"),YEAR(D$14)&amp;TEXT(MONTH(D$14)-1,"00"))&amp;"]","[Order].[Position Number]","[Order].[Position Number].&amp;["&amp;$B116&amp;"]"))</f>
        <v>0</v>
      </c>
      <c r="E111" s="516">
        <f t="shared" si="50"/>
        <v>0</v>
      </c>
      <c r="F111" s="516">
        <f t="shared" si="50"/>
        <v>0</v>
      </c>
      <c r="G111" s="516">
        <f t="shared" si="50"/>
        <v>0</v>
      </c>
      <c r="H111" s="516">
        <f t="shared" si="50"/>
        <v>0</v>
      </c>
      <c r="I111" s="516">
        <f t="shared" si="50"/>
        <v>0</v>
      </c>
      <c r="J111" s="516">
        <f t="shared" si="50"/>
        <v>0</v>
      </c>
      <c r="K111" s="516">
        <f t="shared" si="50"/>
        <v>0</v>
      </c>
      <c r="L111" s="516">
        <f t="shared" si="50"/>
        <v>0</v>
      </c>
      <c r="M111" s="516">
        <f t="shared" si="50"/>
        <v>0</v>
      </c>
      <c r="N111" s="516">
        <f t="shared" si="50"/>
        <v>0</v>
      </c>
      <c r="O111" s="516">
        <f t="shared" si="50"/>
        <v>0</v>
      </c>
      <c r="P111" s="516">
        <f t="shared" si="50"/>
        <v>0</v>
      </c>
      <c r="Q111" s="516">
        <f t="shared" si="50"/>
        <v>0</v>
      </c>
      <c r="R111" s="516">
        <f t="shared" si="50"/>
        <v>0</v>
      </c>
      <c r="S111" s="516">
        <f t="shared" si="50"/>
        <v>0</v>
      </c>
      <c r="T111" s="516">
        <f t="shared" si="50"/>
        <v>0</v>
      </c>
      <c r="U111" s="516">
        <f t="shared" si="50"/>
        <v>0</v>
      </c>
      <c r="V111" s="516">
        <f t="shared" si="50"/>
        <v>0</v>
      </c>
      <c r="W111" s="516">
        <f t="shared" si="50"/>
        <v>0</v>
      </c>
      <c r="X111" s="516">
        <f t="shared" si="50"/>
        <v>0</v>
      </c>
      <c r="Y111" s="516">
        <f t="shared" si="50"/>
        <v>0</v>
      </c>
      <c r="Z111" s="516">
        <f t="shared" si="50"/>
        <v>0</v>
      </c>
      <c r="AA111" s="516">
        <f t="shared" si="50"/>
        <v>0</v>
      </c>
      <c r="AB111" s="516">
        <f t="shared" si="50"/>
        <v>0</v>
      </c>
      <c r="AC111" s="516">
        <f t="shared" si="50"/>
        <v>0</v>
      </c>
      <c r="AD111" s="516">
        <f t="shared" si="50"/>
        <v>0</v>
      </c>
      <c r="AE111" s="516">
        <f t="shared" si="50"/>
        <v>0</v>
      </c>
      <c r="AF111" s="516">
        <f t="shared" si="50"/>
        <v>0</v>
      </c>
      <c r="AG111" s="516">
        <f t="shared" si="50"/>
        <v>0</v>
      </c>
      <c r="AH111" s="516">
        <f t="shared" si="50"/>
        <v>0</v>
      </c>
      <c r="AI111" s="516">
        <f t="shared" si="50"/>
        <v>0</v>
      </c>
      <c r="AJ111" s="516">
        <f t="shared" si="50"/>
        <v>0</v>
      </c>
      <c r="AK111" s="516">
        <f t="shared" si="50"/>
        <v>0</v>
      </c>
      <c r="AL111" s="516">
        <f t="shared" si="50"/>
        <v>0</v>
      </c>
      <c r="AM111" s="516">
        <f t="shared" si="50"/>
        <v>0</v>
      </c>
      <c r="AN111" s="516">
        <f t="shared" si="50"/>
        <v>0</v>
      </c>
      <c r="AO111" s="516">
        <f t="shared" si="50"/>
        <v>0</v>
      </c>
      <c r="AP111" s="501"/>
      <c r="AQ111" s="505"/>
      <c r="AR111" s="505"/>
      <c r="AS111" s="505"/>
      <c r="AT111" s="505"/>
      <c r="AU111" s="505"/>
      <c r="AV111" s="510"/>
      <c r="AW111" s="452"/>
    </row>
    <row r="112" spans="1:49" hidden="1">
      <c r="A112" s="143"/>
      <c r="B112" s="483"/>
      <c r="C112" s="496" t="s">
        <v>1339</v>
      </c>
      <c r="D112" s="516">
        <f t="shared" ref="D112:AO112" si="51">IF(ISERR(GETPIVOTDATA("[Measures].[" &amp; MDContractCurrency &amp; "]",TRIMARANweekly,"[Order].[Position Number]","[Order].[Position Number].&amp;[" &amp; $B116 &amp; "]","[Period].[Week]","[Period].[Week].&amp;[" &amp; YEAR(D$14-7) &amp; TEXT(WEEKNUM(D$14-7),"00") &amp; "]")),0,GETPIVOTDATA("[Measures].[" &amp; MDContractCurrency &amp; "]",TRIMARANweekly,"[Order].[Position Number]","[Order].[Position Number].&amp;[" &amp; $B116 &amp; "]","[Period].[Week]","[Period].[Week].&amp;[" &amp; YEAR(D$14-7) &amp; TEXT(WEEKNUM(D$14-7),"00") &amp; "]"))</f>
        <v>0</v>
      </c>
      <c r="E112" s="516">
        <f t="shared" si="51"/>
        <v>0</v>
      </c>
      <c r="F112" s="516">
        <f t="shared" si="51"/>
        <v>0</v>
      </c>
      <c r="G112" s="516">
        <f t="shared" si="51"/>
        <v>0</v>
      </c>
      <c r="H112" s="516">
        <f t="shared" si="51"/>
        <v>0</v>
      </c>
      <c r="I112" s="516">
        <f t="shared" si="51"/>
        <v>0</v>
      </c>
      <c r="J112" s="516">
        <f t="shared" si="51"/>
        <v>0</v>
      </c>
      <c r="K112" s="516">
        <f t="shared" si="51"/>
        <v>0</v>
      </c>
      <c r="L112" s="516">
        <f t="shared" si="51"/>
        <v>0</v>
      </c>
      <c r="M112" s="516">
        <f t="shared" si="51"/>
        <v>0</v>
      </c>
      <c r="N112" s="516">
        <f t="shared" si="51"/>
        <v>0</v>
      </c>
      <c r="O112" s="516">
        <f t="shared" si="51"/>
        <v>0</v>
      </c>
      <c r="P112" s="516">
        <f t="shared" si="51"/>
        <v>0</v>
      </c>
      <c r="Q112" s="516">
        <f t="shared" si="51"/>
        <v>0</v>
      </c>
      <c r="R112" s="516">
        <f t="shared" si="51"/>
        <v>0</v>
      </c>
      <c r="S112" s="516">
        <f t="shared" si="51"/>
        <v>0</v>
      </c>
      <c r="T112" s="516">
        <f t="shared" si="51"/>
        <v>0</v>
      </c>
      <c r="U112" s="516">
        <f t="shared" si="51"/>
        <v>0</v>
      </c>
      <c r="V112" s="516">
        <f t="shared" si="51"/>
        <v>0</v>
      </c>
      <c r="W112" s="516">
        <f t="shared" si="51"/>
        <v>0</v>
      </c>
      <c r="X112" s="516">
        <f t="shared" si="51"/>
        <v>0</v>
      </c>
      <c r="Y112" s="516">
        <f t="shared" si="51"/>
        <v>0</v>
      </c>
      <c r="Z112" s="516">
        <f t="shared" si="51"/>
        <v>0</v>
      </c>
      <c r="AA112" s="516">
        <f t="shared" si="51"/>
        <v>0</v>
      </c>
      <c r="AB112" s="516">
        <f t="shared" si="51"/>
        <v>0</v>
      </c>
      <c r="AC112" s="516">
        <f t="shared" si="51"/>
        <v>0</v>
      </c>
      <c r="AD112" s="516">
        <f t="shared" si="51"/>
        <v>0</v>
      </c>
      <c r="AE112" s="516">
        <f t="shared" si="51"/>
        <v>0</v>
      </c>
      <c r="AF112" s="516">
        <f t="shared" si="51"/>
        <v>0</v>
      </c>
      <c r="AG112" s="516">
        <f t="shared" si="51"/>
        <v>0</v>
      </c>
      <c r="AH112" s="516">
        <f t="shared" si="51"/>
        <v>0</v>
      </c>
      <c r="AI112" s="516">
        <f t="shared" si="51"/>
        <v>0</v>
      </c>
      <c r="AJ112" s="516">
        <f t="shared" si="51"/>
        <v>0</v>
      </c>
      <c r="AK112" s="516">
        <f t="shared" si="51"/>
        <v>0</v>
      </c>
      <c r="AL112" s="516">
        <f t="shared" si="51"/>
        <v>0</v>
      </c>
      <c r="AM112" s="516">
        <f t="shared" si="51"/>
        <v>0</v>
      </c>
      <c r="AN112" s="516">
        <f t="shared" si="51"/>
        <v>0</v>
      </c>
      <c r="AO112" s="516">
        <f t="shared" si="51"/>
        <v>0</v>
      </c>
      <c r="AP112" s="501"/>
      <c r="AQ112" s="505"/>
      <c r="AR112" s="505"/>
      <c r="AS112" s="505"/>
      <c r="AT112" s="505"/>
      <c r="AU112" s="505"/>
      <c r="AV112" s="510"/>
      <c r="AW112" s="452"/>
    </row>
    <row r="113" spans="1:49" hidden="1">
      <c r="A113" s="143"/>
      <c r="B113" s="483"/>
      <c r="C113" s="496" t="s">
        <v>1340</v>
      </c>
      <c r="D113" s="516">
        <f t="shared" ref="D113:AO113" si="52">IF(ISERR(GETPIVOTDATA("[Measures].[" &amp; MDContractCurrency &amp; "]",TRIMARANweekly,"[Order].[Position Number]","[Order].[Position Number].&amp;[" &amp; $B116 &amp; "]","[Period].[Week]","[Period].[Week].&amp;[" &amp; YEAR(D$14-14) &amp; TEXT(WEEKNUM(D$14-14),"00") &amp; "]")),0,GETPIVOTDATA("[Measures].[" &amp; MDContractCurrency &amp; "]",TRIMARANweekly,"[Order].[Position Number]","[Order].[Position Number].&amp;[" &amp; $B116 &amp; "]","[Period].[Week]","[Period].[Week].&amp;[" &amp; YEAR(D$14-14) &amp; TEXT(WEEKNUM(D$14-14),"00") &amp; "]"))+D112</f>
        <v>0</v>
      </c>
      <c r="E113" s="516">
        <f t="shared" si="52"/>
        <v>0</v>
      </c>
      <c r="F113" s="516">
        <f t="shared" si="52"/>
        <v>0</v>
      </c>
      <c r="G113" s="516">
        <f t="shared" si="52"/>
        <v>0</v>
      </c>
      <c r="H113" s="516">
        <f t="shared" si="52"/>
        <v>0</v>
      </c>
      <c r="I113" s="516">
        <f t="shared" si="52"/>
        <v>0</v>
      </c>
      <c r="J113" s="516">
        <f t="shared" si="52"/>
        <v>0</v>
      </c>
      <c r="K113" s="516">
        <f t="shared" si="52"/>
        <v>0</v>
      </c>
      <c r="L113" s="516">
        <f t="shared" si="52"/>
        <v>0</v>
      </c>
      <c r="M113" s="516">
        <f t="shared" si="52"/>
        <v>0</v>
      </c>
      <c r="N113" s="516">
        <f t="shared" si="52"/>
        <v>0</v>
      </c>
      <c r="O113" s="516">
        <f t="shared" si="52"/>
        <v>0</v>
      </c>
      <c r="P113" s="516">
        <f t="shared" si="52"/>
        <v>0</v>
      </c>
      <c r="Q113" s="516">
        <f t="shared" si="52"/>
        <v>0</v>
      </c>
      <c r="R113" s="516">
        <f t="shared" si="52"/>
        <v>0</v>
      </c>
      <c r="S113" s="516">
        <f t="shared" si="52"/>
        <v>0</v>
      </c>
      <c r="T113" s="516">
        <f t="shared" si="52"/>
        <v>0</v>
      </c>
      <c r="U113" s="516">
        <f t="shared" si="52"/>
        <v>0</v>
      </c>
      <c r="V113" s="516">
        <f t="shared" si="52"/>
        <v>0</v>
      </c>
      <c r="W113" s="516">
        <f t="shared" si="52"/>
        <v>0</v>
      </c>
      <c r="X113" s="516">
        <f t="shared" si="52"/>
        <v>0</v>
      </c>
      <c r="Y113" s="516">
        <f t="shared" si="52"/>
        <v>0</v>
      </c>
      <c r="Z113" s="516">
        <f t="shared" si="52"/>
        <v>0</v>
      </c>
      <c r="AA113" s="516">
        <f t="shared" si="52"/>
        <v>0</v>
      </c>
      <c r="AB113" s="516">
        <f t="shared" si="52"/>
        <v>0</v>
      </c>
      <c r="AC113" s="516">
        <f t="shared" si="52"/>
        <v>0</v>
      </c>
      <c r="AD113" s="516">
        <f t="shared" si="52"/>
        <v>0</v>
      </c>
      <c r="AE113" s="516">
        <f t="shared" si="52"/>
        <v>0</v>
      </c>
      <c r="AF113" s="516">
        <f t="shared" si="52"/>
        <v>0</v>
      </c>
      <c r="AG113" s="516">
        <f t="shared" si="52"/>
        <v>0</v>
      </c>
      <c r="AH113" s="516">
        <f t="shared" si="52"/>
        <v>0</v>
      </c>
      <c r="AI113" s="516">
        <f t="shared" si="52"/>
        <v>0</v>
      </c>
      <c r="AJ113" s="516">
        <f t="shared" si="52"/>
        <v>0</v>
      </c>
      <c r="AK113" s="516">
        <f t="shared" si="52"/>
        <v>0</v>
      </c>
      <c r="AL113" s="516">
        <f t="shared" si="52"/>
        <v>0</v>
      </c>
      <c r="AM113" s="516">
        <f t="shared" si="52"/>
        <v>0</v>
      </c>
      <c r="AN113" s="516">
        <f t="shared" si="52"/>
        <v>0</v>
      </c>
      <c r="AO113" s="516">
        <f t="shared" si="52"/>
        <v>0</v>
      </c>
      <c r="AP113" s="501"/>
      <c r="AQ113" s="505"/>
      <c r="AR113" s="505"/>
      <c r="AS113" s="505"/>
      <c r="AT113" s="505"/>
      <c r="AU113" s="505"/>
      <c r="AV113" s="510"/>
      <c r="AW113" s="452"/>
    </row>
    <row r="114" spans="1:49" hidden="1">
      <c r="A114" s="141"/>
      <c r="B114" s="517"/>
      <c r="C114" s="496" t="s">
        <v>1341</v>
      </c>
      <c r="D114" s="516">
        <f t="shared" ref="D114:AO114" si="53">IF(ISERR(GETPIVOTDATA("[Measures].[" &amp; MDContractCurrency &amp; "]",TRIMARANmonthly,"[Period].[Month]","[Period].[Month].&amp;["&amp;IF(MONTH(D$14)=1,YEAR(D$14)-1&amp;TEXT(12,"00"),YEAR(D$14)&amp;TEXT(MONTH(D$14)-1,"00"))&amp;"]","[Order].[Position Number]","[Order].[Position Number].&amp;["&amp;$B116&amp;"]")),0,GETPIVOTDATA("[Measures].[" &amp; MDContractCurrency &amp; "]",TRIMARANmonthly,"[Period].[Month]","[Period].[Month].&amp;["&amp;IF(MONTH(D$14)=1,YEAR(D$14)-1&amp;TEXT(12,"00"),YEAR(D$14)&amp;TEXT(MONTH(D$14)-1,"00"))&amp;"]","[Order].[Position Number]","[Order].[Position Number].&amp;["&amp;$B116&amp;"]"))</f>
        <v>0</v>
      </c>
      <c r="E114" s="516">
        <f t="shared" si="53"/>
        <v>0</v>
      </c>
      <c r="F114" s="516">
        <f t="shared" si="53"/>
        <v>0</v>
      </c>
      <c r="G114" s="516">
        <f t="shared" si="53"/>
        <v>0</v>
      </c>
      <c r="H114" s="516">
        <f t="shared" si="53"/>
        <v>0</v>
      </c>
      <c r="I114" s="516">
        <f t="shared" si="53"/>
        <v>0</v>
      </c>
      <c r="J114" s="516">
        <f t="shared" si="53"/>
        <v>0</v>
      </c>
      <c r="K114" s="516">
        <f t="shared" si="53"/>
        <v>0</v>
      </c>
      <c r="L114" s="516">
        <f t="shared" si="53"/>
        <v>0</v>
      </c>
      <c r="M114" s="516">
        <f t="shared" si="53"/>
        <v>0</v>
      </c>
      <c r="N114" s="516">
        <f t="shared" si="53"/>
        <v>0</v>
      </c>
      <c r="O114" s="516">
        <f t="shared" si="53"/>
        <v>0</v>
      </c>
      <c r="P114" s="516">
        <f t="shared" si="53"/>
        <v>0</v>
      </c>
      <c r="Q114" s="516">
        <f t="shared" si="53"/>
        <v>0</v>
      </c>
      <c r="R114" s="516">
        <f t="shared" si="53"/>
        <v>0</v>
      </c>
      <c r="S114" s="516">
        <f t="shared" si="53"/>
        <v>0</v>
      </c>
      <c r="T114" s="516">
        <f t="shared" si="53"/>
        <v>0</v>
      </c>
      <c r="U114" s="516">
        <f t="shared" si="53"/>
        <v>0</v>
      </c>
      <c r="V114" s="516">
        <f t="shared" si="53"/>
        <v>0</v>
      </c>
      <c r="W114" s="516">
        <f t="shared" si="53"/>
        <v>0</v>
      </c>
      <c r="X114" s="516">
        <f t="shared" si="53"/>
        <v>0</v>
      </c>
      <c r="Y114" s="516">
        <f t="shared" si="53"/>
        <v>0</v>
      </c>
      <c r="Z114" s="516">
        <f t="shared" si="53"/>
        <v>0</v>
      </c>
      <c r="AA114" s="516">
        <f t="shared" si="53"/>
        <v>0</v>
      </c>
      <c r="AB114" s="516">
        <f t="shared" si="53"/>
        <v>0</v>
      </c>
      <c r="AC114" s="516">
        <f t="shared" si="53"/>
        <v>0</v>
      </c>
      <c r="AD114" s="516">
        <f t="shared" si="53"/>
        <v>0</v>
      </c>
      <c r="AE114" s="516">
        <f t="shared" si="53"/>
        <v>0</v>
      </c>
      <c r="AF114" s="516">
        <f t="shared" si="53"/>
        <v>0</v>
      </c>
      <c r="AG114" s="516">
        <f t="shared" si="53"/>
        <v>0</v>
      </c>
      <c r="AH114" s="516">
        <f t="shared" si="53"/>
        <v>0</v>
      </c>
      <c r="AI114" s="516">
        <f t="shared" si="53"/>
        <v>0</v>
      </c>
      <c r="AJ114" s="516">
        <f t="shared" si="53"/>
        <v>0</v>
      </c>
      <c r="AK114" s="516">
        <f t="shared" si="53"/>
        <v>0</v>
      </c>
      <c r="AL114" s="516">
        <f t="shared" si="53"/>
        <v>0</v>
      </c>
      <c r="AM114" s="516">
        <f t="shared" si="53"/>
        <v>0</v>
      </c>
      <c r="AN114" s="516">
        <f t="shared" si="53"/>
        <v>0</v>
      </c>
      <c r="AO114" s="516">
        <f t="shared" si="53"/>
        <v>0</v>
      </c>
      <c r="AP114" s="501"/>
      <c r="AQ114" s="505"/>
      <c r="AR114" s="505"/>
      <c r="AS114" s="505"/>
      <c r="AT114" s="505"/>
      <c r="AU114" s="505"/>
      <c r="AV114" s="510"/>
      <c r="AW114" s="452"/>
    </row>
    <row r="115" spans="1:49">
      <c r="A115" s="143"/>
      <c r="B115" s="483"/>
      <c r="C115" s="524"/>
      <c r="D115" s="501"/>
      <c r="E115" s="501"/>
      <c r="F115" s="501"/>
      <c r="G115" s="501"/>
      <c r="H115" s="501"/>
      <c r="I115" s="501"/>
      <c r="J115" s="501"/>
      <c r="K115" s="501"/>
      <c r="L115" s="501"/>
      <c r="M115" s="501"/>
      <c r="N115" s="501"/>
      <c r="O115" s="501"/>
      <c r="P115" s="501"/>
      <c r="Q115" s="501"/>
      <c r="R115" s="501"/>
      <c r="S115" s="501"/>
      <c r="T115" s="501"/>
      <c r="U115" s="501"/>
      <c r="V115" s="501"/>
      <c r="W115" s="501"/>
      <c r="X115" s="501"/>
      <c r="Y115" s="501"/>
      <c r="Z115" s="501"/>
      <c r="AA115" s="501"/>
      <c r="AB115" s="501"/>
      <c r="AC115" s="501"/>
      <c r="AD115" s="501"/>
      <c r="AE115" s="501"/>
      <c r="AF115" s="501"/>
      <c r="AG115" s="501"/>
      <c r="AH115" s="501"/>
      <c r="AI115" s="501"/>
      <c r="AJ115" s="501"/>
      <c r="AK115" s="501"/>
      <c r="AL115" s="501"/>
      <c r="AM115" s="501"/>
      <c r="AN115" s="501"/>
      <c r="AO115" s="501"/>
      <c r="AP115" s="501"/>
      <c r="AQ115" s="505"/>
      <c r="AR115" s="505"/>
      <c r="AS115" s="505"/>
      <c r="AT115" s="505"/>
      <c r="AU115" s="505"/>
      <c r="AV115" s="510"/>
      <c r="AW115" s="452"/>
    </row>
    <row r="116" spans="1:49">
      <c r="A116" s="1183" t="str">
        <f>'Delivery Calculation'!B21 &amp; CHAR(10) &amp; 'Delivery Calculation'!P21 &amp; " - " &amp; 'Delivery Calculation'!Q21</f>
        <v xml:space="preserve">0
 - </v>
      </c>
      <c r="B116" s="1180">
        <f>'Delivery Calculation'!A21</f>
        <v>0</v>
      </c>
      <c r="C116" s="499" t="s">
        <v>554</v>
      </c>
      <c r="D116" s="518">
        <f>'Delivery Calculation'!M202</f>
        <v>0</v>
      </c>
      <c r="E116" s="518">
        <f>'Delivery Calculation'!N202</f>
        <v>0</v>
      </c>
      <c r="F116" s="518">
        <f>'Delivery Calculation'!O202</f>
        <v>0</v>
      </c>
      <c r="G116" s="518">
        <f>'Delivery Calculation'!P202</f>
        <v>0</v>
      </c>
      <c r="H116" s="518">
        <f>'Delivery Calculation'!Q202</f>
        <v>0</v>
      </c>
      <c r="I116" s="518">
        <f>'Delivery Calculation'!R202</f>
        <v>0</v>
      </c>
      <c r="J116" s="518">
        <f>'Delivery Calculation'!S202</f>
        <v>0</v>
      </c>
      <c r="K116" s="518">
        <f>'Delivery Calculation'!T202</f>
        <v>0</v>
      </c>
      <c r="L116" s="518">
        <f>'Delivery Calculation'!U202</f>
        <v>0</v>
      </c>
      <c r="M116" s="518">
        <f>'Delivery Calculation'!V202</f>
        <v>0</v>
      </c>
      <c r="N116" s="518">
        <f>'Delivery Calculation'!W202</f>
        <v>0</v>
      </c>
      <c r="O116" s="518">
        <f>'Delivery Calculation'!X202</f>
        <v>0</v>
      </c>
      <c r="P116" s="518">
        <f>'Delivery Calculation'!Y202</f>
        <v>0</v>
      </c>
      <c r="Q116" s="518">
        <f>'Delivery Calculation'!Z202</f>
        <v>0</v>
      </c>
      <c r="R116" s="518">
        <f>'Delivery Calculation'!AA202</f>
        <v>0</v>
      </c>
      <c r="S116" s="518">
        <f>'Delivery Calculation'!AB202</f>
        <v>0</v>
      </c>
      <c r="T116" s="518">
        <f>'Delivery Calculation'!AC202</f>
        <v>0</v>
      </c>
      <c r="U116" s="518">
        <f>'Delivery Calculation'!AD202</f>
        <v>0</v>
      </c>
      <c r="V116" s="518">
        <f>'Delivery Calculation'!AE202</f>
        <v>0</v>
      </c>
      <c r="W116" s="518">
        <f>'Delivery Calculation'!AF202</f>
        <v>0</v>
      </c>
      <c r="X116" s="518">
        <f>'Delivery Calculation'!AG202</f>
        <v>0</v>
      </c>
      <c r="Y116" s="518">
        <f>'Delivery Calculation'!AH202</f>
        <v>0</v>
      </c>
      <c r="Z116" s="518">
        <f>'Delivery Calculation'!AI202</f>
        <v>0</v>
      </c>
      <c r="AA116" s="518">
        <f>'Delivery Calculation'!AJ202</f>
        <v>0</v>
      </c>
      <c r="AB116" s="518">
        <f>'Delivery Calculation'!AK202</f>
        <v>0</v>
      </c>
      <c r="AC116" s="518">
        <f>'Delivery Calculation'!AL202</f>
        <v>0</v>
      </c>
      <c r="AD116" s="518">
        <f>'Delivery Calculation'!AM202</f>
        <v>0</v>
      </c>
      <c r="AE116" s="518">
        <f>'Delivery Calculation'!AN202</f>
        <v>0</v>
      </c>
      <c r="AF116" s="518">
        <f>'Delivery Calculation'!AO202</f>
        <v>0</v>
      </c>
      <c r="AG116" s="518">
        <f>'Delivery Calculation'!AP202</f>
        <v>0</v>
      </c>
      <c r="AH116" s="518">
        <f>'Delivery Calculation'!AQ202</f>
        <v>0</v>
      </c>
      <c r="AI116" s="518">
        <f>'Delivery Calculation'!AR202</f>
        <v>0</v>
      </c>
      <c r="AJ116" s="518">
        <f>'Delivery Calculation'!AS202</f>
        <v>0</v>
      </c>
      <c r="AK116" s="518">
        <f>'Delivery Calculation'!AT202</f>
        <v>0</v>
      </c>
      <c r="AL116" s="518">
        <f>'Delivery Calculation'!AU202</f>
        <v>0</v>
      </c>
      <c r="AM116" s="518">
        <f>'Delivery Calculation'!AV202</f>
        <v>0</v>
      </c>
      <c r="AN116" s="518">
        <f>'Delivery Calculation'!AW202</f>
        <v>0</v>
      </c>
      <c r="AO116" s="518">
        <f>'Delivery Calculation'!AX202</f>
        <v>0</v>
      </c>
      <c r="AP116" s="501"/>
      <c r="AQ116" s="519">
        <f>IF(COUNTIF($D$15:$AO$15, TMDPeriodValueTypeReported)&gt;0, INDEX(D116:AO116,1,COUNTIF(D$15:$AO$15,TMDPeriodValueTypeReported)),0)</f>
        <v>0</v>
      </c>
      <c r="AR116" s="519"/>
      <c r="AS116" s="520">
        <f>'Delivery Calculation'!N21</f>
        <v>0</v>
      </c>
      <c r="AT116" s="519">
        <f>AQ116*'Delivery Calculation'!N21</f>
        <v>0</v>
      </c>
      <c r="AU116" s="521" t="s">
        <v>522</v>
      </c>
      <c r="AV116" s="510"/>
      <c r="AW116" s="452"/>
    </row>
    <row r="117" spans="1:49">
      <c r="A117" s="1184"/>
      <c r="B117" s="1181"/>
      <c r="C117" s="499" t="s">
        <v>555</v>
      </c>
      <c r="D117" s="509">
        <f>IF(D$15=TMDPeriodValueTypeForecast,IF('Delivery Calculation'!$H$21=TMDAllocationTandM,0,'Delivery Calculation'!M131),IF(MDReportingPeriod=TMDMonthly,D111,IF(MDReportingPeriod=TMDTwoweekly,D110,D109)))</f>
        <v>0</v>
      </c>
      <c r="E117" s="509">
        <f>IF(E$15=TMDPeriodValueTypeForecast,IF('Delivery Calculation'!$H$21=TMDAllocationTandM,0,'Delivery Calculation'!N131),IF(MDReportingPeriod=TMDMonthly,E111,IF(MDReportingPeriod=TMDTwoweekly,E110,E109)))</f>
        <v>0</v>
      </c>
      <c r="F117" s="509">
        <f>IF(F$15=TMDPeriodValueTypeForecast,IF('Delivery Calculation'!$H$21=TMDAllocationTandM,0,'Delivery Calculation'!O131),IF(MDReportingPeriod=TMDMonthly,F111,IF(MDReportingPeriod=TMDTwoweekly,F110,F109)))</f>
        <v>0</v>
      </c>
      <c r="G117" s="509">
        <f>IF(G$15=TMDPeriodValueTypeForecast,IF('Delivery Calculation'!$H$21=TMDAllocationTandM,0,'Delivery Calculation'!P131),IF(MDReportingPeriod=TMDMonthly,G111,IF(MDReportingPeriod=TMDTwoweekly,G110,G109)))</f>
        <v>0</v>
      </c>
      <c r="H117" s="509">
        <f>IF(H$15=TMDPeriodValueTypeForecast,IF('Delivery Calculation'!$H$21=TMDAllocationTandM,0,'Delivery Calculation'!Q131),IF(MDReportingPeriod=TMDMonthly,H111,IF(MDReportingPeriod=TMDTwoweekly,H110,H109)))</f>
        <v>0</v>
      </c>
      <c r="I117" s="509">
        <f>IF(I$15=TMDPeriodValueTypeForecast,IF('Delivery Calculation'!$H$21=TMDAllocationTandM,0,'Delivery Calculation'!R131),IF(MDReportingPeriod=TMDMonthly,I111,IF(MDReportingPeriod=TMDTwoweekly,I110,I109)))</f>
        <v>0</v>
      </c>
      <c r="J117" s="509">
        <f>IF(J$15=TMDPeriodValueTypeForecast,IF('Delivery Calculation'!$H$21=TMDAllocationTandM,0,'Delivery Calculation'!S131),IF(MDReportingPeriod=TMDMonthly,J111,IF(MDReportingPeriod=TMDTwoweekly,J110,J109)))</f>
        <v>0</v>
      </c>
      <c r="K117" s="509">
        <f>IF(K$15=TMDPeriodValueTypeForecast,IF('Delivery Calculation'!$H$21=TMDAllocationTandM,0,'Delivery Calculation'!T131),IF(MDReportingPeriod=TMDMonthly,K111,IF(MDReportingPeriod=TMDTwoweekly,K110,K109)))</f>
        <v>0</v>
      </c>
      <c r="L117" s="509">
        <f>IF(L$15=TMDPeriodValueTypeForecast,IF('Delivery Calculation'!$H$21=TMDAllocationTandM,0,'Delivery Calculation'!U131),IF(MDReportingPeriod=TMDMonthly,L111,IF(MDReportingPeriod=TMDTwoweekly,L110,L109)))</f>
        <v>0</v>
      </c>
      <c r="M117" s="509">
        <f>IF(M$15=TMDPeriodValueTypeForecast,IF('Delivery Calculation'!$H$21=TMDAllocationTandM,0,'Delivery Calculation'!V131),IF(MDReportingPeriod=TMDMonthly,M111,IF(MDReportingPeriod=TMDTwoweekly,M110,M109)))</f>
        <v>0</v>
      </c>
      <c r="N117" s="509">
        <f>IF(N$15=TMDPeriodValueTypeForecast,IF('Delivery Calculation'!$H$21=TMDAllocationTandM,0,'Delivery Calculation'!W131),IF(MDReportingPeriod=TMDMonthly,N111,IF(MDReportingPeriod=TMDTwoweekly,N110,N109)))</f>
        <v>0</v>
      </c>
      <c r="O117" s="509">
        <f>IF(O$15=TMDPeriodValueTypeForecast,IF('Delivery Calculation'!$H$21=TMDAllocationTandM,0,'Delivery Calculation'!X131),IF(MDReportingPeriod=TMDMonthly,O111,IF(MDReportingPeriod=TMDTwoweekly,O110,O109)))</f>
        <v>0</v>
      </c>
      <c r="P117" s="509">
        <f>IF(P$15=TMDPeriodValueTypeForecast,IF('Delivery Calculation'!$H$21=TMDAllocationTandM,0,'Delivery Calculation'!Y131),IF(MDReportingPeriod=TMDMonthly,P111,IF(MDReportingPeriod=TMDTwoweekly,P110,P109)))</f>
        <v>0</v>
      </c>
      <c r="Q117" s="509">
        <f>IF(Q$15=TMDPeriodValueTypeForecast,IF('Delivery Calculation'!$H$21=TMDAllocationTandM,0,'Delivery Calculation'!Z131),IF(MDReportingPeriod=TMDMonthly,Q111,IF(MDReportingPeriod=TMDTwoweekly,Q110,Q109)))</f>
        <v>0</v>
      </c>
      <c r="R117" s="509">
        <f>IF(R$15=TMDPeriodValueTypeForecast,IF('Delivery Calculation'!$H$21=TMDAllocationTandM,0,'Delivery Calculation'!AA131),IF(MDReportingPeriod=TMDMonthly,R111,IF(MDReportingPeriod=TMDTwoweekly,R110,R109)))</f>
        <v>0</v>
      </c>
      <c r="S117" s="509">
        <f>IF(S$15=TMDPeriodValueTypeForecast,IF('Delivery Calculation'!$H$21=TMDAllocationTandM,0,'Delivery Calculation'!AB131),IF(MDReportingPeriod=TMDMonthly,S111,IF(MDReportingPeriod=TMDTwoweekly,S110,S109)))</f>
        <v>0</v>
      </c>
      <c r="T117" s="509">
        <f>IF(T$15=TMDPeriodValueTypeForecast,IF('Delivery Calculation'!$H$21=TMDAllocationTandM,0,'Delivery Calculation'!AC131),IF(MDReportingPeriod=TMDMonthly,T111,IF(MDReportingPeriod=TMDTwoweekly,T110,T109)))</f>
        <v>0</v>
      </c>
      <c r="U117" s="509">
        <f>IF(U$15=TMDPeriodValueTypeForecast,IF('Delivery Calculation'!$H$21=TMDAllocationTandM,0,'Delivery Calculation'!AD131),IF(MDReportingPeriod=TMDMonthly,U111,IF(MDReportingPeriod=TMDTwoweekly,U110,U109)))</f>
        <v>0</v>
      </c>
      <c r="V117" s="509">
        <f>IF(V$15=TMDPeriodValueTypeForecast,IF('Delivery Calculation'!$H$21=TMDAllocationTandM,0,'Delivery Calculation'!AE131),IF(MDReportingPeriod=TMDMonthly,V111,IF(MDReportingPeriod=TMDTwoweekly,V110,V109)))</f>
        <v>0</v>
      </c>
      <c r="W117" s="509">
        <f>IF(W$15=TMDPeriodValueTypeForecast,IF('Delivery Calculation'!$H$21=TMDAllocationTandM,0,'Delivery Calculation'!AF131),IF(MDReportingPeriod=TMDMonthly,W111,IF(MDReportingPeriod=TMDTwoweekly,W110,W109)))</f>
        <v>0</v>
      </c>
      <c r="X117" s="509">
        <f>IF(X$15=TMDPeriodValueTypeForecast,IF('Delivery Calculation'!$H$21=TMDAllocationTandM,0,'Delivery Calculation'!AG131),IF(MDReportingPeriod=TMDMonthly,X111,IF(MDReportingPeriod=TMDTwoweekly,X110,X109)))</f>
        <v>0</v>
      </c>
      <c r="Y117" s="509">
        <f>IF(Y$15=TMDPeriodValueTypeForecast,IF('Delivery Calculation'!$H$21=TMDAllocationTandM,0,'Delivery Calculation'!AH131),IF(MDReportingPeriod=TMDMonthly,Y111,IF(MDReportingPeriod=TMDTwoweekly,Y110,Y109)))</f>
        <v>0</v>
      </c>
      <c r="Z117" s="509">
        <f>IF(Z$15=TMDPeriodValueTypeForecast,IF('Delivery Calculation'!$H$21=TMDAllocationTandM,0,'Delivery Calculation'!AI131),IF(MDReportingPeriod=TMDMonthly,Z111,IF(MDReportingPeriod=TMDTwoweekly,Z110,Z109)))</f>
        <v>0</v>
      </c>
      <c r="AA117" s="509">
        <f>IF(AA$15=TMDPeriodValueTypeForecast,IF('Delivery Calculation'!$H$21=TMDAllocationTandM,0,'Delivery Calculation'!AJ131),IF(MDReportingPeriod=TMDMonthly,AA111,IF(MDReportingPeriod=TMDTwoweekly,AA110,AA109)))</f>
        <v>0</v>
      </c>
      <c r="AB117" s="509">
        <f>IF(AB$15=TMDPeriodValueTypeForecast,IF('Delivery Calculation'!$H$21=TMDAllocationTandM,0,'Delivery Calculation'!AK131),IF(MDReportingPeriod=TMDMonthly,AB111,IF(MDReportingPeriod=TMDTwoweekly,AB110,AB109)))</f>
        <v>0</v>
      </c>
      <c r="AC117" s="509">
        <f>IF(AC$15=TMDPeriodValueTypeForecast,IF('Delivery Calculation'!$H$21=TMDAllocationTandM,0,'Delivery Calculation'!AL131),IF(MDReportingPeriod=TMDMonthly,AC111,IF(MDReportingPeriod=TMDTwoweekly,AC110,AC109)))</f>
        <v>0</v>
      </c>
      <c r="AD117" s="509">
        <f>IF(AD$15=TMDPeriodValueTypeForecast,IF('Delivery Calculation'!$H$21=TMDAllocationTandM,0,'Delivery Calculation'!AM131),IF(MDReportingPeriod=TMDMonthly,AD111,IF(MDReportingPeriod=TMDTwoweekly,AD110,AD109)))</f>
        <v>0</v>
      </c>
      <c r="AE117" s="509">
        <f>IF(AE$15=TMDPeriodValueTypeForecast,IF('Delivery Calculation'!$H$21=TMDAllocationTandM,0,'Delivery Calculation'!AN131),IF(MDReportingPeriod=TMDMonthly,AE111,IF(MDReportingPeriod=TMDTwoweekly,AE110,AE109)))</f>
        <v>0</v>
      </c>
      <c r="AF117" s="509">
        <f>IF(AF$15=TMDPeriodValueTypeForecast,IF('Delivery Calculation'!$H$21=TMDAllocationTandM,0,'Delivery Calculation'!AO131),IF(MDReportingPeriod=TMDMonthly,AF111,IF(MDReportingPeriod=TMDTwoweekly,AF110,AF109)))</f>
        <v>0</v>
      </c>
      <c r="AG117" s="509">
        <f>IF(AG$15=TMDPeriodValueTypeForecast,IF('Delivery Calculation'!$H$21=TMDAllocationTandM,0,'Delivery Calculation'!AP131),IF(MDReportingPeriod=TMDMonthly,AG111,IF(MDReportingPeriod=TMDTwoweekly,AG110,AG109)))</f>
        <v>0</v>
      </c>
      <c r="AH117" s="509">
        <f>IF(AH$15=TMDPeriodValueTypeForecast,IF('Delivery Calculation'!$H$21=TMDAllocationTandM,0,'Delivery Calculation'!AQ131),IF(MDReportingPeriod=TMDMonthly,AH111,IF(MDReportingPeriod=TMDTwoweekly,AH110,AH109)))</f>
        <v>0</v>
      </c>
      <c r="AI117" s="509">
        <f>IF(AI$15=TMDPeriodValueTypeForecast,IF('Delivery Calculation'!$H$21=TMDAllocationTandM,0,'Delivery Calculation'!AR131),IF(MDReportingPeriod=TMDMonthly,AI111,IF(MDReportingPeriod=TMDTwoweekly,AI110,AI109)))</f>
        <v>0</v>
      </c>
      <c r="AJ117" s="509">
        <f>IF(AJ$15=TMDPeriodValueTypeForecast,IF('Delivery Calculation'!$H$21=TMDAllocationTandM,0,'Delivery Calculation'!AS131),IF(MDReportingPeriod=TMDMonthly,AJ111,IF(MDReportingPeriod=TMDTwoweekly,AJ110,AJ109)))</f>
        <v>0</v>
      </c>
      <c r="AK117" s="509">
        <f>IF(AK$15=TMDPeriodValueTypeForecast,IF('Delivery Calculation'!$H$21=TMDAllocationTandM,0,'Delivery Calculation'!AT131),IF(MDReportingPeriod=TMDMonthly,AK111,IF(MDReportingPeriod=TMDTwoweekly,AK110,AK109)))</f>
        <v>0</v>
      </c>
      <c r="AL117" s="509">
        <f>IF(AL$15=TMDPeriodValueTypeForecast,IF('Delivery Calculation'!$H$21=TMDAllocationTandM,0,'Delivery Calculation'!AU131),IF(MDReportingPeriod=TMDMonthly,AL111,IF(MDReportingPeriod=TMDTwoweekly,AL110,AL109)))</f>
        <v>0</v>
      </c>
      <c r="AM117" s="509">
        <f>IF(AM$15=TMDPeriodValueTypeForecast,IF('Delivery Calculation'!$H$21=TMDAllocationTandM,0,'Delivery Calculation'!AV131),IF(MDReportingPeriod=TMDMonthly,AM111,IF(MDReportingPeriod=TMDTwoweekly,AM110,AM109)))</f>
        <v>0</v>
      </c>
      <c r="AN117" s="509">
        <f>IF(AN$15=TMDPeriodValueTypeForecast,IF('Delivery Calculation'!$H$21=TMDAllocationTandM,0,'Delivery Calculation'!AW131),IF(MDReportingPeriod=TMDMonthly,AN111,IF(MDReportingPeriod=TMDTwoweekly,AN110,AN109)))</f>
        <v>0</v>
      </c>
      <c r="AO117" s="509">
        <f>IF(AO$15=TMDPeriodValueTypeForecast,IF('Delivery Calculation'!$H$21=TMDAllocationTandM,0,'Delivery Calculation'!AX131),IF(MDReportingPeriod=TMDMonthly,AO111,IF(MDReportingPeriod=TMDTwoweekly,AO110,AO109)))</f>
        <v>0</v>
      </c>
      <c r="AP117" s="501"/>
      <c r="AQ117" s="505">
        <f>SUMIF($D$15:$AO$15,TMDPeriodValueTypeReported,D117:AO117)</f>
        <v>0</v>
      </c>
      <c r="AR117" s="505">
        <f>SUMIF($D$15:$AO$15,TMDPeriodValueTypeForecast,D117:AO117)</f>
        <v>0</v>
      </c>
      <c r="AS117" s="523">
        <f>'Delivery Calculation'!J21</f>
        <v>0</v>
      </c>
      <c r="AT117" s="505">
        <f>AS117-(AQ117+AR117)</f>
        <v>0</v>
      </c>
      <c r="AU117" s="505"/>
      <c r="AV117" s="510"/>
      <c r="AW117" s="452"/>
    </row>
    <row r="118" spans="1:49">
      <c r="A118" s="1184"/>
      <c r="B118" s="1181"/>
      <c r="C118" s="499" t="s">
        <v>556</v>
      </c>
      <c r="D118" s="509">
        <f>IF(D$15=TMDPeriodValueTypeForecast,IF('Delivery Calculation'!$H$21=TMDAllocationTandM,0,'Delivery Calculation'!M95),IF(MDReportingPeriod=TMDMonthly,D114,IF(MDReportingPeriod=TMDTwoweekly,D113,D112)))</f>
        <v>0</v>
      </c>
      <c r="E118" s="509">
        <f>IF(E$15=TMDPeriodValueTypeForecast,IF('Delivery Calculation'!$H$21=TMDAllocationTandM,0,'Delivery Calculation'!N95),IF(MDReportingPeriod=TMDMonthly,E114,IF(MDReportingPeriod=TMDTwoweekly,E113,E112)))</f>
        <v>0</v>
      </c>
      <c r="F118" s="509">
        <f>IF(F$15=TMDPeriodValueTypeForecast,IF('Delivery Calculation'!$H$21=TMDAllocationTandM,0,'Delivery Calculation'!O95),IF(MDReportingPeriod=TMDMonthly,F114,IF(MDReportingPeriod=TMDTwoweekly,F113,F112)))</f>
        <v>0</v>
      </c>
      <c r="G118" s="509">
        <f>IF(G$15=TMDPeriodValueTypeForecast,IF('Delivery Calculation'!$H$21=TMDAllocationTandM,0,'Delivery Calculation'!P95),IF(MDReportingPeriod=TMDMonthly,G114,IF(MDReportingPeriod=TMDTwoweekly,G113,G112)))</f>
        <v>0</v>
      </c>
      <c r="H118" s="509">
        <f>IF(H$15=TMDPeriodValueTypeForecast,IF('Delivery Calculation'!$H$21=TMDAllocationTandM,0,'Delivery Calculation'!Q95),IF(MDReportingPeriod=TMDMonthly,H114,IF(MDReportingPeriod=TMDTwoweekly,H113,H112)))</f>
        <v>0</v>
      </c>
      <c r="I118" s="509">
        <f>IF(I$15=TMDPeriodValueTypeForecast,IF('Delivery Calculation'!$H$21=TMDAllocationTandM,0,'Delivery Calculation'!R95),IF(MDReportingPeriod=TMDMonthly,I114,IF(MDReportingPeriod=TMDTwoweekly,I113,I112)))</f>
        <v>0</v>
      </c>
      <c r="J118" s="509">
        <f>IF(J$15=TMDPeriodValueTypeForecast,IF('Delivery Calculation'!$H$21=TMDAllocationTandM,0,'Delivery Calculation'!S95),IF(MDReportingPeriod=TMDMonthly,J114,IF(MDReportingPeriod=TMDTwoweekly,J113,J112)))</f>
        <v>0</v>
      </c>
      <c r="K118" s="509">
        <f>IF(K$15=TMDPeriodValueTypeForecast,IF('Delivery Calculation'!$H$21=TMDAllocationTandM,0,'Delivery Calculation'!T95),IF(MDReportingPeriod=TMDMonthly,K114,IF(MDReportingPeriod=TMDTwoweekly,K113,K112)))</f>
        <v>0</v>
      </c>
      <c r="L118" s="509">
        <f>IF(L$15=TMDPeriodValueTypeForecast,IF('Delivery Calculation'!$H$21=TMDAllocationTandM,0,'Delivery Calculation'!U95),IF(MDReportingPeriod=TMDMonthly,L114,IF(MDReportingPeriod=TMDTwoweekly,L113,L112)))</f>
        <v>0</v>
      </c>
      <c r="M118" s="509">
        <f>IF(M$15=TMDPeriodValueTypeForecast,IF('Delivery Calculation'!$H$21=TMDAllocationTandM,0,'Delivery Calculation'!V95),IF(MDReportingPeriod=TMDMonthly,M114,IF(MDReportingPeriod=TMDTwoweekly,M113,M112)))</f>
        <v>0</v>
      </c>
      <c r="N118" s="509">
        <f>IF(N$15=TMDPeriodValueTypeForecast,IF('Delivery Calculation'!$H$21=TMDAllocationTandM,0,'Delivery Calculation'!W95),IF(MDReportingPeriod=TMDMonthly,N114,IF(MDReportingPeriod=TMDTwoweekly,N113,N112)))</f>
        <v>0</v>
      </c>
      <c r="O118" s="509">
        <f>IF(O$15=TMDPeriodValueTypeForecast,IF('Delivery Calculation'!$H$21=TMDAllocationTandM,0,'Delivery Calculation'!X95),IF(MDReportingPeriod=TMDMonthly,O114,IF(MDReportingPeriod=TMDTwoweekly,O113,O112)))</f>
        <v>0</v>
      </c>
      <c r="P118" s="509">
        <f>IF(P$15=TMDPeriodValueTypeForecast,IF('Delivery Calculation'!$H$21=TMDAllocationTandM,0,'Delivery Calculation'!Y95),IF(MDReportingPeriod=TMDMonthly,P114,IF(MDReportingPeriod=TMDTwoweekly,P113,P112)))</f>
        <v>0</v>
      </c>
      <c r="Q118" s="509">
        <f>IF(Q$15=TMDPeriodValueTypeForecast,IF('Delivery Calculation'!$H$21=TMDAllocationTandM,0,'Delivery Calculation'!Z95),IF(MDReportingPeriod=TMDMonthly,Q114,IF(MDReportingPeriod=TMDTwoweekly,Q113,Q112)))</f>
        <v>0</v>
      </c>
      <c r="R118" s="509">
        <f>IF(R$15=TMDPeriodValueTypeForecast,IF('Delivery Calculation'!$H$21=TMDAllocationTandM,0,'Delivery Calculation'!AA95),IF(MDReportingPeriod=TMDMonthly,R114,IF(MDReportingPeriod=TMDTwoweekly,R113,R112)))</f>
        <v>0</v>
      </c>
      <c r="S118" s="509">
        <f>IF(S$15=TMDPeriodValueTypeForecast,IF('Delivery Calculation'!$H$21=TMDAllocationTandM,0,'Delivery Calculation'!AB95),IF(MDReportingPeriod=TMDMonthly,S114,IF(MDReportingPeriod=TMDTwoweekly,S113,S112)))</f>
        <v>0</v>
      </c>
      <c r="T118" s="509">
        <f>IF(T$15=TMDPeriodValueTypeForecast,IF('Delivery Calculation'!$H$21=TMDAllocationTandM,0,'Delivery Calculation'!AC95),IF(MDReportingPeriod=TMDMonthly,T114,IF(MDReportingPeriod=TMDTwoweekly,T113,T112)))</f>
        <v>0</v>
      </c>
      <c r="U118" s="509">
        <f>IF(U$15=TMDPeriodValueTypeForecast,IF('Delivery Calculation'!$H$21=TMDAllocationTandM,0,'Delivery Calculation'!AD95),IF(MDReportingPeriod=TMDMonthly,U114,IF(MDReportingPeriod=TMDTwoweekly,U113,U112)))</f>
        <v>0</v>
      </c>
      <c r="V118" s="509">
        <f>IF(V$15=TMDPeriodValueTypeForecast,IF('Delivery Calculation'!$H$21=TMDAllocationTandM,0,'Delivery Calculation'!AE95),IF(MDReportingPeriod=TMDMonthly,V114,IF(MDReportingPeriod=TMDTwoweekly,V113,V112)))</f>
        <v>0</v>
      </c>
      <c r="W118" s="509">
        <f>IF(W$15=TMDPeriodValueTypeForecast,IF('Delivery Calculation'!$H$21=TMDAllocationTandM,0,'Delivery Calculation'!AF95),IF(MDReportingPeriod=TMDMonthly,W114,IF(MDReportingPeriod=TMDTwoweekly,W113,W112)))</f>
        <v>0</v>
      </c>
      <c r="X118" s="509">
        <f>IF(X$15=TMDPeriodValueTypeForecast,IF('Delivery Calculation'!$H$21=TMDAllocationTandM,0,'Delivery Calculation'!AG95),IF(MDReportingPeriod=TMDMonthly,X114,IF(MDReportingPeriod=TMDTwoweekly,X113,X112)))</f>
        <v>0</v>
      </c>
      <c r="Y118" s="509">
        <f>IF(Y$15=TMDPeriodValueTypeForecast,IF('Delivery Calculation'!$H$21=TMDAllocationTandM,0,'Delivery Calculation'!AH95),IF(MDReportingPeriod=TMDMonthly,Y114,IF(MDReportingPeriod=TMDTwoweekly,Y113,Y112)))</f>
        <v>0</v>
      </c>
      <c r="Z118" s="509">
        <f>IF(Z$15=TMDPeriodValueTypeForecast,IF('Delivery Calculation'!$H$21=TMDAllocationTandM,0,'Delivery Calculation'!AI95),IF(MDReportingPeriod=TMDMonthly,Z114,IF(MDReportingPeriod=TMDTwoweekly,Z113,Z112)))</f>
        <v>0</v>
      </c>
      <c r="AA118" s="509">
        <f>IF(AA$15=TMDPeriodValueTypeForecast,IF('Delivery Calculation'!$H$21=TMDAllocationTandM,0,'Delivery Calculation'!AJ95),IF(MDReportingPeriod=TMDMonthly,AA114,IF(MDReportingPeriod=TMDTwoweekly,AA113,AA112)))</f>
        <v>0</v>
      </c>
      <c r="AB118" s="509">
        <f>IF(AB$15=TMDPeriodValueTypeForecast,IF('Delivery Calculation'!$H$21=TMDAllocationTandM,0,'Delivery Calculation'!AK95),IF(MDReportingPeriod=TMDMonthly,AB114,IF(MDReportingPeriod=TMDTwoweekly,AB113,AB112)))</f>
        <v>0</v>
      </c>
      <c r="AC118" s="509">
        <f>IF(AC$15=TMDPeriodValueTypeForecast,IF('Delivery Calculation'!$H$21=TMDAllocationTandM,0,'Delivery Calculation'!AL95),IF(MDReportingPeriod=TMDMonthly,AC114,IF(MDReportingPeriod=TMDTwoweekly,AC113,AC112)))</f>
        <v>0</v>
      </c>
      <c r="AD118" s="509">
        <f>IF(AD$15=TMDPeriodValueTypeForecast,IF('Delivery Calculation'!$H$21=TMDAllocationTandM,0,'Delivery Calculation'!AM95),IF(MDReportingPeriod=TMDMonthly,AD114,IF(MDReportingPeriod=TMDTwoweekly,AD113,AD112)))</f>
        <v>0</v>
      </c>
      <c r="AE118" s="509">
        <f>IF(AE$15=TMDPeriodValueTypeForecast,IF('Delivery Calculation'!$H$21=TMDAllocationTandM,0,'Delivery Calculation'!AN95),IF(MDReportingPeriod=TMDMonthly,AE114,IF(MDReportingPeriod=TMDTwoweekly,AE113,AE112)))</f>
        <v>0</v>
      </c>
      <c r="AF118" s="509">
        <f>IF(AF$15=TMDPeriodValueTypeForecast,IF('Delivery Calculation'!$H$21=TMDAllocationTandM,0,'Delivery Calculation'!AO95),IF(MDReportingPeriod=TMDMonthly,AF114,IF(MDReportingPeriod=TMDTwoweekly,AF113,AF112)))</f>
        <v>0</v>
      </c>
      <c r="AG118" s="509">
        <f>IF(AG$15=TMDPeriodValueTypeForecast,IF('Delivery Calculation'!$H$21=TMDAllocationTandM,0,'Delivery Calculation'!AP95),IF(MDReportingPeriod=TMDMonthly,AG114,IF(MDReportingPeriod=TMDTwoweekly,AG113,AG112)))</f>
        <v>0</v>
      </c>
      <c r="AH118" s="509">
        <f>IF(AH$15=TMDPeriodValueTypeForecast,IF('Delivery Calculation'!$H$21=TMDAllocationTandM,0,'Delivery Calculation'!AQ95),IF(MDReportingPeriod=TMDMonthly,AH114,IF(MDReportingPeriod=TMDTwoweekly,AH113,AH112)))</f>
        <v>0</v>
      </c>
      <c r="AI118" s="509">
        <f>IF(AI$15=TMDPeriodValueTypeForecast,IF('Delivery Calculation'!$H$21=TMDAllocationTandM,0,'Delivery Calculation'!AR95),IF(MDReportingPeriod=TMDMonthly,AI114,IF(MDReportingPeriod=TMDTwoweekly,AI113,AI112)))</f>
        <v>0</v>
      </c>
      <c r="AJ118" s="509">
        <f>IF(AJ$15=TMDPeriodValueTypeForecast,IF('Delivery Calculation'!$H$21=TMDAllocationTandM,0,'Delivery Calculation'!AS95),IF(MDReportingPeriod=TMDMonthly,AJ114,IF(MDReportingPeriod=TMDTwoweekly,AJ113,AJ112)))</f>
        <v>0</v>
      </c>
      <c r="AK118" s="509">
        <f>IF(AK$15=TMDPeriodValueTypeForecast,IF('Delivery Calculation'!$H$21=TMDAllocationTandM,0,'Delivery Calculation'!AT95),IF(MDReportingPeriod=TMDMonthly,AK114,IF(MDReportingPeriod=TMDTwoweekly,AK113,AK112)))</f>
        <v>0</v>
      </c>
      <c r="AL118" s="509">
        <f>IF(AL$15=TMDPeriodValueTypeForecast,IF('Delivery Calculation'!$H$21=TMDAllocationTandM,0,'Delivery Calculation'!AU95),IF(MDReportingPeriod=TMDMonthly,AL114,IF(MDReportingPeriod=TMDTwoweekly,AL113,AL112)))</f>
        <v>0</v>
      </c>
      <c r="AM118" s="509">
        <f>IF(AM$15=TMDPeriodValueTypeForecast,IF('Delivery Calculation'!$H$21=TMDAllocationTandM,0,'Delivery Calculation'!AV95),IF(MDReportingPeriod=TMDMonthly,AM114,IF(MDReportingPeriod=TMDTwoweekly,AM113,AM112)))</f>
        <v>0</v>
      </c>
      <c r="AN118" s="509">
        <f>IF(AN$15=TMDPeriodValueTypeForecast,IF('Delivery Calculation'!$H$21=TMDAllocationTandM,0,'Delivery Calculation'!AW95),IF(MDReportingPeriod=TMDMonthly,AN114,IF(MDReportingPeriod=TMDTwoweekly,AN113,AN112)))</f>
        <v>0</v>
      </c>
      <c r="AO118" s="509">
        <f>IF(AO$15=TMDPeriodValueTypeForecast,IF('Delivery Calculation'!$H$21=TMDAllocationTandM,0,'Delivery Calculation'!AX95),IF(MDReportingPeriod=TMDMonthly,AO114,IF(MDReportingPeriod=TMDTwoweekly,AO113,AO112)))</f>
        <v>0</v>
      </c>
      <c r="AP118" s="501"/>
      <c r="AQ118" s="505">
        <f>SUMIF($D$15:$AO$15,TMDPeriodValueTypeReported,D118:AO118)</f>
        <v>0</v>
      </c>
      <c r="AR118" s="505">
        <f>SUMIF($D$15:$AO$15,TMDPeriodValueTypeForecast,D118:AO118)</f>
        <v>0</v>
      </c>
      <c r="AS118" s="523">
        <f>'Delivery Calculation'!I21</f>
        <v>0</v>
      </c>
      <c r="AT118" s="505">
        <f>AS118-(AQ118+AR118)</f>
        <v>0</v>
      </c>
      <c r="AU118" s="505"/>
      <c r="AV118" s="510"/>
      <c r="AW118" s="452"/>
    </row>
    <row r="119" spans="1:49">
      <c r="A119" s="1185"/>
      <c r="B119" s="1182"/>
      <c r="C119" s="499" t="s">
        <v>557</v>
      </c>
      <c r="D119" s="509"/>
      <c r="E119" s="509"/>
      <c r="F119" s="509"/>
      <c r="G119" s="509"/>
      <c r="H119" s="509"/>
      <c r="I119" s="509"/>
      <c r="J119" s="509"/>
      <c r="K119" s="509"/>
      <c r="L119" s="509"/>
      <c r="M119" s="509"/>
      <c r="N119" s="509"/>
      <c r="O119" s="509"/>
      <c r="P119" s="509"/>
      <c r="Q119" s="509"/>
      <c r="R119" s="509"/>
      <c r="S119" s="509"/>
      <c r="T119" s="509"/>
      <c r="U119" s="509"/>
      <c r="V119" s="509"/>
      <c r="W119" s="509"/>
      <c r="X119" s="509"/>
      <c r="Y119" s="509"/>
      <c r="Z119" s="509"/>
      <c r="AA119" s="509"/>
      <c r="AB119" s="509"/>
      <c r="AC119" s="509"/>
      <c r="AD119" s="509"/>
      <c r="AE119" s="509"/>
      <c r="AF119" s="509"/>
      <c r="AG119" s="509"/>
      <c r="AH119" s="509"/>
      <c r="AI119" s="509"/>
      <c r="AJ119" s="509"/>
      <c r="AK119" s="509"/>
      <c r="AL119" s="509"/>
      <c r="AM119" s="509"/>
      <c r="AN119" s="509"/>
      <c r="AO119" s="509"/>
      <c r="AP119" s="501"/>
      <c r="AQ119" s="505">
        <f>SUMIF($D$15:$AO$15,TMDPeriodValueTypeReported,D119:AO119)</f>
        <v>0</v>
      </c>
      <c r="AR119" s="505">
        <f>SUMIF($D$15:$AO$15,TMDPeriodValueTypeForecast,D119:AO119)</f>
        <v>0</v>
      </c>
      <c r="AS119" s="505"/>
      <c r="AT119" s="505">
        <f>AQ119+AR119</f>
        <v>0</v>
      </c>
      <c r="AU119" s="505"/>
      <c r="AV119" s="510"/>
      <c r="AW119" s="452"/>
    </row>
    <row r="120" spans="1:49" hidden="1">
      <c r="A120" s="143"/>
      <c r="B120" s="483"/>
      <c r="C120" s="496" t="s">
        <v>1339</v>
      </c>
      <c r="D120" s="516">
        <f t="shared" ref="D120:AO120" si="54">IF(ISERR(GETPIVOTDATA("[Measures].[Hours]",TRIMARANweekly,"[Order].[Position Number]","[Order].[Position Number].&amp;[" &amp; $B127 &amp; "]","[Period].[Week]","[Period].[Week].&amp;[" &amp; YEAR(D$14-7) &amp; TEXT(WEEKNUM(D$14-7),"00") &amp; "]")),0,GETPIVOTDATA("[Measures].[Hours]",TRIMARANweekly,"[Order].[Position Number]","[Order].[Position Number].&amp;[" &amp; $B127 &amp; "]","[Period].[Week]","[Period].[Week].&amp;[" &amp; YEAR(D$14-7) &amp; TEXT(WEEKNUM(D$14-7),"00") &amp; "]"))</f>
        <v>0</v>
      </c>
      <c r="E120" s="516">
        <f t="shared" si="54"/>
        <v>0</v>
      </c>
      <c r="F120" s="516">
        <f t="shared" si="54"/>
        <v>0</v>
      </c>
      <c r="G120" s="516">
        <f t="shared" si="54"/>
        <v>0</v>
      </c>
      <c r="H120" s="516">
        <f t="shared" si="54"/>
        <v>0</v>
      </c>
      <c r="I120" s="516">
        <f t="shared" si="54"/>
        <v>0</v>
      </c>
      <c r="J120" s="516">
        <f t="shared" si="54"/>
        <v>0</v>
      </c>
      <c r="K120" s="516">
        <f t="shared" si="54"/>
        <v>0</v>
      </c>
      <c r="L120" s="516">
        <f t="shared" si="54"/>
        <v>0</v>
      </c>
      <c r="M120" s="516">
        <f t="shared" si="54"/>
        <v>0</v>
      </c>
      <c r="N120" s="516">
        <f t="shared" si="54"/>
        <v>0</v>
      </c>
      <c r="O120" s="516">
        <f t="shared" si="54"/>
        <v>0</v>
      </c>
      <c r="P120" s="516">
        <f t="shared" si="54"/>
        <v>0</v>
      </c>
      <c r="Q120" s="516">
        <f t="shared" si="54"/>
        <v>0</v>
      </c>
      <c r="R120" s="516">
        <f t="shared" si="54"/>
        <v>0</v>
      </c>
      <c r="S120" s="516">
        <f t="shared" si="54"/>
        <v>0</v>
      </c>
      <c r="T120" s="516">
        <f t="shared" si="54"/>
        <v>0</v>
      </c>
      <c r="U120" s="516">
        <f t="shared" si="54"/>
        <v>0</v>
      </c>
      <c r="V120" s="516">
        <f t="shared" si="54"/>
        <v>0</v>
      </c>
      <c r="W120" s="516">
        <f t="shared" si="54"/>
        <v>0</v>
      </c>
      <c r="X120" s="516">
        <f t="shared" si="54"/>
        <v>0</v>
      </c>
      <c r="Y120" s="516">
        <f t="shared" si="54"/>
        <v>0</v>
      </c>
      <c r="Z120" s="516">
        <f t="shared" si="54"/>
        <v>0</v>
      </c>
      <c r="AA120" s="516">
        <f t="shared" si="54"/>
        <v>0</v>
      </c>
      <c r="AB120" s="516">
        <f t="shared" si="54"/>
        <v>0</v>
      </c>
      <c r="AC120" s="516">
        <f t="shared" si="54"/>
        <v>0</v>
      </c>
      <c r="AD120" s="516">
        <f t="shared" si="54"/>
        <v>0</v>
      </c>
      <c r="AE120" s="516">
        <f t="shared" si="54"/>
        <v>0</v>
      </c>
      <c r="AF120" s="516">
        <f t="shared" si="54"/>
        <v>0</v>
      </c>
      <c r="AG120" s="516">
        <f t="shared" si="54"/>
        <v>0</v>
      </c>
      <c r="AH120" s="516">
        <f t="shared" si="54"/>
        <v>0</v>
      </c>
      <c r="AI120" s="516">
        <f t="shared" si="54"/>
        <v>0</v>
      </c>
      <c r="AJ120" s="516">
        <f t="shared" si="54"/>
        <v>0</v>
      </c>
      <c r="AK120" s="516">
        <f t="shared" si="54"/>
        <v>0</v>
      </c>
      <c r="AL120" s="516">
        <f t="shared" si="54"/>
        <v>0</v>
      </c>
      <c r="AM120" s="516">
        <f t="shared" si="54"/>
        <v>0</v>
      </c>
      <c r="AN120" s="516">
        <f t="shared" si="54"/>
        <v>0</v>
      </c>
      <c r="AO120" s="516">
        <f t="shared" si="54"/>
        <v>0</v>
      </c>
      <c r="AP120" s="501"/>
      <c r="AQ120" s="505"/>
      <c r="AR120" s="505"/>
      <c r="AS120" s="505"/>
      <c r="AT120" s="505"/>
      <c r="AU120" s="505"/>
      <c r="AV120" s="510"/>
      <c r="AW120" s="452"/>
    </row>
    <row r="121" spans="1:49" hidden="1">
      <c r="A121" s="143"/>
      <c r="B121" s="483"/>
      <c r="C121" s="496" t="s">
        <v>1340</v>
      </c>
      <c r="D121" s="516">
        <f t="shared" ref="D121:AO121" si="55">IF(ISERR(GETPIVOTDATA("[Measures].[Hours]",TRIMARANweekly,"[Order].[Position Number]","[Order].[Position Number].&amp;[" &amp; $B127 &amp; "]","[Period].[Week]","[Period].[Week].&amp;[" &amp; YEAR(D$14-14) &amp; TEXT(WEEKNUM(D$14-14),"00") &amp; "]")),0,GETPIVOTDATA("[Measures].[Hours]",TRIMARANweekly,"[Order].[Position Number]","[Order].[Position Number].&amp;[" &amp; $B127 &amp; "]","[Period].[Week]","[Period].[Week].&amp;[" &amp; YEAR(D$14-14) &amp; TEXT(WEEKNUM(D$14-14),"00") &amp; "]"))+D120</f>
        <v>0</v>
      </c>
      <c r="E121" s="516">
        <f t="shared" si="55"/>
        <v>0</v>
      </c>
      <c r="F121" s="516">
        <f t="shared" si="55"/>
        <v>0</v>
      </c>
      <c r="G121" s="516">
        <f t="shared" si="55"/>
        <v>0</v>
      </c>
      <c r="H121" s="516">
        <f t="shared" si="55"/>
        <v>0</v>
      </c>
      <c r="I121" s="516">
        <f t="shared" si="55"/>
        <v>0</v>
      </c>
      <c r="J121" s="516">
        <f t="shared" si="55"/>
        <v>0</v>
      </c>
      <c r="K121" s="516">
        <f t="shared" si="55"/>
        <v>0</v>
      </c>
      <c r="L121" s="516">
        <f t="shared" si="55"/>
        <v>0</v>
      </c>
      <c r="M121" s="516">
        <f t="shared" si="55"/>
        <v>0</v>
      </c>
      <c r="N121" s="516">
        <f t="shared" si="55"/>
        <v>0</v>
      </c>
      <c r="O121" s="516">
        <f t="shared" si="55"/>
        <v>0</v>
      </c>
      <c r="P121" s="516">
        <f t="shared" si="55"/>
        <v>0</v>
      </c>
      <c r="Q121" s="516">
        <f t="shared" si="55"/>
        <v>0</v>
      </c>
      <c r="R121" s="516">
        <f t="shared" si="55"/>
        <v>0</v>
      </c>
      <c r="S121" s="516">
        <f t="shared" si="55"/>
        <v>0</v>
      </c>
      <c r="T121" s="516">
        <f t="shared" si="55"/>
        <v>0</v>
      </c>
      <c r="U121" s="516">
        <f t="shared" si="55"/>
        <v>0</v>
      </c>
      <c r="V121" s="516">
        <f t="shared" si="55"/>
        <v>0</v>
      </c>
      <c r="W121" s="516">
        <f t="shared" si="55"/>
        <v>0</v>
      </c>
      <c r="X121" s="516">
        <f t="shared" si="55"/>
        <v>0</v>
      </c>
      <c r="Y121" s="516">
        <f t="shared" si="55"/>
        <v>0</v>
      </c>
      <c r="Z121" s="516">
        <f t="shared" si="55"/>
        <v>0</v>
      </c>
      <c r="AA121" s="516">
        <f t="shared" si="55"/>
        <v>0</v>
      </c>
      <c r="AB121" s="516">
        <f t="shared" si="55"/>
        <v>0</v>
      </c>
      <c r="AC121" s="516">
        <f t="shared" si="55"/>
        <v>0</v>
      </c>
      <c r="AD121" s="516">
        <f t="shared" si="55"/>
        <v>0</v>
      </c>
      <c r="AE121" s="516">
        <f t="shared" si="55"/>
        <v>0</v>
      </c>
      <c r="AF121" s="516">
        <f t="shared" si="55"/>
        <v>0</v>
      </c>
      <c r="AG121" s="516">
        <f t="shared" si="55"/>
        <v>0</v>
      </c>
      <c r="AH121" s="516">
        <f t="shared" si="55"/>
        <v>0</v>
      </c>
      <c r="AI121" s="516">
        <f t="shared" si="55"/>
        <v>0</v>
      </c>
      <c r="AJ121" s="516">
        <f t="shared" si="55"/>
        <v>0</v>
      </c>
      <c r="AK121" s="516">
        <f t="shared" si="55"/>
        <v>0</v>
      </c>
      <c r="AL121" s="516">
        <f t="shared" si="55"/>
        <v>0</v>
      </c>
      <c r="AM121" s="516">
        <f t="shared" si="55"/>
        <v>0</v>
      </c>
      <c r="AN121" s="516">
        <f t="shared" si="55"/>
        <v>0</v>
      </c>
      <c r="AO121" s="516">
        <f t="shared" si="55"/>
        <v>0</v>
      </c>
      <c r="AP121" s="501"/>
      <c r="AQ121" s="505"/>
      <c r="AR121" s="505"/>
      <c r="AS121" s="505"/>
      <c r="AT121" s="505"/>
      <c r="AU121" s="505"/>
      <c r="AV121" s="510"/>
      <c r="AW121" s="452"/>
    </row>
    <row r="122" spans="1:49" hidden="1">
      <c r="A122" s="143"/>
      <c r="B122" s="483"/>
      <c r="C122" s="496" t="s">
        <v>1341</v>
      </c>
      <c r="D122" s="516">
        <f t="shared" ref="D122:AO122" si="56">IF(ISERR(GETPIVOTDATA("[Measures].[Hours]",TRIMARANmonthly,"[Period].[Month]","[Period].[Month].&amp;["&amp;IF(MONTH(D$14)=1,YEAR(D$14)-1&amp;TEXT(12,"00"),YEAR(D$14)&amp;TEXT(MONTH(D$14)-1,"00"))&amp;"]","[Order].[Position Number]","[Order].[Position Number].&amp;["&amp;$B127&amp;"]")),0,GETPIVOTDATA("[Measures].[Hours]",TRIMARANmonthly,"[Period].[Month]","[Period].[Month].&amp;["&amp;IF(MONTH(D$14)=1,YEAR(D$14)-1&amp;TEXT(12,"00"),YEAR(D$14)&amp;TEXT(MONTH(D$14)-1,"00"))&amp;"]","[Order].[Position Number]","[Order].[Position Number].&amp;["&amp;$B127&amp;"]"))</f>
        <v>0</v>
      </c>
      <c r="E122" s="516">
        <f t="shared" si="56"/>
        <v>0</v>
      </c>
      <c r="F122" s="516">
        <f t="shared" si="56"/>
        <v>0</v>
      </c>
      <c r="G122" s="516">
        <f t="shared" si="56"/>
        <v>0</v>
      </c>
      <c r="H122" s="516">
        <f t="shared" si="56"/>
        <v>0</v>
      </c>
      <c r="I122" s="516">
        <f t="shared" si="56"/>
        <v>0</v>
      </c>
      <c r="J122" s="516">
        <f t="shared" si="56"/>
        <v>0</v>
      </c>
      <c r="K122" s="516">
        <f t="shared" si="56"/>
        <v>0</v>
      </c>
      <c r="L122" s="516">
        <f t="shared" si="56"/>
        <v>0</v>
      </c>
      <c r="M122" s="516">
        <f t="shared" si="56"/>
        <v>0</v>
      </c>
      <c r="N122" s="516">
        <f t="shared" si="56"/>
        <v>0</v>
      </c>
      <c r="O122" s="516">
        <f t="shared" si="56"/>
        <v>0</v>
      </c>
      <c r="P122" s="516">
        <f t="shared" si="56"/>
        <v>0</v>
      </c>
      <c r="Q122" s="516">
        <f t="shared" si="56"/>
        <v>0</v>
      </c>
      <c r="R122" s="516">
        <f t="shared" si="56"/>
        <v>0</v>
      </c>
      <c r="S122" s="516">
        <f t="shared" si="56"/>
        <v>0</v>
      </c>
      <c r="T122" s="516">
        <f t="shared" si="56"/>
        <v>0</v>
      </c>
      <c r="U122" s="516">
        <f t="shared" si="56"/>
        <v>0</v>
      </c>
      <c r="V122" s="516">
        <f t="shared" si="56"/>
        <v>0</v>
      </c>
      <c r="W122" s="516">
        <f t="shared" si="56"/>
        <v>0</v>
      </c>
      <c r="X122" s="516">
        <f t="shared" si="56"/>
        <v>0</v>
      </c>
      <c r="Y122" s="516">
        <f t="shared" si="56"/>
        <v>0</v>
      </c>
      <c r="Z122" s="516">
        <f t="shared" si="56"/>
        <v>0</v>
      </c>
      <c r="AA122" s="516">
        <f t="shared" si="56"/>
        <v>0</v>
      </c>
      <c r="AB122" s="516">
        <f t="shared" si="56"/>
        <v>0</v>
      </c>
      <c r="AC122" s="516">
        <f t="shared" si="56"/>
        <v>0</v>
      </c>
      <c r="AD122" s="516">
        <f t="shared" si="56"/>
        <v>0</v>
      </c>
      <c r="AE122" s="516">
        <f t="shared" si="56"/>
        <v>0</v>
      </c>
      <c r="AF122" s="516">
        <f t="shared" si="56"/>
        <v>0</v>
      </c>
      <c r="AG122" s="516">
        <f t="shared" si="56"/>
        <v>0</v>
      </c>
      <c r="AH122" s="516">
        <f t="shared" si="56"/>
        <v>0</v>
      </c>
      <c r="AI122" s="516">
        <f t="shared" si="56"/>
        <v>0</v>
      </c>
      <c r="AJ122" s="516">
        <f t="shared" si="56"/>
        <v>0</v>
      </c>
      <c r="AK122" s="516">
        <f t="shared" si="56"/>
        <v>0</v>
      </c>
      <c r="AL122" s="516">
        <f t="shared" si="56"/>
        <v>0</v>
      </c>
      <c r="AM122" s="516">
        <f t="shared" si="56"/>
        <v>0</v>
      </c>
      <c r="AN122" s="516">
        <f t="shared" si="56"/>
        <v>0</v>
      </c>
      <c r="AO122" s="516">
        <f t="shared" si="56"/>
        <v>0</v>
      </c>
      <c r="AP122" s="501"/>
      <c r="AQ122" s="505"/>
      <c r="AR122" s="505"/>
      <c r="AS122" s="505"/>
      <c r="AT122" s="505"/>
      <c r="AU122" s="505"/>
      <c r="AV122" s="510"/>
      <c r="AW122" s="452"/>
    </row>
    <row r="123" spans="1:49" hidden="1">
      <c r="A123" s="143"/>
      <c r="B123" s="483"/>
      <c r="C123" s="496" t="s">
        <v>1339</v>
      </c>
      <c r="D123" s="516">
        <f t="shared" ref="D123:AO123" si="57">IF(ISERR(GETPIVOTDATA("[Measures].[" &amp; MDContractCurrency &amp; "]",TRIMARANweekly,"[Order].[Position Number]","[Order].[Position Number].&amp;[" &amp; $B127 &amp; "]","[Period].[Week]","[Period].[Week].&amp;[" &amp; YEAR(D$14-7) &amp; TEXT(WEEKNUM(D$14-7),"00") &amp; "]")),0,GETPIVOTDATA("[Measures].[" &amp; MDContractCurrency &amp; "]",TRIMARANweekly,"[Order].[Position Number]","[Order].[Position Number].&amp;[" &amp; $B127 &amp; "]","[Period].[Week]","[Period].[Week].&amp;[" &amp; YEAR(D$14-7) &amp; TEXT(WEEKNUM(D$14-7),"00") &amp; "]"))</f>
        <v>0</v>
      </c>
      <c r="E123" s="516">
        <f t="shared" si="57"/>
        <v>0</v>
      </c>
      <c r="F123" s="516">
        <f t="shared" si="57"/>
        <v>0</v>
      </c>
      <c r="G123" s="516">
        <f t="shared" si="57"/>
        <v>0</v>
      </c>
      <c r="H123" s="516">
        <f t="shared" si="57"/>
        <v>0</v>
      </c>
      <c r="I123" s="516">
        <f t="shared" si="57"/>
        <v>0</v>
      </c>
      <c r="J123" s="516">
        <f t="shared" si="57"/>
        <v>0</v>
      </c>
      <c r="K123" s="516">
        <f t="shared" si="57"/>
        <v>0</v>
      </c>
      <c r="L123" s="516">
        <f t="shared" si="57"/>
        <v>0</v>
      </c>
      <c r="M123" s="516">
        <f t="shared" si="57"/>
        <v>0</v>
      </c>
      <c r="N123" s="516">
        <f t="shared" si="57"/>
        <v>0</v>
      </c>
      <c r="O123" s="516">
        <f t="shared" si="57"/>
        <v>0</v>
      </c>
      <c r="P123" s="516">
        <f t="shared" si="57"/>
        <v>0</v>
      </c>
      <c r="Q123" s="516">
        <f t="shared" si="57"/>
        <v>0</v>
      </c>
      <c r="R123" s="516">
        <f t="shared" si="57"/>
        <v>0</v>
      </c>
      <c r="S123" s="516">
        <f t="shared" si="57"/>
        <v>0</v>
      </c>
      <c r="T123" s="516">
        <f t="shared" si="57"/>
        <v>0</v>
      </c>
      <c r="U123" s="516">
        <f t="shared" si="57"/>
        <v>0</v>
      </c>
      <c r="V123" s="516">
        <f t="shared" si="57"/>
        <v>0</v>
      </c>
      <c r="W123" s="516">
        <f t="shared" si="57"/>
        <v>0</v>
      </c>
      <c r="X123" s="516">
        <f t="shared" si="57"/>
        <v>0</v>
      </c>
      <c r="Y123" s="516">
        <f t="shared" si="57"/>
        <v>0</v>
      </c>
      <c r="Z123" s="516">
        <f t="shared" si="57"/>
        <v>0</v>
      </c>
      <c r="AA123" s="516">
        <f t="shared" si="57"/>
        <v>0</v>
      </c>
      <c r="AB123" s="516">
        <f t="shared" si="57"/>
        <v>0</v>
      </c>
      <c r="AC123" s="516">
        <f t="shared" si="57"/>
        <v>0</v>
      </c>
      <c r="AD123" s="516">
        <f t="shared" si="57"/>
        <v>0</v>
      </c>
      <c r="AE123" s="516">
        <f t="shared" si="57"/>
        <v>0</v>
      </c>
      <c r="AF123" s="516">
        <f t="shared" si="57"/>
        <v>0</v>
      </c>
      <c r="AG123" s="516">
        <f t="shared" si="57"/>
        <v>0</v>
      </c>
      <c r="AH123" s="516">
        <f t="shared" si="57"/>
        <v>0</v>
      </c>
      <c r="AI123" s="516">
        <f t="shared" si="57"/>
        <v>0</v>
      </c>
      <c r="AJ123" s="516">
        <f t="shared" si="57"/>
        <v>0</v>
      </c>
      <c r="AK123" s="516">
        <f t="shared" si="57"/>
        <v>0</v>
      </c>
      <c r="AL123" s="516">
        <f t="shared" si="57"/>
        <v>0</v>
      </c>
      <c r="AM123" s="516">
        <f t="shared" si="57"/>
        <v>0</v>
      </c>
      <c r="AN123" s="516">
        <f t="shared" si="57"/>
        <v>0</v>
      </c>
      <c r="AO123" s="516">
        <f t="shared" si="57"/>
        <v>0</v>
      </c>
      <c r="AP123" s="501"/>
      <c r="AQ123" s="505"/>
      <c r="AR123" s="505"/>
      <c r="AS123" s="505"/>
      <c r="AT123" s="505"/>
      <c r="AU123" s="505"/>
      <c r="AV123" s="510"/>
      <c r="AW123" s="452"/>
    </row>
    <row r="124" spans="1:49" hidden="1">
      <c r="A124" s="143"/>
      <c r="B124" s="483"/>
      <c r="C124" s="496" t="s">
        <v>1340</v>
      </c>
      <c r="D124" s="516">
        <f t="shared" ref="D124:AO124" si="58">IF(ISERR(GETPIVOTDATA("[Measures].[" &amp; MDContractCurrency &amp; "]",TRIMARANweekly,"[Order].[Position Number]","[Order].[Position Number].&amp;[" &amp; $B127 &amp; "]","[Period].[Week]","[Period].[Week].&amp;[" &amp; YEAR(D$14-14) &amp; TEXT(WEEKNUM(D$14-14),"00") &amp; "]")),0,GETPIVOTDATA("[Measures].[" &amp; MDContractCurrency &amp; "]",TRIMARANweekly,"[Order].[Position Number]","[Order].[Position Number].&amp;[" &amp; $B127 &amp; "]","[Period].[Week]","[Period].[Week].&amp;[" &amp; YEAR(D$14-14) &amp; TEXT(WEEKNUM(D$14-14),"00") &amp; "]"))+D123</f>
        <v>0</v>
      </c>
      <c r="E124" s="516">
        <f t="shared" si="58"/>
        <v>0</v>
      </c>
      <c r="F124" s="516">
        <f t="shared" si="58"/>
        <v>0</v>
      </c>
      <c r="G124" s="516">
        <f t="shared" si="58"/>
        <v>0</v>
      </c>
      <c r="H124" s="516">
        <f t="shared" si="58"/>
        <v>0</v>
      </c>
      <c r="I124" s="516">
        <f t="shared" si="58"/>
        <v>0</v>
      </c>
      <c r="J124" s="516">
        <f t="shared" si="58"/>
        <v>0</v>
      </c>
      <c r="K124" s="516">
        <f t="shared" si="58"/>
        <v>0</v>
      </c>
      <c r="L124" s="516">
        <f t="shared" si="58"/>
        <v>0</v>
      </c>
      <c r="M124" s="516">
        <f t="shared" si="58"/>
        <v>0</v>
      </c>
      <c r="N124" s="516">
        <f t="shared" si="58"/>
        <v>0</v>
      </c>
      <c r="O124" s="516">
        <f t="shared" si="58"/>
        <v>0</v>
      </c>
      <c r="P124" s="516">
        <f t="shared" si="58"/>
        <v>0</v>
      </c>
      <c r="Q124" s="516">
        <f t="shared" si="58"/>
        <v>0</v>
      </c>
      <c r="R124" s="516">
        <f t="shared" si="58"/>
        <v>0</v>
      </c>
      <c r="S124" s="516">
        <f t="shared" si="58"/>
        <v>0</v>
      </c>
      <c r="T124" s="516">
        <f t="shared" si="58"/>
        <v>0</v>
      </c>
      <c r="U124" s="516">
        <f t="shared" si="58"/>
        <v>0</v>
      </c>
      <c r="V124" s="516">
        <f t="shared" si="58"/>
        <v>0</v>
      </c>
      <c r="W124" s="516">
        <f t="shared" si="58"/>
        <v>0</v>
      </c>
      <c r="X124" s="516">
        <f t="shared" si="58"/>
        <v>0</v>
      </c>
      <c r="Y124" s="516">
        <f t="shared" si="58"/>
        <v>0</v>
      </c>
      <c r="Z124" s="516">
        <f t="shared" si="58"/>
        <v>0</v>
      </c>
      <c r="AA124" s="516">
        <f t="shared" si="58"/>
        <v>0</v>
      </c>
      <c r="AB124" s="516">
        <f t="shared" si="58"/>
        <v>0</v>
      </c>
      <c r="AC124" s="516">
        <f t="shared" si="58"/>
        <v>0</v>
      </c>
      <c r="AD124" s="516">
        <f t="shared" si="58"/>
        <v>0</v>
      </c>
      <c r="AE124" s="516">
        <f t="shared" si="58"/>
        <v>0</v>
      </c>
      <c r="AF124" s="516">
        <f t="shared" si="58"/>
        <v>0</v>
      </c>
      <c r="AG124" s="516">
        <f t="shared" si="58"/>
        <v>0</v>
      </c>
      <c r="AH124" s="516">
        <f t="shared" si="58"/>
        <v>0</v>
      </c>
      <c r="AI124" s="516">
        <f t="shared" si="58"/>
        <v>0</v>
      </c>
      <c r="AJ124" s="516">
        <f t="shared" si="58"/>
        <v>0</v>
      </c>
      <c r="AK124" s="516">
        <f t="shared" si="58"/>
        <v>0</v>
      </c>
      <c r="AL124" s="516">
        <f t="shared" si="58"/>
        <v>0</v>
      </c>
      <c r="AM124" s="516">
        <f t="shared" si="58"/>
        <v>0</v>
      </c>
      <c r="AN124" s="516">
        <f t="shared" si="58"/>
        <v>0</v>
      </c>
      <c r="AO124" s="516">
        <f t="shared" si="58"/>
        <v>0</v>
      </c>
      <c r="AP124" s="501"/>
      <c r="AQ124" s="505"/>
      <c r="AR124" s="505"/>
      <c r="AS124" s="505"/>
      <c r="AT124" s="505"/>
      <c r="AU124" s="505"/>
      <c r="AV124" s="510"/>
      <c r="AW124" s="452"/>
    </row>
    <row r="125" spans="1:49" hidden="1">
      <c r="A125" s="141"/>
      <c r="B125" s="517"/>
      <c r="C125" s="496" t="s">
        <v>1341</v>
      </c>
      <c r="D125" s="516">
        <f t="shared" ref="D125:AO125" si="59">IF(ISERR(GETPIVOTDATA("[Measures].[" &amp; MDContractCurrency &amp; "]",TRIMARANmonthly,"[Period].[Month]","[Period].[Month].&amp;["&amp;IF(MONTH(D$14)=1,YEAR(D$14)-1&amp;TEXT(12,"00"),YEAR(D$14)&amp;TEXT(MONTH(D$14)-1,"00"))&amp;"]","[Order].[Position Number]","[Order].[Position Number].&amp;["&amp;$B127&amp;"]")),0,GETPIVOTDATA("[Measures].[" &amp; MDContractCurrency &amp; "]",TRIMARANmonthly,"[Period].[Month]","[Period].[Month].&amp;["&amp;IF(MONTH(D$14)=1,YEAR(D$14)-1&amp;TEXT(12,"00"),YEAR(D$14)&amp;TEXT(MONTH(D$14)-1,"00"))&amp;"]","[Order].[Position Number]","[Order].[Position Number].&amp;["&amp;$B127&amp;"]"))</f>
        <v>0</v>
      </c>
      <c r="E125" s="516">
        <f t="shared" si="59"/>
        <v>0</v>
      </c>
      <c r="F125" s="516">
        <f t="shared" si="59"/>
        <v>0</v>
      </c>
      <c r="G125" s="516">
        <f t="shared" si="59"/>
        <v>0</v>
      </c>
      <c r="H125" s="516">
        <f t="shared" si="59"/>
        <v>0</v>
      </c>
      <c r="I125" s="516">
        <f t="shared" si="59"/>
        <v>0</v>
      </c>
      <c r="J125" s="516">
        <f t="shared" si="59"/>
        <v>0</v>
      </c>
      <c r="K125" s="516">
        <f t="shared" si="59"/>
        <v>0</v>
      </c>
      <c r="L125" s="516">
        <f t="shared" si="59"/>
        <v>0</v>
      </c>
      <c r="M125" s="516">
        <f t="shared" si="59"/>
        <v>0</v>
      </c>
      <c r="N125" s="516">
        <f t="shared" si="59"/>
        <v>0</v>
      </c>
      <c r="O125" s="516">
        <f t="shared" si="59"/>
        <v>0</v>
      </c>
      <c r="P125" s="516">
        <f t="shared" si="59"/>
        <v>0</v>
      </c>
      <c r="Q125" s="516">
        <f t="shared" si="59"/>
        <v>0</v>
      </c>
      <c r="R125" s="516">
        <f t="shared" si="59"/>
        <v>0</v>
      </c>
      <c r="S125" s="516">
        <f t="shared" si="59"/>
        <v>0</v>
      </c>
      <c r="T125" s="516">
        <f t="shared" si="59"/>
        <v>0</v>
      </c>
      <c r="U125" s="516">
        <f t="shared" si="59"/>
        <v>0</v>
      </c>
      <c r="V125" s="516">
        <f t="shared" si="59"/>
        <v>0</v>
      </c>
      <c r="W125" s="516">
        <f t="shared" si="59"/>
        <v>0</v>
      </c>
      <c r="X125" s="516">
        <f t="shared" si="59"/>
        <v>0</v>
      </c>
      <c r="Y125" s="516">
        <f t="shared" si="59"/>
        <v>0</v>
      </c>
      <c r="Z125" s="516">
        <f t="shared" si="59"/>
        <v>0</v>
      </c>
      <c r="AA125" s="516">
        <f t="shared" si="59"/>
        <v>0</v>
      </c>
      <c r="AB125" s="516">
        <f t="shared" si="59"/>
        <v>0</v>
      </c>
      <c r="AC125" s="516">
        <f t="shared" si="59"/>
        <v>0</v>
      </c>
      <c r="AD125" s="516">
        <f t="shared" si="59"/>
        <v>0</v>
      </c>
      <c r="AE125" s="516">
        <f t="shared" si="59"/>
        <v>0</v>
      </c>
      <c r="AF125" s="516">
        <f t="shared" si="59"/>
        <v>0</v>
      </c>
      <c r="AG125" s="516">
        <f t="shared" si="59"/>
        <v>0</v>
      </c>
      <c r="AH125" s="516">
        <f t="shared" si="59"/>
        <v>0</v>
      </c>
      <c r="AI125" s="516">
        <f t="shared" si="59"/>
        <v>0</v>
      </c>
      <c r="AJ125" s="516">
        <f t="shared" si="59"/>
        <v>0</v>
      </c>
      <c r="AK125" s="516">
        <f t="shared" si="59"/>
        <v>0</v>
      </c>
      <c r="AL125" s="516">
        <f t="shared" si="59"/>
        <v>0</v>
      </c>
      <c r="AM125" s="516">
        <f t="shared" si="59"/>
        <v>0</v>
      </c>
      <c r="AN125" s="516">
        <f t="shared" si="59"/>
        <v>0</v>
      </c>
      <c r="AO125" s="516">
        <f t="shared" si="59"/>
        <v>0</v>
      </c>
      <c r="AP125" s="501"/>
      <c r="AQ125" s="505"/>
      <c r="AR125" s="505"/>
      <c r="AS125" s="505"/>
      <c r="AT125" s="505"/>
      <c r="AU125" s="505"/>
      <c r="AV125" s="510"/>
      <c r="AW125" s="452"/>
    </row>
    <row r="126" spans="1:49">
      <c r="A126" s="143"/>
      <c r="B126" s="483"/>
      <c r="C126" s="524"/>
      <c r="D126" s="501"/>
      <c r="E126" s="501"/>
      <c r="F126" s="501"/>
      <c r="G126" s="501"/>
      <c r="H126" s="501"/>
      <c r="I126" s="501"/>
      <c r="J126" s="501"/>
      <c r="K126" s="501"/>
      <c r="L126" s="501"/>
      <c r="M126" s="501"/>
      <c r="N126" s="501"/>
      <c r="O126" s="501"/>
      <c r="P126" s="501"/>
      <c r="Q126" s="501"/>
      <c r="R126" s="501"/>
      <c r="S126" s="501"/>
      <c r="T126" s="501"/>
      <c r="U126" s="501"/>
      <c r="V126" s="501"/>
      <c r="W126" s="501"/>
      <c r="X126" s="501"/>
      <c r="Y126" s="501"/>
      <c r="Z126" s="501"/>
      <c r="AA126" s="501"/>
      <c r="AB126" s="501"/>
      <c r="AC126" s="501"/>
      <c r="AD126" s="501"/>
      <c r="AE126" s="501"/>
      <c r="AF126" s="501"/>
      <c r="AG126" s="501"/>
      <c r="AH126" s="501"/>
      <c r="AI126" s="501"/>
      <c r="AJ126" s="501"/>
      <c r="AK126" s="501"/>
      <c r="AL126" s="501"/>
      <c r="AM126" s="501"/>
      <c r="AN126" s="501"/>
      <c r="AO126" s="501"/>
      <c r="AP126" s="501"/>
      <c r="AQ126" s="505"/>
      <c r="AR126" s="505"/>
      <c r="AS126" s="505"/>
      <c r="AT126" s="505"/>
      <c r="AU126" s="505"/>
      <c r="AV126" s="510"/>
      <c r="AW126" s="452"/>
    </row>
    <row r="127" spans="1:49">
      <c r="A127" s="1183" t="str">
        <f>'Delivery Calculation'!B22 &amp; CHAR(10) &amp; 'Delivery Calculation'!P22 &amp; " - " &amp; 'Delivery Calculation'!Q22</f>
        <v xml:space="preserve">0
 - </v>
      </c>
      <c r="B127" s="1180">
        <f>'Delivery Calculation'!A22</f>
        <v>0</v>
      </c>
      <c r="C127" s="499" t="s">
        <v>558</v>
      </c>
      <c r="D127" s="518">
        <f>'Delivery Calculation'!M203</f>
        <v>0</v>
      </c>
      <c r="E127" s="518">
        <f>'Delivery Calculation'!N203</f>
        <v>0</v>
      </c>
      <c r="F127" s="518">
        <f>'Delivery Calculation'!O203</f>
        <v>0</v>
      </c>
      <c r="G127" s="518">
        <f>'Delivery Calculation'!P203</f>
        <v>0</v>
      </c>
      <c r="H127" s="518">
        <f>'Delivery Calculation'!Q203</f>
        <v>0</v>
      </c>
      <c r="I127" s="518">
        <f>'Delivery Calculation'!R203</f>
        <v>0</v>
      </c>
      <c r="J127" s="518">
        <f>'Delivery Calculation'!S203</f>
        <v>0</v>
      </c>
      <c r="K127" s="518">
        <f>'Delivery Calculation'!T203</f>
        <v>0</v>
      </c>
      <c r="L127" s="518">
        <f>'Delivery Calculation'!U203</f>
        <v>0</v>
      </c>
      <c r="M127" s="518">
        <f>'Delivery Calculation'!V203</f>
        <v>0</v>
      </c>
      <c r="N127" s="518">
        <f>'Delivery Calculation'!W203</f>
        <v>0</v>
      </c>
      <c r="O127" s="518">
        <f>'Delivery Calculation'!X203</f>
        <v>0</v>
      </c>
      <c r="P127" s="518">
        <f>'Delivery Calculation'!Y203</f>
        <v>0</v>
      </c>
      <c r="Q127" s="518">
        <f>'Delivery Calculation'!Z203</f>
        <v>0</v>
      </c>
      <c r="R127" s="518">
        <f>'Delivery Calculation'!AA203</f>
        <v>0</v>
      </c>
      <c r="S127" s="518">
        <f>'Delivery Calculation'!AB203</f>
        <v>0</v>
      </c>
      <c r="T127" s="518">
        <f>'Delivery Calculation'!AC203</f>
        <v>0</v>
      </c>
      <c r="U127" s="518">
        <f>'Delivery Calculation'!AD203</f>
        <v>0</v>
      </c>
      <c r="V127" s="518">
        <f>'Delivery Calculation'!AE203</f>
        <v>0</v>
      </c>
      <c r="W127" s="518">
        <f>'Delivery Calculation'!AF203</f>
        <v>0</v>
      </c>
      <c r="X127" s="518">
        <f>'Delivery Calculation'!AG203</f>
        <v>0</v>
      </c>
      <c r="Y127" s="518">
        <f>'Delivery Calculation'!AH203</f>
        <v>0</v>
      </c>
      <c r="Z127" s="518">
        <f>'Delivery Calculation'!AI203</f>
        <v>0</v>
      </c>
      <c r="AA127" s="518">
        <f>'Delivery Calculation'!AJ203</f>
        <v>0</v>
      </c>
      <c r="AB127" s="518">
        <f>'Delivery Calculation'!AK203</f>
        <v>0</v>
      </c>
      <c r="AC127" s="518">
        <f>'Delivery Calculation'!AL203</f>
        <v>0</v>
      </c>
      <c r="AD127" s="518">
        <f>'Delivery Calculation'!AM203</f>
        <v>0</v>
      </c>
      <c r="AE127" s="518">
        <f>'Delivery Calculation'!AN203</f>
        <v>0</v>
      </c>
      <c r="AF127" s="518">
        <f>'Delivery Calculation'!AO203</f>
        <v>0</v>
      </c>
      <c r="AG127" s="518">
        <f>'Delivery Calculation'!AP203</f>
        <v>0</v>
      </c>
      <c r="AH127" s="518">
        <f>'Delivery Calculation'!AQ203</f>
        <v>0</v>
      </c>
      <c r="AI127" s="518">
        <f>'Delivery Calculation'!AR203</f>
        <v>0</v>
      </c>
      <c r="AJ127" s="518">
        <f>'Delivery Calculation'!AS203</f>
        <v>0</v>
      </c>
      <c r="AK127" s="518">
        <f>'Delivery Calculation'!AT203</f>
        <v>0</v>
      </c>
      <c r="AL127" s="518">
        <f>'Delivery Calculation'!AU203</f>
        <v>0</v>
      </c>
      <c r="AM127" s="518">
        <f>'Delivery Calculation'!AV203</f>
        <v>0</v>
      </c>
      <c r="AN127" s="518">
        <f>'Delivery Calculation'!AW203</f>
        <v>0</v>
      </c>
      <c r="AO127" s="518">
        <f>'Delivery Calculation'!AX203</f>
        <v>0</v>
      </c>
      <c r="AP127" s="501"/>
      <c r="AQ127" s="519">
        <f>IF(COUNTIF($D$15:$AO$15, TMDPeriodValueTypeReported)&gt;0, INDEX(D127:AO127,1,COUNTIF(D$15:$AO$15,TMDPeriodValueTypeReported)),0)</f>
        <v>0</v>
      </c>
      <c r="AR127" s="519"/>
      <c r="AS127" s="520">
        <f>'Delivery Calculation'!N22</f>
        <v>0</v>
      </c>
      <c r="AT127" s="519">
        <f>AQ127*'Delivery Calculation'!N22</f>
        <v>0</v>
      </c>
      <c r="AU127" s="521" t="s">
        <v>522</v>
      </c>
      <c r="AV127" s="510"/>
      <c r="AW127" s="452"/>
    </row>
    <row r="128" spans="1:49">
      <c r="A128" s="1184"/>
      <c r="B128" s="1181"/>
      <c r="C128" s="499" t="s">
        <v>559</v>
      </c>
      <c r="D128" s="509">
        <f>IF(D$15=TMDPeriodValueTypeForecast,IF('Delivery Calculation'!$H$22=TMDAllocationTandM,0,'Delivery Calculation'!M132),IF(MDReportingPeriod=TMDMonthly,D122,IF(MDReportingPeriod=TMDTwoweekly,D121,D120)))</f>
        <v>0</v>
      </c>
      <c r="E128" s="509">
        <f>IF(E$15=TMDPeriodValueTypeForecast,IF('Delivery Calculation'!$H$22=TMDAllocationTandM,0,'Delivery Calculation'!N132),IF(MDReportingPeriod=TMDMonthly,E122,IF(MDReportingPeriod=TMDTwoweekly,E121,E120)))</f>
        <v>0</v>
      </c>
      <c r="F128" s="509">
        <f>IF(F$15=TMDPeriodValueTypeForecast,IF('Delivery Calculation'!$H$22=TMDAllocationTandM,0,'Delivery Calculation'!O132),IF(MDReportingPeriod=TMDMonthly,F122,IF(MDReportingPeriod=TMDTwoweekly,F121,F120)))</f>
        <v>0</v>
      </c>
      <c r="G128" s="509">
        <f>IF(G$15=TMDPeriodValueTypeForecast,IF('Delivery Calculation'!$H$22=TMDAllocationTandM,0,'Delivery Calculation'!P132),IF(MDReportingPeriod=TMDMonthly,G122,IF(MDReportingPeriod=TMDTwoweekly,G121,G120)))</f>
        <v>0</v>
      </c>
      <c r="H128" s="509">
        <f>IF(H$15=TMDPeriodValueTypeForecast,IF('Delivery Calculation'!$H$22=TMDAllocationTandM,0,'Delivery Calculation'!Q132),IF(MDReportingPeriod=TMDMonthly,H122,IF(MDReportingPeriod=TMDTwoweekly,H121,H120)))</f>
        <v>0</v>
      </c>
      <c r="I128" s="509">
        <f>IF(I$15=TMDPeriodValueTypeForecast,IF('Delivery Calculation'!$H$22=TMDAllocationTandM,0,'Delivery Calculation'!R132),IF(MDReportingPeriod=TMDMonthly,I122,IF(MDReportingPeriod=TMDTwoweekly,I121,I120)))</f>
        <v>0</v>
      </c>
      <c r="J128" s="509">
        <f>IF(J$15=TMDPeriodValueTypeForecast,IF('Delivery Calculation'!$H$22=TMDAllocationTandM,0,'Delivery Calculation'!S132),IF(MDReportingPeriod=TMDMonthly,J122,IF(MDReportingPeriod=TMDTwoweekly,J121,J120)))</f>
        <v>0</v>
      </c>
      <c r="K128" s="509">
        <f>IF(K$15=TMDPeriodValueTypeForecast,IF('Delivery Calculation'!$H$22=TMDAllocationTandM,0,'Delivery Calculation'!T132),IF(MDReportingPeriod=TMDMonthly,K122,IF(MDReportingPeriod=TMDTwoweekly,K121,K120)))</f>
        <v>0</v>
      </c>
      <c r="L128" s="509">
        <f>IF(L$15=TMDPeriodValueTypeForecast,IF('Delivery Calculation'!$H$22=TMDAllocationTandM,0,'Delivery Calculation'!U132),IF(MDReportingPeriod=TMDMonthly,L122,IF(MDReportingPeriod=TMDTwoweekly,L121,L120)))</f>
        <v>0</v>
      </c>
      <c r="M128" s="509">
        <f>IF(M$15=TMDPeriodValueTypeForecast,IF('Delivery Calculation'!$H$22=TMDAllocationTandM,0,'Delivery Calculation'!V132),IF(MDReportingPeriod=TMDMonthly,M122,IF(MDReportingPeriod=TMDTwoweekly,M121,M120)))</f>
        <v>0</v>
      </c>
      <c r="N128" s="509">
        <f>IF(N$15=TMDPeriodValueTypeForecast,IF('Delivery Calculation'!$H$22=TMDAllocationTandM,0,'Delivery Calculation'!W132),IF(MDReportingPeriod=TMDMonthly,N122,IF(MDReportingPeriod=TMDTwoweekly,N121,N120)))</f>
        <v>0</v>
      </c>
      <c r="O128" s="509">
        <f>IF(O$15=TMDPeriodValueTypeForecast,IF('Delivery Calculation'!$H$22=TMDAllocationTandM,0,'Delivery Calculation'!X132),IF(MDReportingPeriod=TMDMonthly,O122,IF(MDReportingPeriod=TMDTwoweekly,O121,O120)))</f>
        <v>0</v>
      </c>
      <c r="P128" s="509">
        <f>IF(P$15=TMDPeriodValueTypeForecast,IF('Delivery Calculation'!$H$22=TMDAllocationTandM,0,'Delivery Calculation'!Y132),IF(MDReportingPeriod=TMDMonthly,P122,IF(MDReportingPeriod=TMDTwoweekly,P121,P120)))</f>
        <v>0</v>
      </c>
      <c r="Q128" s="509">
        <f>IF(Q$15=TMDPeriodValueTypeForecast,IF('Delivery Calculation'!$H$22=TMDAllocationTandM,0,'Delivery Calculation'!Z132),IF(MDReportingPeriod=TMDMonthly,Q122,IF(MDReportingPeriod=TMDTwoweekly,Q121,Q120)))</f>
        <v>0</v>
      </c>
      <c r="R128" s="509">
        <f>IF(R$15=TMDPeriodValueTypeForecast,IF('Delivery Calculation'!$H$22=TMDAllocationTandM,0,'Delivery Calculation'!AA132),IF(MDReportingPeriod=TMDMonthly,R122,IF(MDReportingPeriod=TMDTwoweekly,R121,R120)))</f>
        <v>0</v>
      </c>
      <c r="S128" s="509">
        <f>IF(S$15=TMDPeriodValueTypeForecast,IF('Delivery Calculation'!$H$22=TMDAllocationTandM,0,'Delivery Calculation'!AB132),IF(MDReportingPeriod=TMDMonthly,S122,IF(MDReportingPeriod=TMDTwoweekly,S121,S120)))</f>
        <v>0</v>
      </c>
      <c r="T128" s="509">
        <f>IF(T$15=TMDPeriodValueTypeForecast,IF('Delivery Calculation'!$H$22=TMDAllocationTandM,0,'Delivery Calculation'!AC132),IF(MDReportingPeriod=TMDMonthly,T122,IF(MDReportingPeriod=TMDTwoweekly,T121,T120)))</f>
        <v>0</v>
      </c>
      <c r="U128" s="509">
        <f>IF(U$15=TMDPeriodValueTypeForecast,IF('Delivery Calculation'!$H$22=TMDAllocationTandM,0,'Delivery Calculation'!AD132),IF(MDReportingPeriod=TMDMonthly,U122,IF(MDReportingPeriod=TMDTwoweekly,U121,U120)))</f>
        <v>0</v>
      </c>
      <c r="V128" s="509">
        <f>IF(V$15=TMDPeriodValueTypeForecast,IF('Delivery Calculation'!$H$22=TMDAllocationTandM,0,'Delivery Calculation'!AE132),IF(MDReportingPeriod=TMDMonthly,V122,IF(MDReportingPeriod=TMDTwoweekly,V121,V120)))</f>
        <v>0</v>
      </c>
      <c r="W128" s="509">
        <f>IF(W$15=TMDPeriodValueTypeForecast,IF('Delivery Calculation'!$H$22=TMDAllocationTandM,0,'Delivery Calculation'!AF132),IF(MDReportingPeriod=TMDMonthly,W122,IF(MDReportingPeriod=TMDTwoweekly,W121,W120)))</f>
        <v>0</v>
      </c>
      <c r="X128" s="509">
        <f>IF(X$15=TMDPeriodValueTypeForecast,IF('Delivery Calculation'!$H$22=TMDAllocationTandM,0,'Delivery Calculation'!AG132),IF(MDReportingPeriod=TMDMonthly,X122,IF(MDReportingPeriod=TMDTwoweekly,X121,X120)))</f>
        <v>0</v>
      </c>
      <c r="Y128" s="509">
        <f>IF(Y$15=TMDPeriodValueTypeForecast,IF('Delivery Calculation'!$H$22=TMDAllocationTandM,0,'Delivery Calculation'!AH132),IF(MDReportingPeriod=TMDMonthly,Y122,IF(MDReportingPeriod=TMDTwoweekly,Y121,Y120)))</f>
        <v>0</v>
      </c>
      <c r="Z128" s="509">
        <f>IF(Z$15=TMDPeriodValueTypeForecast,IF('Delivery Calculation'!$H$22=TMDAllocationTandM,0,'Delivery Calculation'!AI132),IF(MDReportingPeriod=TMDMonthly,Z122,IF(MDReportingPeriod=TMDTwoweekly,Z121,Z120)))</f>
        <v>0</v>
      </c>
      <c r="AA128" s="509">
        <f>IF(AA$15=TMDPeriodValueTypeForecast,IF('Delivery Calculation'!$H$22=TMDAllocationTandM,0,'Delivery Calculation'!AJ132),IF(MDReportingPeriod=TMDMonthly,AA122,IF(MDReportingPeriod=TMDTwoweekly,AA121,AA120)))</f>
        <v>0</v>
      </c>
      <c r="AB128" s="509">
        <f>IF(AB$15=TMDPeriodValueTypeForecast,IF('Delivery Calculation'!$H$22=TMDAllocationTandM,0,'Delivery Calculation'!AK132),IF(MDReportingPeriod=TMDMonthly,AB122,IF(MDReportingPeriod=TMDTwoweekly,AB121,AB120)))</f>
        <v>0</v>
      </c>
      <c r="AC128" s="509">
        <f>IF(AC$15=TMDPeriodValueTypeForecast,IF('Delivery Calculation'!$H$22=TMDAllocationTandM,0,'Delivery Calculation'!AL132),IF(MDReportingPeriod=TMDMonthly,AC122,IF(MDReportingPeriod=TMDTwoweekly,AC121,AC120)))</f>
        <v>0</v>
      </c>
      <c r="AD128" s="509">
        <f>IF(AD$15=TMDPeriodValueTypeForecast,IF('Delivery Calculation'!$H$22=TMDAllocationTandM,0,'Delivery Calculation'!AM132),IF(MDReportingPeriod=TMDMonthly,AD122,IF(MDReportingPeriod=TMDTwoweekly,AD121,AD120)))</f>
        <v>0</v>
      </c>
      <c r="AE128" s="509">
        <f>IF(AE$15=TMDPeriodValueTypeForecast,IF('Delivery Calculation'!$H$22=TMDAllocationTandM,0,'Delivery Calculation'!AN132),IF(MDReportingPeriod=TMDMonthly,AE122,IF(MDReportingPeriod=TMDTwoweekly,AE121,AE120)))</f>
        <v>0</v>
      </c>
      <c r="AF128" s="509">
        <f>IF(AF$15=TMDPeriodValueTypeForecast,IF('Delivery Calculation'!$H$22=TMDAllocationTandM,0,'Delivery Calculation'!AO132),IF(MDReportingPeriod=TMDMonthly,AF122,IF(MDReportingPeriod=TMDTwoweekly,AF121,AF120)))</f>
        <v>0</v>
      </c>
      <c r="AG128" s="509">
        <f>IF(AG$15=TMDPeriodValueTypeForecast,IF('Delivery Calculation'!$H$22=TMDAllocationTandM,0,'Delivery Calculation'!AP132),IF(MDReportingPeriod=TMDMonthly,AG122,IF(MDReportingPeriod=TMDTwoweekly,AG121,AG120)))</f>
        <v>0</v>
      </c>
      <c r="AH128" s="509">
        <f>IF(AH$15=TMDPeriodValueTypeForecast,IF('Delivery Calculation'!$H$22=TMDAllocationTandM,0,'Delivery Calculation'!AQ132),IF(MDReportingPeriod=TMDMonthly,AH122,IF(MDReportingPeriod=TMDTwoweekly,AH121,AH120)))</f>
        <v>0</v>
      </c>
      <c r="AI128" s="509">
        <f>IF(AI$15=TMDPeriodValueTypeForecast,IF('Delivery Calculation'!$H$22=TMDAllocationTandM,0,'Delivery Calculation'!AR132),IF(MDReportingPeriod=TMDMonthly,AI122,IF(MDReportingPeriod=TMDTwoweekly,AI121,AI120)))</f>
        <v>0</v>
      </c>
      <c r="AJ128" s="509">
        <f>IF(AJ$15=TMDPeriodValueTypeForecast,IF('Delivery Calculation'!$H$22=TMDAllocationTandM,0,'Delivery Calculation'!AS132),IF(MDReportingPeriod=TMDMonthly,AJ122,IF(MDReportingPeriod=TMDTwoweekly,AJ121,AJ120)))</f>
        <v>0</v>
      </c>
      <c r="AK128" s="509">
        <f>IF(AK$15=TMDPeriodValueTypeForecast,IF('Delivery Calculation'!$H$22=TMDAllocationTandM,0,'Delivery Calculation'!AT132),IF(MDReportingPeriod=TMDMonthly,AK122,IF(MDReportingPeriod=TMDTwoweekly,AK121,AK120)))</f>
        <v>0</v>
      </c>
      <c r="AL128" s="509">
        <f>IF(AL$15=TMDPeriodValueTypeForecast,IF('Delivery Calculation'!$H$22=TMDAllocationTandM,0,'Delivery Calculation'!AU132),IF(MDReportingPeriod=TMDMonthly,AL122,IF(MDReportingPeriod=TMDTwoweekly,AL121,AL120)))</f>
        <v>0</v>
      </c>
      <c r="AM128" s="509">
        <f>IF(AM$15=TMDPeriodValueTypeForecast,IF('Delivery Calculation'!$H$22=TMDAllocationTandM,0,'Delivery Calculation'!AV132),IF(MDReportingPeriod=TMDMonthly,AM122,IF(MDReportingPeriod=TMDTwoweekly,AM121,AM120)))</f>
        <v>0</v>
      </c>
      <c r="AN128" s="509">
        <f>IF(AN$15=TMDPeriodValueTypeForecast,IF('Delivery Calculation'!$H$22=TMDAllocationTandM,0,'Delivery Calculation'!AW132),IF(MDReportingPeriod=TMDMonthly,AN122,IF(MDReportingPeriod=TMDTwoweekly,AN121,AN120)))</f>
        <v>0</v>
      </c>
      <c r="AO128" s="509">
        <f>IF(AO$15=TMDPeriodValueTypeForecast,IF('Delivery Calculation'!$H$22=TMDAllocationTandM,0,'Delivery Calculation'!AX132),IF(MDReportingPeriod=TMDMonthly,AO122,IF(MDReportingPeriod=TMDTwoweekly,AO121,AO120)))</f>
        <v>0</v>
      </c>
      <c r="AP128" s="501"/>
      <c r="AQ128" s="505">
        <f>SUMIF($D$15:$AO$15,TMDPeriodValueTypeReported,D128:AO128)</f>
        <v>0</v>
      </c>
      <c r="AR128" s="505">
        <f>SUMIF($D$15:$AO$15,TMDPeriodValueTypeForecast,D128:AO128)</f>
        <v>0</v>
      </c>
      <c r="AS128" s="523">
        <f>'Delivery Calculation'!J22</f>
        <v>0</v>
      </c>
      <c r="AT128" s="505">
        <f>AS128-(AQ128+AR128)</f>
        <v>0</v>
      </c>
      <c r="AU128" s="505"/>
      <c r="AV128" s="510"/>
      <c r="AW128" s="452"/>
    </row>
    <row r="129" spans="1:49">
      <c r="A129" s="1184"/>
      <c r="B129" s="1181"/>
      <c r="C129" s="499" t="s">
        <v>560</v>
      </c>
      <c r="D129" s="509">
        <f>IF(D$15=TMDPeriodValueTypeForecast,IF('Delivery Calculation'!$H$22=TMDAllocationTandM,0,'Delivery Calculation'!M96),IF(MDReportingPeriod=TMDMonthly,D125,IF(MDReportingPeriod=TMDTwoweekly,D124,D123)))</f>
        <v>0</v>
      </c>
      <c r="E129" s="509">
        <f>IF(E$15=TMDPeriodValueTypeForecast,IF('Delivery Calculation'!$H$22=TMDAllocationTandM,0,'Delivery Calculation'!N96),IF(MDReportingPeriod=TMDMonthly,E125,IF(MDReportingPeriod=TMDTwoweekly,E124,E123)))</f>
        <v>0</v>
      </c>
      <c r="F129" s="509">
        <f>IF(F$15=TMDPeriodValueTypeForecast,IF('Delivery Calculation'!$H$22=TMDAllocationTandM,0,'Delivery Calculation'!O96),IF(MDReportingPeriod=TMDMonthly,F125,IF(MDReportingPeriod=TMDTwoweekly,F124,F123)))</f>
        <v>0</v>
      </c>
      <c r="G129" s="509">
        <f>IF(G$15=TMDPeriodValueTypeForecast,IF('Delivery Calculation'!$H$22=TMDAllocationTandM,0,'Delivery Calculation'!P96),IF(MDReportingPeriod=TMDMonthly,G125,IF(MDReportingPeriod=TMDTwoweekly,G124,G123)))</f>
        <v>0</v>
      </c>
      <c r="H129" s="509">
        <f>IF(H$15=TMDPeriodValueTypeForecast,IF('Delivery Calculation'!$H$22=TMDAllocationTandM,0,'Delivery Calculation'!Q96),IF(MDReportingPeriod=TMDMonthly,H125,IF(MDReportingPeriod=TMDTwoweekly,H124,H123)))</f>
        <v>0</v>
      </c>
      <c r="I129" s="509">
        <f>IF(I$15=TMDPeriodValueTypeForecast,IF('Delivery Calculation'!$H$22=TMDAllocationTandM,0,'Delivery Calculation'!R96),IF(MDReportingPeriod=TMDMonthly,I125,IF(MDReportingPeriod=TMDTwoweekly,I124,I123)))</f>
        <v>0</v>
      </c>
      <c r="J129" s="509">
        <f>IF(J$15=TMDPeriodValueTypeForecast,IF('Delivery Calculation'!$H$22=TMDAllocationTandM,0,'Delivery Calculation'!S96),IF(MDReportingPeriod=TMDMonthly,J125,IF(MDReportingPeriod=TMDTwoweekly,J124,J123)))</f>
        <v>0</v>
      </c>
      <c r="K129" s="509">
        <f>IF(K$15=TMDPeriodValueTypeForecast,IF('Delivery Calculation'!$H$22=TMDAllocationTandM,0,'Delivery Calculation'!T96),IF(MDReportingPeriod=TMDMonthly,K125,IF(MDReportingPeriod=TMDTwoweekly,K124,K123)))</f>
        <v>0</v>
      </c>
      <c r="L129" s="509">
        <f>IF(L$15=TMDPeriodValueTypeForecast,IF('Delivery Calculation'!$H$22=TMDAllocationTandM,0,'Delivery Calculation'!U96),IF(MDReportingPeriod=TMDMonthly,L125,IF(MDReportingPeriod=TMDTwoweekly,L124,L123)))</f>
        <v>0</v>
      </c>
      <c r="M129" s="509">
        <f>IF(M$15=TMDPeriodValueTypeForecast,IF('Delivery Calculation'!$H$22=TMDAllocationTandM,0,'Delivery Calculation'!V96),IF(MDReportingPeriod=TMDMonthly,M125,IF(MDReportingPeriod=TMDTwoweekly,M124,M123)))</f>
        <v>0</v>
      </c>
      <c r="N129" s="509">
        <f>IF(N$15=TMDPeriodValueTypeForecast,IF('Delivery Calculation'!$H$22=TMDAllocationTandM,0,'Delivery Calculation'!W96),IF(MDReportingPeriod=TMDMonthly,N125,IF(MDReportingPeriod=TMDTwoweekly,N124,N123)))</f>
        <v>0</v>
      </c>
      <c r="O129" s="509">
        <f>IF(O$15=TMDPeriodValueTypeForecast,IF('Delivery Calculation'!$H$22=TMDAllocationTandM,0,'Delivery Calculation'!X96),IF(MDReportingPeriod=TMDMonthly,O125,IF(MDReportingPeriod=TMDTwoweekly,O124,O123)))</f>
        <v>0</v>
      </c>
      <c r="P129" s="509">
        <f>IF(P$15=TMDPeriodValueTypeForecast,IF('Delivery Calculation'!$H$22=TMDAllocationTandM,0,'Delivery Calculation'!Y96),IF(MDReportingPeriod=TMDMonthly,P125,IF(MDReportingPeriod=TMDTwoweekly,P124,P123)))</f>
        <v>0</v>
      </c>
      <c r="Q129" s="509">
        <f>IF(Q$15=TMDPeriodValueTypeForecast,IF('Delivery Calculation'!$H$22=TMDAllocationTandM,0,'Delivery Calculation'!Z96),IF(MDReportingPeriod=TMDMonthly,Q125,IF(MDReportingPeriod=TMDTwoweekly,Q124,Q123)))</f>
        <v>0</v>
      </c>
      <c r="R129" s="509">
        <f>IF(R$15=TMDPeriodValueTypeForecast,IF('Delivery Calculation'!$H$22=TMDAllocationTandM,0,'Delivery Calculation'!AA96),IF(MDReportingPeriod=TMDMonthly,R125,IF(MDReportingPeriod=TMDTwoweekly,R124,R123)))</f>
        <v>0</v>
      </c>
      <c r="S129" s="509">
        <f>IF(S$15=TMDPeriodValueTypeForecast,IF('Delivery Calculation'!$H$22=TMDAllocationTandM,0,'Delivery Calculation'!AB96),IF(MDReportingPeriod=TMDMonthly,S125,IF(MDReportingPeriod=TMDTwoweekly,S124,S123)))</f>
        <v>0</v>
      </c>
      <c r="T129" s="509">
        <f>IF(T$15=TMDPeriodValueTypeForecast,IF('Delivery Calculation'!$H$22=TMDAllocationTandM,0,'Delivery Calculation'!AC96),IF(MDReportingPeriod=TMDMonthly,T125,IF(MDReportingPeriod=TMDTwoweekly,T124,T123)))</f>
        <v>0</v>
      </c>
      <c r="U129" s="509">
        <f>IF(U$15=TMDPeriodValueTypeForecast,IF('Delivery Calculation'!$H$22=TMDAllocationTandM,0,'Delivery Calculation'!AD96),IF(MDReportingPeriod=TMDMonthly,U125,IF(MDReportingPeriod=TMDTwoweekly,U124,U123)))</f>
        <v>0</v>
      </c>
      <c r="V129" s="509">
        <f>IF(V$15=TMDPeriodValueTypeForecast,IF('Delivery Calculation'!$H$22=TMDAllocationTandM,0,'Delivery Calculation'!AE96),IF(MDReportingPeriod=TMDMonthly,V125,IF(MDReportingPeriod=TMDTwoweekly,V124,V123)))</f>
        <v>0</v>
      </c>
      <c r="W129" s="509">
        <f>IF(W$15=TMDPeriodValueTypeForecast,IF('Delivery Calculation'!$H$22=TMDAllocationTandM,0,'Delivery Calculation'!AF96),IF(MDReportingPeriod=TMDMonthly,W125,IF(MDReportingPeriod=TMDTwoweekly,W124,W123)))</f>
        <v>0</v>
      </c>
      <c r="X129" s="509">
        <f>IF(X$15=TMDPeriodValueTypeForecast,IF('Delivery Calculation'!$H$22=TMDAllocationTandM,0,'Delivery Calculation'!AG96),IF(MDReportingPeriod=TMDMonthly,X125,IF(MDReportingPeriod=TMDTwoweekly,X124,X123)))</f>
        <v>0</v>
      </c>
      <c r="Y129" s="509">
        <f>IF(Y$15=TMDPeriodValueTypeForecast,IF('Delivery Calculation'!$H$22=TMDAllocationTandM,0,'Delivery Calculation'!AH96),IF(MDReportingPeriod=TMDMonthly,Y125,IF(MDReportingPeriod=TMDTwoweekly,Y124,Y123)))</f>
        <v>0</v>
      </c>
      <c r="Z129" s="509">
        <f>IF(Z$15=TMDPeriodValueTypeForecast,IF('Delivery Calculation'!$H$22=TMDAllocationTandM,0,'Delivery Calculation'!AI96),IF(MDReportingPeriod=TMDMonthly,Z125,IF(MDReportingPeriod=TMDTwoweekly,Z124,Z123)))</f>
        <v>0</v>
      </c>
      <c r="AA129" s="509">
        <f>IF(AA$15=TMDPeriodValueTypeForecast,IF('Delivery Calculation'!$H$22=TMDAllocationTandM,0,'Delivery Calculation'!AJ96),IF(MDReportingPeriod=TMDMonthly,AA125,IF(MDReportingPeriod=TMDTwoweekly,AA124,AA123)))</f>
        <v>0</v>
      </c>
      <c r="AB129" s="509">
        <f>IF(AB$15=TMDPeriodValueTypeForecast,IF('Delivery Calculation'!$H$22=TMDAllocationTandM,0,'Delivery Calculation'!AK96),IF(MDReportingPeriod=TMDMonthly,AB125,IF(MDReportingPeriod=TMDTwoweekly,AB124,AB123)))</f>
        <v>0</v>
      </c>
      <c r="AC129" s="509">
        <f>IF(AC$15=TMDPeriodValueTypeForecast,IF('Delivery Calculation'!$H$22=TMDAllocationTandM,0,'Delivery Calculation'!AL96),IF(MDReportingPeriod=TMDMonthly,AC125,IF(MDReportingPeriod=TMDTwoweekly,AC124,AC123)))</f>
        <v>0</v>
      </c>
      <c r="AD129" s="509">
        <f>IF(AD$15=TMDPeriodValueTypeForecast,IF('Delivery Calculation'!$H$22=TMDAllocationTandM,0,'Delivery Calculation'!AM96),IF(MDReportingPeriod=TMDMonthly,AD125,IF(MDReportingPeriod=TMDTwoweekly,AD124,AD123)))</f>
        <v>0</v>
      </c>
      <c r="AE129" s="509">
        <f>IF(AE$15=TMDPeriodValueTypeForecast,IF('Delivery Calculation'!$H$22=TMDAllocationTandM,0,'Delivery Calculation'!AN96),IF(MDReportingPeriod=TMDMonthly,AE125,IF(MDReportingPeriod=TMDTwoweekly,AE124,AE123)))</f>
        <v>0</v>
      </c>
      <c r="AF129" s="509">
        <f>IF(AF$15=TMDPeriodValueTypeForecast,IF('Delivery Calculation'!$H$22=TMDAllocationTandM,0,'Delivery Calculation'!AO96),IF(MDReportingPeriod=TMDMonthly,AF125,IF(MDReportingPeriod=TMDTwoweekly,AF124,AF123)))</f>
        <v>0</v>
      </c>
      <c r="AG129" s="509">
        <f>IF(AG$15=TMDPeriodValueTypeForecast,IF('Delivery Calculation'!$H$22=TMDAllocationTandM,0,'Delivery Calculation'!AP96),IF(MDReportingPeriod=TMDMonthly,AG125,IF(MDReportingPeriod=TMDTwoweekly,AG124,AG123)))</f>
        <v>0</v>
      </c>
      <c r="AH129" s="509">
        <f>IF(AH$15=TMDPeriodValueTypeForecast,IF('Delivery Calculation'!$H$22=TMDAllocationTandM,0,'Delivery Calculation'!AQ96),IF(MDReportingPeriod=TMDMonthly,AH125,IF(MDReportingPeriod=TMDTwoweekly,AH124,AH123)))</f>
        <v>0</v>
      </c>
      <c r="AI129" s="509">
        <f>IF(AI$15=TMDPeriodValueTypeForecast,IF('Delivery Calculation'!$H$22=TMDAllocationTandM,0,'Delivery Calculation'!AR96),IF(MDReportingPeriod=TMDMonthly,AI125,IF(MDReportingPeriod=TMDTwoweekly,AI124,AI123)))</f>
        <v>0</v>
      </c>
      <c r="AJ129" s="509">
        <f>IF(AJ$15=TMDPeriodValueTypeForecast,IF('Delivery Calculation'!$H$22=TMDAllocationTandM,0,'Delivery Calculation'!AS96),IF(MDReportingPeriod=TMDMonthly,AJ125,IF(MDReportingPeriod=TMDTwoweekly,AJ124,AJ123)))</f>
        <v>0</v>
      </c>
      <c r="AK129" s="509">
        <f>IF(AK$15=TMDPeriodValueTypeForecast,IF('Delivery Calculation'!$H$22=TMDAllocationTandM,0,'Delivery Calculation'!AT96),IF(MDReportingPeriod=TMDMonthly,AK125,IF(MDReportingPeriod=TMDTwoweekly,AK124,AK123)))</f>
        <v>0</v>
      </c>
      <c r="AL129" s="509">
        <f>IF(AL$15=TMDPeriodValueTypeForecast,IF('Delivery Calculation'!$H$22=TMDAllocationTandM,0,'Delivery Calculation'!AU96),IF(MDReportingPeriod=TMDMonthly,AL125,IF(MDReportingPeriod=TMDTwoweekly,AL124,AL123)))</f>
        <v>0</v>
      </c>
      <c r="AM129" s="509">
        <f>IF(AM$15=TMDPeriodValueTypeForecast,IF('Delivery Calculation'!$H$22=TMDAllocationTandM,0,'Delivery Calculation'!AV96),IF(MDReportingPeriod=TMDMonthly,AM125,IF(MDReportingPeriod=TMDTwoweekly,AM124,AM123)))</f>
        <v>0</v>
      </c>
      <c r="AN129" s="509">
        <f>IF(AN$15=TMDPeriodValueTypeForecast,IF('Delivery Calculation'!$H$22=TMDAllocationTandM,0,'Delivery Calculation'!AW96),IF(MDReportingPeriod=TMDMonthly,AN125,IF(MDReportingPeriod=TMDTwoweekly,AN124,AN123)))</f>
        <v>0</v>
      </c>
      <c r="AO129" s="509">
        <f>IF(AO$15=TMDPeriodValueTypeForecast,IF('Delivery Calculation'!$H$22=TMDAllocationTandM,0,'Delivery Calculation'!AX96),IF(MDReportingPeriod=TMDMonthly,AO125,IF(MDReportingPeriod=TMDTwoweekly,AO124,AO123)))</f>
        <v>0</v>
      </c>
      <c r="AP129" s="501"/>
      <c r="AQ129" s="505">
        <f>SUMIF($D$15:$AO$15,TMDPeriodValueTypeReported,D129:AO129)</f>
        <v>0</v>
      </c>
      <c r="AR129" s="505">
        <f>SUMIF($D$15:$AO$15,TMDPeriodValueTypeForecast,D129:AO129)</f>
        <v>0</v>
      </c>
      <c r="AS129" s="523">
        <f>'Delivery Calculation'!I22</f>
        <v>0</v>
      </c>
      <c r="AT129" s="505">
        <f>AS129-(AQ129+AR129)</f>
        <v>0</v>
      </c>
      <c r="AU129" s="505"/>
      <c r="AV129" s="510"/>
      <c r="AW129" s="452"/>
    </row>
    <row r="130" spans="1:49">
      <c r="A130" s="1185"/>
      <c r="B130" s="1182"/>
      <c r="C130" s="499" t="s">
        <v>561</v>
      </c>
      <c r="D130" s="509"/>
      <c r="E130" s="509"/>
      <c r="F130" s="509"/>
      <c r="G130" s="509"/>
      <c r="H130" s="509"/>
      <c r="I130" s="509"/>
      <c r="J130" s="509"/>
      <c r="K130" s="509"/>
      <c r="L130" s="509"/>
      <c r="M130" s="509"/>
      <c r="N130" s="509"/>
      <c r="O130" s="509"/>
      <c r="P130" s="509"/>
      <c r="Q130" s="509"/>
      <c r="R130" s="509"/>
      <c r="S130" s="509"/>
      <c r="T130" s="509"/>
      <c r="U130" s="509"/>
      <c r="V130" s="509"/>
      <c r="W130" s="509"/>
      <c r="X130" s="509"/>
      <c r="Y130" s="509"/>
      <c r="Z130" s="509"/>
      <c r="AA130" s="509"/>
      <c r="AB130" s="509"/>
      <c r="AC130" s="509"/>
      <c r="AD130" s="509"/>
      <c r="AE130" s="509"/>
      <c r="AF130" s="509"/>
      <c r="AG130" s="509"/>
      <c r="AH130" s="509"/>
      <c r="AI130" s="509"/>
      <c r="AJ130" s="509"/>
      <c r="AK130" s="509"/>
      <c r="AL130" s="509"/>
      <c r="AM130" s="509"/>
      <c r="AN130" s="509"/>
      <c r="AO130" s="509"/>
      <c r="AP130" s="501"/>
      <c r="AQ130" s="505">
        <f>SUMIF($D$15:$AO$15,TMDPeriodValueTypeReported,D130:AO130)</f>
        <v>0</v>
      </c>
      <c r="AR130" s="505">
        <f>SUMIF($D$15:$AO$15,TMDPeriodValueTypeForecast,D130:AO130)</f>
        <v>0</v>
      </c>
      <c r="AS130" s="505"/>
      <c r="AT130" s="505">
        <f>AQ130+AR130</f>
        <v>0</v>
      </c>
      <c r="AU130" s="505"/>
      <c r="AV130" s="510"/>
      <c r="AW130" s="452"/>
    </row>
    <row r="131" spans="1:49" hidden="1">
      <c r="A131" s="143"/>
      <c r="B131" s="483"/>
      <c r="C131" s="496" t="s">
        <v>1339</v>
      </c>
      <c r="D131" s="516">
        <f t="shared" ref="D131:AO131" si="60">IF(ISERR(GETPIVOTDATA("[Measures].[Hours]",TRIMARANweekly,"[Order].[Position Number]","[Order].[Position Number].&amp;[" &amp; $B138 &amp; "]","[Period].[Week]","[Period].[Week].&amp;[" &amp; YEAR(D$14-7) &amp; TEXT(WEEKNUM(D$14-7),"00") &amp; "]")),0,GETPIVOTDATA("[Measures].[Hours]",TRIMARANweekly,"[Order].[Position Number]","[Order].[Position Number].&amp;[" &amp; $B138 &amp; "]","[Period].[Week]","[Period].[Week].&amp;[" &amp; YEAR(D$14-7) &amp; TEXT(WEEKNUM(D$14-7),"00") &amp; "]"))</f>
        <v>0</v>
      </c>
      <c r="E131" s="516">
        <f t="shared" si="60"/>
        <v>0</v>
      </c>
      <c r="F131" s="516">
        <f t="shared" si="60"/>
        <v>0</v>
      </c>
      <c r="G131" s="516">
        <f t="shared" si="60"/>
        <v>0</v>
      </c>
      <c r="H131" s="516">
        <f t="shared" si="60"/>
        <v>0</v>
      </c>
      <c r="I131" s="516">
        <f t="shared" si="60"/>
        <v>0</v>
      </c>
      <c r="J131" s="516">
        <f t="shared" si="60"/>
        <v>0</v>
      </c>
      <c r="K131" s="516">
        <f t="shared" si="60"/>
        <v>0</v>
      </c>
      <c r="L131" s="516">
        <f t="shared" si="60"/>
        <v>0</v>
      </c>
      <c r="M131" s="516">
        <f t="shared" si="60"/>
        <v>0</v>
      </c>
      <c r="N131" s="516">
        <f t="shared" si="60"/>
        <v>0</v>
      </c>
      <c r="O131" s="516">
        <f t="shared" si="60"/>
        <v>0</v>
      </c>
      <c r="P131" s="516">
        <f t="shared" si="60"/>
        <v>0</v>
      </c>
      <c r="Q131" s="516">
        <f t="shared" si="60"/>
        <v>0</v>
      </c>
      <c r="R131" s="516">
        <f t="shared" si="60"/>
        <v>0</v>
      </c>
      <c r="S131" s="516">
        <f t="shared" si="60"/>
        <v>0</v>
      </c>
      <c r="T131" s="516">
        <f t="shared" si="60"/>
        <v>0</v>
      </c>
      <c r="U131" s="516">
        <f t="shared" si="60"/>
        <v>0</v>
      </c>
      <c r="V131" s="516">
        <f t="shared" si="60"/>
        <v>0</v>
      </c>
      <c r="W131" s="516">
        <f t="shared" si="60"/>
        <v>0</v>
      </c>
      <c r="X131" s="516">
        <f t="shared" si="60"/>
        <v>0</v>
      </c>
      <c r="Y131" s="516">
        <f t="shared" si="60"/>
        <v>0</v>
      </c>
      <c r="Z131" s="516">
        <f t="shared" si="60"/>
        <v>0</v>
      </c>
      <c r="AA131" s="516">
        <f t="shared" si="60"/>
        <v>0</v>
      </c>
      <c r="AB131" s="516">
        <f t="shared" si="60"/>
        <v>0</v>
      </c>
      <c r="AC131" s="516">
        <f t="shared" si="60"/>
        <v>0</v>
      </c>
      <c r="AD131" s="516">
        <f t="shared" si="60"/>
        <v>0</v>
      </c>
      <c r="AE131" s="516">
        <f t="shared" si="60"/>
        <v>0</v>
      </c>
      <c r="AF131" s="516">
        <f t="shared" si="60"/>
        <v>0</v>
      </c>
      <c r="AG131" s="516">
        <f t="shared" si="60"/>
        <v>0</v>
      </c>
      <c r="AH131" s="516">
        <f t="shared" si="60"/>
        <v>0</v>
      </c>
      <c r="AI131" s="516">
        <f t="shared" si="60"/>
        <v>0</v>
      </c>
      <c r="AJ131" s="516">
        <f t="shared" si="60"/>
        <v>0</v>
      </c>
      <c r="AK131" s="516">
        <f t="shared" si="60"/>
        <v>0</v>
      </c>
      <c r="AL131" s="516">
        <f t="shared" si="60"/>
        <v>0</v>
      </c>
      <c r="AM131" s="516">
        <f t="shared" si="60"/>
        <v>0</v>
      </c>
      <c r="AN131" s="516">
        <f t="shared" si="60"/>
        <v>0</v>
      </c>
      <c r="AO131" s="516">
        <f t="shared" si="60"/>
        <v>0</v>
      </c>
      <c r="AP131" s="501"/>
      <c r="AQ131" s="505"/>
      <c r="AR131" s="505"/>
      <c r="AS131" s="505"/>
      <c r="AT131" s="505"/>
      <c r="AU131" s="505"/>
      <c r="AV131" s="510"/>
      <c r="AW131" s="452"/>
    </row>
    <row r="132" spans="1:49" hidden="1">
      <c r="A132" s="143"/>
      <c r="B132" s="483"/>
      <c r="C132" s="496" t="s">
        <v>1340</v>
      </c>
      <c r="D132" s="516">
        <f t="shared" ref="D132:AO132" si="61">IF(ISERR(GETPIVOTDATA("[Measures].[Hours]",TRIMARANweekly,"[Order].[Position Number]","[Order].[Position Number].&amp;[" &amp; $B138 &amp; "]","[Period].[Week]","[Period].[Week].&amp;[" &amp; YEAR(D$14-14) &amp; TEXT(WEEKNUM(D$14-14),"00") &amp; "]")),0,GETPIVOTDATA("[Measures].[Hours]",TRIMARANweekly,"[Order].[Position Number]","[Order].[Position Number].&amp;[" &amp; $B138 &amp; "]","[Period].[Week]","[Period].[Week].&amp;[" &amp; YEAR(D$14-14) &amp; TEXT(WEEKNUM(D$14-14),"00") &amp; "]"))+D131</f>
        <v>0</v>
      </c>
      <c r="E132" s="516">
        <f t="shared" si="61"/>
        <v>0</v>
      </c>
      <c r="F132" s="516">
        <f t="shared" si="61"/>
        <v>0</v>
      </c>
      <c r="G132" s="516">
        <f t="shared" si="61"/>
        <v>0</v>
      </c>
      <c r="H132" s="516">
        <f t="shared" si="61"/>
        <v>0</v>
      </c>
      <c r="I132" s="516">
        <f t="shared" si="61"/>
        <v>0</v>
      </c>
      <c r="J132" s="516">
        <f t="shared" si="61"/>
        <v>0</v>
      </c>
      <c r="K132" s="516">
        <f t="shared" si="61"/>
        <v>0</v>
      </c>
      <c r="L132" s="516">
        <f t="shared" si="61"/>
        <v>0</v>
      </c>
      <c r="M132" s="516">
        <f t="shared" si="61"/>
        <v>0</v>
      </c>
      <c r="N132" s="516">
        <f t="shared" si="61"/>
        <v>0</v>
      </c>
      <c r="O132" s="516">
        <f t="shared" si="61"/>
        <v>0</v>
      </c>
      <c r="P132" s="516">
        <f t="shared" si="61"/>
        <v>0</v>
      </c>
      <c r="Q132" s="516">
        <f t="shared" si="61"/>
        <v>0</v>
      </c>
      <c r="R132" s="516">
        <f t="shared" si="61"/>
        <v>0</v>
      </c>
      <c r="S132" s="516">
        <f t="shared" si="61"/>
        <v>0</v>
      </c>
      <c r="T132" s="516">
        <f t="shared" si="61"/>
        <v>0</v>
      </c>
      <c r="U132" s="516">
        <f t="shared" si="61"/>
        <v>0</v>
      </c>
      <c r="V132" s="516">
        <f t="shared" si="61"/>
        <v>0</v>
      </c>
      <c r="W132" s="516">
        <f t="shared" si="61"/>
        <v>0</v>
      </c>
      <c r="X132" s="516">
        <f t="shared" si="61"/>
        <v>0</v>
      </c>
      <c r="Y132" s="516">
        <f t="shared" si="61"/>
        <v>0</v>
      </c>
      <c r="Z132" s="516">
        <f t="shared" si="61"/>
        <v>0</v>
      </c>
      <c r="AA132" s="516">
        <f t="shared" si="61"/>
        <v>0</v>
      </c>
      <c r="AB132" s="516">
        <f t="shared" si="61"/>
        <v>0</v>
      </c>
      <c r="AC132" s="516">
        <f t="shared" si="61"/>
        <v>0</v>
      </c>
      <c r="AD132" s="516">
        <f t="shared" si="61"/>
        <v>0</v>
      </c>
      <c r="AE132" s="516">
        <f t="shared" si="61"/>
        <v>0</v>
      </c>
      <c r="AF132" s="516">
        <f t="shared" si="61"/>
        <v>0</v>
      </c>
      <c r="AG132" s="516">
        <f t="shared" si="61"/>
        <v>0</v>
      </c>
      <c r="AH132" s="516">
        <f t="shared" si="61"/>
        <v>0</v>
      </c>
      <c r="AI132" s="516">
        <f t="shared" si="61"/>
        <v>0</v>
      </c>
      <c r="AJ132" s="516">
        <f t="shared" si="61"/>
        <v>0</v>
      </c>
      <c r="AK132" s="516">
        <f t="shared" si="61"/>
        <v>0</v>
      </c>
      <c r="AL132" s="516">
        <f t="shared" si="61"/>
        <v>0</v>
      </c>
      <c r="AM132" s="516">
        <f t="shared" si="61"/>
        <v>0</v>
      </c>
      <c r="AN132" s="516">
        <f t="shared" si="61"/>
        <v>0</v>
      </c>
      <c r="AO132" s="516">
        <f t="shared" si="61"/>
        <v>0</v>
      </c>
      <c r="AP132" s="501"/>
      <c r="AQ132" s="505"/>
      <c r="AR132" s="505"/>
      <c r="AS132" s="505"/>
      <c r="AT132" s="505"/>
      <c r="AU132" s="505"/>
      <c r="AV132" s="510"/>
      <c r="AW132" s="452"/>
    </row>
    <row r="133" spans="1:49" hidden="1">
      <c r="A133" s="143"/>
      <c r="B133" s="483"/>
      <c r="C133" s="496" t="s">
        <v>1341</v>
      </c>
      <c r="D133" s="516">
        <f t="shared" ref="D133:AO133" si="62">IF(ISERR(GETPIVOTDATA("[Measures].[Hours]",TRIMARANmonthly,"[Period].[Month]","[Period].[Month].&amp;["&amp;IF(MONTH(D$14)=1,YEAR(D$14)-1&amp;TEXT(12,"00"),YEAR(D$14)&amp;TEXT(MONTH(D$14)-1,"00"))&amp;"]","[Order].[Position Number]","[Order].[Position Number].&amp;["&amp;$B138&amp;"]")),0,GETPIVOTDATA("[Measures].[Hours]",TRIMARANmonthly,"[Period].[Month]","[Period].[Month].&amp;["&amp;IF(MONTH(D$14)=1,YEAR(D$14)-1&amp;TEXT(12,"00"),YEAR(D$14)&amp;TEXT(MONTH(D$14)-1,"00"))&amp;"]","[Order].[Position Number]","[Order].[Position Number].&amp;["&amp;$B138&amp;"]"))</f>
        <v>0</v>
      </c>
      <c r="E133" s="516">
        <f t="shared" si="62"/>
        <v>0</v>
      </c>
      <c r="F133" s="516">
        <f t="shared" si="62"/>
        <v>0</v>
      </c>
      <c r="G133" s="516">
        <f t="shared" si="62"/>
        <v>0</v>
      </c>
      <c r="H133" s="516">
        <f t="shared" si="62"/>
        <v>0</v>
      </c>
      <c r="I133" s="516">
        <f t="shared" si="62"/>
        <v>0</v>
      </c>
      <c r="J133" s="516">
        <f t="shared" si="62"/>
        <v>0</v>
      </c>
      <c r="K133" s="516">
        <f t="shared" si="62"/>
        <v>0</v>
      </c>
      <c r="L133" s="516">
        <f t="shared" si="62"/>
        <v>0</v>
      </c>
      <c r="M133" s="516">
        <f t="shared" si="62"/>
        <v>0</v>
      </c>
      <c r="N133" s="516">
        <f t="shared" si="62"/>
        <v>0</v>
      </c>
      <c r="O133" s="516">
        <f t="shared" si="62"/>
        <v>0</v>
      </c>
      <c r="P133" s="516">
        <f t="shared" si="62"/>
        <v>0</v>
      </c>
      <c r="Q133" s="516">
        <f t="shared" si="62"/>
        <v>0</v>
      </c>
      <c r="R133" s="516">
        <f t="shared" si="62"/>
        <v>0</v>
      </c>
      <c r="S133" s="516">
        <f t="shared" si="62"/>
        <v>0</v>
      </c>
      <c r="T133" s="516">
        <f t="shared" si="62"/>
        <v>0</v>
      </c>
      <c r="U133" s="516">
        <f t="shared" si="62"/>
        <v>0</v>
      </c>
      <c r="V133" s="516">
        <f t="shared" si="62"/>
        <v>0</v>
      </c>
      <c r="W133" s="516">
        <f t="shared" si="62"/>
        <v>0</v>
      </c>
      <c r="X133" s="516">
        <f t="shared" si="62"/>
        <v>0</v>
      </c>
      <c r="Y133" s="516">
        <f t="shared" si="62"/>
        <v>0</v>
      </c>
      <c r="Z133" s="516">
        <f t="shared" si="62"/>
        <v>0</v>
      </c>
      <c r="AA133" s="516">
        <f t="shared" si="62"/>
        <v>0</v>
      </c>
      <c r="AB133" s="516">
        <f t="shared" si="62"/>
        <v>0</v>
      </c>
      <c r="AC133" s="516">
        <f t="shared" si="62"/>
        <v>0</v>
      </c>
      <c r="AD133" s="516">
        <f t="shared" si="62"/>
        <v>0</v>
      </c>
      <c r="AE133" s="516">
        <f t="shared" si="62"/>
        <v>0</v>
      </c>
      <c r="AF133" s="516">
        <f t="shared" si="62"/>
        <v>0</v>
      </c>
      <c r="AG133" s="516">
        <f t="shared" si="62"/>
        <v>0</v>
      </c>
      <c r="AH133" s="516">
        <f t="shared" si="62"/>
        <v>0</v>
      </c>
      <c r="AI133" s="516">
        <f t="shared" si="62"/>
        <v>0</v>
      </c>
      <c r="AJ133" s="516">
        <f t="shared" si="62"/>
        <v>0</v>
      </c>
      <c r="AK133" s="516">
        <f t="shared" si="62"/>
        <v>0</v>
      </c>
      <c r="AL133" s="516">
        <f t="shared" si="62"/>
        <v>0</v>
      </c>
      <c r="AM133" s="516">
        <f t="shared" si="62"/>
        <v>0</v>
      </c>
      <c r="AN133" s="516">
        <f t="shared" si="62"/>
        <v>0</v>
      </c>
      <c r="AO133" s="516">
        <f t="shared" si="62"/>
        <v>0</v>
      </c>
      <c r="AP133" s="501"/>
      <c r="AQ133" s="505"/>
      <c r="AR133" s="505"/>
      <c r="AS133" s="505"/>
      <c r="AT133" s="505"/>
      <c r="AU133" s="505"/>
      <c r="AV133" s="510"/>
      <c r="AW133" s="452"/>
    </row>
    <row r="134" spans="1:49" hidden="1">
      <c r="A134" s="143"/>
      <c r="B134" s="483"/>
      <c r="C134" s="496" t="s">
        <v>1339</v>
      </c>
      <c r="D134" s="516">
        <f t="shared" ref="D134:AO134" si="63">IF(ISERR(GETPIVOTDATA("[Measures].[" &amp; MDContractCurrency &amp; "]",TRIMARANweekly,"[Order].[Position Number]","[Order].[Position Number].&amp;[" &amp; $B138 &amp; "]","[Period].[Week]","[Period].[Week].&amp;[" &amp; YEAR(D$14-7) &amp; TEXT(WEEKNUM(D$14-7),"00") &amp; "]")),0,GETPIVOTDATA("[Measures].[" &amp; MDContractCurrency &amp; "]",TRIMARANweekly,"[Order].[Position Number]","[Order].[Position Number].&amp;[" &amp; $B138 &amp; "]","[Period].[Week]","[Period].[Week].&amp;[" &amp; YEAR(D$14-7) &amp; TEXT(WEEKNUM(D$14-7),"00") &amp; "]"))</f>
        <v>0</v>
      </c>
      <c r="E134" s="516">
        <f t="shared" si="63"/>
        <v>0</v>
      </c>
      <c r="F134" s="516">
        <f t="shared" si="63"/>
        <v>0</v>
      </c>
      <c r="G134" s="516">
        <f t="shared" si="63"/>
        <v>0</v>
      </c>
      <c r="H134" s="516">
        <f t="shared" si="63"/>
        <v>0</v>
      </c>
      <c r="I134" s="516">
        <f t="shared" si="63"/>
        <v>0</v>
      </c>
      <c r="J134" s="516">
        <f t="shared" si="63"/>
        <v>0</v>
      </c>
      <c r="K134" s="516">
        <f t="shared" si="63"/>
        <v>0</v>
      </c>
      <c r="L134" s="516">
        <f t="shared" si="63"/>
        <v>0</v>
      </c>
      <c r="M134" s="516">
        <f t="shared" si="63"/>
        <v>0</v>
      </c>
      <c r="N134" s="516">
        <f t="shared" si="63"/>
        <v>0</v>
      </c>
      <c r="O134" s="516">
        <f t="shared" si="63"/>
        <v>0</v>
      </c>
      <c r="P134" s="516">
        <f t="shared" si="63"/>
        <v>0</v>
      </c>
      <c r="Q134" s="516">
        <f t="shared" si="63"/>
        <v>0</v>
      </c>
      <c r="R134" s="516">
        <f t="shared" si="63"/>
        <v>0</v>
      </c>
      <c r="S134" s="516">
        <f t="shared" si="63"/>
        <v>0</v>
      </c>
      <c r="T134" s="516">
        <f t="shared" si="63"/>
        <v>0</v>
      </c>
      <c r="U134" s="516">
        <f t="shared" si="63"/>
        <v>0</v>
      </c>
      <c r="V134" s="516">
        <f t="shared" si="63"/>
        <v>0</v>
      </c>
      <c r="W134" s="516">
        <f t="shared" si="63"/>
        <v>0</v>
      </c>
      <c r="X134" s="516">
        <f t="shared" si="63"/>
        <v>0</v>
      </c>
      <c r="Y134" s="516">
        <f t="shared" si="63"/>
        <v>0</v>
      </c>
      <c r="Z134" s="516">
        <f t="shared" si="63"/>
        <v>0</v>
      </c>
      <c r="AA134" s="516">
        <f t="shared" si="63"/>
        <v>0</v>
      </c>
      <c r="AB134" s="516">
        <f t="shared" si="63"/>
        <v>0</v>
      </c>
      <c r="AC134" s="516">
        <f t="shared" si="63"/>
        <v>0</v>
      </c>
      <c r="AD134" s="516">
        <f t="shared" si="63"/>
        <v>0</v>
      </c>
      <c r="AE134" s="516">
        <f t="shared" si="63"/>
        <v>0</v>
      </c>
      <c r="AF134" s="516">
        <f t="shared" si="63"/>
        <v>0</v>
      </c>
      <c r="AG134" s="516">
        <f t="shared" si="63"/>
        <v>0</v>
      </c>
      <c r="AH134" s="516">
        <f t="shared" si="63"/>
        <v>0</v>
      </c>
      <c r="AI134" s="516">
        <f t="shared" si="63"/>
        <v>0</v>
      </c>
      <c r="AJ134" s="516">
        <f t="shared" si="63"/>
        <v>0</v>
      </c>
      <c r="AK134" s="516">
        <f t="shared" si="63"/>
        <v>0</v>
      </c>
      <c r="AL134" s="516">
        <f t="shared" si="63"/>
        <v>0</v>
      </c>
      <c r="AM134" s="516">
        <f t="shared" si="63"/>
        <v>0</v>
      </c>
      <c r="AN134" s="516">
        <f t="shared" si="63"/>
        <v>0</v>
      </c>
      <c r="AO134" s="516">
        <f t="shared" si="63"/>
        <v>0</v>
      </c>
      <c r="AP134" s="501"/>
      <c r="AQ134" s="505"/>
      <c r="AR134" s="505"/>
      <c r="AS134" s="505"/>
      <c r="AT134" s="505"/>
      <c r="AU134" s="505"/>
      <c r="AV134" s="510"/>
      <c r="AW134" s="452"/>
    </row>
    <row r="135" spans="1:49" hidden="1">
      <c r="A135" s="143"/>
      <c r="B135" s="483"/>
      <c r="C135" s="496" t="s">
        <v>1340</v>
      </c>
      <c r="D135" s="516">
        <f t="shared" ref="D135:AO135" si="64">IF(ISERR(GETPIVOTDATA("[Measures].[" &amp; MDContractCurrency &amp; "]",TRIMARANweekly,"[Order].[Position Number]","[Order].[Position Number].&amp;[" &amp; $B138 &amp; "]","[Period].[Week]","[Period].[Week].&amp;[" &amp; YEAR(D$14-14) &amp; TEXT(WEEKNUM(D$14-14),"00") &amp; "]")),0,GETPIVOTDATA("[Measures].[" &amp; MDContractCurrency &amp; "]",TRIMARANweekly,"[Order].[Position Number]","[Order].[Position Number].&amp;[" &amp; $B138 &amp; "]","[Period].[Week]","[Period].[Week].&amp;[" &amp; YEAR(D$14-14) &amp; TEXT(WEEKNUM(D$14-14),"00") &amp; "]"))+D134</f>
        <v>0</v>
      </c>
      <c r="E135" s="516">
        <f t="shared" si="64"/>
        <v>0</v>
      </c>
      <c r="F135" s="516">
        <f t="shared" si="64"/>
        <v>0</v>
      </c>
      <c r="G135" s="516">
        <f t="shared" si="64"/>
        <v>0</v>
      </c>
      <c r="H135" s="516">
        <f t="shared" si="64"/>
        <v>0</v>
      </c>
      <c r="I135" s="516">
        <f t="shared" si="64"/>
        <v>0</v>
      </c>
      <c r="J135" s="516">
        <f t="shared" si="64"/>
        <v>0</v>
      </c>
      <c r="K135" s="516">
        <f t="shared" si="64"/>
        <v>0</v>
      </c>
      <c r="L135" s="516">
        <f t="shared" si="64"/>
        <v>0</v>
      </c>
      <c r="M135" s="516">
        <f t="shared" si="64"/>
        <v>0</v>
      </c>
      <c r="N135" s="516">
        <f t="shared" si="64"/>
        <v>0</v>
      </c>
      <c r="O135" s="516">
        <f t="shared" si="64"/>
        <v>0</v>
      </c>
      <c r="P135" s="516">
        <f t="shared" si="64"/>
        <v>0</v>
      </c>
      <c r="Q135" s="516">
        <f t="shared" si="64"/>
        <v>0</v>
      </c>
      <c r="R135" s="516">
        <f t="shared" si="64"/>
        <v>0</v>
      </c>
      <c r="S135" s="516">
        <f t="shared" si="64"/>
        <v>0</v>
      </c>
      <c r="T135" s="516">
        <f t="shared" si="64"/>
        <v>0</v>
      </c>
      <c r="U135" s="516">
        <f t="shared" si="64"/>
        <v>0</v>
      </c>
      <c r="V135" s="516">
        <f t="shared" si="64"/>
        <v>0</v>
      </c>
      <c r="W135" s="516">
        <f t="shared" si="64"/>
        <v>0</v>
      </c>
      <c r="X135" s="516">
        <f t="shared" si="64"/>
        <v>0</v>
      </c>
      <c r="Y135" s="516">
        <f t="shared" si="64"/>
        <v>0</v>
      </c>
      <c r="Z135" s="516">
        <f t="shared" si="64"/>
        <v>0</v>
      </c>
      <c r="AA135" s="516">
        <f t="shared" si="64"/>
        <v>0</v>
      </c>
      <c r="AB135" s="516">
        <f t="shared" si="64"/>
        <v>0</v>
      </c>
      <c r="AC135" s="516">
        <f t="shared" si="64"/>
        <v>0</v>
      </c>
      <c r="AD135" s="516">
        <f t="shared" si="64"/>
        <v>0</v>
      </c>
      <c r="AE135" s="516">
        <f t="shared" si="64"/>
        <v>0</v>
      </c>
      <c r="AF135" s="516">
        <f t="shared" si="64"/>
        <v>0</v>
      </c>
      <c r="AG135" s="516">
        <f t="shared" si="64"/>
        <v>0</v>
      </c>
      <c r="AH135" s="516">
        <f t="shared" si="64"/>
        <v>0</v>
      </c>
      <c r="AI135" s="516">
        <f t="shared" si="64"/>
        <v>0</v>
      </c>
      <c r="AJ135" s="516">
        <f t="shared" si="64"/>
        <v>0</v>
      </c>
      <c r="AK135" s="516">
        <f t="shared" si="64"/>
        <v>0</v>
      </c>
      <c r="AL135" s="516">
        <f t="shared" si="64"/>
        <v>0</v>
      </c>
      <c r="AM135" s="516">
        <f t="shared" si="64"/>
        <v>0</v>
      </c>
      <c r="AN135" s="516">
        <f t="shared" si="64"/>
        <v>0</v>
      </c>
      <c r="AO135" s="516">
        <f t="shared" si="64"/>
        <v>0</v>
      </c>
      <c r="AP135" s="501"/>
      <c r="AQ135" s="505"/>
      <c r="AR135" s="505"/>
      <c r="AS135" s="505"/>
      <c r="AT135" s="505"/>
      <c r="AU135" s="505"/>
      <c r="AV135" s="510"/>
      <c r="AW135" s="452"/>
    </row>
    <row r="136" spans="1:49" hidden="1">
      <c r="A136" s="141"/>
      <c r="B136" s="517"/>
      <c r="C136" s="496" t="s">
        <v>1341</v>
      </c>
      <c r="D136" s="516">
        <f t="shared" ref="D136:AO136" si="65">IF(ISERR(GETPIVOTDATA("[Measures].[" &amp; MDContractCurrency &amp; "]",TRIMARANmonthly,"[Period].[Month]","[Period].[Month].&amp;["&amp;IF(MONTH(D$14)=1,YEAR(D$14)-1&amp;TEXT(12,"00"),YEAR(D$14)&amp;TEXT(MONTH(D$14)-1,"00"))&amp;"]","[Order].[Position Number]","[Order].[Position Number].&amp;["&amp;$B138&amp;"]")),0,GETPIVOTDATA("[Measures].[" &amp; MDContractCurrency &amp; "]",TRIMARANmonthly,"[Period].[Month]","[Period].[Month].&amp;["&amp;IF(MONTH(D$14)=1,YEAR(D$14)-1&amp;TEXT(12,"00"),YEAR(D$14)&amp;TEXT(MONTH(D$14)-1,"00"))&amp;"]","[Order].[Position Number]","[Order].[Position Number].&amp;["&amp;$B138&amp;"]"))</f>
        <v>0</v>
      </c>
      <c r="E136" s="516">
        <f t="shared" si="65"/>
        <v>0</v>
      </c>
      <c r="F136" s="516">
        <f t="shared" si="65"/>
        <v>0</v>
      </c>
      <c r="G136" s="516">
        <f t="shared" si="65"/>
        <v>0</v>
      </c>
      <c r="H136" s="516">
        <f t="shared" si="65"/>
        <v>0</v>
      </c>
      <c r="I136" s="516">
        <f t="shared" si="65"/>
        <v>0</v>
      </c>
      <c r="J136" s="516">
        <f t="shared" si="65"/>
        <v>0</v>
      </c>
      <c r="K136" s="516">
        <f t="shared" si="65"/>
        <v>0</v>
      </c>
      <c r="L136" s="516">
        <f t="shared" si="65"/>
        <v>0</v>
      </c>
      <c r="M136" s="516">
        <f t="shared" si="65"/>
        <v>0</v>
      </c>
      <c r="N136" s="516">
        <f t="shared" si="65"/>
        <v>0</v>
      </c>
      <c r="O136" s="516">
        <f t="shared" si="65"/>
        <v>0</v>
      </c>
      <c r="P136" s="516">
        <f t="shared" si="65"/>
        <v>0</v>
      </c>
      <c r="Q136" s="516">
        <f t="shared" si="65"/>
        <v>0</v>
      </c>
      <c r="R136" s="516">
        <f t="shared" si="65"/>
        <v>0</v>
      </c>
      <c r="S136" s="516">
        <f t="shared" si="65"/>
        <v>0</v>
      </c>
      <c r="T136" s="516">
        <f t="shared" si="65"/>
        <v>0</v>
      </c>
      <c r="U136" s="516">
        <f t="shared" si="65"/>
        <v>0</v>
      </c>
      <c r="V136" s="516">
        <f t="shared" si="65"/>
        <v>0</v>
      </c>
      <c r="W136" s="516">
        <f t="shared" si="65"/>
        <v>0</v>
      </c>
      <c r="X136" s="516">
        <f t="shared" si="65"/>
        <v>0</v>
      </c>
      <c r="Y136" s="516">
        <f t="shared" si="65"/>
        <v>0</v>
      </c>
      <c r="Z136" s="516">
        <f t="shared" si="65"/>
        <v>0</v>
      </c>
      <c r="AA136" s="516">
        <f t="shared" si="65"/>
        <v>0</v>
      </c>
      <c r="AB136" s="516">
        <f t="shared" si="65"/>
        <v>0</v>
      </c>
      <c r="AC136" s="516">
        <f t="shared" si="65"/>
        <v>0</v>
      </c>
      <c r="AD136" s="516">
        <f t="shared" si="65"/>
        <v>0</v>
      </c>
      <c r="AE136" s="516">
        <f t="shared" si="65"/>
        <v>0</v>
      </c>
      <c r="AF136" s="516">
        <f t="shared" si="65"/>
        <v>0</v>
      </c>
      <c r="AG136" s="516">
        <f t="shared" si="65"/>
        <v>0</v>
      </c>
      <c r="AH136" s="516">
        <f t="shared" si="65"/>
        <v>0</v>
      </c>
      <c r="AI136" s="516">
        <f t="shared" si="65"/>
        <v>0</v>
      </c>
      <c r="AJ136" s="516">
        <f t="shared" si="65"/>
        <v>0</v>
      </c>
      <c r="AK136" s="516">
        <f t="shared" si="65"/>
        <v>0</v>
      </c>
      <c r="AL136" s="516">
        <f t="shared" si="65"/>
        <v>0</v>
      </c>
      <c r="AM136" s="516">
        <f t="shared" si="65"/>
        <v>0</v>
      </c>
      <c r="AN136" s="516">
        <f t="shared" si="65"/>
        <v>0</v>
      </c>
      <c r="AO136" s="516">
        <f t="shared" si="65"/>
        <v>0</v>
      </c>
      <c r="AP136" s="501"/>
      <c r="AQ136" s="505"/>
      <c r="AR136" s="505"/>
      <c r="AS136" s="505"/>
      <c r="AT136" s="505"/>
      <c r="AU136" s="505"/>
      <c r="AV136" s="510"/>
      <c r="AW136" s="452"/>
    </row>
    <row r="137" spans="1:49">
      <c r="A137" s="143"/>
      <c r="B137" s="483"/>
      <c r="C137" s="524"/>
      <c r="D137" s="501"/>
      <c r="E137" s="501"/>
      <c r="F137" s="501"/>
      <c r="G137" s="501"/>
      <c r="H137" s="501"/>
      <c r="I137" s="501"/>
      <c r="J137" s="501"/>
      <c r="K137" s="501"/>
      <c r="L137" s="501"/>
      <c r="M137" s="501"/>
      <c r="N137" s="501"/>
      <c r="O137" s="501"/>
      <c r="P137" s="501"/>
      <c r="Q137" s="501"/>
      <c r="R137" s="501"/>
      <c r="S137" s="501"/>
      <c r="T137" s="501"/>
      <c r="U137" s="501"/>
      <c r="V137" s="501"/>
      <c r="W137" s="501"/>
      <c r="X137" s="501"/>
      <c r="Y137" s="501"/>
      <c r="Z137" s="501"/>
      <c r="AA137" s="501"/>
      <c r="AB137" s="501"/>
      <c r="AC137" s="501"/>
      <c r="AD137" s="501"/>
      <c r="AE137" s="501"/>
      <c r="AF137" s="501"/>
      <c r="AG137" s="501"/>
      <c r="AH137" s="501"/>
      <c r="AI137" s="501"/>
      <c r="AJ137" s="501"/>
      <c r="AK137" s="501"/>
      <c r="AL137" s="501"/>
      <c r="AM137" s="501"/>
      <c r="AN137" s="501"/>
      <c r="AO137" s="501"/>
      <c r="AP137" s="501"/>
      <c r="AQ137" s="505"/>
      <c r="AR137" s="505"/>
      <c r="AS137" s="505"/>
      <c r="AT137" s="505"/>
      <c r="AU137" s="505"/>
      <c r="AV137" s="510"/>
      <c r="AW137" s="452"/>
    </row>
    <row r="138" spans="1:49">
      <c r="A138" s="1183" t="str">
        <f>'Delivery Calculation'!B23 &amp; CHAR(10) &amp; 'Delivery Calculation'!P23 &amp; " - " &amp; 'Delivery Calculation'!Q23</f>
        <v xml:space="preserve">0
 - </v>
      </c>
      <c r="B138" s="1180">
        <f>'Delivery Calculation'!A23</f>
        <v>0</v>
      </c>
      <c r="C138" s="499" t="s">
        <v>562</v>
      </c>
      <c r="D138" s="518">
        <f>'Delivery Calculation'!M204</f>
        <v>0</v>
      </c>
      <c r="E138" s="518">
        <f>'Delivery Calculation'!N204</f>
        <v>0</v>
      </c>
      <c r="F138" s="518">
        <f>'Delivery Calculation'!O204</f>
        <v>0</v>
      </c>
      <c r="G138" s="518">
        <f>'Delivery Calculation'!P204</f>
        <v>0</v>
      </c>
      <c r="H138" s="518">
        <f>'Delivery Calculation'!Q204</f>
        <v>0</v>
      </c>
      <c r="I138" s="518">
        <f>'Delivery Calculation'!R204</f>
        <v>0</v>
      </c>
      <c r="J138" s="518">
        <f>'Delivery Calculation'!S204</f>
        <v>0</v>
      </c>
      <c r="K138" s="518">
        <f>'Delivery Calculation'!T204</f>
        <v>0</v>
      </c>
      <c r="L138" s="518">
        <f>'Delivery Calculation'!U204</f>
        <v>0</v>
      </c>
      <c r="M138" s="518">
        <f>'Delivery Calculation'!V204</f>
        <v>0</v>
      </c>
      <c r="N138" s="518">
        <f>'Delivery Calculation'!W204</f>
        <v>0</v>
      </c>
      <c r="O138" s="518">
        <f>'Delivery Calculation'!X204</f>
        <v>0</v>
      </c>
      <c r="P138" s="518">
        <f>'Delivery Calculation'!Y204</f>
        <v>0</v>
      </c>
      <c r="Q138" s="518">
        <f>'Delivery Calculation'!Z204</f>
        <v>0</v>
      </c>
      <c r="R138" s="518">
        <f>'Delivery Calculation'!AA204</f>
        <v>0</v>
      </c>
      <c r="S138" s="518">
        <f>'Delivery Calculation'!AB204</f>
        <v>0</v>
      </c>
      <c r="T138" s="518">
        <f>'Delivery Calculation'!AC204</f>
        <v>0</v>
      </c>
      <c r="U138" s="518">
        <f>'Delivery Calculation'!AD204</f>
        <v>0</v>
      </c>
      <c r="V138" s="518">
        <f>'Delivery Calculation'!AE204</f>
        <v>0</v>
      </c>
      <c r="W138" s="518">
        <f>'Delivery Calculation'!AF204</f>
        <v>0</v>
      </c>
      <c r="X138" s="518">
        <f>'Delivery Calculation'!AG204</f>
        <v>0</v>
      </c>
      <c r="Y138" s="518">
        <f>'Delivery Calculation'!AH204</f>
        <v>0</v>
      </c>
      <c r="Z138" s="518">
        <f>'Delivery Calculation'!AI204</f>
        <v>0</v>
      </c>
      <c r="AA138" s="518">
        <f>'Delivery Calculation'!AJ204</f>
        <v>0</v>
      </c>
      <c r="AB138" s="518">
        <f>'Delivery Calculation'!AK204</f>
        <v>0</v>
      </c>
      <c r="AC138" s="518">
        <f>'Delivery Calculation'!AL204</f>
        <v>0</v>
      </c>
      <c r="AD138" s="518">
        <f>'Delivery Calculation'!AM204</f>
        <v>0</v>
      </c>
      <c r="AE138" s="518">
        <f>'Delivery Calculation'!AN204</f>
        <v>0</v>
      </c>
      <c r="AF138" s="518">
        <f>'Delivery Calculation'!AO204</f>
        <v>0</v>
      </c>
      <c r="AG138" s="518">
        <f>'Delivery Calculation'!AP204</f>
        <v>0</v>
      </c>
      <c r="AH138" s="518">
        <f>'Delivery Calculation'!AQ204</f>
        <v>0</v>
      </c>
      <c r="AI138" s="518">
        <f>'Delivery Calculation'!AR204</f>
        <v>0</v>
      </c>
      <c r="AJ138" s="518">
        <f>'Delivery Calculation'!AS204</f>
        <v>0</v>
      </c>
      <c r="AK138" s="518">
        <f>'Delivery Calculation'!AT204</f>
        <v>0</v>
      </c>
      <c r="AL138" s="518">
        <f>'Delivery Calculation'!AU204</f>
        <v>0</v>
      </c>
      <c r="AM138" s="518">
        <f>'Delivery Calculation'!AV204</f>
        <v>0</v>
      </c>
      <c r="AN138" s="518">
        <f>'Delivery Calculation'!AW204</f>
        <v>0</v>
      </c>
      <c r="AO138" s="518">
        <f>'Delivery Calculation'!AX204</f>
        <v>0</v>
      </c>
      <c r="AP138" s="501"/>
      <c r="AQ138" s="519">
        <f>IF(COUNTIF($D$15:$AO$15, TMDPeriodValueTypeReported)&gt;0, INDEX(D138:AO138,1,COUNTIF(D$15:$AO$15,TMDPeriodValueTypeReported)),0)</f>
        <v>0</v>
      </c>
      <c r="AR138" s="519"/>
      <c r="AS138" s="520">
        <f>'Delivery Calculation'!N23</f>
        <v>0</v>
      </c>
      <c r="AT138" s="519">
        <f>AQ138*'Delivery Calculation'!N23</f>
        <v>0</v>
      </c>
      <c r="AU138" s="521" t="s">
        <v>522</v>
      </c>
      <c r="AV138" s="510"/>
      <c r="AW138" s="452"/>
    </row>
    <row r="139" spans="1:49">
      <c r="A139" s="1184"/>
      <c r="B139" s="1181"/>
      <c r="C139" s="499" t="s">
        <v>563</v>
      </c>
      <c r="D139" s="509">
        <f>IF(D$15=TMDPeriodValueTypeForecast,IF('Delivery Calculation'!$H$23=TMDAllocationTandM,0,'Delivery Calculation'!M133),IF(MDReportingPeriod=TMDMonthly,D133,IF(MDReportingPeriod=TMDTwoweekly,D132,D131)))</f>
        <v>0</v>
      </c>
      <c r="E139" s="509">
        <f>IF(E$15=TMDPeriodValueTypeForecast,IF('Delivery Calculation'!$H$23=TMDAllocationTandM,0,'Delivery Calculation'!N133),IF(MDReportingPeriod=TMDMonthly,E133,IF(MDReportingPeriod=TMDTwoweekly,E132,E131)))</f>
        <v>0</v>
      </c>
      <c r="F139" s="509">
        <f>IF(F$15=TMDPeriodValueTypeForecast,IF('Delivery Calculation'!$H$23=TMDAllocationTandM,0,'Delivery Calculation'!O133),IF(MDReportingPeriod=TMDMonthly,F133,IF(MDReportingPeriod=TMDTwoweekly,F132,F131)))</f>
        <v>0</v>
      </c>
      <c r="G139" s="509">
        <f>IF(G$15=TMDPeriodValueTypeForecast,IF('Delivery Calculation'!$H$23=TMDAllocationTandM,0,'Delivery Calculation'!P133),IF(MDReportingPeriod=TMDMonthly,G133,IF(MDReportingPeriod=TMDTwoweekly,G132,G131)))</f>
        <v>0</v>
      </c>
      <c r="H139" s="509">
        <f>IF(H$15=TMDPeriodValueTypeForecast,IF('Delivery Calculation'!$H$23=TMDAllocationTandM,0,'Delivery Calculation'!Q133),IF(MDReportingPeriod=TMDMonthly,H133,IF(MDReportingPeriod=TMDTwoweekly,H132,H131)))</f>
        <v>0</v>
      </c>
      <c r="I139" s="509">
        <f>IF(I$15=TMDPeriodValueTypeForecast,IF('Delivery Calculation'!$H$23=TMDAllocationTandM,0,'Delivery Calculation'!R133),IF(MDReportingPeriod=TMDMonthly,I133,IF(MDReportingPeriod=TMDTwoweekly,I132,I131)))</f>
        <v>0</v>
      </c>
      <c r="J139" s="509">
        <f>IF(J$15=TMDPeriodValueTypeForecast,IF('Delivery Calculation'!$H$23=TMDAllocationTandM,0,'Delivery Calculation'!S133),IF(MDReportingPeriod=TMDMonthly,J133,IF(MDReportingPeriod=TMDTwoweekly,J132,J131)))</f>
        <v>0</v>
      </c>
      <c r="K139" s="509">
        <f>IF(K$15=TMDPeriodValueTypeForecast,IF('Delivery Calculation'!$H$23=TMDAllocationTandM,0,'Delivery Calculation'!T133),IF(MDReportingPeriod=TMDMonthly,K133,IF(MDReportingPeriod=TMDTwoweekly,K132,K131)))</f>
        <v>0</v>
      </c>
      <c r="L139" s="509">
        <f>IF(L$15=TMDPeriodValueTypeForecast,IF('Delivery Calculation'!$H$23=TMDAllocationTandM,0,'Delivery Calculation'!U133),IF(MDReportingPeriod=TMDMonthly,L133,IF(MDReportingPeriod=TMDTwoweekly,L132,L131)))</f>
        <v>0</v>
      </c>
      <c r="M139" s="509">
        <f>IF(M$15=TMDPeriodValueTypeForecast,IF('Delivery Calculation'!$H$23=TMDAllocationTandM,0,'Delivery Calculation'!V133),IF(MDReportingPeriod=TMDMonthly,M133,IF(MDReportingPeriod=TMDTwoweekly,M132,M131)))</f>
        <v>0</v>
      </c>
      <c r="N139" s="509">
        <f>IF(N$15=TMDPeriodValueTypeForecast,IF('Delivery Calculation'!$H$23=TMDAllocationTandM,0,'Delivery Calculation'!W133),IF(MDReportingPeriod=TMDMonthly,N133,IF(MDReportingPeriod=TMDTwoweekly,N132,N131)))</f>
        <v>0</v>
      </c>
      <c r="O139" s="509">
        <f>IF(O$15=TMDPeriodValueTypeForecast,IF('Delivery Calculation'!$H$23=TMDAllocationTandM,0,'Delivery Calculation'!X133),IF(MDReportingPeriod=TMDMonthly,O133,IF(MDReportingPeriod=TMDTwoweekly,O132,O131)))</f>
        <v>0</v>
      </c>
      <c r="P139" s="509">
        <f>IF(P$15=TMDPeriodValueTypeForecast,IF('Delivery Calculation'!$H$23=TMDAllocationTandM,0,'Delivery Calculation'!Y133),IF(MDReportingPeriod=TMDMonthly,P133,IF(MDReportingPeriod=TMDTwoweekly,P132,P131)))</f>
        <v>0</v>
      </c>
      <c r="Q139" s="509">
        <f>IF(Q$15=TMDPeriodValueTypeForecast,IF('Delivery Calculation'!$H$23=TMDAllocationTandM,0,'Delivery Calculation'!Z133),IF(MDReportingPeriod=TMDMonthly,Q133,IF(MDReportingPeriod=TMDTwoweekly,Q132,Q131)))</f>
        <v>0</v>
      </c>
      <c r="R139" s="509">
        <f>IF(R$15=TMDPeriodValueTypeForecast,IF('Delivery Calculation'!$H$23=TMDAllocationTandM,0,'Delivery Calculation'!AA133),IF(MDReportingPeriod=TMDMonthly,R133,IF(MDReportingPeriod=TMDTwoweekly,R132,R131)))</f>
        <v>0</v>
      </c>
      <c r="S139" s="509">
        <f>IF(S$15=TMDPeriodValueTypeForecast,IF('Delivery Calculation'!$H$23=TMDAllocationTandM,0,'Delivery Calculation'!AB133),IF(MDReportingPeriod=TMDMonthly,S133,IF(MDReportingPeriod=TMDTwoweekly,S132,S131)))</f>
        <v>0</v>
      </c>
      <c r="T139" s="509">
        <f>IF(T$15=TMDPeriodValueTypeForecast,IF('Delivery Calculation'!$H$23=TMDAllocationTandM,0,'Delivery Calculation'!AC133),IF(MDReportingPeriod=TMDMonthly,T133,IF(MDReportingPeriod=TMDTwoweekly,T132,T131)))</f>
        <v>0</v>
      </c>
      <c r="U139" s="509">
        <f>IF(U$15=TMDPeriodValueTypeForecast,IF('Delivery Calculation'!$H$23=TMDAllocationTandM,0,'Delivery Calculation'!AD133),IF(MDReportingPeriod=TMDMonthly,U133,IF(MDReportingPeriod=TMDTwoweekly,U132,U131)))</f>
        <v>0</v>
      </c>
      <c r="V139" s="509">
        <f>IF(V$15=TMDPeriodValueTypeForecast,IF('Delivery Calculation'!$H$23=TMDAllocationTandM,0,'Delivery Calculation'!AE133),IF(MDReportingPeriod=TMDMonthly,V133,IF(MDReportingPeriod=TMDTwoweekly,V132,V131)))</f>
        <v>0</v>
      </c>
      <c r="W139" s="509">
        <f>IF(W$15=TMDPeriodValueTypeForecast,IF('Delivery Calculation'!$H$23=TMDAllocationTandM,0,'Delivery Calculation'!AF133),IF(MDReportingPeriod=TMDMonthly,W133,IF(MDReportingPeriod=TMDTwoweekly,W132,W131)))</f>
        <v>0</v>
      </c>
      <c r="X139" s="509">
        <f>IF(X$15=TMDPeriodValueTypeForecast,IF('Delivery Calculation'!$H$23=TMDAllocationTandM,0,'Delivery Calculation'!AG133),IF(MDReportingPeriod=TMDMonthly,X133,IF(MDReportingPeriod=TMDTwoweekly,X132,X131)))</f>
        <v>0</v>
      </c>
      <c r="Y139" s="509">
        <f>IF(Y$15=TMDPeriodValueTypeForecast,IF('Delivery Calculation'!$H$23=TMDAllocationTandM,0,'Delivery Calculation'!AH133),IF(MDReportingPeriod=TMDMonthly,Y133,IF(MDReportingPeriod=TMDTwoweekly,Y132,Y131)))</f>
        <v>0</v>
      </c>
      <c r="Z139" s="509">
        <f>IF(Z$15=TMDPeriodValueTypeForecast,IF('Delivery Calculation'!$H$23=TMDAllocationTandM,0,'Delivery Calculation'!AI133),IF(MDReportingPeriod=TMDMonthly,Z133,IF(MDReportingPeriod=TMDTwoweekly,Z132,Z131)))</f>
        <v>0</v>
      </c>
      <c r="AA139" s="509">
        <f>IF(AA$15=TMDPeriodValueTypeForecast,IF('Delivery Calculation'!$H$23=TMDAllocationTandM,0,'Delivery Calculation'!AJ133),IF(MDReportingPeriod=TMDMonthly,AA133,IF(MDReportingPeriod=TMDTwoweekly,AA132,AA131)))</f>
        <v>0</v>
      </c>
      <c r="AB139" s="509">
        <f>IF(AB$15=TMDPeriodValueTypeForecast,IF('Delivery Calculation'!$H$23=TMDAllocationTandM,0,'Delivery Calculation'!AK133),IF(MDReportingPeriod=TMDMonthly,AB133,IF(MDReportingPeriod=TMDTwoweekly,AB132,AB131)))</f>
        <v>0</v>
      </c>
      <c r="AC139" s="509">
        <f>IF(AC$15=TMDPeriodValueTypeForecast,IF('Delivery Calculation'!$H$23=TMDAllocationTandM,0,'Delivery Calculation'!AL133),IF(MDReportingPeriod=TMDMonthly,AC133,IF(MDReportingPeriod=TMDTwoweekly,AC132,AC131)))</f>
        <v>0</v>
      </c>
      <c r="AD139" s="509">
        <f>IF(AD$15=TMDPeriodValueTypeForecast,IF('Delivery Calculation'!$H$23=TMDAllocationTandM,0,'Delivery Calculation'!AM133),IF(MDReportingPeriod=TMDMonthly,AD133,IF(MDReportingPeriod=TMDTwoweekly,AD132,AD131)))</f>
        <v>0</v>
      </c>
      <c r="AE139" s="509">
        <f>IF(AE$15=TMDPeriodValueTypeForecast,IF('Delivery Calculation'!$H$23=TMDAllocationTandM,0,'Delivery Calculation'!AN133),IF(MDReportingPeriod=TMDMonthly,AE133,IF(MDReportingPeriod=TMDTwoweekly,AE132,AE131)))</f>
        <v>0</v>
      </c>
      <c r="AF139" s="509">
        <f>IF(AF$15=TMDPeriodValueTypeForecast,IF('Delivery Calculation'!$H$23=TMDAllocationTandM,0,'Delivery Calculation'!AO133),IF(MDReportingPeriod=TMDMonthly,AF133,IF(MDReportingPeriod=TMDTwoweekly,AF132,AF131)))</f>
        <v>0</v>
      </c>
      <c r="AG139" s="509">
        <f>IF(AG$15=TMDPeriodValueTypeForecast,IF('Delivery Calculation'!$H$23=TMDAllocationTandM,0,'Delivery Calculation'!AP133),IF(MDReportingPeriod=TMDMonthly,AG133,IF(MDReportingPeriod=TMDTwoweekly,AG132,AG131)))</f>
        <v>0</v>
      </c>
      <c r="AH139" s="509">
        <f>IF(AH$15=TMDPeriodValueTypeForecast,IF('Delivery Calculation'!$H$23=TMDAllocationTandM,0,'Delivery Calculation'!AQ133),IF(MDReportingPeriod=TMDMonthly,AH133,IF(MDReportingPeriod=TMDTwoweekly,AH132,AH131)))</f>
        <v>0</v>
      </c>
      <c r="AI139" s="509">
        <f>IF(AI$15=TMDPeriodValueTypeForecast,IF('Delivery Calculation'!$H$23=TMDAllocationTandM,0,'Delivery Calculation'!AR133),IF(MDReportingPeriod=TMDMonthly,AI133,IF(MDReportingPeriod=TMDTwoweekly,AI132,AI131)))</f>
        <v>0</v>
      </c>
      <c r="AJ139" s="509">
        <f>IF(AJ$15=TMDPeriodValueTypeForecast,IF('Delivery Calculation'!$H$23=TMDAllocationTandM,0,'Delivery Calculation'!AS133),IF(MDReportingPeriod=TMDMonthly,AJ133,IF(MDReportingPeriod=TMDTwoweekly,AJ132,AJ131)))</f>
        <v>0</v>
      </c>
      <c r="AK139" s="509">
        <f>IF(AK$15=TMDPeriodValueTypeForecast,IF('Delivery Calculation'!$H$23=TMDAllocationTandM,0,'Delivery Calculation'!AT133),IF(MDReportingPeriod=TMDMonthly,AK133,IF(MDReportingPeriod=TMDTwoweekly,AK132,AK131)))</f>
        <v>0</v>
      </c>
      <c r="AL139" s="509">
        <f>IF(AL$15=TMDPeriodValueTypeForecast,IF('Delivery Calculation'!$H$23=TMDAllocationTandM,0,'Delivery Calculation'!AU133),IF(MDReportingPeriod=TMDMonthly,AL133,IF(MDReportingPeriod=TMDTwoweekly,AL132,AL131)))</f>
        <v>0</v>
      </c>
      <c r="AM139" s="509">
        <f>IF(AM$15=TMDPeriodValueTypeForecast,IF('Delivery Calculation'!$H$23=TMDAllocationTandM,0,'Delivery Calculation'!AV133),IF(MDReportingPeriod=TMDMonthly,AM133,IF(MDReportingPeriod=TMDTwoweekly,AM132,AM131)))</f>
        <v>0</v>
      </c>
      <c r="AN139" s="509">
        <f>IF(AN$15=TMDPeriodValueTypeForecast,IF('Delivery Calculation'!$H$23=TMDAllocationTandM,0,'Delivery Calculation'!AW133),IF(MDReportingPeriod=TMDMonthly,AN133,IF(MDReportingPeriod=TMDTwoweekly,AN132,AN131)))</f>
        <v>0</v>
      </c>
      <c r="AO139" s="509">
        <f>IF(AO$15=TMDPeriodValueTypeForecast,IF('Delivery Calculation'!$H$23=TMDAllocationTandM,0,'Delivery Calculation'!AX133),IF(MDReportingPeriod=TMDMonthly,AO133,IF(MDReportingPeriod=TMDTwoweekly,AO132,AO131)))</f>
        <v>0</v>
      </c>
      <c r="AP139" s="501"/>
      <c r="AQ139" s="505">
        <f>SUMIF($D$15:$AO$15,TMDPeriodValueTypeReported,D139:AO139)</f>
        <v>0</v>
      </c>
      <c r="AR139" s="505">
        <f>SUMIF($D$15:$AO$15,TMDPeriodValueTypeForecast,D139:AO139)</f>
        <v>0</v>
      </c>
      <c r="AS139" s="523">
        <f>'Delivery Calculation'!J23</f>
        <v>0</v>
      </c>
      <c r="AT139" s="505">
        <f>AS139-(AQ139+AR139)</f>
        <v>0</v>
      </c>
      <c r="AU139" s="505"/>
      <c r="AV139" s="510"/>
      <c r="AW139" s="452"/>
    </row>
    <row r="140" spans="1:49">
      <c r="A140" s="1184"/>
      <c r="B140" s="1181"/>
      <c r="C140" s="499" t="s">
        <v>564</v>
      </c>
      <c r="D140" s="509">
        <f>IF(D$15=TMDPeriodValueTypeForecast,IF('Delivery Calculation'!$H$23=TMDAllocationTandM,0,'Delivery Calculation'!M97),IF(MDReportingPeriod=TMDMonthly,D136,IF(MDReportingPeriod=TMDTwoweekly,D135,D134)))</f>
        <v>0</v>
      </c>
      <c r="E140" s="509">
        <f>IF(E$15=TMDPeriodValueTypeForecast,IF('Delivery Calculation'!$H$23=TMDAllocationTandM,0,'Delivery Calculation'!N97),IF(MDReportingPeriod=TMDMonthly,E136,IF(MDReportingPeriod=TMDTwoweekly,E135,E134)))</f>
        <v>0</v>
      </c>
      <c r="F140" s="509">
        <f>IF(F$15=TMDPeriodValueTypeForecast,IF('Delivery Calculation'!$H$23=TMDAllocationTandM,0,'Delivery Calculation'!O97),IF(MDReportingPeriod=TMDMonthly,F136,IF(MDReportingPeriod=TMDTwoweekly,F135,F134)))</f>
        <v>0</v>
      </c>
      <c r="G140" s="509">
        <f>IF(G$15=TMDPeriodValueTypeForecast,IF('Delivery Calculation'!$H$23=TMDAllocationTandM,0,'Delivery Calculation'!P97),IF(MDReportingPeriod=TMDMonthly,G136,IF(MDReportingPeriod=TMDTwoweekly,G135,G134)))</f>
        <v>0</v>
      </c>
      <c r="H140" s="509">
        <f>IF(H$15=TMDPeriodValueTypeForecast,IF('Delivery Calculation'!$H$23=TMDAllocationTandM,0,'Delivery Calculation'!Q97),IF(MDReportingPeriod=TMDMonthly,H136,IF(MDReportingPeriod=TMDTwoweekly,H135,H134)))</f>
        <v>0</v>
      </c>
      <c r="I140" s="509">
        <f>IF(I$15=TMDPeriodValueTypeForecast,IF('Delivery Calculation'!$H$23=TMDAllocationTandM,0,'Delivery Calculation'!R97),IF(MDReportingPeriod=TMDMonthly,I136,IF(MDReportingPeriod=TMDTwoweekly,I135,I134)))</f>
        <v>0</v>
      </c>
      <c r="J140" s="509">
        <f>IF(J$15=TMDPeriodValueTypeForecast,IF('Delivery Calculation'!$H$23=TMDAllocationTandM,0,'Delivery Calculation'!S97),IF(MDReportingPeriod=TMDMonthly,J136,IF(MDReportingPeriod=TMDTwoweekly,J135,J134)))</f>
        <v>0</v>
      </c>
      <c r="K140" s="509">
        <f>IF(K$15=TMDPeriodValueTypeForecast,IF('Delivery Calculation'!$H$23=TMDAllocationTandM,0,'Delivery Calculation'!T97),IF(MDReportingPeriod=TMDMonthly,K136,IF(MDReportingPeriod=TMDTwoweekly,K135,K134)))</f>
        <v>0</v>
      </c>
      <c r="L140" s="509">
        <f>IF(L$15=TMDPeriodValueTypeForecast,IF('Delivery Calculation'!$H$23=TMDAllocationTandM,0,'Delivery Calculation'!U97),IF(MDReportingPeriod=TMDMonthly,L136,IF(MDReportingPeriod=TMDTwoweekly,L135,L134)))</f>
        <v>0</v>
      </c>
      <c r="M140" s="509">
        <f>IF(M$15=TMDPeriodValueTypeForecast,IF('Delivery Calculation'!$H$23=TMDAllocationTandM,0,'Delivery Calculation'!V97),IF(MDReportingPeriod=TMDMonthly,M136,IF(MDReportingPeriod=TMDTwoweekly,M135,M134)))</f>
        <v>0</v>
      </c>
      <c r="N140" s="509">
        <f>IF(N$15=TMDPeriodValueTypeForecast,IF('Delivery Calculation'!$H$23=TMDAllocationTandM,0,'Delivery Calculation'!W97),IF(MDReportingPeriod=TMDMonthly,N136,IF(MDReportingPeriod=TMDTwoweekly,N135,N134)))</f>
        <v>0</v>
      </c>
      <c r="O140" s="509">
        <f>IF(O$15=TMDPeriodValueTypeForecast,IF('Delivery Calculation'!$H$23=TMDAllocationTandM,0,'Delivery Calculation'!X97),IF(MDReportingPeriod=TMDMonthly,O136,IF(MDReportingPeriod=TMDTwoweekly,O135,O134)))</f>
        <v>0</v>
      </c>
      <c r="P140" s="509">
        <f>IF(P$15=TMDPeriodValueTypeForecast,IF('Delivery Calculation'!$H$23=TMDAllocationTandM,0,'Delivery Calculation'!Y97),IF(MDReportingPeriod=TMDMonthly,P136,IF(MDReportingPeriod=TMDTwoweekly,P135,P134)))</f>
        <v>0</v>
      </c>
      <c r="Q140" s="509">
        <f>IF(Q$15=TMDPeriodValueTypeForecast,IF('Delivery Calculation'!$H$23=TMDAllocationTandM,0,'Delivery Calculation'!Z97),IF(MDReportingPeriod=TMDMonthly,Q136,IF(MDReportingPeriod=TMDTwoweekly,Q135,Q134)))</f>
        <v>0</v>
      </c>
      <c r="R140" s="509">
        <f>IF(R$15=TMDPeriodValueTypeForecast,IF('Delivery Calculation'!$H$23=TMDAllocationTandM,0,'Delivery Calculation'!AA97),IF(MDReportingPeriod=TMDMonthly,R136,IF(MDReportingPeriod=TMDTwoweekly,R135,R134)))</f>
        <v>0</v>
      </c>
      <c r="S140" s="509">
        <f>IF(S$15=TMDPeriodValueTypeForecast,IF('Delivery Calculation'!$H$23=TMDAllocationTandM,0,'Delivery Calculation'!AB97),IF(MDReportingPeriod=TMDMonthly,S136,IF(MDReportingPeriod=TMDTwoweekly,S135,S134)))</f>
        <v>0</v>
      </c>
      <c r="T140" s="509">
        <f>IF(T$15=TMDPeriodValueTypeForecast,IF('Delivery Calculation'!$H$23=TMDAllocationTandM,0,'Delivery Calculation'!AC97),IF(MDReportingPeriod=TMDMonthly,T136,IF(MDReportingPeriod=TMDTwoweekly,T135,T134)))</f>
        <v>0</v>
      </c>
      <c r="U140" s="509">
        <f>IF(U$15=TMDPeriodValueTypeForecast,IF('Delivery Calculation'!$H$23=TMDAllocationTandM,0,'Delivery Calculation'!AD97),IF(MDReportingPeriod=TMDMonthly,U136,IF(MDReportingPeriod=TMDTwoweekly,U135,U134)))</f>
        <v>0</v>
      </c>
      <c r="V140" s="509">
        <f>IF(V$15=TMDPeriodValueTypeForecast,IF('Delivery Calculation'!$H$23=TMDAllocationTandM,0,'Delivery Calculation'!AE97),IF(MDReportingPeriod=TMDMonthly,V136,IF(MDReportingPeriod=TMDTwoweekly,V135,V134)))</f>
        <v>0</v>
      </c>
      <c r="W140" s="509">
        <f>IF(W$15=TMDPeriodValueTypeForecast,IF('Delivery Calculation'!$H$23=TMDAllocationTandM,0,'Delivery Calculation'!AF97),IF(MDReportingPeriod=TMDMonthly,W136,IF(MDReportingPeriod=TMDTwoweekly,W135,W134)))</f>
        <v>0</v>
      </c>
      <c r="X140" s="509">
        <f>IF(X$15=TMDPeriodValueTypeForecast,IF('Delivery Calculation'!$H$23=TMDAllocationTandM,0,'Delivery Calculation'!AG97),IF(MDReportingPeriod=TMDMonthly,X136,IF(MDReportingPeriod=TMDTwoweekly,X135,X134)))</f>
        <v>0</v>
      </c>
      <c r="Y140" s="509">
        <f>IF(Y$15=TMDPeriodValueTypeForecast,IF('Delivery Calculation'!$H$23=TMDAllocationTandM,0,'Delivery Calculation'!AH97),IF(MDReportingPeriod=TMDMonthly,Y136,IF(MDReportingPeriod=TMDTwoweekly,Y135,Y134)))</f>
        <v>0</v>
      </c>
      <c r="Z140" s="509">
        <f>IF(Z$15=TMDPeriodValueTypeForecast,IF('Delivery Calculation'!$H$23=TMDAllocationTandM,0,'Delivery Calculation'!AI97),IF(MDReportingPeriod=TMDMonthly,Z136,IF(MDReportingPeriod=TMDTwoweekly,Z135,Z134)))</f>
        <v>0</v>
      </c>
      <c r="AA140" s="509">
        <f>IF(AA$15=TMDPeriodValueTypeForecast,IF('Delivery Calculation'!$H$23=TMDAllocationTandM,0,'Delivery Calculation'!AJ97),IF(MDReportingPeriod=TMDMonthly,AA136,IF(MDReportingPeriod=TMDTwoweekly,AA135,AA134)))</f>
        <v>0</v>
      </c>
      <c r="AB140" s="509">
        <f>IF(AB$15=TMDPeriodValueTypeForecast,IF('Delivery Calculation'!$H$23=TMDAllocationTandM,0,'Delivery Calculation'!AK97),IF(MDReportingPeriod=TMDMonthly,AB136,IF(MDReportingPeriod=TMDTwoweekly,AB135,AB134)))</f>
        <v>0</v>
      </c>
      <c r="AC140" s="509">
        <f>IF(AC$15=TMDPeriodValueTypeForecast,IF('Delivery Calculation'!$H$23=TMDAllocationTandM,0,'Delivery Calculation'!AL97),IF(MDReportingPeriod=TMDMonthly,AC136,IF(MDReportingPeriod=TMDTwoweekly,AC135,AC134)))</f>
        <v>0</v>
      </c>
      <c r="AD140" s="509">
        <f>IF(AD$15=TMDPeriodValueTypeForecast,IF('Delivery Calculation'!$H$23=TMDAllocationTandM,0,'Delivery Calculation'!AM97),IF(MDReportingPeriod=TMDMonthly,AD136,IF(MDReportingPeriod=TMDTwoweekly,AD135,AD134)))</f>
        <v>0</v>
      </c>
      <c r="AE140" s="509">
        <f>IF(AE$15=TMDPeriodValueTypeForecast,IF('Delivery Calculation'!$H$23=TMDAllocationTandM,0,'Delivery Calculation'!AN97),IF(MDReportingPeriod=TMDMonthly,AE136,IF(MDReportingPeriod=TMDTwoweekly,AE135,AE134)))</f>
        <v>0</v>
      </c>
      <c r="AF140" s="509">
        <f>IF(AF$15=TMDPeriodValueTypeForecast,IF('Delivery Calculation'!$H$23=TMDAllocationTandM,0,'Delivery Calculation'!AO97),IF(MDReportingPeriod=TMDMonthly,AF136,IF(MDReportingPeriod=TMDTwoweekly,AF135,AF134)))</f>
        <v>0</v>
      </c>
      <c r="AG140" s="509">
        <f>IF(AG$15=TMDPeriodValueTypeForecast,IF('Delivery Calculation'!$H$23=TMDAllocationTandM,0,'Delivery Calculation'!AP97),IF(MDReportingPeriod=TMDMonthly,AG136,IF(MDReportingPeriod=TMDTwoweekly,AG135,AG134)))</f>
        <v>0</v>
      </c>
      <c r="AH140" s="509">
        <f>IF(AH$15=TMDPeriodValueTypeForecast,IF('Delivery Calculation'!$H$23=TMDAllocationTandM,0,'Delivery Calculation'!AQ97),IF(MDReportingPeriod=TMDMonthly,AH136,IF(MDReportingPeriod=TMDTwoweekly,AH135,AH134)))</f>
        <v>0</v>
      </c>
      <c r="AI140" s="509">
        <f>IF(AI$15=TMDPeriodValueTypeForecast,IF('Delivery Calculation'!$H$23=TMDAllocationTandM,0,'Delivery Calculation'!AR97),IF(MDReportingPeriod=TMDMonthly,AI136,IF(MDReportingPeriod=TMDTwoweekly,AI135,AI134)))</f>
        <v>0</v>
      </c>
      <c r="AJ140" s="509">
        <f>IF(AJ$15=TMDPeriodValueTypeForecast,IF('Delivery Calculation'!$H$23=TMDAllocationTandM,0,'Delivery Calculation'!AS97),IF(MDReportingPeriod=TMDMonthly,AJ136,IF(MDReportingPeriod=TMDTwoweekly,AJ135,AJ134)))</f>
        <v>0</v>
      </c>
      <c r="AK140" s="509">
        <f>IF(AK$15=TMDPeriodValueTypeForecast,IF('Delivery Calculation'!$H$23=TMDAllocationTandM,0,'Delivery Calculation'!AT97),IF(MDReportingPeriod=TMDMonthly,AK136,IF(MDReportingPeriod=TMDTwoweekly,AK135,AK134)))</f>
        <v>0</v>
      </c>
      <c r="AL140" s="509">
        <f>IF(AL$15=TMDPeriodValueTypeForecast,IF('Delivery Calculation'!$H$23=TMDAllocationTandM,0,'Delivery Calculation'!AU97),IF(MDReportingPeriod=TMDMonthly,AL136,IF(MDReportingPeriod=TMDTwoweekly,AL135,AL134)))</f>
        <v>0</v>
      </c>
      <c r="AM140" s="509">
        <f>IF(AM$15=TMDPeriodValueTypeForecast,IF('Delivery Calculation'!$H$23=TMDAllocationTandM,0,'Delivery Calculation'!AV97),IF(MDReportingPeriod=TMDMonthly,AM136,IF(MDReportingPeriod=TMDTwoweekly,AM135,AM134)))</f>
        <v>0</v>
      </c>
      <c r="AN140" s="509">
        <f>IF(AN$15=TMDPeriodValueTypeForecast,IF('Delivery Calculation'!$H$23=TMDAllocationTandM,0,'Delivery Calculation'!AW97),IF(MDReportingPeriod=TMDMonthly,AN136,IF(MDReportingPeriod=TMDTwoweekly,AN135,AN134)))</f>
        <v>0</v>
      </c>
      <c r="AO140" s="509">
        <f>IF(AO$15=TMDPeriodValueTypeForecast,IF('Delivery Calculation'!$H$23=TMDAllocationTandM,0,'Delivery Calculation'!AX97),IF(MDReportingPeriod=TMDMonthly,AO136,IF(MDReportingPeriod=TMDTwoweekly,AO135,AO134)))</f>
        <v>0</v>
      </c>
      <c r="AP140" s="501"/>
      <c r="AQ140" s="505">
        <f>SUMIF($D$15:$AO$15,TMDPeriodValueTypeReported,D140:AO140)</f>
        <v>0</v>
      </c>
      <c r="AR140" s="505">
        <f>SUMIF($D$15:$AO$15,TMDPeriodValueTypeForecast,D140:AO140)</f>
        <v>0</v>
      </c>
      <c r="AS140" s="523">
        <f>'Delivery Calculation'!I23</f>
        <v>0</v>
      </c>
      <c r="AT140" s="505">
        <f>AS140-(AQ140+AR140)</f>
        <v>0</v>
      </c>
      <c r="AU140" s="505"/>
      <c r="AV140" s="510"/>
      <c r="AW140" s="452"/>
    </row>
    <row r="141" spans="1:49">
      <c r="A141" s="1185"/>
      <c r="B141" s="1182"/>
      <c r="C141" s="499" t="s">
        <v>565</v>
      </c>
      <c r="D141" s="509"/>
      <c r="E141" s="509"/>
      <c r="F141" s="509"/>
      <c r="G141" s="509"/>
      <c r="H141" s="509"/>
      <c r="I141" s="509"/>
      <c r="J141" s="509"/>
      <c r="K141" s="509"/>
      <c r="L141" s="509"/>
      <c r="M141" s="509"/>
      <c r="N141" s="509"/>
      <c r="O141" s="509"/>
      <c r="P141" s="509"/>
      <c r="Q141" s="509"/>
      <c r="R141" s="509"/>
      <c r="S141" s="509"/>
      <c r="T141" s="509"/>
      <c r="U141" s="509"/>
      <c r="V141" s="509"/>
      <c r="W141" s="509"/>
      <c r="X141" s="509"/>
      <c r="Y141" s="509"/>
      <c r="Z141" s="509"/>
      <c r="AA141" s="509"/>
      <c r="AB141" s="509"/>
      <c r="AC141" s="509"/>
      <c r="AD141" s="509"/>
      <c r="AE141" s="509"/>
      <c r="AF141" s="509"/>
      <c r="AG141" s="509"/>
      <c r="AH141" s="509"/>
      <c r="AI141" s="509"/>
      <c r="AJ141" s="509"/>
      <c r="AK141" s="509"/>
      <c r="AL141" s="509"/>
      <c r="AM141" s="509"/>
      <c r="AN141" s="509"/>
      <c r="AO141" s="509"/>
      <c r="AP141" s="501"/>
      <c r="AQ141" s="505">
        <f>SUMIF($D$15:$AO$15,TMDPeriodValueTypeReported,D141:AO141)</f>
        <v>0</v>
      </c>
      <c r="AR141" s="505">
        <f>SUMIF($D$15:$AO$15,TMDPeriodValueTypeForecast,D141:AO141)</f>
        <v>0</v>
      </c>
      <c r="AS141" s="505"/>
      <c r="AT141" s="505">
        <f>AQ141+AR141</f>
        <v>0</v>
      </c>
      <c r="AU141" s="505"/>
      <c r="AV141" s="510"/>
      <c r="AW141" s="452"/>
    </row>
    <row r="142" spans="1:49" hidden="1">
      <c r="A142" s="143"/>
      <c r="B142" s="483"/>
      <c r="C142" s="496" t="s">
        <v>1339</v>
      </c>
      <c r="D142" s="516">
        <f t="shared" ref="D142:AO142" si="66">IF(ISERR(GETPIVOTDATA("[Measures].[Hours]",TRIMARANweekly,"[Order].[Position Number]","[Order].[Position Number].&amp;[" &amp; $B149 &amp; "]","[Period].[Week]","[Period].[Week].&amp;[" &amp; YEAR(D$14-7) &amp; TEXT(WEEKNUM(D$14-7),"00") &amp; "]")),0,GETPIVOTDATA("[Measures].[Hours]",TRIMARANweekly,"[Order].[Position Number]","[Order].[Position Number].&amp;[" &amp; $B149 &amp; "]","[Period].[Week]","[Period].[Week].&amp;[" &amp; YEAR(D$14-7) &amp; TEXT(WEEKNUM(D$14-7),"00") &amp; "]"))</f>
        <v>0</v>
      </c>
      <c r="E142" s="516">
        <f t="shared" si="66"/>
        <v>0</v>
      </c>
      <c r="F142" s="516">
        <f t="shared" si="66"/>
        <v>0</v>
      </c>
      <c r="G142" s="516">
        <f t="shared" si="66"/>
        <v>0</v>
      </c>
      <c r="H142" s="516">
        <f t="shared" si="66"/>
        <v>0</v>
      </c>
      <c r="I142" s="516">
        <f t="shared" si="66"/>
        <v>0</v>
      </c>
      <c r="J142" s="516">
        <f t="shared" si="66"/>
        <v>0</v>
      </c>
      <c r="K142" s="516">
        <f t="shared" si="66"/>
        <v>0</v>
      </c>
      <c r="L142" s="516">
        <f t="shared" si="66"/>
        <v>0</v>
      </c>
      <c r="M142" s="516">
        <f t="shared" si="66"/>
        <v>0</v>
      </c>
      <c r="N142" s="516">
        <f t="shared" si="66"/>
        <v>0</v>
      </c>
      <c r="O142" s="516">
        <f t="shared" si="66"/>
        <v>0</v>
      </c>
      <c r="P142" s="516">
        <f t="shared" si="66"/>
        <v>0</v>
      </c>
      <c r="Q142" s="516">
        <f t="shared" si="66"/>
        <v>0</v>
      </c>
      <c r="R142" s="516">
        <f t="shared" si="66"/>
        <v>0</v>
      </c>
      <c r="S142" s="516">
        <f t="shared" si="66"/>
        <v>0</v>
      </c>
      <c r="T142" s="516">
        <f t="shared" si="66"/>
        <v>0</v>
      </c>
      <c r="U142" s="516">
        <f t="shared" si="66"/>
        <v>0</v>
      </c>
      <c r="V142" s="516">
        <f t="shared" si="66"/>
        <v>0</v>
      </c>
      <c r="W142" s="516">
        <f t="shared" si="66"/>
        <v>0</v>
      </c>
      <c r="X142" s="516">
        <f t="shared" si="66"/>
        <v>0</v>
      </c>
      <c r="Y142" s="516">
        <f t="shared" si="66"/>
        <v>0</v>
      </c>
      <c r="Z142" s="516">
        <f t="shared" si="66"/>
        <v>0</v>
      </c>
      <c r="AA142" s="516">
        <f t="shared" si="66"/>
        <v>0</v>
      </c>
      <c r="AB142" s="516">
        <f t="shared" si="66"/>
        <v>0</v>
      </c>
      <c r="AC142" s="516">
        <f t="shared" si="66"/>
        <v>0</v>
      </c>
      <c r="AD142" s="516">
        <f t="shared" si="66"/>
        <v>0</v>
      </c>
      <c r="AE142" s="516">
        <f t="shared" si="66"/>
        <v>0</v>
      </c>
      <c r="AF142" s="516">
        <f t="shared" si="66"/>
        <v>0</v>
      </c>
      <c r="AG142" s="516">
        <f t="shared" si="66"/>
        <v>0</v>
      </c>
      <c r="AH142" s="516">
        <f t="shared" si="66"/>
        <v>0</v>
      </c>
      <c r="AI142" s="516">
        <f t="shared" si="66"/>
        <v>0</v>
      </c>
      <c r="AJ142" s="516">
        <f t="shared" si="66"/>
        <v>0</v>
      </c>
      <c r="AK142" s="516">
        <f t="shared" si="66"/>
        <v>0</v>
      </c>
      <c r="AL142" s="516">
        <f t="shared" si="66"/>
        <v>0</v>
      </c>
      <c r="AM142" s="516">
        <f t="shared" si="66"/>
        <v>0</v>
      </c>
      <c r="AN142" s="516">
        <f t="shared" si="66"/>
        <v>0</v>
      </c>
      <c r="AO142" s="516">
        <f t="shared" si="66"/>
        <v>0</v>
      </c>
      <c r="AP142" s="501"/>
      <c r="AQ142" s="505"/>
      <c r="AR142" s="505"/>
      <c r="AS142" s="505"/>
      <c r="AT142" s="505"/>
      <c r="AU142" s="505"/>
      <c r="AV142" s="510"/>
      <c r="AW142" s="452"/>
    </row>
    <row r="143" spans="1:49" hidden="1">
      <c r="A143" s="143"/>
      <c r="B143" s="483"/>
      <c r="C143" s="496" t="s">
        <v>1340</v>
      </c>
      <c r="D143" s="516">
        <f t="shared" ref="D143:AO143" si="67">IF(ISERR(GETPIVOTDATA("[Measures].[Hours]",TRIMARANweekly,"[Order].[Position Number]","[Order].[Position Number].&amp;[" &amp; $B149 &amp; "]","[Period].[Week]","[Period].[Week].&amp;[" &amp; YEAR(D$14-14) &amp; TEXT(WEEKNUM(D$14-14),"00") &amp; "]")),0,GETPIVOTDATA("[Measures].[Hours]",TRIMARANweekly,"[Order].[Position Number]","[Order].[Position Number].&amp;[" &amp; $B149 &amp; "]","[Period].[Week]","[Period].[Week].&amp;[" &amp; YEAR(D$14-14) &amp; TEXT(WEEKNUM(D$14-14),"00") &amp; "]"))+D142</f>
        <v>0</v>
      </c>
      <c r="E143" s="516">
        <f t="shared" si="67"/>
        <v>0</v>
      </c>
      <c r="F143" s="516">
        <f t="shared" si="67"/>
        <v>0</v>
      </c>
      <c r="G143" s="516">
        <f t="shared" si="67"/>
        <v>0</v>
      </c>
      <c r="H143" s="516">
        <f t="shared" si="67"/>
        <v>0</v>
      </c>
      <c r="I143" s="516">
        <f t="shared" si="67"/>
        <v>0</v>
      </c>
      <c r="J143" s="516">
        <f t="shared" si="67"/>
        <v>0</v>
      </c>
      <c r="K143" s="516">
        <f t="shared" si="67"/>
        <v>0</v>
      </c>
      <c r="L143" s="516">
        <f t="shared" si="67"/>
        <v>0</v>
      </c>
      <c r="M143" s="516">
        <f t="shared" si="67"/>
        <v>0</v>
      </c>
      <c r="N143" s="516">
        <f t="shared" si="67"/>
        <v>0</v>
      </c>
      <c r="O143" s="516">
        <f t="shared" si="67"/>
        <v>0</v>
      </c>
      <c r="P143" s="516">
        <f t="shared" si="67"/>
        <v>0</v>
      </c>
      <c r="Q143" s="516">
        <f t="shared" si="67"/>
        <v>0</v>
      </c>
      <c r="R143" s="516">
        <f t="shared" si="67"/>
        <v>0</v>
      </c>
      <c r="S143" s="516">
        <f t="shared" si="67"/>
        <v>0</v>
      </c>
      <c r="T143" s="516">
        <f t="shared" si="67"/>
        <v>0</v>
      </c>
      <c r="U143" s="516">
        <f t="shared" si="67"/>
        <v>0</v>
      </c>
      <c r="V143" s="516">
        <f t="shared" si="67"/>
        <v>0</v>
      </c>
      <c r="W143" s="516">
        <f t="shared" si="67"/>
        <v>0</v>
      </c>
      <c r="X143" s="516">
        <f t="shared" si="67"/>
        <v>0</v>
      </c>
      <c r="Y143" s="516">
        <f t="shared" si="67"/>
        <v>0</v>
      </c>
      <c r="Z143" s="516">
        <f t="shared" si="67"/>
        <v>0</v>
      </c>
      <c r="AA143" s="516">
        <f t="shared" si="67"/>
        <v>0</v>
      </c>
      <c r="AB143" s="516">
        <f t="shared" si="67"/>
        <v>0</v>
      </c>
      <c r="AC143" s="516">
        <f t="shared" si="67"/>
        <v>0</v>
      </c>
      <c r="AD143" s="516">
        <f t="shared" si="67"/>
        <v>0</v>
      </c>
      <c r="AE143" s="516">
        <f t="shared" si="67"/>
        <v>0</v>
      </c>
      <c r="AF143" s="516">
        <f t="shared" si="67"/>
        <v>0</v>
      </c>
      <c r="AG143" s="516">
        <f t="shared" si="67"/>
        <v>0</v>
      </c>
      <c r="AH143" s="516">
        <f t="shared" si="67"/>
        <v>0</v>
      </c>
      <c r="AI143" s="516">
        <f t="shared" si="67"/>
        <v>0</v>
      </c>
      <c r="AJ143" s="516">
        <f t="shared" si="67"/>
        <v>0</v>
      </c>
      <c r="AK143" s="516">
        <f t="shared" si="67"/>
        <v>0</v>
      </c>
      <c r="AL143" s="516">
        <f t="shared" si="67"/>
        <v>0</v>
      </c>
      <c r="AM143" s="516">
        <f t="shared" si="67"/>
        <v>0</v>
      </c>
      <c r="AN143" s="516">
        <f t="shared" si="67"/>
        <v>0</v>
      </c>
      <c r="AO143" s="516">
        <f t="shared" si="67"/>
        <v>0</v>
      </c>
      <c r="AP143" s="501"/>
      <c r="AQ143" s="505"/>
      <c r="AR143" s="505"/>
      <c r="AS143" s="505"/>
      <c r="AT143" s="505"/>
      <c r="AU143" s="505"/>
      <c r="AV143" s="510"/>
      <c r="AW143" s="452"/>
    </row>
    <row r="144" spans="1:49" hidden="1">
      <c r="A144" s="143"/>
      <c r="B144" s="483"/>
      <c r="C144" s="496" t="s">
        <v>1341</v>
      </c>
      <c r="D144" s="516">
        <f t="shared" ref="D144:AO144" si="68">IF(ISERR(GETPIVOTDATA("[Measures].[Hours]",TRIMARANmonthly,"[Period].[Month]","[Period].[Month].&amp;["&amp;IF(MONTH(D$14)=1,YEAR(D$14)-1&amp;TEXT(12,"00"),YEAR(D$14)&amp;TEXT(MONTH(D$14)-1,"00"))&amp;"]","[Order].[Position Number]","[Order].[Position Number].&amp;["&amp;$B149&amp;"]")),0,GETPIVOTDATA("[Measures].[Hours]",TRIMARANmonthly,"[Period].[Month]","[Period].[Month].&amp;["&amp;IF(MONTH(D$14)=1,YEAR(D$14)-1&amp;TEXT(12,"00"),YEAR(D$14)&amp;TEXT(MONTH(D$14)-1,"00"))&amp;"]","[Order].[Position Number]","[Order].[Position Number].&amp;["&amp;$B149&amp;"]"))</f>
        <v>0</v>
      </c>
      <c r="E144" s="516">
        <f t="shared" si="68"/>
        <v>0</v>
      </c>
      <c r="F144" s="516">
        <f t="shared" si="68"/>
        <v>0</v>
      </c>
      <c r="G144" s="516">
        <f t="shared" si="68"/>
        <v>0</v>
      </c>
      <c r="H144" s="516">
        <f t="shared" si="68"/>
        <v>0</v>
      </c>
      <c r="I144" s="516">
        <f t="shared" si="68"/>
        <v>0</v>
      </c>
      <c r="J144" s="516">
        <f t="shared" si="68"/>
        <v>0</v>
      </c>
      <c r="K144" s="516">
        <f t="shared" si="68"/>
        <v>0</v>
      </c>
      <c r="L144" s="516">
        <f t="shared" si="68"/>
        <v>0</v>
      </c>
      <c r="M144" s="516">
        <f t="shared" si="68"/>
        <v>0</v>
      </c>
      <c r="N144" s="516">
        <f t="shared" si="68"/>
        <v>0</v>
      </c>
      <c r="O144" s="516">
        <f t="shared" si="68"/>
        <v>0</v>
      </c>
      <c r="P144" s="516">
        <f t="shared" si="68"/>
        <v>0</v>
      </c>
      <c r="Q144" s="516">
        <f t="shared" si="68"/>
        <v>0</v>
      </c>
      <c r="R144" s="516">
        <f t="shared" si="68"/>
        <v>0</v>
      </c>
      <c r="S144" s="516">
        <f t="shared" si="68"/>
        <v>0</v>
      </c>
      <c r="T144" s="516">
        <f t="shared" si="68"/>
        <v>0</v>
      </c>
      <c r="U144" s="516">
        <f t="shared" si="68"/>
        <v>0</v>
      </c>
      <c r="V144" s="516">
        <f t="shared" si="68"/>
        <v>0</v>
      </c>
      <c r="W144" s="516">
        <f t="shared" si="68"/>
        <v>0</v>
      </c>
      <c r="X144" s="516">
        <f t="shared" si="68"/>
        <v>0</v>
      </c>
      <c r="Y144" s="516">
        <f t="shared" si="68"/>
        <v>0</v>
      </c>
      <c r="Z144" s="516">
        <f t="shared" si="68"/>
        <v>0</v>
      </c>
      <c r="AA144" s="516">
        <f t="shared" si="68"/>
        <v>0</v>
      </c>
      <c r="AB144" s="516">
        <f t="shared" si="68"/>
        <v>0</v>
      </c>
      <c r="AC144" s="516">
        <f t="shared" si="68"/>
        <v>0</v>
      </c>
      <c r="AD144" s="516">
        <f t="shared" si="68"/>
        <v>0</v>
      </c>
      <c r="AE144" s="516">
        <f t="shared" si="68"/>
        <v>0</v>
      </c>
      <c r="AF144" s="516">
        <f t="shared" si="68"/>
        <v>0</v>
      </c>
      <c r="AG144" s="516">
        <f t="shared" si="68"/>
        <v>0</v>
      </c>
      <c r="AH144" s="516">
        <f t="shared" si="68"/>
        <v>0</v>
      </c>
      <c r="AI144" s="516">
        <f t="shared" si="68"/>
        <v>0</v>
      </c>
      <c r="AJ144" s="516">
        <f t="shared" si="68"/>
        <v>0</v>
      </c>
      <c r="AK144" s="516">
        <f t="shared" si="68"/>
        <v>0</v>
      </c>
      <c r="AL144" s="516">
        <f t="shared" si="68"/>
        <v>0</v>
      </c>
      <c r="AM144" s="516">
        <f t="shared" si="68"/>
        <v>0</v>
      </c>
      <c r="AN144" s="516">
        <f t="shared" si="68"/>
        <v>0</v>
      </c>
      <c r="AO144" s="516">
        <f t="shared" si="68"/>
        <v>0</v>
      </c>
      <c r="AP144" s="501"/>
      <c r="AQ144" s="505"/>
      <c r="AR144" s="505"/>
      <c r="AS144" s="505"/>
      <c r="AT144" s="505"/>
      <c r="AU144" s="505"/>
      <c r="AV144" s="510"/>
      <c r="AW144" s="452"/>
    </row>
    <row r="145" spans="1:49" hidden="1">
      <c r="A145" s="143"/>
      <c r="B145" s="483"/>
      <c r="C145" s="496" t="s">
        <v>1339</v>
      </c>
      <c r="D145" s="516">
        <f t="shared" ref="D145:AO145" si="69">IF(ISERR(GETPIVOTDATA("[Measures].[" &amp; MDContractCurrency &amp; "]",TRIMARANweekly,"[Order].[Position Number]","[Order].[Position Number].&amp;[" &amp; $B149 &amp; "]","[Period].[Week]","[Period].[Week].&amp;[" &amp; YEAR(D$14-7) &amp; TEXT(WEEKNUM(D$14-7),"00") &amp; "]")),0,GETPIVOTDATA("[Measures].[" &amp; MDContractCurrency &amp; "]",TRIMARANweekly,"[Order].[Position Number]","[Order].[Position Number].&amp;[" &amp; $B149 &amp; "]","[Period].[Week]","[Period].[Week].&amp;[" &amp; YEAR(D$14-7) &amp; TEXT(WEEKNUM(D$14-7),"00") &amp; "]"))</f>
        <v>0</v>
      </c>
      <c r="E145" s="516">
        <f t="shared" si="69"/>
        <v>0</v>
      </c>
      <c r="F145" s="516">
        <f t="shared" si="69"/>
        <v>0</v>
      </c>
      <c r="G145" s="516">
        <f t="shared" si="69"/>
        <v>0</v>
      </c>
      <c r="H145" s="516">
        <f t="shared" si="69"/>
        <v>0</v>
      </c>
      <c r="I145" s="516">
        <f t="shared" si="69"/>
        <v>0</v>
      </c>
      <c r="J145" s="516">
        <f t="shared" si="69"/>
        <v>0</v>
      </c>
      <c r="K145" s="516">
        <f t="shared" si="69"/>
        <v>0</v>
      </c>
      <c r="L145" s="516">
        <f t="shared" si="69"/>
        <v>0</v>
      </c>
      <c r="M145" s="516">
        <f t="shared" si="69"/>
        <v>0</v>
      </c>
      <c r="N145" s="516">
        <f t="shared" si="69"/>
        <v>0</v>
      </c>
      <c r="O145" s="516">
        <f t="shared" si="69"/>
        <v>0</v>
      </c>
      <c r="P145" s="516">
        <f t="shared" si="69"/>
        <v>0</v>
      </c>
      <c r="Q145" s="516">
        <f t="shared" si="69"/>
        <v>0</v>
      </c>
      <c r="R145" s="516">
        <f t="shared" si="69"/>
        <v>0</v>
      </c>
      <c r="S145" s="516">
        <f t="shared" si="69"/>
        <v>0</v>
      </c>
      <c r="T145" s="516">
        <f t="shared" si="69"/>
        <v>0</v>
      </c>
      <c r="U145" s="516">
        <f t="shared" si="69"/>
        <v>0</v>
      </c>
      <c r="V145" s="516">
        <f t="shared" si="69"/>
        <v>0</v>
      </c>
      <c r="W145" s="516">
        <f t="shared" si="69"/>
        <v>0</v>
      </c>
      <c r="X145" s="516">
        <f t="shared" si="69"/>
        <v>0</v>
      </c>
      <c r="Y145" s="516">
        <f t="shared" si="69"/>
        <v>0</v>
      </c>
      <c r="Z145" s="516">
        <f t="shared" si="69"/>
        <v>0</v>
      </c>
      <c r="AA145" s="516">
        <f t="shared" si="69"/>
        <v>0</v>
      </c>
      <c r="AB145" s="516">
        <f t="shared" si="69"/>
        <v>0</v>
      </c>
      <c r="AC145" s="516">
        <f t="shared" si="69"/>
        <v>0</v>
      </c>
      <c r="AD145" s="516">
        <f t="shared" si="69"/>
        <v>0</v>
      </c>
      <c r="AE145" s="516">
        <f t="shared" si="69"/>
        <v>0</v>
      </c>
      <c r="AF145" s="516">
        <f t="shared" si="69"/>
        <v>0</v>
      </c>
      <c r="AG145" s="516">
        <f t="shared" si="69"/>
        <v>0</v>
      </c>
      <c r="AH145" s="516">
        <f t="shared" si="69"/>
        <v>0</v>
      </c>
      <c r="AI145" s="516">
        <f t="shared" si="69"/>
        <v>0</v>
      </c>
      <c r="AJ145" s="516">
        <f t="shared" si="69"/>
        <v>0</v>
      </c>
      <c r="AK145" s="516">
        <f t="shared" si="69"/>
        <v>0</v>
      </c>
      <c r="AL145" s="516">
        <f t="shared" si="69"/>
        <v>0</v>
      </c>
      <c r="AM145" s="516">
        <f t="shared" si="69"/>
        <v>0</v>
      </c>
      <c r="AN145" s="516">
        <f t="shared" si="69"/>
        <v>0</v>
      </c>
      <c r="AO145" s="516">
        <f t="shared" si="69"/>
        <v>0</v>
      </c>
      <c r="AP145" s="501"/>
      <c r="AQ145" s="505"/>
      <c r="AR145" s="505"/>
      <c r="AS145" s="505"/>
      <c r="AT145" s="505"/>
      <c r="AU145" s="505"/>
      <c r="AV145" s="510"/>
      <c r="AW145" s="452"/>
    </row>
    <row r="146" spans="1:49" hidden="1">
      <c r="A146" s="143"/>
      <c r="B146" s="483"/>
      <c r="C146" s="496" t="s">
        <v>1340</v>
      </c>
      <c r="D146" s="516">
        <f t="shared" ref="D146:AO146" si="70">IF(ISERR(GETPIVOTDATA("[Measures].[" &amp; MDContractCurrency &amp; "]",TRIMARANweekly,"[Order].[Position Number]","[Order].[Position Number].&amp;[" &amp; $B149 &amp; "]","[Period].[Week]","[Period].[Week].&amp;[" &amp; YEAR(D$14-14) &amp; TEXT(WEEKNUM(D$14-14),"00") &amp; "]")),0,GETPIVOTDATA("[Measures].[" &amp; MDContractCurrency &amp; "]",TRIMARANweekly,"[Order].[Position Number]","[Order].[Position Number].&amp;[" &amp; $B149 &amp; "]","[Period].[Week]","[Period].[Week].&amp;[" &amp; YEAR(D$14-14) &amp; TEXT(WEEKNUM(D$14-14),"00") &amp; "]"))+D145</f>
        <v>0</v>
      </c>
      <c r="E146" s="516">
        <f t="shared" si="70"/>
        <v>0</v>
      </c>
      <c r="F146" s="516">
        <f t="shared" si="70"/>
        <v>0</v>
      </c>
      <c r="G146" s="516">
        <f t="shared" si="70"/>
        <v>0</v>
      </c>
      <c r="H146" s="516">
        <f t="shared" si="70"/>
        <v>0</v>
      </c>
      <c r="I146" s="516">
        <f t="shared" si="70"/>
        <v>0</v>
      </c>
      <c r="J146" s="516">
        <f t="shared" si="70"/>
        <v>0</v>
      </c>
      <c r="K146" s="516">
        <f t="shared" si="70"/>
        <v>0</v>
      </c>
      <c r="L146" s="516">
        <f t="shared" si="70"/>
        <v>0</v>
      </c>
      <c r="M146" s="516">
        <f t="shared" si="70"/>
        <v>0</v>
      </c>
      <c r="N146" s="516">
        <f t="shared" si="70"/>
        <v>0</v>
      </c>
      <c r="O146" s="516">
        <f t="shared" si="70"/>
        <v>0</v>
      </c>
      <c r="P146" s="516">
        <f t="shared" si="70"/>
        <v>0</v>
      </c>
      <c r="Q146" s="516">
        <f t="shared" si="70"/>
        <v>0</v>
      </c>
      <c r="R146" s="516">
        <f t="shared" si="70"/>
        <v>0</v>
      </c>
      <c r="S146" s="516">
        <f t="shared" si="70"/>
        <v>0</v>
      </c>
      <c r="T146" s="516">
        <f t="shared" si="70"/>
        <v>0</v>
      </c>
      <c r="U146" s="516">
        <f t="shared" si="70"/>
        <v>0</v>
      </c>
      <c r="V146" s="516">
        <f t="shared" si="70"/>
        <v>0</v>
      </c>
      <c r="W146" s="516">
        <f t="shared" si="70"/>
        <v>0</v>
      </c>
      <c r="X146" s="516">
        <f t="shared" si="70"/>
        <v>0</v>
      </c>
      <c r="Y146" s="516">
        <f t="shared" si="70"/>
        <v>0</v>
      </c>
      <c r="Z146" s="516">
        <f t="shared" si="70"/>
        <v>0</v>
      </c>
      <c r="AA146" s="516">
        <f t="shared" si="70"/>
        <v>0</v>
      </c>
      <c r="AB146" s="516">
        <f t="shared" si="70"/>
        <v>0</v>
      </c>
      <c r="AC146" s="516">
        <f t="shared" si="70"/>
        <v>0</v>
      </c>
      <c r="AD146" s="516">
        <f t="shared" si="70"/>
        <v>0</v>
      </c>
      <c r="AE146" s="516">
        <f t="shared" si="70"/>
        <v>0</v>
      </c>
      <c r="AF146" s="516">
        <f t="shared" si="70"/>
        <v>0</v>
      </c>
      <c r="AG146" s="516">
        <f t="shared" si="70"/>
        <v>0</v>
      </c>
      <c r="AH146" s="516">
        <f t="shared" si="70"/>
        <v>0</v>
      </c>
      <c r="AI146" s="516">
        <f t="shared" si="70"/>
        <v>0</v>
      </c>
      <c r="AJ146" s="516">
        <f t="shared" si="70"/>
        <v>0</v>
      </c>
      <c r="AK146" s="516">
        <f t="shared" si="70"/>
        <v>0</v>
      </c>
      <c r="AL146" s="516">
        <f t="shared" si="70"/>
        <v>0</v>
      </c>
      <c r="AM146" s="516">
        <f t="shared" si="70"/>
        <v>0</v>
      </c>
      <c r="AN146" s="516">
        <f t="shared" si="70"/>
        <v>0</v>
      </c>
      <c r="AO146" s="516">
        <f t="shared" si="70"/>
        <v>0</v>
      </c>
      <c r="AP146" s="501"/>
      <c r="AQ146" s="505"/>
      <c r="AR146" s="505"/>
      <c r="AS146" s="505"/>
      <c r="AT146" s="505"/>
      <c r="AU146" s="505"/>
      <c r="AV146" s="510"/>
      <c r="AW146" s="452"/>
    </row>
    <row r="147" spans="1:49" hidden="1">
      <c r="A147" s="141"/>
      <c r="B147" s="517"/>
      <c r="C147" s="496" t="s">
        <v>1341</v>
      </c>
      <c r="D147" s="516">
        <f t="shared" ref="D147:AO147" si="71">IF(ISERR(GETPIVOTDATA("[Measures].[" &amp; MDContractCurrency &amp; "]",TRIMARANmonthly,"[Period].[Month]","[Period].[Month].&amp;["&amp;IF(MONTH(D$14)=1,YEAR(D$14)-1&amp;TEXT(12,"00"),YEAR(D$14)&amp;TEXT(MONTH(D$14)-1,"00"))&amp;"]","[Order].[Position Number]","[Order].[Position Number].&amp;["&amp;$B149&amp;"]")),0,GETPIVOTDATA("[Measures].[" &amp; MDContractCurrency &amp; "]",TRIMARANmonthly,"[Period].[Month]","[Period].[Month].&amp;["&amp;IF(MONTH(D$14)=1,YEAR(D$14)-1&amp;TEXT(12,"00"),YEAR(D$14)&amp;TEXT(MONTH(D$14)-1,"00"))&amp;"]","[Order].[Position Number]","[Order].[Position Number].&amp;["&amp;$B149&amp;"]"))</f>
        <v>0</v>
      </c>
      <c r="E147" s="516">
        <f t="shared" si="71"/>
        <v>0</v>
      </c>
      <c r="F147" s="516">
        <f t="shared" si="71"/>
        <v>0</v>
      </c>
      <c r="G147" s="516">
        <f t="shared" si="71"/>
        <v>0</v>
      </c>
      <c r="H147" s="516">
        <f t="shared" si="71"/>
        <v>0</v>
      </c>
      <c r="I147" s="516">
        <f t="shared" si="71"/>
        <v>0</v>
      </c>
      <c r="J147" s="516">
        <f t="shared" si="71"/>
        <v>0</v>
      </c>
      <c r="K147" s="516">
        <f t="shared" si="71"/>
        <v>0</v>
      </c>
      <c r="L147" s="516">
        <f t="shared" si="71"/>
        <v>0</v>
      </c>
      <c r="M147" s="516">
        <f t="shared" si="71"/>
        <v>0</v>
      </c>
      <c r="N147" s="516">
        <f t="shared" si="71"/>
        <v>0</v>
      </c>
      <c r="O147" s="516">
        <f t="shared" si="71"/>
        <v>0</v>
      </c>
      <c r="P147" s="516">
        <f t="shared" si="71"/>
        <v>0</v>
      </c>
      <c r="Q147" s="516">
        <f t="shared" si="71"/>
        <v>0</v>
      </c>
      <c r="R147" s="516">
        <f t="shared" si="71"/>
        <v>0</v>
      </c>
      <c r="S147" s="516">
        <f t="shared" si="71"/>
        <v>0</v>
      </c>
      <c r="T147" s="516">
        <f t="shared" si="71"/>
        <v>0</v>
      </c>
      <c r="U147" s="516">
        <f t="shared" si="71"/>
        <v>0</v>
      </c>
      <c r="V147" s="516">
        <f t="shared" si="71"/>
        <v>0</v>
      </c>
      <c r="W147" s="516">
        <f t="shared" si="71"/>
        <v>0</v>
      </c>
      <c r="X147" s="516">
        <f t="shared" si="71"/>
        <v>0</v>
      </c>
      <c r="Y147" s="516">
        <f t="shared" si="71"/>
        <v>0</v>
      </c>
      <c r="Z147" s="516">
        <f t="shared" si="71"/>
        <v>0</v>
      </c>
      <c r="AA147" s="516">
        <f t="shared" si="71"/>
        <v>0</v>
      </c>
      <c r="AB147" s="516">
        <f t="shared" si="71"/>
        <v>0</v>
      </c>
      <c r="AC147" s="516">
        <f t="shared" si="71"/>
        <v>0</v>
      </c>
      <c r="AD147" s="516">
        <f t="shared" si="71"/>
        <v>0</v>
      </c>
      <c r="AE147" s="516">
        <f t="shared" si="71"/>
        <v>0</v>
      </c>
      <c r="AF147" s="516">
        <f t="shared" si="71"/>
        <v>0</v>
      </c>
      <c r="AG147" s="516">
        <f t="shared" si="71"/>
        <v>0</v>
      </c>
      <c r="AH147" s="516">
        <f t="shared" si="71"/>
        <v>0</v>
      </c>
      <c r="AI147" s="516">
        <f t="shared" si="71"/>
        <v>0</v>
      </c>
      <c r="AJ147" s="516">
        <f t="shared" si="71"/>
        <v>0</v>
      </c>
      <c r="AK147" s="516">
        <f t="shared" si="71"/>
        <v>0</v>
      </c>
      <c r="AL147" s="516">
        <f t="shared" si="71"/>
        <v>0</v>
      </c>
      <c r="AM147" s="516">
        <f t="shared" si="71"/>
        <v>0</v>
      </c>
      <c r="AN147" s="516">
        <f t="shared" si="71"/>
        <v>0</v>
      </c>
      <c r="AO147" s="516">
        <f t="shared" si="71"/>
        <v>0</v>
      </c>
      <c r="AP147" s="501"/>
      <c r="AQ147" s="505"/>
      <c r="AR147" s="505"/>
      <c r="AS147" s="505"/>
      <c r="AT147" s="505"/>
      <c r="AU147" s="505"/>
      <c r="AV147" s="510"/>
      <c r="AW147" s="452"/>
    </row>
    <row r="148" spans="1:49">
      <c r="A148" s="143"/>
      <c r="B148" s="483"/>
      <c r="C148" s="524"/>
      <c r="D148" s="501"/>
      <c r="E148" s="501"/>
      <c r="F148" s="501"/>
      <c r="G148" s="501"/>
      <c r="H148" s="501"/>
      <c r="I148" s="501"/>
      <c r="J148" s="501"/>
      <c r="K148" s="501"/>
      <c r="L148" s="501"/>
      <c r="M148" s="501"/>
      <c r="N148" s="501"/>
      <c r="O148" s="501"/>
      <c r="P148" s="501"/>
      <c r="Q148" s="501"/>
      <c r="R148" s="501"/>
      <c r="S148" s="501"/>
      <c r="T148" s="501"/>
      <c r="U148" s="501"/>
      <c r="V148" s="501"/>
      <c r="W148" s="501"/>
      <c r="X148" s="501"/>
      <c r="Y148" s="501"/>
      <c r="Z148" s="501"/>
      <c r="AA148" s="501"/>
      <c r="AB148" s="501"/>
      <c r="AC148" s="501"/>
      <c r="AD148" s="501"/>
      <c r="AE148" s="501"/>
      <c r="AF148" s="501"/>
      <c r="AG148" s="501"/>
      <c r="AH148" s="501"/>
      <c r="AI148" s="501"/>
      <c r="AJ148" s="501"/>
      <c r="AK148" s="501"/>
      <c r="AL148" s="501"/>
      <c r="AM148" s="501"/>
      <c r="AN148" s="501"/>
      <c r="AO148" s="501"/>
      <c r="AP148" s="501"/>
      <c r="AQ148" s="505"/>
      <c r="AR148" s="505"/>
      <c r="AS148" s="505"/>
      <c r="AT148" s="505"/>
      <c r="AU148" s="505"/>
      <c r="AV148" s="510"/>
      <c r="AW148" s="452"/>
    </row>
    <row r="149" spans="1:49">
      <c r="A149" s="1183" t="str">
        <f>'Delivery Calculation'!B24 &amp; CHAR(10) &amp; 'Delivery Calculation'!P24 &amp; " - " &amp; 'Delivery Calculation'!Q24</f>
        <v xml:space="preserve">0
 - </v>
      </c>
      <c r="B149" s="1180">
        <f>'Delivery Calculation'!A24</f>
        <v>0</v>
      </c>
      <c r="C149" s="499" t="s">
        <v>566</v>
      </c>
      <c r="D149" s="518">
        <f>'Delivery Calculation'!M205</f>
        <v>0</v>
      </c>
      <c r="E149" s="518">
        <f>'Delivery Calculation'!N205</f>
        <v>0</v>
      </c>
      <c r="F149" s="518">
        <f>'Delivery Calculation'!O205</f>
        <v>0</v>
      </c>
      <c r="G149" s="518">
        <f>'Delivery Calculation'!P205</f>
        <v>0</v>
      </c>
      <c r="H149" s="518">
        <f>'Delivery Calculation'!Q205</f>
        <v>0</v>
      </c>
      <c r="I149" s="518">
        <f>'Delivery Calculation'!R205</f>
        <v>0</v>
      </c>
      <c r="J149" s="518">
        <f>'Delivery Calculation'!S205</f>
        <v>0</v>
      </c>
      <c r="K149" s="518">
        <f>'Delivery Calculation'!T205</f>
        <v>0</v>
      </c>
      <c r="L149" s="518">
        <f>'Delivery Calculation'!U205</f>
        <v>0</v>
      </c>
      <c r="M149" s="518">
        <f>'Delivery Calculation'!V205</f>
        <v>0</v>
      </c>
      <c r="N149" s="518">
        <f>'Delivery Calculation'!W205</f>
        <v>0</v>
      </c>
      <c r="O149" s="518">
        <f>'Delivery Calculation'!X205</f>
        <v>0</v>
      </c>
      <c r="P149" s="518">
        <f>'Delivery Calculation'!Y205</f>
        <v>0</v>
      </c>
      <c r="Q149" s="518">
        <f>'Delivery Calculation'!Z205</f>
        <v>0</v>
      </c>
      <c r="R149" s="518">
        <f>'Delivery Calculation'!AA205</f>
        <v>0</v>
      </c>
      <c r="S149" s="518">
        <f>'Delivery Calculation'!AB205</f>
        <v>0</v>
      </c>
      <c r="T149" s="518">
        <f>'Delivery Calculation'!AC205</f>
        <v>0</v>
      </c>
      <c r="U149" s="518">
        <f>'Delivery Calculation'!AD205</f>
        <v>0</v>
      </c>
      <c r="V149" s="518">
        <f>'Delivery Calculation'!AE205</f>
        <v>0</v>
      </c>
      <c r="W149" s="518">
        <f>'Delivery Calculation'!AF205</f>
        <v>0</v>
      </c>
      <c r="X149" s="518">
        <f>'Delivery Calculation'!AG205</f>
        <v>0</v>
      </c>
      <c r="Y149" s="518">
        <f>'Delivery Calculation'!AH205</f>
        <v>0</v>
      </c>
      <c r="Z149" s="518">
        <f>'Delivery Calculation'!AI205</f>
        <v>0</v>
      </c>
      <c r="AA149" s="518">
        <f>'Delivery Calculation'!AJ205</f>
        <v>0</v>
      </c>
      <c r="AB149" s="518">
        <f>'Delivery Calculation'!AK205</f>
        <v>0</v>
      </c>
      <c r="AC149" s="518">
        <f>'Delivery Calculation'!AL205</f>
        <v>0</v>
      </c>
      <c r="AD149" s="518">
        <f>'Delivery Calculation'!AM205</f>
        <v>0</v>
      </c>
      <c r="AE149" s="518">
        <f>'Delivery Calculation'!AN205</f>
        <v>0</v>
      </c>
      <c r="AF149" s="518">
        <f>'Delivery Calculation'!AO205</f>
        <v>0</v>
      </c>
      <c r="AG149" s="518">
        <f>'Delivery Calculation'!AP205</f>
        <v>0</v>
      </c>
      <c r="AH149" s="518">
        <f>'Delivery Calculation'!AQ205</f>
        <v>0</v>
      </c>
      <c r="AI149" s="518">
        <f>'Delivery Calculation'!AR205</f>
        <v>0</v>
      </c>
      <c r="AJ149" s="518">
        <f>'Delivery Calculation'!AS205</f>
        <v>0</v>
      </c>
      <c r="AK149" s="518">
        <f>'Delivery Calculation'!AT205</f>
        <v>0</v>
      </c>
      <c r="AL149" s="518">
        <f>'Delivery Calculation'!AU205</f>
        <v>0</v>
      </c>
      <c r="AM149" s="518">
        <f>'Delivery Calculation'!AV205</f>
        <v>0</v>
      </c>
      <c r="AN149" s="518">
        <f>'Delivery Calculation'!AW205</f>
        <v>0</v>
      </c>
      <c r="AO149" s="518">
        <f>'Delivery Calculation'!AX205</f>
        <v>0</v>
      </c>
      <c r="AP149" s="501"/>
      <c r="AQ149" s="519">
        <f>IF(COUNTIF($D$15:$AO$15, TMDPeriodValueTypeReported)&gt;0, INDEX(D149:AO149,1,COUNTIF(D$15:$AO$15,TMDPeriodValueTypeReported)),0)</f>
        <v>0</v>
      </c>
      <c r="AR149" s="519"/>
      <c r="AS149" s="520">
        <f>'Delivery Calculation'!N24</f>
        <v>0</v>
      </c>
      <c r="AT149" s="519">
        <f>AQ149*'Delivery Calculation'!N24</f>
        <v>0</v>
      </c>
      <c r="AU149" s="521" t="s">
        <v>522</v>
      </c>
      <c r="AV149" s="510"/>
      <c r="AW149" s="452"/>
    </row>
    <row r="150" spans="1:49">
      <c r="A150" s="1184"/>
      <c r="B150" s="1181"/>
      <c r="C150" s="499" t="s">
        <v>567</v>
      </c>
      <c r="D150" s="509">
        <f>IF(D$15=TMDPeriodValueTypeForecast,IF('Delivery Calculation'!$H$24=TMDAllocationTandM,0,'Delivery Calculation'!M134),IF(MDReportingPeriod=TMDMonthly,D144,IF(MDReportingPeriod=TMDTwoweekly,D143,D142)))</f>
        <v>0</v>
      </c>
      <c r="E150" s="509">
        <f>IF(E$15=TMDPeriodValueTypeForecast,IF('Delivery Calculation'!$H$24=TMDAllocationTandM,0,'Delivery Calculation'!N134),IF(MDReportingPeriod=TMDMonthly,E144,IF(MDReportingPeriod=TMDTwoweekly,E143,E142)))</f>
        <v>0</v>
      </c>
      <c r="F150" s="509">
        <f>IF(F$15=TMDPeriodValueTypeForecast,IF('Delivery Calculation'!$H$24=TMDAllocationTandM,0,'Delivery Calculation'!O134),IF(MDReportingPeriod=TMDMonthly,F144,IF(MDReportingPeriod=TMDTwoweekly,F143,F142)))</f>
        <v>0</v>
      </c>
      <c r="G150" s="509">
        <f>IF(G$15=TMDPeriodValueTypeForecast,IF('Delivery Calculation'!$H$24=TMDAllocationTandM,0,'Delivery Calculation'!P134),IF(MDReportingPeriod=TMDMonthly,G144,IF(MDReportingPeriod=TMDTwoweekly,G143,G142)))</f>
        <v>0</v>
      </c>
      <c r="H150" s="509">
        <f>IF(H$15=TMDPeriodValueTypeForecast,IF('Delivery Calculation'!$H$24=TMDAllocationTandM,0,'Delivery Calculation'!Q134),IF(MDReportingPeriod=TMDMonthly,H144,IF(MDReportingPeriod=TMDTwoweekly,H143,H142)))</f>
        <v>0</v>
      </c>
      <c r="I150" s="509">
        <f>IF(I$15=TMDPeriodValueTypeForecast,IF('Delivery Calculation'!$H$24=TMDAllocationTandM,0,'Delivery Calculation'!R134),IF(MDReportingPeriod=TMDMonthly,I144,IF(MDReportingPeriod=TMDTwoweekly,I143,I142)))</f>
        <v>0</v>
      </c>
      <c r="J150" s="509">
        <f>IF(J$15=TMDPeriodValueTypeForecast,IF('Delivery Calculation'!$H$24=TMDAllocationTandM,0,'Delivery Calculation'!S134),IF(MDReportingPeriod=TMDMonthly,J144,IF(MDReportingPeriod=TMDTwoweekly,J143,J142)))</f>
        <v>0</v>
      </c>
      <c r="K150" s="509">
        <f>IF(K$15=TMDPeriodValueTypeForecast,IF('Delivery Calculation'!$H$24=TMDAllocationTandM,0,'Delivery Calculation'!T134),IF(MDReportingPeriod=TMDMonthly,K144,IF(MDReportingPeriod=TMDTwoweekly,K143,K142)))</f>
        <v>0</v>
      </c>
      <c r="L150" s="509">
        <f>IF(L$15=TMDPeriodValueTypeForecast,IF('Delivery Calculation'!$H$24=TMDAllocationTandM,0,'Delivery Calculation'!U134),IF(MDReportingPeriod=TMDMonthly,L144,IF(MDReportingPeriod=TMDTwoweekly,L143,L142)))</f>
        <v>0</v>
      </c>
      <c r="M150" s="509">
        <f>IF(M$15=TMDPeriodValueTypeForecast,IF('Delivery Calculation'!$H$24=TMDAllocationTandM,0,'Delivery Calculation'!V134),IF(MDReportingPeriod=TMDMonthly,M144,IF(MDReportingPeriod=TMDTwoweekly,M143,M142)))</f>
        <v>0</v>
      </c>
      <c r="N150" s="509">
        <f>IF(N$15=TMDPeriodValueTypeForecast,IF('Delivery Calculation'!$H$24=TMDAllocationTandM,0,'Delivery Calculation'!W134),IF(MDReportingPeriod=TMDMonthly,N144,IF(MDReportingPeriod=TMDTwoweekly,N143,N142)))</f>
        <v>0</v>
      </c>
      <c r="O150" s="509">
        <f>IF(O$15=TMDPeriodValueTypeForecast,IF('Delivery Calculation'!$H$24=TMDAllocationTandM,0,'Delivery Calculation'!X134),IF(MDReportingPeriod=TMDMonthly,O144,IF(MDReportingPeriod=TMDTwoweekly,O143,O142)))</f>
        <v>0</v>
      </c>
      <c r="P150" s="509">
        <f>IF(P$15=TMDPeriodValueTypeForecast,IF('Delivery Calculation'!$H$24=TMDAllocationTandM,0,'Delivery Calculation'!Y134),IF(MDReportingPeriod=TMDMonthly,P144,IF(MDReportingPeriod=TMDTwoweekly,P143,P142)))</f>
        <v>0</v>
      </c>
      <c r="Q150" s="509">
        <f>IF(Q$15=TMDPeriodValueTypeForecast,IF('Delivery Calculation'!$H$24=TMDAllocationTandM,0,'Delivery Calculation'!Z134),IF(MDReportingPeriod=TMDMonthly,Q144,IF(MDReportingPeriod=TMDTwoweekly,Q143,Q142)))</f>
        <v>0</v>
      </c>
      <c r="R150" s="509">
        <f>IF(R$15=TMDPeriodValueTypeForecast,IF('Delivery Calculation'!$H$24=TMDAllocationTandM,0,'Delivery Calculation'!AA134),IF(MDReportingPeriod=TMDMonthly,R144,IF(MDReportingPeriod=TMDTwoweekly,R143,R142)))</f>
        <v>0</v>
      </c>
      <c r="S150" s="509">
        <f>IF(S$15=TMDPeriodValueTypeForecast,IF('Delivery Calculation'!$H$24=TMDAllocationTandM,0,'Delivery Calculation'!AB134),IF(MDReportingPeriod=TMDMonthly,S144,IF(MDReportingPeriod=TMDTwoweekly,S143,S142)))</f>
        <v>0</v>
      </c>
      <c r="T150" s="509">
        <f>IF(T$15=TMDPeriodValueTypeForecast,IF('Delivery Calculation'!$H$24=TMDAllocationTandM,0,'Delivery Calculation'!AC134),IF(MDReportingPeriod=TMDMonthly,T144,IF(MDReportingPeriod=TMDTwoweekly,T143,T142)))</f>
        <v>0</v>
      </c>
      <c r="U150" s="509">
        <f>IF(U$15=TMDPeriodValueTypeForecast,IF('Delivery Calculation'!$H$24=TMDAllocationTandM,0,'Delivery Calculation'!AD134),IF(MDReportingPeriod=TMDMonthly,U144,IF(MDReportingPeriod=TMDTwoweekly,U143,U142)))</f>
        <v>0</v>
      </c>
      <c r="V150" s="509">
        <f>IF(V$15=TMDPeriodValueTypeForecast,IF('Delivery Calculation'!$H$24=TMDAllocationTandM,0,'Delivery Calculation'!AE134),IF(MDReportingPeriod=TMDMonthly,V144,IF(MDReportingPeriod=TMDTwoweekly,V143,V142)))</f>
        <v>0</v>
      </c>
      <c r="W150" s="509">
        <f>IF(W$15=TMDPeriodValueTypeForecast,IF('Delivery Calculation'!$H$24=TMDAllocationTandM,0,'Delivery Calculation'!AF134),IF(MDReportingPeriod=TMDMonthly,W144,IF(MDReportingPeriod=TMDTwoweekly,W143,W142)))</f>
        <v>0</v>
      </c>
      <c r="X150" s="509">
        <f>IF(X$15=TMDPeriodValueTypeForecast,IF('Delivery Calculation'!$H$24=TMDAllocationTandM,0,'Delivery Calculation'!AG134),IF(MDReportingPeriod=TMDMonthly,X144,IF(MDReportingPeriod=TMDTwoweekly,X143,X142)))</f>
        <v>0</v>
      </c>
      <c r="Y150" s="509">
        <f>IF(Y$15=TMDPeriodValueTypeForecast,IF('Delivery Calculation'!$H$24=TMDAllocationTandM,0,'Delivery Calculation'!AH134),IF(MDReportingPeriod=TMDMonthly,Y144,IF(MDReportingPeriod=TMDTwoweekly,Y143,Y142)))</f>
        <v>0</v>
      </c>
      <c r="Z150" s="509">
        <f>IF(Z$15=TMDPeriodValueTypeForecast,IF('Delivery Calculation'!$H$24=TMDAllocationTandM,0,'Delivery Calculation'!AI134),IF(MDReportingPeriod=TMDMonthly,Z144,IF(MDReportingPeriod=TMDTwoweekly,Z143,Z142)))</f>
        <v>0</v>
      </c>
      <c r="AA150" s="509">
        <f>IF(AA$15=TMDPeriodValueTypeForecast,IF('Delivery Calculation'!$H$24=TMDAllocationTandM,0,'Delivery Calculation'!AJ134),IF(MDReportingPeriod=TMDMonthly,AA144,IF(MDReportingPeriod=TMDTwoweekly,AA143,AA142)))</f>
        <v>0</v>
      </c>
      <c r="AB150" s="509">
        <f>IF(AB$15=TMDPeriodValueTypeForecast,IF('Delivery Calculation'!$H$24=TMDAllocationTandM,0,'Delivery Calculation'!AK134),IF(MDReportingPeriod=TMDMonthly,AB144,IF(MDReportingPeriod=TMDTwoweekly,AB143,AB142)))</f>
        <v>0</v>
      </c>
      <c r="AC150" s="509">
        <f>IF(AC$15=TMDPeriodValueTypeForecast,IF('Delivery Calculation'!$H$24=TMDAllocationTandM,0,'Delivery Calculation'!AL134),IF(MDReportingPeriod=TMDMonthly,AC144,IF(MDReportingPeriod=TMDTwoweekly,AC143,AC142)))</f>
        <v>0</v>
      </c>
      <c r="AD150" s="509">
        <f>IF(AD$15=TMDPeriodValueTypeForecast,IF('Delivery Calculation'!$H$24=TMDAllocationTandM,0,'Delivery Calculation'!AM134),IF(MDReportingPeriod=TMDMonthly,AD144,IF(MDReportingPeriod=TMDTwoweekly,AD143,AD142)))</f>
        <v>0</v>
      </c>
      <c r="AE150" s="509">
        <f>IF(AE$15=TMDPeriodValueTypeForecast,IF('Delivery Calculation'!$H$24=TMDAllocationTandM,0,'Delivery Calculation'!AN134),IF(MDReportingPeriod=TMDMonthly,AE144,IF(MDReportingPeriod=TMDTwoweekly,AE143,AE142)))</f>
        <v>0</v>
      </c>
      <c r="AF150" s="509">
        <f>IF(AF$15=TMDPeriodValueTypeForecast,IF('Delivery Calculation'!$H$24=TMDAllocationTandM,0,'Delivery Calculation'!AO134),IF(MDReportingPeriod=TMDMonthly,AF144,IF(MDReportingPeriod=TMDTwoweekly,AF143,AF142)))</f>
        <v>0</v>
      </c>
      <c r="AG150" s="509">
        <f>IF(AG$15=TMDPeriodValueTypeForecast,IF('Delivery Calculation'!$H$24=TMDAllocationTandM,0,'Delivery Calculation'!AP134),IF(MDReportingPeriod=TMDMonthly,AG144,IF(MDReportingPeriod=TMDTwoweekly,AG143,AG142)))</f>
        <v>0</v>
      </c>
      <c r="AH150" s="509">
        <f>IF(AH$15=TMDPeriodValueTypeForecast,IF('Delivery Calculation'!$H$24=TMDAllocationTandM,0,'Delivery Calculation'!AQ134),IF(MDReportingPeriod=TMDMonthly,AH144,IF(MDReportingPeriod=TMDTwoweekly,AH143,AH142)))</f>
        <v>0</v>
      </c>
      <c r="AI150" s="509">
        <f>IF(AI$15=TMDPeriodValueTypeForecast,IF('Delivery Calculation'!$H$24=TMDAllocationTandM,0,'Delivery Calculation'!AR134),IF(MDReportingPeriod=TMDMonthly,AI144,IF(MDReportingPeriod=TMDTwoweekly,AI143,AI142)))</f>
        <v>0</v>
      </c>
      <c r="AJ150" s="509">
        <f>IF(AJ$15=TMDPeriodValueTypeForecast,IF('Delivery Calculation'!$H$24=TMDAllocationTandM,0,'Delivery Calculation'!AS134),IF(MDReportingPeriod=TMDMonthly,AJ144,IF(MDReportingPeriod=TMDTwoweekly,AJ143,AJ142)))</f>
        <v>0</v>
      </c>
      <c r="AK150" s="509">
        <f>IF(AK$15=TMDPeriodValueTypeForecast,IF('Delivery Calculation'!$H$24=TMDAllocationTandM,0,'Delivery Calculation'!AT134),IF(MDReportingPeriod=TMDMonthly,AK144,IF(MDReportingPeriod=TMDTwoweekly,AK143,AK142)))</f>
        <v>0</v>
      </c>
      <c r="AL150" s="509">
        <f>IF(AL$15=TMDPeriodValueTypeForecast,IF('Delivery Calculation'!$H$24=TMDAllocationTandM,0,'Delivery Calculation'!AU134),IF(MDReportingPeriod=TMDMonthly,AL144,IF(MDReportingPeriod=TMDTwoweekly,AL143,AL142)))</f>
        <v>0</v>
      </c>
      <c r="AM150" s="509">
        <f>IF(AM$15=TMDPeriodValueTypeForecast,IF('Delivery Calculation'!$H$24=TMDAllocationTandM,0,'Delivery Calculation'!AV134),IF(MDReportingPeriod=TMDMonthly,AM144,IF(MDReportingPeriod=TMDTwoweekly,AM143,AM142)))</f>
        <v>0</v>
      </c>
      <c r="AN150" s="509">
        <f>IF(AN$15=TMDPeriodValueTypeForecast,IF('Delivery Calculation'!$H$24=TMDAllocationTandM,0,'Delivery Calculation'!AW134),IF(MDReportingPeriod=TMDMonthly,AN144,IF(MDReportingPeriod=TMDTwoweekly,AN143,AN142)))</f>
        <v>0</v>
      </c>
      <c r="AO150" s="509">
        <f>IF(AO$15=TMDPeriodValueTypeForecast,IF('Delivery Calculation'!$H$24=TMDAllocationTandM,0,'Delivery Calculation'!AX134),IF(MDReportingPeriod=TMDMonthly,AO144,IF(MDReportingPeriod=TMDTwoweekly,AO143,AO142)))</f>
        <v>0</v>
      </c>
      <c r="AP150" s="501"/>
      <c r="AQ150" s="505">
        <f>SUMIF($D$15:$AO$15,TMDPeriodValueTypeReported,D150:AO150)</f>
        <v>0</v>
      </c>
      <c r="AR150" s="505">
        <f>SUMIF($D$15:$AO$15,TMDPeriodValueTypeForecast,D150:AO150)</f>
        <v>0</v>
      </c>
      <c r="AS150" s="523">
        <f>'Delivery Calculation'!J24</f>
        <v>0</v>
      </c>
      <c r="AT150" s="505">
        <f>AS150-(AQ150+AR150)</f>
        <v>0</v>
      </c>
      <c r="AU150" s="505"/>
      <c r="AV150" s="510"/>
      <c r="AW150" s="452"/>
    </row>
    <row r="151" spans="1:49">
      <c r="A151" s="1184"/>
      <c r="B151" s="1181"/>
      <c r="C151" s="499" t="s">
        <v>568</v>
      </c>
      <c r="D151" s="509">
        <f>IF(D$15=TMDPeriodValueTypeForecast,IF('Delivery Calculation'!$H$24=TMDAllocationTandM,0,'Delivery Calculation'!M98),IF(MDReportingPeriod=TMDMonthly,D147,IF(MDReportingPeriod=TMDTwoweekly,D146,D145)))</f>
        <v>0</v>
      </c>
      <c r="E151" s="509">
        <f>IF(E$15=TMDPeriodValueTypeForecast,IF('Delivery Calculation'!$H$24=TMDAllocationTandM,0,'Delivery Calculation'!N98),IF(MDReportingPeriod=TMDMonthly,E147,IF(MDReportingPeriod=TMDTwoweekly,E146,E145)))</f>
        <v>0</v>
      </c>
      <c r="F151" s="509">
        <f>IF(F$15=TMDPeriodValueTypeForecast,IF('Delivery Calculation'!$H$24=TMDAllocationTandM,0,'Delivery Calculation'!O98),IF(MDReportingPeriod=TMDMonthly,F147,IF(MDReportingPeriod=TMDTwoweekly,F146,F145)))</f>
        <v>0</v>
      </c>
      <c r="G151" s="509">
        <f>IF(G$15=TMDPeriodValueTypeForecast,IF('Delivery Calculation'!$H$24=TMDAllocationTandM,0,'Delivery Calculation'!P98),IF(MDReportingPeriod=TMDMonthly,G147,IF(MDReportingPeriod=TMDTwoweekly,G146,G145)))</f>
        <v>0</v>
      </c>
      <c r="H151" s="509">
        <f>IF(H$15=TMDPeriodValueTypeForecast,IF('Delivery Calculation'!$H$24=TMDAllocationTandM,0,'Delivery Calculation'!Q98),IF(MDReportingPeriod=TMDMonthly,H147,IF(MDReportingPeriod=TMDTwoweekly,H146,H145)))</f>
        <v>0</v>
      </c>
      <c r="I151" s="509">
        <f>IF(I$15=TMDPeriodValueTypeForecast,IF('Delivery Calculation'!$H$24=TMDAllocationTandM,0,'Delivery Calculation'!R98),IF(MDReportingPeriod=TMDMonthly,I147,IF(MDReportingPeriod=TMDTwoweekly,I146,I145)))</f>
        <v>0</v>
      </c>
      <c r="J151" s="509">
        <f>IF(J$15=TMDPeriodValueTypeForecast,IF('Delivery Calculation'!$H$24=TMDAllocationTandM,0,'Delivery Calculation'!S98),IF(MDReportingPeriod=TMDMonthly,J147,IF(MDReportingPeriod=TMDTwoweekly,J146,J145)))</f>
        <v>0</v>
      </c>
      <c r="K151" s="509">
        <f>IF(K$15=TMDPeriodValueTypeForecast,IF('Delivery Calculation'!$H$24=TMDAllocationTandM,0,'Delivery Calculation'!T98),IF(MDReportingPeriod=TMDMonthly,K147,IF(MDReportingPeriod=TMDTwoweekly,K146,K145)))</f>
        <v>0</v>
      </c>
      <c r="L151" s="509">
        <f>IF(L$15=TMDPeriodValueTypeForecast,IF('Delivery Calculation'!$H$24=TMDAllocationTandM,0,'Delivery Calculation'!U98),IF(MDReportingPeriod=TMDMonthly,L147,IF(MDReportingPeriod=TMDTwoweekly,L146,L145)))</f>
        <v>0</v>
      </c>
      <c r="M151" s="509">
        <f>IF(M$15=TMDPeriodValueTypeForecast,IF('Delivery Calculation'!$H$24=TMDAllocationTandM,0,'Delivery Calculation'!V98),IF(MDReportingPeriod=TMDMonthly,M147,IF(MDReportingPeriod=TMDTwoweekly,M146,M145)))</f>
        <v>0</v>
      </c>
      <c r="N151" s="509">
        <f>IF(N$15=TMDPeriodValueTypeForecast,IF('Delivery Calculation'!$H$24=TMDAllocationTandM,0,'Delivery Calculation'!W98),IF(MDReportingPeriod=TMDMonthly,N147,IF(MDReportingPeriod=TMDTwoweekly,N146,N145)))</f>
        <v>0</v>
      </c>
      <c r="O151" s="509">
        <f>IF(O$15=TMDPeriodValueTypeForecast,IF('Delivery Calculation'!$H$24=TMDAllocationTandM,0,'Delivery Calculation'!X98),IF(MDReportingPeriod=TMDMonthly,O147,IF(MDReportingPeriod=TMDTwoweekly,O146,O145)))</f>
        <v>0</v>
      </c>
      <c r="P151" s="509">
        <f>IF(P$15=TMDPeriodValueTypeForecast,IF('Delivery Calculation'!$H$24=TMDAllocationTandM,0,'Delivery Calculation'!Y98),IF(MDReportingPeriod=TMDMonthly,P147,IF(MDReportingPeriod=TMDTwoweekly,P146,P145)))</f>
        <v>0</v>
      </c>
      <c r="Q151" s="509">
        <f>IF(Q$15=TMDPeriodValueTypeForecast,IF('Delivery Calculation'!$H$24=TMDAllocationTandM,0,'Delivery Calculation'!Z98),IF(MDReportingPeriod=TMDMonthly,Q147,IF(MDReportingPeriod=TMDTwoweekly,Q146,Q145)))</f>
        <v>0</v>
      </c>
      <c r="R151" s="509">
        <f>IF(R$15=TMDPeriodValueTypeForecast,IF('Delivery Calculation'!$H$24=TMDAllocationTandM,0,'Delivery Calculation'!AA98),IF(MDReportingPeriod=TMDMonthly,R147,IF(MDReportingPeriod=TMDTwoweekly,R146,R145)))</f>
        <v>0</v>
      </c>
      <c r="S151" s="509">
        <f>IF(S$15=TMDPeriodValueTypeForecast,IF('Delivery Calculation'!$H$24=TMDAllocationTandM,0,'Delivery Calculation'!AB98),IF(MDReportingPeriod=TMDMonthly,S147,IF(MDReportingPeriod=TMDTwoweekly,S146,S145)))</f>
        <v>0</v>
      </c>
      <c r="T151" s="509">
        <f>IF(T$15=TMDPeriodValueTypeForecast,IF('Delivery Calculation'!$H$24=TMDAllocationTandM,0,'Delivery Calculation'!AC98),IF(MDReportingPeriod=TMDMonthly,T147,IF(MDReportingPeriod=TMDTwoweekly,T146,T145)))</f>
        <v>0</v>
      </c>
      <c r="U151" s="509">
        <f>IF(U$15=TMDPeriodValueTypeForecast,IF('Delivery Calculation'!$H$24=TMDAllocationTandM,0,'Delivery Calculation'!AD98),IF(MDReportingPeriod=TMDMonthly,U147,IF(MDReportingPeriod=TMDTwoweekly,U146,U145)))</f>
        <v>0</v>
      </c>
      <c r="V151" s="509">
        <f>IF(V$15=TMDPeriodValueTypeForecast,IF('Delivery Calculation'!$H$24=TMDAllocationTandM,0,'Delivery Calculation'!AE98),IF(MDReportingPeriod=TMDMonthly,V147,IF(MDReportingPeriod=TMDTwoweekly,V146,V145)))</f>
        <v>0</v>
      </c>
      <c r="W151" s="509">
        <f>IF(W$15=TMDPeriodValueTypeForecast,IF('Delivery Calculation'!$H$24=TMDAllocationTandM,0,'Delivery Calculation'!AF98),IF(MDReportingPeriod=TMDMonthly,W147,IF(MDReportingPeriod=TMDTwoweekly,W146,W145)))</f>
        <v>0</v>
      </c>
      <c r="X151" s="509">
        <f>IF(X$15=TMDPeriodValueTypeForecast,IF('Delivery Calculation'!$H$24=TMDAllocationTandM,0,'Delivery Calculation'!AG98),IF(MDReportingPeriod=TMDMonthly,X147,IF(MDReportingPeriod=TMDTwoweekly,X146,X145)))</f>
        <v>0</v>
      </c>
      <c r="Y151" s="509">
        <f>IF(Y$15=TMDPeriodValueTypeForecast,IF('Delivery Calculation'!$H$24=TMDAllocationTandM,0,'Delivery Calculation'!AH98),IF(MDReportingPeriod=TMDMonthly,Y147,IF(MDReportingPeriod=TMDTwoweekly,Y146,Y145)))</f>
        <v>0</v>
      </c>
      <c r="Z151" s="509">
        <f>IF(Z$15=TMDPeriodValueTypeForecast,IF('Delivery Calculation'!$H$24=TMDAllocationTandM,0,'Delivery Calculation'!AI98),IF(MDReportingPeriod=TMDMonthly,Z147,IF(MDReportingPeriod=TMDTwoweekly,Z146,Z145)))</f>
        <v>0</v>
      </c>
      <c r="AA151" s="509">
        <f>IF(AA$15=TMDPeriodValueTypeForecast,IF('Delivery Calculation'!$H$24=TMDAllocationTandM,0,'Delivery Calculation'!AJ98),IF(MDReportingPeriod=TMDMonthly,AA147,IF(MDReportingPeriod=TMDTwoweekly,AA146,AA145)))</f>
        <v>0</v>
      </c>
      <c r="AB151" s="509">
        <f>IF(AB$15=TMDPeriodValueTypeForecast,IF('Delivery Calculation'!$H$24=TMDAllocationTandM,0,'Delivery Calculation'!AK98),IF(MDReportingPeriod=TMDMonthly,AB147,IF(MDReportingPeriod=TMDTwoweekly,AB146,AB145)))</f>
        <v>0</v>
      </c>
      <c r="AC151" s="509">
        <f>IF(AC$15=TMDPeriodValueTypeForecast,IF('Delivery Calculation'!$H$24=TMDAllocationTandM,0,'Delivery Calculation'!AL98),IF(MDReportingPeriod=TMDMonthly,AC147,IF(MDReportingPeriod=TMDTwoweekly,AC146,AC145)))</f>
        <v>0</v>
      </c>
      <c r="AD151" s="509">
        <f>IF(AD$15=TMDPeriodValueTypeForecast,IF('Delivery Calculation'!$H$24=TMDAllocationTandM,0,'Delivery Calculation'!AM98),IF(MDReportingPeriod=TMDMonthly,AD147,IF(MDReportingPeriod=TMDTwoweekly,AD146,AD145)))</f>
        <v>0</v>
      </c>
      <c r="AE151" s="509">
        <f>IF(AE$15=TMDPeriodValueTypeForecast,IF('Delivery Calculation'!$H$24=TMDAllocationTandM,0,'Delivery Calculation'!AN98),IF(MDReportingPeriod=TMDMonthly,AE147,IF(MDReportingPeriod=TMDTwoweekly,AE146,AE145)))</f>
        <v>0</v>
      </c>
      <c r="AF151" s="509">
        <f>IF(AF$15=TMDPeriodValueTypeForecast,IF('Delivery Calculation'!$H$24=TMDAllocationTandM,0,'Delivery Calculation'!AO98),IF(MDReportingPeriod=TMDMonthly,AF147,IF(MDReportingPeriod=TMDTwoweekly,AF146,AF145)))</f>
        <v>0</v>
      </c>
      <c r="AG151" s="509">
        <f>IF(AG$15=TMDPeriodValueTypeForecast,IF('Delivery Calculation'!$H$24=TMDAllocationTandM,0,'Delivery Calculation'!AP98),IF(MDReportingPeriod=TMDMonthly,AG147,IF(MDReportingPeriod=TMDTwoweekly,AG146,AG145)))</f>
        <v>0</v>
      </c>
      <c r="AH151" s="509">
        <f>IF(AH$15=TMDPeriodValueTypeForecast,IF('Delivery Calculation'!$H$24=TMDAllocationTandM,0,'Delivery Calculation'!AQ98),IF(MDReportingPeriod=TMDMonthly,AH147,IF(MDReportingPeriod=TMDTwoweekly,AH146,AH145)))</f>
        <v>0</v>
      </c>
      <c r="AI151" s="509">
        <f>IF(AI$15=TMDPeriodValueTypeForecast,IF('Delivery Calculation'!$H$24=TMDAllocationTandM,0,'Delivery Calculation'!AR98),IF(MDReportingPeriod=TMDMonthly,AI147,IF(MDReportingPeriod=TMDTwoweekly,AI146,AI145)))</f>
        <v>0</v>
      </c>
      <c r="AJ151" s="509">
        <f>IF(AJ$15=TMDPeriodValueTypeForecast,IF('Delivery Calculation'!$H$24=TMDAllocationTandM,0,'Delivery Calculation'!AS98),IF(MDReportingPeriod=TMDMonthly,AJ147,IF(MDReportingPeriod=TMDTwoweekly,AJ146,AJ145)))</f>
        <v>0</v>
      </c>
      <c r="AK151" s="509">
        <f>IF(AK$15=TMDPeriodValueTypeForecast,IF('Delivery Calculation'!$H$24=TMDAllocationTandM,0,'Delivery Calculation'!AT98),IF(MDReportingPeriod=TMDMonthly,AK147,IF(MDReportingPeriod=TMDTwoweekly,AK146,AK145)))</f>
        <v>0</v>
      </c>
      <c r="AL151" s="509">
        <f>IF(AL$15=TMDPeriodValueTypeForecast,IF('Delivery Calculation'!$H$24=TMDAllocationTandM,0,'Delivery Calculation'!AU98),IF(MDReportingPeriod=TMDMonthly,AL147,IF(MDReportingPeriod=TMDTwoweekly,AL146,AL145)))</f>
        <v>0</v>
      </c>
      <c r="AM151" s="509">
        <f>IF(AM$15=TMDPeriodValueTypeForecast,IF('Delivery Calculation'!$H$24=TMDAllocationTandM,0,'Delivery Calculation'!AV98),IF(MDReportingPeriod=TMDMonthly,AM147,IF(MDReportingPeriod=TMDTwoweekly,AM146,AM145)))</f>
        <v>0</v>
      </c>
      <c r="AN151" s="509">
        <f>IF(AN$15=TMDPeriodValueTypeForecast,IF('Delivery Calculation'!$H$24=TMDAllocationTandM,0,'Delivery Calculation'!AW98),IF(MDReportingPeriod=TMDMonthly,AN147,IF(MDReportingPeriod=TMDTwoweekly,AN146,AN145)))</f>
        <v>0</v>
      </c>
      <c r="AO151" s="509">
        <f>IF(AO$15=TMDPeriodValueTypeForecast,IF('Delivery Calculation'!$H$24=TMDAllocationTandM,0,'Delivery Calculation'!AX98),IF(MDReportingPeriod=TMDMonthly,AO147,IF(MDReportingPeriod=TMDTwoweekly,AO146,AO145)))</f>
        <v>0</v>
      </c>
      <c r="AP151" s="501"/>
      <c r="AQ151" s="505">
        <f>SUMIF($D$15:$AO$15,TMDPeriodValueTypeReported,D151:AO151)</f>
        <v>0</v>
      </c>
      <c r="AR151" s="505">
        <f>SUMIF($D$15:$AO$15,TMDPeriodValueTypeForecast,D151:AO151)</f>
        <v>0</v>
      </c>
      <c r="AS151" s="523">
        <f>'Delivery Calculation'!I24</f>
        <v>0</v>
      </c>
      <c r="AT151" s="505">
        <f>AS151-(AQ151+AR151)</f>
        <v>0</v>
      </c>
      <c r="AU151" s="505"/>
      <c r="AV151" s="510"/>
      <c r="AW151" s="452"/>
    </row>
    <row r="152" spans="1:49">
      <c r="A152" s="1185"/>
      <c r="B152" s="1182"/>
      <c r="C152" s="499" t="s">
        <v>569</v>
      </c>
      <c r="D152" s="509"/>
      <c r="E152" s="509"/>
      <c r="F152" s="509"/>
      <c r="G152" s="509"/>
      <c r="H152" s="509"/>
      <c r="I152" s="509"/>
      <c r="J152" s="509"/>
      <c r="K152" s="509"/>
      <c r="L152" s="509"/>
      <c r="M152" s="509"/>
      <c r="N152" s="509"/>
      <c r="O152" s="509"/>
      <c r="P152" s="509"/>
      <c r="Q152" s="509"/>
      <c r="R152" s="509"/>
      <c r="S152" s="509"/>
      <c r="T152" s="509"/>
      <c r="U152" s="509"/>
      <c r="V152" s="509"/>
      <c r="W152" s="509"/>
      <c r="X152" s="509"/>
      <c r="Y152" s="509"/>
      <c r="Z152" s="509"/>
      <c r="AA152" s="509"/>
      <c r="AB152" s="509"/>
      <c r="AC152" s="509"/>
      <c r="AD152" s="509"/>
      <c r="AE152" s="509"/>
      <c r="AF152" s="509"/>
      <c r="AG152" s="509"/>
      <c r="AH152" s="509"/>
      <c r="AI152" s="509"/>
      <c r="AJ152" s="509"/>
      <c r="AK152" s="509"/>
      <c r="AL152" s="509"/>
      <c r="AM152" s="509"/>
      <c r="AN152" s="509"/>
      <c r="AO152" s="509"/>
      <c r="AP152" s="501"/>
      <c r="AQ152" s="505">
        <f>SUMIF($D$15:$AO$15,TMDPeriodValueTypeReported,D152:AO152)</f>
        <v>0</v>
      </c>
      <c r="AR152" s="505">
        <f>SUMIF($D$15:$AO$15,TMDPeriodValueTypeForecast,D152:AO152)</f>
        <v>0</v>
      </c>
      <c r="AS152" s="505"/>
      <c r="AT152" s="505">
        <f>AQ152+AR152</f>
        <v>0</v>
      </c>
      <c r="AU152" s="505"/>
      <c r="AV152" s="510"/>
      <c r="AW152" s="452"/>
    </row>
    <row r="153" spans="1:49" hidden="1">
      <c r="A153" s="143"/>
      <c r="B153" s="483"/>
      <c r="C153" s="496" t="s">
        <v>1339</v>
      </c>
      <c r="D153" s="516">
        <f t="shared" ref="D153:AO153" si="72">IF(ISERR(GETPIVOTDATA("[Measures].[Hours]",TRIMARANweekly,"[Order].[Position Number]","[Order].[Position Number].&amp;[" &amp; $B160 &amp; "]","[Period].[Week]","[Period].[Week].&amp;[" &amp; YEAR(D$14-7) &amp; TEXT(WEEKNUM(D$14-7),"00") &amp; "]")),0,GETPIVOTDATA("[Measures].[Hours]",TRIMARANweekly,"[Order].[Position Number]","[Order].[Position Number].&amp;[" &amp; $B160 &amp; "]","[Period].[Week]","[Period].[Week].&amp;[" &amp; YEAR(D$14-7) &amp; TEXT(WEEKNUM(D$14-7),"00") &amp; "]"))</f>
        <v>0</v>
      </c>
      <c r="E153" s="516">
        <f t="shared" si="72"/>
        <v>0</v>
      </c>
      <c r="F153" s="516">
        <f t="shared" si="72"/>
        <v>0</v>
      </c>
      <c r="G153" s="516">
        <f t="shared" si="72"/>
        <v>0</v>
      </c>
      <c r="H153" s="516">
        <f t="shared" si="72"/>
        <v>0</v>
      </c>
      <c r="I153" s="516">
        <f t="shared" si="72"/>
        <v>0</v>
      </c>
      <c r="J153" s="516">
        <f t="shared" si="72"/>
        <v>0</v>
      </c>
      <c r="K153" s="516">
        <f t="shared" si="72"/>
        <v>0</v>
      </c>
      <c r="L153" s="516">
        <f t="shared" si="72"/>
        <v>0</v>
      </c>
      <c r="M153" s="516">
        <f t="shared" si="72"/>
        <v>0</v>
      </c>
      <c r="N153" s="516">
        <f t="shared" si="72"/>
        <v>0</v>
      </c>
      <c r="O153" s="516">
        <f t="shared" si="72"/>
        <v>0</v>
      </c>
      <c r="P153" s="516">
        <f t="shared" si="72"/>
        <v>0</v>
      </c>
      <c r="Q153" s="516">
        <f t="shared" si="72"/>
        <v>0</v>
      </c>
      <c r="R153" s="516">
        <f t="shared" si="72"/>
        <v>0</v>
      </c>
      <c r="S153" s="516">
        <f t="shared" si="72"/>
        <v>0</v>
      </c>
      <c r="T153" s="516">
        <f t="shared" si="72"/>
        <v>0</v>
      </c>
      <c r="U153" s="516">
        <f t="shared" si="72"/>
        <v>0</v>
      </c>
      <c r="V153" s="516">
        <f t="shared" si="72"/>
        <v>0</v>
      </c>
      <c r="W153" s="516">
        <f t="shared" si="72"/>
        <v>0</v>
      </c>
      <c r="X153" s="516">
        <f t="shared" si="72"/>
        <v>0</v>
      </c>
      <c r="Y153" s="516">
        <f t="shared" si="72"/>
        <v>0</v>
      </c>
      <c r="Z153" s="516">
        <f t="shared" si="72"/>
        <v>0</v>
      </c>
      <c r="AA153" s="516">
        <f t="shared" si="72"/>
        <v>0</v>
      </c>
      <c r="AB153" s="516">
        <f t="shared" si="72"/>
        <v>0</v>
      </c>
      <c r="AC153" s="516">
        <f t="shared" si="72"/>
        <v>0</v>
      </c>
      <c r="AD153" s="516">
        <f t="shared" si="72"/>
        <v>0</v>
      </c>
      <c r="AE153" s="516">
        <f t="shared" si="72"/>
        <v>0</v>
      </c>
      <c r="AF153" s="516">
        <f t="shared" si="72"/>
        <v>0</v>
      </c>
      <c r="AG153" s="516">
        <f t="shared" si="72"/>
        <v>0</v>
      </c>
      <c r="AH153" s="516">
        <f t="shared" si="72"/>
        <v>0</v>
      </c>
      <c r="AI153" s="516">
        <f t="shared" si="72"/>
        <v>0</v>
      </c>
      <c r="AJ153" s="516">
        <f t="shared" si="72"/>
        <v>0</v>
      </c>
      <c r="AK153" s="516">
        <f t="shared" si="72"/>
        <v>0</v>
      </c>
      <c r="AL153" s="516">
        <f t="shared" si="72"/>
        <v>0</v>
      </c>
      <c r="AM153" s="516">
        <f t="shared" si="72"/>
        <v>0</v>
      </c>
      <c r="AN153" s="516">
        <f t="shared" si="72"/>
        <v>0</v>
      </c>
      <c r="AO153" s="516">
        <f t="shared" si="72"/>
        <v>0</v>
      </c>
      <c r="AP153" s="501"/>
      <c r="AQ153" s="505"/>
      <c r="AR153" s="505"/>
      <c r="AS153" s="505"/>
      <c r="AT153" s="505"/>
      <c r="AU153" s="505"/>
      <c r="AV153" s="510"/>
      <c r="AW153" s="452"/>
    </row>
    <row r="154" spans="1:49" hidden="1">
      <c r="A154" s="143"/>
      <c r="B154" s="483"/>
      <c r="C154" s="496" t="s">
        <v>1340</v>
      </c>
      <c r="D154" s="516">
        <f t="shared" ref="D154:AO154" si="73">IF(ISERR(GETPIVOTDATA("[Measures].[Hours]",TRIMARANweekly,"[Order].[Position Number]","[Order].[Position Number].&amp;[" &amp; $B160 &amp; "]","[Period].[Week]","[Period].[Week].&amp;[" &amp; YEAR(D$14-14) &amp; TEXT(WEEKNUM(D$14-14),"00") &amp; "]")),0,GETPIVOTDATA("[Measures].[Hours]",TRIMARANweekly,"[Order].[Position Number]","[Order].[Position Number].&amp;[" &amp; $B160 &amp; "]","[Period].[Week]","[Period].[Week].&amp;[" &amp; YEAR(D$14-14) &amp; TEXT(WEEKNUM(D$14-14),"00") &amp; "]"))+D153</f>
        <v>0</v>
      </c>
      <c r="E154" s="516">
        <f t="shared" si="73"/>
        <v>0</v>
      </c>
      <c r="F154" s="516">
        <f t="shared" si="73"/>
        <v>0</v>
      </c>
      <c r="G154" s="516">
        <f t="shared" si="73"/>
        <v>0</v>
      </c>
      <c r="H154" s="516">
        <f t="shared" si="73"/>
        <v>0</v>
      </c>
      <c r="I154" s="516">
        <f t="shared" si="73"/>
        <v>0</v>
      </c>
      <c r="J154" s="516">
        <f t="shared" si="73"/>
        <v>0</v>
      </c>
      <c r="K154" s="516">
        <f t="shared" si="73"/>
        <v>0</v>
      </c>
      <c r="L154" s="516">
        <f t="shared" si="73"/>
        <v>0</v>
      </c>
      <c r="M154" s="516">
        <f t="shared" si="73"/>
        <v>0</v>
      </c>
      <c r="N154" s="516">
        <f t="shared" si="73"/>
        <v>0</v>
      </c>
      <c r="O154" s="516">
        <f t="shared" si="73"/>
        <v>0</v>
      </c>
      <c r="P154" s="516">
        <f t="shared" si="73"/>
        <v>0</v>
      </c>
      <c r="Q154" s="516">
        <f t="shared" si="73"/>
        <v>0</v>
      </c>
      <c r="R154" s="516">
        <f t="shared" si="73"/>
        <v>0</v>
      </c>
      <c r="S154" s="516">
        <f t="shared" si="73"/>
        <v>0</v>
      </c>
      <c r="T154" s="516">
        <f t="shared" si="73"/>
        <v>0</v>
      </c>
      <c r="U154" s="516">
        <f t="shared" si="73"/>
        <v>0</v>
      </c>
      <c r="V154" s="516">
        <f t="shared" si="73"/>
        <v>0</v>
      </c>
      <c r="W154" s="516">
        <f t="shared" si="73"/>
        <v>0</v>
      </c>
      <c r="X154" s="516">
        <f t="shared" si="73"/>
        <v>0</v>
      </c>
      <c r="Y154" s="516">
        <f t="shared" si="73"/>
        <v>0</v>
      </c>
      <c r="Z154" s="516">
        <f t="shared" si="73"/>
        <v>0</v>
      </c>
      <c r="AA154" s="516">
        <f t="shared" si="73"/>
        <v>0</v>
      </c>
      <c r="AB154" s="516">
        <f t="shared" si="73"/>
        <v>0</v>
      </c>
      <c r="AC154" s="516">
        <f t="shared" si="73"/>
        <v>0</v>
      </c>
      <c r="AD154" s="516">
        <f t="shared" si="73"/>
        <v>0</v>
      </c>
      <c r="AE154" s="516">
        <f t="shared" si="73"/>
        <v>0</v>
      </c>
      <c r="AF154" s="516">
        <f t="shared" si="73"/>
        <v>0</v>
      </c>
      <c r="AG154" s="516">
        <f t="shared" si="73"/>
        <v>0</v>
      </c>
      <c r="AH154" s="516">
        <f t="shared" si="73"/>
        <v>0</v>
      </c>
      <c r="AI154" s="516">
        <f t="shared" si="73"/>
        <v>0</v>
      </c>
      <c r="AJ154" s="516">
        <f t="shared" si="73"/>
        <v>0</v>
      </c>
      <c r="AK154" s="516">
        <f t="shared" si="73"/>
        <v>0</v>
      </c>
      <c r="AL154" s="516">
        <f t="shared" si="73"/>
        <v>0</v>
      </c>
      <c r="AM154" s="516">
        <f t="shared" si="73"/>
        <v>0</v>
      </c>
      <c r="AN154" s="516">
        <f t="shared" si="73"/>
        <v>0</v>
      </c>
      <c r="AO154" s="516">
        <f t="shared" si="73"/>
        <v>0</v>
      </c>
      <c r="AP154" s="501"/>
      <c r="AQ154" s="505"/>
      <c r="AR154" s="505"/>
      <c r="AS154" s="505"/>
      <c r="AT154" s="505"/>
      <c r="AU154" s="505"/>
      <c r="AV154" s="510"/>
      <c r="AW154" s="452"/>
    </row>
    <row r="155" spans="1:49" hidden="1">
      <c r="A155" s="143"/>
      <c r="B155" s="483"/>
      <c r="C155" s="496" t="s">
        <v>1341</v>
      </c>
      <c r="D155" s="516">
        <f t="shared" ref="D155:AO155" si="74">IF(ISERR(GETPIVOTDATA("[Measures].[Hours]",TRIMARANmonthly,"[Period].[Month]","[Period].[Month].&amp;["&amp;IF(MONTH(D$14)=1,YEAR(D$14)-1&amp;TEXT(12,"00"),YEAR(D$14)&amp;TEXT(MONTH(D$14)-1,"00"))&amp;"]","[Order].[Position Number]","[Order].[Position Number].&amp;["&amp;$B160&amp;"]")),0,GETPIVOTDATA("[Measures].[Hours]",TRIMARANmonthly,"[Period].[Month]","[Period].[Month].&amp;["&amp;IF(MONTH(D$14)=1,YEAR(D$14)-1&amp;TEXT(12,"00"),YEAR(D$14)&amp;TEXT(MONTH(D$14)-1,"00"))&amp;"]","[Order].[Position Number]","[Order].[Position Number].&amp;["&amp;$B160&amp;"]"))</f>
        <v>0</v>
      </c>
      <c r="E155" s="516">
        <f t="shared" si="74"/>
        <v>0</v>
      </c>
      <c r="F155" s="516">
        <f t="shared" si="74"/>
        <v>0</v>
      </c>
      <c r="G155" s="516">
        <f t="shared" si="74"/>
        <v>0</v>
      </c>
      <c r="H155" s="516">
        <f t="shared" si="74"/>
        <v>0</v>
      </c>
      <c r="I155" s="516">
        <f t="shared" si="74"/>
        <v>0</v>
      </c>
      <c r="J155" s="516">
        <f t="shared" si="74"/>
        <v>0</v>
      </c>
      <c r="K155" s="516">
        <f t="shared" si="74"/>
        <v>0</v>
      </c>
      <c r="L155" s="516">
        <f t="shared" si="74"/>
        <v>0</v>
      </c>
      <c r="M155" s="516">
        <f t="shared" si="74"/>
        <v>0</v>
      </c>
      <c r="N155" s="516">
        <f t="shared" si="74"/>
        <v>0</v>
      </c>
      <c r="O155" s="516">
        <f t="shared" si="74"/>
        <v>0</v>
      </c>
      <c r="P155" s="516">
        <f t="shared" si="74"/>
        <v>0</v>
      </c>
      <c r="Q155" s="516">
        <f t="shared" si="74"/>
        <v>0</v>
      </c>
      <c r="R155" s="516">
        <f t="shared" si="74"/>
        <v>0</v>
      </c>
      <c r="S155" s="516">
        <f t="shared" si="74"/>
        <v>0</v>
      </c>
      <c r="T155" s="516">
        <f t="shared" si="74"/>
        <v>0</v>
      </c>
      <c r="U155" s="516">
        <f t="shared" si="74"/>
        <v>0</v>
      </c>
      <c r="V155" s="516">
        <f t="shared" si="74"/>
        <v>0</v>
      </c>
      <c r="W155" s="516">
        <f t="shared" si="74"/>
        <v>0</v>
      </c>
      <c r="X155" s="516">
        <f t="shared" si="74"/>
        <v>0</v>
      </c>
      <c r="Y155" s="516">
        <f t="shared" si="74"/>
        <v>0</v>
      </c>
      <c r="Z155" s="516">
        <f t="shared" si="74"/>
        <v>0</v>
      </c>
      <c r="AA155" s="516">
        <f t="shared" si="74"/>
        <v>0</v>
      </c>
      <c r="AB155" s="516">
        <f t="shared" si="74"/>
        <v>0</v>
      </c>
      <c r="AC155" s="516">
        <f t="shared" si="74"/>
        <v>0</v>
      </c>
      <c r="AD155" s="516">
        <f t="shared" si="74"/>
        <v>0</v>
      </c>
      <c r="AE155" s="516">
        <f t="shared" si="74"/>
        <v>0</v>
      </c>
      <c r="AF155" s="516">
        <f t="shared" si="74"/>
        <v>0</v>
      </c>
      <c r="AG155" s="516">
        <f t="shared" si="74"/>
        <v>0</v>
      </c>
      <c r="AH155" s="516">
        <f t="shared" si="74"/>
        <v>0</v>
      </c>
      <c r="AI155" s="516">
        <f t="shared" si="74"/>
        <v>0</v>
      </c>
      <c r="AJ155" s="516">
        <f t="shared" si="74"/>
        <v>0</v>
      </c>
      <c r="AK155" s="516">
        <f t="shared" si="74"/>
        <v>0</v>
      </c>
      <c r="AL155" s="516">
        <f t="shared" si="74"/>
        <v>0</v>
      </c>
      <c r="AM155" s="516">
        <f t="shared" si="74"/>
        <v>0</v>
      </c>
      <c r="AN155" s="516">
        <f t="shared" si="74"/>
        <v>0</v>
      </c>
      <c r="AO155" s="516">
        <f t="shared" si="74"/>
        <v>0</v>
      </c>
      <c r="AP155" s="501"/>
      <c r="AQ155" s="505"/>
      <c r="AR155" s="505"/>
      <c r="AS155" s="505"/>
      <c r="AT155" s="505"/>
      <c r="AU155" s="505"/>
      <c r="AV155" s="510"/>
      <c r="AW155" s="452"/>
    </row>
    <row r="156" spans="1:49" hidden="1">
      <c r="A156" s="143"/>
      <c r="B156" s="483"/>
      <c r="C156" s="496" t="s">
        <v>1339</v>
      </c>
      <c r="D156" s="516">
        <f t="shared" ref="D156:AO156" si="75">IF(ISERR(GETPIVOTDATA("[Measures].[" &amp; MDContractCurrency &amp; "]",TRIMARANweekly,"[Order].[Position Number]","[Order].[Position Number].&amp;[" &amp; $B160 &amp; "]","[Period].[Week]","[Period].[Week].&amp;[" &amp; YEAR(D$14-7) &amp; TEXT(WEEKNUM(D$14-7),"00") &amp; "]")),0,GETPIVOTDATA("[Measures].[" &amp; MDContractCurrency &amp; "]",TRIMARANweekly,"[Order].[Position Number]","[Order].[Position Number].&amp;[" &amp; $B160 &amp; "]","[Period].[Week]","[Period].[Week].&amp;[" &amp; YEAR(D$14-7) &amp; TEXT(WEEKNUM(D$14-7),"00") &amp; "]"))</f>
        <v>0</v>
      </c>
      <c r="E156" s="516">
        <f t="shared" si="75"/>
        <v>0</v>
      </c>
      <c r="F156" s="516">
        <f t="shared" si="75"/>
        <v>0</v>
      </c>
      <c r="G156" s="516">
        <f t="shared" si="75"/>
        <v>0</v>
      </c>
      <c r="H156" s="516">
        <f t="shared" si="75"/>
        <v>0</v>
      </c>
      <c r="I156" s="516">
        <f t="shared" si="75"/>
        <v>0</v>
      </c>
      <c r="J156" s="516">
        <f t="shared" si="75"/>
        <v>0</v>
      </c>
      <c r="K156" s="516">
        <f t="shared" si="75"/>
        <v>0</v>
      </c>
      <c r="L156" s="516">
        <f t="shared" si="75"/>
        <v>0</v>
      </c>
      <c r="M156" s="516">
        <f t="shared" si="75"/>
        <v>0</v>
      </c>
      <c r="N156" s="516">
        <f t="shared" si="75"/>
        <v>0</v>
      </c>
      <c r="O156" s="516">
        <f t="shared" si="75"/>
        <v>0</v>
      </c>
      <c r="P156" s="516">
        <f t="shared" si="75"/>
        <v>0</v>
      </c>
      <c r="Q156" s="516">
        <f t="shared" si="75"/>
        <v>0</v>
      </c>
      <c r="R156" s="516">
        <f t="shared" si="75"/>
        <v>0</v>
      </c>
      <c r="S156" s="516">
        <f t="shared" si="75"/>
        <v>0</v>
      </c>
      <c r="T156" s="516">
        <f t="shared" si="75"/>
        <v>0</v>
      </c>
      <c r="U156" s="516">
        <f t="shared" si="75"/>
        <v>0</v>
      </c>
      <c r="V156" s="516">
        <f t="shared" si="75"/>
        <v>0</v>
      </c>
      <c r="W156" s="516">
        <f t="shared" si="75"/>
        <v>0</v>
      </c>
      <c r="X156" s="516">
        <f t="shared" si="75"/>
        <v>0</v>
      </c>
      <c r="Y156" s="516">
        <f t="shared" si="75"/>
        <v>0</v>
      </c>
      <c r="Z156" s="516">
        <f t="shared" si="75"/>
        <v>0</v>
      </c>
      <c r="AA156" s="516">
        <f t="shared" si="75"/>
        <v>0</v>
      </c>
      <c r="AB156" s="516">
        <f t="shared" si="75"/>
        <v>0</v>
      </c>
      <c r="AC156" s="516">
        <f t="shared" si="75"/>
        <v>0</v>
      </c>
      <c r="AD156" s="516">
        <f t="shared" si="75"/>
        <v>0</v>
      </c>
      <c r="AE156" s="516">
        <f t="shared" si="75"/>
        <v>0</v>
      </c>
      <c r="AF156" s="516">
        <f t="shared" si="75"/>
        <v>0</v>
      </c>
      <c r="AG156" s="516">
        <f t="shared" si="75"/>
        <v>0</v>
      </c>
      <c r="AH156" s="516">
        <f t="shared" si="75"/>
        <v>0</v>
      </c>
      <c r="AI156" s="516">
        <f t="shared" si="75"/>
        <v>0</v>
      </c>
      <c r="AJ156" s="516">
        <f t="shared" si="75"/>
        <v>0</v>
      </c>
      <c r="AK156" s="516">
        <f t="shared" si="75"/>
        <v>0</v>
      </c>
      <c r="AL156" s="516">
        <f t="shared" si="75"/>
        <v>0</v>
      </c>
      <c r="AM156" s="516">
        <f t="shared" si="75"/>
        <v>0</v>
      </c>
      <c r="AN156" s="516">
        <f t="shared" si="75"/>
        <v>0</v>
      </c>
      <c r="AO156" s="516">
        <f t="shared" si="75"/>
        <v>0</v>
      </c>
      <c r="AP156" s="501"/>
      <c r="AQ156" s="505"/>
      <c r="AR156" s="505"/>
      <c r="AS156" s="505"/>
      <c r="AT156" s="505"/>
      <c r="AU156" s="505"/>
      <c r="AV156" s="510"/>
      <c r="AW156" s="452"/>
    </row>
    <row r="157" spans="1:49" hidden="1">
      <c r="A157" s="143"/>
      <c r="B157" s="483"/>
      <c r="C157" s="496" t="s">
        <v>1340</v>
      </c>
      <c r="D157" s="516">
        <f t="shared" ref="D157:AO157" si="76">IF(ISERR(GETPIVOTDATA("[Measures].[" &amp; MDContractCurrency &amp; "]",TRIMARANweekly,"[Order].[Position Number]","[Order].[Position Number].&amp;[" &amp; $B160 &amp; "]","[Period].[Week]","[Period].[Week].&amp;[" &amp; YEAR(D$14-14) &amp; TEXT(WEEKNUM(D$14-14),"00") &amp; "]")),0,GETPIVOTDATA("[Measures].[" &amp; MDContractCurrency &amp; "]",TRIMARANweekly,"[Order].[Position Number]","[Order].[Position Number].&amp;[" &amp; $B160 &amp; "]","[Period].[Week]","[Period].[Week].&amp;[" &amp; YEAR(D$14-14) &amp; TEXT(WEEKNUM(D$14-14),"00") &amp; "]"))+D156</f>
        <v>0</v>
      </c>
      <c r="E157" s="516">
        <f t="shared" si="76"/>
        <v>0</v>
      </c>
      <c r="F157" s="516">
        <f t="shared" si="76"/>
        <v>0</v>
      </c>
      <c r="G157" s="516">
        <f t="shared" si="76"/>
        <v>0</v>
      </c>
      <c r="H157" s="516">
        <f t="shared" si="76"/>
        <v>0</v>
      </c>
      <c r="I157" s="516">
        <f t="shared" si="76"/>
        <v>0</v>
      </c>
      <c r="J157" s="516">
        <f t="shared" si="76"/>
        <v>0</v>
      </c>
      <c r="K157" s="516">
        <f t="shared" si="76"/>
        <v>0</v>
      </c>
      <c r="L157" s="516">
        <f t="shared" si="76"/>
        <v>0</v>
      </c>
      <c r="M157" s="516">
        <f t="shared" si="76"/>
        <v>0</v>
      </c>
      <c r="N157" s="516">
        <f t="shared" si="76"/>
        <v>0</v>
      </c>
      <c r="O157" s="516">
        <f t="shared" si="76"/>
        <v>0</v>
      </c>
      <c r="P157" s="516">
        <f t="shared" si="76"/>
        <v>0</v>
      </c>
      <c r="Q157" s="516">
        <f t="shared" si="76"/>
        <v>0</v>
      </c>
      <c r="R157" s="516">
        <f t="shared" si="76"/>
        <v>0</v>
      </c>
      <c r="S157" s="516">
        <f t="shared" si="76"/>
        <v>0</v>
      </c>
      <c r="T157" s="516">
        <f t="shared" si="76"/>
        <v>0</v>
      </c>
      <c r="U157" s="516">
        <f t="shared" si="76"/>
        <v>0</v>
      </c>
      <c r="V157" s="516">
        <f t="shared" si="76"/>
        <v>0</v>
      </c>
      <c r="W157" s="516">
        <f t="shared" si="76"/>
        <v>0</v>
      </c>
      <c r="X157" s="516">
        <f t="shared" si="76"/>
        <v>0</v>
      </c>
      <c r="Y157" s="516">
        <f t="shared" si="76"/>
        <v>0</v>
      </c>
      <c r="Z157" s="516">
        <f t="shared" si="76"/>
        <v>0</v>
      </c>
      <c r="AA157" s="516">
        <f t="shared" si="76"/>
        <v>0</v>
      </c>
      <c r="AB157" s="516">
        <f t="shared" si="76"/>
        <v>0</v>
      </c>
      <c r="AC157" s="516">
        <f t="shared" si="76"/>
        <v>0</v>
      </c>
      <c r="AD157" s="516">
        <f t="shared" si="76"/>
        <v>0</v>
      </c>
      <c r="AE157" s="516">
        <f t="shared" si="76"/>
        <v>0</v>
      </c>
      <c r="AF157" s="516">
        <f t="shared" si="76"/>
        <v>0</v>
      </c>
      <c r="AG157" s="516">
        <f t="shared" si="76"/>
        <v>0</v>
      </c>
      <c r="AH157" s="516">
        <f t="shared" si="76"/>
        <v>0</v>
      </c>
      <c r="AI157" s="516">
        <f t="shared" si="76"/>
        <v>0</v>
      </c>
      <c r="AJ157" s="516">
        <f t="shared" si="76"/>
        <v>0</v>
      </c>
      <c r="AK157" s="516">
        <f t="shared" si="76"/>
        <v>0</v>
      </c>
      <c r="AL157" s="516">
        <f t="shared" si="76"/>
        <v>0</v>
      </c>
      <c r="AM157" s="516">
        <f t="shared" si="76"/>
        <v>0</v>
      </c>
      <c r="AN157" s="516">
        <f t="shared" si="76"/>
        <v>0</v>
      </c>
      <c r="AO157" s="516">
        <f t="shared" si="76"/>
        <v>0</v>
      </c>
      <c r="AP157" s="501"/>
      <c r="AQ157" s="505"/>
      <c r="AR157" s="505"/>
      <c r="AS157" s="505"/>
      <c r="AT157" s="505"/>
      <c r="AU157" s="505"/>
      <c r="AV157" s="510"/>
      <c r="AW157" s="452"/>
    </row>
    <row r="158" spans="1:49" hidden="1">
      <c r="A158" s="141"/>
      <c r="B158" s="517"/>
      <c r="C158" s="496" t="s">
        <v>1341</v>
      </c>
      <c r="D158" s="516">
        <f t="shared" ref="D158:AO158" si="77">IF(ISERR(GETPIVOTDATA("[Measures].[" &amp; MDContractCurrency &amp; "]",TRIMARANmonthly,"[Period].[Month]","[Period].[Month].&amp;["&amp;IF(MONTH(D$14)=1,YEAR(D$14)-1&amp;TEXT(12,"00"),YEAR(D$14)&amp;TEXT(MONTH(D$14)-1,"00"))&amp;"]","[Order].[Position Number]","[Order].[Position Number].&amp;["&amp;$B160&amp;"]")),0,GETPIVOTDATA("[Measures].[" &amp; MDContractCurrency &amp; "]",TRIMARANmonthly,"[Period].[Month]","[Period].[Month].&amp;["&amp;IF(MONTH(D$14)=1,YEAR(D$14)-1&amp;TEXT(12,"00"),YEAR(D$14)&amp;TEXT(MONTH(D$14)-1,"00"))&amp;"]","[Order].[Position Number]","[Order].[Position Number].&amp;["&amp;$B160&amp;"]"))</f>
        <v>0</v>
      </c>
      <c r="E158" s="516">
        <f t="shared" si="77"/>
        <v>0</v>
      </c>
      <c r="F158" s="516">
        <f t="shared" si="77"/>
        <v>0</v>
      </c>
      <c r="G158" s="516">
        <f t="shared" si="77"/>
        <v>0</v>
      </c>
      <c r="H158" s="516">
        <f t="shared" si="77"/>
        <v>0</v>
      </c>
      <c r="I158" s="516">
        <f t="shared" si="77"/>
        <v>0</v>
      </c>
      <c r="J158" s="516">
        <f t="shared" si="77"/>
        <v>0</v>
      </c>
      <c r="K158" s="516">
        <f t="shared" si="77"/>
        <v>0</v>
      </c>
      <c r="L158" s="516">
        <f t="shared" si="77"/>
        <v>0</v>
      </c>
      <c r="M158" s="516">
        <f t="shared" si="77"/>
        <v>0</v>
      </c>
      <c r="N158" s="516">
        <f t="shared" si="77"/>
        <v>0</v>
      </c>
      <c r="O158" s="516">
        <f t="shared" si="77"/>
        <v>0</v>
      </c>
      <c r="P158" s="516">
        <f t="shared" si="77"/>
        <v>0</v>
      </c>
      <c r="Q158" s="516">
        <f t="shared" si="77"/>
        <v>0</v>
      </c>
      <c r="R158" s="516">
        <f t="shared" si="77"/>
        <v>0</v>
      </c>
      <c r="S158" s="516">
        <f t="shared" si="77"/>
        <v>0</v>
      </c>
      <c r="T158" s="516">
        <f t="shared" si="77"/>
        <v>0</v>
      </c>
      <c r="U158" s="516">
        <f t="shared" si="77"/>
        <v>0</v>
      </c>
      <c r="V158" s="516">
        <f t="shared" si="77"/>
        <v>0</v>
      </c>
      <c r="W158" s="516">
        <f t="shared" si="77"/>
        <v>0</v>
      </c>
      <c r="X158" s="516">
        <f t="shared" si="77"/>
        <v>0</v>
      </c>
      <c r="Y158" s="516">
        <f t="shared" si="77"/>
        <v>0</v>
      </c>
      <c r="Z158" s="516">
        <f t="shared" si="77"/>
        <v>0</v>
      </c>
      <c r="AA158" s="516">
        <f t="shared" si="77"/>
        <v>0</v>
      </c>
      <c r="AB158" s="516">
        <f t="shared" si="77"/>
        <v>0</v>
      </c>
      <c r="AC158" s="516">
        <f t="shared" si="77"/>
        <v>0</v>
      </c>
      <c r="AD158" s="516">
        <f t="shared" si="77"/>
        <v>0</v>
      </c>
      <c r="AE158" s="516">
        <f t="shared" si="77"/>
        <v>0</v>
      </c>
      <c r="AF158" s="516">
        <f t="shared" si="77"/>
        <v>0</v>
      </c>
      <c r="AG158" s="516">
        <f t="shared" si="77"/>
        <v>0</v>
      </c>
      <c r="AH158" s="516">
        <f t="shared" si="77"/>
        <v>0</v>
      </c>
      <c r="AI158" s="516">
        <f t="shared" si="77"/>
        <v>0</v>
      </c>
      <c r="AJ158" s="516">
        <f t="shared" si="77"/>
        <v>0</v>
      </c>
      <c r="AK158" s="516">
        <f t="shared" si="77"/>
        <v>0</v>
      </c>
      <c r="AL158" s="516">
        <f t="shared" si="77"/>
        <v>0</v>
      </c>
      <c r="AM158" s="516">
        <f t="shared" si="77"/>
        <v>0</v>
      </c>
      <c r="AN158" s="516">
        <f t="shared" si="77"/>
        <v>0</v>
      </c>
      <c r="AO158" s="516">
        <f t="shared" si="77"/>
        <v>0</v>
      </c>
      <c r="AP158" s="501"/>
      <c r="AQ158" s="505"/>
      <c r="AR158" s="505"/>
      <c r="AS158" s="505"/>
      <c r="AT158" s="505"/>
      <c r="AU158" s="505"/>
      <c r="AV158" s="510"/>
      <c r="AW158" s="452"/>
    </row>
    <row r="159" spans="1:49">
      <c r="A159" s="143"/>
      <c r="B159" s="483"/>
      <c r="C159" s="524"/>
      <c r="D159" s="501"/>
      <c r="E159" s="501"/>
      <c r="F159" s="501"/>
      <c r="G159" s="501"/>
      <c r="H159" s="501"/>
      <c r="I159" s="501"/>
      <c r="J159" s="501"/>
      <c r="K159" s="501"/>
      <c r="L159" s="501"/>
      <c r="M159" s="501"/>
      <c r="N159" s="501"/>
      <c r="O159" s="501"/>
      <c r="P159" s="501"/>
      <c r="Q159" s="501"/>
      <c r="R159" s="501"/>
      <c r="S159" s="501"/>
      <c r="T159" s="501"/>
      <c r="U159" s="501"/>
      <c r="V159" s="501"/>
      <c r="W159" s="501"/>
      <c r="X159" s="501"/>
      <c r="Y159" s="501"/>
      <c r="Z159" s="501"/>
      <c r="AA159" s="501"/>
      <c r="AB159" s="501"/>
      <c r="AC159" s="501"/>
      <c r="AD159" s="501"/>
      <c r="AE159" s="501"/>
      <c r="AF159" s="501"/>
      <c r="AG159" s="501"/>
      <c r="AH159" s="501"/>
      <c r="AI159" s="501"/>
      <c r="AJ159" s="501"/>
      <c r="AK159" s="501"/>
      <c r="AL159" s="501"/>
      <c r="AM159" s="501"/>
      <c r="AN159" s="501"/>
      <c r="AO159" s="501"/>
      <c r="AP159" s="501"/>
      <c r="AQ159" s="505"/>
      <c r="AR159" s="505"/>
      <c r="AS159" s="505"/>
      <c r="AT159" s="505"/>
      <c r="AU159" s="505"/>
      <c r="AV159" s="510"/>
      <c r="AW159" s="452"/>
    </row>
    <row r="160" spans="1:49">
      <c r="A160" s="1183" t="str">
        <f>'Delivery Calculation'!B25 &amp; CHAR(10) &amp; 'Delivery Calculation'!P25 &amp; " - " &amp; 'Delivery Calculation'!Q25</f>
        <v xml:space="preserve">0
 - </v>
      </c>
      <c r="B160" s="1180">
        <f>'Delivery Calculation'!A25</f>
        <v>0</v>
      </c>
      <c r="C160" s="499" t="s">
        <v>570</v>
      </c>
      <c r="D160" s="518">
        <f>'Delivery Calculation'!M206</f>
        <v>0</v>
      </c>
      <c r="E160" s="518">
        <f>'Delivery Calculation'!N206</f>
        <v>0</v>
      </c>
      <c r="F160" s="518">
        <f>'Delivery Calculation'!O206</f>
        <v>0</v>
      </c>
      <c r="G160" s="518">
        <f>'Delivery Calculation'!P206</f>
        <v>0</v>
      </c>
      <c r="H160" s="518">
        <f>'Delivery Calculation'!Q206</f>
        <v>0</v>
      </c>
      <c r="I160" s="518">
        <f>'Delivery Calculation'!R206</f>
        <v>0</v>
      </c>
      <c r="J160" s="518">
        <f>'Delivery Calculation'!S206</f>
        <v>0</v>
      </c>
      <c r="K160" s="518">
        <f>'Delivery Calculation'!T206</f>
        <v>0</v>
      </c>
      <c r="L160" s="518">
        <f>'Delivery Calculation'!U206</f>
        <v>0</v>
      </c>
      <c r="M160" s="518">
        <f>'Delivery Calculation'!V206</f>
        <v>0</v>
      </c>
      <c r="N160" s="518">
        <f>'Delivery Calculation'!W206</f>
        <v>0</v>
      </c>
      <c r="O160" s="518">
        <f>'Delivery Calculation'!X206</f>
        <v>0</v>
      </c>
      <c r="P160" s="518">
        <f>'Delivery Calculation'!Y206</f>
        <v>0</v>
      </c>
      <c r="Q160" s="518">
        <f>'Delivery Calculation'!Z206</f>
        <v>0</v>
      </c>
      <c r="R160" s="518">
        <f>'Delivery Calculation'!AA206</f>
        <v>0</v>
      </c>
      <c r="S160" s="518">
        <f>'Delivery Calculation'!AB206</f>
        <v>0</v>
      </c>
      <c r="T160" s="518">
        <f>'Delivery Calculation'!AC206</f>
        <v>0</v>
      </c>
      <c r="U160" s="518">
        <f>'Delivery Calculation'!AD206</f>
        <v>0</v>
      </c>
      <c r="V160" s="518">
        <f>'Delivery Calculation'!AE206</f>
        <v>0</v>
      </c>
      <c r="W160" s="518">
        <f>'Delivery Calculation'!AF206</f>
        <v>0</v>
      </c>
      <c r="X160" s="518">
        <f>'Delivery Calculation'!AG206</f>
        <v>0</v>
      </c>
      <c r="Y160" s="518">
        <f>'Delivery Calculation'!AH206</f>
        <v>0</v>
      </c>
      <c r="Z160" s="518">
        <f>'Delivery Calculation'!AI206</f>
        <v>0</v>
      </c>
      <c r="AA160" s="518">
        <f>'Delivery Calculation'!AJ206</f>
        <v>0</v>
      </c>
      <c r="AB160" s="518">
        <f>'Delivery Calculation'!AK206</f>
        <v>0</v>
      </c>
      <c r="AC160" s="518">
        <f>'Delivery Calculation'!AL206</f>
        <v>0</v>
      </c>
      <c r="AD160" s="518">
        <f>'Delivery Calculation'!AM206</f>
        <v>0</v>
      </c>
      <c r="AE160" s="518">
        <f>'Delivery Calculation'!AN206</f>
        <v>0</v>
      </c>
      <c r="AF160" s="518">
        <f>'Delivery Calculation'!AO206</f>
        <v>0</v>
      </c>
      <c r="AG160" s="518">
        <f>'Delivery Calculation'!AP206</f>
        <v>0</v>
      </c>
      <c r="AH160" s="518">
        <f>'Delivery Calculation'!AQ206</f>
        <v>0</v>
      </c>
      <c r="AI160" s="518">
        <f>'Delivery Calculation'!AR206</f>
        <v>0</v>
      </c>
      <c r="AJ160" s="518">
        <f>'Delivery Calculation'!AS206</f>
        <v>0</v>
      </c>
      <c r="AK160" s="518">
        <f>'Delivery Calculation'!AT206</f>
        <v>0</v>
      </c>
      <c r="AL160" s="518">
        <f>'Delivery Calculation'!AU206</f>
        <v>0</v>
      </c>
      <c r="AM160" s="518">
        <f>'Delivery Calculation'!AV206</f>
        <v>0</v>
      </c>
      <c r="AN160" s="518">
        <f>'Delivery Calculation'!AW206</f>
        <v>0</v>
      </c>
      <c r="AO160" s="518">
        <f>'Delivery Calculation'!AX206</f>
        <v>0</v>
      </c>
      <c r="AP160" s="501"/>
      <c r="AQ160" s="519">
        <f>IF(COUNTIF($D$15:$AO$15, TMDPeriodValueTypeReported)&gt;0, INDEX(D160:AO160,1,COUNTIF(D$15:$AO$15,TMDPeriodValueTypeReported)),0)</f>
        <v>0</v>
      </c>
      <c r="AR160" s="519"/>
      <c r="AS160" s="520">
        <f>'Delivery Calculation'!N25</f>
        <v>0</v>
      </c>
      <c r="AT160" s="519">
        <f>AQ160*'Delivery Calculation'!N25</f>
        <v>0</v>
      </c>
      <c r="AU160" s="521" t="s">
        <v>522</v>
      </c>
      <c r="AV160" s="510"/>
      <c r="AW160" s="452"/>
    </row>
    <row r="161" spans="1:49">
      <c r="A161" s="1184"/>
      <c r="B161" s="1181"/>
      <c r="C161" s="499" t="s">
        <v>571</v>
      </c>
      <c r="D161" s="509">
        <f>IF(D$15=TMDPeriodValueTypeForecast,IF('Delivery Calculation'!$H$25=TMDAllocationTandM,0,'Delivery Calculation'!M135),IF(MDReportingPeriod=TMDMonthly,D155,IF(MDReportingPeriod=TMDTwoweekly,D154,D153)))</f>
        <v>0</v>
      </c>
      <c r="E161" s="509">
        <f>IF(E$15=TMDPeriodValueTypeForecast,IF('Delivery Calculation'!$H$25=TMDAllocationTandM,0,'Delivery Calculation'!N135),IF(MDReportingPeriod=TMDMonthly,E155,IF(MDReportingPeriod=TMDTwoweekly,E154,E153)))</f>
        <v>0</v>
      </c>
      <c r="F161" s="509">
        <f>IF(F$15=TMDPeriodValueTypeForecast,IF('Delivery Calculation'!$H$25=TMDAllocationTandM,0,'Delivery Calculation'!O135),IF(MDReportingPeriod=TMDMonthly,F155,IF(MDReportingPeriod=TMDTwoweekly,F154,F153)))</f>
        <v>0</v>
      </c>
      <c r="G161" s="509">
        <f>IF(G$15=TMDPeriodValueTypeForecast,IF('Delivery Calculation'!$H$25=TMDAllocationTandM,0,'Delivery Calculation'!P135),IF(MDReportingPeriod=TMDMonthly,G155,IF(MDReportingPeriod=TMDTwoweekly,G154,G153)))</f>
        <v>0</v>
      </c>
      <c r="H161" s="509">
        <f>IF(H$15=TMDPeriodValueTypeForecast,IF('Delivery Calculation'!$H$25=TMDAllocationTandM,0,'Delivery Calculation'!Q135),IF(MDReportingPeriod=TMDMonthly,H155,IF(MDReportingPeriod=TMDTwoweekly,H154,H153)))</f>
        <v>0</v>
      </c>
      <c r="I161" s="509">
        <f>IF(I$15=TMDPeriodValueTypeForecast,IF('Delivery Calculation'!$H$25=TMDAllocationTandM,0,'Delivery Calculation'!R135),IF(MDReportingPeriod=TMDMonthly,I155,IF(MDReportingPeriod=TMDTwoweekly,I154,I153)))</f>
        <v>0</v>
      </c>
      <c r="J161" s="509">
        <f>IF(J$15=TMDPeriodValueTypeForecast,IF('Delivery Calculation'!$H$25=TMDAllocationTandM,0,'Delivery Calculation'!S135),IF(MDReportingPeriod=TMDMonthly,J155,IF(MDReportingPeriod=TMDTwoweekly,J154,J153)))</f>
        <v>0</v>
      </c>
      <c r="K161" s="509">
        <f>IF(K$15=TMDPeriodValueTypeForecast,IF('Delivery Calculation'!$H$25=TMDAllocationTandM,0,'Delivery Calculation'!T135),IF(MDReportingPeriod=TMDMonthly,K155,IF(MDReportingPeriod=TMDTwoweekly,K154,K153)))</f>
        <v>0</v>
      </c>
      <c r="L161" s="509">
        <f>IF(L$15=TMDPeriodValueTypeForecast,IF('Delivery Calculation'!$H$25=TMDAllocationTandM,0,'Delivery Calculation'!U135),IF(MDReportingPeriod=TMDMonthly,L155,IF(MDReportingPeriod=TMDTwoweekly,L154,L153)))</f>
        <v>0</v>
      </c>
      <c r="M161" s="509">
        <f>IF(M$15=TMDPeriodValueTypeForecast,IF('Delivery Calculation'!$H$25=TMDAllocationTandM,0,'Delivery Calculation'!V135),IF(MDReportingPeriod=TMDMonthly,M155,IF(MDReportingPeriod=TMDTwoweekly,M154,M153)))</f>
        <v>0</v>
      </c>
      <c r="N161" s="509">
        <f>IF(N$15=TMDPeriodValueTypeForecast,IF('Delivery Calculation'!$H$25=TMDAllocationTandM,0,'Delivery Calculation'!W135),IF(MDReportingPeriod=TMDMonthly,N155,IF(MDReportingPeriod=TMDTwoweekly,N154,N153)))</f>
        <v>0</v>
      </c>
      <c r="O161" s="509">
        <f>IF(O$15=TMDPeriodValueTypeForecast,IF('Delivery Calculation'!$H$25=TMDAllocationTandM,0,'Delivery Calculation'!X135),IF(MDReportingPeriod=TMDMonthly,O155,IF(MDReportingPeriod=TMDTwoweekly,O154,O153)))</f>
        <v>0</v>
      </c>
      <c r="P161" s="509">
        <f>IF(P$15=TMDPeriodValueTypeForecast,IF('Delivery Calculation'!$H$25=TMDAllocationTandM,0,'Delivery Calculation'!Y135),IF(MDReportingPeriod=TMDMonthly,P155,IF(MDReportingPeriod=TMDTwoweekly,P154,P153)))</f>
        <v>0</v>
      </c>
      <c r="Q161" s="509">
        <f>IF(Q$15=TMDPeriodValueTypeForecast,IF('Delivery Calculation'!$H$25=TMDAllocationTandM,0,'Delivery Calculation'!Z135),IF(MDReportingPeriod=TMDMonthly,Q155,IF(MDReportingPeriod=TMDTwoweekly,Q154,Q153)))</f>
        <v>0</v>
      </c>
      <c r="R161" s="509">
        <f>IF(R$15=TMDPeriodValueTypeForecast,IF('Delivery Calculation'!$H$25=TMDAllocationTandM,0,'Delivery Calculation'!AA135),IF(MDReportingPeriod=TMDMonthly,R155,IF(MDReportingPeriod=TMDTwoweekly,R154,R153)))</f>
        <v>0</v>
      </c>
      <c r="S161" s="509">
        <f>IF(S$15=TMDPeriodValueTypeForecast,IF('Delivery Calculation'!$H$25=TMDAllocationTandM,0,'Delivery Calculation'!AB135),IF(MDReportingPeriod=TMDMonthly,S155,IF(MDReportingPeriod=TMDTwoweekly,S154,S153)))</f>
        <v>0</v>
      </c>
      <c r="T161" s="509">
        <f>IF(T$15=TMDPeriodValueTypeForecast,IF('Delivery Calculation'!$H$25=TMDAllocationTandM,0,'Delivery Calculation'!AC135),IF(MDReportingPeriod=TMDMonthly,T155,IF(MDReportingPeriod=TMDTwoweekly,T154,T153)))</f>
        <v>0</v>
      </c>
      <c r="U161" s="509">
        <f>IF(U$15=TMDPeriodValueTypeForecast,IF('Delivery Calculation'!$H$25=TMDAllocationTandM,0,'Delivery Calculation'!AD135),IF(MDReportingPeriod=TMDMonthly,U155,IF(MDReportingPeriod=TMDTwoweekly,U154,U153)))</f>
        <v>0</v>
      </c>
      <c r="V161" s="509">
        <f>IF(V$15=TMDPeriodValueTypeForecast,IF('Delivery Calculation'!$H$25=TMDAllocationTandM,0,'Delivery Calculation'!AE135),IF(MDReportingPeriod=TMDMonthly,V155,IF(MDReportingPeriod=TMDTwoweekly,V154,V153)))</f>
        <v>0</v>
      </c>
      <c r="W161" s="509">
        <f>IF(W$15=TMDPeriodValueTypeForecast,IF('Delivery Calculation'!$H$25=TMDAllocationTandM,0,'Delivery Calculation'!AF135),IF(MDReportingPeriod=TMDMonthly,W155,IF(MDReportingPeriod=TMDTwoweekly,W154,W153)))</f>
        <v>0</v>
      </c>
      <c r="X161" s="509">
        <f>IF(X$15=TMDPeriodValueTypeForecast,IF('Delivery Calculation'!$H$25=TMDAllocationTandM,0,'Delivery Calculation'!AG135),IF(MDReportingPeriod=TMDMonthly,X155,IF(MDReportingPeriod=TMDTwoweekly,X154,X153)))</f>
        <v>0</v>
      </c>
      <c r="Y161" s="509">
        <f>IF(Y$15=TMDPeriodValueTypeForecast,IF('Delivery Calculation'!$H$25=TMDAllocationTandM,0,'Delivery Calculation'!AH135),IF(MDReportingPeriod=TMDMonthly,Y155,IF(MDReportingPeriod=TMDTwoweekly,Y154,Y153)))</f>
        <v>0</v>
      </c>
      <c r="Z161" s="509">
        <f>IF(Z$15=TMDPeriodValueTypeForecast,IF('Delivery Calculation'!$H$25=TMDAllocationTandM,0,'Delivery Calculation'!AI135),IF(MDReportingPeriod=TMDMonthly,Z155,IF(MDReportingPeriod=TMDTwoweekly,Z154,Z153)))</f>
        <v>0</v>
      </c>
      <c r="AA161" s="509">
        <f>IF(AA$15=TMDPeriodValueTypeForecast,IF('Delivery Calculation'!$H$25=TMDAllocationTandM,0,'Delivery Calculation'!AJ135),IF(MDReportingPeriod=TMDMonthly,AA155,IF(MDReportingPeriod=TMDTwoweekly,AA154,AA153)))</f>
        <v>0</v>
      </c>
      <c r="AB161" s="509">
        <f>IF(AB$15=TMDPeriodValueTypeForecast,IF('Delivery Calculation'!$H$25=TMDAllocationTandM,0,'Delivery Calculation'!AK135),IF(MDReportingPeriod=TMDMonthly,AB155,IF(MDReportingPeriod=TMDTwoweekly,AB154,AB153)))</f>
        <v>0</v>
      </c>
      <c r="AC161" s="509">
        <f>IF(AC$15=TMDPeriodValueTypeForecast,IF('Delivery Calculation'!$H$25=TMDAllocationTandM,0,'Delivery Calculation'!AL135),IF(MDReportingPeriod=TMDMonthly,AC155,IF(MDReportingPeriod=TMDTwoweekly,AC154,AC153)))</f>
        <v>0</v>
      </c>
      <c r="AD161" s="509">
        <f>IF(AD$15=TMDPeriodValueTypeForecast,IF('Delivery Calculation'!$H$25=TMDAllocationTandM,0,'Delivery Calculation'!AM135),IF(MDReportingPeriod=TMDMonthly,AD155,IF(MDReportingPeriod=TMDTwoweekly,AD154,AD153)))</f>
        <v>0</v>
      </c>
      <c r="AE161" s="509">
        <f>IF(AE$15=TMDPeriodValueTypeForecast,IF('Delivery Calculation'!$H$25=TMDAllocationTandM,0,'Delivery Calculation'!AN135),IF(MDReportingPeriod=TMDMonthly,AE155,IF(MDReportingPeriod=TMDTwoweekly,AE154,AE153)))</f>
        <v>0</v>
      </c>
      <c r="AF161" s="509">
        <f>IF(AF$15=TMDPeriodValueTypeForecast,IF('Delivery Calculation'!$H$25=TMDAllocationTandM,0,'Delivery Calculation'!AO135),IF(MDReportingPeriod=TMDMonthly,AF155,IF(MDReportingPeriod=TMDTwoweekly,AF154,AF153)))</f>
        <v>0</v>
      </c>
      <c r="AG161" s="509">
        <f>IF(AG$15=TMDPeriodValueTypeForecast,IF('Delivery Calculation'!$H$25=TMDAllocationTandM,0,'Delivery Calculation'!AP135),IF(MDReportingPeriod=TMDMonthly,AG155,IF(MDReportingPeriod=TMDTwoweekly,AG154,AG153)))</f>
        <v>0</v>
      </c>
      <c r="AH161" s="509">
        <f>IF(AH$15=TMDPeriodValueTypeForecast,IF('Delivery Calculation'!$H$25=TMDAllocationTandM,0,'Delivery Calculation'!AQ135),IF(MDReportingPeriod=TMDMonthly,AH155,IF(MDReportingPeriod=TMDTwoweekly,AH154,AH153)))</f>
        <v>0</v>
      </c>
      <c r="AI161" s="509">
        <f>IF(AI$15=TMDPeriodValueTypeForecast,IF('Delivery Calculation'!$H$25=TMDAllocationTandM,0,'Delivery Calculation'!AR135),IF(MDReportingPeriod=TMDMonthly,AI155,IF(MDReportingPeriod=TMDTwoweekly,AI154,AI153)))</f>
        <v>0</v>
      </c>
      <c r="AJ161" s="509">
        <f>IF(AJ$15=TMDPeriodValueTypeForecast,IF('Delivery Calculation'!$H$25=TMDAllocationTandM,0,'Delivery Calculation'!AS135),IF(MDReportingPeriod=TMDMonthly,AJ155,IF(MDReportingPeriod=TMDTwoweekly,AJ154,AJ153)))</f>
        <v>0</v>
      </c>
      <c r="AK161" s="509">
        <f>IF(AK$15=TMDPeriodValueTypeForecast,IF('Delivery Calculation'!$H$25=TMDAllocationTandM,0,'Delivery Calculation'!AT135),IF(MDReportingPeriod=TMDMonthly,AK155,IF(MDReportingPeriod=TMDTwoweekly,AK154,AK153)))</f>
        <v>0</v>
      </c>
      <c r="AL161" s="509">
        <f>IF(AL$15=TMDPeriodValueTypeForecast,IF('Delivery Calculation'!$H$25=TMDAllocationTandM,0,'Delivery Calculation'!AU135),IF(MDReportingPeriod=TMDMonthly,AL155,IF(MDReportingPeriod=TMDTwoweekly,AL154,AL153)))</f>
        <v>0</v>
      </c>
      <c r="AM161" s="509">
        <f>IF(AM$15=TMDPeriodValueTypeForecast,IF('Delivery Calculation'!$H$25=TMDAllocationTandM,0,'Delivery Calculation'!AV135),IF(MDReportingPeriod=TMDMonthly,AM155,IF(MDReportingPeriod=TMDTwoweekly,AM154,AM153)))</f>
        <v>0</v>
      </c>
      <c r="AN161" s="509">
        <f>IF(AN$15=TMDPeriodValueTypeForecast,IF('Delivery Calculation'!$H$25=TMDAllocationTandM,0,'Delivery Calculation'!AW135),IF(MDReportingPeriod=TMDMonthly,AN155,IF(MDReportingPeriod=TMDTwoweekly,AN154,AN153)))</f>
        <v>0</v>
      </c>
      <c r="AO161" s="509">
        <f>IF(AO$15=TMDPeriodValueTypeForecast,IF('Delivery Calculation'!$H$25=TMDAllocationTandM,0,'Delivery Calculation'!AX135),IF(MDReportingPeriod=TMDMonthly,AO155,IF(MDReportingPeriod=TMDTwoweekly,AO154,AO153)))</f>
        <v>0</v>
      </c>
      <c r="AP161" s="501"/>
      <c r="AQ161" s="505">
        <f>SUMIF($D$15:$AO$15,TMDPeriodValueTypeReported,D161:AO161)</f>
        <v>0</v>
      </c>
      <c r="AR161" s="505">
        <f>SUMIF($D$15:$AO$15,TMDPeriodValueTypeForecast,D161:AO161)</f>
        <v>0</v>
      </c>
      <c r="AS161" s="523">
        <f>'Delivery Calculation'!J25</f>
        <v>0</v>
      </c>
      <c r="AT161" s="505">
        <f>AS161-(AQ161+AR161)</f>
        <v>0</v>
      </c>
      <c r="AU161" s="505"/>
      <c r="AV161" s="510"/>
      <c r="AW161" s="452"/>
    </row>
    <row r="162" spans="1:49">
      <c r="A162" s="1184"/>
      <c r="B162" s="1181"/>
      <c r="C162" s="499" t="s">
        <v>572</v>
      </c>
      <c r="D162" s="509">
        <f>IF(D$15=TMDPeriodValueTypeForecast,IF('Delivery Calculation'!$H$25=TMDAllocationTandM,0,'Delivery Calculation'!M99),IF(MDReportingPeriod=TMDMonthly,D158,IF(MDReportingPeriod=TMDTwoweekly,D157,D156)))</f>
        <v>0</v>
      </c>
      <c r="E162" s="509">
        <f>IF(E$15=TMDPeriodValueTypeForecast,IF('Delivery Calculation'!$H$25=TMDAllocationTandM,0,'Delivery Calculation'!N99),IF(MDReportingPeriod=TMDMonthly,E158,IF(MDReportingPeriod=TMDTwoweekly,E157,E156)))</f>
        <v>0</v>
      </c>
      <c r="F162" s="509">
        <f>IF(F$15=TMDPeriodValueTypeForecast,IF('Delivery Calculation'!$H$25=TMDAllocationTandM,0,'Delivery Calculation'!O99),IF(MDReportingPeriod=TMDMonthly,F158,IF(MDReportingPeriod=TMDTwoweekly,F157,F156)))</f>
        <v>0</v>
      </c>
      <c r="G162" s="509">
        <f>IF(G$15=TMDPeriodValueTypeForecast,IF('Delivery Calculation'!$H$25=TMDAllocationTandM,0,'Delivery Calculation'!P99),IF(MDReportingPeriod=TMDMonthly,G158,IF(MDReportingPeriod=TMDTwoweekly,G157,G156)))</f>
        <v>0</v>
      </c>
      <c r="H162" s="509">
        <f>IF(H$15=TMDPeriodValueTypeForecast,IF('Delivery Calculation'!$H$25=TMDAllocationTandM,0,'Delivery Calculation'!Q99),IF(MDReportingPeriod=TMDMonthly,H158,IF(MDReportingPeriod=TMDTwoweekly,H157,H156)))</f>
        <v>0</v>
      </c>
      <c r="I162" s="509">
        <f>IF(I$15=TMDPeriodValueTypeForecast,IF('Delivery Calculation'!$H$25=TMDAllocationTandM,0,'Delivery Calculation'!R99),IF(MDReportingPeriod=TMDMonthly,I158,IF(MDReportingPeriod=TMDTwoweekly,I157,I156)))</f>
        <v>0</v>
      </c>
      <c r="J162" s="509">
        <f>IF(J$15=TMDPeriodValueTypeForecast,IF('Delivery Calculation'!$H$25=TMDAllocationTandM,0,'Delivery Calculation'!S99),IF(MDReportingPeriod=TMDMonthly,J158,IF(MDReportingPeriod=TMDTwoweekly,J157,J156)))</f>
        <v>0</v>
      </c>
      <c r="K162" s="509">
        <f>IF(K$15=TMDPeriodValueTypeForecast,IF('Delivery Calculation'!$H$25=TMDAllocationTandM,0,'Delivery Calculation'!T99),IF(MDReportingPeriod=TMDMonthly,K158,IF(MDReportingPeriod=TMDTwoweekly,K157,K156)))</f>
        <v>0</v>
      </c>
      <c r="L162" s="509">
        <f>IF(L$15=TMDPeriodValueTypeForecast,IF('Delivery Calculation'!$H$25=TMDAllocationTandM,0,'Delivery Calculation'!U99),IF(MDReportingPeriod=TMDMonthly,L158,IF(MDReportingPeriod=TMDTwoweekly,L157,L156)))</f>
        <v>0</v>
      </c>
      <c r="M162" s="509">
        <f>IF(M$15=TMDPeriodValueTypeForecast,IF('Delivery Calculation'!$H$25=TMDAllocationTandM,0,'Delivery Calculation'!V99),IF(MDReportingPeriod=TMDMonthly,M158,IF(MDReportingPeriod=TMDTwoweekly,M157,M156)))</f>
        <v>0</v>
      </c>
      <c r="N162" s="509">
        <f>IF(N$15=TMDPeriodValueTypeForecast,IF('Delivery Calculation'!$H$25=TMDAllocationTandM,0,'Delivery Calculation'!W99),IF(MDReportingPeriod=TMDMonthly,N158,IF(MDReportingPeriod=TMDTwoweekly,N157,N156)))</f>
        <v>0</v>
      </c>
      <c r="O162" s="509">
        <f>IF(O$15=TMDPeriodValueTypeForecast,IF('Delivery Calculation'!$H$25=TMDAllocationTandM,0,'Delivery Calculation'!X99),IF(MDReportingPeriod=TMDMonthly,O158,IF(MDReportingPeriod=TMDTwoweekly,O157,O156)))</f>
        <v>0</v>
      </c>
      <c r="P162" s="509">
        <f>IF(P$15=TMDPeriodValueTypeForecast,IF('Delivery Calculation'!$H$25=TMDAllocationTandM,0,'Delivery Calculation'!Y99),IF(MDReportingPeriod=TMDMonthly,P158,IF(MDReportingPeriod=TMDTwoweekly,P157,P156)))</f>
        <v>0</v>
      </c>
      <c r="Q162" s="509">
        <f>IF(Q$15=TMDPeriodValueTypeForecast,IF('Delivery Calculation'!$H$25=TMDAllocationTandM,0,'Delivery Calculation'!Z99),IF(MDReportingPeriod=TMDMonthly,Q158,IF(MDReportingPeriod=TMDTwoweekly,Q157,Q156)))</f>
        <v>0</v>
      </c>
      <c r="R162" s="509">
        <f>IF(R$15=TMDPeriodValueTypeForecast,IF('Delivery Calculation'!$H$25=TMDAllocationTandM,0,'Delivery Calculation'!AA99),IF(MDReportingPeriod=TMDMonthly,R158,IF(MDReportingPeriod=TMDTwoweekly,R157,R156)))</f>
        <v>0</v>
      </c>
      <c r="S162" s="509">
        <f>IF(S$15=TMDPeriodValueTypeForecast,IF('Delivery Calculation'!$H$25=TMDAllocationTandM,0,'Delivery Calculation'!AB99),IF(MDReportingPeriod=TMDMonthly,S158,IF(MDReportingPeriod=TMDTwoweekly,S157,S156)))</f>
        <v>0</v>
      </c>
      <c r="T162" s="509">
        <f>IF(T$15=TMDPeriodValueTypeForecast,IF('Delivery Calculation'!$H$25=TMDAllocationTandM,0,'Delivery Calculation'!AC99),IF(MDReportingPeriod=TMDMonthly,T158,IF(MDReportingPeriod=TMDTwoweekly,T157,T156)))</f>
        <v>0</v>
      </c>
      <c r="U162" s="509">
        <f>IF(U$15=TMDPeriodValueTypeForecast,IF('Delivery Calculation'!$H$25=TMDAllocationTandM,0,'Delivery Calculation'!AD99),IF(MDReportingPeriod=TMDMonthly,U158,IF(MDReportingPeriod=TMDTwoweekly,U157,U156)))</f>
        <v>0</v>
      </c>
      <c r="V162" s="509">
        <f>IF(V$15=TMDPeriodValueTypeForecast,IF('Delivery Calculation'!$H$25=TMDAllocationTandM,0,'Delivery Calculation'!AE99),IF(MDReportingPeriod=TMDMonthly,V158,IF(MDReportingPeriod=TMDTwoweekly,V157,V156)))</f>
        <v>0</v>
      </c>
      <c r="W162" s="509">
        <f>IF(W$15=TMDPeriodValueTypeForecast,IF('Delivery Calculation'!$H$25=TMDAllocationTandM,0,'Delivery Calculation'!AF99),IF(MDReportingPeriod=TMDMonthly,W158,IF(MDReportingPeriod=TMDTwoweekly,W157,W156)))</f>
        <v>0</v>
      </c>
      <c r="X162" s="509">
        <f>IF(X$15=TMDPeriodValueTypeForecast,IF('Delivery Calculation'!$H$25=TMDAllocationTandM,0,'Delivery Calculation'!AG99),IF(MDReportingPeriod=TMDMonthly,X158,IF(MDReportingPeriod=TMDTwoweekly,X157,X156)))</f>
        <v>0</v>
      </c>
      <c r="Y162" s="509">
        <f>IF(Y$15=TMDPeriodValueTypeForecast,IF('Delivery Calculation'!$H$25=TMDAllocationTandM,0,'Delivery Calculation'!AH99),IF(MDReportingPeriod=TMDMonthly,Y158,IF(MDReportingPeriod=TMDTwoweekly,Y157,Y156)))</f>
        <v>0</v>
      </c>
      <c r="Z162" s="509">
        <f>IF(Z$15=TMDPeriodValueTypeForecast,IF('Delivery Calculation'!$H$25=TMDAllocationTandM,0,'Delivery Calculation'!AI99),IF(MDReportingPeriod=TMDMonthly,Z158,IF(MDReportingPeriod=TMDTwoweekly,Z157,Z156)))</f>
        <v>0</v>
      </c>
      <c r="AA162" s="509">
        <f>IF(AA$15=TMDPeriodValueTypeForecast,IF('Delivery Calculation'!$H$25=TMDAllocationTandM,0,'Delivery Calculation'!AJ99),IF(MDReportingPeriod=TMDMonthly,AA158,IF(MDReportingPeriod=TMDTwoweekly,AA157,AA156)))</f>
        <v>0</v>
      </c>
      <c r="AB162" s="509">
        <f>IF(AB$15=TMDPeriodValueTypeForecast,IF('Delivery Calculation'!$H$25=TMDAllocationTandM,0,'Delivery Calculation'!AK99),IF(MDReportingPeriod=TMDMonthly,AB158,IF(MDReportingPeriod=TMDTwoweekly,AB157,AB156)))</f>
        <v>0</v>
      </c>
      <c r="AC162" s="509">
        <f>IF(AC$15=TMDPeriodValueTypeForecast,IF('Delivery Calculation'!$H$25=TMDAllocationTandM,0,'Delivery Calculation'!AL99),IF(MDReportingPeriod=TMDMonthly,AC158,IF(MDReportingPeriod=TMDTwoweekly,AC157,AC156)))</f>
        <v>0</v>
      </c>
      <c r="AD162" s="509">
        <f>IF(AD$15=TMDPeriodValueTypeForecast,IF('Delivery Calculation'!$H$25=TMDAllocationTandM,0,'Delivery Calculation'!AM99),IF(MDReportingPeriod=TMDMonthly,AD158,IF(MDReportingPeriod=TMDTwoweekly,AD157,AD156)))</f>
        <v>0</v>
      </c>
      <c r="AE162" s="509">
        <f>IF(AE$15=TMDPeriodValueTypeForecast,IF('Delivery Calculation'!$H$25=TMDAllocationTandM,0,'Delivery Calculation'!AN99),IF(MDReportingPeriod=TMDMonthly,AE158,IF(MDReportingPeriod=TMDTwoweekly,AE157,AE156)))</f>
        <v>0</v>
      </c>
      <c r="AF162" s="509">
        <f>IF(AF$15=TMDPeriodValueTypeForecast,IF('Delivery Calculation'!$H$25=TMDAllocationTandM,0,'Delivery Calculation'!AO99),IF(MDReportingPeriod=TMDMonthly,AF158,IF(MDReportingPeriod=TMDTwoweekly,AF157,AF156)))</f>
        <v>0</v>
      </c>
      <c r="AG162" s="509">
        <f>IF(AG$15=TMDPeriodValueTypeForecast,IF('Delivery Calculation'!$H$25=TMDAllocationTandM,0,'Delivery Calculation'!AP99),IF(MDReportingPeriod=TMDMonthly,AG158,IF(MDReportingPeriod=TMDTwoweekly,AG157,AG156)))</f>
        <v>0</v>
      </c>
      <c r="AH162" s="509">
        <f>IF(AH$15=TMDPeriodValueTypeForecast,IF('Delivery Calculation'!$H$25=TMDAllocationTandM,0,'Delivery Calculation'!AQ99),IF(MDReportingPeriod=TMDMonthly,AH158,IF(MDReportingPeriod=TMDTwoweekly,AH157,AH156)))</f>
        <v>0</v>
      </c>
      <c r="AI162" s="509">
        <f>IF(AI$15=TMDPeriodValueTypeForecast,IF('Delivery Calculation'!$H$25=TMDAllocationTandM,0,'Delivery Calculation'!AR99),IF(MDReportingPeriod=TMDMonthly,AI158,IF(MDReportingPeriod=TMDTwoweekly,AI157,AI156)))</f>
        <v>0</v>
      </c>
      <c r="AJ162" s="509">
        <f>IF(AJ$15=TMDPeriodValueTypeForecast,IF('Delivery Calculation'!$H$25=TMDAllocationTandM,0,'Delivery Calculation'!AS99),IF(MDReportingPeriod=TMDMonthly,AJ158,IF(MDReportingPeriod=TMDTwoweekly,AJ157,AJ156)))</f>
        <v>0</v>
      </c>
      <c r="AK162" s="509">
        <f>IF(AK$15=TMDPeriodValueTypeForecast,IF('Delivery Calculation'!$H$25=TMDAllocationTandM,0,'Delivery Calculation'!AT99),IF(MDReportingPeriod=TMDMonthly,AK158,IF(MDReportingPeriod=TMDTwoweekly,AK157,AK156)))</f>
        <v>0</v>
      </c>
      <c r="AL162" s="509">
        <f>IF(AL$15=TMDPeriodValueTypeForecast,IF('Delivery Calculation'!$H$25=TMDAllocationTandM,0,'Delivery Calculation'!AU99),IF(MDReportingPeriod=TMDMonthly,AL158,IF(MDReportingPeriod=TMDTwoweekly,AL157,AL156)))</f>
        <v>0</v>
      </c>
      <c r="AM162" s="509">
        <f>IF(AM$15=TMDPeriodValueTypeForecast,IF('Delivery Calculation'!$H$25=TMDAllocationTandM,0,'Delivery Calculation'!AV99),IF(MDReportingPeriod=TMDMonthly,AM158,IF(MDReportingPeriod=TMDTwoweekly,AM157,AM156)))</f>
        <v>0</v>
      </c>
      <c r="AN162" s="509">
        <f>IF(AN$15=TMDPeriodValueTypeForecast,IF('Delivery Calculation'!$H$25=TMDAllocationTandM,0,'Delivery Calculation'!AW99),IF(MDReportingPeriod=TMDMonthly,AN158,IF(MDReportingPeriod=TMDTwoweekly,AN157,AN156)))</f>
        <v>0</v>
      </c>
      <c r="AO162" s="509">
        <f>IF(AO$15=TMDPeriodValueTypeForecast,IF('Delivery Calculation'!$H$25=TMDAllocationTandM,0,'Delivery Calculation'!AX99),IF(MDReportingPeriod=TMDMonthly,AO158,IF(MDReportingPeriod=TMDTwoweekly,AO157,AO156)))</f>
        <v>0</v>
      </c>
      <c r="AP162" s="501"/>
      <c r="AQ162" s="505">
        <f>SUMIF($D$15:$AO$15,TMDPeriodValueTypeReported,D162:AO162)</f>
        <v>0</v>
      </c>
      <c r="AR162" s="505">
        <f>SUMIF($D$15:$AO$15,TMDPeriodValueTypeForecast,D162:AO162)</f>
        <v>0</v>
      </c>
      <c r="AS162" s="523">
        <f>'Delivery Calculation'!I25</f>
        <v>0</v>
      </c>
      <c r="AT162" s="505">
        <f>AS162-(AQ162+AR162)</f>
        <v>0</v>
      </c>
      <c r="AU162" s="505"/>
      <c r="AV162" s="510"/>
      <c r="AW162" s="452"/>
    </row>
    <row r="163" spans="1:49">
      <c r="A163" s="1185"/>
      <c r="B163" s="1182"/>
      <c r="C163" s="499" t="s">
        <v>573</v>
      </c>
      <c r="D163" s="509"/>
      <c r="E163" s="509"/>
      <c r="F163" s="509"/>
      <c r="G163" s="509"/>
      <c r="H163" s="509"/>
      <c r="I163" s="509"/>
      <c r="J163" s="509"/>
      <c r="K163" s="509"/>
      <c r="L163" s="509"/>
      <c r="M163" s="509"/>
      <c r="N163" s="509"/>
      <c r="O163" s="509"/>
      <c r="P163" s="509"/>
      <c r="Q163" s="509"/>
      <c r="R163" s="509"/>
      <c r="S163" s="509"/>
      <c r="T163" s="509"/>
      <c r="U163" s="509"/>
      <c r="V163" s="509"/>
      <c r="W163" s="509"/>
      <c r="X163" s="509"/>
      <c r="Y163" s="509"/>
      <c r="Z163" s="509"/>
      <c r="AA163" s="509"/>
      <c r="AB163" s="509"/>
      <c r="AC163" s="509"/>
      <c r="AD163" s="509"/>
      <c r="AE163" s="509"/>
      <c r="AF163" s="509"/>
      <c r="AG163" s="509"/>
      <c r="AH163" s="509"/>
      <c r="AI163" s="509"/>
      <c r="AJ163" s="509"/>
      <c r="AK163" s="509"/>
      <c r="AL163" s="509"/>
      <c r="AM163" s="509"/>
      <c r="AN163" s="509"/>
      <c r="AO163" s="509"/>
      <c r="AP163" s="501"/>
      <c r="AQ163" s="505">
        <f>SUMIF($D$15:$AO$15,TMDPeriodValueTypeReported,D163:AO163)</f>
        <v>0</v>
      </c>
      <c r="AR163" s="505">
        <f>SUMIF($D$15:$AO$15,TMDPeriodValueTypeForecast,D163:AO163)</f>
        <v>0</v>
      </c>
      <c r="AS163" s="505"/>
      <c r="AT163" s="505">
        <f>AQ163+AR163</f>
        <v>0</v>
      </c>
      <c r="AU163" s="505"/>
      <c r="AV163" s="510"/>
      <c r="AW163" s="452"/>
    </row>
    <row r="164" spans="1:49" hidden="1">
      <c r="A164" s="143"/>
      <c r="B164" s="483"/>
      <c r="C164" s="496" t="s">
        <v>1339</v>
      </c>
      <c r="D164" s="516">
        <f t="shared" ref="D164:AO164" si="78">IF(ISERR(GETPIVOTDATA("[Measures].[Hours]",TRIMARANweekly,"[Order].[Position Number]","[Order].[Position Number].&amp;[" &amp; $B171 &amp; "]","[Period].[Week]","[Period].[Week].&amp;[" &amp; YEAR(D$14-7) &amp; TEXT(WEEKNUM(D$14-7),"00") &amp; "]")),0,GETPIVOTDATA("[Measures].[Hours]",TRIMARANweekly,"[Order].[Position Number]","[Order].[Position Number].&amp;[" &amp; $B171 &amp; "]","[Period].[Week]","[Period].[Week].&amp;[" &amp; YEAR(D$14-7) &amp; TEXT(WEEKNUM(D$14-7),"00") &amp; "]"))</f>
        <v>0</v>
      </c>
      <c r="E164" s="516">
        <f t="shared" si="78"/>
        <v>0</v>
      </c>
      <c r="F164" s="516">
        <f t="shared" si="78"/>
        <v>0</v>
      </c>
      <c r="G164" s="516">
        <f t="shared" si="78"/>
        <v>0</v>
      </c>
      <c r="H164" s="516">
        <f t="shared" si="78"/>
        <v>0</v>
      </c>
      <c r="I164" s="516">
        <f t="shared" si="78"/>
        <v>0</v>
      </c>
      <c r="J164" s="516">
        <f t="shared" si="78"/>
        <v>0</v>
      </c>
      <c r="K164" s="516">
        <f t="shared" si="78"/>
        <v>0</v>
      </c>
      <c r="L164" s="516">
        <f t="shared" si="78"/>
        <v>0</v>
      </c>
      <c r="M164" s="516">
        <f t="shared" si="78"/>
        <v>0</v>
      </c>
      <c r="N164" s="516">
        <f t="shared" si="78"/>
        <v>0</v>
      </c>
      <c r="O164" s="516">
        <f t="shared" si="78"/>
        <v>0</v>
      </c>
      <c r="P164" s="516">
        <f t="shared" si="78"/>
        <v>0</v>
      </c>
      <c r="Q164" s="516">
        <f t="shared" si="78"/>
        <v>0</v>
      </c>
      <c r="R164" s="516">
        <f t="shared" si="78"/>
        <v>0</v>
      </c>
      <c r="S164" s="516">
        <f t="shared" si="78"/>
        <v>0</v>
      </c>
      <c r="T164" s="516">
        <f t="shared" si="78"/>
        <v>0</v>
      </c>
      <c r="U164" s="516">
        <f t="shared" si="78"/>
        <v>0</v>
      </c>
      <c r="V164" s="516">
        <f t="shared" si="78"/>
        <v>0</v>
      </c>
      <c r="W164" s="516">
        <f t="shared" si="78"/>
        <v>0</v>
      </c>
      <c r="X164" s="516">
        <f t="shared" si="78"/>
        <v>0</v>
      </c>
      <c r="Y164" s="516">
        <f t="shared" si="78"/>
        <v>0</v>
      </c>
      <c r="Z164" s="516">
        <f t="shared" si="78"/>
        <v>0</v>
      </c>
      <c r="AA164" s="516">
        <f t="shared" si="78"/>
        <v>0</v>
      </c>
      <c r="AB164" s="516">
        <f t="shared" si="78"/>
        <v>0</v>
      </c>
      <c r="AC164" s="516">
        <f t="shared" si="78"/>
        <v>0</v>
      </c>
      <c r="AD164" s="516">
        <f t="shared" si="78"/>
        <v>0</v>
      </c>
      <c r="AE164" s="516">
        <f t="shared" si="78"/>
        <v>0</v>
      </c>
      <c r="AF164" s="516">
        <f t="shared" si="78"/>
        <v>0</v>
      </c>
      <c r="AG164" s="516">
        <f t="shared" si="78"/>
        <v>0</v>
      </c>
      <c r="AH164" s="516">
        <f t="shared" si="78"/>
        <v>0</v>
      </c>
      <c r="AI164" s="516">
        <f t="shared" si="78"/>
        <v>0</v>
      </c>
      <c r="AJ164" s="516">
        <f t="shared" si="78"/>
        <v>0</v>
      </c>
      <c r="AK164" s="516">
        <f t="shared" si="78"/>
        <v>0</v>
      </c>
      <c r="AL164" s="516">
        <f t="shared" si="78"/>
        <v>0</v>
      </c>
      <c r="AM164" s="516">
        <f t="shared" si="78"/>
        <v>0</v>
      </c>
      <c r="AN164" s="516">
        <f t="shared" si="78"/>
        <v>0</v>
      </c>
      <c r="AO164" s="516">
        <f t="shared" si="78"/>
        <v>0</v>
      </c>
      <c r="AP164" s="501"/>
      <c r="AQ164" s="505"/>
      <c r="AR164" s="505"/>
      <c r="AS164" s="505"/>
      <c r="AT164" s="505"/>
      <c r="AU164" s="505"/>
      <c r="AV164" s="510"/>
      <c r="AW164" s="452"/>
    </row>
    <row r="165" spans="1:49" hidden="1">
      <c r="A165" s="143"/>
      <c r="B165" s="483"/>
      <c r="C165" s="496" t="s">
        <v>1340</v>
      </c>
      <c r="D165" s="516">
        <f t="shared" ref="D165:AO165" si="79">IF(ISERR(GETPIVOTDATA("[Measures].[Hours]",TRIMARANweekly,"[Order].[Position Number]","[Order].[Position Number].&amp;[" &amp; $B171 &amp; "]","[Period].[Week]","[Period].[Week].&amp;[" &amp; YEAR(D$14-14) &amp; TEXT(WEEKNUM(D$14-14),"00") &amp; "]")),0,GETPIVOTDATA("[Measures].[Hours]",TRIMARANweekly,"[Order].[Position Number]","[Order].[Position Number].&amp;[" &amp; $B171 &amp; "]","[Period].[Week]","[Period].[Week].&amp;[" &amp; YEAR(D$14-14) &amp; TEXT(WEEKNUM(D$14-14),"00") &amp; "]"))+D164</f>
        <v>0</v>
      </c>
      <c r="E165" s="516">
        <f t="shared" si="79"/>
        <v>0</v>
      </c>
      <c r="F165" s="516">
        <f t="shared" si="79"/>
        <v>0</v>
      </c>
      <c r="G165" s="516">
        <f t="shared" si="79"/>
        <v>0</v>
      </c>
      <c r="H165" s="516">
        <f t="shared" si="79"/>
        <v>0</v>
      </c>
      <c r="I165" s="516">
        <f t="shared" si="79"/>
        <v>0</v>
      </c>
      <c r="J165" s="516">
        <f t="shared" si="79"/>
        <v>0</v>
      </c>
      <c r="K165" s="516">
        <f t="shared" si="79"/>
        <v>0</v>
      </c>
      <c r="L165" s="516">
        <f t="shared" si="79"/>
        <v>0</v>
      </c>
      <c r="M165" s="516">
        <f t="shared" si="79"/>
        <v>0</v>
      </c>
      <c r="N165" s="516">
        <f t="shared" si="79"/>
        <v>0</v>
      </c>
      <c r="O165" s="516">
        <f t="shared" si="79"/>
        <v>0</v>
      </c>
      <c r="P165" s="516">
        <f t="shared" si="79"/>
        <v>0</v>
      </c>
      <c r="Q165" s="516">
        <f t="shared" si="79"/>
        <v>0</v>
      </c>
      <c r="R165" s="516">
        <f t="shared" si="79"/>
        <v>0</v>
      </c>
      <c r="S165" s="516">
        <f t="shared" si="79"/>
        <v>0</v>
      </c>
      <c r="T165" s="516">
        <f t="shared" si="79"/>
        <v>0</v>
      </c>
      <c r="U165" s="516">
        <f t="shared" si="79"/>
        <v>0</v>
      </c>
      <c r="V165" s="516">
        <f t="shared" si="79"/>
        <v>0</v>
      </c>
      <c r="W165" s="516">
        <f t="shared" si="79"/>
        <v>0</v>
      </c>
      <c r="X165" s="516">
        <f t="shared" si="79"/>
        <v>0</v>
      </c>
      <c r="Y165" s="516">
        <f t="shared" si="79"/>
        <v>0</v>
      </c>
      <c r="Z165" s="516">
        <f t="shared" si="79"/>
        <v>0</v>
      </c>
      <c r="AA165" s="516">
        <f t="shared" si="79"/>
        <v>0</v>
      </c>
      <c r="AB165" s="516">
        <f t="shared" si="79"/>
        <v>0</v>
      </c>
      <c r="AC165" s="516">
        <f t="shared" si="79"/>
        <v>0</v>
      </c>
      <c r="AD165" s="516">
        <f t="shared" si="79"/>
        <v>0</v>
      </c>
      <c r="AE165" s="516">
        <f t="shared" si="79"/>
        <v>0</v>
      </c>
      <c r="AF165" s="516">
        <f t="shared" si="79"/>
        <v>0</v>
      </c>
      <c r="AG165" s="516">
        <f t="shared" si="79"/>
        <v>0</v>
      </c>
      <c r="AH165" s="516">
        <f t="shared" si="79"/>
        <v>0</v>
      </c>
      <c r="AI165" s="516">
        <f t="shared" si="79"/>
        <v>0</v>
      </c>
      <c r="AJ165" s="516">
        <f t="shared" si="79"/>
        <v>0</v>
      </c>
      <c r="AK165" s="516">
        <f t="shared" si="79"/>
        <v>0</v>
      </c>
      <c r="AL165" s="516">
        <f t="shared" si="79"/>
        <v>0</v>
      </c>
      <c r="AM165" s="516">
        <f t="shared" si="79"/>
        <v>0</v>
      </c>
      <c r="AN165" s="516">
        <f t="shared" si="79"/>
        <v>0</v>
      </c>
      <c r="AO165" s="516">
        <f t="shared" si="79"/>
        <v>0</v>
      </c>
      <c r="AP165" s="501"/>
      <c r="AQ165" s="505"/>
      <c r="AR165" s="505"/>
      <c r="AS165" s="505"/>
      <c r="AT165" s="505"/>
      <c r="AU165" s="505"/>
      <c r="AV165" s="510"/>
      <c r="AW165" s="452"/>
    </row>
    <row r="166" spans="1:49" hidden="1">
      <c r="A166" s="143"/>
      <c r="B166" s="483"/>
      <c r="C166" s="496" t="s">
        <v>1341</v>
      </c>
      <c r="D166" s="516">
        <f t="shared" ref="D166:AO166" si="80">IF(ISERR(GETPIVOTDATA("[Measures].[Hours]",TRIMARANmonthly,"[Period].[Month]","[Period].[Month].&amp;["&amp;IF(MONTH(D$14)=1,YEAR(D$14)-1&amp;TEXT(12,"00"),YEAR(D$14)&amp;TEXT(MONTH(D$14)-1,"00"))&amp;"]","[Order].[Position Number]","[Order].[Position Number].&amp;["&amp;$B171&amp;"]")),0,GETPIVOTDATA("[Measures].[Hours]",TRIMARANmonthly,"[Period].[Month]","[Period].[Month].&amp;["&amp;IF(MONTH(D$14)=1,YEAR(D$14)-1&amp;TEXT(12,"00"),YEAR(D$14)&amp;TEXT(MONTH(D$14)-1,"00"))&amp;"]","[Order].[Position Number]","[Order].[Position Number].&amp;["&amp;$B171&amp;"]"))</f>
        <v>0</v>
      </c>
      <c r="E166" s="516">
        <f t="shared" si="80"/>
        <v>0</v>
      </c>
      <c r="F166" s="516">
        <f t="shared" si="80"/>
        <v>0</v>
      </c>
      <c r="G166" s="516">
        <f t="shared" si="80"/>
        <v>0</v>
      </c>
      <c r="H166" s="516">
        <f t="shared" si="80"/>
        <v>0</v>
      </c>
      <c r="I166" s="516">
        <f t="shared" si="80"/>
        <v>0</v>
      </c>
      <c r="J166" s="516">
        <f t="shared" si="80"/>
        <v>0</v>
      </c>
      <c r="K166" s="516">
        <f t="shared" si="80"/>
        <v>0</v>
      </c>
      <c r="L166" s="516">
        <f t="shared" si="80"/>
        <v>0</v>
      </c>
      <c r="M166" s="516">
        <f t="shared" si="80"/>
        <v>0</v>
      </c>
      <c r="N166" s="516">
        <f t="shared" si="80"/>
        <v>0</v>
      </c>
      <c r="O166" s="516">
        <f t="shared" si="80"/>
        <v>0</v>
      </c>
      <c r="P166" s="516">
        <f t="shared" si="80"/>
        <v>0</v>
      </c>
      <c r="Q166" s="516">
        <f t="shared" si="80"/>
        <v>0</v>
      </c>
      <c r="R166" s="516">
        <f t="shared" si="80"/>
        <v>0</v>
      </c>
      <c r="S166" s="516">
        <f t="shared" si="80"/>
        <v>0</v>
      </c>
      <c r="T166" s="516">
        <f t="shared" si="80"/>
        <v>0</v>
      </c>
      <c r="U166" s="516">
        <f t="shared" si="80"/>
        <v>0</v>
      </c>
      <c r="V166" s="516">
        <f t="shared" si="80"/>
        <v>0</v>
      </c>
      <c r="W166" s="516">
        <f t="shared" si="80"/>
        <v>0</v>
      </c>
      <c r="X166" s="516">
        <f t="shared" si="80"/>
        <v>0</v>
      </c>
      <c r="Y166" s="516">
        <f t="shared" si="80"/>
        <v>0</v>
      </c>
      <c r="Z166" s="516">
        <f t="shared" si="80"/>
        <v>0</v>
      </c>
      <c r="AA166" s="516">
        <f t="shared" si="80"/>
        <v>0</v>
      </c>
      <c r="AB166" s="516">
        <f t="shared" si="80"/>
        <v>0</v>
      </c>
      <c r="AC166" s="516">
        <f t="shared" si="80"/>
        <v>0</v>
      </c>
      <c r="AD166" s="516">
        <f t="shared" si="80"/>
        <v>0</v>
      </c>
      <c r="AE166" s="516">
        <f t="shared" si="80"/>
        <v>0</v>
      </c>
      <c r="AF166" s="516">
        <f t="shared" si="80"/>
        <v>0</v>
      </c>
      <c r="AG166" s="516">
        <f t="shared" si="80"/>
        <v>0</v>
      </c>
      <c r="AH166" s="516">
        <f t="shared" si="80"/>
        <v>0</v>
      </c>
      <c r="AI166" s="516">
        <f t="shared" si="80"/>
        <v>0</v>
      </c>
      <c r="AJ166" s="516">
        <f t="shared" si="80"/>
        <v>0</v>
      </c>
      <c r="AK166" s="516">
        <f t="shared" si="80"/>
        <v>0</v>
      </c>
      <c r="AL166" s="516">
        <f t="shared" si="80"/>
        <v>0</v>
      </c>
      <c r="AM166" s="516">
        <f t="shared" si="80"/>
        <v>0</v>
      </c>
      <c r="AN166" s="516">
        <f t="shared" si="80"/>
        <v>0</v>
      </c>
      <c r="AO166" s="516">
        <f t="shared" si="80"/>
        <v>0</v>
      </c>
      <c r="AP166" s="501"/>
      <c r="AQ166" s="505"/>
      <c r="AR166" s="505"/>
      <c r="AS166" s="505"/>
      <c r="AT166" s="505"/>
      <c r="AU166" s="505"/>
      <c r="AV166" s="510"/>
      <c r="AW166" s="452"/>
    </row>
    <row r="167" spans="1:49" hidden="1">
      <c r="A167" s="143"/>
      <c r="B167" s="483"/>
      <c r="C167" s="496" t="s">
        <v>1339</v>
      </c>
      <c r="D167" s="516">
        <f t="shared" ref="D167:AO167" si="81">IF(ISERR(GETPIVOTDATA("[Measures].[" &amp; MDContractCurrency &amp; "]",TRIMARANweekly,"[Order].[Position Number]","[Order].[Position Number].&amp;[" &amp; $B171 &amp; "]","[Period].[Week]","[Period].[Week].&amp;[" &amp; YEAR(D$14-7) &amp; TEXT(WEEKNUM(D$14-7),"00") &amp; "]")),0,GETPIVOTDATA("[Measures].[" &amp; MDContractCurrency &amp; "]",TRIMARANweekly,"[Order].[Position Number]","[Order].[Position Number].&amp;[" &amp; $B171 &amp; "]","[Period].[Week]","[Period].[Week].&amp;[" &amp; YEAR(D$14-7) &amp; TEXT(WEEKNUM(D$14-7),"00") &amp; "]"))</f>
        <v>0</v>
      </c>
      <c r="E167" s="516">
        <f t="shared" si="81"/>
        <v>0</v>
      </c>
      <c r="F167" s="516">
        <f t="shared" si="81"/>
        <v>0</v>
      </c>
      <c r="G167" s="516">
        <f t="shared" si="81"/>
        <v>0</v>
      </c>
      <c r="H167" s="516">
        <f t="shared" si="81"/>
        <v>0</v>
      </c>
      <c r="I167" s="516">
        <f t="shared" si="81"/>
        <v>0</v>
      </c>
      <c r="J167" s="516">
        <f t="shared" si="81"/>
        <v>0</v>
      </c>
      <c r="K167" s="516">
        <f t="shared" si="81"/>
        <v>0</v>
      </c>
      <c r="L167" s="516">
        <f t="shared" si="81"/>
        <v>0</v>
      </c>
      <c r="M167" s="516">
        <f t="shared" si="81"/>
        <v>0</v>
      </c>
      <c r="N167" s="516">
        <f t="shared" si="81"/>
        <v>0</v>
      </c>
      <c r="O167" s="516">
        <f t="shared" si="81"/>
        <v>0</v>
      </c>
      <c r="P167" s="516">
        <f t="shared" si="81"/>
        <v>0</v>
      </c>
      <c r="Q167" s="516">
        <f t="shared" si="81"/>
        <v>0</v>
      </c>
      <c r="R167" s="516">
        <f t="shared" si="81"/>
        <v>0</v>
      </c>
      <c r="S167" s="516">
        <f t="shared" si="81"/>
        <v>0</v>
      </c>
      <c r="T167" s="516">
        <f t="shared" si="81"/>
        <v>0</v>
      </c>
      <c r="U167" s="516">
        <f t="shared" si="81"/>
        <v>0</v>
      </c>
      <c r="V167" s="516">
        <f t="shared" si="81"/>
        <v>0</v>
      </c>
      <c r="W167" s="516">
        <f t="shared" si="81"/>
        <v>0</v>
      </c>
      <c r="X167" s="516">
        <f t="shared" si="81"/>
        <v>0</v>
      </c>
      <c r="Y167" s="516">
        <f t="shared" si="81"/>
        <v>0</v>
      </c>
      <c r="Z167" s="516">
        <f t="shared" si="81"/>
        <v>0</v>
      </c>
      <c r="AA167" s="516">
        <f t="shared" si="81"/>
        <v>0</v>
      </c>
      <c r="AB167" s="516">
        <f t="shared" si="81"/>
        <v>0</v>
      </c>
      <c r="AC167" s="516">
        <f t="shared" si="81"/>
        <v>0</v>
      </c>
      <c r="AD167" s="516">
        <f t="shared" si="81"/>
        <v>0</v>
      </c>
      <c r="AE167" s="516">
        <f t="shared" si="81"/>
        <v>0</v>
      </c>
      <c r="AF167" s="516">
        <f t="shared" si="81"/>
        <v>0</v>
      </c>
      <c r="AG167" s="516">
        <f t="shared" si="81"/>
        <v>0</v>
      </c>
      <c r="AH167" s="516">
        <f t="shared" si="81"/>
        <v>0</v>
      </c>
      <c r="AI167" s="516">
        <f t="shared" si="81"/>
        <v>0</v>
      </c>
      <c r="AJ167" s="516">
        <f t="shared" si="81"/>
        <v>0</v>
      </c>
      <c r="AK167" s="516">
        <f t="shared" si="81"/>
        <v>0</v>
      </c>
      <c r="AL167" s="516">
        <f t="shared" si="81"/>
        <v>0</v>
      </c>
      <c r="AM167" s="516">
        <f t="shared" si="81"/>
        <v>0</v>
      </c>
      <c r="AN167" s="516">
        <f t="shared" si="81"/>
        <v>0</v>
      </c>
      <c r="AO167" s="516">
        <f t="shared" si="81"/>
        <v>0</v>
      </c>
      <c r="AP167" s="501"/>
      <c r="AQ167" s="505"/>
      <c r="AR167" s="505"/>
      <c r="AS167" s="505"/>
      <c r="AT167" s="505"/>
      <c r="AU167" s="505"/>
      <c r="AV167" s="510"/>
      <c r="AW167" s="452"/>
    </row>
    <row r="168" spans="1:49" hidden="1">
      <c r="A168" s="143"/>
      <c r="B168" s="483"/>
      <c r="C168" s="496" t="s">
        <v>1340</v>
      </c>
      <c r="D168" s="516">
        <f t="shared" ref="D168:AO168" si="82">IF(ISERR(GETPIVOTDATA("[Measures].[" &amp; MDContractCurrency &amp; "]",TRIMARANweekly,"[Order].[Position Number]","[Order].[Position Number].&amp;[" &amp; $B171 &amp; "]","[Period].[Week]","[Period].[Week].&amp;[" &amp; YEAR(D$14-14) &amp; TEXT(WEEKNUM(D$14-14),"00") &amp; "]")),0,GETPIVOTDATA("[Measures].[" &amp; MDContractCurrency &amp; "]",TRIMARANweekly,"[Order].[Position Number]","[Order].[Position Number].&amp;[" &amp; $B171 &amp; "]","[Period].[Week]","[Period].[Week].&amp;[" &amp; YEAR(D$14-14) &amp; TEXT(WEEKNUM(D$14-14),"00") &amp; "]"))+D167</f>
        <v>0</v>
      </c>
      <c r="E168" s="516">
        <f t="shared" si="82"/>
        <v>0</v>
      </c>
      <c r="F168" s="516">
        <f t="shared" si="82"/>
        <v>0</v>
      </c>
      <c r="G168" s="516">
        <f t="shared" si="82"/>
        <v>0</v>
      </c>
      <c r="H168" s="516">
        <f t="shared" si="82"/>
        <v>0</v>
      </c>
      <c r="I168" s="516">
        <f t="shared" si="82"/>
        <v>0</v>
      </c>
      <c r="J168" s="516">
        <f t="shared" si="82"/>
        <v>0</v>
      </c>
      <c r="K168" s="516">
        <f t="shared" si="82"/>
        <v>0</v>
      </c>
      <c r="L168" s="516">
        <f t="shared" si="82"/>
        <v>0</v>
      </c>
      <c r="M168" s="516">
        <f t="shared" si="82"/>
        <v>0</v>
      </c>
      <c r="N168" s="516">
        <f t="shared" si="82"/>
        <v>0</v>
      </c>
      <c r="O168" s="516">
        <f t="shared" si="82"/>
        <v>0</v>
      </c>
      <c r="P168" s="516">
        <f t="shared" si="82"/>
        <v>0</v>
      </c>
      <c r="Q168" s="516">
        <f t="shared" si="82"/>
        <v>0</v>
      </c>
      <c r="R168" s="516">
        <f t="shared" si="82"/>
        <v>0</v>
      </c>
      <c r="S168" s="516">
        <f t="shared" si="82"/>
        <v>0</v>
      </c>
      <c r="T168" s="516">
        <f t="shared" si="82"/>
        <v>0</v>
      </c>
      <c r="U168" s="516">
        <f t="shared" si="82"/>
        <v>0</v>
      </c>
      <c r="V168" s="516">
        <f t="shared" si="82"/>
        <v>0</v>
      </c>
      <c r="W168" s="516">
        <f t="shared" si="82"/>
        <v>0</v>
      </c>
      <c r="X168" s="516">
        <f t="shared" si="82"/>
        <v>0</v>
      </c>
      <c r="Y168" s="516">
        <f t="shared" si="82"/>
        <v>0</v>
      </c>
      <c r="Z168" s="516">
        <f t="shared" si="82"/>
        <v>0</v>
      </c>
      <c r="AA168" s="516">
        <f t="shared" si="82"/>
        <v>0</v>
      </c>
      <c r="AB168" s="516">
        <f t="shared" si="82"/>
        <v>0</v>
      </c>
      <c r="AC168" s="516">
        <f t="shared" si="82"/>
        <v>0</v>
      </c>
      <c r="AD168" s="516">
        <f t="shared" si="82"/>
        <v>0</v>
      </c>
      <c r="AE168" s="516">
        <f t="shared" si="82"/>
        <v>0</v>
      </c>
      <c r="AF168" s="516">
        <f t="shared" si="82"/>
        <v>0</v>
      </c>
      <c r="AG168" s="516">
        <f t="shared" si="82"/>
        <v>0</v>
      </c>
      <c r="AH168" s="516">
        <f t="shared" si="82"/>
        <v>0</v>
      </c>
      <c r="AI168" s="516">
        <f t="shared" si="82"/>
        <v>0</v>
      </c>
      <c r="AJ168" s="516">
        <f t="shared" si="82"/>
        <v>0</v>
      </c>
      <c r="AK168" s="516">
        <f t="shared" si="82"/>
        <v>0</v>
      </c>
      <c r="AL168" s="516">
        <f t="shared" si="82"/>
        <v>0</v>
      </c>
      <c r="AM168" s="516">
        <f t="shared" si="82"/>
        <v>0</v>
      </c>
      <c r="AN168" s="516">
        <f t="shared" si="82"/>
        <v>0</v>
      </c>
      <c r="AO168" s="516">
        <f t="shared" si="82"/>
        <v>0</v>
      </c>
      <c r="AP168" s="501"/>
      <c r="AQ168" s="505"/>
      <c r="AR168" s="505"/>
      <c r="AS168" s="505"/>
      <c r="AT168" s="505"/>
      <c r="AU168" s="505"/>
      <c r="AV168" s="510"/>
      <c r="AW168" s="452"/>
    </row>
    <row r="169" spans="1:49" hidden="1">
      <c r="A169" s="141"/>
      <c r="B169" s="517"/>
      <c r="C169" s="496" t="s">
        <v>1341</v>
      </c>
      <c r="D169" s="516">
        <f t="shared" ref="D169:AO169" si="83">IF(ISERR(GETPIVOTDATA("[Measures].[" &amp; MDContractCurrency &amp; "]",TRIMARANmonthly,"[Period].[Month]","[Period].[Month].&amp;["&amp;IF(MONTH(D$14)=1,YEAR(D$14)-1&amp;TEXT(12,"00"),YEAR(D$14)&amp;TEXT(MONTH(D$14)-1,"00"))&amp;"]","[Order].[Position Number]","[Order].[Position Number].&amp;["&amp;$B171&amp;"]")),0,GETPIVOTDATA("[Measures].[" &amp; MDContractCurrency &amp; "]",TRIMARANmonthly,"[Period].[Month]","[Period].[Month].&amp;["&amp;IF(MONTH(D$14)=1,YEAR(D$14)-1&amp;TEXT(12,"00"),YEAR(D$14)&amp;TEXT(MONTH(D$14)-1,"00"))&amp;"]","[Order].[Position Number]","[Order].[Position Number].&amp;["&amp;$B171&amp;"]"))</f>
        <v>0</v>
      </c>
      <c r="E169" s="516">
        <f t="shared" si="83"/>
        <v>0</v>
      </c>
      <c r="F169" s="516">
        <f t="shared" si="83"/>
        <v>0</v>
      </c>
      <c r="G169" s="516">
        <f t="shared" si="83"/>
        <v>0</v>
      </c>
      <c r="H169" s="516">
        <f t="shared" si="83"/>
        <v>0</v>
      </c>
      <c r="I169" s="516">
        <f t="shared" si="83"/>
        <v>0</v>
      </c>
      <c r="J169" s="516">
        <f t="shared" si="83"/>
        <v>0</v>
      </c>
      <c r="K169" s="516">
        <f t="shared" si="83"/>
        <v>0</v>
      </c>
      <c r="L169" s="516">
        <f t="shared" si="83"/>
        <v>0</v>
      </c>
      <c r="M169" s="516">
        <f t="shared" si="83"/>
        <v>0</v>
      </c>
      <c r="N169" s="516">
        <f t="shared" si="83"/>
        <v>0</v>
      </c>
      <c r="O169" s="516">
        <f t="shared" si="83"/>
        <v>0</v>
      </c>
      <c r="P169" s="516">
        <f t="shared" si="83"/>
        <v>0</v>
      </c>
      <c r="Q169" s="516">
        <f t="shared" si="83"/>
        <v>0</v>
      </c>
      <c r="R169" s="516">
        <f t="shared" si="83"/>
        <v>0</v>
      </c>
      <c r="S169" s="516">
        <f t="shared" si="83"/>
        <v>0</v>
      </c>
      <c r="T169" s="516">
        <f t="shared" si="83"/>
        <v>0</v>
      </c>
      <c r="U169" s="516">
        <f t="shared" si="83"/>
        <v>0</v>
      </c>
      <c r="V169" s="516">
        <f t="shared" si="83"/>
        <v>0</v>
      </c>
      <c r="W169" s="516">
        <f t="shared" si="83"/>
        <v>0</v>
      </c>
      <c r="X169" s="516">
        <f t="shared" si="83"/>
        <v>0</v>
      </c>
      <c r="Y169" s="516">
        <f t="shared" si="83"/>
        <v>0</v>
      </c>
      <c r="Z169" s="516">
        <f t="shared" si="83"/>
        <v>0</v>
      </c>
      <c r="AA169" s="516">
        <f t="shared" si="83"/>
        <v>0</v>
      </c>
      <c r="AB169" s="516">
        <f t="shared" si="83"/>
        <v>0</v>
      </c>
      <c r="AC169" s="516">
        <f t="shared" si="83"/>
        <v>0</v>
      </c>
      <c r="AD169" s="516">
        <f t="shared" si="83"/>
        <v>0</v>
      </c>
      <c r="AE169" s="516">
        <f t="shared" si="83"/>
        <v>0</v>
      </c>
      <c r="AF169" s="516">
        <f t="shared" si="83"/>
        <v>0</v>
      </c>
      <c r="AG169" s="516">
        <f t="shared" si="83"/>
        <v>0</v>
      </c>
      <c r="AH169" s="516">
        <f t="shared" si="83"/>
        <v>0</v>
      </c>
      <c r="AI169" s="516">
        <f t="shared" si="83"/>
        <v>0</v>
      </c>
      <c r="AJ169" s="516">
        <f t="shared" si="83"/>
        <v>0</v>
      </c>
      <c r="AK169" s="516">
        <f t="shared" si="83"/>
        <v>0</v>
      </c>
      <c r="AL169" s="516">
        <f t="shared" si="83"/>
        <v>0</v>
      </c>
      <c r="AM169" s="516">
        <f t="shared" si="83"/>
        <v>0</v>
      </c>
      <c r="AN169" s="516">
        <f t="shared" si="83"/>
        <v>0</v>
      </c>
      <c r="AO169" s="516">
        <f t="shared" si="83"/>
        <v>0</v>
      </c>
      <c r="AP169" s="501"/>
      <c r="AQ169" s="505"/>
      <c r="AR169" s="505"/>
      <c r="AS169" s="505"/>
      <c r="AT169" s="505"/>
      <c r="AU169" s="505"/>
      <c r="AV169" s="510"/>
      <c r="AW169" s="452"/>
    </row>
    <row r="170" spans="1:49">
      <c r="A170" s="143"/>
      <c r="B170" s="483"/>
      <c r="C170" s="524"/>
      <c r="D170" s="501"/>
      <c r="E170" s="501"/>
      <c r="F170" s="501"/>
      <c r="G170" s="501"/>
      <c r="H170" s="501"/>
      <c r="I170" s="501"/>
      <c r="J170" s="501"/>
      <c r="K170" s="501"/>
      <c r="L170" s="501"/>
      <c r="M170" s="501"/>
      <c r="N170" s="501"/>
      <c r="O170" s="501"/>
      <c r="P170" s="501"/>
      <c r="Q170" s="501"/>
      <c r="R170" s="501"/>
      <c r="S170" s="501"/>
      <c r="T170" s="501"/>
      <c r="U170" s="501"/>
      <c r="V170" s="501"/>
      <c r="W170" s="501"/>
      <c r="X170" s="501"/>
      <c r="Y170" s="501"/>
      <c r="Z170" s="501"/>
      <c r="AA170" s="501"/>
      <c r="AB170" s="501"/>
      <c r="AC170" s="501"/>
      <c r="AD170" s="501"/>
      <c r="AE170" s="501"/>
      <c r="AF170" s="501"/>
      <c r="AG170" s="501"/>
      <c r="AH170" s="501"/>
      <c r="AI170" s="501"/>
      <c r="AJ170" s="501"/>
      <c r="AK170" s="501"/>
      <c r="AL170" s="501"/>
      <c r="AM170" s="501"/>
      <c r="AN170" s="501"/>
      <c r="AO170" s="501"/>
      <c r="AP170" s="501"/>
      <c r="AQ170" s="505"/>
      <c r="AR170" s="505"/>
      <c r="AS170" s="505"/>
      <c r="AT170" s="505"/>
      <c r="AU170" s="505"/>
      <c r="AV170" s="510"/>
      <c r="AW170" s="452"/>
    </row>
    <row r="171" spans="1:49">
      <c r="A171" s="1183" t="str">
        <f>'Delivery Calculation'!B26 &amp; CHAR(10) &amp; 'Delivery Calculation'!P26 &amp; " - " &amp; 'Delivery Calculation'!Q26</f>
        <v xml:space="preserve">0
 - </v>
      </c>
      <c r="B171" s="1180">
        <f>'Delivery Calculation'!A26</f>
        <v>0</v>
      </c>
      <c r="C171" s="499" t="s">
        <v>574</v>
      </c>
      <c r="D171" s="518">
        <f>'Delivery Calculation'!M207</f>
        <v>0</v>
      </c>
      <c r="E171" s="518">
        <f>'Delivery Calculation'!N207</f>
        <v>0</v>
      </c>
      <c r="F171" s="518">
        <f>'Delivery Calculation'!O207</f>
        <v>0</v>
      </c>
      <c r="G171" s="518">
        <f>'Delivery Calculation'!P207</f>
        <v>0</v>
      </c>
      <c r="H171" s="518">
        <f>'Delivery Calculation'!Q207</f>
        <v>0</v>
      </c>
      <c r="I171" s="518">
        <f>'Delivery Calculation'!R207</f>
        <v>0</v>
      </c>
      <c r="J171" s="518">
        <f>'Delivery Calculation'!S207</f>
        <v>0</v>
      </c>
      <c r="K171" s="518">
        <f>'Delivery Calculation'!T207</f>
        <v>0</v>
      </c>
      <c r="L171" s="518">
        <f>'Delivery Calculation'!U207</f>
        <v>0</v>
      </c>
      <c r="M171" s="518">
        <f>'Delivery Calculation'!V207</f>
        <v>0</v>
      </c>
      <c r="N171" s="518">
        <f>'Delivery Calculation'!W207</f>
        <v>0</v>
      </c>
      <c r="O171" s="518">
        <f>'Delivery Calculation'!X207</f>
        <v>0</v>
      </c>
      <c r="P171" s="518">
        <f>'Delivery Calculation'!Y207</f>
        <v>0</v>
      </c>
      <c r="Q171" s="518">
        <f>'Delivery Calculation'!Z207</f>
        <v>0</v>
      </c>
      <c r="R171" s="518">
        <f>'Delivery Calculation'!AA207</f>
        <v>0</v>
      </c>
      <c r="S171" s="518">
        <f>'Delivery Calculation'!AB207</f>
        <v>0</v>
      </c>
      <c r="T171" s="518">
        <f>'Delivery Calculation'!AC207</f>
        <v>0</v>
      </c>
      <c r="U171" s="518">
        <f>'Delivery Calculation'!AD207</f>
        <v>0</v>
      </c>
      <c r="V171" s="518">
        <f>'Delivery Calculation'!AE207</f>
        <v>0</v>
      </c>
      <c r="W171" s="518">
        <f>'Delivery Calculation'!AF207</f>
        <v>0</v>
      </c>
      <c r="X171" s="518">
        <f>'Delivery Calculation'!AG207</f>
        <v>0</v>
      </c>
      <c r="Y171" s="518">
        <f>'Delivery Calculation'!AH207</f>
        <v>0</v>
      </c>
      <c r="Z171" s="518">
        <f>'Delivery Calculation'!AI207</f>
        <v>0</v>
      </c>
      <c r="AA171" s="518">
        <f>'Delivery Calculation'!AJ207</f>
        <v>0</v>
      </c>
      <c r="AB171" s="518">
        <f>'Delivery Calculation'!AK207</f>
        <v>0</v>
      </c>
      <c r="AC171" s="518">
        <f>'Delivery Calculation'!AL207</f>
        <v>0</v>
      </c>
      <c r="AD171" s="518">
        <f>'Delivery Calculation'!AM207</f>
        <v>0</v>
      </c>
      <c r="AE171" s="518">
        <f>'Delivery Calculation'!AN207</f>
        <v>0</v>
      </c>
      <c r="AF171" s="518">
        <f>'Delivery Calculation'!AO207</f>
        <v>0</v>
      </c>
      <c r="AG171" s="518">
        <f>'Delivery Calculation'!AP207</f>
        <v>0</v>
      </c>
      <c r="AH171" s="518">
        <f>'Delivery Calculation'!AQ207</f>
        <v>0</v>
      </c>
      <c r="AI171" s="518">
        <f>'Delivery Calculation'!AR207</f>
        <v>0</v>
      </c>
      <c r="AJ171" s="518">
        <f>'Delivery Calculation'!AS207</f>
        <v>0</v>
      </c>
      <c r="AK171" s="518">
        <f>'Delivery Calculation'!AT207</f>
        <v>0</v>
      </c>
      <c r="AL171" s="518">
        <f>'Delivery Calculation'!AU207</f>
        <v>0</v>
      </c>
      <c r="AM171" s="518">
        <f>'Delivery Calculation'!AV207</f>
        <v>0</v>
      </c>
      <c r="AN171" s="518">
        <f>'Delivery Calculation'!AW207</f>
        <v>0</v>
      </c>
      <c r="AO171" s="518">
        <f>'Delivery Calculation'!AX207</f>
        <v>0</v>
      </c>
      <c r="AP171" s="501"/>
      <c r="AQ171" s="519">
        <f>IF(COUNTIF($D$15:$AO$15, TMDPeriodValueTypeReported)&gt;0, INDEX(D171:AO171,1,COUNTIF(D$15:$AO$15,TMDPeriodValueTypeReported)),0)</f>
        <v>0</v>
      </c>
      <c r="AR171" s="519"/>
      <c r="AS171" s="520">
        <f>'Delivery Calculation'!N26</f>
        <v>0</v>
      </c>
      <c r="AT171" s="519">
        <f>AQ171*'Delivery Calculation'!N26</f>
        <v>0</v>
      </c>
      <c r="AU171" s="521" t="s">
        <v>522</v>
      </c>
      <c r="AV171" s="510"/>
      <c r="AW171" s="452"/>
    </row>
    <row r="172" spans="1:49">
      <c r="A172" s="1184"/>
      <c r="B172" s="1181"/>
      <c r="C172" s="499" t="s">
        <v>575</v>
      </c>
      <c r="D172" s="509">
        <f>IF(D$15=TMDPeriodValueTypeForecast,IF('Delivery Calculation'!$H$26=TMDAllocationTandM,0,'Delivery Calculation'!M136),IF(MDReportingPeriod=TMDMonthly,D166,IF(MDReportingPeriod=TMDTwoweekly,D165,D164)))</f>
        <v>0</v>
      </c>
      <c r="E172" s="509">
        <f>IF(E$15=TMDPeriodValueTypeForecast,IF('Delivery Calculation'!$H$26=TMDAllocationTandM,0,'Delivery Calculation'!N136),IF(MDReportingPeriod=TMDMonthly,E166,IF(MDReportingPeriod=TMDTwoweekly,E165,E164)))</f>
        <v>0</v>
      </c>
      <c r="F172" s="509">
        <f>IF(F$15=TMDPeriodValueTypeForecast,IF('Delivery Calculation'!$H$26=TMDAllocationTandM,0,'Delivery Calculation'!O136),IF(MDReportingPeriod=TMDMonthly,F166,IF(MDReportingPeriod=TMDTwoweekly,F165,F164)))</f>
        <v>0</v>
      </c>
      <c r="G172" s="509">
        <f>IF(G$15=TMDPeriodValueTypeForecast,IF('Delivery Calculation'!$H$26=TMDAllocationTandM,0,'Delivery Calculation'!P136),IF(MDReportingPeriod=TMDMonthly,G166,IF(MDReportingPeriod=TMDTwoweekly,G165,G164)))</f>
        <v>0</v>
      </c>
      <c r="H172" s="509">
        <f>IF(H$15=TMDPeriodValueTypeForecast,IF('Delivery Calculation'!$H$26=TMDAllocationTandM,0,'Delivery Calculation'!Q136),IF(MDReportingPeriod=TMDMonthly,H166,IF(MDReportingPeriod=TMDTwoweekly,H165,H164)))</f>
        <v>0</v>
      </c>
      <c r="I172" s="509">
        <f>IF(I$15=TMDPeriodValueTypeForecast,IF('Delivery Calculation'!$H$26=TMDAllocationTandM,0,'Delivery Calculation'!R136),IF(MDReportingPeriod=TMDMonthly,I166,IF(MDReportingPeriod=TMDTwoweekly,I165,I164)))</f>
        <v>0</v>
      </c>
      <c r="J172" s="509">
        <f>IF(J$15=TMDPeriodValueTypeForecast,IF('Delivery Calculation'!$H$26=TMDAllocationTandM,0,'Delivery Calculation'!S136),IF(MDReportingPeriod=TMDMonthly,J166,IF(MDReportingPeriod=TMDTwoweekly,J165,J164)))</f>
        <v>0</v>
      </c>
      <c r="K172" s="509">
        <f>IF(K$15=TMDPeriodValueTypeForecast,IF('Delivery Calculation'!$H$26=TMDAllocationTandM,0,'Delivery Calculation'!T136),IF(MDReportingPeriod=TMDMonthly,K166,IF(MDReportingPeriod=TMDTwoweekly,K165,K164)))</f>
        <v>0</v>
      </c>
      <c r="L172" s="509">
        <f>IF(L$15=TMDPeriodValueTypeForecast,IF('Delivery Calculation'!$H$26=TMDAllocationTandM,0,'Delivery Calculation'!U136),IF(MDReportingPeriod=TMDMonthly,L166,IF(MDReportingPeriod=TMDTwoweekly,L165,L164)))</f>
        <v>0</v>
      </c>
      <c r="M172" s="509">
        <f>IF(M$15=TMDPeriodValueTypeForecast,IF('Delivery Calculation'!$H$26=TMDAllocationTandM,0,'Delivery Calculation'!V136),IF(MDReportingPeriod=TMDMonthly,M166,IF(MDReportingPeriod=TMDTwoweekly,M165,M164)))</f>
        <v>0</v>
      </c>
      <c r="N172" s="509">
        <f>IF(N$15=TMDPeriodValueTypeForecast,IF('Delivery Calculation'!$H$26=TMDAllocationTandM,0,'Delivery Calculation'!W136),IF(MDReportingPeriod=TMDMonthly,N166,IF(MDReportingPeriod=TMDTwoweekly,N165,N164)))</f>
        <v>0</v>
      </c>
      <c r="O172" s="509">
        <f>IF(O$15=TMDPeriodValueTypeForecast,IF('Delivery Calculation'!$H$26=TMDAllocationTandM,0,'Delivery Calculation'!X136),IF(MDReportingPeriod=TMDMonthly,O166,IF(MDReportingPeriod=TMDTwoweekly,O165,O164)))</f>
        <v>0</v>
      </c>
      <c r="P172" s="509">
        <f>IF(P$15=TMDPeriodValueTypeForecast,IF('Delivery Calculation'!$H$26=TMDAllocationTandM,0,'Delivery Calculation'!Y136),IF(MDReportingPeriod=TMDMonthly,P166,IF(MDReportingPeriod=TMDTwoweekly,P165,P164)))</f>
        <v>0</v>
      </c>
      <c r="Q172" s="509">
        <f>IF(Q$15=TMDPeriodValueTypeForecast,IF('Delivery Calculation'!$H$26=TMDAllocationTandM,0,'Delivery Calculation'!Z136),IF(MDReportingPeriod=TMDMonthly,Q166,IF(MDReportingPeriod=TMDTwoweekly,Q165,Q164)))</f>
        <v>0</v>
      </c>
      <c r="R172" s="509">
        <f>IF(R$15=TMDPeriodValueTypeForecast,IF('Delivery Calculation'!$H$26=TMDAllocationTandM,0,'Delivery Calculation'!AA136),IF(MDReportingPeriod=TMDMonthly,R166,IF(MDReportingPeriod=TMDTwoweekly,R165,R164)))</f>
        <v>0</v>
      </c>
      <c r="S172" s="509">
        <f>IF(S$15=TMDPeriodValueTypeForecast,IF('Delivery Calculation'!$H$26=TMDAllocationTandM,0,'Delivery Calculation'!AB136),IF(MDReportingPeriod=TMDMonthly,S166,IF(MDReportingPeriod=TMDTwoweekly,S165,S164)))</f>
        <v>0</v>
      </c>
      <c r="T172" s="509">
        <f>IF(T$15=TMDPeriodValueTypeForecast,IF('Delivery Calculation'!$H$26=TMDAllocationTandM,0,'Delivery Calculation'!AC136),IF(MDReportingPeriod=TMDMonthly,T166,IF(MDReportingPeriod=TMDTwoweekly,T165,T164)))</f>
        <v>0</v>
      </c>
      <c r="U172" s="509">
        <f>IF(U$15=TMDPeriodValueTypeForecast,IF('Delivery Calculation'!$H$26=TMDAllocationTandM,0,'Delivery Calculation'!AD136),IF(MDReportingPeriod=TMDMonthly,U166,IF(MDReportingPeriod=TMDTwoweekly,U165,U164)))</f>
        <v>0</v>
      </c>
      <c r="V172" s="509">
        <f>IF(V$15=TMDPeriodValueTypeForecast,IF('Delivery Calculation'!$H$26=TMDAllocationTandM,0,'Delivery Calculation'!AE136),IF(MDReportingPeriod=TMDMonthly,V166,IF(MDReportingPeriod=TMDTwoweekly,V165,V164)))</f>
        <v>0</v>
      </c>
      <c r="W172" s="509">
        <f>IF(W$15=TMDPeriodValueTypeForecast,IF('Delivery Calculation'!$H$26=TMDAllocationTandM,0,'Delivery Calculation'!AF136),IF(MDReportingPeriod=TMDMonthly,W166,IF(MDReportingPeriod=TMDTwoweekly,W165,W164)))</f>
        <v>0</v>
      </c>
      <c r="X172" s="509">
        <f>IF(X$15=TMDPeriodValueTypeForecast,IF('Delivery Calculation'!$H$26=TMDAllocationTandM,0,'Delivery Calculation'!AG136),IF(MDReportingPeriod=TMDMonthly,X166,IF(MDReportingPeriod=TMDTwoweekly,X165,X164)))</f>
        <v>0</v>
      </c>
      <c r="Y172" s="509">
        <f>IF(Y$15=TMDPeriodValueTypeForecast,IF('Delivery Calculation'!$H$26=TMDAllocationTandM,0,'Delivery Calculation'!AH136),IF(MDReportingPeriod=TMDMonthly,Y166,IF(MDReportingPeriod=TMDTwoweekly,Y165,Y164)))</f>
        <v>0</v>
      </c>
      <c r="Z172" s="509">
        <f>IF(Z$15=TMDPeriodValueTypeForecast,IF('Delivery Calculation'!$H$26=TMDAllocationTandM,0,'Delivery Calculation'!AI136),IF(MDReportingPeriod=TMDMonthly,Z166,IF(MDReportingPeriod=TMDTwoweekly,Z165,Z164)))</f>
        <v>0</v>
      </c>
      <c r="AA172" s="509">
        <f>IF(AA$15=TMDPeriodValueTypeForecast,IF('Delivery Calculation'!$H$26=TMDAllocationTandM,0,'Delivery Calculation'!AJ136),IF(MDReportingPeriod=TMDMonthly,AA166,IF(MDReportingPeriod=TMDTwoweekly,AA165,AA164)))</f>
        <v>0</v>
      </c>
      <c r="AB172" s="509">
        <f>IF(AB$15=TMDPeriodValueTypeForecast,IF('Delivery Calculation'!$H$26=TMDAllocationTandM,0,'Delivery Calculation'!AK136),IF(MDReportingPeriod=TMDMonthly,AB166,IF(MDReportingPeriod=TMDTwoweekly,AB165,AB164)))</f>
        <v>0</v>
      </c>
      <c r="AC172" s="509">
        <f>IF(AC$15=TMDPeriodValueTypeForecast,IF('Delivery Calculation'!$H$26=TMDAllocationTandM,0,'Delivery Calculation'!AL136),IF(MDReportingPeriod=TMDMonthly,AC166,IF(MDReportingPeriod=TMDTwoweekly,AC165,AC164)))</f>
        <v>0</v>
      </c>
      <c r="AD172" s="509">
        <f>IF(AD$15=TMDPeriodValueTypeForecast,IF('Delivery Calculation'!$H$26=TMDAllocationTandM,0,'Delivery Calculation'!AM136),IF(MDReportingPeriod=TMDMonthly,AD166,IF(MDReportingPeriod=TMDTwoweekly,AD165,AD164)))</f>
        <v>0</v>
      </c>
      <c r="AE172" s="509">
        <f>IF(AE$15=TMDPeriodValueTypeForecast,IF('Delivery Calculation'!$H$26=TMDAllocationTandM,0,'Delivery Calculation'!AN136),IF(MDReportingPeriod=TMDMonthly,AE166,IF(MDReportingPeriod=TMDTwoweekly,AE165,AE164)))</f>
        <v>0</v>
      </c>
      <c r="AF172" s="509">
        <f>IF(AF$15=TMDPeriodValueTypeForecast,IF('Delivery Calculation'!$H$26=TMDAllocationTandM,0,'Delivery Calculation'!AO136),IF(MDReportingPeriod=TMDMonthly,AF166,IF(MDReportingPeriod=TMDTwoweekly,AF165,AF164)))</f>
        <v>0</v>
      </c>
      <c r="AG172" s="509">
        <f>IF(AG$15=TMDPeriodValueTypeForecast,IF('Delivery Calculation'!$H$26=TMDAllocationTandM,0,'Delivery Calculation'!AP136),IF(MDReportingPeriod=TMDMonthly,AG166,IF(MDReportingPeriod=TMDTwoweekly,AG165,AG164)))</f>
        <v>0</v>
      </c>
      <c r="AH172" s="509">
        <f>IF(AH$15=TMDPeriodValueTypeForecast,IF('Delivery Calculation'!$H$26=TMDAllocationTandM,0,'Delivery Calculation'!AQ136),IF(MDReportingPeriod=TMDMonthly,AH166,IF(MDReportingPeriod=TMDTwoweekly,AH165,AH164)))</f>
        <v>0</v>
      </c>
      <c r="AI172" s="509">
        <f>IF(AI$15=TMDPeriodValueTypeForecast,IF('Delivery Calculation'!$H$26=TMDAllocationTandM,0,'Delivery Calculation'!AR136),IF(MDReportingPeriod=TMDMonthly,AI166,IF(MDReportingPeriod=TMDTwoweekly,AI165,AI164)))</f>
        <v>0</v>
      </c>
      <c r="AJ172" s="509">
        <f>IF(AJ$15=TMDPeriodValueTypeForecast,IF('Delivery Calculation'!$H$26=TMDAllocationTandM,0,'Delivery Calculation'!AS136),IF(MDReportingPeriod=TMDMonthly,AJ166,IF(MDReportingPeriod=TMDTwoweekly,AJ165,AJ164)))</f>
        <v>0</v>
      </c>
      <c r="AK172" s="509">
        <f>IF(AK$15=TMDPeriodValueTypeForecast,IF('Delivery Calculation'!$H$26=TMDAllocationTandM,0,'Delivery Calculation'!AT136),IF(MDReportingPeriod=TMDMonthly,AK166,IF(MDReportingPeriod=TMDTwoweekly,AK165,AK164)))</f>
        <v>0</v>
      </c>
      <c r="AL172" s="509">
        <f>IF(AL$15=TMDPeriodValueTypeForecast,IF('Delivery Calculation'!$H$26=TMDAllocationTandM,0,'Delivery Calculation'!AU136),IF(MDReportingPeriod=TMDMonthly,AL166,IF(MDReportingPeriod=TMDTwoweekly,AL165,AL164)))</f>
        <v>0</v>
      </c>
      <c r="AM172" s="509">
        <f>IF(AM$15=TMDPeriodValueTypeForecast,IF('Delivery Calculation'!$H$26=TMDAllocationTandM,0,'Delivery Calculation'!AV136),IF(MDReportingPeriod=TMDMonthly,AM166,IF(MDReportingPeriod=TMDTwoweekly,AM165,AM164)))</f>
        <v>0</v>
      </c>
      <c r="AN172" s="509">
        <f>IF(AN$15=TMDPeriodValueTypeForecast,IF('Delivery Calculation'!$H$26=TMDAllocationTandM,0,'Delivery Calculation'!AW136),IF(MDReportingPeriod=TMDMonthly,AN166,IF(MDReportingPeriod=TMDTwoweekly,AN165,AN164)))</f>
        <v>0</v>
      </c>
      <c r="AO172" s="509">
        <f>IF(AO$15=TMDPeriodValueTypeForecast,IF('Delivery Calculation'!$H$26=TMDAllocationTandM,0,'Delivery Calculation'!AX136),IF(MDReportingPeriod=TMDMonthly,AO166,IF(MDReportingPeriod=TMDTwoweekly,AO165,AO164)))</f>
        <v>0</v>
      </c>
      <c r="AP172" s="501"/>
      <c r="AQ172" s="505">
        <f>SUMIF($D$15:$AO$15,TMDPeriodValueTypeReported,D172:AO172)</f>
        <v>0</v>
      </c>
      <c r="AR172" s="505">
        <f>SUMIF($D$15:$AO$15,TMDPeriodValueTypeForecast,D172:AO172)</f>
        <v>0</v>
      </c>
      <c r="AS172" s="523">
        <f>'Delivery Calculation'!J26</f>
        <v>0</v>
      </c>
      <c r="AT172" s="505">
        <f>AS172-(AQ172+AR172)</f>
        <v>0</v>
      </c>
      <c r="AU172" s="505"/>
      <c r="AV172" s="510"/>
      <c r="AW172" s="452"/>
    </row>
    <row r="173" spans="1:49">
      <c r="A173" s="1184"/>
      <c r="B173" s="1181"/>
      <c r="C173" s="499" t="s">
        <v>576</v>
      </c>
      <c r="D173" s="509">
        <f>IF(D$15=TMDPeriodValueTypeForecast,IF('Delivery Calculation'!$H$26=TMDAllocationTandM,0,'Delivery Calculation'!M100),IF(MDReportingPeriod=TMDMonthly,D169,IF(MDReportingPeriod=TMDTwoweekly,D168,D167)))</f>
        <v>0</v>
      </c>
      <c r="E173" s="509">
        <f>IF(E$15=TMDPeriodValueTypeForecast,IF('Delivery Calculation'!$H$26=TMDAllocationTandM,0,'Delivery Calculation'!N100),IF(MDReportingPeriod=TMDMonthly,E169,IF(MDReportingPeriod=TMDTwoweekly,E168,E167)))</f>
        <v>0</v>
      </c>
      <c r="F173" s="509">
        <f>IF(F$15=TMDPeriodValueTypeForecast,IF('Delivery Calculation'!$H$26=TMDAllocationTandM,0,'Delivery Calculation'!O100),IF(MDReportingPeriod=TMDMonthly,F169,IF(MDReportingPeriod=TMDTwoweekly,F168,F167)))</f>
        <v>0</v>
      </c>
      <c r="G173" s="509">
        <f>IF(G$15=TMDPeriodValueTypeForecast,IF('Delivery Calculation'!$H$26=TMDAllocationTandM,0,'Delivery Calculation'!P100),IF(MDReportingPeriod=TMDMonthly,G169,IF(MDReportingPeriod=TMDTwoweekly,G168,G167)))</f>
        <v>0</v>
      </c>
      <c r="H173" s="509">
        <f>IF(H$15=TMDPeriodValueTypeForecast,IF('Delivery Calculation'!$H$26=TMDAllocationTandM,0,'Delivery Calculation'!Q100),IF(MDReportingPeriod=TMDMonthly,H169,IF(MDReportingPeriod=TMDTwoweekly,H168,H167)))</f>
        <v>0</v>
      </c>
      <c r="I173" s="509">
        <f>IF(I$15=TMDPeriodValueTypeForecast,IF('Delivery Calculation'!$H$26=TMDAllocationTandM,0,'Delivery Calculation'!R100),IF(MDReportingPeriod=TMDMonthly,I169,IF(MDReportingPeriod=TMDTwoweekly,I168,I167)))</f>
        <v>0</v>
      </c>
      <c r="J173" s="509">
        <f>IF(J$15=TMDPeriodValueTypeForecast,IF('Delivery Calculation'!$H$26=TMDAllocationTandM,0,'Delivery Calculation'!S100),IF(MDReportingPeriod=TMDMonthly,J169,IF(MDReportingPeriod=TMDTwoweekly,J168,J167)))</f>
        <v>0</v>
      </c>
      <c r="K173" s="509">
        <f>IF(K$15=TMDPeriodValueTypeForecast,IF('Delivery Calculation'!$H$26=TMDAllocationTandM,0,'Delivery Calculation'!T100),IF(MDReportingPeriod=TMDMonthly,K169,IF(MDReportingPeriod=TMDTwoweekly,K168,K167)))</f>
        <v>0</v>
      </c>
      <c r="L173" s="509">
        <f>IF(L$15=TMDPeriodValueTypeForecast,IF('Delivery Calculation'!$H$26=TMDAllocationTandM,0,'Delivery Calculation'!U100),IF(MDReportingPeriod=TMDMonthly,L169,IF(MDReportingPeriod=TMDTwoweekly,L168,L167)))</f>
        <v>0</v>
      </c>
      <c r="M173" s="509">
        <f>IF(M$15=TMDPeriodValueTypeForecast,IF('Delivery Calculation'!$H$26=TMDAllocationTandM,0,'Delivery Calculation'!V100),IF(MDReportingPeriod=TMDMonthly,M169,IF(MDReportingPeriod=TMDTwoweekly,M168,M167)))</f>
        <v>0</v>
      </c>
      <c r="N173" s="509">
        <f>IF(N$15=TMDPeriodValueTypeForecast,IF('Delivery Calculation'!$H$26=TMDAllocationTandM,0,'Delivery Calculation'!W100),IF(MDReportingPeriod=TMDMonthly,N169,IF(MDReportingPeriod=TMDTwoweekly,N168,N167)))</f>
        <v>0</v>
      </c>
      <c r="O173" s="509">
        <f>IF(O$15=TMDPeriodValueTypeForecast,IF('Delivery Calculation'!$H$26=TMDAllocationTandM,0,'Delivery Calculation'!X100),IF(MDReportingPeriod=TMDMonthly,O169,IF(MDReportingPeriod=TMDTwoweekly,O168,O167)))</f>
        <v>0</v>
      </c>
      <c r="P173" s="509">
        <f>IF(P$15=TMDPeriodValueTypeForecast,IF('Delivery Calculation'!$H$26=TMDAllocationTandM,0,'Delivery Calculation'!Y100),IF(MDReportingPeriod=TMDMonthly,P169,IF(MDReportingPeriod=TMDTwoweekly,P168,P167)))</f>
        <v>0</v>
      </c>
      <c r="Q173" s="509">
        <f>IF(Q$15=TMDPeriodValueTypeForecast,IF('Delivery Calculation'!$H$26=TMDAllocationTandM,0,'Delivery Calculation'!Z100),IF(MDReportingPeriod=TMDMonthly,Q169,IF(MDReportingPeriod=TMDTwoweekly,Q168,Q167)))</f>
        <v>0</v>
      </c>
      <c r="R173" s="509">
        <f>IF(R$15=TMDPeriodValueTypeForecast,IF('Delivery Calculation'!$H$26=TMDAllocationTandM,0,'Delivery Calculation'!AA100),IF(MDReportingPeriod=TMDMonthly,R169,IF(MDReportingPeriod=TMDTwoweekly,R168,R167)))</f>
        <v>0</v>
      </c>
      <c r="S173" s="509">
        <f>IF(S$15=TMDPeriodValueTypeForecast,IF('Delivery Calculation'!$H$26=TMDAllocationTandM,0,'Delivery Calculation'!AB100),IF(MDReportingPeriod=TMDMonthly,S169,IF(MDReportingPeriod=TMDTwoweekly,S168,S167)))</f>
        <v>0</v>
      </c>
      <c r="T173" s="509">
        <f>IF(T$15=TMDPeriodValueTypeForecast,IF('Delivery Calculation'!$H$26=TMDAllocationTandM,0,'Delivery Calculation'!AC100),IF(MDReportingPeriod=TMDMonthly,T169,IF(MDReportingPeriod=TMDTwoweekly,T168,T167)))</f>
        <v>0</v>
      </c>
      <c r="U173" s="509">
        <f>IF(U$15=TMDPeriodValueTypeForecast,IF('Delivery Calculation'!$H$26=TMDAllocationTandM,0,'Delivery Calculation'!AD100),IF(MDReportingPeriod=TMDMonthly,U169,IF(MDReportingPeriod=TMDTwoweekly,U168,U167)))</f>
        <v>0</v>
      </c>
      <c r="V173" s="509">
        <f>IF(V$15=TMDPeriodValueTypeForecast,IF('Delivery Calculation'!$H$26=TMDAllocationTandM,0,'Delivery Calculation'!AE100),IF(MDReportingPeriod=TMDMonthly,V169,IF(MDReportingPeriod=TMDTwoweekly,V168,V167)))</f>
        <v>0</v>
      </c>
      <c r="W173" s="509">
        <f>IF(W$15=TMDPeriodValueTypeForecast,IF('Delivery Calculation'!$H$26=TMDAllocationTandM,0,'Delivery Calculation'!AF100),IF(MDReportingPeriod=TMDMonthly,W169,IF(MDReportingPeriod=TMDTwoweekly,W168,W167)))</f>
        <v>0</v>
      </c>
      <c r="X173" s="509">
        <f>IF(X$15=TMDPeriodValueTypeForecast,IF('Delivery Calculation'!$H$26=TMDAllocationTandM,0,'Delivery Calculation'!AG100),IF(MDReportingPeriod=TMDMonthly,X169,IF(MDReportingPeriod=TMDTwoweekly,X168,X167)))</f>
        <v>0</v>
      </c>
      <c r="Y173" s="509">
        <f>IF(Y$15=TMDPeriodValueTypeForecast,IF('Delivery Calculation'!$H$26=TMDAllocationTandM,0,'Delivery Calculation'!AH100),IF(MDReportingPeriod=TMDMonthly,Y169,IF(MDReportingPeriod=TMDTwoweekly,Y168,Y167)))</f>
        <v>0</v>
      </c>
      <c r="Z173" s="509">
        <f>IF(Z$15=TMDPeriodValueTypeForecast,IF('Delivery Calculation'!$H$26=TMDAllocationTandM,0,'Delivery Calculation'!AI100),IF(MDReportingPeriod=TMDMonthly,Z169,IF(MDReportingPeriod=TMDTwoweekly,Z168,Z167)))</f>
        <v>0</v>
      </c>
      <c r="AA173" s="509">
        <f>IF(AA$15=TMDPeriodValueTypeForecast,IF('Delivery Calculation'!$H$26=TMDAllocationTandM,0,'Delivery Calculation'!AJ100),IF(MDReportingPeriod=TMDMonthly,AA169,IF(MDReportingPeriod=TMDTwoweekly,AA168,AA167)))</f>
        <v>0</v>
      </c>
      <c r="AB173" s="509">
        <f>IF(AB$15=TMDPeriodValueTypeForecast,IF('Delivery Calculation'!$H$26=TMDAllocationTandM,0,'Delivery Calculation'!AK100),IF(MDReportingPeriod=TMDMonthly,AB169,IF(MDReportingPeriod=TMDTwoweekly,AB168,AB167)))</f>
        <v>0</v>
      </c>
      <c r="AC173" s="509">
        <f>IF(AC$15=TMDPeriodValueTypeForecast,IF('Delivery Calculation'!$H$26=TMDAllocationTandM,0,'Delivery Calculation'!AL100),IF(MDReportingPeriod=TMDMonthly,AC169,IF(MDReportingPeriod=TMDTwoweekly,AC168,AC167)))</f>
        <v>0</v>
      </c>
      <c r="AD173" s="509">
        <f>IF(AD$15=TMDPeriodValueTypeForecast,IF('Delivery Calculation'!$H$26=TMDAllocationTandM,0,'Delivery Calculation'!AM100),IF(MDReportingPeriod=TMDMonthly,AD169,IF(MDReportingPeriod=TMDTwoweekly,AD168,AD167)))</f>
        <v>0</v>
      </c>
      <c r="AE173" s="509">
        <f>IF(AE$15=TMDPeriodValueTypeForecast,IF('Delivery Calculation'!$H$26=TMDAllocationTandM,0,'Delivery Calculation'!AN100),IF(MDReportingPeriod=TMDMonthly,AE169,IF(MDReportingPeriod=TMDTwoweekly,AE168,AE167)))</f>
        <v>0</v>
      </c>
      <c r="AF173" s="509">
        <f>IF(AF$15=TMDPeriodValueTypeForecast,IF('Delivery Calculation'!$H$26=TMDAllocationTandM,0,'Delivery Calculation'!AO100),IF(MDReportingPeriod=TMDMonthly,AF169,IF(MDReportingPeriod=TMDTwoweekly,AF168,AF167)))</f>
        <v>0</v>
      </c>
      <c r="AG173" s="509">
        <f>IF(AG$15=TMDPeriodValueTypeForecast,IF('Delivery Calculation'!$H$26=TMDAllocationTandM,0,'Delivery Calculation'!AP100),IF(MDReportingPeriod=TMDMonthly,AG169,IF(MDReportingPeriod=TMDTwoweekly,AG168,AG167)))</f>
        <v>0</v>
      </c>
      <c r="AH173" s="509">
        <f>IF(AH$15=TMDPeriodValueTypeForecast,IF('Delivery Calculation'!$H$26=TMDAllocationTandM,0,'Delivery Calculation'!AQ100),IF(MDReportingPeriod=TMDMonthly,AH169,IF(MDReportingPeriod=TMDTwoweekly,AH168,AH167)))</f>
        <v>0</v>
      </c>
      <c r="AI173" s="509">
        <f>IF(AI$15=TMDPeriodValueTypeForecast,IF('Delivery Calculation'!$H$26=TMDAllocationTandM,0,'Delivery Calculation'!AR100),IF(MDReportingPeriod=TMDMonthly,AI169,IF(MDReportingPeriod=TMDTwoweekly,AI168,AI167)))</f>
        <v>0</v>
      </c>
      <c r="AJ173" s="509">
        <f>IF(AJ$15=TMDPeriodValueTypeForecast,IF('Delivery Calculation'!$H$26=TMDAllocationTandM,0,'Delivery Calculation'!AS100),IF(MDReportingPeriod=TMDMonthly,AJ169,IF(MDReportingPeriod=TMDTwoweekly,AJ168,AJ167)))</f>
        <v>0</v>
      </c>
      <c r="AK173" s="509">
        <f>IF(AK$15=TMDPeriodValueTypeForecast,IF('Delivery Calculation'!$H$26=TMDAllocationTandM,0,'Delivery Calculation'!AT100),IF(MDReportingPeriod=TMDMonthly,AK169,IF(MDReportingPeriod=TMDTwoweekly,AK168,AK167)))</f>
        <v>0</v>
      </c>
      <c r="AL173" s="509">
        <f>IF(AL$15=TMDPeriodValueTypeForecast,IF('Delivery Calculation'!$H$26=TMDAllocationTandM,0,'Delivery Calculation'!AU100),IF(MDReportingPeriod=TMDMonthly,AL169,IF(MDReportingPeriod=TMDTwoweekly,AL168,AL167)))</f>
        <v>0</v>
      </c>
      <c r="AM173" s="509">
        <f>IF(AM$15=TMDPeriodValueTypeForecast,IF('Delivery Calculation'!$H$26=TMDAllocationTandM,0,'Delivery Calculation'!AV100),IF(MDReportingPeriod=TMDMonthly,AM169,IF(MDReportingPeriod=TMDTwoweekly,AM168,AM167)))</f>
        <v>0</v>
      </c>
      <c r="AN173" s="509">
        <f>IF(AN$15=TMDPeriodValueTypeForecast,IF('Delivery Calculation'!$H$26=TMDAllocationTandM,0,'Delivery Calculation'!AW100),IF(MDReportingPeriod=TMDMonthly,AN169,IF(MDReportingPeriod=TMDTwoweekly,AN168,AN167)))</f>
        <v>0</v>
      </c>
      <c r="AO173" s="509">
        <f>IF(AO$15=TMDPeriodValueTypeForecast,IF('Delivery Calculation'!$H$26=TMDAllocationTandM,0,'Delivery Calculation'!AX100),IF(MDReportingPeriod=TMDMonthly,AO169,IF(MDReportingPeriod=TMDTwoweekly,AO168,AO167)))</f>
        <v>0</v>
      </c>
      <c r="AP173" s="501"/>
      <c r="AQ173" s="505">
        <f>SUMIF($D$15:$AO$15,TMDPeriodValueTypeReported,D173:AO173)</f>
        <v>0</v>
      </c>
      <c r="AR173" s="505">
        <f>SUMIF($D$15:$AO$15,TMDPeriodValueTypeForecast,D173:AO173)</f>
        <v>0</v>
      </c>
      <c r="AS173" s="523">
        <f>'Delivery Calculation'!I26</f>
        <v>0</v>
      </c>
      <c r="AT173" s="505">
        <f>AS173-(AQ173+AR173)</f>
        <v>0</v>
      </c>
      <c r="AU173" s="505"/>
      <c r="AV173" s="510"/>
      <c r="AW173" s="452"/>
    </row>
    <row r="174" spans="1:49">
      <c r="A174" s="1185"/>
      <c r="B174" s="1182"/>
      <c r="C174" s="499" t="s">
        <v>577</v>
      </c>
      <c r="D174" s="509"/>
      <c r="E174" s="509"/>
      <c r="F174" s="509"/>
      <c r="G174" s="509"/>
      <c r="H174" s="509"/>
      <c r="I174" s="509"/>
      <c r="J174" s="509"/>
      <c r="K174" s="509"/>
      <c r="L174" s="509"/>
      <c r="M174" s="509"/>
      <c r="N174" s="509"/>
      <c r="O174" s="509"/>
      <c r="P174" s="509"/>
      <c r="Q174" s="509"/>
      <c r="R174" s="509"/>
      <c r="S174" s="509"/>
      <c r="T174" s="509"/>
      <c r="U174" s="509"/>
      <c r="V174" s="509"/>
      <c r="W174" s="509"/>
      <c r="X174" s="509"/>
      <c r="Y174" s="509"/>
      <c r="Z174" s="509"/>
      <c r="AA174" s="509"/>
      <c r="AB174" s="509"/>
      <c r="AC174" s="509"/>
      <c r="AD174" s="509"/>
      <c r="AE174" s="509"/>
      <c r="AF174" s="509"/>
      <c r="AG174" s="509"/>
      <c r="AH174" s="509"/>
      <c r="AI174" s="509"/>
      <c r="AJ174" s="509"/>
      <c r="AK174" s="509"/>
      <c r="AL174" s="509"/>
      <c r="AM174" s="509"/>
      <c r="AN174" s="509"/>
      <c r="AO174" s="509"/>
      <c r="AP174" s="501"/>
      <c r="AQ174" s="505">
        <f>SUMIF($D$15:$AO$15,TMDPeriodValueTypeReported,D174:AO174)</f>
        <v>0</v>
      </c>
      <c r="AR174" s="505">
        <f>SUMIF($D$15:$AO$15,TMDPeriodValueTypeForecast,D174:AO174)</f>
        <v>0</v>
      </c>
      <c r="AS174" s="505"/>
      <c r="AT174" s="505">
        <f>AQ174+AR174</f>
        <v>0</v>
      </c>
      <c r="AU174" s="505"/>
      <c r="AV174" s="510"/>
      <c r="AW174" s="452"/>
    </row>
    <row r="175" spans="1:49" hidden="1">
      <c r="A175" s="143"/>
      <c r="B175" s="483"/>
      <c r="C175" s="496" t="s">
        <v>1339</v>
      </c>
      <c r="D175" s="516">
        <f t="shared" ref="D175:AO175" si="84">IF(ISERR(GETPIVOTDATA("[Measures].[Hours]",TRIMARANweekly,"[Order].[Position Number]","[Order].[Position Number].&amp;[" &amp; $B182 &amp; "]","[Period].[Week]","[Period].[Week].&amp;[" &amp; YEAR(D$14-7) &amp; TEXT(WEEKNUM(D$14-7),"00") &amp; "]")),0,GETPIVOTDATA("[Measures].[Hours]",TRIMARANweekly,"[Order].[Position Number]","[Order].[Position Number].&amp;[" &amp; $B182 &amp; "]","[Period].[Week]","[Period].[Week].&amp;[" &amp; YEAR(D$14-7) &amp; TEXT(WEEKNUM(D$14-7),"00") &amp; "]"))</f>
        <v>0</v>
      </c>
      <c r="E175" s="516">
        <f t="shared" si="84"/>
        <v>0</v>
      </c>
      <c r="F175" s="516">
        <f t="shared" si="84"/>
        <v>0</v>
      </c>
      <c r="G175" s="516">
        <f t="shared" si="84"/>
        <v>0</v>
      </c>
      <c r="H175" s="516">
        <f t="shared" si="84"/>
        <v>0</v>
      </c>
      <c r="I175" s="516">
        <f t="shared" si="84"/>
        <v>0</v>
      </c>
      <c r="J175" s="516">
        <f t="shared" si="84"/>
        <v>0</v>
      </c>
      <c r="K175" s="516">
        <f t="shared" si="84"/>
        <v>0</v>
      </c>
      <c r="L175" s="516">
        <f t="shared" si="84"/>
        <v>0</v>
      </c>
      <c r="M175" s="516">
        <f t="shared" si="84"/>
        <v>0</v>
      </c>
      <c r="N175" s="516">
        <f t="shared" si="84"/>
        <v>0</v>
      </c>
      <c r="O175" s="516">
        <f t="shared" si="84"/>
        <v>0</v>
      </c>
      <c r="P175" s="516">
        <f t="shared" si="84"/>
        <v>0</v>
      </c>
      <c r="Q175" s="516">
        <f t="shared" si="84"/>
        <v>0</v>
      </c>
      <c r="R175" s="516">
        <f t="shared" si="84"/>
        <v>0</v>
      </c>
      <c r="S175" s="516">
        <f t="shared" si="84"/>
        <v>0</v>
      </c>
      <c r="T175" s="516">
        <f t="shared" si="84"/>
        <v>0</v>
      </c>
      <c r="U175" s="516">
        <f t="shared" si="84"/>
        <v>0</v>
      </c>
      <c r="V175" s="516">
        <f t="shared" si="84"/>
        <v>0</v>
      </c>
      <c r="W175" s="516">
        <f t="shared" si="84"/>
        <v>0</v>
      </c>
      <c r="X175" s="516">
        <f t="shared" si="84"/>
        <v>0</v>
      </c>
      <c r="Y175" s="516">
        <f t="shared" si="84"/>
        <v>0</v>
      </c>
      <c r="Z175" s="516">
        <f t="shared" si="84"/>
        <v>0</v>
      </c>
      <c r="AA175" s="516">
        <f t="shared" si="84"/>
        <v>0</v>
      </c>
      <c r="AB175" s="516">
        <f t="shared" si="84"/>
        <v>0</v>
      </c>
      <c r="AC175" s="516">
        <f t="shared" si="84"/>
        <v>0</v>
      </c>
      <c r="AD175" s="516">
        <f t="shared" si="84"/>
        <v>0</v>
      </c>
      <c r="AE175" s="516">
        <f t="shared" si="84"/>
        <v>0</v>
      </c>
      <c r="AF175" s="516">
        <f t="shared" si="84"/>
        <v>0</v>
      </c>
      <c r="AG175" s="516">
        <f t="shared" si="84"/>
        <v>0</v>
      </c>
      <c r="AH175" s="516">
        <f t="shared" si="84"/>
        <v>0</v>
      </c>
      <c r="AI175" s="516">
        <f t="shared" si="84"/>
        <v>0</v>
      </c>
      <c r="AJ175" s="516">
        <f t="shared" si="84"/>
        <v>0</v>
      </c>
      <c r="AK175" s="516">
        <f t="shared" si="84"/>
        <v>0</v>
      </c>
      <c r="AL175" s="516">
        <f t="shared" si="84"/>
        <v>0</v>
      </c>
      <c r="AM175" s="516">
        <f t="shared" si="84"/>
        <v>0</v>
      </c>
      <c r="AN175" s="516">
        <f t="shared" si="84"/>
        <v>0</v>
      </c>
      <c r="AO175" s="516">
        <f t="shared" si="84"/>
        <v>0</v>
      </c>
      <c r="AP175" s="501"/>
      <c r="AQ175" s="505"/>
      <c r="AR175" s="505"/>
      <c r="AS175" s="505"/>
      <c r="AT175" s="505"/>
      <c r="AU175" s="505"/>
      <c r="AV175" s="510"/>
      <c r="AW175" s="452"/>
    </row>
    <row r="176" spans="1:49" hidden="1">
      <c r="A176" s="143"/>
      <c r="B176" s="483"/>
      <c r="C176" s="496" t="s">
        <v>1340</v>
      </c>
      <c r="D176" s="516">
        <f t="shared" ref="D176:AO176" si="85">IF(ISERR(GETPIVOTDATA("[Measures].[Hours]",TRIMARANweekly,"[Order].[Position Number]","[Order].[Position Number].&amp;[" &amp; $B182 &amp; "]","[Period].[Week]","[Period].[Week].&amp;[" &amp; YEAR(D$14-14) &amp; TEXT(WEEKNUM(D$14-14),"00") &amp; "]")),0,GETPIVOTDATA("[Measures].[Hours]",TRIMARANweekly,"[Order].[Position Number]","[Order].[Position Number].&amp;[" &amp; $B182 &amp; "]","[Period].[Week]","[Period].[Week].&amp;[" &amp; YEAR(D$14-14) &amp; TEXT(WEEKNUM(D$14-14),"00") &amp; "]"))+D175</f>
        <v>0</v>
      </c>
      <c r="E176" s="516">
        <f t="shared" si="85"/>
        <v>0</v>
      </c>
      <c r="F176" s="516">
        <f t="shared" si="85"/>
        <v>0</v>
      </c>
      <c r="G176" s="516">
        <f t="shared" si="85"/>
        <v>0</v>
      </c>
      <c r="H176" s="516">
        <f t="shared" si="85"/>
        <v>0</v>
      </c>
      <c r="I176" s="516">
        <f t="shared" si="85"/>
        <v>0</v>
      </c>
      <c r="J176" s="516">
        <f t="shared" si="85"/>
        <v>0</v>
      </c>
      <c r="K176" s="516">
        <f t="shared" si="85"/>
        <v>0</v>
      </c>
      <c r="L176" s="516">
        <f t="shared" si="85"/>
        <v>0</v>
      </c>
      <c r="M176" s="516">
        <f t="shared" si="85"/>
        <v>0</v>
      </c>
      <c r="N176" s="516">
        <f t="shared" si="85"/>
        <v>0</v>
      </c>
      <c r="O176" s="516">
        <f t="shared" si="85"/>
        <v>0</v>
      </c>
      <c r="P176" s="516">
        <f t="shared" si="85"/>
        <v>0</v>
      </c>
      <c r="Q176" s="516">
        <f t="shared" si="85"/>
        <v>0</v>
      </c>
      <c r="R176" s="516">
        <f t="shared" si="85"/>
        <v>0</v>
      </c>
      <c r="S176" s="516">
        <f t="shared" si="85"/>
        <v>0</v>
      </c>
      <c r="T176" s="516">
        <f t="shared" si="85"/>
        <v>0</v>
      </c>
      <c r="U176" s="516">
        <f t="shared" si="85"/>
        <v>0</v>
      </c>
      <c r="V176" s="516">
        <f t="shared" si="85"/>
        <v>0</v>
      </c>
      <c r="W176" s="516">
        <f t="shared" si="85"/>
        <v>0</v>
      </c>
      <c r="X176" s="516">
        <f t="shared" si="85"/>
        <v>0</v>
      </c>
      <c r="Y176" s="516">
        <f t="shared" si="85"/>
        <v>0</v>
      </c>
      <c r="Z176" s="516">
        <f t="shared" si="85"/>
        <v>0</v>
      </c>
      <c r="AA176" s="516">
        <f t="shared" si="85"/>
        <v>0</v>
      </c>
      <c r="AB176" s="516">
        <f t="shared" si="85"/>
        <v>0</v>
      </c>
      <c r="AC176" s="516">
        <f t="shared" si="85"/>
        <v>0</v>
      </c>
      <c r="AD176" s="516">
        <f t="shared" si="85"/>
        <v>0</v>
      </c>
      <c r="AE176" s="516">
        <f t="shared" si="85"/>
        <v>0</v>
      </c>
      <c r="AF176" s="516">
        <f t="shared" si="85"/>
        <v>0</v>
      </c>
      <c r="AG176" s="516">
        <f t="shared" si="85"/>
        <v>0</v>
      </c>
      <c r="AH176" s="516">
        <f t="shared" si="85"/>
        <v>0</v>
      </c>
      <c r="AI176" s="516">
        <f t="shared" si="85"/>
        <v>0</v>
      </c>
      <c r="AJ176" s="516">
        <f t="shared" si="85"/>
        <v>0</v>
      </c>
      <c r="AK176" s="516">
        <f t="shared" si="85"/>
        <v>0</v>
      </c>
      <c r="AL176" s="516">
        <f t="shared" si="85"/>
        <v>0</v>
      </c>
      <c r="AM176" s="516">
        <f t="shared" si="85"/>
        <v>0</v>
      </c>
      <c r="AN176" s="516">
        <f t="shared" si="85"/>
        <v>0</v>
      </c>
      <c r="AO176" s="516">
        <f t="shared" si="85"/>
        <v>0</v>
      </c>
      <c r="AP176" s="501"/>
      <c r="AQ176" s="505"/>
      <c r="AR176" s="505"/>
      <c r="AS176" s="505"/>
      <c r="AT176" s="505"/>
      <c r="AU176" s="505"/>
      <c r="AV176" s="510"/>
      <c r="AW176" s="452"/>
    </row>
    <row r="177" spans="1:49" hidden="1">
      <c r="A177" s="143"/>
      <c r="B177" s="483"/>
      <c r="C177" s="496" t="s">
        <v>1341</v>
      </c>
      <c r="D177" s="516">
        <f t="shared" ref="D177:AO177" si="86">IF(ISERR(GETPIVOTDATA("[Measures].[Hours]",TRIMARANmonthly,"[Period].[Month]","[Period].[Month].&amp;["&amp;IF(MONTH(D$14)=1,YEAR(D$14)-1&amp;TEXT(12,"00"),YEAR(D$14)&amp;TEXT(MONTH(D$14)-1,"00"))&amp;"]","[Order].[Position Number]","[Order].[Position Number].&amp;["&amp;$B182&amp;"]")),0,GETPIVOTDATA("[Measures].[Hours]",TRIMARANmonthly,"[Period].[Month]","[Period].[Month].&amp;["&amp;IF(MONTH(D$14)=1,YEAR(D$14)-1&amp;TEXT(12,"00"),YEAR(D$14)&amp;TEXT(MONTH(D$14)-1,"00"))&amp;"]","[Order].[Position Number]","[Order].[Position Number].&amp;["&amp;$B182&amp;"]"))</f>
        <v>0</v>
      </c>
      <c r="E177" s="516">
        <f t="shared" si="86"/>
        <v>0</v>
      </c>
      <c r="F177" s="516">
        <f t="shared" si="86"/>
        <v>0</v>
      </c>
      <c r="G177" s="516">
        <f t="shared" si="86"/>
        <v>0</v>
      </c>
      <c r="H177" s="516">
        <f t="shared" si="86"/>
        <v>0</v>
      </c>
      <c r="I177" s="516">
        <f t="shared" si="86"/>
        <v>0</v>
      </c>
      <c r="J177" s="516">
        <f t="shared" si="86"/>
        <v>0</v>
      </c>
      <c r="K177" s="516">
        <f t="shared" si="86"/>
        <v>0</v>
      </c>
      <c r="L177" s="516">
        <f t="shared" si="86"/>
        <v>0</v>
      </c>
      <c r="M177" s="516">
        <f t="shared" si="86"/>
        <v>0</v>
      </c>
      <c r="N177" s="516">
        <f t="shared" si="86"/>
        <v>0</v>
      </c>
      <c r="O177" s="516">
        <f t="shared" si="86"/>
        <v>0</v>
      </c>
      <c r="P177" s="516">
        <f t="shared" si="86"/>
        <v>0</v>
      </c>
      <c r="Q177" s="516">
        <f t="shared" si="86"/>
        <v>0</v>
      </c>
      <c r="R177" s="516">
        <f t="shared" si="86"/>
        <v>0</v>
      </c>
      <c r="S177" s="516">
        <f t="shared" si="86"/>
        <v>0</v>
      </c>
      <c r="T177" s="516">
        <f t="shared" si="86"/>
        <v>0</v>
      </c>
      <c r="U177" s="516">
        <f t="shared" si="86"/>
        <v>0</v>
      </c>
      <c r="V177" s="516">
        <f t="shared" si="86"/>
        <v>0</v>
      </c>
      <c r="W177" s="516">
        <f t="shared" si="86"/>
        <v>0</v>
      </c>
      <c r="X177" s="516">
        <f t="shared" si="86"/>
        <v>0</v>
      </c>
      <c r="Y177" s="516">
        <f t="shared" si="86"/>
        <v>0</v>
      </c>
      <c r="Z177" s="516">
        <f t="shared" si="86"/>
        <v>0</v>
      </c>
      <c r="AA177" s="516">
        <f t="shared" si="86"/>
        <v>0</v>
      </c>
      <c r="AB177" s="516">
        <f t="shared" si="86"/>
        <v>0</v>
      </c>
      <c r="AC177" s="516">
        <f t="shared" si="86"/>
        <v>0</v>
      </c>
      <c r="AD177" s="516">
        <f t="shared" si="86"/>
        <v>0</v>
      </c>
      <c r="AE177" s="516">
        <f t="shared" si="86"/>
        <v>0</v>
      </c>
      <c r="AF177" s="516">
        <f t="shared" si="86"/>
        <v>0</v>
      </c>
      <c r="AG177" s="516">
        <f t="shared" si="86"/>
        <v>0</v>
      </c>
      <c r="AH177" s="516">
        <f t="shared" si="86"/>
        <v>0</v>
      </c>
      <c r="AI177" s="516">
        <f t="shared" si="86"/>
        <v>0</v>
      </c>
      <c r="AJ177" s="516">
        <f t="shared" si="86"/>
        <v>0</v>
      </c>
      <c r="AK177" s="516">
        <f t="shared" si="86"/>
        <v>0</v>
      </c>
      <c r="AL177" s="516">
        <f t="shared" si="86"/>
        <v>0</v>
      </c>
      <c r="AM177" s="516">
        <f t="shared" si="86"/>
        <v>0</v>
      </c>
      <c r="AN177" s="516">
        <f t="shared" si="86"/>
        <v>0</v>
      </c>
      <c r="AO177" s="516">
        <f t="shared" si="86"/>
        <v>0</v>
      </c>
      <c r="AP177" s="501"/>
      <c r="AQ177" s="505"/>
      <c r="AR177" s="505"/>
      <c r="AS177" s="505"/>
      <c r="AT177" s="505"/>
      <c r="AU177" s="505"/>
      <c r="AV177" s="510"/>
      <c r="AW177" s="452"/>
    </row>
    <row r="178" spans="1:49" hidden="1">
      <c r="A178" s="143"/>
      <c r="B178" s="483"/>
      <c r="C178" s="496" t="s">
        <v>1339</v>
      </c>
      <c r="D178" s="516">
        <f t="shared" ref="D178:AO178" si="87">IF(ISERR(GETPIVOTDATA("[Measures].[" &amp; MDContractCurrency &amp; "]",TRIMARANweekly,"[Order].[Position Number]","[Order].[Position Number].&amp;[" &amp; $B182 &amp; "]","[Period].[Week]","[Period].[Week].&amp;[" &amp; YEAR(D$14-7) &amp; TEXT(WEEKNUM(D$14-7),"00") &amp; "]")),0,GETPIVOTDATA("[Measures].[" &amp; MDContractCurrency &amp; "]",TRIMARANweekly,"[Order].[Position Number]","[Order].[Position Number].&amp;[" &amp; $B182 &amp; "]","[Period].[Week]","[Period].[Week].&amp;[" &amp; YEAR(D$14-7) &amp; TEXT(WEEKNUM(D$14-7),"00") &amp; "]"))</f>
        <v>0</v>
      </c>
      <c r="E178" s="516">
        <f t="shared" si="87"/>
        <v>0</v>
      </c>
      <c r="F178" s="516">
        <f t="shared" si="87"/>
        <v>0</v>
      </c>
      <c r="G178" s="516">
        <f t="shared" si="87"/>
        <v>0</v>
      </c>
      <c r="H178" s="516">
        <f t="shared" si="87"/>
        <v>0</v>
      </c>
      <c r="I178" s="516">
        <f t="shared" si="87"/>
        <v>0</v>
      </c>
      <c r="J178" s="516">
        <f t="shared" si="87"/>
        <v>0</v>
      </c>
      <c r="K178" s="516">
        <f t="shared" si="87"/>
        <v>0</v>
      </c>
      <c r="L178" s="516">
        <f t="shared" si="87"/>
        <v>0</v>
      </c>
      <c r="M178" s="516">
        <f t="shared" si="87"/>
        <v>0</v>
      </c>
      <c r="N178" s="516">
        <f t="shared" si="87"/>
        <v>0</v>
      </c>
      <c r="O178" s="516">
        <f t="shared" si="87"/>
        <v>0</v>
      </c>
      <c r="P178" s="516">
        <f t="shared" si="87"/>
        <v>0</v>
      </c>
      <c r="Q178" s="516">
        <f t="shared" si="87"/>
        <v>0</v>
      </c>
      <c r="R178" s="516">
        <f t="shared" si="87"/>
        <v>0</v>
      </c>
      <c r="S178" s="516">
        <f t="shared" si="87"/>
        <v>0</v>
      </c>
      <c r="T178" s="516">
        <f t="shared" si="87"/>
        <v>0</v>
      </c>
      <c r="U178" s="516">
        <f t="shared" si="87"/>
        <v>0</v>
      </c>
      <c r="V178" s="516">
        <f t="shared" si="87"/>
        <v>0</v>
      </c>
      <c r="W178" s="516">
        <f t="shared" si="87"/>
        <v>0</v>
      </c>
      <c r="X178" s="516">
        <f t="shared" si="87"/>
        <v>0</v>
      </c>
      <c r="Y178" s="516">
        <f t="shared" si="87"/>
        <v>0</v>
      </c>
      <c r="Z178" s="516">
        <f t="shared" si="87"/>
        <v>0</v>
      </c>
      <c r="AA178" s="516">
        <f t="shared" si="87"/>
        <v>0</v>
      </c>
      <c r="AB178" s="516">
        <f t="shared" si="87"/>
        <v>0</v>
      </c>
      <c r="AC178" s="516">
        <f t="shared" si="87"/>
        <v>0</v>
      </c>
      <c r="AD178" s="516">
        <f t="shared" si="87"/>
        <v>0</v>
      </c>
      <c r="AE178" s="516">
        <f t="shared" si="87"/>
        <v>0</v>
      </c>
      <c r="AF178" s="516">
        <f t="shared" si="87"/>
        <v>0</v>
      </c>
      <c r="AG178" s="516">
        <f t="shared" si="87"/>
        <v>0</v>
      </c>
      <c r="AH178" s="516">
        <f t="shared" si="87"/>
        <v>0</v>
      </c>
      <c r="AI178" s="516">
        <f t="shared" si="87"/>
        <v>0</v>
      </c>
      <c r="AJ178" s="516">
        <f t="shared" si="87"/>
        <v>0</v>
      </c>
      <c r="AK178" s="516">
        <f t="shared" si="87"/>
        <v>0</v>
      </c>
      <c r="AL178" s="516">
        <f t="shared" si="87"/>
        <v>0</v>
      </c>
      <c r="AM178" s="516">
        <f t="shared" si="87"/>
        <v>0</v>
      </c>
      <c r="AN178" s="516">
        <f t="shared" si="87"/>
        <v>0</v>
      </c>
      <c r="AO178" s="516">
        <f t="shared" si="87"/>
        <v>0</v>
      </c>
      <c r="AP178" s="501"/>
      <c r="AQ178" s="505"/>
      <c r="AR178" s="505"/>
      <c r="AS178" s="505"/>
      <c r="AT178" s="505"/>
      <c r="AU178" s="505"/>
      <c r="AV178" s="510"/>
      <c r="AW178" s="452"/>
    </row>
    <row r="179" spans="1:49" hidden="1">
      <c r="A179" s="143"/>
      <c r="B179" s="483"/>
      <c r="C179" s="496" t="s">
        <v>1340</v>
      </c>
      <c r="D179" s="516">
        <f t="shared" ref="D179:AO179" si="88">IF(ISERR(GETPIVOTDATA("[Measures].[" &amp; MDContractCurrency &amp; "]",TRIMARANweekly,"[Order].[Position Number]","[Order].[Position Number].&amp;[" &amp; $B182 &amp; "]","[Period].[Week]","[Period].[Week].&amp;[" &amp; YEAR(D$14-14) &amp; TEXT(WEEKNUM(D$14-14),"00") &amp; "]")),0,GETPIVOTDATA("[Measures].[" &amp; MDContractCurrency &amp; "]",TRIMARANweekly,"[Order].[Position Number]","[Order].[Position Number].&amp;[" &amp; $B182 &amp; "]","[Period].[Week]","[Period].[Week].&amp;[" &amp; YEAR(D$14-14) &amp; TEXT(WEEKNUM(D$14-14),"00") &amp; "]"))+D178</f>
        <v>0</v>
      </c>
      <c r="E179" s="516">
        <f t="shared" si="88"/>
        <v>0</v>
      </c>
      <c r="F179" s="516">
        <f t="shared" si="88"/>
        <v>0</v>
      </c>
      <c r="G179" s="516">
        <f t="shared" si="88"/>
        <v>0</v>
      </c>
      <c r="H179" s="516">
        <f t="shared" si="88"/>
        <v>0</v>
      </c>
      <c r="I179" s="516">
        <f t="shared" si="88"/>
        <v>0</v>
      </c>
      <c r="J179" s="516">
        <f t="shared" si="88"/>
        <v>0</v>
      </c>
      <c r="K179" s="516">
        <f t="shared" si="88"/>
        <v>0</v>
      </c>
      <c r="L179" s="516">
        <f t="shared" si="88"/>
        <v>0</v>
      </c>
      <c r="M179" s="516">
        <f t="shared" si="88"/>
        <v>0</v>
      </c>
      <c r="N179" s="516">
        <f t="shared" si="88"/>
        <v>0</v>
      </c>
      <c r="O179" s="516">
        <f t="shared" si="88"/>
        <v>0</v>
      </c>
      <c r="P179" s="516">
        <f t="shared" si="88"/>
        <v>0</v>
      </c>
      <c r="Q179" s="516">
        <f t="shared" si="88"/>
        <v>0</v>
      </c>
      <c r="R179" s="516">
        <f t="shared" si="88"/>
        <v>0</v>
      </c>
      <c r="S179" s="516">
        <f t="shared" si="88"/>
        <v>0</v>
      </c>
      <c r="T179" s="516">
        <f t="shared" si="88"/>
        <v>0</v>
      </c>
      <c r="U179" s="516">
        <f t="shared" si="88"/>
        <v>0</v>
      </c>
      <c r="V179" s="516">
        <f t="shared" si="88"/>
        <v>0</v>
      </c>
      <c r="W179" s="516">
        <f t="shared" si="88"/>
        <v>0</v>
      </c>
      <c r="X179" s="516">
        <f t="shared" si="88"/>
        <v>0</v>
      </c>
      <c r="Y179" s="516">
        <f t="shared" si="88"/>
        <v>0</v>
      </c>
      <c r="Z179" s="516">
        <f t="shared" si="88"/>
        <v>0</v>
      </c>
      <c r="AA179" s="516">
        <f t="shared" si="88"/>
        <v>0</v>
      </c>
      <c r="AB179" s="516">
        <f t="shared" si="88"/>
        <v>0</v>
      </c>
      <c r="AC179" s="516">
        <f t="shared" si="88"/>
        <v>0</v>
      </c>
      <c r="AD179" s="516">
        <f t="shared" si="88"/>
        <v>0</v>
      </c>
      <c r="AE179" s="516">
        <f t="shared" si="88"/>
        <v>0</v>
      </c>
      <c r="AF179" s="516">
        <f t="shared" si="88"/>
        <v>0</v>
      </c>
      <c r="AG179" s="516">
        <f t="shared" si="88"/>
        <v>0</v>
      </c>
      <c r="AH179" s="516">
        <f t="shared" si="88"/>
        <v>0</v>
      </c>
      <c r="AI179" s="516">
        <f t="shared" si="88"/>
        <v>0</v>
      </c>
      <c r="AJ179" s="516">
        <f t="shared" si="88"/>
        <v>0</v>
      </c>
      <c r="AK179" s="516">
        <f t="shared" si="88"/>
        <v>0</v>
      </c>
      <c r="AL179" s="516">
        <f t="shared" si="88"/>
        <v>0</v>
      </c>
      <c r="AM179" s="516">
        <f t="shared" si="88"/>
        <v>0</v>
      </c>
      <c r="AN179" s="516">
        <f t="shared" si="88"/>
        <v>0</v>
      </c>
      <c r="AO179" s="516">
        <f t="shared" si="88"/>
        <v>0</v>
      </c>
      <c r="AP179" s="501"/>
      <c r="AQ179" s="505"/>
      <c r="AR179" s="505"/>
      <c r="AS179" s="505"/>
      <c r="AT179" s="505"/>
      <c r="AU179" s="505"/>
      <c r="AV179" s="510"/>
      <c r="AW179" s="452"/>
    </row>
    <row r="180" spans="1:49" hidden="1">
      <c r="A180" s="141"/>
      <c r="B180" s="517"/>
      <c r="C180" s="496" t="s">
        <v>1341</v>
      </c>
      <c r="D180" s="516">
        <f t="shared" ref="D180:AO180" si="89">IF(ISERR(GETPIVOTDATA("[Measures].[" &amp; MDContractCurrency &amp; "]",TRIMARANmonthly,"[Period].[Month]","[Period].[Month].&amp;["&amp;IF(MONTH(D$14)=1,YEAR(D$14)-1&amp;TEXT(12,"00"),YEAR(D$14)&amp;TEXT(MONTH(D$14)-1,"00"))&amp;"]","[Order].[Position Number]","[Order].[Position Number].&amp;["&amp;$B182&amp;"]")),0,GETPIVOTDATA("[Measures].[" &amp; MDContractCurrency &amp; "]",TRIMARANmonthly,"[Period].[Month]","[Period].[Month].&amp;["&amp;IF(MONTH(D$14)=1,YEAR(D$14)-1&amp;TEXT(12,"00"),YEAR(D$14)&amp;TEXT(MONTH(D$14)-1,"00"))&amp;"]","[Order].[Position Number]","[Order].[Position Number].&amp;["&amp;$B182&amp;"]"))</f>
        <v>0</v>
      </c>
      <c r="E180" s="516">
        <f t="shared" si="89"/>
        <v>0</v>
      </c>
      <c r="F180" s="516">
        <f t="shared" si="89"/>
        <v>0</v>
      </c>
      <c r="G180" s="516">
        <f t="shared" si="89"/>
        <v>0</v>
      </c>
      <c r="H180" s="516">
        <f t="shared" si="89"/>
        <v>0</v>
      </c>
      <c r="I180" s="516">
        <f t="shared" si="89"/>
        <v>0</v>
      </c>
      <c r="J180" s="516">
        <f t="shared" si="89"/>
        <v>0</v>
      </c>
      <c r="K180" s="516">
        <f t="shared" si="89"/>
        <v>0</v>
      </c>
      <c r="L180" s="516">
        <f t="shared" si="89"/>
        <v>0</v>
      </c>
      <c r="M180" s="516">
        <f t="shared" si="89"/>
        <v>0</v>
      </c>
      <c r="N180" s="516">
        <f t="shared" si="89"/>
        <v>0</v>
      </c>
      <c r="O180" s="516">
        <f t="shared" si="89"/>
        <v>0</v>
      </c>
      <c r="P180" s="516">
        <f t="shared" si="89"/>
        <v>0</v>
      </c>
      <c r="Q180" s="516">
        <f t="shared" si="89"/>
        <v>0</v>
      </c>
      <c r="R180" s="516">
        <f t="shared" si="89"/>
        <v>0</v>
      </c>
      <c r="S180" s="516">
        <f t="shared" si="89"/>
        <v>0</v>
      </c>
      <c r="T180" s="516">
        <f t="shared" si="89"/>
        <v>0</v>
      </c>
      <c r="U180" s="516">
        <f t="shared" si="89"/>
        <v>0</v>
      </c>
      <c r="V180" s="516">
        <f t="shared" si="89"/>
        <v>0</v>
      </c>
      <c r="W180" s="516">
        <f t="shared" si="89"/>
        <v>0</v>
      </c>
      <c r="X180" s="516">
        <f t="shared" si="89"/>
        <v>0</v>
      </c>
      <c r="Y180" s="516">
        <f t="shared" si="89"/>
        <v>0</v>
      </c>
      <c r="Z180" s="516">
        <f t="shared" si="89"/>
        <v>0</v>
      </c>
      <c r="AA180" s="516">
        <f t="shared" si="89"/>
        <v>0</v>
      </c>
      <c r="AB180" s="516">
        <f t="shared" si="89"/>
        <v>0</v>
      </c>
      <c r="AC180" s="516">
        <f t="shared" si="89"/>
        <v>0</v>
      </c>
      <c r="AD180" s="516">
        <f t="shared" si="89"/>
        <v>0</v>
      </c>
      <c r="AE180" s="516">
        <f t="shared" si="89"/>
        <v>0</v>
      </c>
      <c r="AF180" s="516">
        <f t="shared" si="89"/>
        <v>0</v>
      </c>
      <c r="AG180" s="516">
        <f t="shared" si="89"/>
        <v>0</v>
      </c>
      <c r="AH180" s="516">
        <f t="shared" si="89"/>
        <v>0</v>
      </c>
      <c r="AI180" s="516">
        <f t="shared" si="89"/>
        <v>0</v>
      </c>
      <c r="AJ180" s="516">
        <f t="shared" si="89"/>
        <v>0</v>
      </c>
      <c r="AK180" s="516">
        <f t="shared" si="89"/>
        <v>0</v>
      </c>
      <c r="AL180" s="516">
        <f t="shared" si="89"/>
        <v>0</v>
      </c>
      <c r="AM180" s="516">
        <f t="shared" si="89"/>
        <v>0</v>
      </c>
      <c r="AN180" s="516">
        <f t="shared" si="89"/>
        <v>0</v>
      </c>
      <c r="AO180" s="516">
        <f t="shared" si="89"/>
        <v>0</v>
      </c>
      <c r="AP180" s="501"/>
      <c r="AQ180" s="505"/>
      <c r="AR180" s="505"/>
      <c r="AS180" s="505"/>
      <c r="AT180" s="505"/>
      <c r="AU180" s="505"/>
      <c r="AV180" s="510"/>
      <c r="AW180" s="452"/>
    </row>
    <row r="181" spans="1:49">
      <c r="A181" s="143"/>
      <c r="B181" s="483"/>
      <c r="C181" s="524"/>
      <c r="D181" s="501"/>
      <c r="E181" s="501"/>
      <c r="F181" s="501"/>
      <c r="G181" s="501"/>
      <c r="H181" s="501"/>
      <c r="I181" s="501"/>
      <c r="J181" s="501"/>
      <c r="K181" s="501"/>
      <c r="L181" s="501"/>
      <c r="M181" s="501"/>
      <c r="N181" s="501"/>
      <c r="O181" s="501"/>
      <c r="P181" s="501"/>
      <c r="Q181" s="501"/>
      <c r="R181" s="501"/>
      <c r="S181" s="501"/>
      <c r="T181" s="501"/>
      <c r="U181" s="501"/>
      <c r="V181" s="501"/>
      <c r="W181" s="501"/>
      <c r="X181" s="501"/>
      <c r="Y181" s="501"/>
      <c r="Z181" s="501"/>
      <c r="AA181" s="501"/>
      <c r="AB181" s="501"/>
      <c r="AC181" s="501"/>
      <c r="AD181" s="501"/>
      <c r="AE181" s="501"/>
      <c r="AF181" s="501"/>
      <c r="AG181" s="501"/>
      <c r="AH181" s="501"/>
      <c r="AI181" s="501"/>
      <c r="AJ181" s="501"/>
      <c r="AK181" s="501"/>
      <c r="AL181" s="501"/>
      <c r="AM181" s="501"/>
      <c r="AN181" s="501"/>
      <c r="AO181" s="501"/>
      <c r="AP181" s="501"/>
      <c r="AQ181" s="505"/>
      <c r="AR181" s="505"/>
      <c r="AS181" s="505"/>
      <c r="AT181" s="505"/>
      <c r="AU181" s="505"/>
      <c r="AV181" s="510"/>
      <c r="AW181" s="452"/>
    </row>
    <row r="182" spans="1:49">
      <c r="A182" s="1183" t="str">
        <f>'Delivery Calculation'!B27 &amp; CHAR(10) &amp; 'Delivery Calculation'!P27 &amp; " - " &amp; 'Delivery Calculation'!Q27</f>
        <v xml:space="preserve">0
 - </v>
      </c>
      <c r="B182" s="1180">
        <f>'Delivery Calculation'!A27</f>
        <v>0</v>
      </c>
      <c r="C182" s="499" t="s">
        <v>578</v>
      </c>
      <c r="D182" s="518">
        <f>'Delivery Calculation'!M208</f>
        <v>0</v>
      </c>
      <c r="E182" s="518">
        <f>'Delivery Calculation'!N208</f>
        <v>0</v>
      </c>
      <c r="F182" s="518">
        <f>'Delivery Calculation'!O208</f>
        <v>0</v>
      </c>
      <c r="G182" s="518">
        <f>'Delivery Calculation'!P208</f>
        <v>0</v>
      </c>
      <c r="H182" s="518">
        <f>'Delivery Calculation'!Q208</f>
        <v>0</v>
      </c>
      <c r="I182" s="518">
        <f>'Delivery Calculation'!R208</f>
        <v>0</v>
      </c>
      <c r="J182" s="518">
        <f>'Delivery Calculation'!S208</f>
        <v>0</v>
      </c>
      <c r="K182" s="518">
        <f>'Delivery Calculation'!T208</f>
        <v>0</v>
      </c>
      <c r="L182" s="518">
        <f>'Delivery Calculation'!U208</f>
        <v>0</v>
      </c>
      <c r="M182" s="518">
        <f>'Delivery Calculation'!V208</f>
        <v>0</v>
      </c>
      <c r="N182" s="518">
        <f>'Delivery Calculation'!W208</f>
        <v>0</v>
      </c>
      <c r="O182" s="518">
        <f>'Delivery Calculation'!X208</f>
        <v>0</v>
      </c>
      <c r="P182" s="518">
        <f>'Delivery Calculation'!Y208</f>
        <v>0</v>
      </c>
      <c r="Q182" s="518">
        <f>'Delivery Calculation'!Z208</f>
        <v>0</v>
      </c>
      <c r="R182" s="518">
        <f>'Delivery Calculation'!AA208</f>
        <v>0</v>
      </c>
      <c r="S182" s="518">
        <f>'Delivery Calculation'!AB208</f>
        <v>0</v>
      </c>
      <c r="T182" s="518">
        <f>'Delivery Calculation'!AC208</f>
        <v>0</v>
      </c>
      <c r="U182" s="518">
        <f>'Delivery Calculation'!AD208</f>
        <v>0</v>
      </c>
      <c r="V182" s="518">
        <f>'Delivery Calculation'!AE208</f>
        <v>0</v>
      </c>
      <c r="W182" s="518">
        <f>'Delivery Calculation'!AF208</f>
        <v>0</v>
      </c>
      <c r="X182" s="518">
        <f>'Delivery Calculation'!AG208</f>
        <v>0</v>
      </c>
      <c r="Y182" s="518">
        <f>'Delivery Calculation'!AH208</f>
        <v>0</v>
      </c>
      <c r="Z182" s="518">
        <f>'Delivery Calculation'!AI208</f>
        <v>0</v>
      </c>
      <c r="AA182" s="518">
        <f>'Delivery Calculation'!AJ208</f>
        <v>0</v>
      </c>
      <c r="AB182" s="518">
        <f>'Delivery Calculation'!AK208</f>
        <v>0</v>
      </c>
      <c r="AC182" s="518">
        <f>'Delivery Calculation'!AL208</f>
        <v>0</v>
      </c>
      <c r="AD182" s="518">
        <f>'Delivery Calculation'!AM208</f>
        <v>0</v>
      </c>
      <c r="AE182" s="518">
        <f>'Delivery Calculation'!AN208</f>
        <v>0</v>
      </c>
      <c r="AF182" s="518">
        <f>'Delivery Calculation'!AO208</f>
        <v>0</v>
      </c>
      <c r="AG182" s="518">
        <f>'Delivery Calculation'!AP208</f>
        <v>0</v>
      </c>
      <c r="AH182" s="518">
        <f>'Delivery Calculation'!AQ208</f>
        <v>0</v>
      </c>
      <c r="AI182" s="518">
        <f>'Delivery Calculation'!AR208</f>
        <v>0</v>
      </c>
      <c r="AJ182" s="518">
        <f>'Delivery Calculation'!AS208</f>
        <v>0</v>
      </c>
      <c r="AK182" s="518">
        <f>'Delivery Calculation'!AT208</f>
        <v>0</v>
      </c>
      <c r="AL182" s="518">
        <f>'Delivery Calculation'!AU208</f>
        <v>0</v>
      </c>
      <c r="AM182" s="518">
        <f>'Delivery Calculation'!AV208</f>
        <v>0</v>
      </c>
      <c r="AN182" s="518">
        <f>'Delivery Calculation'!AW208</f>
        <v>0</v>
      </c>
      <c r="AO182" s="518">
        <f>'Delivery Calculation'!AX208</f>
        <v>0</v>
      </c>
      <c r="AP182" s="501"/>
      <c r="AQ182" s="519">
        <f>IF(COUNTIF($D$15:$AO$15, TMDPeriodValueTypeReported)&gt;0, INDEX(D182:AO182,1,COUNTIF(D$15:$AO$15,TMDPeriodValueTypeReported)),0)</f>
        <v>0</v>
      </c>
      <c r="AR182" s="519"/>
      <c r="AS182" s="520">
        <f>'Delivery Calculation'!N27</f>
        <v>0</v>
      </c>
      <c r="AT182" s="519">
        <f>AQ182*'Delivery Calculation'!N27</f>
        <v>0</v>
      </c>
      <c r="AU182" s="521" t="s">
        <v>522</v>
      </c>
      <c r="AV182" s="510"/>
      <c r="AW182" s="452"/>
    </row>
    <row r="183" spans="1:49">
      <c r="A183" s="1184"/>
      <c r="B183" s="1181"/>
      <c r="C183" s="499" t="s">
        <v>579</v>
      </c>
      <c r="D183" s="509">
        <f>IF(D$15=TMDPeriodValueTypeForecast,IF('Delivery Calculation'!$H$27=TMDAllocationTandM,0,'Delivery Calculation'!M137),IF(MDReportingPeriod=TMDMonthly,D177,IF(MDReportingPeriod=TMDTwoweekly,D176,D175)))</f>
        <v>0</v>
      </c>
      <c r="E183" s="509">
        <f>IF(E$15=TMDPeriodValueTypeForecast,IF('Delivery Calculation'!$H$27=TMDAllocationTandM,0,'Delivery Calculation'!N137),IF(MDReportingPeriod=TMDMonthly,E177,IF(MDReportingPeriod=TMDTwoweekly,E176,E175)))</f>
        <v>0</v>
      </c>
      <c r="F183" s="509">
        <f>IF(F$15=TMDPeriodValueTypeForecast,IF('Delivery Calculation'!$H$27=TMDAllocationTandM,0,'Delivery Calculation'!O137),IF(MDReportingPeriod=TMDMonthly,F177,IF(MDReportingPeriod=TMDTwoweekly,F176,F175)))</f>
        <v>0</v>
      </c>
      <c r="G183" s="509">
        <f>IF(G$15=TMDPeriodValueTypeForecast,IF('Delivery Calculation'!$H$27=TMDAllocationTandM,0,'Delivery Calculation'!P137),IF(MDReportingPeriod=TMDMonthly,G177,IF(MDReportingPeriod=TMDTwoweekly,G176,G175)))</f>
        <v>0</v>
      </c>
      <c r="H183" s="509">
        <f>IF(H$15=TMDPeriodValueTypeForecast,IF('Delivery Calculation'!$H$27=TMDAllocationTandM,0,'Delivery Calculation'!Q137),IF(MDReportingPeriod=TMDMonthly,H177,IF(MDReportingPeriod=TMDTwoweekly,H176,H175)))</f>
        <v>0</v>
      </c>
      <c r="I183" s="509">
        <f>IF(I$15=TMDPeriodValueTypeForecast,IF('Delivery Calculation'!$H$27=TMDAllocationTandM,0,'Delivery Calculation'!R137),IF(MDReportingPeriod=TMDMonthly,I177,IF(MDReportingPeriod=TMDTwoweekly,I176,I175)))</f>
        <v>0</v>
      </c>
      <c r="J183" s="509">
        <f>IF(J$15=TMDPeriodValueTypeForecast,IF('Delivery Calculation'!$H$27=TMDAllocationTandM,0,'Delivery Calculation'!S137),IF(MDReportingPeriod=TMDMonthly,J177,IF(MDReportingPeriod=TMDTwoweekly,J176,J175)))</f>
        <v>0</v>
      </c>
      <c r="K183" s="509">
        <f>IF(K$15=TMDPeriodValueTypeForecast,IF('Delivery Calculation'!$H$27=TMDAllocationTandM,0,'Delivery Calculation'!T137),IF(MDReportingPeriod=TMDMonthly,K177,IF(MDReportingPeriod=TMDTwoweekly,K176,K175)))</f>
        <v>0</v>
      </c>
      <c r="L183" s="509">
        <f>IF(L$15=TMDPeriodValueTypeForecast,IF('Delivery Calculation'!$H$27=TMDAllocationTandM,0,'Delivery Calculation'!U137),IF(MDReportingPeriod=TMDMonthly,L177,IF(MDReportingPeriod=TMDTwoweekly,L176,L175)))</f>
        <v>0</v>
      </c>
      <c r="M183" s="509">
        <f>IF(M$15=TMDPeriodValueTypeForecast,IF('Delivery Calculation'!$H$27=TMDAllocationTandM,0,'Delivery Calculation'!V137),IF(MDReportingPeriod=TMDMonthly,M177,IF(MDReportingPeriod=TMDTwoweekly,M176,M175)))</f>
        <v>0</v>
      </c>
      <c r="N183" s="509">
        <f>IF(N$15=TMDPeriodValueTypeForecast,IF('Delivery Calculation'!$H$27=TMDAllocationTandM,0,'Delivery Calculation'!W137),IF(MDReportingPeriod=TMDMonthly,N177,IF(MDReportingPeriod=TMDTwoweekly,N176,N175)))</f>
        <v>0</v>
      </c>
      <c r="O183" s="509">
        <f>IF(O$15=TMDPeriodValueTypeForecast,IF('Delivery Calculation'!$H$27=TMDAllocationTandM,0,'Delivery Calculation'!X137),IF(MDReportingPeriod=TMDMonthly,O177,IF(MDReportingPeriod=TMDTwoweekly,O176,O175)))</f>
        <v>0</v>
      </c>
      <c r="P183" s="509">
        <f>IF(P$15=TMDPeriodValueTypeForecast,IF('Delivery Calculation'!$H$27=TMDAllocationTandM,0,'Delivery Calculation'!Y137),IF(MDReportingPeriod=TMDMonthly,P177,IF(MDReportingPeriod=TMDTwoweekly,P176,P175)))</f>
        <v>0</v>
      </c>
      <c r="Q183" s="509">
        <f>IF(Q$15=TMDPeriodValueTypeForecast,IF('Delivery Calculation'!$H$27=TMDAllocationTandM,0,'Delivery Calculation'!Z137),IF(MDReportingPeriod=TMDMonthly,Q177,IF(MDReportingPeriod=TMDTwoweekly,Q176,Q175)))</f>
        <v>0</v>
      </c>
      <c r="R183" s="509">
        <f>IF(R$15=TMDPeriodValueTypeForecast,IF('Delivery Calculation'!$H$27=TMDAllocationTandM,0,'Delivery Calculation'!AA137),IF(MDReportingPeriod=TMDMonthly,R177,IF(MDReportingPeriod=TMDTwoweekly,R176,R175)))</f>
        <v>0</v>
      </c>
      <c r="S183" s="509">
        <f>IF(S$15=TMDPeriodValueTypeForecast,IF('Delivery Calculation'!$H$27=TMDAllocationTandM,0,'Delivery Calculation'!AB137),IF(MDReportingPeriod=TMDMonthly,S177,IF(MDReportingPeriod=TMDTwoweekly,S176,S175)))</f>
        <v>0</v>
      </c>
      <c r="T183" s="509">
        <f>IF(T$15=TMDPeriodValueTypeForecast,IF('Delivery Calculation'!$H$27=TMDAllocationTandM,0,'Delivery Calculation'!AC137),IF(MDReportingPeriod=TMDMonthly,T177,IF(MDReportingPeriod=TMDTwoweekly,T176,T175)))</f>
        <v>0</v>
      </c>
      <c r="U183" s="509">
        <f>IF(U$15=TMDPeriodValueTypeForecast,IF('Delivery Calculation'!$H$27=TMDAllocationTandM,0,'Delivery Calculation'!AD137),IF(MDReportingPeriod=TMDMonthly,U177,IF(MDReportingPeriod=TMDTwoweekly,U176,U175)))</f>
        <v>0</v>
      </c>
      <c r="V183" s="509">
        <f>IF(V$15=TMDPeriodValueTypeForecast,IF('Delivery Calculation'!$H$27=TMDAllocationTandM,0,'Delivery Calculation'!AE137),IF(MDReportingPeriod=TMDMonthly,V177,IF(MDReportingPeriod=TMDTwoweekly,V176,V175)))</f>
        <v>0</v>
      </c>
      <c r="W183" s="509">
        <f>IF(W$15=TMDPeriodValueTypeForecast,IF('Delivery Calculation'!$H$27=TMDAllocationTandM,0,'Delivery Calculation'!AF137),IF(MDReportingPeriod=TMDMonthly,W177,IF(MDReportingPeriod=TMDTwoweekly,W176,W175)))</f>
        <v>0</v>
      </c>
      <c r="X183" s="509">
        <f>IF(X$15=TMDPeriodValueTypeForecast,IF('Delivery Calculation'!$H$27=TMDAllocationTandM,0,'Delivery Calculation'!AG137),IF(MDReportingPeriod=TMDMonthly,X177,IF(MDReportingPeriod=TMDTwoweekly,X176,X175)))</f>
        <v>0</v>
      </c>
      <c r="Y183" s="509">
        <f>IF(Y$15=TMDPeriodValueTypeForecast,IF('Delivery Calculation'!$H$27=TMDAllocationTandM,0,'Delivery Calculation'!AH137),IF(MDReportingPeriod=TMDMonthly,Y177,IF(MDReportingPeriod=TMDTwoweekly,Y176,Y175)))</f>
        <v>0</v>
      </c>
      <c r="Z183" s="509">
        <f>IF(Z$15=TMDPeriodValueTypeForecast,IF('Delivery Calculation'!$H$27=TMDAllocationTandM,0,'Delivery Calculation'!AI137),IF(MDReportingPeriod=TMDMonthly,Z177,IF(MDReportingPeriod=TMDTwoweekly,Z176,Z175)))</f>
        <v>0</v>
      </c>
      <c r="AA183" s="509">
        <f>IF(AA$15=TMDPeriodValueTypeForecast,IF('Delivery Calculation'!$H$27=TMDAllocationTandM,0,'Delivery Calculation'!AJ137),IF(MDReportingPeriod=TMDMonthly,AA177,IF(MDReportingPeriod=TMDTwoweekly,AA176,AA175)))</f>
        <v>0</v>
      </c>
      <c r="AB183" s="509">
        <f>IF(AB$15=TMDPeriodValueTypeForecast,IF('Delivery Calculation'!$H$27=TMDAllocationTandM,0,'Delivery Calculation'!AK137),IF(MDReportingPeriod=TMDMonthly,AB177,IF(MDReportingPeriod=TMDTwoweekly,AB176,AB175)))</f>
        <v>0</v>
      </c>
      <c r="AC183" s="509">
        <f>IF(AC$15=TMDPeriodValueTypeForecast,IF('Delivery Calculation'!$H$27=TMDAllocationTandM,0,'Delivery Calculation'!AL137),IF(MDReportingPeriod=TMDMonthly,AC177,IF(MDReportingPeriod=TMDTwoweekly,AC176,AC175)))</f>
        <v>0</v>
      </c>
      <c r="AD183" s="509">
        <f>IF(AD$15=TMDPeriodValueTypeForecast,IF('Delivery Calculation'!$H$27=TMDAllocationTandM,0,'Delivery Calculation'!AM137),IF(MDReportingPeriod=TMDMonthly,AD177,IF(MDReportingPeriod=TMDTwoweekly,AD176,AD175)))</f>
        <v>0</v>
      </c>
      <c r="AE183" s="509">
        <f>IF(AE$15=TMDPeriodValueTypeForecast,IF('Delivery Calculation'!$H$27=TMDAllocationTandM,0,'Delivery Calculation'!AN137),IF(MDReportingPeriod=TMDMonthly,AE177,IF(MDReportingPeriod=TMDTwoweekly,AE176,AE175)))</f>
        <v>0</v>
      </c>
      <c r="AF183" s="509">
        <f>IF(AF$15=TMDPeriodValueTypeForecast,IF('Delivery Calculation'!$H$27=TMDAllocationTandM,0,'Delivery Calculation'!AO137),IF(MDReportingPeriod=TMDMonthly,AF177,IF(MDReportingPeriod=TMDTwoweekly,AF176,AF175)))</f>
        <v>0</v>
      </c>
      <c r="AG183" s="509">
        <f>IF(AG$15=TMDPeriodValueTypeForecast,IF('Delivery Calculation'!$H$27=TMDAllocationTandM,0,'Delivery Calculation'!AP137),IF(MDReportingPeriod=TMDMonthly,AG177,IF(MDReportingPeriod=TMDTwoweekly,AG176,AG175)))</f>
        <v>0</v>
      </c>
      <c r="AH183" s="509">
        <f>IF(AH$15=TMDPeriodValueTypeForecast,IF('Delivery Calculation'!$H$27=TMDAllocationTandM,0,'Delivery Calculation'!AQ137),IF(MDReportingPeriod=TMDMonthly,AH177,IF(MDReportingPeriod=TMDTwoweekly,AH176,AH175)))</f>
        <v>0</v>
      </c>
      <c r="AI183" s="509">
        <f>IF(AI$15=TMDPeriodValueTypeForecast,IF('Delivery Calculation'!$H$27=TMDAllocationTandM,0,'Delivery Calculation'!AR137),IF(MDReportingPeriod=TMDMonthly,AI177,IF(MDReportingPeriod=TMDTwoweekly,AI176,AI175)))</f>
        <v>0</v>
      </c>
      <c r="AJ183" s="509">
        <f>IF(AJ$15=TMDPeriodValueTypeForecast,IF('Delivery Calculation'!$H$27=TMDAllocationTandM,0,'Delivery Calculation'!AS137),IF(MDReportingPeriod=TMDMonthly,AJ177,IF(MDReportingPeriod=TMDTwoweekly,AJ176,AJ175)))</f>
        <v>0</v>
      </c>
      <c r="AK183" s="509">
        <f>IF(AK$15=TMDPeriodValueTypeForecast,IF('Delivery Calculation'!$H$27=TMDAllocationTandM,0,'Delivery Calculation'!AT137),IF(MDReportingPeriod=TMDMonthly,AK177,IF(MDReportingPeriod=TMDTwoweekly,AK176,AK175)))</f>
        <v>0</v>
      </c>
      <c r="AL183" s="509">
        <f>IF(AL$15=TMDPeriodValueTypeForecast,IF('Delivery Calculation'!$H$27=TMDAllocationTandM,0,'Delivery Calculation'!AU137),IF(MDReportingPeriod=TMDMonthly,AL177,IF(MDReportingPeriod=TMDTwoweekly,AL176,AL175)))</f>
        <v>0</v>
      </c>
      <c r="AM183" s="509">
        <f>IF(AM$15=TMDPeriodValueTypeForecast,IF('Delivery Calculation'!$H$27=TMDAllocationTandM,0,'Delivery Calculation'!AV137),IF(MDReportingPeriod=TMDMonthly,AM177,IF(MDReportingPeriod=TMDTwoweekly,AM176,AM175)))</f>
        <v>0</v>
      </c>
      <c r="AN183" s="509">
        <f>IF(AN$15=TMDPeriodValueTypeForecast,IF('Delivery Calculation'!$H$27=TMDAllocationTandM,0,'Delivery Calculation'!AW137),IF(MDReportingPeriod=TMDMonthly,AN177,IF(MDReportingPeriod=TMDTwoweekly,AN176,AN175)))</f>
        <v>0</v>
      </c>
      <c r="AO183" s="509">
        <f>IF(AO$15=TMDPeriodValueTypeForecast,IF('Delivery Calculation'!$H$27=TMDAllocationTandM,0,'Delivery Calculation'!AX137),IF(MDReportingPeriod=TMDMonthly,AO177,IF(MDReportingPeriod=TMDTwoweekly,AO176,AO175)))</f>
        <v>0</v>
      </c>
      <c r="AP183" s="501"/>
      <c r="AQ183" s="505">
        <f>SUMIF($D$15:$AO$15,TMDPeriodValueTypeReported,D183:AO183)</f>
        <v>0</v>
      </c>
      <c r="AR183" s="505">
        <f>SUMIF($D$15:$AO$15,TMDPeriodValueTypeForecast,D183:AO183)</f>
        <v>0</v>
      </c>
      <c r="AS183" s="523">
        <f>'Delivery Calculation'!J27</f>
        <v>0</v>
      </c>
      <c r="AT183" s="505">
        <f>AS183-(AQ183+AR183)</f>
        <v>0</v>
      </c>
      <c r="AU183" s="505"/>
      <c r="AV183" s="510"/>
      <c r="AW183" s="452"/>
    </row>
    <row r="184" spans="1:49">
      <c r="A184" s="1184"/>
      <c r="B184" s="1181"/>
      <c r="C184" s="499" t="s">
        <v>580</v>
      </c>
      <c r="D184" s="509">
        <f>IF(D$15=TMDPeriodValueTypeForecast,IF('Delivery Calculation'!$H$27=TMDAllocationTandM,0,'Delivery Calculation'!M101),IF(MDReportingPeriod=TMDMonthly,D180,IF(MDReportingPeriod=TMDTwoweekly,D179,D178)))</f>
        <v>0</v>
      </c>
      <c r="E184" s="509">
        <f>IF(E$15=TMDPeriodValueTypeForecast,IF('Delivery Calculation'!$H$27=TMDAllocationTandM,0,'Delivery Calculation'!N101),IF(MDReportingPeriod=TMDMonthly,E180,IF(MDReportingPeriod=TMDTwoweekly,E179,E178)))</f>
        <v>0</v>
      </c>
      <c r="F184" s="509">
        <f>IF(F$15=TMDPeriodValueTypeForecast,IF('Delivery Calculation'!$H$27=TMDAllocationTandM,0,'Delivery Calculation'!O101),IF(MDReportingPeriod=TMDMonthly,F180,IF(MDReportingPeriod=TMDTwoweekly,F179,F178)))</f>
        <v>0</v>
      </c>
      <c r="G184" s="509">
        <f>IF(G$15=TMDPeriodValueTypeForecast,IF('Delivery Calculation'!$H$27=TMDAllocationTandM,0,'Delivery Calculation'!P101),IF(MDReportingPeriod=TMDMonthly,G180,IF(MDReportingPeriod=TMDTwoweekly,G179,G178)))</f>
        <v>0</v>
      </c>
      <c r="H184" s="509">
        <f>IF(H$15=TMDPeriodValueTypeForecast,IF('Delivery Calculation'!$H$27=TMDAllocationTandM,0,'Delivery Calculation'!Q101),IF(MDReportingPeriod=TMDMonthly,H180,IF(MDReportingPeriod=TMDTwoweekly,H179,H178)))</f>
        <v>0</v>
      </c>
      <c r="I184" s="509">
        <f>IF(I$15=TMDPeriodValueTypeForecast,IF('Delivery Calculation'!$H$27=TMDAllocationTandM,0,'Delivery Calculation'!R101),IF(MDReportingPeriod=TMDMonthly,I180,IF(MDReportingPeriod=TMDTwoweekly,I179,I178)))</f>
        <v>0</v>
      </c>
      <c r="J184" s="509">
        <f>IF(J$15=TMDPeriodValueTypeForecast,IF('Delivery Calculation'!$H$27=TMDAllocationTandM,0,'Delivery Calculation'!S101),IF(MDReportingPeriod=TMDMonthly,J180,IF(MDReportingPeriod=TMDTwoweekly,J179,J178)))</f>
        <v>0</v>
      </c>
      <c r="K184" s="509">
        <f>IF(K$15=TMDPeriodValueTypeForecast,IF('Delivery Calculation'!$H$27=TMDAllocationTandM,0,'Delivery Calculation'!T101),IF(MDReportingPeriod=TMDMonthly,K180,IF(MDReportingPeriod=TMDTwoweekly,K179,K178)))</f>
        <v>0</v>
      </c>
      <c r="L184" s="509">
        <f>IF(L$15=TMDPeriodValueTypeForecast,IF('Delivery Calculation'!$H$27=TMDAllocationTandM,0,'Delivery Calculation'!U101),IF(MDReportingPeriod=TMDMonthly,L180,IF(MDReportingPeriod=TMDTwoweekly,L179,L178)))</f>
        <v>0</v>
      </c>
      <c r="M184" s="509">
        <f>IF(M$15=TMDPeriodValueTypeForecast,IF('Delivery Calculation'!$H$27=TMDAllocationTandM,0,'Delivery Calculation'!V101),IF(MDReportingPeriod=TMDMonthly,M180,IF(MDReportingPeriod=TMDTwoweekly,M179,M178)))</f>
        <v>0</v>
      </c>
      <c r="N184" s="509">
        <f>IF(N$15=TMDPeriodValueTypeForecast,IF('Delivery Calculation'!$H$27=TMDAllocationTandM,0,'Delivery Calculation'!W101),IF(MDReportingPeriod=TMDMonthly,N180,IF(MDReportingPeriod=TMDTwoweekly,N179,N178)))</f>
        <v>0</v>
      </c>
      <c r="O184" s="509">
        <f>IF(O$15=TMDPeriodValueTypeForecast,IF('Delivery Calculation'!$H$27=TMDAllocationTandM,0,'Delivery Calculation'!X101),IF(MDReportingPeriod=TMDMonthly,O180,IF(MDReportingPeriod=TMDTwoweekly,O179,O178)))</f>
        <v>0</v>
      </c>
      <c r="P184" s="509">
        <f>IF(P$15=TMDPeriodValueTypeForecast,IF('Delivery Calculation'!$H$27=TMDAllocationTandM,0,'Delivery Calculation'!Y101),IF(MDReportingPeriod=TMDMonthly,P180,IF(MDReportingPeriod=TMDTwoweekly,P179,P178)))</f>
        <v>0</v>
      </c>
      <c r="Q184" s="509">
        <f>IF(Q$15=TMDPeriodValueTypeForecast,IF('Delivery Calculation'!$H$27=TMDAllocationTandM,0,'Delivery Calculation'!Z101),IF(MDReportingPeriod=TMDMonthly,Q180,IF(MDReportingPeriod=TMDTwoweekly,Q179,Q178)))</f>
        <v>0</v>
      </c>
      <c r="R184" s="509">
        <f>IF(R$15=TMDPeriodValueTypeForecast,IF('Delivery Calculation'!$H$27=TMDAllocationTandM,0,'Delivery Calculation'!AA101),IF(MDReportingPeriod=TMDMonthly,R180,IF(MDReportingPeriod=TMDTwoweekly,R179,R178)))</f>
        <v>0</v>
      </c>
      <c r="S184" s="509">
        <f>IF(S$15=TMDPeriodValueTypeForecast,IF('Delivery Calculation'!$H$27=TMDAllocationTandM,0,'Delivery Calculation'!AB101),IF(MDReportingPeriod=TMDMonthly,S180,IF(MDReportingPeriod=TMDTwoweekly,S179,S178)))</f>
        <v>0</v>
      </c>
      <c r="T184" s="509">
        <f>IF(T$15=TMDPeriodValueTypeForecast,IF('Delivery Calculation'!$H$27=TMDAllocationTandM,0,'Delivery Calculation'!AC101),IF(MDReportingPeriod=TMDMonthly,T180,IF(MDReportingPeriod=TMDTwoweekly,T179,T178)))</f>
        <v>0</v>
      </c>
      <c r="U184" s="509">
        <f>IF(U$15=TMDPeriodValueTypeForecast,IF('Delivery Calculation'!$H$27=TMDAllocationTandM,0,'Delivery Calculation'!AD101),IF(MDReportingPeriod=TMDMonthly,U180,IF(MDReportingPeriod=TMDTwoweekly,U179,U178)))</f>
        <v>0</v>
      </c>
      <c r="V184" s="509">
        <f>IF(V$15=TMDPeriodValueTypeForecast,IF('Delivery Calculation'!$H$27=TMDAllocationTandM,0,'Delivery Calculation'!AE101),IF(MDReportingPeriod=TMDMonthly,V180,IF(MDReportingPeriod=TMDTwoweekly,V179,V178)))</f>
        <v>0</v>
      </c>
      <c r="W184" s="509">
        <f>IF(W$15=TMDPeriodValueTypeForecast,IF('Delivery Calculation'!$H$27=TMDAllocationTandM,0,'Delivery Calculation'!AF101),IF(MDReportingPeriod=TMDMonthly,W180,IF(MDReportingPeriod=TMDTwoweekly,W179,W178)))</f>
        <v>0</v>
      </c>
      <c r="X184" s="509">
        <f>IF(X$15=TMDPeriodValueTypeForecast,IF('Delivery Calculation'!$H$27=TMDAllocationTandM,0,'Delivery Calculation'!AG101),IF(MDReportingPeriod=TMDMonthly,X180,IF(MDReportingPeriod=TMDTwoweekly,X179,X178)))</f>
        <v>0</v>
      </c>
      <c r="Y184" s="509">
        <f>IF(Y$15=TMDPeriodValueTypeForecast,IF('Delivery Calculation'!$H$27=TMDAllocationTandM,0,'Delivery Calculation'!AH101),IF(MDReportingPeriod=TMDMonthly,Y180,IF(MDReportingPeriod=TMDTwoweekly,Y179,Y178)))</f>
        <v>0</v>
      </c>
      <c r="Z184" s="509">
        <f>IF(Z$15=TMDPeriodValueTypeForecast,IF('Delivery Calculation'!$H$27=TMDAllocationTandM,0,'Delivery Calculation'!AI101),IF(MDReportingPeriod=TMDMonthly,Z180,IF(MDReportingPeriod=TMDTwoweekly,Z179,Z178)))</f>
        <v>0</v>
      </c>
      <c r="AA184" s="509">
        <f>IF(AA$15=TMDPeriodValueTypeForecast,IF('Delivery Calculation'!$H$27=TMDAllocationTandM,0,'Delivery Calculation'!AJ101),IF(MDReportingPeriod=TMDMonthly,AA180,IF(MDReportingPeriod=TMDTwoweekly,AA179,AA178)))</f>
        <v>0</v>
      </c>
      <c r="AB184" s="509">
        <f>IF(AB$15=TMDPeriodValueTypeForecast,IF('Delivery Calculation'!$H$27=TMDAllocationTandM,0,'Delivery Calculation'!AK101),IF(MDReportingPeriod=TMDMonthly,AB180,IF(MDReportingPeriod=TMDTwoweekly,AB179,AB178)))</f>
        <v>0</v>
      </c>
      <c r="AC184" s="509">
        <f>IF(AC$15=TMDPeriodValueTypeForecast,IF('Delivery Calculation'!$H$27=TMDAllocationTandM,0,'Delivery Calculation'!AL101),IF(MDReportingPeriod=TMDMonthly,AC180,IF(MDReportingPeriod=TMDTwoweekly,AC179,AC178)))</f>
        <v>0</v>
      </c>
      <c r="AD184" s="509">
        <f>IF(AD$15=TMDPeriodValueTypeForecast,IF('Delivery Calculation'!$H$27=TMDAllocationTandM,0,'Delivery Calculation'!AM101),IF(MDReportingPeriod=TMDMonthly,AD180,IF(MDReportingPeriod=TMDTwoweekly,AD179,AD178)))</f>
        <v>0</v>
      </c>
      <c r="AE184" s="509">
        <f>IF(AE$15=TMDPeriodValueTypeForecast,IF('Delivery Calculation'!$H$27=TMDAllocationTandM,0,'Delivery Calculation'!AN101),IF(MDReportingPeriod=TMDMonthly,AE180,IF(MDReportingPeriod=TMDTwoweekly,AE179,AE178)))</f>
        <v>0</v>
      </c>
      <c r="AF184" s="509">
        <f>IF(AF$15=TMDPeriodValueTypeForecast,IF('Delivery Calculation'!$H$27=TMDAllocationTandM,0,'Delivery Calculation'!AO101),IF(MDReportingPeriod=TMDMonthly,AF180,IF(MDReportingPeriod=TMDTwoweekly,AF179,AF178)))</f>
        <v>0</v>
      </c>
      <c r="AG184" s="509">
        <f>IF(AG$15=TMDPeriodValueTypeForecast,IF('Delivery Calculation'!$H$27=TMDAllocationTandM,0,'Delivery Calculation'!AP101),IF(MDReportingPeriod=TMDMonthly,AG180,IF(MDReportingPeriod=TMDTwoweekly,AG179,AG178)))</f>
        <v>0</v>
      </c>
      <c r="AH184" s="509">
        <f>IF(AH$15=TMDPeriodValueTypeForecast,IF('Delivery Calculation'!$H$27=TMDAllocationTandM,0,'Delivery Calculation'!AQ101),IF(MDReportingPeriod=TMDMonthly,AH180,IF(MDReportingPeriod=TMDTwoweekly,AH179,AH178)))</f>
        <v>0</v>
      </c>
      <c r="AI184" s="509">
        <f>IF(AI$15=TMDPeriodValueTypeForecast,IF('Delivery Calculation'!$H$27=TMDAllocationTandM,0,'Delivery Calculation'!AR101),IF(MDReportingPeriod=TMDMonthly,AI180,IF(MDReportingPeriod=TMDTwoweekly,AI179,AI178)))</f>
        <v>0</v>
      </c>
      <c r="AJ184" s="509">
        <f>IF(AJ$15=TMDPeriodValueTypeForecast,IF('Delivery Calculation'!$H$27=TMDAllocationTandM,0,'Delivery Calculation'!AS101),IF(MDReportingPeriod=TMDMonthly,AJ180,IF(MDReportingPeriod=TMDTwoweekly,AJ179,AJ178)))</f>
        <v>0</v>
      </c>
      <c r="AK184" s="509">
        <f>IF(AK$15=TMDPeriodValueTypeForecast,IF('Delivery Calculation'!$H$27=TMDAllocationTandM,0,'Delivery Calculation'!AT101),IF(MDReportingPeriod=TMDMonthly,AK180,IF(MDReportingPeriod=TMDTwoweekly,AK179,AK178)))</f>
        <v>0</v>
      </c>
      <c r="AL184" s="509">
        <f>IF(AL$15=TMDPeriodValueTypeForecast,IF('Delivery Calculation'!$H$27=TMDAllocationTandM,0,'Delivery Calculation'!AU101),IF(MDReportingPeriod=TMDMonthly,AL180,IF(MDReportingPeriod=TMDTwoweekly,AL179,AL178)))</f>
        <v>0</v>
      </c>
      <c r="AM184" s="509">
        <f>IF(AM$15=TMDPeriodValueTypeForecast,IF('Delivery Calculation'!$H$27=TMDAllocationTandM,0,'Delivery Calculation'!AV101),IF(MDReportingPeriod=TMDMonthly,AM180,IF(MDReportingPeriod=TMDTwoweekly,AM179,AM178)))</f>
        <v>0</v>
      </c>
      <c r="AN184" s="509">
        <f>IF(AN$15=TMDPeriodValueTypeForecast,IF('Delivery Calculation'!$H$27=TMDAllocationTandM,0,'Delivery Calculation'!AW101),IF(MDReportingPeriod=TMDMonthly,AN180,IF(MDReportingPeriod=TMDTwoweekly,AN179,AN178)))</f>
        <v>0</v>
      </c>
      <c r="AO184" s="509">
        <f>IF(AO$15=TMDPeriodValueTypeForecast,IF('Delivery Calculation'!$H$27=TMDAllocationTandM,0,'Delivery Calculation'!AX101),IF(MDReportingPeriod=TMDMonthly,AO180,IF(MDReportingPeriod=TMDTwoweekly,AO179,AO178)))</f>
        <v>0</v>
      </c>
      <c r="AP184" s="501"/>
      <c r="AQ184" s="505">
        <f>SUMIF($D$15:$AO$15,TMDPeriodValueTypeReported,D184:AO184)</f>
        <v>0</v>
      </c>
      <c r="AR184" s="505">
        <f>SUMIF($D$15:$AO$15,TMDPeriodValueTypeForecast,D184:AO184)</f>
        <v>0</v>
      </c>
      <c r="AS184" s="523">
        <f>'Delivery Calculation'!I27</f>
        <v>0</v>
      </c>
      <c r="AT184" s="505">
        <f>AS184-(AQ184+AR184)</f>
        <v>0</v>
      </c>
      <c r="AU184" s="505"/>
      <c r="AV184" s="510"/>
      <c r="AW184" s="452"/>
    </row>
    <row r="185" spans="1:49">
      <c r="A185" s="1185"/>
      <c r="B185" s="1182"/>
      <c r="C185" s="499" t="s">
        <v>581</v>
      </c>
      <c r="D185" s="509"/>
      <c r="E185" s="509"/>
      <c r="F185" s="509"/>
      <c r="G185" s="509"/>
      <c r="H185" s="509"/>
      <c r="I185" s="509"/>
      <c r="J185" s="509"/>
      <c r="K185" s="509"/>
      <c r="L185" s="509"/>
      <c r="M185" s="509"/>
      <c r="N185" s="509"/>
      <c r="O185" s="509"/>
      <c r="P185" s="509"/>
      <c r="Q185" s="509"/>
      <c r="R185" s="509"/>
      <c r="S185" s="509"/>
      <c r="T185" s="509"/>
      <c r="U185" s="509"/>
      <c r="V185" s="509"/>
      <c r="W185" s="509"/>
      <c r="X185" s="509"/>
      <c r="Y185" s="509"/>
      <c r="Z185" s="509"/>
      <c r="AA185" s="509"/>
      <c r="AB185" s="509"/>
      <c r="AC185" s="509"/>
      <c r="AD185" s="509"/>
      <c r="AE185" s="509"/>
      <c r="AF185" s="509"/>
      <c r="AG185" s="509"/>
      <c r="AH185" s="509"/>
      <c r="AI185" s="509"/>
      <c r="AJ185" s="509"/>
      <c r="AK185" s="509"/>
      <c r="AL185" s="509"/>
      <c r="AM185" s="509"/>
      <c r="AN185" s="509"/>
      <c r="AO185" s="509"/>
      <c r="AP185" s="501"/>
      <c r="AQ185" s="505">
        <f>SUMIF($D$15:$AO$15,TMDPeriodValueTypeReported,D185:AO185)</f>
        <v>0</v>
      </c>
      <c r="AR185" s="505">
        <f>SUMIF($D$15:$AO$15,TMDPeriodValueTypeForecast,D185:AO185)</f>
        <v>0</v>
      </c>
      <c r="AS185" s="505"/>
      <c r="AT185" s="505">
        <f>AQ185+AR185</f>
        <v>0</v>
      </c>
      <c r="AU185" s="505"/>
      <c r="AV185" s="510"/>
      <c r="AW185" s="452"/>
    </row>
    <row r="186" spans="1:49" hidden="1">
      <c r="A186" s="143"/>
      <c r="B186" s="483"/>
      <c r="C186" s="496" t="s">
        <v>1339</v>
      </c>
      <c r="D186" s="516">
        <f t="shared" ref="D186:AO186" si="90">IF(ISERR(GETPIVOTDATA("[Measures].[Hours]",TRIMARANweekly,"[Order].[Position Number]","[Order].[Position Number].&amp;[" &amp; $B193 &amp; "]","[Period].[Week]","[Period].[Week].&amp;[" &amp; YEAR(D$14-7) &amp; TEXT(WEEKNUM(D$14-7),"00") &amp; "]")),0,GETPIVOTDATA("[Measures].[Hours]",TRIMARANweekly,"[Order].[Position Number]","[Order].[Position Number].&amp;[" &amp; $B193 &amp; "]","[Period].[Week]","[Period].[Week].&amp;[" &amp; YEAR(D$14-7) &amp; TEXT(WEEKNUM(D$14-7),"00") &amp; "]"))</f>
        <v>0</v>
      </c>
      <c r="E186" s="516">
        <f t="shared" si="90"/>
        <v>0</v>
      </c>
      <c r="F186" s="516">
        <f t="shared" si="90"/>
        <v>0</v>
      </c>
      <c r="G186" s="516">
        <f t="shared" si="90"/>
        <v>0</v>
      </c>
      <c r="H186" s="516">
        <f t="shared" si="90"/>
        <v>0</v>
      </c>
      <c r="I186" s="516">
        <f t="shared" si="90"/>
        <v>0</v>
      </c>
      <c r="J186" s="516">
        <f t="shared" si="90"/>
        <v>0</v>
      </c>
      <c r="K186" s="516">
        <f t="shared" si="90"/>
        <v>0</v>
      </c>
      <c r="L186" s="516">
        <f t="shared" si="90"/>
        <v>0</v>
      </c>
      <c r="M186" s="516">
        <f t="shared" si="90"/>
        <v>0</v>
      </c>
      <c r="N186" s="516">
        <f t="shared" si="90"/>
        <v>0</v>
      </c>
      <c r="O186" s="516">
        <f t="shared" si="90"/>
        <v>0</v>
      </c>
      <c r="P186" s="516">
        <f t="shared" si="90"/>
        <v>0</v>
      </c>
      <c r="Q186" s="516">
        <f t="shared" si="90"/>
        <v>0</v>
      </c>
      <c r="R186" s="516">
        <f t="shared" si="90"/>
        <v>0</v>
      </c>
      <c r="S186" s="516">
        <f t="shared" si="90"/>
        <v>0</v>
      </c>
      <c r="T186" s="516">
        <f t="shared" si="90"/>
        <v>0</v>
      </c>
      <c r="U186" s="516">
        <f t="shared" si="90"/>
        <v>0</v>
      </c>
      <c r="V186" s="516">
        <f t="shared" si="90"/>
        <v>0</v>
      </c>
      <c r="W186" s="516">
        <f t="shared" si="90"/>
        <v>0</v>
      </c>
      <c r="X186" s="516">
        <f t="shared" si="90"/>
        <v>0</v>
      </c>
      <c r="Y186" s="516">
        <f t="shared" si="90"/>
        <v>0</v>
      </c>
      <c r="Z186" s="516">
        <f t="shared" si="90"/>
        <v>0</v>
      </c>
      <c r="AA186" s="516">
        <f t="shared" si="90"/>
        <v>0</v>
      </c>
      <c r="AB186" s="516">
        <f t="shared" si="90"/>
        <v>0</v>
      </c>
      <c r="AC186" s="516">
        <f t="shared" si="90"/>
        <v>0</v>
      </c>
      <c r="AD186" s="516">
        <f t="shared" si="90"/>
        <v>0</v>
      </c>
      <c r="AE186" s="516">
        <f t="shared" si="90"/>
        <v>0</v>
      </c>
      <c r="AF186" s="516">
        <f t="shared" si="90"/>
        <v>0</v>
      </c>
      <c r="AG186" s="516">
        <f t="shared" si="90"/>
        <v>0</v>
      </c>
      <c r="AH186" s="516">
        <f t="shared" si="90"/>
        <v>0</v>
      </c>
      <c r="AI186" s="516">
        <f t="shared" si="90"/>
        <v>0</v>
      </c>
      <c r="AJ186" s="516">
        <f t="shared" si="90"/>
        <v>0</v>
      </c>
      <c r="AK186" s="516">
        <f t="shared" si="90"/>
        <v>0</v>
      </c>
      <c r="AL186" s="516">
        <f t="shared" si="90"/>
        <v>0</v>
      </c>
      <c r="AM186" s="516">
        <f t="shared" si="90"/>
        <v>0</v>
      </c>
      <c r="AN186" s="516">
        <f t="shared" si="90"/>
        <v>0</v>
      </c>
      <c r="AO186" s="516">
        <f t="shared" si="90"/>
        <v>0</v>
      </c>
      <c r="AP186" s="501"/>
      <c r="AQ186" s="505"/>
      <c r="AR186" s="505"/>
      <c r="AS186" s="505"/>
      <c r="AT186" s="505"/>
      <c r="AU186" s="505"/>
      <c r="AV186" s="510"/>
      <c r="AW186" s="452"/>
    </row>
    <row r="187" spans="1:49" hidden="1">
      <c r="A187" s="143"/>
      <c r="B187" s="483"/>
      <c r="C187" s="496" t="s">
        <v>1340</v>
      </c>
      <c r="D187" s="516">
        <f t="shared" ref="D187:AO187" si="91">IF(ISERR(GETPIVOTDATA("[Measures].[Hours]",TRIMARANweekly,"[Order].[Position Number]","[Order].[Position Number].&amp;[" &amp; $B193 &amp; "]","[Period].[Week]","[Period].[Week].&amp;[" &amp; YEAR(D$14-14) &amp; TEXT(WEEKNUM(D$14-14),"00") &amp; "]")),0,GETPIVOTDATA("[Measures].[Hours]",TRIMARANweekly,"[Order].[Position Number]","[Order].[Position Number].&amp;[" &amp; $B193 &amp; "]","[Period].[Week]","[Period].[Week].&amp;[" &amp; YEAR(D$14-14) &amp; TEXT(WEEKNUM(D$14-14),"00") &amp; "]"))+D186</f>
        <v>0</v>
      </c>
      <c r="E187" s="516">
        <f t="shared" si="91"/>
        <v>0</v>
      </c>
      <c r="F187" s="516">
        <f t="shared" si="91"/>
        <v>0</v>
      </c>
      <c r="G187" s="516">
        <f t="shared" si="91"/>
        <v>0</v>
      </c>
      <c r="H187" s="516">
        <f t="shared" si="91"/>
        <v>0</v>
      </c>
      <c r="I187" s="516">
        <f t="shared" si="91"/>
        <v>0</v>
      </c>
      <c r="J187" s="516">
        <f t="shared" si="91"/>
        <v>0</v>
      </c>
      <c r="K187" s="516">
        <f t="shared" si="91"/>
        <v>0</v>
      </c>
      <c r="L187" s="516">
        <f t="shared" si="91"/>
        <v>0</v>
      </c>
      <c r="M187" s="516">
        <f t="shared" si="91"/>
        <v>0</v>
      </c>
      <c r="N187" s="516">
        <f t="shared" si="91"/>
        <v>0</v>
      </c>
      <c r="O187" s="516">
        <f t="shared" si="91"/>
        <v>0</v>
      </c>
      <c r="P187" s="516">
        <f t="shared" si="91"/>
        <v>0</v>
      </c>
      <c r="Q187" s="516">
        <f t="shared" si="91"/>
        <v>0</v>
      </c>
      <c r="R187" s="516">
        <f t="shared" si="91"/>
        <v>0</v>
      </c>
      <c r="S187" s="516">
        <f t="shared" si="91"/>
        <v>0</v>
      </c>
      <c r="T187" s="516">
        <f t="shared" si="91"/>
        <v>0</v>
      </c>
      <c r="U187" s="516">
        <f t="shared" si="91"/>
        <v>0</v>
      </c>
      <c r="V187" s="516">
        <f t="shared" si="91"/>
        <v>0</v>
      </c>
      <c r="W187" s="516">
        <f t="shared" si="91"/>
        <v>0</v>
      </c>
      <c r="X187" s="516">
        <f t="shared" si="91"/>
        <v>0</v>
      </c>
      <c r="Y187" s="516">
        <f t="shared" si="91"/>
        <v>0</v>
      </c>
      <c r="Z187" s="516">
        <f t="shared" si="91"/>
        <v>0</v>
      </c>
      <c r="AA187" s="516">
        <f t="shared" si="91"/>
        <v>0</v>
      </c>
      <c r="AB187" s="516">
        <f t="shared" si="91"/>
        <v>0</v>
      </c>
      <c r="AC187" s="516">
        <f t="shared" si="91"/>
        <v>0</v>
      </c>
      <c r="AD187" s="516">
        <f t="shared" si="91"/>
        <v>0</v>
      </c>
      <c r="AE187" s="516">
        <f t="shared" si="91"/>
        <v>0</v>
      </c>
      <c r="AF187" s="516">
        <f t="shared" si="91"/>
        <v>0</v>
      </c>
      <c r="AG187" s="516">
        <f t="shared" si="91"/>
        <v>0</v>
      </c>
      <c r="AH187" s="516">
        <f t="shared" si="91"/>
        <v>0</v>
      </c>
      <c r="AI187" s="516">
        <f t="shared" si="91"/>
        <v>0</v>
      </c>
      <c r="AJ187" s="516">
        <f t="shared" si="91"/>
        <v>0</v>
      </c>
      <c r="AK187" s="516">
        <f t="shared" si="91"/>
        <v>0</v>
      </c>
      <c r="AL187" s="516">
        <f t="shared" si="91"/>
        <v>0</v>
      </c>
      <c r="AM187" s="516">
        <f t="shared" si="91"/>
        <v>0</v>
      </c>
      <c r="AN187" s="516">
        <f t="shared" si="91"/>
        <v>0</v>
      </c>
      <c r="AO187" s="516">
        <f t="shared" si="91"/>
        <v>0</v>
      </c>
      <c r="AP187" s="501"/>
      <c r="AQ187" s="505"/>
      <c r="AR187" s="505"/>
      <c r="AS187" s="505"/>
      <c r="AT187" s="505"/>
      <c r="AU187" s="505"/>
      <c r="AV187" s="510"/>
      <c r="AW187" s="452"/>
    </row>
    <row r="188" spans="1:49" hidden="1">
      <c r="A188" s="143"/>
      <c r="B188" s="483"/>
      <c r="C188" s="496" t="s">
        <v>1341</v>
      </c>
      <c r="D188" s="516">
        <f t="shared" ref="D188:AO188" si="92">IF(ISERR(GETPIVOTDATA("[Measures].[Hours]",TRIMARANmonthly,"[Period].[Month]","[Period].[Month].&amp;["&amp;IF(MONTH(D$14)=1,YEAR(D$14)-1&amp;TEXT(12,"00"),YEAR(D$14)&amp;TEXT(MONTH(D$14)-1,"00"))&amp;"]","[Order].[Position Number]","[Order].[Position Number].&amp;["&amp;$B193&amp;"]")),0,GETPIVOTDATA("[Measures].[Hours]",TRIMARANmonthly,"[Period].[Month]","[Period].[Month].&amp;["&amp;IF(MONTH(D$14)=1,YEAR(D$14)-1&amp;TEXT(12,"00"),YEAR(D$14)&amp;TEXT(MONTH(D$14)-1,"00"))&amp;"]","[Order].[Position Number]","[Order].[Position Number].&amp;["&amp;$B193&amp;"]"))</f>
        <v>0</v>
      </c>
      <c r="E188" s="516">
        <f t="shared" si="92"/>
        <v>0</v>
      </c>
      <c r="F188" s="516">
        <f t="shared" si="92"/>
        <v>0</v>
      </c>
      <c r="G188" s="516">
        <f t="shared" si="92"/>
        <v>0</v>
      </c>
      <c r="H188" s="516">
        <f t="shared" si="92"/>
        <v>0</v>
      </c>
      <c r="I188" s="516">
        <f t="shared" si="92"/>
        <v>0</v>
      </c>
      <c r="J188" s="516">
        <f t="shared" si="92"/>
        <v>0</v>
      </c>
      <c r="K188" s="516">
        <f t="shared" si="92"/>
        <v>0</v>
      </c>
      <c r="L188" s="516">
        <f t="shared" si="92"/>
        <v>0</v>
      </c>
      <c r="M188" s="516">
        <f t="shared" si="92"/>
        <v>0</v>
      </c>
      <c r="N188" s="516">
        <f t="shared" si="92"/>
        <v>0</v>
      </c>
      <c r="O188" s="516">
        <f t="shared" si="92"/>
        <v>0</v>
      </c>
      <c r="P188" s="516">
        <f t="shared" si="92"/>
        <v>0</v>
      </c>
      <c r="Q188" s="516">
        <f t="shared" si="92"/>
        <v>0</v>
      </c>
      <c r="R188" s="516">
        <f t="shared" si="92"/>
        <v>0</v>
      </c>
      <c r="S188" s="516">
        <f t="shared" si="92"/>
        <v>0</v>
      </c>
      <c r="T188" s="516">
        <f t="shared" si="92"/>
        <v>0</v>
      </c>
      <c r="U188" s="516">
        <f t="shared" si="92"/>
        <v>0</v>
      </c>
      <c r="V188" s="516">
        <f t="shared" si="92"/>
        <v>0</v>
      </c>
      <c r="W188" s="516">
        <f t="shared" si="92"/>
        <v>0</v>
      </c>
      <c r="X188" s="516">
        <f t="shared" si="92"/>
        <v>0</v>
      </c>
      <c r="Y188" s="516">
        <f t="shared" si="92"/>
        <v>0</v>
      </c>
      <c r="Z188" s="516">
        <f t="shared" si="92"/>
        <v>0</v>
      </c>
      <c r="AA188" s="516">
        <f t="shared" si="92"/>
        <v>0</v>
      </c>
      <c r="AB188" s="516">
        <f t="shared" si="92"/>
        <v>0</v>
      </c>
      <c r="AC188" s="516">
        <f t="shared" si="92"/>
        <v>0</v>
      </c>
      <c r="AD188" s="516">
        <f t="shared" si="92"/>
        <v>0</v>
      </c>
      <c r="AE188" s="516">
        <f t="shared" si="92"/>
        <v>0</v>
      </c>
      <c r="AF188" s="516">
        <f t="shared" si="92"/>
        <v>0</v>
      </c>
      <c r="AG188" s="516">
        <f t="shared" si="92"/>
        <v>0</v>
      </c>
      <c r="AH188" s="516">
        <f t="shared" si="92"/>
        <v>0</v>
      </c>
      <c r="AI188" s="516">
        <f t="shared" si="92"/>
        <v>0</v>
      </c>
      <c r="AJ188" s="516">
        <f t="shared" si="92"/>
        <v>0</v>
      </c>
      <c r="AK188" s="516">
        <f t="shared" si="92"/>
        <v>0</v>
      </c>
      <c r="AL188" s="516">
        <f t="shared" si="92"/>
        <v>0</v>
      </c>
      <c r="AM188" s="516">
        <f t="shared" si="92"/>
        <v>0</v>
      </c>
      <c r="AN188" s="516">
        <f t="shared" si="92"/>
        <v>0</v>
      </c>
      <c r="AO188" s="516">
        <f t="shared" si="92"/>
        <v>0</v>
      </c>
      <c r="AP188" s="501"/>
      <c r="AQ188" s="505"/>
      <c r="AR188" s="505"/>
      <c r="AS188" s="505"/>
      <c r="AT188" s="505"/>
      <c r="AU188" s="505"/>
      <c r="AV188" s="510"/>
      <c r="AW188" s="452"/>
    </row>
    <row r="189" spans="1:49" hidden="1">
      <c r="A189" s="143"/>
      <c r="B189" s="483"/>
      <c r="C189" s="496" t="s">
        <v>1339</v>
      </c>
      <c r="D189" s="516">
        <f t="shared" ref="D189:AO189" si="93">IF(ISERR(GETPIVOTDATA("[Measures].[" &amp; MDContractCurrency &amp; "]",TRIMARANweekly,"[Order].[Position Number]","[Order].[Position Number].&amp;[" &amp; $B193 &amp; "]","[Period].[Week]","[Period].[Week].&amp;[" &amp; YEAR(D$14-7) &amp; TEXT(WEEKNUM(D$14-7),"00") &amp; "]")),0,GETPIVOTDATA("[Measures].[" &amp; MDContractCurrency &amp; "]",TRIMARANweekly,"[Order].[Position Number]","[Order].[Position Number].&amp;[" &amp; $B193 &amp; "]","[Period].[Week]","[Period].[Week].&amp;[" &amp; YEAR(D$14-7) &amp; TEXT(WEEKNUM(D$14-7),"00") &amp; "]"))</f>
        <v>0</v>
      </c>
      <c r="E189" s="516">
        <f t="shared" si="93"/>
        <v>0</v>
      </c>
      <c r="F189" s="516">
        <f t="shared" si="93"/>
        <v>0</v>
      </c>
      <c r="G189" s="516">
        <f t="shared" si="93"/>
        <v>0</v>
      </c>
      <c r="H189" s="516">
        <f t="shared" si="93"/>
        <v>0</v>
      </c>
      <c r="I189" s="516">
        <f t="shared" si="93"/>
        <v>0</v>
      </c>
      <c r="J189" s="516">
        <f t="shared" si="93"/>
        <v>0</v>
      </c>
      <c r="K189" s="516">
        <f t="shared" si="93"/>
        <v>0</v>
      </c>
      <c r="L189" s="516">
        <f t="shared" si="93"/>
        <v>0</v>
      </c>
      <c r="M189" s="516">
        <f t="shared" si="93"/>
        <v>0</v>
      </c>
      <c r="N189" s="516">
        <f t="shared" si="93"/>
        <v>0</v>
      </c>
      <c r="O189" s="516">
        <f t="shared" si="93"/>
        <v>0</v>
      </c>
      <c r="P189" s="516">
        <f t="shared" si="93"/>
        <v>0</v>
      </c>
      <c r="Q189" s="516">
        <f t="shared" si="93"/>
        <v>0</v>
      </c>
      <c r="R189" s="516">
        <f t="shared" si="93"/>
        <v>0</v>
      </c>
      <c r="S189" s="516">
        <f t="shared" si="93"/>
        <v>0</v>
      </c>
      <c r="T189" s="516">
        <f t="shared" si="93"/>
        <v>0</v>
      </c>
      <c r="U189" s="516">
        <f t="shared" si="93"/>
        <v>0</v>
      </c>
      <c r="V189" s="516">
        <f t="shared" si="93"/>
        <v>0</v>
      </c>
      <c r="W189" s="516">
        <f t="shared" si="93"/>
        <v>0</v>
      </c>
      <c r="X189" s="516">
        <f t="shared" si="93"/>
        <v>0</v>
      </c>
      <c r="Y189" s="516">
        <f t="shared" si="93"/>
        <v>0</v>
      </c>
      <c r="Z189" s="516">
        <f t="shared" si="93"/>
        <v>0</v>
      </c>
      <c r="AA189" s="516">
        <f t="shared" si="93"/>
        <v>0</v>
      </c>
      <c r="AB189" s="516">
        <f t="shared" si="93"/>
        <v>0</v>
      </c>
      <c r="AC189" s="516">
        <f t="shared" si="93"/>
        <v>0</v>
      </c>
      <c r="AD189" s="516">
        <f t="shared" si="93"/>
        <v>0</v>
      </c>
      <c r="AE189" s="516">
        <f t="shared" si="93"/>
        <v>0</v>
      </c>
      <c r="AF189" s="516">
        <f t="shared" si="93"/>
        <v>0</v>
      </c>
      <c r="AG189" s="516">
        <f t="shared" si="93"/>
        <v>0</v>
      </c>
      <c r="AH189" s="516">
        <f t="shared" si="93"/>
        <v>0</v>
      </c>
      <c r="AI189" s="516">
        <f t="shared" si="93"/>
        <v>0</v>
      </c>
      <c r="AJ189" s="516">
        <f t="shared" si="93"/>
        <v>0</v>
      </c>
      <c r="AK189" s="516">
        <f t="shared" si="93"/>
        <v>0</v>
      </c>
      <c r="AL189" s="516">
        <f t="shared" si="93"/>
        <v>0</v>
      </c>
      <c r="AM189" s="516">
        <f t="shared" si="93"/>
        <v>0</v>
      </c>
      <c r="AN189" s="516">
        <f t="shared" si="93"/>
        <v>0</v>
      </c>
      <c r="AO189" s="516">
        <f t="shared" si="93"/>
        <v>0</v>
      </c>
      <c r="AP189" s="501"/>
      <c r="AQ189" s="505"/>
      <c r="AR189" s="505"/>
      <c r="AS189" s="505"/>
      <c r="AT189" s="505"/>
      <c r="AU189" s="505"/>
      <c r="AV189" s="510"/>
      <c r="AW189" s="452"/>
    </row>
    <row r="190" spans="1:49" hidden="1">
      <c r="A190" s="143"/>
      <c r="B190" s="483"/>
      <c r="C190" s="496" t="s">
        <v>1340</v>
      </c>
      <c r="D190" s="516">
        <f t="shared" ref="D190:AO190" si="94">IF(ISERR(GETPIVOTDATA("[Measures].[" &amp; MDContractCurrency &amp; "]",TRIMARANweekly,"[Order].[Position Number]","[Order].[Position Number].&amp;[" &amp; $B193 &amp; "]","[Period].[Week]","[Period].[Week].&amp;[" &amp; YEAR(D$14-14) &amp; TEXT(WEEKNUM(D$14-14),"00") &amp; "]")),0,GETPIVOTDATA("[Measures].[" &amp; MDContractCurrency &amp; "]",TRIMARANweekly,"[Order].[Position Number]","[Order].[Position Number].&amp;[" &amp; $B193 &amp; "]","[Period].[Week]","[Period].[Week].&amp;[" &amp; YEAR(D$14-14) &amp; TEXT(WEEKNUM(D$14-14),"00") &amp; "]"))+D189</f>
        <v>0</v>
      </c>
      <c r="E190" s="516">
        <f t="shared" si="94"/>
        <v>0</v>
      </c>
      <c r="F190" s="516">
        <f t="shared" si="94"/>
        <v>0</v>
      </c>
      <c r="G190" s="516">
        <f t="shared" si="94"/>
        <v>0</v>
      </c>
      <c r="H190" s="516">
        <f t="shared" si="94"/>
        <v>0</v>
      </c>
      <c r="I190" s="516">
        <f t="shared" si="94"/>
        <v>0</v>
      </c>
      <c r="J190" s="516">
        <f t="shared" si="94"/>
        <v>0</v>
      </c>
      <c r="K190" s="516">
        <f t="shared" si="94"/>
        <v>0</v>
      </c>
      <c r="L190" s="516">
        <f t="shared" si="94"/>
        <v>0</v>
      </c>
      <c r="M190" s="516">
        <f t="shared" si="94"/>
        <v>0</v>
      </c>
      <c r="N190" s="516">
        <f t="shared" si="94"/>
        <v>0</v>
      </c>
      <c r="O190" s="516">
        <f t="shared" si="94"/>
        <v>0</v>
      </c>
      <c r="P190" s="516">
        <f t="shared" si="94"/>
        <v>0</v>
      </c>
      <c r="Q190" s="516">
        <f t="shared" si="94"/>
        <v>0</v>
      </c>
      <c r="R190" s="516">
        <f t="shared" si="94"/>
        <v>0</v>
      </c>
      <c r="S190" s="516">
        <f t="shared" si="94"/>
        <v>0</v>
      </c>
      <c r="T190" s="516">
        <f t="shared" si="94"/>
        <v>0</v>
      </c>
      <c r="U190" s="516">
        <f t="shared" si="94"/>
        <v>0</v>
      </c>
      <c r="V190" s="516">
        <f t="shared" si="94"/>
        <v>0</v>
      </c>
      <c r="W190" s="516">
        <f t="shared" si="94"/>
        <v>0</v>
      </c>
      <c r="X190" s="516">
        <f t="shared" si="94"/>
        <v>0</v>
      </c>
      <c r="Y190" s="516">
        <f t="shared" si="94"/>
        <v>0</v>
      </c>
      <c r="Z190" s="516">
        <f t="shared" si="94"/>
        <v>0</v>
      </c>
      <c r="AA190" s="516">
        <f t="shared" si="94"/>
        <v>0</v>
      </c>
      <c r="AB190" s="516">
        <f t="shared" si="94"/>
        <v>0</v>
      </c>
      <c r="AC190" s="516">
        <f t="shared" si="94"/>
        <v>0</v>
      </c>
      <c r="AD190" s="516">
        <f t="shared" si="94"/>
        <v>0</v>
      </c>
      <c r="AE190" s="516">
        <f t="shared" si="94"/>
        <v>0</v>
      </c>
      <c r="AF190" s="516">
        <f t="shared" si="94"/>
        <v>0</v>
      </c>
      <c r="AG190" s="516">
        <f t="shared" si="94"/>
        <v>0</v>
      </c>
      <c r="AH190" s="516">
        <f t="shared" si="94"/>
        <v>0</v>
      </c>
      <c r="AI190" s="516">
        <f t="shared" si="94"/>
        <v>0</v>
      </c>
      <c r="AJ190" s="516">
        <f t="shared" si="94"/>
        <v>0</v>
      </c>
      <c r="AK190" s="516">
        <f t="shared" si="94"/>
        <v>0</v>
      </c>
      <c r="AL190" s="516">
        <f t="shared" si="94"/>
        <v>0</v>
      </c>
      <c r="AM190" s="516">
        <f t="shared" si="94"/>
        <v>0</v>
      </c>
      <c r="AN190" s="516">
        <f t="shared" si="94"/>
        <v>0</v>
      </c>
      <c r="AO190" s="516">
        <f t="shared" si="94"/>
        <v>0</v>
      </c>
      <c r="AP190" s="501"/>
      <c r="AQ190" s="505"/>
      <c r="AR190" s="505"/>
      <c r="AS190" s="505"/>
      <c r="AT190" s="505"/>
      <c r="AU190" s="505"/>
      <c r="AV190" s="510"/>
      <c r="AW190" s="452"/>
    </row>
    <row r="191" spans="1:49" hidden="1">
      <c r="A191" s="141"/>
      <c r="B191" s="517"/>
      <c r="C191" s="496" t="s">
        <v>1341</v>
      </c>
      <c r="D191" s="516">
        <f t="shared" ref="D191:AO191" si="95">IF(ISERR(GETPIVOTDATA("[Measures].[" &amp; MDContractCurrency &amp; "]",TRIMARANmonthly,"[Period].[Month]","[Period].[Month].&amp;["&amp;IF(MONTH(D$14)=1,YEAR(D$14)-1&amp;TEXT(12,"00"),YEAR(D$14)&amp;TEXT(MONTH(D$14)-1,"00"))&amp;"]","[Order].[Position Number]","[Order].[Position Number].&amp;["&amp;$B193&amp;"]")),0,GETPIVOTDATA("[Measures].[" &amp; MDContractCurrency &amp; "]",TRIMARANmonthly,"[Period].[Month]","[Period].[Month].&amp;["&amp;IF(MONTH(D$14)=1,YEAR(D$14)-1&amp;TEXT(12,"00"),YEAR(D$14)&amp;TEXT(MONTH(D$14)-1,"00"))&amp;"]","[Order].[Position Number]","[Order].[Position Number].&amp;["&amp;$B193&amp;"]"))</f>
        <v>0</v>
      </c>
      <c r="E191" s="516">
        <f t="shared" si="95"/>
        <v>0</v>
      </c>
      <c r="F191" s="516">
        <f t="shared" si="95"/>
        <v>0</v>
      </c>
      <c r="G191" s="516">
        <f t="shared" si="95"/>
        <v>0</v>
      </c>
      <c r="H191" s="516">
        <f t="shared" si="95"/>
        <v>0</v>
      </c>
      <c r="I191" s="516">
        <f t="shared" si="95"/>
        <v>0</v>
      </c>
      <c r="J191" s="516">
        <f t="shared" si="95"/>
        <v>0</v>
      </c>
      <c r="K191" s="516">
        <f t="shared" si="95"/>
        <v>0</v>
      </c>
      <c r="L191" s="516">
        <f t="shared" si="95"/>
        <v>0</v>
      </c>
      <c r="M191" s="516">
        <f t="shared" si="95"/>
        <v>0</v>
      </c>
      <c r="N191" s="516">
        <f t="shared" si="95"/>
        <v>0</v>
      </c>
      <c r="O191" s="516">
        <f t="shared" si="95"/>
        <v>0</v>
      </c>
      <c r="P191" s="516">
        <f t="shared" si="95"/>
        <v>0</v>
      </c>
      <c r="Q191" s="516">
        <f t="shared" si="95"/>
        <v>0</v>
      </c>
      <c r="R191" s="516">
        <f t="shared" si="95"/>
        <v>0</v>
      </c>
      <c r="S191" s="516">
        <f t="shared" si="95"/>
        <v>0</v>
      </c>
      <c r="T191" s="516">
        <f t="shared" si="95"/>
        <v>0</v>
      </c>
      <c r="U191" s="516">
        <f t="shared" si="95"/>
        <v>0</v>
      </c>
      <c r="V191" s="516">
        <f t="shared" si="95"/>
        <v>0</v>
      </c>
      <c r="W191" s="516">
        <f t="shared" si="95"/>
        <v>0</v>
      </c>
      <c r="X191" s="516">
        <f t="shared" si="95"/>
        <v>0</v>
      </c>
      <c r="Y191" s="516">
        <f t="shared" si="95"/>
        <v>0</v>
      </c>
      <c r="Z191" s="516">
        <f t="shared" si="95"/>
        <v>0</v>
      </c>
      <c r="AA191" s="516">
        <f t="shared" si="95"/>
        <v>0</v>
      </c>
      <c r="AB191" s="516">
        <f t="shared" si="95"/>
        <v>0</v>
      </c>
      <c r="AC191" s="516">
        <f t="shared" si="95"/>
        <v>0</v>
      </c>
      <c r="AD191" s="516">
        <f t="shared" si="95"/>
        <v>0</v>
      </c>
      <c r="AE191" s="516">
        <f t="shared" si="95"/>
        <v>0</v>
      </c>
      <c r="AF191" s="516">
        <f t="shared" si="95"/>
        <v>0</v>
      </c>
      <c r="AG191" s="516">
        <f t="shared" si="95"/>
        <v>0</v>
      </c>
      <c r="AH191" s="516">
        <f t="shared" si="95"/>
        <v>0</v>
      </c>
      <c r="AI191" s="516">
        <f t="shared" si="95"/>
        <v>0</v>
      </c>
      <c r="AJ191" s="516">
        <f t="shared" si="95"/>
        <v>0</v>
      </c>
      <c r="AK191" s="516">
        <f t="shared" si="95"/>
        <v>0</v>
      </c>
      <c r="AL191" s="516">
        <f t="shared" si="95"/>
        <v>0</v>
      </c>
      <c r="AM191" s="516">
        <f t="shared" si="95"/>
        <v>0</v>
      </c>
      <c r="AN191" s="516">
        <f t="shared" si="95"/>
        <v>0</v>
      </c>
      <c r="AO191" s="516">
        <f t="shared" si="95"/>
        <v>0</v>
      </c>
      <c r="AP191" s="501"/>
      <c r="AQ191" s="505"/>
      <c r="AR191" s="505"/>
      <c r="AS191" s="505"/>
      <c r="AT191" s="505"/>
      <c r="AU191" s="505"/>
      <c r="AV191" s="510"/>
      <c r="AW191" s="452"/>
    </row>
    <row r="192" spans="1:49">
      <c r="A192" s="477"/>
      <c r="B192" s="483"/>
      <c r="C192" s="496"/>
      <c r="D192" s="496"/>
      <c r="E192" s="496"/>
      <c r="F192" s="496"/>
      <c r="G192" s="496"/>
      <c r="H192" s="496"/>
      <c r="I192" s="496"/>
      <c r="J192" s="496"/>
      <c r="K192" s="496"/>
      <c r="L192" s="496"/>
      <c r="M192" s="496"/>
      <c r="N192" s="496"/>
      <c r="O192" s="496"/>
      <c r="P192" s="496"/>
      <c r="Q192" s="496"/>
      <c r="R192" s="496"/>
      <c r="S192" s="496"/>
      <c r="T192" s="496"/>
      <c r="U192" s="496"/>
      <c r="V192" s="496"/>
      <c r="W192" s="496"/>
      <c r="X192" s="496"/>
      <c r="Y192" s="496"/>
      <c r="Z192" s="496"/>
      <c r="AA192" s="496"/>
      <c r="AB192" s="496"/>
      <c r="AC192" s="496"/>
      <c r="AD192" s="496"/>
      <c r="AE192" s="496"/>
      <c r="AF192" s="496"/>
      <c r="AG192" s="496"/>
      <c r="AH192" s="496"/>
      <c r="AI192" s="496"/>
      <c r="AJ192" s="496"/>
      <c r="AK192" s="496"/>
      <c r="AL192" s="496"/>
      <c r="AM192" s="496"/>
      <c r="AN192" s="496"/>
      <c r="AO192" s="496"/>
      <c r="AP192" s="496"/>
      <c r="AQ192" s="505"/>
      <c r="AR192" s="505"/>
      <c r="AS192" s="505"/>
      <c r="AT192" s="505"/>
      <c r="AU192" s="505"/>
      <c r="AV192" s="510"/>
      <c r="AW192" s="452"/>
    </row>
    <row r="193" spans="1:49">
      <c r="A193" s="1183" t="str">
        <f>'Delivery Calculation'!B28 &amp; CHAR(10) &amp; 'Delivery Calculation'!P28 &amp; " - " &amp; 'Delivery Calculation'!Q28</f>
        <v xml:space="preserve">0
 - </v>
      </c>
      <c r="B193" s="1180">
        <f>'Delivery Calculation'!A28</f>
        <v>0</v>
      </c>
      <c r="C193" s="499" t="s">
        <v>582</v>
      </c>
      <c r="D193" s="518">
        <f>'Delivery Calculation'!M209</f>
        <v>0</v>
      </c>
      <c r="E193" s="518">
        <f>'Delivery Calculation'!N209</f>
        <v>0</v>
      </c>
      <c r="F193" s="518">
        <f>'Delivery Calculation'!O209</f>
        <v>0</v>
      </c>
      <c r="G193" s="518">
        <f>'Delivery Calculation'!P209</f>
        <v>0</v>
      </c>
      <c r="H193" s="518">
        <f>'Delivery Calculation'!Q209</f>
        <v>0</v>
      </c>
      <c r="I193" s="518">
        <f>'Delivery Calculation'!R209</f>
        <v>0</v>
      </c>
      <c r="J193" s="518">
        <f>'Delivery Calculation'!S209</f>
        <v>0</v>
      </c>
      <c r="K193" s="518">
        <f>'Delivery Calculation'!T209</f>
        <v>0</v>
      </c>
      <c r="L193" s="518">
        <f>'Delivery Calculation'!U209</f>
        <v>0</v>
      </c>
      <c r="M193" s="518">
        <f>'Delivery Calculation'!V209</f>
        <v>0</v>
      </c>
      <c r="N193" s="518">
        <f>'Delivery Calculation'!W209</f>
        <v>0</v>
      </c>
      <c r="O193" s="518">
        <f>'Delivery Calculation'!X209</f>
        <v>0</v>
      </c>
      <c r="P193" s="518">
        <f>'Delivery Calculation'!Y209</f>
        <v>0</v>
      </c>
      <c r="Q193" s="518">
        <f>'Delivery Calculation'!Z209</f>
        <v>0</v>
      </c>
      <c r="R193" s="518">
        <f>'Delivery Calculation'!AA209</f>
        <v>0</v>
      </c>
      <c r="S193" s="518">
        <f>'Delivery Calculation'!AB209</f>
        <v>0</v>
      </c>
      <c r="T193" s="518">
        <f>'Delivery Calculation'!AC209</f>
        <v>0</v>
      </c>
      <c r="U193" s="518">
        <f>'Delivery Calculation'!AD209</f>
        <v>0</v>
      </c>
      <c r="V193" s="518">
        <f>'Delivery Calculation'!AE209</f>
        <v>0</v>
      </c>
      <c r="W193" s="518">
        <f>'Delivery Calculation'!AF209</f>
        <v>0</v>
      </c>
      <c r="X193" s="518">
        <f>'Delivery Calculation'!AG209</f>
        <v>0</v>
      </c>
      <c r="Y193" s="518">
        <f>'Delivery Calculation'!AH209</f>
        <v>0</v>
      </c>
      <c r="Z193" s="518">
        <f>'Delivery Calculation'!AI209</f>
        <v>0</v>
      </c>
      <c r="AA193" s="518">
        <f>'Delivery Calculation'!AJ209</f>
        <v>0</v>
      </c>
      <c r="AB193" s="518">
        <f>'Delivery Calculation'!AK209</f>
        <v>0</v>
      </c>
      <c r="AC193" s="518">
        <f>'Delivery Calculation'!AL209</f>
        <v>0</v>
      </c>
      <c r="AD193" s="518">
        <f>'Delivery Calculation'!AM209</f>
        <v>0</v>
      </c>
      <c r="AE193" s="518">
        <f>'Delivery Calculation'!AN209</f>
        <v>0</v>
      </c>
      <c r="AF193" s="518">
        <f>'Delivery Calculation'!AO209</f>
        <v>0</v>
      </c>
      <c r="AG193" s="518">
        <f>'Delivery Calculation'!AP209</f>
        <v>0</v>
      </c>
      <c r="AH193" s="518">
        <f>'Delivery Calculation'!AQ209</f>
        <v>0</v>
      </c>
      <c r="AI193" s="518">
        <f>'Delivery Calculation'!AR209</f>
        <v>0</v>
      </c>
      <c r="AJ193" s="518">
        <f>'Delivery Calculation'!AS209</f>
        <v>0</v>
      </c>
      <c r="AK193" s="518">
        <f>'Delivery Calculation'!AT209</f>
        <v>0</v>
      </c>
      <c r="AL193" s="518">
        <f>'Delivery Calculation'!AU209</f>
        <v>0</v>
      </c>
      <c r="AM193" s="518">
        <f>'Delivery Calculation'!AV209</f>
        <v>0</v>
      </c>
      <c r="AN193" s="518">
        <f>'Delivery Calculation'!AW209</f>
        <v>0</v>
      </c>
      <c r="AO193" s="518">
        <f>'Delivery Calculation'!AX209</f>
        <v>0</v>
      </c>
      <c r="AP193" s="501"/>
      <c r="AQ193" s="519">
        <f>IF(COUNTIF($D$15:$AO$15, TMDPeriodValueTypeReported)&gt;0, INDEX(D193:AO193,1,COUNTIF(D$15:$AO$15,TMDPeriodValueTypeReported)),0)</f>
        <v>0</v>
      </c>
      <c r="AR193" s="519"/>
      <c r="AS193" s="520">
        <f>'Delivery Calculation'!N28</f>
        <v>0</v>
      </c>
      <c r="AT193" s="519">
        <f>AQ193*'Delivery Calculation'!N28</f>
        <v>0</v>
      </c>
      <c r="AU193" s="521" t="s">
        <v>522</v>
      </c>
      <c r="AV193" s="510"/>
      <c r="AW193" s="452"/>
    </row>
    <row r="194" spans="1:49">
      <c r="A194" s="1184"/>
      <c r="B194" s="1181"/>
      <c r="C194" s="499" t="s">
        <v>583</v>
      </c>
      <c r="D194" s="509">
        <f>IF(D$15=TMDPeriodValueTypeForecast,IF('Delivery Calculation'!$H$28=TMDAllocationTandM,0,'Delivery Calculation'!M138),IF(MDReportingPeriod=TMDMonthly,D188,IF(MDReportingPeriod=TMDTwoweekly,D187,D186)))</f>
        <v>0</v>
      </c>
      <c r="E194" s="509">
        <f>IF(E$15=TMDPeriodValueTypeForecast,IF('Delivery Calculation'!$H$28=TMDAllocationTandM,0,'Delivery Calculation'!N138),IF(MDReportingPeriod=TMDMonthly,E188,IF(MDReportingPeriod=TMDTwoweekly,E187,E186)))</f>
        <v>0</v>
      </c>
      <c r="F194" s="509">
        <f>IF(F$15=TMDPeriodValueTypeForecast,IF('Delivery Calculation'!$H$28=TMDAllocationTandM,0,'Delivery Calculation'!O138),IF(MDReportingPeriod=TMDMonthly,F188,IF(MDReportingPeriod=TMDTwoweekly,F187,F186)))</f>
        <v>0</v>
      </c>
      <c r="G194" s="509">
        <f>IF(G$15=TMDPeriodValueTypeForecast,IF('Delivery Calculation'!$H$28=TMDAllocationTandM,0,'Delivery Calculation'!P138),IF(MDReportingPeriod=TMDMonthly,G188,IF(MDReportingPeriod=TMDTwoweekly,G187,G186)))</f>
        <v>0</v>
      </c>
      <c r="H194" s="509">
        <f>IF(H$15=TMDPeriodValueTypeForecast,IF('Delivery Calculation'!$H$28=TMDAllocationTandM,0,'Delivery Calculation'!Q138),IF(MDReportingPeriod=TMDMonthly,H188,IF(MDReportingPeriod=TMDTwoweekly,H187,H186)))</f>
        <v>0</v>
      </c>
      <c r="I194" s="509">
        <f>IF(I$15=TMDPeriodValueTypeForecast,IF('Delivery Calculation'!$H$28=TMDAllocationTandM,0,'Delivery Calculation'!R138),IF(MDReportingPeriod=TMDMonthly,I188,IF(MDReportingPeriod=TMDTwoweekly,I187,I186)))</f>
        <v>0</v>
      </c>
      <c r="J194" s="509">
        <f>IF(J$15=TMDPeriodValueTypeForecast,IF('Delivery Calculation'!$H$28=TMDAllocationTandM,0,'Delivery Calculation'!S138),IF(MDReportingPeriod=TMDMonthly,J188,IF(MDReportingPeriod=TMDTwoweekly,J187,J186)))</f>
        <v>0</v>
      </c>
      <c r="K194" s="509">
        <f>IF(K$15=TMDPeriodValueTypeForecast,IF('Delivery Calculation'!$H$28=TMDAllocationTandM,0,'Delivery Calculation'!T138),IF(MDReportingPeriod=TMDMonthly,K188,IF(MDReportingPeriod=TMDTwoweekly,K187,K186)))</f>
        <v>0</v>
      </c>
      <c r="L194" s="509">
        <f>IF(L$15=TMDPeriodValueTypeForecast,IF('Delivery Calculation'!$H$28=TMDAllocationTandM,0,'Delivery Calculation'!U138),IF(MDReportingPeriod=TMDMonthly,L188,IF(MDReportingPeriod=TMDTwoweekly,L187,L186)))</f>
        <v>0</v>
      </c>
      <c r="M194" s="509">
        <f>IF(M$15=TMDPeriodValueTypeForecast,IF('Delivery Calculation'!$H$28=TMDAllocationTandM,0,'Delivery Calculation'!V138),IF(MDReportingPeriod=TMDMonthly,M188,IF(MDReportingPeriod=TMDTwoweekly,M187,M186)))</f>
        <v>0</v>
      </c>
      <c r="N194" s="509">
        <f>IF(N$15=TMDPeriodValueTypeForecast,IF('Delivery Calculation'!$H$28=TMDAllocationTandM,0,'Delivery Calculation'!W138),IF(MDReportingPeriod=TMDMonthly,N188,IF(MDReportingPeriod=TMDTwoweekly,N187,N186)))</f>
        <v>0</v>
      </c>
      <c r="O194" s="509">
        <f>IF(O$15=TMDPeriodValueTypeForecast,IF('Delivery Calculation'!$H$28=TMDAllocationTandM,0,'Delivery Calculation'!X138),IF(MDReportingPeriod=TMDMonthly,O188,IF(MDReportingPeriod=TMDTwoweekly,O187,O186)))</f>
        <v>0</v>
      </c>
      <c r="P194" s="509">
        <f>IF(P$15=TMDPeriodValueTypeForecast,IF('Delivery Calculation'!$H$28=TMDAllocationTandM,0,'Delivery Calculation'!Y138),IF(MDReportingPeriod=TMDMonthly,P188,IF(MDReportingPeriod=TMDTwoweekly,P187,P186)))</f>
        <v>0</v>
      </c>
      <c r="Q194" s="509">
        <f>IF(Q$15=TMDPeriodValueTypeForecast,IF('Delivery Calculation'!$H$28=TMDAllocationTandM,0,'Delivery Calculation'!Z138),IF(MDReportingPeriod=TMDMonthly,Q188,IF(MDReportingPeriod=TMDTwoweekly,Q187,Q186)))</f>
        <v>0</v>
      </c>
      <c r="R194" s="509">
        <f>IF(R$15=TMDPeriodValueTypeForecast,IF('Delivery Calculation'!$H$28=TMDAllocationTandM,0,'Delivery Calculation'!AA138),IF(MDReportingPeriod=TMDMonthly,R188,IF(MDReportingPeriod=TMDTwoweekly,R187,R186)))</f>
        <v>0</v>
      </c>
      <c r="S194" s="509">
        <f>IF(S$15=TMDPeriodValueTypeForecast,IF('Delivery Calculation'!$H$28=TMDAllocationTandM,0,'Delivery Calculation'!AB138),IF(MDReportingPeriod=TMDMonthly,S188,IF(MDReportingPeriod=TMDTwoweekly,S187,S186)))</f>
        <v>0</v>
      </c>
      <c r="T194" s="509">
        <f>IF(T$15=TMDPeriodValueTypeForecast,IF('Delivery Calculation'!$H$28=TMDAllocationTandM,0,'Delivery Calculation'!AC138),IF(MDReportingPeriod=TMDMonthly,T188,IF(MDReportingPeriod=TMDTwoweekly,T187,T186)))</f>
        <v>0</v>
      </c>
      <c r="U194" s="509">
        <f>IF(U$15=TMDPeriodValueTypeForecast,IF('Delivery Calculation'!$H$28=TMDAllocationTandM,0,'Delivery Calculation'!AD138),IF(MDReportingPeriod=TMDMonthly,U188,IF(MDReportingPeriod=TMDTwoweekly,U187,U186)))</f>
        <v>0</v>
      </c>
      <c r="V194" s="509">
        <f>IF(V$15=TMDPeriodValueTypeForecast,IF('Delivery Calculation'!$H$28=TMDAllocationTandM,0,'Delivery Calculation'!AE138),IF(MDReportingPeriod=TMDMonthly,V188,IF(MDReportingPeriod=TMDTwoweekly,V187,V186)))</f>
        <v>0</v>
      </c>
      <c r="W194" s="509">
        <f>IF(W$15=TMDPeriodValueTypeForecast,IF('Delivery Calculation'!$H$28=TMDAllocationTandM,0,'Delivery Calculation'!AF138),IF(MDReportingPeriod=TMDMonthly,W188,IF(MDReportingPeriod=TMDTwoweekly,W187,W186)))</f>
        <v>0</v>
      </c>
      <c r="X194" s="509">
        <f>IF(X$15=TMDPeriodValueTypeForecast,IF('Delivery Calculation'!$H$28=TMDAllocationTandM,0,'Delivery Calculation'!AG138),IF(MDReportingPeriod=TMDMonthly,X188,IF(MDReportingPeriod=TMDTwoweekly,X187,X186)))</f>
        <v>0</v>
      </c>
      <c r="Y194" s="509">
        <f>IF(Y$15=TMDPeriodValueTypeForecast,IF('Delivery Calculation'!$H$28=TMDAllocationTandM,0,'Delivery Calculation'!AH138),IF(MDReportingPeriod=TMDMonthly,Y188,IF(MDReportingPeriod=TMDTwoweekly,Y187,Y186)))</f>
        <v>0</v>
      </c>
      <c r="Z194" s="509">
        <f>IF(Z$15=TMDPeriodValueTypeForecast,IF('Delivery Calculation'!$H$28=TMDAllocationTandM,0,'Delivery Calculation'!AI138),IF(MDReportingPeriod=TMDMonthly,Z188,IF(MDReportingPeriod=TMDTwoweekly,Z187,Z186)))</f>
        <v>0</v>
      </c>
      <c r="AA194" s="509">
        <f>IF(AA$15=TMDPeriodValueTypeForecast,IF('Delivery Calculation'!$H$28=TMDAllocationTandM,0,'Delivery Calculation'!AJ138),IF(MDReportingPeriod=TMDMonthly,AA188,IF(MDReportingPeriod=TMDTwoweekly,AA187,AA186)))</f>
        <v>0</v>
      </c>
      <c r="AB194" s="509">
        <f>IF(AB$15=TMDPeriodValueTypeForecast,IF('Delivery Calculation'!$H$28=TMDAllocationTandM,0,'Delivery Calculation'!AK138),IF(MDReportingPeriod=TMDMonthly,AB188,IF(MDReportingPeriod=TMDTwoweekly,AB187,AB186)))</f>
        <v>0</v>
      </c>
      <c r="AC194" s="509">
        <f>IF(AC$15=TMDPeriodValueTypeForecast,IF('Delivery Calculation'!$H$28=TMDAllocationTandM,0,'Delivery Calculation'!AL138),IF(MDReportingPeriod=TMDMonthly,AC188,IF(MDReportingPeriod=TMDTwoweekly,AC187,AC186)))</f>
        <v>0</v>
      </c>
      <c r="AD194" s="509">
        <f>IF(AD$15=TMDPeriodValueTypeForecast,IF('Delivery Calculation'!$H$28=TMDAllocationTandM,0,'Delivery Calculation'!AM138),IF(MDReportingPeriod=TMDMonthly,AD188,IF(MDReportingPeriod=TMDTwoweekly,AD187,AD186)))</f>
        <v>0</v>
      </c>
      <c r="AE194" s="509">
        <f>IF(AE$15=TMDPeriodValueTypeForecast,IF('Delivery Calculation'!$H$28=TMDAllocationTandM,0,'Delivery Calculation'!AN138),IF(MDReportingPeriod=TMDMonthly,AE188,IF(MDReportingPeriod=TMDTwoweekly,AE187,AE186)))</f>
        <v>0</v>
      </c>
      <c r="AF194" s="509">
        <f>IF(AF$15=TMDPeriodValueTypeForecast,IF('Delivery Calculation'!$H$28=TMDAllocationTandM,0,'Delivery Calculation'!AO138),IF(MDReportingPeriod=TMDMonthly,AF188,IF(MDReportingPeriod=TMDTwoweekly,AF187,AF186)))</f>
        <v>0</v>
      </c>
      <c r="AG194" s="509">
        <f>IF(AG$15=TMDPeriodValueTypeForecast,IF('Delivery Calculation'!$H$28=TMDAllocationTandM,0,'Delivery Calculation'!AP138),IF(MDReportingPeriod=TMDMonthly,AG188,IF(MDReportingPeriod=TMDTwoweekly,AG187,AG186)))</f>
        <v>0</v>
      </c>
      <c r="AH194" s="509">
        <f>IF(AH$15=TMDPeriodValueTypeForecast,IF('Delivery Calculation'!$H$28=TMDAllocationTandM,0,'Delivery Calculation'!AQ138),IF(MDReportingPeriod=TMDMonthly,AH188,IF(MDReportingPeriod=TMDTwoweekly,AH187,AH186)))</f>
        <v>0</v>
      </c>
      <c r="AI194" s="509">
        <f>IF(AI$15=TMDPeriodValueTypeForecast,IF('Delivery Calculation'!$H$28=TMDAllocationTandM,0,'Delivery Calculation'!AR138),IF(MDReportingPeriod=TMDMonthly,AI188,IF(MDReportingPeriod=TMDTwoweekly,AI187,AI186)))</f>
        <v>0</v>
      </c>
      <c r="AJ194" s="509">
        <f>IF(AJ$15=TMDPeriodValueTypeForecast,IF('Delivery Calculation'!$H$28=TMDAllocationTandM,0,'Delivery Calculation'!AS138),IF(MDReportingPeriod=TMDMonthly,AJ188,IF(MDReportingPeriod=TMDTwoweekly,AJ187,AJ186)))</f>
        <v>0</v>
      </c>
      <c r="AK194" s="509">
        <f>IF(AK$15=TMDPeriodValueTypeForecast,IF('Delivery Calculation'!$H$28=TMDAllocationTandM,0,'Delivery Calculation'!AT138),IF(MDReportingPeriod=TMDMonthly,AK188,IF(MDReportingPeriod=TMDTwoweekly,AK187,AK186)))</f>
        <v>0</v>
      </c>
      <c r="AL194" s="509">
        <f>IF(AL$15=TMDPeriodValueTypeForecast,IF('Delivery Calculation'!$H$28=TMDAllocationTandM,0,'Delivery Calculation'!AU138),IF(MDReportingPeriod=TMDMonthly,AL188,IF(MDReportingPeriod=TMDTwoweekly,AL187,AL186)))</f>
        <v>0</v>
      </c>
      <c r="AM194" s="509">
        <f>IF(AM$15=TMDPeriodValueTypeForecast,IF('Delivery Calculation'!$H$28=TMDAllocationTandM,0,'Delivery Calculation'!AV138),IF(MDReportingPeriod=TMDMonthly,AM188,IF(MDReportingPeriod=TMDTwoweekly,AM187,AM186)))</f>
        <v>0</v>
      </c>
      <c r="AN194" s="509">
        <f>IF(AN$15=TMDPeriodValueTypeForecast,IF('Delivery Calculation'!$H$28=TMDAllocationTandM,0,'Delivery Calculation'!AW138),IF(MDReportingPeriod=TMDMonthly,AN188,IF(MDReportingPeriod=TMDTwoweekly,AN187,AN186)))</f>
        <v>0</v>
      </c>
      <c r="AO194" s="509">
        <f>IF(AO$15=TMDPeriodValueTypeForecast,IF('Delivery Calculation'!$H$28=TMDAllocationTandM,0,'Delivery Calculation'!AX138),IF(MDReportingPeriod=TMDMonthly,AO188,IF(MDReportingPeriod=TMDTwoweekly,AO187,AO186)))</f>
        <v>0</v>
      </c>
      <c r="AP194" s="501"/>
      <c r="AQ194" s="505">
        <f>SUMIF($D$15:$AO$15,TMDPeriodValueTypeReported,D194:AO194)</f>
        <v>0</v>
      </c>
      <c r="AR194" s="505">
        <f>SUMIF($D$15:$AO$15,TMDPeriodValueTypeForecast,D194:AO194)</f>
        <v>0</v>
      </c>
      <c r="AS194" s="523">
        <f>'Delivery Calculation'!J28</f>
        <v>0</v>
      </c>
      <c r="AT194" s="505">
        <f>AS194-(AQ194+AR194)</f>
        <v>0</v>
      </c>
      <c r="AU194" s="505"/>
      <c r="AV194" s="510"/>
      <c r="AW194" s="452"/>
    </row>
    <row r="195" spans="1:49">
      <c r="A195" s="1184"/>
      <c r="B195" s="1181"/>
      <c r="C195" s="499" t="s">
        <v>584</v>
      </c>
      <c r="D195" s="509">
        <f>IF(D$15=TMDPeriodValueTypeForecast,IF('Delivery Calculation'!$H$28=TMDAllocationTandM,0,'Delivery Calculation'!M102),IF(MDReportingPeriod=TMDMonthly,D191,IF(MDReportingPeriod=TMDTwoweekly,D190,D189)))</f>
        <v>0</v>
      </c>
      <c r="E195" s="509">
        <f>IF(E$15=TMDPeriodValueTypeForecast,IF('Delivery Calculation'!$H$28=TMDAllocationTandM,0,'Delivery Calculation'!N102),IF(MDReportingPeriod=TMDMonthly,E191,IF(MDReportingPeriod=TMDTwoweekly,E190,E189)))</f>
        <v>0</v>
      </c>
      <c r="F195" s="509">
        <f>IF(F$15=TMDPeriodValueTypeForecast,IF('Delivery Calculation'!$H$28=TMDAllocationTandM,0,'Delivery Calculation'!O102),IF(MDReportingPeriod=TMDMonthly,F191,IF(MDReportingPeriod=TMDTwoweekly,F190,F189)))</f>
        <v>0</v>
      </c>
      <c r="G195" s="509">
        <f>IF(G$15=TMDPeriodValueTypeForecast,IF('Delivery Calculation'!$H$28=TMDAllocationTandM,0,'Delivery Calculation'!P102),IF(MDReportingPeriod=TMDMonthly,G191,IF(MDReportingPeriod=TMDTwoweekly,G190,G189)))</f>
        <v>0</v>
      </c>
      <c r="H195" s="509">
        <f>IF(H$15=TMDPeriodValueTypeForecast,IF('Delivery Calculation'!$H$28=TMDAllocationTandM,0,'Delivery Calculation'!Q102),IF(MDReportingPeriod=TMDMonthly,H191,IF(MDReportingPeriod=TMDTwoweekly,H190,H189)))</f>
        <v>0</v>
      </c>
      <c r="I195" s="509">
        <f>IF(I$15=TMDPeriodValueTypeForecast,IF('Delivery Calculation'!$H$28=TMDAllocationTandM,0,'Delivery Calculation'!R102),IF(MDReportingPeriod=TMDMonthly,I191,IF(MDReportingPeriod=TMDTwoweekly,I190,I189)))</f>
        <v>0</v>
      </c>
      <c r="J195" s="509">
        <f>IF(J$15=TMDPeriodValueTypeForecast,IF('Delivery Calculation'!$H$28=TMDAllocationTandM,0,'Delivery Calculation'!S102),IF(MDReportingPeriod=TMDMonthly,J191,IF(MDReportingPeriod=TMDTwoweekly,J190,J189)))</f>
        <v>0</v>
      </c>
      <c r="K195" s="509">
        <f>IF(K$15=TMDPeriodValueTypeForecast,IF('Delivery Calculation'!$H$28=TMDAllocationTandM,0,'Delivery Calculation'!T102),IF(MDReportingPeriod=TMDMonthly,K191,IF(MDReportingPeriod=TMDTwoweekly,K190,K189)))</f>
        <v>0</v>
      </c>
      <c r="L195" s="509">
        <f>IF(L$15=TMDPeriodValueTypeForecast,IF('Delivery Calculation'!$H$28=TMDAllocationTandM,0,'Delivery Calculation'!U102),IF(MDReportingPeriod=TMDMonthly,L191,IF(MDReportingPeriod=TMDTwoweekly,L190,L189)))</f>
        <v>0</v>
      </c>
      <c r="M195" s="509">
        <f>IF(M$15=TMDPeriodValueTypeForecast,IF('Delivery Calculation'!$H$28=TMDAllocationTandM,0,'Delivery Calculation'!V102),IF(MDReportingPeriod=TMDMonthly,M191,IF(MDReportingPeriod=TMDTwoweekly,M190,M189)))</f>
        <v>0</v>
      </c>
      <c r="N195" s="509">
        <f>IF(N$15=TMDPeriodValueTypeForecast,IF('Delivery Calculation'!$H$28=TMDAllocationTandM,0,'Delivery Calculation'!W102),IF(MDReportingPeriod=TMDMonthly,N191,IF(MDReportingPeriod=TMDTwoweekly,N190,N189)))</f>
        <v>0</v>
      </c>
      <c r="O195" s="509">
        <f>IF(O$15=TMDPeriodValueTypeForecast,IF('Delivery Calculation'!$H$28=TMDAllocationTandM,0,'Delivery Calculation'!X102),IF(MDReportingPeriod=TMDMonthly,O191,IF(MDReportingPeriod=TMDTwoweekly,O190,O189)))</f>
        <v>0</v>
      </c>
      <c r="P195" s="509">
        <f>IF(P$15=TMDPeriodValueTypeForecast,IF('Delivery Calculation'!$H$28=TMDAllocationTandM,0,'Delivery Calculation'!Y102),IF(MDReportingPeriod=TMDMonthly,P191,IF(MDReportingPeriod=TMDTwoweekly,P190,P189)))</f>
        <v>0</v>
      </c>
      <c r="Q195" s="509">
        <f>IF(Q$15=TMDPeriodValueTypeForecast,IF('Delivery Calculation'!$H$28=TMDAllocationTandM,0,'Delivery Calculation'!Z102),IF(MDReportingPeriod=TMDMonthly,Q191,IF(MDReportingPeriod=TMDTwoweekly,Q190,Q189)))</f>
        <v>0</v>
      </c>
      <c r="R195" s="509">
        <f>IF(R$15=TMDPeriodValueTypeForecast,IF('Delivery Calculation'!$H$28=TMDAllocationTandM,0,'Delivery Calculation'!AA102),IF(MDReportingPeriod=TMDMonthly,R191,IF(MDReportingPeriod=TMDTwoweekly,R190,R189)))</f>
        <v>0</v>
      </c>
      <c r="S195" s="509">
        <f>IF(S$15=TMDPeriodValueTypeForecast,IF('Delivery Calculation'!$H$28=TMDAllocationTandM,0,'Delivery Calculation'!AB102),IF(MDReportingPeriod=TMDMonthly,S191,IF(MDReportingPeriod=TMDTwoweekly,S190,S189)))</f>
        <v>0</v>
      </c>
      <c r="T195" s="509">
        <f>IF(T$15=TMDPeriodValueTypeForecast,IF('Delivery Calculation'!$H$28=TMDAllocationTandM,0,'Delivery Calculation'!AC102),IF(MDReportingPeriod=TMDMonthly,T191,IF(MDReportingPeriod=TMDTwoweekly,T190,T189)))</f>
        <v>0</v>
      </c>
      <c r="U195" s="509">
        <f>IF(U$15=TMDPeriodValueTypeForecast,IF('Delivery Calculation'!$H$28=TMDAllocationTandM,0,'Delivery Calculation'!AD102),IF(MDReportingPeriod=TMDMonthly,U191,IF(MDReportingPeriod=TMDTwoweekly,U190,U189)))</f>
        <v>0</v>
      </c>
      <c r="V195" s="509">
        <f>IF(V$15=TMDPeriodValueTypeForecast,IF('Delivery Calculation'!$H$28=TMDAllocationTandM,0,'Delivery Calculation'!AE102),IF(MDReportingPeriod=TMDMonthly,V191,IF(MDReportingPeriod=TMDTwoweekly,V190,V189)))</f>
        <v>0</v>
      </c>
      <c r="W195" s="509">
        <f>IF(W$15=TMDPeriodValueTypeForecast,IF('Delivery Calculation'!$H$28=TMDAllocationTandM,0,'Delivery Calculation'!AF102),IF(MDReportingPeriod=TMDMonthly,W191,IF(MDReportingPeriod=TMDTwoweekly,W190,W189)))</f>
        <v>0</v>
      </c>
      <c r="X195" s="509">
        <f>IF(X$15=TMDPeriodValueTypeForecast,IF('Delivery Calculation'!$H$28=TMDAllocationTandM,0,'Delivery Calculation'!AG102),IF(MDReportingPeriod=TMDMonthly,X191,IF(MDReportingPeriod=TMDTwoweekly,X190,X189)))</f>
        <v>0</v>
      </c>
      <c r="Y195" s="509">
        <f>IF(Y$15=TMDPeriodValueTypeForecast,IF('Delivery Calculation'!$H$28=TMDAllocationTandM,0,'Delivery Calculation'!AH102),IF(MDReportingPeriod=TMDMonthly,Y191,IF(MDReportingPeriod=TMDTwoweekly,Y190,Y189)))</f>
        <v>0</v>
      </c>
      <c r="Z195" s="509">
        <f>IF(Z$15=TMDPeriodValueTypeForecast,IF('Delivery Calculation'!$H$28=TMDAllocationTandM,0,'Delivery Calculation'!AI102),IF(MDReportingPeriod=TMDMonthly,Z191,IF(MDReportingPeriod=TMDTwoweekly,Z190,Z189)))</f>
        <v>0</v>
      </c>
      <c r="AA195" s="509">
        <f>IF(AA$15=TMDPeriodValueTypeForecast,IF('Delivery Calculation'!$H$28=TMDAllocationTandM,0,'Delivery Calculation'!AJ102),IF(MDReportingPeriod=TMDMonthly,AA191,IF(MDReportingPeriod=TMDTwoweekly,AA190,AA189)))</f>
        <v>0</v>
      </c>
      <c r="AB195" s="509">
        <f>IF(AB$15=TMDPeriodValueTypeForecast,IF('Delivery Calculation'!$H$28=TMDAllocationTandM,0,'Delivery Calculation'!AK102),IF(MDReportingPeriod=TMDMonthly,AB191,IF(MDReportingPeriod=TMDTwoweekly,AB190,AB189)))</f>
        <v>0</v>
      </c>
      <c r="AC195" s="509">
        <f>IF(AC$15=TMDPeriodValueTypeForecast,IF('Delivery Calculation'!$H$28=TMDAllocationTandM,0,'Delivery Calculation'!AL102),IF(MDReportingPeriod=TMDMonthly,AC191,IF(MDReportingPeriod=TMDTwoweekly,AC190,AC189)))</f>
        <v>0</v>
      </c>
      <c r="AD195" s="509">
        <f>IF(AD$15=TMDPeriodValueTypeForecast,IF('Delivery Calculation'!$H$28=TMDAllocationTandM,0,'Delivery Calculation'!AM102),IF(MDReportingPeriod=TMDMonthly,AD191,IF(MDReportingPeriod=TMDTwoweekly,AD190,AD189)))</f>
        <v>0</v>
      </c>
      <c r="AE195" s="509">
        <f>IF(AE$15=TMDPeriodValueTypeForecast,IF('Delivery Calculation'!$H$28=TMDAllocationTandM,0,'Delivery Calculation'!AN102),IF(MDReportingPeriod=TMDMonthly,AE191,IF(MDReportingPeriod=TMDTwoweekly,AE190,AE189)))</f>
        <v>0</v>
      </c>
      <c r="AF195" s="509">
        <f>IF(AF$15=TMDPeriodValueTypeForecast,IF('Delivery Calculation'!$H$28=TMDAllocationTandM,0,'Delivery Calculation'!AO102),IF(MDReportingPeriod=TMDMonthly,AF191,IF(MDReportingPeriod=TMDTwoweekly,AF190,AF189)))</f>
        <v>0</v>
      </c>
      <c r="AG195" s="509">
        <f>IF(AG$15=TMDPeriodValueTypeForecast,IF('Delivery Calculation'!$H$28=TMDAllocationTandM,0,'Delivery Calculation'!AP102),IF(MDReportingPeriod=TMDMonthly,AG191,IF(MDReportingPeriod=TMDTwoweekly,AG190,AG189)))</f>
        <v>0</v>
      </c>
      <c r="AH195" s="509">
        <f>IF(AH$15=TMDPeriodValueTypeForecast,IF('Delivery Calculation'!$H$28=TMDAllocationTandM,0,'Delivery Calculation'!AQ102),IF(MDReportingPeriod=TMDMonthly,AH191,IF(MDReportingPeriod=TMDTwoweekly,AH190,AH189)))</f>
        <v>0</v>
      </c>
      <c r="AI195" s="509">
        <f>IF(AI$15=TMDPeriodValueTypeForecast,IF('Delivery Calculation'!$H$28=TMDAllocationTandM,0,'Delivery Calculation'!AR102),IF(MDReportingPeriod=TMDMonthly,AI191,IF(MDReportingPeriod=TMDTwoweekly,AI190,AI189)))</f>
        <v>0</v>
      </c>
      <c r="AJ195" s="509">
        <f>IF(AJ$15=TMDPeriodValueTypeForecast,IF('Delivery Calculation'!$H$28=TMDAllocationTandM,0,'Delivery Calculation'!AS102),IF(MDReportingPeriod=TMDMonthly,AJ191,IF(MDReportingPeriod=TMDTwoweekly,AJ190,AJ189)))</f>
        <v>0</v>
      </c>
      <c r="AK195" s="509">
        <f>IF(AK$15=TMDPeriodValueTypeForecast,IF('Delivery Calculation'!$H$28=TMDAllocationTandM,0,'Delivery Calculation'!AT102),IF(MDReportingPeriod=TMDMonthly,AK191,IF(MDReportingPeriod=TMDTwoweekly,AK190,AK189)))</f>
        <v>0</v>
      </c>
      <c r="AL195" s="509">
        <f>IF(AL$15=TMDPeriodValueTypeForecast,IF('Delivery Calculation'!$H$28=TMDAllocationTandM,0,'Delivery Calculation'!AU102),IF(MDReportingPeriod=TMDMonthly,AL191,IF(MDReportingPeriod=TMDTwoweekly,AL190,AL189)))</f>
        <v>0</v>
      </c>
      <c r="AM195" s="509">
        <f>IF(AM$15=TMDPeriodValueTypeForecast,IF('Delivery Calculation'!$H$28=TMDAllocationTandM,0,'Delivery Calculation'!AV102),IF(MDReportingPeriod=TMDMonthly,AM191,IF(MDReportingPeriod=TMDTwoweekly,AM190,AM189)))</f>
        <v>0</v>
      </c>
      <c r="AN195" s="509">
        <f>IF(AN$15=TMDPeriodValueTypeForecast,IF('Delivery Calculation'!$H$28=TMDAllocationTandM,0,'Delivery Calculation'!AW102),IF(MDReportingPeriod=TMDMonthly,AN191,IF(MDReportingPeriod=TMDTwoweekly,AN190,AN189)))</f>
        <v>0</v>
      </c>
      <c r="AO195" s="509">
        <f>IF(AO$15=TMDPeriodValueTypeForecast,IF('Delivery Calculation'!$H$28=TMDAllocationTandM,0,'Delivery Calculation'!AX102),IF(MDReportingPeriod=TMDMonthly,AO191,IF(MDReportingPeriod=TMDTwoweekly,AO190,AO189)))</f>
        <v>0</v>
      </c>
      <c r="AP195" s="501"/>
      <c r="AQ195" s="505">
        <f>SUMIF($D$15:$AO$15,TMDPeriodValueTypeReported,D195:AO195)</f>
        <v>0</v>
      </c>
      <c r="AR195" s="505">
        <f>SUMIF($D$15:$AO$15,TMDPeriodValueTypeForecast,D195:AO195)</f>
        <v>0</v>
      </c>
      <c r="AS195" s="523">
        <f>'Delivery Calculation'!I28</f>
        <v>0</v>
      </c>
      <c r="AT195" s="505">
        <f>AS195-(AQ195+AR195)</f>
        <v>0</v>
      </c>
      <c r="AU195" s="505"/>
      <c r="AV195" s="510"/>
      <c r="AW195" s="452"/>
    </row>
    <row r="196" spans="1:49">
      <c r="A196" s="1185"/>
      <c r="B196" s="1182"/>
      <c r="C196" s="499" t="s">
        <v>585</v>
      </c>
      <c r="D196" s="509"/>
      <c r="E196" s="509"/>
      <c r="F196" s="509"/>
      <c r="G196" s="509"/>
      <c r="H196" s="509"/>
      <c r="I196" s="509"/>
      <c r="J196" s="509"/>
      <c r="K196" s="509"/>
      <c r="L196" s="509"/>
      <c r="M196" s="509"/>
      <c r="N196" s="509"/>
      <c r="O196" s="509"/>
      <c r="P196" s="509"/>
      <c r="Q196" s="509"/>
      <c r="R196" s="509"/>
      <c r="S196" s="509"/>
      <c r="T196" s="509"/>
      <c r="U196" s="509"/>
      <c r="V196" s="509"/>
      <c r="W196" s="509"/>
      <c r="X196" s="509"/>
      <c r="Y196" s="509"/>
      <c r="Z196" s="509"/>
      <c r="AA196" s="509"/>
      <c r="AB196" s="509"/>
      <c r="AC196" s="509"/>
      <c r="AD196" s="509"/>
      <c r="AE196" s="509"/>
      <c r="AF196" s="509"/>
      <c r="AG196" s="509"/>
      <c r="AH196" s="509"/>
      <c r="AI196" s="509"/>
      <c r="AJ196" s="509"/>
      <c r="AK196" s="509"/>
      <c r="AL196" s="509"/>
      <c r="AM196" s="509"/>
      <c r="AN196" s="509"/>
      <c r="AO196" s="509"/>
      <c r="AP196" s="501"/>
      <c r="AQ196" s="505">
        <f>SUMIF($D$15:$AO$15,TMDPeriodValueTypeReported,D196:AO196)</f>
        <v>0</v>
      </c>
      <c r="AR196" s="505">
        <f>SUMIF($D$15:$AO$15,TMDPeriodValueTypeForecast,D196:AO196)</f>
        <v>0</v>
      </c>
      <c r="AS196" s="505"/>
      <c r="AT196" s="505">
        <f>AQ196+AR196</f>
        <v>0</v>
      </c>
      <c r="AU196" s="505"/>
      <c r="AV196" s="510"/>
      <c r="AW196" s="452"/>
    </row>
    <row r="197" spans="1:49" hidden="1">
      <c r="A197" s="143"/>
      <c r="B197" s="483"/>
      <c r="C197" s="496" t="s">
        <v>1339</v>
      </c>
      <c r="D197" s="516">
        <f t="shared" ref="D197:AO197" si="96">IF(ISERR(GETPIVOTDATA("[Measures].[Hours]",TRIMARANweekly,"[Order].[Position Number]","[Order].[Position Number].&amp;[" &amp; $B204 &amp; "]","[Period].[Week]","[Period].[Week].&amp;[" &amp; YEAR(D$14-7) &amp; TEXT(WEEKNUM(D$14-7),"00") &amp; "]")),0,GETPIVOTDATA("[Measures].[Hours]",TRIMARANweekly,"[Order].[Position Number]","[Order].[Position Number].&amp;[" &amp; $B204 &amp; "]","[Period].[Week]","[Period].[Week].&amp;[" &amp; YEAR(D$14-7) &amp; TEXT(WEEKNUM(D$14-7),"00") &amp; "]"))</f>
        <v>0</v>
      </c>
      <c r="E197" s="516">
        <f t="shared" si="96"/>
        <v>0</v>
      </c>
      <c r="F197" s="516">
        <f t="shared" si="96"/>
        <v>0</v>
      </c>
      <c r="G197" s="516">
        <f t="shared" si="96"/>
        <v>0</v>
      </c>
      <c r="H197" s="516">
        <f t="shared" si="96"/>
        <v>0</v>
      </c>
      <c r="I197" s="516">
        <f t="shared" si="96"/>
        <v>0</v>
      </c>
      <c r="J197" s="516">
        <f t="shared" si="96"/>
        <v>0</v>
      </c>
      <c r="K197" s="516">
        <f t="shared" si="96"/>
        <v>0</v>
      </c>
      <c r="L197" s="516">
        <f t="shared" si="96"/>
        <v>0</v>
      </c>
      <c r="M197" s="516">
        <f t="shared" si="96"/>
        <v>0</v>
      </c>
      <c r="N197" s="516">
        <f t="shared" si="96"/>
        <v>0</v>
      </c>
      <c r="O197" s="516">
        <f t="shared" si="96"/>
        <v>0</v>
      </c>
      <c r="P197" s="516">
        <f t="shared" si="96"/>
        <v>0</v>
      </c>
      <c r="Q197" s="516">
        <f t="shared" si="96"/>
        <v>0</v>
      </c>
      <c r="R197" s="516">
        <f t="shared" si="96"/>
        <v>0</v>
      </c>
      <c r="S197" s="516">
        <f t="shared" si="96"/>
        <v>0</v>
      </c>
      <c r="T197" s="516">
        <f t="shared" si="96"/>
        <v>0</v>
      </c>
      <c r="U197" s="516">
        <f t="shared" si="96"/>
        <v>0</v>
      </c>
      <c r="V197" s="516">
        <f t="shared" si="96"/>
        <v>0</v>
      </c>
      <c r="W197" s="516">
        <f t="shared" si="96"/>
        <v>0</v>
      </c>
      <c r="X197" s="516">
        <f t="shared" si="96"/>
        <v>0</v>
      </c>
      <c r="Y197" s="516">
        <f t="shared" si="96"/>
        <v>0</v>
      </c>
      <c r="Z197" s="516">
        <f t="shared" si="96"/>
        <v>0</v>
      </c>
      <c r="AA197" s="516">
        <f t="shared" si="96"/>
        <v>0</v>
      </c>
      <c r="AB197" s="516">
        <f t="shared" si="96"/>
        <v>0</v>
      </c>
      <c r="AC197" s="516">
        <f t="shared" si="96"/>
        <v>0</v>
      </c>
      <c r="AD197" s="516">
        <f t="shared" si="96"/>
        <v>0</v>
      </c>
      <c r="AE197" s="516">
        <f t="shared" si="96"/>
        <v>0</v>
      </c>
      <c r="AF197" s="516">
        <f t="shared" si="96"/>
        <v>0</v>
      </c>
      <c r="AG197" s="516">
        <f t="shared" si="96"/>
        <v>0</v>
      </c>
      <c r="AH197" s="516">
        <f t="shared" si="96"/>
        <v>0</v>
      </c>
      <c r="AI197" s="516">
        <f t="shared" si="96"/>
        <v>0</v>
      </c>
      <c r="AJ197" s="516">
        <f t="shared" si="96"/>
        <v>0</v>
      </c>
      <c r="AK197" s="516">
        <f t="shared" si="96"/>
        <v>0</v>
      </c>
      <c r="AL197" s="516">
        <f t="shared" si="96"/>
        <v>0</v>
      </c>
      <c r="AM197" s="516">
        <f t="shared" si="96"/>
        <v>0</v>
      </c>
      <c r="AN197" s="516">
        <f t="shared" si="96"/>
        <v>0</v>
      </c>
      <c r="AO197" s="516">
        <f t="shared" si="96"/>
        <v>0</v>
      </c>
      <c r="AP197" s="501"/>
      <c r="AQ197" s="505"/>
      <c r="AR197" s="505"/>
      <c r="AS197" s="505"/>
      <c r="AT197" s="505"/>
      <c r="AU197" s="505"/>
      <c r="AV197" s="510"/>
      <c r="AW197" s="452"/>
    </row>
    <row r="198" spans="1:49" hidden="1">
      <c r="A198" s="143"/>
      <c r="B198" s="483"/>
      <c r="C198" s="496" t="s">
        <v>1340</v>
      </c>
      <c r="D198" s="516">
        <f t="shared" ref="D198:AO198" si="97">IF(ISERR(GETPIVOTDATA("[Measures].[Hours]",TRIMARANweekly,"[Order].[Position Number]","[Order].[Position Number].&amp;[" &amp; $B204 &amp; "]","[Period].[Week]","[Period].[Week].&amp;[" &amp; YEAR(D$14-14) &amp; TEXT(WEEKNUM(D$14-14),"00") &amp; "]")),0,GETPIVOTDATA("[Measures].[Hours]",TRIMARANweekly,"[Order].[Position Number]","[Order].[Position Number].&amp;[" &amp; $B204 &amp; "]","[Period].[Week]","[Period].[Week].&amp;[" &amp; YEAR(D$14-14) &amp; TEXT(WEEKNUM(D$14-14),"00") &amp; "]"))+D197</f>
        <v>0</v>
      </c>
      <c r="E198" s="516">
        <f t="shared" si="97"/>
        <v>0</v>
      </c>
      <c r="F198" s="516">
        <f t="shared" si="97"/>
        <v>0</v>
      </c>
      <c r="G198" s="516">
        <f t="shared" si="97"/>
        <v>0</v>
      </c>
      <c r="H198" s="516">
        <f t="shared" si="97"/>
        <v>0</v>
      </c>
      <c r="I198" s="516">
        <f t="shared" si="97"/>
        <v>0</v>
      </c>
      <c r="J198" s="516">
        <f t="shared" si="97"/>
        <v>0</v>
      </c>
      <c r="K198" s="516">
        <f t="shared" si="97"/>
        <v>0</v>
      </c>
      <c r="L198" s="516">
        <f t="shared" si="97"/>
        <v>0</v>
      </c>
      <c r="M198" s="516">
        <f t="shared" si="97"/>
        <v>0</v>
      </c>
      <c r="N198" s="516">
        <f t="shared" si="97"/>
        <v>0</v>
      </c>
      <c r="O198" s="516">
        <f t="shared" si="97"/>
        <v>0</v>
      </c>
      <c r="P198" s="516">
        <f t="shared" si="97"/>
        <v>0</v>
      </c>
      <c r="Q198" s="516">
        <f t="shared" si="97"/>
        <v>0</v>
      </c>
      <c r="R198" s="516">
        <f t="shared" si="97"/>
        <v>0</v>
      </c>
      <c r="S198" s="516">
        <f t="shared" si="97"/>
        <v>0</v>
      </c>
      <c r="T198" s="516">
        <f t="shared" si="97"/>
        <v>0</v>
      </c>
      <c r="U198" s="516">
        <f t="shared" si="97"/>
        <v>0</v>
      </c>
      <c r="V198" s="516">
        <f t="shared" si="97"/>
        <v>0</v>
      </c>
      <c r="W198" s="516">
        <f t="shared" si="97"/>
        <v>0</v>
      </c>
      <c r="X198" s="516">
        <f t="shared" si="97"/>
        <v>0</v>
      </c>
      <c r="Y198" s="516">
        <f t="shared" si="97"/>
        <v>0</v>
      </c>
      <c r="Z198" s="516">
        <f t="shared" si="97"/>
        <v>0</v>
      </c>
      <c r="AA198" s="516">
        <f t="shared" si="97"/>
        <v>0</v>
      </c>
      <c r="AB198" s="516">
        <f t="shared" si="97"/>
        <v>0</v>
      </c>
      <c r="AC198" s="516">
        <f t="shared" si="97"/>
        <v>0</v>
      </c>
      <c r="AD198" s="516">
        <f t="shared" si="97"/>
        <v>0</v>
      </c>
      <c r="AE198" s="516">
        <f t="shared" si="97"/>
        <v>0</v>
      </c>
      <c r="AF198" s="516">
        <f t="shared" si="97"/>
        <v>0</v>
      </c>
      <c r="AG198" s="516">
        <f t="shared" si="97"/>
        <v>0</v>
      </c>
      <c r="AH198" s="516">
        <f t="shared" si="97"/>
        <v>0</v>
      </c>
      <c r="AI198" s="516">
        <f t="shared" si="97"/>
        <v>0</v>
      </c>
      <c r="AJ198" s="516">
        <f t="shared" si="97"/>
        <v>0</v>
      </c>
      <c r="AK198" s="516">
        <f t="shared" si="97"/>
        <v>0</v>
      </c>
      <c r="AL198" s="516">
        <f t="shared" si="97"/>
        <v>0</v>
      </c>
      <c r="AM198" s="516">
        <f t="shared" si="97"/>
        <v>0</v>
      </c>
      <c r="AN198" s="516">
        <f t="shared" si="97"/>
        <v>0</v>
      </c>
      <c r="AO198" s="516">
        <f t="shared" si="97"/>
        <v>0</v>
      </c>
      <c r="AP198" s="501"/>
      <c r="AQ198" s="505"/>
      <c r="AR198" s="505"/>
      <c r="AS198" s="505"/>
      <c r="AT198" s="505"/>
      <c r="AU198" s="505"/>
      <c r="AV198" s="510"/>
      <c r="AW198" s="452"/>
    </row>
    <row r="199" spans="1:49" hidden="1">
      <c r="A199" s="143"/>
      <c r="B199" s="483"/>
      <c r="C199" s="496" t="s">
        <v>1341</v>
      </c>
      <c r="D199" s="516">
        <f t="shared" ref="D199:AO199" si="98">IF(ISERR(GETPIVOTDATA("[Measures].[Hours]",TRIMARANmonthly,"[Period].[Month]","[Period].[Month].&amp;["&amp;IF(MONTH(D$14)=1,YEAR(D$14)-1&amp;TEXT(12,"00"),YEAR(D$14)&amp;TEXT(MONTH(D$14)-1,"00"))&amp;"]","[Order].[Position Number]","[Order].[Position Number].&amp;["&amp;$B204&amp;"]")),0,GETPIVOTDATA("[Measures].[Hours]",TRIMARANmonthly,"[Period].[Month]","[Period].[Month].&amp;["&amp;IF(MONTH(D$14)=1,YEAR(D$14)-1&amp;TEXT(12,"00"),YEAR(D$14)&amp;TEXT(MONTH(D$14)-1,"00"))&amp;"]","[Order].[Position Number]","[Order].[Position Number].&amp;["&amp;$B204&amp;"]"))</f>
        <v>0</v>
      </c>
      <c r="E199" s="516">
        <f t="shared" si="98"/>
        <v>0</v>
      </c>
      <c r="F199" s="516">
        <f t="shared" si="98"/>
        <v>0</v>
      </c>
      <c r="G199" s="516">
        <f t="shared" si="98"/>
        <v>0</v>
      </c>
      <c r="H199" s="516">
        <f t="shared" si="98"/>
        <v>0</v>
      </c>
      <c r="I199" s="516">
        <f t="shared" si="98"/>
        <v>0</v>
      </c>
      <c r="J199" s="516">
        <f t="shared" si="98"/>
        <v>0</v>
      </c>
      <c r="K199" s="516">
        <f t="shared" si="98"/>
        <v>0</v>
      </c>
      <c r="L199" s="516">
        <f t="shared" si="98"/>
        <v>0</v>
      </c>
      <c r="M199" s="516">
        <f t="shared" si="98"/>
        <v>0</v>
      </c>
      <c r="N199" s="516">
        <f t="shared" si="98"/>
        <v>0</v>
      </c>
      <c r="O199" s="516">
        <f t="shared" si="98"/>
        <v>0</v>
      </c>
      <c r="P199" s="516">
        <f t="shared" si="98"/>
        <v>0</v>
      </c>
      <c r="Q199" s="516">
        <f t="shared" si="98"/>
        <v>0</v>
      </c>
      <c r="R199" s="516">
        <f t="shared" si="98"/>
        <v>0</v>
      </c>
      <c r="S199" s="516">
        <f t="shared" si="98"/>
        <v>0</v>
      </c>
      <c r="T199" s="516">
        <f t="shared" si="98"/>
        <v>0</v>
      </c>
      <c r="U199" s="516">
        <f t="shared" si="98"/>
        <v>0</v>
      </c>
      <c r="V199" s="516">
        <f t="shared" si="98"/>
        <v>0</v>
      </c>
      <c r="W199" s="516">
        <f t="shared" si="98"/>
        <v>0</v>
      </c>
      <c r="X199" s="516">
        <f t="shared" si="98"/>
        <v>0</v>
      </c>
      <c r="Y199" s="516">
        <f t="shared" si="98"/>
        <v>0</v>
      </c>
      <c r="Z199" s="516">
        <f t="shared" si="98"/>
        <v>0</v>
      </c>
      <c r="AA199" s="516">
        <f t="shared" si="98"/>
        <v>0</v>
      </c>
      <c r="AB199" s="516">
        <f t="shared" si="98"/>
        <v>0</v>
      </c>
      <c r="AC199" s="516">
        <f t="shared" si="98"/>
        <v>0</v>
      </c>
      <c r="AD199" s="516">
        <f t="shared" si="98"/>
        <v>0</v>
      </c>
      <c r="AE199" s="516">
        <f t="shared" si="98"/>
        <v>0</v>
      </c>
      <c r="AF199" s="516">
        <f t="shared" si="98"/>
        <v>0</v>
      </c>
      <c r="AG199" s="516">
        <f t="shared" si="98"/>
        <v>0</v>
      </c>
      <c r="AH199" s="516">
        <f t="shared" si="98"/>
        <v>0</v>
      </c>
      <c r="AI199" s="516">
        <f t="shared" si="98"/>
        <v>0</v>
      </c>
      <c r="AJ199" s="516">
        <f t="shared" si="98"/>
        <v>0</v>
      </c>
      <c r="AK199" s="516">
        <f t="shared" si="98"/>
        <v>0</v>
      </c>
      <c r="AL199" s="516">
        <f t="shared" si="98"/>
        <v>0</v>
      </c>
      <c r="AM199" s="516">
        <f t="shared" si="98"/>
        <v>0</v>
      </c>
      <c r="AN199" s="516">
        <f t="shared" si="98"/>
        <v>0</v>
      </c>
      <c r="AO199" s="516">
        <f t="shared" si="98"/>
        <v>0</v>
      </c>
      <c r="AP199" s="501"/>
      <c r="AQ199" s="505"/>
      <c r="AR199" s="505"/>
      <c r="AS199" s="505"/>
      <c r="AT199" s="505"/>
      <c r="AU199" s="505"/>
      <c r="AV199" s="510"/>
      <c r="AW199" s="452"/>
    </row>
    <row r="200" spans="1:49" hidden="1">
      <c r="A200" s="143"/>
      <c r="B200" s="483"/>
      <c r="C200" s="496" t="s">
        <v>1339</v>
      </c>
      <c r="D200" s="516">
        <f t="shared" ref="D200:AO200" si="99">IF(ISERR(GETPIVOTDATA("[Measures].[" &amp; MDContractCurrency &amp; "]",TRIMARANweekly,"[Order].[Position Number]","[Order].[Position Number].&amp;[" &amp; $B204 &amp; "]","[Period].[Week]","[Period].[Week].&amp;[" &amp; YEAR(D$14-7) &amp; TEXT(WEEKNUM(D$14-7),"00") &amp; "]")),0,GETPIVOTDATA("[Measures].[" &amp; MDContractCurrency &amp; "]",TRIMARANweekly,"[Order].[Position Number]","[Order].[Position Number].&amp;[" &amp; $B204 &amp; "]","[Period].[Week]","[Period].[Week].&amp;[" &amp; YEAR(D$14-7) &amp; TEXT(WEEKNUM(D$14-7),"00") &amp; "]"))</f>
        <v>0</v>
      </c>
      <c r="E200" s="516">
        <f t="shared" si="99"/>
        <v>0</v>
      </c>
      <c r="F200" s="516">
        <f t="shared" si="99"/>
        <v>0</v>
      </c>
      <c r="G200" s="516">
        <f t="shared" si="99"/>
        <v>0</v>
      </c>
      <c r="H200" s="516">
        <f t="shared" si="99"/>
        <v>0</v>
      </c>
      <c r="I200" s="516">
        <f t="shared" si="99"/>
        <v>0</v>
      </c>
      <c r="J200" s="516">
        <f t="shared" si="99"/>
        <v>0</v>
      </c>
      <c r="K200" s="516">
        <f t="shared" si="99"/>
        <v>0</v>
      </c>
      <c r="L200" s="516">
        <f t="shared" si="99"/>
        <v>0</v>
      </c>
      <c r="M200" s="516">
        <f t="shared" si="99"/>
        <v>0</v>
      </c>
      <c r="N200" s="516">
        <f t="shared" si="99"/>
        <v>0</v>
      </c>
      <c r="O200" s="516">
        <f t="shared" si="99"/>
        <v>0</v>
      </c>
      <c r="P200" s="516">
        <f t="shared" si="99"/>
        <v>0</v>
      </c>
      <c r="Q200" s="516">
        <f t="shared" si="99"/>
        <v>0</v>
      </c>
      <c r="R200" s="516">
        <f t="shared" si="99"/>
        <v>0</v>
      </c>
      <c r="S200" s="516">
        <f t="shared" si="99"/>
        <v>0</v>
      </c>
      <c r="T200" s="516">
        <f t="shared" si="99"/>
        <v>0</v>
      </c>
      <c r="U200" s="516">
        <f t="shared" si="99"/>
        <v>0</v>
      </c>
      <c r="V200" s="516">
        <f t="shared" si="99"/>
        <v>0</v>
      </c>
      <c r="W200" s="516">
        <f t="shared" si="99"/>
        <v>0</v>
      </c>
      <c r="X200" s="516">
        <f t="shared" si="99"/>
        <v>0</v>
      </c>
      <c r="Y200" s="516">
        <f t="shared" si="99"/>
        <v>0</v>
      </c>
      <c r="Z200" s="516">
        <f t="shared" si="99"/>
        <v>0</v>
      </c>
      <c r="AA200" s="516">
        <f t="shared" si="99"/>
        <v>0</v>
      </c>
      <c r="AB200" s="516">
        <f t="shared" si="99"/>
        <v>0</v>
      </c>
      <c r="AC200" s="516">
        <f t="shared" si="99"/>
        <v>0</v>
      </c>
      <c r="AD200" s="516">
        <f t="shared" si="99"/>
        <v>0</v>
      </c>
      <c r="AE200" s="516">
        <f t="shared" si="99"/>
        <v>0</v>
      </c>
      <c r="AF200" s="516">
        <f t="shared" si="99"/>
        <v>0</v>
      </c>
      <c r="AG200" s="516">
        <f t="shared" si="99"/>
        <v>0</v>
      </c>
      <c r="AH200" s="516">
        <f t="shared" si="99"/>
        <v>0</v>
      </c>
      <c r="AI200" s="516">
        <f t="shared" si="99"/>
        <v>0</v>
      </c>
      <c r="AJ200" s="516">
        <f t="shared" si="99"/>
        <v>0</v>
      </c>
      <c r="AK200" s="516">
        <f t="shared" si="99"/>
        <v>0</v>
      </c>
      <c r="AL200" s="516">
        <f t="shared" si="99"/>
        <v>0</v>
      </c>
      <c r="AM200" s="516">
        <f t="shared" si="99"/>
        <v>0</v>
      </c>
      <c r="AN200" s="516">
        <f t="shared" si="99"/>
        <v>0</v>
      </c>
      <c r="AO200" s="516">
        <f t="shared" si="99"/>
        <v>0</v>
      </c>
      <c r="AP200" s="501"/>
      <c r="AQ200" s="505"/>
      <c r="AR200" s="505"/>
      <c r="AS200" s="505"/>
      <c r="AT200" s="505"/>
      <c r="AU200" s="505"/>
      <c r="AV200" s="510"/>
      <c r="AW200" s="452"/>
    </row>
    <row r="201" spans="1:49" hidden="1">
      <c r="A201" s="143"/>
      <c r="B201" s="483"/>
      <c r="C201" s="496" t="s">
        <v>1340</v>
      </c>
      <c r="D201" s="516">
        <f t="shared" ref="D201:AO201" si="100">IF(ISERR(GETPIVOTDATA("[Measures].[" &amp; MDContractCurrency &amp; "]",TRIMARANweekly,"[Order].[Position Number]","[Order].[Position Number].&amp;[" &amp; $B204 &amp; "]","[Period].[Week]","[Period].[Week].&amp;[" &amp; YEAR(D$14-14) &amp; TEXT(WEEKNUM(D$14-14),"00") &amp; "]")),0,GETPIVOTDATA("[Measures].[" &amp; MDContractCurrency &amp; "]",TRIMARANweekly,"[Order].[Position Number]","[Order].[Position Number].&amp;[" &amp; $B204 &amp; "]","[Period].[Week]","[Period].[Week].&amp;[" &amp; YEAR(D$14-14) &amp; TEXT(WEEKNUM(D$14-14),"00") &amp; "]"))+D200</f>
        <v>0</v>
      </c>
      <c r="E201" s="516">
        <f t="shared" si="100"/>
        <v>0</v>
      </c>
      <c r="F201" s="516">
        <f t="shared" si="100"/>
        <v>0</v>
      </c>
      <c r="G201" s="516">
        <f t="shared" si="100"/>
        <v>0</v>
      </c>
      <c r="H201" s="516">
        <f t="shared" si="100"/>
        <v>0</v>
      </c>
      <c r="I201" s="516">
        <f t="shared" si="100"/>
        <v>0</v>
      </c>
      <c r="J201" s="516">
        <f t="shared" si="100"/>
        <v>0</v>
      </c>
      <c r="K201" s="516">
        <f t="shared" si="100"/>
        <v>0</v>
      </c>
      <c r="L201" s="516">
        <f t="shared" si="100"/>
        <v>0</v>
      </c>
      <c r="M201" s="516">
        <f t="shared" si="100"/>
        <v>0</v>
      </c>
      <c r="N201" s="516">
        <f t="shared" si="100"/>
        <v>0</v>
      </c>
      <c r="O201" s="516">
        <f t="shared" si="100"/>
        <v>0</v>
      </c>
      <c r="P201" s="516">
        <f t="shared" si="100"/>
        <v>0</v>
      </c>
      <c r="Q201" s="516">
        <f t="shared" si="100"/>
        <v>0</v>
      </c>
      <c r="R201" s="516">
        <f t="shared" si="100"/>
        <v>0</v>
      </c>
      <c r="S201" s="516">
        <f t="shared" si="100"/>
        <v>0</v>
      </c>
      <c r="T201" s="516">
        <f t="shared" si="100"/>
        <v>0</v>
      </c>
      <c r="U201" s="516">
        <f t="shared" si="100"/>
        <v>0</v>
      </c>
      <c r="V201" s="516">
        <f t="shared" si="100"/>
        <v>0</v>
      </c>
      <c r="W201" s="516">
        <f t="shared" si="100"/>
        <v>0</v>
      </c>
      <c r="X201" s="516">
        <f t="shared" si="100"/>
        <v>0</v>
      </c>
      <c r="Y201" s="516">
        <f t="shared" si="100"/>
        <v>0</v>
      </c>
      <c r="Z201" s="516">
        <f t="shared" si="100"/>
        <v>0</v>
      </c>
      <c r="AA201" s="516">
        <f t="shared" si="100"/>
        <v>0</v>
      </c>
      <c r="AB201" s="516">
        <f t="shared" si="100"/>
        <v>0</v>
      </c>
      <c r="AC201" s="516">
        <f t="shared" si="100"/>
        <v>0</v>
      </c>
      <c r="AD201" s="516">
        <f t="shared" si="100"/>
        <v>0</v>
      </c>
      <c r="AE201" s="516">
        <f t="shared" si="100"/>
        <v>0</v>
      </c>
      <c r="AF201" s="516">
        <f t="shared" si="100"/>
        <v>0</v>
      </c>
      <c r="AG201" s="516">
        <f t="shared" si="100"/>
        <v>0</v>
      </c>
      <c r="AH201" s="516">
        <f t="shared" si="100"/>
        <v>0</v>
      </c>
      <c r="AI201" s="516">
        <f t="shared" si="100"/>
        <v>0</v>
      </c>
      <c r="AJ201" s="516">
        <f t="shared" si="100"/>
        <v>0</v>
      </c>
      <c r="AK201" s="516">
        <f t="shared" si="100"/>
        <v>0</v>
      </c>
      <c r="AL201" s="516">
        <f t="shared" si="100"/>
        <v>0</v>
      </c>
      <c r="AM201" s="516">
        <f t="shared" si="100"/>
        <v>0</v>
      </c>
      <c r="AN201" s="516">
        <f t="shared" si="100"/>
        <v>0</v>
      </c>
      <c r="AO201" s="516">
        <f t="shared" si="100"/>
        <v>0</v>
      </c>
      <c r="AP201" s="501"/>
      <c r="AQ201" s="505"/>
      <c r="AR201" s="505"/>
      <c r="AS201" s="505"/>
      <c r="AT201" s="505"/>
      <c r="AU201" s="505"/>
      <c r="AV201" s="510"/>
      <c r="AW201" s="452"/>
    </row>
    <row r="202" spans="1:49" hidden="1">
      <c r="A202" s="141"/>
      <c r="B202" s="517"/>
      <c r="C202" s="496" t="s">
        <v>1341</v>
      </c>
      <c r="D202" s="516">
        <f t="shared" ref="D202:AO202" si="101">IF(ISERR(GETPIVOTDATA("[Measures].[" &amp; MDContractCurrency &amp; "]",TRIMARANmonthly,"[Period].[Month]","[Period].[Month].&amp;["&amp;IF(MONTH(D$14)=1,YEAR(D$14)-1&amp;TEXT(12,"00"),YEAR(D$14)&amp;TEXT(MONTH(D$14)-1,"00"))&amp;"]","[Order].[Position Number]","[Order].[Position Number].&amp;["&amp;$B204&amp;"]")),0,GETPIVOTDATA("[Measures].[" &amp; MDContractCurrency &amp; "]",TRIMARANmonthly,"[Period].[Month]","[Period].[Month].&amp;["&amp;IF(MONTH(D$14)=1,YEAR(D$14)-1&amp;TEXT(12,"00"),YEAR(D$14)&amp;TEXT(MONTH(D$14)-1,"00"))&amp;"]","[Order].[Position Number]","[Order].[Position Number].&amp;["&amp;$B204&amp;"]"))</f>
        <v>0</v>
      </c>
      <c r="E202" s="516">
        <f t="shared" si="101"/>
        <v>0</v>
      </c>
      <c r="F202" s="516">
        <f t="shared" si="101"/>
        <v>0</v>
      </c>
      <c r="G202" s="516">
        <f t="shared" si="101"/>
        <v>0</v>
      </c>
      <c r="H202" s="516">
        <f t="shared" si="101"/>
        <v>0</v>
      </c>
      <c r="I202" s="516">
        <f t="shared" si="101"/>
        <v>0</v>
      </c>
      <c r="J202" s="516">
        <f t="shared" si="101"/>
        <v>0</v>
      </c>
      <c r="K202" s="516">
        <f t="shared" si="101"/>
        <v>0</v>
      </c>
      <c r="L202" s="516">
        <f t="shared" si="101"/>
        <v>0</v>
      </c>
      <c r="M202" s="516">
        <f t="shared" si="101"/>
        <v>0</v>
      </c>
      <c r="N202" s="516">
        <f t="shared" si="101"/>
        <v>0</v>
      </c>
      <c r="O202" s="516">
        <f t="shared" si="101"/>
        <v>0</v>
      </c>
      <c r="P202" s="516">
        <f t="shared" si="101"/>
        <v>0</v>
      </c>
      <c r="Q202" s="516">
        <f t="shared" si="101"/>
        <v>0</v>
      </c>
      <c r="R202" s="516">
        <f t="shared" si="101"/>
        <v>0</v>
      </c>
      <c r="S202" s="516">
        <f t="shared" si="101"/>
        <v>0</v>
      </c>
      <c r="T202" s="516">
        <f t="shared" si="101"/>
        <v>0</v>
      </c>
      <c r="U202" s="516">
        <f t="shared" si="101"/>
        <v>0</v>
      </c>
      <c r="V202" s="516">
        <f t="shared" si="101"/>
        <v>0</v>
      </c>
      <c r="W202" s="516">
        <f t="shared" si="101"/>
        <v>0</v>
      </c>
      <c r="X202" s="516">
        <f t="shared" si="101"/>
        <v>0</v>
      </c>
      <c r="Y202" s="516">
        <f t="shared" si="101"/>
        <v>0</v>
      </c>
      <c r="Z202" s="516">
        <f t="shared" si="101"/>
        <v>0</v>
      </c>
      <c r="AA202" s="516">
        <f t="shared" si="101"/>
        <v>0</v>
      </c>
      <c r="AB202" s="516">
        <f t="shared" si="101"/>
        <v>0</v>
      </c>
      <c r="AC202" s="516">
        <f t="shared" si="101"/>
        <v>0</v>
      </c>
      <c r="AD202" s="516">
        <f t="shared" si="101"/>
        <v>0</v>
      </c>
      <c r="AE202" s="516">
        <f t="shared" si="101"/>
        <v>0</v>
      </c>
      <c r="AF202" s="516">
        <f t="shared" si="101"/>
        <v>0</v>
      </c>
      <c r="AG202" s="516">
        <f t="shared" si="101"/>
        <v>0</v>
      </c>
      <c r="AH202" s="516">
        <f t="shared" si="101"/>
        <v>0</v>
      </c>
      <c r="AI202" s="516">
        <f t="shared" si="101"/>
        <v>0</v>
      </c>
      <c r="AJ202" s="516">
        <f t="shared" si="101"/>
        <v>0</v>
      </c>
      <c r="AK202" s="516">
        <f t="shared" si="101"/>
        <v>0</v>
      </c>
      <c r="AL202" s="516">
        <f t="shared" si="101"/>
        <v>0</v>
      </c>
      <c r="AM202" s="516">
        <f t="shared" si="101"/>
        <v>0</v>
      </c>
      <c r="AN202" s="516">
        <f t="shared" si="101"/>
        <v>0</v>
      </c>
      <c r="AO202" s="516">
        <f t="shared" si="101"/>
        <v>0</v>
      </c>
      <c r="AP202" s="501"/>
      <c r="AQ202" s="505"/>
      <c r="AR202" s="505"/>
      <c r="AS202" s="505"/>
      <c r="AT202" s="505"/>
      <c r="AU202" s="505"/>
      <c r="AV202" s="510"/>
      <c r="AW202" s="452"/>
    </row>
    <row r="203" spans="1:49">
      <c r="A203" s="477"/>
      <c r="B203" s="483"/>
      <c r="C203" s="496"/>
      <c r="D203" s="496"/>
      <c r="E203" s="496"/>
      <c r="F203" s="496"/>
      <c r="G203" s="496"/>
      <c r="H203" s="496"/>
      <c r="I203" s="496"/>
      <c r="J203" s="496"/>
      <c r="K203" s="496"/>
      <c r="L203" s="496"/>
      <c r="M203" s="496"/>
      <c r="N203" s="496"/>
      <c r="O203" s="496"/>
      <c r="P203" s="496"/>
      <c r="Q203" s="496"/>
      <c r="R203" s="496"/>
      <c r="S203" s="496"/>
      <c r="T203" s="496"/>
      <c r="U203" s="496"/>
      <c r="V203" s="496"/>
      <c r="W203" s="496"/>
      <c r="X203" s="496"/>
      <c r="Y203" s="496"/>
      <c r="Z203" s="496"/>
      <c r="AA203" s="496"/>
      <c r="AB203" s="496"/>
      <c r="AC203" s="496"/>
      <c r="AD203" s="496"/>
      <c r="AE203" s="496"/>
      <c r="AF203" s="496"/>
      <c r="AG203" s="496"/>
      <c r="AH203" s="496"/>
      <c r="AI203" s="496"/>
      <c r="AJ203" s="496"/>
      <c r="AK203" s="496"/>
      <c r="AL203" s="496"/>
      <c r="AM203" s="496"/>
      <c r="AN203" s="496"/>
      <c r="AO203" s="496"/>
      <c r="AP203" s="501"/>
      <c r="AQ203" s="505"/>
      <c r="AR203" s="505"/>
      <c r="AS203" s="505"/>
      <c r="AT203" s="505"/>
      <c r="AU203" s="505"/>
      <c r="AV203" s="510"/>
      <c r="AW203" s="452"/>
    </row>
    <row r="204" spans="1:49">
      <c r="A204" s="1183" t="str">
        <f>'Delivery Calculation'!B29 &amp; CHAR(10) &amp; 'Delivery Calculation'!P29 &amp; " - " &amp; 'Delivery Calculation'!Q29</f>
        <v xml:space="preserve">0
 - </v>
      </c>
      <c r="B204" s="1180">
        <f>'Delivery Calculation'!A29</f>
        <v>0</v>
      </c>
      <c r="C204" s="499" t="s">
        <v>586</v>
      </c>
      <c r="D204" s="518">
        <f>'Delivery Calculation'!M210</f>
        <v>0</v>
      </c>
      <c r="E204" s="518">
        <f>'Delivery Calculation'!N210</f>
        <v>0</v>
      </c>
      <c r="F204" s="518">
        <f>'Delivery Calculation'!O210</f>
        <v>0</v>
      </c>
      <c r="G204" s="518">
        <f>'Delivery Calculation'!P210</f>
        <v>0</v>
      </c>
      <c r="H204" s="518">
        <f>'Delivery Calculation'!Q210</f>
        <v>0</v>
      </c>
      <c r="I204" s="518">
        <f>'Delivery Calculation'!R210</f>
        <v>0</v>
      </c>
      <c r="J204" s="518">
        <f>'Delivery Calculation'!S210</f>
        <v>0</v>
      </c>
      <c r="K204" s="518">
        <f>'Delivery Calculation'!T210</f>
        <v>0</v>
      </c>
      <c r="L204" s="518">
        <f>'Delivery Calculation'!U210</f>
        <v>0</v>
      </c>
      <c r="M204" s="518">
        <f>'Delivery Calculation'!V210</f>
        <v>0</v>
      </c>
      <c r="N204" s="518">
        <f>'Delivery Calculation'!W210</f>
        <v>0</v>
      </c>
      <c r="O204" s="518">
        <f>'Delivery Calculation'!X210</f>
        <v>0</v>
      </c>
      <c r="P204" s="518">
        <f>'Delivery Calculation'!Y210</f>
        <v>0</v>
      </c>
      <c r="Q204" s="518">
        <f>'Delivery Calculation'!Z210</f>
        <v>0</v>
      </c>
      <c r="R204" s="518">
        <f>'Delivery Calculation'!AA210</f>
        <v>0</v>
      </c>
      <c r="S204" s="518">
        <f>'Delivery Calculation'!AB210</f>
        <v>0</v>
      </c>
      <c r="T204" s="518">
        <f>'Delivery Calculation'!AC210</f>
        <v>0</v>
      </c>
      <c r="U204" s="518">
        <f>'Delivery Calculation'!AD210</f>
        <v>0</v>
      </c>
      <c r="V204" s="518">
        <f>'Delivery Calculation'!AE210</f>
        <v>0</v>
      </c>
      <c r="W204" s="518">
        <f>'Delivery Calculation'!AF210</f>
        <v>0</v>
      </c>
      <c r="X204" s="518">
        <f>'Delivery Calculation'!AG210</f>
        <v>0</v>
      </c>
      <c r="Y204" s="518">
        <f>'Delivery Calculation'!AH210</f>
        <v>0</v>
      </c>
      <c r="Z204" s="518">
        <f>'Delivery Calculation'!AI210</f>
        <v>0</v>
      </c>
      <c r="AA204" s="518">
        <f>'Delivery Calculation'!AJ210</f>
        <v>0</v>
      </c>
      <c r="AB204" s="518">
        <f>'Delivery Calculation'!AK210</f>
        <v>0</v>
      </c>
      <c r="AC204" s="518">
        <f>'Delivery Calculation'!AL210</f>
        <v>0</v>
      </c>
      <c r="AD204" s="518">
        <f>'Delivery Calculation'!AM210</f>
        <v>0</v>
      </c>
      <c r="AE204" s="518">
        <f>'Delivery Calculation'!AN210</f>
        <v>0</v>
      </c>
      <c r="AF204" s="518">
        <f>'Delivery Calculation'!AO210</f>
        <v>0</v>
      </c>
      <c r="AG204" s="518">
        <f>'Delivery Calculation'!AP210</f>
        <v>0</v>
      </c>
      <c r="AH204" s="518">
        <f>'Delivery Calculation'!AQ210</f>
        <v>0</v>
      </c>
      <c r="AI204" s="518">
        <f>'Delivery Calculation'!AR210</f>
        <v>0</v>
      </c>
      <c r="AJ204" s="518">
        <f>'Delivery Calculation'!AS210</f>
        <v>0</v>
      </c>
      <c r="AK204" s="518">
        <f>'Delivery Calculation'!AT210</f>
        <v>0</v>
      </c>
      <c r="AL204" s="518">
        <f>'Delivery Calculation'!AU210</f>
        <v>0</v>
      </c>
      <c r="AM204" s="518">
        <f>'Delivery Calculation'!AV210</f>
        <v>0</v>
      </c>
      <c r="AN204" s="518">
        <f>'Delivery Calculation'!AW210</f>
        <v>0</v>
      </c>
      <c r="AO204" s="518">
        <f>'Delivery Calculation'!AX210</f>
        <v>0</v>
      </c>
      <c r="AP204" s="501"/>
      <c r="AQ204" s="519">
        <f>IF(COUNTIF($D$15:$AO$15, TMDPeriodValueTypeReported)&gt;0, INDEX(D204:AO204,1,COUNTIF(D$15:$AO$15,TMDPeriodValueTypeReported)),0)</f>
        <v>0</v>
      </c>
      <c r="AR204" s="519"/>
      <c r="AS204" s="520">
        <f>'Delivery Calculation'!N29</f>
        <v>0</v>
      </c>
      <c r="AT204" s="519">
        <f>AQ204*'Delivery Calculation'!N29</f>
        <v>0</v>
      </c>
      <c r="AU204" s="521" t="s">
        <v>522</v>
      </c>
      <c r="AV204" s="510"/>
      <c r="AW204" s="452"/>
    </row>
    <row r="205" spans="1:49">
      <c r="A205" s="1184"/>
      <c r="B205" s="1181"/>
      <c r="C205" s="499" t="s">
        <v>587</v>
      </c>
      <c r="D205" s="509">
        <f>IF(D$15=TMDPeriodValueTypeForecast,IF('Delivery Calculation'!$H$29=TMDAllocationTandM,0,'Delivery Calculation'!M139),IF(MDReportingPeriod=TMDMonthly,D199,IF(MDReportingPeriod=TMDTwoweekly,D198,D197)))</f>
        <v>0</v>
      </c>
      <c r="E205" s="509">
        <f>IF(E$15=TMDPeriodValueTypeForecast,IF('Delivery Calculation'!$H$29=TMDAllocationTandM,0,'Delivery Calculation'!N139),IF(MDReportingPeriod=TMDMonthly,E199,IF(MDReportingPeriod=TMDTwoweekly,E198,E197)))</f>
        <v>0</v>
      </c>
      <c r="F205" s="509">
        <f>IF(F$15=TMDPeriodValueTypeForecast,IF('Delivery Calculation'!$H$29=TMDAllocationTandM,0,'Delivery Calculation'!O139),IF(MDReportingPeriod=TMDMonthly,F199,IF(MDReportingPeriod=TMDTwoweekly,F198,F197)))</f>
        <v>0</v>
      </c>
      <c r="G205" s="509">
        <f>IF(G$15=TMDPeriodValueTypeForecast,IF('Delivery Calculation'!$H$29=TMDAllocationTandM,0,'Delivery Calculation'!P139),IF(MDReportingPeriod=TMDMonthly,G199,IF(MDReportingPeriod=TMDTwoweekly,G198,G197)))</f>
        <v>0</v>
      </c>
      <c r="H205" s="509">
        <f>IF(H$15=TMDPeriodValueTypeForecast,IF('Delivery Calculation'!$H$29=TMDAllocationTandM,0,'Delivery Calculation'!Q139),IF(MDReportingPeriod=TMDMonthly,H199,IF(MDReportingPeriod=TMDTwoweekly,H198,H197)))</f>
        <v>0</v>
      </c>
      <c r="I205" s="509">
        <f>IF(I$15=TMDPeriodValueTypeForecast,IF('Delivery Calculation'!$H$29=TMDAllocationTandM,0,'Delivery Calculation'!R139),IF(MDReportingPeriod=TMDMonthly,I199,IF(MDReportingPeriod=TMDTwoweekly,I198,I197)))</f>
        <v>0</v>
      </c>
      <c r="J205" s="509">
        <f>IF(J$15=TMDPeriodValueTypeForecast,IF('Delivery Calculation'!$H$29=TMDAllocationTandM,0,'Delivery Calculation'!S139),IF(MDReportingPeriod=TMDMonthly,J199,IF(MDReportingPeriod=TMDTwoweekly,J198,J197)))</f>
        <v>0</v>
      </c>
      <c r="K205" s="509">
        <f>IF(K$15=TMDPeriodValueTypeForecast,IF('Delivery Calculation'!$H$29=TMDAllocationTandM,0,'Delivery Calculation'!T139),IF(MDReportingPeriod=TMDMonthly,K199,IF(MDReportingPeriod=TMDTwoweekly,K198,K197)))</f>
        <v>0</v>
      </c>
      <c r="L205" s="509">
        <f>IF(L$15=TMDPeriodValueTypeForecast,IF('Delivery Calculation'!$H$29=TMDAllocationTandM,0,'Delivery Calculation'!U139),IF(MDReportingPeriod=TMDMonthly,L199,IF(MDReportingPeriod=TMDTwoweekly,L198,L197)))</f>
        <v>0</v>
      </c>
      <c r="M205" s="509">
        <f>IF(M$15=TMDPeriodValueTypeForecast,IF('Delivery Calculation'!$H$29=TMDAllocationTandM,0,'Delivery Calculation'!V139),IF(MDReportingPeriod=TMDMonthly,M199,IF(MDReportingPeriod=TMDTwoweekly,M198,M197)))</f>
        <v>0</v>
      </c>
      <c r="N205" s="509">
        <f>IF(N$15=TMDPeriodValueTypeForecast,IF('Delivery Calculation'!$H$29=TMDAllocationTandM,0,'Delivery Calculation'!W139),IF(MDReportingPeriod=TMDMonthly,N199,IF(MDReportingPeriod=TMDTwoweekly,N198,N197)))</f>
        <v>0</v>
      </c>
      <c r="O205" s="509">
        <f>IF(O$15=TMDPeriodValueTypeForecast,IF('Delivery Calculation'!$H$29=TMDAllocationTandM,0,'Delivery Calculation'!X139),IF(MDReportingPeriod=TMDMonthly,O199,IF(MDReportingPeriod=TMDTwoweekly,O198,O197)))</f>
        <v>0</v>
      </c>
      <c r="P205" s="509">
        <f>IF(P$15=TMDPeriodValueTypeForecast,IF('Delivery Calculation'!$H$29=TMDAllocationTandM,0,'Delivery Calculation'!Y139),IF(MDReportingPeriod=TMDMonthly,P199,IF(MDReportingPeriod=TMDTwoweekly,P198,P197)))</f>
        <v>0</v>
      </c>
      <c r="Q205" s="509">
        <f>IF(Q$15=TMDPeriodValueTypeForecast,IF('Delivery Calculation'!$H$29=TMDAllocationTandM,0,'Delivery Calculation'!Z139),IF(MDReportingPeriod=TMDMonthly,Q199,IF(MDReportingPeriod=TMDTwoweekly,Q198,Q197)))</f>
        <v>0</v>
      </c>
      <c r="R205" s="509">
        <f>IF(R$15=TMDPeriodValueTypeForecast,IF('Delivery Calculation'!$H$29=TMDAllocationTandM,0,'Delivery Calculation'!AA139),IF(MDReportingPeriod=TMDMonthly,R199,IF(MDReportingPeriod=TMDTwoweekly,R198,R197)))</f>
        <v>0</v>
      </c>
      <c r="S205" s="509">
        <f>IF(S$15=TMDPeriodValueTypeForecast,IF('Delivery Calculation'!$H$29=TMDAllocationTandM,0,'Delivery Calculation'!AB139),IF(MDReportingPeriod=TMDMonthly,S199,IF(MDReportingPeriod=TMDTwoweekly,S198,S197)))</f>
        <v>0</v>
      </c>
      <c r="T205" s="509">
        <f>IF(T$15=TMDPeriodValueTypeForecast,IF('Delivery Calculation'!$H$29=TMDAllocationTandM,0,'Delivery Calculation'!AC139),IF(MDReportingPeriod=TMDMonthly,T199,IF(MDReportingPeriod=TMDTwoweekly,T198,T197)))</f>
        <v>0</v>
      </c>
      <c r="U205" s="509">
        <f>IF(U$15=TMDPeriodValueTypeForecast,IF('Delivery Calculation'!$H$29=TMDAllocationTandM,0,'Delivery Calculation'!AD139),IF(MDReportingPeriod=TMDMonthly,U199,IF(MDReportingPeriod=TMDTwoweekly,U198,U197)))</f>
        <v>0</v>
      </c>
      <c r="V205" s="509">
        <f>IF(V$15=TMDPeriodValueTypeForecast,IF('Delivery Calculation'!$H$29=TMDAllocationTandM,0,'Delivery Calculation'!AE139),IF(MDReportingPeriod=TMDMonthly,V199,IF(MDReportingPeriod=TMDTwoweekly,V198,V197)))</f>
        <v>0</v>
      </c>
      <c r="W205" s="509">
        <f>IF(W$15=TMDPeriodValueTypeForecast,IF('Delivery Calculation'!$H$29=TMDAllocationTandM,0,'Delivery Calculation'!AF139),IF(MDReportingPeriod=TMDMonthly,W199,IF(MDReportingPeriod=TMDTwoweekly,W198,W197)))</f>
        <v>0</v>
      </c>
      <c r="X205" s="509">
        <f>IF(X$15=TMDPeriodValueTypeForecast,IF('Delivery Calculation'!$H$29=TMDAllocationTandM,0,'Delivery Calculation'!AG139),IF(MDReportingPeriod=TMDMonthly,X199,IF(MDReportingPeriod=TMDTwoweekly,X198,X197)))</f>
        <v>0</v>
      </c>
      <c r="Y205" s="509">
        <f>IF(Y$15=TMDPeriodValueTypeForecast,IF('Delivery Calculation'!$H$29=TMDAllocationTandM,0,'Delivery Calculation'!AH139),IF(MDReportingPeriod=TMDMonthly,Y199,IF(MDReportingPeriod=TMDTwoweekly,Y198,Y197)))</f>
        <v>0</v>
      </c>
      <c r="Z205" s="509">
        <f>IF(Z$15=TMDPeriodValueTypeForecast,IF('Delivery Calculation'!$H$29=TMDAllocationTandM,0,'Delivery Calculation'!AI139),IF(MDReportingPeriod=TMDMonthly,Z199,IF(MDReportingPeriod=TMDTwoweekly,Z198,Z197)))</f>
        <v>0</v>
      </c>
      <c r="AA205" s="509">
        <f>IF(AA$15=TMDPeriodValueTypeForecast,IF('Delivery Calculation'!$H$29=TMDAllocationTandM,0,'Delivery Calculation'!AJ139),IF(MDReportingPeriod=TMDMonthly,AA199,IF(MDReportingPeriod=TMDTwoweekly,AA198,AA197)))</f>
        <v>0</v>
      </c>
      <c r="AB205" s="509">
        <f>IF(AB$15=TMDPeriodValueTypeForecast,IF('Delivery Calculation'!$H$29=TMDAllocationTandM,0,'Delivery Calculation'!AK139),IF(MDReportingPeriod=TMDMonthly,AB199,IF(MDReportingPeriod=TMDTwoweekly,AB198,AB197)))</f>
        <v>0</v>
      </c>
      <c r="AC205" s="509">
        <f>IF(AC$15=TMDPeriodValueTypeForecast,IF('Delivery Calculation'!$H$29=TMDAllocationTandM,0,'Delivery Calculation'!AL139),IF(MDReportingPeriod=TMDMonthly,AC199,IF(MDReportingPeriod=TMDTwoweekly,AC198,AC197)))</f>
        <v>0</v>
      </c>
      <c r="AD205" s="509">
        <f>IF(AD$15=TMDPeriodValueTypeForecast,IF('Delivery Calculation'!$H$29=TMDAllocationTandM,0,'Delivery Calculation'!AM139),IF(MDReportingPeriod=TMDMonthly,AD199,IF(MDReportingPeriod=TMDTwoweekly,AD198,AD197)))</f>
        <v>0</v>
      </c>
      <c r="AE205" s="509">
        <f>IF(AE$15=TMDPeriodValueTypeForecast,IF('Delivery Calculation'!$H$29=TMDAllocationTandM,0,'Delivery Calculation'!AN139),IF(MDReportingPeriod=TMDMonthly,AE199,IF(MDReportingPeriod=TMDTwoweekly,AE198,AE197)))</f>
        <v>0</v>
      </c>
      <c r="AF205" s="509">
        <f>IF(AF$15=TMDPeriodValueTypeForecast,IF('Delivery Calculation'!$H$29=TMDAllocationTandM,0,'Delivery Calculation'!AO139),IF(MDReportingPeriod=TMDMonthly,AF199,IF(MDReportingPeriod=TMDTwoweekly,AF198,AF197)))</f>
        <v>0</v>
      </c>
      <c r="AG205" s="509">
        <f>IF(AG$15=TMDPeriodValueTypeForecast,IF('Delivery Calculation'!$H$29=TMDAllocationTandM,0,'Delivery Calculation'!AP139),IF(MDReportingPeriod=TMDMonthly,AG199,IF(MDReportingPeriod=TMDTwoweekly,AG198,AG197)))</f>
        <v>0</v>
      </c>
      <c r="AH205" s="509">
        <f>IF(AH$15=TMDPeriodValueTypeForecast,IF('Delivery Calculation'!$H$29=TMDAllocationTandM,0,'Delivery Calculation'!AQ139),IF(MDReportingPeriod=TMDMonthly,AH199,IF(MDReportingPeriod=TMDTwoweekly,AH198,AH197)))</f>
        <v>0</v>
      </c>
      <c r="AI205" s="509">
        <f>IF(AI$15=TMDPeriodValueTypeForecast,IF('Delivery Calculation'!$H$29=TMDAllocationTandM,0,'Delivery Calculation'!AR139),IF(MDReportingPeriod=TMDMonthly,AI199,IF(MDReportingPeriod=TMDTwoweekly,AI198,AI197)))</f>
        <v>0</v>
      </c>
      <c r="AJ205" s="509">
        <f>IF(AJ$15=TMDPeriodValueTypeForecast,IF('Delivery Calculation'!$H$29=TMDAllocationTandM,0,'Delivery Calculation'!AS139),IF(MDReportingPeriod=TMDMonthly,AJ199,IF(MDReportingPeriod=TMDTwoweekly,AJ198,AJ197)))</f>
        <v>0</v>
      </c>
      <c r="AK205" s="509">
        <f>IF(AK$15=TMDPeriodValueTypeForecast,IF('Delivery Calculation'!$H$29=TMDAllocationTandM,0,'Delivery Calculation'!AT139),IF(MDReportingPeriod=TMDMonthly,AK199,IF(MDReportingPeriod=TMDTwoweekly,AK198,AK197)))</f>
        <v>0</v>
      </c>
      <c r="AL205" s="509">
        <f>IF(AL$15=TMDPeriodValueTypeForecast,IF('Delivery Calculation'!$H$29=TMDAllocationTandM,0,'Delivery Calculation'!AU139),IF(MDReportingPeriod=TMDMonthly,AL199,IF(MDReportingPeriod=TMDTwoweekly,AL198,AL197)))</f>
        <v>0</v>
      </c>
      <c r="AM205" s="509">
        <f>IF(AM$15=TMDPeriodValueTypeForecast,IF('Delivery Calculation'!$H$29=TMDAllocationTandM,0,'Delivery Calculation'!AV139),IF(MDReportingPeriod=TMDMonthly,AM199,IF(MDReportingPeriod=TMDTwoweekly,AM198,AM197)))</f>
        <v>0</v>
      </c>
      <c r="AN205" s="509">
        <f>IF(AN$15=TMDPeriodValueTypeForecast,IF('Delivery Calculation'!$H$29=TMDAllocationTandM,0,'Delivery Calculation'!AW139),IF(MDReportingPeriod=TMDMonthly,AN199,IF(MDReportingPeriod=TMDTwoweekly,AN198,AN197)))</f>
        <v>0</v>
      </c>
      <c r="AO205" s="509">
        <f>IF(AO$15=TMDPeriodValueTypeForecast,IF('Delivery Calculation'!$H$29=TMDAllocationTandM,0,'Delivery Calculation'!AX139),IF(MDReportingPeriod=TMDMonthly,AO199,IF(MDReportingPeriod=TMDTwoweekly,AO198,AO197)))</f>
        <v>0</v>
      </c>
      <c r="AP205" s="501"/>
      <c r="AQ205" s="505">
        <f>SUMIF($D$15:$AO$15,TMDPeriodValueTypeReported,D205:AO205)</f>
        <v>0</v>
      </c>
      <c r="AR205" s="505">
        <f>SUMIF($D$15:$AO$15,TMDPeriodValueTypeForecast,D205:AO205)</f>
        <v>0</v>
      </c>
      <c r="AS205" s="523">
        <f>'Delivery Calculation'!J29</f>
        <v>0</v>
      </c>
      <c r="AT205" s="505">
        <f>AS205-(AQ205+AR205)</f>
        <v>0</v>
      </c>
      <c r="AU205" s="505"/>
      <c r="AV205" s="510"/>
      <c r="AW205" s="452"/>
    </row>
    <row r="206" spans="1:49">
      <c r="A206" s="1184"/>
      <c r="B206" s="1181"/>
      <c r="C206" s="499" t="s">
        <v>588</v>
      </c>
      <c r="D206" s="509">
        <f>IF(D$15=TMDPeriodValueTypeForecast,IF('Delivery Calculation'!$H$29=TMDAllocationTandM,0,'Delivery Calculation'!M103),IF(MDReportingPeriod=TMDMonthly,D202,IF(MDReportingPeriod=TMDTwoweekly,D201,D200)))</f>
        <v>0</v>
      </c>
      <c r="E206" s="509">
        <f>IF(E$15=TMDPeriodValueTypeForecast,IF('Delivery Calculation'!$H$29=TMDAllocationTandM,0,'Delivery Calculation'!N103),IF(MDReportingPeriod=TMDMonthly,E202,IF(MDReportingPeriod=TMDTwoweekly,E201,E200)))</f>
        <v>0</v>
      </c>
      <c r="F206" s="509">
        <f>IF(F$15=TMDPeriodValueTypeForecast,IF('Delivery Calculation'!$H$29=TMDAllocationTandM,0,'Delivery Calculation'!O103),IF(MDReportingPeriod=TMDMonthly,F202,IF(MDReportingPeriod=TMDTwoweekly,F201,F200)))</f>
        <v>0</v>
      </c>
      <c r="G206" s="509">
        <f>IF(G$15=TMDPeriodValueTypeForecast,IF('Delivery Calculation'!$H$29=TMDAllocationTandM,0,'Delivery Calculation'!P103),IF(MDReportingPeriod=TMDMonthly,G202,IF(MDReportingPeriod=TMDTwoweekly,G201,G200)))</f>
        <v>0</v>
      </c>
      <c r="H206" s="509">
        <f>IF(H$15=TMDPeriodValueTypeForecast,IF('Delivery Calculation'!$H$29=TMDAllocationTandM,0,'Delivery Calculation'!Q103),IF(MDReportingPeriod=TMDMonthly,H202,IF(MDReportingPeriod=TMDTwoweekly,H201,H200)))</f>
        <v>0</v>
      </c>
      <c r="I206" s="509">
        <f>IF(I$15=TMDPeriodValueTypeForecast,IF('Delivery Calculation'!$H$29=TMDAllocationTandM,0,'Delivery Calculation'!R103),IF(MDReportingPeriod=TMDMonthly,I202,IF(MDReportingPeriod=TMDTwoweekly,I201,I200)))</f>
        <v>0</v>
      </c>
      <c r="J206" s="509">
        <f>IF(J$15=TMDPeriodValueTypeForecast,IF('Delivery Calculation'!$H$29=TMDAllocationTandM,0,'Delivery Calculation'!S103),IF(MDReportingPeriod=TMDMonthly,J202,IF(MDReportingPeriod=TMDTwoweekly,J201,J200)))</f>
        <v>0</v>
      </c>
      <c r="K206" s="509">
        <f>IF(K$15=TMDPeriodValueTypeForecast,IF('Delivery Calculation'!$H$29=TMDAllocationTandM,0,'Delivery Calculation'!T103),IF(MDReportingPeriod=TMDMonthly,K202,IF(MDReportingPeriod=TMDTwoweekly,K201,K200)))</f>
        <v>0</v>
      </c>
      <c r="L206" s="509">
        <f>IF(L$15=TMDPeriodValueTypeForecast,IF('Delivery Calculation'!$H$29=TMDAllocationTandM,0,'Delivery Calculation'!U103),IF(MDReportingPeriod=TMDMonthly,L202,IF(MDReportingPeriod=TMDTwoweekly,L201,L200)))</f>
        <v>0</v>
      </c>
      <c r="M206" s="509">
        <f>IF(M$15=TMDPeriodValueTypeForecast,IF('Delivery Calculation'!$H$29=TMDAllocationTandM,0,'Delivery Calculation'!V103),IF(MDReportingPeriod=TMDMonthly,M202,IF(MDReportingPeriod=TMDTwoweekly,M201,M200)))</f>
        <v>0</v>
      </c>
      <c r="N206" s="509">
        <f>IF(N$15=TMDPeriodValueTypeForecast,IF('Delivery Calculation'!$H$29=TMDAllocationTandM,0,'Delivery Calculation'!W103),IF(MDReportingPeriod=TMDMonthly,N202,IF(MDReportingPeriod=TMDTwoweekly,N201,N200)))</f>
        <v>0</v>
      </c>
      <c r="O206" s="509">
        <f>IF(O$15=TMDPeriodValueTypeForecast,IF('Delivery Calculation'!$H$29=TMDAllocationTandM,0,'Delivery Calculation'!X103),IF(MDReportingPeriod=TMDMonthly,O202,IF(MDReportingPeriod=TMDTwoweekly,O201,O200)))</f>
        <v>0</v>
      </c>
      <c r="P206" s="509">
        <f>IF(P$15=TMDPeriodValueTypeForecast,IF('Delivery Calculation'!$H$29=TMDAllocationTandM,0,'Delivery Calculation'!Y103),IF(MDReportingPeriod=TMDMonthly,P202,IF(MDReportingPeriod=TMDTwoweekly,P201,P200)))</f>
        <v>0</v>
      </c>
      <c r="Q206" s="509">
        <f>IF(Q$15=TMDPeriodValueTypeForecast,IF('Delivery Calculation'!$H$29=TMDAllocationTandM,0,'Delivery Calculation'!Z103),IF(MDReportingPeriod=TMDMonthly,Q202,IF(MDReportingPeriod=TMDTwoweekly,Q201,Q200)))</f>
        <v>0</v>
      </c>
      <c r="R206" s="509">
        <f>IF(R$15=TMDPeriodValueTypeForecast,IF('Delivery Calculation'!$H$29=TMDAllocationTandM,0,'Delivery Calculation'!AA103),IF(MDReportingPeriod=TMDMonthly,R202,IF(MDReportingPeriod=TMDTwoweekly,R201,R200)))</f>
        <v>0</v>
      </c>
      <c r="S206" s="509">
        <f>IF(S$15=TMDPeriodValueTypeForecast,IF('Delivery Calculation'!$H$29=TMDAllocationTandM,0,'Delivery Calculation'!AB103),IF(MDReportingPeriod=TMDMonthly,S202,IF(MDReportingPeriod=TMDTwoweekly,S201,S200)))</f>
        <v>0</v>
      </c>
      <c r="T206" s="509">
        <f>IF(T$15=TMDPeriodValueTypeForecast,IF('Delivery Calculation'!$H$29=TMDAllocationTandM,0,'Delivery Calculation'!AC103),IF(MDReportingPeriod=TMDMonthly,T202,IF(MDReportingPeriod=TMDTwoweekly,T201,T200)))</f>
        <v>0</v>
      </c>
      <c r="U206" s="509">
        <f>IF(U$15=TMDPeriodValueTypeForecast,IF('Delivery Calculation'!$H$29=TMDAllocationTandM,0,'Delivery Calculation'!AD103),IF(MDReportingPeriod=TMDMonthly,U202,IF(MDReportingPeriod=TMDTwoweekly,U201,U200)))</f>
        <v>0</v>
      </c>
      <c r="V206" s="509">
        <f>IF(V$15=TMDPeriodValueTypeForecast,IF('Delivery Calculation'!$H$29=TMDAllocationTandM,0,'Delivery Calculation'!AE103),IF(MDReportingPeriod=TMDMonthly,V202,IF(MDReportingPeriod=TMDTwoweekly,V201,V200)))</f>
        <v>0</v>
      </c>
      <c r="W206" s="509">
        <f>IF(W$15=TMDPeriodValueTypeForecast,IF('Delivery Calculation'!$H$29=TMDAllocationTandM,0,'Delivery Calculation'!AF103),IF(MDReportingPeriod=TMDMonthly,W202,IF(MDReportingPeriod=TMDTwoweekly,W201,W200)))</f>
        <v>0</v>
      </c>
      <c r="X206" s="509">
        <f>IF(X$15=TMDPeriodValueTypeForecast,IF('Delivery Calculation'!$H$29=TMDAllocationTandM,0,'Delivery Calculation'!AG103),IF(MDReportingPeriod=TMDMonthly,X202,IF(MDReportingPeriod=TMDTwoweekly,X201,X200)))</f>
        <v>0</v>
      </c>
      <c r="Y206" s="509">
        <f>IF(Y$15=TMDPeriodValueTypeForecast,IF('Delivery Calculation'!$H$29=TMDAllocationTandM,0,'Delivery Calculation'!AH103),IF(MDReportingPeriod=TMDMonthly,Y202,IF(MDReportingPeriod=TMDTwoweekly,Y201,Y200)))</f>
        <v>0</v>
      </c>
      <c r="Z206" s="509">
        <f>IF(Z$15=TMDPeriodValueTypeForecast,IF('Delivery Calculation'!$H$29=TMDAllocationTandM,0,'Delivery Calculation'!AI103),IF(MDReportingPeriod=TMDMonthly,Z202,IF(MDReportingPeriod=TMDTwoweekly,Z201,Z200)))</f>
        <v>0</v>
      </c>
      <c r="AA206" s="509">
        <f>IF(AA$15=TMDPeriodValueTypeForecast,IF('Delivery Calculation'!$H$29=TMDAllocationTandM,0,'Delivery Calculation'!AJ103),IF(MDReportingPeriod=TMDMonthly,AA202,IF(MDReportingPeriod=TMDTwoweekly,AA201,AA200)))</f>
        <v>0</v>
      </c>
      <c r="AB206" s="509">
        <f>IF(AB$15=TMDPeriodValueTypeForecast,IF('Delivery Calculation'!$H$29=TMDAllocationTandM,0,'Delivery Calculation'!AK103),IF(MDReportingPeriod=TMDMonthly,AB202,IF(MDReportingPeriod=TMDTwoweekly,AB201,AB200)))</f>
        <v>0</v>
      </c>
      <c r="AC206" s="509">
        <f>IF(AC$15=TMDPeriodValueTypeForecast,IF('Delivery Calculation'!$H$29=TMDAllocationTandM,0,'Delivery Calculation'!AL103),IF(MDReportingPeriod=TMDMonthly,AC202,IF(MDReportingPeriod=TMDTwoweekly,AC201,AC200)))</f>
        <v>0</v>
      </c>
      <c r="AD206" s="509">
        <f>IF(AD$15=TMDPeriodValueTypeForecast,IF('Delivery Calculation'!$H$29=TMDAllocationTandM,0,'Delivery Calculation'!AM103),IF(MDReportingPeriod=TMDMonthly,AD202,IF(MDReportingPeriod=TMDTwoweekly,AD201,AD200)))</f>
        <v>0</v>
      </c>
      <c r="AE206" s="509">
        <f>IF(AE$15=TMDPeriodValueTypeForecast,IF('Delivery Calculation'!$H$29=TMDAllocationTandM,0,'Delivery Calculation'!AN103),IF(MDReportingPeriod=TMDMonthly,AE202,IF(MDReportingPeriod=TMDTwoweekly,AE201,AE200)))</f>
        <v>0</v>
      </c>
      <c r="AF206" s="509">
        <f>IF(AF$15=TMDPeriodValueTypeForecast,IF('Delivery Calculation'!$H$29=TMDAllocationTandM,0,'Delivery Calculation'!AO103),IF(MDReportingPeriod=TMDMonthly,AF202,IF(MDReportingPeriod=TMDTwoweekly,AF201,AF200)))</f>
        <v>0</v>
      </c>
      <c r="AG206" s="509">
        <f>IF(AG$15=TMDPeriodValueTypeForecast,IF('Delivery Calculation'!$H$29=TMDAllocationTandM,0,'Delivery Calculation'!AP103),IF(MDReportingPeriod=TMDMonthly,AG202,IF(MDReportingPeriod=TMDTwoweekly,AG201,AG200)))</f>
        <v>0</v>
      </c>
      <c r="AH206" s="509">
        <f>IF(AH$15=TMDPeriodValueTypeForecast,IF('Delivery Calculation'!$H$29=TMDAllocationTandM,0,'Delivery Calculation'!AQ103),IF(MDReportingPeriod=TMDMonthly,AH202,IF(MDReportingPeriod=TMDTwoweekly,AH201,AH200)))</f>
        <v>0</v>
      </c>
      <c r="AI206" s="509">
        <f>IF(AI$15=TMDPeriodValueTypeForecast,IF('Delivery Calculation'!$H$29=TMDAllocationTandM,0,'Delivery Calculation'!AR103),IF(MDReportingPeriod=TMDMonthly,AI202,IF(MDReportingPeriod=TMDTwoweekly,AI201,AI200)))</f>
        <v>0</v>
      </c>
      <c r="AJ206" s="509">
        <f>IF(AJ$15=TMDPeriodValueTypeForecast,IF('Delivery Calculation'!$H$29=TMDAllocationTandM,0,'Delivery Calculation'!AS103),IF(MDReportingPeriod=TMDMonthly,AJ202,IF(MDReportingPeriod=TMDTwoweekly,AJ201,AJ200)))</f>
        <v>0</v>
      </c>
      <c r="AK206" s="509">
        <f>IF(AK$15=TMDPeriodValueTypeForecast,IF('Delivery Calculation'!$H$29=TMDAllocationTandM,0,'Delivery Calculation'!AT103),IF(MDReportingPeriod=TMDMonthly,AK202,IF(MDReportingPeriod=TMDTwoweekly,AK201,AK200)))</f>
        <v>0</v>
      </c>
      <c r="AL206" s="509">
        <f>IF(AL$15=TMDPeriodValueTypeForecast,IF('Delivery Calculation'!$H$29=TMDAllocationTandM,0,'Delivery Calculation'!AU103),IF(MDReportingPeriod=TMDMonthly,AL202,IF(MDReportingPeriod=TMDTwoweekly,AL201,AL200)))</f>
        <v>0</v>
      </c>
      <c r="AM206" s="509">
        <f>IF(AM$15=TMDPeriodValueTypeForecast,IF('Delivery Calculation'!$H$29=TMDAllocationTandM,0,'Delivery Calculation'!AV103),IF(MDReportingPeriod=TMDMonthly,AM202,IF(MDReportingPeriod=TMDTwoweekly,AM201,AM200)))</f>
        <v>0</v>
      </c>
      <c r="AN206" s="509">
        <f>IF(AN$15=TMDPeriodValueTypeForecast,IF('Delivery Calculation'!$H$29=TMDAllocationTandM,0,'Delivery Calculation'!AW103),IF(MDReportingPeriod=TMDMonthly,AN202,IF(MDReportingPeriod=TMDTwoweekly,AN201,AN200)))</f>
        <v>0</v>
      </c>
      <c r="AO206" s="509">
        <f>IF(AO$15=TMDPeriodValueTypeForecast,IF('Delivery Calculation'!$H$29=TMDAllocationTandM,0,'Delivery Calculation'!AX103),IF(MDReportingPeriod=TMDMonthly,AO202,IF(MDReportingPeriod=TMDTwoweekly,AO201,AO200)))</f>
        <v>0</v>
      </c>
      <c r="AP206" s="501"/>
      <c r="AQ206" s="505">
        <f>SUMIF($D$15:$AO$15,TMDPeriodValueTypeReported,D206:AO206)</f>
        <v>0</v>
      </c>
      <c r="AR206" s="505">
        <f>SUMIF($D$15:$AO$15,TMDPeriodValueTypeForecast,D206:AO206)</f>
        <v>0</v>
      </c>
      <c r="AS206" s="523">
        <f>'Delivery Calculation'!I29</f>
        <v>0</v>
      </c>
      <c r="AT206" s="505">
        <f>AS206-(AQ206+AR206)</f>
        <v>0</v>
      </c>
      <c r="AU206" s="505"/>
      <c r="AV206" s="510"/>
      <c r="AW206" s="452"/>
    </row>
    <row r="207" spans="1:49">
      <c r="A207" s="1185"/>
      <c r="B207" s="1182"/>
      <c r="C207" s="499" t="s">
        <v>589</v>
      </c>
      <c r="D207" s="509"/>
      <c r="E207" s="509"/>
      <c r="F207" s="509"/>
      <c r="G207" s="509"/>
      <c r="H207" s="509"/>
      <c r="I207" s="509"/>
      <c r="J207" s="509"/>
      <c r="K207" s="509"/>
      <c r="L207" s="509"/>
      <c r="M207" s="509"/>
      <c r="N207" s="509"/>
      <c r="O207" s="509"/>
      <c r="P207" s="509"/>
      <c r="Q207" s="509"/>
      <c r="R207" s="509"/>
      <c r="S207" s="509"/>
      <c r="T207" s="509"/>
      <c r="U207" s="509"/>
      <c r="V207" s="509"/>
      <c r="W207" s="509"/>
      <c r="X207" s="509"/>
      <c r="Y207" s="509"/>
      <c r="Z207" s="509"/>
      <c r="AA207" s="509"/>
      <c r="AB207" s="509"/>
      <c r="AC207" s="509"/>
      <c r="AD207" s="509"/>
      <c r="AE207" s="509"/>
      <c r="AF207" s="509"/>
      <c r="AG207" s="509"/>
      <c r="AH207" s="509"/>
      <c r="AI207" s="509"/>
      <c r="AJ207" s="509"/>
      <c r="AK207" s="509"/>
      <c r="AL207" s="509"/>
      <c r="AM207" s="509"/>
      <c r="AN207" s="509"/>
      <c r="AO207" s="509"/>
      <c r="AP207" s="501"/>
      <c r="AQ207" s="505">
        <f>SUMIF($D$15:$AO$15,TMDPeriodValueTypeReported,D207:AO207)</f>
        <v>0</v>
      </c>
      <c r="AR207" s="505">
        <f>SUMIF($D$15:$AO$15,TMDPeriodValueTypeForecast,D207:AO207)</f>
        <v>0</v>
      </c>
      <c r="AS207" s="505"/>
      <c r="AT207" s="505">
        <f>AQ207+AR207</f>
        <v>0</v>
      </c>
      <c r="AU207" s="505"/>
      <c r="AV207" s="510"/>
      <c r="AW207" s="452"/>
    </row>
    <row r="208" spans="1:49" hidden="1">
      <c r="A208" s="143"/>
      <c r="B208" s="483"/>
      <c r="C208" s="496" t="s">
        <v>1339</v>
      </c>
      <c r="D208" s="516">
        <f t="shared" ref="D208:AO208" si="102">IF(ISERR(GETPIVOTDATA("[Measures].[Hours]",TRIMARANweekly,"[Order].[Position Number]","[Order].[Position Number].&amp;[" &amp; $B215 &amp; "]","[Period].[Week]","[Period].[Week].&amp;[" &amp; YEAR(D$14-7) &amp; TEXT(WEEKNUM(D$14-7),"00") &amp; "]")),0,GETPIVOTDATA("[Measures].[Hours]",TRIMARANweekly,"[Order].[Position Number]","[Order].[Position Number].&amp;[" &amp; $B215 &amp; "]","[Period].[Week]","[Period].[Week].&amp;[" &amp; YEAR(D$14-7) &amp; TEXT(WEEKNUM(D$14-7),"00") &amp; "]"))</f>
        <v>0</v>
      </c>
      <c r="E208" s="516">
        <f t="shared" si="102"/>
        <v>0</v>
      </c>
      <c r="F208" s="516">
        <f t="shared" si="102"/>
        <v>0</v>
      </c>
      <c r="G208" s="516">
        <f t="shared" si="102"/>
        <v>0</v>
      </c>
      <c r="H208" s="516">
        <f t="shared" si="102"/>
        <v>0</v>
      </c>
      <c r="I208" s="516">
        <f t="shared" si="102"/>
        <v>0</v>
      </c>
      <c r="J208" s="516">
        <f t="shared" si="102"/>
        <v>0</v>
      </c>
      <c r="K208" s="516">
        <f t="shared" si="102"/>
        <v>0</v>
      </c>
      <c r="L208" s="516">
        <f t="shared" si="102"/>
        <v>0</v>
      </c>
      <c r="M208" s="516">
        <f t="shared" si="102"/>
        <v>0</v>
      </c>
      <c r="N208" s="516">
        <f t="shared" si="102"/>
        <v>0</v>
      </c>
      <c r="O208" s="516">
        <f t="shared" si="102"/>
        <v>0</v>
      </c>
      <c r="P208" s="516">
        <f t="shared" si="102"/>
        <v>0</v>
      </c>
      <c r="Q208" s="516">
        <f t="shared" si="102"/>
        <v>0</v>
      </c>
      <c r="R208" s="516">
        <f t="shared" si="102"/>
        <v>0</v>
      </c>
      <c r="S208" s="516">
        <f t="shared" si="102"/>
        <v>0</v>
      </c>
      <c r="T208" s="516">
        <f t="shared" si="102"/>
        <v>0</v>
      </c>
      <c r="U208" s="516">
        <f t="shared" si="102"/>
        <v>0</v>
      </c>
      <c r="V208" s="516">
        <f t="shared" si="102"/>
        <v>0</v>
      </c>
      <c r="W208" s="516">
        <f t="shared" si="102"/>
        <v>0</v>
      </c>
      <c r="X208" s="516">
        <f t="shared" si="102"/>
        <v>0</v>
      </c>
      <c r="Y208" s="516">
        <f t="shared" si="102"/>
        <v>0</v>
      </c>
      <c r="Z208" s="516">
        <f t="shared" si="102"/>
        <v>0</v>
      </c>
      <c r="AA208" s="516">
        <f t="shared" si="102"/>
        <v>0</v>
      </c>
      <c r="AB208" s="516">
        <f t="shared" si="102"/>
        <v>0</v>
      </c>
      <c r="AC208" s="516">
        <f t="shared" si="102"/>
        <v>0</v>
      </c>
      <c r="AD208" s="516">
        <f t="shared" si="102"/>
        <v>0</v>
      </c>
      <c r="AE208" s="516">
        <f t="shared" si="102"/>
        <v>0</v>
      </c>
      <c r="AF208" s="516">
        <f t="shared" si="102"/>
        <v>0</v>
      </c>
      <c r="AG208" s="516">
        <f t="shared" si="102"/>
        <v>0</v>
      </c>
      <c r="AH208" s="516">
        <f t="shared" si="102"/>
        <v>0</v>
      </c>
      <c r="AI208" s="516">
        <f t="shared" si="102"/>
        <v>0</v>
      </c>
      <c r="AJ208" s="516">
        <f t="shared" si="102"/>
        <v>0</v>
      </c>
      <c r="AK208" s="516">
        <f t="shared" si="102"/>
        <v>0</v>
      </c>
      <c r="AL208" s="516">
        <f t="shared" si="102"/>
        <v>0</v>
      </c>
      <c r="AM208" s="516">
        <f t="shared" si="102"/>
        <v>0</v>
      </c>
      <c r="AN208" s="516">
        <f t="shared" si="102"/>
        <v>0</v>
      </c>
      <c r="AO208" s="516">
        <f t="shared" si="102"/>
        <v>0</v>
      </c>
      <c r="AP208" s="501"/>
      <c r="AQ208" s="505"/>
      <c r="AR208" s="505"/>
      <c r="AS208" s="505"/>
      <c r="AT208" s="505"/>
      <c r="AU208" s="505"/>
      <c r="AV208" s="510"/>
      <c r="AW208" s="452"/>
    </row>
    <row r="209" spans="1:49" hidden="1">
      <c r="A209" s="143"/>
      <c r="B209" s="483"/>
      <c r="C209" s="496" t="s">
        <v>1340</v>
      </c>
      <c r="D209" s="516">
        <f t="shared" ref="D209:AO209" si="103">IF(ISERR(GETPIVOTDATA("[Measures].[Hours]",TRIMARANweekly,"[Order].[Position Number]","[Order].[Position Number].&amp;[" &amp; $B215 &amp; "]","[Period].[Week]","[Period].[Week].&amp;[" &amp; YEAR(D$14-14) &amp; TEXT(WEEKNUM(D$14-14),"00") &amp; "]")),0,GETPIVOTDATA("[Measures].[Hours]",TRIMARANweekly,"[Order].[Position Number]","[Order].[Position Number].&amp;[" &amp; $B215 &amp; "]","[Period].[Week]","[Period].[Week].&amp;[" &amp; YEAR(D$14-14) &amp; TEXT(WEEKNUM(D$14-14),"00") &amp; "]"))+D208</f>
        <v>0</v>
      </c>
      <c r="E209" s="516">
        <f t="shared" si="103"/>
        <v>0</v>
      </c>
      <c r="F209" s="516">
        <f t="shared" si="103"/>
        <v>0</v>
      </c>
      <c r="G209" s="516">
        <f t="shared" si="103"/>
        <v>0</v>
      </c>
      <c r="H209" s="516">
        <f t="shared" si="103"/>
        <v>0</v>
      </c>
      <c r="I209" s="516">
        <f t="shared" si="103"/>
        <v>0</v>
      </c>
      <c r="J209" s="516">
        <f t="shared" si="103"/>
        <v>0</v>
      </c>
      <c r="K209" s="516">
        <f t="shared" si="103"/>
        <v>0</v>
      </c>
      <c r="L209" s="516">
        <f t="shared" si="103"/>
        <v>0</v>
      </c>
      <c r="M209" s="516">
        <f t="shared" si="103"/>
        <v>0</v>
      </c>
      <c r="N209" s="516">
        <f t="shared" si="103"/>
        <v>0</v>
      </c>
      <c r="O209" s="516">
        <f t="shared" si="103"/>
        <v>0</v>
      </c>
      <c r="P209" s="516">
        <f t="shared" si="103"/>
        <v>0</v>
      </c>
      <c r="Q209" s="516">
        <f t="shared" si="103"/>
        <v>0</v>
      </c>
      <c r="R209" s="516">
        <f t="shared" si="103"/>
        <v>0</v>
      </c>
      <c r="S209" s="516">
        <f t="shared" si="103"/>
        <v>0</v>
      </c>
      <c r="T209" s="516">
        <f t="shared" si="103"/>
        <v>0</v>
      </c>
      <c r="U209" s="516">
        <f t="shared" si="103"/>
        <v>0</v>
      </c>
      <c r="V209" s="516">
        <f t="shared" si="103"/>
        <v>0</v>
      </c>
      <c r="W209" s="516">
        <f t="shared" si="103"/>
        <v>0</v>
      </c>
      <c r="X209" s="516">
        <f t="shared" si="103"/>
        <v>0</v>
      </c>
      <c r="Y209" s="516">
        <f t="shared" si="103"/>
        <v>0</v>
      </c>
      <c r="Z209" s="516">
        <f t="shared" si="103"/>
        <v>0</v>
      </c>
      <c r="AA209" s="516">
        <f t="shared" si="103"/>
        <v>0</v>
      </c>
      <c r="AB209" s="516">
        <f t="shared" si="103"/>
        <v>0</v>
      </c>
      <c r="AC209" s="516">
        <f t="shared" si="103"/>
        <v>0</v>
      </c>
      <c r="AD209" s="516">
        <f t="shared" si="103"/>
        <v>0</v>
      </c>
      <c r="AE209" s="516">
        <f t="shared" si="103"/>
        <v>0</v>
      </c>
      <c r="AF209" s="516">
        <f t="shared" si="103"/>
        <v>0</v>
      </c>
      <c r="AG209" s="516">
        <f t="shared" si="103"/>
        <v>0</v>
      </c>
      <c r="AH209" s="516">
        <f t="shared" si="103"/>
        <v>0</v>
      </c>
      <c r="AI209" s="516">
        <f t="shared" si="103"/>
        <v>0</v>
      </c>
      <c r="AJ209" s="516">
        <f t="shared" si="103"/>
        <v>0</v>
      </c>
      <c r="AK209" s="516">
        <f t="shared" si="103"/>
        <v>0</v>
      </c>
      <c r="AL209" s="516">
        <f t="shared" si="103"/>
        <v>0</v>
      </c>
      <c r="AM209" s="516">
        <f t="shared" si="103"/>
        <v>0</v>
      </c>
      <c r="AN209" s="516">
        <f t="shared" si="103"/>
        <v>0</v>
      </c>
      <c r="AO209" s="516">
        <f t="shared" si="103"/>
        <v>0</v>
      </c>
      <c r="AP209" s="501"/>
      <c r="AQ209" s="505"/>
      <c r="AR209" s="505"/>
      <c r="AS209" s="505"/>
      <c r="AT209" s="505"/>
      <c r="AU209" s="505"/>
      <c r="AV209" s="510"/>
      <c r="AW209" s="452"/>
    </row>
    <row r="210" spans="1:49" hidden="1">
      <c r="A210" s="143"/>
      <c r="B210" s="483"/>
      <c r="C210" s="496" t="s">
        <v>1341</v>
      </c>
      <c r="D210" s="516">
        <f t="shared" ref="D210:AO210" si="104">IF(ISERR(GETPIVOTDATA("[Measures].[Hours]",TRIMARANmonthly,"[Period].[Month]","[Period].[Month].&amp;["&amp;IF(MONTH(D$14)=1,YEAR(D$14)-1&amp;TEXT(12,"00"),YEAR(D$14)&amp;TEXT(MONTH(D$14)-1,"00"))&amp;"]","[Order].[Position Number]","[Order].[Position Number].&amp;["&amp;$B215&amp;"]")),0,GETPIVOTDATA("[Measures].[Hours]",TRIMARANmonthly,"[Period].[Month]","[Period].[Month].&amp;["&amp;IF(MONTH(D$14)=1,YEAR(D$14)-1&amp;TEXT(12,"00"),YEAR(D$14)&amp;TEXT(MONTH(D$14)-1,"00"))&amp;"]","[Order].[Position Number]","[Order].[Position Number].&amp;["&amp;$B215&amp;"]"))</f>
        <v>0</v>
      </c>
      <c r="E210" s="516">
        <f t="shared" si="104"/>
        <v>0</v>
      </c>
      <c r="F210" s="516">
        <f t="shared" si="104"/>
        <v>0</v>
      </c>
      <c r="G210" s="516">
        <f t="shared" si="104"/>
        <v>0</v>
      </c>
      <c r="H210" s="516">
        <f t="shared" si="104"/>
        <v>0</v>
      </c>
      <c r="I210" s="516">
        <f t="shared" si="104"/>
        <v>0</v>
      </c>
      <c r="J210" s="516">
        <f t="shared" si="104"/>
        <v>0</v>
      </c>
      <c r="K210" s="516">
        <f t="shared" si="104"/>
        <v>0</v>
      </c>
      <c r="L210" s="516">
        <f t="shared" si="104"/>
        <v>0</v>
      </c>
      <c r="M210" s="516">
        <f t="shared" si="104"/>
        <v>0</v>
      </c>
      <c r="N210" s="516">
        <f t="shared" si="104"/>
        <v>0</v>
      </c>
      <c r="O210" s="516">
        <f t="shared" si="104"/>
        <v>0</v>
      </c>
      <c r="P210" s="516">
        <f t="shared" si="104"/>
        <v>0</v>
      </c>
      <c r="Q210" s="516">
        <f t="shared" si="104"/>
        <v>0</v>
      </c>
      <c r="R210" s="516">
        <f t="shared" si="104"/>
        <v>0</v>
      </c>
      <c r="S210" s="516">
        <f t="shared" si="104"/>
        <v>0</v>
      </c>
      <c r="T210" s="516">
        <f t="shared" si="104"/>
        <v>0</v>
      </c>
      <c r="U210" s="516">
        <f t="shared" si="104"/>
        <v>0</v>
      </c>
      <c r="V210" s="516">
        <f t="shared" si="104"/>
        <v>0</v>
      </c>
      <c r="W210" s="516">
        <f t="shared" si="104"/>
        <v>0</v>
      </c>
      <c r="X210" s="516">
        <f t="shared" si="104"/>
        <v>0</v>
      </c>
      <c r="Y210" s="516">
        <f t="shared" si="104"/>
        <v>0</v>
      </c>
      <c r="Z210" s="516">
        <f t="shared" si="104"/>
        <v>0</v>
      </c>
      <c r="AA210" s="516">
        <f t="shared" si="104"/>
        <v>0</v>
      </c>
      <c r="AB210" s="516">
        <f t="shared" si="104"/>
        <v>0</v>
      </c>
      <c r="AC210" s="516">
        <f t="shared" si="104"/>
        <v>0</v>
      </c>
      <c r="AD210" s="516">
        <f t="shared" si="104"/>
        <v>0</v>
      </c>
      <c r="AE210" s="516">
        <f t="shared" si="104"/>
        <v>0</v>
      </c>
      <c r="AF210" s="516">
        <f t="shared" si="104"/>
        <v>0</v>
      </c>
      <c r="AG210" s="516">
        <f t="shared" si="104"/>
        <v>0</v>
      </c>
      <c r="AH210" s="516">
        <f t="shared" si="104"/>
        <v>0</v>
      </c>
      <c r="AI210" s="516">
        <f t="shared" si="104"/>
        <v>0</v>
      </c>
      <c r="AJ210" s="516">
        <f t="shared" si="104"/>
        <v>0</v>
      </c>
      <c r="AK210" s="516">
        <f t="shared" si="104"/>
        <v>0</v>
      </c>
      <c r="AL210" s="516">
        <f t="shared" si="104"/>
        <v>0</v>
      </c>
      <c r="AM210" s="516">
        <f t="shared" si="104"/>
        <v>0</v>
      </c>
      <c r="AN210" s="516">
        <f t="shared" si="104"/>
        <v>0</v>
      </c>
      <c r="AO210" s="516">
        <f t="shared" si="104"/>
        <v>0</v>
      </c>
      <c r="AP210" s="501"/>
      <c r="AQ210" s="505"/>
      <c r="AR210" s="505"/>
      <c r="AS210" s="505"/>
      <c r="AT210" s="505"/>
      <c r="AU210" s="505"/>
      <c r="AV210" s="510"/>
      <c r="AW210" s="452"/>
    </row>
    <row r="211" spans="1:49" hidden="1">
      <c r="A211" s="143"/>
      <c r="B211" s="483"/>
      <c r="C211" s="496" t="s">
        <v>1339</v>
      </c>
      <c r="D211" s="516">
        <f t="shared" ref="D211:AO211" si="105">IF(ISERR(GETPIVOTDATA("[Measures].[" &amp; MDContractCurrency &amp; "]",TRIMARANweekly,"[Order].[Position Number]","[Order].[Position Number].&amp;[" &amp; $B215 &amp; "]","[Period].[Week]","[Period].[Week].&amp;[" &amp; YEAR(D$14-7) &amp; TEXT(WEEKNUM(D$14-7),"00") &amp; "]")),0,GETPIVOTDATA("[Measures].[" &amp; MDContractCurrency &amp; "]",TRIMARANweekly,"[Order].[Position Number]","[Order].[Position Number].&amp;[" &amp; $B215 &amp; "]","[Period].[Week]","[Period].[Week].&amp;[" &amp; YEAR(D$14-7) &amp; TEXT(WEEKNUM(D$14-7),"00") &amp; "]"))</f>
        <v>0</v>
      </c>
      <c r="E211" s="516">
        <f t="shared" si="105"/>
        <v>0</v>
      </c>
      <c r="F211" s="516">
        <f t="shared" si="105"/>
        <v>0</v>
      </c>
      <c r="G211" s="516">
        <f t="shared" si="105"/>
        <v>0</v>
      </c>
      <c r="H211" s="516">
        <f t="shared" si="105"/>
        <v>0</v>
      </c>
      <c r="I211" s="516">
        <f t="shared" si="105"/>
        <v>0</v>
      </c>
      <c r="J211" s="516">
        <f t="shared" si="105"/>
        <v>0</v>
      </c>
      <c r="K211" s="516">
        <f t="shared" si="105"/>
        <v>0</v>
      </c>
      <c r="L211" s="516">
        <f t="shared" si="105"/>
        <v>0</v>
      </c>
      <c r="M211" s="516">
        <f t="shared" si="105"/>
        <v>0</v>
      </c>
      <c r="N211" s="516">
        <f t="shared" si="105"/>
        <v>0</v>
      </c>
      <c r="O211" s="516">
        <f t="shared" si="105"/>
        <v>0</v>
      </c>
      <c r="P211" s="516">
        <f t="shared" si="105"/>
        <v>0</v>
      </c>
      <c r="Q211" s="516">
        <f t="shared" si="105"/>
        <v>0</v>
      </c>
      <c r="R211" s="516">
        <f t="shared" si="105"/>
        <v>0</v>
      </c>
      <c r="S211" s="516">
        <f t="shared" si="105"/>
        <v>0</v>
      </c>
      <c r="T211" s="516">
        <f t="shared" si="105"/>
        <v>0</v>
      </c>
      <c r="U211" s="516">
        <f t="shared" si="105"/>
        <v>0</v>
      </c>
      <c r="V211" s="516">
        <f t="shared" si="105"/>
        <v>0</v>
      </c>
      <c r="W211" s="516">
        <f t="shared" si="105"/>
        <v>0</v>
      </c>
      <c r="X211" s="516">
        <f t="shared" si="105"/>
        <v>0</v>
      </c>
      <c r="Y211" s="516">
        <f t="shared" si="105"/>
        <v>0</v>
      </c>
      <c r="Z211" s="516">
        <f t="shared" si="105"/>
        <v>0</v>
      </c>
      <c r="AA211" s="516">
        <f t="shared" si="105"/>
        <v>0</v>
      </c>
      <c r="AB211" s="516">
        <f t="shared" si="105"/>
        <v>0</v>
      </c>
      <c r="AC211" s="516">
        <f t="shared" si="105"/>
        <v>0</v>
      </c>
      <c r="AD211" s="516">
        <f t="shared" si="105"/>
        <v>0</v>
      </c>
      <c r="AE211" s="516">
        <f t="shared" si="105"/>
        <v>0</v>
      </c>
      <c r="AF211" s="516">
        <f t="shared" si="105"/>
        <v>0</v>
      </c>
      <c r="AG211" s="516">
        <f t="shared" si="105"/>
        <v>0</v>
      </c>
      <c r="AH211" s="516">
        <f t="shared" si="105"/>
        <v>0</v>
      </c>
      <c r="AI211" s="516">
        <f t="shared" si="105"/>
        <v>0</v>
      </c>
      <c r="AJ211" s="516">
        <f t="shared" si="105"/>
        <v>0</v>
      </c>
      <c r="AK211" s="516">
        <f t="shared" si="105"/>
        <v>0</v>
      </c>
      <c r="AL211" s="516">
        <f t="shared" si="105"/>
        <v>0</v>
      </c>
      <c r="AM211" s="516">
        <f t="shared" si="105"/>
        <v>0</v>
      </c>
      <c r="AN211" s="516">
        <f t="shared" si="105"/>
        <v>0</v>
      </c>
      <c r="AO211" s="516">
        <f t="shared" si="105"/>
        <v>0</v>
      </c>
      <c r="AP211" s="501"/>
      <c r="AQ211" s="505"/>
      <c r="AR211" s="505"/>
      <c r="AS211" s="505"/>
      <c r="AT211" s="505"/>
      <c r="AU211" s="505"/>
      <c r="AV211" s="510"/>
      <c r="AW211" s="452"/>
    </row>
    <row r="212" spans="1:49" hidden="1">
      <c r="A212" s="143"/>
      <c r="B212" s="483"/>
      <c r="C212" s="496" t="s">
        <v>1340</v>
      </c>
      <c r="D212" s="516">
        <f t="shared" ref="D212:AO212" si="106">IF(ISERR(GETPIVOTDATA("[Measures].[" &amp; MDContractCurrency &amp; "]",TRIMARANweekly,"[Order].[Position Number]","[Order].[Position Number].&amp;[" &amp; $B215 &amp; "]","[Period].[Week]","[Period].[Week].&amp;[" &amp; YEAR(D$14-14) &amp; TEXT(WEEKNUM(D$14-14),"00") &amp; "]")),0,GETPIVOTDATA("[Measures].[" &amp; MDContractCurrency &amp; "]",TRIMARANweekly,"[Order].[Position Number]","[Order].[Position Number].&amp;[" &amp; $B215 &amp; "]","[Period].[Week]","[Period].[Week].&amp;[" &amp; YEAR(D$14-14) &amp; TEXT(WEEKNUM(D$14-14),"00") &amp; "]"))+D211</f>
        <v>0</v>
      </c>
      <c r="E212" s="516">
        <f t="shared" si="106"/>
        <v>0</v>
      </c>
      <c r="F212" s="516">
        <f t="shared" si="106"/>
        <v>0</v>
      </c>
      <c r="G212" s="516">
        <f t="shared" si="106"/>
        <v>0</v>
      </c>
      <c r="H212" s="516">
        <f t="shared" si="106"/>
        <v>0</v>
      </c>
      <c r="I212" s="516">
        <f t="shared" si="106"/>
        <v>0</v>
      </c>
      <c r="J212" s="516">
        <f t="shared" si="106"/>
        <v>0</v>
      </c>
      <c r="K212" s="516">
        <f t="shared" si="106"/>
        <v>0</v>
      </c>
      <c r="L212" s="516">
        <f t="shared" si="106"/>
        <v>0</v>
      </c>
      <c r="M212" s="516">
        <f t="shared" si="106"/>
        <v>0</v>
      </c>
      <c r="N212" s="516">
        <f t="shared" si="106"/>
        <v>0</v>
      </c>
      <c r="O212" s="516">
        <f t="shared" si="106"/>
        <v>0</v>
      </c>
      <c r="P212" s="516">
        <f t="shared" si="106"/>
        <v>0</v>
      </c>
      <c r="Q212" s="516">
        <f t="shared" si="106"/>
        <v>0</v>
      </c>
      <c r="R212" s="516">
        <f t="shared" si="106"/>
        <v>0</v>
      </c>
      <c r="S212" s="516">
        <f t="shared" si="106"/>
        <v>0</v>
      </c>
      <c r="T212" s="516">
        <f t="shared" si="106"/>
        <v>0</v>
      </c>
      <c r="U212" s="516">
        <f t="shared" si="106"/>
        <v>0</v>
      </c>
      <c r="V212" s="516">
        <f t="shared" si="106"/>
        <v>0</v>
      </c>
      <c r="W212" s="516">
        <f t="shared" si="106"/>
        <v>0</v>
      </c>
      <c r="X212" s="516">
        <f t="shared" si="106"/>
        <v>0</v>
      </c>
      <c r="Y212" s="516">
        <f t="shared" si="106"/>
        <v>0</v>
      </c>
      <c r="Z212" s="516">
        <f t="shared" si="106"/>
        <v>0</v>
      </c>
      <c r="AA212" s="516">
        <f t="shared" si="106"/>
        <v>0</v>
      </c>
      <c r="AB212" s="516">
        <f t="shared" si="106"/>
        <v>0</v>
      </c>
      <c r="AC212" s="516">
        <f t="shared" si="106"/>
        <v>0</v>
      </c>
      <c r="AD212" s="516">
        <f t="shared" si="106"/>
        <v>0</v>
      </c>
      <c r="AE212" s="516">
        <f t="shared" si="106"/>
        <v>0</v>
      </c>
      <c r="AF212" s="516">
        <f t="shared" si="106"/>
        <v>0</v>
      </c>
      <c r="AG212" s="516">
        <f t="shared" si="106"/>
        <v>0</v>
      </c>
      <c r="AH212" s="516">
        <f t="shared" si="106"/>
        <v>0</v>
      </c>
      <c r="AI212" s="516">
        <f t="shared" si="106"/>
        <v>0</v>
      </c>
      <c r="AJ212" s="516">
        <f t="shared" si="106"/>
        <v>0</v>
      </c>
      <c r="AK212" s="516">
        <f t="shared" si="106"/>
        <v>0</v>
      </c>
      <c r="AL212" s="516">
        <f t="shared" si="106"/>
        <v>0</v>
      </c>
      <c r="AM212" s="516">
        <f t="shared" si="106"/>
        <v>0</v>
      </c>
      <c r="AN212" s="516">
        <f t="shared" si="106"/>
        <v>0</v>
      </c>
      <c r="AO212" s="516">
        <f t="shared" si="106"/>
        <v>0</v>
      </c>
      <c r="AP212" s="501"/>
      <c r="AQ212" s="505"/>
      <c r="AR212" s="505"/>
      <c r="AS212" s="505"/>
      <c r="AT212" s="505"/>
      <c r="AU212" s="505"/>
      <c r="AV212" s="510"/>
      <c r="AW212" s="452"/>
    </row>
    <row r="213" spans="1:49" hidden="1">
      <c r="A213" s="141"/>
      <c r="B213" s="517"/>
      <c r="C213" s="496" t="s">
        <v>1341</v>
      </c>
      <c r="D213" s="516">
        <f t="shared" ref="D213:AO213" si="107">IF(ISERR(GETPIVOTDATA("[Measures].[" &amp; MDContractCurrency &amp; "]",TRIMARANmonthly,"[Period].[Month]","[Period].[Month].&amp;["&amp;IF(MONTH(D$14)=1,YEAR(D$14)-1&amp;TEXT(12,"00"),YEAR(D$14)&amp;TEXT(MONTH(D$14)-1,"00"))&amp;"]","[Order].[Position Number]","[Order].[Position Number].&amp;["&amp;$B215&amp;"]")),0,GETPIVOTDATA("[Measures].[" &amp; MDContractCurrency &amp; "]",TRIMARANmonthly,"[Period].[Month]","[Period].[Month].&amp;["&amp;IF(MONTH(D$14)=1,YEAR(D$14)-1&amp;TEXT(12,"00"),YEAR(D$14)&amp;TEXT(MONTH(D$14)-1,"00"))&amp;"]","[Order].[Position Number]","[Order].[Position Number].&amp;["&amp;$B215&amp;"]"))</f>
        <v>0</v>
      </c>
      <c r="E213" s="516">
        <f t="shared" si="107"/>
        <v>0</v>
      </c>
      <c r="F213" s="516">
        <f t="shared" si="107"/>
        <v>0</v>
      </c>
      <c r="G213" s="516">
        <f t="shared" si="107"/>
        <v>0</v>
      </c>
      <c r="H213" s="516">
        <f t="shared" si="107"/>
        <v>0</v>
      </c>
      <c r="I213" s="516">
        <f t="shared" si="107"/>
        <v>0</v>
      </c>
      <c r="J213" s="516">
        <f t="shared" si="107"/>
        <v>0</v>
      </c>
      <c r="K213" s="516">
        <f t="shared" si="107"/>
        <v>0</v>
      </c>
      <c r="L213" s="516">
        <f t="shared" si="107"/>
        <v>0</v>
      </c>
      <c r="M213" s="516">
        <f t="shared" si="107"/>
        <v>0</v>
      </c>
      <c r="N213" s="516">
        <f t="shared" si="107"/>
        <v>0</v>
      </c>
      <c r="O213" s="516">
        <f t="shared" si="107"/>
        <v>0</v>
      </c>
      <c r="P213" s="516">
        <f t="shared" si="107"/>
        <v>0</v>
      </c>
      <c r="Q213" s="516">
        <f t="shared" si="107"/>
        <v>0</v>
      </c>
      <c r="R213" s="516">
        <f t="shared" si="107"/>
        <v>0</v>
      </c>
      <c r="S213" s="516">
        <f t="shared" si="107"/>
        <v>0</v>
      </c>
      <c r="T213" s="516">
        <f t="shared" si="107"/>
        <v>0</v>
      </c>
      <c r="U213" s="516">
        <f t="shared" si="107"/>
        <v>0</v>
      </c>
      <c r="V213" s="516">
        <f t="shared" si="107"/>
        <v>0</v>
      </c>
      <c r="W213" s="516">
        <f t="shared" si="107"/>
        <v>0</v>
      </c>
      <c r="X213" s="516">
        <f t="shared" si="107"/>
        <v>0</v>
      </c>
      <c r="Y213" s="516">
        <f t="shared" si="107"/>
        <v>0</v>
      </c>
      <c r="Z213" s="516">
        <f t="shared" si="107"/>
        <v>0</v>
      </c>
      <c r="AA213" s="516">
        <f t="shared" si="107"/>
        <v>0</v>
      </c>
      <c r="AB213" s="516">
        <f t="shared" si="107"/>
        <v>0</v>
      </c>
      <c r="AC213" s="516">
        <f t="shared" si="107"/>
        <v>0</v>
      </c>
      <c r="AD213" s="516">
        <f t="shared" si="107"/>
        <v>0</v>
      </c>
      <c r="AE213" s="516">
        <f t="shared" si="107"/>
        <v>0</v>
      </c>
      <c r="AF213" s="516">
        <f t="shared" si="107"/>
        <v>0</v>
      </c>
      <c r="AG213" s="516">
        <f t="shared" si="107"/>
        <v>0</v>
      </c>
      <c r="AH213" s="516">
        <f t="shared" si="107"/>
        <v>0</v>
      </c>
      <c r="AI213" s="516">
        <f t="shared" si="107"/>
        <v>0</v>
      </c>
      <c r="AJ213" s="516">
        <f t="shared" si="107"/>
        <v>0</v>
      </c>
      <c r="AK213" s="516">
        <f t="shared" si="107"/>
        <v>0</v>
      </c>
      <c r="AL213" s="516">
        <f t="shared" si="107"/>
        <v>0</v>
      </c>
      <c r="AM213" s="516">
        <f t="shared" si="107"/>
        <v>0</v>
      </c>
      <c r="AN213" s="516">
        <f t="shared" si="107"/>
        <v>0</v>
      </c>
      <c r="AO213" s="516">
        <f t="shared" si="107"/>
        <v>0</v>
      </c>
      <c r="AP213" s="501"/>
      <c r="AQ213" s="505"/>
      <c r="AR213" s="505"/>
      <c r="AS213" s="505"/>
      <c r="AT213" s="505"/>
      <c r="AU213" s="505"/>
      <c r="AV213" s="510"/>
      <c r="AW213" s="452"/>
    </row>
    <row r="214" spans="1:49">
      <c r="A214" s="477"/>
      <c r="B214" s="483"/>
      <c r="C214" s="496"/>
      <c r="D214" s="496"/>
      <c r="E214" s="496"/>
      <c r="F214" s="496"/>
      <c r="G214" s="496"/>
      <c r="H214" s="496"/>
      <c r="I214" s="496"/>
      <c r="J214" s="496"/>
      <c r="K214" s="496"/>
      <c r="L214" s="496"/>
      <c r="M214" s="496"/>
      <c r="N214" s="496"/>
      <c r="O214" s="496"/>
      <c r="P214" s="496"/>
      <c r="Q214" s="496"/>
      <c r="R214" s="496"/>
      <c r="S214" s="496"/>
      <c r="T214" s="496"/>
      <c r="U214" s="496"/>
      <c r="V214" s="496"/>
      <c r="W214" s="496"/>
      <c r="X214" s="496"/>
      <c r="Y214" s="496"/>
      <c r="Z214" s="496"/>
      <c r="AA214" s="496"/>
      <c r="AB214" s="496"/>
      <c r="AC214" s="496"/>
      <c r="AD214" s="496"/>
      <c r="AE214" s="496"/>
      <c r="AF214" s="496"/>
      <c r="AG214" s="496"/>
      <c r="AH214" s="496"/>
      <c r="AI214" s="496"/>
      <c r="AJ214" s="496"/>
      <c r="AK214" s="496"/>
      <c r="AL214" s="496"/>
      <c r="AM214" s="496"/>
      <c r="AN214" s="496"/>
      <c r="AO214" s="496"/>
      <c r="AP214" s="501"/>
      <c r="AQ214" s="505"/>
      <c r="AR214" s="505"/>
      <c r="AS214" s="505"/>
      <c r="AT214" s="505"/>
      <c r="AU214" s="505"/>
      <c r="AV214" s="510"/>
      <c r="AW214" s="452"/>
    </row>
    <row r="215" spans="1:49">
      <c r="A215" s="1183" t="str">
        <f>'Delivery Calculation'!B30 &amp; CHAR(10) &amp; 'Delivery Calculation'!P30 &amp; " - " &amp; 'Delivery Calculation'!Q30</f>
        <v xml:space="preserve">0
 - </v>
      </c>
      <c r="B215" s="1180">
        <f>'Delivery Calculation'!A30</f>
        <v>0</v>
      </c>
      <c r="C215" s="499" t="s">
        <v>590</v>
      </c>
      <c r="D215" s="518">
        <f>'Delivery Calculation'!M211</f>
        <v>0</v>
      </c>
      <c r="E215" s="518">
        <f>'Delivery Calculation'!N211</f>
        <v>0</v>
      </c>
      <c r="F215" s="518">
        <f>'Delivery Calculation'!O211</f>
        <v>0</v>
      </c>
      <c r="G215" s="518">
        <f>'Delivery Calculation'!P211</f>
        <v>0</v>
      </c>
      <c r="H215" s="518">
        <f>'Delivery Calculation'!Q211</f>
        <v>0</v>
      </c>
      <c r="I215" s="518">
        <f>'Delivery Calculation'!R211</f>
        <v>0</v>
      </c>
      <c r="J215" s="518">
        <f>'Delivery Calculation'!S211</f>
        <v>0</v>
      </c>
      <c r="K215" s="518">
        <f>'Delivery Calculation'!T211</f>
        <v>0</v>
      </c>
      <c r="L215" s="518">
        <f>'Delivery Calculation'!U211</f>
        <v>0</v>
      </c>
      <c r="M215" s="518">
        <f>'Delivery Calculation'!V211</f>
        <v>0</v>
      </c>
      <c r="N215" s="518">
        <f>'Delivery Calculation'!W211</f>
        <v>0</v>
      </c>
      <c r="O215" s="518">
        <f>'Delivery Calculation'!X211</f>
        <v>0</v>
      </c>
      <c r="P215" s="518">
        <f>'Delivery Calculation'!Y211</f>
        <v>0</v>
      </c>
      <c r="Q215" s="518">
        <f>'Delivery Calculation'!Z211</f>
        <v>0</v>
      </c>
      <c r="R215" s="518">
        <f>'Delivery Calculation'!AA211</f>
        <v>0</v>
      </c>
      <c r="S215" s="518">
        <f>'Delivery Calculation'!AB211</f>
        <v>0</v>
      </c>
      <c r="T215" s="518">
        <f>'Delivery Calculation'!AC211</f>
        <v>0</v>
      </c>
      <c r="U215" s="518">
        <f>'Delivery Calculation'!AD211</f>
        <v>0</v>
      </c>
      <c r="V215" s="518">
        <f>'Delivery Calculation'!AE211</f>
        <v>0</v>
      </c>
      <c r="W215" s="518">
        <f>'Delivery Calculation'!AF211</f>
        <v>0</v>
      </c>
      <c r="X215" s="518">
        <f>'Delivery Calculation'!AG211</f>
        <v>0</v>
      </c>
      <c r="Y215" s="518">
        <f>'Delivery Calculation'!AH211</f>
        <v>0</v>
      </c>
      <c r="Z215" s="518">
        <f>'Delivery Calculation'!AI211</f>
        <v>0</v>
      </c>
      <c r="AA215" s="518">
        <f>'Delivery Calculation'!AJ211</f>
        <v>0</v>
      </c>
      <c r="AB215" s="518">
        <f>'Delivery Calculation'!AK211</f>
        <v>0</v>
      </c>
      <c r="AC215" s="518">
        <f>'Delivery Calculation'!AL211</f>
        <v>0</v>
      </c>
      <c r="AD215" s="518">
        <f>'Delivery Calculation'!AM211</f>
        <v>0</v>
      </c>
      <c r="AE215" s="518">
        <f>'Delivery Calculation'!AN211</f>
        <v>0</v>
      </c>
      <c r="AF215" s="518">
        <f>'Delivery Calculation'!AO211</f>
        <v>0</v>
      </c>
      <c r="AG215" s="518">
        <f>'Delivery Calculation'!AP211</f>
        <v>0</v>
      </c>
      <c r="AH215" s="518">
        <f>'Delivery Calculation'!AQ211</f>
        <v>0</v>
      </c>
      <c r="AI215" s="518">
        <f>'Delivery Calculation'!AR211</f>
        <v>0</v>
      </c>
      <c r="AJ215" s="518">
        <f>'Delivery Calculation'!AS211</f>
        <v>0</v>
      </c>
      <c r="AK215" s="518">
        <f>'Delivery Calculation'!AT211</f>
        <v>0</v>
      </c>
      <c r="AL215" s="518">
        <f>'Delivery Calculation'!AU211</f>
        <v>0</v>
      </c>
      <c r="AM215" s="518">
        <f>'Delivery Calculation'!AV211</f>
        <v>0</v>
      </c>
      <c r="AN215" s="518">
        <f>'Delivery Calculation'!AW211</f>
        <v>0</v>
      </c>
      <c r="AO215" s="518">
        <f>'Delivery Calculation'!AX211</f>
        <v>0</v>
      </c>
      <c r="AP215" s="501"/>
      <c r="AQ215" s="519">
        <f>IF(COUNTIF($D$15:$AO$15, TMDPeriodValueTypeReported)&gt;0, INDEX(D215:AO215,1,COUNTIF(D$15:$AO$15,TMDPeriodValueTypeReported)),0)</f>
        <v>0</v>
      </c>
      <c r="AR215" s="519"/>
      <c r="AS215" s="520">
        <f>'Delivery Calculation'!N30</f>
        <v>0</v>
      </c>
      <c r="AT215" s="519">
        <f>AQ215*'Delivery Calculation'!N30</f>
        <v>0</v>
      </c>
      <c r="AU215" s="521" t="s">
        <v>522</v>
      </c>
      <c r="AV215" s="510"/>
      <c r="AW215" s="452"/>
    </row>
    <row r="216" spans="1:49">
      <c r="A216" s="1184"/>
      <c r="B216" s="1181"/>
      <c r="C216" s="499" t="s">
        <v>591</v>
      </c>
      <c r="D216" s="509">
        <f>IF(D$15=TMDPeriodValueTypeForecast,IF('Delivery Calculation'!$H$30=TMDAllocationTandM,0,'Delivery Calculation'!M140),IF(MDReportingPeriod=TMDMonthly,D210,IF(MDReportingPeriod=TMDTwoweekly,D209,D208)))</f>
        <v>0</v>
      </c>
      <c r="E216" s="509">
        <f>IF(E$15=TMDPeriodValueTypeForecast,IF('Delivery Calculation'!$H$30=TMDAllocationTandM,0,'Delivery Calculation'!N140),IF(MDReportingPeriod=TMDMonthly,E210,IF(MDReportingPeriod=TMDTwoweekly,E209,E208)))</f>
        <v>0</v>
      </c>
      <c r="F216" s="509">
        <f>IF(F$15=TMDPeriodValueTypeForecast,IF('Delivery Calculation'!$H$30=TMDAllocationTandM,0,'Delivery Calculation'!O140),IF(MDReportingPeriod=TMDMonthly,F210,IF(MDReportingPeriod=TMDTwoweekly,F209,F208)))</f>
        <v>0</v>
      </c>
      <c r="G216" s="509">
        <f>IF(G$15=TMDPeriodValueTypeForecast,IF('Delivery Calculation'!$H$30=TMDAllocationTandM,0,'Delivery Calculation'!P140),IF(MDReportingPeriod=TMDMonthly,G210,IF(MDReportingPeriod=TMDTwoweekly,G209,G208)))</f>
        <v>0</v>
      </c>
      <c r="H216" s="509">
        <f>IF(H$15=TMDPeriodValueTypeForecast,IF('Delivery Calculation'!$H$30=TMDAllocationTandM,0,'Delivery Calculation'!Q140),IF(MDReportingPeriod=TMDMonthly,H210,IF(MDReportingPeriod=TMDTwoweekly,H209,H208)))</f>
        <v>0</v>
      </c>
      <c r="I216" s="509">
        <f>IF(I$15=TMDPeriodValueTypeForecast,IF('Delivery Calculation'!$H$30=TMDAllocationTandM,0,'Delivery Calculation'!R140),IF(MDReportingPeriod=TMDMonthly,I210,IF(MDReportingPeriod=TMDTwoweekly,I209,I208)))</f>
        <v>0</v>
      </c>
      <c r="J216" s="509">
        <f>IF(J$15=TMDPeriodValueTypeForecast,IF('Delivery Calculation'!$H$30=TMDAllocationTandM,0,'Delivery Calculation'!S140),IF(MDReportingPeriod=TMDMonthly,J210,IF(MDReportingPeriod=TMDTwoweekly,J209,J208)))</f>
        <v>0</v>
      </c>
      <c r="K216" s="509">
        <f>IF(K$15=TMDPeriodValueTypeForecast,IF('Delivery Calculation'!$H$30=TMDAllocationTandM,0,'Delivery Calculation'!T140),IF(MDReportingPeriod=TMDMonthly,K210,IF(MDReportingPeriod=TMDTwoweekly,K209,K208)))</f>
        <v>0</v>
      </c>
      <c r="L216" s="509">
        <f>IF(L$15=TMDPeriodValueTypeForecast,IF('Delivery Calculation'!$H$30=TMDAllocationTandM,0,'Delivery Calculation'!U140),IF(MDReportingPeriod=TMDMonthly,L210,IF(MDReportingPeriod=TMDTwoweekly,L209,L208)))</f>
        <v>0</v>
      </c>
      <c r="M216" s="509">
        <f>IF(M$15=TMDPeriodValueTypeForecast,IF('Delivery Calculation'!$H$30=TMDAllocationTandM,0,'Delivery Calculation'!V140),IF(MDReportingPeriod=TMDMonthly,M210,IF(MDReportingPeriod=TMDTwoweekly,M209,M208)))</f>
        <v>0</v>
      </c>
      <c r="N216" s="509">
        <f>IF(N$15=TMDPeriodValueTypeForecast,IF('Delivery Calculation'!$H$30=TMDAllocationTandM,0,'Delivery Calculation'!W140),IF(MDReportingPeriod=TMDMonthly,N210,IF(MDReportingPeriod=TMDTwoweekly,N209,N208)))</f>
        <v>0</v>
      </c>
      <c r="O216" s="509">
        <f>IF(O$15=TMDPeriodValueTypeForecast,IF('Delivery Calculation'!$H$30=TMDAllocationTandM,0,'Delivery Calculation'!X140),IF(MDReportingPeriod=TMDMonthly,O210,IF(MDReportingPeriod=TMDTwoweekly,O209,O208)))</f>
        <v>0</v>
      </c>
      <c r="P216" s="509">
        <f>IF(P$15=TMDPeriodValueTypeForecast,IF('Delivery Calculation'!$H$30=TMDAllocationTandM,0,'Delivery Calculation'!Y140),IF(MDReportingPeriod=TMDMonthly,P210,IF(MDReportingPeriod=TMDTwoweekly,P209,P208)))</f>
        <v>0</v>
      </c>
      <c r="Q216" s="509">
        <f>IF(Q$15=TMDPeriodValueTypeForecast,IF('Delivery Calculation'!$H$30=TMDAllocationTandM,0,'Delivery Calculation'!Z140),IF(MDReportingPeriod=TMDMonthly,Q210,IF(MDReportingPeriod=TMDTwoweekly,Q209,Q208)))</f>
        <v>0</v>
      </c>
      <c r="R216" s="509">
        <f>IF(R$15=TMDPeriodValueTypeForecast,IF('Delivery Calculation'!$H$30=TMDAllocationTandM,0,'Delivery Calculation'!AA140),IF(MDReportingPeriod=TMDMonthly,R210,IF(MDReportingPeriod=TMDTwoweekly,R209,R208)))</f>
        <v>0</v>
      </c>
      <c r="S216" s="509">
        <f>IF(S$15=TMDPeriodValueTypeForecast,IF('Delivery Calculation'!$H$30=TMDAllocationTandM,0,'Delivery Calculation'!AB140),IF(MDReportingPeriod=TMDMonthly,S210,IF(MDReportingPeriod=TMDTwoweekly,S209,S208)))</f>
        <v>0</v>
      </c>
      <c r="T216" s="509">
        <f>IF(T$15=TMDPeriodValueTypeForecast,IF('Delivery Calculation'!$H$30=TMDAllocationTandM,0,'Delivery Calculation'!AC140),IF(MDReportingPeriod=TMDMonthly,T210,IF(MDReportingPeriod=TMDTwoweekly,T209,T208)))</f>
        <v>0</v>
      </c>
      <c r="U216" s="509">
        <f>IF(U$15=TMDPeriodValueTypeForecast,IF('Delivery Calculation'!$H$30=TMDAllocationTandM,0,'Delivery Calculation'!AD140),IF(MDReportingPeriod=TMDMonthly,U210,IF(MDReportingPeriod=TMDTwoweekly,U209,U208)))</f>
        <v>0</v>
      </c>
      <c r="V216" s="509">
        <f>IF(V$15=TMDPeriodValueTypeForecast,IF('Delivery Calculation'!$H$30=TMDAllocationTandM,0,'Delivery Calculation'!AE140),IF(MDReportingPeriod=TMDMonthly,V210,IF(MDReportingPeriod=TMDTwoweekly,V209,V208)))</f>
        <v>0</v>
      </c>
      <c r="W216" s="509">
        <f>IF(W$15=TMDPeriodValueTypeForecast,IF('Delivery Calculation'!$H$30=TMDAllocationTandM,0,'Delivery Calculation'!AF140),IF(MDReportingPeriod=TMDMonthly,W210,IF(MDReportingPeriod=TMDTwoweekly,W209,W208)))</f>
        <v>0</v>
      </c>
      <c r="X216" s="509">
        <f>IF(X$15=TMDPeriodValueTypeForecast,IF('Delivery Calculation'!$H$30=TMDAllocationTandM,0,'Delivery Calculation'!AG140),IF(MDReportingPeriod=TMDMonthly,X210,IF(MDReportingPeriod=TMDTwoweekly,X209,X208)))</f>
        <v>0</v>
      </c>
      <c r="Y216" s="509">
        <f>IF(Y$15=TMDPeriodValueTypeForecast,IF('Delivery Calculation'!$H$30=TMDAllocationTandM,0,'Delivery Calculation'!AH140),IF(MDReportingPeriod=TMDMonthly,Y210,IF(MDReportingPeriod=TMDTwoweekly,Y209,Y208)))</f>
        <v>0</v>
      </c>
      <c r="Z216" s="509">
        <f>IF(Z$15=TMDPeriodValueTypeForecast,IF('Delivery Calculation'!$H$30=TMDAllocationTandM,0,'Delivery Calculation'!AI140),IF(MDReportingPeriod=TMDMonthly,Z210,IF(MDReportingPeriod=TMDTwoweekly,Z209,Z208)))</f>
        <v>0</v>
      </c>
      <c r="AA216" s="509">
        <f>IF(AA$15=TMDPeriodValueTypeForecast,IF('Delivery Calculation'!$H$30=TMDAllocationTandM,0,'Delivery Calculation'!AJ140),IF(MDReportingPeriod=TMDMonthly,AA210,IF(MDReportingPeriod=TMDTwoweekly,AA209,AA208)))</f>
        <v>0</v>
      </c>
      <c r="AB216" s="509">
        <f>IF(AB$15=TMDPeriodValueTypeForecast,IF('Delivery Calculation'!$H$30=TMDAllocationTandM,0,'Delivery Calculation'!AK140),IF(MDReportingPeriod=TMDMonthly,AB210,IF(MDReportingPeriod=TMDTwoweekly,AB209,AB208)))</f>
        <v>0</v>
      </c>
      <c r="AC216" s="509">
        <f>IF(AC$15=TMDPeriodValueTypeForecast,IF('Delivery Calculation'!$H$30=TMDAllocationTandM,0,'Delivery Calculation'!AL140),IF(MDReportingPeriod=TMDMonthly,AC210,IF(MDReportingPeriod=TMDTwoweekly,AC209,AC208)))</f>
        <v>0</v>
      </c>
      <c r="AD216" s="509">
        <f>IF(AD$15=TMDPeriodValueTypeForecast,IF('Delivery Calculation'!$H$30=TMDAllocationTandM,0,'Delivery Calculation'!AM140),IF(MDReportingPeriod=TMDMonthly,AD210,IF(MDReportingPeriod=TMDTwoweekly,AD209,AD208)))</f>
        <v>0</v>
      </c>
      <c r="AE216" s="509">
        <f>IF(AE$15=TMDPeriodValueTypeForecast,IF('Delivery Calculation'!$H$30=TMDAllocationTandM,0,'Delivery Calculation'!AN140),IF(MDReportingPeriod=TMDMonthly,AE210,IF(MDReportingPeriod=TMDTwoweekly,AE209,AE208)))</f>
        <v>0</v>
      </c>
      <c r="AF216" s="509">
        <f>IF(AF$15=TMDPeriodValueTypeForecast,IF('Delivery Calculation'!$H$30=TMDAllocationTandM,0,'Delivery Calculation'!AO140),IF(MDReportingPeriod=TMDMonthly,AF210,IF(MDReportingPeriod=TMDTwoweekly,AF209,AF208)))</f>
        <v>0</v>
      </c>
      <c r="AG216" s="509">
        <f>IF(AG$15=TMDPeriodValueTypeForecast,IF('Delivery Calculation'!$H$30=TMDAllocationTandM,0,'Delivery Calculation'!AP140),IF(MDReportingPeriod=TMDMonthly,AG210,IF(MDReportingPeriod=TMDTwoweekly,AG209,AG208)))</f>
        <v>0</v>
      </c>
      <c r="AH216" s="509">
        <f>IF(AH$15=TMDPeriodValueTypeForecast,IF('Delivery Calculation'!$H$30=TMDAllocationTandM,0,'Delivery Calculation'!AQ140),IF(MDReportingPeriod=TMDMonthly,AH210,IF(MDReportingPeriod=TMDTwoweekly,AH209,AH208)))</f>
        <v>0</v>
      </c>
      <c r="AI216" s="509">
        <f>IF(AI$15=TMDPeriodValueTypeForecast,IF('Delivery Calculation'!$H$30=TMDAllocationTandM,0,'Delivery Calculation'!AR140),IF(MDReportingPeriod=TMDMonthly,AI210,IF(MDReportingPeriod=TMDTwoweekly,AI209,AI208)))</f>
        <v>0</v>
      </c>
      <c r="AJ216" s="509">
        <f>IF(AJ$15=TMDPeriodValueTypeForecast,IF('Delivery Calculation'!$H$30=TMDAllocationTandM,0,'Delivery Calculation'!AS140),IF(MDReportingPeriod=TMDMonthly,AJ210,IF(MDReportingPeriod=TMDTwoweekly,AJ209,AJ208)))</f>
        <v>0</v>
      </c>
      <c r="AK216" s="509">
        <f>IF(AK$15=TMDPeriodValueTypeForecast,IF('Delivery Calculation'!$H$30=TMDAllocationTandM,0,'Delivery Calculation'!AT140),IF(MDReportingPeriod=TMDMonthly,AK210,IF(MDReportingPeriod=TMDTwoweekly,AK209,AK208)))</f>
        <v>0</v>
      </c>
      <c r="AL216" s="509">
        <f>IF(AL$15=TMDPeriodValueTypeForecast,IF('Delivery Calculation'!$H$30=TMDAllocationTandM,0,'Delivery Calculation'!AU140),IF(MDReportingPeriod=TMDMonthly,AL210,IF(MDReportingPeriod=TMDTwoweekly,AL209,AL208)))</f>
        <v>0</v>
      </c>
      <c r="AM216" s="509">
        <f>IF(AM$15=TMDPeriodValueTypeForecast,IF('Delivery Calculation'!$H$30=TMDAllocationTandM,0,'Delivery Calculation'!AV140),IF(MDReportingPeriod=TMDMonthly,AM210,IF(MDReportingPeriod=TMDTwoweekly,AM209,AM208)))</f>
        <v>0</v>
      </c>
      <c r="AN216" s="509">
        <f>IF(AN$15=TMDPeriodValueTypeForecast,IF('Delivery Calculation'!$H$30=TMDAllocationTandM,0,'Delivery Calculation'!AW140),IF(MDReportingPeriod=TMDMonthly,AN210,IF(MDReportingPeriod=TMDTwoweekly,AN209,AN208)))</f>
        <v>0</v>
      </c>
      <c r="AO216" s="509">
        <f>IF(AO$15=TMDPeriodValueTypeForecast,IF('Delivery Calculation'!$H$30=TMDAllocationTandM,0,'Delivery Calculation'!AX140),IF(MDReportingPeriod=TMDMonthly,AO210,IF(MDReportingPeriod=TMDTwoweekly,AO209,AO208)))</f>
        <v>0</v>
      </c>
      <c r="AP216" s="501"/>
      <c r="AQ216" s="505">
        <f>SUMIF($D$15:$AO$15,TMDPeriodValueTypeReported,D216:AO216)</f>
        <v>0</v>
      </c>
      <c r="AR216" s="505">
        <f>SUMIF($D$15:$AO$15,TMDPeriodValueTypeForecast,D216:AO216)</f>
        <v>0</v>
      </c>
      <c r="AS216" s="523">
        <f>'Delivery Calculation'!J30</f>
        <v>0</v>
      </c>
      <c r="AT216" s="505">
        <f>AS216-(AQ216+AR216)</f>
        <v>0</v>
      </c>
      <c r="AU216" s="505"/>
      <c r="AV216" s="510"/>
      <c r="AW216" s="452"/>
    </row>
    <row r="217" spans="1:49">
      <c r="A217" s="1184"/>
      <c r="B217" s="1181"/>
      <c r="C217" s="499" t="s">
        <v>592</v>
      </c>
      <c r="D217" s="509">
        <f>IF(D$15=TMDPeriodValueTypeForecast,IF('Delivery Calculation'!$H$30=TMDAllocationTandM,0,'Delivery Calculation'!M104),IF(MDReportingPeriod=TMDMonthly,D213,IF(MDReportingPeriod=TMDTwoweekly,D212,D211)))</f>
        <v>0</v>
      </c>
      <c r="E217" s="509">
        <f>IF(E$15=TMDPeriodValueTypeForecast,IF('Delivery Calculation'!$H$30=TMDAllocationTandM,0,'Delivery Calculation'!N104),IF(MDReportingPeriod=TMDMonthly,E213,IF(MDReportingPeriod=TMDTwoweekly,E212,E211)))</f>
        <v>0</v>
      </c>
      <c r="F217" s="509">
        <f>IF(F$15=TMDPeriodValueTypeForecast,IF('Delivery Calculation'!$H$30=TMDAllocationTandM,0,'Delivery Calculation'!O104),IF(MDReportingPeriod=TMDMonthly,F213,IF(MDReportingPeriod=TMDTwoweekly,F212,F211)))</f>
        <v>0</v>
      </c>
      <c r="G217" s="509">
        <f>IF(G$15=TMDPeriodValueTypeForecast,IF('Delivery Calculation'!$H$30=TMDAllocationTandM,0,'Delivery Calculation'!P104),IF(MDReportingPeriod=TMDMonthly,G213,IF(MDReportingPeriod=TMDTwoweekly,G212,G211)))</f>
        <v>0</v>
      </c>
      <c r="H217" s="509">
        <f>IF(H$15=TMDPeriodValueTypeForecast,IF('Delivery Calculation'!$H$30=TMDAllocationTandM,0,'Delivery Calculation'!Q104),IF(MDReportingPeriod=TMDMonthly,H213,IF(MDReportingPeriod=TMDTwoweekly,H212,H211)))</f>
        <v>0</v>
      </c>
      <c r="I217" s="509">
        <f>IF(I$15=TMDPeriodValueTypeForecast,IF('Delivery Calculation'!$H$30=TMDAllocationTandM,0,'Delivery Calculation'!R104),IF(MDReportingPeriod=TMDMonthly,I213,IF(MDReportingPeriod=TMDTwoweekly,I212,I211)))</f>
        <v>0</v>
      </c>
      <c r="J217" s="509">
        <f>IF(J$15=TMDPeriodValueTypeForecast,IF('Delivery Calculation'!$H$30=TMDAllocationTandM,0,'Delivery Calculation'!S104),IF(MDReportingPeriod=TMDMonthly,J213,IF(MDReportingPeriod=TMDTwoweekly,J212,J211)))</f>
        <v>0</v>
      </c>
      <c r="K217" s="509">
        <f>IF(K$15=TMDPeriodValueTypeForecast,IF('Delivery Calculation'!$H$30=TMDAllocationTandM,0,'Delivery Calculation'!T104),IF(MDReportingPeriod=TMDMonthly,K213,IF(MDReportingPeriod=TMDTwoweekly,K212,K211)))</f>
        <v>0</v>
      </c>
      <c r="L217" s="509">
        <f>IF(L$15=TMDPeriodValueTypeForecast,IF('Delivery Calculation'!$H$30=TMDAllocationTandM,0,'Delivery Calculation'!U104),IF(MDReportingPeriod=TMDMonthly,L213,IF(MDReportingPeriod=TMDTwoweekly,L212,L211)))</f>
        <v>0</v>
      </c>
      <c r="M217" s="509">
        <f>IF(M$15=TMDPeriodValueTypeForecast,IF('Delivery Calculation'!$H$30=TMDAllocationTandM,0,'Delivery Calculation'!V104),IF(MDReportingPeriod=TMDMonthly,M213,IF(MDReportingPeriod=TMDTwoweekly,M212,M211)))</f>
        <v>0</v>
      </c>
      <c r="N217" s="509">
        <f>IF(N$15=TMDPeriodValueTypeForecast,IF('Delivery Calculation'!$H$30=TMDAllocationTandM,0,'Delivery Calculation'!W104),IF(MDReportingPeriod=TMDMonthly,N213,IF(MDReportingPeriod=TMDTwoweekly,N212,N211)))</f>
        <v>0</v>
      </c>
      <c r="O217" s="509">
        <f>IF(O$15=TMDPeriodValueTypeForecast,IF('Delivery Calculation'!$H$30=TMDAllocationTandM,0,'Delivery Calculation'!X104),IF(MDReportingPeriod=TMDMonthly,O213,IF(MDReportingPeriod=TMDTwoweekly,O212,O211)))</f>
        <v>0</v>
      </c>
      <c r="P217" s="509">
        <f>IF(P$15=TMDPeriodValueTypeForecast,IF('Delivery Calculation'!$H$30=TMDAllocationTandM,0,'Delivery Calculation'!Y104),IF(MDReportingPeriod=TMDMonthly,P213,IF(MDReportingPeriod=TMDTwoweekly,P212,P211)))</f>
        <v>0</v>
      </c>
      <c r="Q217" s="509">
        <f>IF(Q$15=TMDPeriodValueTypeForecast,IF('Delivery Calculation'!$H$30=TMDAllocationTandM,0,'Delivery Calculation'!Z104),IF(MDReportingPeriod=TMDMonthly,Q213,IF(MDReportingPeriod=TMDTwoweekly,Q212,Q211)))</f>
        <v>0</v>
      </c>
      <c r="R217" s="509">
        <f>IF(R$15=TMDPeriodValueTypeForecast,IF('Delivery Calculation'!$H$30=TMDAllocationTandM,0,'Delivery Calculation'!AA104),IF(MDReportingPeriod=TMDMonthly,R213,IF(MDReportingPeriod=TMDTwoweekly,R212,R211)))</f>
        <v>0</v>
      </c>
      <c r="S217" s="509">
        <f>IF(S$15=TMDPeriodValueTypeForecast,IF('Delivery Calculation'!$H$30=TMDAllocationTandM,0,'Delivery Calculation'!AB104),IF(MDReportingPeriod=TMDMonthly,S213,IF(MDReportingPeriod=TMDTwoweekly,S212,S211)))</f>
        <v>0</v>
      </c>
      <c r="T217" s="509">
        <f>IF(T$15=TMDPeriodValueTypeForecast,IF('Delivery Calculation'!$H$30=TMDAllocationTandM,0,'Delivery Calculation'!AC104),IF(MDReportingPeriod=TMDMonthly,T213,IF(MDReportingPeriod=TMDTwoweekly,T212,T211)))</f>
        <v>0</v>
      </c>
      <c r="U217" s="509">
        <f>IF(U$15=TMDPeriodValueTypeForecast,IF('Delivery Calculation'!$H$30=TMDAllocationTandM,0,'Delivery Calculation'!AD104),IF(MDReportingPeriod=TMDMonthly,U213,IF(MDReportingPeriod=TMDTwoweekly,U212,U211)))</f>
        <v>0</v>
      </c>
      <c r="V217" s="509">
        <f>IF(V$15=TMDPeriodValueTypeForecast,IF('Delivery Calculation'!$H$30=TMDAllocationTandM,0,'Delivery Calculation'!AE104),IF(MDReportingPeriod=TMDMonthly,V213,IF(MDReportingPeriod=TMDTwoweekly,V212,V211)))</f>
        <v>0</v>
      </c>
      <c r="W217" s="509">
        <f>IF(W$15=TMDPeriodValueTypeForecast,IF('Delivery Calculation'!$H$30=TMDAllocationTandM,0,'Delivery Calculation'!AF104),IF(MDReportingPeriod=TMDMonthly,W213,IF(MDReportingPeriod=TMDTwoweekly,W212,W211)))</f>
        <v>0</v>
      </c>
      <c r="X217" s="509">
        <f>IF(X$15=TMDPeriodValueTypeForecast,IF('Delivery Calculation'!$H$30=TMDAllocationTandM,0,'Delivery Calculation'!AG104),IF(MDReportingPeriod=TMDMonthly,X213,IF(MDReportingPeriod=TMDTwoweekly,X212,X211)))</f>
        <v>0</v>
      </c>
      <c r="Y217" s="509">
        <f>IF(Y$15=TMDPeriodValueTypeForecast,IF('Delivery Calculation'!$H$30=TMDAllocationTandM,0,'Delivery Calculation'!AH104),IF(MDReportingPeriod=TMDMonthly,Y213,IF(MDReportingPeriod=TMDTwoweekly,Y212,Y211)))</f>
        <v>0</v>
      </c>
      <c r="Z217" s="509">
        <f>IF(Z$15=TMDPeriodValueTypeForecast,IF('Delivery Calculation'!$H$30=TMDAllocationTandM,0,'Delivery Calculation'!AI104),IF(MDReportingPeriod=TMDMonthly,Z213,IF(MDReportingPeriod=TMDTwoweekly,Z212,Z211)))</f>
        <v>0</v>
      </c>
      <c r="AA217" s="509">
        <f>IF(AA$15=TMDPeriodValueTypeForecast,IF('Delivery Calculation'!$H$30=TMDAllocationTandM,0,'Delivery Calculation'!AJ104),IF(MDReportingPeriod=TMDMonthly,AA213,IF(MDReportingPeriod=TMDTwoweekly,AA212,AA211)))</f>
        <v>0</v>
      </c>
      <c r="AB217" s="509">
        <f>IF(AB$15=TMDPeriodValueTypeForecast,IF('Delivery Calculation'!$H$30=TMDAllocationTandM,0,'Delivery Calculation'!AK104),IF(MDReportingPeriod=TMDMonthly,AB213,IF(MDReportingPeriod=TMDTwoweekly,AB212,AB211)))</f>
        <v>0</v>
      </c>
      <c r="AC217" s="509">
        <f>IF(AC$15=TMDPeriodValueTypeForecast,IF('Delivery Calculation'!$H$30=TMDAllocationTandM,0,'Delivery Calculation'!AL104),IF(MDReportingPeriod=TMDMonthly,AC213,IF(MDReportingPeriod=TMDTwoweekly,AC212,AC211)))</f>
        <v>0</v>
      </c>
      <c r="AD217" s="509">
        <f>IF(AD$15=TMDPeriodValueTypeForecast,IF('Delivery Calculation'!$H$30=TMDAllocationTandM,0,'Delivery Calculation'!AM104),IF(MDReportingPeriod=TMDMonthly,AD213,IF(MDReportingPeriod=TMDTwoweekly,AD212,AD211)))</f>
        <v>0</v>
      </c>
      <c r="AE217" s="509">
        <f>IF(AE$15=TMDPeriodValueTypeForecast,IF('Delivery Calculation'!$H$30=TMDAllocationTandM,0,'Delivery Calculation'!AN104),IF(MDReportingPeriod=TMDMonthly,AE213,IF(MDReportingPeriod=TMDTwoweekly,AE212,AE211)))</f>
        <v>0</v>
      </c>
      <c r="AF217" s="509">
        <f>IF(AF$15=TMDPeriodValueTypeForecast,IF('Delivery Calculation'!$H$30=TMDAllocationTandM,0,'Delivery Calculation'!AO104),IF(MDReportingPeriod=TMDMonthly,AF213,IF(MDReportingPeriod=TMDTwoweekly,AF212,AF211)))</f>
        <v>0</v>
      </c>
      <c r="AG217" s="509">
        <f>IF(AG$15=TMDPeriodValueTypeForecast,IF('Delivery Calculation'!$H$30=TMDAllocationTandM,0,'Delivery Calculation'!AP104),IF(MDReportingPeriod=TMDMonthly,AG213,IF(MDReportingPeriod=TMDTwoweekly,AG212,AG211)))</f>
        <v>0</v>
      </c>
      <c r="AH217" s="509">
        <f>IF(AH$15=TMDPeriodValueTypeForecast,IF('Delivery Calculation'!$H$30=TMDAllocationTandM,0,'Delivery Calculation'!AQ104),IF(MDReportingPeriod=TMDMonthly,AH213,IF(MDReportingPeriod=TMDTwoweekly,AH212,AH211)))</f>
        <v>0</v>
      </c>
      <c r="AI217" s="509">
        <f>IF(AI$15=TMDPeriodValueTypeForecast,IF('Delivery Calculation'!$H$30=TMDAllocationTandM,0,'Delivery Calculation'!AR104),IF(MDReportingPeriod=TMDMonthly,AI213,IF(MDReportingPeriod=TMDTwoweekly,AI212,AI211)))</f>
        <v>0</v>
      </c>
      <c r="AJ217" s="509">
        <f>IF(AJ$15=TMDPeriodValueTypeForecast,IF('Delivery Calculation'!$H$30=TMDAllocationTandM,0,'Delivery Calculation'!AS104),IF(MDReportingPeriod=TMDMonthly,AJ213,IF(MDReportingPeriod=TMDTwoweekly,AJ212,AJ211)))</f>
        <v>0</v>
      </c>
      <c r="AK217" s="509">
        <f>IF(AK$15=TMDPeriodValueTypeForecast,IF('Delivery Calculation'!$H$30=TMDAllocationTandM,0,'Delivery Calculation'!AT104),IF(MDReportingPeriod=TMDMonthly,AK213,IF(MDReportingPeriod=TMDTwoweekly,AK212,AK211)))</f>
        <v>0</v>
      </c>
      <c r="AL217" s="509">
        <f>IF(AL$15=TMDPeriodValueTypeForecast,IF('Delivery Calculation'!$H$30=TMDAllocationTandM,0,'Delivery Calculation'!AU104),IF(MDReportingPeriod=TMDMonthly,AL213,IF(MDReportingPeriod=TMDTwoweekly,AL212,AL211)))</f>
        <v>0</v>
      </c>
      <c r="AM217" s="509">
        <f>IF(AM$15=TMDPeriodValueTypeForecast,IF('Delivery Calculation'!$H$30=TMDAllocationTandM,0,'Delivery Calculation'!AV104),IF(MDReportingPeriod=TMDMonthly,AM213,IF(MDReportingPeriod=TMDTwoweekly,AM212,AM211)))</f>
        <v>0</v>
      </c>
      <c r="AN217" s="509">
        <f>IF(AN$15=TMDPeriodValueTypeForecast,IF('Delivery Calculation'!$H$30=TMDAllocationTandM,0,'Delivery Calculation'!AW104),IF(MDReportingPeriod=TMDMonthly,AN213,IF(MDReportingPeriod=TMDTwoweekly,AN212,AN211)))</f>
        <v>0</v>
      </c>
      <c r="AO217" s="509">
        <f>IF(AO$15=TMDPeriodValueTypeForecast,IF('Delivery Calculation'!$H$30=TMDAllocationTandM,0,'Delivery Calculation'!AX104),IF(MDReportingPeriod=TMDMonthly,AO213,IF(MDReportingPeriod=TMDTwoweekly,AO212,AO211)))</f>
        <v>0</v>
      </c>
      <c r="AP217" s="501"/>
      <c r="AQ217" s="505">
        <f>SUMIF($D$15:$AO$15,TMDPeriodValueTypeReported,D217:AO217)</f>
        <v>0</v>
      </c>
      <c r="AR217" s="505">
        <f>SUMIF($D$15:$AO$15,TMDPeriodValueTypeForecast,D217:AO217)</f>
        <v>0</v>
      </c>
      <c r="AS217" s="523">
        <f>'Delivery Calculation'!I30</f>
        <v>0</v>
      </c>
      <c r="AT217" s="505">
        <f>AS217-(AQ217+AR217)</f>
        <v>0</v>
      </c>
      <c r="AU217" s="505"/>
      <c r="AV217" s="510"/>
      <c r="AW217" s="452"/>
    </row>
    <row r="218" spans="1:49">
      <c r="A218" s="1185"/>
      <c r="B218" s="1182"/>
      <c r="C218" s="499" t="s">
        <v>593</v>
      </c>
      <c r="D218" s="509"/>
      <c r="E218" s="509"/>
      <c r="F218" s="509"/>
      <c r="G218" s="509"/>
      <c r="H218" s="509"/>
      <c r="I218" s="509"/>
      <c r="J218" s="509"/>
      <c r="K218" s="509"/>
      <c r="L218" s="509"/>
      <c r="M218" s="509"/>
      <c r="N218" s="509"/>
      <c r="O218" s="509"/>
      <c r="P218" s="509"/>
      <c r="Q218" s="509"/>
      <c r="R218" s="509"/>
      <c r="S218" s="509"/>
      <c r="T218" s="509"/>
      <c r="U218" s="509"/>
      <c r="V218" s="509"/>
      <c r="W218" s="509"/>
      <c r="X218" s="509"/>
      <c r="Y218" s="509"/>
      <c r="Z218" s="509"/>
      <c r="AA218" s="509"/>
      <c r="AB218" s="509"/>
      <c r="AC218" s="509"/>
      <c r="AD218" s="509"/>
      <c r="AE218" s="509"/>
      <c r="AF218" s="509"/>
      <c r="AG218" s="509"/>
      <c r="AH218" s="509"/>
      <c r="AI218" s="509"/>
      <c r="AJ218" s="509"/>
      <c r="AK218" s="509"/>
      <c r="AL218" s="509"/>
      <c r="AM218" s="509"/>
      <c r="AN218" s="509"/>
      <c r="AO218" s="509"/>
      <c r="AP218" s="501"/>
      <c r="AQ218" s="505">
        <f>SUMIF($D$15:$AO$15,TMDPeriodValueTypeReported,D218:AO218)</f>
        <v>0</v>
      </c>
      <c r="AR218" s="505">
        <f>SUMIF($D$15:$AO$15,TMDPeriodValueTypeForecast,D218:AO218)</f>
        <v>0</v>
      </c>
      <c r="AS218" s="505"/>
      <c r="AT218" s="505">
        <f>AQ218+AR218</f>
        <v>0</v>
      </c>
      <c r="AU218" s="505"/>
      <c r="AV218" s="510"/>
      <c r="AW218" s="452"/>
    </row>
    <row r="219" spans="1:49" hidden="1">
      <c r="A219" s="143"/>
      <c r="B219" s="483"/>
      <c r="C219" s="496" t="s">
        <v>1339</v>
      </c>
      <c r="D219" s="516">
        <f t="shared" ref="D219:AO219" si="108">IF(ISERR(GETPIVOTDATA("[Measures].[Hours]",TRIMARANweekly,"[Order].[Position Number]","[Order].[Position Number].&amp;[" &amp; $B226 &amp; "]","[Period].[Week]","[Period].[Week].&amp;[" &amp; YEAR(D$14-7) &amp; TEXT(WEEKNUM(D$14-7),"00") &amp; "]")),0,GETPIVOTDATA("[Measures].[Hours]",TRIMARANweekly,"[Order].[Position Number]","[Order].[Position Number].&amp;[" &amp; $B226 &amp; "]","[Period].[Week]","[Period].[Week].&amp;[" &amp; YEAR(D$14-7) &amp; TEXT(WEEKNUM(D$14-7),"00") &amp; "]"))</f>
        <v>0</v>
      </c>
      <c r="E219" s="516">
        <f t="shared" si="108"/>
        <v>0</v>
      </c>
      <c r="F219" s="516">
        <f t="shared" si="108"/>
        <v>0</v>
      </c>
      <c r="G219" s="516">
        <f t="shared" si="108"/>
        <v>0</v>
      </c>
      <c r="H219" s="516">
        <f t="shared" si="108"/>
        <v>0</v>
      </c>
      <c r="I219" s="516">
        <f t="shared" si="108"/>
        <v>0</v>
      </c>
      <c r="J219" s="516">
        <f t="shared" si="108"/>
        <v>0</v>
      </c>
      <c r="K219" s="516">
        <f t="shared" si="108"/>
        <v>0</v>
      </c>
      <c r="L219" s="516">
        <f t="shared" si="108"/>
        <v>0</v>
      </c>
      <c r="M219" s="516">
        <f t="shared" si="108"/>
        <v>0</v>
      </c>
      <c r="N219" s="516">
        <f t="shared" si="108"/>
        <v>0</v>
      </c>
      <c r="O219" s="516">
        <f t="shared" si="108"/>
        <v>0</v>
      </c>
      <c r="P219" s="516">
        <f t="shared" si="108"/>
        <v>0</v>
      </c>
      <c r="Q219" s="516">
        <f t="shared" si="108"/>
        <v>0</v>
      </c>
      <c r="R219" s="516">
        <f t="shared" si="108"/>
        <v>0</v>
      </c>
      <c r="S219" s="516">
        <f t="shared" si="108"/>
        <v>0</v>
      </c>
      <c r="T219" s="516">
        <f t="shared" si="108"/>
        <v>0</v>
      </c>
      <c r="U219" s="516">
        <f t="shared" si="108"/>
        <v>0</v>
      </c>
      <c r="V219" s="516">
        <f t="shared" si="108"/>
        <v>0</v>
      </c>
      <c r="W219" s="516">
        <f t="shared" si="108"/>
        <v>0</v>
      </c>
      <c r="X219" s="516">
        <f t="shared" si="108"/>
        <v>0</v>
      </c>
      <c r="Y219" s="516">
        <f t="shared" si="108"/>
        <v>0</v>
      </c>
      <c r="Z219" s="516">
        <f t="shared" si="108"/>
        <v>0</v>
      </c>
      <c r="AA219" s="516">
        <f t="shared" si="108"/>
        <v>0</v>
      </c>
      <c r="AB219" s="516">
        <f t="shared" si="108"/>
        <v>0</v>
      </c>
      <c r="AC219" s="516">
        <f t="shared" si="108"/>
        <v>0</v>
      </c>
      <c r="AD219" s="516">
        <f t="shared" si="108"/>
        <v>0</v>
      </c>
      <c r="AE219" s="516">
        <f t="shared" si="108"/>
        <v>0</v>
      </c>
      <c r="AF219" s="516">
        <f t="shared" si="108"/>
        <v>0</v>
      </c>
      <c r="AG219" s="516">
        <f t="shared" si="108"/>
        <v>0</v>
      </c>
      <c r="AH219" s="516">
        <f t="shared" si="108"/>
        <v>0</v>
      </c>
      <c r="AI219" s="516">
        <f t="shared" si="108"/>
        <v>0</v>
      </c>
      <c r="AJ219" s="516">
        <f t="shared" si="108"/>
        <v>0</v>
      </c>
      <c r="AK219" s="516">
        <f t="shared" si="108"/>
        <v>0</v>
      </c>
      <c r="AL219" s="516">
        <f t="shared" si="108"/>
        <v>0</v>
      </c>
      <c r="AM219" s="516">
        <f t="shared" si="108"/>
        <v>0</v>
      </c>
      <c r="AN219" s="516">
        <f t="shared" si="108"/>
        <v>0</v>
      </c>
      <c r="AO219" s="516">
        <f t="shared" si="108"/>
        <v>0</v>
      </c>
      <c r="AP219" s="501"/>
      <c r="AQ219" s="505"/>
      <c r="AR219" s="505"/>
      <c r="AS219" s="505"/>
      <c r="AT219" s="505"/>
      <c r="AU219" s="505"/>
      <c r="AV219" s="510"/>
      <c r="AW219" s="452"/>
    </row>
    <row r="220" spans="1:49" hidden="1">
      <c r="A220" s="143"/>
      <c r="B220" s="483"/>
      <c r="C220" s="496" t="s">
        <v>1340</v>
      </c>
      <c r="D220" s="516">
        <f t="shared" ref="D220:AO220" si="109">IF(ISERR(GETPIVOTDATA("[Measures].[Hours]",TRIMARANweekly,"[Order].[Position Number]","[Order].[Position Number].&amp;[" &amp; $B226 &amp; "]","[Period].[Week]","[Period].[Week].&amp;[" &amp; YEAR(D$14-14) &amp; TEXT(WEEKNUM(D$14-14),"00") &amp; "]")),0,GETPIVOTDATA("[Measures].[Hours]",TRIMARANweekly,"[Order].[Position Number]","[Order].[Position Number].&amp;[" &amp; $B226 &amp; "]","[Period].[Week]","[Period].[Week].&amp;[" &amp; YEAR(D$14-14) &amp; TEXT(WEEKNUM(D$14-14),"00") &amp; "]"))+D219</f>
        <v>0</v>
      </c>
      <c r="E220" s="516">
        <f t="shared" si="109"/>
        <v>0</v>
      </c>
      <c r="F220" s="516">
        <f t="shared" si="109"/>
        <v>0</v>
      </c>
      <c r="G220" s="516">
        <f t="shared" si="109"/>
        <v>0</v>
      </c>
      <c r="H220" s="516">
        <f t="shared" si="109"/>
        <v>0</v>
      </c>
      <c r="I220" s="516">
        <f t="shared" si="109"/>
        <v>0</v>
      </c>
      <c r="J220" s="516">
        <f t="shared" si="109"/>
        <v>0</v>
      </c>
      <c r="K220" s="516">
        <f t="shared" si="109"/>
        <v>0</v>
      </c>
      <c r="L220" s="516">
        <f t="shared" si="109"/>
        <v>0</v>
      </c>
      <c r="M220" s="516">
        <f t="shared" si="109"/>
        <v>0</v>
      </c>
      <c r="N220" s="516">
        <f t="shared" si="109"/>
        <v>0</v>
      </c>
      <c r="O220" s="516">
        <f t="shared" si="109"/>
        <v>0</v>
      </c>
      <c r="P220" s="516">
        <f t="shared" si="109"/>
        <v>0</v>
      </c>
      <c r="Q220" s="516">
        <f t="shared" si="109"/>
        <v>0</v>
      </c>
      <c r="R220" s="516">
        <f t="shared" si="109"/>
        <v>0</v>
      </c>
      <c r="S220" s="516">
        <f t="shared" si="109"/>
        <v>0</v>
      </c>
      <c r="T220" s="516">
        <f t="shared" si="109"/>
        <v>0</v>
      </c>
      <c r="U220" s="516">
        <f t="shared" si="109"/>
        <v>0</v>
      </c>
      <c r="V220" s="516">
        <f t="shared" si="109"/>
        <v>0</v>
      </c>
      <c r="W220" s="516">
        <f t="shared" si="109"/>
        <v>0</v>
      </c>
      <c r="X220" s="516">
        <f t="shared" si="109"/>
        <v>0</v>
      </c>
      <c r="Y220" s="516">
        <f t="shared" si="109"/>
        <v>0</v>
      </c>
      <c r="Z220" s="516">
        <f t="shared" si="109"/>
        <v>0</v>
      </c>
      <c r="AA220" s="516">
        <f t="shared" si="109"/>
        <v>0</v>
      </c>
      <c r="AB220" s="516">
        <f t="shared" si="109"/>
        <v>0</v>
      </c>
      <c r="AC220" s="516">
        <f t="shared" si="109"/>
        <v>0</v>
      </c>
      <c r="AD220" s="516">
        <f t="shared" si="109"/>
        <v>0</v>
      </c>
      <c r="AE220" s="516">
        <f t="shared" si="109"/>
        <v>0</v>
      </c>
      <c r="AF220" s="516">
        <f t="shared" si="109"/>
        <v>0</v>
      </c>
      <c r="AG220" s="516">
        <f t="shared" si="109"/>
        <v>0</v>
      </c>
      <c r="AH220" s="516">
        <f t="shared" si="109"/>
        <v>0</v>
      </c>
      <c r="AI220" s="516">
        <f t="shared" si="109"/>
        <v>0</v>
      </c>
      <c r="AJ220" s="516">
        <f t="shared" si="109"/>
        <v>0</v>
      </c>
      <c r="AK220" s="516">
        <f t="shared" si="109"/>
        <v>0</v>
      </c>
      <c r="AL220" s="516">
        <f t="shared" si="109"/>
        <v>0</v>
      </c>
      <c r="AM220" s="516">
        <f t="shared" si="109"/>
        <v>0</v>
      </c>
      <c r="AN220" s="516">
        <f t="shared" si="109"/>
        <v>0</v>
      </c>
      <c r="AO220" s="516">
        <f t="shared" si="109"/>
        <v>0</v>
      </c>
      <c r="AP220" s="501"/>
      <c r="AQ220" s="505"/>
      <c r="AR220" s="505"/>
      <c r="AS220" s="505"/>
      <c r="AT220" s="505"/>
      <c r="AU220" s="505"/>
      <c r="AV220" s="510"/>
      <c r="AW220" s="452"/>
    </row>
    <row r="221" spans="1:49" hidden="1">
      <c r="A221" s="143"/>
      <c r="B221" s="483"/>
      <c r="C221" s="496" t="s">
        <v>1341</v>
      </c>
      <c r="D221" s="516">
        <f t="shared" ref="D221:AO221" si="110">IF(ISERR(GETPIVOTDATA("[Measures].[Hours]",TRIMARANmonthly,"[Period].[Month]","[Period].[Month].&amp;["&amp;IF(MONTH(D$14)=1,YEAR(D$14)-1&amp;TEXT(12,"00"),YEAR(D$14)&amp;TEXT(MONTH(D$14)-1,"00"))&amp;"]","[Order].[Position Number]","[Order].[Position Number].&amp;["&amp;$B226&amp;"]")),0,GETPIVOTDATA("[Measures].[Hours]",TRIMARANmonthly,"[Period].[Month]","[Period].[Month].&amp;["&amp;IF(MONTH(D$14)=1,YEAR(D$14)-1&amp;TEXT(12,"00"),YEAR(D$14)&amp;TEXT(MONTH(D$14)-1,"00"))&amp;"]","[Order].[Position Number]","[Order].[Position Number].&amp;["&amp;$B226&amp;"]"))</f>
        <v>0</v>
      </c>
      <c r="E221" s="516">
        <f t="shared" si="110"/>
        <v>0</v>
      </c>
      <c r="F221" s="516">
        <f t="shared" si="110"/>
        <v>0</v>
      </c>
      <c r="G221" s="516">
        <f t="shared" si="110"/>
        <v>0</v>
      </c>
      <c r="H221" s="516">
        <f t="shared" si="110"/>
        <v>0</v>
      </c>
      <c r="I221" s="516">
        <f t="shared" si="110"/>
        <v>0</v>
      </c>
      <c r="J221" s="516">
        <f t="shared" si="110"/>
        <v>0</v>
      </c>
      <c r="K221" s="516">
        <f t="shared" si="110"/>
        <v>0</v>
      </c>
      <c r="L221" s="516">
        <f t="shared" si="110"/>
        <v>0</v>
      </c>
      <c r="M221" s="516">
        <f t="shared" si="110"/>
        <v>0</v>
      </c>
      <c r="N221" s="516">
        <f t="shared" si="110"/>
        <v>0</v>
      </c>
      <c r="O221" s="516">
        <f t="shared" si="110"/>
        <v>0</v>
      </c>
      <c r="P221" s="516">
        <f t="shared" si="110"/>
        <v>0</v>
      </c>
      <c r="Q221" s="516">
        <f t="shared" si="110"/>
        <v>0</v>
      </c>
      <c r="R221" s="516">
        <f t="shared" si="110"/>
        <v>0</v>
      </c>
      <c r="S221" s="516">
        <f t="shared" si="110"/>
        <v>0</v>
      </c>
      <c r="T221" s="516">
        <f t="shared" si="110"/>
        <v>0</v>
      </c>
      <c r="U221" s="516">
        <f t="shared" si="110"/>
        <v>0</v>
      </c>
      <c r="V221" s="516">
        <f t="shared" si="110"/>
        <v>0</v>
      </c>
      <c r="W221" s="516">
        <f t="shared" si="110"/>
        <v>0</v>
      </c>
      <c r="X221" s="516">
        <f t="shared" si="110"/>
        <v>0</v>
      </c>
      <c r="Y221" s="516">
        <f t="shared" si="110"/>
        <v>0</v>
      </c>
      <c r="Z221" s="516">
        <f t="shared" si="110"/>
        <v>0</v>
      </c>
      <c r="AA221" s="516">
        <f t="shared" si="110"/>
        <v>0</v>
      </c>
      <c r="AB221" s="516">
        <f t="shared" si="110"/>
        <v>0</v>
      </c>
      <c r="AC221" s="516">
        <f t="shared" si="110"/>
        <v>0</v>
      </c>
      <c r="AD221" s="516">
        <f t="shared" si="110"/>
        <v>0</v>
      </c>
      <c r="AE221" s="516">
        <f t="shared" si="110"/>
        <v>0</v>
      </c>
      <c r="AF221" s="516">
        <f t="shared" si="110"/>
        <v>0</v>
      </c>
      <c r="AG221" s="516">
        <f t="shared" si="110"/>
        <v>0</v>
      </c>
      <c r="AH221" s="516">
        <f t="shared" si="110"/>
        <v>0</v>
      </c>
      <c r="AI221" s="516">
        <f t="shared" si="110"/>
        <v>0</v>
      </c>
      <c r="AJ221" s="516">
        <f t="shared" si="110"/>
        <v>0</v>
      </c>
      <c r="AK221" s="516">
        <f t="shared" si="110"/>
        <v>0</v>
      </c>
      <c r="AL221" s="516">
        <f t="shared" si="110"/>
        <v>0</v>
      </c>
      <c r="AM221" s="516">
        <f t="shared" si="110"/>
        <v>0</v>
      </c>
      <c r="AN221" s="516">
        <f t="shared" si="110"/>
        <v>0</v>
      </c>
      <c r="AO221" s="516">
        <f t="shared" si="110"/>
        <v>0</v>
      </c>
      <c r="AP221" s="501"/>
      <c r="AQ221" s="505"/>
      <c r="AR221" s="505"/>
      <c r="AS221" s="505"/>
      <c r="AT221" s="505"/>
      <c r="AU221" s="505"/>
      <c r="AV221" s="510"/>
      <c r="AW221" s="452"/>
    </row>
    <row r="222" spans="1:49" hidden="1">
      <c r="A222" s="143"/>
      <c r="B222" s="483"/>
      <c r="C222" s="496" t="s">
        <v>1339</v>
      </c>
      <c r="D222" s="516">
        <f t="shared" ref="D222:AO222" si="111">IF(ISERR(GETPIVOTDATA("[Measures].[" &amp; MDContractCurrency &amp; "]",TRIMARANweekly,"[Order].[Position Number]","[Order].[Position Number].&amp;[" &amp; $B226 &amp; "]","[Period].[Week]","[Period].[Week].&amp;[" &amp; YEAR(D$14-7) &amp; TEXT(WEEKNUM(D$14-7),"00") &amp; "]")),0,GETPIVOTDATA("[Measures].[" &amp; MDContractCurrency &amp; "]",TRIMARANweekly,"[Order].[Position Number]","[Order].[Position Number].&amp;[" &amp; $B226 &amp; "]","[Period].[Week]","[Period].[Week].&amp;[" &amp; YEAR(D$14-7) &amp; TEXT(WEEKNUM(D$14-7),"00") &amp; "]"))</f>
        <v>0</v>
      </c>
      <c r="E222" s="516">
        <f t="shared" si="111"/>
        <v>0</v>
      </c>
      <c r="F222" s="516">
        <f t="shared" si="111"/>
        <v>0</v>
      </c>
      <c r="G222" s="516">
        <f t="shared" si="111"/>
        <v>0</v>
      </c>
      <c r="H222" s="516">
        <f t="shared" si="111"/>
        <v>0</v>
      </c>
      <c r="I222" s="516">
        <f t="shared" si="111"/>
        <v>0</v>
      </c>
      <c r="J222" s="516">
        <f t="shared" si="111"/>
        <v>0</v>
      </c>
      <c r="K222" s="516">
        <f t="shared" si="111"/>
        <v>0</v>
      </c>
      <c r="L222" s="516">
        <f t="shared" si="111"/>
        <v>0</v>
      </c>
      <c r="M222" s="516">
        <f t="shared" si="111"/>
        <v>0</v>
      </c>
      <c r="N222" s="516">
        <f t="shared" si="111"/>
        <v>0</v>
      </c>
      <c r="O222" s="516">
        <f t="shared" si="111"/>
        <v>0</v>
      </c>
      <c r="P222" s="516">
        <f t="shared" si="111"/>
        <v>0</v>
      </c>
      <c r="Q222" s="516">
        <f t="shared" si="111"/>
        <v>0</v>
      </c>
      <c r="R222" s="516">
        <f t="shared" si="111"/>
        <v>0</v>
      </c>
      <c r="S222" s="516">
        <f t="shared" si="111"/>
        <v>0</v>
      </c>
      <c r="T222" s="516">
        <f t="shared" si="111"/>
        <v>0</v>
      </c>
      <c r="U222" s="516">
        <f t="shared" si="111"/>
        <v>0</v>
      </c>
      <c r="V222" s="516">
        <f t="shared" si="111"/>
        <v>0</v>
      </c>
      <c r="W222" s="516">
        <f t="shared" si="111"/>
        <v>0</v>
      </c>
      <c r="X222" s="516">
        <f t="shared" si="111"/>
        <v>0</v>
      </c>
      <c r="Y222" s="516">
        <f t="shared" si="111"/>
        <v>0</v>
      </c>
      <c r="Z222" s="516">
        <f t="shared" si="111"/>
        <v>0</v>
      </c>
      <c r="AA222" s="516">
        <f t="shared" si="111"/>
        <v>0</v>
      </c>
      <c r="AB222" s="516">
        <f t="shared" si="111"/>
        <v>0</v>
      </c>
      <c r="AC222" s="516">
        <f t="shared" si="111"/>
        <v>0</v>
      </c>
      <c r="AD222" s="516">
        <f t="shared" si="111"/>
        <v>0</v>
      </c>
      <c r="AE222" s="516">
        <f t="shared" si="111"/>
        <v>0</v>
      </c>
      <c r="AF222" s="516">
        <f t="shared" si="111"/>
        <v>0</v>
      </c>
      <c r="AG222" s="516">
        <f t="shared" si="111"/>
        <v>0</v>
      </c>
      <c r="AH222" s="516">
        <f t="shared" si="111"/>
        <v>0</v>
      </c>
      <c r="AI222" s="516">
        <f t="shared" si="111"/>
        <v>0</v>
      </c>
      <c r="AJ222" s="516">
        <f t="shared" si="111"/>
        <v>0</v>
      </c>
      <c r="AK222" s="516">
        <f t="shared" si="111"/>
        <v>0</v>
      </c>
      <c r="AL222" s="516">
        <f t="shared" si="111"/>
        <v>0</v>
      </c>
      <c r="AM222" s="516">
        <f t="shared" si="111"/>
        <v>0</v>
      </c>
      <c r="AN222" s="516">
        <f t="shared" si="111"/>
        <v>0</v>
      </c>
      <c r="AO222" s="516">
        <f t="shared" si="111"/>
        <v>0</v>
      </c>
      <c r="AP222" s="501"/>
      <c r="AQ222" s="505"/>
      <c r="AR222" s="505"/>
      <c r="AS222" s="505"/>
      <c r="AT222" s="505"/>
      <c r="AU222" s="505"/>
      <c r="AV222" s="510"/>
      <c r="AW222" s="452"/>
    </row>
    <row r="223" spans="1:49" hidden="1">
      <c r="A223" s="143"/>
      <c r="B223" s="483"/>
      <c r="C223" s="496" t="s">
        <v>1340</v>
      </c>
      <c r="D223" s="516">
        <f t="shared" ref="D223:AO223" si="112">IF(ISERR(GETPIVOTDATA("[Measures].[" &amp; MDContractCurrency &amp; "]",TRIMARANweekly,"[Order].[Position Number]","[Order].[Position Number].&amp;[" &amp; $B226 &amp; "]","[Period].[Week]","[Period].[Week].&amp;[" &amp; YEAR(D$14-14) &amp; TEXT(WEEKNUM(D$14-14),"00") &amp; "]")),0,GETPIVOTDATA("[Measures].[" &amp; MDContractCurrency &amp; "]",TRIMARANweekly,"[Order].[Position Number]","[Order].[Position Number].&amp;[" &amp; $B226 &amp; "]","[Period].[Week]","[Period].[Week].&amp;[" &amp; YEAR(D$14-14) &amp; TEXT(WEEKNUM(D$14-14),"00") &amp; "]"))+D222</f>
        <v>0</v>
      </c>
      <c r="E223" s="516">
        <f t="shared" si="112"/>
        <v>0</v>
      </c>
      <c r="F223" s="516">
        <f t="shared" si="112"/>
        <v>0</v>
      </c>
      <c r="G223" s="516">
        <f t="shared" si="112"/>
        <v>0</v>
      </c>
      <c r="H223" s="516">
        <f t="shared" si="112"/>
        <v>0</v>
      </c>
      <c r="I223" s="516">
        <f t="shared" si="112"/>
        <v>0</v>
      </c>
      <c r="J223" s="516">
        <f t="shared" si="112"/>
        <v>0</v>
      </c>
      <c r="K223" s="516">
        <f t="shared" si="112"/>
        <v>0</v>
      </c>
      <c r="L223" s="516">
        <f t="shared" si="112"/>
        <v>0</v>
      </c>
      <c r="M223" s="516">
        <f t="shared" si="112"/>
        <v>0</v>
      </c>
      <c r="N223" s="516">
        <f t="shared" si="112"/>
        <v>0</v>
      </c>
      <c r="O223" s="516">
        <f t="shared" si="112"/>
        <v>0</v>
      </c>
      <c r="P223" s="516">
        <f t="shared" si="112"/>
        <v>0</v>
      </c>
      <c r="Q223" s="516">
        <f t="shared" si="112"/>
        <v>0</v>
      </c>
      <c r="R223" s="516">
        <f t="shared" si="112"/>
        <v>0</v>
      </c>
      <c r="S223" s="516">
        <f t="shared" si="112"/>
        <v>0</v>
      </c>
      <c r="T223" s="516">
        <f t="shared" si="112"/>
        <v>0</v>
      </c>
      <c r="U223" s="516">
        <f t="shared" si="112"/>
        <v>0</v>
      </c>
      <c r="V223" s="516">
        <f t="shared" si="112"/>
        <v>0</v>
      </c>
      <c r="W223" s="516">
        <f t="shared" si="112"/>
        <v>0</v>
      </c>
      <c r="X223" s="516">
        <f t="shared" si="112"/>
        <v>0</v>
      </c>
      <c r="Y223" s="516">
        <f t="shared" si="112"/>
        <v>0</v>
      </c>
      <c r="Z223" s="516">
        <f t="shared" si="112"/>
        <v>0</v>
      </c>
      <c r="AA223" s="516">
        <f t="shared" si="112"/>
        <v>0</v>
      </c>
      <c r="AB223" s="516">
        <f t="shared" si="112"/>
        <v>0</v>
      </c>
      <c r="AC223" s="516">
        <f t="shared" si="112"/>
        <v>0</v>
      </c>
      <c r="AD223" s="516">
        <f t="shared" si="112"/>
        <v>0</v>
      </c>
      <c r="AE223" s="516">
        <f t="shared" si="112"/>
        <v>0</v>
      </c>
      <c r="AF223" s="516">
        <f t="shared" si="112"/>
        <v>0</v>
      </c>
      <c r="AG223" s="516">
        <f t="shared" si="112"/>
        <v>0</v>
      </c>
      <c r="AH223" s="516">
        <f t="shared" si="112"/>
        <v>0</v>
      </c>
      <c r="AI223" s="516">
        <f t="shared" si="112"/>
        <v>0</v>
      </c>
      <c r="AJ223" s="516">
        <f t="shared" si="112"/>
        <v>0</v>
      </c>
      <c r="AK223" s="516">
        <f t="shared" si="112"/>
        <v>0</v>
      </c>
      <c r="AL223" s="516">
        <f t="shared" si="112"/>
        <v>0</v>
      </c>
      <c r="AM223" s="516">
        <f t="shared" si="112"/>
        <v>0</v>
      </c>
      <c r="AN223" s="516">
        <f t="shared" si="112"/>
        <v>0</v>
      </c>
      <c r="AO223" s="516">
        <f t="shared" si="112"/>
        <v>0</v>
      </c>
      <c r="AP223" s="501"/>
      <c r="AQ223" s="505"/>
      <c r="AR223" s="505"/>
      <c r="AS223" s="505"/>
      <c r="AT223" s="505"/>
      <c r="AU223" s="505"/>
      <c r="AV223" s="510"/>
      <c r="AW223" s="452"/>
    </row>
    <row r="224" spans="1:49" hidden="1">
      <c r="A224" s="141"/>
      <c r="B224" s="517"/>
      <c r="C224" s="496" t="s">
        <v>1341</v>
      </c>
      <c r="D224" s="516">
        <f t="shared" ref="D224:AO224" si="113">IF(ISERR(GETPIVOTDATA("[Measures].[" &amp; MDContractCurrency &amp; "]",TRIMARANmonthly,"[Period].[Month]","[Period].[Month].&amp;["&amp;IF(MONTH(D$14)=1,YEAR(D$14)-1&amp;TEXT(12,"00"),YEAR(D$14)&amp;TEXT(MONTH(D$14)-1,"00"))&amp;"]","[Order].[Position Number]","[Order].[Position Number].&amp;["&amp;$B226&amp;"]")),0,GETPIVOTDATA("[Measures].[" &amp; MDContractCurrency &amp; "]",TRIMARANmonthly,"[Period].[Month]","[Period].[Month].&amp;["&amp;IF(MONTH(D$14)=1,YEAR(D$14)-1&amp;TEXT(12,"00"),YEAR(D$14)&amp;TEXT(MONTH(D$14)-1,"00"))&amp;"]","[Order].[Position Number]","[Order].[Position Number].&amp;["&amp;$B226&amp;"]"))</f>
        <v>0</v>
      </c>
      <c r="E224" s="516">
        <f t="shared" si="113"/>
        <v>0</v>
      </c>
      <c r="F224" s="516">
        <f t="shared" si="113"/>
        <v>0</v>
      </c>
      <c r="G224" s="516">
        <f t="shared" si="113"/>
        <v>0</v>
      </c>
      <c r="H224" s="516">
        <f t="shared" si="113"/>
        <v>0</v>
      </c>
      <c r="I224" s="516">
        <f t="shared" si="113"/>
        <v>0</v>
      </c>
      <c r="J224" s="516">
        <f t="shared" si="113"/>
        <v>0</v>
      </c>
      <c r="K224" s="516">
        <f t="shared" si="113"/>
        <v>0</v>
      </c>
      <c r="L224" s="516">
        <f t="shared" si="113"/>
        <v>0</v>
      </c>
      <c r="M224" s="516">
        <f t="shared" si="113"/>
        <v>0</v>
      </c>
      <c r="N224" s="516">
        <f t="shared" si="113"/>
        <v>0</v>
      </c>
      <c r="O224" s="516">
        <f t="shared" si="113"/>
        <v>0</v>
      </c>
      <c r="P224" s="516">
        <f t="shared" si="113"/>
        <v>0</v>
      </c>
      <c r="Q224" s="516">
        <f t="shared" si="113"/>
        <v>0</v>
      </c>
      <c r="R224" s="516">
        <f t="shared" si="113"/>
        <v>0</v>
      </c>
      <c r="S224" s="516">
        <f t="shared" si="113"/>
        <v>0</v>
      </c>
      <c r="T224" s="516">
        <f t="shared" si="113"/>
        <v>0</v>
      </c>
      <c r="U224" s="516">
        <f t="shared" si="113"/>
        <v>0</v>
      </c>
      <c r="V224" s="516">
        <f t="shared" si="113"/>
        <v>0</v>
      </c>
      <c r="W224" s="516">
        <f t="shared" si="113"/>
        <v>0</v>
      </c>
      <c r="X224" s="516">
        <f t="shared" si="113"/>
        <v>0</v>
      </c>
      <c r="Y224" s="516">
        <f t="shared" si="113"/>
        <v>0</v>
      </c>
      <c r="Z224" s="516">
        <f t="shared" si="113"/>
        <v>0</v>
      </c>
      <c r="AA224" s="516">
        <f t="shared" si="113"/>
        <v>0</v>
      </c>
      <c r="AB224" s="516">
        <f t="shared" si="113"/>
        <v>0</v>
      </c>
      <c r="AC224" s="516">
        <f t="shared" si="113"/>
        <v>0</v>
      </c>
      <c r="AD224" s="516">
        <f t="shared" si="113"/>
        <v>0</v>
      </c>
      <c r="AE224" s="516">
        <f t="shared" si="113"/>
        <v>0</v>
      </c>
      <c r="AF224" s="516">
        <f t="shared" si="113"/>
        <v>0</v>
      </c>
      <c r="AG224" s="516">
        <f t="shared" si="113"/>
        <v>0</v>
      </c>
      <c r="AH224" s="516">
        <f t="shared" si="113"/>
        <v>0</v>
      </c>
      <c r="AI224" s="516">
        <f t="shared" si="113"/>
        <v>0</v>
      </c>
      <c r="AJ224" s="516">
        <f t="shared" si="113"/>
        <v>0</v>
      </c>
      <c r="AK224" s="516">
        <f t="shared" si="113"/>
        <v>0</v>
      </c>
      <c r="AL224" s="516">
        <f t="shared" si="113"/>
        <v>0</v>
      </c>
      <c r="AM224" s="516">
        <f t="shared" si="113"/>
        <v>0</v>
      </c>
      <c r="AN224" s="516">
        <f t="shared" si="113"/>
        <v>0</v>
      </c>
      <c r="AO224" s="516">
        <f t="shared" si="113"/>
        <v>0</v>
      </c>
      <c r="AP224" s="501"/>
      <c r="AQ224" s="505"/>
      <c r="AR224" s="505"/>
      <c r="AS224" s="505"/>
      <c r="AT224" s="505"/>
      <c r="AU224" s="505"/>
      <c r="AV224" s="510"/>
      <c r="AW224" s="452"/>
    </row>
    <row r="225" spans="1:49">
      <c r="A225" s="477"/>
      <c r="B225" s="483"/>
      <c r="C225" s="496"/>
      <c r="D225" s="496"/>
      <c r="E225" s="496"/>
      <c r="F225" s="496"/>
      <c r="G225" s="496"/>
      <c r="H225" s="496"/>
      <c r="I225" s="496"/>
      <c r="J225" s="496"/>
      <c r="K225" s="496"/>
      <c r="L225" s="496"/>
      <c r="M225" s="496"/>
      <c r="N225" s="496"/>
      <c r="O225" s="496"/>
      <c r="P225" s="496"/>
      <c r="Q225" s="496"/>
      <c r="R225" s="496"/>
      <c r="S225" s="496"/>
      <c r="T225" s="496"/>
      <c r="U225" s="496"/>
      <c r="V225" s="496"/>
      <c r="W225" s="496"/>
      <c r="X225" s="496"/>
      <c r="Y225" s="496"/>
      <c r="Z225" s="496"/>
      <c r="AA225" s="496"/>
      <c r="AB225" s="496"/>
      <c r="AC225" s="496"/>
      <c r="AD225" s="496"/>
      <c r="AE225" s="496"/>
      <c r="AF225" s="496"/>
      <c r="AG225" s="496"/>
      <c r="AH225" s="496"/>
      <c r="AI225" s="496"/>
      <c r="AJ225" s="496"/>
      <c r="AK225" s="496"/>
      <c r="AL225" s="496"/>
      <c r="AM225" s="496"/>
      <c r="AN225" s="496"/>
      <c r="AO225" s="496"/>
      <c r="AP225" s="501"/>
      <c r="AQ225" s="505"/>
      <c r="AR225" s="505"/>
      <c r="AS225" s="505"/>
      <c r="AT225" s="505"/>
      <c r="AU225" s="505"/>
      <c r="AV225" s="510"/>
      <c r="AW225" s="452"/>
    </row>
    <row r="226" spans="1:49">
      <c r="A226" s="1183" t="str">
        <f>'Delivery Calculation'!B31 &amp; CHAR(10) &amp; 'Delivery Calculation'!P31 &amp; " - " &amp; 'Delivery Calculation'!Q31</f>
        <v xml:space="preserve">0
 - </v>
      </c>
      <c r="B226" s="1180">
        <f>'Delivery Calculation'!A31</f>
        <v>0</v>
      </c>
      <c r="C226" s="499" t="s">
        <v>594</v>
      </c>
      <c r="D226" s="518">
        <f>'Delivery Calculation'!M212</f>
        <v>0</v>
      </c>
      <c r="E226" s="518">
        <f>'Delivery Calculation'!N212</f>
        <v>0</v>
      </c>
      <c r="F226" s="518">
        <f>'Delivery Calculation'!O212</f>
        <v>0</v>
      </c>
      <c r="G226" s="518">
        <f>'Delivery Calculation'!P212</f>
        <v>0</v>
      </c>
      <c r="H226" s="518">
        <f>'Delivery Calculation'!Q212</f>
        <v>0</v>
      </c>
      <c r="I226" s="518">
        <f>'Delivery Calculation'!R212</f>
        <v>0</v>
      </c>
      <c r="J226" s="518">
        <f>'Delivery Calculation'!S212</f>
        <v>0</v>
      </c>
      <c r="K226" s="518">
        <f>'Delivery Calculation'!T212</f>
        <v>0</v>
      </c>
      <c r="L226" s="518">
        <f>'Delivery Calculation'!U212</f>
        <v>0</v>
      </c>
      <c r="M226" s="518">
        <f>'Delivery Calculation'!V212</f>
        <v>0</v>
      </c>
      <c r="N226" s="518">
        <f>'Delivery Calculation'!W212</f>
        <v>0</v>
      </c>
      <c r="O226" s="518">
        <f>'Delivery Calculation'!X212</f>
        <v>0</v>
      </c>
      <c r="P226" s="518">
        <f>'Delivery Calculation'!Y212</f>
        <v>0</v>
      </c>
      <c r="Q226" s="518">
        <f>'Delivery Calculation'!Z212</f>
        <v>0</v>
      </c>
      <c r="R226" s="518">
        <f>'Delivery Calculation'!AA212</f>
        <v>0</v>
      </c>
      <c r="S226" s="518">
        <f>'Delivery Calculation'!AB212</f>
        <v>0</v>
      </c>
      <c r="T226" s="518">
        <f>'Delivery Calculation'!AC212</f>
        <v>0</v>
      </c>
      <c r="U226" s="518">
        <f>'Delivery Calculation'!AD212</f>
        <v>0</v>
      </c>
      <c r="V226" s="518">
        <f>'Delivery Calculation'!AE212</f>
        <v>0</v>
      </c>
      <c r="W226" s="518">
        <f>'Delivery Calculation'!AF212</f>
        <v>0</v>
      </c>
      <c r="X226" s="518">
        <f>'Delivery Calculation'!AG212</f>
        <v>0</v>
      </c>
      <c r="Y226" s="518">
        <f>'Delivery Calculation'!AH212</f>
        <v>0</v>
      </c>
      <c r="Z226" s="518">
        <f>'Delivery Calculation'!AI212</f>
        <v>0</v>
      </c>
      <c r="AA226" s="518">
        <f>'Delivery Calculation'!AJ212</f>
        <v>0</v>
      </c>
      <c r="AB226" s="518">
        <f>'Delivery Calculation'!AK212</f>
        <v>0</v>
      </c>
      <c r="AC226" s="518">
        <f>'Delivery Calculation'!AL212</f>
        <v>0</v>
      </c>
      <c r="AD226" s="518">
        <f>'Delivery Calculation'!AM212</f>
        <v>0</v>
      </c>
      <c r="AE226" s="518">
        <f>'Delivery Calculation'!AN212</f>
        <v>0</v>
      </c>
      <c r="AF226" s="518">
        <f>'Delivery Calculation'!AO212</f>
        <v>0</v>
      </c>
      <c r="AG226" s="518">
        <f>'Delivery Calculation'!AP212</f>
        <v>0</v>
      </c>
      <c r="AH226" s="518">
        <f>'Delivery Calculation'!AQ212</f>
        <v>0</v>
      </c>
      <c r="AI226" s="518">
        <f>'Delivery Calculation'!AR212</f>
        <v>0</v>
      </c>
      <c r="AJ226" s="518">
        <f>'Delivery Calculation'!AS212</f>
        <v>0</v>
      </c>
      <c r="AK226" s="518">
        <f>'Delivery Calculation'!AT212</f>
        <v>0</v>
      </c>
      <c r="AL226" s="518">
        <f>'Delivery Calculation'!AU212</f>
        <v>0</v>
      </c>
      <c r="AM226" s="518">
        <f>'Delivery Calculation'!AV212</f>
        <v>0</v>
      </c>
      <c r="AN226" s="518">
        <f>'Delivery Calculation'!AW212</f>
        <v>0</v>
      </c>
      <c r="AO226" s="518">
        <f>'Delivery Calculation'!AX212</f>
        <v>0</v>
      </c>
      <c r="AP226" s="501"/>
      <c r="AQ226" s="519">
        <f>IF(COUNTIF($D$15:$AO$15, TMDPeriodValueTypeReported)&gt;0, INDEX(D226:AO226,1,COUNTIF(D$15:$AO$15,TMDPeriodValueTypeReported)),0)</f>
        <v>0</v>
      </c>
      <c r="AR226" s="519"/>
      <c r="AS226" s="520">
        <f>'Delivery Calculation'!N31</f>
        <v>0</v>
      </c>
      <c r="AT226" s="519">
        <f>AQ226*'Delivery Calculation'!N31</f>
        <v>0</v>
      </c>
      <c r="AU226" s="521" t="s">
        <v>522</v>
      </c>
      <c r="AV226" s="510"/>
      <c r="AW226" s="452"/>
    </row>
    <row r="227" spans="1:49">
      <c r="A227" s="1184"/>
      <c r="B227" s="1181"/>
      <c r="C227" s="499" t="s">
        <v>595</v>
      </c>
      <c r="D227" s="509">
        <f>IF(D$15=TMDPeriodValueTypeForecast,IF('Delivery Calculation'!$H$31=TMDAllocationTandM,0,'Delivery Calculation'!M141),IF(MDReportingPeriod=TMDMonthly,D221,IF(MDReportingPeriod=TMDTwoweekly,D220,D219)))</f>
        <v>0</v>
      </c>
      <c r="E227" s="509">
        <f>IF(E$15=TMDPeriodValueTypeForecast,IF('Delivery Calculation'!$H$31=TMDAllocationTandM,0,'Delivery Calculation'!N141),IF(MDReportingPeriod=TMDMonthly,E221,IF(MDReportingPeriod=TMDTwoweekly,E220,E219)))</f>
        <v>0</v>
      </c>
      <c r="F227" s="509">
        <f>IF(F$15=TMDPeriodValueTypeForecast,IF('Delivery Calculation'!$H$31=TMDAllocationTandM,0,'Delivery Calculation'!O141),IF(MDReportingPeriod=TMDMonthly,F221,IF(MDReportingPeriod=TMDTwoweekly,F220,F219)))</f>
        <v>0</v>
      </c>
      <c r="G227" s="509">
        <f>IF(G$15=TMDPeriodValueTypeForecast,IF('Delivery Calculation'!$H$31=TMDAllocationTandM,0,'Delivery Calculation'!P141),IF(MDReportingPeriod=TMDMonthly,G221,IF(MDReportingPeriod=TMDTwoweekly,G220,G219)))</f>
        <v>0</v>
      </c>
      <c r="H227" s="509">
        <f>IF(H$15=TMDPeriodValueTypeForecast,IF('Delivery Calculation'!$H$31=TMDAllocationTandM,0,'Delivery Calculation'!Q141),IF(MDReportingPeriod=TMDMonthly,H221,IF(MDReportingPeriod=TMDTwoweekly,H220,H219)))</f>
        <v>0</v>
      </c>
      <c r="I227" s="509">
        <f>IF(I$15=TMDPeriodValueTypeForecast,IF('Delivery Calculation'!$H$31=TMDAllocationTandM,0,'Delivery Calculation'!R141),IF(MDReportingPeriod=TMDMonthly,I221,IF(MDReportingPeriod=TMDTwoweekly,I220,I219)))</f>
        <v>0</v>
      </c>
      <c r="J227" s="509">
        <f>IF(J$15=TMDPeriodValueTypeForecast,IF('Delivery Calculation'!$H$31=TMDAllocationTandM,0,'Delivery Calculation'!S141),IF(MDReportingPeriod=TMDMonthly,J221,IF(MDReportingPeriod=TMDTwoweekly,J220,J219)))</f>
        <v>0</v>
      </c>
      <c r="K227" s="509">
        <f>IF(K$15=TMDPeriodValueTypeForecast,IF('Delivery Calculation'!$H$31=TMDAllocationTandM,0,'Delivery Calculation'!T141),IF(MDReportingPeriod=TMDMonthly,K221,IF(MDReportingPeriod=TMDTwoweekly,K220,K219)))</f>
        <v>0</v>
      </c>
      <c r="L227" s="509">
        <f>IF(L$15=TMDPeriodValueTypeForecast,IF('Delivery Calculation'!$H$31=TMDAllocationTandM,0,'Delivery Calculation'!U141),IF(MDReportingPeriod=TMDMonthly,L221,IF(MDReportingPeriod=TMDTwoweekly,L220,L219)))</f>
        <v>0</v>
      </c>
      <c r="M227" s="509">
        <f>IF(M$15=TMDPeriodValueTypeForecast,IF('Delivery Calculation'!$H$31=TMDAllocationTandM,0,'Delivery Calculation'!V141),IF(MDReportingPeriod=TMDMonthly,M221,IF(MDReportingPeriod=TMDTwoweekly,M220,M219)))</f>
        <v>0</v>
      </c>
      <c r="N227" s="509">
        <f>IF(N$15=TMDPeriodValueTypeForecast,IF('Delivery Calculation'!$H$31=TMDAllocationTandM,0,'Delivery Calculation'!W141),IF(MDReportingPeriod=TMDMonthly,N221,IF(MDReportingPeriod=TMDTwoweekly,N220,N219)))</f>
        <v>0</v>
      </c>
      <c r="O227" s="509">
        <f>IF(O$15=TMDPeriodValueTypeForecast,IF('Delivery Calculation'!$H$31=TMDAllocationTandM,0,'Delivery Calculation'!X141),IF(MDReportingPeriod=TMDMonthly,O221,IF(MDReportingPeriod=TMDTwoweekly,O220,O219)))</f>
        <v>0</v>
      </c>
      <c r="P227" s="509">
        <f>IF(P$15=TMDPeriodValueTypeForecast,IF('Delivery Calculation'!$H$31=TMDAllocationTandM,0,'Delivery Calculation'!Y141),IF(MDReportingPeriod=TMDMonthly,P221,IF(MDReportingPeriod=TMDTwoweekly,P220,P219)))</f>
        <v>0</v>
      </c>
      <c r="Q227" s="509">
        <f>IF(Q$15=TMDPeriodValueTypeForecast,IF('Delivery Calculation'!$H$31=TMDAllocationTandM,0,'Delivery Calculation'!Z141),IF(MDReportingPeriod=TMDMonthly,Q221,IF(MDReportingPeriod=TMDTwoweekly,Q220,Q219)))</f>
        <v>0</v>
      </c>
      <c r="R227" s="509">
        <f>IF(R$15=TMDPeriodValueTypeForecast,IF('Delivery Calculation'!$H$31=TMDAllocationTandM,0,'Delivery Calculation'!AA141),IF(MDReportingPeriod=TMDMonthly,R221,IF(MDReportingPeriod=TMDTwoweekly,R220,R219)))</f>
        <v>0</v>
      </c>
      <c r="S227" s="509">
        <f>IF(S$15=TMDPeriodValueTypeForecast,IF('Delivery Calculation'!$H$31=TMDAllocationTandM,0,'Delivery Calculation'!AB141),IF(MDReportingPeriod=TMDMonthly,S221,IF(MDReportingPeriod=TMDTwoweekly,S220,S219)))</f>
        <v>0</v>
      </c>
      <c r="T227" s="509">
        <f>IF(T$15=TMDPeriodValueTypeForecast,IF('Delivery Calculation'!$H$31=TMDAllocationTandM,0,'Delivery Calculation'!AC141),IF(MDReportingPeriod=TMDMonthly,T221,IF(MDReportingPeriod=TMDTwoweekly,T220,T219)))</f>
        <v>0</v>
      </c>
      <c r="U227" s="509">
        <f>IF(U$15=TMDPeriodValueTypeForecast,IF('Delivery Calculation'!$H$31=TMDAllocationTandM,0,'Delivery Calculation'!AD141),IF(MDReportingPeriod=TMDMonthly,U221,IF(MDReportingPeriod=TMDTwoweekly,U220,U219)))</f>
        <v>0</v>
      </c>
      <c r="V227" s="509">
        <f>IF(V$15=TMDPeriodValueTypeForecast,IF('Delivery Calculation'!$H$31=TMDAllocationTandM,0,'Delivery Calculation'!AE141),IF(MDReportingPeriod=TMDMonthly,V221,IF(MDReportingPeriod=TMDTwoweekly,V220,V219)))</f>
        <v>0</v>
      </c>
      <c r="W227" s="509">
        <f>IF(W$15=TMDPeriodValueTypeForecast,IF('Delivery Calculation'!$H$31=TMDAllocationTandM,0,'Delivery Calculation'!AF141),IF(MDReportingPeriod=TMDMonthly,W221,IF(MDReportingPeriod=TMDTwoweekly,W220,W219)))</f>
        <v>0</v>
      </c>
      <c r="X227" s="509">
        <f>IF(X$15=TMDPeriodValueTypeForecast,IF('Delivery Calculation'!$H$31=TMDAllocationTandM,0,'Delivery Calculation'!AG141),IF(MDReportingPeriod=TMDMonthly,X221,IF(MDReportingPeriod=TMDTwoweekly,X220,X219)))</f>
        <v>0</v>
      </c>
      <c r="Y227" s="509">
        <f>IF(Y$15=TMDPeriodValueTypeForecast,IF('Delivery Calculation'!$H$31=TMDAllocationTandM,0,'Delivery Calculation'!AH141),IF(MDReportingPeriod=TMDMonthly,Y221,IF(MDReportingPeriod=TMDTwoweekly,Y220,Y219)))</f>
        <v>0</v>
      </c>
      <c r="Z227" s="509">
        <f>IF(Z$15=TMDPeriodValueTypeForecast,IF('Delivery Calculation'!$H$31=TMDAllocationTandM,0,'Delivery Calculation'!AI141),IF(MDReportingPeriod=TMDMonthly,Z221,IF(MDReportingPeriod=TMDTwoweekly,Z220,Z219)))</f>
        <v>0</v>
      </c>
      <c r="AA227" s="509">
        <f>IF(AA$15=TMDPeriodValueTypeForecast,IF('Delivery Calculation'!$H$31=TMDAllocationTandM,0,'Delivery Calculation'!AJ141),IF(MDReportingPeriod=TMDMonthly,AA221,IF(MDReportingPeriod=TMDTwoweekly,AA220,AA219)))</f>
        <v>0</v>
      </c>
      <c r="AB227" s="509">
        <f>IF(AB$15=TMDPeriodValueTypeForecast,IF('Delivery Calculation'!$H$31=TMDAllocationTandM,0,'Delivery Calculation'!AK141),IF(MDReportingPeriod=TMDMonthly,AB221,IF(MDReportingPeriod=TMDTwoweekly,AB220,AB219)))</f>
        <v>0</v>
      </c>
      <c r="AC227" s="509">
        <f>IF(AC$15=TMDPeriodValueTypeForecast,IF('Delivery Calculation'!$H$31=TMDAllocationTandM,0,'Delivery Calculation'!AL141),IF(MDReportingPeriod=TMDMonthly,AC221,IF(MDReportingPeriod=TMDTwoweekly,AC220,AC219)))</f>
        <v>0</v>
      </c>
      <c r="AD227" s="509">
        <f>IF(AD$15=TMDPeriodValueTypeForecast,IF('Delivery Calculation'!$H$31=TMDAllocationTandM,0,'Delivery Calculation'!AM141),IF(MDReportingPeriod=TMDMonthly,AD221,IF(MDReportingPeriod=TMDTwoweekly,AD220,AD219)))</f>
        <v>0</v>
      </c>
      <c r="AE227" s="509">
        <f>IF(AE$15=TMDPeriodValueTypeForecast,IF('Delivery Calculation'!$H$31=TMDAllocationTandM,0,'Delivery Calculation'!AN141),IF(MDReportingPeriod=TMDMonthly,AE221,IF(MDReportingPeriod=TMDTwoweekly,AE220,AE219)))</f>
        <v>0</v>
      </c>
      <c r="AF227" s="509">
        <f>IF(AF$15=TMDPeriodValueTypeForecast,IF('Delivery Calculation'!$H$31=TMDAllocationTandM,0,'Delivery Calculation'!AO141),IF(MDReportingPeriod=TMDMonthly,AF221,IF(MDReportingPeriod=TMDTwoweekly,AF220,AF219)))</f>
        <v>0</v>
      </c>
      <c r="AG227" s="509">
        <f>IF(AG$15=TMDPeriodValueTypeForecast,IF('Delivery Calculation'!$H$31=TMDAllocationTandM,0,'Delivery Calculation'!AP141),IF(MDReportingPeriod=TMDMonthly,AG221,IF(MDReportingPeriod=TMDTwoweekly,AG220,AG219)))</f>
        <v>0</v>
      </c>
      <c r="AH227" s="509">
        <f>IF(AH$15=TMDPeriodValueTypeForecast,IF('Delivery Calculation'!$H$31=TMDAllocationTandM,0,'Delivery Calculation'!AQ141),IF(MDReportingPeriod=TMDMonthly,AH221,IF(MDReportingPeriod=TMDTwoweekly,AH220,AH219)))</f>
        <v>0</v>
      </c>
      <c r="AI227" s="509">
        <f>IF(AI$15=TMDPeriodValueTypeForecast,IF('Delivery Calculation'!$H$31=TMDAllocationTandM,0,'Delivery Calculation'!AR141),IF(MDReportingPeriod=TMDMonthly,AI221,IF(MDReportingPeriod=TMDTwoweekly,AI220,AI219)))</f>
        <v>0</v>
      </c>
      <c r="AJ227" s="509">
        <f>IF(AJ$15=TMDPeriodValueTypeForecast,IF('Delivery Calculation'!$H$31=TMDAllocationTandM,0,'Delivery Calculation'!AS141),IF(MDReportingPeriod=TMDMonthly,AJ221,IF(MDReportingPeriod=TMDTwoweekly,AJ220,AJ219)))</f>
        <v>0</v>
      </c>
      <c r="AK227" s="509">
        <f>IF(AK$15=TMDPeriodValueTypeForecast,IF('Delivery Calculation'!$H$31=TMDAllocationTandM,0,'Delivery Calculation'!AT141),IF(MDReportingPeriod=TMDMonthly,AK221,IF(MDReportingPeriod=TMDTwoweekly,AK220,AK219)))</f>
        <v>0</v>
      </c>
      <c r="AL227" s="509">
        <f>IF(AL$15=TMDPeriodValueTypeForecast,IF('Delivery Calculation'!$H$31=TMDAllocationTandM,0,'Delivery Calculation'!AU141),IF(MDReportingPeriod=TMDMonthly,AL221,IF(MDReportingPeriod=TMDTwoweekly,AL220,AL219)))</f>
        <v>0</v>
      </c>
      <c r="AM227" s="509">
        <f>IF(AM$15=TMDPeriodValueTypeForecast,IF('Delivery Calculation'!$H$31=TMDAllocationTandM,0,'Delivery Calculation'!AV141),IF(MDReportingPeriod=TMDMonthly,AM221,IF(MDReportingPeriod=TMDTwoweekly,AM220,AM219)))</f>
        <v>0</v>
      </c>
      <c r="AN227" s="509">
        <f>IF(AN$15=TMDPeriodValueTypeForecast,IF('Delivery Calculation'!$H$31=TMDAllocationTandM,0,'Delivery Calculation'!AW141),IF(MDReportingPeriod=TMDMonthly,AN221,IF(MDReportingPeriod=TMDTwoweekly,AN220,AN219)))</f>
        <v>0</v>
      </c>
      <c r="AO227" s="509">
        <f>IF(AO$15=TMDPeriodValueTypeForecast,IF('Delivery Calculation'!$H$31=TMDAllocationTandM,0,'Delivery Calculation'!AX141),IF(MDReportingPeriod=TMDMonthly,AO221,IF(MDReportingPeriod=TMDTwoweekly,AO220,AO219)))</f>
        <v>0</v>
      </c>
      <c r="AP227" s="501"/>
      <c r="AQ227" s="505">
        <f>SUMIF($D$15:$AO$15,TMDPeriodValueTypeReported,D227:AO227)</f>
        <v>0</v>
      </c>
      <c r="AR227" s="505">
        <f>SUMIF($D$15:$AO$15,TMDPeriodValueTypeForecast,D227:AO227)</f>
        <v>0</v>
      </c>
      <c r="AS227" s="523">
        <f>'Delivery Calculation'!J31</f>
        <v>0</v>
      </c>
      <c r="AT227" s="505">
        <f>AS227-(AQ227+AR227)</f>
        <v>0</v>
      </c>
      <c r="AU227" s="505"/>
      <c r="AV227" s="510"/>
      <c r="AW227" s="452"/>
    </row>
    <row r="228" spans="1:49">
      <c r="A228" s="1184"/>
      <c r="B228" s="1181"/>
      <c r="C228" s="499" t="s">
        <v>596</v>
      </c>
      <c r="D228" s="509">
        <f>IF(D$15=TMDPeriodValueTypeForecast,IF('Delivery Calculation'!$H$31=TMDAllocationTandM,0,'Delivery Calculation'!M105),IF(MDReportingPeriod=TMDMonthly,D224,IF(MDReportingPeriod=TMDTwoweekly,D223,D222)))</f>
        <v>0</v>
      </c>
      <c r="E228" s="509">
        <f>IF(E$15=TMDPeriodValueTypeForecast,IF('Delivery Calculation'!$H$31=TMDAllocationTandM,0,'Delivery Calculation'!N105),IF(MDReportingPeriod=TMDMonthly,E224,IF(MDReportingPeriod=TMDTwoweekly,E223,E222)))</f>
        <v>0</v>
      </c>
      <c r="F228" s="509">
        <f>IF(F$15=TMDPeriodValueTypeForecast,IF('Delivery Calculation'!$H$31=TMDAllocationTandM,0,'Delivery Calculation'!O105),IF(MDReportingPeriod=TMDMonthly,F224,IF(MDReportingPeriod=TMDTwoweekly,F223,F222)))</f>
        <v>0</v>
      </c>
      <c r="G228" s="509">
        <f>IF(G$15=TMDPeriodValueTypeForecast,IF('Delivery Calculation'!$H$31=TMDAllocationTandM,0,'Delivery Calculation'!P105),IF(MDReportingPeriod=TMDMonthly,G224,IF(MDReportingPeriod=TMDTwoweekly,G223,G222)))</f>
        <v>0</v>
      </c>
      <c r="H228" s="509">
        <f>IF(H$15=TMDPeriodValueTypeForecast,IF('Delivery Calculation'!$H$31=TMDAllocationTandM,0,'Delivery Calculation'!Q105),IF(MDReportingPeriod=TMDMonthly,H224,IF(MDReportingPeriod=TMDTwoweekly,H223,H222)))</f>
        <v>0</v>
      </c>
      <c r="I228" s="509">
        <f>IF(I$15=TMDPeriodValueTypeForecast,IF('Delivery Calculation'!$H$31=TMDAllocationTandM,0,'Delivery Calculation'!R105),IF(MDReportingPeriod=TMDMonthly,I224,IF(MDReportingPeriod=TMDTwoweekly,I223,I222)))</f>
        <v>0</v>
      </c>
      <c r="J228" s="509">
        <f>IF(J$15=TMDPeriodValueTypeForecast,IF('Delivery Calculation'!$H$31=TMDAllocationTandM,0,'Delivery Calculation'!S105),IF(MDReportingPeriod=TMDMonthly,J224,IF(MDReportingPeriod=TMDTwoweekly,J223,J222)))</f>
        <v>0</v>
      </c>
      <c r="K228" s="509">
        <f>IF(K$15=TMDPeriodValueTypeForecast,IF('Delivery Calculation'!$H$31=TMDAllocationTandM,0,'Delivery Calculation'!T105),IF(MDReportingPeriod=TMDMonthly,K224,IF(MDReportingPeriod=TMDTwoweekly,K223,K222)))</f>
        <v>0</v>
      </c>
      <c r="L228" s="509">
        <f>IF(L$15=TMDPeriodValueTypeForecast,IF('Delivery Calculation'!$H$31=TMDAllocationTandM,0,'Delivery Calculation'!U105),IF(MDReportingPeriod=TMDMonthly,L224,IF(MDReportingPeriod=TMDTwoweekly,L223,L222)))</f>
        <v>0</v>
      </c>
      <c r="M228" s="509">
        <f>IF(M$15=TMDPeriodValueTypeForecast,IF('Delivery Calculation'!$H$31=TMDAllocationTandM,0,'Delivery Calculation'!V105),IF(MDReportingPeriod=TMDMonthly,M224,IF(MDReportingPeriod=TMDTwoweekly,M223,M222)))</f>
        <v>0</v>
      </c>
      <c r="N228" s="509">
        <f>IF(N$15=TMDPeriodValueTypeForecast,IF('Delivery Calculation'!$H$31=TMDAllocationTandM,0,'Delivery Calculation'!W105),IF(MDReportingPeriod=TMDMonthly,N224,IF(MDReportingPeriod=TMDTwoweekly,N223,N222)))</f>
        <v>0</v>
      </c>
      <c r="O228" s="509">
        <f>IF(O$15=TMDPeriodValueTypeForecast,IF('Delivery Calculation'!$H$31=TMDAllocationTandM,0,'Delivery Calculation'!X105),IF(MDReportingPeriod=TMDMonthly,O224,IF(MDReportingPeriod=TMDTwoweekly,O223,O222)))</f>
        <v>0</v>
      </c>
      <c r="P228" s="509">
        <f>IF(P$15=TMDPeriodValueTypeForecast,IF('Delivery Calculation'!$H$31=TMDAllocationTandM,0,'Delivery Calculation'!Y105),IF(MDReportingPeriod=TMDMonthly,P224,IF(MDReportingPeriod=TMDTwoweekly,P223,P222)))</f>
        <v>0</v>
      </c>
      <c r="Q228" s="509">
        <f>IF(Q$15=TMDPeriodValueTypeForecast,IF('Delivery Calculation'!$H$31=TMDAllocationTandM,0,'Delivery Calculation'!Z105),IF(MDReportingPeriod=TMDMonthly,Q224,IF(MDReportingPeriod=TMDTwoweekly,Q223,Q222)))</f>
        <v>0</v>
      </c>
      <c r="R228" s="509">
        <f>IF(R$15=TMDPeriodValueTypeForecast,IF('Delivery Calculation'!$H$31=TMDAllocationTandM,0,'Delivery Calculation'!AA105),IF(MDReportingPeriod=TMDMonthly,R224,IF(MDReportingPeriod=TMDTwoweekly,R223,R222)))</f>
        <v>0</v>
      </c>
      <c r="S228" s="509">
        <f>IF(S$15=TMDPeriodValueTypeForecast,IF('Delivery Calculation'!$H$31=TMDAllocationTandM,0,'Delivery Calculation'!AB105),IF(MDReportingPeriod=TMDMonthly,S224,IF(MDReportingPeriod=TMDTwoweekly,S223,S222)))</f>
        <v>0</v>
      </c>
      <c r="T228" s="509">
        <f>IF(T$15=TMDPeriodValueTypeForecast,IF('Delivery Calculation'!$H$31=TMDAllocationTandM,0,'Delivery Calculation'!AC105),IF(MDReportingPeriod=TMDMonthly,T224,IF(MDReportingPeriod=TMDTwoweekly,T223,T222)))</f>
        <v>0</v>
      </c>
      <c r="U228" s="509">
        <f>IF(U$15=TMDPeriodValueTypeForecast,IF('Delivery Calculation'!$H$31=TMDAllocationTandM,0,'Delivery Calculation'!AD105),IF(MDReportingPeriod=TMDMonthly,U224,IF(MDReportingPeriod=TMDTwoweekly,U223,U222)))</f>
        <v>0</v>
      </c>
      <c r="V228" s="509">
        <f>IF(V$15=TMDPeriodValueTypeForecast,IF('Delivery Calculation'!$H$31=TMDAllocationTandM,0,'Delivery Calculation'!AE105),IF(MDReportingPeriod=TMDMonthly,V224,IF(MDReportingPeriod=TMDTwoweekly,V223,V222)))</f>
        <v>0</v>
      </c>
      <c r="W228" s="509">
        <f>IF(W$15=TMDPeriodValueTypeForecast,IF('Delivery Calculation'!$H$31=TMDAllocationTandM,0,'Delivery Calculation'!AF105),IF(MDReportingPeriod=TMDMonthly,W224,IF(MDReportingPeriod=TMDTwoweekly,W223,W222)))</f>
        <v>0</v>
      </c>
      <c r="X228" s="509">
        <f>IF(X$15=TMDPeriodValueTypeForecast,IF('Delivery Calculation'!$H$31=TMDAllocationTandM,0,'Delivery Calculation'!AG105),IF(MDReportingPeriod=TMDMonthly,X224,IF(MDReportingPeriod=TMDTwoweekly,X223,X222)))</f>
        <v>0</v>
      </c>
      <c r="Y228" s="509">
        <f>IF(Y$15=TMDPeriodValueTypeForecast,IF('Delivery Calculation'!$H$31=TMDAllocationTandM,0,'Delivery Calculation'!AH105),IF(MDReportingPeriod=TMDMonthly,Y224,IF(MDReportingPeriod=TMDTwoweekly,Y223,Y222)))</f>
        <v>0</v>
      </c>
      <c r="Z228" s="509">
        <f>IF(Z$15=TMDPeriodValueTypeForecast,IF('Delivery Calculation'!$H$31=TMDAllocationTandM,0,'Delivery Calculation'!AI105),IF(MDReportingPeriod=TMDMonthly,Z224,IF(MDReportingPeriod=TMDTwoweekly,Z223,Z222)))</f>
        <v>0</v>
      </c>
      <c r="AA228" s="509">
        <f>IF(AA$15=TMDPeriodValueTypeForecast,IF('Delivery Calculation'!$H$31=TMDAllocationTandM,0,'Delivery Calculation'!AJ105),IF(MDReportingPeriod=TMDMonthly,AA224,IF(MDReportingPeriod=TMDTwoweekly,AA223,AA222)))</f>
        <v>0</v>
      </c>
      <c r="AB228" s="509">
        <f>IF(AB$15=TMDPeriodValueTypeForecast,IF('Delivery Calculation'!$H$31=TMDAllocationTandM,0,'Delivery Calculation'!AK105),IF(MDReportingPeriod=TMDMonthly,AB224,IF(MDReportingPeriod=TMDTwoweekly,AB223,AB222)))</f>
        <v>0</v>
      </c>
      <c r="AC228" s="509">
        <f>IF(AC$15=TMDPeriodValueTypeForecast,IF('Delivery Calculation'!$H$31=TMDAllocationTandM,0,'Delivery Calculation'!AL105),IF(MDReportingPeriod=TMDMonthly,AC224,IF(MDReportingPeriod=TMDTwoweekly,AC223,AC222)))</f>
        <v>0</v>
      </c>
      <c r="AD228" s="509">
        <f>IF(AD$15=TMDPeriodValueTypeForecast,IF('Delivery Calculation'!$H$31=TMDAllocationTandM,0,'Delivery Calculation'!AM105),IF(MDReportingPeriod=TMDMonthly,AD224,IF(MDReportingPeriod=TMDTwoweekly,AD223,AD222)))</f>
        <v>0</v>
      </c>
      <c r="AE228" s="509">
        <f>IF(AE$15=TMDPeriodValueTypeForecast,IF('Delivery Calculation'!$H$31=TMDAllocationTandM,0,'Delivery Calculation'!AN105),IF(MDReportingPeriod=TMDMonthly,AE224,IF(MDReportingPeriod=TMDTwoweekly,AE223,AE222)))</f>
        <v>0</v>
      </c>
      <c r="AF228" s="509">
        <f>IF(AF$15=TMDPeriodValueTypeForecast,IF('Delivery Calculation'!$H$31=TMDAllocationTandM,0,'Delivery Calculation'!AO105),IF(MDReportingPeriod=TMDMonthly,AF224,IF(MDReportingPeriod=TMDTwoweekly,AF223,AF222)))</f>
        <v>0</v>
      </c>
      <c r="AG228" s="509">
        <f>IF(AG$15=TMDPeriodValueTypeForecast,IF('Delivery Calculation'!$H$31=TMDAllocationTandM,0,'Delivery Calculation'!AP105),IF(MDReportingPeriod=TMDMonthly,AG224,IF(MDReportingPeriod=TMDTwoweekly,AG223,AG222)))</f>
        <v>0</v>
      </c>
      <c r="AH228" s="509">
        <f>IF(AH$15=TMDPeriodValueTypeForecast,IF('Delivery Calculation'!$H$31=TMDAllocationTandM,0,'Delivery Calculation'!AQ105),IF(MDReportingPeriod=TMDMonthly,AH224,IF(MDReportingPeriod=TMDTwoweekly,AH223,AH222)))</f>
        <v>0</v>
      </c>
      <c r="AI228" s="509">
        <f>IF(AI$15=TMDPeriodValueTypeForecast,IF('Delivery Calculation'!$H$31=TMDAllocationTandM,0,'Delivery Calculation'!AR105),IF(MDReportingPeriod=TMDMonthly,AI224,IF(MDReportingPeriod=TMDTwoweekly,AI223,AI222)))</f>
        <v>0</v>
      </c>
      <c r="AJ228" s="509">
        <f>IF(AJ$15=TMDPeriodValueTypeForecast,IF('Delivery Calculation'!$H$31=TMDAllocationTandM,0,'Delivery Calculation'!AS105),IF(MDReportingPeriod=TMDMonthly,AJ224,IF(MDReportingPeriod=TMDTwoweekly,AJ223,AJ222)))</f>
        <v>0</v>
      </c>
      <c r="AK228" s="509">
        <f>IF(AK$15=TMDPeriodValueTypeForecast,IF('Delivery Calculation'!$H$31=TMDAllocationTandM,0,'Delivery Calculation'!AT105),IF(MDReportingPeriod=TMDMonthly,AK224,IF(MDReportingPeriod=TMDTwoweekly,AK223,AK222)))</f>
        <v>0</v>
      </c>
      <c r="AL228" s="509">
        <f>IF(AL$15=TMDPeriodValueTypeForecast,IF('Delivery Calculation'!$H$31=TMDAllocationTandM,0,'Delivery Calculation'!AU105),IF(MDReportingPeriod=TMDMonthly,AL224,IF(MDReportingPeriod=TMDTwoweekly,AL223,AL222)))</f>
        <v>0</v>
      </c>
      <c r="AM228" s="509">
        <f>IF(AM$15=TMDPeriodValueTypeForecast,IF('Delivery Calculation'!$H$31=TMDAllocationTandM,0,'Delivery Calculation'!AV105),IF(MDReportingPeriod=TMDMonthly,AM224,IF(MDReportingPeriod=TMDTwoweekly,AM223,AM222)))</f>
        <v>0</v>
      </c>
      <c r="AN228" s="509">
        <f>IF(AN$15=TMDPeriodValueTypeForecast,IF('Delivery Calculation'!$H$31=TMDAllocationTandM,0,'Delivery Calculation'!AW105),IF(MDReportingPeriod=TMDMonthly,AN224,IF(MDReportingPeriod=TMDTwoweekly,AN223,AN222)))</f>
        <v>0</v>
      </c>
      <c r="AO228" s="509">
        <f>IF(AO$15=TMDPeriodValueTypeForecast,IF('Delivery Calculation'!$H$31=TMDAllocationTandM,0,'Delivery Calculation'!AX105),IF(MDReportingPeriod=TMDMonthly,AO224,IF(MDReportingPeriod=TMDTwoweekly,AO223,AO222)))</f>
        <v>0</v>
      </c>
      <c r="AP228" s="501"/>
      <c r="AQ228" s="505">
        <f>SUMIF($D$15:$AO$15,TMDPeriodValueTypeReported,D228:AO228)</f>
        <v>0</v>
      </c>
      <c r="AR228" s="505">
        <f>SUMIF($D$15:$AO$15,TMDPeriodValueTypeForecast,D228:AO228)</f>
        <v>0</v>
      </c>
      <c r="AS228" s="523">
        <f>'Delivery Calculation'!I31</f>
        <v>0</v>
      </c>
      <c r="AT228" s="505">
        <f>AS228-(AQ228+AR228)</f>
        <v>0</v>
      </c>
      <c r="AU228" s="505"/>
      <c r="AV228" s="510"/>
      <c r="AW228" s="452"/>
    </row>
    <row r="229" spans="1:49">
      <c r="A229" s="1185"/>
      <c r="B229" s="1182"/>
      <c r="C229" s="499" t="s">
        <v>597</v>
      </c>
      <c r="D229" s="509"/>
      <c r="E229" s="509"/>
      <c r="F229" s="509"/>
      <c r="G229" s="509"/>
      <c r="H229" s="509"/>
      <c r="I229" s="509"/>
      <c r="J229" s="509"/>
      <c r="K229" s="509"/>
      <c r="L229" s="509"/>
      <c r="M229" s="509"/>
      <c r="N229" s="509"/>
      <c r="O229" s="509"/>
      <c r="P229" s="509"/>
      <c r="Q229" s="509"/>
      <c r="R229" s="509"/>
      <c r="S229" s="509"/>
      <c r="T229" s="509"/>
      <c r="U229" s="509"/>
      <c r="V229" s="509"/>
      <c r="W229" s="509"/>
      <c r="X229" s="509"/>
      <c r="Y229" s="509"/>
      <c r="Z229" s="509"/>
      <c r="AA229" s="509"/>
      <c r="AB229" s="509"/>
      <c r="AC229" s="509"/>
      <c r="AD229" s="509"/>
      <c r="AE229" s="509"/>
      <c r="AF229" s="509"/>
      <c r="AG229" s="509"/>
      <c r="AH229" s="509"/>
      <c r="AI229" s="509"/>
      <c r="AJ229" s="509"/>
      <c r="AK229" s="509"/>
      <c r="AL229" s="509"/>
      <c r="AM229" s="509"/>
      <c r="AN229" s="509"/>
      <c r="AO229" s="509"/>
      <c r="AP229" s="501"/>
      <c r="AQ229" s="505">
        <f>SUMIF($D$15:$AO$15,TMDPeriodValueTypeReported,D229:AO229)</f>
        <v>0</v>
      </c>
      <c r="AR229" s="505">
        <f>SUMIF($D$15:$AO$15,TMDPeriodValueTypeForecast,D229:AO229)</f>
        <v>0</v>
      </c>
      <c r="AS229" s="505"/>
      <c r="AT229" s="505">
        <f>AQ229+AR229</f>
        <v>0</v>
      </c>
      <c r="AU229" s="505"/>
      <c r="AV229" s="510"/>
      <c r="AW229" s="452"/>
    </row>
    <row r="230" spans="1:49" hidden="1">
      <c r="A230" s="143"/>
      <c r="B230" s="483"/>
      <c r="C230" s="496" t="s">
        <v>1339</v>
      </c>
      <c r="D230" s="516">
        <f t="shared" ref="D230:AO230" si="114">IF(ISERR(GETPIVOTDATA("[Measures].[Hours]",TRIMARANweekly,"[Order].[Position Number]","[Order].[Position Number].&amp;[" &amp; $B237 &amp; "]","[Period].[Week]","[Period].[Week].&amp;[" &amp; YEAR(D$14-7) &amp; TEXT(WEEKNUM(D$14-7),"00") &amp; "]")),0,GETPIVOTDATA("[Measures].[Hours]",TRIMARANweekly,"[Order].[Position Number]","[Order].[Position Number].&amp;[" &amp; $B237 &amp; "]","[Period].[Week]","[Period].[Week].&amp;[" &amp; YEAR(D$14-7) &amp; TEXT(WEEKNUM(D$14-7),"00") &amp; "]"))</f>
        <v>0</v>
      </c>
      <c r="E230" s="516">
        <f t="shared" si="114"/>
        <v>0</v>
      </c>
      <c r="F230" s="516">
        <f t="shared" si="114"/>
        <v>0</v>
      </c>
      <c r="G230" s="516">
        <f t="shared" si="114"/>
        <v>0</v>
      </c>
      <c r="H230" s="516">
        <f t="shared" si="114"/>
        <v>0</v>
      </c>
      <c r="I230" s="516">
        <f t="shared" si="114"/>
        <v>0</v>
      </c>
      <c r="J230" s="516">
        <f t="shared" si="114"/>
        <v>0</v>
      </c>
      <c r="K230" s="516">
        <f t="shared" si="114"/>
        <v>0</v>
      </c>
      <c r="L230" s="516">
        <f t="shared" si="114"/>
        <v>0</v>
      </c>
      <c r="M230" s="516">
        <f t="shared" si="114"/>
        <v>0</v>
      </c>
      <c r="N230" s="516">
        <f t="shared" si="114"/>
        <v>0</v>
      </c>
      <c r="O230" s="516">
        <f t="shared" si="114"/>
        <v>0</v>
      </c>
      <c r="P230" s="516">
        <f t="shared" si="114"/>
        <v>0</v>
      </c>
      <c r="Q230" s="516">
        <f t="shared" si="114"/>
        <v>0</v>
      </c>
      <c r="R230" s="516">
        <f t="shared" si="114"/>
        <v>0</v>
      </c>
      <c r="S230" s="516">
        <f t="shared" si="114"/>
        <v>0</v>
      </c>
      <c r="T230" s="516">
        <f t="shared" si="114"/>
        <v>0</v>
      </c>
      <c r="U230" s="516">
        <f t="shared" si="114"/>
        <v>0</v>
      </c>
      <c r="V230" s="516">
        <f t="shared" si="114"/>
        <v>0</v>
      </c>
      <c r="W230" s="516">
        <f t="shared" si="114"/>
        <v>0</v>
      </c>
      <c r="X230" s="516">
        <f t="shared" si="114"/>
        <v>0</v>
      </c>
      <c r="Y230" s="516">
        <f t="shared" si="114"/>
        <v>0</v>
      </c>
      <c r="Z230" s="516">
        <f t="shared" si="114"/>
        <v>0</v>
      </c>
      <c r="AA230" s="516">
        <f t="shared" si="114"/>
        <v>0</v>
      </c>
      <c r="AB230" s="516">
        <f t="shared" si="114"/>
        <v>0</v>
      </c>
      <c r="AC230" s="516">
        <f t="shared" si="114"/>
        <v>0</v>
      </c>
      <c r="AD230" s="516">
        <f t="shared" si="114"/>
        <v>0</v>
      </c>
      <c r="AE230" s="516">
        <f t="shared" si="114"/>
        <v>0</v>
      </c>
      <c r="AF230" s="516">
        <f t="shared" si="114"/>
        <v>0</v>
      </c>
      <c r="AG230" s="516">
        <f t="shared" si="114"/>
        <v>0</v>
      </c>
      <c r="AH230" s="516">
        <f t="shared" si="114"/>
        <v>0</v>
      </c>
      <c r="AI230" s="516">
        <f t="shared" si="114"/>
        <v>0</v>
      </c>
      <c r="AJ230" s="516">
        <f t="shared" si="114"/>
        <v>0</v>
      </c>
      <c r="AK230" s="516">
        <f t="shared" si="114"/>
        <v>0</v>
      </c>
      <c r="AL230" s="516">
        <f t="shared" si="114"/>
        <v>0</v>
      </c>
      <c r="AM230" s="516">
        <f t="shared" si="114"/>
        <v>0</v>
      </c>
      <c r="AN230" s="516">
        <f t="shared" si="114"/>
        <v>0</v>
      </c>
      <c r="AO230" s="516">
        <f t="shared" si="114"/>
        <v>0</v>
      </c>
      <c r="AP230" s="501"/>
      <c r="AQ230" s="505"/>
      <c r="AR230" s="505"/>
      <c r="AS230" s="505"/>
      <c r="AT230" s="505"/>
      <c r="AU230" s="505"/>
      <c r="AV230" s="510"/>
      <c r="AW230" s="452"/>
    </row>
    <row r="231" spans="1:49" hidden="1">
      <c r="A231" s="143"/>
      <c r="B231" s="483"/>
      <c r="C231" s="496" t="s">
        <v>1340</v>
      </c>
      <c r="D231" s="516">
        <f t="shared" ref="D231:AO231" si="115">IF(ISERR(GETPIVOTDATA("[Measures].[Hours]",TRIMARANweekly,"[Order].[Position Number]","[Order].[Position Number].&amp;[" &amp; $B237 &amp; "]","[Period].[Week]","[Period].[Week].&amp;[" &amp; YEAR(D$14-14) &amp; TEXT(WEEKNUM(D$14-14),"00") &amp; "]")),0,GETPIVOTDATA("[Measures].[Hours]",TRIMARANweekly,"[Order].[Position Number]","[Order].[Position Number].&amp;[" &amp; $B237 &amp; "]","[Period].[Week]","[Period].[Week].&amp;[" &amp; YEAR(D$14-14) &amp; TEXT(WEEKNUM(D$14-14),"00") &amp; "]"))+D230</f>
        <v>0</v>
      </c>
      <c r="E231" s="516">
        <f t="shared" si="115"/>
        <v>0</v>
      </c>
      <c r="F231" s="516">
        <f t="shared" si="115"/>
        <v>0</v>
      </c>
      <c r="G231" s="516">
        <f t="shared" si="115"/>
        <v>0</v>
      </c>
      <c r="H231" s="516">
        <f t="shared" si="115"/>
        <v>0</v>
      </c>
      <c r="I231" s="516">
        <f t="shared" si="115"/>
        <v>0</v>
      </c>
      <c r="J231" s="516">
        <f t="shared" si="115"/>
        <v>0</v>
      </c>
      <c r="K231" s="516">
        <f t="shared" si="115"/>
        <v>0</v>
      </c>
      <c r="L231" s="516">
        <f t="shared" si="115"/>
        <v>0</v>
      </c>
      <c r="M231" s="516">
        <f t="shared" si="115"/>
        <v>0</v>
      </c>
      <c r="N231" s="516">
        <f t="shared" si="115"/>
        <v>0</v>
      </c>
      <c r="O231" s="516">
        <f t="shared" si="115"/>
        <v>0</v>
      </c>
      <c r="P231" s="516">
        <f t="shared" si="115"/>
        <v>0</v>
      </c>
      <c r="Q231" s="516">
        <f t="shared" si="115"/>
        <v>0</v>
      </c>
      <c r="R231" s="516">
        <f t="shared" si="115"/>
        <v>0</v>
      </c>
      <c r="S231" s="516">
        <f t="shared" si="115"/>
        <v>0</v>
      </c>
      <c r="T231" s="516">
        <f t="shared" si="115"/>
        <v>0</v>
      </c>
      <c r="U231" s="516">
        <f t="shared" si="115"/>
        <v>0</v>
      </c>
      <c r="V231" s="516">
        <f t="shared" si="115"/>
        <v>0</v>
      </c>
      <c r="W231" s="516">
        <f t="shared" si="115"/>
        <v>0</v>
      </c>
      <c r="X231" s="516">
        <f t="shared" si="115"/>
        <v>0</v>
      </c>
      <c r="Y231" s="516">
        <f t="shared" si="115"/>
        <v>0</v>
      </c>
      <c r="Z231" s="516">
        <f t="shared" si="115"/>
        <v>0</v>
      </c>
      <c r="AA231" s="516">
        <f t="shared" si="115"/>
        <v>0</v>
      </c>
      <c r="AB231" s="516">
        <f t="shared" si="115"/>
        <v>0</v>
      </c>
      <c r="AC231" s="516">
        <f t="shared" si="115"/>
        <v>0</v>
      </c>
      <c r="AD231" s="516">
        <f t="shared" si="115"/>
        <v>0</v>
      </c>
      <c r="AE231" s="516">
        <f t="shared" si="115"/>
        <v>0</v>
      </c>
      <c r="AF231" s="516">
        <f t="shared" si="115"/>
        <v>0</v>
      </c>
      <c r="AG231" s="516">
        <f t="shared" si="115"/>
        <v>0</v>
      </c>
      <c r="AH231" s="516">
        <f t="shared" si="115"/>
        <v>0</v>
      </c>
      <c r="AI231" s="516">
        <f t="shared" si="115"/>
        <v>0</v>
      </c>
      <c r="AJ231" s="516">
        <f t="shared" si="115"/>
        <v>0</v>
      </c>
      <c r="AK231" s="516">
        <f t="shared" si="115"/>
        <v>0</v>
      </c>
      <c r="AL231" s="516">
        <f t="shared" si="115"/>
        <v>0</v>
      </c>
      <c r="AM231" s="516">
        <f t="shared" si="115"/>
        <v>0</v>
      </c>
      <c r="AN231" s="516">
        <f t="shared" si="115"/>
        <v>0</v>
      </c>
      <c r="AO231" s="516">
        <f t="shared" si="115"/>
        <v>0</v>
      </c>
      <c r="AP231" s="501"/>
      <c r="AQ231" s="505"/>
      <c r="AR231" s="505"/>
      <c r="AS231" s="505"/>
      <c r="AT231" s="505"/>
      <c r="AU231" s="505"/>
      <c r="AV231" s="510"/>
      <c r="AW231" s="452"/>
    </row>
    <row r="232" spans="1:49" hidden="1">
      <c r="A232" s="143"/>
      <c r="B232" s="483"/>
      <c r="C232" s="496" t="s">
        <v>1341</v>
      </c>
      <c r="D232" s="516">
        <f t="shared" ref="D232:AO232" si="116">IF(ISERR(GETPIVOTDATA("[Measures].[Hours]",TRIMARANmonthly,"[Period].[Month]","[Period].[Month].&amp;["&amp;IF(MONTH(D$14)=1,YEAR(D$14)-1&amp;TEXT(12,"00"),YEAR(D$14)&amp;TEXT(MONTH(D$14)-1,"00"))&amp;"]","[Order].[Position Number]","[Order].[Position Number].&amp;["&amp;$B237&amp;"]")),0,GETPIVOTDATA("[Measures].[Hours]",TRIMARANmonthly,"[Period].[Month]","[Period].[Month].&amp;["&amp;IF(MONTH(D$14)=1,YEAR(D$14)-1&amp;TEXT(12,"00"),YEAR(D$14)&amp;TEXT(MONTH(D$14)-1,"00"))&amp;"]","[Order].[Position Number]","[Order].[Position Number].&amp;["&amp;$B237&amp;"]"))</f>
        <v>0</v>
      </c>
      <c r="E232" s="516">
        <f t="shared" si="116"/>
        <v>0</v>
      </c>
      <c r="F232" s="516">
        <f t="shared" si="116"/>
        <v>0</v>
      </c>
      <c r="G232" s="516">
        <f t="shared" si="116"/>
        <v>0</v>
      </c>
      <c r="H232" s="516">
        <f t="shared" si="116"/>
        <v>0</v>
      </c>
      <c r="I232" s="516">
        <f t="shared" si="116"/>
        <v>0</v>
      </c>
      <c r="J232" s="516">
        <f t="shared" si="116"/>
        <v>0</v>
      </c>
      <c r="K232" s="516">
        <f t="shared" si="116"/>
        <v>0</v>
      </c>
      <c r="L232" s="516">
        <f t="shared" si="116"/>
        <v>0</v>
      </c>
      <c r="M232" s="516">
        <f t="shared" si="116"/>
        <v>0</v>
      </c>
      <c r="N232" s="516">
        <f t="shared" si="116"/>
        <v>0</v>
      </c>
      <c r="O232" s="516">
        <f t="shared" si="116"/>
        <v>0</v>
      </c>
      <c r="P232" s="516">
        <f t="shared" si="116"/>
        <v>0</v>
      </c>
      <c r="Q232" s="516">
        <f t="shared" si="116"/>
        <v>0</v>
      </c>
      <c r="R232" s="516">
        <f t="shared" si="116"/>
        <v>0</v>
      </c>
      <c r="S232" s="516">
        <f t="shared" si="116"/>
        <v>0</v>
      </c>
      <c r="T232" s="516">
        <f t="shared" si="116"/>
        <v>0</v>
      </c>
      <c r="U232" s="516">
        <f t="shared" si="116"/>
        <v>0</v>
      </c>
      <c r="V232" s="516">
        <f t="shared" si="116"/>
        <v>0</v>
      </c>
      <c r="W232" s="516">
        <f t="shared" si="116"/>
        <v>0</v>
      </c>
      <c r="X232" s="516">
        <f t="shared" si="116"/>
        <v>0</v>
      </c>
      <c r="Y232" s="516">
        <f t="shared" si="116"/>
        <v>0</v>
      </c>
      <c r="Z232" s="516">
        <f t="shared" si="116"/>
        <v>0</v>
      </c>
      <c r="AA232" s="516">
        <f t="shared" si="116"/>
        <v>0</v>
      </c>
      <c r="AB232" s="516">
        <f t="shared" si="116"/>
        <v>0</v>
      </c>
      <c r="AC232" s="516">
        <f t="shared" si="116"/>
        <v>0</v>
      </c>
      <c r="AD232" s="516">
        <f t="shared" si="116"/>
        <v>0</v>
      </c>
      <c r="AE232" s="516">
        <f t="shared" si="116"/>
        <v>0</v>
      </c>
      <c r="AF232" s="516">
        <f t="shared" si="116"/>
        <v>0</v>
      </c>
      <c r="AG232" s="516">
        <f t="shared" si="116"/>
        <v>0</v>
      </c>
      <c r="AH232" s="516">
        <f t="shared" si="116"/>
        <v>0</v>
      </c>
      <c r="AI232" s="516">
        <f t="shared" si="116"/>
        <v>0</v>
      </c>
      <c r="AJ232" s="516">
        <f t="shared" si="116"/>
        <v>0</v>
      </c>
      <c r="AK232" s="516">
        <f t="shared" si="116"/>
        <v>0</v>
      </c>
      <c r="AL232" s="516">
        <f t="shared" si="116"/>
        <v>0</v>
      </c>
      <c r="AM232" s="516">
        <f t="shared" si="116"/>
        <v>0</v>
      </c>
      <c r="AN232" s="516">
        <f t="shared" si="116"/>
        <v>0</v>
      </c>
      <c r="AO232" s="516">
        <f t="shared" si="116"/>
        <v>0</v>
      </c>
      <c r="AP232" s="501"/>
      <c r="AQ232" s="505"/>
      <c r="AR232" s="505"/>
      <c r="AS232" s="505"/>
      <c r="AT232" s="505"/>
      <c r="AU232" s="505"/>
      <c r="AV232" s="510"/>
      <c r="AW232" s="452"/>
    </row>
    <row r="233" spans="1:49" hidden="1">
      <c r="A233" s="143"/>
      <c r="B233" s="483"/>
      <c r="C233" s="496" t="s">
        <v>1339</v>
      </c>
      <c r="D233" s="516">
        <f t="shared" ref="D233:AO233" si="117">IF(ISERR(GETPIVOTDATA("[Measures].[" &amp; MDContractCurrency &amp; "]",TRIMARANweekly,"[Order].[Position Number]","[Order].[Position Number].&amp;[" &amp; $B237 &amp; "]","[Period].[Week]","[Period].[Week].&amp;[" &amp; YEAR(D$14-7) &amp; TEXT(WEEKNUM(D$14-7),"00") &amp; "]")),0,GETPIVOTDATA("[Measures].[" &amp; MDContractCurrency &amp; "]",TRIMARANweekly,"[Order].[Position Number]","[Order].[Position Number].&amp;[" &amp; $B237 &amp; "]","[Period].[Week]","[Period].[Week].&amp;[" &amp; YEAR(D$14-7) &amp; TEXT(WEEKNUM(D$14-7),"00") &amp; "]"))</f>
        <v>0</v>
      </c>
      <c r="E233" s="516">
        <f t="shared" si="117"/>
        <v>0</v>
      </c>
      <c r="F233" s="516">
        <f t="shared" si="117"/>
        <v>0</v>
      </c>
      <c r="G233" s="516">
        <f t="shared" si="117"/>
        <v>0</v>
      </c>
      <c r="H233" s="516">
        <f t="shared" si="117"/>
        <v>0</v>
      </c>
      <c r="I233" s="516">
        <f t="shared" si="117"/>
        <v>0</v>
      </c>
      <c r="J233" s="516">
        <f t="shared" si="117"/>
        <v>0</v>
      </c>
      <c r="K233" s="516">
        <f t="shared" si="117"/>
        <v>0</v>
      </c>
      <c r="L233" s="516">
        <f t="shared" si="117"/>
        <v>0</v>
      </c>
      <c r="M233" s="516">
        <f t="shared" si="117"/>
        <v>0</v>
      </c>
      <c r="N233" s="516">
        <f t="shared" si="117"/>
        <v>0</v>
      </c>
      <c r="O233" s="516">
        <f t="shared" si="117"/>
        <v>0</v>
      </c>
      <c r="P233" s="516">
        <f t="shared" si="117"/>
        <v>0</v>
      </c>
      <c r="Q233" s="516">
        <f t="shared" si="117"/>
        <v>0</v>
      </c>
      <c r="R233" s="516">
        <f t="shared" si="117"/>
        <v>0</v>
      </c>
      <c r="S233" s="516">
        <f t="shared" si="117"/>
        <v>0</v>
      </c>
      <c r="T233" s="516">
        <f t="shared" si="117"/>
        <v>0</v>
      </c>
      <c r="U233" s="516">
        <f t="shared" si="117"/>
        <v>0</v>
      </c>
      <c r="V233" s="516">
        <f t="shared" si="117"/>
        <v>0</v>
      </c>
      <c r="W233" s="516">
        <f t="shared" si="117"/>
        <v>0</v>
      </c>
      <c r="X233" s="516">
        <f t="shared" si="117"/>
        <v>0</v>
      </c>
      <c r="Y233" s="516">
        <f t="shared" si="117"/>
        <v>0</v>
      </c>
      <c r="Z233" s="516">
        <f t="shared" si="117"/>
        <v>0</v>
      </c>
      <c r="AA233" s="516">
        <f t="shared" si="117"/>
        <v>0</v>
      </c>
      <c r="AB233" s="516">
        <f t="shared" si="117"/>
        <v>0</v>
      </c>
      <c r="AC233" s="516">
        <f t="shared" si="117"/>
        <v>0</v>
      </c>
      <c r="AD233" s="516">
        <f t="shared" si="117"/>
        <v>0</v>
      </c>
      <c r="AE233" s="516">
        <f t="shared" si="117"/>
        <v>0</v>
      </c>
      <c r="AF233" s="516">
        <f t="shared" si="117"/>
        <v>0</v>
      </c>
      <c r="AG233" s="516">
        <f t="shared" si="117"/>
        <v>0</v>
      </c>
      <c r="AH233" s="516">
        <f t="shared" si="117"/>
        <v>0</v>
      </c>
      <c r="AI233" s="516">
        <f t="shared" si="117"/>
        <v>0</v>
      </c>
      <c r="AJ233" s="516">
        <f t="shared" si="117"/>
        <v>0</v>
      </c>
      <c r="AK233" s="516">
        <f t="shared" si="117"/>
        <v>0</v>
      </c>
      <c r="AL233" s="516">
        <f t="shared" si="117"/>
        <v>0</v>
      </c>
      <c r="AM233" s="516">
        <f t="shared" si="117"/>
        <v>0</v>
      </c>
      <c r="AN233" s="516">
        <f t="shared" si="117"/>
        <v>0</v>
      </c>
      <c r="AO233" s="516">
        <f t="shared" si="117"/>
        <v>0</v>
      </c>
      <c r="AP233" s="501"/>
      <c r="AQ233" s="505"/>
      <c r="AR233" s="505"/>
      <c r="AS233" s="505"/>
      <c r="AT233" s="505"/>
      <c r="AU233" s="505"/>
      <c r="AV233" s="510"/>
      <c r="AW233" s="452"/>
    </row>
    <row r="234" spans="1:49" hidden="1">
      <c r="A234" s="143"/>
      <c r="B234" s="483"/>
      <c r="C234" s="496" t="s">
        <v>1340</v>
      </c>
      <c r="D234" s="516">
        <f t="shared" ref="D234:AO234" si="118">IF(ISERR(GETPIVOTDATA("[Measures].[" &amp; MDContractCurrency &amp; "]",TRIMARANweekly,"[Order].[Position Number]","[Order].[Position Number].&amp;[" &amp; $B237 &amp; "]","[Period].[Week]","[Period].[Week].&amp;[" &amp; YEAR(D$14-14) &amp; TEXT(WEEKNUM(D$14-14),"00") &amp; "]")),0,GETPIVOTDATA("[Measures].[" &amp; MDContractCurrency &amp; "]",TRIMARANweekly,"[Order].[Position Number]","[Order].[Position Number].&amp;[" &amp; $B237 &amp; "]","[Period].[Week]","[Period].[Week].&amp;[" &amp; YEAR(D$14-14) &amp; TEXT(WEEKNUM(D$14-14),"00") &amp; "]"))+D233</f>
        <v>0</v>
      </c>
      <c r="E234" s="516">
        <f t="shared" si="118"/>
        <v>0</v>
      </c>
      <c r="F234" s="516">
        <f t="shared" si="118"/>
        <v>0</v>
      </c>
      <c r="G234" s="516">
        <f t="shared" si="118"/>
        <v>0</v>
      </c>
      <c r="H234" s="516">
        <f t="shared" si="118"/>
        <v>0</v>
      </c>
      <c r="I234" s="516">
        <f t="shared" si="118"/>
        <v>0</v>
      </c>
      <c r="J234" s="516">
        <f t="shared" si="118"/>
        <v>0</v>
      </c>
      <c r="K234" s="516">
        <f t="shared" si="118"/>
        <v>0</v>
      </c>
      <c r="L234" s="516">
        <f t="shared" si="118"/>
        <v>0</v>
      </c>
      <c r="M234" s="516">
        <f t="shared" si="118"/>
        <v>0</v>
      </c>
      <c r="N234" s="516">
        <f t="shared" si="118"/>
        <v>0</v>
      </c>
      <c r="O234" s="516">
        <f t="shared" si="118"/>
        <v>0</v>
      </c>
      <c r="P234" s="516">
        <f t="shared" si="118"/>
        <v>0</v>
      </c>
      <c r="Q234" s="516">
        <f t="shared" si="118"/>
        <v>0</v>
      </c>
      <c r="R234" s="516">
        <f t="shared" si="118"/>
        <v>0</v>
      </c>
      <c r="S234" s="516">
        <f t="shared" si="118"/>
        <v>0</v>
      </c>
      <c r="T234" s="516">
        <f t="shared" si="118"/>
        <v>0</v>
      </c>
      <c r="U234" s="516">
        <f t="shared" si="118"/>
        <v>0</v>
      </c>
      <c r="V234" s="516">
        <f t="shared" si="118"/>
        <v>0</v>
      </c>
      <c r="W234" s="516">
        <f t="shared" si="118"/>
        <v>0</v>
      </c>
      <c r="X234" s="516">
        <f t="shared" si="118"/>
        <v>0</v>
      </c>
      <c r="Y234" s="516">
        <f t="shared" si="118"/>
        <v>0</v>
      </c>
      <c r="Z234" s="516">
        <f t="shared" si="118"/>
        <v>0</v>
      </c>
      <c r="AA234" s="516">
        <f t="shared" si="118"/>
        <v>0</v>
      </c>
      <c r="AB234" s="516">
        <f t="shared" si="118"/>
        <v>0</v>
      </c>
      <c r="AC234" s="516">
        <f t="shared" si="118"/>
        <v>0</v>
      </c>
      <c r="AD234" s="516">
        <f t="shared" si="118"/>
        <v>0</v>
      </c>
      <c r="AE234" s="516">
        <f t="shared" si="118"/>
        <v>0</v>
      </c>
      <c r="AF234" s="516">
        <f t="shared" si="118"/>
        <v>0</v>
      </c>
      <c r="AG234" s="516">
        <f t="shared" si="118"/>
        <v>0</v>
      </c>
      <c r="AH234" s="516">
        <f t="shared" si="118"/>
        <v>0</v>
      </c>
      <c r="AI234" s="516">
        <f t="shared" si="118"/>
        <v>0</v>
      </c>
      <c r="AJ234" s="516">
        <f t="shared" si="118"/>
        <v>0</v>
      </c>
      <c r="AK234" s="516">
        <f t="shared" si="118"/>
        <v>0</v>
      </c>
      <c r="AL234" s="516">
        <f t="shared" si="118"/>
        <v>0</v>
      </c>
      <c r="AM234" s="516">
        <f t="shared" si="118"/>
        <v>0</v>
      </c>
      <c r="AN234" s="516">
        <f t="shared" si="118"/>
        <v>0</v>
      </c>
      <c r="AO234" s="516">
        <f t="shared" si="118"/>
        <v>0</v>
      </c>
      <c r="AP234" s="501"/>
      <c r="AQ234" s="505"/>
      <c r="AR234" s="505"/>
      <c r="AS234" s="505"/>
      <c r="AT234" s="505"/>
      <c r="AU234" s="505"/>
      <c r="AV234" s="510"/>
      <c r="AW234" s="452"/>
    </row>
    <row r="235" spans="1:49" hidden="1">
      <c r="A235" s="141"/>
      <c r="B235" s="517"/>
      <c r="C235" s="496" t="s">
        <v>1341</v>
      </c>
      <c r="D235" s="516">
        <f t="shared" ref="D235:AO235" si="119">IF(ISERR(GETPIVOTDATA("[Measures].[" &amp; MDContractCurrency &amp; "]",TRIMARANmonthly,"[Period].[Month]","[Period].[Month].&amp;["&amp;IF(MONTH(D$14)=1,YEAR(D$14)-1&amp;TEXT(12,"00"),YEAR(D$14)&amp;TEXT(MONTH(D$14)-1,"00"))&amp;"]","[Order].[Position Number]","[Order].[Position Number].&amp;["&amp;$B237&amp;"]")),0,GETPIVOTDATA("[Measures].[" &amp; MDContractCurrency &amp; "]",TRIMARANmonthly,"[Period].[Month]","[Period].[Month].&amp;["&amp;IF(MONTH(D$14)=1,YEAR(D$14)-1&amp;TEXT(12,"00"),YEAR(D$14)&amp;TEXT(MONTH(D$14)-1,"00"))&amp;"]","[Order].[Position Number]","[Order].[Position Number].&amp;["&amp;$B237&amp;"]"))</f>
        <v>0</v>
      </c>
      <c r="E235" s="516">
        <f t="shared" si="119"/>
        <v>0</v>
      </c>
      <c r="F235" s="516">
        <f t="shared" si="119"/>
        <v>0</v>
      </c>
      <c r="G235" s="516">
        <f t="shared" si="119"/>
        <v>0</v>
      </c>
      <c r="H235" s="516">
        <f t="shared" si="119"/>
        <v>0</v>
      </c>
      <c r="I235" s="516">
        <f t="shared" si="119"/>
        <v>0</v>
      </c>
      <c r="J235" s="516">
        <f t="shared" si="119"/>
        <v>0</v>
      </c>
      <c r="K235" s="516">
        <f t="shared" si="119"/>
        <v>0</v>
      </c>
      <c r="L235" s="516">
        <f t="shared" si="119"/>
        <v>0</v>
      </c>
      <c r="M235" s="516">
        <f t="shared" si="119"/>
        <v>0</v>
      </c>
      <c r="N235" s="516">
        <f t="shared" si="119"/>
        <v>0</v>
      </c>
      <c r="O235" s="516">
        <f t="shared" si="119"/>
        <v>0</v>
      </c>
      <c r="P235" s="516">
        <f t="shared" si="119"/>
        <v>0</v>
      </c>
      <c r="Q235" s="516">
        <f t="shared" si="119"/>
        <v>0</v>
      </c>
      <c r="R235" s="516">
        <f t="shared" si="119"/>
        <v>0</v>
      </c>
      <c r="S235" s="516">
        <f t="shared" si="119"/>
        <v>0</v>
      </c>
      <c r="T235" s="516">
        <f t="shared" si="119"/>
        <v>0</v>
      </c>
      <c r="U235" s="516">
        <f t="shared" si="119"/>
        <v>0</v>
      </c>
      <c r="V235" s="516">
        <f t="shared" si="119"/>
        <v>0</v>
      </c>
      <c r="W235" s="516">
        <f t="shared" si="119"/>
        <v>0</v>
      </c>
      <c r="X235" s="516">
        <f t="shared" si="119"/>
        <v>0</v>
      </c>
      <c r="Y235" s="516">
        <f t="shared" si="119"/>
        <v>0</v>
      </c>
      <c r="Z235" s="516">
        <f t="shared" si="119"/>
        <v>0</v>
      </c>
      <c r="AA235" s="516">
        <f t="shared" si="119"/>
        <v>0</v>
      </c>
      <c r="AB235" s="516">
        <f t="shared" si="119"/>
        <v>0</v>
      </c>
      <c r="AC235" s="516">
        <f t="shared" si="119"/>
        <v>0</v>
      </c>
      <c r="AD235" s="516">
        <f t="shared" si="119"/>
        <v>0</v>
      </c>
      <c r="AE235" s="516">
        <f t="shared" si="119"/>
        <v>0</v>
      </c>
      <c r="AF235" s="516">
        <f t="shared" si="119"/>
        <v>0</v>
      </c>
      <c r="AG235" s="516">
        <f t="shared" si="119"/>
        <v>0</v>
      </c>
      <c r="AH235" s="516">
        <f t="shared" si="119"/>
        <v>0</v>
      </c>
      <c r="AI235" s="516">
        <f t="shared" si="119"/>
        <v>0</v>
      </c>
      <c r="AJ235" s="516">
        <f t="shared" si="119"/>
        <v>0</v>
      </c>
      <c r="AK235" s="516">
        <f t="shared" si="119"/>
        <v>0</v>
      </c>
      <c r="AL235" s="516">
        <f t="shared" si="119"/>
        <v>0</v>
      </c>
      <c r="AM235" s="516">
        <f t="shared" si="119"/>
        <v>0</v>
      </c>
      <c r="AN235" s="516">
        <f t="shared" si="119"/>
        <v>0</v>
      </c>
      <c r="AO235" s="516">
        <f t="shared" si="119"/>
        <v>0</v>
      </c>
      <c r="AP235" s="501"/>
      <c r="AQ235" s="505"/>
      <c r="AR235" s="505"/>
      <c r="AS235" s="505"/>
      <c r="AT235" s="505"/>
      <c r="AU235" s="505"/>
      <c r="AV235" s="510"/>
      <c r="AW235" s="452"/>
    </row>
    <row r="236" spans="1:49">
      <c r="A236" s="477"/>
      <c r="B236" s="483"/>
      <c r="C236" s="496"/>
      <c r="D236" s="496"/>
      <c r="E236" s="496"/>
      <c r="F236" s="496"/>
      <c r="G236" s="496"/>
      <c r="H236" s="496"/>
      <c r="I236" s="496"/>
      <c r="J236" s="496"/>
      <c r="K236" s="496"/>
      <c r="L236" s="496"/>
      <c r="M236" s="496"/>
      <c r="N236" s="496"/>
      <c r="O236" s="496"/>
      <c r="P236" s="496"/>
      <c r="Q236" s="496"/>
      <c r="R236" s="496"/>
      <c r="S236" s="496"/>
      <c r="T236" s="496"/>
      <c r="U236" s="496"/>
      <c r="V236" s="496"/>
      <c r="W236" s="496"/>
      <c r="X236" s="496"/>
      <c r="Y236" s="496"/>
      <c r="Z236" s="496"/>
      <c r="AA236" s="496"/>
      <c r="AB236" s="496"/>
      <c r="AC236" s="496"/>
      <c r="AD236" s="496"/>
      <c r="AE236" s="496"/>
      <c r="AF236" s="496"/>
      <c r="AG236" s="496"/>
      <c r="AH236" s="496"/>
      <c r="AI236" s="496"/>
      <c r="AJ236" s="496"/>
      <c r="AK236" s="496"/>
      <c r="AL236" s="496"/>
      <c r="AM236" s="496"/>
      <c r="AN236" s="496"/>
      <c r="AO236" s="496"/>
      <c r="AP236" s="501"/>
      <c r="AQ236" s="505"/>
      <c r="AR236" s="505"/>
      <c r="AS236" s="505"/>
      <c r="AT236" s="505"/>
      <c r="AU236" s="505"/>
      <c r="AV236" s="510"/>
      <c r="AW236" s="452"/>
    </row>
    <row r="237" spans="1:49">
      <c r="A237" s="1183" t="str">
        <f>'Delivery Calculation'!B32 &amp; CHAR(10) &amp; 'Delivery Calculation'!P32 &amp; " - " &amp; 'Delivery Calculation'!Q32</f>
        <v xml:space="preserve">0
 - </v>
      </c>
      <c r="B237" s="1180">
        <f>'Delivery Calculation'!A32</f>
        <v>0</v>
      </c>
      <c r="C237" s="499" t="s">
        <v>598</v>
      </c>
      <c r="D237" s="518">
        <f>'Delivery Calculation'!M213</f>
        <v>0</v>
      </c>
      <c r="E237" s="518">
        <f>'Delivery Calculation'!N213</f>
        <v>0</v>
      </c>
      <c r="F237" s="518">
        <f>'Delivery Calculation'!O213</f>
        <v>0</v>
      </c>
      <c r="G237" s="518">
        <f>'Delivery Calculation'!P213</f>
        <v>0</v>
      </c>
      <c r="H237" s="518">
        <f>'Delivery Calculation'!Q213</f>
        <v>0</v>
      </c>
      <c r="I237" s="518">
        <f>'Delivery Calculation'!R213</f>
        <v>0</v>
      </c>
      <c r="J237" s="518">
        <f>'Delivery Calculation'!S213</f>
        <v>0</v>
      </c>
      <c r="K237" s="518">
        <f>'Delivery Calculation'!T213</f>
        <v>0</v>
      </c>
      <c r="L237" s="518">
        <f>'Delivery Calculation'!U213</f>
        <v>0</v>
      </c>
      <c r="M237" s="518">
        <f>'Delivery Calculation'!V213</f>
        <v>0</v>
      </c>
      <c r="N237" s="518">
        <f>'Delivery Calculation'!W213</f>
        <v>0</v>
      </c>
      <c r="O237" s="518">
        <f>'Delivery Calculation'!X213</f>
        <v>0</v>
      </c>
      <c r="P237" s="518">
        <f>'Delivery Calculation'!Y213</f>
        <v>0</v>
      </c>
      <c r="Q237" s="518">
        <f>'Delivery Calculation'!Z213</f>
        <v>0</v>
      </c>
      <c r="R237" s="518">
        <f>'Delivery Calculation'!AA213</f>
        <v>0</v>
      </c>
      <c r="S237" s="518">
        <f>'Delivery Calculation'!AB213</f>
        <v>0</v>
      </c>
      <c r="T237" s="518">
        <f>'Delivery Calculation'!AC213</f>
        <v>0</v>
      </c>
      <c r="U237" s="518">
        <f>'Delivery Calculation'!AD213</f>
        <v>0</v>
      </c>
      <c r="V237" s="518">
        <f>'Delivery Calculation'!AE213</f>
        <v>0</v>
      </c>
      <c r="W237" s="518">
        <f>'Delivery Calculation'!AF213</f>
        <v>0</v>
      </c>
      <c r="X237" s="518">
        <f>'Delivery Calculation'!AG213</f>
        <v>0</v>
      </c>
      <c r="Y237" s="518">
        <f>'Delivery Calculation'!AH213</f>
        <v>0</v>
      </c>
      <c r="Z237" s="518">
        <f>'Delivery Calculation'!AI213</f>
        <v>0</v>
      </c>
      <c r="AA237" s="518">
        <f>'Delivery Calculation'!AJ213</f>
        <v>0</v>
      </c>
      <c r="AB237" s="518">
        <f>'Delivery Calculation'!AK213</f>
        <v>0</v>
      </c>
      <c r="AC237" s="518">
        <f>'Delivery Calculation'!AL213</f>
        <v>0</v>
      </c>
      <c r="AD237" s="518">
        <f>'Delivery Calculation'!AM213</f>
        <v>0</v>
      </c>
      <c r="AE237" s="518">
        <f>'Delivery Calculation'!AN213</f>
        <v>0</v>
      </c>
      <c r="AF237" s="518">
        <f>'Delivery Calculation'!AO213</f>
        <v>0</v>
      </c>
      <c r="AG237" s="518">
        <f>'Delivery Calculation'!AP213</f>
        <v>0</v>
      </c>
      <c r="AH237" s="518">
        <f>'Delivery Calculation'!AQ213</f>
        <v>0</v>
      </c>
      <c r="AI237" s="518">
        <f>'Delivery Calculation'!AR213</f>
        <v>0</v>
      </c>
      <c r="AJ237" s="518">
        <f>'Delivery Calculation'!AS213</f>
        <v>0</v>
      </c>
      <c r="AK237" s="518">
        <f>'Delivery Calculation'!AT213</f>
        <v>0</v>
      </c>
      <c r="AL237" s="518">
        <f>'Delivery Calculation'!AU213</f>
        <v>0</v>
      </c>
      <c r="AM237" s="518">
        <f>'Delivery Calculation'!AV213</f>
        <v>0</v>
      </c>
      <c r="AN237" s="518">
        <f>'Delivery Calculation'!AW213</f>
        <v>0</v>
      </c>
      <c r="AO237" s="518">
        <f>'Delivery Calculation'!AX213</f>
        <v>0</v>
      </c>
      <c r="AP237" s="501"/>
      <c r="AQ237" s="519">
        <f>IF(COUNTIF($D$15:$AO$15, TMDPeriodValueTypeReported)&gt;0, INDEX(D237:AO237,1,COUNTIF(D$15:$AO$15,TMDPeriodValueTypeReported)),0)</f>
        <v>0</v>
      </c>
      <c r="AR237" s="519"/>
      <c r="AS237" s="520">
        <f>'Delivery Calculation'!N32</f>
        <v>0</v>
      </c>
      <c r="AT237" s="519">
        <f>AQ237*'Delivery Calculation'!N32</f>
        <v>0</v>
      </c>
      <c r="AU237" s="521" t="s">
        <v>522</v>
      </c>
      <c r="AV237" s="510"/>
      <c r="AW237" s="452"/>
    </row>
    <row r="238" spans="1:49">
      <c r="A238" s="1184"/>
      <c r="B238" s="1181"/>
      <c r="C238" s="499" t="s">
        <v>599</v>
      </c>
      <c r="D238" s="509">
        <f>IF(D$15=TMDPeriodValueTypeForecast,IF('Delivery Calculation'!$H$32=TMDAllocationTandM,0,'Delivery Calculation'!M142),IF(MDReportingPeriod=TMDMonthly,D232,IF(MDReportingPeriod=TMDTwoweekly,D231,D230)))</f>
        <v>0</v>
      </c>
      <c r="E238" s="509">
        <f>IF(E$15=TMDPeriodValueTypeForecast,IF('Delivery Calculation'!$H$32=TMDAllocationTandM,0,'Delivery Calculation'!N142),IF(MDReportingPeriod=TMDMonthly,E232,IF(MDReportingPeriod=TMDTwoweekly,E231,E230)))</f>
        <v>0</v>
      </c>
      <c r="F238" s="509">
        <f>IF(F$15=TMDPeriodValueTypeForecast,IF('Delivery Calculation'!$H$32=TMDAllocationTandM,0,'Delivery Calculation'!O142),IF(MDReportingPeriod=TMDMonthly,F232,IF(MDReportingPeriod=TMDTwoweekly,F231,F230)))</f>
        <v>0</v>
      </c>
      <c r="G238" s="509">
        <f>IF(G$15=TMDPeriodValueTypeForecast,IF('Delivery Calculation'!$H$32=TMDAllocationTandM,0,'Delivery Calculation'!P142),IF(MDReportingPeriod=TMDMonthly,G232,IF(MDReportingPeriod=TMDTwoweekly,G231,G230)))</f>
        <v>0</v>
      </c>
      <c r="H238" s="509">
        <f>IF(H$15=TMDPeriodValueTypeForecast,IF('Delivery Calculation'!$H$32=TMDAllocationTandM,0,'Delivery Calculation'!Q142),IF(MDReportingPeriod=TMDMonthly,H232,IF(MDReportingPeriod=TMDTwoweekly,H231,H230)))</f>
        <v>0</v>
      </c>
      <c r="I238" s="509">
        <f>IF(I$15=TMDPeriodValueTypeForecast,IF('Delivery Calculation'!$H$32=TMDAllocationTandM,0,'Delivery Calculation'!R142),IF(MDReportingPeriod=TMDMonthly,I232,IF(MDReportingPeriod=TMDTwoweekly,I231,I230)))</f>
        <v>0</v>
      </c>
      <c r="J238" s="509">
        <f>IF(J$15=TMDPeriodValueTypeForecast,IF('Delivery Calculation'!$H$32=TMDAllocationTandM,0,'Delivery Calculation'!S142),IF(MDReportingPeriod=TMDMonthly,J232,IF(MDReportingPeriod=TMDTwoweekly,J231,J230)))</f>
        <v>0</v>
      </c>
      <c r="K238" s="509">
        <f>IF(K$15=TMDPeriodValueTypeForecast,IF('Delivery Calculation'!$H$32=TMDAllocationTandM,0,'Delivery Calculation'!T142),IF(MDReportingPeriod=TMDMonthly,K232,IF(MDReportingPeriod=TMDTwoweekly,K231,K230)))</f>
        <v>0</v>
      </c>
      <c r="L238" s="509">
        <f>IF(L$15=TMDPeriodValueTypeForecast,IF('Delivery Calculation'!$H$32=TMDAllocationTandM,0,'Delivery Calculation'!U142),IF(MDReportingPeriod=TMDMonthly,L232,IF(MDReportingPeriod=TMDTwoweekly,L231,L230)))</f>
        <v>0</v>
      </c>
      <c r="M238" s="509">
        <f>IF(M$15=TMDPeriodValueTypeForecast,IF('Delivery Calculation'!$H$32=TMDAllocationTandM,0,'Delivery Calculation'!V142),IF(MDReportingPeriod=TMDMonthly,M232,IF(MDReportingPeriod=TMDTwoweekly,M231,M230)))</f>
        <v>0</v>
      </c>
      <c r="N238" s="509">
        <f>IF(N$15=TMDPeriodValueTypeForecast,IF('Delivery Calculation'!$H$32=TMDAllocationTandM,0,'Delivery Calculation'!W142),IF(MDReportingPeriod=TMDMonthly,N232,IF(MDReportingPeriod=TMDTwoweekly,N231,N230)))</f>
        <v>0</v>
      </c>
      <c r="O238" s="509">
        <f>IF(O$15=TMDPeriodValueTypeForecast,IF('Delivery Calculation'!$H$32=TMDAllocationTandM,0,'Delivery Calculation'!X142),IF(MDReportingPeriod=TMDMonthly,O232,IF(MDReportingPeriod=TMDTwoweekly,O231,O230)))</f>
        <v>0</v>
      </c>
      <c r="P238" s="509">
        <f>IF(P$15=TMDPeriodValueTypeForecast,IF('Delivery Calculation'!$H$32=TMDAllocationTandM,0,'Delivery Calculation'!Y142),IF(MDReportingPeriod=TMDMonthly,P232,IF(MDReportingPeriod=TMDTwoweekly,P231,P230)))</f>
        <v>0</v>
      </c>
      <c r="Q238" s="509">
        <f>IF(Q$15=TMDPeriodValueTypeForecast,IF('Delivery Calculation'!$H$32=TMDAllocationTandM,0,'Delivery Calculation'!Z142),IF(MDReportingPeriod=TMDMonthly,Q232,IF(MDReportingPeriod=TMDTwoweekly,Q231,Q230)))</f>
        <v>0</v>
      </c>
      <c r="R238" s="509">
        <f>IF(R$15=TMDPeriodValueTypeForecast,IF('Delivery Calculation'!$H$32=TMDAllocationTandM,0,'Delivery Calculation'!AA142),IF(MDReportingPeriod=TMDMonthly,R232,IF(MDReportingPeriod=TMDTwoweekly,R231,R230)))</f>
        <v>0</v>
      </c>
      <c r="S238" s="509">
        <f>IF(S$15=TMDPeriodValueTypeForecast,IF('Delivery Calculation'!$H$32=TMDAllocationTandM,0,'Delivery Calculation'!AB142),IF(MDReportingPeriod=TMDMonthly,S232,IF(MDReportingPeriod=TMDTwoweekly,S231,S230)))</f>
        <v>0</v>
      </c>
      <c r="T238" s="509">
        <f>IF(T$15=TMDPeriodValueTypeForecast,IF('Delivery Calculation'!$H$32=TMDAllocationTandM,0,'Delivery Calculation'!AC142),IF(MDReportingPeriod=TMDMonthly,T232,IF(MDReportingPeriod=TMDTwoweekly,T231,T230)))</f>
        <v>0</v>
      </c>
      <c r="U238" s="509">
        <f>IF(U$15=TMDPeriodValueTypeForecast,IF('Delivery Calculation'!$H$32=TMDAllocationTandM,0,'Delivery Calculation'!AD142),IF(MDReportingPeriod=TMDMonthly,U232,IF(MDReportingPeriod=TMDTwoweekly,U231,U230)))</f>
        <v>0</v>
      </c>
      <c r="V238" s="509">
        <f>IF(V$15=TMDPeriodValueTypeForecast,IF('Delivery Calculation'!$H$32=TMDAllocationTandM,0,'Delivery Calculation'!AE142),IF(MDReportingPeriod=TMDMonthly,V232,IF(MDReportingPeriod=TMDTwoweekly,V231,V230)))</f>
        <v>0</v>
      </c>
      <c r="W238" s="509">
        <f>IF(W$15=TMDPeriodValueTypeForecast,IF('Delivery Calculation'!$H$32=TMDAllocationTandM,0,'Delivery Calculation'!AF142),IF(MDReportingPeriod=TMDMonthly,W232,IF(MDReportingPeriod=TMDTwoweekly,W231,W230)))</f>
        <v>0</v>
      </c>
      <c r="X238" s="509">
        <f>IF(X$15=TMDPeriodValueTypeForecast,IF('Delivery Calculation'!$H$32=TMDAllocationTandM,0,'Delivery Calculation'!AG142),IF(MDReportingPeriod=TMDMonthly,X232,IF(MDReportingPeriod=TMDTwoweekly,X231,X230)))</f>
        <v>0</v>
      </c>
      <c r="Y238" s="509">
        <f>IF(Y$15=TMDPeriodValueTypeForecast,IF('Delivery Calculation'!$H$32=TMDAllocationTandM,0,'Delivery Calculation'!AH142),IF(MDReportingPeriod=TMDMonthly,Y232,IF(MDReportingPeriod=TMDTwoweekly,Y231,Y230)))</f>
        <v>0</v>
      </c>
      <c r="Z238" s="509">
        <f>IF(Z$15=TMDPeriodValueTypeForecast,IF('Delivery Calculation'!$H$32=TMDAllocationTandM,0,'Delivery Calculation'!AI142),IF(MDReportingPeriod=TMDMonthly,Z232,IF(MDReportingPeriod=TMDTwoweekly,Z231,Z230)))</f>
        <v>0</v>
      </c>
      <c r="AA238" s="509">
        <f>IF(AA$15=TMDPeriodValueTypeForecast,IF('Delivery Calculation'!$H$32=TMDAllocationTandM,0,'Delivery Calculation'!AJ142),IF(MDReportingPeriod=TMDMonthly,AA232,IF(MDReportingPeriod=TMDTwoweekly,AA231,AA230)))</f>
        <v>0</v>
      </c>
      <c r="AB238" s="509">
        <f>IF(AB$15=TMDPeriodValueTypeForecast,IF('Delivery Calculation'!$H$32=TMDAllocationTandM,0,'Delivery Calculation'!AK142),IF(MDReportingPeriod=TMDMonthly,AB232,IF(MDReportingPeriod=TMDTwoweekly,AB231,AB230)))</f>
        <v>0</v>
      </c>
      <c r="AC238" s="509">
        <f>IF(AC$15=TMDPeriodValueTypeForecast,IF('Delivery Calculation'!$H$32=TMDAllocationTandM,0,'Delivery Calculation'!AL142),IF(MDReportingPeriod=TMDMonthly,AC232,IF(MDReportingPeriod=TMDTwoweekly,AC231,AC230)))</f>
        <v>0</v>
      </c>
      <c r="AD238" s="509">
        <f>IF(AD$15=TMDPeriodValueTypeForecast,IF('Delivery Calculation'!$H$32=TMDAllocationTandM,0,'Delivery Calculation'!AM142),IF(MDReportingPeriod=TMDMonthly,AD232,IF(MDReportingPeriod=TMDTwoweekly,AD231,AD230)))</f>
        <v>0</v>
      </c>
      <c r="AE238" s="509">
        <f>IF(AE$15=TMDPeriodValueTypeForecast,IF('Delivery Calculation'!$H$32=TMDAllocationTandM,0,'Delivery Calculation'!AN142),IF(MDReportingPeriod=TMDMonthly,AE232,IF(MDReportingPeriod=TMDTwoweekly,AE231,AE230)))</f>
        <v>0</v>
      </c>
      <c r="AF238" s="509">
        <f>IF(AF$15=TMDPeriodValueTypeForecast,IF('Delivery Calculation'!$H$32=TMDAllocationTandM,0,'Delivery Calculation'!AO142),IF(MDReportingPeriod=TMDMonthly,AF232,IF(MDReportingPeriod=TMDTwoweekly,AF231,AF230)))</f>
        <v>0</v>
      </c>
      <c r="AG238" s="509">
        <f>IF(AG$15=TMDPeriodValueTypeForecast,IF('Delivery Calculation'!$H$32=TMDAllocationTandM,0,'Delivery Calculation'!AP142),IF(MDReportingPeriod=TMDMonthly,AG232,IF(MDReportingPeriod=TMDTwoweekly,AG231,AG230)))</f>
        <v>0</v>
      </c>
      <c r="AH238" s="509">
        <f>IF(AH$15=TMDPeriodValueTypeForecast,IF('Delivery Calculation'!$H$32=TMDAllocationTandM,0,'Delivery Calculation'!AQ142),IF(MDReportingPeriod=TMDMonthly,AH232,IF(MDReportingPeriod=TMDTwoweekly,AH231,AH230)))</f>
        <v>0</v>
      </c>
      <c r="AI238" s="509">
        <f>IF(AI$15=TMDPeriodValueTypeForecast,IF('Delivery Calculation'!$H$32=TMDAllocationTandM,0,'Delivery Calculation'!AR142),IF(MDReportingPeriod=TMDMonthly,AI232,IF(MDReportingPeriod=TMDTwoweekly,AI231,AI230)))</f>
        <v>0</v>
      </c>
      <c r="AJ238" s="509">
        <f>IF(AJ$15=TMDPeriodValueTypeForecast,IF('Delivery Calculation'!$H$32=TMDAllocationTandM,0,'Delivery Calculation'!AS142),IF(MDReportingPeriod=TMDMonthly,AJ232,IF(MDReportingPeriod=TMDTwoweekly,AJ231,AJ230)))</f>
        <v>0</v>
      </c>
      <c r="AK238" s="509">
        <f>IF(AK$15=TMDPeriodValueTypeForecast,IF('Delivery Calculation'!$H$32=TMDAllocationTandM,0,'Delivery Calculation'!AT142),IF(MDReportingPeriod=TMDMonthly,AK232,IF(MDReportingPeriod=TMDTwoweekly,AK231,AK230)))</f>
        <v>0</v>
      </c>
      <c r="AL238" s="509">
        <f>IF(AL$15=TMDPeriodValueTypeForecast,IF('Delivery Calculation'!$H$32=TMDAllocationTandM,0,'Delivery Calculation'!AU142),IF(MDReportingPeriod=TMDMonthly,AL232,IF(MDReportingPeriod=TMDTwoweekly,AL231,AL230)))</f>
        <v>0</v>
      </c>
      <c r="AM238" s="509">
        <f>IF(AM$15=TMDPeriodValueTypeForecast,IF('Delivery Calculation'!$H$32=TMDAllocationTandM,0,'Delivery Calculation'!AV142),IF(MDReportingPeriod=TMDMonthly,AM232,IF(MDReportingPeriod=TMDTwoweekly,AM231,AM230)))</f>
        <v>0</v>
      </c>
      <c r="AN238" s="509">
        <f>IF(AN$15=TMDPeriodValueTypeForecast,IF('Delivery Calculation'!$H$32=TMDAllocationTandM,0,'Delivery Calculation'!AW142),IF(MDReportingPeriod=TMDMonthly,AN232,IF(MDReportingPeriod=TMDTwoweekly,AN231,AN230)))</f>
        <v>0</v>
      </c>
      <c r="AO238" s="509">
        <f>IF(AO$15=TMDPeriodValueTypeForecast,IF('Delivery Calculation'!$H$32=TMDAllocationTandM,0,'Delivery Calculation'!AX142),IF(MDReportingPeriod=TMDMonthly,AO232,IF(MDReportingPeriod=TMDTwoweekly,AO231,AO230)))</f>
        <v>0</v>
      </c>
      <c r="AP238" s="501"/>
      <c r="AQ238" s="505">
        <f>SUMIF($D$15:$AO$15,TMDPeriodValueTypeReported,D238:AO238)</f>
        <v>0</v>
      </c>
      <c r="AR238" s="505">
        <f>SUMIF($D$15:$AO$15,TMDPeriodValueTypeForecast,D238:AO238)</f>
        <v>0</v>
      </c>
      <c r="AS238" s="523">
        <f>'Delivery Calculation'!J32</f>
        <v>0</v>
      </c>
      <c r="AT238" s="505">
        <f>AS238-(AQ238+AR238)</f>
        <v>0</v>
      </c>
      <c r="AU238" s="505"/>
      <c r="AV238" s="510"/>
      <c r="AW238" s="452"/>
    </row>
    <row r="239" spans="1:49">
      <c r="A239" s="1184"/>
      <c r="B239" s="1181"/>
      <c r="C239" s="499" t="s">
        <v>600</v>
      </c>
      <c r="D239" s="509">
        <f>IF(D$15=TMDPeriodValueTypeForecast,IF('Delivery Calculation'!$H$32=TMDAllocationTandM,0,'Delivery Calculation'!M106),IF(MDReportingPeriod=TMDMonthly,D235,IF(MDReportingPeriod=TMDTwoweekly,D234,D233)))</f>
        <v>0</v>
      </c>
      <c r="E239" s="509">
        <f>IF(E$15=TMDPeriodValueTypeForecast,IF('Delivery Calculation'!$H$32=TMDAllocationTandM,0,'Delivery Calculation'!N106),IF(MDReportingPeriod=TMDMonthly,E235,IF(MDReportingPeriod=TMDTwoweekly,E234,E233)))</f>
        <v>0</v>
      </c>
      <c r="F239" s="509">
        <f>IF(F$15=TMDPeriodValueTypeForecast,IF('Delivery Calculation'!$H$32=TMDAllocationTandM,0,'Delivery Calculation'!O106),IF(MDReportingPeriod=TMDMonthly,F235,IF(MDReportingPeriod=TMDTwoweekly,F234,F233)))</f>
        <v>0</v>
      </c>
      <c r="G239" s="509">
        <f>IF(G$15=TMDPeriodValueTypeForecast,IF('Delivery Calculation'!$H$32=TMDAllocationTandM,0,'Delivery Calculation'!P106),IF(MDReportingPeriod=TMDMonthly,G235,IF(MDReportingPeriod=TMDTwoweekly,G234,G233)))</f>
        <v>0</v>
      </c>
      <c r="H239" s="509">
        <f>IF(H$15=TMDPeriodValueTypeForecast,IF('Delivery Calculation'!$H$32=TMDAllocationTandM,0,'Delivery Calculation'!Q106),IF(MDReportingPeriod=TMDMonthly,H235,IF(MDReportingPeriod=TMDTwoweekly,H234,H233)))</f>
        <v>0</v>
      </c>
      <c r="I239" s="509">
        <f>IF(I$15=TMDPeriodValueTypeForecast,IF('Delivery Calculation'!$H$32=TMDAllocationTandM,0,'Delivery Calculation'!R106),IF(MDReportingPeriod=TMDMonthly,I235,IF(MDReportingPeriod=TMDTwoweekly,I234,I233)))</f>
        <v>0</v>
      </c>
      <c r="J239" s="509">
        <f>IF(J$15=TMDPeriodValueTypeForecast,IF('Delivery Calculation'!$H$32=TMDAllocationTandM,0,'Delivery Calculation'!S106),IF(MDReportingPeriod=TMDMonthly,J235,IF(MDReportingPeriod=TMDTwoweekly,J234,J233)))</f>
        <v>0</v>
      </c>
      <c r="K239" s="509">
        <f>IF(K$15=TMDPeriodValueTypeForecast,IF('Delivery Calculation'!$H$32=TMDAllocationTandM,0,'Delivery Calculation'!T106),IF(MDReportingPeriod=TMDMonthly,K235,IF(MDReportingPeriod=TMDTwoweekly,K234,K233)))</f>
        <v>0</v>
      </c>
      <c r="L239" s="509">
        <f>IF(L$15=TMDPeriodValueTypeForecast,IF('Delivery Calculation'!$H$32=TMDAllocationTandM,0,'Delivery Calculation'!U106),IF(MDReportingPeriod=TMDMonthly,L235,IF(MDReportingPeriod=TMDTwoweekly,L234,L233)))</f>
        <v>0</v>
      </c>
      <c r="M239" s="509">
        <f>IF(M$15=TMDPeriodValueTypeForecast,IF('Delivery Calculation'!$H$32=TMDAllocationTandM,0,'Delivery Calculation'!V106),IF(MDReportingPeriod=TMDMonthly,M235,IF(MDReportingPeriod=TMDTwoweekly,M234,M233)))</f>
        <v>0</v>
      </c>
      <c r="N239" s="509">
        <f>IF(N$15=TMDPeriodValueTypeForecast,IF('Delivery Calculation'!$H$32=TMDAllocationTandM,0,'Delivery Calculation'!W106),IF(MDReportingPeriod=TMDMonthly,N235,IF(MDReportingPeriod=TMDTwoweekly,N234,N233)))</f>
        <v>0</v>
      </c>
      <c r="O239" s="509">
        <f>IF(O$15=TMDPeriodValueTypeForecast,IF('Delivery Calculation'!$H$32=TMDAllocationTandM,0,'Delivery Calculation'!X106),IF(MDReportingPeriod=TMDMonthly,O235,IF(MDReportingPeriod=TMDTwoweekly,O234,O233)))</f>
        <v>0</v>
      </c>
      <c r="P239" s="509">
        <f>IF(P$15=TMDPeriodValueTypeForecast,IF('Delivery Calculation'!$H$32=TMDAllocationTandM,0,'Delivery Calculation'!Y106),IF(MDReportingPeriod=TMDMonthly,P235,IF(MDReportingPeriod=TMDTwoweekly,P234,P233)))</f>
        <v>0</v>
      </c>
      <c r="Q239" s="509">
        <f>IF(Q$15=TMDPeriodValueTypeForecast,IF('Delivery Calculation'!$H$32=TMDAllocationTandM,0,'Delivery Calculation'!Z106),IF(MDReportingPeriod=TMDMonthly,Q235,IF(MDReportingPeriod=TMDTwoweekly,Q234,Q233)))</f>
        <v>0</v>
      </c>
      <c r="R239" s="509">
        <f>IF(R$15=TMDPeriodValueTypeForecast,IF('Delivery Calculation'!$H$32=TMDAllocationTandM,0,'Delivery Calculation'!AA106),IF(MDReportingPeriod=TMDMonthly,R235,IF(MDReportingPeriod=TMDTwoweekly,R234,R233)))</f>
        <v>0</v>
      </c>
      <c r="S239" s="509">
        <f>IF(S$15=TMDPeriodValueTypeForecast,IF('Delivery Calculation'!$H$32=TMDAllocationTandM,0,'Delivery Calculation'!AB106),IF(MDReportingPeriod=TMDMonthly,S235,IF(MDReportingPeriod=TMDTwoweekly,S234,S233)))</f>
        <v>0</v>
      </c>
      <c r="T239" s="509">
        <f>IF(T$15=TMDPeriodValueTypeForecast,IF('Delivery Calculation'!$H$32=TMDAllocationTandM,0,'Delivery Calculation'!AC106),IF(MDReportingPeriod=TMDMonthly,T235,IF(MDReportingPeriod=TMDTwoweekly,T234,T233)))</f>
        <v>0</v>
      </c>
      <c r="U239" s="509">
        <f>IF(U$15=TMDPeriodValueTypeForecast,IF('Delivery Calculation'!$H$32=TMDAllocationTandM,0,'Delivery Calculation'!AD106),IF(MDReportingPeriod=TMDMonthly,U235,IF(MDReportingPeriod=TMDTwoweekly,U234,U233)))</f>
        <v>0</v>
      </c>
      <c r="V239" s="509">
        <f>IF(V$15=TMDPeriodValueTypeForecast,IF('Delivery Calculation'!$H$32=TMDAllocationTandM,0,'Delivery Calculation'!AE106),IF(MDReportingPeriod=TMDMonthly,V235,IF(MDReportingPeriod=TMDTwoweekly,V234,V233)))</f>
        <v>0</v>
      </c>
      <c r="W239" s="509">
        <f>IF(W$15=TMDPeriodValueTypeForecast,IF('Delivery Calculation'!$H$32=TMDAllocationTandM,0,'Delivery Calculation'!AF106),IF(MDReportingPeriod=TMDMonthly,W235,IF(MDReportingPeriod=TMDTwoweekly,W234,W233)))</f>
        <v>0</v>
      </c>
      <c r="X239" s="509">
        <f>IF(X$15=TMDPeriodValueTypeForecast,IF('Delivery Calculation'!$H$32=TMDAllocationTandM,0,'Delivery Calculation'!AG106),IF(MDReportingPeriod=TMDMonthly,X235,IF(MDReportingPeriod=TMDTwoweekly,X234,X233)))</f>
        <v>0</v>
      </c>
      <c r="Y239" s="509">
        <f>IF(Y$15=TMDPeriodValueTypeForecast,IF('Delivery Calculation'!$H$32=TMDAllocationTandM,0,'Delivery Calculation'!AH106),IF(MDReportingPeriod=TMDMonthly,Y235,IF(MDReportingPeriod=TMDTwoweekly,Y234,Y233)))</f>
        <v>0</v>
      </c>
      <c r="Z239" s="509">
        <f>IF(Z$15=TMDPeriodValueTypeForecast,IF('Delivery Calculation'!$H$32=TMDAllocationTandM,0,'Delivery Calculation'!AI106),IF(MDReportingPeriod=TMDMonthly,Z235,IF(MDReportingPeriod=TMDTwoweekly,Z234,Z233)))</f>
        <v>0</v>
      </c>
      <c r="AA239" s="509">
        <f>IF(AA$15=TMDPeriodValueTypeForecast,IF('Delivery Calculation'!$H$32=TMDAllocationTandM,0,'Delivery Calculation'!AJ106),IF(MDReportingPeriod=TMDMonthly,AA235,IF(MDReportingPeriod=TMDTwoweekly,AA234,AA233)))</f>
        <v>0</v>
      </c>
      <c r="AB239" s="509">
        <f>IF(AB$15=TMDPeriodValueTypeForecast,IF('Delivery Calculation'!$H$32=TMDAllocationTandM,0,'Delivery Calculation'!AK106),IF(MDReportingPeriod=TMDMonthly,AB235,IF(MDReportingPeriod=TMDTwoweekly,AB234,AB233)))</f>
        <v>0</v>
      </c>
      <c r="AC239" s="509">
        <f>IF(AC$15=TMDPeriodValueTypeForecast,IF('Delivery Calculation'!$H$32=TMDAllocationTandM,0,'Delivery Calculation'!AL106),IF(MDReportingPeriod=TMDMonthly,AC235,IF(MDReportingPeriod=TMDTwoweekly,AC234,AC233)))</f>
        <v>0</v>
      </c>
      <c r="AD239" s="509">
        <f>IF(AD$15=TMDPeriodValueTypeForecast,IF('Delivery Calculation'!$H$32=TMDAllocationTandM,0,'Delivery Calculation'!AM106),IF(MDReportingPeriod=TMDMonthly,AD235,IF(MDReportingPeriod=TMDTwoweekly,AD234,AD233)))</f>
        <v>0</v>
      </c>
      <c r="AE239" s="509">
        <f>IF(AE$15=TMDPeriodValueTypeForecast,IF('Delivery Calculation'!$H$32=TMDAllocationTandM,0,'Delivery Calculation'!AN106),IF(MDReportingPeriod=TMDMonthly,AE235,IF(MDReportingPeriod=TMDTwoweekly,AE234,AE233)))</f>
        <v>0</v>
      </c>
      <c r="AF239" s="509">
        <f>IF(AF$15=TMDPeriodValueTypeForecast,IF('Delivery Calculation'!$H$32=TMDAllocationTandM,0,'Delivery Calculation'!AO106),IF(MDReportingPeriod=TMDMonthly,AF235,IF(MDReportingPeriod=TMDTwoweekly,AF234,AF233)))</f>
        <v>0</v>
      </c>
      <c r="AG239" s="509">
        <f>IF(AG$15=TMDPeriodValueTypeForecast,IF('Delivery Calculation'!$H$32=TMDAllocationTandM,0,'Delivery Calculation'!AP106),IF(MDReportingPeriod=TMDMonthly,AG235,IF(MDReportingPeriod=TMDTwoweekly,AG234,AG233)))</f>
        <v>0</v>
      </c>
      <c r="AH239" s="509">
        <f>IF(AH$15=TMDPeriodValueTypeForecast,IF('Delivery Calculation'!$H$32=TMDAllocationTandM,0,'Delivery Calculation'!AQ106),IF(MDReportingPeriod=TMDMonthly,AH235,IF(MDReportingPeriod=TMDTwoweekly,AH234,AH233)))</f>
        <v>0</v>
      </c>
      <c r="AI239" s="509">
        <f>IF(AI$15=TMDPeriodValueTypeForecast,IF('Delivery Calculation'!$H$32=TMDAllocationTandM,0,'Delivery Calculation'!AR106),IF(MDReportingPeriod=TMDMonthly,AI235,IF(MDReportingPeriod=TMDTwoweekly,AI234,AI233)))</f>
        <v>0</v>
      </c>
      <c r="AJ239" s="509">
        <f>IF(AJ$15=TMDPeriodValueTypeForecast,IF('Delivery Calculation'!$H$32=TMDAllocationTandM,0,'Delivery Calculation'!AS106),IF(MDReportingPeriod=TMDMonthly,AJ235,IF(MDReportingPeriod=TMDTwoweekly,AJ234,AJ233)))</f>
        <v>0</v>
      </c>
      <c r="AK239" s="509">
        <f>IF(AK$15=TMDPeriodValueTypeForecast,IF('Delivery Calculation'!$H$32=TMDAllocationTandM,0,'Delivery Calculation'!AT106),IF(MDReportingPeriod=TMDMonthly,AK235,IF(MDReportingPeriod=TMDTwoweekly,AK234,AK233)))</f>
        <v>0</v>
      </c>
      <c r="AL239" s="509">
        <f>IF(AL$15=TMDPeriodValueTypeForecast,IF('Delivery Calculation'!$H$32=TMDAllocationTandM,0,'Delivery Calculation'!AU106),IF(MDReportingPeriod=TMDMonthly,AL235,IF(MDReportingPeriod=TMDTwoweekly,AL234,AL233)))</f>
        <v>0</v>
      </c>
      <c r="AM239" s="509">
        <f>IF(AM$15=TMDPeriodValueTypeForecast,IF('Delivery Calculation'!$H$32=TMDAllocationTandM,0,'Delivery Calculation'!AV106),IF(MDReportingPeriod=TMDMonthly,AM235,IF(MDReportingPeriod=TMDTwoweekly,AM234,AM233)))</f>
        <v>0</v>
      </c>
      <c r="AN239" s="509">
        <f>IF(AN$15=TMDPeriodValueTypeForecast,IF('Delivery Calculation'!$H$32=TMDAllocationTandM,0,'Delivery Calculation'!AW106),IF(MDReportingPeriod=TMDMonthly,AN235,IF(MDReportingPeriod=TMDTwoweekly,AN234,AN233)))</f>
        <v>0</v>
      </c>
      <c r="AO239" s="509">
        <f>IF(AO$15=TMDPeriodValueTypeForecast,IF('Delivery Calculation'!$H$32=TMDAllocationTandM,0,'Delivery Calculation'!AX106),IF(MDReportingPeriod=TMDMonthly,AO235,IF(MDReportingPeriod=TMDTwoweekly,AO234,AO233)))</f>
        <v>0</v>
      </c>
      <c r="AP239" s="501"/>
      <c r="AQ239" s="505">
        <f>SUMIF($D$15:$AO$15,TMDPeriodValueTypeReported,D239:AO239)</f>
        <v>0</v>
      </c>
      <c r="AR239" s="505">
        <f>SUMIF($D$15:$AO$15,TMDPeriodValueTypeForecast,D239:AO239)</f>
        <v>0</v>
      </c>
      <c r="AS239" s="523">
        <f>'Delivery Calculation'!I32</f>
        <v>0</v>
      </c>
      <c r="AT239" s="505">
        <f>AS239-(AQ239+AR239)</f>
        <v>0</v>
      </c>
      <c r="AU239" s="505"/>
      <c r="AV239" s="510"/>
      <c r="AW239" s="452"/>
    </row>
    <row r="240" spans="1:49">
      <c r="A240" s="1185"/>
      <c r="B240" s="1182"/>
      <c r="C240" s="499" t="s">
        <v>601</v>
      </c>
      <c r="D240" s="509"/>
      <c r="E240" s="509"/>
      <c r="F240" s="509"/>
      <c r="G240" s="509"/>
      <c r="H240" s="509"/>
      <c r="I240" s="509"/>
      <c r="J240" s="509"/>
      <c r="K240" s="509"/>
      <c r="L240" s="509"/>
      <c r="M240" s="509"/>
      <c r="N240" s="509"/>
      <c r="O240" s="509"/>
      <c r="P240" s="509"/>
      <c r="Q240" s="509"/>
      <c r="R240" s="509"/>
      <c r="S240" s="509"/>
      <c r="T240" s="509"/>
      <c r="U240" s="509"/>
      <c r="V240" s="509"/>
      <c r="W240" s="509"/>
      <c r="X240" s="509"/>
      <c r="Y240" s="509"/>
      <c r="Z240" s="509"/>
      <c r="AA240" s="509"/>
      <c r="AB240" s="509"/>
      <c r="AC240" s="509"/>
      <c r="AD240" s="509"/>
      <c r="AE240" s="509"/>
      <c r="AF240" s="509"/>
      <c r="AG240" s="509"/>
      <c r="AH240" s="509"/>
      <c r="AI240" s="509"/>
      <c r="AJ240" s="509"/>
      <c r="AK240" s="509"/>
      <c r="AL240" s="509"/>
      <c r="AM240" s="509"/>
      <c r="AN240" s="509"/>
      <c r="AO240" s="509"/>
      <c r="AP240" s="501"/>
      <c r="AQ240" s="505">
        <f>SUMIF($D$15:$AO$15,TMDPeriodValueTypeReported,D240:AO240)</f>
        <v>0</v>
      </c>
      <c r="AR240" s="505">
        <f>SUMIF($D$15:$AO$15,TMDPeriodValueTypeForecast,D240:AO240)</f>
        <v>0</v>
      </c>
      <c r="AS240" s="505"/>
      <c r="AT240" s="505">
        <f>AQ240+AR240</f>
        <v>0</v>
      </c>
      <c r="AU240" s="505"/>
      <c r="AV240" s="510"/>
      <c r="AW240" s="452"/>
    </row>
    <row r="241" spans="1:49" hidden="1">
      <c r="A241" s="143"/>
      <c r="B241" s="483"/>
      <c r="C241" s="496" t="s">
        <v>1339</v>
      </c>
      <c r="D241" s="516">
        <f t="shared" ref="D241:AO241" si="120">IF(ISERR(GETPIVOTDATA("[Measures].[Hours]",TRIMARANweekly,"[Order].[Position Number]","[Order].[Position Number].&amp;[" &amp; $B248 &amp; "]","[Period].[Week]","[Period].[Week].&amp;[" &amp; YEAR(D$14-7) &amp; TEXT(WEEKNUM(D$14-7),"00") &amp; "]")),0,GETPIVOTDATA("[Measures].[Hours]",TRIMARANweekly,"[Order].[Position Number]","[Order].[Position Number].&amp;[" &amp; $B248 &amp; "]","[Period].[Week]","[Period].[Week].&amp;[" &amp; YEAR(D$14-7) &amp; TEXT(WEEKNUM(D$14-7),"00") &amp; "]"))</f>
        <v>0</v>
      </c>
      <c r="E241" s="516">
        <f t="shared" si="120"/>
        <v>0</v>
      </c>
      <c r="F241" s="516">
        <f t="shared" si="120"/>
        <v>0</v>
      </c>
      <c r="G241" s="516">
        <f t="shared" si="120"/>
        <v>0</v>
      </c>
      <c r="H241" s="516">
        <f t="shared" si="120"/>
        <v>0</v>
      </c>
      <c r="I241" s="516">
        <f t="shared" si="120"/>
        <v>0</v>
      </c>
      <c r="J241" s="516">
        <f t="shared" si="120"/>
        <v>0</v>
      </c>
      <c r="K241" s="516">
        <f t="shared" si="120"/>
        <v>0</v>
      </c>
      <c r="L241" s="516">
        <f t="shared" si="120"/>
        <v>0</v>
      </c>
      <c r="M241" s="516">
        <f t="shared" si="120"/>
        <v>0</v>
      </c>
      <c r="N241" s="516">
        <f t="shared" si="120"/>
        <v>0</v>
      </c>
      <c r="O241" s="516">
        <f t="shared" si="120"/>
        <v>0</v>
      </c>
      <c r="P241" s="516">
        <f t="shared" si="120"/>
        <v>0</v>
      </c>
      <c r="Q241" s="516">
        <f t="shared" si="120"/>
        <v>0</v>
      </c>
      <c r="R241" s="516">
        <f t="shared" si="120"/>
        <v>0</v>
      </c>
      <c r="S241" s="516">
        <f t="shared" si="120"/>
        <v>0</v>
      </c>
      <c r="T241" s="516">
        <f t="shared" si="120"/>
        <v>0</v>
      </c>
      <c r="U241" s="516">
        <f t="shared" si="120"/>
        <v>0</v>
      </c>
      <c r="V241" s="516">
        <f t="shared" si="120"/>
        <v>0</v>
      </c>
      <c r="W241" s="516">
        <f t="shared" si="120"/>
        <v>0</v>
      </c>
      <c r="X241" s="516">
        <f t="shared" si="120"/>
        <v>0</v>
      </c>
      <c r="Y241" s="516">
        <f t="shared" si="120"/>
        <v>0</v>
      </c>
      <c r="Z241" s="516">
        <f t="shared" si="120"/>
        <v>0</v>
      </c>
      <c r="AA241" s="516">
        <f t="shared" si="120"/>
        <v>0</v>
      </c>
      <c r="AB241" s="516">
        <f t="shared" si="120"/>
        <v>0</v>
      </c>
      <c r="AC241" s="516">
        <f t="shared" si="120"/>
        <v>0</v>
      </c>
      <c r="AD241" s="516">
        <f t="shared" si="120"/>
        <v>0</v>
      </c>
      <c r="AE241" s="516">
        <f t="shared" si="120"/>
        <v>0</v>
      </c>
      <c r="AF241" s="516">
        <f t="shared" si="120"/>
        <v>0</v>
      </c>
      <c r="AG241" s="516">
        <f t="shared" si="120"/>
        <v>0</v>
      </c>
      <c r="AH241" s="516">
        <f t="shared" si="120"/>
        <v>0</v>
      </c>
      <c r="AI241" s="516">
        <f t="shared" si="120"/>
        <v>0</v>
      </c>
      <c r="AJ241" s="516">
        <f t="shared" si="120"/>
        <v>0</v>
      </c>
      <c r="AK241" s="516">
        <f t="shared" si="120"/>
        <v>0</v>
      </c>
      <c r="AL241" s="516">
        <f t="shared" si="120"/>
        <v>0</v>
      </c>
      <c r="AM241" s="516">
        <f t="shared" si="120"/>
        <v>0</v>
      </c>
      <c r="AN241" s="516">
        <f t="shared" si="120"/>
        <v>0</v>
      </c>
      <c r="AO241" s="516">
        <f t="shared" si="120"/>
        <v>0</v>
      </c>
      <c r="AP241" s="501"/>
      <c r="AQ241" s="505"/>
      <c r="AR241" s="505"/>
      <c r="AS241" s="505"/>
      <c r="AT241" s="505"/>
      <c r="AU241" s="505"/>
      <c r="AV241" s="510"/>
      <c r="AW241" s="452"/>
    </row>
    <row r="242" spans="1:49" hidden="1">
      <c r="A242" s="143"/>
      <c r="B242" s="483"/>
      <c r="C242" s="496" t="s">
        <v>1340</v>
      </c>
      <c r="D242" s="516">
        <f t="shared" ref="D242:AO242" si="121">IF(ISERR(GETPIVOTDATA("[Measures].[Hours]",TRIMARANweekly,"[Order].[Position Number]","[Order].[Position Number].&amp;[" &amp; $B248 &amp; "]","[Period].[Week]","[Period].[Week].&amp;[" &amp; YEAR(D$14-14) &amp; TEXT(WEEKNUM(D$14-14),"00") &amp; "]")),0,GETPIVOTDATA("[Measures].[Hours]",TRIMARANweekly,"[Order].[Position Number]","[Order].[Position Number].&amp;[" &amp; $B248 &amp; "]","[Period].[Week]","[Period].[Week].&amp;[" &amp; YEAR(D$14-14) &amp; TEXT(WEEKNUM(D$14-14),"00") &amp; "]"))+D241</f>
        <v>0</v>
      </c>
      <c r="E242" s="516">
        <f t="shared" si="121"/>
        <v>0</v>
      </c>
      <c r="F242" s="516">
        <f t="shared" si="121"/>
        <v>0</v>
      </c>
      <c r="G242" s="516">
        <f t="shared" si="121"/>
        <v>0</v>
      </c>
      <c r="H242" s="516">
        <f t="shared" si="121"/>
        <v>0</v>
      </c>
      <c r="I242" s="516">
        <f t="shared" si="121"/>
        <v>0</v>
      </c>
      <c r="J242" s="516">
        <f t="shared" si="121"/>
        <v>0</v>
      </c>
      <c r="K242" s="516">
        <f t="shared" si="121"/>
        <v>0</v>
      </c>
      <c r="L242" s="516">
        <f t="shared" si="121"/>
        <v>0</v>
      </c>
      <c r="M242" s="516">
        <f t="shared" si="121"/>
        <v>0</v>
      </c>
      <c r="N242" s="516">
        <f t="shared" si="121"/>
        <v>0</v>
      </c>
      <c r="O242" s="516">
        <f t="shared" si="121"/>
        <v>0</v>
      </c>
      <c r="P242" s="516">
        <f t="shared" si="121"/>
        <v>0</v>
      </c>
      <c r="Q242" s="516">
        <f t="shared" si="121"/>
        <v>0</v>
      </c>
      <c r="R242" s="516">
        <f t="shared" si="121"/>
        <v>0</v>
      </c>
      <c r="S242" s="516">
        <f t="shared" si="121"/>
        <v>0</v>
      </c>
      <c r="T242" s="516">
        <f t="shared" si="121"/>
        <v>0</v>
      </c>
      <c r="U242" s="516">
        <f t="shared" si="121"/>
        <v>0</v>
      </c>
      <c r="V242" s="516">
        <f t="shared" si="121"/>
        <v>0</v>
      </c>
      <c r="W242" s="516">
        <f t="shared" si="121"/>
        <v>0</v>
      </c>
      <c r="X242" s="516">
        <f t="shared" si="121"/>
        <v>0</v>
      </c>
      <c r="Y242" s="516">
        <f t="shared" si="121"/>
        <v>0</v>
      </c>
      <c r="Z242" s="516">
        <f t="shared" si="121"/>
        <v>0</v>
      </c>
      <c r="AA242" s="516">
        <f t="shared" si="121"/>
        <v>0</v>
      </c>
      <c r="AB242" s="516">
        <f t="shared" si="121"/>
        <v>0</v>
      </c>
      <c r="AC242" s="516">
        <f t="shared" si="121"/>
        <v>0</v>
      </c>
      <c r="AD242" s="516">
        <f t="shared" si="121"/>
        <v>0</v>
      </c>
      <c r="AE242" s="516">
        <f t="shared" si="121"/>
        <v>0</v>
      </c>
      <c r="AF242" s="516">
        <f t="shared" si="121"/>
        <v>0</v>
      </c>
      <c r="AG242" s="516">
        <f t="shared" si="121"/>
        <v>0</v>
      </c>
      <c r="AH242" s="516">
        <f t="shared" si="121"/>
        <v>0</v>
      </c>
      <c r="AI242" s="516">
        <f t="shared" si="121"/>
        <v>0</v>
      </c>
      <c r="AJ242" s="516">
        <f t="shared" si="121"/>
        <v>0</v>
      </c>
      <c r="AK242" s="516">
        <f t="shared" si="121"/>
        <v>0</v>
      </c>
      <c r="AL242" s="516">
        <f t="shared" si="121"/>
        <v>0</v>
      </c>
      <c r="AM242" s="516">
        <f t="shared" si="121"/>
        <v>0</v>
      </c>
      <c r="AN242" s="516">
        <f t="shared" si="121"/>
        <v>0</v>
      </c>
      <c r="AO242" s="516">
        <f t="shared" si="121"/>
        <v>0</v>
      </c>
      <c r="AP242" s="501"/>
      <c r="AQ242" s="505"/>
      <c r="AR242" s="505"/>
      <c r="AS242" s="505"/>
      <c r="AT242" s="505"/>
      <c r="AU242" s="505"/>
      <c r="AV242" s="510"/>
      <c r="AW242" s="452"/>
    </row>
    <row r="243" spans="1:49" hidden="1">
      <c r="A243" s="143"/>
      <c r="B243" s="483"/>
      <c r="C243" s="496" t="s">
        <v>1341</v>
      </c>
      <c r="D243" s="516">
        <f t="shared" ref="D243:AO243" si="122">IF(ISERR(GETPIVOTDATA("[Measures].[Hours]",TRIMARANmonthly,"[Period].[Month]","[Period].[Month].&amp;["&amp;IF(MONTH(D$14)=1,YEAR(D$14)-1&amp;TEXT(12,"00"),YEAR(D$14)&amp;TEXT(MONTH(D$14)-1,"00"))&amp;"]","[Order].[Position Number]","[Order].[Position Number].&amp;["&amp;$B248&amp;"]")),0,GETPIVOTDATA("[Measures].[Hours]",TRIMARANmonthly,"[Period].[Month]","[Period].[Month].&amp;["&amp;IF(MONTH(D$14)=1,YEAR(D$14)-1&amp;TEXT(12,"00"),YEAR(D$14)&amp;TEXT(MONTH(D$14)-1,"00"))&amp;"]","[Order].[Position Number]","[Order].[Position Number].&amp;["&amp;$B248&amp;"]"))</f>
        <v>0</v>
      </c>
      <c r="E243" s="516">
        <f t="shared" si="122"/>
        <v>0</v>
      </c>
      <c r="F243" s="516">
        <f t="shared" si="122"/>
        <v>0</v>
      </c>
      <c r="G243" s="516">
        <f t="shared" si="122"/>
        <v>0</v>
      </c>
      <c r="H243" s="516">
        <f t="shared" si="122"/>
        <v>0</v>
      </c>
      <c r="I243" s="516">
        <f t="shared" si="122"/>
        <v>0</v>
      </c>
      <c r="J243" s="516">
        <f t="shared" si="122"/>
        <v>0</v>
      </c>
      <c r="K243" s="516">
        <f t="shared" si="122"/>
        <v>0</v>
      </c>
      <c r="L243" s="516">
        <f t="shared" si="122"/>
        <v>0</v>
      </c>
      <c r="M243" s="516">
        <f t="shared" si="122"/>
        <v>0</v>
      </c>
      <c r="N243" s="516">
        <f t="shared" si="122"/>
        <v>0</v>
      </c>
      <c r="O243" s="516">
        <f t="shared" si="122"/>
        <v>0</v>
      </c>
      <c r="P243" s="516">
        <f t="shared" si="122"/>
        <v>0</v>
      </c>
      <c r="Q243" s="516">
        <f t="shared" si="122"/>
        <v>0</v>
      </c>
      <c r="R243" s="516">
        <f t="shared" si="122"/>
        <v>0</v>
      </c>
      <c r="S243" s="516">
        <f t="shared" si="122"/>
        <v>0</v>
      </c>
      <c r="T243" s="516">
        <f t="shared" si="122"/>
        <v>0</v>
      </c>
      <c r="U243" s="516">
        <f t="shared" si="122"/>
        <v>0</v>
      </c>
      <c r="V243" s="516">
        <f t="shared" si="122"/>
        <v>0</v>
      </c>
      <c r="W243" s="516">
        <f t="shared" si="122"/>
        <v>0</v>
      </c>
      <c r="X243" s="516">
        <f t="shared" si="122"/>
        <v>0</v>
      </c>
      <c r="Y243" s="516">
        <f t="shared" si="122"/>
        <v>0</v>
      </c>
      <c r="Z243" s="516">
        <f t="shared" si="122"/>
        <v>0</v>
      </c>
      <c r="AA243" s="516">
        <f t="shared" si="122"/>
        <v>0</v>
      </c>
      <c r="AB243" s="516">
        <f t="shared" si="122"/>
        <v>0</v>
      </c>
      <c r="AC243" s="516">
        <f t="shared" si="122"/>
        <v>0</v>
      </c>
      <c r="AD243" s="516">
        <f t="shared" si="122"/>
        <v>0</v>
      </c>
      <c r="AE243" s="516">
        <f t="shared" si="122"/>
        <v>0</v>
      </c>
      <c r="AF243" s="516">
        <f t="shared" si="122"/>
        <v>0</v>
      </c>
      <c r="AG243" s="516">
        <f t="shared" si="122"/>
        <v>0</v>
      </c>
      <c r="AH243" s="516">
        <f t="shared" si="122"/>
        <v>0</v>
      </c>
      <c r="AI243" s="516">
        <f t="shared" si="122"/>
        <v>0</v>
      </c>
      <c r="AJ243" s="516">
        <f t="shared" si="122"/>
        <v>0</v>
      </c>
      <c r="AK243" s="516">
        <f t="shared" si="122"/>
        <v>0</v>
      </c>
      <c r="AL243" s="516">
        <f t="shared" si="122"/>
        <v>0</v>
      </c>
      <c r="AM243" s="516">
        <f t="shared" si="122"/>
        <v>0</v>
      </c>
      <c r="AN243" s="516">
        <f t="shared" si="122"/>
        <v>0</v>
      </c>
      <c r="AO243" s="516">
        <f t="shared" si="122"/>
        <v>0</v>
      </c>
      <c r="AP243" s="501"/>
      <c r="AQ243" s="505"/>
      <c r="AR243" s="505"/>
      <c r="AS243" s="505"/>
      <c r="AT243" s="505"/>
      <c r="AU243" s="505"/>
      <c r="AV243" s="510"/>
      <c r="AW243" s="452"/>
    </row>
    <row r="244" spans="1:49" hidden="1">
      <c r="A244" s="143"/>
      <c r="B244" s="483"/>
      <c r="C244" s="496" t="s">
        <v>1339</v>
      </c>
      <c r="D244" s="516">
        <f t="shared" ref="D244:AO244" si="123">IF(ISERR(GETPIVOTDATA("[Measures].[" &amp; MDContractCurrency &amp; "]",TRIMARANweekly,"[Order].[Position Number]","[Order].[Position Number].&amp;[" &amp; $B248 &amp; "]","[Period].[Week]","[Period].[Week].&amp;[" &amp; YEAR(D$14-7) &amp; TEXT(WEEKNUM(D$14-7),"00") &amp; "]")),0,GETPIVOTDATA("[Measures].[" &amp; MDContractCurrency &amp; "]",TRIMARANweekly,"[Order].[Position Number]","[Order].[Position Number].&amp;[" &amp; $B248 &amp; "]","[Period].[Week]","[Period].[Week].&amp;[" &amp; YEAR(D$14-7) &amp; TEXT(WEEKNUM(D$14-7),"00") &amp; "]"))</f>
        <v>0</v>
      </c>
      <c r="E244" s="516">
        <f t="shared" si="123"/>
        <v>0</v>
      </c>
      <c r="F244" s="516">
        <f t="shared" si="123"/>
        <v>0</v>
      </c>
      <c r="G244" s="516">
        <f t="shared" si="123"/>
        <v>0</v>
      </c>
      <c r="H244" s="516">
        <f t="shared" si="123"/>
        <v>0</v>
      </c>
      <c r="I244" s="516">
        <f t="shared" si="123"/>
        <v>0</v>
      </c>
      <c r="J244" s="516">
        <f t="shared" si="123"/>
        <v>0</v>
      </c>
      <c r="K244" s="516">
        <f t="shared" si="123"/>
        <v>0</v>
      </c>
      <c r="L244" s="516">
        <f t="shared" si="123"/>
        <v>0</v>
      </c>
      <c r="M244" s="516">
        <f t="shared" si="123"/>
        <v>0</v>
      </c>
      <c r="N244" s="516">
        <f t="shared" si="123"/>
        <v>0</v>
      </c>
      <c r="O244" s="516">
        <f t="shared" si="123"/>
        <v>0</v>
      </c>
      <c r="P244" s="516">
        <f t="shared" si="123"/>
        <v>0</v>
      </c>
      <c r="Q244" s="516">
        <f t="shared" si="123"/>
        <v>0</v>
      </c>
      <c r="R244" s="516">
        <f t="shared" si="123"/>
        <v>0</v>
      </c>
      <c r="S244" s="516">
        <f t="shared" si="123"/>
        <v>0</v>
      </c>
      <c r="T244" s="516">
        <f t="shared" si="123"/>
        <v>0</v>
      </c>
      <c r="U244" s="516">
        <f t="shared" si="123"/>
        <v>0</v>
      </c>
      <c r="V244" s="516">
        <f t="shared" si="123"/>
        <v>0</v>
      </c>
      <c r="W244" s="516">
        <f t="shared" si="123"/>
        <v>0</v>
      </c>
      <c r="X244" s="516">
        <f t="shared" si="123"/>
        <v>0</v>
      </c>
      <c r="Y244" s="516">
        <f t="shared" si="123"/>
        <v>0</v>
      </c>
      <c r="Z244" s="516">
        <f t="shared" si="123"/>
        <v>0</v>
      </c>
      <c r="AA244" s="516">
        <f t="shared" si="123"/>
        <v>0</v>
      </c>
      <c r="AB244" s="516">
        <f t="shared" si="123"/>
        <v>0</v>
      </c>
      <c r="AC244" s="516">
        <f t="shared" si="123"/>
        <v>0</v>
      </c>
      <c r="AD244" s="516">
        <f t="shared" si="123"/>
        <v>0</v>
      </c>
      <c r="AE244" s="516">
        <f t="shared" si="123"/>
        <v>0</v>
      </c>
      <c r="AF244" s="516">
        <f t="shared" si="123"/>
        <v>0</v>
      </c>
      <c r="AG244" s="516">
        <f t="shared" si="123"/>
        <v>0</v>
      </c>
      <c r="AH244" s="516">
        <f t="shared" si="123"/>
        <v>0</v>
      </c>
      <c r="AI244" s="516">
        <f t="shared" si="123"/>
        <v>0</v>
      </c>
      <c r="AJ244" s="516">
        <f t="shared" si="123"/>
        <v>0</v>
      </c>
      <c r="AK244" s="516">
        <f t="shared" si="123"/>
        <v>0</v>
      </c>
      <c r="AL244" s="516">
        <f t="shared" si="123"/>
        <v>0</v>
      </c>
      <c r="AM244" s="516">
        <f t="shared" si="123"/>
        <v>0</v>
      </c>
      <c r="AN244" s="516">
        <f t="shared" si="123"/>
        <v>0</v>
      </c>
      <c r="AO244" s="516">
        <f t="shared" si="123"/>
        <v>0</v>
      </c>
      <c r="AP244" s="501"/>
      <c r="AQ244" s="505"/>
      <c r="AR244" s="505"/>
      <c r="AS244" s="505"/>
      <c r="AT244" s="505"/>
      <c r="AU244" s="505"/>
      <c r="AV244" s="510"/>
      <c r="AW244" s="452"/>
    </row>
    <row r="245" spans="1:49" hidden="1">
      <c r="A245" s="143"/>
      <c r="B245" s="483"/>
      <c r="C245" s="496" t="s">
        <v>1340</v>
      </c>
      <c r="D245" s="516">
        <f t="shared" ref="D245:AO245" si="124">IF(ISERR(GETPIVOTDATA("[Measures].[" &amp; MDContractCurrency &amp; "]",TRIMARANweekly,"[Order].[Position Number]","[Order].[Position Number].&amp;[" &amp; $B248 &amp; "]","[Period].[Week]","[Period].[Week].&amp;[" &amp; YEAR(D$14-14) &amp; TEXT(WEEKNUM(D$14-14),"00") &amp; "]")),0,GETPIVOTDATA("[Measures].[" &amp; MDContractCurrency &amp; "]",TRIMARANweekly,"[Order].[Position Number]","[Order].[Position Number].&amp;[" &amp; $B248 &amp; "]","[Period].[Week]","[Period].[Week].&amp;[" &amp; YEAR(D$14-14) &amp; TEXT(WEEKNUM(D$14-14),"00") &amp; "]"))+D244</f>
        <v>0</v>
      </c>
      <c r="E245" s="516">
        <f t="shared" si="124"/>
        <v>0</v>
      </c>
      <c r="F245" s="516">
        <f t="shared" si="124"/>
        <v>0</v>
      </c>
      <c r="G245" s="516">
        <f t="shared" si="124"/>
        <v>0</v>
      </c>
      <c r="H245" s="516">
        <f t="shared" si="124"/>
        <v>0</v>
      </c>
      <c r="I245" s="516">
        <f t="shared" si="124"/>
        <v>0</v>
      </c>
      <c r="J245" s="516">
        <f t="shared" si="124"/>
        <v>0</v>
      </c>
      <c r="K245" s="516">
        <f t="shared" si="124"/>
        <v>0</v>
      </c>
      <c r="L245" s="516">
        <f t="shared" si="124"/>
        <v>0</v>
      </c>
      <c r="M245" s="516">
        <f t="shared" si="124"/>
        <v>0</v>
      </c>
      <c r="N245" s="516">
        <f t="shared" si="124"/>
        <v>0</v>
      </c>
      <c r="O245" s="516">
        <f t="shared" si="124"/>
        <v>0</v>
      </c>
      <c r="P245" s="516">
        <f t="shared" si="124"/>
        <v>0</v>
      </c>
      <c r="Q245" s="516">
        <f t="shared" si="124"/>
        <v>0</v>
      </c>
      <c r="R245" s="516">
        <f t="shared" si="124"/>
        <v>0</v>
      </c>
      <c r="S245" s="516">
        <f t="shared" si="124"/>
        <v>0</v>
      </c>
      <c r="T245" s="516">
        <f t="shared" si="124"/>
        <v>0</v>
      </c>
      <c r="U245" s="516">
        <f t="shared" si="124"/>
        <v>0</v>
      </c>
      <c r="V245" s="516">
        <f t="shared" si="124"/>
        <v>0</v>
      </c>
      <c r="W245" s="516">
        <f t="shared" si="124"/>
        <v>0</v>
      </c>
      <c r="X245" s="516">
        <f t="shared" si="124"/>
        <v>0</v>
      </c>
      <c r="Y245" s="516">
        <f t="shared" si="124"/>
        <v>0</v>
      </c>
      <c r="Z245" s="516">
        <f t="shared" si="124"/>
        <v>0</v>
      </c>
      <c r="AA245" s="516">
        <f t="shared" si="124"/>
        <v>0</v>
      </c>
      <c r="AB245" s="516">
        <f t="shared" si="124"/>
        <v>0</v>
      </c>
      <c r="AC245" s="516">
        <f t="shared" si="124"/>
        <v>0</v>
      </c>
      <c r="AD245" s="516">
        <f t="shared" si="124"/>
        <v>0</v>
      </c>
      <c r="AE245" s="516">
        <f t="shared" si="124"/>
        <v>0</v>
      </c>
      <c r="AF245" s="516">
        <f t="shared" si="124"/>
        <v>0</v>
      </c>
      <c r="AG245" s="516">
        <f t="shared" si="124"/>
        <v>0</v>
      </c>
      <c r="AH245" s="516">
        <f t="shared" si="124"/>
        <v>0</v>
      </c>
      <c r="AI245" s="516">
        <f t="shared" si="124"/>
        <v>0</v>
      </c>
      <c r="AJ245" s="516">
        <f t="shared" si="124"/>
        <v>0</v>
      </c>
      <c r="AK245" s="516">
        <f t="shared" si="124"/>
        <v>0</v>
      </c>
      <c r="AL245" s="516">
        <f t="shared" si="124"/>
        <v>0</v>
      </c>
      <c r="AM245" s="516">
        <f t="shared" si="124"/>
        <v>0</v>
      </c>
      <c r="AN245" s="516">
        <f t="shared" si="124"/>
        <v>0</v>
      </c>
      <c r="AO245" s="516">
        <f t="shared" si="124"/>
        <v>0</v>
      </c>
      <c r="AP245" s="501"/>
      <c r="AQ245" s="505"/>
      <c r="AR245" s="505"/>
      <c r="AS245" s="505"/>
      <c r="AT245" s="505"/>
      <c r="AU245" s="505"/>
      <c r="AV245" s="510"/>
      <c r="AW245" s="452"/>
    </row>
    <row r="246" spans="1:49" hidden="1">
      <c r="A246" s="141"/>
      <c r="B246" s="517"/>
      <c r="C246" s="496" t="s">
        <v>1341</v>
      </c>
      <c r="D246" s="516">
        <f t="shared" ref="D246:AO246" si="125">IF(ISERR(GETPIVOTDATA("[Measures].[" &amp; MDContractCurrency &amp; "]",TRIMARANmonthly,"[Period].[Month]","[Period].[Month].&amp;["&amp;IF(MONTH(D$14)=1,YEAR(D$14)-1&amp;TEXT(12,"00"),YEAR(D$14)&amp;TEXT(MONTH(D$14)-1,"00"))&amp;"]","[Order].[Position Number]","[Order].[Position Number].&amp;["&amp;$B248&amp;"]")),0,GETPIVOTDATA("[Measures].[" &amp; MDContractCurrency &amp; "]",TRIMARANmonthly,"[Period].[Month]","[Period].[Month].&amp;["&amp;IF(MONTH(D$14)=1,YEAR(D$14)-1&amp;TEXT(12,"00"),YEAR(D$14)&amp;TEXT(MONTH(D$14)-1,"00"))&amp;"]","[Order].[Position Number]","[Order].[Position Number].&amp;["&amp;$B248&amp;"]"))</f>
        <v>0</v>
      </c>
      <c r="E246" s="516">
        <f t="shared" si="125"/>
        <v>0</v>
      </c>
      <c r="F246" s="516">
        <f t="shared" si="125"/>
        <v>0</v>
      </c>
      <c r="G246" s="516">
        <f t="shared" si="125"/>
        <v>0</v>
      </c>
      <c r="H246" s="516">
        <f t="shared" si="125"/>
        <v>0</v>
      </c>
      <c r="I246" s="516">
        <f t="shared" si="125"/>
        <v>0</v>
      </c>
      <c r="J246" s="516">
        <f t="shared" si="125"/>
        <v>0</v>
      </c>
      <c r="K246" s="516">
        <f t="shared" si="125"/>
        <v>0</v>
      </c>
      <c r="L246" s="516">
        <f t="shared" si="125"/>
        <v>0</v>
      </c>
      <c r="M246" s="516">
        <f t="shared" si="125"/>
        <v>0</v>
      </c>
      <c r="N246" s="516">
        <f t="shared" si="125"/>
        <v>0</v>
      </c>
      <c r="O246" s="516">
        <f t="shared" si="125"/>
        <v>0</v>
      </c>
      <c r="P246" s="516">
        <f t="shared" si="125"/>
        <v>0</v>
      </c>
      <c r="Q246" s="516">
        <f t="shared" si="125"/>
        <v>0</v>
      </c>
      <c r="R246" s="516">
        <f t="shared" si="125"/>
        <v>0</v>
      </c>
      <c r="S246" s="516">
        <f t="shared" si="125"/>
        <v>0</v>
      </c>
      <c r="T246" s="516">
        <f t="shared" si="125"/>
        <v>0</v>
      </c>
      <c r="U246" s="516">
        <f t="shared" si="125"/>
        <v>0</v>
      </c>
      <c r="V246" s="516">
        <f t="shared" si="125"/>
        <v>0</v>
      </c>
      <c r="W246" s="516">
        <f t="shared" si="125"/>
        <v>0</v>
      </c>
      <c r="X246" s="516">
        <f t="shared" si="125"/>
        <v>0</v>
      </c>
      <c r="Y246" s="516">
        <f t="shared" si="125"/>
        <v>0</v>
      </c>
      <c r="Z246" s="516">
        <f t="shared" si="125"/>
        <v>0</v>
      </c>
      <c r="AA246" s="516">
        <f t="shared" si="125"/>
        <v>0</v>
      </c>
      <c r="AB246" s="516">
        <f t="shared" si="125"/>
        <v>0</v>
      </c>
      <c r="AC246" s="516">
        <f t="shared" si="125"/>
        <v>0</v>
      </c>
      <c r="AD246" s="516">
        <f t="shared" si="125"/>
        <v>0</v>
      </c>
      <c r="AE246" s="516">
        <f t="shared" si="125"/>
        <v>0</v>
      </c>
      <c r="AF246" s="516">
        <f t="shared" si="125"/>
        <v>0</v>
      </c>
      <c r="AG246" s="516">
        <f t="shared" si="125"/>
        <v>0</v>
      </c>
      <c r="AH246" s="516">
        <f t="shared" si="125"/>
        <v>0</v>
      </c>
      <c r="AI246" s="516">
        <f t="shared" si="125"/>
        <v>0</v>
      </c>
      <c r="AJ246" s="516">
        <f t="shared" si="125"/>
        <v>0</v>
      </c>
      <c r="AK246" s="516">
        <f t="shared" si="125"/>
        <v>0</v>
      </c>
      <c r="AL246" s="516">
        <f t="shared" si="125"/>
        <v>0</v>
      </c>
      <c r="AM246" s="516">
        <f t="shared" si="125"/>
        <v>0</v>
      </c>
      <c r="AN246" s="516">
        <f t="shared" si="125"/>
        <v>0</v>
      </c>
      <c r="AO246" s="516">
        <f t="shared" si="125"/>
        <v>0</v>
      </c>
      <c r="AP246" s="501"/>
      <c r="AQ246" s="505"/>
      <c r="AR246" s="505"/>
      <c r="AS246" s="505"/>
      <c r="AT246" s="505"/>
      <c r="AU246" s="505"/>
      <c r="AV246" s="510"/>
      <c r="AW246" s="452"/>
    </row>
    <row r="247" spans="1:49">
      <c r="A247" s="477"/>
      <c r="B247" s="483"/>
      <c r="C247" s="496"/>
      <c r="D247" s="496"/>
      <c r="E247" s="496"/>
      <c r="F247" s="496"/>
      <c r="G247" s="496"/>
      <c r="H247" s="496"/>
      <c r="I247" s="496"/>
      <c r="J247" s="496"/>
      <c r="K247" s="496"/>
      <c r="L247" s="496"/>
      <c r="M247" s="496"/>
      <c r="N247" s="496"/>
      <c r="O247" s="496"/>
      <c r="P247" s="496"/>
      <c r="Q247" s="496"/>
      <c r="R247" s="496"/>
      <c r="S247" s="496"/>
      <c r="T247" s="496"/>
      <c r="U247" s="496"/>
      <c r="V247" s="496"/>
      <c r="W247" s="496"/>
      <c r="X247" s="496"/>
      <c r="Y247" s="496"/>
      <c r="Z247" s="496"/>
      <c r="AA247" s="496"/>
      <c r="AB247" s="496"/>
      <c r="AC247" s="496"/>
      <c r="AD247" s="496"/>
      <c r="AE247" s="496"/>
      <c r="AF247" s="496"/>
      <c r="AG247" s="496"/>
      <c r="AH247" s="496"/>
      <c r="AI247" s="496"/>
      <c r="AJ247" s="496"/>
      <c r="AK247" s="496"/>
      <c r="AL247" s="496"/>
      <c r="AM247" s="496"/>
      <c r="AN247" s="496"/>
      <c r="AO247" s="496"/>
      <c r="AP247" s="501"/>
      <c r="AQ247" s="505"/>
      <c r="AR247" s="505"/>
      <c r="AS247" s="505"/>
      <c r="AT247" s="505"/>
      <c r="AU247" s="505"/>
      <c r="AV247" s="510"/>
      <c r="AW247" s="452"/>
    </row>
    <row r="248" spans="1:49">
      <c r="A248" s="1183" t="str">
        <f>'Delivery Calculation'!B33 &amp; CHAR(10) &amp; 'Delivery Calculation'!P33 &amp; " - " &amp; 'Delivery Calculation'!Q33</f>
        <v xml:space="preserve">0
 - </v>
      </c>
      <c r="B248" s="1180">
        <f>'Delivery Calculation'!A33</f>
        <v>0</v>
      </c>
      <c r="C248" s="499" t="s">
        <v>602</v>
      </c>
      <c r="D248" s="518">
        <f>'Delivery Calculation'!M214</f>
        <v>0</v>
      </c>
      <c r="E248" s="518">
        <f>'Delivery Calculation'!N214</f>
        <v>0</v>
      </c>
      <c r="F248" s="518">
        <f>'Delivery Calculation'!O214</f>
        <v>0</v>
      </c>
      <c r="G248" s="518">
        <f>'Delivery Calculation'!P214</f>
        <v>0</v>
      </c>
      <c r="H248" s="518">
        <f>'Delivery Calculation'!Q214</f>
        <v>0</v>
      </c>
      <c r="I248" s="518">
        <f>'Delivery Calculation'!R214</f>
        <v>0</v>
      </c>
      <c r="J248" s="518">
        <f>'Delivery Calculation'!S214</f>
        <v>0</v>
      </c>
      <c r="K248" s="518">
        <f>'Delivery Calculation'!T214</f>
        <v>0</v>
      </c>
      <c r="L248" s="518">
        <f>'Delivery Calculation'!U214</f>
        <v>0</v>
      </c>
      <c r="M248" s="518">
        <f>'Delivery Calculation'!V214</f>
        <v>0</v>
      </c>
      <c r="N248" s="518">
        <f>'Delivery Calculation'!W214</f>
        <v>0</v>
      </c>
      <c r="O248" s="518">
        <f>'Delivery Calculation'!X214</f>
        <v>0</v>
      </c>
      <c r="P248" s="518">
        <f>'Delivery Calculation'!Y214</f>
        <v>0</v>
      </c>
      <c r="Q248" s="518">
        <f>'Delivery Calculation'!Z214</f>
        <v>0</v>
      </c>
      <c r="R248" s="518">
        <f>'Delivery Calculation'!AA214</f>
        <v>0</v>
      </c>
      <c r="S248" s="518">
        <f>'Delivery Calculation'!AB214</f>
        <v>0</v>
      </c>
      <c r="T248" s="518">
        <f>'Delivery Calculation'!AC214</f>
        <v>0</v>
      </c>
      <c r="U248" s="518">
        <f>'Delivery Calculation'!AD214</f>
        <v>0</v>
      </c>
      <c r="V248" s="518">
        <f>'Delivery Calculation'!AE214</f>
        <v>0</v>
      </c>
      <c r="W248" s="518">
        <f>'Delivery Calculation'!AF214</f>
        <v>0</v>
      </c>
      <c r="X248" s="518">
        <f>'Delivery Calculation'!AG214</f>
        <v>0</v>
      </c>
      <c r="Y248" s="518">
        <f>'Delivery Calculation'!AH214</f>
        <v>0</v>
      </c>
      <c r="Z248" s="518">
        <f>'Delivery Calculation'!AI214</f>
        <v>0</v>
      </c>
      <c r="AA248" s="518">
        <f>'Delivery Calculation'!AJ214</f>
        <v>0</v>
      </c>
      <c r="AB248" s="518">
        <f>'Delivery Calculation'!AK214</f>
        <v>0</v>
      </c>
      <c r="AC248" s="518">
        <f>'Delivery Calculation'!AL214</f>
        <v>0</v>
      </c>
      <c r="AD248" s="518">
        <f>'Delivery Calculation'!AM214</f>
        <v>0</v>
      </c>
      <c r="AE248" s="518">
        <f>'Delivery Calculation'!AN214</f>
        <v>0</v>
      </c>
      <c r="AF248" s="518">
        <f>'Delivery Calculation'!AO214</f>
        <v>0</v>
      </c>
      <c r="AG248" s="518">
        <f>'Delivery Calculation'!AP214</f>
        <v>0</v>
      </c>
      <c r="AH248" s="518">
        <f>'Delivery Calculation'!AQ214</f>
        <v>0</v>
      </c>
      <c r="AI248" s="518">
        <f>'Delivery Calculation'!AR214</f>
        <v>0</v>
      </c>
      <c r="AJ248" s="518">
        <f>'Delivery Calculation'!AS214</f>
        <v>0</v>
      </c>
      <c r="AK248" s="518">
        <f>'Delivery Calculation'!AT214</f>
        <v>0</v>
      </c>
      <c r="AL248" s="518">
        <f>'Delivery Calculation'!AU214</f>
        <v>0</v>
      </c>
      <c r="AM248" s="518">
        <f>'Delivery Calculation'!AV214</f>
        <v>0</v>
      </c>
      <c r="AN248" s="518">
        <f>'Delivery Calculation'!AW214</f>
        <v>0</v>
      </c>
      <c r="AO248" s="518">
        <f>'Delivery Calculation'!AX214</f>
        <v>0</v>
      </c>
      <c r="AP248" s="501"/>
      <c r="AQ248" s="519">
        <f>IF(COUNTIF($D$15:$AO$15, TMDPeriodValueTypeReported)&gt;0, INDEX(D248:AO248,1,COUNTIF(D$15:$AO$15,TMDPeriodValueTypeReported)),0)</f>
        <v>0</v>
      </c>
      <c r="AR248" s="519"/>
      <c r="AS248" s="520">
        <f>'Delivery Calculation'!N33</f>
        <v>0</v>
      </c>
      <c r="AT248" s="519">
        <f>AQ248*'Delivery Calculation'!N33</f>
        <v>0</v>
      </c>
      <c r="AU248" s="521" t="s">
        <v>522</v>
      </c>
      <c r="AV248" s="510"/>
      <c r="AW248" s="452"/>
    </row>
    <row r="249" spans="1:49">
      <c r="A249" s="1184"/>
      <c r="B249" s="1181"/>
      <c r="C249" s="499" t="s">
        <v>603</v>
      </c>
      <c r="D249" s="509">
        <f>IF(D$15=TMDPeriodValueTypeForecast,IF('Delivery Calculation'!$H$33=TMDAllocationTandM,0,'Delivery Calculation'!M143),IF(MDReportingPeriod=TMDMonthly,D243,IF(MDReportingPeriod=TMDTwoweekly,D242,D241)))</f>
        <v>0</v>
      </c>
      <c r="E249" s="509">
        <f>IF(E$15=TMDPeriodValueTypeForecast,IF('Delivery Calculation'!$H$33=TMDAllocationTandM,0,'Delivery Calculation'!N143),IF(MDReportingPeriod=TMDMonthly,E243,IF(MDReportingPeriod=TMDTwoweekly,E242,E241)))</f>
        <v>0</v>
      </c>
      <c r="F249" s="509">
        <f>IF(F$15=TMDPeriodValueTypeForecast,IF('Delivery Calculation'!$H$33=TMDAllocationTandM,0,'Delivery Calculation'!O143),IF(MDReportingPeriod=TMDMonthly,F243,IF(MDReportingPeriod=TMDTwoweekly,F242,F241)))</f>
        <v>0</v>
      </c>
      <c r="G249" s="509">
        <f>IF(G$15=TMDPeriodValueTypeForecast,IF('Delivery Calculation'!$H$33=TMDAllocationTandM,0,'Delivery Calculation'!P143),IF(MDReportingPeriod=TMDMonthly,G243,IF(MDReportingPeriod=TMDTwoweekly,G242,G241)))</f>
        <v>0</v>
      </c>
      <c r="H249" s="509">
        <f>IF(H$15=TMDPeriodValueTypeForecast,IF('Delivery Calculation'!$H$33=TMDAllocationTandM,0,'Delivery Calculation'!Q143),IF(MDReportingPeriod=TMDMonthly,H243,IF(MDReportingPeriod=TMDTwoweekly,H242,H241)))</f>
        <v>0</v>
      </c>
      <c r="I249" s="509">
        <f>IF(I$15=TMDPeriodValueTypeForecast,IF('Delivery Calculation'!$H$33=TMDAllocationTandM,0,'Delivery Calculation'!R143),IF(MDReportingPeriod=TMDMonthly,I243,IF(MDReportingPeriod=TMDTwoweekly,I242,I241)))</f>
        <v>0</v>
      </c>
      <c r="J249" s="509">
        <f>IF(J$15=TMDPeriodValueTypeForecast,IF('Delivery Calculation'!$H$33=TMDAllocationTandM,0,'Delivery Calculation'!S143),IF(MDReportingPeriod=TMDMonthly,J243,IF(MDReportingPeriod=TMDTwoweekly,J242,J241)))</f>
        <v>0</v>
      </c>
      <c r="K249" s="509">
        <f>IF(K$15=TMDPeriodValueTypeForecast,IF('Delivery Calculation'!$H$33=TMDAllocationTandM,0,'Delivery Calculation'!T143),IF(MDReportingPeriod=TMDMonthly,K243,IF(MDReportingPeriod=TMDTwoweekly,K242,K241)))</f>
        <v>0</v>
      </c>
      <c r="L249" s="509">
        <f>IF(L$15=TMDPeriodValueTypeForecast,IF('Delivery Calculation'!$H$33=TMDAllocationTandM,0,'Delivery Calculation'!U143),IF(MDReportingPeriod=TMDMonthly,L243,IF(MDReportingPeriod=TMDTwoweekly,L242,L241)))</f>
        <v>0</v>
      </c>
      <c r="M249" s="509">
        <f>IF(M$15=TMDPeriodValueTypeForecast,IF('Delivery Calculation'!$H$33=TMDAllocationTandM,0,'Delivery Calculation'!V143),IF(MDReportingPeriod=TMDMonthly,M243,IF(MDReportingPeriod=TMDTwoweekly,M242,M241)))</f>
        <v>0</v>
      </c>
      <c r="N249" s="509">
        <f>IF(N$15=TMDPeriodValueTypeForecast,IF('Delivery Calculation'!$H$33=TMDAllocationTandM,0,'Delivery Calculation'!W143),IF(MDReportingPeriod=TMDMonthly,N243,IF(MDReportingPeriod=TMDTwoweekly,N242,N241)))</f>
        <v>0</v>
      </c>
      <c r="O249" s="509">
        <f>IF(O$15=TMDPeriodValueTypeForecast,IF('Delivery Calculation'!$H$33=TMDAllocationTandM,0,'Delivery Calculation'!X143),IF(MDReportingPeriod=TMDMonthly,O243,IF(MDReportingPeriod=TMDTwoweekly,O242,O241)))</f>
        <v>0</v>
      </c>
      <c r="P249" s="509">
        <f>IF(P$15=TMDPeriodValueTypeForecast,IF('Delivery Calculation'!$H$33=TMDAllocationTandM,0,'Delivery Calculation'!Y143),IF(MDReportingPeriod=TMDMonthly,P243,IF(MDReportingPeriod=TMDTwoweekly,P242,P241)))</f>
        <v>0</v>
      </c>
      <c r="Q249" s="509">
        <f>IF(Q$15=TMDPeriodValueTypeForecast,IF('Delivery Calculation'!$H$33=TMDAllocationTandM,0,'Delivery Calculation'!Z143),IF(MDReportingPeriod=TMDMonthly,Q243,IF(MDReportingPeriod=TMDTwoweekly,Q242,Q241)))</f>
        <v>0</v>
      </c>
      <c r="R249" s="509">
        <f>IF(R$15=TMDPeriodValueTypeForecast,IF('Delivery Calculation'!$H$33=TMDAllocationTandM,0,'Delivery Calculation'!AA143),IF(MDReportingPeriod=TMDMonthly,R243,IF(MDReportingPeriod=TMDTwoweekly,R242,R241)))</f>
        <v>0</v>
      </c>
      <c r="S249" s="509">
        <f>IF(S$15=TMDPeriodValueTypeForecast,IF('Delivery Calculation'!$H$33=TMDAllocationTandM,0,'Delivery Calculation'!AB143),IF(MDReportingPeriod=TMDMonthly,S243,IF(MDReportingPeriod=TMDTwoweekly,S242,S241)))</f>
        <v>0</v>
      </c>
      <c r="T249" s="509">
        <f>IF(T$15=TMDPeriodValueTypeForecast,IF('Delivery Calculation'!$H$33=TMDAllocationTandM,0,'Delivery Calculation'!AC143),IF(MDReportingPeriod=TMDMonthly,T243,IF(MDReportingPeriod=TMDTwoweekly,T242,T241)))</f>
        <v>0</v>
      </c>
      <c r="U249" s="509">
        <f>IF(U$15=TMDPeriodValueTypeForecast,IF('Delivery Calculation'!$H$33=TMDAllocationTandM,0,'Delivery Calculation'!AD143),IF(MDReportingPeriod=TMDMonthly,U243,IF(MDReportingPeriod=TMDTwoweekly,U242,U241)))</f>
        <v>0</v>
      </c>
      <c r="V249" s="509">
        <f>IF(V$15=TMDPeriodValueTypeForecast,IF('Delivery Calculation'!$H$33=TMDAllocationTandM,0,'Delivery Calculation'!AE143),IF(MDReportingPeriod=TMDMonthly,V243,IF(MDReportingPeriod=TMDTwoweekly,V242,V241)))</f>
        <v>0</v>
      </c>
      <c r="W249" s="509">
        <f>IF(W$15=TMDPeriodValueTypeForecast,IF('Delivery Calculation'!$H$33=TMDAllocationTandM,0,'Delivery Calculation'!AF143),IF(MDReportingPeriod=TMDMonthly,W243,IF(MDReportingPeriod=TMDTwoweekly,W242,W241)))</f>
        <v>0</v>
      </c>
      <c r="X249" s="509">
        <f>IF(X$15=TMDPeriodValueTypeForecast,IF('Delivery Calculation'!$H$33=TMDAllocationTandM,0,'Delivery Calculation'!AG143),IF(MDReportingPeriod=TMDMonthly,X243,IF(MDReportingPeriod=TMDTwoweekly,X242,X241)))</f>
        <v>0</v>
      </c>
      <c r="Y249" s="509">
        <f>IF(Y$15=TMDPeriodValueTypeForecast,IF('Delivery Calculation'!$H$33=TMDAllocationTandM,0,'Delivery Calculation'!AH143),IF(MDReportingPeriod=TMDMonthly,Y243,IF(MDReportingPeriod=TMDTwoweekly,Y242,Y241)))</f>
        <v>0</v>
      </c>
      <c r="Z249" s="509">
        <f>IF(Z$15=TMDPeriodValueTypeForecast,IF('Delivery Calculation'!$H$33=TMDAllocationTandM,0,'Delivery Calculation'!AI143),IF(MDReportingPeriod=TMDMonthly,Z243,IF(MDReportingPeriod=TMDTwoweekly,Z242,Z241)))</f>
        <v>0</v>
      </c>
      <c r="AA249" s="509">
        <f>IF(AA$15=TMDPeriodValueTypeForecast,IF('Delivery Calculation'!$H$33=TMDAllocationTandM,0,'Delivery Calculation'!AJ143),IF(MDReportingPeriod=TMDMonthly,AA243,IF(MDReportingPeriod=TMDTwoweekly,AA242,AA241)))</f>
        <v>0</v>
      </c>
      <c r="AB249" s="509">
        <f>IF(AB$15=TMDPeriodValueTypeForecast,IF('Delivery Calculation'!$H$33=TMDAllocationTandM,0,'Delivery Calculation'!AK143),IF(MDReportingPeriod=TMDMonthly,AB243,IF(MDReportingPeriod=TMDTwoweekly,AB242,AB241)))</f>
        <v>0</v>
      </c>
      <c r="AC249" s="509">
        <f>IF(AC$15=TMDPeriodValueTypeForecast,IF('Delivery Calculation'!$H$33=TMDAllocationTandM,0,'Delivery Calculation'!AL143),IF(MDReportingPeriod=TMDMonthly,AC243,IF(MDReportingPeriod=TMDTwoweekly,AC242,AC241)))</f>
        <v>0</v>
      </c>
      <c r="AD249" s="509">
        <f>IF(AD$15=TMDPeriodValueTypeForecast,IF('Delivery Calculation'!$H$33=TMDAllocationTandM,0,'Delivery Calculation'!AM143),IF(MDReportingPeriod=TMDMonthly,AD243,IF(MDReportingPeriod=TMDTwoweekly,AD242,AD241)))</f>
        <v>0</v>
      </c>
      <c r="AE249" s="509">
        <f>IF(AE$15=TMDPeriodValueTypeForecast,IF('Delivery Calculation'!$H$33=TMDAllocationTandM,0,'Delivery Calculation'!AN143),IF(MDReportingPeriod=TMDMonthly,AE243,IF(MDReportingPeriod=TMDTwoweekly,AE242,AE241)))</f>
        <v>0</v>
      </c>
      <c r="AF249" s="509">
        <f>IF(AF$15=TMDPeriodValueTypeForecast,IF('Delivery Calculation'!$H$33=TMDAllocationTandM,0,'Delivery Calculation'!AO143),IF(MDReportingPeriod=TMDMonthly,AF243,IF(MDReportingPeriod=TMDTwoweekly,AF242,AF241)))</f>
        <v>0</v>
      </c>
      <c r="AG249" s="509">
        <f>IF(AG$15=TMDPeriodValueTypeForecast,IF('Delivery Calculation'!$H$33=TMDAllocationTandM,0,'Delivery Calculation'!AP143),IF(MDReportingPeriod=TMDMonthly,AG243,IF(MDReportingPeriod=TMDTwoweekly,AG242,AG241)))</f>
        <v>0</v>
      </c>
      <c r="AH249" s="509">
        <f>IF(AH$15=TMDPeriodValueTypeForecast,IF('Delivery Calculation'!$H$33=TMDAllocationTandM,0,'Delivery Calculation'!AQ143),IF(MDReportingPeriod=TMDMonthly,AH243,IF(MDReportingPeriod=TMDTwoweekly,AH242,AH241)))</f>
        <v>0</v>
      </c>
      <c r="AI249" s="509">
        <f>IF(AI$15=TMDPeriodValueTypeForecast,IF('Delivery Calculation'!$H$33=TMDAllocationTandM,0,'Delivery Calculation'!AR143),IF(MDReportingPeriod=TMDMonthly,AI243,IF(MDReportingPeriod=TMDTwoweekly,AI242,AI241)))</f>
        <v>0</v>
      </c>
      <c r="AJ249" s="509">
        <f>IF(AJ$15=TMDPeriodValueTypeForecast,IF('Delivery Calculation'!$H$33=TMDAllocationTandM,0,'Delivery Calculation'!AS143),IF(MDReportingPeriod=TMDMonthly,AJ243,IF(MDReportingPeriod=TMDTwoweekly,AJ242,AJ241)))</f>
        <v>0</v>
      </c>
      <c r="AK249" s="509">
        <f>IF(AK$15=TMDPeriodValueTypeForecast,IF('Delivery Calculation'!$H$33=TMDAllocationTandM,0,'Delivery Calculation'!AT143),IF(MDReportingPeriod=TMDMonthly,AK243,IF(MDReportingPeriod=TMDTwoweekly,AK242,AK241)))</f>
        <v>0</v>
      </c>
      <c r="AL249" s="509">
        <f>IF(AL$15=TMDPeriodValueTypeForecast,IF('Delivery Calculation'!$H$33=TMDAllocationTandM,0,'Delivery Calculation'!AU143),IF(MDReportingPeriod=TMDMonthly,AL243,IF(MDReportingPeriod=TMDTwoweekly,AL242,AL241)))</f>
        <v>0</v>
      </c>
      <c r="AM249" s="509">
        <f>IF(AM$15=TMDPeriodValueTypeForecast,IF('Delivery Calculation'!$H$33=TMDAllocationTandM,0,'Delivery Calculation'!AV143),IF(MDReportingPeriod=TMDMonthly,AM243,IF(MDReportingPeriod=TMDTwoweekly,AM242,AM241)))</f>
        <v>0</v>
      </c>
      <c r="AN249" s="509">
        <f>IF(AN$15=TMDPeriodValueTypeForecast,IF('Delivery Calculation'!$H$33=TMDAllocationTandM,0,'Delivery Calculation'!AW143),IF(MDReportingPeriod=TMDMonthly,AN243,IF(MDReportingPeriod=TMDTwoweekly,AN242,AN241)))</f>
        <v>0</v>
      </c>
      <c r="AO249" s="509">
        <f>IF(AO$15=TMDPeriodValueTypeForecast,IF('Delivery Calculation'!$H$33=TMDAllocationTandM,0,'Delivery Calculation'!AX143),IF(MDReportingPeriod=TMDMonthly,AO243,IF(MDReportingPeriod=TMDTwoweekly,AO242,AO241)))</f>
        <v>0</v>
      </c>
      <c r="AP249" s="501"/>
      <c r="AQ249" s="505">
        <f>SUMIF($D$15:$AO$15,TMDPeriodValueTypeReported,D249:AO249)</f>
        <v>0</v>
      </c>
      <c r="AR249" s="505">
        <f>SUMIF($D$15:$AO$15,TMDPeriodValueTypeForecast,D249:AO249)</f>
        <v>0</v>
      </c>
      <c r="AS249" s="523">
        <f>'Delivery Calculation'!J33</f>
        <v>0</v>
      </c>
      <c r="AT249" s="505">
        <f>AS249-(AQ249+AR249)</f>
        <v>0</v>
      </c>
      <c r="AU249" s="505"/>
      <c r="AV249" s="510"/>
      <c r="AW249" s="452"/>
    </row>
    <row r="250" spans="1:49">
      <c r="A250" s="1184"/>
      <c r="B250" s="1181"/>
      <c r="C250" s="499" t="s">
        <v>604</v>
      </c>
      <c r="D250" s="509">
        <f>IF(D$15=TMDPeriodValueTypeForecast,IF('Delivery Calculation'!$H$33=TMDAllocationTandM,0,'Delivery Calculation'!M107),IF(MDReportingPeriod=TMDMonthly,D246,IF(MDReportingPeriod=TMDTwoweekly,D245,D244)))</f>
        <v>0</v>
      </c>
      <c r="E250" s="509">
        <f>IF(E$15=TMDPeriodValueTypeForecast,IF('Delivery Calculation'!$H$33=TMDAllocationTandM,0,'Delivery Calculation'!N107),IF(MDReportingPeriod=TMDMonthly,E246,IF(MDReportingPeriod=TMDTwoweekly,E245,E244)))</f>
        <v>0</v>
      </c>
      <c r="F250" s="509">
        <f>IF(F$15=TMDPeriodValueTypeForecast,IF('Delivery Calculation'!$H$33=TMDAllocationTandM,0,'Delivery Calculation'!O107),IF(MDReportingPeriod=TMDMonthly,F246,IF(MDReportingPeriod=TMDTwoweekly,F245,F244)))</f>
        <v>0</v>
      </c>
      <c r="G250" s="509">
        <f>IF(G$15=TMDPeriodValueTypeForecast,IF('Delivery Calculation'!$H$33=TMDAllocationTandM,0,'Delivery Calculation'!P107),IF(MDReportingPeriod=TMDMonthly,G246,IF(MDReportingPeriod=TMDTwoweekly,G245,G244)))</f>
        <v>0</v>
      </c>
      <c r="H250" s="509">
        <f>IF(H$15=TMDPeriodValueTypeForecast,IF('Delivery Calculation'!$H$33=TMDAllocationTandM,0,'Delivery Calculation'!Q107),IF(MDReportingPeriod=TMDMonthly,H246,IF(MDReportingPeriod=TMDTwoweekly,H245,H244)))</f>
        <v>0</v>
      </c>
      <c r="I250" s="509">
        <f>IF(I$15=TMDPeriodValueTypeForecast,IF('Delivery Calculation'!$H$33=TMDAllocationTandM,0,'Delivery Calculation'!R107),IF(MDReportingPeriod=TMDMonthly,I246,IF(MDReportingPeriod=TMDTwoweekly,I245,I244)))</f>
        <v>0</v>
      </c>
      <c r="J250" s="509">
        <f>IF(J$15=TMDPeriodValueTypeForecast,IF('Delivery Calculation'!$H$33=TMDAllocationTandM,0,'Delivery Calculation'!S107),IF(MDReportingPeriod=TMDMonthly,J246,IF(MDReportingPeriod=TMDTwoweekly,J245,J244)))</f>
        <v>0</v>
      </c>
      <c r="K250" s="509">
        <f>IF(K$15=TMDPeriodValueTypeForecast,IF('Delivery Calculation'!$H$33=TMDAllocationTandM,0,'Delivery Calculation'!T107),IF(MDReportingPeriod=TMDMonthly,K246,IF(MDReportingPeriod=TMDTwoweekly,K245,K244)))</f>
        <v>0</v>
      </c>
      <c r="L250" s="509">
        <f>IF(L$15=TMDPeriodValueTypeForecast,IF('Delivery Calculation'!$H$33=TMDAllocationTandM,0,'Delivery Calculation'!U107),IF(MDReportingPeriod=TMDMonthly,L246,IF(MDReportingPeriod=TMDTwoweekly,L245,L244)))</f>
        <v>0</v>
      </c>
      <c r="M250" s="509">
        <f>IF(M$15=TMDPeriodValueTypeForecast,IF('Delivery Calculation'!$H$33=TMDAllocationTandM,0,'Delivery Calculation'!V107),IF(MDReportingPeriod=TMDMonthly,M246,IF(MDReportingPeriod=TMDTwoweekly,M245,M244)))</f>
        <v>0</v>
      </c>
      <c r="N250" s="509">
        <f>IF(N$15=TMDPeriodValueTypeForecast,IF('Delivery Calculation'!$H$33=TMDAllocationTandM,0,'Delivery Calculation'!W107),IF(MDReportingPeriod=TMDMonthly,N246,IF(MDReportingPeriod=TMDTwoweekly,N245,N244)))</f>
        <v>0</v>
      </c>
      <c r="O250" s="509">
        <f>IF(O$15=TMDPeriodValueTypeForecast,IF('Delivery Calculation'!$H$33=TMDAllocationTandM,0,'Delivery Calculation'!X107),IF(MDReportingPeriod=TMDMonthly,O246,IF(MDReportingPeriod=TMDTwoweekly,O245,O244)))</f>
        <v>0</v>
      </c>
      <c r="P250" s="509">
        <f>IF(P$15=TMDPeriodValueTypeForecast,IF('Delivery Calculation'!$H$33=TMDAllocationTandM,0,'Delivery Calculation'!Y107),IF(MDReportingPeriod=TMDMonthly,P246,IF(MDReportingPeriod=TMDTwoweekly,P245,P244)))</f>
        <v>0</v>
      </c>
      <c r="Q250" s="509">
        <f>IF(Q$15=TMDPeriodValueTypeForecast,IF('Delivery Calculation'!$H$33=TMDAllocationTandM,0,'Delivery Calculation'!Z107),IF(MDReportingPeriod=TMDMonthly,Q246,IF(MDReportingPeriod=TMDTwoweekly,Q245,Q244)))</f>
        <v>0</v>
      </c>
      <c r="R250" s="509">
        <f>IF(R$15=TMDPeriodValueTypeForecast,IF('Delivery Calculation'!$H$33=TMDAllocationTandM,0,'Delivery Calculation'!AA107),IF(MDReportingPeriod=TMDMonthly,R246,IF(MDReportingPeriod=TMDTwoweekly,R245,R244)))</f>
        <v>0</v>
      </c>
      <c r="S250" s="509">
        <f>IF(S$15=TMDPeriodValueTypeForecast,IF('Delivery Calculation'!$H$33=TMDAllocationTandM,0,'Delivery Calculation'!AB107),IF(MDReportingPeriod=TMDMonthly,S246,IF(MDReportingPeriod=TMDTwoweekly,S245,S244)))</f>
        <v>0</v>
      </c>
      <c r="T250" s="509">
        <f>IF(T$15=TMDPeriodValueTypeForecast,IF('Delivery Calculation'!$H$33=TMDAllocationTandM,0,'Delivery Calculation'!AC107),IF(MDReportingPeriod=TMDMonthly,T246,IF(MDReportingPeriod=TMDTwoweekly,T245,T244)))</f>
        <v>0</v>
      </c>
      <c r="U250" s="509">
        <f>IF(U$15=TMDPeriodValueTypeForecast,IF('Delivery Calculation'!$H$33=TMDAllocationTandM,0,'Delivery Calculation'!AD107),IF(MDReportingPeriod=TMDMonthly,U246,IF(MDReportingPeriod=TMDTwoweekly,U245,U244)))</f>
        <v>0</v>
      </c>
      <c r="V250" s="509">
        <f>IF(V$15=TMDPeriodValueTypeForecast,IF('Delivery Calculation'!$H$33=TMDAllocationTandM,0,'Delivery Calculation'!AE107),IF(MDReportingPeriod=TMDMonthly,V246,IF(MDReportingPeriod=TMDTwoweekly,V245,V244)))</f>
        <v>0</v>
      </c>
      <c r="W250" s="509">
        <f>IF(W$15=TMDPeriodValueTypeForecast,IF('Delivery Calculation'!$H$33=TMDAllocationTandM,0,'Delivery Calculation'!AF107),IF(MDReportingPeriod=TMDMonthly,W246,IF(MDReportingPeriod=TMDTwoweekly,W245,W244)))</f>
        <v>0</v>
      </c>
      <c r="X250" s="509">
        <f>IF(X$15=TMDPeriodValueTypeForecast,IF('Delivery Calculation'!$H$33=TMDAllocationTandM,0,'Delivery Calculation'!AG107),IF(MDReportingPeriod=TMDMonthly,X246,IF(MDReportingPeriod=TMDTwoweekly,X245,X244)))</f>
        <v>0</v>
      </c>
      <c r="Y250" s="509">
        <f>IF(Y$15=TMDPeriodValueTypeForecast,IF('Delivery Calculation'!$H$33=TMDAllocationTandM,0,'Delivery Calculation'!AH107),IF(MDReportingPeriod=TMDMonthly,Y246,IF(MDReportingPeriod=TMDTwoweekly,Y245,Y244)))</f>
        <v>0</v>
      </c>
      <c r="Z250" s="509">
        <f>IF(Z$15=TMDPeriodValueTypeForecast,IF('Delivery Calculation'!$H$33=TMDAllocationTandM,0,'Delivery Calculation'!AI107),IF(MDReportingPeriod=TMDMonthly,Z246,IF(MDReportingPeriod=TMDTwoweekly,Z245,Z244)))</f>
        <v>0</v>
      </c>
      <c r="AA250" s="509">
        <f>IF(AA$15=TMDPeriodValueTypeForecast,IF('Delivery Calculation'!$H$33=TMDAllocationTandM,0,'Delivery Calculation'!AJ107),IF(MDReportingPeriod=TMDMonthly,AA246,IF(MDReportingPeriod=TMDTwoweekly,AA245,AA244)))</f>
        <v>0</v>
      </c>
      <c r="AB250" s="509">
        <f>IF(AB$15=TMDPeriodValueTypeForecast,IF('Delivery Calculation'!$H$33=TMDAllocationTandM,0,'Delivery Calculation'!AK107),IF(MDReportingPeriod=TMDMonthly,AB246,IF(MDReportingPeriod=TMDTwoweekly,AB245,AB244)))</f>
        <v>0</v>
      </c>
      <c r="AC250" s="509">
        <f>IF(AC$15=TMDPeriodValueTypeForecast,IF('Delivery Calculation'!$H$33=TMDAllocationTandM,0,'Delivery Calculation'!AL107),IF(MDReportingPeriod=TMDMonthly,AC246,IF(MDReportingPeriod=TMDTwoweekly,AC245,AC244)))</f>
        <v>0</v>
      </c>
      <c r="AD250" s="509">
        <f>IF(AD$15=TMDPeriodValueTypeForecast,IF('Delivery Calculation'!$H$33=TMDAllocationTandM,0,'Delivery Calculation'!AM107),IF(MDReportingPeriod=TMDMonthly,AD246,IF(MDReportingPeriod=TMDTwoweekly,AD245,AD244)))</f>
        <v>0</v>
      </c>
      <c r="AE250" s="509">
        <f>IF(AE$15=TMDPeriodValueTypeForecast,IF('Delivery Calculation'!$H$33=TMDAllocationTandM,0,'Delivery Calculation'!AN107),IF(MDReportingPeriod=TMDMonthly,AE246,IF(MDReportingPeriod=TMDTwoweekly,AE245,AE244)))</f>
        <v>0</v>
      </c>
      <c r="AF250" s="509">
        <f>IF(AF$15=TMDPeriodValueTypeForecast,IF('Delivery Calculation'!$H$33=TMDAllocationTandM,0,'Delivery Calculation'!AO107),IF(MDReportingPeriod=TMDMonthly,AF246,IF(MDReportingPeriod=TMDTwoweekly,AF245,AF244)))</f>
        <v>0</v>
      </c>
      <c r="AG250" s="509">
        <f>IF(AG$15=TMDPeriodValueTypeForecast,IF('Delivery Calculation'!$H$33=TMDAllocationTandM,0,'Delivery Calculation'!AP107),IF(MDReportingPeriod=TMDMonthly,AG246,IF(MDReportingPeriod=TMDTwoweekly,AG245,AG244)))</f>
        <v>0</v>
      </c>
      <c r="AH250" s="509">
        <f>IF(AH$15=TMDPeriodValueTypeForecast,IF('Delivery Calculation'!$H$33=TMDAllocationTandM,0,'Delivery Calculation'!AQ107),IF(MDReportingPeriod=TMDMonthly,AH246,IF(MDReportingPeriod=TMDTwoweekly,AH245,AH244)))</f>
        <v>0</v>
      </c>
      <c r="AI250" s="509">
        <f>IF(AI$15=TMDPeriodValueTypeForecast,IF('Delivery Calculation'!$H$33=TMDAllocationTandM,0,'Delivery Calculation'!AR107),IF(MDReportingPeriod=TMDMonthly,AI246,IF(MDReportingPeriod=TMDTwoweekly,AI245,AI244)))</f>
        <v>0</v>
      </c>
      <c r="AJ250" s="509">
        <f>IF(AJ$15=TMDPeriodValueTypeForecast,IF('Delivery Calculation'!$H$33=TMDAllocationTandM,0,'Delivery Calculation'!AS107),IF(MDReportingPeriod=TMDMonthly,AJ246,IF(MDReportingPeriod=TMDTwoweekly,AJ245,AJ244)))</f>
        <v>0</v>
      </c>
      <c r="AK250" s="509">
        <f>IF(AK$15=TMDPeriodValueTypeForecast,IF('Delivery Calculation'!$H$33=TMDAllocationTandM,0,'Delivery Calculation'!AT107),IF(MDReportingPeriod=TMDMonthly,AK246,IF(MDReportingPeriod=TMDTwoweekly,AK245,AK244)))</f>
        <v>0</v>
      </c>
      <c r="AL250" s="509">
        <f>IF(AL$15=TMDPeriodValueTypeForecast,IF('Delivery Calculation'!$H$33=TMDAllocationTandM,0,'Delivery Calculation'!AU107),IF(MDReportingPeriod=TMDMonthly,AL246,IF(MDReportingPeriod=TMDTwoweekly,AL245,AL244)))</f>
        <v>0</v>
      </c>
      <c r="AM250" s="509">
        <f>IF(AM$15=TMDPeriodValueTypeForecast,IF('Delivery Calculation'!$H$33=TMDAllocationTandM,0,'Delivery Calculation'!AV107),IF(MDReportingPeriod=TMDMonthly,AM246,IF(MDReportingPeriod=TMDTwoweekly,AM245,AM244)))</f>
        <v>0</v>
      </c>
      <c r="AN250" s="509">
        <f>IF(AN$15=TMDPeriodValueTypeForecast,IF('Delivery Calculation'!$H$33=TMDAllocationTandM,0,'Delivery Calculation'!AW107),IF(MDReportingPeriod=TMDMonthly,AN246,IF(MDReportingPeriod=TMDTwoweekly,AN245,AN244)))</f>
        <v>0</v>
      </c>
      <c r="AO250" s="509">
        <f>IF(AO$15=TMDPeriodValueTypeForecast,IF('Delivery Calculation'!$H$33=TMDAllocationTandM,0,'Delivery Calculation'!AX107),IF(MDReportingPeriod=TMDMonthly,AO246,IF(MDReportingPeriod=TMDTwoweekly,AO245,AO244)))</f>
        <v>0</v>
      </c>
      <c r="AP250" s="501"/>
      <c r="AQ250" s="505">
        <f>SUMIF($D$15:$AO$15,TMDPeriodValueTypeReported,D250:AO250)</f>
        <v>0</v>
      </c>
      <c r="AR250" s="505">
        <f>SUMIF($D$15:$AO$15,TMDPeriodValueTypeForecast,D250:AO250)</f>
        <v>0</v>
      </c>
      <c r="AS250" s="523">
        <f>'Delivery Calculation'!I33</f>
        <v>0</v>
      </c>
      <c r="AT250" s="505">
        <f>AS250-(AQ250+AR250)</f>
        <v>0</v>
      </c>
      <c r="AU250" s="505"/>
      <c r="AV250" s="510"/>
      <c r="AW250" s="452"/>
    </row>
    <row r="251" spans="1:49">
      <c r="A251" s="1185"/>
      <c r="B251" s="1182"/>
      <c r="C251" s="499" t="s">
        <v>605</v>
      </c>
      <c r="D251" s="509"/>
      <c r="E251" s="509"/>
      <c r="F251" s="509"/>
      <c r="G251" s="509"/>
      <c r="H251" s="509"/>
      <c r="I251" s="509"/>
      <c r="J251" s="509"/>
      <c r="K251" s="509"/>
      <c r="L251" s="509"/>
      <c r="M251" s="509"/>
      <c r="N251" s="509"/>
      <c r="O251" s="509"/>
      <c r="P251" s="509"/>
      <c r="Q251" s="509"/>
      <c r="R251" s="509"/>
      <c r="S251" s="509"/>
      <c r="T251" s="509"/>
      <c r="U251" s="509"/>
      <c r="V251" s="509"/>
      <c r="W251" s="509"/>
      <c r="X251" s="509"/>
      <c r="Y251" s="509"/>
      <c r="Z251" s="509"/>
      <c r="AA251" s="509"/>
      <c r="AB251" s="509"/>
      <c r="AC251" s="509"/>
      <c r="AD251" s="509"/>
      <c r="AE251" s="509"/>
      <c r="AF251" s="509"/>
      <c r="AG251" s="509"/>
      <c r="AH251" s="509"/>
      <c r="AI251" s="509"/>
      <c r="AJ251" s="509"/>
      <c r="AK251" s="509"/>
      <c r="AL251" s="509"/>
      <c r="AM251" s="509"/>
      <c r="AN251" s="509"/>
      <c r="AO251" s="509"/>
      <c r="AP251" s="501"/>
      <c r="AQ251" s="505">
        <f>SUMIF($D$15:$AO$15,TMDPeriodValueTypeReported,D251:AO251)</f>
        <v>0</v>
      </c>
      <c r="AR251" s="505">
        <f>SUMIF($D$15:$AO$15,TMDPeriodValueTypeForecast,D251:AO251)</f>
        <v>0</v>
      </c>
      <c r="AS251" s="505"/>
      <c r="AT251" s="505">
        <f>AQ251+AR251</f>
        <v>0</v>
      </c>
      <c r="AU251" s="505"/>
      <c r="AV251" s="510"/>
      <c r="AW251" s="452"/>
    </row>
    <row r="252" spans="1:49" hidden="1">
      <c r="A252" s="143"/>
      <c r="B252" s="483"/>
      <c r="C252" s="496" t="s">
        <v>1339</v>
      </c>
      <c r="D252" s="516">
        <f t="shared" ref="D252:AO252" si="126">IF(ISERR(GETPIVOTDATA("[Measures].[Hours]",TRIMARANweekly,"[Order].[Position Number]","[Order].[Position Number].&amp;[" &amp; $B259 &amp; "]","[Period].[Week]","[Period].[Week].&amp;[" &amp; YEAR(D$14-7) &amp; TEXT(WEEKNUM(D$14-7),"00") &amp; "]")),0,GETPIVOTDATA("[Measures].[Hours]",TRIMARANweekly,"[Order].[Position Number]","[Order].[Position Number].&amp;[" &amp; $B259 &amp; "]","[Period].[Week]","[Period].[Week].&amp;[" &amp; YEAR(D$14-7) &amp; TEXT(WEEKNUM(D$14-7),"00") &amp; "]"))</f>
        <v>0</v>
      </c>
      <c r="E252" s="516">
        <f t="shared" si="126"/>
        <v>0</v>
      </c>
      <c r="F252" s="516">
        <f t="shared" si="126"/>
        <v>0</v>
      </c>
      <c r="G252" s="516">
        <f t="shared" si="126"/>
        <v>0</v>
      </c>
      <c r="H252" s="516">
        <f t="shared" si="126"/>
        <v>0</v>
      </c>
      <c r="I252" s="516">
        <f t="shared" si="126"/>
        <v>0</v>
      </c>
      <c r="J252" s="516">
        <f t="shared" si="126"/>
        <v>0</v>
      </c>
      <c r="K252" s="516">
        <f t="shared" si="126"/>
        <v>0</v>
      </c>
      <c r="L252" s="516">
        <f t="shared" si="126"/>
        <v>0</v>
      </c>
      <c r="M252" s="516">
        <f t="shared" si="126"/>
        <v>0</v>
      </c>
      <c r="N252" s="516">
        <f t="shared" si="126"/>
        <v>0</v>
      </c>
      <c r="O252" s="516">
        <f t="shared" si="126"/>
        <v>0</v>
      </c>
      <c r="P252" s="516">
        <f t="shared" si="126"/>
        <v>0</v>
      </c>
      <c r="Q252" s="516">
        <f t="shared" si="126"/>
        <v>0</v>
      </c>
      <c r="R252" s="516">
        <f t="shared" si="126"/>
        <v>0</v>
      </c>
      <c r="S252" s="516">
        <f t="shared" si="126"/>
        <v>0</v>
      </c>
      <c r="T252" s="516">
        <f t="shared" si="126"/>
        <v>0</v>
      </c>
      <c r="U252" s="516">
        <f t="shared" si="126"/>
        <v>0</v>
      </c>
      <c r="V252" s="516">
        <f t="shared" si="126"/>
        <v>0</v>
      </c>
      <c r="W252" s="516">
        <f t="shared" si="126"/>
        <v>0</v>
      </c>
      <c r="X252" s="516">
        <f t="shared" si="126"/>
        <v>0</v>
      </c>
      <c r="Y252" s="516">
        <f t="shared" si="126"/>
        <v>0</v>
      </c>
      <c r="Z252" s="516">
        <f t="shared" si="126"/>
        <v>0</v>
      </c>
      <c r="AA252" s="516">
        <f t="shared" si="126"/>
        <v>0</v>
      </c>
      <c r="AB252" s="516">
        <f t="shared" si="126"/>
        <v>0</v>
      </c>
      <c r="AC252" s="516">
        <f t="shared" si="126"/>
        <v>0</v>
      </c>
      <c r="AD252" s="516">
        <f t="shared" si="126"/>
        <v>0</v>
      </c>
      <c r="AE252" s="516">
        <f t="shared" si="126"/>
        <v>0</v>
      </c>
      <c r="AF252" s="516">
        <f t="shared" si="126"/>
        <v>0</v>
      </c>
      <c r="AG252" s="516">
        <f t="shared" si="126"/>
        <v>0</v>
      </c>
      <c r="AH252" s="516">
        <f t="shared" si="126"/>
        <v>0</v>
      </c>
      <c r="AI252" s="516">
        <f t="shared" si="126"/>
        <v>0</v>
      </c>
      <c r="AJ252" s="516">
        <f t="shared" si="126"/>
        <v>0</v>
      </c>
      <c r="AK252" s="516">
        <f t="shared" si="126"/>
        <v>0</v>
      </c>
      <c r="AL252" s="516">
        <f t="shared" si="126"/>
        <v>0</v>
      </c>
      <c r="AM252" s="516">
        <f t="shared" si="126"/>
        <v>0</v>
      </c>
      <c r="AN252" s="516">
        <f t="shared" si="126"/>
        <v>0</v>
      </c>
      <c r="AO252" s="516">
        <f t="shared" si="126"/>
        <v>0</v>
      </c>
      <c r="AP252" s="501"/>
      <c r="AQ252" s="505"/>
      <c r="AR252" s="505"/>
      <c r="AS252" s="505"/>
      <c r="AT252" s="505"/>
      <c r="AU252" s="505"/>
      <c r="AV252" s="510"/>
      <c r="AW252" s="452"/>
    </row>
    <row r="253" spans="1:49" hidden="1">
      <c r="A253" s="143"/>
      <c r="B253" s="483"/>
      <c r="C253" s="496" t="s">
        <v>1340</v>
      </c>
      <c r="D253" s="516">
        <f t="shared" ref="D253:AO253" si="127">IF(ISERR(GETPIVOTDATA("[Measures].[Hours]",TRIMARANweekly,"[Order].[Position Number]","[Order].[Position Number].&amp;[" &amp; $B259 &amp; "]","[Period].[Week]","[Period].[Week].&amp;[" &amp; YEAR(D$14-14) &amp; TEXT(WEEKNUM(D$14-14),"00") &amp; "]")),0,GETPIVOTDATA("[Measures].[Hours]",TRIMARANweekly,"[Order].[Position Number]","[Order].[Position Number].&amp;[" &amp; $B259 &amp; "]","[Period].[Week]","[Period].[Week].&amp;[" &amp; YEAR(D$14-14) &amp; TEXT(WEEKNUM(D$14-14),"00") &amp; "]"))+D252</f>
        <v>0</v>
      </c>
      <c r="E253" s="516">
        <f t="shared" si="127"/>
        <v>0</v>
      </c>
      <c r="F253" s="516">
        <f t="shared" si="127"/>
        <v>0</v>
      </c>
      <c r="G253" s="516">
        <f t="shared" si="127"/>
        <v>0</v>
      </c>
      <c r="H253" s="516">
        <f t="shared" si="127"/>
        <v>0</v>
      </c>
      <c r="I253" s="516">
        <f t="shared" si="127"/>
        <v>0</v>
      </c>
      <c r="J253" s="516">
        <f t="shared" si="127"/>
        <v>0</v>
      </c>
      <c r="K253" s="516">
        <f t="shared" si="127"/>
        <v>0</v>
      </c>
      <c r="L253" s="516">
        <f t="shared" si="127"/>
        <v>0</v>
      </c>
      <c r="M253" s="516">
        <f t="shared" si="127"/>
        <v>0</v>
      </c>
      <c r="N253" s="516">
        <f t="shared" si="127"/>
        <v>0</v>
      </c>
      <c r="O253" s="516">
        <f t="shared" si="127"/>
        <v>0</v>
      </c>
      <c r="P253" s="516">
        <f t="shared" si="127"/>
        <v>0</v>
      </c>
      <c r="Q253" s="516">
        <f t="shared" si="127"/>
        <v>0</v>
      </c>
      <c r="R253" s="516">
        <f t="shared" si="127"/>
        <v>0</v>
      </c>
      <c r="S253" s="516">
        <f t="shared" si="127"/>
        <v>0</v>
      </c>
      <c r="T253" s="516">
        <f t="shared" si="127"/>
        <v>0</v>
      </c>
      <c r="U253" s="516">
        <f t="shared" si="127"/>
        <v>0</v>
      </c>
      <c r="V253" s="516">
        <f t="shared" si="127"/>
        <v>0</v>
      </c>
      <c r="W253" s="516">
        <f t="shared" si="127"/>
        <v>0</v>
      </c>
      <c r="X253" s="516">
        <f t="shared" si="127"/>
        <v>0</v>
      </c>
      <c r="Y253" s="516">
        <f t="shared" si="127"/>
        <v>0</v>
      </c>
      <c r="Z253" s="516">
        <f t="shared" si="127"/>
        <v>0</v>
      </c>
      <c r="AA253" s="516">
        <f t="shared" si="127"/>
        <v>0</v>
      </c>
      <c r="AB253" s="516">
        <f t="shared" si="127"/>
        <v>0</v>
      </c>
      <c r="AC253" s="516">
        <f t="shared" si="127"/>
        <v>0</v>
      </c>
      <c r="AD253" s="516">
        <f t="shared" si="127"/>
        <v>0</v>
      </c>
      <c r="AE253" s="516">
        <f t="shared" si="127"/>
        <v>0</v>
      </c>
      <c r="AF253" s="516">
        <f t="shared" si="127"/>
        <v>0</v>
      </c>
      <c r="AG253" s="516">
        <f t="shared" si="127"/>
        <v>0</v>
      </c>
      <c r="AH253" s="516">
        <f t="shared" si="127"/>
        <v>0</v>
      </c>
      <c r="AI253" s="516">
        <f t="shared" si="127"/>
        <v>0</v>
      </c>
      <c r="AJ253" s="516">
        <f t="shared" si="127"/>
        <v>0</v>
      </c>
      <c r="AK253" s="516">
        <f t="shared" si="127"/>
        <v>0</v>
      </c>
      <c r="AL253" s="516">
        <f t="shared" si="127"/>
        <v>0</v>
      </c>
      <c r="AM253" s="516">
        <f t="shared" si="127"/>
        <v>0</v>
      </c>
      <c r="AN253" s="516">
        <f t="shared" si="127"/>
        <v>0</v>
      </c>
      <c r="AO253" s="516">
        <f t="shared" si="127"/>
        <v>0</v>
      </c>
      <c r="AP253" s="501"/>
      <c r="AQ253" s="505"/>
      <c r="AR253" s="505"/>
      <c r="AS253" s="505"/>
      <c r="AT253" s="505"/>
      <c r="AU253" s="505"/>
      <c r="AV253" s="510"/>
      <c r="AW253" s="452"/>
    </row>
    <row r="254" spans="1:49" hidden="1">
      <c r="A254" s="143"/>
      <c r="B254" s="483"/>
      <c r="C254" s="496" t="s">
        <v>1341</v>
      </c>
      <c r="D254" s="516">
        <f t="shared" ref="D254:AO254" si="128">IF(ISERR(GETPIVOTDATA("[Measures].[Hours]",TRIMARANmonthly,"[Period].[Month]","[Period].[Month].&amp;["&amp;IF(MONTH(D$14)=1,YEAR(D$14)-1&amp;TEXT(12,"00"),YEAR(D$14)&amp;TEXT(MONTH(D$14)-1,"00"))&amp;"]","[Order].[Position Number]","[Order].[Position Number].&amp;["&amp;$B259&amp;"]")),0,GETPIVOTDATA("[Measures].[Hours]",TRIMARANmonthly,"[Period].[Month]","[Period].[Month].&amp;["&amp;IF(MONTH(D$14)=1,YEAR(D$14)-1&amp;TEXT(12,"00"),YEAR(D$14)&amp;TEXT(MONTH(D$14)-1,"00"))&amp;"]","[Order].[Position Number]","[Order].[Position Number].&amp;["&amp;$B259&amp;"]"))</f>
        <v>0</v>
      </c>
      <c r="E254" s="516">
        <f t="shared" si="128"/>
        <v>0</v>
      </c>
      <c r="F254" s="516">
        <f t="shared" si="128"/>
        <v>0</v>
      </c>
      <c r="G254" s="516">
        <f t="shared" si="128"/>
        <v>0</v>
      </c>
      <c r="H254" s="516">
        <f t="shared" si="128"/>
        <v>0</v>
      </c>
      <c r="I254" s="516">
        <f t="shared" si="128"/>
        <v>0</v>
      </c>
      <c r="J254" s="516">
        <f t="shared" si="128"/>
        <v>0</v>
      </c>
      <c r="K254" s="516">
        <f t="shared" si="128"/>
        <v>0</v>
      </c>
      <c r="L254" s="516">
        <f t="shared" si="128"/>
        <v>0</v>
      </c>
      <c r="M254" s="516">
        <f t="shared" si="128"/>
        <v>0</v>
      </c>
      <c r="N254" s="516">
        <f t="shared" si="128"/>
        <v>0</v>
      </c>
      <c r="O254" s="516">
        <f t="shared" si="128"/>
        <v>0</v>
      </c>
      <c r="P254" s="516">
        <f t="shared" si="128"/>
        <v>0</v>
      </c>
      <c r="Q254" s="516">
        <f t="shared" si="128"/>
        <v>0</v>
      </c>
      <c r="R254" s="516">
        <f t="shared" si="128"/>
        <v>0</v>
      </c>
      <c r="S254" s="516">
        <f t="shared" si="128"/>
        <v>0</v>
      </c>
      <c r="T254" s="516">
        <f t="shared" si="128"/>
        <v>0</v>
      </c>
      <c r="U254" s="516">
        <f t="shared" si="128"/>
        <v>0</v>
      </c>
      <c r="V254" s="516">
        <f t="shared" si="128"/>
        <v>0</v>
      </c>
      <c r="W254" s="516">
        <f t="shared" si="128"/>
        <v>0</v>
      </c>
      <c r="X254" s="516">
        <f t="shared" si="128"/>
        <v>0</v>
      </c>
      <c r="Y254" s="516">
        <f t="shared" si="128"/>
        <v>0</v>
      </c>
      <c r="Z254" s="516">
        <f t="shared" si="128"/>
        <v>0</v>
      </c>
      <c r="AA254" s="516">
        <f t="shared" si="128"/>
        <v>0</v>
      </c>
      <c r="AB254" s="516">
        <f t="shared" si="128"/>
        <v>0</v>
      </c>
      <c r="AC254" s="516">
        <f t="shared" si="128"/>
        <v>0</v>
      </c>
      <c r="AD254" s="516">
        <f t="shared" si="128"/>
        <v>0</v>
      </c>
      <c r="AE254" s="516">
        <f t="shared" si="128"/>
        <v>0</v>
      </c>
      <c r="AF254" s="516">
        <f t="shared" si="128"/>
        <v>0</v>
      </c>
      <c r="AG254" s="516">
        <f t="shared" si="128"/>
        <v>0</v>
      </c>
      <c r="AH254" s="516">
        <f t="shared" si="128"/>
        <v>0</v>
      </c>
      <c r="AI254" s="516">
        <f t="shared" si="128"/>
        <v>0</v>
      </c>
      <c r="AJ254" s="516">
        <f t="shared" si="128"/>
        <v>0</v>
      </c>
      <c r="AK254" s="516">
        <f t="shared" si="128"/>
        <v>0</v>
      </c>
      <c r="AL254" s="516">
        <f t="shared" si="128"/>
        <v>0</v>
      </c>
      <c r="AM254" s="516">
        <f t="shared" si="128"/>
        <v>0</v>
      </c>
      <c r="AN254" s="516">
        <f t="shared" si="128"/>
        <v>0</v>
      </c>
      <c r="AO254" s="516">
        <f t="shared" si="128"/>
        <v>0</v>
      </c>
      <c r="AP254" s="501"/>
      <c r="AQ254" s="505"/>
      <c r="AR254" s="505"/>
      <c r="AS254" s="505"/>
      <c r="AT254" s="505"/>
      <c r="AU254" s="505"/>
      <c r="AV254" s="510"/>
      <c r="AW254" s="452"/>
    </row>
    <row r="255" spans="1:49" hidden="1">
      <c r="A255" s="143"/>
      <c r="B255" s="483"/>
      <c r="C255" s="496" t="s">
        <v>1339</v>
      </c>
      <c r="D255" s="516">
        <f t="shared" ref="D255:AO255" si="129">IF(ISERR(GETPIVOTDATA("[Measures].[" &amp; MDContractCurrency &amp; "]",TRIMARANweekly,"[Order].[Position Number]","[Order].[Position Number].&amp;[" &amp; $B259 &amp; "]","[Period].[Week]","[Period].[Week].&amp;[" &amp; YEAR(D$14-7) &amp; TEXT(WEEKNUM(D$14-7),"00") &amp; "]")),0,GETPIVOTDATA("[Measures].[" &amp; MDContractCurrency &amp; "]",TRIMARANweekly,"[Order].[Position Number]","[Order].[Position Number].&amp;[" &amp; $B259 &amp; "]","[Period].[Week]","[Period].[Week].&amp;[" &amp; YEAR(D$14-7) &amp; TEXT(WEEKNUM(D$14-7),"00") &amp; "]"))</f>
        <v>0</v>
      </c>
      <c r="E255" s="516">
        <f t="shared" si="129"/>
        <v>0</v>
      </c>
      <c r="F255" s="516">
        <f t="shared" si="129"/>
        <v>0</v>
      </c>
      <c r="G255" s="516">
        <f t="shared" si="129"/>
        <v>0</v>
      </c>
      <c r="H255" s="516">
        <f t="shared" si="129"/>
        <v>0</v>
      </c>
      <c r="I255" s="516">
        <f t="shared" si="129"/>
        <v>0</v>
      </c>
      <c r="J255" s="516">
        <f t="shared" si="129"/>
        <v>0</v>
      </c>
      <c r="K255" s="516">
        <f t="shared" si="129"/>
        <v>0</v>
      </c>
      <c r="L255" s="516">
        <f t="shared" si="129"/>
        <v>0</v>
      </c>
      <c r="M255" s="516">
        <f t="shared" si="129"/>
        <v>0</v>
      </c>
      <c r="N255" s="516">
        <f t="shared" si="129"/>
        <v>0</v>
      </c>
      <c r="O255" s="516">
        <f t="shared" si="129"/>
        <v>0</v>
      </c>
      <c r="P255" s="516">
        <f t="shared" si="129"/>
        <v>0</v>
      </c>
      <c r="Q255" s="516">
        <f t="shared" si="129"/>
        <v>0</v>
      </c>
      <c r="R255" s="516">
        <f t="shared" si="129"/>
        <v>0</v>
      </c>
      <c r="S255" s="516">
        <f t="shared" si="129"/>
        <v>0</v>
      </c>
      <c r="T255" s="516">
        <f t="shared" si="129"/>
        <v>0</v>
      </c>
      <c r="U255" s="516">
        <f t="shared" si="129"/>
        <v>0</v>
      </c>
      <c r="V255" s="516">
        <f t="shared" si="129"/>
        <v>0</v>
      </c>
      <c r="W255" s="516">
        <f t="shared" si="129"/>
        <v>0</v>
      </c>
      <c r="X255" s="516">
        <f t="shared" si="129"/>
        <v>0</v>
      </c>
      <c r="Y255" s="516">
        <f t="shared" si="129"/>
        <v>0</v>
      </c>
      <c r="Z255" s="516">
        <f t="shared" si="129"/>
        <v>0</v>
      </c>
      <c r="AA255" s="516">
        <f t="shared" si="129"/>
        <v>0</v>
      </c>
      <c r="AB255" s="516">
        <f t="shared" si="129"/>
        <v>0</v>
      </c>
      <c r="AC255" s="516">
        <f t="shared" si="129"/>
        <v>0</v>
      </c>
      <c r="AD255" s="516">
        <f t="shared" si="129"/>
        <v>0</v>
      </c>
      <c r="AE255" s="516">
        <f t="shared" si="129"/>
        <v>0</v>
      </c>
      <c r="AF255" s="516">
        <f t="shared" si="129"/>
        <v>0</v>
      </c>
      <c r="AG255" s="516">
        <f t="shared" si="129"/>
        <v>0</v>
      </c>
      <c r="AH255" s="516">
        <f t="shared" si="129"/>
        <v>0</v>
      </c>
      <c r="AI255" s="516">
        <f t="shared" si="129"/>
        <v>0</v>
      </c>
      <c r="AJ255" s="516">
        <f t="shared" si="129"/>
        <v>0</v>
      </c>
      <c r="AK255" s="516">
        <f t="shared" si="129"/>
        <v>0</v>
      </c>
      <c r="AL255" s="516">
        <f t="shared" si="129"/>
        <v>0</v>
      </c>
      <c r="AM255" s="516">
        <f t="shared" si="129"/>
        <v>0</v>
      </c>
      <c r="AN255" s="516">
        <f t="shared" si="129"/>
        <v>0</v>
      </c>
      <c r="AO255" s="516">
        <f t="shared" si="129"/>
        <v>0</v>
      </c>
      <c r="AP255" s="501"/>
      <c r="AQ255" s="505"/>
      <c r="AR255" s="505"/>
      <c r="AS255" s="505"/>
      <c r="AT255" s="505"/>
      <c r="AU255" s="505"/>
      <c r="AV255" s="510"/>
      <c r="AW255" s="452"/>
    </row>
    <row r="256" spans="1:49" hidden="1">
      <c r="A256" s="143"/>
      <c r="B256" s="483"/>
      <c r="C256" s="496" t="s">
        <v>1340</v>
      </c>
      <c r="D256" s="516">
        <f t="shared" ref="D256:AO256" si="130">IF(ISERR(GETPIVOTDATA("[Measures].[" &amp; MDContractCurrency &amp; "]",TRIMARANweekly,"[Order].[Position Number]","[Order].[Position Number].&amp;[" &amp; $B259 &amp; "]","[Period].[Week]","[Period].[Week].&amp;[" &amp; YEAR(D$14-14) &amp; TEXT(WEEKNUM(D$14-14),"00") &amp; "]")),0,GETPIVOTDATA("[Measures].[" &amp; MDContractCurrency &amp; "]",TRIMARANweekly,"[Order].[Position Number]","[Order].[Position Number].&amp;[" &amp; $B259 &amp; "]","[Period].[Week]","[Period].[Week].&amp;[" &amp; YEAR(D$14-14) &amp; TEXT(WEEKNUM(D$14-14),"00") &amp; "]"))+D255</f>
        <v>0</v>
      </c>
      <c r="E256" s="516">
        <f t="shared" si="130"/>
        <v>0</v>
      </c>
      <c r="F256" s="516">
        <f t="shared" si="130"/>
        <v>0</v>
      </c>
      <c r="G256" s="516">
        <f t="shared" si="130"/>
        <v>0</v>
      </c>
      <c r="H256" s="516">
        <f t="shared" si="130"/>
        <v>0</v>
      </c>
      <c r="I256" s="516">
        <f t="shared" si="130"/>
        <v>0</v>
      </c>
      <c r="J256" s="516">
        <f t="shared" si="130"/>
        <v>0</v>
      </c>
      <c r="K256" s="516">
        <f t="shared" si="130"/>
        <v>0</v>
      </c>
      <c r="L256" s="516">
        <f t="shared" si="130"/>
        <v>0</v>
      </c>
      <c r="M256" s="516">
        <f t="shared" si="130"/>
        <v>0</v>
      </c>
      <c r="N256" s="516">
        <f t="shared" si="130"/>
        <v>0</v>
      </c>
      <c r="O256" s="516">
        <f t="shared" si="130"/>
        <v>0</v>
      </c>
      <c r="P256" s="516">
        <f t="shared" si="130"/>
        <v>0</v>
      </c>
      <c r="Q256" s="516">
        <f t="shared" si="130"/>
        <v>0</v>
      </c>
      <c r="R256" s="516">
        <f t="shared" si="130"/>
        <v>0</v>
      </c>
      <c r="S256" s="516">
        <f t="shared" si="130"/>
        <v>0</v>
      </c>
      <c r="T256" s="516">
        <f t="shared" si="130"/>
        <v>0</v>
      </c>
      <c r="U256" s="516">
        <f t="shared" si="130"/>
        <v>0</v>
      </c>
      <c r="V256" s="516">
        <f t="shared" si="130"/>
        <v>0</v>
      </c>
      <c r="W256" s="516">
        <f t="shared" si="130"/>
        <v>0</v>
      </c>
      <c r="X256" s="516">
        <f t="shared" si="130"/>
        <v>0</v>
      </c>
      <c r="Y256" s="516">
        <f t="shared" si="130"/>
        <v>0</v>
      </c>
      <c r="Z256" s="516">
        <f t="shared" si="130"/>
        <v>0</v>
      </c>
      <c r="AA256" s="516">
        <f t="shared" si="130"/>
        <v>0</v>
      </c>
      <c r="AB256" s="516">
        <f t="shared" si="130"/>
        <v>0</v>
      </c>
      <c r="AC256" s="516">
        <f t="shared" si="130"/>
        <v>0</v>
      </c>
      <c r="AD256" s="516">
        <f t="shared" si="130"/>
        <v>0</v>
      </c>
      <c r="AE256" s="516">
        <f t="shared" si="130"/>
        <v>0</v>
      </c>
      <c r="AF256" s="516">
        <f t="shared" si="130"/>
        <v>0</v>
      </c>
      <c r="AG256" s="516">
        <f t="shared" si="130"/>
        <v>0</v>
      </c>
      <c r="AH256" s="516">
        <f t="shared" si="130"/>
        <v>0</v>
      </c>
      <c r="AI256" s="516">
        <f t="shared" si="130"/>
        <v>0</v>
      </c>
      <c r="AJ256" s="516">
        <f t="shared" si="130"/>
        <v>0</v>
      </c>
      <c r="AK256" s="516">
        <f t="shared" si="130"/>
        <v>0</v>
      </c>
      <c r="AL256" s="516">
        <f t="shared" si="130"/>
        <v>0</v>
      </c>
      <c r="AM256" s="516">
        <f t="shared" si="130"/>
        <v>0</v>
      </c>
      <c r="AN256" s="516">
        <f t="shared" si="130"/>
        <v>0</v>
      </c>
      <c r="AO256" s="516">
        <f t="shared" si="130"/>
        <v>0</v>
      </c>
      <c r="AP256" s="501"/>
      <c r="AQ256" s="505"/>
      <c r="AR256" s="505"/>
      <c r="AS256" s="505"/>
      <c r="AT256" s="505"/>
      <c r="AU256" s="505"/>
      <c r="AV256" s="510"/>
      <c r="AW256" s="452"/>
    </row>
    <row r="257" spans="1:49" hidden="1">
      <c r="A257" s="141"/>
      <c r="B257" s="517"/>
      <c r="C257" s="496" t="s">
        <v>1341</v>
      </c>
      <c r="D257" s="516">
        <f t="shared" ref="D257:AO257" si="131">IF(ISERR(GETPIVOTDATA("[Measures].[" &amp; MDContractCurrency &amp; "]",TRIMARANmonthly,"[Period].[Month]","[Period].[Month].&amp;["&amp;IF(MONTH(D$14)=1,YEAR(D$14)-1&amp;TEXT(12,"00"),YEAR(D$14)&amp;TEXT(MONTH(D$14)-1,"00"))&amp;"]","[Order].[Position Number]","[Order].[Position Number].&amp;["&amp;$B259&amp;"]")),0,GETPIVOTDATA("[Measures].[" &amp; MDContractCurrency &amp; "]",TRIMARANmonthly,"[Period].[Month]","[Period].[Month].&amp;["&amp;IF(MONTH(D$14)=1,YEAR(D$14)-1&amp;TEXT(12,"00"),YEAR(D$14)&amp;TEXT(MONTH(D$14)-1,"00"))&amp;"]","[Order].[Position Number]","[Order].[Position Number].&amp;["&amp;$B259&amp;"]"))</f>
        <v>0</v>
      </c>
      <c r="E257" s="516">
        <f t="shared" si="131"/>
        <v>0</v>
      </c>
      <c r="F257" s="516">
        <f t="shared" si="131"/>
        <v>0</v>
      </c>
      <c r="G257" s="516">
        <f t="shared" si="131"/>
        <v>0</v>
      </c>
      <c r="H257" s="516">
        <f t="shared" si="131"/>
        <v>0</v>
      </c>
      <c r="I257" s="516">
        <f t="shared" si="131"/>
        <v>0</v>
      </c>
      <c r="J257" s="516">
        <f t="shared" si="131"/>
        <v>0</v>
      </c>
      <c r="K257" s="516">
        <f t="shared" si="131"/>
        <v>0</v>
      </c>
      <c r="L257" s="516">
        <f t="shared" si="131"/>
        <v>0</v>
      </c>
      <c r="M257" s="516">
        <f t="shared" si="131"/>
        <v>0</v>
      </c>
      <c r="N257" s="516">
        <f t="shared" si="131"/>
        <v>0</v>
      </c>
      <c r="O257" s="516">
        <f t="shared" si="131"/>
        <v>0</v>
      </c>
      <c r="P257" s="516">
        <f t="shared" si="131"/>
        <v>0</v>
      </c>
      <c r="Q257" s="516">
        <f t="shared" si="131"/>
        <v>0</v>
      </c>
      <c r="R257" s="516">
        <f t="shared" si="131"/>
        <v>0</v>
      </c>
      <c r="S257" s="516">
        <f t="shared" si="131"/>
        <v>0</v>
      </c>
      <c r="T257" s="516">
        <f t="shared" si="131"/>
        <v>0</v>
      </c>
      <c r="U257" s="516">
        <f t="shared" si="131"/>
        <v>0</v>
      </c>
      <c r="V257" s="516">
        <f t="shared" si="131"/>
        <v>0</v>
      </c>
      <c r="W257" s="516">
        <f t="shared" si="131"/>
        <v>0</v>
      </c>
      <c r="X257" s="516">
        <f t="shared" si="131"/>
        <v>0</v>
      </c>
      <c r="Y257" s="516">
        <f t="shared" si="131"/>
        <v>0</v>
      </c>
      <c r="Z257" s="516">
        <f t="shared" si="131"/>
        <v>0</v>
      </c>
      <c r="AA257" s="516">
        <f t="shared" si="131"/>
        <v>0</v>
      </c>
      <c r="AB257" s="516">
        <f t="shared" si="131"/>
        <v>0</v>
      </c>
      <c r="AC257" s="516">
        <f t="shared" si="131"/>
        <v>0</v>
      </c>
      <c r="AD257" s="516">
        <f t="shared" si="131"/>
        <v>0</v>
      </c>
      <c r="AE257" s="516">
        <f t="shared" si="131"/>
        <v>0</v>
      </c>
      <c r="AF257" s="516">
        <f t="shared" si="131"/>
        <v>0</v>
      </c>
      <c r="AG257" s="516">
        <f t="shared" si="131"/>
        <v>0</v>
      </c>
      <c r="AH257" s="516">
        <f t="shared" si="131"/>
        <v>0</v>
      </c>
      <c r="AI257" s="516">
        <f t="shared" si="131"/>
        <v>0</v>
      </c>
      <c r="AJ257" s="516">
        <f t="shared" si="131"/>
        <v>0</v>
      </c>
      <c r="AK257" s="516">
        <f t="shared" si="131"/>
        <v>0</v>
      </c>
      <c r="AL257" s="516">
        <f t="shared" si="131"/>
        <v>0</v>
      </c>
      <c r="AM257" s="516">
        <f t="shared" si="131"/>
        <v>0</v>
      </c>
      <c r="AN257" s="516">
        <f t="shared" si="131"/>
        <v>0</v>
      </c>
      <c r="AO257" s="516">
        <f t="shared" si="131"/>
        <v>0</v>
      </c>
      <c r="AP257" s="501"/>
      <c r="AQ257" s="505"/>
      <c r="AR257" s="505"/>
      <c r="AS257" s="505"/>
      <c r="AT257" s="505"/>
      <c r="AU257" s="505"/>
      <c r="AV257" s="510"/>
      <c r="AW257" s="452"/>
    </row>
    <row r="258" spans="1:49">
      <c r="A258" s="477"/>
      <c r="B258" s="483"/>
      <c r="C258" s="496"/>
      <c r="D258" s="496"/>
      <c r="E258" s="496"/>
      <c r="F258" s="496"/>
      <c r="G258" s="496"/>
      <c r="H258" s="496"/>
      <c r="I258" s="496"/>
      <c r="J258" s="496"/>
      <c r="K258" s="496"/>
      <c r="L258" s="496"/>
      <c r="M258" s="496"/>
      <c r="N258" s="496"/>
      <c r="O258" s="496"/>
      <c r="P258" s="496"/>
      <c r="Q258" s="496"/>
      <c r="R258" s="496"/>
      <c r="S258" s="496"/>
      <c r="T258" s="496"/>
      <c r="U258" s="496"/>
      <c r="V258" s="496"/>
      <c r="W258" s="496"/>
      <c r="X258" s="496"/>
      <c r="Y258" s="496"/>
      <c r="Z258" s="496"/>
      <c r="AA258" s="496"/>
      <c r="AB258" s="496"/>
      <c r="AC258" s="496"/>
      <c r="AD258" s="496"/>
      <c r="AE258" s="496"/>
      <c r="AF258" s="496"/>
      <c r="AG258" s="496"/>
      <c r="AH258" s="496"/>
      <c r="AI258" s="496"/>
      <c r="AJ258" s="496"/>
      <c r="AK258" s="496"/>
      <c r="AL258" s="496"/>
      <c r="AM258" s="496"/>
      <c r="AN258" s="496"/>
      <c r="AO258" s="496"/>
      <c r="AP258" s="501"/>
      <c r="AQ258" s="505"/>
      <c r="AR258" s="505"/>
      <c r="AS258" s="505"/>
      <c r="AT258" s="505"/>
      <c r="AU258" s="505"/>
      <c r="AV258" s="510"/>
      <c r="AW258" s="452"/>
    </row>
    <row r="259" spans="1:49">
      <c r="A259" s="1183" t="str">
        <f>'Delivery Calculation'!B34 &amp; CHAR(10) &amp; 'Delivery Calculation'!P34 &amp; " - " &amp; 'Delivery Calculation'!Q34</f>
        <v xml:space="preserve">0
 - </v>
      </c>
      <c r="B259" s="1180">
        <f>'Delivery Calculation'!A34</f>
        <v>0</v>
      </c>
      <c r="C259" s="499" t="s">
        <v>606</v>
      </c>
      <c r="D259" s="518">
        <f>'Delivery Calculation'!M215</f>
        <v>0</v>
      </c>
      <c r="E259" s="518">
        <f>'Delivery Calculation'!N215</f>
        <v>0</v>
      </c>
      <c r="F259" s="518">
        <f>'Delivery Calculation'!O215</f>
        <v>0</v>
      </c>
      <c r="G259" s="518">
        <f>'Delivery Calculation'!P215</f>
        <v>0</v>
      </c>
      <c r="H259" s="518">
        <f>'Delivery Calculation'!Q215</f>
        <v>0</v>
      </c>
      <c r="I259" s="518">
        <f>'Delivery Calculation'!R215</f>
        <v>0</v>
      </c>
      <c r="J259" s="518">
        <f>'Delivery Calculation'!S215</f>
        <v>0</v>
      </c>
      <c r="K259" s="518">
        <f>'Delivery Calculation'!T215</f>
        <v>0</v>
      </c>
      <c r="L259" s="518">
        <f>'Delivery Calculation'!U215</f>
        <v>0</v>
      </c>
      <c r="M259" s="518">
        <f>'Delivery Calculation'!V215</f>
        <v>0</v>
      </c>
      <c r="N259" s="518">
        <f>'Delivery Calculation'!W215</f>
        <v>0</v>
      </c>
      <c r="O259" s="518">
        <f>'Delivery Calculation'!X215</f>
        <v>0</v>
      </c>
      <c r="P259" s="518">
        <f>'Delivery Calculation'!Y215</f>
        <v>0</v>
      </c>
      <c r="Q259" s="518">
        <f>'Delivery Calculation'!Z215</f>
        <v>0</v>
      </c>
      <c r="R259" s="518">
        <f>'Delivery Calculation'!AA215</f>
        <v>0</v>
      </c>
      <c r="S259" s="518">
        <f>'Delivery Calculation'!AB215</f>
        <v>0</v>
      </c>
      <c r="T259" s="518">
        <f>'Delivery Calculation'!AC215</f>
        <v>0</v>
      </c>
      <c r="U259" s="518">
        <f>'Delivery Calculation'!AD215</f>
        <v>0</v>
      </c>
      <c r="V259" s="518">
        <f>'Delivery Calculation'!AE215</f>
        <v>0</v>
      </c>
      <c r="W259" s="518">
        <f>'Delivery Calculation'!AF215</f>
        <v>0</v>
      </c>
      <c r="X259" s="518">
        <f>'Delivery Calculation'!AG215</f>
        <v>0</v>
      </c>
      <c r="Y259" s="518">
        <f>'Delivery Calculation'!AH215</f>
        <v>0</v>
      </c>
      <c r="Z259" s="518">
        <f>'Delivery Calculation'!AI215</f>
        <v>0</v>
      </c>
      <c r="AA259" s="518">
        <f>'Delivery Calculation'!AJ215</f>
        <v>0</v>
      </c>
      <c r="AB259" s="518">
        <f>'Delivery Calculation'!AK215</f>
        <v>0</v>
      </c>
      <c r="AC259" s="518">
        <f>'Delivery Calculation'!AL215</f>
        <v>0</v>
      </c>
      <c r="AD259" s="518">
        <f>'Delivery Calculation'!AM215</f>
        <v>0</v>
      </c>
      <c r="AE259" s="518">
        <f>'Delivery Calculation'!AN215</f>
        <v>0</v>
      </c>
      <c r="AF259" s="518">
        <f>'Delivery Calculation'!AO215</f>
        <v>0</v>
      </c>
      <c r="AG259" s="518">
        <f>'Delivery Calculation'!AP215</f>
        <v>0</v>
      </c>
      <c r="AH259" s="518">
        <f>'Delivery Calculation'!AQ215</f>
        <v>0</v>
      </c>
      <c r="AI259" s="518">
        <f>'Delivery Calculation'!AR215</f>
        <v>0</v>
      </c>
      <c r="AJ259" s="518">
        <f>'Delivery Calculation'!AS215</f>
        <v>0</v>
      </c>
      <c r="AK259" s="518">
        <f>'Delivery Calculation'!AT215</f>
        <v>0</v>
      </c>
      <c r="AL259" s="518">
        <f>'Delivery Calculation'!AU215</f>
        <v>0</v>
      </c>
      <c r="AM259" s="518">
        <f>'Delivery Calculation'!AV215</f>
        <v>0</v>
      </c>
      <c r="AN259" s="518">
        <f>'Delivery Calculation'!AW215</f>
        <v>0</v>
      </c>
      <c r="AO259" s="518">
        <f>'Delivery Calculation'!AX215</f>
        <v>0</v>
      </c>
      <c r="AP259" s="501"/>
      <c r="AQ259" s="519">
        <f>IF(COUNTIF($D$15:$AO$15, TMDPeriodValueTypeReported)&gt;0, INDEX(D259:AO259,1,COUNTIF(D$15:$AO$15,TMDPeriodValueTypeReported)),0)</f>
        <v>0</v>
      </c>
      <c r="AR259" s="519"/>
      <c r="AS259" s="520">
        <f>'Delivery Calculation'!N34</f>
        <v>0</v>
      </c>
      <c r="AT259" s="519">
        <f>AQ259*'Delivery Calculation'!N34</f>
        <v>0</v>
      </c>
      <c r="AU259" s="521" t="s">
        <v>522</v>
      </c>
      <c r="AV259" s="510"/>
      <c r="AW259" s="452"/>
    </row>
    <row r="260" spans="1:49">
      <c r="A260" s="1184"/>
      <c r="B260" s="1181"/>
      <c r="C260" s="499" t="s">
        <v>607</v>
      </c>
      <c r="D260" s="509">
        <f>IF(D$15=TMDPeriodValueTypeForecast,IF('Delivery Calculation'!$H$34=TMDAllocationTandM,0,'Delivery Calculation'!M144),IF(MDReportingPeriod=TMDMonthly,D254,IF(MDReportingPeriod=TMDTwoweekly,D253,D252)))</f>
        <v>0</v>
      </c>
      <c r="E260" s="509">
        <f>IF(E$15=TMDPeriodValueTypeForecast,IF('Delivery Calculation'!$H$34=TMDAllocationTandM,0,'Delivery Calculation'!N144),IF(MDReportingPeriod=TMDMonthly,E254,IF(MDReportingPeriod=TMDTwoweekly,E253,E252)))</f>
        <v>0</v>
      </c>
      <c r="F260" s="509">
        <f>IF(F$15=TMDPeriodValueTypeForecast,IF('Delivery Calculation'!$H$34=TMDAllocationTandM,0,'Delivery Calculation'!O144),IF(MDReportingPeriod=TMDMonthly,F254,IF(MDReportingPeriod=TMDTwoweekly,F253,F252)))</f>
        <v>0</v>
      </c>
      <c r="G260" s="509">
        <f>IF(G$15=TMDPeriodValueTypeForecast,IF('Delivery Calculation'!$H$34=TMDAllocationTandM,0,'Delivery Calculation'!P144),IF(MDReportingPeriod=TMDMonthly,G254,IF(MDReportingPeriod=TMDTwoweekly,G253,G252)))</f>
        <v>0</v>
      </c>
      <c r="H260" s="509">
        <f>IF(H$15=TMDPeriodValueTypeForecast,IF('Delivery Calculation'!$H$34=TMDAllocationTandM,0,'Delivery Calculation'!Q144),IF(MDReportingPeriod=TMDMonthly,H254,IF(MDReportingPeriod=TMDTwoweekly,H253,H252)))</f>
        <v>0</v>
      </c>
      <c r="I260" s="509">
        <f>IF(I$15=TMDPeriodValueTypeForecast,IF('Delivery Calculation'!$H$34=TMDAllocationTandM,0,'Delivery Calculation'!R144),IF(MDReportingPeriod=TMDMonthly,I254,IF(MDReportingPeriod=TMDTwoweekly,I253,I252)))</f>
        <v>0</v>
      </c>
      <c r="J260" s="509">
        <f>IF(J$15=TMDPeriodValueTypeForecast,IF('Delivery Calculation'!$H$34=TMDAllocationTandM,0,'Delivery Calculation'!S144),IF(MDReportingPeriod=TMDMonthly,J254,IF(MDReportingPeriod=TMDTwoweekly,J253,J252)))</f>
        <v>0</v>
      </c>
      <c r="K260" s="509">
        <f>IF(K$15=TMDPeriodValueTypeForecast,IF('Delivery Calculation'!$H$34=TMDAllocationTandM,0,'Delivery Calculation'!T144),IF(MDReportingPeriod=TMDMonthly,K254,IF(MDReportingPeriod=TMDTwoweekly,K253,K252)))</f>
        <v>0</v>
      </c>
      <c r="L260" s="509">
        <f>IF(L$15=TMDPeriodValueTypeForecast,IF('Delivery Calculation'!$H$34=TMDAllocationTandM,0,'Delivery Calculation'!U144),IF(MDReportingPeriod=TMDMonthly,L254,IF(MDReportingPeriod=TMDTwoweekly,L253,L252)))</f>
        <v>0</v>
      </c>
      <c r="M260" s="509">
        <f>IF(M$15=TMDPeriodValueTypeForecast,IF('Delivery Calculation'!$H$34=TMDAllocationTandM,0,'Delivery Calculation'!V144),IF(MDReportingPeriod=TMDMonthly,M254,IF(MDReportingPeriod=TMDTwoweekly,M253,M252)))</f>
        <v>0</v>
      </c>
      <c r="N260" s="509">
        <f>IF(N$15=TMDPeriodValueTypeForecast,IF('Delivery Calculation'!$H$34=TMDAllocationTandM,0,'Delivery Calculation'!W144),IF(MDReportingPeriod=TMDMonthly,N254,IF(MDReportingPeriod=TMDTwoweekly,N253,N252)))</f>
        <v>0</v>
      </c>
      <c r="O260" s="509">
        <f>IF(O$15=TMDPeriodValueTypeForecast,IF('Delivery Calculation'!$H$34=TMDAllocationTandM,0,'Delivery Calculation'!X144),IF(MDReportingPeriod=TMDMonthly,O254,IF(MDReportingPeriod=TMDTwoweekly,O253,O252)))</f>
        <v>0</v>
      </c>
      <c r="P260" s="509">
        <f>IF(P$15=TMDPeriodValueTypeForecast,IF('Delivery Calculation'!$H$34=TMDAllocationTandM,0,'Delivery Calculation'!Y144),IF(MDReportingPeriod=TMDMonthly,P254,IF(MDReportingPeriod=TMDTwoweekly,P253,P252)))</f>
        <v>0</v>
      </c>
      <c r="Q260" s="509">
        <f>IF(Q$15=TMDPeriodValueTypeForecast,IF('Delivery Calculation'!$H$34=TMDAllocationTandM,0,'Delivery Calculation'!Z144),IF(MDReportingPeriod=TMDMonthly,Q254,IF(MDReportingPeriod=TMDTwoweekly,Q253,Q252)))</f>
        <v>0</v>
      </c>
      <c r="R260" s="509">
        <f>IF(R$15=TMDPeriodValueTypeForecast,IF('Delivery Calculation'!$H$34=TMDAllocationTandM,0,'Delivery Calculation'!AA144),IF(MDReportingPeriod=TMDMonthly,R254,IF(MDReportingPeriod=TMDTwoweekly,R253,R252)))</f>
        <v>0</v>
      </c>
      <c r="S260" s="509">
        <f>IF(S$15=TMDPeriodValueTypeForecast,IF('Delivery Calculation'!$H$34=TMDAllocationTandM,0,'Delivery Calculation'!AB144),IF(MDReportingPeriod=TMDMonthly,S254,IF(MDReportingPeriod=TMDTwoweekly,S253,S252)))</f>
        <v>0</v>
      </c>
      <c r="T260" s="509">
        <f>IF(T$15=TMDPeriodValueTypeForecast,IF('Delivery Calculation'!$H$34=TMDAllocationTandM,0,'Delivery Calculation'!AC144),IF(MDReportingPeriod=TMDMonthly,T254,IF(MDReportingPeriod=TMDTwoweekly,T253,T252)))</f>
        <v>0</v>
      </c>
      <c r="U260" s="509">
        <f>IF(U$15=TMDPeriodValueTypeForecast,IF('Delivery Calculation'!$H$34=TMDAllocationTandM,0,'Delivery Calculation'!AD144),IF(MDReportingPeriod=TMDMonthly,U254,IF(MDReportingPeriod=TMDTwoweekly,U253,U252)))</f>
        <v>0</v>
      </c>
      <c r="V260" s="509">
        <f>IF(V$15=TMDPeriodValueTypeForecast,IF('Delivery Calculation'!$H$34=TMDAllocationTandM,0,'Delivery Calculation'!AE144),IF(MDReportingPeriod=TMDMonthly,V254,IF(MDReportingPeriod=TMDTwoweekly,V253,V252)))</f>
        <v>0</v>
      </c>
      <c r="W260" s="509">
        <f>IF(W$15=TMDPeriodValueTypeForecast,IF('Delivery Calculation'!$H$34=TMDAllocationTandM,0,'Delivery Calculation'!AF144),IF(MDReportingPeriod=TMDMonthly,W254,IF(MDReportingPeriod=TMDTwoweekly,W253,W252)))</f>
        <v>0</v>
      </c>
      <c r="X260" s="509">
        <f>IF(X$15=TMDPeriodValueTypeForecast,IF('Delivery Calculation'!$H$34=TMDAllocationTandM,0,'Delivery Calculation'!AG144),IF(MDReportingPeriod=TMDMonthly,X254,IF(MDReportingPeriod=TMDTwoweekly,X253,X252)))</f>
        <v>0</v>
      </c>
      <c r="Y260" s="509">
        <f>IF(Y$15=TMDPeriodValueTypeForecast,IF('Delivery Calculation'!$H$34=TMDAllocationTandM,0,'Delivery Calculation'!AH144),IF(MDReportingPeriod=TMDMonthly,Y254,IF(MDReportingPeriod=TMDTwoweekly,Y253,Y252)))</f>
        <v>0</v>
      </c>
      <c r="Z260" s="509">
        <f>IF(Z$15=TMDPeriodValueTypeForecast,IF('Delivery Calculation'!$H$34=TMDAllocationTandM,0,'Delivery Calculation'!AI144),IF(MDReportingPeriod=TMDMonthly,Z254,IF(MDReportingPeriod=TMDTwoweekly,Z253,Z252)))</f>
        <v>0</v>
      </c>
      <c r="AA260" s="509">
        <f>IF(AA$15=TMDPeriodValueTypeForecast,IF('Delivery Calculation'!$H$34=TMDAllocationTandM,0,'Delivery Calculation'!AJ144),IF(MDReportingPeriod=TMDMonthly,AA254,IF(MDReportingPeriod=TMDTwoweekly,AA253,AA252)))</f>
        <v>0</v>
      </c>
      <c r="AB260" s="509">
        <f>IF(AB$15=TMDPeriodValueTypeForecast,IF('Delivery Calculation'!$H$34=TMDAllocationTandM,0,'Delivery Calculation'!AK144),IF(MDReportingPeriod=TMDMonthly,AB254,IF(MDReportingPeriod=TMDTwoweekly,AB253,AB252)))</f>
        <v>0</v>
      </c>
      <c r="AC260" s="509">
        <f>IF(AC$15=TMDPeriodValueTypeForecast,IF('Delivery Calculation'!$H$34=TMDAllocationTandM,0,'Delivery Calculation'!AL144),IF(MDReportingPeriod=TMDMonthly,AC254,IF(MDReportingPeriod=TMDTwoweekly,AC253,AC252)))</f>
        <v>0</v>
      </c>
      <c r="AD260" s="509">
        <f>IF(AD$15=TMDPeriodValueTypeForecast,IF('Delivery Calculation'!$H$34=TMDAllocationTandM,0,'Delivery Calculation'!AM144),IF(MDReportingPeriod=TMDMonthly,AD254,IF(MDReportingPeriod=TMDTwoweekly,AD253,AD252)))</f>
        <v>0</v>
      </c>
      <c r="AE260" s="509">
        <f>IF(AE$15=TMDPeriodValueTypeForecast,IF('Delivery Calculation'!$H$34=TMDAllocationTandM,0,'Delivery Calculation'!AN144),IF(MDReportingPeriod=TMDMonthly,AE254,IF(MDReportingPeriod=TMDTwoweekly,AE253,AE252)))</f>
        <v>0</v>
      </c>
      <c r="AF260" s="509">
        <f>IF(AF$15=TMDPeriodValueTypeForecast,IF('Delivery Calculation'!$H$34=TMDAllocationTandM,0,'Delivery Calculation'!AO144),IF(MDReportingPeriod=TMDMonthly,AF254,IF(MDReportingPeriod=TMDTwoweekly,AF253,AF252)))</f>
        <v>0</v>
      </c>
      <c r="AG260" s="509">
        <f>IF(AG$15=TMDPeriodValueTypeForecast,IF('Delivery Calculation'!$H$34=TMDAllocationTandM,0,'Delivery Calculation'!AP144),IF(MDReportingPeriod=TMDMonthly,AG254,IF(MDReportingPeriod=TMDTwoweekly,AG253,AG252)))</f>
        <v>0</v>
      </c>
      <c r="AH260" s="509">
        <f>IF(AH$15=TMDPeriodValueTypeForecast,IF('Delivery Calculation'!$H$34=TMDAllocationTandM,0,'Delivery Calculation'!AQ144),IF(MDReportingPeriod=TMDMonthly,AH254,IF(MDReportingPeriod=TMDTwoweekly,AH253,AH252)))</f>
        <v>0</v>
      </c>
      <c r="AI260" s="509">
        <f>IF(AI$15=TMDPeriodValueTypeForecast,IF('Delivery Calculation'!$H$34=TMDAllocationTandM,0,'Delivery Calculation'!AR144),IF(MDReportingPeriod=TMDMonthly,AI254,IF(MDReportingPeriod=TMDTwoweekly,AI253,AI252)))</f>
        <v>0</v>
      </c>
      <c r="AJ260" s="509">
        <f>IF(AJ$15=TMDPeriodValueTypeForecast,IF('Delivery Calculation'!$H$34=TMDAllocationTandM,0,'Delivery Calculation'!AS144),IF(MDReportingPeriod=TMDMonthly,AJ254,IF(MDReportingPeriod=TMDTwoweekly,AJ253,AJ252)))</f>
        <v>0</v>
      </c>
      <c r="AK260" s="509">
        <f>IF(AK$15=TMDPeriodValueTypeForecast,IF('Delivery Calculation'!$H$34=TMDAllocationTandM,0,'Delivery Calculation'!AT144),IF(MDReportingPeriod=TMDMonthly,AK254,IF(MDReportingPeriod=TMDTwoweekly,AK253,AK252)))</f>
        <v>0</v>
      </c>
      <c r="AL260" s="509">
        <f>IF(AL$15=TMDPeriodValueTypeForecast,IF('Delivery Calculation'!$H$34=TMDAllocationTandM,0,'Delivery Calculation'!AU144),IF(MDReportingPeriod=TMDMonthly,AL254,IF(MDReportingPeriod=TMDTwoweekly,AL253,AL252)))</f>
        <v>0</v>
      </c>
      <c r="AM260" s="509">
        <f>IF(AM$15=TMDPeriodValueTypeForecast,IF('Delivery Calculation'!$H$34=TMDAllocationTandM,0,'Delivery Calculation'!AV144),IF(MDReportingPeriod=TMDMonthly,AM254,IF(MDReportingPeriod=TMDTwoweekly,AM253,AM252)))</f>
        <v>0</v>
      </c>
      <c r="AN260" s="509">
        <f>IF(AN$15=TMDPeriodValueTypeForecast,IF('Delivery Calculation'!$H$34=TMDAllocationTandM,0,'Delivery Calculation'!AW144),IF(MDReportingPeriod=TMDMonthly,AN254,IF(MDReportingPeriod=TMDTwoweekly,AN253,AN252)))</f>
        <v>0</v>
      </c>
      <c r="AO260" s="509">
        <f>IF(AO$15=TMDPeriodValueTypeForecast,IF('Delivery Calculation'!$H$34=TMDAllocationTandM,0,'Delivery Calculation'!AX144),IF(MDReportingPeriod=TMDMonthly,AO254,IF(MDReportingPeriod=TMDTwoweekly,AO253,AO252)))</f>
        <v>0</v>
      </c>
      <c r="AP260" s="501"/>
      <c r="AQ260" s="505">
        <f>SUMIF($D$15:$AO$15,TMDPeriodValueTypeReported,D260:AO260)</f>
        <v>0</v>
      </c>
      <c r="AR260" s="505">
        <f>SUMIF($D$15:$AO$15,TMDPeriodValueTypeForecast,D260:AO260)</f>
        <v>0</v>
      </c>
      <c r="AS260" s="523">
        <f>'Delivery Calculation'!J34</f>
        <v>0</v>
      </c>
      <c r="AT260" s="505">
        <f>AS260-(AQ260+AR260)</f>
        <v>0</v>
      </c>
      <c r="AU260" s="505"/>
      <c r="AV260" s="510"/>
      <c r="AW260" s="452"/>
    </row>
    <row r="261" spans="1:49">
      <c r="A261" s="1184"/>
      <c r="B261" s="1181"/>
      <c r="C261" s="499" t="s">
        <v>608</v>
      </c>
      <c r="D261" s="509">
        <f>IF(D$15=TMDPeriodValueTypeForecast,IF('Delivery Calculation'!$H$34=TMDAllocationTandM,0,'Delivery Calculation'!M108),IF(MDReportingPeriod=TMDMonthly,D257,IF(MDReportingPeriod=TMDTwoweekly,D256,D255)))</f>
        <v>0</v>
      </c>
      <c r="E261" s="509">
        <f>IF(E$15=TMDPeriodValueTypeForecast,IF('Delivery Calculation'!$H$34=TMDAllocationTandM,0,'Delivery Calculation'!N108),IF(MDReportingPeriod=TMDMonthly,E257,IF(MDReportingPeriod=TMDTwoweekly,E256,E255)))</f>
        <v>0</v>
      </c>
      <c r="F261" s="509">
        <f>IF(F$15=TMDPeriodValueTypeForecast,IF('Delivery Calculation'!$H$34=TMDAllocationTandM,0,'Delivery Calculation'!O108),IF(MDReportingPeriod=TMDMonthly,F257,IF(MDReportingPeriod=TMDTwoweekly,F256,F255)))</f>
        <v>0</v>
      </c>
      <c r="G261" s="509">
        <f>IF(G$15=TMDPeriodValueTypeForecast,IF('Delivery Calculation'!$H$34=TMDAllocationTandM,0,'Delivery Calculation'!P108),IF(MDReportingPeriod=TMDMonthly,G257,IF(MDReportingPeriod=TMDTwoweekly,G256,G255)))</f>
        <v>0</v>
      </c>
      <c r="H261" s="509">
        <f>IF(H$15=TMDPeriodValueTypeForecast,IF('Delivery Calculation'!$H$34=TMDAllocationTandM,0,'Delivery Calculation'!Q108),IF(MDReportingPeriod=TMDMonthly,H257,IF(MDReportingPeriod=TMDTwoweekly,H256,H255)))</f>
        <v>0</v>
      </c>
      <c r="I261" s="509">
        <f>IF(I$15=TMDPeriodValueTypeForecast,IF('Delivery Calculation'!$H$34=TMDAllocationTandM,0,'Delivery Calculation'!R108),IF(MDReportingPeriod=TMDMonthly,I257,IF(MDReportingPeriod=TMDTwoweekly,I256,I255)))</f>
        <v>0</v>
      </c>
      <c r="J261" s="509">
        <f>IF(J$15=TMDPeriodValueTypeForecast,IF('Delivery Calculation'!$H$34=TMDAllocationTandM,0,'Delivery Calculation'!S108),IF(MDReportingPeriod=TMDMonthly,J257,IF(MDReportingPeriod=TMDTwoweekly,J256,J255)))</f>
        <v>0</v>
      </c>
      <c r="K261" s="509">
        <f>IF(K$15=TMDPeriodValueTypeForecast,IF('Delivery Calculation'!$H$34=TMDAllocationTandM,0,'Delivery Calculation'!T108),IF(MDReportingPeriod=TMDMonthly,K257,IF(MDReportingPeriod=TMDTwoweekly,K256,K255)))</f>
        <v>0</v>
      </c>
      <c r="L261" s="509">
        <f>IF(L$15=TMDPeriodValueTypeForecast,IF('Delivery Calculation'!$H$34=TMDAllocationTandM,0,'Delivery Calculation'!U108),IF(MDReportingPeriod=TMDMonthly,L257,IF(MDReportingPeriod=TMDTwoweekly,L256,L255)))</f>
        <v>0</v>
      </c>
      <c r="M261" s="509">
        <f>IF(M$15=TMDPeriodValueTypeForecast,IF('Delivery Calculation'!$H$34=TMDAllocationTandM,0,'Delivery Calculation'!V108),IF(MDReportingPeriod=TMDMonthly,M257,IF(MDReportingPeriod=TMDTwoweekly,M256,M255)))</f>
        <v>0</v>
      </c>
      <c r="N261" s="509">
        <f>IF(N$15=TMDPeriodValueTypeForecast,IF('Delivery Calculation'!$H$34=TMDAllocationTandM,0,'Delivery Calculation'!W108),IF(MDReportingPeriod=TMDMonthly,N257,IF(MDReportingPeriod=TMDTwoweekly,N256,N255)))</f>
        <v>0</v>
      </c>
      <c r="O261" s="509">
        <f>IF(O$15=TMDPeriodValueTypeForecast,IF('Delivery Calculation'!$H$34=TMDAllocationTandM,0,'Delivery Calculation'!X108),IF(MDReportingPeriod=TMDMonthly,O257,IF(MDReportingPeriod=TMDTwoweekly,O256,O255)))</f>
        <v>0</v>
      </c>
      <c r="P261" s="509">
        <f>IF(P$15=TMDPeriodValueTypeForecast,IF('Delivery Calculation'!$H$34=TMDAllocationTandM,0,'Delivery Calculation'!Y108),IF(MDReportingPeriod=TMDMonthly,P257,IF(MDReportingPeriod=TMDTwoweekly,P256,P255)))</f>
        <v>0</v>
      </c>
      <c r="Q261" s="509">
        <f>IF(Q$15=TMDPeriodValueTypeForecast,IF('Delivery Calculation'!$H$34=TMDAllocationTandM,0,'Delivery Calculation'!Z108),IF(MDReportingPeriod=TMDMonthly,Q257,IF(MDReportingPeriod=TMDTwoweekly,Q256,Q255)))</f>
        <v>0</v>
      </c>
      <c r="R261" s="509">
        <f>IF(R$15=TMDPeriodValueTypeForecast,IF('Delivery Calculation'!$H$34=TMDAllocationTandM,0,'Delivery Calculation'!AA108),IF(MDReportingPeriod=TMDMonthly,R257,IF(MDReportingPeriod=TMDTwoweekly,R256,R255)))</f>
        <v>0</v>
      </c>
      <c r="S261" s="509">
        <f>IF(S$15=TMDPeriodValueTypeForecast,IF('Delivery Calculation'!$H$34=TMDAllocationTandM,0,'Delivery Calculation'!AB108),IF(MDReportingPeriod=TMDMonthly,S257,IF(MDReportingPeriod=TMDTwoweekly,S256,S255)))</f>
        <v>0</v>
      </c>
      <c r="T261" s="509">
        <f>IF(T$15=TMDPeriodValueTypeForecast,IF('Delivery Calculation'!$H$34=TMDAllocationTandM,0,'Delivery Calculation'!AC108),IF(MDReportingPeriod=TMDMonthly,T257,IF(MDReportingPeriod=TMDTwoweekly,T256,T255)))</f>
        <v>0</v>
      </c>
      <c r="U261" s="509">
        <f>IF(U$15=TMDPeriodValueTypeForecast,IF('Delivery Calculation'!$H$34=TMDAllocationTandM,0,'Delivery Calculation'!AD108),IF(MDReportingPeriod=TMDMonthly,U257,IF(MDReportingPeriod=TMDTwoweekly,U256,U255)))</f>
        <v>0</v>
      </c>
      <c r="V261" s="509">
        <f>IF(V$15=TMDPeriodValueTypeForecast,IF('Delivery Calculation'!$H$34=TMDAllocationTandM,0,'Delivery Calculation'!AE108),IF(MDReportingPeriod=TMDMonthly,V257,IF(MDReportingPeriod=TMDTwoweekly,V256,V255)))</f>
        <v>0</v>
      </c>
      <c r="W261" s="509">
        <f>IF(W$15=TMDPeriodValueTypeForecast,IF('Delivery Calculation'!$H$34=TMDAllocationTandM,0,'Delivery Calculation'!AF108),IF(MDReportingPeriod=TMDMonthly,W257,IF(MDReportingPeriod=TMDTwoweekly,W256,W255)))</f>
        <v>0</v>
      </c>
      <c r="X261" s="509">
        <f>IF(X$15=TMDPeriodValueTypeForecast,IF('Delivery Calculation'!$H$34=TMDAllocationTandM,0,'Delivery Calculation'!AG108),IF(MDReportingPeriod=TMDMonthly,X257,IF(MDReportingPeriod=TMDTwoweekly,X256,X255)))</f>
        <v>0</v>
      </c>
      <c r="Y261" s="509">
        <f>IF(Y$15=TMDPeriodValueTypeForecast,IF('Delivery Calculation'!$H$34=TMDAllocationTandM,0,'Delivery Calculation'!AH108),IF(MDReportingPeriod=TMDMonthly,Y257,IF(MDReportingPeriod=TMDTwoweekly,Y256,Y255)))</f>
        <v>0</v>
      </c>
      <c r="Z261" s="509">
        <f>IF(Z$15=TMDPeriodValueTypeForecast,IF('Delivery Calculation'!$H$34=TMDAllocationTandM,0,'Delivery Calculation'!AI108),IF(MDReportingPeriod=TMDMonthly,Z257,IF(MDReportingPeriod=TMDTwoweekly,Z256,Z255)))</f>
        <v>0</v>
      </c>
      <c r="AA261" s="509">
        <f>IF(AA$15=TMDPeriodValueTypeForecast,IF('Delivery Calculation'!$H$34=TMDAllocationTandM,0,'Delivery Calculation'!AJ108),IF(MDReportingPeriod=TMDMonthly,AA257,IF(MDReportingPeriod=TMDTwoweekly,AA256,AA255)))</f>
        <v>0</v>
      </c>
      <c r="AB261" s="509">
        <f>IF(AB$15=TMDPeriodValueTypeForecast,IF('Delivery Calculation'!$H$34=TMDAllocationTandM,0,'Delivery Calculation'!AK108),IF(MDReportingPeriod=TMDMonthly,AB257,IF(MDReportingPeriod=TMDTwoweekly,AB256,AB255)))</f>
        <v>0</v>
      </c>
      <c r="AC261" s="509">
        <f>IF(AC$15=TMDPeriodValueTypeForecast,IF('Delivery Calculation'!$H$34=TMDAllocationTandM,0,'Delivery Calculation'!AL108),IF(MDReportingPeriod=TMDMonthly,AC257,IF(MDReportingPeriod=TMDTwoweekly,AC256,AC255)))</f>
        <v>0</v>
      </c>
      <c r="AD261" s="509">
        <f>IF(AD$15=TMDPeriodValueTypeForecast,IF('Delivery Calculation'!$H$34=TMDAllocationTandM,0,'Delivery Calculation'!AM108),IF(MDReportingPeriod=TMDMonthly,AD257,IF(MDReportingPeriod=TMDTwoweekly,AD256,AD255)))</f>
        <v>0</v>
      </c>
      <c r="AE261" s="509">
        <f>IF(AE$15=TMDPeriodValueTypeForecast,IF('Delivery Calculation'!$H$34=TMDAllocationTandM,0,'Delivery Calculation'!AN108),IF(MDReportingPeriod=TMDMonthly,AE257,IF(MDReportingPeriod=TMDTwoweekly,AE256,AE255)))</f>
        <v>0</v>
      </c>
      <c r="AF261" s="509">
        <f>IF(AF$15=TMDPeriodValueTypeForecast,IF('Delivery Calculation'!$H$34=TMDAllocationTandM,0,'Delivery Calculation'!AO108),IF(MDReportingPeriod=TMDMonthly,AF257,IF(MDReportingPeriod=TMDTwoweekly,AF256,AF255)))</f>
        <v>0</v>
      </c>
      <c r="AG261" s="509">
        <f>IF(AG$15=TMDPeriodValueTypeForecast,IF('Delivery Calculation'!$H$34=TMDAllocationTandM,0,'Delivery Calculation'!AP108),IF(MDReportingPeriod=TMDMonthly,AG257,IF(MDReportingPeriod=TMDTwoweekly,AG256,AG255)))</f>
        <v>0</v>
      </c>
      <c r="AH261" s="509">
        <f>IF(AH$15=TMDPeriodValueTypeForecast,IF('Delivery Calculation'!$H$34=TMDAllocationTandM,0,'Delivery Calculation'!AQ108),IF(MDReportingPeriod=TMDMonthly,AH257,IF(MDReportingPeriod=TMDTwoweekly,AH256,AH255)))</f>
        <v>0</v>
      </c>
      <c r="AI261" s="509">
        <f>IF(AI$15=TMDPeriodValueTypeForecast,IF('Delivery Calculation'!$H$34=TMDAllocationTandM,0,'Delivery Calculation'!AR108),IF(MDReportingPeriod=TMDMonthly,AI257,IF(MDReportingPeriod=TMDTwoweekly,AI256,AI255)))</f>
        <v>0</v>
      </c>
      <c r="AJ261" s="509">
        <f>IF(AJ$15=TMDPeriodValueTypeForecast,IF('Delivery Calculation'!$H$34=TMDAllocationTandM,0,'Delivery Calculation'!AS108),IF(MDReportingPeriod=TMDMonthly,AJ257,IF(MDReportingPeriod=TMDTwoweekly,AJ256,AJ255)))</f>
        <v>0</v>
      </c>
      <c r="AK261" s="509">
        <f>IF(AK$15=TMDPeriodValueTypeForecast,IF('Delivery Calculation'!$H$34=TMDAllocationTandM,0,'Delivery Calculation'!AT108),IF(MDReportingPeriod=TMDMonthly,AK257,IF(MDReportingPeriod=TMDTwoweekly,AK256,AK255)))</f>
        <v>0</v>
      </c>
      <c r="AL261" s="509">
        <f>IF(AL$15=TMDPeriodValueTypeForecast,IF('Delivery Calculation'!$H$34=TMDAllocationTandM,0,'Delivery Calculation'!AU108),IF(MDReportingPeriod=TMDMonthly,AL257,IF(MDReportingPeriod=TMDTwoweekly,AL256,AL255)))</f>
        <v>0</v>
      </c>
      <c r="AM261" s="509">
        <f>IF(AM$15=TMDPeriodValueTypeForecast,IF('Delivery Calculation'!$H$34=TMDAllocationTandM,0,'Delivery Calculation'!AV108),IF(MDReportingPeriod=TMDMonthly,AM257,IF(MDReportingPeriod=TMDTwoweekly,AM256,AM255)))</f>
        <v>0</v>
      </c>
      <c r="AN261" s="509">
        <f>IF(AN$15=TMDPeriodValueTypeForecast,IF('Delivery Calculation'!$H$34=TMDAllocationTandM,0,'Delivery Calculation'!AW108),IF(MDReportingPeriod=TMDMonthly,AN257,IF(MDReportingPeriod=TMDTwoweekly,AN256,AN255)))</f>
        <v>0</v>
      </c>
      <c r="AO261" s="509">
        <f>IF(AO$15=TMDPeriodValueTypeForecast,IF('Delivery Calculation'!$H$34=TMDAllocationTandM,0,'Delivery Calculation'!AX108),IF(MDReportingPeriod=TMDMonthly,AO257,IF(MDReportingPeriod=TMDTwoweekly,AO256,AO255)))</f>
        <v>0</v>
      </c>
      <c r="AP261" s="501"/>
      <c r="AQ261" s="505">
        <f>SUMIF($D$15:$AO$15,TMDPeriodValueTypeReported,D261:AO261)</f>
        <v>0</v>
      </c>
      <c r="AR261" s="505">
        <f>SUMIF($D$15:$AO$15,TMDPeriodValueTypeForecast,D261:AO261)</f>
        <v>0</v>
      </c>
      <c r="AS261" s="523">
        <f>'Delivery Calculation'!I34</f>
        <v>0</v>
      </c>
      <c r="AT261" s="505">
        <f>AS261-(AQ261+AR261)</f>
        <v>0</v>
      </c>
      <c r="AU261" s="505"/>
      <c r="AV261" s="510"/>
      <c r="AW261" s="452"/>
    </row>
    <row r="262" spans="1:49">
      <c r="A262" s="1185"/>
      <c r="B262" s="1182"/>
      <c r="C262" s="499" t="s">
        <v>609</v>
      </c>
      <c r="D262" s="509"/>
      <c r="E262" s="509"/>
      <c r="F262" s="509"/>
      <c r="G262" s="509"/>
      <c r="H262" s="509"/>
      <c r="I262" s="509"/>
      <c r="J262" s="509"/>
      <c r="K262" s="509"/>
      <c r="L262" s="509"/>
      <c r="M262" s="509"/>
      <c r="N262" s="509"/>
      <c r="O262" s="509"/>
      <c r="P262" s="509"/>
      <c r="Q262" s="509"/>
      <c r="R262" s="509"/>
      <c r="S262" s="509"/>
      <c r="T262" s="509"/>
      <c r="U262" s="509"/>
      <c r="V262" s="509"/>
      <c r="W262" s="509"/>
      <c r="X262" s="509"/>
      <c r="Y262" s="509"/>
      <c r="Z262" s="509"/>
      <c r="AA262" s="509"/>
      <c r="AB262" s="509"/>
      <c r="AC262" s="509"/>
      <c r="AD262" s="509"/>
      <c r="AE262" s="509"/>
      <c r="AF262" s="509"/>
      <c r="AG262" s="509"/>
      <c r="AH262" s="509"/>
      <c r="AI262" s="509"/>
      <c r="AJ262" s="509"/>
      <c r="AK262" s="509"/>
      <c r="AL262" s="509"/>
      <c r="AM262" s="509"/>
      <c r="AN262" s="509"/>
      <c r="AO262" s="509"/>
      <c r="AP262" s="501"/>
      <c r="AQ262" s="505">
        <f>SUMIF($D$15:$AO$15,TMDPeriodValueTypeReported,D262:AO262)</f>
        <v>0</v>
      </c>
      <c r="AR262" s="505">
        <f>SUMIF($D$15:$AO$15,TMDPeriodValueTypeForecast,D262:AO262)</f>
        <v>0</v>
      </c>
      <c r="AS262" s="505"/>
      <c r="AT262" s="505">
        <f>AQ262+AR262</f>
        <v>0</v>
      </c>
      <c r="AU262" s="505"/>
      <c r="AV262" s="510"/>
      <c r="AW262" s="452"/>
    </row>
    <row r="263" spans="1:49" hidden="1">
      <c r="A263" s="143"/>
      <c r="B263" s="483"/>
      <c r="C263" s="496" t="s">
        <v>1339</v>
      </c>
      <c r="D263" s="516">
        <f t="shared" ref="D263:AO263" si="132">IF(ISERR(GETPIVOTDATA("[Measures].[Hours]",TRIMARANweekly,"[Order].[Position Number]","[Order].[Position Number].&amp;[" &amp; $B270 &amp; "]","[Period].[Week]","[Period].[Week].&amp;[" &amp; YEAR(D$14-7) &amp; TEXT(WEEKNUM(D$14-7),"00") &amp; "]")),0,GETPIVOTDATA("[Measures].[Hours]",TRIMARANweekly,"[Order].[Position Number]","[Order].[Position Number].&amp;[" &amp; $B270 &amp; "]","[Period].[Week]","[Period].[Week].&amp;[" &amp; YEAR(D$14-7) &amp; TEXT(WEEKNUM(D$14-7),"00") &amp; "]"))</f>
        <v>0</v>
      </c>
      <c r="E263" s="516">
        <f t="shared" si="132"/>
        <v>0</v>
      </c>
      <c r="F263" s="516">
        <f t="shared" si="132"/>
        <v>0</v>
      </c>
      <c r="G263" s="516">
        <f t="shared" si="132"/>
        <v>0</v>
      </c>
      <c r="H263" s="516">
        <f t="shared" si="132"/>
        <v>0</v>
      </c>
      <c r="I263" s="516">
        <f t="shared" si="132"/>
        <v>0</v>
      </c>
      <c r="J263" s="516">
        <f t="shared" si="132"/>
        <v>0</v>
      </c>
      <c r="K263" s="516">
        <f t="shared" si="132"/>
        <v>0</v>
      </c>
      <c r="L263" s="516">
        <f t="shared" si="132"/>
        <v>0</v>
      </c>
      <c r="M263" s="516">
        <f t="shared" si="132"/>
        <v>0</v>
      </c>
      <c r="N263" s="516">
        <f t="shared" si="132"/>
        <v>0</v>
      </c>
      <c r="O263" s="516">
        <f t="shared" si="132"/>
        <v>0</v>
      </c>
      <c r="P263" s="516">
        <f t="shared" si="132"/>
        <v>0</v>
      </c>
      <c r="Q263" s="516">
        <f t="shared" si="132"/>
        <v>0</v>
      </c>
      <c r="R263" s="516">
        <f t="shared" si="132"/>
        <v>0</v>
      </c>
      <c r="S263" s="516">
        <f t="shared" si="132"/>
        <v>0</v>
      </c>
      <c r="T263" s="516">
        <f t="shared" si="132"/>
        <v>0</v>
      </c>
      <c r="U263" s="516">
        <f t="shared" si="132"/>
        <v>0</v>
      </c>
      <c r="V263" s="516">
        <f t="shared" si="132"/>
        <v>0</v>
      </c>
      <c r="W263" s="516">
        <f t="shared" si="132"/>
        <v>0</v>
      </c>
      <c r="X263" s="516">
        <f t="shared" si="132"/>
        <v>0</v>
      </c>
      <c r="Y263" s="516">
        <f t="shared" si="132"/>
        <v>0</v>
      </c>
      <c r="Z263" s="516">
        <f t="shared" si="132"/>
        <v>0</v>
      </c>
      <c r="AA263" s="516">
        <f t="shared" si="132"/>
        <v>0</v>
      </c>
      <c r="AB263" s="516">
        <f t="shared" si="132"/>
        <v>0</v>
      </c>
      <c r="AC263" s="516">
        <f t="shared" si="132"/>
        <v>0</v>
      </c>
      <c r="AD263" s="516">
        <f t="shared" si="132"/>
        <v>0</v>
      </c>
      <c r="AE263" s="516">
        <f t="shared" si="132"/>
        <v>0</v>
      </c>
      <c r="AF263" s="516">
        <f t="shared" si="132"/>
        <v>0</v>
      </c>
      <c r="AG263" s="516">
        <f t="shared" si="132"/>
        <v>0</v>
      </c>
      <c r="AH263" s="516">
        <f t="shared" si="132"/>
        <v>0</v>
      </c>
      <c r="AI263" s="516">
        <f t="shared" si="132"/>
        <v>0</v>
      </c>
      <c r="AJ263" s="516">
        <f t="shared" si="132"/>
        <v>0</v>
      </c>
      <c r="AK263" s="516">
        <f t="shared" si="132"/>
        <v>0</v>
      </c>
      <c r="AL263" s="516">
        <f t="shared" si="132"/>
        <v>0</v>
      </c>
      <c r="AM263" s="516">
        <f t="shared" si="132"/>
        <v>0</v>
      </c>
      <c r="AN263" s="516">
        <f t="shared" si="132"/>
        <v>0</v>
      </c>
      <c r="AO263" s="516">
        <f t="shared" si="132"/>
        <v>0</v>
      </c>
      <c r="AP263" s="501"/>
      <c r="AQ263" s="505"/>
      <c r="AR263" s="505"/>
      <c r="AS263" s="505"/>
      <c r="AT263" s="505"/>
      <c r="AU263" s="505"/>
      <c r="AV263" s="510"/>
      <c r="AW263" s="452"/>
    </row>
    <row r="264" spans="1:49" hidden="1">
      <c r="A264" s="143"/>
      <c r="B264" s="483"/>
      <c r="C264" s="496" t="s">
        <v>1340</v>
      </c>
      <c r="D264" s="516">
        <f t="shared" ref="D264:AO264" si="133">IF(ISERR(GETPIVOTDATA("[Measures].[Hours]",TRIMARANweekly,"[Order].[Position Number]","[Order].[Position Number].&amp;[" &amp; $B270 &amp; "]","[Period].[Week]","[Period].[Week].&amp;[" &amp; YEAR(D$14-14) &amp; TEXT(WEEKNUM(D$14-14),"00") &amp; "]")),0,GETPIVOTDATA("[Measures].[Hours]",TRIMARANweekly,"[Order].[Position Number]","[Order].[Position Number].&amp;[" &amp; $B270 &amp; "]","[Period].[Week]","[Period].[Week].&amp;[" &amp; YEAR(D$14-14) &amp; TEXT(WEEKNUM(D$14-14),"00") &amp; "]"))+D263</f>
        <v>0</v>
      </c>
      <c r="E264" s="516">
        <f t="shared" si="133"/>
        <v>0</v>
      </c>
      <c r="F264" s="516">
        <f t="shared" si="133"/>
        <v>0</v>
      </c>
      <c r="G264" s="516">
        <f t="shared" si="133"/>
        <v>0</v>
      </c>
      <c r="H264" s="516">
        <f t="shared" si="133"/>
        <v>0</v>
      </c>
      <c r="I264" s="516">
        <f t="shared" si="133"/>
        <v>0</v>
      </c>
      <c r="J264" s="516">
        <f t="shared" si="133"/>
        <v>0</v>
      </c>
      <c r="K264" s="516">
        <f t="shared" si="133"/>
        <v>0</v>
      </c>
      <c r="L264" s="516">
        <f t="shared" si="133"/>
        <v>0</v>
      </c>
      <c r="M264" s="516">
        <f t="shared" si="133"/>
        <v>0</v>
      </c>
      <c r="N264" s="516">
        <f t="shared" si="133"/>
        <v>0</v>
      </c>
      <c r="O264" s="516">
        <f t="shared" si="133"/>
        <v>0</v>
      </c>
      <c r="P264" s="516">
        <f t="shared" si="133"/>
        <v>0</v>
      </c>
      <c r="Q264" s="516">
        <f t="shared" si="133"/>
        <v>0</v>
      </c>
      <c r="R264" s="516">
        <f t="shared" si="133"/>
        <v>0</v>
      </c>
      <c r="S264" s="516">
        <f t="shared" si="133"/>
        <v>0</v>
      </c>
      <c r="T264" s="516">
        <f t="shared" si="133"/>
        <v>0</v>
      </c>
      <c r="U264" s="516">
        <f t="shared" si="133"/>
        <v>0</v>
      </c>
      <c r="V264" s="516">
        <f t="shared" si="133"/>
        <v>0</v>
      </c>
      <c r="W264" s="516">
        <f t="shared" si="133"/>
        <v>0</v>
      </c>
      <c r="X264" s="516">
        <f t="shared" si="133"/>
        <v>0</v>
      </c>
      <c r="Y264" s="516">
        <f t="shared" si="133"/>
        <v>0</v>
      </c>
      <c r="Z264" s="516">
        <f t="shared" si="133"/>
        <v>0</v>
      </c>
      <c r="AA264" s="516">
        <f t="shared" si="133"/>
        <v>0</v>
      </c>
      <c r="AB264" s="516">
        <f t="shared" si="133"/>
        <v>0</v>
      </c>
      <c r="AC264" s="516">
        <f t="shared" si="133"/>
        <v>0</v>
      </c>
      <c r="AD264" s="516">
        <f t="shared" si="133"/>
        <v>0</v>
      </c>
      <c r="AE264" s="516">
        <f t="shared" si="133"/>
        <v>0</v>
      </c>
      <c r="AF264" s="516">
        <f t="shared" si="133"/>
        <v>0</v>
      </c>
      <c r="AG264" s="516">
        <f t="shared" si="133"/>
        <v>0</v>
      </c>
      <c r="AH264" s="516">
        <f t="shared" si="133"/>
        <v>0</v>
      </c>
      <c r="AI264" s="516">
        <f t="shared" si="133"/>
        <v>0</v>
      </c>
      <c r="AJ264" s="516">
        <f t="shared" si="133"/>
        <v>0</v>
      </c>
      <c r="AK264" s="516">
        <f t="shared" si="133"/>
        <v>0</v>
      </c>
      <c r="AL264" s="516">
        <f t="shared" si="133"/>
        <v>0</v>
      </c>
      <c r="AM264" s="516">
        <f t="shared" si="133"/>
        <v>0</v>
      </c>
      <c r="AN264" s="516">
        <f t="shared" si="133"/>
        <v>0</v>
      </c>
      <c r="AO264" s="516">
        <f t="shared" si="133"/>
        <v>0</v>
      </c>
      <c r="AP264" s="501"/>
      <c r="AQ264" s="505"/>
      <c r="AR264" s="505"/>
      <c r="AS264" s="505"/>
      <c r="AT264" s="505"/>
      <c r="AU264" s="505"/>
      <c r="AV264" s="510"/>
      <c r="AW264" s="452"/>
    </row>
    <row r="265" spans="1:49" hidden="1">
      <c r="A265" s="143"/>
      <c r="B265" s="483"/>
      <c r="C265" s="496" t="s">
        <v>1341</v>
      </c>
      <c r="D265" s="516">
        <f t="shared" ref="D265:AO265" si="134">IF(ISERR(GETPIVOTDATA("[Measures].[Hours]",TRIMARANmonthly,"[Period].[Month]","[Period].[Month].&amp;["&amp;IF(MONTH(D$14)=1,YEAR(D$14)-1&amp;TEXT(12,"00"),YEAR(D$14)&amp;TEXT(MONTH(D$14)-1,"00"))&amp;"]","[Order].[Position Number]","[Order].[Position Number].&amp;["&amp;$B270&amp;"]")),0,GETPIVOTDATA("[Measures].[Hours]",TRIMARANmonthly,"[Period].[Month]","[Period].[Month].&amp;["&amp;IF(MONTH(D$14)=1,YEAR(D$14)-1&amp;TEXT(12,"00"),YEAR(D$14)&amp;TEXT(MONTH(D$14)-1,"00"))&amp;"]","[Order].[Position Number]","[Order].[Position Number].&amp;["&amp;$B270&amp;"]"))</f>
        <v>0</v>
      </c>
      <c r="E265" s="516">
        <f t="shared" si="134"/>
        <v>0</v>
      </c>
      <c r="F265" s="516">
        <f t="shared" si="134"/>
        <v>0</v>
      </c>
      <c r="G265" s="516">
        <f t="shared" si="134"/>
        <v>0</v>
      </c>
      <c r="H265" s="516">
        <f t="shared" si="134"/>
        <v>0</v>
      </c>
      <c r="I265" s="516">
        <f t="shared" si="134"/>
        <v>0</v>
      </c>
      <c r="J265" s="516">
        <f t="shared" si="134"/>
        <v>0</v>
      </c>
      <c r="K265" s="516">
        <f t="shared" si="134"/>
        <v>0</v>
      </c>
      <c r="L265" s="516">
        <f t="shared" si="134"/>
        <v>0</v>
      </c>
      <c r="M265" s="516">
        <f t="shared" si="134"/>
        <v>0</v>
      </c>
      <c r="N265" s="516">
        <f t="shared" si="134"/>
        <v>0</v>
      </c>
      <c r="O265" s="516">
        <f t="shared" si="134"/>
        <v>0</v>
      </c>
      <c r="P265" s="516">
        <f t="shared" si="134"/>
        <v>0</v>
      </c>
      <c r="Q265" s="516">
        <f t="shared" si="134"/>
        <v>0</v>
      </c>
      <c r="R265" s="516">
        <f t="shared" si="134"/>
        <v>0</v>
      </c>
      <c r="S265" s="516">
        <f t="shared" si="134"/>
        <v>0</v>
      </c>
      <c r="T265" s="516">
        <f t="shared" si="134"/>
        <v>0</v>
      </c>
      <c r="U265" s="516">
        <f t="shared" si="134"/>
        <v>0</v>
      </c>
      <c r="V265" s="516">
        <f t="shared" si="134"/>
        <v>0</v>
      </c>
      <c r="W265" s="516">
        <f t="shared" si="134"/>
        <v>0</v>
      </c>
      <c r="X265" s="516">
        <f t="shared" si="134"/>
        <v>0</v>
      </c>
      <c r="Y265" s="516">
        <f t="shared" si="134"/>
        <v>0</v>
      </c>
      <c r="Z265" s="516">
        <f t="shared" si="134"/>
        <v>0</v>
      </c>
      <c r="AA265" s="516">
        <f t="shared" si="134"/>
        <v>0</v>
      </c>
      <c r="AB265" s="516">
        <f t="shared" si="134"/>
        <v>0</v>
      </c>
      <c r="AC265" s="516">
        <f t="shared" si="134"/>
        <v>0</v>
      </c>
      <c r="AD265" s="516">
        <f t="shared" si="134"/>
        <v>0</v>
      </c>
      <c r="AE265" s="516">
        <f t="shared" si="134"/>
        <v>0</v>
      </c>
      <c r="AF265" s="516">
        <f t="shared" si="134"/>
        <v>0</v>
      </c>
      <c r="AG265" s="516">
        <f t="shared" si="134"/>
        <v>0</v>
      </c>
      <c r="AH265" s="516">
        <f t="shared" si="134"/>
        <v>0</v>
      </c>
      <c r="AI265" s="516">
        <f t="shared" si="134"/>
        <v>0</v>
      </c>
      <c r="AJ265" s="516">
        <f t="shared" si="134"/>
        <v>0</v>
      </c>
      <c r="AK265" s="516">
        <f t="shared" si="134"/>
        <v>0</v>
      </c>
      <c r="AL265" s="516">
        <f t="shared" si="134"/>
        <v>0</v>
      </c>
      <c r="AM265" s="516">
        <f t="shared" si="134"/>
        <v>0</v>
      </c>
      <c r="AN265" s="516">
        <f t="shared" si="134"/>
        <v>0</v>
      </c>
      <c r="AO265" s="516">
        <f t="shared" si="134"/>
        <v>0</v>
      </c>
      <c r="AP265" s="501"/>
      <c r="AQ265" s="505"/>
      <c r="AR265" s="505"/>
      <c r="AS265" s="505"/>
      <c r="AT265" s="505"/>
      <c r="AU265" s="505"/>
      <c r="AV265" s="510"/>
      <c r="AW265" s="452"/>
    </row>
    <row r="266" spans="1:49" hidden="1">
      <c r="A266" s="143"/>
      <c r="B266" s="483"/>
      <c r="C266" s="496" t="s">
        <v>1339</v>
      </c>
      <c r="D266" s="516">
        <f t="shared" ref="D266:AO266" si="135">IF(ISERR(GETPIVOTDATA("[Measures].[" &amp; MDContractCurrency &amp; "]",TRIMARANweekly,"[Order].[Position Number]","[Order].[Position Number].&amp;[" &amp; $B270 &amp; "]","[Period].[Week]","[Period].[Week].&amp;[" &amp; YEAR(D$14-7) &amp; TEXT(WEEKNUM(D$14-7),"00") &amp; "]")),0,GETPIVOTDATA("[Measures].[" &amp; MDContractCurrency &amp; "]",TRIMARANweekly,"[Order].[Position Number]","[Order].[Position Number].&amp;[" &amp; $B270 &amp; "]","[Period].[Week]","[Period].[Week].&amp;[" &amp; YEAR(D$14-7) &amp; TEXT(WEEKNUM(D$14-7),"00") &amp; "]"))</f>
        <v>0</v>
      </c>
      <c r="E266" s="516">
        <f t="shared" si="135"/>
        <v>0</v>
      </c>
      <c r="F266" s="516">
        <f t="shared" si="135"/>
        <v>0</v>
      </c>
      <c r="G266" s="516">
        <f t="shared" si="135"/>
        <v>0</v>
      </c>
      <c r="H266" s="516">
        <f t="shared" si="135"/>
        <v>0</v>
      </c>
      <c r="I266" s="516">
        <f t="shared" si="135"/>
        <v>0</v>
      </c>
      <c r="J266" s="516">
        <f t="shared" si="135"/>
        <v>0</v>
      </c>
      <c r="K266" s="516">
        <f t="shared" si="135"/>
        <v>0</v>
      </c>
      <c r="L266" s="516">
        <f t="shared" si="135"/>
        <v>0</v>
      </c>
      <c r="M266" s="516">
        <f t="shared" si="135"/>
        <v>0</v>
      </c>
      <c r="N266" s="516">
        <f t="shared" si="135"/>
        <v>0</v>
      </c>
      <c r="O266" s="516">
        <f t="shared" si="135"/>
        <v>0</v>
      </c>
      <c r="P266" s="516">
        <f t="shared" si="135"/>
        <v>0</v>
      </c>
      <c r="Q266" s="516">
        <f t="shared" si="135"/>
        <v>0</v>
      </c>
      <c r="R266" s="516">
        <f t="shared" si="135"/>
        <v>0</v>
      </c>
      <c r="S266" s="516">
        <f t="shared" si="135"/>
        <v>0</v>
      </c>
      <c r="T266" s="516">
        <f t="shared" si="135"/>
        <v>0</v>
      </c>
      <c r="U266" s="516">
        <f t="shared" si="135"/>
        <v>0</v>
      </c>
      <c r="V266" s="516">
        <f t="shared" si="135"/>
        <v>0</v>
      </c>
      <c r="W266" s="516">
        <f t="shared" si="135"/>
        <v>0</v>
      </c>
      <c r="X266" s="516">
        <f t="shared" si="135"/>
        <v>0</v>
      </c>
      <c r="Y266" s="516">
        <f t="shared" si="135"/>
        <v>0</v>
      </c>
      <c r="Z266" s="516">
        <f t="shared" si="135"/>
        <v>0</v>
      </c>
      <c r="AA266" s="516">
        <f t="shared" si="135"/>
        <v>0</v>
      </c>
      <c r="AB266" s="516">
        <f t="shared" si="135"/>
        <v>0</v>
      </c>
      <c r="AC266" s="516">
        <f t="shared" si="135"/>
        <v>0</v>
      </c>
      <c r="AD266" s="516">
        <f t="shared" si="135"/>
        <v>0</v>
      </c>
      <c r="AE266" s="516">
        <f t="shared" si="135"/>
        <v>0</v>
      </c>
      <c r="AF266" s="516">
        <f t="shared" si="135"/>
        <v>0</v>
      </c>
      <c r="AG266" s="516">
        <f t="shared" si="135"/>
        <v>0</v>
      </c>
      <c r="AH266" s="516">
        <f t="shared" si="135"/>
        <v>0</v>
      </c>
      <c r="AI266" s="516">
        <f t="shared" si="135"/>
        <v>0</v>
      </c>
      <c r="AJ266" s="516">
        <f t="shared" si="135"/>
        <v>0</v>
      </c>
      <c r="AK266" s="516">
        <f t="shared" si="135"/>
        <v>0</v>
      </c>
      <c r="AL266" s="516">
        <f t="shared" si="135"/>
        <v>0</v>
      </c>
      <c r="AM266" s="516">
        <f t="shared" si="135"/>
        <v>0</v>
      </c>
      <c r="AN266" s="516">
        <f t="shared" si="135"/>
        <v>0</v>
      </c>
      <c r="AO266" s="516">
        <f t="shared" si="135"/>
        <v>0</v>
      </c>
      <c r="AP266" s="501"/>
      <c r="AQ266" s="505"/>
      <c r="AR266" s="505"/>
      <c r="AS266" s="505"/>
      <c r="AT266" s="505"/>
      <c r="AU266" s="505"/>
      <c r="AV266" s="510"/>
      <c r="AW266" s="452"/>
    </row>
    <row r="267" spans="1:49" hidden="1">
      <c r="A267" s="143"/>
      <c r="B267" s="483"/>
      <c r="C267" s="496" t="s">
        <v>1340</v>
      </c>
      <c r="D267" s="516">
        <f t="shared" ref="D267:AO267" si="136">IF(ISERR(GETPIVOTDATA("[Measures].[" &amp; MDContractCurrency &amp; "]",TRIMARANweekly,"[Order].[Position Number]","[Order].[Position Number].&amp;[" &amp; $B270 &amp; "]","[Period].[Week]","[Period].[Week].&amp;[" &amp; YEAR(D$14-14) &amp; TEXT(WEEKNUM(D$14-14),"00") &amp; "]")),0,GETPIVOTDATA("[Measures].[" &amp; MDContractCurrency &amp; "]",TRIMARANweekly,"[Order].[Position Number]","[Order].[Position Number].&amp;[" &amp; $B270 &amp; "]","[Period].[Week]","[Period].[Week].&amp;[" &amp; YEAR(D$14-14) &amp; TEXT(WEEKNUM(D$14-14),"00") &amp; "]"))+D266</f>
        <v>0</v>
      </c>
      <c r="E267" s="516">
        <f t="shared" si="136"/>
        <v>0</v>
      </c>
      <c r="F267" s="516">
        <f t="shared" si="136"/>
        <v>0</v>
      </c>
      <c r="G267" s="516">
        <f t="shared" si="136"/>
        <v>0</v>
      </c>
      <c r="H267" s="516">
        <f t="shared" si="136"/>
        <v>0</v>
      </c>
      <c r="I267" s="516">
        <f t="shared" si="136"/>
        <v>0</v>
      </c>
      <c r="J267" s="516">
        <f t="shared" si="136"/>
        <v>0</v>
      </c>
      <c r="K267" s="516">
        <f t="shared" si="136"/>
        <v>0</v>
      </c>
      <c r="L267" s="516">
        <f t="shared" si="136"/>
        <v>0</v>
      </c>
      <c r="M267" s="516">
        <f t="shared" si="136"/>
        <v>0</v>
      </c>
      <c r="N267" s="516">
        <f t="shared" si="136"/>
        <v>0</v>
      </c>
      <c r="O267" s="516">
        <f t="shared" si="136"/>
        <v>0</v>
      </c>
      <c r="P267" s="516">
        <f t="shared" si="136"/>
        <v>0</v>
      </c>
      <c r="Q267" s="516">
        <f t="shared" si="136"/>
        <v>0</v>
      </c>
      <c r="R267" s="516">
        <f t="shared" si="136"/>
        <v>0</v>
      </c>
      <c r="S267" s="516">
        <f t="shared" si="136"/>
        <v>0</v>
      </c>
      <c r="T267" s="516">
        <f t="shared" si="136"/>
        <v>0</v>
      </c>
      <c r="U267" s="516">
        <f t="shared" si="136"/>
        <v>0</v>
      </c>
      <c r="V267" s="516">
        <f t="shared" si="136"/>
        <v>0</v>
      </c>
      <c r="W267" s="516">
        <f t="shared" si="136"/>
        <v>0</v>
      </c>
      <c r="X267" s="516">
        <f t="shared" si="136"/>
        <v>0</v>
      </c>
      <c r="Y267" s="516">
        <f t="shared" si="136"/>
        <v>0</v>
      </c>
      <c r="Z267" s="516">
        <f t="shared" si="136"/>
        <v>0</v>
      </c>
      <c r="AA267" s="516">
        <f t="shared" si="136"/>
        <v>0</v>
      </c>
      <c r="AB267" s="516">
        <f t="shared" si="136"/>
        <v>0</v>
      </c>
      <c r="AC267" s="516">
        <f t="shared" si="136"/>
        <v>0</v>
      </c>
      <c r="AD267" s="516">
        <f t="shared" si="136"/>
        <v>0</v>
      </c>
      <c r="AE267" s="516">
        <f t="shared" si="136"/>
        <v>0</v>
      </c>
      <c r="AF267" s="516">
        <f t="shared" si="136"/>
        <v>0</v>
      </c>
      <c r="AG267" s="516">
        <f t="shared" si="136"/>
        <v>0</v>
      </c>
      <c r="AH267" s="516">
        <f t="shared" si="136"/>
        <v>0</v>
      </c>
      <c r="AI267" s="516">
        <f t="shared" si="136"/>
        <v>0</v>
      </c>
      <c r="AJ267" s="516">
        <f t="shared" si="136"/>
        <v>0</v>
      </c>
      <c r="AK267" s="516">
        <f t="shared" si="136"/>
        <v>0</v>
      </c>
      <c r="AL267" s="516">
        <f t="shared" si="136"/>
        <v>0</v>
      </c>
      <c r="AM267" s="516">
        <f t="shared" si="136"/>
        <v>0</v>
      </c>
      <c r="AN267" s="516">
        <f t="shared" si="136"/>
        <v>0</v>
      </c>
      <c r="AO267" s="516">
        <f t="shared" si="136"/>
        <v>0</v>
      </c>
      <c r="AP267" s="501"/>
      <c r="AQ267" s="505"/>
      <c r="AR267" s="505"/>
      <c r="AS267" s="505"/>
      <c r="AT267" s="505"/>
      <c r="AU267" s="505"/>
      <c r="AV267" s="510"/>
      <c r="AW267" s="452"/>
    </row>
    <row r="268" spans="1:49" hidden="1">
      <c r="A268" s="141"/>
      <c r="B268" s="517"/>
      <c r="C268" s="496" t="s">
        <v>1341</v>
      </c>
      <c r="D268" s="516">
        <f t="shared" ref="D268:AO268" si="137">IF(ISERR(GETPIVOTDATA("[Measures].[" &amp; MDContractCurrency &amp; "]",TRIMARANmonthly,"[Period].[Month]","[Period].[Month].&amp;["&amp;IF(MONTH(D$14)=1,YEAR(D$14)-1&amp;TEXT(12,"00"),YEAR(D$14)&amp;TEXT(MONTH(D$14)-1,"00"))&amp;"]","[Order].[Position Number]","[Order].[Position Number].&amp;["&amp;$B270&amp;"]")),0,GETPIVOTDATA("[Measures].[" &amp; MDContractCurrency &amp; "]",TRIMARANmonthly,"[Period].[Month]","[Period].[Month].&amp;["&amp;IF(MONTH(D$14)=1,YEAR(D$14)-1&amp;TEXT(12,"00"),YEAR(D$14)&amp;TEXT(MONTH(D$14)-1,"00"))&amp;"]","[Order].[Position Number]","[Order].[Position Number].&amp;["&amp;$B270&amp;"]"))</f>
        <v>0</v>
      </c>
      <c r="E268" s="516">
        <f t="shared" si="137"/>
        <v>0</v>
      </c>
      <c r="F268" s="516">
        <f t="shared" si="137"/>
        <v>0</v>
      </c>
      <c r="G268" s="516">
        <f t="shared" si="137"/>
        <v>0</v>
      </c>
      <c r="H268" s="516">
        <f t="shared" si="137"/>
        <v>0</v>
      </c>
      <c r="I268" s="516">
        <f t="shared" si="137"/>
        <v>0</v>
      </c>
      <c r="J268" s="516">
        <f t="shared" si="137"/>
        <v>0</v>
      </c>
      <c r="K268" s="516">
        <f t="shared" si="137"/>
        <v>0</v>
      </c>
      <c r="L268" s="516">
        <f t="shared" si="137"/>
        <v>0</v>
      </c>
      <c r="M268" s="516">
        <f t="shared" si="137"/>
        <v>0</v>
      </c>
      <c r="N268" s="516">
        <f t="shared" si="137"/>
        <v>0</v>
      </c>
      <c r="O268" s="516">
        <f t="shared" si="137"/>
        <v>0</v>
      </c>
      <c r="P268" s="516">
        <f t="shared" si="137"/>
        <v>0</v>
      </c>
      <c r="Q268" s="516">
        <f t="shared" si="137"/>
        <v>0</v>
      </c>
      <c r="R268" s="516">
        <f t="shared" si="137"/>
        <v>0</v>
      </c>
      <c r="S268" s="516">
        <f t="shared" si="137"/>
        <v>0</v>
      </c>
      <c r="T268" s="516">
        <f t="shared" si="137"/>
        <v>0</v>
      </c>
      <c r="U268" s="516">
        <f t="shared" si="137"/>
        <v>0</v>
      </c>
      <c r="V268" s="516">
        <f t="shared" si="137"/>
        <v>0</v>
      </c>
      <c r="W268" s="516">
        <f t="shared" si="137"/>
        <v>0</v>
      </c>
      <c r="X268" s="516">
        <f t="shared" si="137"/>
        <v>0</v>
      </c>
      <c r="Y268" s="516">
        <f t="shared" si="137"/>
        <v>0</v>
      </c>
      <c r="Z268" s="516">
        <f t="shared" si="137"/>
        <v>0</v>
      </c>
      <c r="AA268" s="516">
        <f t="shared" si="137"/>
        <v>0</v>
      </c>
      <c r="AB268" s="516">
        <f t="shared" si="137"/>
        <v>0</v>
      </c>
      <c r="AC268" s="516">
        <f t="shared" si="137"/>
        <v>0</v>
      </c>
      <c r="AD268" s="516">
        <f t="shared" si="137"/>
        <v>0</v>
      </c>
      <c r="AE268" s="516">
        <f t="shared" si="137"/>
        <v>0</v>
      </c>
      <c r="AF268" s="516">
        <f t="shared" si="137"/>
        <v>0</v>
      </c>
      <c r="AG268" s="516">
        <f t="shared" si="137"/>
        <v>0</v>
      </c>
      <c r="AH268" s="516">
        <f t="shared" si="137"/>
        <v>0</v>
      </c>
      <c r="AI268" s="516">
        <f t="shared" si="137"/>
        <v>0</v>
      </c>
      <c r="AJ268" s="516">
        <f t="shared" si="137"/>
        <v>0</v>
      </c>
      <c r="AK268" s="516">
        <f t="shared" si="137"/>
        <v>0</v>
      </c>
      <c r="AL268" s="516">
        <f t="shared" si="137"/>
        <v>0</v>
      </c>
      <c r="AM268" s="516">
        <f t="shared" si="137"/>
        <v>0</v>
      </c>
      <c r="AN268" s="516">
        <f t="shared" si="137"/>
        <v>0</v>
      </c>
      <c r="AO268" s="516">
        <f t="shared" si="137"/>
        <v>0</v>
      </c>
      <c r="AP268" s="501"/>
      <c r="AQ268" s="505"/>
      <c r="AR268" s="505"/>
      <c r="AS268" s="505"/>
      <c r="AT268" s="505"/>
      <c r="AU268" s="505"/>
      <c r="AV268" s="510"/>
      <c r="AW268" s="452"/>
    </row>
    <row r="269" spans="1:49">
      <c r="A269" s="477"/>
      <c r="B269" s="483"/>
      <c r="C269" s="496"/>
      <c r="D269" s="496"/>
      <c r="E269" s="496"/>
      <c r="F269" s="496"/>
      <c r="G269" s="496"/>
      <c r="H269" s="496"/>
      <c r="I269" s="496"/>
      <c r="J269" s="496"/>
      <c r="K269" s="496"/>
      <c r="L269" s="496"/>
      <c r="M269" s="496"/>
      <c r="N269" s="496"/>
      <c r="O269" s="496"/>
      <c r="P269" s="496"/>
      <c r="Q269" s="496"/>
      <c r="R269" s="496"/>
      <c r="S269" s="496"/>
      <c r="T269" s="496"/>
      <c r="U269" s="496"/>
      <c r="V269" s="496"/>
      <c r="W269" s="496"/>
      <c r="X269" s="496"/>
      <c r="Y269" s="496"/>
      <c r="Z269" s="496"/>
      <c r="AA269" s="496"/>
      <c r="AB269" s="496"/>
      <c r="AC269" s="496"/>
      <c r="AD269" s="496"/>
      <c r="AE269" s="496"/>
      <c r="AF269" s="496"/>
      <c r="AG269" s="496"/>
      <c r="AH269" s="496"/>
      <c r="AI269" s="496"/>
      <c r="AJ269" s="496"/>
      <c r="AK269" s="496"/>
      <c r="AL269" s="496"/>
      <c r="AM269" s="496"/>
      <c r="AN269" s="496"/>
      <c r="AO269" s="496"/>
      <c r="AP269" s="501"/>
      <c r="AQ269" s="505"/>
      <c r="AR269" s="505"/>
      <c r="AS269" s="505"/>
      <c r="AT269" s="505"/>
      <c r="AU269" s="505"/>
      <c r="AV269" s="510"/>
      <c r="AW269" s="452"/>
    </row>
    <row r="270" spans="1:49">
      <c r="A270" s="1183" t="str">
        <f>'Delivery Calculation'!B35 &amp; CHAR(10) &amp; 'Delivery Calculation'!P35 &amp; " - " &amp; 'Delivery Calculation'!Q35</f>
        <v xml:space="preserve">0
 - </v>
      </c>
      <c r="B270" s="1180">
        <f>'Delivery Calculation'!A35</f>
        <v>0</v>
      </c>
      <c r="C270" s="499" t="s">
        <v>610</v>
      </c>
      <c r="D270" s="518">
        <f>'Delivery Calculation'!M216</f>
        <v>0</v>
      </c>
      <c r="E270" s="518">
        <f>'Delivery Calculation'!N216</f>
        <v>0</v>
      </c>
      <c r="F270" s="518">
        <f>'Delivery Calculation'!O216</f>
        <v>0</v>
      </c>
      <c r="G270" s="518">
        <f>'Delivery Calculation'!P216</f>
        <v>0</v>
      </c>
      <c r="H270" s="518">
        <f>'Delivery Calculation'!Q216</f>
        <v>0</v>
      </c>
      <c r="I270" s="518">
        <f>'Delivery Calculation'!R216</f>
        <v>0</v>
      </c>
      <c r="J270" s="518">
        <f>'Delivery Calculation'!S216</f>
        <v>0</v>
      </c>
      <c r="K270" s="518">
        <f>'Delivery Calculation'!T216</f>
        <v>0</v>
      </c>
      <c r="L270" s="518">
        <f>'Delivery Calculation'!U216</f>
        <v>0</v>
      </c>
      <c r="M270" s="518">
        <f>'Delivery Calculation'!V216</f>
        <v>0</v>
      </c>
      <c r="N270" s="518">
        <f>'Delivery Calculation'!W216</f>
        <v>0</v>
      </c>
      <c r="O270" s="518">
        <f>'Delivery Calculation'!X216</f>
        <v>0</v>
      </c>
      <c r="P270" s="518">
        <f>'Delivery Calculation'!Y216</f>
        <v>0</v>
      </c>
      <c r="Q270" s="518">
        <f>'Delivery Calculation'!Z216</f>
        <v>0</v>
      </c>
      <c r="R270" s="518">
        <f>'Delivery Calculation'!AA216</f>
        <v>0</v>
      </c>
      <c r="S270" s="518">
        <f>'Delivery Calculation'!AB216</f>
        <v>0</v>
      </c>
      <c r="T270" s="518">
        <f>'Delivery Calculation'!AC216</f>
        <v>0</v>
      </c>
      <c r="U270" s="518">
        <f>'Delivery Calculation'!AD216</f>
        <v>0</v>
      </c>
      <c r="V270" s="518">
        <f>'Delivery Calculation'!AE216</f>
        <v>0</v>
      </c>
      <c r="W270" s="518">
        <f>'Delivery Calculation'!AF216</f>
        <v>0</v>
      </c>
      <c r="X270" s="518">
        <f>'Delivery Calculation'!AG216</f>
        <v>0</v>
      </c>
      <c r="Y270" s="518">
        <f>'Delivery Calculation'!AH216</f>
        <v>0</v>
      </c>
      <c r="Z270" s="518">
        <f>'Delivery Calculation'!AI216</f>
        <v>0</v>
      </c>
      <c r="AA270" s="518">
        <f>'Delivery Calculation'!AJ216</f>
        <v>0</v>
      </c>
      <c r="AB270" s="518">
        <f>'Delivery Calculation'!AK216</f>
        <v>0</v>
      </c>
      <c r="AC270" s="518">
        <f>'Delivery Calculation'!AL216</f>
        <v>0</v>
      </c>
      <c r="AD270" s="518">
        <f>'Delivery Calculation'!AM216</f>
        <v>0</v>
      </c>
      <c r="AE270" s="518">
        <f>'Delivery Calculation'!AN216</f>
        <v>0</v>
      </c>
      <c r="AF270" s="518">
        <f>'Delivery Calculation'!AO216</f>
        <v>0</v>
      </c>
      <c r="AG270" s="518">
        <f>'Delivery Calculation'!AP216</f>
        <v>0</v>
      </c>
      <c r="AH270" s="518">
        <f>'Delivery Calculation'!AQ216</f>
        <v>0</v>
      </c>
      <c r="AI270" s="518">
        <f>'Delivery Calculation'!AR216</f>
        <v>0</v>
      </c>
      <c r="AJ270" s="518">
        <f>'Delivery Calculation'!AS216</f>
        <v>0</v>
      </c>
      <c r="AK270" s="518">
        <f>'Delivery Calculation'!AT216</f>
        <v>0</v>
      </c>
      <c r="AL270" s="518">
        <f>'Delivery Calculation'!AU216</f>
        <v>0</v>
      </c>
      <c r="AM270" s="518">
        <f>'Delivery Calculation'!AV216</f>
        <v>0</v>
      </c>
      <c r="AN270" s="518">
        <f>'Delivery Calculation'!AW216</f>
        <v>0</v>
      </c>
      <c r="AO270" s="518">
        <f>'Delivery Calculation'!AX216</f>
        <v>0</v>
      </c>
      <c r="AP270" s="501"/>
      <c r="AQ270" s="519">
        <f>IF(COUNTIF($D$15:$AO$15, TMDPeriodValueTypeReported)&gt;0, INDEX(D270:AO270,1,COUNTIF(D$15:$AO$15,TMDPeriodValueTypeReported)),0)</f>
        <v>0</v>
      </c>
      <c r="AR270" s="519"/>
      <c r="AS270" s="520">
        <f>'Delivery Calculation'!N35</f>
        <v>0</v>
      </c>
      <c r="AT270" s="519">
        <f>AQ270*'Delivery Calculation'!N35</f>
        <v>0</v>
      </c>
      <c r="AU270" s="521" t="s">
        <v>522</v>
      </c>
      <c r="AV270" s="510"/>
      <c r="AW270" s="452"/>
    </row>
    <row r="271" spans="1:49">
      <c r="A271" s="1184"/>
      <c r="B271" s="1181"/>
      <c r="C271" s="499" t="s">
        <v>611</v>
      </c>
      <c r="D271" s="509">
        <f>IF(D$15=TMDPeriodValueTypeForecast,IF('Delivery Calculation'!$H$35=TMDAllocationTandM,0,'Delivery Calculation'!M145),IF(MDReportingPeriod=TMDMonthly,D265,IF(MDReportingPeriod=TMDTwoweekly,D264,D263)))</f>
        <v>0</v>
      </c>
      <c r="E271" s="509">
        <f>IF(E$15=TMDPeriodValueTypeForecast,IF('Delivery Calculation'!$H$35=TMDAllocationTandM,0,'Delivery Calculation'!N145),IF(MDReportingPeriod=TMDMonthly,E265,IF(MDReportingPeriod=TMDTwoweekly,E264,E263)))</f>
        <v>0</v>
      </c>
      <c r="F271" s="509">
        <f>IF(F$15=TMDPeriodValueTypeForecast,IF('Delivery Calculation'!$H$35=TMDAllocationTandM,0,'Delivery Calculation'!O145),IF(MDReportingPeriod=TMDMonthly,F265,IF(MDReportingPeriod=TMDTwoweekly,F264,F263)))</f>
        <v>0</v>
      </c>
      <c r="G271" s="509">
        <f>IF(G$15=TMDPeriodValueTypeForecast,IF('Delivery Calculation'!$H$35=TMDAllocationTandM,0,'Delivery Calculation'!P145),IF(MDReportingPeriod=TMDMonthly,G265,IF(MDReportingPeriod=TMDTwoweekly,G264,G263)))</f>
        <v>0</v>
      </c>
      <c r="H271" s="509">
        <f>IF(H$15=TMDPeriodValueTypeForecast,IF('Delivery Calculation'!$H$35=TMDAllocationTandM,0,'Delivery Calculation'!Q145),IF(MDReportingPeriod=TMDMonthly,H265,IF(MDReportingPeriod=TMDTwoweekly,H264,H263)))</f>
        <v>0</v>
      </c>
      <c r="I271" s="509">
        <f>IF(I$15=TMDPeriodValueTypeForecast,IF('Delivery Calculation'!$H$35=TMDAllocationTandM,0,'Delivery Calculation'!R145),IF(MDReportingPeriod=TMDMonthly,I265,IF(MDReportingPeriod=TMDTwoweekly,I264,I263)))</f>
        <v>0</v>
      </c>
      <c r="J271" s="509">
        <f>IF(J$15=TMDPeriodValueTypeForecast,IF('Delivery Calculation'!$H$35=TMDAllocationTandM,0,'Delivery Calculation'!S145),IF(MDReportingPeriod=TMDMonthly,J265,IF(MDReportingPeriod=TMDTwoweekly,J264,J263)))</f>
        <v>0</v>
      </c>
      <c r="K271" s="509">
        <f>IF(K$15=TMDPeriodValueTypeForecast,IF('Delivery Calculation'!$H$35=TMDAllocationTandM,0,'Delivery Calculation'!T145),IF(MDReportingPeriod=TMDMonthly,K265,IF(MDReportingPeriod=TMDTwoweekly,K264,K263)))</f>
        <v>0</v>
      </c>
      <c r="L271" s="509">
        <f>IF(L$15=TMDPeriodValueTypeForecast,IF('Delivery Calculation'!$H$35=TMDAllocationTandM,0,'Delivery Calculation'!U145),IF(MDReportingPeriod=TMDMonthly,L265,IF(MDReportingPeriod=TMDTwoweekly,L264,L263)))</f>
        <v>0</v>
      </c>
      <c r="M271" s="509">
        <f>IF(M$15=TMDPeriodValueTypeForecast,IF('Delivery Calculation'!$H$35=TMDAllocationTandM,0,'Delivery Calculation'!V145),IF(MDReportingPeriod=TMDMonthly,M265,IF(MDReportingPeriod=TMDTwoweekly,M264,M263)))</f>
        <v>0</v>
      </c>
      <c r="N271" s="509">
        <f>IF(N$15=TMDPeriodValueTypeForecast,IF('Delivery Calculation'!$H$35=TMDAllocationTandM,0,'Delivery Calculation'!W145),IF(MDReportingPeriod=TMDMonthly,N265,IF(MDReportingPeriod=TMDTwoweekly,N264,N263)))</f>
        <v>0</v>
      </c>
      <c r="O271" s="509">
        <f>IF(O$15=TMDPeriodValueTypeForecast,IF('Delivery Calculation'!$H$35=TMDAllocationTandM,0,'Delivery Calculation'!X145),IF(MDReportingPeriod=TMDMonthly,O265,IF(MDReportingPeriod=TMDTwoweekly,O264,O263)))</f>
        <v>0</v>
      </c>
      <c r="P271" s="509">
        <f>IF(P$15=TMDPeriodValueTypeForecast,IF('Delivery Calculation'!$H$35=TMDAllocationTandM,0,'Delivery Calculation'!Y145),IF(MDReportingPeriod=TMDMonthly,P265,IF(MDReportingPeriod=TMDTwoweekly,P264,P263)))</f>
        <v>0</v>
      </c>
      <c r="Q271" s="509">
        <f>IF(Q$15=TMDPeriodValueTypeForecast,IF('Delivery Calculation'!$H$35=TMDAllocationTandM,0,'Delivery Calculation'!Z145),IF(MDReportingPeriod=TMDMonthly,Q265,IF(MDReportingPeriod=TMDTwoweekly,Q264,Q263)))</f>
        <v>0</v>
      </c>
      <c r="R271" s="509">
        <f>IF(R$15=TMDPeriodValueTypeForecast,IF('Delivery Calculation'!$H$35=TMDAllocationTandM,0,'Delivery Calculation'!AA145),IF(MDReportingPeriod=TMDMonthly,R265,IF(MDReportingPeriod=TMDTwoweekly,R264,R263)))</f>
        <v>0</v>
      </c>
      <c r="S271" s="509">
        <f>IF(S$15=TMDPeriodValueTypeForecast,IF('Delivery Calculation'!$H$35=TMDAllocationTandM,0,'Delivery Calculation'!AB145),IF(MDReportingPeriod=TMDMonthly,S265,IF(MDReportingPeriod=TMDTwoweekly,S264,S263)))</f>
        <v>0</v>
      </c>
      <c r="T271" s="509">
        <f>IF(T$15=TMDPeriodValueTypeForecast,IF('Delivery Calculation'!$H$35=TMDAllocationTandM,0,'Delivery Calculation'!AC145),IF(MDReportingPeriod=TMDMonthly,T265,IF(MDReportingPeriod=TMDTwoweekly,T264,T263)))</f>
        <v>0</v>
      </c>
      <c r="U271" s="509">
        <f>IF(U$15=TMDPeriodValueTypeForecast,IF('Delivery Calculation'!$H$35=TMDAllocationTandM,0,'Delivery Calculation'!AD145),IF(MDReportingPeriod=TMDMonthly,U265,IF(MDReportingPeriod=TMDTwoweekly,U264,U263)))</f>
        <v>0</v>
      </c>
      <c r="V271" s="509">
        <f>IF(V$15=TMDPeriodValueTypeForecast,IF('Delivery Calculation'!$H$35=TMDAllocationTandM,0,'Delivery Calculation'!AE145),IF(MDReportingPeriod=TMDMonthly,V265,IF(MDReportingPeriod=TMDTwoweekly,V264,V263)))</f>
        <v>0</v>
      </c>
      <c r="W271" s="509">
        <f>IF(W$15=TMDPeriodValueTypeForecast,IF('Delivery Calculation'!$H$35=TMDAllocationTandM,0,'Delivery Calculation'!AF145),IF(MDReportingPeriod=TMDMonthly,W265,IF(MDReportingPeriod=TMDTwoweekly,W264,W263)))</f>
        <v>0</v>
      </c>
      <c r="X271" s="509">
        <f>IF(X$15=TMDPeriodValueTypeForecast,IF('Delivery Calculation'!$H$35=TMDAllocationTandM,0,'Delivery Calculation'!AG145),IF(MDReportingPeriod=TMDMonthly,X265,IF(MDReportingPeriod=TMDTwoweekly,X264,X263)))</f>
        <v>0</v>
      </c>
      <c r="Y271" s="509">
        <f>IF(Y$15=TMDPeriodValueTypeForecast,IF('Delivery Calculation'!$H$35=TMDAllocationTandM,0,'Delivery Calculation'!AH145),IF(MDReportingPeriod=TMDMonthly,Y265,IF(MDReportingPeriod=TMDTwoweekly,Y264,Y263)))</f>
        <v>0</v>
      </c>
      <c r="Z271" s="509">
        <f>IF(Z$15=TMDPeriodValueTypeForecast,IF('Delivery Calculation'!$H$35=TMDAllocationTandM,0,'Delivery Calculation'!AI145),IF(MDReportingPeriod=TMDMonthly,Z265,IF(MDReportingPeriod=TMDTwoweekly,Z264,Z263)))</f>
        <v>0</v>
      </c>
      <c r="AA271" s="509">
        <f>IF(AA$15=TMDPeriodValueTypeForecast,IF('Delivery Calculation'!$H$35=TMDAllocationTandM,0,'Delivery Calculation'!AJ145),IF(MDReportingPeriod=TMDMonthly,AA265,IF(MDReportingPeriod=TMDTwoweekly,AA264,AA263)))</f>
        <v>0</v>
      </c>
      <c r="AB271" s="509">
        <f>IF(AB$15=TMDPeriodValueTypeForecast,IF('Delivery Calculation'!$H$35=TMDAllocationTandM,0,'Delivery Calculation'!AK145),IF(MDReportingPeriod=TMDMonthly,AB265,IF(MDReportingPeriod=TMDTwoweekly,AB264,AB263)))</f>
        <v>0</v>
      </c>
      <c r="AC271" s="509">
        <f>IF(AC$15=TMDPeriodValueTypeForecast,IF('Delivery Calculation'!$H$35=TMDAllocationTandM,0,'Delivery Calculation'!AL145),IF(MDReportingPeriod=TMDMonthly,AC265,IF(MDReportingPeriod=TMDTwoweekly,AC264,AC263)))</f>
        <v>0</v>
      </c>
      <c r="AD271" s="509">
        <f>IF(AD$15=TMDPeriodValueTypeForecast,IF('Delivery Calculation'!$H$35=TMDAllocationTandM,0,'Delivery Calculation'!AM145),IF(MDReportingPeriod=TMDMonthly,AD265,IF(MDReportingPeriod=TMDTwoweekly,AD264,AD263)))</f>
        <v>0</v>
      </c>
      <c r="AE271" s="509">
        <f>IF(AE$15=TMDPeriodValueTypeForecast,IF('Delivery Calculation'!$H$35=TMDAllocationTandM,0,'Delivery Calculation'!AN145),IF(MDReportingPeriod=TMDMonthly,AE265,IF(MDReportingPeriod=TMDTwoweekly,AE264,AE263)))</f>
        <v>0</v>
      </c>
      <c r="AF271" s="509">
        <f>IF(AF$15=TMDPeriodValueTypeForecast,IF('Delivery Calculation'!$H$35=TMDAllocationTandM,0,'Delivery Calculation'!AO145),IF(MDReportingPeriod=TMDMonthly,AF265,IF(MDReportingPeriod=TMDTwoweekly,AF264,AF263)))</f>
        <v>0</v>
      </c>
      <c r="AG271" s="509">
        <f>IF(AG$15=TMDPeriodValueTypeForecast,IF('Delivery Calculation'!$H$35=TMDAllocationTandM,0,'Delivery Calculation'!AP145),IF(MDReportingPeriod=TMDMonthly,AG265,IF(MDReportingPeriod=TMDTwoweekly,AG264,AG263)))</f>
        <v>0</v>
      </c>
      <c r="AH271" s="509">
        <f>IF(AH$15=TMDPeriodValueTypeForecast,IF('Delivery Calculation'!$H$35=TMDAllocationTandM,0,'Delivery Calculation'!AQ145),IF(MDReportingPeriod=TMDMonthly,AH265,IF(MDReportingPeriod=TMDTwoweekly,AH264,AH263)))</f>
        <v>0</v>
      </c>
      <c r="AI271" s="509">
        <f>IF(AI$15=TMDPeriodValueTypeForecast,IF('Delivery Calculation'!$H$35=TMDAllocationTandM,0,'Delivery Calculation'!AR145),IF(MDReportingPeriod=TMDMonthly,AI265,IF(MDReportingPeriod=TMDTwoweekly,AI264,AI263)))</f>
        <v>0</v>
      </c>
      <c r="AJ271" s="509">
        <f>IF(AJ$15=TMDPeriodValueTypeForecast,IF('Delivery Calculation'!$H$35=TMDAllocationTandM,0,'Delivery Calculation'!AS145),IF(MDReportingPeriod=TMDMonthly,AJ265,IF(MDReportingPeriod=TMDTwoweekly,AJ264,AJ263)))</f>
        <v>0</v>
      </c>
      <c r="AK271" s="509">
        <f>IF(AK$15=TMDPeriodValueTypeForecast,IF('Delivery Calculation'!$H$35=TMDAllocationTandM,0,'Delivery Calculation'!AT145),IF(MDReportingPeriod=TMDMonthly,AK265,IF(MDReportingPeriod=TMDTwoweekly,AK264,AK263)))</f>
        <v>0</v>
      </c>
      <c r="AL271" s="509">
        <f>IF(AL$15=TMDPeriodValueTypeForecast,IF('Delivery Calculation'!$H$35=TMDAllocationTandM,0,'Delivery Calculation'!AU145),IF(MDReportingPeriod=TMDMonthly,AL265,IF(MDReportingPeriod=TMDTwoweekly,AL264,AL263)))</f>
        <v>0</v>
      </c>
      <c r="AM271" s="509">
        <f>IF(AM$15=TMDPeriodValueTypeForecast,IF('Delivery Calculation'!$H$35=TMDAllocationTandM,0,'Delivery Calculation'!AV145),IF(MDReportingPeriod=TMDMonthly,AM265,IF(MDReportingPeriod=TMDTwoweekly,AM264,AM263)))</f>
        <v>0</v>
      </c>
      <c r="AN271" s="509">
        <f>IF(AN$15=TMDPeriodValueTypeForecast,IF('Delivery Calculation'!$H$35=TMDAllocationTandM,0,'Delivery Calculation'!AW145),IF(MDReportingPeriod=TMDMonthly,AN265,IF(MDReportingPeriod=TMDTwoweekly,AN264,AN263)))</f>
        <v>0</v>
      </c>
      <c r="AO271" s="509">
        <f>IF(AO$15=TMDPeriodValueTypeForecast,IF('Delivery Calculation'!$H$35=TMDAllocationTandM,0,'Delivery Calculation'!AX145),IF(MDReportingPeriod=TMDMonthly,AO265,IF(MDReportingPeriod=TMDTwoweekly,AO264,AO263)))</f>
        <v>0</v>
      </c>
      <c r="AP271" s="501"/>
      <c r="AQ271" s="505">
        <f>SUMIF($D$15:$AO$15,TMDPeriodValueTypeReported,D271:AO271)</f>
        <v>0</v>
      </c>
      <c r="AR271" s="505">
        <f>SUMIF($D$15:$AO$15,TMDPeriodValueTypeForecast,D271:AO271)</f>
        <v>0</v>
      </c>
      <c r="AS271" s="523">
        <f>'Delivery Calculation'!J35</f>
        <v>0</v>
      </c>
      <c r="AT271" s="505">
        <f>AS271-(AQ271+AR271)</f>
        <v>0</v>
      </c>
      <c r="AU271" s="505"/>
      <c r="AV271" s="510"/>
      <c r="AW271" s="452"/>
    </row>
    <row r="272" spans="1:49">
      <c r="A272" s="1184"/>
      <c r="B272" s="1181"/>
      <c r="C272" s="499" t="s">
        <v>612</v>
      </c>
      <c r="D272" s="509">
        <f>IF(D$15=TMDPeriodValueTypeForecast,IF('Delivery Calculation'!$H$35=TMDAllocationTandM,0,'Delivery Calculation'!M109),IF(MDReportingPeriod=TMDMonthly,D268,IF(MDReportingPeriod=TMDTwoweekly,D267,D266)))</f>
        <v>0</v>
      </c>
      <c r="E272" s="509">
        <f>IF(E$15=TMDPeriodValueTypeForecast,IF('Delivery Calculation'!$H$35=TMDAllocationTandM,0,'Delivery Calculation'!N109),IF(MDReportingPeriod=TMDMonthly,E268,IF(MDReportingPeriod=TMDTwoweekly,E267,E266)))</f>
        <v>0</v>
      </c>
      <c r="F272" s="509">
        <f>IF(F$15=TMDPeriodValueTypeForecast,IF('Delivery Calculation'!$H$35=TMDAllocationTandM,0,'Delivery Calculation'!O109),IF(MDReportingPeriod=TMDMonthly,F268,IF(MDReportingPeriod=TMDTwoweekly,F267,F266)))</f>
        <v>0</v>
      </c>
      <c r="G272" s="509">
        <f>IF(G$15=TMDPeriodValueTypeForecast,IF('Delivery Calculation'!$H$35=TMDAllocationTandM,0,'Delivery Calculation'!P109),IF(MDReportingPeriod=TMDMonthly,G268,IF(MDReportingPeriod=TMDTwoweekly,G267,G266)))</f>
        <v>0</v>
      </c>
      <c r="H272" s="509">
        <f>IF(H$15=TMDPeriodValueTypeForecast,IF('Delivery Calculation'!$H$35=TMDAllocationTandM,0,'Delivery Calculation'!Q109),IF(MDReportingPeriod=TMDMonthly,H268,IF(MDReportingPeriod=TMDTwoweekly,H267,H266)))</f>
        <v>0</v>
      </c>
      <c r="I272" s="509">
        <f>IF(I$15=TMDPeriodValueTypeForecast,IF('Delivery Calculation'!$H$35=TMDAllocationTandM,0,'Delivery Calculation'!R109),IF(MDReportingPeriod=TMDMonthly,I268,IF(MDReportingPeriod=TMDTwoweekly,I267,I266)))</f>
        <v>0</v>
      </c>
      <c r="J272" s="509">
        <f>IF(J$15=TMDPeriodValueTypeForecast,IF('Delivery Calculation'!$H$35=TMDAllocationTandM,0,'Delivery Calculation'!S109),IF(MDReportingPeriod=TMDMonthly,J268,IF(MDReportingPeriod=TMDTwoweekly,J267,J266)))</f>
        <v>0</v>
      </c>
      <c r="K272" s="509">
        <f>IF(K$15=TMDPeriodValueTypeForecast,IF('Delivery Calculation'!$H$35=TMDAllocationTandM,0,'Delivery Calculation'!T109),IF(MDReportingPeriod=TMDMonthly,K268,IF(MDReportingPeriod=TMDTwoweekly,K267,K266)))</f>
        <v>0</v>
      </c>
      <c r="L272" s="509">
        <f>IF(L$15=TMDPeriodValueTypeForecast,IF('Delivery Calculation'!$H$35=TMDAllocationTandM,0,'Delivery Calculation'!U109),IF(MDReportingPeriod=TMDMonthly,L268,IF(MDReportingPeriod=TMDTwoweekly,L267,L266)))</f>
        <v>0</v>
      </c>
      <c r="M272" s="509">
        <f>IF(M$15=TMDPeriodValueTypeForecast,IF('Delivery Calculation'!$H$35=TMDAllocationTandM,0,'Delivery Calculation'!V109),IF(MDReportingPeriod=TMDMonthly,M268,IF(MDReportingPeriod=TMDTwoweekly,M267,M266)))</f>
        <v>0</v>
      </c>
      <c r="N272" s="509">
        <f>IF(N$15=TMDPeriodValueTypeForecast,IF('Delivery Calculation'!$H$35=TMDAllocationTandM,0,'Delivery Calculation'!W109),IF(MDReportingPeriod=TMDMonthly,N268,IF(MDReportingPeriod=TMDTwoweekly,N267,N266)))</f>
        <v>0</v>
      </c>
      <c r="O272" s="509">
        <f>IF(O$15=TMDPeriodValueTypeForecast,IF('Delivery Calculation'!$H$35=TMDAllocationTandM,0,'Delivery Calculation'!X109),IF(MDReportingPeriod=TMDMonthly,O268,IF(MDReportingPeriod=TMDTwoweekly,O267,O266)))</f>
        <v>0</v>
      </c>
      <c r="P272" s="509">
        <f>IF(P$15=TMDPeriodValueTypeForecast,IF('Delivery Calculation'!$H$35=TMDAllocationTandM,0,'Delivery Calculation'!Y109),IF(MDReportingPeriod=TMDMonthly,P268,IF(MDReportingPeriod=TMDTwoweekly,P267,P266)))</f>
        <v>0</v>
      </c>
      <c r="Q272" s="509">
        <f>IF(Q$15=TMDPeriodValueTypeForecast,IF('Delivery Calculation'!$H$35=TMDAllocationTandM,0,'Delivery Calculation'!Z109),IF(MDReportingPeriod=TMDMonthly,Q268,IF(MDReportingPeriod=TMDTwoweekly,Q267,Q266)))</f>
        <v>0</v>
      </c>
      <c r="R272" s="509">
        <f>IF(R$15=TMDPeriodValueTypeForecast,IF('Delivery Calculation'!$H$35=TMDAllocationTandM,0,'Delivery Calculation'!AA109),IF(MDReportingPeriod=TMDMonthly,R268,IF(MDReportingPeriod=TMDTwoweekly,R267,R266)))</f>
        <v>0</v>
      </c>
      <c r="S272" s="509">
        <f>IF(S$15=TMDPeriodValueTypeForecast,IF('Delivery Calculation'!$H$35=TMDAllocationTandM,0,'Delivery Calculation'!AB109),IF(MDReportingPeriod=TMDMonthly,S268,IF(MDReportingPeriod=TMDTwoweekly,S267,S266)))</f>
        <v>0</v>
      </c>
      <c r="T272" s="509">
        <f>IF(T$15=TMDPeriodValueTypeForecast,IF('Delivery Calculation'!$H$35=TMDAllocationTandM,0,'Delivery Calculation'!AC109),IF(MDReportingPeriod=TMDMonthly,T268,IF(MDReportingPeriod=TMDTwoweekly,T267,T266)))</f>
        <v>0</v>
      </c>
      <c r="U272" s="509">
        <f>IF(U$15=TMDPeriodValueTypeForecast,IF('Delivery Calculation'!$H$35=TMDAllocationTandM,0,'Delivery Calculation'!AD109),IF(MDReportingPeriod=TMDMonthly,U268,IF(MDReportingPeriod=TMDTwoweekly,U267,U266)))</f>
        <v>0</v>
      </c>
      <c r="V272" s="509">
        <f>IF(V$15=TMDPeriodValueTypeForecast,IF('Delivery Calculation'!$H$35=TMDAllocationTandM,0,'Delivery Calculation'!AE109),IF(MDReportingPeriod=TMDMonthly,V268,IF(MDReportingPeriod=TMDTwoweekly,V267,V266)))</f>
        <v>0</v>
      </c>
      <c r="W272" s="509">
        <f>IF(W$15=TMDPeriodValueTypeForecast,IF('Delivery Calculation'!$H$35=TMDAllocationTandM,0,'Delivery Calculation'!AF109),IF(MDReportingPeriod=TMDMonthly,W268,IF(MDReportingPeriod=TMDTwoweekly,W267,W266)))</f>
        <v>0</v>
      </c>
      <c r="X272" s="509">
        <f>IF(X$15=TMDPeriodValueTypeForecast,IF('Delivery Calculation'!$H$35=TMDAllocationTandM,0,'Delivery Calculation'!AG109),IF(MDReportingPeriod=TMDMonthly,X268,IF(MDReportingPeriod=TMDTwoweekly,X267,X266)))</f>
        <v>0</v>
      </c>
      <c r="Y272" s="509">
        <f>IF(Y$15=TMDPeriodValueTypeForecast,IF('Delivery Calculation'!$H$35=TMDAllocationTandM,0,'Delivery Calculation'!AH109),IF(MDReportingPeriod=TMDMonthly,Y268,IF(MDReportingPeriod=TMDTwoweekly,Y267,Y266)))</f>
        <v>0</v>
      </c>
      <c r="Z272" s="509">
        <f>IF(Z$15=TMDPeriodValueTypeForecast,IF('Delivery Calculation'!$H$35=TMDAllocationTandM,0,'Delivery Calculation'!AI109),IF(MDReportingPeriod=TMDMonthly,Z268,IF(MDReportingPeriod=TMDTwoweekly,Z267,Z266)))</f>
        <v>0</v>
      </c>
      <c r="AA272" s="509">
        <f>IF(AA$15=TMDPeriodValueTypeForecast,IF('Delivery Calculation'!$H$35=TMDAllocationTandM,0,'Delivery Calculation'!AJ109),IF(MDReportingPeriod=TMDMonthly,AA268,IF(MDReportingPeriod=TMDTwoweekly,AA267,AA266)))</f>
        <v>0</v>
      </c>
      <c r="AB272" s="509">
        <f>IF(AB$15=TMDPeriodValueTypeForecast,IF('Delivery Calculation'!$H$35=TMDAllocationTandM,0,'Delivery Calculation'!AK109),IF(MDReportingPeriod=TMDMonthly,AB268,IF(MDReportingPeriod=TMDTwoweekly,AB267,AB266)))</f>
        <v>0</v>
      </c>
      <c r="AC272" s="509">
        <f>IF(AC$15=TMDPeriodValueTypeForecast,IF('Delivery Calculation'!$H$35=TMDAllocationTandM,0,'Delivery Calculation'!AL109),IF(MDReportingPeriod=TMDMonthly,AC268,IF(MDReportingPeriod=TMDTwoweekly,AC267,AC266)))</f>
        <v>0</v>
      </c>
      <c r="AD272" s="509">
        <f>IF(AD$15=TMDPeriodValueTypeForecast,IF('Delivery Calculation'!$H$35=TMDAllocationTandM,0,'Delivery Calculation'!AM109),IF(MDReportingPeriod=TMDMonthly,AD268,IF(MDReportingPeriod=TMDTwoweekly,AD267,AD266)))</f>
        <v>0</v>
      </c>
      <c r="AE272" s="509">
        <f>IF(AE$15=TMDPeriodValueTypeForecast,IF('Delivery Calculation'!$H$35=TMDAllocationTandM,0,'Delivery Calculation'!AN109),IF(MDReportingPeriod=TMDMonthly,AE268,IF(MDReportingPeriod=TMDTwoweekly,AE267,AE266)))</f>
        <v>0</v>
      </c>
      <c r="AF272" s="509">
        <f>IF(AF$15=TMDPeriodValueTypeForecast,IF('Delivery Calculation'!$H$35=TMDAllocationTandM,0,'Delivery Calculation'!AO109),IF(MDReportingPeriod=TMDMonthly,AF268,IF(MDReportingPeriod=TMDTwoweekly,AF267,AF266)))</f>
        <v>0</v>
      </c>
      <c r="AG272" s="509">
        <f>IF(AG$15=TMDPeriodValueTypeForecast,IF('Delivery Calculation'!$H$35=TMDAllocationTandM,0,'Delivery Calculation'!AP109),IF(MDReportingPeriod=TMDMonthly,AG268,IF(MDReportingPeriod=TMDTwoweekly,AG267,AG266)))</f>
        <v>0</v>
      </c>
      <c r="AH272" s="509">
        <f>IF(AH$15=TMDPeriodValueTypeForecast,IF('Delivery Calculation'!$H$35=TMDAllocationTandM,0,'Delivery Calculation'!AQ109),IF(MDReportingPeriod=TMDMonthly,AH268,IF(MDReportingPeriod=TMDTwoweekly,AH267,AH266)))</f>
        <v>0</v>
      </c>
      <c r="AI272" s="509">
        <f>IF(AI$15=TMDPeriodValueTypeForecast,IF('Delivery Calculation'!$H$35=TMDAllocationTandM,0,'Delivery Calculation'!AR109),IF(MDReportingPeriod=TMDMonthly,AI268,IF(MDReportingPeriod=TMDTwoweekly,AI267,AI266)))</f>
        <v>0</v>
      </c>
      <c r="AJ272" s="509">
        <f>IF(AJ$15=TMDPeriodValueTypeForecast,IF('Delivery Calculation'!$H$35=TMDAllocationTandM,0,'Delivery Calculation'!AS109),IF(MDReportingPeriod=TMDMonthly,AJ268,IF(MDReportingPeriod=TMDTwoweekly,AJ267,AJ266)))</f>
        <v>0</v>
      </c>
      <c r="AK272" s="509">
        <f>IF(AK$15=TMDPeriodValueTypeForecast,IF('Delivery Calculation'!$H$35=TMDAllocationTandM,0,'Delivery Calculation'!AT109),IF(MDReportingPeriod=TMDMonthly,AK268,IF(MDReportingPeriod=TMDTwoweekly,AK267,AK266)))</f>
        <v>0</v>
      </c>
      <c r="AL272" s="509">
        <f>IF(AL$15=TMDPeriodValueTypeForecast,IF('Delivery Calculation'!$H$35=TMDAllocationTandM,0,'Delivery Calculation'!AU109),IF(MDReportingPeriod=TMDMonthly,AL268,IF(MDReportingPeriod=TMDTwoweekly,AL267,AL266)))</f>
        <v>0</v>
      </c>
      <c r="AM272" s="509">
        <f>IF(AM$15=TMDPeriodValueTypeForecast,IF('Delivery Calculation'!$H$35=TMDAllocationTandM,0,'Delivery Calculation'!AV109),IF(MDReportingPeriod=TMDMonthly,AM268,IF(MDReportingPeriod=TMDTwoweekly,AM267,AM266)))</f>
        <v>0</v>
      </c>
      <c r="AN272" s="509">
        <f>IF(AN$15=TMDPeriodValueTypeForecast,IF('Delivery Calculation'!$H$35=TMDAllocationTandM,0,'Delivery Calculation'!AW109),IF(MDReportingPeriod=TMDMonthly,AN268,IF(MDReportingPeriod=TMDTwoweekly,AN267,AN266)))</f>
        <v>0</v>
      </c>
      <c r="AO272" s="509">
        <f>IF(AO$15=TMDPeriodValueTypeForecast,IF('Delivery Calculation'!$H$35=TMDAllocationTandM,0,'Delivery Calculation'!AX109),IF(MDReportingPeriod=TMDMonthly,AO268,IF(MDReportingPeriod=TMDTwoweekly,AO267,AO266)))</f>
        <v>0</v>
      </c>
      <c r="AP272" s="501"/>
      <c r="AQ272" s="505">
        <f>SUMIF($D$15:$AO$15,TMDPeriodValueTypeReported,D272:AO272)</f>
        <v>0</v>
      </c>
      <c r="AR272" s="505">
        <f>SUMIF($D$15:$AO$15,TMDPeriodValueTypeForecast,D272:AO272)</f>
        <v>0</v>
      </c>
      <c r="AS272" s="523">
        <f>'Delivery Calculation'!I35</f>
        <v>0</v>
      </c>
      <c r="AT272" s="505">
        <f>AS272-(AQ272+AR272)</f>
        <v>0</v>
      </c>
      <c r="AU272" s="505"/>
      <c r="AV272" s="510"/>
      <c r="AW272" s="452"/>
    </row>
    <row r="273" spans="1:49">
      <c r="A273" s="1185"/>
      <c r="B273" s="1182"/>
      <c r="C273" s="499" t="s">
        <v>613</v>
      </c>
      <c r="D273" s="509"/>
      <c r="E273" s="509"/>
      <c r="F273" s="509"/>
      <c r="G273" s="509"/>
      <c r="H273" s="509"/>
      <c r="I273" s="509"/>
      <c r="J273" s="509"/>
      <c r="K273" s="509"/>
      <c r="L273" s="509"/>
      <c r="M273" s="509"/>
      <c r="N273" s="509"/>
      <c r="O273" s="509"/>
      <c r="P273" s="509"/>
      <c r="Q273" s="509"/>
      <c r="R273" s="509"/>
      <c r="S273" s="509"/>
      <c r="T273" s="509"/>
      <c r="U273" s="509"/>
      <c r="V273" s="509"/>
      <c r="W273" s="509"/>
      <c r="X273" s="509"/>
      <c r="Y273" s="509"/>
      <c r="Z273" s="509"/>
      <c r="AA273" s="509"/>
      <c r="AB273" s="509"/>
      <c r="AC273" s="509"/>
      <c r="AD273" s="509"/>
      <c r="AE273" s="509"/>
      <c r="AF273" s="509"/>
      <c r="AG273" s="509"/>
      <c r="AH273" s="509"/>
      <c r="AI273" s="509"/>
      <c r="AJ273" s="509"/>
      <c r="AK273" s="509"/>
      <c r="AL273" s="509"/>
      <c r="AM273" s="509"/>
      <c r="AN273" s="509"/>
      <c r="AO273" s="509"/>
      <c r="AP273" s="501"/>
      <c r="AQ273" s="505">
        <f>SUMIF($D$15:$AO$15,TMDPeriodValueTypeReported,D273:AO273)</f>
        <v>0</v>
      </c>
      <c r="AR273" s="505">
        <f>SUMIF($D$15:$AO$15,TMDPeriodValueTypeForecast,D273:AO273)</f>
        <v>0</v>
      </c>
      <c r="AS273" s="505"/>
      <c r="AT273" s="505">
        <f>AQ273+AR273</f>
        <v>0</v>
      </c>
      <c r="AU273" s="505"/>
      <c r="AV273" s="510"/>
      <c r="AW273" s="452"/>
    </row>
    <row r="274" spans="1:49" hidden="1">
      <c r="A274" s="143"/>
      <c r="B274" s="483"/>
      <c r="C274" s="496" t="s">
        <v>1339</v>
      </c>
      <c r="D274" s="516">
        <f t="shared" ref="D274:AO274" si="138">IF(ISERR(GETPIVOTDATA("[Measures].[Hours]",TRIMARANweekly,"[Order].[Position Number]","[Order].[Position Number].&amp;[" &amp; $B281 &amp; "]","[Period].[Week]","[Period].[Week].&amp;[" &amp; YEAR(D$14-7) &amp; TEXT(WEEKNUM(D$14-7),"00") &amp; "]")),0,GETPIVOTDATA("[Measures].[Hours]",TRIMARANweekly,"[Order].[Position Number]","[Order].[Position Number].&amp;[" &amp; $B281 &amp; "]","[Period].[Week]","[Period].[Week].&amp;[" &amp; YEAR(D$14-7) &amp; TEXT(WEEKNUM(D$14-7),"00") &amp; "]"))</f>
        <v>0</v>
      </c>
      <c r="E274" s="516">
        <f t="shared" si="138"/>
        <v>0</v>
      </c>
      <c r="F274" s="516">
        <f t="shared" si="138"/>
        <v>0</v>
      </c>
      <c r="G274" s="516">
        <f t="shared" si="138"/>
        <v>0</v>
      </c>
      <c r="H274" s="516">
        <f t="shared" si="138"/>
        <v>0</v>
      </c>
      <c r="I274" s="516">
        <f t="shared" si="138"/>
        <v>0</v>
      </c>
      <c r="J274" s="516">
        <f t="shared" si="138"/>
        <v>0</v>
      </c>
      <c r="K274" s="516">
        <f t="shared" si="138"/>
        <v>0</v>
      </c>
      <c r="L274" s="516">
        <f t="shared" si="138"/>
        <v>0</v>
      </c>
      <c r="M274" s="516">
        <f t="shared" si="138"/>
        <v>0</v>
      </c>
      <c r="N274" s="516">
        <f t="shared" si="138"/>
        <v>0</v>
      </c>
      <c r="O274" s="516">
        <f t="shared" si="138"/>
        <v>0</v>
      </c>
      <c r="P274" s="516">
        <f t="shared" si="138"/>
        <v>0</v>
      </c>
      <c r="Q274" s="516">
        <f t="shared" si="138"/>
        <v>0</v>
      </c>
      <c r="R274" s="516">
        <f t="shared" si="138"/>
        <v>0</v>
      </c>
      <c r="S274" s="516">
        <f t="shared" si="138"/>
        <v>0</v>
      </c>
      <c r="T274" s="516">
        <f t="shared" si="138"/>
        <v>0</v>
      </c>
      <c r="U274" s="516">
        <f t="shared" si="138"/>
        <v>0</v>
      </c>
      <c r="V274" s="516">
        <f t="shared" si="138"/>
        <v>0</v>
      </c>
      <c r="W274" s="516">
        <f t="shared" si="138"/>
        <v>0</v>
      </c>
      <c r="X274" s="516">
        <f t="shared" si="138"/>
        <v>0</v>
      </c>
      <c r="Y274" s="516">
        <f t="shared" si="138"/>
        <v>0</v>
      </c>
      <c r="Z274" s="516">
        <f t="shared" si="138"/>
        <v>0</v>
      </c>
      <c r="AA274" s="516">
        <f t="shared" si="138"/>
        <v>0</v>
      </c>
      <c r="AB274" s="516">
        <f t="shared" si="138"/>
        <v>0</v>
      </c>
      <c r="AC274" s="516">
        <f t="shared" si="138"/>
        <v>0</v>
      </c>
      <c r="AD274" s="516">
        <f t="shared" si="138"/>
        <v>0</v>
      </c>
      <c r="AE274" s="516">
        <f t="shared" si="138"/>
        <v>0</v>
      </c>
      <c r="AF274" s="516">
        <f t="shared" si="138"/>
        <v>0</v>
      </c>
      <c r="AG274" s="516">
        <f t="shared" si="138"/>
        <v>0</v>
      </c>
      <c r="AH274" s="516">
        <f t="shared" si="138"/>
        <v>0</v>
      </c>
      <c r="AI274" s="516">
        <f t="shared" si="138"/>
        <v>0</v>
      </c>
      <c r="AJ274" s="516">
        <f t="shared" si="138"/>
        <v>0</v>
      </c>
      <c r="AK274" s="516">
        <f t="shared" si="138"/>
        <v>0</v>
      </c>
      <c r="AL274" s="516">
        <f t="shared" si="138"/>
        <v>0</v>
      </c>
      <c r="AM274" s="516">
        <f t="shared" si="138"/>
        <v>0</v>
      </c>
      <c r="AN274" s="516">
        <f t="shared" si="138"/>
        <v>0</v>
      </c>
      <c r="AO274" s="516">
        <f t="shared" si="138"/>
        <v>0</v>
      </c>
      <c r="AP274" s="501"/>
      <c r="AQ274" s="505"/>
      <c r="AR274" s="505"/>
      <c r="AS274" s="505"/>
      <c r="AT274" s="505"/>
      <c r="AU274" s="505"/>
      <c r="AV274" s="510"/>
      <c r="AW274" s="452"/>
    </row>
    <row r="275" spans="1:49" hidden="1">
      <c r="A275" s="143"/>
      <c r="B275" s="483"/>
      <c r="C275" s="496" t="s">
        <v>1340</v>
      </c>
      <c r="D275" s="516">
        <f t="shared" ref="D275:AO275" si="139">IF(ISERR(GETPIVOTDATA("[Measures].[Hours]",TRIMARANweekly,"[Order].[Position Number]","[Order].[Position Number].&amp;[" &amp; $B281 &amp; "]","[Period].[Week]","[Period].[Week].&amp;[" &amp; YEAR(D$14-14) &amp; TEXT(WEEKNUM(D$14-14),"00") &amp; "]")),0,GETPIVOTDATA("[Measures].[Hours]",TRIMARANweekly,"[Order].[Position Number]","[Order].[Position Number].&amp;[" &amp; $B281 &amp; "]","[Period].[Week]","[Period].[Week].&amp;[" &amp; YEAR(D$14-14) &amp; TEXT(WEEKNUM(D$14-14),"00") &amp; "]"))+D274</f>
        <v>0</v>
      </c>
      <c r="E275" s="516">
        <f t="shared" si="139"/>
        <v>0</v>
      </c>
      <c r="F275" s="516">
        <f t="shared" si="139"/>
        <v>0</v>
      </c>
      <c r="G275" s="516">
        <f t="shared" si="139"/>
        <v>0</v>
      </c>
      <c r="H275" s="516">
        <f t="shared" si="139"/>
        <v>0</v>
      </c>
      <c r="I275" s="516">
        <f t="shared" si="139"/>
        <v>0</v>
      </c>
      <c r="J275" s="516">
        <f t="shared" si="139"/>
        <v>0</v>
      </c>
      <c r="K275" s="516">
        <f t="shared" si="139"/>
        <v>0</v>
      </c>
      <c r="L275" s="516">
        <f t="shared" si="139"/>
        <v>0</v>
      </c>
      <c r="M275" s="516">
        <f t="shared" si="139"/>
        <v>0</v>
      </c>
      <c r="N275" s="516">
        <f t="shared" si="139"/>
        <v>0</v>
      </c>
      <c r="O275" s="516">
        <f t="shared" si="139"/>
        <v>0</v>
      </c>
      <c r="P275" s="516">
        <f t="shared" si="139"/>
        <v>0</v>
      </c>
      <c r="Q275" s="516">
        <f t="shared" si="139"/>
        <v>0</v>
      </c>
      <c r="R275" s="516">
        <f t="shared" si="139"/>
        <v>0</v>
      </c>
      <c r="S275" s="516">
        <f t="shared" si="139"/>
        <v>0</v>
      </c>
      <c r="T275" s="516">
        <f t="shared" si="139"/>
        <v>0</v>
      </c>
      <c r="U275" s="516">
        <f t="shared" si="139"/>
        <v>0</v>
      </c>
      <c r="V275" s="516">
        <f t="shared" si="139"/>
        <v>0</v>
      </c>
      <c r="W275" s="516">
        <f t="shared" si="139"/>
        <v>0</v>
      </c>
      <c r="X275" s="516">
        <f t="shared" si="139"/>
        <v>0</v>
      </c>
      <c r="Y275" s="516">
        <f t="shared" si="139"/>
        <v>0</v>
      </c>
      <c r="Z275" s="516">
        <f t="shared" si="139"/>
        <v>0</v>
      </c>
      <c r="AA275" s="516">
        <f t="shared" si="139"/>
        <v>0</v>
      </c>
      <c r="AB275" s="516">
        <f t="shared" si="139"/>
        <v>0</v>
      </c>
      <c r="AC275" s="516">
        <f t="shared" si="139"/>
        <v>0</v>
      </c>
      <c r="AD275" s="516">
        <f t="shared" si="139"/>
        <v>0</v>
      </c>
      <c r="AE275" s="516">
        <f t="shared" si="139"/>
        <v>0</v>
      </c>
      <c r="AF275" s="516">
        <f t="shared" si="139"/>
        <v>0</v>
      </c>
      <c r="AG275" s="516">
        <f t="shared" si="139"/>
        <v>0</v>
      </c>
      <c r="AH275" s="516">
        <f t="shared" si="139"/>
        <v>0</v>
      </c>
      <c r="AI275" s="516">
        <f t="shared" si="139"/>
        <v>0</v>
      </c>
      <c r="AJ275" s="516">
        <f t="shared" si="139"/>
        <v>0</v>
      </c>
      <c r="AK275" s="516">
        <f t="shared" si="139"/>
        <v>0</v>
      </c>
      <c r="AL275" s="516">
        <f t="shared" si="139"/>
        <v>0</v>
      </c>
      <c r="AM275" s="516">
        <f t="shared" si="139"/>
        <v>0</v>
      </c>
      <c r="AN275" s="516">
        <f t="shared" si="139"/>
        <v>0</v>
      </c>
      <c r="AO275" s="516">
        <f t="shared" si="139"/>
        <v>0</v>
      </c>
      <c r="AP275" s="501"/>
      <c r="AQ275" s="505"/>
      <c r="AR275" s="505"/>
      <c r="AS275" s="505"/>
      <c r="AT275" s="505"/>
      <c r="AU275" s="505"/>
      <c r="AV275" s="510"/>
      <c r="AW275" s="452"/>
    </row>
    <row r="276" spans="1:49" hidden="1">
      <c r="A276" s="143"/>
      <c r="B276" s="483"/>
      <c r="C276" s="496" t="s">
        <v>1341</v>
      </c>
      <c r="D276" s="516">
        <f t="shared" ref="D276:AO276" si="140">IF(ISERR(GETPIVOTDATA("[Measures].[Hours]",TRIMARANmonthly,"[Period].[Month]","[Period].[Month].&amp;["&amp;IF(MONTH(D$14)=1,YEAR(D$14)-1&amp;TEXT(12,"00"),YEAR(D$14)&amp;TEXT(MONTH(D$14)-1,"00"))&amp;"]","[Order].[Position Number]","[Order].[Position Number].&amp;["&amp;$B281&amp;"]")),0,GETPIVOTDATA("[Measures].[Hours]",TRIMARANmonthly,"[Period].[Month]","[Period].[Month].&amp;["&amp;IF(MONTH(D$14)=1,YEAR(D$14)-1&amp;TEXT(12,"00"),YEAR(D$14)&amp;TEXT(MONTH(D$14)-1,"00"))&amp;"]","[Order].[Position Number]","[Order].[Position Number].&amp;["&amp;$B281&amp;"]"))</f>
        <v>0</v>
      </c>
      <c r="E276" s="516">
        <f t="shared" si="140"/>
        <v>0</v>
      </c>
      <c r="F276" s="516">
        <f t="shared" si="140"/>
        <v>0</v>
      </c>
      <c r="G276" s="516">
        <f t="shared" si="140"/>
        <v>0</v>
      </c>
      <c r="H276" s="516">
        <f t="shared" si="140"/>
        <v>0</v>
      </c>
      <c r="I276" s="516">
        <f t="shared" si="140"/>
        <v>0</v>
      </c>
      <c r="J276" s="516">
        <f t="shared" si="140"/>
        <v>0</v>
      </c>
      <c r="K276" s="516">
        <f t="shared" si="140"/>
        <v>0</v>
      </c>
      <c r="L276" s="516">
        <f t="shared" si="140"/>
        <v>0</v>
      </c>
      <c r="M276" s="516">
        <f t="shared" si="140"/>
        <v>0</v>
      </c>
      <c r="N276" s="516">
        <f t="shared" si="140"/>
        <v>0</v>
      </c>
      <c r="O276" s="516">
        <f t="shared" si="140"/>
        <v>0</v>
      </c>
      <c r="P276" s="516">
        <f t="shared" si="140"/>
        <v>0</v>
      </c>
      <c r="Q276" s="516">
        <f t="shared" si="140"/>
        <v>0</v>
      </c>
      <c r="R276" s="516">
        <f t="shared" si="140"/>
        <v>0</v>
      </c>
      <c r="S276" s="516">
        <f t="shared" si="140"/>
        <v>0</v>
      </c>
      <c r="T276" s="516">
        <f t="shared" si="140"/>
        <v>0</v>
      </c>
      <c r="U276" s="516">
        <f t="shared" si="140"/>
        <v>0</v>
      </c>
      <c r="V276" s="516">
        <f t="shared" si="140"/>
        <v>0</v>
      </c>
      <c r="W276" s="516">
        <f t="shared" si="140"/>
        <v>0</v>
      </c>
      <c r="X276" s="516">
        <f t="shared" si="140"/>
        <v>0</v>
      </c>
      <c r="Y276" s="516">
        <f t="shared" si="140"/>
        <v>0</v>
      </c>
      <c r="Z276" s="516">
        <f t="shared" si="140"/>
        <v>0</v>
      </c>
      <c r="AA276" s="516">
        <f t="shared" si="140"/>
        <v>0</v>
      </c>
      <c r="AB276" s="516">
        <f t="shared" si="140"/>
        <v>0</v>
      </c>
      <c r="AC276" s="516">
        <f t="shared" si="140"/>
        <v>0</v>
      </c>
      <c r="AD276" s="516">
        <f t="shared" si="140"/>
        <v>0</v>
      </c>
      <c r="AE276" s="516">
        <f t="shared" si="140"/>
        <v>0</v>
      </c>
      <c r="AF276" s="516">
        <f t="shared" si="140"/>
        <v>0</v>
      </c>
      <c r="AG276" s="516">
        <f t="shared" si="140"/>
        <v>0</v>
      </c>
      <c r="AH276" s="516">
        <f t="shared" si="140"/>
        <v>0</v>
      </c>
      <c r="AI276" s="516">
        <f t="shared" si="140"/>
        <v>0</v>
      </c>
      <c r="AJ276" s="516">
        <f t="shared" si="140"/>
        <v>0</v>
      </c>
      <c r="AK276" s="516">
        <f t="shared" si="140"/>
        <v>0</v>
      </c>
      <c r="AL276" s="516">
        <f t="shared" si="140"/>
        <v>0</v>
      </c>
      <c r="AM276" s="516">
        <f t="shared" si="140"/>
        <v>0</v>
      </c>
      <c r="AN276" s="516">
        <f t="shared" si="140"/>
        <v>0</v>
      </c>
      <c r="AO276" s="516">
        <f t="shared" si="140"/>
        <v>0</v>
      </c>
      <c r="AP276" s="501"/>
      <c r="AQ276" s="505"/>
      <c r="AR276" s="505"/>
      <c r="AS276" s="505"/>
      <c r="AT276" s="505"/>
      <c r="AU276" s="505"/>
      <c r="AV276" s="510"/>
      <c r="AW276" s="452"/>
    </row>
    <row r="277" spans="1:49" hidden="1">
      <c r="A277" s="143"/>
      <c r="B277" s="483"/>
      <c r="C277" s="496" t="s">
        <v>1339</v>
      </c>
      <c r="D277" s="516">
        <f t="shared" ref="D277:AO277" si="141">IF(ISERR(GETPIVOTDATA("[Measures].[" &amp; MDContractCurrency &amp; "]",TRIMARANweekly,"[Order].[Position Number]","[Order].[Position Number].&amp;[" &amp; $B281 &amp; "]","[Period].[Week]","[Period].[Week].&amp;[" &amp; YEAR(D$14-7) &amp; TEXT(WEEKNUM(D$14-7),"00") &amp; "]")),0,GETPIVOTDATA("[Measures].[" &amp; MDContractCurrency &amp; "]",TRIMARANweekly,"[Order].[Position Number]","[Order].[Position Number].&amp;[" &amp; $B281 &amp; "]","[Period].[Week]","[Period].[Week].&amp;[" &amp; YEAR(D$14-7) &amp; TEXT(WEEKNUM(D$14-7),"00") &amp; "]"))</f>
        <v>0</v>
      </c>
      <c r="E277" s="516">
        <f t="shared" si="141"/>
        <v>0</v>
      </c>
      <c r="F277" s="516">
        <f t="shared" si="141"/>
        <v>0</v>
      </c>
      <c r="G277" s="516">
        <f t="shared" si="141"/>
        <v>0</v>
      </c>
      <c r="H277" s="516">
        <f t="shared" si="141"/>
        <v>0</v>
      </c>
      <c r="I277" s="516">
        <f t="shared" si="141"/>
        <v>0</v>
      </c>
      <c r="J277" s="516">
        <f t="shared" si="141"/>
        <v>0</v>
      </c>
      <c r="K277" s="516">
        <f t="shared" si="141"/>
        <v>0</v>
      </c>
      <c r="L277" s="516">
        <f t="shared" si="141"/>
        <v>0</v>
      </c>
      <c r="M277" s="516">
        <f t="shared" si="141"/>
        <v>0</v>
      </c>
      <c r="N277" s="516">
        <f t="shared" si="141"/>
        <v>0</v>
      </c>
      <c r="O277" s="516">
        <f t="shared" si="141"/>
        <v>0</v>
      </c>
      <c r="P277" s="516">
        <f t="shared" si="141"/>
        <v>0</v>
      </c>
      <c r="Q277" s="516">
        <f t="shared" si="141"/>
        <v>0</v>
      </c>
      <c r="R277" s="516">
        <f t="shared" si="141"/>
        <v>0</v>
      </c>
      <c r="S277" s="516">
        <f t="shared" si="141"/>
        <v>0</v>
      </c>
      <c r="T277" s="516">
        <f t="shared" si="141"/>
        <v>0</v>
      </c>
      <c r="U277" s="516">
        <f t="shared" si="141"/>
        <v>0</v>
      </c>
      <c r="V277" s="516">
        <f t="shared" si="141"/>
        <v>0</v>
      </c>
      <c r="W277" s="516">
        <f t="shared" si="141"/>
        <v>0</v>
      </c>
      <c r="X277" s="516">
        <f t="shared" si="141"/>
        <v>0</v>
      </c>
      <c r="Y277" s="516">
        <f t="shared" si="141"/>
        <v>0</v>
      </c>
      <c r="Z277" s="516">
        <f t="shared" si="141"/>
        <v>0</v>
      </c>
      <c r="AA277" s="516">
        <f t="shared" si="141"/>
        <v>0</v>
      </c>
      <c r="AB277" s="516">
        <f t="shared" si="141"/>
        <v>0</v>
      </c>
      <c r="AC277" s="516">
        <f t="shared" si="141"/>
        <v>0</v>
      </c>
      <c r="AD277" s="516">
        <f t="shared" si="141"/>
        <v>0</v>
      </c>
      <c r="AE277" s="516">
        <f t="shared" si="141"/>
        <v>0</v>
      </c>
      <c r="AF277" s="516">
        <f t="shared" si="141"/>
        <v>0</v>
      </c>
      <c r="AG277" s="516">
        <f t="shared" si="141"/>
        <v>0</v>
      </c>
      <c r="AH277" s="516">
        <f t="shared" si="141"/>
        <v>0</v>
      </c>
      <c r="AI277" s="516">
        <f t="shared" si="141"/>
        <v>0</v>
      </c>
      <c r="AJ277" s="516">
        <f t="shared" si="141"/>
        <v>0</v>
      </c>
      <c r="AK277" s="516">
        <f t="shared" si="141"/>
        <v>0</v>
      </c>
      <c r="AL277" s="516">
        <f t="shared" si="141"/>
        <v>0</v>
      </c>
      <c r="AM277" s="516">
        <f t="shared" si="141"/>
        <v>0</v>
      </c>
      <c r="AN277" s="516">
        <f t="shared" si="141"/>
        <v>0</v>
      </c>
      <c r="AO277" s="516">
        <f t="shared" si="141"/>
        <v>0</v>
      </c>
      <c r="AP277" s="501"/>
      <c r="AQ277" s="505"/>
      <c r="AR277" s="505"/>
      <c r="AS277" s="505"/>
      <c r="AT277" s="505"/>
      <c r="AU277" s="505"/>
      <c r="AV277" s="510"/>
      <c r="AW277" s="452"/>
    </row>
    <row r="278" spans="1:49" hidden="1">
      <c r="A278" s="143"/>
      <c r="B278" s="483"/>
      <c r="C278" s="496" t="s">
        <v>1340</v>
      </c>
      <c r="D278" s="516">
        <f t="shared" ref="D278:AO278" si="142">IF(ISERR(GETPIVOTDATA("[Measures].[" &amp; MDContractCurrency &amp; "]",TRIMARANweekly,"[Order].[Position Number]","[Order].[Position Number].&amp;[" &amp; $B281 &amp; "]","[Period].[Week]","[Period].[Week].&amp;[" &amp; YEAR(D$14-14) &amp; TEXT(WEEKNUM(D$14-14),"00") &amp; "]")),0,GETPIVOTDATA("[Measures].[" &amp; MDContractCurrency &amp; "]",TRIMARANweekly,"[Order].[Position Number]","[Order].[Position Number].&amp;[" &amp; $B281 &amp; "]","[Period].[Week]","[Period].[Week].&amp;[" &amp; YEAR(D$14-14) &amp; TEXT(WEEKNUM(D$14-14),"00") &amp; "]"))+D277</f>
        <v>0</v>
      </c>
      <c r="E278" s="516">
        <f t="shared" si="142"/>
        <v>0</v>
      </c>
      <c r="F278" s="516">
        <f t="shared" si="142"/>
        <v>0</v>
      </c>
      <c r="G278" s="516">
        <f t="shared" si="142"/>
        <v>0</v>
      </c>
      <c r="H278" s="516">
        <f t="shared" si="142"/>
        <v>0</v>
      </c>
      <c r="I278" s="516">
        <f t="shared" si="142"/>
        <v>0</v>
      </c>
      <c r="J278" s="516">
        <f t="shared" si="142"/>
        <v>0</v>
      </c>
      <c r="K278" s="516">
        <f t="shared" si="142"/>
        <v>0</v>
      </c>
      <c r="L278" s="516">
        <f t="shared" si="142"/>
        <v>0</v>
      </c>
      <c r="M278" s="516">
        <f t="shared" si="142"/>
        <v>0</v>
      </c>
      <c r="N278" s="516">
        <f t="shared" si="142"/>
        <v>0</v>
      </c>
      <c r="O278" s="516">
        <f t="shared" si="142"/>
        <v>0</v>
      </c>
      <c r="P278" s="516">
        <f t="shared" si="142"/>
        <v>0</v>
      </c>
      <c r="Q278" s="516">
        <f t="shared" si="142"/>
        <v>0</v>
      </c>
      <c r="R278" s="516">
        <f t="shared" si="142"/>
        <v>0</v>
      </c>
      <c r="S278" s="516">
        <f t="shared" si="142"/>
        <v>0</v>
      </c>
      <c r="T278" s="516">
        <f t="shared" si="142"/>
        <v>0</v>
      </c>
      <c r="U278" s="516">
        <f t="shared" si="142"/>
        <v>0</v>
      </c>
      <c r="V278" s="516">
        <f t="shared" si="142"/>
        <v>0</v>
      </c>
      <c r="W278" s="516">
        <f t="shared" si="142"/>
        <v>0</v>
      </c>
      <c r="X278" s="516">
        <f t="shared" si="142"/>
        <v>0</v>
      </c>
      <c r="Y278" s="516">
        <f t="shared" si="142"/>
        <v>0</v>
      </c>
      <c r="Z278" s="516">
        <f t="shared" si="142"/>
        <v>0</v>
      </c>
      <c r="AA278" s="516">
        <f t="shared" si="142"/>
        <v>0</v>
      </c>
      <c r="AB278" s="516">
        <f t="shared" si="142"/>
        <v>0</v>
      </c>
      <c r="AC278" s="516">
        <f t="shared" si="142"/>
        <v>0</v>
      </c>
      <c r="AD278" s="516">
        <f t="shared" si="142"/>
        <v>0</v>
      </c>
      <c r="AE278" s="516">
        <f t="shared" si="142"/>
        <v>0</v>
      </c>
      <c r="AF278" s="516">
        <f t="shared" si="142"/>
        <v>0</v>
      </c>
      <c r="AG278" s="516">
        <f t="shared" si="142"/>
        <v>0</v>
      </c>
      <c r="AH278" s="516">
        <f t="shared" si="142"/>
        <v>0</v>
      </c>
      <c r="AI278" s="516">
        <f t="shared" si="142"/>
        <v>0</v>
      </c>
      <c r="AJ278" s="516">
        <f t="shared" si="142"/>
        <v>0</v>
      </c>
      <c r="AK278" s="516">
        <f t="shared" si="142"/>
        <v>0</v>
      </c>
      <c r="AL278" s="516">
        <f t="shared" si="142"/>
        <v>0</v>
      </c>
      <c r="AM278" s="516">
        <f t="shared" si="142"/>
        <v>0</v>
      </c>
      <c r="AN278" s="516">
        <f t="shared" si="142"/>
        <v>0</v>
      </c>
      <c r="AO278" s="516">
        <f t="shared" si="142"/>
        <v>0</v>
      </c>
      <c r="AP278" s="501"/>
      <c r="AQ278" s="505"/>
      <c r="AR278" s="505"/>
      <c r="AS278" s="505"/>
      <c r="AT278" s="505"/>
      <c r="AU278" s="505"/>
      <c r="AV278" s="510"/>
      <c r="AW278" s="452"/>
    </row>
    <row r="279" spans="1:49" hidden="1">
      <c r="A279" s="141"/>
      <c r="B279" s="517"/>
      <c r="C279" s="496" t="s">
        <v>1341</v>
      </c>
      <c r="D279" s="516">
        <f t="shared" ref="D279:AO279" si="143">IF(ISERR(GETPIVOTDATA("[Measures].[" &amp; MDContractCurrency &amp; "]",TRIMARANmonthly,"[Period].[Month]","[Period].[Month].&amp;["&amp;IF(MONTH(D$14)=1,YEAR(D$14)-1&amp;TEXT(12,"00"),YEAR(D$14)&amp;TEXT(MONTH(D$14)-1,"00"))&amp;"]","[Order].[Position Number]","[Order].[Position Number].&amp;["&amp;$B281&amp;"]")),0,GETPIVOTDATA("[Measures].[" &amp; MDContractCurrency &amp; "]",TRIMARANmonthly,"[Period].[Month]","[Period].[Month].&amp;["&amp;IF(MONTH(D$14)=1,YEAR(D$14)-1&amp;TEXT(12,"00"),YEAR(D$14)&amp;TEXT(MONTH(D$14)-1,"00"))&amp;"]","[Order].[Position Number]","[Order].[Position Number].&amp;["&amp;$B281&amp;"]"))</f>
        <v>0</v>
      </c>
      <c r="E279" s="516">
        <f t="shared" si="143"/>
        <v>0</v>
      </c>
      <c r="F279" s="516">
        <f t="shared" si="143"/>
        <v>0</v>
      </c>
      <c r="G279" s="516">
        <f t="shared" si="143"/>
        <v>0</v>
      </c>
      <c r="H279" s="516">
        <f t="shared" si="143"/>
        <v>0</v>
      </c>
      <c r="I279" s="516">
        <f t="shared" si="143"/>
        <v>0</v>
      </c>
      <c r="J279" s="516">
        <f t="shared" si="143"/>
        <v>0</v>
      </c>
      <c r="K279" s="516">
        <f t="shared" si="143"/>
        <v>0</v>
      </c>
      <c r="L279" s="516">
        <f t="shared" si="143"/>
        <v>0</v>
      </c>
      <c r="M279" s="516">
        <f t="shared" si="143"/>
        <v>0</v>
      </c>
      <c r="N279" s="516">
        <f t="shared" si="143"/>
        <v>0</v>
      </c>
      <c r="O279" s="516">
        <f t="shared" si="143"/>
        <v>0</v>
      </c>
      <c r="P279" s="516">
        <f t="shared" si="143"/>
        <v>0</v>
      </c>
      <c r="Q279" s="516">
        <f t="shared" si="143"/>
        <v>0</v>
      </c>
      <c r="R279" s="516">
        <f t="shared" si="143"/>
        <v>0</v>
      </c>
      <c r="S279" s="516">
        <f t="shared" si="143"/>
        <v>0</v>
      </c>
      <c r="T279" s="516">
        <f t="shared" si="143"/>
        <v>0</v>
      </c>
      <c r="U279" s="516">
        <f t="shared" si="143"/>
        <v>0</v>
      </c>
      <c r="V279" s="516">
        <f t="shared" si="143"/>
        <v>0</v>
      </c>
      <c r="W279" s="516">
        <f t="shared" si="143"/>
        <v>0</v>
      </c>
      <c r="X279" s="516">
        <f t="shared" si="143"/>
        <v>0</v>
      </c>
      <c r="Y279" s="516">
        <f t="shared" si="143"/>
        <v>0</v>
      </c>
      <c r="Z279" s="516">
        <f t="shared" si="143"/>
        <v>0</v>
      </c>
      <c r="AA279" s="516">
        <f t="shared" si="143"/>
        <v>0</v>
      </c>
      <c r="AB279" s="516">
        <f t="shared" si="143"/>
        <v>0</v>
      </c>
      <c r="AC279" s="516">
        <f t="shared" si="143"/>
        <v>0</v>
      </c>
      <c r="AD279" s="516">
        <f t="shared" si="143"/>
        <v>0</v>
      </c>
      <c r="AE279" s="516">
        <f t="shared" si="143"/>
        <v>0</v>
      </c>
      <c r="AF279" s="516">
        <f t="shared" si="143"/>
        <v>0</v>
      </c>
      <c r="AG279" s="516">
        <f t="shared" si="143"/>
        <v>0</v>
      </c>
      <c r="AH279" s="516">
        <f t="shared" si="143"/>
        <v>0</v>
      </c>
      <c r="AI279" s="516">
        <f t="shared" si="143"/>
        <v>0</v>
      </c>
      <c r="AJ279" s="516">
        <f t="shared" si="143"/>
        <v>0</v>
      </c>
      <c r="AK279" s="516">
        <f t="shared" si="143"/>
        <v>0</v>
      </c>
      <c r="AL279" s="516">
        <f t="shared" si="143"/>
        <v>0</v>
      </c>
      <c r="AM279" s="516">
        <f t="shared" si="143"/>
        <v>0</v>
      </c>
      <c r="AN279" s="516">
        <f t="shared" si="143"/>
        <v>0</v>
      </c>
      <c r="AO279" s="516">
        <f t="shared" si="143"/>
        <v>0</v>
      </c>
      <c r="AP279" s="501"/>
      <c r="AQ279" s="505"/>
      <c r="AR279" s="505"/>
      <c r="AS279" s="505"/>
      <c r="AT279" s="505"/>
      <c r="AU279" s="505"/>
      <c r="AV279" s="510"/>
      <c r="AW279" s="452"/>
    </row>
    <row r="280" spans="1:49">
      <c r="A280" s="477"/>
      <c r="B280" s="483"/>
      <c r="C280" s="496"/>
      <c r="D280" s="496"/>
      <c r="E280" s="496"/>
      <c r="F280" s="496"/>
      <c r="G280" s="496"/>
      <c r="H280" s="496"/>
      <c r="I280" s="496"/>
      <c r="J280" s="496"/>
      <c r="K280" s="496"/>
      <c r="L280" s="496"/>
      <c r="M280" s="496"/>
      <c r="N280" s="496"/>
      <c r="O280" s="496"/>
      <c r="P280" s="496"/>
      <c r="Q280" s="496"/>
      <c r="R280" s="496"/>
      <c r="S280" s="496"/>
      <c r="T280" s="496"/>
      <c r="U280" s="496"/>
      <c r="V280" s="496"/>
      <c r="W280" s="496"/>
      <c r="X280" s="496"/>
      <c r="Y280" s="496"/>
      <c r="Z280" s="496"/>
      <c r="AA280" s="496"/>
      <c r="AB280" s="496"/>
      <c r="AC280" s="496"/>
      <c r="AD280" s="496"/>
      <c r="AE280" s="496"/>
      <c r="AF280" s="496"/>
      <c r="AG280" s="496"/>
      <c r="AH280" s="496"/>
      <c r="AI280" s="496"/>
      <c r="AJ280" s="496"/>
      <c r="AK280" s="496"/>
      <c r="AL280" s="496"/>
      <c r="AM280" s="496"/>
      <c r="AN280" s="496"/>
      <c r="AO280" s="496"/>
      <c r="AP280" s="501"/>
      <c r="AQ280" s="505"/>
      <c r="AR280" s="505"/>
      <c r="AS280" s="505"/>
      <c r="AT280" s="505"/>
      <c r="AU280" s="505"/>
      <c r="AV280" s="510"/>
      <c r="AW280" s="452"/>
    </row>
    <row r="281" spans="1:49">
      <c r="A281" s="1183" t="str">
        <f>'Delivery Calculation'!B36 &amp; CHAR(10) &amp; 'Delivery Calculation'!P36 &amp; " - " &amp; 'Delivery Calculation'!Q36</f>
        <v xml:space="preserve">0
 - </v>
      </c>
      <c r="B281" s="1180">
        <f>'Delivery Calculation'!A36</f>
        <v>0</v>
      </c>
      <c r="C281" s="499" t="s">
        <v>614</v>
      </c>
      <c r="D281" s="518">
        <f>'Delivery Calculation'!M217</f>
        <v>0</v>
      </c>
      <c r="E281" s="518">
        <f>'Delivery Calculation'!N217</f>
        <v>0</v>
      </c>
      <c r="F281" s="518">
        <f>'Delivery Calculation'!O217</f>
        <v>0</v>
      </c>
      <c r="G281" s="518">
        <f>'Delivery Calculation'!P217</f>
        <v>0</v>
      </c>
      <c r="H281" s="518">
        <f>'Delivery Calculation'!Q217</f>
        <v>0</v>
      </c>
      <c r="I281" s="518">
        <f>'Delivery Calculation'!R217</f>
        <v>0</v>
      </c>
      <c r="J281" s="518">
        <f>'Delivery Calculation'!S217</f>
        <v>0</v>
      </c>
      <c r="K281" s="518">
        <f>'Delivery Calculation'!T217</f>
        <v>0</v>
      </c>
      <c r="L281" s="518">
        <f>'Delivery Calculation'!U217</f>
        <v>0</v>
      </c>
      <c r="M281" s="518">
        <f>'Delivery Calculation'!V217</f>
        <v>0</v>
      </c>
      <c r="N281" s="518">
        <f>'Delivery Calculation'!W217</f>
        <v>0</v>
      </c>
      <c r="O281" s="518">
        <f>'Delivery Calculation'!X217</f>
        <v>0</v>
      </c>
      <c r="P281" s="518">
        <f>'Delivery Calculation'!Y217</f>
        <v>0</v>
      </c>
      <c r="Q281" s="518">
        <f>'Delivery Calculation'!Z217</f>
        <v>0</v>
      </c>
      <c r="R281" s="518">
        <f>'Delivery Calculation'!AA217</f>
        <v>0</v>
      </c>
      <c r="S281" s="518">
        <f>'Delivery Calculation'!AB217</f>
        <v>0</v>
      </c>
      <c r="T281" s="518">
        <f>'Delivery Calculation'!AC217</f>
        <v>0</v>
      </c>
      <c r="U281" s="518">
        <f>'Delivery Calculation'!AD217</f>
        <v>0</v>
      </c>
      <c r="V281" s="518">
        <f>'Delivery Calculation'!AE217</f>
        <v>0</v>
      </c>
      <c r="W281" s="518">
        <f>'Delivery Calculation'!AF217</f>
        <v>0</v>
      </c>
      <c r="X281" s="518">
        <f>'Delivery Calculation'!AG217</f>
        <v>0</v>
      </c>
      <c r="Y281" s="518">
        <f>'Delivery Calculation'!AH217</f>
        <v>0</v>
      </c>
      <c r="Z281" s="518">
        <f>'Delivery Calculation'!AI217</f>
        <v>0</v>
      </c>
      <c r="AA281" s="518">
        <f>'Delivery Calculation'!AJ217</f>
        <v>0</v>
      </c>
      <c r="AB281" s="518">
        <f>'Delivery Calculation'!AK217</f>
        <v>0</v>
      </c>
      <c r="AC281" s="518">
        <f>'Delivery Calculation'!AL217</f>
        <v>0</v>
      </c>
      <c r="AD281" s="518">
        <f>'Delivery Calculation'!AM217</f>
        <v>0</v>
      </c>
      <c r="AE281" s="518">
        <f>'Delivery Calculation'!AN217</f>
        <v>0</v>
      </c>
      <c r="AF281" s="518">
        <f>'Delivery Calculation'!AO217</f>
        <v>0</v>
      </c>
      <c r="AG281" s="518">
        <f>'Delivery Calculation'!AP217</f>
        <v>0</v>
      </c>
      <c r="AH281" s="518">
        <f>'Delivery Calculation'!AQ217</f>
        <v>0</v>
      </c>
      <c r="AI281" s="518">
        <f>'Delivery Calculation'!AR217</f>
        <v>0</v>
      </c>
      <c r="AJ281" s="518">
        <f>'Delivery Calculation'!AS217</f>
        <v>0</v>
      </c>
      <c r="AK281" s="518">
        <f>'Delivery Calculation'!AT217</f>
        <v>0</v>
      </c>
      <c r="AL281" s="518">
        <f>'Delivery Calculation'!AU217</f>
        <v>0</v>
      </c>
      <c r="AM281" s="518">
        <f>'Delivery Calculation'!AV217</f>
        <v>0</v>
      </c>
      <c r="AN281" s="518">
        <f>'Delivery Calculation'!AW217</f>
        <v>0</v>
      </c>
      <c r="AO281" s="518">
        <f>'Delivery Calculation'!AX217</f>
        <v>0</v>
      </c>
      <c r="AP281" s="501"/>
      <c r="AQ281" s="519">
        <f>IF(COUNTIF($D$15:$AO$15, TMDPeriodValueTypeReported)&gt;0, INDEX(D281:AO281,1,COUNTIF(D$15:$AO$15,TMDPeriodValueTypeReported)),0)</f>
        <v>0</v>
      </c>
      <c r="AR281" s="519"/>
      <c r="AS281" s="520">
        <f>'Delivery Calculation'!N36</f>
        <v>0</v>
      </c>
      <c r="AT281" s="519">
        <f>AQ281*'Delivery Calculation'!N36</f>
        <v>0</v>
      </c>
      <c r="AU281" s="521" t="s">
        <v>522</v>
      </c>
      <c r="AV281" s="510"/>
      <c r="AW281" s="452"/>
    </row>
    <row r="282" spans="1:49">
      <c r="A282" s="1184"/>
      <c r="B282" s="1181"/>
      <c r="C282" s="499" t="s">
        <v>615</v>
      </c>
      <c r="D282" s="509">
        <f>IF(D$15=TMDPeriodValueTypeForecast,IF('Delivery Calculation'!$H$36=TMDAllocationTandM,0,'Delivery Calculation'!M146),IF(MDReportingPeriod=TMDMonthly,D276,IF(MDReportingPeriod=TMDTwoweekly,D275,D274)))</f>
        <v>0</v>
      </c>
      <c r="E282" s="509">
        <f>IF(E$15=TMDPeriodValueTypeForecast,IF('Delivery Calculation'!$H$36=TMDAllocationTandM,0,'Delivery Calculation'!N146),IF(MDReportingPeriod=TMDMonthly,E276,IF(MDReportingPeriod=TMDTwoweekly,E275,E274)))</f>
        <v>0</v>
      </c>
      <c r="F282" s="509">
        <f>IF(F$15=TMDPeriodValueTypeForecast,IF('Delivery Calculation'!$H$36=TMDAllocationTandM,0,'Delivery Calculation'!O146),IF(MDReportingPeriod=TMDMonthly,F276,IF(MDReportingPeriod=TMDTwoweekly,F275,F274)))</f>
        <v>0</v>
      </c>
      <c r="G282" s="509">
        <f>IF(G$15=TMDPeriodValueTypeForecast,IF('Delivery Calculation'!$H$36=TMDAllocationTandM,0,'Delivery Calculation'!P146),IF(MDReportingPeriod=TMDMonthly,G276,IF(MDReportingPeriod=TMDTwoweekly,G275,G274)))</f>
        <v>0</v>
      </c>
      <c r="H282" s="509">
        <f>IF(H$15=TMDPeriodValueTypeForecast,IF('Delivery Calculation'!$H$36=TMDAllocationTandM,0,'Delivery Calculation'!Q146),IF(MDReportingPeriod=TMDMonthly,H276,IF(MDReportingPeriod=TMDTwoweekly,H275,H274)))</f>
        <v>0</v>
      </c>
      <c r="I282" s="509">
        <f>IF(I$15=TMDPeriodValueTypeForecast,IF('Delivery Calculation'!$H$36=TMDAllocationTandM,0,'Delivery Calculation'!R146),IF(MDReportingPeriod=TMDMonthly,I276,IF(MDReportingPeriod=TMDTwoweekly,I275,I274)))</f>
        <v>0</v>
      </c>
      <c r="J282" s="509">
        <f>IF(J$15=TMDPeriodValueTypeForecast,IF('Delivery Calculation'!$H$36=TMDAllocationTandM,0,'Delivery Calculation'!S146),IF(MDReportingPeriod=TMDMonthly,J276,IF(MDReportingPeriod=TMDTwoweekly,J275,J274)))</f>
        <v>0</v>
      </c>
      <c r="K282" s="509">
        <f>IF(K$15=TMDPeriodValueTypeForecast,IF('Delivery Calculation'!$H$36=TMDAllocationTandM,0,'Delivery Calculation'!T146),IF(MDReportingPeriod=TMDMonthly,K276,IF(MDReportingPeriod=TMDTwoweekly,K275,K274)))</f>
        <v>0</v>
      </c>
      <c r="L282" s="509">
        <f>IF(L$15=TMDPeriodValueTypeForecast,IF('Delivery Calculation'!$H$36=TMDAllocationTandM,0,'Delivery Calculation'!U146),IF(MDReportingPeriod=TMDMonthly,L276,IF(MDReportingPeriod=TMDTwoweekly,L275,L274)))</f>
        <v>0</v>
      </c>
      <c r="M282" s="509">
        <f>IF(M$15=TMDPeriodValueTypeForecast,IF('Delivery Calculation'!$H$36=TMDAllocationTandM,0,'Delivery Calculation'!V146),IF(MDReportingPeriod=TMDMonthly,M276,IF(MDReportingPeriod=TMDTwoweekly,M275,M274)))</f>
        <v>0</v>
      </c>
      <c r="N282" s="509">
        <f>IF(N$15=TMDPeriodValueTypeForecast,IF('Delivery Calculation'!$H$36=TMDAllocationTandM,0,'Delivery Calculation'!W146),IF(MDReportingPeriod=TMDMonthly,N276,IF(MDReportingPeriod=TMDTwoweekly,N275,N274)))</f>
        <v>0</v>
      </c>
      <c r="O282" s="509">
        <f>IF(O$15=TMDPeriodValueTypeForecast,IF('Delivery Calculation'!$H$36=TMDAllocationTandM,0,'Delivery Calculation'!X146),IF(MDReportingPeriod=TMDMonthly,O276,IF(MDReportingPeriod=TMDTwoweekly,O275,O274)))</f>
        <v>0</v>
      </c>
      <c r="P282" s="509">
        <f>IF(P$15=TMDPeriodValueTypeForecast,IF('Delivery Calculation'!$H$36=TMDAllocationTandM,0,'Delivery Calculation'!Y146),IF(MDReportingPeriod=TMDMonthly,P276,IF(MDReportingPeriod=TMDTwoweekly,P275,P274)))</f>
        <v>0</v>
      </c>
      <c r="Q282" s="509">
        <f>IF(Q$15=TMDPeriodValueTypeForecast,IF('Delivery Calculation'!$H$36=TMDAllocationTandM,0,'Delivery Calculation'!Z146),IF(MDReportingPeriod=TMDMonthly,Q276,IF(MDReportingPeriod=TMDTwoweekly,Q275,Q274)))</f>
        <v>0</v>
      </c>
      <c r="R282" s="509">
        <f>IF(R$15=TMDPeriodValueTypeForecast,IF('Delivery Calculation'!$H$36=TMDAllocationTandM,0,'Delivery Calculation'!AA146),IF(MDReportingPeriod=TMDMonthly,R276,IF(MDReportingPeriod=TMDTwoweekly,R275,R274)))</f>
        <v>0</v>
      </c>
      <c r="S282" s="509">
        <f>IF(S$15=TMDPeriodValueTypeForecast,IF('Delivery Calculation'!$H$36=TMDAllocationTandM,0,'Delivery Calculation'!AB146),IF(MDReportingPeriod=TMDMonthly,S276,IF(MDReportingPeriod=TMDTwoweekly,S275,S274)))</f>
        <v>0</v>
      </c>
      <c r="T282" s="509">
        <f>IF(T$15=TMDPeriodValueTypeForecast,IF('Delivery Calculation'!$H$36=TMDAllocationTandM,0,'Delivery Calculation'!AC146),IF(MDReportingPeriod=TMDMonthly,T276,IF(MDReportingPeriod=TMDTwoweekly,T275,T274)))</f>
        <v>0</v>
      </c>
      <c r="U282" s="509">
        <f>IF(U$15=TMDPeriodValueTypeForecast,IF('Delivery Calculation'!$H$36=TMDAllocationTandM,0,'Delivery Calculation'!AD146),IF(MDReportingPeriod=TMDMonthly,U276,IF(MDReportingPeriod=TMDTwoweekly,U275,U274)))</f>
        <v>0</v>
      </c>
      <c r="V282" s="509">
        <f>IF(V$15=TMDPeriodValueTypeForecast,IF('Delivery Calculation'!$H$36=TMDAllocationTandM,0,'Delivery Calculation'!AE146),IF(MDReportingPeriod=TMDMonthly,V276,IF(MDReportingPeriod=TMDTwoweekly,V275,V274)))</f>
        <v>0</v>
      </c>
      <c r="W282" s="509">
        <f>IF(W$15=TMDPeriodValueTypeForecast,IF('Delivery Calculation'!$H$36=TMDAllocationTandM,0,'Delivery Calculation'!AF146),IF(MDReportingPeriod=TMDMonthly,W276,IF(MDReportingPeriod=TMDTwoweekly,W275,W274)))</f>
        <v>0</v>
      </c>
      <c r="X282" s="509">
        <f>IF(X$15=TMDPeriodValueTypeForecast,IF('Delivery Calculation'!$H$36=TMDAllocationTandM,0,'Delivery Calculation'!AG146),IF(MDReportingPeriod=TMDMonthly,X276,IF(MDReportingPeriod=TMDTwoweekly,X275,X274)))</f>
        <v>0</v>
      </c>
      <c r="Y282" s="509">
        <f>IF(Y$15=TMDPeriodValueTypeForecast,IF('Delivery Calculation'!$H$36=TMDAllocationTandM,0,'Delivery Calculation'!AH146),IF(MDReportingPeriod=TMDMonthly,Y276,IF(MDReportingPeriod=TMDTwoweekly,Y275,Y274)))</f>
        <v>0</v>
      </c>
      <c r="Z282" s="509">
        <f>IF(Z$15=TMDPeriodValueTypeForecast,IF('Delivery Calculation'!$H$36=TMDAllocationTandM,0,'Delivery Calculation'!AI146),IF(MDReportingPeriod=TMDMonthly,Z276,IF(MDReportingPeriod=TMDTwoweekly,Z275,Z274)))</f>
        <v>0</v>
      </c>
      <c r="AA282" s="509">
        <f>IF(AA$15=TMDPeriodValueTypeForecast,IF('Delivery Calculation'!$H$36=TMDAllocationTandM,0,'Delivery Calculation'!AJ146),IF(MDReportingPeriod=TMDMonthly,AA276,IF(MDReportingPeriod=TMDTwoweekly,AA275,AA274)))</f>
        <v>0</v>
      </c>
      <c r="AB282" s="509">
        <f>IF(AB$15=TMDPeriodValueTypeForecast,IF('Delivery Calculation'!$H$36=TMDAllocationTandM,0,'Delivery Calculation'!AK146),IF(MDReportingPeriod=TMDMonthly,AB276,IF(MDReportingPeriod=TMDTwoweekly,AB275,AB274)))</f>
        <v>0</v>
      </c>
      <c r="AC282" s="509">
        <f>IF(AC$15=TMDPeriodValueTypeForecast,IF('Delivery Calculation'!$H$36=TMDAllocationTandM,0,'Delivery Calculation'!AL146),IF(MDReportingPeriod=TMDMonthly,AC276,IF(MDReportingPeriod=TMDTwoweekly,AC275,AC274)))</f>
        <v>0</v>
      </c>
      <c r="AD282" s="509">
        <f>IF(AD$15=TMDPeriodValueTypeForecast,IF('Delivery Calculation'!$H$36=TMDAllocationTandM,0,'Delivery Calculation'!AM146),IF(MDReportingPeriod=TMDMonthly,AD276,IF(MDReportingPeriod=TMDTwoweekly,AD275,AD274)))</f>
        <v>0</v>
      </c>
      <c r="AE282" s="509">
        <f>IF(AE$15=TMDPeriodValueTypeForecast,IF('Delivery Calculation'!$H$36=TMDAllocationTandM,0,'Delivery Calculation'!AN146),IF(MDReportingPeriod=TMDMonthly,AE276,IF(MDReportingPeriod=TMDTwoweekly,AE275,AE274)))</f>
        <v>0</v>
      </c>
      <c r="AF282" s="509">
        <f>IF(AF$15=TMDPeriodValueTypeForecast,IF('Delivery Calculation'!$H$36=TMDAllocationTandM,0,'Delivery Calculation'!AO146),IF(MDReportingPeriod=TMDMonthly,AF276,IF(MDReportingPeriod=TMDTwoweekly,AF275,AF274)))</f>
        <v>0</v>
      </c>
      <c r="AG282" s="509">
        <f>IF(AG$15=TMDPeriodValueTypeForecast,IF('Delivery Calculation'!$H$36=TMDAllocationTandM,0,'Delivery Calculation'!AP146),IF(MDReportingPeriod=TMDMonthly,AG276,IF(MDReportingPeriod=TMDTwoweekly,AG275,AG274)))</f>
        <v>0</v>
      </c>
      <c r="AH282" s="509">
        <f>IF(AH$15=TMDPeriodValueTypeForecast,IF('Delivery Calculation'!$H$36=TMDAllocationTandM,0,'Delivery Calculation'!AQ146),IF(MDReportingPeriod=TMDMonthly,AH276,IF(MDReportingPeriod=TMDTwoweekly,AH275,AH274)))</f>
        <v>0</v>
      </c>
      <c r="AI282" s="509">
        <f>IF(AI$15=TMDPeriodValueTypeForecast,IF('Delivery Calculation'!$H$36=TMDAllocationTandM,0,'Delivery Calculation'!AR146),IF(MDReportingPeriod=TMDMonthly,AI276,IF(MDReportingPeriod=TMDTwoweekly,AI275,AI274)))</f>
        <v>0</v>
      </c>
      <c r="AJ282" s="509">
        <f>IF(AJ$15=TMDPeriodValueTypeForecast,IF('Delivery Calculation'!$H$36=TMDAllocationTandM,0,'Delivery Calculation'!AS146),IF(MDReportingPeriod=TMDMonthly,AJ276,IF(MDReportingPeriod=TMDTwoweekly,AJ275,AJ274)))</f>
        <v>0</v>
      </c>
      <c r="AK282" s="509">
        <f>IF(AK$15=TMDPeriodValueTypeForecast,IF('Delivery Calculation'!$H$36=TMDAllocationTandM,0,'Delivery Calculation'!AT146),IF(MDReportingPeriod=TMDMonthly,AK276,IF(MDReportingPeriod=TMDTwoweekly,AK275,AK274)))</f>
        <v>0</v>
      </c>
      <c r="AL282" s="509">
        <f>IF(AL$15=TMDPeriodValueTypeForecast,IF('Delivery Calculation'!$H$36=TMDAllocationTandM,0,'Delivery Calculation'!AU146),IF(MDReportingPeriod=TMDMonthly,AL276,IF(MDReportingPeriod=TMDTwoweekly,AL275,AL274)))</f>
        <v>0</v>
      </c>
      <c r="AM282" s="509">
        <f>IF(AM$15=TMDPeriodValueTypeForecast,IF('Delivery Calculation'!$H$36=TMDAllocationTandM,0,'Delivery Calculation'!AV146),IF(MDReportingPeriod=TMDMonthly,AM276,IF(MDReportingPeriod=TMDTwoweekly,AM275,AM274)))</f>
        <v>0</v>
      </c>
      <c r="AN282" s="509">
        <f>IF(AN$15=TMDPeriodValueTypeForecast,IF('Delivery Calculation'!$H$36=TMDAllocationTandM,0,'Delivery Calculation'!AW146),IF(MDReportingPeriod=TMDMonthly,AN276,IF(MDReportingPeriod=TMDTwoweekly,AN275,AN274)))</f>
        <v>0</v>
      </c>
      <c r="AO282" s="509">
        <f>IF(AO$15=TMDPeriodValueTypeForecast,IF('Delivery Calculation'!$H$36=TMDAllocationTandM,0,'Delivery Calculation'!AX146),IF(MDReportingPeriod=TMDMonthly,AO276,IF(MDReportingPeriod=TMDTwoweekly,AO275,AO274)))</f>
        <v>0</v>
      </c>
      <c r="AP282" s="501"/>
      <c r="AQ282" s="505">
        <f>SUMIF($D$15:$AO$15,TMDPeriodValueTypeReported,D282:AO282)</f>
        <v>0</v>
      </c>
      <c r="AR282" s="505">
        <f>SUMIF($D$15:$AO$15,TMDPeriodValueTypeForecast,D282:AO282)</f>
        <v>0</v>
      </c>
      <c r="AS282" s="523">
        <f>'Delivery Calculation'!J36</f>
        <v>0</v>
      </c>
      <c r="AT282" s="505">
        <f>AS282-(AQ282+AR282)</f>
        <v>0</v>
      </c>
      <c r="AU282" s="505"/>
      <c r="AV282" s="510"/>
      <c r="AW282" s="452"/>
    </row>
    <row r="283" spans="1:49">
      <c r="A283" s="1184"/>
      <c r="B283" s="1181"/>
      <c r="C283" s="499" t="s">
        <v>616</v>
      </c>
      <c r="D283" s="509">
        <f>IF(D$15=TMDPeriodValueTypeForecast,IF('Delivery Calculation'!$H$36=TMDAllocationTandM,0,'Delivery Calculation'!M110),IF(MDReportingPeriod=TMDMonthly,D279,IF(MDReportingPeriod=TMDTwoweekly,D278,D277)))</f>
        <v>0</v>
      </c>
      <c r="E283" s="509">
        <f>IF(E$15=TMDPeriodValueTypeForecast,IF('Delivery Calculation'!$H$36=TMDAllocationTandM,0,'Delivery Calculation'!N110),IF(MDReportingPeriod=TMDMonthly,E279,IF(MDReportingPeriod=TMDTwoweekly,E278,E277)))</f>
        <v>0</v>
      </c>
      <c r="F283" s="509">
        <f>IF(F$15=TMDPeriodValueTypeForecast,IF('Delivery Calculation'!$H$36=TMDAllocationTandM,0,'Delivery Calculation'!O110),IF(MDReportingPeriod=TMDMonthly,F279,IF(MDReportingPeriod=TMDTwoweekly,F278,F277)))</f>
        <v>0</v>
      </c>
      <c r="G283" s="509">
        <f>IF(G$15=TMDPeriodValueTypeForecast,IF('Delivery Calculation'!$H$36=TMDAllocationTandM,0,'Delivery Calculation'!P110),IF(MDReportingPeriod=TMDMonthly,G279,IF(MDReportingPeriod=TMDTwoweekly,G278,G277)))</f>
        <v>0</v>
      </c>
      <c r="H283" s="509">
        <f>IF(H$15=TMDPeriodValueTypeForecast,IF('Delivery Calculation'!$H$36=TMDAllocationTandM,0,'Delivery Calculation'!Q110),IF(MDReportingPeriod=TMDMonthly,H279,IF(MDReportingPeriod=TMDTwoweekly,H278,H277)))</f>
        <v>0</v>
      </c>
      <c r="I283" s="509">
        <f>IF(I$15=TMDPeriodValueTypeForecast,IF('Delivery Calculation'!$H$36=TMDAllocationTandM,0,'Delivery Calculation'!R110),IF(MDReportingPeriod=TMDMonthly,I279,IF(MDReportingPeriod=TMDTwoweekly,I278,I277)))</f>
        <v>0</v>
      </c>
      <c r="J283" s="509">
        <f>IF(J$15=TMDPeriodValueTypeForecast,IF('Delivery Calculation'!$H$36=TMDAllocationTandM,0,'Delivery Calculation'!S110),IF(MDReportingPeriod=TMDMonthly,J279,IF(MDReportingPeriod=TMDTwoweekly,J278,J277)))</f>
        <v>0</v>
      </c>
      <c r="K283" s="509">
        <f>IF(K$15=TMDPeriodValueTypeForecast,IF('Delivery Calculation'!$H$36=TMDAllocationTandM,0,'Delivery Calculation'!T110),IF(MDReportingPeriod=TMDMonthly,K279,IF(MDReportingPeriod=TMDTwoweekly,K278,K277)))</f>
        <v>0</v>
      </c>
      <c r="L283" s="509">
        <f>IF(L$15=TMDPeriodValueTypeForecast,IF('Delivery Calculation'!$H$36=TMDAllocationTandM,0,'Delivery Calculation'!U110),IF(MDReportingPeriod=TMDMonthly,L279,IF(MDReportingPeriod=TMDTwoweekly,L278,L277)))</f>
        <v>0</v>
      </c>
      <c r="M283" s="509">
        <f>IF(M$15=TMDPeriodValueTypeForecast,IF('Delivery Calculation'!$H$36=TMDAllocationTandM,0,'Delivery Calculation'!V110),IF(MDReportingPeriod=TMDMonthly,M279,IF(MDReportingPeriod=TMDTwoweekly,M278,M277)))</f>
        <v>0</v>
      </c>
      <c r="N283" s="509">
        <f>IF(N$15=TMDPeriodValueTypeForecast,IF('Delivery Calculation'!$H$36=TMDAllocationTandM,0,'Delivery Calculation'!W110),IF(MDReportingPeriod=TMDMonthly,N279,IF(MDReportingPeriod=TMDTwoweekly,N278,N277)))</f>
        <v>0</v>
      </c>
      <c r="O283" s="509">
        <f>IF(O$15=TMDPeriodValueTypeForecast,IF('Delivery Calculation'!$H$36=TMDAllocationTandM,0,'Delivery Calculation'!X110),IF(MDReportingPeriod=TMDMonthly,O279,IF(MDReportingPeriod=TMDTwoweekly,O278,O277)))</f>
        <v>0</v>
      </c>
      <c r="P283" s="509">
        <f>IF(P$15=TMDPeriodValueTypeForecast,IF('Delivery Calculation'!$H$36=TMDAllocationTandM,0,'Delivery Calculation'!Y110),IF(MDReportingPeriod=TMDMonthly,P279,IF(MDReportingPeriod=TMDTwoweekly,P278,P277)))</f>
        <v>0</v>
      </c>
      <c r="Q283" s="509">
        <f>IF(Q$15=TMDPeriodValueTypeForecast,IF('Delivery Calculation'!$H$36=TMDAllocationTandM,0,'Delivery Calculation'!Z110),IF(MDReportingPeriod=TMDMonthly,Q279,IF(MDReportingPeriod=TMDTwoweekly,Q278,Q277)))</f>
        <v>0</v>
      </c>
      <c r="R283" s="509">
        <f>IF(R$15=TMDPeriodValueTypeForecast,IF('Delivery Calculation'!$H$36=TMDAllocationTandM,0,'Delivery Calculation'!AA110),IF(MDReportingPeriod=TMDMonthly,R279,IF(MDReportingPeriod=TMDTwoweekly,R278,R277)))</f>
        <v>0</v>
      </c>
      <c r="S283" s="509">
        <f>IF(S$15=TMDPeriodValueTypeForecast,IF('Delivery Calculation'!$H$36=TMDAllocationTandM,0,'Delivery Calculation'!AB110),IF(MDReportingPeriod=TMDMonthly,S279,IF(MDReportingPeriod=TMDTwoweekly,S278,S277)))</f>
        <v>0</v>
      </c>
      <c r="T283" s="509">
        <f>IF(T$15=TMDPeriodValueTypeForecast,IF('Delivery Calculation'!$H$36=TMDAllocationTandM,0,'Delivery Calculation'!AC110),IF(MDReportingPeriod=TMDMonthly,T279,IF(MDReportingPeriod=TMDTwoweekly,T278,T277)))</f>
        <v>0</v>
      </c>
      <c r="U283" s="509">
        <f>IF(U$15=TMDPeriodValueTypeForecast,IF('Delivery Calculation'!$H$36=TMDAllocationTandM,0,'Delivery Calculation'!AD110),IF(MDReportingPeriod=TMDMonthly,U279,IF(MDReportingPeriod=TMDTwoweekly,U278,U277)))</f>
        <v>0</v>
      </c>
      <c r="V283" s="509">
        <f>IF(V$15=TMDPeriodValueTypeForecast,IF('Delivery Calculation'!$H$36=TMDAllocationTandM,0,'Delivery Calculation'!AE110),IF(MDReportingPeriod=TMDMonthly,V279,IF(MDReportingPeriod=TMDTwoweekly,V278,V277)))</f>
        <v>0</v>
      </c>
      <c r="W283" s="509">
        <f>IF(W$15=TMDPeriodValueTypeForecast,IF('Delivery Calculation'!$H$36=TMDAllocationTandM,0,'Delivery Calculation'!AF110),IF(MDReportingPeriod=TMDMonthly,W279,IF(MDReportingPeriod=TMDTwoweekly,W278,W277)))</f>
        <v>0</v>
      </c>
      <c r="X283" s="509">
        <f>IF(X$15=TMDPeriodValueTypeForecast,IF('Delivery Calculation'!$H$36=TMDAllocationTandM,0,'Delivery Calculation'!AG110),IF(MDReportingPeriod=TMDMonthly,X279,IF(MDReportingPeriod=TMDTwoweekly,X278,X277)))</f>
        <v>0</v>
      </c>
      <c r="Y283" s="509">
        <f>IF(Y$15=TMDPeriodValueTypeForecast,IF('Delivery Calculation'!$H$36=TMDAllocationTandM,0,'Delivery Calculation'!AH110),IF(MDReportingPeriod=TMDMonthly,Y279,IF(MDReportingPeriod=TMDTwoweekly,Y278,Y277)))</f>
        <v>0</v>
      </c>
      <c r="Z283" s="509">
        <f>IF(Z$15=TMDPeriodValueTypeForecast,IF('Delivery Calculation'!$H$36=TMDAllocationTandM,0,'Delivery Calculation'!AI110),IF(MDReportingPeriod=TMDMonthly,Z279,IF(MDReportingPeriod=TMDTwoweekly,Z278,Z277)))</f>
        <v>0</v>
      </c>
      <c r="AA283" s="509">
        <f>IF(AA$15=TMDPeriodValueTypeForecast,IF('Delivery Calculation'!$H$36=TMDAllocationTandM,0,'Delivery Calculation'!AJ110),IF(MDReportingPeriod=TMDMonthly,AA279,IF(MDReportingPeriod=TMDTwoweekly,AA278,AA277)))</f>
        <v>0</v>
      </c>
      <c r="AB283" s="509">
        <f>IF(AB$15=TMDPeriodValueTypeForecast,IF('Delivery Calculation'!$H$36=TMDAllocationTandM,0,'Delivery Calculation'!AK110),IF(MDReportingPeriod=TMDMonthly,AB279,IF(MDReportingPeriod=TMDTwoweekly,AB278,AB277)))</f>
        <v>0</v>
      </c>
      <c r="AC283" s="509">
        <f>IF(AC$15=TMDPeriodValueTypeForecast,IF('Delivery Calculation'!$H$36=TMDAllocationTandM,0,'Delivery Calculation'!AL110),IF(MDReportingPeriod=TMDMonthly,AC279,IF(MDReportingPeriod=TMDTwoweekly,AC278,AC277)))</f>
        <v>0</v>
      </c>
      <c r="AD283" s="509">
        <f>IF(AD$15=TMDPeriodValueTypeForecast,IF('Delivery Calculation'!$H$36=TMDAllocationTandM,0,'Delivery Calculation'!AM110),IF(MDReportingPeriod=TMDMonthly,AD279,IF(MDReportingPeriod=TMDTwoweekly,AD278,AD277)))</f>
        <v>0</v>
      </c>
      <c r="AE283" s="509">
        <f>IF(AE$15=TMDPeriodValueTypeForecast,IF('Delivery Calculation'!$H$36=TMDAllocationTandM,0,'Delivery Calculation'!AN110),IF(MDReportingPeriod=TMDMonthly,AE279,IF(MDReportingPeriod=TMDTwoweekly,AE278,AE277)))</f>
        <v>0</v>
      </c>
      <c r="AF283" s="509">
        <f>IF(AF$15=TMDPeriodValueTypeForecast,IF('Delivery Calculation'!$H$36=TMDAllocationTandM,0,'Delivery Calculation'!AO110),IF(MDReportingPeriod=TMDMonthly,AF279,IF(MDReportingPeriod=TMDTwoweekly,AF278,AF277)))</f>
        <v>0</v>
      </c>
      <c r="AG283" s="509">
        <f>IF(AG$15=TMDPeriodValueTypeForecast,IF('Delivery Calculation'!$H$36=TMDAllocationTandM,0,'Delivery Calculation'!AP110),IF(MDReportingPeriod=TMDMonthly,AG279,IF(MDReportingPeriod=TMDTwoweekly,AG278,AG277)))</f>
        <v>0</v>
      </c>
      <c r="AH283" s="509">
        <f>IF(AH$15=TMDPeriodValueTypeForecast,IF('Delivery Calculation'!$H$36=TMDAllocationTandM,0,'Delivery Calculation'!AQ110),IF(MDReportingPeriod=TMDMonthly,AH279,IF(MDReportingPeriod=TMDTwoweekly,AH278,AH277)))</f>
        <v>0</v>
      </c>
      <c r="AI283" s="509">
        <f>IF(AI$15=TMDPeriodValueTypeForecast,IF('Delivery Calculation'!$H$36=TMDAllocationTandM,0,'Delivery Calculation'!AR110),IF(MDReportingPeriod=TMDMonthly,AI279,IF(MDReportingPeriod=TMDTwoweekly,AI278,AI277)))</f>
        <v>0</v>
      </c>
      <c r="AJ283" s="509">
        <f>IF(AJ$15=TMDPeriodValueTypeForecast,IF('Delivery Calculation'!$H$36=TMDAllocationTandM,0,'Delivery Calculation'!AS110),IF(MDReportingPeriod=TMDMonthly,AJ279,IF(MDReportingPeriod=TMDTwoweekly,AJ278,AJ277)))</f>
        <v>0</v>
      </c>
      <c r="AK283" s="509">
        <f>IF(AK$15=TMDPeriodValueTypeForecast,IF('Delivery Calculation'!$H$36=TMDAllocationTandM,0,'Delivery Calculation'!AT110),IF(MDReportingPeriod=TMDMonthly,AK279,IF(MDReportingPeriod=TMDTwoweekly,AK278,AK277)))</f>
        <v>0</v>
      </c>
      <c r="AL283" s="509">
        <f>IF(AL$15=TMDPeriodValueTypeForecast,IF('Delivery Calculation'!$H$36=TMDAllocationTandM,0,'Delivery Calculation'!AU110),IF(MDReportingPeriod=TMDMonthly,AL279,IF(MDReportingPeriod=TMDTwoweekly,AL278,AL277)))</f>
        <v>0</v>
      </c>
      <c r="AM283" s="509">
        <f>IF(AM$15=TMDPeriodValueTypeForecast,IF('Delivery Calculation'!$H$36=TMDAllocationTandM,0,'Delivery Calculation'!AV110),IF(MDReportingPeriod=TMDMonthly,AM279,IF(MDReportingPeriod=TMDTwoweekly,AM278,AM277)))</f>
        <v>0</v>
      </c>
      <c r="AN283" s="509">
        <f>IF(AN$15=TMDPeriodValueTypeForecast,IF('Delivery Calculation'!$H$36=TMDAllocationTandM,0,'Delivery Calculation'!AW110),IF(MDReportingPeriod=TMDMonthly,AN279,IF(MDReportingPeriod=TMDTwoweekly,AN278,AN277)))</f>
        <v>0</v>
      </c>
      <c r="AO283" s="509">
        <f>IF(AO$15=TMDPeriodValueTypeForecast,IF('Delivery Calculation'!$H$36=TMDAllocationTandM,0,'Delivery Calculation'!AX110),IF(MDReportingPeriod=TMDMonthly,AO279,IF(MDReportingPeriod=TMDTwoweekly,AO278,AO277)))</f>
        <v>0</v>
      </c>
      <c r="AP283" s="501"/>
      <c r="AQ283" s="505">
        <f>SUMIF($D$15:$AO$15,TMDPeriodValueTypeReported,D283:AO283)</f>
        <v>0</v>
      </c>
      <c r="AR283" s="505">
        <f>SUMIF($D$15:$AO$15,TMDPeriodValueTypeForecast,D283:AO283)</f>
        <v>0</v>
      </c>
      <c r="AS283" s="523">
        <f>'Delivery Calculation'!I36</f>
        <v>0</v>
      </c>
      <c r="AT283" s="505">
        <f>AS283-(AQ283+AR283)</f>
        <v>0</v>
      </c>
      <c r="AU283" s="505"/>
      <c r="AV283" s="510"/>
      <c r="AW283" s="452"/>
    </row>
    <row r="284" spans="1:49">
      <c r="A284" s="1185"/>
      <c r="B284" s="1182"/>
      <c r="C284" s="499" t="s">
        <v>617</v>
      </c>
      <c r="D284" s="509"/>
      <c r="E284" s="509"/>
      <c r="F284" s="509"/>
      <c r="G284" s="509"/>
      <c r="H284" s="509"/>
      <c r="I284" s="509"/>
      <c r="J284" s="509"/>
      <c r="K284" s="509"/>
      <c r="L284" s="509"/>
      <c r="M284" s="509"/>
      <c r="N284" s="509"/>
      <c r="O284" s="509"/>
      <c r="P284" s="509"/>
      <c r="Q284" s="509"/>
      <c r="R284" s="509"/>
      <c r="S284" s="509"/>
      <c r="T284" s="509"/>
      <c r="U284" s="509"/>
      <c r="V284" s="509"/>
      <c r="W284" s="509"/>
      <c r="X284" s="509"/>
      <c r="Y284" s="509"/>
      <c r="Z284" s="509"/>
      <c r="AA284" s="509"/>
      <c r="AB284" s="509"/>
      <c r="AC284" s="509"/>
      <c r="AD284" s="509"/>
      <c r="AE284" s="509"/>
      <c r="AF284" s="509"/>
      <c r="AG284" s="509"/>
      <c r="AH284" s="509"/>
      <c r="AI284" s="509"/>
      <c r="AJ284" s="509"/>
      <c r="AK284" s="509"/>
      <c r="AL284" s="509"/>
      <c r="AM284" s="509"/>
      <c r="AN284" s="509"/>
      <c r="AO284" s="509"/>
      <c r="AP284" s="501"/>
      <c r="AQ284" s="505">
        <f>SUMIF($D$15:$AO$15,TMDPeriodValueTypeReported,D284:AO284)</f>
        <v>0</v>
      </c>
      <c r="AR284" s="505">
        <f>SUMIF($D$15:$AO$15,TMDPeriodValueTypeForecast,D284:AO284)</f>
        <v>0</v>
      </c>
      <c r="AS284" s="505"/>
      <c r="AT284" s="505">
        <f>AQ284+AR284</f>
        <v>0</v>
      </c>
      <c r="AU284" s="505"/>
      <c r="AV284" s="510"/>
      <c r="AW284" s="452"/>
    </row>
    <row r="285" spans="1:49" hidden="1">
      <c r="A285" s="143"/>
      <c r="B285" s="483"/>
      <c r="C285" s="496" t="s">
        <v>1339</v>
      </c>
      <c r="D285" s="516">
        <f t="shared" ref="D285:AO285" si="144">IF(ISERR(GETPIVOTDATA("[Measures].[Hours]",TRIMARANweekly,"[Order].[Position Number]","[Order].[Position Number].&amp;[" &amp; $B292 &amp; "]","[Period].[Week]","[Period].[Week].&amp;[" &amp; YEAR(D$14-7) &amp; TEXT(WEEKNUM(D$14-7),"00") &amp; "]")),0,GETPIVOTDATA("[Measures].[Hours]",TRIMARANweekly,"[Order].[Position Number]","[Order].[Position Number].&amp;[" &amp; $B292 &amp; "]","[Period].[Week]","[Period].[Week].&amp;[" &amp; YEAR(D$14-7) &amp; TEXT(WEEKNUM(D$14-7),"00") &amp; "]"))</f>
        <v>0</v>
      </c>
      <c r="E285" s="516">
        <f t="shared" si="144"/>
        <v>0</v>
      </c>
      <c r="F285" s="516">
        <f t="shared" si="144"/>
        <v>0</v>
      </c>
      <c r="G285" s="516">
        <f t="shared" si="144"/>
        <v>0</v>
      </c>
      <c r="H285" s="516">
        <f t="shared" si="144"/>
        <v>0</v>
      </c>
      <c r="I285" s="516">
        <f t="shared" si="144"/>
        <v>0</v>
      </c>
      <c r="J285" s="516">
        <f t="shared" si="144"/>
        <v>0</v>
      </c>
      <c r="K285" s="516">
        <f t="shared" si="144"/>
        <v>0</v>
      </c>
      <c r="L285" s="516">
        <f t="shared" si="144"/>
        <v>0</v>
      </c>
      <c r="M285" s="516">
        <f t="shared" si="144"/>
        <v>0</v>
      </c>
      <c r="N285" s="516">
        <f t="shared" si="144"/>
        <v>0</v>
      </c>
      <c r="O285" s="516">
        <f t="shared" si="144"/>
        <v>0</v>
      </c>
      <c r="P285" s="516">
        <f t="shared" si="144"/>
        <v>0</v>
      </c>
      <c r="Q285" s="516">
        <f t="shared" si="144"/>
        <v>0</v>
      </c>
      <c r="R285" s="516">
        <f t="shared" si="144"/>
        <v>0</v>
      </c>
      <c r="S285" s="516">
        <f t="shared" si="144"/>
        <v>0</v>
      </c>
      <c r="T285" s="516">
        <f t="shared" si="144"/>
        <v>0</v>
      </c>
      <c r="U285" s="516">
        <f t="shared" si="144"/>
        <v>0</v>
      </c>
      <c r="V285" s="516">
        <f t="shared" si="144"/>
        <v>0</v>
      </c>
      <c r="W285" s="516">
        <f t="shared" si="144"/>
        <v>0</v>
      </c>
      <c r="X285" s="516">
        <f t="shared" si="144"/>
        <v>0</v>
      </c>
      <c r="Y285" s="516">
        <f t="shared" si="144"/>
        <v>0</v>
      </c>
      <c r="Z285" s="516">
        <f t="shared" si="144"/>
        <v>0</v>
      </c>
      <c r="AA285" s="516">
        <f t="shared" si="144"/>
        <v>0</v>
      </c>
      <c r="AB285" s="516">
        <f t="shared" si="144"/>
        <v>0</v>
      </c>
      <c r="AC285" s="516">
        <f t="shared" si="144"/>
        <v>0</v>
      </c>
      <c r="AD285" s="516">
        <f t="shared" si="144"/>
        <v>0</v>
      </c>
      <c r="AE285" s="516">
        <f t="shared" si="144"/>
        <v>0</v>
      </c>
      <c r="AF285" s="516">
        <f t="shared" si="144"/>
        <v>0</v>
      </c>
      <c r="AG285" s="516">
        <f t="shared" si="144"/>
        <v>0</v>
      </c>
      <c r="AH285" s="516">
        <f t="shared" si="144"/>
        <v>0</v>
      </c>
      <c r="AI285" s="516">
        <f t="shared" si="144"/>
        <v>0</v>
      </c>
      <c r="AJ285" s="516">
        <f t="shared" si="144"/>
        <v>0</v>
      </c>
      <c r="AK285" s="516">
        <f t="shared" si="144"/>
        <v>0</v>
      </c>
      <c r="AL285" s="516">
        <f t="shared" si="144"/>
        <v>0</v>
      </c>
      <c r="AM285" s="516">
        <f t="shared" si="144"/>
        <v>0</v>
      </c>
      <c r="AN285" s="516">
        <f t="shared" si="144"/>
        <v>0</v>
      </c>
      <c r="AO285" s="516">
        <f t="shared" si="144"/>
        <v>0</v>
      </c>
      <c r="AP285" s="501"/>
      <c r="AQ285" s="505"/>
      <c r="AR285" s="505"/>
      <c r="AS285" s="505"/>
      <c r="AT285" s="505"/>
      <c r="AU285" s="505"/>
      <c r="AV285" s="510"/>
      <c r="AW285" s="452"/>
    </row>
    <row r="286" spans="1:49" hidden="1">
      <c r="A286" s="143"/>
      <c r="B286" s="483"/>
      <c r="C286" s="496" t="s">
        <v>1340</v>
      </c>
      <c r="D286" s="516">
        <f t="shared" ref="D286:AO286" si="145">IF(ISERR(GETPIVOTDATA("[Measures].[Hours]",TRIMARANweekly,"[Order].[Position Number]","[Order].[Position Number].&amp;[" &amp; $B292 &amp; "]","[Period].[Week]","[Period].[Week].&amp;[" &amp; YEAR(D$14-14) &amp; TEXT(WEEKNUM(D$14-14),"00") &amp; "]")),0,GETPIVOTDATA("[Measures].[Hours]",TRIMARANweekly,"[Order].[Position Number]","[Order].[Position Number].&amp;[" &amp; $B292 &amp; "]","[Period].[Week]","[Period].[Week].&amp;[" &amp; YEAR(D$14-14) &amp; TEXT(WEEKNUM(D$14-14),"00") &amp; "]"))+D285</f>
        <v>0</v>
      </c>
      <c r="E286" s="516">
        <f t="shared" si="145"/>
        <v>0</v>
      </c>
      <c r="F286" s="516">
        <f t="shared" si="145"/>
        <v>0</v>
      </c>
      <c r="G286" s="516">
        <f t="shared" si="145"/>
        <v>0</v>
      </c>
      <c r="H286" s="516">
        <f t="shared" si="145"/>
        <v>0</v>
      </c>
      <c r="I286" s="516">
        <f t="shared" si="145"/>
        <v>0</v>
      </c>
      <c r="J286" s="516">
        <f t="shared" si="145"/>
        <v>0</v>
      </c>
      <c r="K286" s="516">
        <f t="shared" si="145"/>
        <v>0</v>
      </c>
      <c r="L286" s="516">
        <f t="shared" si="145"/>
        <v>0</v>
      </c>
      <c r="M286" s="516">
        <f t="shared" si="145"/>
        <v>0</v>
      </c>
      <c r="N286" s="516">
        <f t="shared" si="145"/>
        <v>0</v>
      </c>
      <c r="O286" s="516">
        <f t="shared" si="145"/>
        <v>0</v>
      </c>
      <c r="P286" s="516">
        <f t="shared" si="145"/>
        <v>0</v>
      </c>
      <c r="Q286" s="516">
        <f t="shared" si="145"/>
        <v>0</v>
      </c>
      <c r="R286" s="516">
        <f t="shared" si="145"/>
        <v>0</v>
      </c>
      <c r="S286" s="516">
        <f t="shared" si="145"/>
        <v>0</v>
      </c>
      <c r="T286" s="516">
        <f t="shared" si="145"/>
        <v>0</v>
      </c>
      <c r="U286" s="516">
        <f t="shared" si="145"/>
        <v>0</v>
      </c>
      <c r="V286" s="516">
        <f t="shared" si="145"/>
        <v>0</v>
      </c>
      <c r="W286" s="516">
        <f t="shared" si="145"/>
        <v>0</v>
      </c>
      <c r="X286" s="516">
        <f t="shared" si="145"/>
        <v>0</v>
      </c>
      <c r="Y286" s="516">
        <f t="shared" si="145"/>
        <v>0</v>
      </c>
      <c r="Z286" s="516">
        <f t="shared" si="145"/>
        <v>0</v>
      </c>
      <c r="AA286" s="516">
        <f t="shared" si="145"/>
        <v>0</v>
      </c>
      <c r="AB286" s="516">
        <f t="shared" si="145"/>
        <v>0</v>
      </c>
      <c r="AC286" s="516">
        <f t="shared" si="145"/>
        <v>0</v>
      </c>
      <c r="AD286" s="516">
        <f t="shared" si="145"/>
        <v>0</v>
      </c>
      <c r="AE286" s="516">
        <f t="shared" si="145"/>
        <v>0</v>
      </c>
      <c r="AF286" s="516">
        <f t="shared" si="145"/>
        <v>0</v>
      </c>
      <c r="AG286" s="516">
        <f t="shared" si="145"/>
        <v>0</v>
      </c>
      <c r="AH286" s="516">
        <f t="shared" si="145"/>
        <v>0</v>
      </c>
      <c r="AI286" s="516">
        <f t="shared" si="145"/>
        <v>0</v>
      </c>
      <c r="AJ286" s="516">
        <f t="shared" si="145"/>
        <v>0</v>
      </c>
      <c r="AK286" s="516">
        <f t="shared" si="145"/>
        <v>0</v>
      </c>
      <c r="AL286" s="516">
        <f t="shared" si="145"/>
        <v>0</v>
      </c>
      <c r="AM286" s="516">
        <f t="shared" si="145"/>
        <v>0</v>
      </c>
      <c r="AN286" s="516">
        <f t="shared" si="145"/>
        <v>0</v>
      </c>
      <c r="AO286" s="516">
        <f t="shared" si="145"/>
        <v>0</v>
      </c>
      <c r="AP286" s="501"/>
      <c r="AQ286" s="505"/>
      <c r="AR286" s="505"/>
      <c r="AS286" s="505"/>
      <c r="AT286" s="505"/>
      <c r="AU286" s="505"/>
      <c r="AV286" s="510"/>
      <c r="AW286" s="452"/>
    </row>
    <row r="287" spans="1:49" hidden="1">
      <c r="A287" s="143"/>
      <c r="B287" s="483"/>
      <c r="C287" s="496" t="s">
        <v>1341</v>
      </c>
      <c r="D287" s="516">
        <f t="shared" ref="D287:AO287" si="146">IF(ISERR(GETPIVOTDATA("[Measures].[Hours]",TRIMARANmonthly,"[Period].[Month]","[Period].[Month].&amp;["&amp;IF(MONTH(D$14)=1,YEAR(D$14)-1&amp;TEXT(12,"00"),YEAR(D$14)&amp;TEXT(MONTH(D$14)-1,"00"))&amp;"]","[Order].[Position Number]","[Order].[Position Number].&amp;["&amp;$B292&amp;"]")),0,GETPIVOTDATA("[Measures].[Hours]",TRIMARANmonthly,"[Period].[Month]","[Period].[Month].&amp;["&amp;IF(MONTH(D$14)=1,YEAR(D$14)-1&amp;TEXT(12,"00"),YEAR(D$14)&amp;TEXT(MONTH(D$14)-1,"00"))&amp;"]","[Order].[Position Number]","[Order].[Position Number].&amp;["&amp;$B292&amp;"]"))</f>
        <v>0</v>
      </c>
      <c r="E287" s="516">
        <f t="shared" si="146"/>
        <v>0</v>
      </c>
      <c r="F287" s="516">
        <f t="shared" si="146"/>
        <v>0</v>
      </c>
      <c r="G287" s="516">
        <f t="shared" si="146"/>
        <v>0</v>
      </c>
      <c r="H287" s="516">
        <f t="shared" si="146"/>
        <v>0</v>
      </c>
      <c r="I287" s="516">
        <f t="shared" si="146"/>
        <v>0</v>
      </c>
      <c r="J287" s="516">
        <f t="shared" si="146"/>
        <v>0</v>
      </c>
      <c r="K287" s="516">
        <f t="shared" si="146"/>
        <v>0</v>
      </c>
      <c r="L287" s="516">
        <f t="shared" si="146"/>
        <v>0</v>
      </c>
      <c r="M287" s="516">
        <f t="shared" si="146"/>
        <v>0</v>
      </c>
      <c r="N287" s="516">
        <f t="shared" si="146"/>
        <v>0</v>
      </c>
      <c r="O287" s="516">
        <f t="shared" si="146"/>
        <v>0</v>
      </c>
      <c r="P287" s="516">
        <f t="shared" si="146"/>
        <v>0</v>
      </c>
      <c r="Q287" s="516">
        <f t="shared" si="146"/>
        <v>0</v>
      </c>
      <c r="R287" s="516">
        <f t="shared" si="146"/>
        <v>0</v>
      </c>
      <c r="S287" s="516">
        <f t="shared" si="146"/>
        <v>0</v>
      </c>
      <c r="T287" s="516">
        <f t="shared" si="146"/>
        <v>0</v>
      </c>
      <c r="U287" s="516">
        <f t="shared" si="146"/>
        <v>0</v>
      </c>
      <c r="V287" s="516">
        <f t="shared" si="146"/>
        <v>0</v>
      </c>
      <c r="W287" s="516">
        <f t="shared" si="146"/>
        <v>0</v>
      </c>
      <c r="X287" s="516">
        <f t="shared" si="146"/>
        <v>0</v>
      </c>
      <c r="Y287" s="516">
        <f t="shared" si="146"/>
        <v>0</v>
      </c>
      <c r="Z287" s="516">
        <f t="shared" si="146"/>
        <v>0</v>
      </c>
      <c r="AA287" s="516">
        <f t="shared" si="146"/>
        <v>0</v>
      </c>
      <c r="AB287" s="516">
        <f t="shared" si="146"/>
        <v>0</v>
      </c>
      <c r="AC287" s="516">
        <f t="shared" si="146"/>
        <v>0</v>
      </c>
      <c r="AD287" s="516">
        <f t="shared" si="146"/>
        <v>0</v>
      </c>
      <c r="AE287" s="516">
        <f t="shared" si="146"/>
        <v>0</v>
      </c>
      <c r="AF287" s="516">
        <f t="shared" si="146"/>
        <v>0</v>
      </c>
      <c r="AG287" s="516">
        <f t="shared" si="146"/>
        <v>0</v>
      </c>
      <c r="AH287" s="516">
        <f t="shared" si="146"/>
        <v>0</v>
      </c>
      <c r="AI287" s="516">
        <f t="shared" si="146"/>
        <v>0</v>
      </c>
      <c r="AJ287" s="516">
        <f t="shared" si="146"/>
        <v>0</v>
      </c>
      <c r="AK287" s="516">
        <f t="shared" si="146"/>
        <v>0</v>
      </c>
      <c r="AL287" s="516">
        <f t="shared" si="146"/>
        <v>0</v>
      </c>
      <c r="AM287" s="516">
        <f t="shared" si="146"/>
        <v>0</v>
      </c>
      <c r="AN287" s="516">
        <f t="shared" si="146"/>
        <v>0</v>
      </c>
      <c r="AO287" s="516">
        <f t="shared" si="146"/>
        <v>0</v>
      </c>
      <c r="AP287" s="501"/>
      <c r="AQ287" s="505"/>
      <c r="AR287" s="505"/>
      <c r="AS287" s="505"/>
      <c r="AT287" s="505"/>
      <c r="AU287" s="505"/>
      <c r="AV287" s="510"/>
      <c r="AW287" s="452"/>
    </row>
    <row r="288" spans="1:49" hidden="1">
      <c r="A288" s="143"/>
      <c r="B288" s="483"/>
      <c r="C288" s="496" t="s">
        <v>1339</v>
      </c>
      <c r="D288" s="516">
        <f t="shared" ref="D288:AO288" si="147">IF(ISERR(GETPIVOTDATA("[Measures].[" &amp; MDContractCurrency &amp; "]",TRIMARANweekly,"[Order].[Position Number]","[Order].[Position Number].&amp;[" &amp; $B292 &amp; "]","[Period].[Week]","[Period].[Week].&amp;[" &amp; YEAR(D$14-7) &amp; TEXT(WEEKNUM(D$14-7),"00") &amp; "]")),0,GETPIVOTDATA("[Measures].[" &amp; MDContractCurrency &amp; "]",TRIMARANweekly,"[Order].[Position Number]","[Order].[Position Number].&amp;[" &amp; $B292 &amp; "]","[Period].[Week]","[Period].[Week].&amp;[" &amp; YEAR(D$14-7) &amp; TEXT(WEEKNUM(D$14-7),"00") &amp; "]"))</f>
        <v>0</v>
      </c>
      <c r="E288" s="516">
        <f t="shared" si="147"/>
        <v>0</v>
      </c>
      <c r="F288" s="516">
        <f t="shared" si="147"/>
        <v>0</v>
      </c>
      <c r="G288" s="516">
        <f t="shared" si="147"/>
        <v>0</v>
      </c>
      <c r="H288" s="516">
        <f t="shared" si="147"/>
        <v>0</v>
      </c>
      <c r="I288" s="516">
        <f t="shared" si="147"/>
        <v>0</v>
      </c>
      <c r="J288" s="516">
        <f t="shared" si="147"/>
        <v>0</v>
      </c>
      <c r="K288" s="516">
        <f t="shared" si="147"/>
        <v>0</v>
      </c>
      <c r="L288" s="516">
        <f t="shared" si="147"/>
        <v>0</v>
      </c>
      <c r="M288" s="516">
        <f t="shared" si="147"/>
        <v>0</v>
      </c>
      <c r="N288" s="516">
        <f t="shared" si="147"/>
        <v>0</v>
      </c>
      <c r="O288" s="516">
        <f t="shared" si="147"/>
        <v>0</v>
      </c>
      <c r="P288" s="516">
        <f t="shared" si="147"/>
        <v>0</v>
      </c>
      <c r="Q288" s="516">
        <f t="shared" si="147"/>
        <v>0</v>
      </c>
      <c r="R288" s="516">
        <f t="shared" si="147"/>
        <v>0</v>
      </c>
      <c r="S288" s="516">
        <f t="shared" si="147"/>
        <v>0</v>
      </c>
      <c r="T288" s="516">
        <f t="shared" si="147"/>
        <v>0</v>
      </c>
      <c r="U288" s="516">
        <f t="shared" si="147"/>
        <v>0</v>
      </c>
      <c r="V288" s="516">
        <f t="shared" si="147"/>
        <v>0</v>
      </c>
      <c r="W288" s="516">
        <f t="shared" si="147"/>
        <v>0</v>
      </c>
      <c r="X288" s="516">
        <f t="shared" si="147"/>
        <v>0</v>
      </c>
      <c r="Y288" s="516">
        <f t="shared" si="147"/>
        <v>0</v>
      </c>
      <c r="Z288" s="516">
        <f t="shared" si="147"/>
        <v>0</v>
      </c>
      <c r="AA288" s="516">
        <f t="shared" si="147"/>
        <v>0</v>
      </c>
      <c r="AB288" s="516">
        <f t="shared" si="147"/>
        <v>0</v>
      </c>
      <c r="AC288" s="516">
        <f t="shared" si="147"/>
        <v>0</v>
      </c>
      <c r="AD288" s="516">
        <f t="shared" si="147"/>
        <v>0</v>
      </c>
      <c r="AE288" s="516">
        <f t="shared" si="147"/>
        <v>0</v>
      </c>
      <c r="AF288" s="516">
        <f t="shared" si="147"/>
        <v>0</v>
      </c>
      <c r="AG288" s="516">
        <f t="shared" si="147"/>
        <v>0</v>
      </c>
      <c r="AH288" s="516">
        <f t="shared" si="147"/>
        <v>0</v>
      </c>
      <c r="AI288" s="516">
        <f t="shared" si="147"/>
        <v>0</v>
      </c>
      <c r="AJ288" s="516">
        <f t="shared" si="147"/>
        <v>0</v>
      </c>
      <c r="AK288" s="516">
        <f t="shared" si="147"/>
        <v>0</v>
      </c>
      <c r="AL288" s="516">
        <f t="shared" si="147"/>
        <v>0</v>
      </c>
      <c r="AM288" s="516">
        <f t="shared" si="147"/>
        <v>0</v>
      </c>
      <c r="AN288" s="516">
        <f t="shared" si="147"/>
        <v>0</v>
      </c>
      <c r="AO288" s="516">
        <f t="shared" si="147"/>
        <v>0</v>
      </c>
      <c r="AP288" s="501"/>
      <c r="AQ288" s="505"/>
      <c r="AR288" s="505"/>
      <c r="AS288" s="505"/>
      <c r="AT288" s="505"/>
      <c r="AU288" s="505"/>
      <c r="AV288" s="510"/>
      <c r="AW288" s="452"/>
    </row>
    <row r="289" spans="1:49" hidden="1">
      <c r="A289" s="143"/>
      <c r="B289" s="483"/>
      <c r="C289" s="496" t="s">
        <v>1340</v>
      </c>
      <c r="D289" s="516">
        <f t="shared" ref="D289:AO289" si="148">IF(ISERR(GETPIVOTDATA("[Measures].[" &amp; MDContractCurrency &amp; "]",TRIMARANweekly,"[Order].[Position Number]","[Order].[Position Number].&amp;[" &amp; $B292 &amp; "]","[Period].[Week]","[Period].[Week].&amp;[" &amp; YEAR(D$14-14) &amp; TEXT(WEEKNUM(D$14-14),"00") &amp; "]")),0,GETPIVOTDATA("[Measures].[" &amp; MDContractCurrency &amp; "]",TRIMARANweekly,"[Order].[Position Number]","[Order].[Position Number].&amp;[" &amp; $B292 &amp; "]","[Period].[Week]","[Period].[Week].&amp;[" &amp; YEAR(D$14-14) &amp; TEXT(WEEKNUM(D$14-14),"00") &amp; "]"))+D288</f>
        <v>0</v>
      </c>
      <c r="E289" s="516">
        <f t="shared" si="148"/>
        <v>0</v>
      </c>
      <c r="F289" s="516">
        <f t="shared" si="148"/>
        <v>0</v>
      </c>
      <c r="G289" s="516">
        <f t="shared" si="148"/>
        <v>0</v>
      </c>
      <c r="H289" s="516">
        <f t="shared" si="148"/>
        <v>0</v>
      </c>
      <c r="I289" s="516">
        <f t="shared" si="148"/>
        <v>0</v>
      </c>
      <c r="J289" s="516">
        <f t="shared" si="148"/>
        <v>0</v>
      </c>
      <c r="K289" s="516">
        <f t="shared" si="148"/>
        <v>0</v>
      </c>
      <c r="L289" s="516">
        <f t="shared" si="148"/>
        <v>0</v>
      </c>
      <c r="M289" s="516">
        <f t="shared" si="148"/>
        <v>0</v>
      </c>
      <c r="N289" s="516">
        <f t="shared" si="148"/>
        <v>0</v>
      </c>
      <c r="O289" s="516">
        <f t="shared" si="148"/>
        <v>0</v>
      </c>
      <c r="P289" s="516">
        <f t="shared" si="148"/>
        <v>0</v>
      </c>
      <c r="Q289" s="516">
        <f t="shared" si="148"/>
        <v>0</v>
      </c>
      <c r="R289" s="516">
        <f t="shared" si="148"/>
        <v>0</v>
      </c>
      <c r="S289" s="516">
        <f t="shared" si="148"/>
        <v>0</v>
      </c>
      <c r="T289" s="516">
        <f t="shared" si="148"/>
        <v>0</v>
      </c>
      <c r="U289" s="516">
        <f t="shared" si="148"/>
        <v>0</v>
      </c>
      <c r="V289" s="516">
        <f t="shared" si="148"/>
        <v>0</v>
      </c>
      <c r="W289" s="516">
        <f t="shared" si="148"/>
        <v>0</v>
      </c>
      <c r="X289" s="516">
        <f t="shared" si="148"/>
        <v>0</v>
      </c>
      <c r="Y289" s="516">
        <f t="shared" si="148"/>
        <v>0</v>
      </c>
      <c r="Z289" s="516">
        <f t="shared" si="148"/>
        <v>0</v>
      </c>
      <c r="AA289" s="516">
        <f t="shared" si="148"/>
        <v>0</v>
      </c>
      <c r="AB289" s="516">
        <f t="shared" si="148"/>
        <v>0</v>
      </c>
      <c r="AC289" s="516">
        <f t="shared" si="148"/>
        <v>0</v>
      </c>
      <c r="AD289" s="516">
        <f t="shared" si="148"/>
        <v>0</v>
      </c>
      <c r="AE289" s="516">
        <f t="shared" si="148"/>
        <v>0</v>
      </c>
      <c r="AF289" s="516">
        <f t="shared" si="148"/>
        <v>0</v>
      </c>
      <c r="AG289" s="516">
        <f t="shared" si="148"/>
        <v>0</v>
      </c>
      <c r="AH289" s="516">
        <f t="shared" si="148"/>
        <v>0</v>
      </c>
      <c r="AI289" s="516">
        <f t="shared" si="148"/>
        <v>0</v>
      </c>
      <c r="AJ289" s="516">
        <f t="shared" si="148"/>
        <v>0</v>
      </c>
      <c r="AK289" s="516">
        <f t="shared" si="148"/>
        <v>0</v>
      </c>
      <c r="AL289" s="516">
        <f t="shared" si="148"/>
        <v>0</v>
      </c>
      <c r="AM289" s="516">
        <f t="shared" si="148"/>
        <v>0</v>
      </c>
      <c r="AN289" s="516">
        <f t="shared" si="148"/>
        <v>0</v>
      </c>
      <c r="AO289" s="516">
        <f t="shared" si="148"/>
        <v>0</v>
      </c>
      <c r="AP289" s="501"/>
      <c r="AQ289" s="505"/>
      <c r="AR289" s="505"/>
      <c r="AS289" s="505"/>
      <c r="AT289" s="505"/>
      <c r="AU289" s="505"/>
      <c r="AV289" s="510"/>
      <c r="AW289" s="452"/>
    </row>
    <row r="290" spans="1:49" hidden="1">
      <c r="A290" s="141"/>
      <c r="B290" s="517"/>
      <c r="C290" s="496" t="s">
        <v>1341</v>
      </c>
      <c r="D290" s="516">
        <f t="shared" ref="D290:AO290" si="149">IF(ISERR(GETPIVOTDATA("[Measures].[" &amp; MDContractCurrency &amp; "]",TRIMARANmonthly,"[Period].[Month]","[Period].[Month].&amp;["&amp;IF(MONTH(D$14)=1,YEAR(D$14)-1&amp;TEXT(12,"00"),YEAR(D$14)&amp;TEXT(MONTH(D$14)-1,"00"))&amp;"]","[Order].[Position Number]","[Order].[Position Number].&amp;["&amp;$B292&amp;"]")),0,GETPIVOTDATA("[Measures].[" &amp; MDContractCurrency &amp; "]",TRIMARANmonthly,"[Period].[Month]","[Period].[Month].&amp;["&amp;IF(MONTH(D$14)=1,YEAR(D$14)-1&amp;TEXT(12,"00"),YEAR(D$14)&amp;TEXT(MONTH(D$14)-1,"00"))&amp;"]","[Order].[Position Number]","[Order].[Position Number].&amp;["&amp;$B292&amp;"]"))</f>
        <v>0</v>
      </c>
      <c r="E290" s="516">
        <f t="shared" si="149"/>
        <v>0</v>
      </c>
      <c r="F290" s="516">
        <f t="shared" si="149"/>
        <v>0</v>
      </c>
      <c r="G290" s="516">
        <f t="shared" si="149"/>
        <v>0</v>
      </c>
      <c r="H290" s="516">
        <f t="shared" si="149"/>
        <v>0</v>
      </c>
      <c r="I290" s="516">
        <f t="shared" si="149"/>
        <v>0</v>
      </c>
      <c r="J290" s="516">
        <f t="shared" si="149"/>
        <v>0</v>
      </c>
      <c r="K290" s="516">
        <f t="shared" si="149"/>
        <v>0</v>
      </c>
      <c r="L290" s="516">
        <f t="shared" si="149"/>
        <v>0</v>
      </c>
      <c r="M290" s="516">
        <f t="shared" si="149"/>
        <v>0</v>
      </c>
      <c r="N290" s="516">
        <f t="shared" si="149"/>
        <v>0</v>
      </c>
      <c r="O290" s="516">
        <f t="shared" si="149"/>
        <v>0</v>
      </c>
      <c r="P290" s="516">
        <f t="shared" si="149"/>
        <v>0</v>
      </c>
      <c r="Q290" s="516">
        <f t="shared" si="149"/>
        <v>0</v>
      </c>
      <c r="R290" s="516">
        <f t="shared" si="149"/>
        <v>0</v>
      </c>
      <c r="S290" s="516">
        <f t="shared" si="149"/>
        <v>0</v>
      </c>
      <c r="T290" s="516">
        <f t="shared" si="149"/>
        <v>0</v>
      </c>
      <c r="U290" s="516">
        <f t="shared" si="149"/>
        <v>0</v>
      </c>
      <c r="V290" s="516">
        <f t="shared" si="149"/>
        <v>0</v>
      </c>
      <c r="W290" s="516">
        <f t="shared" si="149"/>
        <v>0</v>
      </c>
      <c r="X290" s="516">
        <f t="shared" si="149"/>
        <v>0</v>
      </c>
      <c r="Y290" s="516">
        <f t="shared" si="149"/>
        <v>0</v>
      </c>
      <c r="Z290" s="516">
        <f t="shared" si="149"/>
        <v>0</v>
      </c>
      <c r="AA290" s="516">
        <f t="shared" si="149"/>
        <v>0</v>
      </c>
      <c r="AB290" s="516">
        <f t="shared" si="149"/>
        <v>0</v>
      </c>
      <c r="AC290" s="516">
        <f t="shared" si="149"/>
        <v>0</v>
      </c>
      <c r="AD290" s="516">
        <f t="shared" si="149"/>
        <v>0</v>
      </c>
      <c r="AE290" s="516">
        <f t="shared" si="149"/>
        <v>0</v>
      </c>
      <c r="AF290" s="516">
        <f t="shared" si="149"/>
        <v>0</v>
      </c>
      <c r="AG290" s="516">
        <f t="shared" si="149"/>
        <v>0</v>
      </c>
      <c r="AH290" s="516">
        <f t="shared" si="149"/>
        <v>0</v>
      </c>
      <c r="AI290" s="516">
        <f t="shared" si="149"/>
        <v>0</v>
      </c>
      <c r="AJ290" s="516">
        <f t="shared" si="149"/>
        <v>0</v>
      </c>
      <c r="AK290" s="516">
        <f t="shared" si="149"/>
        <v>0</v>
      </c>
      <c r="AL290" s="516">
        <f t="shared" si="149"/>
        <v>0</v>
      </c>
      <c r="AM290" s="516">
        <f t="shared" si="149"/>
        <v>0</v>
      </c>
      <c r="AN290" s="516">
        <f t="shared" si="149"/>
        <v>0</v>
      </c>
      <c r="AO290" s="516">
        <f t="shared" si="149"/>
        <v>0</v>
      </c>
      <c r="AP290" s="501"/>
      <c r="AQ290" s="505"/>
      <c r="AR290" s="505"/>
      <c r="AS290" s="505"/>
      <c r="AT290" s="505"/>
      <c r="AU290" s="505"/>
      <c r="AV290" s="510"/>
      <c r="AW290" s="452"/>
    </row>
    <row r="291" spans="1:49">
      <c r="A291" s="477"/>
      <c r="B291" s="483"/>
      <c r="C291" s="496"/>
      <c r="D291" s="496"/>
      <c r="E291" s="496"/>
      <c r="F291" s="496"/>
      <c r="G291" s="496"/>
      <c r="H291" s="496"/>
      <c r="I291" s="496"/>
      <c r="J291" s="496"/>
      <c r="K291" s="496"/>
      <c r="L291" s="496"/>
      <c r="M291" s="496"/>
      <c r="N291" s="496"/>
      <c r="O291" s="496"/>
      <c r="P291" s="496"/>
      <c r="Q291" s="496"/>
      <c r="R291" s="496"/>
      <c r="S291" s="496"/>
      <c r="T291" s="496"/>
      <c r="U291" s="496"/>
      <c r="V291" s="496"/>
      <c r="W291" s="496"/>
      <c r="X291" s="496"/>
      <c r="Y291" s="496"/>
      <c r="Z291" s="496"/>
      <c r="AA291" s="496"/>
      <c r="AB291" s="496"/>
      <c r="AC291" s="496"/>
      <c r="AD291" s="496"/>
      <c r="AE291" s="496"/>
      <c r="AF291" s="496"/>
      <c r="AG291" s="496"/>
      <c r="AH291" s="496"/>
      <c r="AI291" s="496"/>
      <c r="AJ291" s="496"/>
      <c r="AK291" s="496"/>
      <c r="AL291" s="496"/>
      <c r="AM291" s="496"/>
      <c r="AN291" s="496"/>
      <c r="AO291" s="496"/>
      <c r="AP291" s="501"/>
      <c r="AQ291" s="505"/>
      <c r="AR291" s="505"/>
      <c r="AS291" s="505"/>
      <c r="AT291" s="505"/>
      <c r="AU291" s="505"/>
      <c r="AV291" s="510"/>
      <c r="AW291" s="452"/>
    </row>
    <row r="292" spans="1:49">
      <c r="A292" s="1183" t="str">
        <f>'Delivery Calculation'!B37 &amp; CHAR(10) &amp; 'Delivery Calculation'!P37 &amp; " - " &amp; 'Delivery Calculation'!Q37</f>
        <v xml:space="preserve">0
 - </v>
      </c>
      <c r="B292" s="1180">
        <f>'Delivery Calculation'!A37</f>
        <v>0</v>
      </c>
      <c r="C292" s="499" t="s">
        <v>618</v>
      </c>
      <c r="D292" s="518">
        <f>'Delivery Calculation'!M218</f>
        <v>0</v>
      </c>
      <c r="E292" s="518">
        <f>'Delivery Calculation'!N218</f>
        <v>0</v>
      </c>
      <c r="F292" s="518">
        <f>'Delivery Calculation'!O218</f>
        <v>0</v>
      </c>
      <c r="G292" s="518">
        <f>'Delivery Calculation'!P218</f>
        <v>0</v>
      </c>
      <c r="H292" s="518">
        <f>'Delivery Calculation'!Q218</f>
        <v>0</v>
      </c>
      <c r="I292" s="518">
        <f>'Delivery Calculation'!R218</f>
        <v>0</v>
      </c>
      <c r="J292" s="518">
        <f>'Delivery Calculation'!S218</f>
        <v>0</v>
      </c>
      <c r="K292" s="518">
        <f>'Delivery Calculation'!T218</f>
        <v>0</v>
      </c>
      <c r="L292" s="518">
        <f>'Delivery Calculation'!U218</f>
        <v>0</v>
      </c>
      <c r="M292" s="518">
        <f>'Delivery Calculation'!V218</f>
        <v>0</v>
      </c>
      <c r="N292" s="518">
        <f>'Delivery Calculation'!W218</f>
        <v>0</v>
      </c>
      <c r="O292" s="518">
        <f>'Delivery Calculation'!X218</f>
        <v>0</v>
      </c>
      <c r="P292" s="518">
        <f>'Delivery Calculation'!Y218</f>
        <v>0</v>
      </c>
      <c r="Q292" s="518">
        <f>'Delivery Calculation'!Z218</f>
        <v>0</v>
      </c>
      <c r="R292" s="518">
        <f>'Delivery Calculation'!AA218</f>
        <v>0</v>
      </c>
      <c r="S292" s="518">
        <f>'Delivery Calculation'!AB218</f>
        <v>0</v>
      </c>
      <c r="T292" s="518">
        <f>'Delivery Calculation'!AC218</f>
        <v>0</v>
      </c>
      <c r="U292" s="518">
        <f>'Delivery Calculation'!AD218</f>
        <v>0</v>
      </c>
      <c r="V292" s="518">
        <f>'Delivery Calculation'!AE218</f>
        <v>0</v>
      </c>
      <c r="W292" s="518">
        <f>'Delivery Calculation'!AF218</f>
        <v>0</v>
      </c>
      <c r="X292" s="518">
        <f>'Delivery Calculation'!AG218</f>
        <v>0</v>
      </c>
      <c r="Y292" s="518">
        <f>'Delivery Calculation'!AH218</f>
        <v>0</v>
      </c>
      <c r="Z292" s="518">
        <f>'Delivery Calculation'!AI218</f>
        <v>0</v>
      </c>
      <c r="AA292" s="518">
        <f>'Delivery Calculation'!AJ218</f>
        <v>0</v>
      </c>
      <c r="AB292" s="518">
        <f>'Delivery Calculation'!AK218</f>
        <v>0</v>
      </c>
      <c r="AC292" s="518">
        <f>'Delivery Calculation'!AL218</f>
        <v>0</v>
      </c>
      <c r="AD292" s="518">
        <f>'Delivery Calculation'!AM218</f>
        <v>0</v>
      </c>
      <c r="AE292" s="518">
        <f>'Delivery Calculation'!AN218</f>
        <v>0</v>
      </c>
      <c r="AF292" s="518">
        <f>'Delivery Calculation'!AO218</f>
        <v>0</v>
      </c>
      <c r="AG292" s="518">
        <f>'Delivery Calculation'!AP218</f>
        <v>0</v>
      </c>
      <c r="AH292" s="518">
        <f>'Delivery Calculation'!AQ218</f>
        <v>0</v>
      </c>
      <c r="AI292" s="518">
        <f>'Delivery Calculation'!AR218</f>
        <v>0</v>
      </c>
      <c r="AJ292" s="518">
        <f>'Delivery Calculation'!AS218</f>
        <v>0</v>
      </c>
      <c r="AK292" s="518">
        <f>'Delivery Calculation'!AT218</f>
        <v>0</v>
      </c>
      <c r="AL292" s="518">
        <f>'Delivery Calculation'!AU218</f>
        <v>0</v>
      </c>
      <c r="AM292" s="518">
        <f>'Delivery Calculation'!AV218</f>
        <v>0</v>
      </c>
      <c r="AN292" s="518">
        <f>'Delivery Calculation'!AW218</f>
        <v>0</v>
      </c>
      <c r="AO292" s="518">
        <f>'Delivery Calculation'!AX218</f>
        <v>0</v>
      </c>
      <c r="AP292" s="501"/>
      <c r="AQ292" s="519">
        <f>IF(COUNTIF($D$15:$AO$15, TMDPeriodValueTypeReported)&gt;0, INDEX(D292:AO292,1,COUNTIF(D$15:$AO$15,TMDPeriodValueTypeReported)),0)</f>
        <v>0</v>
      </c>
      <c r="AR292" s="519"/>
      <c r="AS292" s="520">
        <f>'Delivery Calculation'!N37</f>
        <v>0</v>
      </c>
      <c r="AT292" s="519">
        <f>AQ292*'Delivery Calculation'!N37</f>
        <v>0</v>
      </c>
      <c r="AU292" s="521" t="s">
        <v>522</v>
      </c>
      <c r="AV292" s="510"/>
      <c r="AW292" s="452"/>
    </row>
    <row r="293" spans="1:49">
      <c r="A293" s="1184"/>
      <c r="B293" s="1181"/>
      <c r="C293" s="499" t="s">
        <v>619</v>
      </c>
      <c r="D293" s="509">
        <f>IF(D$15=TMDPeriodValueTypeForecast,IF('Delivery Calculation'!$H$37=TMDAllocationTandM,0,'Delivery Calculation'!M147),IF(MDReportingPeriod=TMDMonthly,D287,IF(MDReportingPeriod=TMDTwoweekly,D286,D285)))</f>
        <v>0</v>
      </c>
      <c r="E293" s="509">
        <f>IF(E$15=TMDPeriodValueTypeForecast,IF('Delivery Calculation'!$H$37=TMDAllocationTandM,0,'Delivery Calculation'!N147),IF(MDReportingPeriod=TMDMonthly,E287,IF(MDReportingPeriod=TMDTwoweekly,E286,E285)))</f>
        <v>0</v>
      </c>
      <c r="F293" s="509">
        <f>IF(F$15=TMDPeriodValueTypeForecast,IF('Delivery Calculation'!$H$37=TMDAllocationTandM,0,'Delivery Calculation'!O147),IF(MDReportingPeriod=TMDMonthly,F287,IF(MDReportingPeriod=TMDTwoweekly,F286,F285)))</f>
        <v>0</v>
      </c>
      <c r="G293" s="509">
        <f>IF(G$15=TMDPeriodValueTypeForecast,IF('Delivery Calculation'!$H$37=TMDAllocationTandM,0,'Delivery Calculation'!P147),IF(MDReportingPeriod=TMDMonthly,G287,IF(MDReportingPeriod=TMDTwoweekly,G286,G285)))</f>
        <v>0</v>
      </c>
      <c r="H293" s="509">
        <f>IF(H$15=TMDPeriodValueTypeForecast,IF('Delivery Calculation'!$H$37=TMDAllocationTandM,0,'Delivery Calculation'!Q147),IF(MDReportingPeriod=TMDMonthly,H287,IF(MDReportingPeriod=TMDTwoweekly,H286,H285)))</f>
        <v>0</v>
      </c>
      <c r="I293" s="509">
        <f>IF(I$15=TMDPeriodValueTypeForecast,IF('Delivery Calculation'!$H$37=TMDAllocationTandM,0,'Delivery Calculation'!R147),IF(MDReportingPeriod=TMDMonthly,I287,IF(MDReportingPeriod=TMDTwoweekly,I286,I285)))</f>
        <v>0</v>
      </c>
      <c r="J293" s="509">
        <f>IF(J$15=TMDPeriodValueTypeForecast,IF('Delivery Calculation'!$H$37=TMDAllocationTandM,0,'Delivery Calculation'!S147),IF(MDReportingPeriod=TMDMonthly,J287,IF(MDReportingPeriod=TMDTwoweekly,J286,J285)))</f>
        <v>0</v>
      </c>
      <c r="K293" s="509">
        <f>IF(K$15=TMDPeriodValueTypeForecast,IF('Delivery Calculation'!$H$37=TMDAllocationTandM,0,'Delivery Calculation'!T147),IF(MDReportingPeriod=TMDMonthly,K287,IF(MDReportingPeriod=TMDTwoweekly,K286,K285)))</f>
        <v>0</v>
      </c>
      <c r="L293" s="509">
        <f>IF(L$15=TMDPeriodValueTypeForecast,IF('Delivery Calculation'!$H$37=TMDAllocationTandM,0,'Delivery Calculation'!U147),IF(MDReportingPeriod=TMDMonthly,L287,IF(MDReportingPeriod=TMDTwoweekly,L286,L285)))</f>
        <v>0</v>
      </c>
      <c r="M293" s="509">
        <f>IF(M$15=TMDPeriodValueTypeForecast,IF('Delivery Calculation'!$H$37=TMDAllocationTandM,0,'Delivery Calculation'!V147),IF(MDReportingPeriod=TMDMonthly,M287,IF(MDReportingPeriod=TMDTwoweekly,M286,M285)))</f>
        <v>0</v>
      </c>
      <c r="N293" s="509">
        <f>IF(N$15=TMDPeriodValueTypeForecast,IF('Delivery Calculation'!$H$37=TMDAllocationTandM,0,'Delivery Calculation'!W147),IF(MDReportingPeriod=TMDMonthly,N287,IF(MDReportingPeriod=TMDTwoweekly,N286,N285)))</f>
        <v>0</v>
      </c>
      <c r="O293" s="509">
        <f>IF(O$15=TMDPeriodValueTypeForecast,IF('Delivery Calculation'!$H$37=TMDAllocationTandM,0,'Delivery Calculation'!X147),IF(MDReportingPeriod=TMDMonthly,O287,IF(MDReportingPeriod=TMDTwoweekly,O286,O285)))</f>
        <v>0</v>
      </c>
      <c r="P293" s="509">
        <f>IF(P$15=TMDPeriodValueTypeForecast,IF('Delivery Calculation'!$H$37=TMDAllocationTandM,0,'Delivery Calculation'!Y147),IF(MDReportingPeriod=TMDMonthly,P287,IF(MDReportingPeriod=TMDTwoweekly,P286,P285)))</f>
        <v>0</v>
      </c>
      <c r="Q293" s="509">
        <f>IF(Q$15=TMDPeriodValueTypeForecast,IF('Delivery Calculation'!$H$37=TMDAllocationTandM,0,'Delivery Calculation'!Z147),IF(MDReportingPeriod=TMDMonthly,Q287,IF(MDReportingPeriod=TMDTwoweekly,Q286,Q285)))</f>
        <v>0</v>
      </c>
      <c r="R293" s="509">
        <f>IF(R$15=TMDPeriodValueTypeForecast,IF('Delivery Calculation'!$H$37=TMDAllocationTandM,0,'Delivery Calculation'!AA147),IF(MDReportingPeriod=TMDMonthly,R287,IF(MDReportingPeriod=TMDTwoweekly,R286,R285)))</f>
        <v>0</v>
      </c>
      <c r="S293" s="509">
        <f>IF(S$15=TMDPeriodValueTypeForecast,IF('Delivery Calculation'!$H$37=TMDAllocationTandM,0,'Delivery Calculation'!AB147),IF(MDReportingPeriod=TMDMonthly,S287,IF(MDReportingPeriod=TMDTwoweekly,S286,S285)))</f>
        <v>0</v>
      </c>
      <c r="T293" s="509">
        <f>IF(T$15=TMDPeriodValueTypeForecast,IF('Delivery Calculation'!$H$37=TMDAllocationTandM,0,'Delivery Calculation'!AC147),IF(MDReportingPeriod=TMDMonthly,T287,IF(MDReportingPeriod=TMDTwoweekly,T286,T285)))</f>
        <v>0</v>
      </c>
      <c r="U293" s="509">
        <f>IF(U$15=TMDPeriodValueTypeForecast,IF('Delivery Calculation'!$H$37=TMDAllocationTandM,0,'Delivery Calculation'!AD147),IF(MDReportingPeriod=TMDMonthly,U287,IF(MDReportingPeriod=TMDTwoweekly,U286,U285)))</f>
        <v>0</v>
      </c>
      <c r="V293" s="509">
        <f>IF(V$15=TMDPeriodValueTypeForecast,IF('Delivery Calculation'!$H$37=TMDAllocationTandM,0,'Delivery Calculation'!AE147),IF(MDReportingPeriod=TMDMonthly,V287,IF(MDReportingPeriod=TMDTwoweekly,V286,V285)))</f>
        <v>0</v>
      </c>
      <c r="W293" s="509">
        <f>IF(W$15=TMDPeriodValueTypeForecast,IF('Delivery Calculation'!$H$37=TMDAllocationTandM,0,'Delivery Calculation'!AF147),IF(MDReportingPeriod=TMDMonthly,W287,IF(MDReportingPeriod=TMDTwoweekly,W286,W285)))</f>
        <v>0</v>
      </c>
      <c r="X293" s="509">
        <f>IF(X$15=TMDPeriodValueTypeForecast,IF('Delivery Calculation'!$H$37=TMDAllocationTandM,0,'Delivery Calculation'!AG147),IF(MDReportingPeriod=TMDMonthly,X287,IF(MDReportingPeriod=TMDTwoweekly,X286,X285)))</f>
        <v>0</v>
      </c>
      <c r="Y293" s="509">
        <f>IF(Y$15=TMDPeriodValueTypeForecast,IF('Delivery Calculation'!$H$37=TMDAllocationTandM,0,'Delivery Calculation'!AH147),IF(MDReportingPeriod=TMDMonthly,Y287,IF(MDReportingPeriod=TMDTwoweekly,Y286,Y285)))</f>
        <v>0</v>
      </c>
      <c r="Z293" s="509">
        <f>IF(Z$15=TMDPeriodValueTypeForecast,IF('Delivery Calculation'!$H$37=TMDAllocationTandM,0,'Delivery Calculation'!AI147),IF(MDReportingPeriod=TMDMonthly,Z287,IF(MDReportingPeriod=TMDTwoweekly,Z286,Z285)))</f>
        <v>0</v>
      </c>
      <c r="AA293" s="509">
        <f>IF(AA$15=TMDPeriodValueTypeForecast,IF('Delivery Calculation'!$H$37=TMDAllocationTandM,0,'Delivery Calculation'!AJ147),IF(MDReportingPeriod=TMDMonthly,AA287,IF(MDReportingPeriod=TMDTwoweekly,AA286,AA285)))</f>
        <v>0</v>
      </c>
      <c r="AB293" s="509">
        <f>IF(AB$15=TMDPeriodValueTypeForecast,IF('Delivery Calculation'!$H$37=TMDAllocationTandM,0,'Delivery Calculation'!AK147),IF(MDReportingPeriod=TMDMonthly,AB287,IF(MDReportingPeriod=TMDTwoweekly,AB286,AB285)))</f>
        <v>0</v>
      </c>
      <c r="AC293" s="509">
        <f>IF(AC$15=TMDPeriodValueTypeForecast,IF('Delivery Calculation'!$H$37=TMDAllocationTandM,0,'Delivery Calculation'!AL147),IF(MDReportingPeriod=TMDMonthly,AC287,IF(MDReportingPeriod=TMDTwoweekly,AC286,AC285)))</f>
        <v>0</v>
      </c>
      <c r="AD293" s="509">
        <f>IF(AD$15=TMDPeriodValueTypeForecast,IF('Delivery Calculation'!$H$37=TMDAllocationTandM,0,'Delivery Calculation'!AM147),IF(MDReportingPeriod=TMDMonthly,AD287,IF(MDReportingPeriod=TMDTwoweekly,AD286,AD285)))</f>
        <v>0</v>
      </c>
      <c r="AE293" s="509">
        <f>IF(AE$15=TMDPeriodValueTypeForecast,IF('Delivery Calculation'!$H$37=TMDAllocationTandM,0,'Delivery Calculation'!AN147),IF(MDReportingPeriod=TMDMonthly,AE287,IF(MDReportingPeriod=TMDTwoweekly,AE286,AE285)))</f>
        <v>0</v>
      </c>
      <c r="AF293" s="509">
        <f>IF(AF$15=TMDPeriodValueTypeForecast,IF('Delivery Calculation'!$H$37=TMDAllocationTandM,0,'Delivery Calculation'!AO147),IF(MDReportingPeriod=TMDMonthly,AF287,IF(MDReportingPeriod=TMDTwoweekly,AF286,AF285)))</f>
        <v>0</v>
      </c>
      <c r="AG293" s="509">
        <f>IF(AG$15=TMDPeriodValueTypeForecast,IF('Delivery Calculation'!$H$37=TMDAllocationTandM,0,'Delivery Calculation'!AP147),IF(MDReportingPeriod=TMDMonthly,AG287,IF(MDReportingPeriod=TMDTwoweekly,AG286,AG285)))</f>
        <v>0</v>
      </c>
      <c r="AH293" s="509">
        <f>IF(AH$15=TMDPeriodValueTypeForecast,IF('Delivery Calculation'!$H$37=TMDAllocationTandM,0,'Delivery Calculation'!AQ147),IF(MDReportingPeriod=TMDMonthly,AH287,IF(MDReportingPeriod=TMDTwoweekly,AH286,AH285)))</f>
        <v>0</v>
      </c>
      <c r="AI293" s="509">
        <f>IF(AI$15=TMDPeriodValueTypeForecast,IF('Delivery Calculation'!$H$37=TMDAllocationTandM,0,'Delivery Calculation'!AR147),IF(MDReportingPeriod=TMDMonthly,AI287,IF(MDReportingPeriod=TMDTwoweekly,AI286,AI285)))</f>
        <v>0</v>
      </c>
      <c r="AJ293" s="509">
        <f>IF(AJ$15=TMDPeriodValueTypeForecast,IF('Delivery Calculation'!$H$37=TMDAllocationTandM,0,'Delivery Calculation'!AS147),IF(MDReportingPeriod=TMDMonthly,AJ287,IF(MDReportingPeriod=TMDTwoweekly,AJ286,AJ285)))</f>
        <v>0</v>
      </c>
      <c r="AK293" s="509">
        <f>IF(AK$15=TMDPeriodValueTypeForecast,IF('Delivery Calculation'!$H$37=TMDAllocationTandM,0,'Delivery Calculation'!AT147),IF(MDReportingPeriod=TMDMonthly,AK287,IF(MDReportingPeriod=TMDTwoweekly,AK286,AK285)))</f>
        <v>0</v>
      </c>
      <c r="AL293" s="509">
        <f>IF(AL$15=TMDPeriodValueTypeForecast,IF('Delivery Calculation'!$H$37=TMDAllocationTandM,0,'Delivery Calculation'!AU147),IF(MDReportingPeriod=TMDMonthly,AL287,IF(MDReportingPeriod=TMDTwoweekly,AL286,AL285)))</f>
        <v>0</v>
      </c>
      <c r="AM293" s="509">
        <f>IF(AM$15=TMDPeriodValueTypeForecast,IF('Delivery Calculation'!$H$37=TMDAllocationTandM,0,'Delivery Calculation'!AV147),IF(MDReportingPeriod=TMDMonthly,AM287,IF(MDReportingPeriod=TMDTwoweekly,AM286,AM285)))</f>
        <v>0</v>
      </c>
      <c r="AN293" s="509">
        <f>IF(AN$15=TMDPeriodValueTypeForecast,IF('Delivery Calculation'!$H$37=TMDAllocationTandM,0,'Delivery Calculation'!AW147),IF(MDReportingPeriod=TMDMonthly,AN287,IF(MDReportingPeriod=TMDTwoweekly,AN286,AN285)))</f>
        <v>0</v>
      </c>
      <c r="AO293" s="509">
        <f>IF(AO$15=TMDPeriodValueTypeForecast,IF('Delivery Calculation'!$H$37=TMDAllocationTandM,0,'Delivery Calculation'!AX147),IF(MDReportingPeriod=TMDMonthly,AO287,IF(MDReportingPeriod=TMDTwoweekly,AO286,AO285)))</f>
        <v>0</v>
      </c>
      <c r="AP293" s="501"/>
      <c r="AQ293" s="505">
        <f>SUMIF($D$15:$AO$15,TMDPeriodValueTypeReported,D293:AO293)</f>
        <v>0</v>
      </c>
      <c r="AR293" s="505">
        <f>SUMIF($D$15:$AO$15,TMDPeriodValueTypeForecast,D293:AO293)</f>
        <v>0</v>
      </c>
      <c r="AS293" s="523">
        <f>'Delivery Calculation'!J37</f>
        <v>0</v>
      </c>
      <c r="AT293" s="505">
        <f>AS293-(AQ293+AR293)</f>
        <v>0</v>
      </c>
      <c r="AU293" s="505"/>
      <c r="AV293" s="510"/>
      <c r="AW293" s="452"/>
    </row>
    <row r="294" spans="1:49">
      <c r="A294" s="1184"/>
      <c r="B294" s="1181"/>
      <c r="C294" s="499" t="s">
        <v>620</v>
      </c>
      <c r="D294" s="509">
        <f>IF(D$15=TMDPeriodValueTypeForecast,IF('Delivery Calculation'!$H$37=TMDAllocationTandM,0,'Delivery Calculation'!M111),IF(MDReportingPeriod=TMDMonthly,D290,IF(MDReportingPeriod=TMDTwoweekly,D289,D288)))</f>
        <v>0</v>
      </c>
      <c r="E294" s="509">
        <f>IF(E$15=TMDPeriodValueTypeForecast,IF('Delivery Calculation'!$H$37=TMDAllocationTandM,0,'Delivery Calculation'!N111),IF(MDReportingPeriod=TMDMonthly,E290,IF(MDReportingPeriod=TMDTwoweekly,E289,E288)))</f>
        <v>0</v>
      </c>
      <c r="F294" s="509">
        <f>IF(F$15=TMDPeriodValueTypeForecast,IF('Delivery Calculation'!$H$37=TMDAllocationTandM,0,'Delivery Calculation'!O111),IF(MDReportingPeriod=TMDMonthly,F290,IF(MDReportingPeriod=TMDTwoweekly,F289,F288)))</f>
        <v>0</v>
      </c>
      <c r="G294" s="509">
        <f>IF(G$15=TMDPeriodValueTypeForecast,IF('Delivery Calculation'!$H$37=TMDAllocationTandM,0,'Delivery Calculation'!P111),IF(MDReportingPeriod=TMDMonthly,G290,IF(MDReportingPeriod=TMDTwoweekly,G289,G288)))</f>
        <v>0</v>
      </c>
      <c r="H294" s="509">
        <f>IF(H$15=TMDPeriodValueTypeForecast,IF('Delivery Calculation'!$H$37=TMDAllocationTandM,0,'Delivery Calculation'!Q111),IF(MDReportingPeriod=TMDMonthly,H290,IF(MDReportingPeriod=TMDTwoweekly,H289,H288)))</f>
        <v>0</v>
      </c>
      <c r="I294" s="509">
        <f>IF(I$15=TMDPeriodValueTypeForecast,IF('Delivery Calculation'!$H$37=TMDAllocationTandM,0,'Delivery Calculation'!R111),IF(MDReportingPeriod=TMDMonthly,I290,IF(MDReportingPeriod=TMDTwoweekly,I289,I288)))</f>
        <v>0</v>
      </c>
      <c r="J294" s="509">
        <f>IF(J$15=TMDPeriodValueTypeForecast,IF('Delivery Calculation'!$H$37=TMDAllocationTandM,0,'Delivery Calculation'!S111),IF(MDReportingPeriod=TMDMonthly,J290,IF(MDReportingPeriod=TMDTwoweekly,J289,J288)))</f>
        <v>0</v>
      </c>
      <c r="K294" s="509">
        <f>IF(K$15=TMDPeriodValueTypeForecast,IF('Delivery Calculation'!$H$37=TMDAllocationTandM,0,'Delivery Calculation'!T111),IF(MDReportingPeriod=TMDMonthly,K290,IF(MDReportingPeriod=TMDTwoweekly,K289,K288)))</f>
        <v>0</v>
      </c>
      <c r="L294" s="509">
        <f>IF(L$15=TMDPeriodValueTypeForecast,IF('Delivery Calculation'!$H$37=TMDAllocationTandM,0,'Delivery Calculation'!U111),IF(MDReportingPeriod=TMDMonthly,L290,IF(MDReportingPeriod=TMDTwoweekly,L289,L288)))</f>
        <v>0</v>
      </c>
      <c r="M294" s="509">
        <f>IF(M$15=TMDPeriodValueTypeForecast,IF('Delivery Calculation'!$H$37=TMDAllocationTandM,0,'Delivery Calculation'!V111),IF(MDReportingPeriod=TMDMonthly,M290,IF(MDReportingPeriod=TMDTwoweekly,M289,M288)))</f>
        <v>0</v>
      </c>
      <c r="N294" s="509">
        <f>IF(N$15=TMDPeriodValueTypeForecast,IF('Delivery Calculation'!$H$37=TMDAllocationTandM,0,'Delivery Calculation'!W111),IF(MDReportingPeriod=TMDMonthly,N290,IF(MDReportingPeriod=TMDTwoweekly,N289,N288)))</f>
        <v>0</v>
      </c>
      <c r="O294" s="509">
        <f>IF(O$15=TMDPeriodValueTypeForecast,IF('Delivery Calculation'!$H$37=TMDAllocationTandM,0,'Delivery Calculation'!X111),IF(MDReportingPeriod=TMDMonthly,O290,IF(MDReportingPeriod=TMDTwoweekly,O289,O288)))</f>
        <v>0</v>
      </c>
      <c r="P294" s="509">
        <f>IF(P$15=TMDPeriodValueTypeForecast,IF('Delivery Calculation'!$H$37=TMDAllocationTandM,0,'Delivery Calculation'!Y111),IF(MDReportingPeriod=TMDMonthly,P290,IF(MDReportingPeriod=TMDTwoweekly,P289,P288)))</f>
        <v>0</v>
      </c>
      <c r="Q294" s="509">
        <f>IF(Q$15=TMDPeriodValueTypeForecast,IF('Delivery Calculation'!$H$37=TMDAllocationTandM,0,'Delivery Calculation'!Z111),IF(MDReportingPeriod=TMDMonthly,Q290,IF(MDReportingPeriod=TMDTwoweekly,Q289,Q288)))</f>
        <v>0</v>
      </c>
      <c r="R294" s="509">
        <f>IF(R$15=TMDPeriodValueTypeForecast,IF('Delivery Calculation'!$H$37=TMDAllocationTandM,0,'Delivery Calculation'!AA111),IF(MDReportingPeriod=TMDMonthly,R290,IF(MDReportingPeriod=TMDTwoweekly,R289,R288)))</f>
        <v>0</v>
      </c>
      <c r="S294" s="509">
        <f>IF(S$15=TMDPeriodValueTypeForecast,IF('Delivery Calculation'!$H$37=TMDAllocationTandM,0,'Delivery Calculation'!AB111),IF(MDReportingPeriod=TMDMonthly,S290,IF(MDReportingPeriod=TMDTwoweekly,S289,S288)))</f>
        <v>0</v>
      </c>
      <c r="T294" s="509">
        <f>IF(T$15=TMDPeriodValueTypeForecast,IF('Delivery Calculation'!$H$37=TMDAllocationTandM,0,'Delivery Calculation'!AC111),IF(MDReportingPeriod=TMDMonthly,T290,IF(MDReportingPeriod=TMDTwoweekly,T289,T288)))</f>
        <v>0</v>
      </c>
      <c r="U294" s="509">
        <f>IF(U$15=TMDPeriodValueTypeForecast,IF('Delivery Calculation'!$H$37=TMDAllocationTandM,0,'Delivery Calculation'!AD111),IF(MDReportingPeriod=TMDMonthly,U290,IF(MDReportingPeriod=TMDTwoweekly,U289,U288)))</f>
        <v>0</v>
      </c>
      <c r="V294" s="509">
        <f>IF(V$15=TMDPeriodValueTypeForecast,IF('Delivery Calculation'!$H$37=TMDAllocationTandM,0,'Delivery Calculation'!AE111),IF(MDReportingPeriod=TMDMonthly,V290,IF(MDReportingPeriod=TMDTwoweekly,V289,V288)))</f>
        <v>0</v>
      </c>
      <c r="W294" s="509">
        <f>IF(W$15=TMDPeriodValueTypeForecast,IF('Delivery Calculation'!$H$37=TMDAllocationTandM,0,'Delivery Calculation'!AF111),IF(MDReportingPeriod=TMDMonthly,W290,IF(MDReportingPeriod=TMDTwoweekly,W289,W288)))</f>
        <v>0</v>
      </c>
      <c r="X294" s="509">
        <f>IF(X$15=TMDPeriodValueTypeForecast,IF('Delivery Calculation'!$H$37=TMDAllocationTandM,0,'Delivery Calculation'!AG111),IF(MDReportingPeriod=TMDMonthly,X290,IF(MDReportingPeriod=TMDTwoweekly,X289,X288)))</f>
        <v>0</v>
      </c>
      <c r="Y294" s="509">
        <f>IF(Y$15=TMDPeriodValueTypeForecast,IF('Delivery Calculation'!$H$37=TMDAllocationTandM,0,'Delivery Calculation'!AH111),IF(MDReportingPeriod=TMDMonthly,Y290,IF(MDReportingPeriod=TMDTwoweekly,Y289,Y288)))</f>
        <v>0</v>
      </c>
      <c r="Z294" s="509">
        <f>IF(Z$15=TMDPeriodValueTypeForecast,IF('Delivery Calculation'!$H$37=TMDAllocationTandM,0,'Delivery Calculation'!AI111),IF(MDReportingPeriod=TMDMonthly,Z290,IF(MDReportingPeriod=TMDTwoweekly,Z289,Z288)))</f>
        <v>0</v>
      </c>
      <c r="AA294" s="509">
        <f>IF(AA$15=TMDPeriodValueTypeForecast,IF('Delivery Calculation'!$H$37=TMDAllocationTandM,0,'Delivery Calculation'!AJ111),IF(MDReportingPeriod=TMDMonthly,AA290,IF(MDReportingPeriod=TMDTwoweekly,AA289,AA288)))</f>
        <v>0</v>
      </c>
      <c r="AB294" s="509">
        <f>IF(AB$15=TMDPeriodValueTypeForecast,IF('Delivery Calculation'!$H$37=TMDAllocationTandM,0,'Delivery Calculation'!AK111),IF(MDReportingPeriod=TMDMonthly,AB290,IF(MDReportingPeriod=TMDTwoweekly,AB289,AB288)))</f>
        <v>0</v>
      </c>
      <c r="AC294" s="509">
        <f>IF(AC$15=TMDPeriodValueTypeForecast,IF('Delivery Calculation'!$H$37=TMDAllocationTandM,0,'Delivery Calculation'!AL111),IF(MDReportingPeriod=TMDMonthly,AC290,IF(MDReportingPeriod=TMDTwoweekly,AC289,AC288)))</f>
        <v>0</v>
      </c>
      <c r="AD294" s="509">
        <f>IF(AD$15=TMDPeriodValueTypeForecast,IF('Delivery Calculation'!$H$37=TMDAllocationTandM,0,'Delivery Calculation'!AM111),IF(MDReportingPeriod=TMDMonthly,AD290,IF(MDReportingPeriod=TMDTwoweekly,AD289,AD288)))</f>
        <v>0</v>
      </c>
      <c r="AE294" s="509">
        <f>IF(AE$15=TMDPeriodValueTypeForecast,IF('Delivery Calculation'!$H$37=TMDAllocationTandM,0,'Delivery Calculation'!AN111),IF(MDReportingPeriod=TMDMonthly,AE290,IF(MDReportingPeriod=TMDTwoweekly,AE289,AE288)))</f>
        <v>0</v>
      </c>
      <c r="AF294" s="509">
        <f>IF(AF$15=TMDPeriodValueTypeForecast,IF('Delivery Calculation'!$H$37=TMDAllocationTandM,0,'Delivery Calculation'!AO111),IF(MDReportingPeriod=TMDMonthly,AF290,IF(MDReportingPeriod=TMDTwoweekly,AF289,AF288)))</f>
        <v>0</v>
      </c>
      <c r="AG294" s="509">
        <f>IF(AG$15=TMDPeriodValueTypeForecast,IF('Delivery Calculation'!$H$37=TMDAllocationTandM,0,'Delivery Calculation'!AP111),IF(MDReportingPeriod=TMDMonthly,AG290,IF(MDReportingPeriod=TMDTwoweekly,AG289,AG288)))</f>
        <v>0</v>
      </c>
      <c r="AH294" s="509">
        <f>IF(AH$15=TMDPeriodValueTypeForecast,IF('Delivery Calculation'!$H$37=TMDAllocationTandM,0,'Delivery Calculation'!AQ111),IF(MDReportingPeriod=TMDMonthly,AH290,IF(MDReportingPeriod=TMDTwoweekly,AH289,AH288)))</f>
        <v>0</v>
      </c>
      <c r="AI294" s="509">
        <f>IF(AI$15=TMDPeriodValueTypeForecast,IF('Delivery Calculation'!$H$37=TMDAllocationTandM,0,'Delivery Calculation'!AR111),IF(MDReportingPeriod=TMDMonthly,AI290,IF(MDReportingPeriod=TMDTwoweekly,AI289,AI288)))</f>
        <v>0</v>
      </c>
      <c r="AJ294" s="509">
        <f>IF(AJ$15=TMDPeriodValueTypeForecast,IF('Delivery Calculation'!$H$37=TMDAllocationTandM,0,'Delivery Calculation'!AS111),IF(MDReportingPeriod=TMDMonthly,AJ290,IF(MDReportingPeriod=TMDTwoweekly,AJ289,AJ288)))</f>
        <v>0</v>
      </c>
      <c r="AK294" s="509">
        <f>IF(AK$15=TMDPeriodValueTypeForecast,IF('Delivery Calculation'!$H$37=TMDAllocationTandM,0,'Delivery Calculation'!AT111),IF(MDReportingPeriod=TMDMonthly,AK290,IF(MDReportingPeriod=TMDTwoweekly,AK289,AK288)))</f>
        <v>0</v>
      </c>
      <c r="AL294" s="509">
        <f>IF(AL$15=TMDPeriodValueTypeForecast,IF('Delivery Calculation'!$H$37=TMDAllocationTandM,0,'Delivery Calculation'!AU111),IF(MDReportingPeriod=TMDMonthly,AL290,IF(MDReportingPeriod=TMDTwoweekly,AL289,AL288)))</f>
        <v>0</v>
      </c>
      <c r="AM294" s="509">
        <f>IF(AM$15=TMDPeriodValueTypeForecast,IF('Delivery Calculation'!$H$37=TMDAllocationTandM,0,'Delivery Calculation'!AV111),IF(MDReportingPeriod=TMDMonthly,AM290,IF(MDReportingPeriod=TMDTwoweekly,AM289,AM288)))</f>
        <v>0</v>
      </c>
      <c r="AN294" s="509">
        <f>IF(AN$15=TMDPeriodValueTypeForecast,IF('Delivery Calculation'!$H$37=TMDAllocationTandM,0,'Delivery Calculation'!AW111),IF(MDReportingPeriod=TMDMonthly,AN290,IF(MDReportingPeriod=TMDTwoweekly,AN289,AN288)))</f>
        <v>0</v>
      </c>
      <c r="AO294" s="509">
        <f>IF(AO$15=TMDPeriodValueTypeForecast,IF('Delivery Calculation'!$H$37=TMDAllocationTandM,0,'Delivery Calculation'!AX111),IF(MDReportingPeriod=TMDMonthly,AO290,IF(MDReportingPeriod=TMDTwoweekly,AO289,AO288)))</f>
        <v>0</v>
      </c>
      <c r="AP294" s="501"/>
      <c r="AQ294" s="505">
        <f>SUMIF($D$15:$AO$15,TMDPeriodValueTypeReported,D294:AO294)</f>
        <v>0</v>
      </c>
      <c r="AR294" s="505">
        <f>SUMIF($D$15:$AO$15,TMDPeriodValueTypeForecast,D294:AO294)</f>
        <v>0</v>
      </c>
      <c r="AS294" s="523">
        <f>'Delivery Calculation'!I37</f>
        <v>0</v>
      </c>
      <c r="AT294" s="505">
        <f>AS294-(AQ294+AR294)</f>
        <v>0</v>
      </c>
      <c r="AU294" s="505"/>
      <c r="AV294" s="510"/>
      <c r="AW294" s="452"/>
    </row>
    <row r="295" spans="1:49">
      <c r="A295" s="1185"/>
      <c r="B295" s="1182"/>
      <c r="C295" s="499" t="s">
        <v>621</v>
      </c>
      <c r="D295" s="509"/>
      <c r="E295" s="509"/>
      <c r="F295" s="509"/>
      <c r="G295" s="509"/>
      <c r="H295" s="509"/>
      <c r="I295" s="509"/>
      <c r="J295" s="509"/>
      <c r="K295" s="509"/>
      <c r="L295" s="509"/>
      <c r="M295" s="509"/>
      <c r="N295" s="509"/>
      <c r="O295" s="509"/>
      <c r="P295" s="509"/>
      <c r="Q295" s="509"/>
      <c r="R295" s="509"/>
      <c r="S295" s="509"/>
      <c r="T295" s="509"/>
      <c r="U295" s="509"/>
      <c r="V295" s="509"/>
      <c r="W295" s="509"/>
      <c r="X295" s="509"/>
      <c r="Y295" s="509"/>
      <c r="Z295" s="509"/>
      <c r="AA295" s="509"/>
      <c r="AB295" s="509"/>
      <c r="AC295" s="509"/>
      <c r="AD295" s="509"/>
      <c r="AE295" s="509"/>
      <c r="AF295" s="509"/>
      <c r="AG295" s="509"/>
      <c r="AH295" s="509"/>
      <c r="AI295" s="509"/>
      <c r="AJ295" s="509"/>
      <c r="AK295" s="509"/>
      <c r="AL295" s="509"/>
      <c r="AM295" s="509"/>
      <c r="AN295" s="509"/>
      <c r="AO295" s="509"/>
      <c r="AP295" s="501"/>
      <c r="AQ295" s="505">
        <f>SUMIF($D$15:$AO$15,TMDPeriodValueTypeReported,D295:AO295)</f>
        <v>0</v>
      </c>
      <c r="AR295" s="505">
        <f>SUMIF($D$15:$AO$15,TMDPeriodValueTypeForecast,D295:AO295)</f>
        <v>0</v>
      </c>
      <c r="AS295" s="505"/>
      <c r="AT295" s="505">
        <f>AQ295+AR295</f>
        <v>0</v>
      </c>
      <c r="AU295" s="505"/>
      <c r="AV295" s="510"/>
      <c r="AW295" s="452"/>
    </row>
    <row r="296" spans="1:49" hidden="1">
      <c r="A296" s="143"/>
      <c r="B296" s="483"/>
      <c r="C296" s="496" t="s">
        <v>1339</v>
      </c>
      <c r="D296" s="516">
        <f t="shared" ref="D296:AO296" si="150">IF(ISERR(GETPIVOTDATA("[Measures].[Hours]",TRIMARANweekly,"[Order].[Position Number]","[Order].[Position Number].&amp;[" &amp; $B303 &amp; "]","[Period].[Week]","[Period].[Week].&amp;[" &amp; YEAR(D$14-7) &amp; TEXT(WEEKNUM(D$14-7),"00") &amp; "]")),0,GETPIVOTDATA("[Measures].[Hours]",TRIMARANweekly,"[Order].[Position Number]","[Order].[Position Number].&amp;[" &amp; $B303 &amp; "]","[Period].[Week]","[Period].[Week].&amp;[" &amp; YEAR(D$14-7) &amp; TEXT(WEEKNUM(D$14-7),"00") &amp; "]"))</f>
        <v>0</v>
      </c>
      <c r="E296" s="516">
        <f t="shared" si="150"/>
        <v>0</v>
      </c>
      <c r="F296" s="516">
        <f t="shared" si="150"/>
        <v>0</v>
      </c>
      <c r="G296" s="516">
        <f t="shared" si="150"/>
        <v>0</v>
      </c>
      <c r="H296" s="516">
        <f t="shared" si="150"/>
        <v>0</v>
      </c>
      <c r="I296" s="516">
        <f t="shared" si="150"/>
        <v>0</v>
      </c>
      <c r="J296" s="516">
        <f t="shared" si="150"/>
        <v>0</v>
      </c>
      <c r="K296" s="516">
        <f t="shared" si="150"/>
        <v>0</v>
      </c>
      <c r="L296" s="516">
        <f t="shared" si="150"/>
        <v>0</v>
      </c>
      <c r="M296" s="516">
        <f t="shared" si="150"/>
        <v>0</v>
      </c>
      <c r="N296" s="516">
        <f t="shared" si="150"/>
        <v>0</v>
      </c>
      <c r="O296" s="516">
        <f t="shared" si="150"/>
        <v>0</v>
      </c>
      <c r="P296" s="516">
        <f t="shared" si="150"/>
        <v>0</v>
      </c>
      <c r="Q296" s="516">
        <f t="shared" si="150"/>
        <v>0</v>
      </c>
      <c r="R296" s="516">
        <f t="shared" si="150"/>
        <v>0</v>
      </c>
      <c r="S296" s="516">
        <f t="shared" si="150"/>
        <v>0</v>
      </c>
      <c r="T296" s="516">
        <f t="shared" si="150"/>
        <v>0</v>
      </c>
      <c r="U296" s="516">
        <f t="shared" si="150"/>
        <v>0</v>
      </c>
      <c r="V296" s="516">
        <f t="shared" si="150"/>
        <v>0</v>
      </c>
      <c r="W296" s="516">
        <f t="shared" si="150"/>
        <v>0</v>
      </c>
      <c r="X296" s="516">
        <f t="shared" si="150"/>
        <v>0</v>
      </c>
      <c r="Y296" s="516">
        <f t="shared" si="150"/>
        <v>0</v>
      </c>
      <c r="Z296" s="516">
        <f t="shared" si="150"/>
        <v>0</v>
      </c>
      <c r="AA296" s="516">
        <f t="shared" si="150"/>
        <v>0</v>
      </c>
      <c r="AB296" s="516">
        <f t="shared" si="150"/>
        <v>0</v>
      </c>
      <c r="AC296" s="516">
        <f t="shared" si="150"/>
        <v>0</v>
      </c>
      <c r="AD296" s="516">
        <f t="shared" si="150"/>
        <v>0</v>
      </c>
      <c r="AE296" s="516">
        <f t="shared" si="150"/>
        <v>0</v>
      </c>
      <c r="AF296" s="516">
        <f t="shared" si="150"/>
        <v>0</v>
      </c>
      <c r="AG296" s="516">
        <f t="shared" si="150"/>
        <v>0</v>
      </c>
      <c r="AH296" s="516">
        <f t="shared" si="150"/>
        <v>0</v>
      </c>
      <c r="AI296" s="516">
        <f t="shared" si="150"/>
        <v>0</v>
      </c>
      <c r="AJ296" s="516">
        <f t="shared" si="150"/>
        <v>0</v>
      </c>
      <c r="AK296" s="516">
        <f t="shared" si="150"/>
        <v>0</v>
      </c>
      <c r="AL296" s="516">
        <f t="shared" si="150"/>
        <v>0</v>
      </c>
      <c r="AM296" s="516">
        <f t="shared" si="150"/>
        <v>0</v>
      </c>
      <c r="AN296" s="516">
        <f t="shared" si="150"/>
        <v>0</v>
      </c>
      <c r="AO296" s="516">
        <f t="shared" si="150"/>
        <v>0</v>
      </c>
      <c r="AP296" s="501"/>
      <c r="AQ296" s="505"/>
      <c r="AR296" s="505"/>
      <c r="AS296" s="505"/>
      <c r="AT296" s="505"/>
      <c r="AU296" s="505"/>
      <c r="AV296" s="510"/>
      <c r="AW296" s="452"/>
    </row>
    <row r="297" spans="1:49" hidden="1">
      <c r="A297" s="143"/>
      <c r="B297" s="483"/>
      <c r="C297" s="496" t="s">
        <v>1340</v>
      </c>
      <c r="D297" s="516">
        <f t="shared" ref="D297:AO297" si="151">IF(ISERR(GETPIVOTDATA("[Measures].[Hours]",TRIMARANweekly,"[Order].[Position Number]","[Order].[Position Number].&amp;[" &amp; $B303 &amp; "]","[Period].[Week]","[Period].[Week].&amp;[" &amp; YEAR(D$14-14) &amp; TEXT(WEEKNUM(D$14-14),"00") &amp; "]")),0,GETPIVOTDATA("[Measures].[Hours]",TRIMARANweekly,"[Order].[Position Number]","[Order].[Position Number].&amp;[" &amp; $B303 &amp; "]","[Period].[Week]","[Period].[Week].&amp;[" &amp; YEAR(D$14-14) &amp; TEXT(WEEKNUM(D$14-14),"00") &amp; "]"))+D296</f>
        <v>0</v>
      </c>
      <c r="E297" s="516">
        <f t="shared" si="151"/>
        <v>0</v>
      </c>
      <c r="F297" s="516">
        <f t="shared" si="151"/>
        <v>0</v>
      </c>
      <c r="G297" s="516">
        <f t="shared" si="151"/>
        <v>0</v>
      </c>
      <c r="H297" s="516">
        <f t="shared" si="151"/>
        <v>0</v>
      </c>
      <c r="I297" s="516">
        <f t="shared" si="151"/>
        <v>0</v>
      </c>
      <c r="J297" s="516">
        <f t="shared" si="151"/>
        <v>0</v>
      </c>
      <c r="K297" s="516">
        <f t="shared" si="151"/>
        <v>0</v>
      </c>
      <c r="L297" s="516">
        <f t="shared" si="151"/>
        <v>0</v>
      </c>
      <c r="M297" s="516">
        <f t="shared" si="151"/>
        <v>0</v>
      </c>
      <c r="N297" s="516">
        <f t="shared" si="151"/>
        <v>0</v>
      </c>
      <c r="O297" s="516">
        <f t="shared" si="151"/>
        <v>0</v>
      </c>
      <c r="P297" s="516">
        <f t="shared" si="151"/>
        <v>0</v>
      </c>
      <c r="Q297" s="516">
        <f t="shared" si="151"/>
        <v>0</v>
      </c>
      <c r="R297" s="516">
        <f t="shared" si="151"/>
        <v>0</v>
      </c>
      <c r="S297" s="516">
        <f t="shared" si="151"/>
        <v>0</v>
      </c>
      <c r="T297" s="516">
        <f t="shared" si="151"/>
        <v>0</v>
      </c>
      <c r="U297" s="516">
        <f t="shared" si="151"/>
        <v>0</v>
      </c>
      <c r="V297" s="516">
        <f t="shared" si="151"/>
        <v>0</v>
      </c>
      <c r="W297" s="516">
        <f t="shared" si="151"/>
        <v>0</v>
      </c>
      <c r="X297" s="516">
        <f t="shared" si="151"/>
        <v>0</v>
      </c>
      <c r="Y297" s="516">
        <f t="shared" si="151"/>
        <v>0</v>
      </c>
      <c r="Z297" s="516">
        <f t="shared" si="151"/>
        <v>0</v>
      </c>
      <c r="AA297" s="516">
        <f t="shared" si="151"/>
        <v>0</v>
      </c>
      <c r="AB297" s="516">
        <f t="shared" si="151"/>
        <v>0</v>
      </c>
      <c r="AC297" s="516">
        <f t="shared" si="151"/>
        <v>0</v>
      </c>
      <c r="AD297" s="516">
        <f t="shared" si="151"/>
        <v>0</v>
      </c>
      <c r="AE297" s="516">
        <f t="shared" si="151"/>
        <v>0</v>
      </c>
      <c r="AF297" s="516">
        <f t="shared" si="151"/>
        <v>0</v>
      </c>
      <c r="AG297" s="516">
        <f t="shared" si="151"/>
        <v>0</v>
      </c>
      <c r="AH297" s="516">
        <f t="shared" si="151"/>
        <v>0</v>
      </c>
      <c r="AI297" s="516">
        <f t="shared" si="151"/>
        <v>0</v>
      </c>
      <c r="AJ297" s="516">
        <f t="shared" si="151"/>
        <v>0</v>
      </c>
      <c r="AK297" s="516">
        <f t="shared" si="151"/>
        <v>0</v>
      </c>
      <c r="AL297" s="516">
        <f t="shared" si="151"/>
        <v>0</v>
      </c>
      <c r="AM297" s="516">
        <f t="shared" si="151"/>
        <v>0</v>
      </c>
      <c r="AN297" s="516">
        <f t="shared" si="151"/>
        <v>0</v>
      </c>
      <c r="AO297" s="516">
        <f t="shared" si="151"/>
        <v>0</v>
      </c>
      <c r="AP297" s="501"/>
      <c r="AQ297" s="505"/>
      <c r="AR297" s="505"/>
      <c r="AS297" s="505"/>
      <c r="AT297" s="505"/>
      <c r="AU297" s="505"/>
      <c r="AV297" s="510"/>
      <c r="AW297" s="452"/>
    </row>
    <row r="298" spans="1:49" hidden="1">
      <c r="A298" s="143"/>
      <c r="B298" s="483"/>
      <c r="C298" s="496" t="s">
        <v>1341</v>
      </c>
      <c r="D298" s="516">
        <f t="shared" ref="D298:AO298" si="152">IF(ISERR(GETPIVOTDATA("[Measures].[Hours]",TRIMARANmonthly,"[Period].[Month]","[Period].[Month].&amp;["&amp;IF(MONTH(D$14)=1,YEAR(D$14)-1&amp;TEXT(12,"00"),YEAR(D$14)&amp;TEXT(MONTH(D$14)-1,"00"))&amp;"]","[Order].[Position Number]","[Order].[Position Number].&amp;["&amp;$B303&amp;"]")),0,GETPIVOTDATA("[Measures].[Hours]",TRIMARANmonthly,"[Period].[Month]","[Period].[Month].&amp;["&amp;IF(MONTH(D$14)=1,YEAR(D$14)-1&amp;TEXT(12,"00"),YEAR(D$14)&amp;TEXT(MONTH(D$14)-1,"00"))&amp;"]","[Order].[Position Number]","[Order].[Position Number].&amp;["&amp;$B303&amp;"]"))</f>
        <v>0</v>
      </c>
      <c r="E298" s="516">
        <f t="shared" si="152"/>
        <v>0</v>
      </c>
      <c r="F298" s="516">
        <f t="shared" si="152"/>
        <v>0</v>
      </c>
      <c r="G298" s="516">
        <f t="shared" si="152"/>
        <v>0</v>
      </c>
      <c r="H298" s="516">
        <f t="shared" si="152"/>
        <v>0</v>
      </c>
      <c r="I298" s="516">
        <f t="shared" si="152"/>
        <v>0</v>
      </c>
      <c r="J298" s="516">
        <f t="shared" si="152"/>
        <v>0</v>
      </c>
      <c r="K298" s="516">
        <f t="shared" si="152"/>
        <v>0</v>
      </c>
      <c r="L298" s="516">
        <f t="shared" si="152"/>
        <v>0</v>
      </c>
      <c r="M298" s="516">
        <f t="shared" si="152"/>
        <v>0</v>
      </c>
      <c r="N298" s="516">
        <f t="shared" si="152"/>
        <v>0</v>
      </c>
      <c r="O298" s="516">
        <f t="shared" si="152"/>
        <v>0</v>
      </c>
      <c r="P298" s="516">
        <f t="shared" si="152"/>
        <v>0</v>
      </c>
      <c r="Q298" s="516">
        <f t="shared" si="152"/>
        <v>0</v>
      </c>
      <c r="R298" s="516">
        <f t="shared" si="152"/>
        <v>0</v>
      </c>
      <c r="S298" s="516">
        <f t="shared" si="152"/>
        <v>0</v>
      </c>
      <c r="T298" s="516">
        <f t="shared" si="152"/>
        <v>0</v>
      </c>
      <c r="U298" s="516">
        <f t="shared" si="152"/>
        <v>0</v>
      </c>
      <c r="V298" s="516">
        <f t="shared" si="152"/>
        <v>0</v>
      </c>
      <c r="W298" s="516">
        <f t="shared" si="152"/>
        <v>0</v>
      </c>
      <c r="X298" s="516">
        <f t="shared" si="152"/>
        <v>0</v>
      </c>
      <c r="Y298" s="516">
        <f t="shared" si="152"/>
        <v>0</v>
      </c>
      <c r="Z298" s="516">
        <f t="shared" si="152"/>
        <v>0</v>
      </c>
      <c r="AA298" s="516">
        <f t="shared" si="152"/>
        <v>0</v>
      </c>
      <c r="AB298" s="516">
        <f t="shared" si="152"/>
        <v>0</v>
      </c>
      <c r="AC298" s="516">
        <f t="shared" si="152"/>
        <v>0</v>
      </c>
      <c r="AD298" s="516">
        <f t="shared" si="152"/>
        <v>0</v>
      </c>
      <c r="AE298" s="516">
        <f t="shared" si="152"/>
        <v>0</v>
      </c>
      <c r="AF298" s="516">
        <f t="shared" si="152"/>
        <v>0</v>
      </c>
      <c r="AG298" s="516">
        <f t="shared" si="152"/>
        <v>0</v>
      </c>
      <c r="AH298" s="516">
        <f t="shared" si="152"/>
        <v>0</v>
      </c>
      <c r="AI298" s="516">
        <f t="shared" si="152"/>
        <v>0</v>
      </c>
      <c r="AJ298" s="516">
        <f t="shared" si="152"/>
        <v>0</v>
      </c>
      <c r="AK298" s="516">
        <f t="shared" si="152"/>
        <v>0</v>
      </c>
      <c r="AL298" s="516">
        <f t="shared" si="152"/>
        <v>0</v>
      </c>
      <c r="AM298" s="516">
        <f t="shared" si="152"/>
        <v>0</v>
      </c>
      <c r="AN298" s="516">
        <f t="shared" si="152"/>
        <v>0</v>
      </c>
      <c r="AO298" s="516">
        <f t="shared" si="152"/>
        <v>0</v>
      </c>
      <c r="AP298" s="501"/>
      <c r="AQ298" s="505"/>
      <c r="AR298" s="505"/>
      <c r="AS298" s="505"/>
      <c r="AT298" s="505"/>
      <c r="AU298" s="505"/>
      <c r="AV298" s="510"/>
      <c r="AW298" s="452"/>
    </row>
    <row r="299" spans="1:49" hidden="1">
      <c r="A299" s="143"/>
      <c r="B299" s="483"/>
      <c r="C299" s="496" t="s">
        <v>1339</v>
      </c>
      <c r="D299" s="516">
        <f t="shared" ref="D299:AO299" si="153">IF(ISERR(GETPIVOTDATA("[Measures].[" &amp; MDContractCurrency &amp; "]",TRIMARANweekly,"[Order].[Position Number]","[Order].[Position Number].&amp;[" &amp; $B303 &amp; "]","[Period].[Week]","[Period].[Week].&amp;[" &amp; YEAR(D$14-7) &amp; TEXT(WEEKNUM(D$14-7),"00") &amp; "]")),0,GETPIVOTDATA("[Measures].[" &amp; MDContractCurrency &amp; "]",TRIMARANweekly,"[Order].[Position Number]","[Order].[Position Number].&amp;[" &amp; $B303 &amp; "]","[Period].[Week]","[Period].[Week].&amp;[" &amp; YEAR(D$14-7) &amp; TEXT(WEEKNUM(D$14-7),"00") &amp; "]"))</f>
        <v>0</v>
      </c>
      <c r="E299" s="516">
        <f t="shared" si="153"/>
        <v>0</v>
      </c>
      <c r="F299" s="516">
        <f t="shared" si="153"/>
        <v>0</v>
      </c>
      <c r="G299" s="516">
        <f t="shared" si="153"/>
        <v>0</v>
      </c>
      <c r="H299" s="516">
        <f t="shared" si="153"/>
        <v>0</v>
      </c>
      <c r="I299" s="516">
        <f t="shared" si="153"/>
        <v>0</v>
      </c>
      <c r="J299" s="516">
        <f t="shared" si="153"/>
        <v>0</v>
      </c>
      <c r="K299" s="516">
        <f t="shared" si="153"/>
        <v>0</v>
      </c>
      <c r="L299" s="516">
        <f t="shared" si="153"/>
        <v>0</v>
      </c>
      <c r="M299" s="516">
        <f t="shared" si="153"/>
        <v>0</v>
      </c>
      <c r="N299" s="516">
        <f t="shared" si="153"/>
        <v>0</v>
      </c>
      <c r="O299" s="516">
        <f t="shared" si="153"/>
        <v>0</v>
      </c>
      <c r="P299" s="516">
        <f t="shared" si="153"/>
        <v>0</v>
      </c>
      <c r="Q299" s="516">
        <f t="shared" si="153"/>
        <v>0</v>
      </c>
      <c r="R299" s="516">
        <f t="shared" si="153"/>
        <v>0</v>
      </c>
      <c r="S299" s="516">
        <f t="shared" si="153"/>
        <v>0</v>
      </c>
      <c r="T299" s="516">
        <f t="shared" si="153"/>
        <v>0</v>
      </c>
      <c r="U299" s="516">
        <f t="shared" si="153"/>
        <v>0</v>
      </c>
      <c r="V299" s="516">
        <f t="shared" si="153"/>
        <v>0</v>
      </c>
      <c r="W299" s="516">
        <f t="shared" si="153"/>
        <v>0</v>
      </c>
      <c r="X299" s="516">
        <f t="shared" si="153"/>
        <v>0</v>
      </c>
      <c r="Y299" s="516">
        <f t="shared" si="153"/>
        <v>0</v>
      </c>
      <c r="Z299" s="516">
        <f t="shared" si="153"/>
        <v>0</v>
      </c>
      <c r="AA299" s="516">
        <f t="shared" si="153"/>
        <v>0</v>
      </c>
      <c r="AB299" s="516">
        <f t="shared" si="153"/>
        <v>0</v>
      </c>
      <c r="AC299" s="516">
        <f t="shared" si="153"/>
        <v>0</v>
      </c>
      <c r="AD299" s="516">
        <f t="shared" si="153"/>
        <v>0</v>
      </c>
      <c r="AE299" s="516">
        <f t="shared" si="153"/>
        <v>0</v>
      </c>
      <c r="AF299" s="516">
        <f t="shared" si="153"/>
        <v>0</v>
      </c>
      <c r="AG299" s="516">
        <f t="shared" si="153"/>
        <v>0</v>
      </c>
      <c r="AH299" s="516">
        <f t="shared" si="153"/>
        <v>0</v>
      </c>
      <c r="AI299" s="516">
        <f t="shared" si="153"/>
        <v>0</v>
      </c>
      <c r="AJ299" s="516">
        <f t="shared" si="153"/>
        <v>0</v>
      </c>
      <c r="AK299" s="516">
        <f t="shared" si="153"/>
        <v>0</v>
      </c>
      <c r="AL299" s="516">
        <f t="shared" si="153"/>
        <v>0</v>
      </c>
      <c r="AM299" s="516">
        <f t="shared" si="153"/>
        <v>0</v>
      </c>
      <c r="AN299" s="516">
        <f t="shared" si="153"/>
        <v>0</v>
      </c>
      <c r="AO299" s="516">
        <f t="shared" si="153"/>
        <v>0</v>
      </c>
      <c r="AP299" s="501"/>
      <c r="AQ299" s="505"/>
      <c r="AR299" s="505"/>
      <c r="AS299" s="505"/>
      <c r="AT299" s="505"/>
      <c r="AU299" s="505"/>
      <c r="AV299" s="510"/>
      <c r="AW299" s="452"/>
    </row>
    <row r="300" spans="1:49" hidden="1">
      <c r="A300" s="143"/>
      <c r="B300" s="483"/>
      <c r="C300" s="496" t="s">
        <v>1340</v>
      </c>
      <c r="D300" s="516">
        <f t="shared" ref="D300:AO300" si="154">IF(ISERR(GETPIVOTDATA("[Measures].[" &amp; MDContractCurrency &amp; "]",TRIMARANweekly,"[Order].[Position Number]","[Order].[Position Number].&amp;[" &amp; $B303 &amp; "]","[Period].[Week]","[Period].[Week].&amp;[" &amp; YEAR(D$14-14) &amp; TEXT(WEEKNUM(D$14-14),"00") &amp; "]")),0,GETPIVOTDATA("[Measures].[" &amp; MDContractCurrency &amp; "]",TRIMARANweekly,"[Order].[Position Number]","[Order].[Position Number].&amp;[" &amp; $B303 &amp; "]","[Period].[Week]","[Period].[Week].&amp;[" &amp; YEAR(D$14-14) &amp; TEXT(WEEKNUM(D$14-14),"00") &amp; "]"))+D299</f>
        <v>0</v>
      </c>
      <c r="E300" s="516">
        <f t="shared" si="154"/>
        <v>0</v>
      </c>
      <c r="F300" s="516">
        <f t="shared" si="154"/>
        <v>0</v>
      </c>
      <c r="G300" s="516">
        <f t="shared" si="154"/>
        <v>0</v>
      </c>
      <c r="H300" s="516">
        <f t="shared" si="154"/>
        <v>0</v>
      </c>
      <c r="I300" s="516">
        <f t="shared" si="154"/>
        <v>0</v>
      </c>
      <c r="J300" s="516">
        <f t="shared" si="154"/>
        <v>0</v>
      </c>
      <c r="K300" s="516">
        <f t="shared" si="154"/>
        <v>0</v>
      </c>
      <c r="L300" s="516">
        <f t="shared" si="154"/>
        <v>0</v>
      </c>
      <c r="M300" s="516">
        <f t="shared" si="154"/>
        <v>0</v>
      </c>
      <c r="N300" s="516">
        <f t="shared" si="154"/>
        <v>0</v>
      </c>
      <c r="O300" s="516">
        <f t="shared" si="154"/>
        <v>0</v>
      </c>
      <c r="P300" s="516">
        <f t="shared" si="154"/>
        <v>0</v>
      </c>
      <c r="Q300" s="516">
        <f t="shared" si="154"/>
        <v>0</v>
      </c>
      <c r="R300" s="516">
        <f t="shared" si="154"/>
        <v>0</v>
      </c>
      <c r="S300" s="516">
        <f t="shared" si="154"/>
        <v>0</v>
      </c>
      <c r="T300" s="516">
        <f t="shared" si="154"/>
        <v>0</v>
      </c>
      <c r="U300" s="516">
        <f t="shared" si="154"/>
        <v>0</v>
      </c>
      <c r="V300" s="516">
        <f t="shared" si="154"/>
        <v>0</v>
      </c>
      <c r="W300" s="516">
        <f t="shared" si="154"/>
        <v>0</v>
      </c>
      <c r="X300" s="516">
        <f t="shared" si="154"/>
        <v>0</v>
      </c>
      <c r="Y300" s="516">
        <f t="shared" si="154"/>
        <v>0</v>
      </c>
      <c r="Z300" s="516">
        <f t="shared" si="154"/>
        <v>0</v>
      </c>
      <c r="AA300" s="516">
        <f t="shared" si="154"/>
        <v>0</v>
      </c>
      <c r="AB300" s="516">
        <f t="shared" si="154"/>
        <v>0</v>
      </c>
      <c r="AC300" s="516">
        <f t="shared" si="154"/>
        <v>0</v>
      </c>
      <c r="AD300" s="516">
        <f t="shared" si="154"/>
        <v>0</v>
      </c>
      <c r="AE300" s="516">
        <f t="shared" si="154"/>
        <v>0</v>
      </c>
      <c r="AF300" s="516">
        <f t="shared" si="154"/>
        <v>0</v>
      </c>
      <c r="AG300" s="516">
        <f t="shared" si="154"/>
        <v>0</v>
      </c>
      <c r="AH300" s="516">
        <f t="shared" si="154"/>
        <v>0</v>
      </c>
      <c r="AI300" s="516">
        <f t="shared" si="154"/>
        <v>0</v>
      </c>
      <c r="AJ300" s="516">
        <f t="shared" si="154"/>
        <v>0</v>
      </c>
      <c r="AK300" s="516">
        <f t="shared" si="154"/>
        <v>0</v>
      </c>
      <c r="AL300" s="516">
        <f t="shared" si="154"/>
        <v>0</v>
      </c>
      <c r="AM300" s="516">
        <f t="shared" si="154"/>
        <v>0</v>
      </c>
      <c r="AN300" s="516">
        <f t="shared" si="154"/>
        <v>0</v>
      </c>
      <c r="AO300" s="516">
        <f t="shared" si="154"/>
        <v>0</v>
      </c>
      <c r="AP300" s="501"/>
      <c r="AQ300" s="505"/>
      <c r="AR300" s="505"/>
      <c r="AS300" s="505"/>
      <c r="AT300" s="505"/>
      <c r="AU300" s="505"/>
      <c r="AV300" s="510"/>
      <c r="AW300" s="452"/>
    </row>
    <row r="301" spans="1:49" hidden="1">
      <c r="A301" s="141"/>
      <c r="B301" s="517"/>
      <c r="C301" s="496" t="s">
        <v>1341</v>
      </c>
      <c r="D301" s="516">
        <f t="shared" ref="D301:AO301" si="155">IF(ISERR(GETPIVOTDATA("[Measures].[" &amp; MDContractCurrency &amp; "]",TRIMARANmonthly,"[Period].[Month]","[Period].[Month].&amp;["&amp;IF(MONTH(D$14)=1,YEAR(D$14)-1&amp;TEXT(12,"00"),YEAR(D$14)&amp;TEXT(MONTH(D$14)-1,"00"))&amp;"]","[Order].[Position Number]","[Order].[Position Number].&amp;["&amp;$B303&amp;"]")),0,GETPIVOTDATA("[Measures].[" &amp; MDContractCurrency &amp; "]",TRIMARANmonthly,"[Period].[Month]","[Period].[Month].&amp;["&amp;IF(MONTH(D$14)=1,YEAR(D$14)-1&amp;TEXT(12,"00"),YEAR(D$14)&amp;TEXT(MONTH(D$14)-1,"00"))&amp;"]","[Order].[Position Number]","[Order].[Position Number].&amp;["&amp;$B303&amp;"]"))</f>
        <v>0</v>
      </c>
      <c r="E301" s="516">
        <f t="shared" si="155"/>
        <v>0</v>
      </c>
      <c r="F301" s="516">
        <f t="shared" si="155"/>
        <v>0</v>
      </c>
      <c r="G301" s="516">
        <f t="shared" si="155"/>
        <v>0</v>
      </c>
      <c r="H301" s="516">
        <f t="shared" si="155"/>
        <v>0</v>
      </c>
      <c r="I301" s="516">
        <f t="shared" si="155"/>
        <v>0</v>
      </c>
      <c r="J301" s="516">
        <f t="shared" si="155"/>
        <v>0</v>
      </c>
      <c r="K301" s="516">
        <f t="shared" si="155"/>
        <v>0</v>
      </c>
      <c r="L301" s="516">
        <f t="shared" si="155"/>
        <v>0</v>
      </c>
      <c r="M301" s="516">
        <f t="shared" si="155"/>
        <v>0</v>
      </c>
      <c r="N301" s="516">
        <f t="shared" si="155"/>
        <v>0</v>
      </c>
      <c r="O301" s="516">
        <f t="shared" si="155"/>
        <v>0</v>
      </c>
      <c r="P301" s="516">
        <f t="shared" si="155"/>
        <v>0</v>
      </c>
      <c r="Q301" s="516">
        <f t="shared" si="155"/>
        <v>0</v>
      </c>
      <c r="R301" s="516">
        <f t="shared" si="155"/>
        <v>0</v>
      </c>
      <c r="S301" s="516">
        <f t="shared" si="155"/>
        <v>0</v>
      </c>
      <c r="T301" s="516">
        <f t="shared" si="155"/>
        <v>0</v>
      </c>
      <c r="U301" s="516">
        <f t="shared" si="155"/>
        <v>0</v>
      </c>
      <c r="V301" s="516">
        <f t="shared" si="155"/>
        <v>0</v>
      </c>
      <c r="W301" s="516">
        <f t="shared" si="155"/>
        <v>0</v>
      </c>
      <c r="X301" s="516">
        <f t="shared" si="155"/>
        <v>0</v>
      </c>
      <c r="Y301" s="516">
        <f t="shared" si="155"/>
        <v>0</v>
      </c>
      <c r="Z301" s="516">
        <f t="shared" si="155"/>
        <v>0</v>
      </c>
      <c r="AA301" s="516">
        <f t="shared" si="155"/>
        <v>0</v>
      </c>
      <c r="AB301" s="516">
        <f t="shared" si="155"/>
        <v>0</v>
      </c>
      <c r="AC301" s="516">
        <f t="shared" si="155"/>
        <v>0</v>
      </c>
      <c r="AD301" s="516">
        <f t="shared" si="155"/>
        <v>0</v>
      </c>
      <c r="AE301" s="516">
        <f t="shared" si="155"/>
        <v>0</v>
      </c>
      <c r="AF301" s="516">
        <f t="shared" si="155"/>
        <v>0</v>
      </c>
      <c r="AG301" s="516">
        <f t="shared" si="155"/>
        <v>0</v>
      </c>
      <c r="AH301" s="516">
        <f t="shared" si="155"/>
        <v>0</v>
      </c>
      <c r="AI301" s="516">
        <f t="shared" si="155"/>
        <v>0</v>
      </c>
      <c r="AJ301" s="516">
        <f t="shared" si="155"/>
        <v>0</v>
      </c>
      <c r="AK301" s="516">
        <f t="shared" si="155"/>
        <v>0</v>
      </c>
      <c r="AL301" s="516">
        <f t="shared" si="155"/>
        <v>0</v>
      </c>
      <c r="AM301" s="516">
        <f t="shared" si="155"/>
        <v>0</v>
      </c>
      <c r="AN301" s="516">
        <f t="shared" si="155"/>
        <v>0</v>
      </c>
      <c r="AO301" s="516">
        <f t="shared" si="155"/>
        <v>0</v>
      </c>
      <c r="AP301" s="501"/>
      <c r="AQ301" s="505"/>
      <c r="AR301" s="505"/>
      <c r="AS301" s="505"/>
      <c r="AT301" s="505"/>
      <c r="AU301" s="505"/>
      <c r="AV301" s="510"/>
      <c r="AW301" s="452"/>
    </row>
    <row r="302" spans="1:49">
      <c r="A302" s="477"/>
      <c r="B302" s="483"/>
      <c r="C302" s="496"/>
      <c r="D302" s="496"/>
      <c r="E302" s="496"/>
      <c r="F302" s="496"/>
      <c r="G302" s="496"/>
      <c r="H302" s="496"/>
      <c r="I302" s="496"/>
      <c r="J302" s="496"/>
      <c r="K302" s="496"/>
      <c r="L302" s="496"/>
      <c r="M302" s="496"/>
      <c r="N302" s="496"/>
      <c r="O302" s="496"/>
      <c r="P302" s="496"/>
      <c r="Q302" s="496"/>
      <c r="R302" s="496"/>
      <c r="S302" s="496"/>
      <c r="T302" s="496"/>
      <c r="U302" s="496"/>
      <c r="V302" s="496"/>
      <c r="W302" s="496"/>
      <c r="X302" s="496"/>
      <c r="Y302" s="496"/>
      <c r="Z302" s="496"/>
      <c r="AA302" s="496"/>
      <c r="AB302" s="496"/>
      <c r="AC302" s="496"/>
      <c r="AD302" s="496"/>
      <c r="AE302" s="496"/>
      <c r="AF302" s="496"/>
      <c r="AG302" s="496"/>
      <c r="AH302" s="496"/>
      <c r="AI302" s="496"/>
      <c r="AJ302" s="496"/>
      <c r="AK302" s="496"/>
      <c r="AL302" s="496"/>
      <c r="AM302" s="496"/>
      <c r="AN302" s="496"/>
      <c r="AO302" s="496"/>
      <c r="AP302" s="501"/>
      <c r="AQ302" s="505"/>
      <c r="AR302" s="505"/>
      <c r="AS302" s="505"/>
      <c r="AT302" s="505"/>
      <c r="AU302" s="505"/>
      <c r="AV302" s="510"/>
      <c r="AW302" s="452"/>
    </row>
    <row r="303" spans="1:49">
      <c r="A303" s="1183" t="str">
        <f>'Delivery Calculation'!B38 &amp; CHAR(10) &amp; 'Delivery Calculation'!P38 &amp; " - " &amp; 'Delivery Calculation'!Q38</f>
        <v xml:space="preserve">0
 - </v>
      </c>
      <c r="B303" s="1180">
        <f>'Delivery Calculation'!A38</f>
        <v>0</v>
      </c>
      <c r="C303" s="499" t="s">
        <v>622</v>
      </c>
      <c r="D303" s="518">
        <f>'Delivery Calculation'!M219</f>
        <v>0</v>
      </c>
      <c r="E303" s="518">
        <f>'Delivery Calculation'!N219</f>
        <v>0</v>
      </c>
      <c r="F303" s="518">
        <f>'Delivery Calculation'!O219</f>
        <v>0</v>
      </c>
      <c r="G303" s="518">
        <f>'Delivery Calculation'!P219</f>
        <v>0</v>
      </c>
      <c r="H303" s="518">
        <f>'Delivery Calculation'!Q219</f>
        <v>0</v>
      </c>
      <c r="I303" s="518">
        <f>'Delivery Calculation'!R219</f>
        <v>0</v>
      </c>
      <c r="J303" s="518">
        <f>'Delivery Calculation'!S219</f>
        <v>0</v>
      </c>
      <c r="K303" s="518">
        <f>'Delivery Calculation'!T219</f>
        <v>0</v>
      </c>
      <c r="L303" s="518">
        <f>'Delivery Calculation'!U219</f>
        <v>0</v>
      </c>
      <c r="M303" s="518">
        <f>'Delivery Calculation'!V219</f>
        <v>0</v>
      </c>
      <c r="N303" s="518">
        <f>'Delivery Calculation'!W219</f>
        <v>0</v>
      </c>
      <c r="O303" s="518">
        <f>'Delivery Calculation'!X219</f>
        <v>0</v>
      </c>
      <c r="P303" s="518">
        <f>'Delivery Calculation'!Y219</f>
        <v>0</v>
      </c>
      <c r="Q303" s="518">
        <f>'Delivery Calculation'!Z219</f>
        <v>0</v>
      </c>
      <c r="R303" s="518">
        <f>'Delivery Calculation'!AA219</f>
        <v>0</v>
      </c>
      <c r="S303" s="518">
        <f>'Delivery Calculation'!AB219</f>
        <v>0</v>
      </c>
      <c r="T303" s="518">
        <f>'Delivery Calculation'!AC219</f>
        <v>0</v>
      </c>
      <c r="U303" s="518">
        <f>'Delivery Calculation'!AD219</f>
        <v>0</v>
      </c>
      <c r="V303" s="518">
        <f>'Delivery Calculation'!AE219</f>
        <v>0</v>
      </c>
      <c r="W303" s="518">
        <f>'Delivery Calculation'!AF219</f>
        <v>0</v>
      </c>
      <c r="X303" s="518">
        <f>'Delivery Calculation'!AG219</f>
        <v>0</v>
      </c>
      <c r="Y303" s="518">
        <f>'Delivery Calculation'!AH219</f>
        <v>0</v>
      </c>
      <c r="Z303" s="518">
        <f>'Delivery Calculation'!AI219</f>
        <v>0</v>
      </c>
      <c r="AA303" s="518">
        <f>'Delivery Calculation'!AJ219</f>
        <v>0</v>
      </c>
      <c r="AB303" s="518">
        <f>'Delivery Calculation'!AK219</f>
        <v>0</v>
      </c>
      <c r="AC303" s="518">
        <f>'Delivery Calculation'!AL219</f>
        <v>0</v>
      </c>
      <c r="AD303" s="518">
        <f>'Delivery Calculation'!AM219</f>
        <v>0</v>
      </c>
      <c r="AE303" s="518">
        <f>'Delivery Calculation'!AN219</f>
        <v>0</v>
      </c>
      <c r="AF303" s="518">
        <f>'Delivery Calculation'!AO219</f>
        <v>0</v>
      </c>
      <c r="AG303" s="518">
        <f>'Delivery Calculation'!AP219</f>
        <v>0</v>
      </c>
      <c r="AH303" s="518">
        <f>'Delivery Calculation'!AQ219</f>
        <v>0</v>
      </c>
      <c r="AI303" s="518">
        <f>'Delivery Calculation'!AR219</f>
        <v>0</v>
      </c>
      <c r="AJ303" s="518">
        <f>'Delivery Calculation'!AS219</f>
        <v>0</v>
      </c>
      <c r="AK303" s="518">
        <f>'Delivery Calculation'!AT219</f>
        <v>0</v>
      </c>
      <c r="AL303" s="518">
        <f>'Delivery Calculation'!AU219</f>
        <v>0</v>
      </c>
      <c r="AM303" s="518">
        <f>'Delivery Calculation'!AV219</f>
        <v>0</v>
      </c>
      <c r="AN303" s="518">
        <f>'Delivery Calculation'!AW219</f>
        <v>0</v>
      </c>
      <c r="AO303" s="518">
        <f>'Delivery Calculation'!AX219</f>
        <v>0</v>
      </c>
      <c r="AP303" s="501"/>
      <c r="AQ303" s="519">
        <f>IF(COUNTIF($D$15:$AO$15, TMDPeriodValueTypeReported)&gt;0, INDEX(D303:AO303,1,COUNTIF(D$15:$AO$15,TMDPeriodValueTypeReported)),0)</f>
        <v>0</v>
      </c>
      <c r="AR303" s="519"/>
      <c r="AS303" s="520">
        <f>'Delivery Calculation'!N38</f>
        <v>0</v>
      </c>
      <c r="AT303" s="519">
        <f>AQ303*'Delivery Calculation'!N38</f>
        <v>0</v>
      </c>
      <c r="AU303" s="521" t="s">
        <v>522</v>
      </c>
      <c r="AV303" s="510"/>
      <c r="AW303" s="452"/>
    </row>
    <row r="304" spans="1:49">
      <c r="A304" s="1184"/>
      <c r="B304" s="1181"/>
      <c r="C304" s="499" t="s">
        <v>623</v>
      </c>
      <c r="D304" s="509">
        <f>IF(D$15=TMDPeriodValueTypeForecast,IF('Delivery Calculation'!$H$38=TMDAllocationTandM,0,'Delivery Calculation'!M148),IF(MDReportingPeriod=TMDMonthly,D298,IF(MDReportingPeriod=TMDTwoweekly,D297,D296)))</f>
        <v>0</v>
      </c>
      <c r="E304" s="509">
        <f>IF(E$15=TMDPeriodValueTypeForecast,IF('Delivery Calculation'!$H$38=TMDAllocationTandM,0,'Delivery Calculation'!N148),IF(MDReportingPeriod=TMDMonthly,E298,IF(MDReportingPeriod=TMDTwoweekly,E297,E296)))</f>
        <v>0</v>
      </c>
      <c r="F304" s="509">
        <f>IF(F$15=TMDPeriodValueTypeForecast,IF('Delivery Calculation'!$H$38=TMDAllocationTandM,0,'Delivery Calculation'!O148),IF(MDReportingPeriod=TMDMonthly,F298,IF(MDReportingPeriod=TMDTwoweekly,F297,F296)))</f>
        <v>0</v>
      </c>
      <c r="G304" s="509">
        <f>IF(G$15=TMDPeriodValueTypeForecast,IF('Delivery Calculation'!$H$38=TMDAllocationTandM,0,'Delivery Calculation'!P148),IF(MDReportingPeriod=TMDMonthly,G298,IF(MDReportingPeriod=TMDTwoweekly,G297,G296)))</f>
        <v>0</v>
      </c>
      <c r="H304" s="509">
        <f>IF(H$15=TMDPeriodValueTypeForecast,IF('Delivery Calculation'!$H$38=TMDAllocationTandM,0,'Delivery Calculation'!Q148),IF(MDReportingPeriod=TMDMonthly,H298,IF(MDReportingPeriod=TMDTwoweekly,H297,H296)))</f>
        <v>0</v>
      </c>
      <c r="I304" s="509">
        <f>IF(I$15=TMDPeriodValueTypeForecast,IF('Delivery Calculation'!$H$38=TMDAllocationTandM,0,'Delivery Calculation'!R148),IF(MDReportingPeriod=TMDMonthly,I298,IF(MDReportingPeriod=TMDTwoweekly,I297,I296)))</f>
        <v>0</v>
      </c>
      <c r="J304" s="509">
        <f>IF(J$15=TMDPeriodValueTypeForecast,IF('Delivery Calculation'!$H$38=TMDAllocationTandM,0,'Delivery Calculation'!S148),IF(MDReportingPeriod=TMDMonthly,J298,IF(MDReportingPeriod=TMDTwoweekly,J297,J296)))</f>
        <v>0</v>
      </c>
      <c r="K304" s="509">
        <f>IF(K$15=TMDPeriodValueTypeForecast,IF('Delivery Calculation'!$H$38=TMDAllocationTandM,0,'Delivery Calculation'!T148),IF(MDReportingPeriod=TMDMonthly,K298,IF(MDReportingPeriod=TMDTwoweekly,K297,K296)))</f>
        <v>0</v>
      </c>
      <c r="L304" s="509">
        <f>IF(L$15=TMDPeriodValueTypeForecast,IF('Delivery Calculation'!$H$38=TMDAllocationTandM,0,'Delivery Calculation'!U148),IF(MDReportingPeriod=TMDMonthly,L298,IF(MDReportingPeriod=TMDTwoweekly,L297,L296)))</f>
        <v>0</v>
      </c>
      <c r="M304" s="509">
        <f>IF(M$15=TMDPeriodValueTypeForecast,IF('Delivery Calculation'!$H$38=TMDAllocationTandM,0,'Delivery Calculation'!V148),IF(MDReportingPeriod=TMDMonthly,M298,IF(MDReportingPeriod=TMDTwoweekly,M297,M296)))</f>
        <v>0</v>
      </c>
      <c r="N304" s="509">
        <f>IF(N$15=TMDPeriodValueTypeForecast,IF('Delivery Calculation'!$H$38=TMDAllocationTandM,0,'Delivery Calculation'!W148),IF(MDReportingPeriod=TMDMonthly,N298,IF(MDReportingPeriod=TMDTwoweekly,N297,N296)))</f>
        <v>0</v>
      </c>
      <c r="O304" s="509">
        <f>IF(O$15=TMDPeriodValueTypeForecast,IF('Delivery Calculation'!$H$38=TMDAllocationTandM,0,'Delivery Calculation'!X148),IF(MDReportingPeriod=TMDMonthly,O298,IF(MDReportingPeriod=TMDTwoweekly,O297,O296)))</f>
        <v>0</v>
      </c>
      <c r="P304" s="509">
        <f>IF(P$15=TMDPeriodValueTypeForecast,IF('Delivery Calculation'!$H$38=TMDAllocationTandM,0,'Delivery Calculation'!Y148),IF(MDReportingPeriod=TMDMonthly,P298,IF(MDReportingPeriod=TMDTwoweekly,P297,P296)))</f>
        <v>0</v>
      </c>
      <c r="Q304" s="509">
        <f>IF(Q$15=TMDPeriodValueTypeForecast,IF('Delivery Calculation'!$H$38=TMDAllocationTandM,0,'Delivery Calculation'!Z148),IF(MDReportingPeriod=TMDMonthly,Q298,IF(MDReportingPeriod=TMDTwoweekly,Q297,Q296)))</f>
        <v>0</v>
      </c>
      <c r="R304" s="509">
        <f>IF(R$15=TMDPeriodValueTypeForecast,IF('Delivery Calculation'!$H$38=TMDAllocationTandM,0,'Delivery Calculation'!AA148),IF(MDReportingPeriod=TMDMonthly,R298,IF(MDReportingPeriod=TMDTwoweekly,R297,R296)))</f>
        <v>0</v>
      </c>
      <c r="S304" s="509">
        <f>IF(S$15=TMDPeriodValueTypeForecast,IF('Delivery Calculation'!$H$38=TMDAllocationTandM,0,'Delivery Calculation'!AB148),IF(MDReportingPeriod=TMDMonthly,S298,IF(MDReportingPeriod=TMDTwoweekly,S297,S296)))</f>
        <v>0</v>
      </c>
      <c r="T304" s="509">
        <f>IF(T$15=TMDPeriodValueTypeForecast,IF('Delivery Calculation'!$H$38=TMDAllocationTandM,0,'Delivery Calculation'!AC148),IF(MDReportingPeriod=TMDMonthly,T298,IF(MDReportingPeriod=TMDTwoweekly,T297,T296)))</f>
        <v>0</v>
      </c>
      <c r="U304" s="509">
        <f>IF(U$15=TMDPeriodValueTypeForecast,IF('Delivery Calculation'!$H$38=TMDAllocationTandM,0,'Delivery Calculation'!AD148),IF(MDReportingPeriod=TMDMonthly,U298,IF(MDReportingPeriod=TMDTwoweekly,U297,U296)))</f>
        <v>0</v>
      </c>
      <c r="V304" s="509">
        <f>IF(V$15=TMDPeriodValueTypeForecast,IF('Delivery Calculation'!$H$38=TMDAllocationTandM,0,'Delivery Calculation'!AE148),IF(MDReportingPeriod=TMDMonthly,V298,IF(MDReportingPeriod=TMDTwoweekly,V297,V296)))</f>
        <v>0</v>
      </c>
      <c r="W304" s="509">
        <f>IF(W$15=TMDPeriodValueTypeForecast,IF('Delivery Calculation'!$H$38=TMDAllocationTandM,0,'Delivery Calculation'!AF148),IF(MDReportingPeriod=TMDMonthly,W298,IF(MDReportingPeriod=TMDTwoweekly,W297,W296)))</f>
        <v>0</v>
      </c>
      <c r="X304" s="509">
        <f>IF(X$15=TMDPeriodValueTypeForecast,IF('Delivery Calculation'!$H$38=TMDAllocationTandM,0,'Delivery Calculation'!AG148),IF(MDReportingPeriod=TMDMonthly,X298,IF(MDReportingPeriod=TMDTwoweekly,X297,X296)))</f>
        <v>0</v>
      </c>
      <c r="Y304" s="509">
        <f>IF(Y$15=TMDPeriodValueTypeForecast,IF('Delivery Calculation'!$H$38=TMDAllocationTandM,0,'Delivery Calculation'!AH148),IF(MDReportingPeriod=TMDMonthly,Y298,IF(MDReportingPeriod=TMDTwoweekly,Y297,Y296)))</f>
        <v>0</v>
      </c>
      <c r="Z304" s="509">
        <f>IF(Z$15=TMDPeriodValueTypeForecast,IF('Delivery Calculation'!$H$38=TMDAllocationTandM,0,'Delivery Calculation'!AI148),IF(MDReportingPeriod=TMDMonthly,Z298,IF(MDReportingPeriod=TMDTwoweekly,Z297,Z296)))</f>
        <v>0</v>
      </c>
      <c r="AA304" s="509">
        <f>IF(AA$15=TMDPeriodValueTypeForecast,IF('Delivery Calculation'!$H$38=TMDAllocationTandM,0,'Delivery Calculation'!AJ148),IF(MDReportingPeriod=TMDMonthly,AA298,IF(MDReportingPeriod=TMDTwoweekly,AA297,AA296)))</f>
        <v>0</v>
      </c>
      <c r="AB304" s="509">
        <f>IF(AB$15=TMDPeriodValueTypeForecast,IF('Delivery Calculation'!$H$38=TMDAllocationTandM,0,'Delivery Calculation'!AK148),IF(MDReportingPeriod=TMDMonthly,AB298,IF(MDReportingPeriod=TMDTwoweekly,AB297,AB296)))</f>
        <v>0</v>
      </c>
      <c r="AC304" s="509">
        <f>IF(AC$15=TMDPeriodValueTypeForecast,IF('Delivery Calculation'!$H$38=TMDAllocationTandM,0,'Delivery Calculation'!AL148),IF(MDReportingPeriod=TMDMonthly,AC298,IF(MDReportingPeriod=TMDTwoweekly,AC297,AC296)))</f>
        <v>0</v>
      </c>
      <c r="AD304" s="509">
        <f>IF(AD$15=TMDPeriodValueTypeForecast,IF('Delivery Calculation'!$H$38=TMDAllocationTandM,0,'Delivery Calculation'!AM148),IF(MDReportingPeriod=TMDMonthly,AD298,IF(MDReportingPeriod=TMDTwoweekly,AD297,AD296)))</f>
        <v>0</v>
      </c>
      <c r="AE304" s="509">
        <f>IF(AE$15=TMDPeriodValueTypeForecast,IF('Delivery Calculation'!$H$38=TMDAllocationTandM,0,'Delivery Calculation'!AN148),IF(MDReportingPeriod=TMDMonthly,AE298,IF(MDReportingPeriod=TMDTwoweekly,AE297,AE296)))</f>
        <v>0</v>
      </c>
      <c r="AF304" s="509">
        <f>IF(AF$15=TMDPeriodValueTypeForecast,IF('Delivery Calculation'!$H$38=TMDAllocationTandM,0,'Delivery Calculation'!AO148),IF(MDReportingPeriod=TMDMonthly,AF298,IF(MDReportingPeriod=TMDTwoweekly,AF297,AF296)))</f>
        <v>0</v>
      </c>
      <c r="AG304" s="509">
        <f>IF(AG$15=TMDPeriodValueTypeForecast,IF('Delivery Calculation'!$H$38=TMDAllocationTandM,0,'Delivery Calculation'!AP148),IF(MDReportingPeriod=TMDMonthly,AG298,IF(MDReportingPeriod=TMDTwoweekly,AG297,AG296)))</f>
        <v>0</v>
      </c>
      <c r="AH304" s="509">
        <f>IF(AH$15=TMDPeriodValueTypeForecast,IF('Delivery Calculation'!$H$38=TMDAllocationTandM,0,'Delivery Calculation'!AQ148),IF(MDReportingPeriod=TMDMonthly,AH298,IF(MDReportingPeriod=TMDTwoweekly,AH297,AH296)))</f>
        <v>0</v>
      </c>
      <c r="AI304" s="509">
        <f>IF(AI$15=TMDPeriodValueTypeForecast,IF('Delivery Calculation'!$H$38=TMDAllocationTandM,0,'Delivery Calculation'!AR148),IF(MDReportingPeriod=TMDMonthly,AI298,IF(MDReportingPeriod=TMDTwoweekly,AI297,AI296)))</f>
        <v>0</v>
      </c>
      <c r="AJ304" s="509">
        <f>IF(AJ$15=TMDPeriodValueTypeForecast,IF('Delivery Calculation'!$H$38=TMDAllocationTandM,0,'Delivery Calculation'!AS148),IF(MDReportingPeriod=TMDMonthly,AJ298,IF(MDReportingPeriod=TMDTwoweekly,AJ297,AJ296)))</f>
        <v>0</v>
      </c>
      <c r="AK304" s="509">
        <f>IF(AK$15=TMDPeriodValueTypeForecast,IF('Delivery Calculation'!$H$38=TMDAllocationTandM,0,'Delivery Calculation'!AT148),IF(MDReportingPeriod=TMDMonthly,AK298,IF(MDReportingPeriod=TMDTwoweekly,AK297,AK296)))</f>
        <v>0</v>
      </c>
      <c r="AL304" s="509">
        <f>IF(AL$15=TMDPeriodValueTypeForecast,IF('Delivery Calculation'!$H$38=TMDAllocationTandM,0,'Delivery Calculation'!AU148),IF(MDReportingPeriod=TMDMonthly,AL298,IF(MDReportingPeriod=TMDTwoweekly,AL297,AL296)))</f>
        <v>0</v>
      </c>
      <c r="AM304" s="509">
        <f>IF(AM$15=TMDPeriodValueTypeForecast,IF('Delivery Calculation'!$H$38=TMDAllocationTandM,0,'Delivery Calculation'!AV148),IF(MDReportingPeriod=TMDMonthly,AM298,IF(MDReportingPeriod=TMDTwoweekly,AM297,AM296)))</f>
        <v>0</v>
      </c>
      <c r="AN304" s="509">
        <f>IF(AN$15=TMDPeriodValueTypeForecast,IF('Delivery Calculation'!$H$38=TMDAllocationTandM,0,'Delivery Calculation'!AW148),IF(MDReportingPeriod=TMDMonthly,AN298,IF(MDReportingPeriod=TMDTwoweekly,AN297,AN296)))</f>
        <v>0</v>
      </c>
      <c r="AO304" s="509">
        <f>IF(AO$15=TMDPeriodValueTypeForecast,IF('Delivery Calculation'!$H$38=TMDAllocationTandM,0,'Delivery Calculation'!AX148),IF(MDReportingPeriod=TMDMonthly,AO298,IF(MDReportingPeriod=TMDTwoweekly,AO297,AO296)))</f>
        <v>0</v>
      </c>
      <c r="AP304" s="501"/>
      <c r="AQ304" s="505">
        <f>SUMIF($D$15:$AO$15,TMDPeriodValueTypeReported,D304:AO304)</f>
        <v>0</v>
      </c>
      <c r="AR304" s="505">
        <f>SUMIF($D$15:$AO$15,TMDPeriodValueTypeForecast,D304:AO304)</f>
        <v>0</v>
      </c>
      <c r="AS304" s="523">
        <f>'Delivery Calculation'!J38</f>
        <v>0</v>
      </c>
      <c r="AT304" s="505">
        <f>AS304-(AQ304+AR304)</f>
        <v>0</v>
      </c>
      <c r="AU304" s="505"/>
      <c r="AV304" s="510"/>
      <c r="AW304" s="452"/>
    </row>
    <row r="305" spans="1:49">
      <c r="A305" s="1184"/>
      <c r="B305" s="1181"/>
      <c r="C305" s="499" t="s">
        <v>624</v>
      </c>
      <c r="D305" s="509">
        <f>IF(D$15=TMDPeriodValueTypeForecast,IF('Delivery Calculation'!$H$38=TMDAllocationTandM,0,'Delivery Calculation'!M112),IF(MDReportingPeriod=TMDMonthly,D301,IF(MDReportingPeriod=TMDTwoweekly,D300,D299)))</f>
        <v>0</v>
      </c>
      <c r="E305" s="509">
        <f>IF(E$15=TMDPeriodValueTypeForecast,IF('Delivery Calculation'!$H$38=TMDAllocationTandM,0,'Delivery Calculation'!N112),IF(MDReportingPeriod=TMDMonthly,E301,IF(MDReportingPeriod=TMDTwoweekly,E300,E299)))</f>
        <v>0</v>
      </c>
      <c r="F305" s="509">
        <f>IF(F$15=TMDPeriodValueTypeForecast,IF('Delivery Calculation'!$H$38=TMDAllocationTandM,0,'Delivery Calculation'!O112),IF(MDReportingPeriod=TMDMonthly,F301,IF(MDReportingPeriod=TMDTwoweekly,F300,F299)))</f>
        <v>0</v>
      </c>
      <c r="G305" s="509">
        <f>IF(G$15=TMDPeriodValueTypeForecast,IF('Delivery Calculation'!$H$38=TMDAllocationTandM,0,'Delivery Calculation'!P112),IF(MDReportingPeriod=TMDMonthly,G301,IF(MDReportingPeriod=TMDTwoweekly,G300,G299)))</f>
        <v>0</v>
      </c>
      <c r="H305" s="509">
        <f>IF(H$15=TMDPeriodValueTypeForecast,IF('Delivery Calculation'!$H$38=TMDAllocationTandM,0,'Delivery Calculation'!Q112),IF(MDReportingPeriod=TMDMonthly,H301,IF(MDReportingPeriod=TMDTwoweekly,H300,H299)))</f>
        <v>0</v>
      </c>
      <c r="I305" s="509">
        <f>IF(I$15=TMDPeriodValueTypeForecast,IF('Delivery Calculation'!$H$38=TMDAllocationTandM,0,'Delivery Calculation'!R112),IF(MDReportingPeriod=TMDMonthly,I301,IF(MDReportingPeriod=TMDTwoweekly,I300,I299)))</f>
        <v>0</v>
      </c>
      <c r="J305" s="509">
        <f>IF(J$15=TMDPeriodValueTypeForecast,IF('Delivery Calculation'!$H$38=TMDAllocationTandM,0,'Delivery Calculation'!S112),IF(MDReportingPeriod=TMDMonthly,J301,IF(MDReportingPeriod=TMDTwoweekly,J300,J299)))</f>
        <v>0</v>
      </c>
      <c r="K305" s="509">
        <f>IF(K$15=TMDPeriodValueTypeForecast,IF('Delivery Calculation'!$H$38=TMDAllocationTandM,0,'Delivery Calculation'!T112),IF(MDReportingPeriod=TMDMonthly,K301,IF(MDReportingPeriod=TMDTwoweekly,K300,K299)))</f>
        <v>0</v>
      </c>
      <c r="L305" s="509">
        <f>IF(L$15=TMDPeriodValueTypeForecast,IF('Delivery Calculation'!$H$38=TMDAllocationTandM,0,'Delivery Calculation'!U112),IF(MDReportingPeriod=TMDMonthly,L301,IF(MDReportingPeriod=TMDTwoweekly,L300,L299)))</f>
        <v>0</v>
      </c>
      <c r="M305" s="509">
        <f>IF(M$15=TMDPeriodValueTypeForecast,IF('Delivery Calculation'!$H$38=TMDAllocationTandM,0,'Delivery Calculation'!V112),IF(MDReportingPeriod=TMDMonthly,M301,IF(MDReportingPeriod=TMDTwoweekly,M300,M299)))</f>
        <v>0</v>
      </c>
      <c r="N305" s="509">
        <f>IF(N$15=TMDPeriodValueTypeForecast,IF('Delivery Calculation'!$H$38=TMDAllocationTandM,0,'Delivery Calculation'!W112),IF(MDReportingPeriod=TMDMonthly,N301,IF(MDReportingPeriod=TMDTwoweekly,N300,N299)))</f>
        <v>0</v>
      </c>
      <c r="O305" s="509">
        <f>IF(O$15=TMDPeriodValueTypeForecast,IF('Delivery Calculation'!$H$38=TMDAllocationTandM,0,'Delivery Calculation'!X112),IF(MDReportingPeriod=TMDMonthly,O301,IF(MDReportingPeriod=TMDTwoweekly,O300,O299)))</f>
        <v>0</v>
      </c>
      <c r="P305" s="509">
        <f>IF(P$15=TMDPeriodValueTypeForecast,IF('Delivery Calculation'!$H$38=TMDAllocationTandM,0,'Delivery Calculation'!Y112),IF(MDReportingPeriod=TMDMonthly,P301,IF(MDReportingPeriod=TMDTwoweekly,P300,P299)))</f>
        <v>0</v>
      </c>
      <c r="Q305" s="509">
        <f>IF(Q$15=TMDPeriodValueTypeForecast,IF('Delivery Calculation'!$H$38=TMDAllocationTandM,0,'Delivery Calculation'!Z112),IF(MDReportingPeriod=TMDMonthly,Q301,IF(MDReportingPeriod=TMDTwoweekly,Q300,Q299)))</f>
        <v>0</v>
      </c>
      <c r="R305" s="509">
        <f>IF(R$15=TMDPeriodValueTypeForecast,IF('Delivery Calculation'!$H$38=TMDAllocationTandM,0,'Delivery Calculation'!AA112),IF(MDReportingPeriod=TMDMonthly,R301,IF(MDReportingPeriod=TMDTwoweekly,R300,R299)))</f>
        <v>0</v>
      </c>
      <c r="S305" s="509">
        <f>IF(S$15=TMDPeriodValueTypeForecast,IF('Delivery Calculation'!$H$38=TMDAllocationTandM,0,'Delivery Calculation'!AB112),IF(MDReportingPeriod=TMDMonthly,S301,IF(MDReportingPeriod=TMDTwoweekly,S300,S299)))</f>
        <v>0</v>
      </c>
      <c r="T305" s="509">
        <f>IF(T$15=TMDPeriodValueTypeForecast,IF('Delivery Calculation'!$H$38=TMDAllocationTandM,0,'Delivery Calculation'!AC112),IF(MDReportingPeriod=TMDMonthly,T301,IF(MDReportingPeriod=TMDTwoweekly,T300,T299)))</f>
        <v>0</v>
      </c>
      <c r="U305" s="509">
        <f>IF(U$15=TMDPeriodValueTypeForecast,IF('Delivery Calculation'!$H$38=TMDAllocationTandM,0,'Delivery Calculation'!AD112),IF(MDReportingPeriod=TMDMonthly,U301,IF(MDReportingPeriod=TMDTwoweekly,U300,U299)))</f>
        <v>0</v>
      </c>
      <c r="V305" s="509">
        <f>IF(V$15=TMDPeriodValueTypeForecast,IF('Delivery Calculation'!$H$38=TMDAllocationTandM,0,'Delivery Calculation'!AE112),IF(MDReportingPeriod=TMDMonthly,V301,IF(MDReportingPeriod=TMDTwoweekly,V300,V299)))</f>
        <v>0</v>
      </c>
      <c r="W305" s="509">
        <f>IF(W$15=TMDPeriodValueTypeForecast,IF('Delivery Calculation'!$H$38=TMDAllocationTandM,0,'Delivery Calculation'!AF112),IF(MDReportingPeriod=TMDMonthly,W301,IF(MDReportingPeriod=TMDTwoweekly,W300,W299)))</f>
        <v>0</v>
      </c>
      <c r="X305" s="509">
        <f>IF(X$15=TMDPeriodValueTypeForecast,IF('Delivery Calculation'!$H$38=TMDAllocationTandM,0,'Delivery Calculation'!AG112),IF(MDReportingPeriod=TMDMonthly,X301,IF(MDReportingPeriod=TMDTwoweekly,X300,X299)))</f>
        <v>0</v>
      </c>
      <c r="Y305" s="509">
        <f>IF(Y$15=TMDPeriodValueTypeForecast,IF('Delivery Calculation'!$H$38=TMDAllocationTandM,0,'Delivery Calculation'!AH112),IF(MDReportingPeriod=TMDMonthly,Y301,IF(MDReportingPeriod=TMDTwoweekly,Y300,Y299)))</f>
        <v>0</v>
      </c>
      <c r="Z305" s="509">
        <f>IF(Z$15=TMDPeriodValueTypeForecast,IF('Delivery Calculation'!$H$38=TMDAllocationTandM,0,'Delivery Calculation'!AI112),IF(MDReportingPeriod=TMDMonthly,Z301,IF(MDReportingPeriod=TMDTwoweekly,Z300,Z299)))</f>
        <v>0</v>
      </c>
      <c r="AA305" s="509">
        <f>IF(AA$15=TMDPeriodValueTypeForecast,IF('Delivery Calculation'!$H$38=TMDAllocationTandM,0,'Delivery Calculation'!AJ112),IF(MDReportingPeriod=TMDMonthly,AA301,IF(MDReportingPeriod=TMDTwoweekly,AA300,AA299)))</f>
        <v>0</v>
      </c>
      <c r="AB305" s="509">
        <f>IF(AB$15=TMDPeriodValueTypeForecast,IF('Delivery Calculation'!$H$38=TMDAllocationTandM,0,'Delivery Calculation'!AK112),IF(MDReportingPeriod=TMDMonthly,AB301,IF(MDReportingPeriod=TMDTwoweekly,AB300,AB299)))</f>
        <v>0</v>
      </c>
      <c r="AC305" s="509">
        <f>IF(AC$15=TMDPeriodValueTypeForecast,IF('Delivery Calculation'!$H$38=TMDAllocationTandM,0,'Delivery Calculation'!AL112),IF(MDReportingPeriod=TMDMonthly,AC301,IF(MDReportingPeriod=TMDTwoweekly,AC300,AC299)))</f>
        <v>0</v>
      </c>
      <c r="AD305" s="509">
        <f>IF(AD$15=TMDPeriodValueTypeForecast,IF('Delivery Calculation'!$H$38=TMDAllocationTandM,0,'Delivery Calculation'!AM112),IF(MDReportingPeriod=TMDMonthly,AD301,IF(MDReportingPeriod=TMDTwoweekly,AD300,AD299)))</f>
        <v>0</v>
      </c>
      <c r="AE305" s="509">
        <f>IF(AE$15=TMDPeriodValueTypeForecast,IF('Delivery Calculation'!$H$38=TMDAllocationTandM,0,'Delivery Calculation'!AN112),IF(MDReportingPeriod=TMDMonthly,AE301,IF(MDReportingPeriod=TMDTwoweekly,AE300,AE299)))</f>
        <v>0</v>
      </c>
      <c r="AF305" s="509">
        <f>IF(AF$15=TMDPeriodValueTypeForecast,IF('Delivery Calculation'!$H$38=TMDAllocationTandM,0,'Delivery Calculation'!AO112),IF(MDReportingPeriod=TMDMonthly,AF301,IF(MDReportingPeriod=TMDTwoweekly,AF300,AF299)))</f>
        <v>0</v>
      </c>
      <c r="AG305" s="509">
        <f>IF(AG$15=TMDPeriodValueTypeForecast,IF('Delivery Calculation'!$H$38=TMDAllocationTandM,0,'Delivery Calculation'!AP112),IF(MDReportingPeriod=TMDMonthly,AG301,IF(MDReportingPeriod=TMDTwoweekly,AG300,AG299)))</f>
        <v>0</v>
      </c>
      <c r="AH305" s="509">
        <f>IF(AH$15=TMDPeriodValueTypeForecast,IF('Delivery Calculation'!$H$38=TMDAllocationTandM,0,'Delivery Calculation'!AQ112),IF(MDReportingPeriod=TMDMonthly,AH301,IF(MDReportingPeriod=TMDTwoweekly,AH300,AH299)))</f>
        <v>0</v>
      </c>
      <c r="AI305" s="509">
        <f>IF(AI$15=TMDPeriodValueTypeForecast,IF('Delivery Calculation'!$H$38=TMDAllocationTandM,0,'Delivery Calculation'!AR112),IF(MDReportingPeriod=TMDMonthly,AI301,IF(MDReportingPeriod=TMDTwoweekly,AI300,AI299)))</f>
        <v>0</v>
      </c>
      <c r="AJ305" s="509">
        <f>IF(AJ$15=TMDPeriodValueTypeForecast,IF('Delivery Calculation'!$H$38=TMDAllocationTandM,0,'Delivery Calculation'!AS112),IF(MDReportingPeriod=TMDMonthly,AJ301,IF(MDReportingPeriod=TMDTwoweekly,AJ300,AJ299)))</f>
        <v>0</v>
      </c>
      <c r="AK305" s="509">
        <f>IF(AK$15=TMDPeriodValueTypeForecast,IF('Delivery Calculation'!$H$38=TMDAllocationTandM,0,'Delivery Calculation'!AT112),IF(MDReportingPeriod=TMDMonthly,AK301,IF(MDReportingPeriod=TMDTwoweekly,AK300,AK299)))</f>
        <v>0</v>
      </c>
      <c r="AL305" s="509">
        <f>IF(AL$15=TMDPeriodValueTypeForecast,IF('Delivery Calculation'!$H$38=TMDAllocationTandM,0,'Delivery Calculation'!AU112),IF(MDReportingPeriod=TMDMonthly,AL301,IF(MDReportingPeriod=TMDTwoweekly,AL300,AL299)))</f>
        <v>0</v>
      </c>
      <c r="AM305" s="509">
        <f>IF(AM$15=TMDPeriodValueTypeForecast,IF('Delivery Calculation'!$H$38=TMDAllocationTandM,0,'Delivery Calculation'!AV112),IF(MDReportingPeriod=TMDMonthly,AM301,IF(MDReportingPeriod=TMDTwoweekly,AM300,AM299)))</f>
        <v>0</v>
      </c>
      <c r="AN305" s="509">
        <f>IF(AN$15=TMDPeriodValueTypeForecast,IF('Delivery Calculation'!$H$38=TMDAllocationTandM,0,'Delivery Calculation'!AW112),IF(MDReportingPeriod=TMDMonthly,AN301,IF(MDReportingPeriod=TMDTwoweekly,AN300,AN299)))</f>
        <v>0</v>
      </c>
      <c r="AO305" s="509">
        <f>IF(AO$15=TMDPeriodValueTypeForecast,IF('Delivery Calculation'!$H$38=TMDAllocationTandM,0,'Delivery Calculation'!AX112),IF(MDReportingPeriod=TMDMonthly,AO301,IF(MDReportingPeriod=TMDTwoweekly,AO300,AO299)))</f>
        <v>0</v>
      </c>
      <c r="AP305" s="501"/>
      <c r="AQ305" s="505">
        <f>SUMIF($D$15:$AO$15,TMDPeriodValueTypeReported,D305:AO305)</f>
        <v>0</v>
      </c>
      <c r="AR305" s="505">
        <f>SUMIF($D$15:$AO$15,TMDPeriodValueTypeForecast,D305:AO305)</f>
        <v>0</v>
      </c>
      <c r="AS305" s="523">
        <f>'Delivery Calculation'!I38</f>
        <v>0</v>
      </c>
      <c r="AT305" s="505">
        <f>AS305-(AQ305+AR305)</f>
        <v>0</v>
      </c>
      <c r="AU305" s="505"/>
      <c r="AV305" s="510"/>
      <c r="AW305" s="452"/>
    </row>
    <row r="306" spans="1:49">
      <c r="A306" s="1185"/>
      <c r="B306" s="1182"/>
      <c r="C306" s="499" t="s">
        <v>625</v>
      </c>
      <c r="D306" s="509"/>
      <c r="E306" s="509"/>
      <c r="F306" s="509"/>
      <c r="G306" s="509"/>
      <c r="H306" s="509"/>
      <c r="I306" s="509"/>
      <c r="J306" s="509"/>
      <c r="K306" s="509"/>
      <c r="L306" s="509"/>
      <c r="M306" s="509"/>
      <c r="N306" s="509"/>
      <c r="O306" s="509"/>
      <c r="P306" s="509"/>
      <c r="Q306" s="509"/>
      <c r="R306" s="509"/>
      <c r="S306" s="509"/>
      <c r="T306" s="509"/>
      <c r="U306" s="509"/>
      <c r="V306" s="509"/>
      <c r="W306" s="509"/>
      <c r="X306" s="509"/>
      <c r="Y306" s="509"/>
      <c r="Z306" s="509"/>
      <c r="AA306" s="509"/>
      <c r="AB306" s="509"/>
      <c r="AC306" s="509"/>
      <c r="AD306" s="509"/>
      <c r="AE306" s="509"/>
      <c r="AF306" s="509"/>
      <c r="AG306" s="509"/>
      <c r="AH306" s="509"/>
      <c r="AI306" s="509"/>
      <c r="AJ306" s="509"/>
      <c r="AK306" s="509"/>
      <c r="AL306" s="509"/>
      <c r="AM306" s="509"/>
      <c r="AN306" s="509"/>
      <c r="AO306" s="509"/>
      <c r="AP306" s="501"/>
      <c r="AQ306" s="505">
        <f>SUMIF($D$15:$AO$15,TMDPeriodValueTypeReported,D306:AO306)</f>
        <v>0</v>
      </c>
      <c r="AR306" s="505">
        <f>SUMIF($D$15:$AO$15,TMDPeriodValueTypeForecast,D306:AO306)</f>
        <v>0</v>
      </c>
      <c r="AS306" s="505"/>
      <c r="AT306" s="505">
        <f>AQ306+AR306</f>
        <v>0</v>
      </c>
      <c r="AU306" s="505"/>
      <c r="AV306" s="510"/>
      <c r="AW306" s="452"/>
    </row>
    <row r="307" spans="1:49" hidden="1">
      <c r="A307" s="143"/>
      <c r="B307" s="483"/>
      <c r="C307" s="496" t="s">
        <v>1339</v>
      </c>
      <c r="D307" s="516">
        <f t="shared" ref="D307:AO307" si="156">IF(ISERR(GETPIVOTDATA("[Measures].[Hours]",TRIMARANweekly,"[Order].[Position Number]","[Order].[Position Number].&amp;[" &amp; $B314 &amp; "]","[Period].[Week]","[Period].[Week].&amp;[" &amp; YEAR(D$14-7) &amp; TEXT(WEEKNUM(D$14-7),"00") &amp; "]")),0,GETPIVOTDATA("[Measures].[Hours]",TRIMARANweekly,"[Order].[Position Number]","[Order].[Position Number].&amp;[" &amp; $B314 &amp; "]","[Period].[Week]","[Period].[Week].&amp;[" &amp; YEAR(D$14-7) &amp; TEXT(WEEKNUM(D$14-7),"00") &amp; "]"))</f>
        <v>0</v>
      </c>
      <c r="E307" s="516">
        <f t="shared" si="156"/>
        <v>0</v>
      </c>
      <c r="F307" s="516">
        <f t="shared" si="156"/>
        <v>0</v>
      </c>
      <c r="G307" s="516">
        <f t="shared" si="156"/>
        <v>0</v>
      </c>
      <c r="H307" s="516">
        <f t="shared" si="156"/>
        <v>0</v>
      </c>
      <c r="I307" s="516">
        <f t="shared" si="156"/>
        <v>0</v>
      </c>
      <c r="J307" s="516">
        <f t="shared" si="156"/>
        <v>0</v>
      </c>
      <c r="K307" s="516">
        <f t="shared" si="156"/>
        <v>0</v>
      </c>
      <c r="L307" s="516">
        <f t="shared" si="156"/>
        <v>0</v>
      </c>
      <c r="M307" s="516">
        <f t="shared" si="156"/>
        <v>0</v>
      </c>
      <c r="N307" s="516">
        <f t="shared" si="156"/>
        <v>0</v>
      </c>
      <c r="O307" s="516">
        <f t="shared" si="156"/>
        <v>0</v>
      </c>
      <c r="P307" s="516">
        <f t="shared" si="156"/>
        <v>0</v>
      </c>
      <c r="Q307" s="516">
        <f t="shared" si="156"/>
        <v>0</v>
      </c>
      <c r="R307" s="516">
        <f t="shared" si="156"/>
        <v>0</v>
      </c>
      <c r="S307" s="516">
        <f t="shared" si="156"/>
        <v>0</v>
      </c>
      <c r="T307" s="516">
        <f t="shared" si="156"/>
        <v>0</v>
      </c>
      <c r="U307" s="516">
        <f t="shared" si="156"/>
        <v>0</v>
      </c>
      <c r="V307" s="516">
        <f t="shared" si="156"/>
        <v>0</v>
      </c>
      <c r="W307" s="516">
        <f t="shared" si="156"/>
        <v>0</v>
      </c>
      <c r="X307" s="516">
        <f t="shared" si="156"/>
        <v>0</v>
      </c>
      <c r="Y307" s="516">
        <f t="shared" si="156"/>
        <v>0</v>
      </c>
      <c r="Z307" s="516">
        <f t="shared" si="156"/>
        <v>0</v>
      </c>
      <c r="AA307" s="516">
        <f t="shared" si="156"/>
        <v>0</v>
      </c>
      <c r="AB307" s="516">
        <f t="shared" si="156"/>
        <v>0</v>
      </c>
      <c r="AC307" s="516">
        <f t="shared" si="156"/>
        <v>0</v>
      </c>
      <c r="AD307" s="516">
        <f t="shared" si="156"/>
        <v>0</v>
      </c>
      <c r="AE307" s="516">
        <f t="shared" si="156"/>
        <v>0</v>
      </c>
      <c r="AF307" s="516">
        <f t="shared" si="156"/>
        <v>0</v>
      </c>
      <c r="AG307" s="516">
        <f t="shared" si="156"/>
        <v>0</v>
      </c>
      <c r="AH307" s="516">
        <f t="shared" si="156"/>
        <v>0</v>
      </c>
      <c r="AI307" s="516">
        <f t="shared" si="156"/>
        <v>0</v>
      </c>
      <c r="AJ307" s="516">
        <f t="shared" si="156"/>
        <v>0</v>
      </c>
      <c r="AK307" s="516">
        <f t="shared" si="156"/>
        <v>0</v>
      </c>
      <c r="AL307" s="516">
        <f t="shared" si="156"/>
        <v>0</v>
      </c>
      <c r="AM307" s="516">
        <f t="shared" si="156"/>
        <v>0</v>
      </c>
      <c r="AN307" s="516">
        <f t="shared" si="156"/>
        <v>0</v>
      </c>
      <c r="AO307" s="516">
        <f t="shared" si="156"/>
        <v>0</v>
      </c>
      <c r="AP307" s="501"/>
      <c r="AQ307" s="505"/>
      <c r="AR307" s="505"/>
      <c r="AS307" s="505"/>
      <c r="AT307" s="505"/>
      <c r="AU307" s="505"/>
      <c r="AV307" s="510"/>
      <c r="AW307" s="452"/>
    </row>
    <row r="308" spans="1:49" hidden="1">
      <c r="A308" s="143"/>
      <c r="B308" s="483"/>
      <c r="C308" s="496" t="s">
        <v>1340</v>
      </c>
      <c r="D308" s="516">
        <f t="shared" ref="D308:AO308" si="157">IF(ISERR(GETPIVOTDATA("[Measures].[Hours]",TRIMARANweekly,"[Order].[Position Number]","[Order].[Position Number].&amp;[" &amp; $B314 &amp; "]","[Period].[Week]","[Period].[Week].&amp;[" &amp; YEAR(D$14-14) &amp; TEXT(WEEKNUM(D$14-14),"00") &amp; "]")),0,GETPIVOTDATA("[Measures].[Hours]",TRIMARANweekly,"[Order].[Position Number]","[Order].[Position Number].&amp;[" &amp; $B314 &amp; "]","[Period].[Week]","[Period].[Week].&amp;[" &amp; YEAR(D$14-14) &amp; TEXT(WEEKNUM(D$14-14),"00") &amp; "]"))+D307</f>
        <v>0</v>
      </c>
      <c r="E308" s="516">
        <f t="shared" si="157"/>
        <v>0</v>
      </c>
      <c r="F308" s="516">
        <f t="shared" si="157"/>
        <v>0</v>
      </c>
      <c r="G308" s="516">
        <f t="shared" si="157"/>
        <v>0</v>
      </c>
      <c r="H308" s="516">
        <f t="shared" si="157"/>
        <v>0</v>
      </c>
      <c r="I308" s="516">
        <f t="shared" si="157"/>
        <v>0</v>
      </c>
      <c r="J308" s="516">
        <f t="shared" si="157"/>
        <v>0</v>
      </c>
      <c r="K308" s="516">
        <f t="shared" si="157"/>
        <v>0</v>
      </c>
      <c r="L308" s="516">
        <f t="shared" si="157"/>
        <v>0</v>
      </c>
      <c r="M308" s="516">
        <f t="shared" si="157"/>
        <v>0</v>
      </c>
      <c r="N308" s="516">
        <f t="shared" si="157"/>
        <v>0</v>
      </c>
      <c r="O308" s="516">
        <f t="shared" si="157"/>
        <v>0</v>
      </c>
      <c r="P308" s="516">
        <f t="shared" si="157"/>
        <v>0</v>
      </c>
      <c r="Q308" s="516">
        <f t="shared" si="157"/>
        <v>0</v>
      </c>
      <c r="R308" s="516">
        <f t="shared" si="157"/>
        <v>0</v>
      </c>
      <c r="S308" s="516">
        <f t="shared" si="157"/>
        <v>0</v>
      </c>
      <c r="T308" s="516">
        <f t="shared" si="157"/>
        <v>0</v>
      </c>
      <c r="U308" s="516">
        <f t="shared" si="157"/>
        <v>0</v>
      </c>
      <c r="V308" s="516">
        <f t="shared" si="157"/>
        <v>0</v>
      </c>
      <c r="W308" s="516">
        <f t="shared" si="157"/>
        <v>0</v>
      </c>
      <c r="X308" s="516">
        <f t="shared" si="157"/>
        <v>0</v>
      </c>
      <c r="Y308" s="516">
        <f t="shared" si="157"/>
        <v>0</v>
      </c>
      <c r="Z308" s="516">
        <f t="shared" si="157"/>
        <v>0</v>
      </c>
      <c r="AA308" s="516">
        <f t="shared" si="157"/>
        <v>0</v>
      </c>
      <c r="AB308" s="516">
        <f t="shared" si="157"/>
        <v>0</v>
      </c>
      <c r="AC308" s="516">
        <f t="shared" si="157"/>
        <v>0</v>
      </c>
      <c r="AD308" s="516">
        <f t="shared" si="157"/>
        <v>0</v>
      </c>
      <c r="AE308" s="516">
        <f t="shared" si="157"/>
        <v>0</v>
      </c>
      <c r="AF308" s="516">
        <f t="shared" si="157"/>
        <v>0</v>
      </c>
      <c r="AG308" s="516">
        <f t="shared" si="157"/>
        <v>0</v>
      </c>
      <c r="AH308" s="516">
        <f t="shared" si="157"/>
        <v>0</v>
      </c>
      <c r="AI308" s="516">
        <f t="shared" si="157"/>
        <v>0</v>
      </c>
      <c r="AJ308" s="516">
        <f t="shared" si="157"/>
        <v>0</v>
      </c>
      <c r="AK308" s="516">
        <f t="shared" si="157"/>
        <v>0</v>
      </c>
      <c r="AL308" s="516">
        <f t="shared" si="157"/>
        <v>0</v>
      </c>
      <c r="AM308" s="516">
        <f t="shared" si="157"/>
        <v>0</v>
      </c>
      <c r="AN308" s="516">
        <f t="shared" si="157"/>
        <v>0</v>
      </c>
      <c r="AO308" s="516">
        <f t="shared" si="157"/>
        <v>0</v>
      </c>
      <c r="AP308" s="501"/>
      <c r="AQ308" s="505"/>
      <c r="AR308" s="505"/>
      <c r="AS308" s="505"/>
      <c r="AT308" s="505"/>
      <c r="AU308" s="505"/>
      <c r="AV308" s="510"/>
      <c r="AW308" s="452"/>
    </row>
    <row r="309" spans="1:49" hidden="1">
      <c r="A309" s="143"/>
      <c r="B309" s="483"/>
      <c r="C309" s="496" t="s">
        <v>1341</v>
      </c>
      <c r="D309" s="516">
        <f t="shared" ref="D309:AO309" si="158">IF(ISERR(GETPIVOTDATA("[Measures].[Hours]",TRIMARANmonthly,"[Period].[Month]","[Period].[Month].&amp;["&amp;IF(MONTH(D$14)=1,YEAR(D$14)-1&amp;TEXT(12,"00"),YEAR(D$14)&amp;TEXT(MONTH(D$14)-1,"00"))&amp;"]","[Order].[Position Number]","[Order].[Position Number].&amp;["&amp;$B314&amp;"]")),0,GETPIVOTDATA("[Measures].[Hours]",TRIMARANmonthly,"[Period].[Month]","[Period].[Month].&amp;["&amp;IF(MONTH(D$14)=1,YEAR(D$14)-1&amp;TEXT(12,"00"),YEAR(D$14)&amp;TEXT(MONTH(D$14)-1,"00"))&amp;"]","[Order].[Position Number]","[Order].[Position Number].&amp;["&amp;$B314&amp;"]"))</f>
        <v>0</v>
      </c>
      <c r="E309" s="516">
        <f t="shared" si="158"/>
        <v>0</v>
      </c>
      <c r="F309" s="516">
        <f t="shared" si="158"/>
        <v>0</v>
      </c>
      <c r="G309" s="516">
        <f t="shared" si="158"/>
        <v>0</v>
      </c>
      <c r="H309" s="516">
        <f t="shared" si="158"/>
        <v>0</v>
      </c>
      <c r="I309" s="516">
        <f t="shared" si="158"/>
        <v>0</v>
      </c>
      <c r="J309" s="516">
        <f t="shared" si="158"/>
        <v>0</v>
      </c>
      <c r="K309" s="516">
        <f t="shared" si="158"/>
        <v>0</v>
      </c>
      <c r="L309" s="516">
        <f t="shared" si="158"/>
        <v>0</v>
      </c>
      <c r="M309" s="516">
        <f t="shared" si="158"/>
        <v>0</v>
      </c>
      <c r="N309" s="516">
        <f t="shared" si="158"/>
        <v>0</v>
      </c>
      <c r="O309" s="516">
        <f t="shared" si="158"/>
        <v>0</v>
      </c>
      <c r="P309" s="516">
        <f t="shared" si="158"/>
        <v>0</v>
      </c>
      <c r="Q309" s="516">
        <f t="shared" si="158"/>
        <v>0</v>
      </c>
      <c r="R309" s="516">
        <f t="shared" si="158"/>
        <v>0</v>
      </c>
      <c r="S309" s="516">
        <f t="shared" si="158"/>
        <v>0</v>
      </c>
      <c r="T309" s="516">
        <f t="shared" si="158"/>
        <v>0</v>
      </c>
      <c r="U309" s="516">
        <f t="shared" si="158"/>
        <v>0</v>
      </c>
      <c r="V309" s="516">
        <f t="shared" si="158"/>
        <v>0</v>
      </c>
      <c r="W309" s="516">
        <f t="shared" si="158"/>
        <v>0</v>
      </c>
      <c r="X309" s="516">
        <f t="shared" si="158"/>
        <v>0</v>
      </c>
      <c r="Y309" s="516">
        <f t="shared" si="158"/>
        <v>0</v>
      </c>
      <c r="Z309" s="516">
        <f t="shared" si="158"/>
        <v>0</v>
      </c>
      <c r="AA309" s="516">
        <f t="shared" si="158"/>
        <v>0</v>
      </c>
      <c r="AB309" s="516">
        <f t="shared" si="158"/>
        <v>0</v>
      </c>
      <c r="AC309" s="516">
        <f t="shared" si="158"/>
        <v>0</v>
      </c>
      <c r="AD309" s="516">
        <f t="shared" si="158"/>
        <v>0</v>
      </c>
      <c r="AE309" s="516">
        <f t="shared" si="158"/>
        <v>0</v>
      </c>
      <c r="AF309" s="516">
        <f t="shared" si="158"/>
        <v>0</v>
      </c>
      <c r="AG309" s="516">
        <f t="shared" si="158"/>
        <v>0</v>
      </c>
      <c r="AH309" s="516">
        <f t="shared" si="158"/>
        <v>0</v>
      </c>
      <c r="AI309" s="516">
        <f t="shared" si="158"/>
        <v>0</v>
      </c>
      <c r="AJ309" s="516">
        <f t="shared" si="158"/>
        <v>0</v>
      </c>
      <c r="AK309" s="516">
        <f t="shared" si="158"/>
        <v>0</v>
      </c>
      <c r="AL309" s="516">
        <f t="shared" si="158"/>
        <v>0</v>
      </c>
      <c r="AM309" s="516">
        <f t="shared" si="158"/>
        <v>0</v>
      </c>
      <c r="AN309" s="516">
        <f t="shared" si="158"/>
        <v>0</v>
      </c>
      <c r="AO309" s="516">
        <f t="shared" si="158"/>
        <v>0</v>
      </c>
      <c r="AP309" s="501"/>
      <c r="AQ309" s="505"/>
      <c r="AR309" s="505"/>
      <c r="AS309" s="505"/>
      <c r="AT309" s="505"/>
      <c r="AU309" s="505"/>
      <c r="AV309" s="510"/>
      <c r="AW309" s="452"/>
    </row>
    <row r="310" spans="1:49" hidden="1">
      <c r="A310" s="143"/>
      <c r="B310" s="483"/>
      <c r="C310" s="496" t="s">
        <v>1339</v>
      </c>
      <c r="D310" s="516">
        <f t="shared" ref="D310:AO310" si="159">IF(ISERR(GETPIVOTDATA("[Measures].[" &amp; MDContractCurrency &amp; "]",TRIMARANweekly,"[Order].[Position Number]","[Order].[Position Number].&amp;[" &amp; $B314 &amp; "]","[Period].[Week]","[Period].[Week].&amp;[" &amp; YEAR(D$14-7) &amp; TEXT(WEEKNUM(D$14-7),"00") &amp; "]")),0,GETPIVOTDATA("[Measures].[" &amp; MDContractCurrency &amp; "]",TRIMARANweekly,"[Order].[Position Number]","[Order].[Position Number].&amp;[" &amp; $B314 &amp; "]","[Period].[Week]","[Period].[Week].&amp;[" &amp; YEAR(D$14-7) &amp; TEXT(WEEKNUM(D$14-7),"00") &amp; "]"))</f>
        <v>0</v>
      </c>
      <c r="E310" s="516">
        <f t="shared" si="159"/>
        <v>0</v>
      </c>
      <c r="F310" s="516">
        <f t="shared" si="159"/>
        <v>0</v>
      </c>
      <c r="G310" s="516">
        <f t="shared" si="159"/>
        <v>0</v>
      </c>
      <c r="H310" s="516">
        <f t="shared" si="159"/>
        <v>0</v>
      </c>
      <c r="I310" s="516">
        <f t="shared" si="159"/>
        <v>0</v>
      </c>
      <c r="J310" s="516">
        <f t="shared" si="159"/>
        <v>0</v>
      </c>
      <c r="K310" s="516">
        <f t="shared" si="159"/>
        <v>0</v>
      </c>
      <c r="L310" s="516">
        <f t="shared" si="159"/>
        <v>0</v>
      </c>
      <c r="M310" s="516">
        <f t="shared" si="159"/>
        <v>0</v>
      </c>
      <c r="N310" s="516">
        <f t="shared" si="159"/>
        <v>0</v>
      </c>
      <c r="O310" s="516">
        <f t="shared" si="159"/>
        <v>0</v>
      </c>
      <c r="P310" s="516">
        <f t="shared" si="159"/>
        <v>0</v>
      </c>
      <c r="Q310" s="516">
        <f t="shared" si="159"/>
        <v>0</v>
      </c>
      <c r="R310" s="516">
        <f t="shared" si="159"/>
        <v>0</v>
      </c>
      <c r="S310" s="516">
        <f t="shared" si="159"/>
        <v>0</v>
      </c>
      <c r="T310" s="516">
        <f t="shared" si="159"/>
        <v>0</v>
      </c>
      <c r="U310" s="516">
        <f t="shared" si="159"/>
        <v>0</v>
      </c>
      <c r="V310" s="516">
        <f t="shared" si="159"/>
        <v>0</v>
      </c>
      <c r="W310" s="516">
        <f t="shared" si="159"/>
        <v>0</v>
      </c>
      <c r="X310" s="516">
        <f t="shared" si="159"/>
        <v>0</v>
      </c>
      <c r="Y310" s="516">
        <f t="shared" si="159"/>
        <v>0</v>
      </c>
      <c r="Z310" s="516">
        <f t="shared" si="159"/>
        <v>0</v>
      </c>
      <c r="AA310" s="516">
        <f t="shared" si="159"/>
        <v>0</v>
      </c>
      <c r="AB310" s="516">
        <f t="shared" si="159"/>
        <v>0</v>
      </c>
      <c r="AC310" s="516">
        <f t="shared" si="159"/>
        <v>0</v>
      </c>
      <c r="AD310" s="516">
        <f t="shared" si="159"/>
        <v>0</v>
      </c>
      <c r="AE310" s="516">
        <f t="shared" si="159"/>
        <v>0</v>
      </c>
      <c r="AF310" s="516">
        <f t="shared" si="159"/>
        <v>0</v>
      </c>
      <c r="AG310" s="516">
        <f t="shared" si="159"/>
        <v>0</v>
      </c>
      <c r="AH310" s="516">
        <f t="shared" si="159"/>
        <v>0</v>
      </c>
      <c r="AI310" s="516">
        <f t="shared" si="159"/>
        <v>0</v>
      </c>
      <c r="AJ310" s="516">
        <f t="shared" si="159"/>
        <v>0</v>
      </c>
      <c r="AK310" s="516">
        <f t="shared" si="159"/>
        <v>0</v>
      </c>
      <c r="AL310" s="516">
        <f t="shared" si="159"/>
        <v>0</v>
      </c>
      <c r="AM310" s="516">
        <f t="shared" si="159"/>
        <v>0</v>
      </c>
      <c r="AN310" s="516">
        <f t="shared" si="159"/>
        <v>0</v>
      </c>
      <c r="AO310" s="516">
        <f t="shared" si="159"/>
        <v>0</v>
      </c>
      <c r="AP310" s="501"/>
      <c r="AQ310" s="505"/>
      <c r="AR310" s="505"/>
      <c r="AS310" s="505"/>
      <c r="AT310" s="505"/>
      <c r="AU310" s="505"/>
      <c r="AV310" s="510"/>
      <c r="AW310" s="452"/>
    </row>
    <row r="311" spans="1:49" hidden="1">
      <c r="A311" s="143"/>
      <c r="B311" s="483"/>
      <c r="C311" s="496" t="s">
        <v>1340</v>
      </c>
      <c r="D311" s="516">
        <f t="shared" ref="D311:AO311" si="160">IF(ISERR(GETPIVOTDATA("[Measures].[" &amp; MDContractCurrency &amp; "]",TRIMARANweekly,"[Order].[Position Number]","[Order].[Position Number].&amp;[" &amp; $B314 &amp; "]","[Period].[Week]","[Period].[Week].&amp;[" &amp; YEAR(D$14-14) &amp; TEXT(WEEKNUM(D$14-14),"00") &amp; "]")),0,GETPIVOTDATA("[Measures].[" &amp; MDContractCurrency &amp; "]",TRIMARANweekly,"[Order].[Position Number]","[Order].[Position Number].&amp;[" &amp; $B314 &amp; "]","[Period].[Week]","[Period].[Week].&amp;[" &amp; YEAR(D$14-14) &amp; TEXT(WEEKNUM(D$14-14),"00") &amp; "]"))+D310</f>
        <v>0</v>
      </c>
      <c r="E311" s="516">
        <f t="shared" si="160"/>
        <v>0</v>
      </c>
      <c r="F311" s="516">
        <f t="shared" si="160"/>
        <v>0</v>
      </c>
      <c r="G311" s="516">
        <f t="shared" si="160"/>
        <v>0</v>
      </c>
      <c r="H311" s="516">
        <f t="shared" si="160"/>
        <v>0</v>
      </c>
      <c r="I311" s="516">
        <f t="shared" si="160"/>
        <v>0</v>
      </c>
      <c r="J311" s="516">
        <f t="shared" si="160"/>
        <v>0</v>
      </c>
      <c r="K311" s="516">
        <f t="shared" si="160"/>
        <v>0</v>
      </c>
      <c r="L311" s="516">
        <f t="shared" si="160"/>
        <v>0</v>
      </c>
      <c r="M311" s="516">
        <f t="shared" si="160"/>
        <v>0</v>
      </c>
      <c r="N311" s="516">
        <f t="shared" si="160"/>
        <v>0</v>
      </c>
      <c r="O311" s="516">
        <f t="shared" si="160"/>
        <v>0</v>
      </c>
      <c r="P311" s="516">
        <f t="shared" si="160"/>
        <v>0</v>
      </c>
      <c r="Q311" s="516">
        <f t="shared" si="160"/>
        <v>0</v>
      </c>
      <c r="R311" s="516">
        <f t="shared" si="160"/>
        <v>0</v>
      </c>
      <c r="S311" s="516">
        <f t="shared" si="160"/>
        <v>0</v>
      </c>
      <c r="T311" s="516">
        <f t="shared" si="160"/>
        <v>0</v>
      </c>
      <c r="U311" s="516">
        <f t="shared" si="160"/>
        <v>0</v>
      </c>
      <c r="V311" s="516">
        <f t="shared" si="160"/>
        <v>0</v>
      </c>
      <c r="W311" s="516">
        <f t="shared" si="160"/>
        <v>0</v>
      </c>
      <c r="X311" s="516">
        <f t="shared" si="160"/>
        <v>0</v>
      </c>
      <c r="Y311" s="516">
        <f t="shared" si="160"/>
        <v>0</v>
      </c>
      <c r="Z311" s="516">
        <f t="shared" si="160"/>
        <v>0</v>
      </c>
      <c r="AA311" s="516">
        <f t="shared" si="160"/>
        <v>0</v>
      </c>
      <c r="AB311" s="516">
        <f t="shared" si="160"/>
        <v>0</v>
      </c>
      <c r="AC311" s="516">
        <f t="shared" si="160"/>
        <v>0</v>
      </c>
      <c r="AD311" s="516">
        <f t="shared" si="160"/>
        <v>0</v>
      </c>
      <c r="AE311" s="516">
        <f t="shared" si="160"/>
        <v>0</v>
      </c>
      <c r="AF311" s="516">
        <f t="shared" si="160"/>
        <v>0</v>
      </c>
      <c r="AG311" s="516">
        <f t="shared" si="160"/>
        <v>0</v>
      </c>
      <c r="AH311" s="516">
        <f t="shared" si="160"/>
        <v>0</v>
      </c>
      <c r="AI311" s="516">
        <f t="shared" si="160"/>
        <v>0</v>
      </c>
      <c r="AJ311" s="516">
        <f t="shared" si="160"/>
        <v>0</v>
      </c>
      <c r="AK311" s="516">
        <f t="shared" si="160"/>
        <v>0</v>
      </c>
      <c r="AL311" s="516">
        <f t="shared" si="160"/>
        <v>0</v>
      </c>
      <c r="AM311" s="516">
        <f t="shared" si="160"/>
        <v>0</v>
      </c>
      <c r="AN311" s="516">
        <f t="shared" si="160"/>
        <v>0</v>
      </c>
      <c r="AO311" s="516">
        <f t="shared" si="160"/>
        <v>0</v>
      </c>
      <c r="AP311" s="501"/>
      <c r="AQ311" s="505"/>
      <c r="AR311" s="505"/>
      <c r="AS311" s="505"/>
      <c r="AT311" s="505"/>
      <c r="AU311" s="505"/>
      <c r="AV311" s="510"/>
      <c r="AW311" s="452"/>
    </row>
    <row r="312" spans="1:49" hidden="1">
      <c r="A312" s="141"/>
      <c r="B312" s="517"/>
      <c r="C312" s="496" t="s">
        <v>1341</v>
      </c>
      <c r="D312" s="516">
        <f t="shared" ref="D312:AO312" si="161">IF(ISERR(GETPIVOTDATA("[Measures].[" &amp; MDContractCurrency &amp; "]",TRIMARANmonthly,"[Period].[Month]","[Period].[Month].&amp;["&amp;IF(MONTH(D$14)=1,YEAR(D$14)-1&amp;TEXT(12,"00"),YEAR(D$14)&amp;TEXT(MONTH(D$14)-1,"00"))&amp;"]","[Order].[Position Number]","[Order].[Position Number].&amp;["&amp;$B314&amp;"]")),0,GETPIVOTDATA("[Measures].[" &amp; MDContractCurrency &amp; "]",TRIMARANmonthly,"[Period].[Month]","[Period].[Month].&amp;["&amp;IF(MONTH(D$14)=1,YEAR(D$14)-1&amp;TEXT(12,"00"),YEAR(D$14)&amp;TEXT(MONTH(D$14)-1,"00"))&amp;"]","[Order].[Position Number]","[Order].[Position Number].&amp;["&amp;$B314&amp;"]"))</f>
        <v>0</v>
      </c>
      <c r="E312" s="516">
        <f t="shared" si="161"/>
        <v>0</v>
      </c>
      <c r="F312" s="516">
        <f t="shared" si="161"/>
        <v>0</v>
      </c>
      <c r="G312" s="516">
        <f t="shared" si="161"/>
        <v>0</v>
      </c>
      <c r="H312" s="516">
        <f t="shared" si="161"/>
        <v>0</v>
      </c>
      <c r="I312" s="516">
        <f t="shared" si="161"/>
        <v>0</v>
      </c>
      <c r="J312" s="516">
        <f t="shared" si="161"/>
        <v>0</v>
      </c>
      <c r="K312" s="516">
        <f t="shared" si="161"/>
        <v>0</v>
      </c>
      <c r="L312" s="516">
        <f t="shared" si="161"/>
        <v>0</v>
      </c>
      <c r="M312" s="516">
        <f t="shared" si="161"/>
        <v>0</v>
      </c>
      <c r="N312" s="516">
        <f t="shared" si="161"/>
        <v>0</v>
      </c>
      <c r="O312" s="516">
        <f t="shared" si="161"/>
        <v>0</v>
      </c>
      <c r="P312" s="516">
        <f t="shared" si="161"/>
        <v>0</v>
      </c>
      <c r="Q312" s="516">
        <f t="shared" si="161"/>
        <v>0</v>
      </c>
      <c r="R312" s="516">
        <f t="shared" si="161"/>
        <v>0</v>
      </c>
      <c r="S312" s="516">
        <f t="shared" si="161"/>
        <v>0</v>
      </c>
      <c r="T312" s="516">
        <f t="shared" si="161"/>
        <v>0</v>
      </c>
      <c r="U312" s="516">
        <f t="shared" si="161"/>
        <v>0</v>
      </c>
      <c r="V312" s="516">
        <f t="shared" si="161"/>
        <v>0</v>
      </c>
      <c r="W312" s="516">
        <f t="shared" si="161"/>
        <v>0</v>
      </c>
      <c r="X312" s="516">
        <f t="shared" si="161"/>
        <v>0</v>
      </c>
      <c r="Y312" s="516">
        <f t="shared" si="161"/>
        <v>0</v>
      </c>
      <c r="Z312" s="516">
        <f t="shared" si="161"/>
        <v>0</v>
      </c>
      <c r="AA312" s="516">
        <f t="shared" si="161"/>
        <v>0</v>
      </c>
      <c r="AB312" s="516">
        <f t="shared" si="161"/>
        <v>0</v>
      </c>
      <c r="AC312" s="516">
        <f t="shared" si="161"/>
        <v>0</v>
      </c>
      <c r="AD312" s="516">
        <f t="shared" si="161"/>
        <v>0</v>
      </c>
      <c r="AE312" s="516">
        <f t="shared" si="161"/>
        <v>0</v>
      </c>
      <c r="AF312" s="516">
        <f t="shared" si="161"/>
        <v>0</v>
      </c>
      <c r="AG312" s="516">
        <f t="shared" si="161"/>
        <v>0</v>
      </c>
      <c r="AH312" s="516">
        <f t="shared" si="161"/>
        <v>0</v>
      </c>
      <c r="AI312" s="516">
        <f t="shared" si="161"/>
        <v>0</v>
      </c>
      <c r="AJ312" s="516">
        <f t="shared" si="161"/>
        <v>0</v>
      </c>
      <c r="AK312" s="516">
        <f t="shared" si="161"/>
        <v>0</v>
      </c>
      <c r="AL312" s="516">
        <f t="shared" si="161"/>
        <v>0</v>
      </c>
      <c r="AM312" s="516">
        <f t="shared" si="161"/>
        <v>0</v>
      </c>
      <c r="AN312" s="516">
        <f t="shared" si="161"/>
        <v>0</v>
      </c>
      <c r="AO312" s="516">
        <f t="shared" si="161"/>
        <v>0</v>
      </c>
      <c r="AP312" s="501"/>
      <c r="AQ312" s="505"/>
      <c r="AR312" s="505"/>
      <c r="AS312" s="505"/>
      <c r="AT312" s="505"/>
      <c r="AU312" s="505"/>
      <c r="AV312" s="510"/>
      <c r="AW312" s="452"/>
    </row>
    <row r="313" spans="1:49">
      <c r="A313" s="477"/>
      <c r="B313" s="483"/>
      <c r="C313" s="496"/>
      <c r="D313" s="496"/>
      <c r="E313" s="496"/>
      <c r="F313" s="496"/>
      <c r="G313" s="496"/>
      <c r="H313" s="496"/>
      <c r="I313" s="496"/>
      <c r="J313" s="496"/>
      <c r="K313" s="496"/>
      <c r="L313" s="496"/>
      <c r="M313" s="496"/>
      <c r="N313" s="496"/>
      <c r="O313" s="496"/>
      <c r="P313" s="496"/>
      <c r="Q313" s="496"/>
      <c r="R313" s="496"/>
      <c r="S313" s="496"/>
      <c r="T313" s="496"/>
      <c r="U313" s="496"/>
      <c r="V313" s="496"/>
      <c r="W313" s="496"/>
      <c r="X313" s="496"/>
      <c r="Y313" s="496"/>
      <c r="Z313" s="496"/>
      <c r="AA313" s="496"/>
      <c r="AB313" s="496"/>
      <c r="AC313" s="496"/>
      <c r="AD313" s="496"/>
      <c r="AE313" s="496"/>
      <c r="AF313" s="496"/>
      <c r="AG313" s="496"/>
      <c r="AH313" s="496"/>
      <c r="AI313" s="496"/>
      <c r="AJ313" s="496"/>
      <c r="AK313" s="496"/>
      <c r="AL313" s="496"/>
      <c r="AM313" s="496"/>
      <c r="AN313" s="496"/>
      <c r="AO313" s="496"/>
      <c r="AP313" s="496"/>
      <c r="AQ313" s="505"/>
      <c r="AR313" s="505"/>
      <c r="AS313" s="505"/>
      <c r="AT313" s="505"/>
      <c r="AU313" s="505"/>
      <c r="AV313" s="510"/>
      <c r="AW313" s="452"/>
    </row>
    <row r="314" spans="1:49">
      <c r="A314" s="1183" t="str">
        <f>'Delivery Calculation'!B39 &amp; CHAR(10) &amp; 'Delivery Calculation'!P39 &amp; " - " &amp; 'Delivery Calculation'!Q39</f>
        <v xml:space="preserve">0
 - </v>
      </c>
      <c r="B314" s="1180">
        <f>'Delivery Calculation'!A39</f>
        <v>0</v>
      </c>
      <c r="C314" s="499" t="s">
        <v>626</v>
      </c>
      <c r="D314" s="518">
        <f>'Delivery Calculation'!M220</f>
        <v>0</v>
      </c>
      <c r="E314" s="518">
        <f>'Delivery Calculation'!N220</f>
        <v>0</v>
      </c>
      <c r="F314" s="518">
        <f>'Delivery Calculation'!O220</f>
        <v>0</v>
      </c>
      <c r="G314" s="518">
        <f>'Delivery Calculation'!P220</f>
        <v>0</v>
      </c>
      <c r="H314" s="518">
        <f>'Delivery Calculation'!Q220</f>
        <v>0</v>
      </c>
      <c r="I314" s="518">
        <f>'Delivery Calculation'!R220</f>
        <v>0</v>
      </c>
      <c r="J314" s="518">
        <f>'Delivery Calculation'!S220</f>
        <v>0</v>
      </c>
      <c r="K314" s="518">
        <f>'Delivery Calculation'!T220</f>
        <v>0</v>
      </c>
      <c r="L314" s="518">
        <f>'Delivery Calculation'!U220</f>
        <v>0</v>
      </c>
      <c r="M314" s="518">
        <f>'Delivery Calculation'!V220</f>
        <v>0</v>
      </c>
      <c r="N314" s="518">
        <f>'Delivery Calculation'!W220</f>
        <v>0</v>
      </c>
      <c r="O314" s="518">
        <f>'Delivery Calculation'!X220</f>
        <v>0</v>
      </c>
      <c r="P314" s="518">
        <f>'Delivery Calculation'!Y220</f>
        <v>0</v>
      </c>
      <c r="Q314" s="518">
        <f>'Delivery Calculation'!Z220</f>
        <v>0</v>
      </c>
      <c r="R314" s="518">
        <f>'Delivery Calculation'!AA220</f>
        <v>0</v>
      </c>
      <c r="S314" s="518">
        <f>'Delivery Calculation'!AB220</f>
        <v>0</v>
      </c>
      <c r="T314" s="518">
        <f>'Delivery Calculation'!AC220</f>
        <v>0</v>
      </c>
      <c r="U314" s="518">
        <f>'Delivery Calculation'!AD220</f>
        <v>0</v>
      </c>
      <c r="V314" s="518">
        <f>'Delivery Calculation'!AE220</f>
        <v>0</v>
      </c>
      <c r="W314" s="518">
        <f>'Delivery Calculation'!AF220</f>
        <v>0</v>
      </c>
      <c r="X314" s="518">
        <f>'Delivery Calculation'!AG220</f>
        <v>0</v>
      </c>
      <c r="Y314" s="518">
        <f>'Delivery Calculation'!AH220</f>
        <v>0</v>
      </c>
      <c r="Z314" s="518">
        <f>'Delivery Calculation'!AI220</f>
        <v>0</v>
      </c>
      <c r="AA314" s="518">
        <f>'Delivery Calculation'!AJ220</f>
        <v>0</v>
      </c>
      <c r="AB314" s="518">
        <f>'Delivery Calculation'!AK220</f>
        <v>0</v>
      </c>
      <c r="AC314" s="518">
        <f>'Delivery Calculation'!AL220</f>
        <v>0</v>
      </c>
      <c r="AD314" s="518">
        <f>'Delivery Calculation'!AM220</f>
        <v>0</v>
      </c>
      <c r="AE314" s="518">
        <f>'Delivery Calculation'!AN220</f>
        <v>0</v>
      </c>
      <c r="AF314" s="518">
        <f>'Delivery Calculation'!AO220</f>
        <v>0</v>
      </c>
      <c r="AG314" s="518">
        <f>'Delivery Calculation'!AP220</f>
        <v>0</v>
      </c>
      <c r="AH314" s="518">
        <f>'Delivery Calculation'!AQ220</f>
        <v>0</v>
      </c>
      <c r="AI314" s="518">
        <f>'Delivery Calculation'!AR220</f>
        <v>0</v>
      </c>
      <c r="AJ314" s="518">
        <f>'Delivery Calculation'!AS220</f>
        <v>0</v>
      </c>
      <c r="AK314" s="518">
        <f>'Delivery Calculation'!AT220</f>
        <v>0</v>
      </c>
      <c r="AL314" s="518">
        <f>'Delivery Calculation'!AU220</f>
        <v>0</v>
      </c>
      <c r="AM314" s="518">
        <f>'Delivery Calculation'!AV220</f>
        <v>0</v>
      </c>
      <c r="AN314" s="518">
        <f>'Delivery Calculation'!AW220</f>
        <v>0</v>
      </c>
      <c r="AO314" s="518">
        <f>'Delivery Calculation'!AX220</f>
        <v>0</v>
      </c>
      <c r="AP314" s="501"/>
      <c r="AQ314" s="519">
        <f>IF(COUNTIF($D$15:$AO$15, TMDPeriodValueTypeReported)&gt;0, INDEX(D314:AO314,1,COUNTIF(D$15:$AO$15,TMDPeriodValueTypeReported)),0)</f>
        <v>0</v>
      </c>
      <c r="AR314" s="519"/>
      <c r="AS314" s="520">
        <f>'Delivery Calculation'!N39</f>
        <v>0</v>
      </c>
      <c r="AT314" s="519">
        <f>AQ314*'Delivery Calculation'!N39</f>
        <v>0</v>
      </c>
      <c r="AU314" s="521" t="s">
        <v>522</v>
      </c>
      <c r="AV314" s="510"/>
      <c r="AW314" s="452"/>
    </row>
    <row r="315" spans="1:49">
      <c r="A315" s="1184"/>
      <c r="B315" s="1181"/>
      <c r="C315" s="499" t="s">
        <v>627</v>
      </c>
      <c r="D315" s="509">
        <f>IF(D$15=TMDPeriodValueTypeForecast,IF('Delivery Calculation'!$H$39=TMDAllocationTandM,0,'Delivery Calculation'!M149),IF(MDReportingPeriod=TMDMonthly,D309,IF(MDReportingPeriod=TMDTwoweekly,D308,D307)))</f>
        <v>0</v>
      </c>
      <c r="E315" s="509">
        <f>IF(E$15=TMDPeriodValueTypeForecast,IF('Delivery Calculation'!$H$39=TMDAllocationTandM,0,'Delivery Calculation'!N149),IF(MDReportingPeriod=TMDMonthly,E309,IF(MDReportingPeriod=TMDTwoweekly,E308,E307)))</f>
        <v>0</v>
      </c>
      <c r="F315" s="509">
        <f>IF(F$15=TMDPeriodValueTypeForecast,IF('Delivery Calculation'!$H$39=TMDAllocationTandM,0,'Delivery Calculation'!O149),IF(MDReportingPeriod=TMDMonthly,F309,IF(MDReportingPeriod=TMDTwoweekly,F308,F307)))</f>
        <v>0</v>
      </c>
      <c r="G315" s="509">
        <f>IF(G$15=TMDPeriodValueTypeForecast,IF('Delivery Calculation'!$H$39=TMDAllocationTandM,0,'Delivery Calculation'!P149),IF(MDReportingPeriod=TMDMonthly,G309,IF(MDReportingPeriod=TMDTwoweekly,G308,G307)))</f>
        <v>0</v>
      </c>
      <c r="H315" s="509">
        <f>IF(H$15=TMDPeriodValueTypeForecast,IF('Delivery Calculation'!$H$39=TMDAllocationTandM,0,'Delivery Calculation'!Q149),IF(MDReportingPeriod=TMDMonthly,H309,IF(MDReportingPeriod=TMDTwoweekly,H308,H307)))</f>
        <v>0</v>
      </c>
      <c r="I315" s="509">
        <f>IF(I$15=TMDPeriodValueTypeForecast,IF('Delivery Calculation'!$H$39=TMDAllocationTandM,0,'Delivery Calculation'!R149),IF(MDReportingPeriod=TMDMonthly,I309,IF(MDReportingPeriod=TMDTwoweekly,I308,I307)))</f>
        <v>0</v>
      </c>
      <c r="J315" s="509">
        <f>IF(J$15=TMDPeriodValueTypeForecast,IF('Delivery Calculation'!$H$39=TMDAllocationTandM,0,'Delivery Calculation'!S149),IF(MDReportingPeriod=TMDMonthly,J309,IF(MDReportingPeriod=TMDTwoweekly,J308,J307)))</f>
        <v>0</v>
      </c>
      <c r="K315" s="509">
        <f>IF(K$15=TMDPeriodValueTypeForecast,IF('Delivery Calculation'!$H$39=TMDAllocationTandM,0,'Delivery Calculation'!T149),IF(MDReportingPeriod=TMDMonthly,K309,IF(MDReportingPeriod=TMDTwoweekly,K308,K307)))</f>
        <v>0</v>
      </c>
      <c r="L315" s="509">
        <f>IF(L$15=TMDPeriodValueTypeForecast,IF('Delivery Calculation'!$H$39=TMDAllocationTandM,0,'Delivery Calculation'!U149),IF(MDReportingPeriod=TMDMonthly,L309,IF(MDReportingPeriod=TMDTwoweekly,L308,L307)))</f>
        <v>0</v>
      </c>
      <c r="M315" s="509">
        <f>IF(M$15=TMDPeriodValueTypeForecast,IF('Delivery Calculation'!$H$39=TMDAllocationTandM,0,'Delivery Calculation'!V149),IF(MDReportingPeriod=TMDMonthly,M309,IF(MDReportingPeriod=TMDTwoweekly,M308,M307)))</f>
        <v>0</v>
      </c>
      <c r="N315" s="509">
        <f>IF(N$15=TMDPeriodValueTypeForecast,IF('Delivery Calculation'!$H$39=TMDAllocationTandM,0,'Delivery Calculation'!W149),IF(MDReportingPeriod=TMDMonthly,N309,IF(MDReportingPeriod=TMDTwoweekly,N308,N307)))</f>
        <v>0</v>
      </c>
      <c r="O315" s="509">
        <f>IF(O$15=TMDPeriodValueTypeForecast,IF('Delivery Calculation'!$H$39=TMDAllocationTandM,0,'Delivery Calculation'!X149),IF(MDReportingPeriod=TMDMonthly,O309,IF(MDReportingPeriod=TMDTwoweekly,O308,O307)))</f>
        <v>0</v>
      </c>
      <c r="P315" s="509">
        <f>IF(P$15=TMDPeriodValueTypeForecast,IF('Delivery Calculation'!$H$39=TMDAllocationTandM,0,'Delivery Calculation'!Y149),IF(MDReportingPeriod=TMDMonthly,P309,IF(MDReportingPeriod=TMDTwoweekly,P308,P307)))</f>
        <v>0</v>
      </c>
      <c r="Q315" s="509">
        <f>IF(Q$15=TMDPeriodValueTypeForecast,IF('Delivery Calculation'!$H$39=TMDAllocationTandM,0,'Delivery Calculation'!Z149),IF(MDReportingPeriod=TMDMonthly,Q309,IF(MDReportingPeriod=TMDTwoweekly,Q308,Q307)))</f>
        <v>0</v>
      </c>
      <c r="R315" s="509">
        <f>IF(R$15=TMDPeriodValueTypeForecast,IF('Delivery Calculation'!$H$39=TMDAllocationTandM,0,'Delivery Calculation'!AA149),IF(MDReportingPeriod=TMDMonthly,R309,IF(MDReportingPeriod=TMDTwoweekly,R308,R307)))</f>
        <v>0</v>
      </c>
      <c r="S315" s="509">
        <f>IF(S$15=TMDPeriodValueTypeForecast,IF('Delivery Calculation'!$H$39=TMDAllocationTandM,0,'Delivery Calculation'!AB149),IF(MDReportingPeriod=TMDMonthly,S309,IF(MDReportingPeriod=TMDTwoweekly,S308,S307)))</f>
        <v>0</v>
      </c>
      <c r="T315" s="509">
        <f>IF(T$15=TMDPeriodValueTypeForecast,IF('Delivery Calculation'!$H$39=TMDAllocationTandM,0,'Delivery Calculation'!AC149),IF(MDReportingPeriod=TMDMonthly,T309,IF(MDReportingPeriod=TMDTwoweekly,T308,T307)))</f>
        <v>0</v>
      </c>
      <c r="U315" s="509">
        <f>IF(U$15=TMDPeriodValueTypeForecast,IF('Delivery Calculation'!$H$39=TMDAllocationTandM,0,'Delivery Calculation'!AD149),IF(MDReportingPeriod=TMDMonthly,U309,IF(MDReportingPeriod=TMDTwoweekly,U308,U307)))</f>
        <v>0</v>
      </c>
      <c r="V315" s="509">
        <f>IF(V$15=TMDPeriodValueTypeForecast,IF('Delivery Calculation'!$H$39=TMDAllocationTandM,0,'Delivery Calculation'!AE149),IF(MDReportingPeriod=TMDMonthly,V309,IF(MDReportingPeriod=TMDTwoweekly,V308,V307)))</f>
        <v>0</v>
      </c>
      <c r="W315" s="509">
        <f>IF(W$15=TMDPeriodValueTypeForecast,IF('Delivery Calculation'!$H$39=TMDAllocationTandM,0,'Delivery Calculation'!AF149),IF(MDReportingPeriod=TMDMonthly,W309,IF(MDReportingPeriod=TMDTwoweekly,W308,W307)))</f>
        <v>0</v>
      </c>
      <c r="X315" s="509">
        <f>IF(X$15=TMDPeriodValueTypeForecast,IF('Delivery Calculation'!$H$39=TMDAllocationTandM,0,'Delivery Calculation'!AG149),IF(MDReportingPeriod=TMDMonthly,X309,IF(MDReportingPeriod=TMDTwoweekly,X308,X307)))</f>
        <v>0</v>
      </c>
      <c r="Y315" s="509">
        <f>IF(Y$15=TMDPeriodValueTypeForecast,IF('Delivery Calculation'!$H$39=TMDAllocationTandM,0,'Delivery Calculation'!AH149),IF(MDReportingPeriod=TMDMonthly,Y309,IF(MDReportingPeriod=TMDTwoweekly,Y308,Y307)))</f>
        <v>0</v>
      </c>
      <c r="Z315" s="509">
        <f>IF(Z$15=TMDPeriodValueTypeForecast,IF('Delivery Calculation'!$H$39=TMDAllocationTandM,0,'Delivery Calculation'!AI149),IF(MDReportingPeriod=TMDMonthly,Z309,IF(MDReportingPeriod=TMDTwoweekly,Z308,Z307)))</f>
        <v>0</v>
      </c>
      <c r="AA315" s="509">
        <f>IF(AA$15=TMDPeriodValueTypeForecast,IF('Delivery Calculation'!$H$39=TMDAllocationTandM,0,'Delivery Calculation'!AJ149),IF(MDReportingPeriod=TMDMonthly,AA309,IF(MDReportingPeriod=TMDTwoweekly,AA308,AA307)))</f>
        <v>0</v>
      </c>
      <c r="AB315" s="509">
        <f>IF(AB$15=TMDPeriodValueTypeForecast,IF('Delivery Calculation'!$H$39=TMDAllocationTandM,0,'Delivery Calculation'!AK149),IF(MDReportingPeriod=TMDMonthly,AB309,IF(MDReportingPeriod=TMDTwoweekly,AB308,AB307)))</f>
        <v>0</v>
      </c>
      <c r="AC315" s="509">
        <f>IF(AC$15=TMDPeriodValueTypeForecast,IF('Delivery Calculation'!$H$39=TMDAllocationTandM,0,'Delivery Calculation'!AL149),IF(MDReportingPeriod=TMDMonthly,AC309,IF(MDReportingPeriod=TMDTwoweekly,AC308,AC307)))</f>
        <v>0</v>
      </c>
      <c r="AD315" s="509">
        <f>IF(AD$15=TMDPeriodValueTypeForecast,IF('Delivery Calculation'!$H$39=TMDAllocationTandM,0,'Delivery Calculation'!AM149),IF(MDReportingPeriod=TMDMonthly,AD309,IF(MDReportingPeriod=TMDTwoweekly,AD308,AD307)))</f>
        <v>0</v>
      </c>
      <c r="AE315" s="509">
        <f>IF(AE$15=TMDPeriodValueTypeForecast,IF('Delivery Calculation'!$H$39=TMDAllocationTandM,0,'Delivery Calculation'!AN149),IF(MDReportingPeriod=TMDMonthly,AE309,IF(MDReportingPeriod=TMDTwoweekly,AE308,AE307)))</f>
        <v>0</v>
      </c>
      <c r="AF315" s="509">
        <f>IF(AF$15=TMDPeriodValueTypeForecast,IF('Delivery Calculation'!$H$39=TMDAllocationTandM,0,'Delivery Calculation'!AO149),IF(MDReportingPeriod=TMDMonthly,AF309,IF(MDReportingPeriod=TMDTwoweekly,AF308,AF307)))</f>
        <v>0</v>
      </c>
      <c r="AG315" s="509">
        <f>IF(AG$15=TMDPeriodValueTypeForecast,IF('Delivery Calculation'!$H$39=TMDAllocationTandM,0,'Delivery Calculation'!AP149),IF(MDReportingPeriod=TMDMonthly,AG309,IF(MDReportingPeriod=TMDTwoweekly,AG308,AG307)))</f>
        <v>0</v>
      </c>
      <c r="AH315" s="509">
        <f>IF(AH$15=TMDPeriodValueTypeForecast,IF('Delivery Calculation'!$H$39=TMDAllocationTandM,0,'Delivery Calculation'!AQ149),IF(MDReportingPeriod=TMDMonthly,AH309,IF(MDReportingPeriod=TMDTwoweekly,AH308,AH307)))</f>
        <v>0</v>
      </c>
      <c r="AI315" s="509">
        <f>IF(AI$15=TMDPeriodValueTypeForecast,IF('Delivery Calculation'!$H$39=TMDAllocationTandM,0,'Delivery Calculation'!AR149),IF(MDReportingPeriod=TMDMonthly,AI309,IF(MDReportingPeriod=TMDTwoweekly,AI308,AI307)))</f>
        <v>0</v>
      </c>
      <c r="AJ315" s="509">
        <f>IF(AJ$15=TMDPeriodValueTypeForecast,IF('Delivery Calculation'!$H$39=TMDAllocationTandM,0,'Delivery Calculation'!AS149),IF(MDReportingPeriod=TMDMonthly,AJ309,IF(MDReportingPeriod=TMDTwoweekly,AJ308,AJ307)))</f>
        <v>0</v>
      </c>
      <c r="AK315" s="509">
        <f>IF(AK$15=TMDPeriodValueTypeForecast,IF('Delivery Calculation'!$H$39=TMDAllocationTandM,0,'Delivery Calculation'!AT149),IF(MDReportingPeriod=TMDMonthly,AK309,IF(MDReportingPeriod=TMDTwoweekly,AK308,AK307)))</f>
        <v>0</v>
      </c>
      <c r="AL315" s="509">
        <f>IF(AL$15=TMDPeriodValueTypeForecast,IF('Delivery Calculation'!$H$39=TMDAllocationTandM,0,'Delivery Calculation'!AU149),IF(MDReportingPeriod=TMDMonthly,AL309,IF(MDReportingPeriod=TMDTwoweekly,AL308,AL307)))</f>
        <v>0</v>
      </c>
      <c r="AM315" s="509">
        <f>IF(AM$15=TMDPeriodValueTypeForecast,IF('Delivery Calculation'!$H$39=TMDAllocationTandM,0,'Delivery Calculation'!AV149),IF(MDReportingPeriod=TMDMonthly,AM309,IF(MDReportingPeriod=TMDTwoweekly,AM308,AM307)))</f>
        <v>0</v>
      </c>
      <c r="AN315" s="509">
        <f>IF(AN$15=TMDPeriodValueTypeForecast,IF('Delivery Calculation'!$H$39=TMDAllocationTandM,0,'Delivery Calculation'!AW149),IF(MDReportingPeriod=TMDMonthly,AN309,IF(MDReportingPeriod=TMDTwoweekly,AN308,AN307)))</f>
        <v>0</v>
      </c>
      <c r="AO315" s="509">
        <f>IF(AO$15=TMDPeriodValueTypeForecast,IF('Delivery Calculation'!$H$39=TMDAllocationTandM,0,'Delivery Calculation'!AX149),IF(MDReportingPeriod=TMDMonthly,AO309,IF(MDReportingPeriod=TMDTwoweekly,AO308,AO307)))</f>
        <v>0</v>
      </c>
      <c r="AP315" s="501"/>
      <c r="AQ315" s="505">
        <f>SUMIF($D$15:$AO$15,TMDPeriodValueTypeReported,D315:AO315)</f>
        <v>0</v>
      </c>
      <c r="AR315" s="505">
        <f>SUMIF($D$15:$AO$15,TMDPeriodValueTypeForecast,D315:AO315)</f>
        <v>0</v>
      </c>
      <c r="AS315" s="523">
        <f>'Delivery Calculation'!J39</f>
        <v>0</v>
      </c>
      <c r="AT315" s="505">
        <f>AS315-(AQ315+AR315)</f>
        <v>0</v>
      </c>
      <c r="AU315" s="505"/>
      <c r="AV315" s="510"/>
      <c r="AW315" s="452"/>
    </row>
    <row r="316" spans="1:49">
      <c r="A316" s="1184"/>
      <c r="B316" s="1181"/>
      <c r="C316" s="499" t="s">
        <v>628</v>
      </c>
      <c r="D316" s="509">
        <f>IF(D$15=TMDPeriodValueTypeForecast,IF('Delivery Calculation'!$H$39=TMDAllocationTandM,0,'Delivery Calculation'!M113),IF(MDReportingPeriod=TMDMonthly,D312,IF(MDReportingPeriod=TMDTwoweekly,D311,D310)))</f>
        <v>0</v>
      </c>
      <c r="E316" s="509">
        <f>IF(E$15=TMDPeriodValueTypeForecast,IF('Delivery Calculation'!$H$39=TMDAllocationTandM,0,'Delivery Calculation'!N113),IF(MDReportingPeriod=TMDMonthly,E312,IF(MDReportingPeriod=TMDTwoweekly,E311,E310)))</f>
        <v>0</v>
      </c>
      <c r="F316" s="509">
        <f>IF(F$15=TMDPeriodValueTypeForecast,IF('Delivery Calculation'!$H$39=TMDAllocationTandM,0,'Delivery Calculation'!O113),IF(MDReportingPeriod=TMDMonthly,F312,IF(MDReportingPeriod=TMDTwoweekly,F311,F310)))</f>
        <v>0</v>
      </c>
      <c r="G316" s="509">
        <f>IF(G$15=TMDPeriodValueTypeForecast,IF('Delivery Calculation'!$H$39=TMDAllocationTandM,0,'Delivery Calculation'!P113),IF(MDReportingPeriod=TMDMonthly,G312,IF(MDReportingPeriod=TMDTwoweekly,G311,G310)))</f>
        <v>0</v>
      </c>
      <c r="H316" s="509">
        <f>IF(H$15=TMDPeriodValueTypeForecast,IF('Delivery Calculation'!$H$39=TMDAllocationTandM,0,'Delivery Calculation'!Q113),IF(MDReportingPeriod=TMDMonthly,H312,IF(MDReportingPeriod=TMDTwoweekly,H311,H310)))</f>
        <v>0</v>
      </c>
      <c r="I316" s="509">
        <f>IF(I$15=TMDPeriodValueTypeForecast,IF('Delivery Calculation'!$H$39=TMDAllocationTandM,0,'Delivery Calculation'!R113),IF(MDReportingPeriod=TMDMonthly,I312,IF(MDReportingPeriod=TMDTwoweekly,I311,I310)))</f>
        <v>0</v>
      </c>
      <c r="J316" s="509">
        <f>IF(J$15=TMDPeriodValueTypeForecast,IF('Delivery Calculation'!$H$39=TMDAllocationTandM,0,'Delivery Calculation'!S113),IF(MDReportingPeriod=TMDMonthly,J312,IF(MDReportingPeriod=TMDTwoweekly,J311,J310)))</f>
        <v>0</v>
      </c>
      <c r="K316" s="509">
        <f>IF(K$15=TMDPeriodValueTypeForecast,IF('Delivery Calculation'!$H$39=TMDAllocationTandM,0,'Delivery Calculation'!T113),IF(MDReportingPeriod=TMDMonthly,K312,IF(MDReportingPeriod=TMDTwoweekly,K311,K310)))</f>
        <v>0</v>
      </c>
      <c r="L316" s="509">
        <f>IF(L$15=TMDPeriodValueTypeForecast,IF('Delivery Calculation'!$H$39=TMDAllocationTandM,0,'Delivery Calculation'!U113),IF(MDReportingPeriod=TMDMonthly,L312,IF(MDReportingPeriod=TMDTwoweekly,L311,L310)))</f>
        <v>0</v>
      </c>
      <c r="M316" s="509">
        <f>IF(M$15=TMDPeriodValueTypeForecast,IF('Delivery Calculation'!$H$39=TMDAllocationTandM,0,'Delivery Calculation'!V113),IF(MDReportingPeriod=TMDMonthly,M312,IF(MDReportingPeriod=TMDTwoweekly,M311,M310)))</f>
        <v>0</v>
      </c>
      <c r="N316" s="509">
        <f>IF(N$15=TMDPeriodValueTypeForecast,IF('Delivery Calculation'!$H$39=TMDAllocationTandM,0,'Delivery Calculation'!W113),IF(MDReportingPeriod=TMDMonthly,N312,IF(MDReportingPeriod=TMDTwoweekly,N311,N310)))</f>
        <v>0</v>
      </c>
      <c r="O316" s="509">
        <f>IF(O$15=TMDPeriodValueTypeForecast,IF('Delivery Calculation'!$H$39=TMDAllocationTandM,0,'Delivery Calculation'!X113),IF(MDReportingPeriod=TMDMonthly,O312,IF(MDReportingPeriod=TMDTwoweekly,O311,O310)))</f>
        <v>0</v>
      </c>
      <c r="P316" s="509">
        <f>IF(P$15=TMDPeriodValueTypeForecast,IF('Delivery Calculation'!$H$39=TMDAllocationTandM,0,'Delivery Calculation'!Y113),IF(MDReportingPeriod=TMDMonthly,P312,IF(MDReportingPeriod=TMDTwoweekly,P311,P310)))</f>
        <v>0</v>
      </c>
      <c r="Q316" s="509">
        <f>IF(Q$15=TMDPeriodValueTypeForecast,IF('Delivery Calculation'!$H$39=TMDAllocationTandM,0,'Delivery Calculation'!Z113),IF(MDReportingPeriod=TMDMonthly,Q312,IF(MDReportingPeriod=TMDTwoweekly,Q311,Q310)))</f>
        <v>0</v>
      </c>
      <c r="R316" s="509">
        <f>IF(R$15=TMDPeriodValueTypeForecast,IF('Delivery Calculation'!$H$39=TMDAllocationTandM,0,'Delivery Calculation'!AA113),IF(MDReportingPeriod=TMDMonthly,R312,IF(MDReportingPeriod=TMDTwoweekly,R311,R310)))</f>
        <v>0</v>
      </c>
      <c r="S316" s="509">
        <f>IF(S$15=TMDPeriodValueTypeForecast,IF('Delivery Calculation'!$H$39=TMDAllocationTandM,0,'Delivery Calculation'!AB113),IF(MDReportingPeriod=TMDMonthly,S312,IF(MDReportingPeriod=TMDTwoweekly,S311,S310)))</f>
        <v>0</v>
      </c>
      <c r="T316" s="509">
        <f>IF(T$15=TMDPeriodValueTypeForecast,IF('Delivery Calculation'!$H$39=TMDAllocationTandM,0,'Delivery Calculation'!AC113),IF(MDReportingPeriod=TMDMonthly,T312,IF(MDReportingPeriod=TMDTwoweekly,T311,T310)))</f>
        <v>0</v>
      </c>
      <c r="U316" s="509">
        <f>IF(U$15=TMDPeriodValueTypeForecast,IF('Delivery Calculation'!$H$39=TMDAllocationTandM,0,'Delivery Calculation'!AD113),IF(MDReportingPeriod=TMDMonthly,U312,IF(MDReportingPeriod=TMDTwoweekly,U311,U310)))</f>
        <v>0</v>
      </c>
      <c r="V316" s="509">
        <f>IF(V$15=TMDPeriodValueTypeForecast,IF('Delivery Calculation'!$H$39=TMDAllocationTandM,0,'Delivery Calculation'!AE113),IF(MDReportingPeriod=TMDMonthly,V312,IF(MDReportingPeriod=TMDTwoweekly,V311,V310)))</f>
        <v>0</v>
      </c>
      <c r="W316" s="509">
        <f>IF(W$15=TMDPeriodValueTypeForecast,IF('Delivery Calculation'!$H$39=TMDAllocationTandM,0,'Delivery Calculation'!AF113),IF(MDReportingPeriod=TMDMonthly,W312,IF(MDReportingPeriod=TMDTwoweekly,W311,W310)))</f>
        <v>0</v>
      </c>
      <c r="X316" s="509">
        <f>IF(X$15=TMDPeriodValueTypeForecast,IF('Delivery Calculation'!$H$39=TMDAllocationTandM,0,'Delivery Calculation'!AG113),IF(MDReportingPeriod=TMDMonthly,X312,IF(MDReportingPeriod=TMDTwoweekly,X311,X310)))</f>
        <v>0</v>
      </c>
      <c r="Y316" s="509">
        <f>IF(Y$15=TMDPeriodValueTypeForecast,IF('Delivery Calculation'!$H$39=TMDAllocationTandM,0,'Delivery Calculation'!AH113),IF(MDReportingPeriod=TMDMonthly,Y312,IF(MDReportingPeriod=TMDTwoweekly,Y311,Y310)))</f>
        <v>0</v>
      </c>
      <c r="Z316" s="509">
        <f>IF(Z$15=TMDPeriodValueTypeForecast,IF('Delivery Calculation'!$H$39=TMDAllocationTandM,0,'Delivery Calculation'!AI113),IF(MDReportingPeriod=TMDMonthly,Z312,IF(MDReportingPeriod=TMDTwoweekly,Z311,Z310)))</f>
        <v>0</v>
      </c>
      <c r="AA316" s="509">
        <f>IF(AA$15=TMDPeriodValueTypeForecast,IF('Delivery Calculation'!$H$39=TMDAllocationTandM,0,'Delivery Calculation'!AJ113),IF(MDReportingPeriod=TMDMonthly,AA312,IF(MDReportingPeriod=TMDTwoweekly,AA311,AA310)))</f>
        <v>0</v>
      </c>
      <c r="AB316" s="509">
        <f>IF(AB$15=TMDPeriodValueTypeForecast,IF('Delivery Calculation'!$H$39=TMDAllocationTandM,0,'Delivery Calculation'!AK113),IF(MDReportingPeriod=TMDMonthly,AB312,IF(MDReportingPeriod=TMDTwoweekly,AB311,AB310)))</f>
        <v>0</v>
      </c>
      <c r="AC316" s="509">
        <f>IF(AC$15=TMDPeriodValueTypeForecast,IF('Delivery Calculation'!$H$39=TMDAllocationTandM,0,'Delivery Calculation'!AL113),IF(MDReportingPeriod=TMDMonthly,AC312,IF(MDReportingPeriod=TMDTwoweekly,AC311,AC310)))</f>
        <v>0</v>
      </c>
      <c r="AD316" s="509">
        <f>IF(AD$15=TMDPeriodValueTypeForecast,IF('Delivery Calculation'!$H$39=TMDAllocationTandM,0,'Delivery Calculation'!AM113),IF(MDReportingPeriod=TMDMonthly,AD312,IF(MDReportingPeriod=TMDTwoweekly,AD311,AD310)))</f>
        <v>0</v>
      </c>
      <c r="AE316" s="509">
        <f>IF(AE$15=TMDPeriodValueTypeForecast,IF('Delivery Calculation'!$H$39=TMDAllocationTandM,0,'Delivery Calculation'!AN113),IF(MDReportingPeriod=TMDMonthly,AE312,IF(MDReportingPeriod=TMDTwoweekly,AE311,AE310)))</f>
        <v>0</v>
      </c>
      <c r="AF316" s="509">
        <f>IF(AF$15=TMDPeriodValueTypeForecast,IF('Delivery Calculation'!$H$39=TMDAllocationTandM,0,'Delivery Calculation'!AO113),IF(MDReportingPeriod=TMDMonthly,AF312,IF(MDReportingPeriod=TMDTwoweekly,AF311,AF310)))</f>
        <v>0</v>
      </c>
      <c r="AG316" s="509">
        <f>IF(AG$15=TMDPeriodValueTypeForecast,IF('Delivery Calculation'!$H$39=TMDAllocationTandM,0,'Delivery Calculation'!AP113),IF(MDReportingPeriod=TMDMonthly,AG312,IF(MDReportingPeriod=TMDTwoweekly,AG311,AG310)))</f>
        <v>0</v>
      </c>
      <c r="AH316" s="509">
        <f>IF(AH$15=TMDPeriodValueTypeForecast,IF('Delivery Calculation'!$H$39=TMDAllocationTandM,0,'Delivery Calculation'!AQ113),IF(MDReportingPeriod=TMDMonthly,AH312,IF(MDReportingPeriod=TMDTwoweekly,AH311,AH310)))</f>
        <v>0</v>
      </c>
      <c r="AI316" s="509">
        <f>IF(AI$15=TMDPeriodValueTypeForecast,IF('Delivery Calculation'!$H$39=TMDAllocationTandM,0,'Delivery Calculation'!AR113),IF(MDReportingPeriod=TMDMonthly,AI312,IF(MDReportingPeriod=TMDTwoweekly,AI311,AI310)))</f>
        <v>0</v>
      </c>
      <c r="AJ316" s="509">
        <f>IF(AJ$15=TMDPeriodValueTypeForecast,IF('Delivery Calculation'!$H$39=TMDAllocationTandM,0,'Delivery Calculation'!AS113),IF(MDReportingPeriod=TMDMonthly,AJ312,IF(MDReportingPeriod=TMDTwoweekly,AJ311,AJ310)))</f>
        <v>0</v>
      </c>
      <c r="AK316" s="509">
        <f>IF(AK$15=TMDPeriodValueTypeForecast,IF('Delivery Calculation'!$H$39=TMDAllocationTandM,0,'Delivery Calculation'!AT113),IF(MDReportingPeriod=TMDMonthly,AK312,IF(MDReportingPeriod=TMDTwoweekly,AK311,AK310)))</f>
        <v>0</v>
      </c>
      <c r="AL316" s="509">
        <f>IF(AL$15=TMDPeriodValueTypeForecast,IF('Delivery Calculation'!$H$39=TMDAllocationTandM,0,'Delivery Calculation'!AU113),IF(MDReportingPeriod=TMDMonthly,AL312,IF(MDReportingPeriod=TMDTwoweekly,AL311,AL310)))</f>
        <v>0</v>
      </c>
      <c r="AM316" s="509">
        <f>IF(AM$15=TMDPeriodValueTypeForecast,IF('Delivery Calculation'!$H$39=TMDAllocationTandM,0,'Delivery Calculation'!AV113),IF(MDReportingPeriod=TMDMonthly,AM312,IF(MDReportingPeriod=TMDTwoweekly,AM311,AM310)))</f>
        <v>0</v>
      </c>
      <c r="AN316" s="509">
        <f>IF(AN$15=TMDPeriodValueTypeForecast,IF('Delivery Calculation'!$H$39=TMDAllocationTandM,0,'Delivery Calculation'!AW113),IF(MDReportingPeriod=TMDMonthly,AN312,IF(MDReportingPeriod=TMDTwoweekly,AN311,AN310)))</f>
        <v>0</v>
      </c>
      <c r="AO316" s="509">
        <f>IF(AO$15=TMDPeriodValueTypeForecast,IF('Delivery Calculation'!$H$39=TMDAllocationTandM,0,'Delivery Calculation'!AX113),IF(MDReportingPeriod=TMDMonthly,AO312,IF(MDReportingPeriod=TMDTwoweekly,AO311,AO310)))</f>
        <v>0</v>
      </c>
      <c r="AP316" s="501"/>
      <c r="AQ316" s="505">
        <f>SUMIF($D$15:$AO$15,TMDPeriodValueTypeReported,D316:AO316)</f>
        <v>0</v>
      </c>
      <c r="AR316" s="505">
        <f>SUMIF($D$15:$AO$15,TMDPeriodValueTypeForecast,D316:AO316)</f>
        <v>0</v>
      </c>
      <c r="AS316" s="523">
        <f>'Delivery Calculation'!I39</f>
        <v>0</v>
      </c>
      <c r="AT316" s="505">
        <f>AS316-(AQ316+AR316)</f>
        <v>0</v>
      </c>
      <c r="AU316" s="505"/>
      <c r="AV316" s="510"/>
      <c r="AW316" s="452"/>
    </row>
    <row r="317" spans="1:49">
      <c r="A317" s="1185"/>
      <c r="B317" s="1182"/>
      <c r="C317" s="499" t="s">
        <v>629</v>
      </c>
      <c r="D317" s="509"/>
      <c r="E317" s="509"/>
      <c r="F317" s="509"/>
      <c r="G317" s="509"/>
      <c r="H317" s="509"/>
      <c r="I317" s="509"/>
      <c r="J317" s="509"/>
      <c r="K317" s="509"/>
      <c r="L317" s="509"/>
      <c r="M317" s="509"/>
      <c r="N317" s="509"/>
      <c r="O317" s="509"/>
      <c r="P317" s="509"/>
      <c r="Q317" s="509"/>
      <c r="R317" s="509"/>
      <c r="S317" s="509"/>
      <c r="T317" s="509"/>
      <c r="U317" s="509"/>
      <c r="V317" s="509"/>
      <c r="W317" s="509"/>
      <c r="X317" s="509"/>
      <c r="Y317" s="509"/>
      <c r="Z317" s="509"/>
      <c r="AA317" s="509"/>
      <c r="AB317" s="509"/>
      <c r="AC317" s="509"/>
      <c r="AD317" s="509"/>
      <c r="AE317" s="509"/>
      <c r="AF317" s="509"/>
      <c r="AG317" s="509"/>
      <c r="AH317" s="509"/>
      <c r="AI317" s="509"/>
      <c r="AJ317" s="509"/>
      <c r="AK317" s="509"/>
      <c r="AL317" s="509"/>
      <c r="AM317" s="509"/>
      <c r="AN317" s="509"/>
      <c r="AO317" s="509"/>
      <c r="AP317" s="501"/>
      <c r="AQ317" s="505">
        <f>SUMIF($D$15:$AO$15,TMDPeriodValueTypeReported,D317:AO317)</f>
        <v>0</v>
      </c>
      <c r="AR317" s="505">
        <f>SUMIF($D$15:$AO$15,TMDPeriodValueTypeForecast,D317:AO317)</f>
        <v>0</v>
      </c>
      <c r="AS317" s="505"/>
      <c r="AT317" s="505">
        <f>AQ317+AR317</f>
        <v>0</v>
      </c>
      <c r="AU317" s="505"/>
      <c r="AV317" s="510"/>
      <c r="AW317" s="452"/>
    </row>
    <row r="318" spans="1:49" hidden="1">
      <c r="A318" s="143"/>
      <c r="B318" s="483"/>
      <c r="C318" s="496" t="s">
        <v>1339</v>
      </c>
      <c r="D318" s="516">
        <f t="shared" ref="D318:AO318" si="162">IF(ISERR(GETPIVOTDATA("[Measures].[Hours]",TRIMARANweekly,"[Order].[Position Number]","[Order].[Position Number].&amp;[" &amp; $B325 &amp; "]","[Period].[Week]","[Period].[Week].&amp;[" &amp; YEAR(D$14-7) &amp; TEXT(WEEKNUM(D$14-7),"00") &amp; "]")),0,GETPIVOTDATA("[Measures].[Hours]",TRIMARANweekly,"[Order].[Position Number]","[Order].[Position Number].&amp;[" &amp; $B325 &amp; "]","[Period].[Week]","[Period].[Week].&amp;[" &amp; YEAR(D$14-7) &amp; TEXT(WEEKNUM(D$14-7),"00") &amp; "]"))</f>
        <v>0</v>
      </c>
      <c r="E318" s="516">
        <f t="shared" si="162"/>
        <v>0</v>
      </c>
      <c r="F318" s="516">
        <f t="shared" si="162"/>
        <v>0</v>
      </c>
      <c r="G318" s="516">
        <f t="shared" si="162"/>
        <v>0</v>
      </c>
      <c r="H318" s="516">
        <f t="shared" si="162"/>
        <v>0</v>
      </c>
      <c r="I318" s="516">
        <f t="shared" si="162"/>
        <v>0</v>
      </c>
      <c r="J318" s="516">
        <f t="shared" si="162"/>
        <v>0</v>
      </c>
      <c r="K318" s="516">
        <f t="shared" si="162"/>
        <v>0</v>
      </c>
      <c r="L318" s="516">
        <f t="shared" si="162"/>
        <v>0</v>
      </c>
      <c r="M318" s="516">
        <f t="shared" si="162"/>
        <v>0</v>
      </c>
      <c r="N318" s="516">
        <f t="shared" si="162"/>
        <v>0</v>
      </c>
      <c r="O318" s="516">
        <f t="shared" si="162"/>
        <v>0</v>
      </c>
      <c r="P318" s="516">
        <f t="shared" si="162"/>
        <v>0</v>
      </c>
      <c r="Q318" s="516">
        <f t="shared" si="162"/>
        <v>0</v>
      </c>
      <c r="R318" s="516">
        <f t="shared" si="162"/>
        <v>0</v>
      </c>
      <c r="S318" s="516">
        <f t="shared" si="162"/>
        <v>0</v>
      </c>
      <c r="T318" s="516">
        <f t="shared" si="162"/>
        <v>0</v>
      </c>
      <c r="U318" s="516">
        <f t="shared" si="162"/>
        <v>0</v>
      </c>
      <c r="V318" s="516">
        <f t="shared" si="162"/>
        <v>0</v>
      </c>
      <c r="W318" s="516">
        <f t="shared" si="162"/>
        <v>0</v>
      </c>
      <c r="X318" s="516">
        <f t="shared" si="162"/>
        <v>0</v>
      </c>
      <c r="Y318" s="516">
        <f t="shared" si="162"/>
        <v>0</v>
      </c>
      <c r="Z318" s="516">
        <f t="shared" si="162"/>
        <v>0</v>
      </c>
      <c r="AA318" s="516">
        <f t="shared" si="162"/>
        <v>0</v>
      </c>
      <c r="AB318" s="516">
        <f t="shared" si="162"/>
        <v>0</v>
      </c>
      <c r="AC318" s="516">
        <f t="shared" si="162"/>
        <v>0</v>
      </c>
      <c r="AD318" s="516">
        <f t="shared" si="162"/>
        <v>0</v>
      </c>
      <c r="AE318" s="516">
        <f t="shared" si="162"/>
        <v>0</v>
      </c>
      <c r="AF318" s="516">
        <f t="shared" si="162"/>
        <v>0</v>
      </c>
      <c r="AG318" s="516">
        <f t="shared" si="162"/>
        <v>0</v>
      </c>
      <c r="AH318" s="516">
        <f t="shared" si="162"/>
        <v>0</v>
      </c>
      <c r="AI318" s="516">
        <f t="shared" si="162"/>
        <v>0</v>
      </c>
      <c r="AJ318" s="516">
        <f t="shared" si="162"/>
        <v>0</v>
      </c>
      <c r="AK318" s="516">
        <f t="shared" si="162"/>
        <v>0</v>
      </c>
      <c r="AL318" s="516">
        <f t="shared" si="162"/>
        <v>0</v>
      </c>
      <c r="AM318" s="516">
        <f t="shared" si="162"/>
        <v>0</v>
      </c>
      <c r="AN318" s="516">
        <f t="shared" si="162"/>
        <v>0</v>
      </c>
      <c r="AO318" s="516">
        <f t="shared" si="162"/>
        <v>0</v>
      </c>
      <c r="AP318" s="501"/>
      <c r="AQ318" s="505"/>
      <c r="AR318" s="505"/>
      <c r="AS318" s="505"/>
      <c r="AT318" s="505"/>
      <c r="AU318" s="505"/>
      <c r="AV318" s="510"/>
      <c r="AW318" s="452"/>
    </row>
    <row r="319" spans="1:49" hidden="1">
      <c r="A319" s="143"/>
      <c r="B319" s="483"/>
      <c r="C319" s="496" t="s">
        <v>1340</v>
      </c>
      <c r="D319" s="516">
        <f t="shared" ref="D319:AO319" si="163">IF(ISERR(GETPIVOTDATA("[Measures].[Hours]",TRIMARANweekly,"[Order].[Position Number]","[Order].[Position Number].&amp;[" &amp; $B325 &amp; "]","[Period].[Week]","[Period].[Week].&amp;[" &amp; YEAR(D$14-14) &amp; TEXT(WEEKNUM(D$14-14),"00") &amp; "]")),0,GETPIVOTDATA("[Measures].[Hours]",TRIMARANweekly,"[Order].[Position Number]","[Order].[Position Number].&amp;[" &amp; $B325 &amp; "]","[Period].[Week]","[Period].[Week].&amp;[" &amp; YEAR(D$14-14) &amp; TEXT(WEEKNUM(D$14-14),"00") &amp; "]"))+D318</f>
        <v>0</v>
      </c>
      <c r="E319" s="516">
        <f t="shared" si="163"/>
        <v>0</v>
      </c>
      <c r="F319" s="516">
        <f t="shared" si="163"/>
        <v>0</v>
      </c>
      <c r="G319" s="516">
        <f t="shared" si="163"/>
        <v>0</v>
      </c>
      <c r="H319" s="516">
        <f t="shared" si="163"/>
        <v>0</v>
      </c>
      <c r="I319" s="516">
        <f t="shared" si="163"/>
        <v>0</v>
      </c>
      <c r="J319" s="516">
        <f t="shared" si="163"/>
        <v>0</v>
      </c>
      <c r="K319" s="516">
        <f t="shared" si="163"/>
        <v>0</v>
      </c>
      <c r="L319" s="516">
        <f t="shared" si="163"/>
        <v>0</v>
      </c>
      <c r="M319" s="516">
        <f t="shared" si="163"/>
        <v>0</v>
      </c>
      <c r="N319" s="516">
        <f t="shared" si="163"/>
        <v>0</v>
      </c>
      <c r="O319" s="516">
        <f t="shared" si="163"/>
        <v>0</v>
      </c>
      <c r="P319" s="516">
        <f t="shared" si="163"/>
        <v>0</v>
      </c>
      <c r="Q319" s="516">
        <f t="shared" si="163"/>
        <v>0</v>
      </c>
      <c r="R319" s="516">
        <f t="shared" si="163"/>
        <v>0</v>
      </c>
      <c r="S319" s="516">
        <f t="shared" si="163"/>
        <v>0</v>
      </c>
      <c r="T319" s="516">
        <f t="shared" si="163"/>
        <v>0</v>
      </c>
      <c r="U319" s="516">
        <f t="shared" si="163"/>
        <v>0</v>
      </c>
      <c r="V319" s="516">
        <f t="shared" si="163"/>
        <v>0</v>
      </c>
      <c r="W319" s="516">
        <f t="shared" si="163"/>
        <v>0</v>
      </c>
      <c r="X319" s="516">
        <f t="shared" si="163"/>
        <v>0</v>
      </c>
      <c r="Y319" s="516">
        <f t="shared" si="163"/>
        <v>0</v>
      </c>
      <c r="Z319" s="516">
        <f t="shared" si="163"/>
        <v>0</v>
      </c>
      <c r="AA319" s="516">
        <f t="shared" si="163"/>
        <v>0</v>
      </c>
      <c r="AB319" s="516">
        <f t="shared" si="163"/>
        <v>0</v>
      </c>
      <c r="AC319" s="516">
        <f t="shared" si="163"/>
        <v>0</v>
      </c>
      <c r="AD319" s="516">
        <f t="shared" si="163"/>
        <v>0</v>
      </c>
      <c r="AE319" s="516">
        <f t="shared" si="163"/>
        <v>0</v>
      </c>
      <c r="AF319" s="516">
        <f t="shared" si="163"/>
        <v>0</v>
      </c>
      <c r="AG319" s="516">
        <f t="shared" si="163"/>
        <v>0</v>
      </c>
      <c r="AH319" s="516">
        <f t="shared" si="163"/>
        <v>0</v>
      </c>
      <c r="AI319" s="516">
        <f t="shared" si="163"/>
        <v>0</v>
      </c>
      <c r="AJ319" s="516">
        <f t="shared" si="163"/>
        <v>0</v>
      </c>
      <c r="AK319" s="516">
        <f t="shared" si="163"/>
        <v>0</v>
      </c>
      <c r="AL319" s="516">
        <f t="shared" si="163"/>
        <v>0</v>
      </c>
      <c r="AM319" s="516">
        <f t="shared" si="163"/>
        <v>0</v>
      </c>
      <c r="AN319" s="516">
        <f t="shared" si="163"/>
        <v>0</v>
      </c>
      <c r="AO319" s="516">
        <f t="shared" si="163"/>
        <v>0</v>
      </c>
      <c r="AP319" s="501"/>
      <c r="AQ319" s="505"/>
      <c r="AR319" s="505"/>
      <c r="AS319" s="505"/>
      <c r="AT319" s="505"/>
      <c r="AU319" s="505"/>
      <c r="AV319" s="510"/>
      <c r="AW319" s="452"/>
    </row>
    <row r="320" spans="1:49" hidden="1">
      <c r="A320" s="143"/>
      <c r="B320" s="483"/>
      <c r="C320" s="496" t="s">
        <v>1341</v>
      </c>
      <c r="D320" s="516">
        <f t="shared" ref="D320:AO320" si="164">IF(ISERR(GETPIVOTDATA("[Measures].[Hours]",TRIMARANmonthly,"[Period].[Month]","[Period].[Month].&amp;["&amp;IF(MONTH(D$14)=1,YEAR(D$14)-1&amp;TEXT(12,"00"),YEAR(D$14)&amp;TEXT(MONTH(D$14)-1,"00"))&amp;"]","[Order].[Position Number]","[Order].[Position Number].&amp;["&amp;$B325&amp;"]")),0,GETPIVOTDATA("[Measures].[Hours]",TRIMARANmonthly,"[Period].[Month]","[Period].[Month].&amp;["&amp;IF(MONTH(D$14)=1,YEAR(D$14)-1&amp;TEXT(12,"00"),YEAR(D$14)&amp;TEXT(MONTH(D$14)-1,"00"))&amp;"]","[Order].[Position Number]","[Order].[Position Number].&amp;["&amp;$B325&amp;"]"))</f>
        <v>0</v>
      </c>
      <c r="E320" s="516">
        <f t="shared" si="164"/>
        <v>0</v>
      </c>
      <c r="F320" s="516">
        <f t="shared" si="164"/>
        <v>0</v>
      </c>
      <c r="G320" s="516">
        <f t="shared" si="164"/>
        <v>0</v>
      </c>
      <c r="H320" s="516">
        <f t="shared" si="164"/>
        <v>0</v>
      </c>
      <c r="I320" s="516">
        <f t="shared" si="164"/>
        <v>0</v>
      </c>
      <c r="J320" s="516">
        <f t="shared" si="164"/>
        <v>0</v>
      </c>
      <c r="K320" s="516">
        <f t="shared" si="164"/>
        <v>0</v>
      </c>
      <c r="L320" s="516">
        <f t="shared" si="164"/>
        <v>0</v>
      </c>
      <c r="M320" s="516">
        <f t="shared" si="164"/>
        <v>0</v>
      </c>
      <c r="N320" s="516">
        <f t="shared" si="164"/>
        <v>0</v>
      </c>
      <c r="O320" s="516">
        <f t="shared" si="164"/>
        <v>0</v>
      </c>
      <c r="P320" s="516">
        <f t="shared" si="164"/>
        <v>0</v>
      </c>
      <c r="Q320" s="516">
        <f t="shared" si="164"/>
        <v>0</v>
      </c>
      <c r="R320" s="516">
        <f t="shared" si="164"/>
        <v>0</v>
      </c>
      <c r="S320" s="516">
        <f t="shared" si="164"/>
        <v>0</v>
      </c>
      <c r="T320" s="516">
        <f t="shared" si="164"/>
        <v>0</v>
      </c>
      <c r="U320" s="516">
        <f t="shared" si="164"/>
        <v>0</v>
      </c>
      <c r="V320" s="516">
        <f t="shared" si="164"/>
        <v>0</v>
      </c>
      <c r="W320" s="516">
        <f t="shared" si="164"/>
        <v>0</v>
      </c>
      <c r="X320" s="516">
        <f t="shared" si="164"/>
        <v>0</v>
      </c>
      <c r="Y320" s="516">
        <f t="shared" si="164"/>
        <v>0</v>
      </c>
      <c r="Z320" s="516">
        <f t="shared" si="164"/>
        <v>0</v>
      </c>
      <c r="AA320" s="516">
        <f t="shared" si="164"/>
        <v>0</v>
      </c>
      <c r="AB320" s="516">
        <f t="shared" si="164"/>
        <v>0</v>
      </c>
      <c r="AC320" s="516">
        <f t="shared" si="164"/>
        <v>0</v>
      </c>
      <c r="AD320" s="516">
        <f t="shared" si="164"/>
        <v>0</v>
      </c>
      <c r="AE320" s="516">
        <f t="shared" si="164"/>
        <v>0</v>
      </c>
      <c r="AF320" s="516">
        <f t="shared" si="164"/>
        <v>0</v>
      </c>
      <c r="AG320" s="516">
        <f t="shared" si="164"/>
        <v>0</v>
      </c>
      <c r="AH320" s="516">
        <f t="shared" si="164"/>
        <v>0</v>
      </c>
      <c r="AI320" s="516">
        <f t="shared" si="164"/>
        <v>0</v>
      </c>
      <c r="AJ320" s="516">
        <f t="shared" si="164"/>
        <v>0</v>
      </c>
      <c r="AK320" s="516">
        <f t="shared" si="164"/>
        <v>0</v>
      </c>
      <c r="AL320" s="516">
        <f t="shared" si="164"/>
        <v>0</v>
      </c>
      <c r="AM320" s="516">
        <f t="shared" si="164"/>
        <v>0</v>
      </c>
      <c r="AN320" s="516">
        <f t="shared" si="164"/>
        <v>0</v>
      </c>
      <c r="AO320" s="516">
        <f t="shared" si="164"/>
        <v>0</v>
      </c>
      <c r="AP320" s="501"/>
      <c r="AQ320" s="505"/>
      <c r="AR320" s="505"/>
      <c r="AS320" s="505"/>
      <c r="AT320" s="505"/>
      <c r="AU320" s="505"/>
      <c r="AV320" s="510"/>
      <c r="AW320" s="452"/>
    </row>
    <row r="321" spans="1:49" hidden="1">
      <c r="A321" s="143"/>
      <c r="B321" s="483"/>
      <c r="C321" s="496" t="s">
        <v>1339</v>
      </c>
      <c r="D321" s="516">
        <f t="shared" ref="D321:AO321" si="165">IF(ISERR(GETPIVOTDATA("[Measures].[" &amp; MDContractCurrency &amp; "]",TRIMARANweekly,"[Order].[Position Number]","[Order].[Position Number].&amp;[" &amp; $B325 &amp; "]","[Period].[Week]","[Period].[Week].&amp;[" &amp; YEAR(D$14-7) &amp; TEXT(WEEKNUM(D$14-7),"00") &amp; "]")),0,GETPIVOTDATA("[Measures].[" &amp; MDContractCurrency &amp; "]",TRIMARANweekly,"[Order].[Position Number]","[Order].[Position Number].&amp;[" &amp; $B325 &amp; "]","[Period].[Week]","[Period].[Week].&amp;[" &amp; YEAR(D$14-7) &amp; TEXT(WEEKNUM(D$14-7),"00") &amp; "]"))</f>
        <v>0</v>
      </c>
      <c r="E321" s="516">
        <f t="shared" si="165"/>
        <v>0</v>
      </c>
      <c r="F321" s="516">
        <f t="shared" si="165"/>
        <v>0</v>
      </c>
      <c r="G321" s="516">
        <f t="shared" si="165"/>
        <v>0</v>
      </c>
      <c r="H321" s="516">
        <f t="shared" si="165"/>
        <v>0</v>
      </c>
      <c r="I321" s="516">
        <f t="shared" si="165"/>
        <v>0</v>
      </c>
      <c r="J321" s="516">
        <f t="shared" si="165"/>
        <v>0</v>
      </c>
      <c r="K321" s="516">
        <f t="shared" si="165"/>
        <v>0</v>
      </c>
      <c r="L321" s="516">
        <f t="shared" si="165"/>
        <v>0</v>
      </c>
      <c r="M321" s="516">
        <f t="shared" si="165"/>
        <v>0</v>
      </c>
      <c r="N321" s="516">
        <f t="shared" si="165"/>
        <v>0</v>
      </c>
      <c r="O321" s="516">
        <f t="shared" si="165"/>
        <v>0</v>
      </c>
      <c r="P321" s="516">
        <f t="shared" si="165"/>
        <v>0</v>
      </c>
      <c r="Q321" s="516">
        <f t="shared" si="165"/>
        <v>0</v>
      </c>
      <c r="R321" s="516">
        <f t="shared" si="165"/>
        <v>0</v>
      </c>
      <c r="S321" s="516">
        <f t="shared" si="165"/>
        <v>0</v>
      </c>
      <c r="T321" s="516">
        <f t="shared" si="165"/>
        <v>0</v>
      </c>
      <c r="U321" s="516">
        <f t="shared" si="165"/>
        <v>0</v>
      </c>
      <c r="V321" s="516">
        <f t="shared" si="165"/>
        <v>0</v>
      </c>
      <c r="W321" s="516">
        <f t="shared" si="165"/>
        <v>0</v>
      </c>
      <c r="X321" s="516">
        <f t="shared" si="165"/>
        <v>0</v>
      </c>
      <c r="Y321" s="516">
        <f t="shared" si="165"/>
        <v>0</v>
      </c>
      <c r="Z321" s="516">
        <f t="shared" si="165"/>
        <v>0</v>
      </c>
      <c r="AA321" s="516">
        <f t="shared" si="165"/>
        <v>0</v>
      </c>
      <c r="AB321" s="516">
        <f t="shared" si="165"/>
        <v>0</v>
      </c>
      <c r="AC321" s="516">
        <f t="shared" si="165"/>
        <v>0</v>
      </c>
      <c r="AD321" s="516">
        <f t="shared" si="165"/>
        <v>0</v>
      </c>
      <c r="AE321" s="516">
        <f t="shared" si="165"/>
        <v>0</v>
      </c>
      <c r="AF321" s="516">
        <f t="shared" si="165"/>
        <v>0</v>
      </c>
      <c r="AG321" s="516">
        <f t="shared" si="165"/>
        <v>0</v>
      </c>
      <c r="AH321" s="516">
        <f t="shared" si="165"/>
        <v>0</v>
      </c>
      <c r="AI321" s="516">
        <f t="shared" si="165"/>
        <v>0</v>
      </c>
      <c r="AJ321" s="516">
        <f t="shared" si="165"/>
        <v>0</v>
      </c>
      <c r="AK321" s="516">
        <f t="shared" si="165"/>
        <v>0</v>
      </c>
      <c r="AL321" s="516">
        <f t="shared" si="165"/>
        <v>0</v>
      </c>
      <c r="AM321" s="516">
        <f t="shared" si="165"/>
        <v>0</v>
      </c>
      <c r="AN321" s="516">
        <f t="shared" si="165"/>
        <v>0</v>
      </c>
      <c r="AO321" s="516">
        <f t="shared" si="165"/>
        <v>0</v>
      </c>
      <c r="AP321" s="501"/>
      <c r="AQ321" s="505"/>
      <c r="AR321" s="505"/>
      <c r="AS321" s="505"/>
      <c r="AT321" s="505"/>
      <c r="AU321" s="505"/>
      <c r="AV321" s="510"/>
      <c r="AW321" s="452"/>
    </row>
    <row r="322" spans="1:49" hidden="1">
      <c r="A322" s="143"/>
      <c r="B322" s="483"/>
      <c r="C322" s="496" t="s">
        <v>1340</v>
      </c>
      <c r="D322" s="516">
        <f t="shared" ref="D322:AO322" si="166">IF(ISERR(GETPIVOTDATA("[Measures].[" &amp; MDContractCurrency &amp; "]",TRIMARANweekly,"[Order].[Position Number]","[Order].[Position Number].&amp;[" &amp; $B325 &amp; "]","[Period].[Week]","[Period].[Week].&amp;[" &amp; YEAR(D$14-14) &amp; TEXT(WEEKNUM(D$14-14),"00") &amp; "]")),0,GETPIVOTDATA("[Measures].[" &amp; MDContractCurrency &amp; "]",TRIMARANweekly,"[Order].[Position Number]","[Order].[Position Number].&amp;[" &amp; $B325 &amp; "]","[Period].[Week]","[Period].[Week].&amp;[" &amp; YEAR(D$14-14) &amp; TEXT(WEEKNUM(D$14-14),"00") &amp; "]"))+D321</f>
        <v>0</v>
      </c>
      <c r="E322" s="516">
        <f t="shared" si="166"/>
        <v>0</v>
      </c>
      <c r="F322" s="516">
        <f t="shared" si="166"/>
        <v>0</v>
      </c>
      <c r="G322" s="516">
        <f t="shared" si="166"/>
        <v>0</v>
      </c>
      <c r="H322" s="516">
        <f t="shared" si="166"/>
        <v>0</v>
      </c>
      <c r="I322" s="516">
        <f t="shared" si="166"/>
        <v>0</v>
      </c>
      <c r="J322" s="516">
        <f t="shared" si="166"/>
        <v>0</v>
      </c>
      <c r="K322" s="516">
        <f t="shared" si="166"/>
        <v>0</v>
      </c>
      <c r="L322" s="516">
        <f t="shared" si="166"/>
        <v>0</v>
      </c>
      <c r="M322" s="516">
        <f t="shared" si="166"/>
        <v>0</v>
      </c>
      <c r="N322" s="516">
        <f t="shared" si="166"/>
        <v>0</v>
      </c>
      <c r="O322" s="516">
        <f t="shared" si="166"/>
        <v>0</v>
      </c>
      <c r="P322" s="516">
        <f t="shared" si="166"/>
        <v>0</v>
      </c>
      <c r="Q322" s="516">
        <f t="shared" si="166"/>
        <v>0</v>
      </c>
      <c r="R322" s="516">
        <f t="shared" si="166"/>
        <v>0</v>
      </c>
      <c r="S322" s="516">
        <f t="shared" si="166"/>
        <v>0</v>
      </c>
      <c r="T322" s="516">
        <f t="shared" si="166"/>
        <v>0</v>
      </c>
      <c r="U322" s="516">
        <f t="shared" si="166"/>
        <v>0</v>
      </c>
      <c r="V322" s="516">
        <f t="shared" si="166"/>
        <v>0</v>
      </c>
      <c r="W322" s="516">
        <f t="shared" si="166"/>
        <v>0</v>
      </c>
      <c r="X322" s="516">
        <f t="shared" si="166"/>
        <v>0</v>
      </c>
      <c r="Y322" s="516">
        <f t="shared" si="166"/>
        <v>0</v>
      </c>
      <c r="Z322" s="516">
        <f t="shared" si="166"/>
        <v>0</v>
      </c>
      <c r="AA322" s="516">
        <f t="shared" si="166"/>
        <v>0</v>
      </c>
      <c r="AB322" s="516">
        <f t="shared" si="166"/>
        <v>0</v>
      </c>
      <c r="AC322" s="516">
        <f t="shared" si="166"/>
        <v>0</v>
      </c>
      <c r="AD322" s="516">
        <f t="shared" si="166"/>
        <v>0</v>
      </c>
      <c r="AE322" s="516">
        <f t="shared" si="166"/>
        <v>0</v>
      </c>
      <c r="AF322" s="516">
        <f t="shared" si="166"/>
        <v>0</v>
      </c>
      <c r="AG322" s="516">
        <f t="shared" si="166"/>
        <v>0</v>
      </c>
      <c r="AH322" s="516">
        <f t="shared" si="166"/>
        <v>0</v>
      </c>
      <c r="AI322" s="516">
        <f t="shared" si="166"/>
        <v>0</v>
      </c>
      <c r="AJ322" s="516">
        <f t="shared" si="166"/>
        <v>0</v>
      </c>
      <c r="AK322" s="516">
        <f t="shared" si="166"/>
        <v>0</v>
      </c>
      <c r="AL322" s="516">
        <f t="shared" si="166"/>
        <v>0</v>
      </c>
      <c r="AM322" s="516">
        <f t="shared" si="166"/>
        <v>0</v>
      </c>
      <c r="AN322" s="516">
        <f t="shared" si="166"/>
        <v>0</v>
      </c>
      <c r="AO322" s="516">
        <f t="shared" si="166"/>
        <v>0</v>
      </c>
      <c r="AP322" s="501"/>
      <c r="AQ322" s="505"/>
      <c r="AR322" s="505"/>
      <c r="AS322" s="505"/>
      <c r="AT322" s="505"/>
      <c r="AU322" s="505"/>
      <c r="AV322" s="510"/>
      <c r="AW322" s="452"/>
    </row>
    <row r="323" spans="1:49" hidden="1">
      <c r="A323" s="141"/>
      <c r="B323" s="517"/>
      <c r="C323" s="496" t="s">
        <v>1341</v>
      </c>
      <c r="D323" s="516">
        <f t="shared" ref="D323:AO323" si="167">IF(ISERR(GETPIVOTDATA("[Measures].[" &amp; MDContractCurrency &amp; "]",TRIMARANmonthly,"[Period].[Month]","[Period].[Month].&amp;["&amp;IF(MONTH(D$14)=1,YEAR(D$14)-1&amp;TEXT(12,"00"),YEAR(D$14)&amp;TEXT(MONTH(D$14)-1,"00"))&amp;"]","[Order].[Position Number]","[Order].[Position Number].&amp;["&amp;$B325&amp;"]")),0,GETPIVOTDATA("[Measures].[" &amp; MDContractCurrency &amp; "]",TRIMARANmonthly,"[Period].[Month]","[Period].[Month].&amp;["&amp;IF(MONTH(D$14)=1,YEAR(D$14)-1&amp;TEXT(12,"00"),YEAR(D$14)&amp;TEXT(MONTH(D$14)-1,"00"))&amp;"]","[Order].[Position Number]","[Order].[Position Number].&amp;["&amp;$B325&amp;"]"))</f>
        <v>0</v>
      </c>
      <c r="E323" s="516">
        <f t="shared" si="167"/>
        <v>0</v>
      </c>
      <c r="F323" s="516">
        <f t="shared" si="167"/>
        <v>0</v>
      </c>
      <c r="G323" s="516">
        <f t="shared" si="167"/>
        <v>0</v>
      </c>
      <c r="H323" s="516">
        <f t="shared" si="167"/>
        <v>0</v>
      </c>
      <c r="I323" s="516">
        <f t="shared" si="167"/>
        <v>0</v>
      </c>
      <c r="J323" s="516">
        <f t="shared" si="167"/>
        <v>0</v>
      </c>
      <c r="K323" s="516">
        <f t="shared" si="167"/>
        <v>0</v>
      </c>
      <c r="L323" s="516">
        <f t="shared" si="167"/>
        <v>0</v>
      </c>
      <c r="M323" s="516">
        <f t="shared" si="167"/>
        <v>0</v>
      </c>
      <c r="N323" s="516">
        <f t="shared" si="167"/>
        <v>0</v>
      </c>
      <c r="O323" s="516">
        <f t="shared" si="167"/>
        <v>0</v>
      </c>
      <c r="P323" s="516">
        <f t="shared" si="167"/>
        <v>0</v>
      </c>
      <c r="Q323" s="516">
        <f t="shared" si="167"/>
        <v>0</v>
      </c>
      <c r="R323" s="516">
        <f t="shared" si="167"/>
        <v>0</v>
      </c>
      <c r="S323" s="516">
        <f t="shared" si="167"/>
        <v>0</v>
      </c>
      <c r="T323" s="516">
        <f t="shared" si="167"/>
        <v>0</v>
      </c>
      <c r="U323" s="516">
        <f t="shared" si="167"/>
        <v>0</v>
      </c>
      <c r="V323" s="516">
        <f t="shared" si="167"/>
        <v>0</v>
      </c>
      <c r="W323" s="516">
        <f t="shared" si="167"/>
        <v>0</v>
      </c>
      <c r="X323" s="516">
        <f t="shared" si="167"/>
        <v>0</v>
      </c>
      <c r="Y323" s="516">
        <f t="shared" si="167"/>
        <v>0</v>
      </c>
      <c r="Z323" s="516">
        <f t="shared" si="167"/>
        <v>0</v>
      </c>
      <c r="AA323" s="516">
        <f t="shared" si="167"/>
        <v>0</v>
      </c>
      <c r="AB323" s="516">
        <f t="shared" si="167"/>
        <v>0</v>
      </c>
      <c r="AC323" s="516">
        <f t="shared" si="167"/>
        <v>0</v>
      </c>
      <c r="AD323" s="516">
        <f t="shared" si="167"/>
        <v>0</v>
      </c>
      <c r="AE323" s="516">
        <f t="shared" si="167"/>
        <v>0</v>
      </c>
      <c r="AF323" s="516">
        <f t="shared" si="167"/>
        <v>0</v>
      </c>
      <c r="AG323" s="516">
        <f t="shared" si="167"/>
        <v>0</v>
      </c>
      <c r="AH323" s="516">
        <f t="shared" si="167"/>
        <v>0</v>
      </c>
      <c r="AI323" s="516">
        <f t="shared" si="167"/>
        <v>0</v>
      </c>
      <c r="AJ323" s="516">
        <f t="shared" si="167"/>
        <v>0</v>
      </c>
      <c r="AK323" s="516">
        <f t="shared" si="167"/>
        <v>0</v>
      </c>
      <c r="AL323" s="516">
        <f t="shared" si="167"/>
        <v>0</v>
      </c>
      <c r="AM323" s="516">
        <f t="shared" si="167"/>
        <v>0</v>
      </c>
      <c r="AN323" s="516">
        <f t="shared" si="167"/>
        <v>0</v>
      </c>
      <c r="AO323" s="516">
        <f t="shared" si="167"/>
        <v>0</v>
      </c>
      <c r="AP323" s="501"/>
      <c r="AQ323" s="505"/>
      <c r="AR323" s="505"/>
      <c r="AS323" s="505"/>
      <c r="AT323" s="505"/>
      <c r="AU323" s="505"/>
      <c r="AV323" s="510"/>
      <c r="AW323" s="452"/>
    </row>
    <row r="324" spans="1:49">
      <c r="A324" s="477"/>
      <c r="B324" s="483"/>
      <c r="C324" s="496"/>
      <c r="D324" s="496"/>
      <c r="E324" s="496"/>
      <c r="F324" s="496"/>
      <c r="G324" s="496"/>
      <c r="H324" s="496"/>
      <c r="I324" s="496"/>
      <c r="J324" s="496"/>
      <c r="K324" s="496"/>
      <c r="L324" s="496"/>
      <c r="M324" s="496"/>
      <c r="N324" s="496"/>
      <c r="O324" s="496"/>
      <c r="P324" s="496"/>
      <c r="Q324" s="496"/>
      <c r="R324" s="496"/>
      <c r="S324" s="496"/>
      <c r="T324" s="496"/>
      <c r="U324" s="496"/>
      <c r="V324" s="496"/>
      <c r="W324" s="496"/>
      <c r="X324" s="496"/>
      <c r="Y324" s="496"/>
      <c r="Z324" s="496"/>
      <c r="AA324" s="496"/>
      <c r="AB324" s="496"/>
      <c r="AC324" s="496"/>
      <c r="AD324" s="496"/>
      <c r="AE324" s="496"/>
      <c r="AF324" s="496"/>
      <c r="AG324" s="496"/>
      <c r="AH324" s="496"/>
      <c r="AI324" s="496"/>
      <c r="AJ324" s="496"/>
      <c r="AK324" s="496"/>
      <c r="AL324" s="496"/>
      <c r="AM324" s="496"/>
      <c r="AN324" s="496"/>
      <c r="AO324" s="496"/>
      <c r="AP324" s="501"/>
      <c r="AQ324" s="505"/>
      <c r="AR324" s="505"/>
      <c r="AS324" s="505"/>
      <c r="AT324" s="505"/>
      <c r="AU324" s="505"/>
      <c r="AV324" s="510"/>
      <c r="AW324" s="452"/>
    </row>
    <row r="325" spans="1:49">
      <c r="A325" s="1183" t="str">
        <f>'Delivery Calculation'!B40 &amp; CHAR(10) &amp; 'Delivery Calculation'!P40 &amp; " - " &amp; 'Delivery Calculation'!Q40</f>
        <v xml:space="preserve">0
 - </v>
      </c>
      <c r="B325" s="1180">
        <f>'Delivery Calculation'!A40</f>
        <v>0</v>
      </c>
      <c r="C325" s="499" t="s">
        <v>630</v>
      </c>
      <c r="D325" s="518">
        <f>'Delivery Calculation'!M221</f>
        <v>0</v>
      </c>
      <c r="E325" s="518">
        <f>'Delivery Calculation'!N221</f>
        <v>0</v>
      </c>
      <c r="F325" s="518">
        <f>'Delivery Calculation'!O221</f>
        <v>0</v>
      </c>
      <c r="G325" s="518">
        <f>'Delivery Calculation'!P221</f>
        <v>0</v>
      </c>
      <c r="H325" s="518">
        <f>'Delivery Calculation'!Q221</f>
        <v>0</v>
      </c>
      <c r="I325" s="518">
        <f>'Delivery Calculation'!R221</f>
        <v>0</v>
      </c>
      <c r="J325" s="518">
        <f>'Delivery Calculation'!S221</f>
        <v>0</v>
      </c>
      <c r="K325" s="518">
        <f>'Delivery Calculation'!T221</f>
        <v>0</v>
      </c>
      <c r="L325" s="518">
        <f>'Delivery Calculation'!U221</f>
        <v>0</v>
      </c>
      <c r="M325" s="518">
        <f>'Delivery Calculation'!V221</f>
        <v>0</v>
      </c>
      <c r="N325" s="518">
        <f>'Delivery Calculation'!W221</f>
        <v>0</v>
      </c>
      <c r="O325" s="518">
        <f>'Delivery Calculation'!X221</f>
        <v>0</v>
      </c>
      <c r="P325" s="518">
        <f>'Delivery Calculation'!Y221</f>
        <v>0</v>
      </c>
      <c r="Q325" s="518">
        <f>'Delivery Calculation'!Z221</f>
        <v>0</v>
      </c>
      <c r="R325" s="518">
        <f>'Delivery Calculation'!AA221</f>
        <v>0</v>
      </c>
      <c r="S325" s="518">
        <f>'Delivery Calculation'!AB221</f>
        <v>0</v>
      </c>
      <c r="T325" s="518">
        <f>'Delivery Calculation'!AC221</f>
        <v>0</v>
      </c>
      <c r="U325" s="518">
        <f>'Delivery Calculation'!AD221</f>
        <v>0</v>
      </c>
      <c r="V325" s="518">
        <f>'Delivery Calculation'!AE221</f>
        <v>0</v>
      </c>
      <c r="W325" s="518">
        <f>'Delivery Calculation'!AF221</f>
        <v>0</v>
      </c>
      <c r="X325" s="518">
        <f>'Delivery Calculation'!AG221</f>
        <v>0</v>
      </c>
      <c r="Y325" s="518">
        <f>'Delivery Calculation'!AH221</f>
        <v>0</v>
      </c>
      <c r="Z325" s="518">
        <f>'Delivery Calculation'!AI221</f>
        <v>0</v>
      </c>
      <c r="AA325" s="518">
        <f>'Delivery Calculation'!AJ221</f>
        <v>0</v>
      </c>
      <c r="AB325" s="518">
        <f>'Delivery Calculation'!AK221</f>
        <v>0</v>
      </c>
      <c r="AC325" s="518">
        <f>'Delivery Calculation'!AL221</f>
        <v>0</v>
      </c>
      <c r="AD325" s="518">
        <f>'Delivery Calculation'!AM221</f>
        <v>0</v>
      </c>
      <c r="AE325" s="518">
        <f>'Delivery Calculation'!AN221</f>
        <v>0</v>
      </c>
      <c r="AF325" s="518">
        <f>'Delivery Calculation'!AO221</f>
        <v>0</v>
      </c>
      <c r="AG325" s="518">
        <f>'Delivery Calculation'!AP221</f>
        <v>0</v>
      </c>
      <c r="AH325" s="518">
        <f>'Delivery Calculation'!AQ221</f>
        <v>0</v>
      </c>
      <c r="AI325" s="518">
        <f>'Delivery Calculation'!AR221</f>
        <v>0</v>
      </c>
      <c r="AJ325" s="518">
        <f>'Delivery Calculation'!AS221</f>
        <v>0</v>
      </c>
      <c r="AK325" s="518">
        <f>'Delivery Calculation'!AT221</f>
        <v>0</v>
      </c>
      <c r="AL325" s="518">
        <f>'Delivery Calculation'!AU221</f>
        <v>0</v>
      </c>
      <c r="AM325" s="518">
        <f>'Delivery Calculation'!AV221</f>
        <v>0</v>
      </c>
      <c r="AN325" s="518">
        <f>'Delivery Calculation'!AW221</f>
        <v>0</v>
      </c>
      <c r="AO325" s="518">
        <f>'Delivery Calculation'!AX221</f>
        <v>0</v>
      </c>
      <c r="AP325" s="501"/>
      <c r="AQ325" s="519">
        <f>IF(COUNTIF($D$15:$AO$15, TMDPeriodValueTypeReported)&gt;0, INDEX(D325:AO325,1,COUNTIF(D$15:$AO$15,TMDPeriodValueTypeReported)),0)</f>
        <v>0</v>
      </c>
      <c r="AR325" s="519"/>
      <c r="AS325" s="520">
        <f>'Delivery Calculation'!N40</f>
        <v>0</v>
      </c>
      <c r="AT325" s="519">
        <f>AQ325*'Delivery Calculation'!N40</f>
        <v>0</v>
      </c>
      <c r="AU325" s="521" t="s">
        <v>522</v>
      </c>
      <c r="AV325" s="510"/>
      <c r="AW325" s="452"/>
    </row>
    <row r="326" spans="1:49">
      <c r="A326" s="1184"/>
      <c r="B326" s="1181"/>
      <c r="C326" s="499" t="s">
        <v>631</v>
      </c>
      <c r="D326" s="509">
        <f>IF(D$15=TMDPeriodValueTypeForecast,IF('Delivery Calculation'!$H$40=TMDAllocationTandM,0,'Delivery Calculation'!M150),IF(MDReportingPeriod=TMDMonthly,D320,IF(MDReportingPeriod=TMDTwoweekly,D319,D318)))</f>
        <v>0</v>
      </c>
      <c r="E326" s="509">
        <f>IF(E$15=TMDPeriodValueTypeForecast,IF('Delivery Calculation'!$H$40=TMDAllocationTandM,0,'Delivery Calculation'!N150),IF(MDReportingPeriod=TMDMonthly,E320,IF(MDReportingPeriod=TMDTwoweekly,E319,E318)))</f>
        <v>0</v>
      </c>
      <c r="F326" s="509">
        <f>IF(F$15=TMDPeriodValueTypeForecast,IF('Delivery Calculation'!$H$40=TMDAllocationTandM,0,'Delivery Calculation'!O150),IF(MDReportingPeriod=TMDMonthly,F320,IF(MDReportingPeriod=TMDTwoweekly,F319,F318)))</f>
        <v>0</v>
      </c>
      <c r="G326" s="509">
        <f>IF(G$15=TMDPeriodValueTypeForecast,IF('Delivery Calculation'!$H$40=TMDAllocationTandM,0,'Delivery Calculation'!P150),IF(MDReportingPeriod=TMDMonthly,G320,IF(MDReportingPeriod=TMDTwoweekly,G319,G318)))</f>
        <v>0</v>
      </c>
      <c r="H326" s="509">
        <f>IF(H$15=TMDPeriodValueTypeForecast,IF('Delivery Calculation'!$H$40=TMDAllocationTandM,0,'Delivery Calculation'!Q150),IF(MDReportingPeriod=TMDMonthly,H320,IF(MDReportingPeriod=TMDTwoweekly,H319,H318)))</f>
        <v>0</v>
      </c>
      <c r="I326" s="509">
        <f>IF(I$15=TMDPeriodValueTypeForecast,IF('Delivery Calculation'!$H$40=TMDAllocationTandM,0,'Delivery Calculation'!R150),IF(MDReportingPeriod=TMDMonthly,I320,IF(MDReportingPeriod=TMDTwoweekly,I319,I318)))</f>
        <v>0</v>
      </c>
      <c r="J326" s="509">
        <f>IF(J$15=TMDPeriodValueTypeForecast,IF('Delivery Calculation'!$H$40=TMDAllocationTandM,0,'Delivery Calculation'!S150),IF(MDReportingPeriod=TMDMonthly,J320,IF(MDReportingPeriod=TMDTwoweekly,J319,J318)))</f>
        <v>0</v>
      </c>
      <c r="K326" s="509">
        <f>IF(K$15=TMDPeriodValueTypeForecast,IF('Delivery Calculation'!$H$40=TMDAllocationTandM,0,'Delivery Calculation'!T150),IF(MDReportingPeriod=TMDMonthly,K320,IF(MDReportingPeriod=TMDTwoweekly,K319,K318)))</f>
        <v>0</v>
      </c>
      <c r="L326" s="509">
        <f>IF(L$15=TMDPeriodValueTypeForecast,IF('Delivery Calculation'!$H$40=TMDAllocationTandM,0,'Delivery Calculation'!U150),IF(MDReportingPeriod=TMDMonthly,L320,IF(MDReportingPeriod=TMDTwoweekly,L319,L318)))</f>
        <v>0</v>
      </c>
      <c r="M326" s="509">
        <f>IF(M$15=TMDPeriodValueTypeForecast,IF('Delivery Calculation'!$H$40=TMDAllocationTandM,0,'Delivery Calculation'!V150),IF(MDReportingPeriod=TMDMonthly,M320,IF(MDReportingPeriod=TMDTwoweekly,M319,M318)))</f>
        <v>0</v>
      </c>
      <c r="N326" s="509">
        <f>IF(N$15=TMDPeriodValueTypeForecast,IF('Delivery Calculation'!$H$40=TMDAllocationTandM,0,'Delivery Calculation'!W150),IF(MDReportingPeriod=TMDMonthly,N320,IF(MDReportingPeriod=TMDTwoweekly,N319,N318)))</f>
        <v>0</v>
      </c>
      <c r="O326" s="509">
        <f>IF(O$15=TMDPeriodValueTypeForecast,IF('Delivery Calculation'!$H$40=TMDAllocationTandM,0,'Delivery Calculation'!X150),IF(MDReportingPeriod=TMDMonthly,O320,IF(MDReportingPeriod=TMDTwoweekly,O319,O318)))</f>
        <v>0</v>
      </c>
      <c r="P326" s="509">
        <f>IF(P$15=TMDPeriodValueTypeForecast,IF('Delivery Calculation'!$H$40=TMDAllocationTandM,0,'Delivery Calculation'!Y150),IF(MDReportingPeriod=TMDMonthly,P320,IF(MDReportingPeriod=TMDTwoweekly,P319,P318)))</f>
        <v>0</v>
      </c>
      <c r="Q326" s="509">
        <f>IF(Q$15=TMDPeriodValueTypeForecast,IF('Delivery Calculation'!$H$40=TMDAllocationTandM,0,'Delivery Calculation'!Z150),IF(MDReportingPeriod=TMDMonthly,Q320,IF(MDReportingPeriod=TMDTwoweekly,Q319,Q318)))</f>
        <v>0</v>
      </c>
      <c r="R326" s="509">
        <f>IF(R$15=TMDPeriodValueTypeForecast,IF('Delivery Calculation'!$H$40=TMDAllocationTandM,0,'Delivery Calculation'!AA150),IF(MDReportingPeriod=TMDMonthly,R320,IF(MDReportingPeriod=TMDTwoweekly,R319,R318)))</f>
        <v>0</v>
      </c>
      <c r="S326" s="509">
        <f>IF(S$15=TMDPeriodValueTypeForecast,IF('Delivery Calculation'!$H$40=TMDAllocationTandM,0,'Delivery Calculation'!AB150),IF(MDReportingPeriod=TMDMonthly,S320,IF(MDReportingPeriod=TMDTwoweekly,S319,S318)))</f>
        <v>0</v>
      </c>
      <c r="T326" s="509">
        <f>IF(T$15=TMDPeriodValueTypeForecast,IF('Delivery Calculation'!$H$40=TMDAllocationTandM,0,'Delivery Calculation'!AC150),IF(MDReportingPeriod=TMDMonthly,T320,IF(MDReportingPeriod=TMDTwoweekly,T319,T318)))</f>
        <v>0</v>
      </c>
      <c r="U326" s="509">
        <f>IF(U$15=TMDPeriodValueTypeForecast,IF('Delivery Calculation'!$H$40=TMDAllocationTandM,0,'Delivery Calculation'!AD150),IF(MDReportingPeriod=TMDMonthly,U320,IF(MDReportingPeriod=TMDTwoweekly,U319,U318)))</f>
        <v>0</v>
      </c>
      <c r="V326" s="509">
        <f>IF(V$15=TMDPeriodValueTypeForecast,IF('Delivery Calculation'!$H$40=TMDAllocationTandM,0,'Delivery Calculation'!AE150),IF(MDReportingPeriod=TMDMonthly,V320,IF(MDReportingPeriod=TMDTwoweekly,V319,V318)))</f>
        <v>0</v>
      </c>
      <c r="W326" s="509">
        <f>IF(W$15=TMDPeriodValueTypeForecast,IF('Delivery Calculation'!$H$40=TMDAllocationTandM,0,'Delivery Calculation'!AF150),IF(MDReportingPeriod=TMDMonthly,W320,IF(MDReportingPeriod=TMDTwoweekly,W319,W318)))</f>
        <v>0</v>
      </c>
      <c r="X326" s="509">
        <f>IF(X$15=TMDPeriodValueTypeForecast,IF('Delivery Calculation'!$H$40=TMDAllocationTandM,0,'Delivery Calculation'!AG150),IF(MDReportingPeriod=TMDMonthly,X320,IF(MDReportingPeriod=TMDTwoweekly,X319,X318)))</f>
        <v>0</v>
      </c>
      <c r="Y326" s="509">
        <f>IF(Y$15=TMDPeriodValueTypeForecast,IF('Delivery Calculation'!$H$40=TMDAllocationTandM,0,'Delivery Calculation'!AH150),IF(MDReportingPeriod=TMDMonthly,Y320,IF(MDReportingPeriod=TMDTwoweekly,Y319,Y318)))</f>
        <v>0</v>
      </c>
      <c r="Z326" s="509">
        <f>IF(Z$15=TMDPeriodValueTypeForecast,IF('Delivery Calculation'!$H$40=TMDAllocationTandM,0,'Delivery Calculation'!AI150),IF(MDReportingPeriod=TMDMonthly,Z320,IF(MDReportingPeriod=TMDTwoweekly,Z319,Z318)))</f>
        <v>0</v>
      </c>
      <c r="AA326" s="509">
        <f>IF(AA$15=TMDPeriodValueTypeForecast,IF('Delivery Calculation'!$H$40=TMDAllocationTandM,0,'Delivery Calculation'!AJ150),IF(MDReportingPeriod=TMDMonthly,AA320,IF(MDReportingPeriod=TMDTwoweekly,AA319,AA318)))</f>
        <v>0</v>
      </c>
      <c r="AB326" s="509">
        <f>IF(AB$15=TMDPeriodValueTypeForecast,IF('Delivery Calculation'!$H$40=TMDAllocationTandM,0,'Delivery Calculation'!AK150),IF(MDReportingPeriod=TMDMonthly,AB320,IF(MDReportingPeriod=TMDTwoweekly,AB319,AB318)))</f>
        <v>0</v>
      </c>
      <c r="AC326" s="509">
        <f>IF(AC$15=TMDPeriodValueTypeForecast,IF('Delivery Calculation'!$H$40=TMDAllocationTandM,0,'Delivery Calculation'!AL150),IF(MDReportingPeriod=TMDMonthly,AC320,IF(MDReportingPeriod=TMDTwoweekly,AC319,AC318)))</f>
        <v>0</v>
      </c>
      <c r="AD326" s="509">
        <f>IF(AD$15=TMDPeriodValueTypeForecast,IF('Delivery Calculation'!$H$40=TMDAllocationTandM,0,'Delivery Calculation'!AM150),IF(MDReportingPeriod=TMDMonthly,AD320,IF(MDReportingPeriod=TMDTwoweekly,AD319,AD318)))</f>
        <v>0</v>
      </c>
      <c r="AE326" s="509">
        <f>IF(AE$15=TMDPeriodValueTypeForecast,IF('Delivery Calculation'!$H$40=TMDAllocationTandM,0,'Delivery Calculation'!AN150),IF(MDReportingPeriod=TMDMonthly,AE320,IF(MDReportingPeriod=TMDTwoweekly,AE319,AE318)))</f>
        <v>0</v>
      </c>
      <c r="AF326" s="509">
        <f>IF(AF$15=TMDPeriodValueTypeForecast,IF('Delivery Calculation'!$H$40=TMDAllocationTandM,0,'Delivery Calculation'!AO150),IF(MDReportingPeriod=TMDMonthly,AF320,IF(MDReportingPeriod=TMDTwoweekly,AF319,AF318)))</f>
        <v>0</v>
      </c>
      <c r="AG326" s="509">
        <f>IF(AG$15=TMDPeriodValueTypeForecast,IF('Delivery Calculation'!$H$40=TMDAllocationTandM,0,'Delivery Calculation'!AP150),IF(MDReportingPeriod=TMDMonthly,AG320,IF(MDReportingPeriod=TMDTwoweekly,AG319,AG318)))</f>
        <v>0</v>
      </c>
      <c r="AH326" s="509">
        <f>IF(AH$15=TMDPeriodValueTypeForecast,IF('Delivery Calculation'!$H$40=TMDAllocationTandM,0,'Delivery Calculation'!AQ150),IF(MDReportingPeriod=TMDMonthly,AH320,IF(MDReportingPeriod=TMDTwoweekly,AH319,AH318)))</f>
        <v>0</v>
      </c>
      <c r="AI326" s="509">
        <f>IF(AI$15=TMDPeriodValueTypeForecast,IF('Delivery Calculation'!$H$40=TMDAllocationTandM,0,'Delivery Calculation'!AR150),IF(MDReportingPeriod=TMDMonthly,AI320,IF(MDReportingPeriod=TMDTwoweekly,AI319,AI318)))</f>
        <v>0</v>
      </c>
      <c r="AJ326" s="509">
        <f>IF(AJ$15=TMDPeriodValueTypeForecast,IF('Delivery Calculation'!$H$40=TMDAllocationTandM,0,'Delivery Calculation'!AS150),IF(MDReportingPeriod=TMDMonthly,AJ320,IF(MDReportingPeriod=TMDTwoweekly,AJ319,AJ318)))</f>
        <v>0</v>
      </c>
      <c r="AK326" s="509">
        <f>IF(AK$15=TMDPeriodValueTypeForecast,IF('Delivery Calculation'!$H$40=TMDAllocationTandM,0,'Delivery Calculation'!AT150),IF(MDReportingPeriod=TMDMonthly,AK320,IF(MDReportingPeriod=TMDTwoweekly,AK319,AK318)))</f>
        <v>0</v>
      </c>
      <c r="AL326" s="509">
        <f>IF(AL$15=TMDPeriodValueTypeForecast,IF('Delivery Calculation'!$H$40=TMDAllocationTandM,0,'Delivery Calculation'!AU150),IF(MDReportingPeriod=TMDMonthly,AL320,IF(MDReportingPeriod=TMDTwoweekly,AL319,AL318)))</f>
        <v>0</v>
      </c>
      <c r="AM326" s="509">
        <f>IF(AM$15=TMDPeriodValueTypeForecast,IF('Delivery Calculation'!$H$40=TMDAllocationTandM,0,'Delivery Calculation'!AV150),IF(MDReportingPeriod=TMDMonthly,AM320,IF(MDReportingPeriod=TMDTwoweekly,AM319,AM318)))</f>
        <v>0</v>
      </c>
      <c r="AN326" s="509">
        <f>IF(AN$15=TMDPeriodValueTypeForecast,IF('Delivery Calculation'!$H$40=TMDAllocationTandM,0,'Delivery Calculation'!AW150),IF(MDReportingPeriod=TMDMonthly,AN320,IF(MDReportingPeriod=TMDTwoweekly,AN319,AN318)))</f>
        <v>0</v>
      </c>
      <c r="AO326" s="509">
        <f>IF(AO$15=TMDPeriodValueTypeForecast,IF('Delivery Calculation'!$H$40=TMDAllocationTandM,0,'Delivery Calculation'!AX150),IF(MDReportingPeriod=TMDMonthly,AO320,IF(MDReportingPeriod=TMDTwoweekly,AO319,AO318)))</f>
        <v>0</v>
      </c>
      <c r="AP326" s="501"/>
      <c r="AQ326" s="505">
        <f>SUMIF($D$15:$AO$15,TMDPeriodValueTypeReported,D326:AO326)</f>
        <v>0</v>
      </c>
      <c r="AR326" s="505">
        <f>SUMIF($D$15:$AO$15,TMDPeriodValueTypeForecast,D326:AO326)</f>
        <v>0</v>
      </c>
      <c r="AS326" s="523">
        <f>'Delivery Calculation'!J40</f>
        <v>0</v>
      </c>
      <c r="AT326" s="505">
        <f>AS326-(AQ326+AR326)</f>
        <v>0</v>
      </c>
      <c r="AU326" s="505"/>
      <c r="AV326" s="510"/>
      <c r="AW326" s="452"/>
    </row>
    <row r="327" spans="1:49">
      <c r="A327" s="1184"/>
      <c r="B327" s="1181"/>
      <c r="C327" s="499" t="s">
        <v>632</v>
      </c>
      <c r="D327" s="509">
        <f>IF(D$15=TMDPeriodValueTypeForecast,IF('Delivery Calculation'!$H$40=TMDAllocationTandM,0,'Delivery Calculation'!M114),IF(MDReportingPeriod=TMDMonthly,D323,IF(MDReportingPeriod=TMDTwoweekly,D322,D321)))</f>
        <v>0</v>
      </c>
      <c r="E327" s="509">
        <f>IF(E$15=TMDPeriodValueTypeForecast,IF('Delivery Calculation'!$H$40=TMDAllocationTandM,0,'Delivery Calculation'!N114),IF(MDReportingPeriod=TMDMonthly,E323,IF(MDReportingPeriod=TMDTwoweekly,E322,E321)))</f>
        <v>0</v>
      </c>
      <c r="F327" s="509">
        <f>IF(F$15=TMDPeriodValueTypeForecast,IF('Delivery Calculation'!$H$40=TMDAllocationTandM,0,'Delivery Calculation'!O114),IF(MDReportingPeriod=TMDMonthly,F323,IF(MDReportingPeriod=TMDTwoweekly,F322,F321)))</f>
        <v>0</v>
      </c>
      <c r="G327" s="509">
        <f>IF(G$15=TMDPeriodValueTypeForecast,IF('Delivery Calculation'!$H$40=TMDAllocationTandM,0,'Delivery Calculation'!P114),IF(MDReportingPeriod=TMDMonthly,G323,IF(MDReportingPeriod=TMDTwoweekly,G322,G321)))</f>
        <v>0</v>
      </c>
      <c r="H327" s="509">
        <f>IF(H$15=TMDPeriodValueTypeForecast,IF('Delivery Calculation'!$H$40=TMDAllocationTandM,0,'Delivery Calculation'!Q114),IF(MDReportingPeriod=TMDMonthly,H323,IF(MDReportingPeriod=TMDTwoweekly,H322,H321)))</f>
        <v>0</v>
      </c>
      <c r="I327" s="509">
        <f>IF(I$15=TMDPeriodValueTypeForecast,IF('Delivery Calculation'!$H$40=TMDAllocationTandM,0,'Delivery Calculation'!R114),IF(MDReportingPeriod=TMDMonthly,I323,IF(MDReportingPeriod=TMDTwoweekly,I322,I321)))</f>
        <v>0</v>
      </c>
      <c r="J327" s="509">
        <f>IF(J$15=TMDPeriodValueTypeForecast,IF('Delivery Calculation'!$H$40=TMDAllocationTandM,0,'Delivery Calculation'!S114),IF(MDReportingPeriod=TMDMonthly,J323,IF(MDReportingPeriod=TMDTwoweekly,J322,J321)))</f>
        <v>0</v>
      </c>
      <c r="K327" s="509">
        <f>IF(K$15=TMDPeriodValueTypeForecast,IF('Delivery Calculation'!$H$40=TMDAllocationTandM,0,'Delivery Calculation'!T114),IF(MDReportingPeriod=TMDMonthly,K323,IF(MDReportingPeriod=TMDTwoweekly,K322,K321)))</f>
        <v>0</v>
      </c>
      <c r="L327" s="509">
        <f>IF(L$15=TMDPeriodValueTypeForecast,IF('Delivery Calculation'!$H$40=TMDAllocationTandM,0,'Delivery Calculation'!U114),IF(MDReportingPeriod=TMDMonthly,L323,IF(MDReportingPeriod=TMDTwoweekly,L322,L321)))</f>
        <v>0</v>
      </c>
      <c r="M327" s="509">
        <f>IF(M$15=TMDPeriodValueTypeForecast,IF('Delivery Calculation'!$H$40=TMDAllocationTandM,0,'Delivery Calculation'!V114),IF(MDReportingPeriod=TMDMonthly,M323,IF(MDReportingPeriod=TMDTwoweekly,M322,M321)))</f>
        <v>0</v>
      </c>
      <c r="N327" s="509">
        <f>IF(N$15=TMDPeriodValueTypeForecast,IF('Delivery Calculation'!$H$40=TMDAllocationTandM,0,'Delivery Calculation'!W114),IF(MDReportingPeriod=TMDMonthly,N323,IF(MDReportingPeriod=TMDTwoweekly,N322,N321)))</f>
        <v>0</v>
      </c>
      <c r="O327" s="509">
        <f>IF(O$15=TMDPeriodValueTypeForecast,IF('Delivery Calculation'!$H$40=TMDAllocationTandM,0,'Delivery Calculation'!X114),IF(MDReportingPeriod=TMDMonthly,O323,IF(MDReportingPeriod=TMDTwoweekly,O322,O321)))</f>
        <v>0</v>
      </c>
      <c r="P327" s="509">
        <f>IF(P$15=TMDPeriodValueTypeForecast,IF('Delivery Calculation'!$H$40=TMDAllocationTandM,0,'Delivery Calculation'!Y114),IF(MDReportingPeriod=TMDMonthly,P323,IF(MDReportingPeriod=TMDTwoweekly,P322,P321)))</f>
        <v>0</v>
      </c>
      <c r="Q327" s="509">
        <f>IF(Q$15=TMDPeriodValueTypeForecast,IF('Delivery Calculation'!$H$40=TMDAllocationTandM,0,'Delivery Calculation'!Z114),IF(MDReportingPeriod=TMDMonthly,Q323,IF(MDReportingPeriod=TMDTwoweekly,Q322,Q321)))</f>
        <v>0</v>
      </c>
      <c r="R327" s="509">
        <f>IF(R$15=TMDPeriodValueTypeForecast,IF('Delivery Calculation'!$H$40=TMDAllocationTandM,0,'Delivery Calculation'!AA114),IF(MDReportingPeriod=TMDMonthly,R323,IF(MDReportingPeriod=TMDTwoweekly,R322,R321)))</f>
        <v>0</v>
      </c>
      <c r="S327" s="509">
        <f>IF(S$15=TMDPeriodValueTypeForecast,IF('Delivery Calculation'!$H$40=TMDAllocationTandM,0,'Delivery Calculation'!AB114),IF(MDReportingPeriod=TMDMonthly,S323,IF(MDReportingPeriod=TMDTwoweekly,S322,S321)))</f>
        <v>0</v>
      </c>
      <c r="T327" s="509">
        <f>IF(T$15=TMDPeriodValueTypeForecast,IF('Delivery Calculation'!$H$40=TMDAllocationTandM,0,'Delivery Calculation'!AC114),IF(MDReportingPeriod=TMDMonthly,T323,IF(MDReportingPeriod=TMDTwoweekly,T322,T321)))</f>
        <v>0</v>
      </c>
      <c r="U327" s="509">
        <f>IF(U$15=TMDPeriodValueTypeForecast,IF('Delivery Calculation'!$H$40=TMDAllocationTandM,0,'Delivery Calculation'!AD114),IF(MDReportingPeriod=TMDMonthly,U323,IF(MDReportingPeriod=TMDTwoweekly,U322,U321)))</f>
        <v>0</v>
      </c>
      <c r="V327" s="509">
        <f>IF(V$15=TMDPeriodValueTypeForecast,IF('Delivery Calculation'!$H$40=TMDAllocationTandM,0,'Delivery Calculation'!AE114),IF(MDReportingPeriod=TMDMonthly,V323,IF(MDReportingPeriod=TMDTwoweekly,V322,V321)))</f>
        <v>0</v>
      </c>
      <c r="W327" s="509">
        <f>IF(W$15=TMDPeriodValueTypeForecast,IF('Delivery Calculation'!$H$40=TMDAllocationTandM,0,'Delivery Calculation'!AF114),IF(MDReportingPeriod=TMDMonthly,W323,IF(MDReportingPeriod=TMDTwoweekly,W322,W321)))</f>
        <v>0</v>
      </c>
      <c r="X327" s="509">
        <f>IF(X$15=TMDPeriodValueTypeForecast,IF('Delivery Calculation'!$H$40=TMDAllocationTandM,0,'Delivery Calculation'!AG114),IF(MDReportingPeriod=TMDMonthly,X323,IF(MDReportingPeriod=TMDTwoweekly,X322,X321)))</f>
        <v>0</v>
      </c>
      <c r="Y327" s="509">
        <f>IF(Y$15=TMDPeriodValueTypeForecast,IF('Delivery Calculation'!$H$40=TMDAllocationTandM,0,'Delivery Calculation'!AH114),IF(MDReportingPeriod=TMDMonthly,Y323,IF(MDReportingPeriod=TMDTwoweekly,Y322,Y321)))</f>
        <v>0</v>
      </c>
      <c r="Z327" s="509">
        <f>IF(Z$15=TMDPeriodValueTypeForecast,IF('Delivery Calculation'!$H$40=TMDAllocationTandM,0,'Delivery Calculation'!AI114),IF(MDReportingPeriod=TMDMonthly,Z323,IF(MDReportingPeriod=TMDTwoweekly,Z322,Z321)))</f>
        <v>0</v>
      </c>
      <c r="AA327" s="509">
        <f>IF(AA$15=TMDPeriodValueTypeForecast,IF('Delivery Calculation'!$H$40=TMDAllocationTandM,0,'Delivery Calculation'!AJ114),IF(MDReportingPeriod=TMDMonthly,AA323,IF(MDReportingPeriod=TMDTwoweekly,AA322,AA321)))</f>
        <v>0</v>
      </c>
      <c r="AB327" s="509">
        <f>IF(AB$15=TMDPeriodValueTypeForecast,IF('Delivery Calculation'!$H$40=TMDAllocationTandM,0,'Delivery Calculation'!AK114),IF(MDReportingPeriod=TMDMonthly,AB323,IF(MDReportingPeriod=TMDTwoweekly,AB322,AB321)))</f>
        <v>0</v>
      </c>
      <c r="AC327" s="509">
        <f>IF(AC$15=TMDPeriodValueTypeForecast,IF('Delivery Calculation'!$H$40=TMDAllocationTandM,0,'Delivery Calculation'!AL114),IF(MDReportingPeriod=TMDMonthly,AC323,IF(MDReportingPeriod=TMDTwoweekly,AC322,AC321)))</f>
        <v>0</v>
      </c>
      <c r="AD327" s="509">
        <f>IF(AD$15=TMDPeriodValueTypeForecast,IF('Delivery Calculation'!$H$40=TMDAllocationTandM,0,'Delivery Calculation'!AM114),IF(MDReportingPeriod=TMDMonthly,AD323,IF(MDReportingPeriod=TMDTwoweekly,AD322,AD321)))</f>
        <v>0</v>
      </c>
      <c r="AE327" s="509">
        <f>IF(AE$15=TMDPeriodValueTypeForecast,IF('Delivery Calculation'!$H$40=TMDAllocationTandM,0,'Delivery Calculation'!AN114),IF(MDReportingPeriod=TMDMonthly,AE323,IF(MDReportingPeriod=TMDTwoweekly,AE322,AE321)))</f>
        <v>0</v>
      </c>
      <c r="AF327" s="509">
        <f>IF(AF$15=TMDPeriodValueTypeForecast,IF('Delivery Calculation'!$H$40=TMDAllocationTandM,0,'Delivery Calculation'!AO114),IF(MDReportingPeriod=TMDMonthly,AF323,IF(MDReportingPeriod=TMDTwoweekly,AF322,AF321)))</f>
        <v>0</v>
      </c>
      <c r="AG327" s="509">
        <f>IF(AG$15=TMDPeriodValueTypeForecast,IF('Delivery Calculation'!$H$40=TMDAllocationTandM,0,'Delivery Calculation'!AP114),IF(MDReportingPeriod=TMDMonthly,AG323,IF(MDReportingPeriod=TMDTwoweekly,AG322,AG321)))</f>
        <v>0</v>
      </c>
      <c r="AH327" s="509">
        <f>IF(AH$15=TMDPeriodValueTypeForecast,IF('Delivery Calculation'!$H$40=TMDAllocationTandM,0,'Delivery Calculation'!AQ114),IF(MDReportingPeriod=TMDMonthly,AH323,IF(MDReportingPeriod=TMDTwoweekly,AH322,AH321)))</f>
        <v>0</v>
      </c>
      <c r="AI327" s="509">
        <f>IF(AI$15=TMDPeriodValueTypeForecast,IF('Delivery Calculation'!$H$40=TMDAllocationTandM,0,'Delivery Calculation'!AR114),IF(MDReportingPeriod=TMDMonthly,AI323,IF(MDReportingPeriod=TMDTwoweekly,AI322,AI321)))</f>
        <v>0</v>
      </c>
      <c r="AJ327" s="509">
        <f>IF(AJ$15=TMDPeriodValueTypeForecast,IF('Delivery Calculation'!$H$40=TMDAllocationTandM,0,'Delivery Calculation'!AS114),IF(MDReportingPeriod=TMDMonthly,AJ323,IF(MDReportingPeriod=TMDTwoweekly,AJ322,AJ321)))</f>
        <v>0</v>
      </c>
      <c r="AK327" s="509">
        <f>IF(AK$15=TMDPeriodValueTypeForecast,IF('Delivery Calculation'!$H$40=TMDAllocationTandM,0,'Delivery Calculation'!AT114),IF(MDReportingPeriod=TMDMonthly,AK323,IF(MDReportingPeriod=TMDTwoweekly,AK322,AK321)))</f>
        <v>0</v>
      </c>
      <c r="AL327" s="509">
        <f>IF(AL$15=TMDPeriodValueTypeForecast,IF('Delivery Calculation'!$H$40=TMDAllocationTandM,0,'Delivery Calculation'!AU114),IF(MDReportingPeriod=TMDMonthly,AL323,IF(MDReportingPeriod=TMDTwoweekly,AL322,AL321)))</f>
        <v>0</v>
      </c>
      <c r="AM327" s="509">
        <f>IF(AM$15=TMDPeriodValueTypeForecast,IF('Delivery Calculation'!$H$40=TMDAllocationTandM,0,'Delivery Calculation'!AV114),IF(MDReportingPeriod=TMDMonthly,AM323,IF(MDReportingPeriod=TMDTwoweekly,AM322,AM321)))</f>
        <v>0</v>
      </c>
      <c r="AN327" s="509">
        <f>IF(AN$15=TMDPeriodValueTypeForecast,IF('Delivery Calculation'!$H$40=TMDAllocationTandM,0,'Delivery Calculation'!AW114),IF(MDReportingPeriod=TMDMonthly,AN323,IF(MDReportingPeriod=TMDTwoweekly,AN322,AN321)))</f>
        <v>0</v>
      </c>
      <c r="AO327" s="509">
        <f>IF(AO$15=TMDPeriodValueTypeForecast,IF('Delivery Calculation'!$H$40=TMDAllocationTandM,0,'Delivery Calculation'!AX114),IF(MDReportingPeriod=TMDMonthly,AO323,IF(MDReportingPeriod=TMDTwoweekly,AO322,AO321)))</f>
        <v>0</v>
      </c>
      <c r="AP327" s="501"/>
      <c r="AQ327" s="505">
        <f>SUMIF($D$15:$AO$15,TMDPeriodValueTypeReported,D327:AO327)</f>
        <v>0</v>
      </c>
      <c r="AR327" s="505">
        <f>SUMIF($D$15:$AO$15,TMDPeriodValueTypeForecast,D327:AO327)</f>
        <v>0</v>
      </c>
      <c r="AS327" s="523">
        <f>'Delivery Calculation'!I40</f>
        <v>0</v>
      </c>
      <c r="AT327" s="505">
        <f>AS327-(AQ327+AR327)</f>
        <v>0</v>
      </c>
      <c r="AU327" s="505"/>
      <c r="AV327" s="510"/>
      <c r="AW327" s="452"/>
    </row>
    <row r="328" spans="1:49">
      <c r="A328" s="1185"/>
      <c r="B328" s="1182"/>
      <c r="C328" s="499" t="s">
        <v>633</v>
      </c>
      <c r="D328" s="509"/>
      <c r="E328" s="509"/>
      <c r="F328" s="509"/>
      <c r="G328" s="509"/>
      <c r="H328" s="509"/>
      <c r="I328" s="509"/>
      <c r="J328" s="509"/>
      <c r="K328" s="509"/>
      <c r="L328" s="509"/>
      <c r="M328" s="509"/>
      <c r="N328" s="509"/>
      <c r="O328" s="509"/>
      <c r="P328" s="509"/>
      <c r="Q328" s="509"/>
      <c r="R328" s="509"/>
      <c r="S328" s="509"/>
      <c r="T328" s="509"/>
      <c r="U328" s="509"/>
      <c r="V328" s="509"/>
      <c r="W328" s="509"/>
      <c r="X328" s="509"/>
      <c r="Y328" s="509"/>
      <c r="Z328" s="509"/>
      <c r="AA328" s="509"/>
      <c r="AB328" s="509"/>
      <c r="AC328" s="509"/>
      <c r="AD328" s="509"/>
      <c r="AE328" s="509"/>
      <c r="AF328" s="509"/>
      <c r="AG328" s="509"/>
      <c r="AH328" s="509"/>
      <c r="AI328" s="509"/>
      <c r="AJ328" s="509"/>
      <c r="AK328" s="509"/>
      <c r="AL328" s="509"/>
      <c r="AM328" s="509"/>
      <c r="AN328" s="509"/>
      <c r="AO328" s="509"/>
      <c r="AP328" s="501"/>
      <c r="AQ328" s="505">
        <f>SUMIF($D$15:$AO$15,TMDPeriodValueTypeReported,D328:AO328)</f>
        <v>0</v>
      </c>
      <c r="AR328" s="505">
        <f>SUMIF($D$15:$AO$15,TMDPeriodValueTypeForecast,D328:AO328)</f>
        <v>0</v>
      </c>
      <c r="AS328" s="505"/>
      <c r="AT328" s="505">
        <f>AQ328+AR328</f>
        <v>0</v>
      </c>
      <c r="AU328" s="505"/>
      <c r="AV328" s="510"/>
      <c r="AW328" s="452"/>
    </row>
    <row r="329" spans="1:49" hidden="1">
      <c r="A329" s="143"/>
      <c r="B329" s="483"/>
      <c r="C329" s="496" t="s">
        <v>1339</v>
      </c>
      <c r="D329" s="516">
        <f t="shared" ref="D329:AO329" si="168">IF(ISERR(GETPIVOTDATA("[Measures].[Hours]",TRIMARANweekly,"[Order].[Position Number]","[Order].[Position Number].&amp;[" &amp; $B336 &amp; "]","[Period].[Week]","[Period].[Week].&amp;[" &amp; YEAR(D$14-7) &amp; TEXT(WEEKNUM(D$14-7),"00") &amp; "]")),0,GETPIVOTDATA("[Measures].[Hours]",TRIMARANweekly,"[Order].[Position Number]","[Order].[Position Number].&amp;[" &amp; $B336 &amp; "]","[Period].[Week]","[Period].[Week].&amp;[" &amp; YEAR(D$14-7) &amp; TEXT(WEEKNUM(D$14-7),"00") &amp; "]"))</f>
        <v>0</v>
      </c>
      <c r="E329" s="516">
        <f t="shared" si="168"/>
        <v>0</v>
      </c>
      <c r="F329" s="516">
        <f t="shared" si="168"/>
        <v>0</v>
      </c>
      <c r="G329" s="516">
        <f t="shared" si="168"/>
        <v>0</v>
      </c>
      <c r="H329" s="516">
        <f t="shared" si="168"/>
        <v>0</v>
      </c>
      <c r="I329" s="516">
        <f t="shared" si="168"/>
        <v>0</v>
      </c>
      <c r="J329" s="516">
        <f t="shared" si="168"/>
        <v>0</v>
      </c>
      <c r="K329" s="516">
        <f t="shared" si="168"/>
        <v>0</v>
      </c>
      <c r="L329" s="516">
        <f t="shared" si="168"/>
        <v>0</v>
      </c>
      <c r="M329" s="516">
        <f t="shared" si="168"/>
        <v>0</v>
      </c>
      <c r="N329" s="516">
        <f t="shared" si="168"/>
        <v>0</v>
      </c>
      <c r="O329" s="516">
        <f t="shared" si="168"/>
        <v>0</v>
      </c>
      <c r="P329" s="516">
        <f t="shared" si="168"/>
        <v>0</v>
      </c>
      <c r="Q329" s="516">
        <f t="shared" si="168"/>
        <v>0</v>
      </c>
      <c r="R329" s="516">
        <f t="shared" si="168"/>
        <v>0</v>
      </c>
      <c r="S329" s="516">
        <f t="shared" si="168"/>
        <v>0</v>
      </c>
      <c r="T329" s="516">
        <f t="shared" si="168"/>
        <v>0</v>
      </c>
      <c r="U329" s="516">
        <f t="shared" si="168"/>
        <v>0</v>
      </c>
      <c r="V329" s="516">
        <f t="shared" si="168"/>
        <v>0</v>
      </c>
      <c r="W329" s="516">
        <f t="shared" si="168"/>
        <v>0</v>
      </c>
      <c r="X329" s="516">
        <f t="shared" si="168"/>
        <v>0</v>
      </c>
      <c r="Y329" s="516">
        <f t="shared" si="168"/>
        <v>0</v>
      </c>
      <c r="Z329" s="516">
        <f t="shared" si="168"/>
        <v>0</v>
      </c>
      <c r="AA329" s="516">
        <f t="shared" si="168"/>
        <v>0</v>
      </c>
      <c r="AB329" s="516">
        <f t="shared" si="168"/>
        <v>0</v>
      </c>
      <c r="AC329" s="516">
        <f t="shared" si="168"/>
        <v>0</v>
      </c>
      <c r="AD329" s="516">
        <f t="shared" si="168"/>
        <v>0</v>
      </c>
      <c r="AE329" s="516">
        <f t="shared" si="168"/>
        <v>0</v>
      </c>
      <c r="AF329" s="516">
        <f t="shared" si="168"/>
        <v>0</v>
      </c>
      <c r="AG329" s="516">
        <f t="shared" si="168"/>
        <v>0</v>
      </c>
      <c r="AH329" s="516">
        <f t="shared" si="168"/>
        <v>0</v>
      </c>
      <c r="AI329" s="516">
        <f t="shared" si="168"/>
        <v>0</v>
      </c>
      <c r="AJ329" s="516">
        <f t="shared" si="168"/>
        <v>0</v>
      </c>
      <c r="AK329" s="516">
        <f t="shared" si="168"/>
        <v>0</v>
      </c>
      <c r="AL329" s="516">
        <f t="shared" si="168"/>
        <v>0</v>
      </c>
      <c r="AM329" s="516">
        <f t="shared" si="168"/>
        <v>0</v>
      </c>
      <c r="AN329" s="516">
        <f t="shared" si="168"/>
        <v>0</v>
      </c>
      <c r="AO329" s="516">
        <f t="shared" si="168"/>
        <v>0</v>
      </c>
      <c r="AP329" s="501"/>
      <c r="AQ329" s="505"/>
      <c r="AR329" s="505"/>
      <c r="AS329" s="505"/>
      <c r="AT329" s="505"/>
      <c r="AU329" s="505"/>
      <c r="AV329" s="510"/>
      <c r="AW329" s="452"/>
    </row>
    <row r="330" spans="1:49" hidden="1">
      <c r="A330" s="143"/>
      <c r="B330" s="483"/>
      <c r="C330" s="496" t="s">
        <v>1340</v>
      </c>
      <c r="D330" s="516">
        <f t="shared" ref="D330:AO330" si="169">IF(ISERR(GETPIVOTDATA("[Measures].[Hours]",TRIMARANweekly,"[Order].[Position Number]","[Order].[Position Number].&amp;[" &amp; $B336 &amp; "]","[Period].[Week]","[Period].[Week].&amp;[" &amp; YEAR(D$14-14) &amp; TEXT(WEEKNUM(D$14-14),"00") &amp; "]")),0,GETPIVOTDATA("[Measures].[Hours]",TRIMARANweekly,"[Order].[Position Number]","[Order].[Position Number].&amp;[" &amp; $B336 &amp; "]","[Period].[Week]","[Period].[Week].&amp;[" &amp; YEAR(D$14-14) &amp; TEXT(WEEKNUM(D$14-14),"00") &amp; "]"))+D329</f>
        <v>0</v>
      </c>
      <c r="E330" s="516">
        <f t="shared" si="169"/>
        <v>0</v>
      </c>
      <c r="F330" s="516">
        <f t="shared" si="169"/>
        <v>0</v>
      </c>
      <c r="G330" s="516">
        <f t="shared" si="169"/>
        <v>0</v>
      </c>
      <c r="H330" s="516">
        <f t="shared" si="169"/>
        <v>0</v>
      </c>
      <c r="I330" s="516">
        <f t="shared" si="169"/>
        <v>0</v>
      </c>
      <c r="J330" s="516">
        <f t="shared" si="169"/>
        <v>0</v>
      </c>
      <c r="K330" s="516">
        <f t="shared" si="169"/>
        <v>0</v>
      </c>
      <c r="L330" s="516">
        <f t="shared" si="169"/>
        <v>0</v>
      </c>
      <c r="M330" s="516">
        <f t="shared" si="169"/>
        <v>0</v>
      </c>
      <c r="N330" s="516">
        <f t="shared" si="169"/>
        <v>0</v>
      </c>
      <c r="O330" s="516">
        <f t="shared" si="169"/>
        <v>0</v>
      </c>
      <c r="P330" s="516">
        <f t="shared" si="169"/>
        <v>0</v>
      </c>
      <c r="Q330" s="516">
        <f t="shared" si="169"/>
        <v>0</v>
      </c>
      <c r="R330" s="516">
        <f t="shared" si="169"/>
        <v>0</v>
      </c>
      <c r="S330" s="516">
        <f t="shared" si="169"/>
        <v>0</v>
      </c>
      <c r="T330" s="516">
        <f t="shared" si="169"/>
        <v>0</v>
      </c>
      <c r="U330" s="516">
        <f t="shared" si="169"/>
        <v>0</v>
      </c>
      <c r="V330" s="516">
        <f t="shared" si="169"/>
        <v>0</v>
      </c>
      <c r="W330" s="516">
        <f t="shared" si="169"/>
        <v>0</v>
      </c>
      <c r="X330" s="516">
        <f t="shared" si="169"/>
        <v>0</v>
      </c>
      <c r="Y330" s="516">
        <f t="shared" si="169"/>
        <v>0</v>
      </c>
      <c r="Z330" s="516">
        <f t="shared" si="169"/>
        <v>0</v>
      </c>
      <c r="AA330" s="516">
        <f t="shared" si="169"/>
        <v>0</v>
      </c>
      <c r="AB330" s="516">
        <f t="shared" si="169"/>
        <v>0</v>
      </c>
      <c r="AC330" s="516">
        <f t="shared" si="169"/>
        <v>0</v>
      </c>
      <c r="AD330" s="516">
        <f t="shared" si="169"/>
        <v>0</v>
      </c>
      <c r="AE330" s="516">
        <f t="shared" si="169"/>
        <v>0</v>
      </c>
      <c r="AF330" s="516">
        <f t="shared" si="169"/>
        <v>0</v>
      </c>
      <c r="AG330" s="516">
        <f t="shared" si="169"/>
        <v>0</v>
      </c>
      <c r="AH330" s="516">
        <f t="shared" si="169"/>
        <v>0</v>
      </c>
      <c r="AI330" s="516">
        <f t="shared" si="169"/>
        <v>0</v>
      </c>
      <c r="AJ330" s="516">
        <f t="shared" si="169"/>
        <v>0</v>
      </c>
      <c r="AK330" s="516">
        <f t="shared" si="169"/>
        <v>0</v>
      </c>
      <c r="AL330" s="516">
        <f t="shared" si="169"/>
        <v>0</v>
      </c>
      <c r="AM330" s="516">
        <f t="shared" si="169"/>
        <v>0</v>
      </c>
      <c r="AN330" s="516">
        <f t="shared" si="169"/>
        <v>0</v>
      </c>
      <c r="AO330" s="516">
        <f t="shared" si="169"/>
        <v>0</v>
      </c>
      <c r="AP330" s="501"/>
      <c r="AQ330" s="505"/>
      <c r="AR330" s="505"/>
      <c r="AS330" s="505"/>
      <c r="AT330" s="505"/>
      <c r="AU330" s="505"/>
      <c r="AV330" s="510"/>
      <c r="AW330" s="452"/>
    </row>
    <row r="331" spans="1:49" hidden="1">
      <c r="A331" s="143"/>
      <c r="B331" s="483"/>
      <c r="C331" s="496" t="s">
        <v>1341</v>
      </c>
      <c r="D331" s="516">
        <f t="shared" ref="D331:AO331" si="170">IF(ISERR(GETPIVOTDATA("[Measures].[Hours]",TRIMARANmonthly,"[Period].[Month]","[Period].[Month].&amp;["&amp;IF(MONTH(D$14)=1,YEAR(D$14)-1&amp;TEXT(12,"00"),YEAR(D$14)&amp;TEXT(MONTH(D$14)-1,"00"))&amp;"]","[Order].[Position Number]","[Order].[Position Number].&amp;["&amp;$B336&amp;"]")),0,GETPIVOTDATA("[Measures].[Hours]",TRIMARANmonthly,"[Period].[Month]","[Period].[Month].&amp;["&amp;IF(MONTH(D$14)=1,YEAR(D$14)-1&amp;TEXT(12,"00"),YEAR(D$14)&amp;TEXT(MONTH(D$14)-1,"00"))&amp;"]","[Order].[Position Number]","[Order].[Position Number].&amp;["&amp;$B336&amp;"]"))</f>
        <v>0</v>
      </c>
      <c r="E331" s="516">
        <f t="shared" si="170"/>
        <v>0</v>
      </c>
      <c r="F331" s="516">
        <f t="shared" si="170"/>
        <v>0</v>
      </c>
      <c r="G331" s="516">
        <f t="shared" si="170"/>
        <v>0</v>
      </c>
      <c r="H331" s="516">
        <f t="shared" si="170"/>
        <v>0</v>
      </c>
      <c r="I331" s="516">
        <f t="shared" si="170"/>
        <v>0</v>
      </c>
      <c r="J331" s="516">
        <f t="shared" si="170"/>
        <v>0</v>
      </c>
      <c r="K331" s="516">
        <f t="shared" si="170"/>
        <v>0</v>
      </c>
      <c r="L331" s="516">
        <f t="shared" si="170"/>
        <v>0</v>
      </c>
      <c r="M331" s="516">
        <f t="shared" si="170"/>
        <v>0</v>
      </c>
      <c r="N331" s="516">
        <f t="shared" si="170"/>
        <v>0</v>
      </c>
      <c r="O331" s="516">
        <f t="shared" si="170"/>
        <v>0</v>
      </c>
      <c r="P331" s="516">
        <f t="shared" si="170"/>
        <v>0</v>
      </c>
      <c r="Q331" s="516">
        <f t="shared" si="170"/>
        <v>0</v>
      </c>
      <c r="R331" s="516">
        <f t="shared" si="170"/>
        <v>0</v>
      </c>
      <c r="S331" s="516">
        <f t="shared" si="170"/>
        <v>0</v>
      </c>
      <c r="T331" s="516">
        <f t="shared" si="170"/>
        <v>0</v>
      </c>
      <c r="U331" s="516">
        <f t="shared" si="170"/>
        <v>0</v>
      </c>
      <c r="V331" s="516">
        <f t="shared" si="170"/>
        <v>0</v>
      </c>
      <c r="W331" s="516">
        <f t="shared" si="170"/>
        <v>0</v>
      </c>
      <c r="X331" s="516">
        <f t="shared" si="170"/>
        <v>0</v>
      </c>
      <c r="Y331" s="516">
        <f t="shared" si="170"/>
        <v>0</v>
      </c>
      <c r="Z331" s="516">
        <f t="shared" si="170"/>
        <v>0</v>
      </c>
      <c r="AA331" s="516">
        <f t="shared" si="170"/>
        <v>0</v>
      </c>
      <c r="AB331" s="516">
        <f t="shared" si="170"/>
        <v>0</v>
      </c>
      <c r="AC331" s="516">
        <f t="shared" si="170"/>
        <v>0</v>
      </c>
      <c r="AD331" s="516">
        <f t="shared" si="170"/>
        <v>0</v>
      </c>
      <c r="AE331" s="516">
        <f t="shared" si="170"/>
        <v>0</v>
      </c>
      <c r="AF331" s="516">
        <f t="shared" si="170"/>
        <v>0</v>
      </c>
      <c r="AG331" s="516">
        <f t="shared" si="170"/>
        <v>0</v>
      </c>
      <c r="AH331" s="516">
        <f t="shared" si="170"/>
        <v>0</v>
      </c>
      <c r="AI331" s="516">
        <f t="shared" si="170"/>
        <v>0</v>
      </c>
      <c r="AJ331" s="516">
        <f t="shared" si="170"/>
        <v>0</v>
      </c>
      <c r="AK331" s="516">
        <f t="shared" si="170"/>
        <v>0</v>
      </c>
      <c r="AL331" s="516">
        <f t="shared" si="170"/>
        <v>0</v>
      </c>
      <c r="AM331" s="516">
        <f t="shared" si="170"/>
        <v>0</v>
      </c>
      <c r="AN331" s="516">
        <f t="shared" si="170"/>
        <v>0</v>
      </c>
      <c r="AO331" s="516">
        <f t="shared" si="170"/>
        <v>0</v>
      </c>
      <c r="AP331" s="501"/>
      <c r="AQ331" s="505"/>
      <c r="AR331" s="505"/>
      <c r="AS331" s="505"/>
      <c r="AT331" s="505"/>
      <c r="AU331" s="505"/>
      <c r="AV331" s="510"/>
      <c r="AW331" s="452"/>
    </row>
    <row r="332" spans="1:49" hidden="1">
      <c r="A332" s="143"/>
      <c r="B332" s="483"/>
      <c r="C332" s="496" t="s">
        <v>1339</v>
      </c>
      <c r="D332" s="516">
        <f t="shared" ref="D332:AO332" si="171">IF(ISERR(GETPIVOTDATA("[Measures].[" &amp; MDContractCurrency &amp; "]",TRIMARANweekly,"[Order].[Position Number]","[Order].[Position Number].&amp;[" &amp; $B336 &amp; "]","[Period].[Week]","[Period].[Week].&amp;[" &amp; YEAR(D$14-7) &amp; TEXT(WEEKNUM(D$14-7),"00") &amp; "]")),0,GETPIVOTDATA("[Measures].[" &amp; MDContractCurrency &amp; "]",TRIMARANweekly,"[Order].[Position Number]","[Order].[Position Number].&amp;[" &amp; $B336 &amp; "]","[Period].[Week]","[Period].[Week].&amp;[" &amp; YEAR(D$14-7) &amp; TEXT(WEEKNUM(D$14-7),"00") &amp; "]"))</f>
        <v>0</v>
      </c>
      <c r="E332" s="516">
        <f t="shared" si="171"/>
        <v>0</v>
      </c>
      <c r="F332" s="516">
        <f t="shared" si="171"/>
        <v>0</v>
      </c>
      <c r="G332" s="516">
        <f t="shared" si="171"/>
        <v>0</v>
      </c>
      <c r="H332" s="516">
        <f t="shared" si="171"/>
        <v>0</v>
      </c>
      <c r="I332" s="516">
        <f t="shared" si="171"/>
        <v>0</v>
      </c>
      <c r="J332" s="516">
        <f t="shared" si="171"/>
        <v>0</v>
      </c>
      <c r="K332" s="516">
        <f t="shared" si="171"/>
        <v>0</v>
      </c>
      <c r="L332" s="516">
        <f t="shared" si="171"/>
        <v>0</v>
      </c>
      <c r="M332" s="516">
        <f t="shared" si="171"/>
        <v>0</v>
      </c>
      <c r="N332" s="516">
        <f t="shared" si="171"/>
        <v>0</v>
      </c>
      <c r="O332" s="516">
        <f t="shared" si="171"/>
        <v>0</v>
      </c>
      <c r="P332" s="516">
        <f t="shared" si="171"/>
        <v>0</v>
      </c>
      <c r="Q332" s="516">
        <f t="shared" si="171"/>
        <v>0</v>
      </c>
      <c r="R332" s="516">
        <f t="shared" si="171"/>
        <v>0</v>
      </c>
      <c r="S332" s="516">
        <f t="shared" si="171"/>
        <v>0</v>
      </c>
      <c r="T332" s="516">
        <f t="shared" si="171"/>
        <v>0</v>
      </c>
      <c r="U332" s="516">
        <f t="shared" si="171"/>
        <v>0</v>
      </c>
      <c r="V332" s="516">
        <f t="shared" si="171"/>
        <v>0</v>
      </c>
      <c r="W332" s="516">
        <f t="shared" si="171"/>
        <v>0</v>
      </c>
      <c r="X332" s="516">
        <f t="shared" si="171"/>
        <v>0</v>
      </c>
      <c r="Y332" s="516">
        <f t="shared" si="171"/>
        <v>0</v>
      </c>
      <c r="Z332" s="516">
        <f t="shared" si="171"/>
        <v>0</v>
      </c>
      <c r="AA332" s="516">
        <f t="shared" si="171"/>
        <v>0</v>
      </c>
      <c r="AB332" s="516">
        <f t="shared" si="171"/>
        <v>0</v>
      </c>
      <c r="AC332" s="516">
        <f t="shared" si="171"/>
        <v>0</v>
      </c>
      <c r="AD332" s="516">
        <f t="shared" si="171"/>
        <v>0</v>
      </c>
      <c r="AE332" s="516">
        <f t="shared" si="171"/>
        <v>0</v>
      </c>
      <c r="AF332" s="516">
        <f t="shared" si="171"/>
        <v>0</v>
      </c>
      <c r="AG332" s="516">
        <f t="shared" si="171"/>
        <v>0</v>
      </c>
      <c r="AH332" s="516">
        <f t="shared" si="171"/>
        <v>0</v>
      </c>
      <c r="AI332" s="516">
        <f t="shared" si="171"/>
        <v>0</v>
      </c>
      <c r="AJ332" s="516">
        <f t="shared" si="171"/>
        <v>0</v>
      </c>
      <c r="AK332" s="516">
        <f t="shared" si="171"/>
        <v>0</v>
      </c>
      <c r="AL332" s="516">
        <f t="shared" si="171"/>
        <v>0</v>
      </c>
      <c r="AM332" s="516">
        <f t="shared" si="171"/>
        <v>0</v>
      </c>
      <c r="AN332" s="516">
        <f t="shared" si="171"/>
        <v>0</v>
      </c>
      <c r="AO332" s="516">
        <f t="shared" si="171"/>
        <v>0</v>
      </c>
      <c r="AP332" s="501"/>
      <c r="AQ332" s="505"/>
      <c r="AR332" s="505"/>
      <c r="AS332" s="505"/>
      <c r="AT332" s="505"/>
      <c r="AU332" s="505"/>
      <c r="AV332" s="510"/>
      <c r="AW332" s="452"/>
    </row>
    <row r="333" spans="1:49" hidden="1">
      <c r="A333" s="143"/>
      <c r="B333" s="483"/>
      <c r="C333" s="496" t="s">
        <v>1340</v>
      </c>
      <c r="D333" s="516">
        <f t="shared" ref="D333:AO333" si="172">IF(ISERR(GETPIVOTDATA("[Measures].[" &amp; MDContractCurrency &amp; "]",TRIMARANweekly,"[Order].[Position Number]","[Order].[Position Number].&amp;[" &amp; $B336 &amp; "]","[Period].[Week]","[Period].[Week].&amp;[" &amp; YEAR(D$14-14) &amp; TEXT(WEEKNUM(D$14-14),"00") &amp; "]")),0,GETPIVOTDATA("[Measures].[" &amp; MDContractCurrency &amp; "]",TRIMARANweekly,"[Order].[Position Number]","[Order].[Position Number].&amp;[" &amp; $B336 &amp; "]","[Period].[Week]","[Period].[Week].&amp;[" &amp; YEAR(D$14-14) &amp; TEXT(WEEKNUM(D$14-14),"00") &amp; "]"))+D332</f>
        <v>0</v>
      </c>
      <c r="E333" s="516">
        <f t="shared" si="172"/>
        <v>0</v>
      </c>
      <c r="F333" s="516">
        <f t="shared" si="172"/>
        <v>0</v>
      </c>
      <c r="G333" s="516">
        <f t="shared" si="172"/>
        <v>0</v>
      </c>
      <c r="H333" s="516">
        <f t="shared" si="172"/>
        <v>0</v>
      </c>
      <c r="I333" s="516">
        <f t="shared" si="172"/>
        <v>0</v>
      </c>
      <c r="J333" s="516">
        <f t="shared" si="172"/>
        <v>0</v>
      </c>
      <c r="K333" s="516">
        <f t="shared" si="172"/>
        <v>0</v>
      </c>
      <c r="L333" s="516">
        <f t="shared" si="172"/>
        <v>0</v>
      </c>
      <c r="M333" s="516">
        <f t="shared" si="172"/>
        <v>0</v>
      </c>
      <c r="N333" s="516">
        <f t="shared" si="172"/>
        <v>0</v>
      </c>
      <c r="O333" s="516">
        <f t="shared" si="172"/>
        <v>0</v>
      </c>
      <c r="P333" s="516">
        <f t="shared" si="172"/>
        <v>0</v>
      </c>
      <c r="Q333" s="516">
        <f t="shared" si="172"/>
        <v>0</v>
      </c>
      <c r="R333" s="516">
        <f t="shared" si="172"/>
        <v>0</v>
      </c>
      <c r="S333" s="516">
        <f t="shared" si="172"/>
        <v>0</v>
      </c>
      <c r="T333" s="516">
        <f t="shared" si="172"/>
        <v>0</v>
      </c>
      <c r="U333" s="516">
        <f t="shared" si="172"/>
        <v>0</v>
      </c>
      <c r="V333" s="516">
        <f t="shared" si="172"/>
        <v>0</v>
      </c>
      <c r="W333" s="516">
        <f t="shared" si="172"/>
        <v>0</v>
      </c>
      <c r="X333" s="516">
        <f t="shared" si="172"/>
        <v>0</v>
      </c>
      <c r="Y333" s="516">
        <f t="shared" si="172"/>
        <v>0</v>
      </c>
      <c r="Z333" s="516">
        <f t="shared" si="172"/>
        <v>0</v>
      </c>
      <c r="AA333" s="516">
        <f t="shared" si="172"/>
        <v>0</v>
      </c>
      <c r="AB333" s="516">
        <f t="shared" si="172"/>
        <v>0</v>
      </c>
      <c r="AC333" s="516">
        <f t="shared" si="172"/>
        <v>0</v>
      </c>
      <c r="AD333" s="516">
        <f t="shared" si="172"/>
        <v>0</v>
      </c>
      <c r="AE333" s="516">
        <f t="shared" si="172"/>
        <v>0</v>
      </c>
      <c r="AF333" s="516">
        <f t="shared" si="172"/>
        <v>0</v>
      </c>
      <c r="AG333" s="516">
        <f t="shared" si="172"/>
        <v>0</v>
      </c>
      <c r="AH333" s="516">
        <f t="shared" si="172"/>
        <v>0</v>
      </c>
      <c r="AI333" s="516">
        <f t="shared" si="172"/>
        <v>0</v>
      </c>
      <c r="AJ333" s="516">
        <f t="shared" si="172"/>
        <v>0</v>
      </c>
      <c r="AK333" s="516">
        <f t="shared" si="172"/>
        <v>0</v>
      </c>
      <c r="AL333" s="516">
        <f t="shared" si="172"/>
        <v>0</v>
      </c>
      <c r="AM333" s="516">
        <f t="shared" si="172"/>
        <v>0</v>
      </c>
      <c r="AN333" s="516">
        <f t="shared" si="172"/>
        <v>0</v>
      </c>
      <c r="AO333" s="516">
        <f t="shared" si="172"/>
        <v>0</v>
      </c>
      <c r="AP333" s="501"/>
      <c r="AQ333" s="505"/>
      <c r="AR333" s="505"/>
      <c r="AS333" s="505"/>
      <c r="AT333" s="505"/>
      <c r="AU333" s="505"/>
      <c r="AV333" s="510"/>
      <c r="AW333" s="452"/>
    </row>
    <row r="334" spans="1:49" hidden="1">
      <c r="A334" s="141"/>
      <c r="B334" s="517"/>
      <c r="C334" s="496" t="s">
        <v>1341</v>
      </c>
      <c r="D334" s="516">
        <f t="shared" ref="D334:AO334" si="173">IF(ISERR(GETPIVOTDATA("[Measures].[" &amp; MDContractCurrency &amp; "]",TRIMARANmonthly,"[Period].[Month]","[Period].[Month].&amp;["&amp;IF(MONTH(D$14)=1,YEAR(D$14)-1&amp;TEXT(12,"00"),YEAR(D$14)&amp;TEXT(MONTH(D$14)-1,"00"))&amp;"]","[Order].[Position Number]","[Order].[Position Number].&amp;["&amp;$B336&amp;"]")),0,GETPIVOTDATA("[Measures].[" &amp; MDContractCurrency &amp; "]",TRIMARANmonthly,"[Period].[Month]","[Period].[Month].&amp;["&amp;IF(MONTH(D$14)=1,YEAR(D$14)-1&amp;TEXT(12,"00"),YEAR(D$14)&amp;TEXT(MONTH(D$14)-1,"00"))&amp;"]","[Order].[Position Number]","[Order].[Position Number].&amp;["&amp;$B336&amp;"]"))</f>
        <v>0</v>
      </c>
      <c r="E334" s="516">
        <f t="shared" si="173"/>
        <v>0</v>
      </c>
      <c r="F334" s="516">
        <f t="shared" si="173"/>
        <v>0</v>
      </c>
      <c r="G334" s="516">
        <f t="shared" si="173"/>
        <v>0</v>
      </c>
      <c r="H334" s="516">
        <f t="shared" si="173"/>
        <v>0</v>
      </c>
      <c r="I334" s="516">
        <f t="shared" si="173"/>
        <v>0</v>
      </c>
      <c r="J334" s="516">
        <f t="shared" si="173"/>
        <v>0</v>
      </c>
      <c r="K334" s="516">
        <f t="shared" si="173"/>
        <v>0</v>
      </c>
      <c r="L334" s="516">
        <f t="shared" si="173"/>
        <v>0</v>
      </c>
      <c r="M334" s="516">
        <f t="shared" si="173"/>
        <v>0</v>
      </c>
      <c r="N334" s="516">
        <f t="shared" si="173"/>
        <v>0</v>
      </c>
      <c r="O334" s="516">
        <f t="shared" si="173"/>
        <v>0</v>
      </c>
      <c r="P334" s="516">
        <f t="shared" si="173"/>
        <v>0</v>
      </c>
      <c r="Q334" s="516">
        <f t="shared" si="173"/>
        <v>0</v>
      </c>
      <c r="R334" s="516">
        <f t="shared" si="173"/>
        <v>0</v>
      </c>
      <c r="S334" s="516">
        <f t="shared" si="173"/>
        <v>0</v>
      </c>
      <c r="T334" s="516">
        <f t="shared" si="173"/>
        <v>0</v>
      </c>
      <c r="U334" s="516">
        <f t="shared" si="173"/>
        <v>0</v>
      </c>
      <c r="V334" s="516">
        <f t="shared" si="173"/>
        <v>0</v>
      </c>
      <c r="W334" s="516">
        <f t="shared" si="173"/>
        <v>0</v>
      </c>
      <c r="X334" s="516">
        <f t="shared" si="173"/>
        <v>0</v>
      </c>
      <c r="Y334" s="516">
        <f t="shared" si="173"/>
        <v>0</v>
      </c>
      <c r="Z334" s="516">
        <f t="shared" si="173"/>
        <v>0</v>
      </c>
      <c r="AA334" s="516">
        <f t="shared" si="173"/>
        <v>0</v>
      </c>
      <c r="AB334" s="516">
        <f t="shared" si="173"/>
        <v>0</v>
      </c>
      <c r="AC334" s="516">
        <f t="shared" si="173"/>
        <v>0</v>
      </c>
      <c r="AD334" s="516">
        <f t="shared" si="173"/>
        <v>0</v>
      </c>
      <c r="AE334" s="516">
        <f t="shared" si="173"/>
        <v>0</v>
      </c>
      <c r="AF334" s="516">
        <f t="shared" si="173"/>
        <v>0</v>
      </c>
      <c r="AG334" s="516">
        <f t="shared" si="173"/>
        <v>0</v>
      </c>
      <c r="AH334" s="516">
        <f t="shared" si="173"/>
        <v>0</v>
      </c>
      <c r="AI334" s="516">
        <f t="shared" si="173"/>
        <v>0</v>
      </c>
      <c r="AJ334" s="516">
        <f t="shared" si="173"/>
        <v>0</v>
      </c>
      <c r="AK334" s="516">
        <f t="shared" si="173"/>
        <v>0</v>
      </c>
      <c r="AL334" s="516">
        <f t="shared" si="173"/>
        <v>0</v>
      </c>
      <c r="AM334" s="516">
        <f t="shared" si="173"/>
        <v>0</v>
      </c>
      <c r="AN334" s="516">
        <f t="shared" si="173"/>
        <v>0</v>
      </c>
      <c r="AO334" s="516">
        <f t="shared" si="173"/>
        <v>0</v>
      </c>
      <c r="AP334" s="501"/>
      <c r="AQ334" s="505"/>
      <c r="AR334" s="505"/>
      <c r="AS334" s="505"/>
      <c r="AT334" s="505"/>
      <c r="AU334" s="505"/>
      <c r="AV334" s="510"/>
      <c r="AW334" s="452"/>
    </row>
    <row r="335" spans="1:49">
      <c r="A335" s="477"/>
      <c r="B335" s="483"/>
      <c r="C335" s="496"/>
      <c r="D335" s="496"/>
      <c r="E335" s="496"/>
      <c r="F335" s="496"/>
      <c r="G335" s="496"/>
      <c r="H335" s="496"/>
      <c r="I335" s="496"/>
      <c r="J335" s="496"/>
      <c r="K335" s="496"/>
      <c r="L335" s="496"/>
      <c r="M335" s="496"/>
      <c r="N335" s="496"/>
      <c r="O335" s="496"/>
      <c r="P335" s="496"/>
      <c r="Q335" s="496"/>
      <c r="R335" s="496"/>
      <c r="S335" s="496"/>
      <c r="T335" s="496"/>
      <c r="U335" s="496"/>
      <c r="V335" s="496"/>
      <c r="W335" s="496"/>
      <c r="X335" s="496"/>
      <c r="Y335" s="496"/>
      <c r="Z335" s="496"/>
      <c r="AA335" s="496"/>
      <c r="AB335" s="496"/>
      <c r="AC335" s="496"/>
      <c r="AD335" s="496"/>
      <c r="AE335" s="496"/>
      <c r="AF335" s="496"/>
      <c r="AG335" s="496"/>
      <c r="AH335" s="496"/>
      <c r="AI335" s="496"/>
      <c r="AJ335" s="496"/>
      <c r="AK335" s="496"/>
      <c r="AL335" s="496"/>
      <c r="AM335" s="496"/>
      <c r="AN335" s="496"/>
      <c r="AO335" s="496"/>
      <c r="AP335" s="501"/>
      <c r="AQ335" s="505"/>
      <c r="AR335" s="505"/>
      <c r="AS335" s="505"/>
      <c r="AT335" s="505"/>
      <c r="AU335" s="505"/>
      <c r="AV335" s="510"/>
      <c r="AW335" s="452"/>
    </row>
    <row r="336" spans="1:49">
      <c r="A336" s="1183" t="str">
        <f>'Delivery Calculation'!B41 &amp; CHAR(10) &amp; 'Delivery Calculation'!P41 &amp; " - " &amp; 'Delivery Calculation'!Q41</f>
        <v xml:space="preserve">0
 - </v>
      </c>
      <c r="B336" s="1180">
        <f>'Delivery Calculation'!A41</f>
        <v>0</v>
      </c>
      <c r="C336" s="499" t="s">
        <v>634</v>
      </c>
      <c r="D336" s="518">
        <f>'Delivery Calculation'!M222</f>
        <v>0</v>
      </c>
      <c r="E336" s="518">
        <f>'Delivery Calculation'!N222</f>
        <v>0</v>
      </c>
      <c r="F336" s="518">
        <f>'Delivery Calculation'!O222</f>
        <v>0</v>
      </c>
      <c r="G336" s="518">
        <f>'Delivery Calculation'!P222</f>
        <v>0</v>
      </c>
      <c r="H336" s="518">
        <f>'Delivery Calculation'!Q222</f>
        <v>0</v>
      </c>
      <c r="I336" s="518">
        <f>'Delivery Calculation'!R222</f>
        <v>0</v>
      </c>
      <c r="J336" s="518">
        <f>'Delivery Calculation'!S222</f>
        <v>0</v>
      </c>
      <c r="K336" s="518">
        <f>'Delivery Calculation'!T222</f>
        <v>0</v>
      </c>
      <c r="L336" s="518">
        <f>'Delivery Calculation'!U222</f>
        <v>0</v>
      </c>
      <c r="M336" s="518">
        <f>'Delivery Calculation'!V222</f>
        <v>0</v>
      </c>
      <c r="N336" s="518">
        <f>'Delivery Calculation'!W222</f>
        <v>0</v>
      </c>
      <c r="O336" s="518">
        <f>'Delivery Calculation'!X222</f>
        <v>0</v>
      </c>
      <c r="P336" s="518">
        <f>'Delivery Calculation'!Y222</f>
        <v>0</v>
      </c>
      <c r="Q336" s="518">
        <f>'Delivery Calculation'!Z222</f>
        <v>0</v>
      </c>
      <c r="R336" s="518">
        <f>'Delivery Calculation'!AA222</f>
        <v>0</v>
      </c>
      <c r="S336" s="518">
        <f>'Delivery Calculation'!AB222</f>
        <v>0</v>
      </c>
      <c r="T336" s="518">
        <f>'Delivery Calculation'!AC222</f>
        <v>0</v>
      </c>
      <c r="U336" s="518">
        <f>'Delivery Calculation'!AD222</f>
        <v>0</v>
      </c>
      <c r="V336" s="518">
        <f>'Delivery Calculation'!AE222</f>
        <v>0</v>
      </c>
      <c r="W336" s="518">
        <f>'Delivery Calculation'!AF222</f>
        <v>0</v>
      </c>
      <c r="X336" s="518">
        <f>'Delivery Calculation'!AG222</f>
        <v>0</v>
      </c>
      <c r="Y336" s="518">
        <f>'Delivery Calculation'!AH222</f>
        <v>0</v>
      </c>
      <c r="Z336" s="518">
        <f>'Delivery Calculation'!AI222</f>
        <v>0</v>
      </c>
      <c r="AA336" s="518">
        <f>'Delivery Calculation'!AJ222</f>
        <v>0</v>
      </c>
      <c r="AB336" s="518">
        <f>'Delivery Calculation'!AK222</f>
        <v>0</v>
      </c>
      <c r="AC336" s="518">
        <f>'Delivery Calculation'!AL222</f>
        <v>0</v>
      </c>
      <c r="AD336" s="518">
        <f>'Delivery Calculation'!AM222</f>
        <v>0</v>
      </c>
      <c r="AE336" s="518">
        <f>'Delivery Calculation'!AN222</f>
        <v>0</v>
      </c>
      <c r="AF336" s="518">
        <f>'Delivery Calculation'!AO222</f>
        <v>0</v>
      </c>
      <c r="AG336" s="518">
        <f>'Delivery Calculation'!AP222</f>
        <v>0</v>
      </c>
      <c r="AH336" s="518">
        <f>'Delivery Calculation'!AQ222</f>
        <v>0</v>
      </c>
      <c r="AI336" s="518">
        <f>'Delivery Calculation'!AR222</f>
        <v>0</v>
      </c>
      <c r="AJ336" s="518">
        <f>'Delivery Calculation'!AS222</f>
        <v>0</v>
      </c>
      <c r="AK336" s="518">
        <f>'Delivery Calculation'!AT222</f>
        <v>0</v>
      </c>
      <c r="AL336" s="518">
        <f>'Delivery Calculation'!AU222</f>
        <v>0</v>
      </c>
      <c r="AM336" s="518">
        <f>'Delivery Calculation'!AV222</f>
        <v>0</v>
      </c>
      <c r="AN336" s="518">
        <f>'Delivery Calculation'!AW222</f>
        <v>0</v>
      </c>
      <c r="AO336" s="518">
        <f>'Delivery Calculation'!AX222</f>
        <v>0</v>
      </c>
      <c r="AP336" s="501"/>
      <c r="AQ336" s="519">
        <f>IF(COUNTIF($D$15:$AO$15, TMDPeriodValueTypeReported)&gt;0, INDEX(D336:AO336,1,COUNTIF(D$15:$AO$15,TMDPeriodValueTypeReported)),0)</f>
        <v>0</v>
      </c>
      <c r="AR336" s="519"/>
      <c r="AS336" s="520">
        <f>'Delivery Calculation'!N41</f>
        <v>0</v>
      </c>
      <c r="AT336" s="519">
        <f>AQ336*'Delivery Calculation'!N41</f>
        <v>0</v>
      </c>
      <c r="AU336" s="521" t="s">
        <v>522</v>
      </c>
      <c r="AV336" s="510"/>
      <c r="AW336" s="452"/>
    </row>
    <row r="337" spans="1:50">
      <c r="A337" s="1184"/>
      <c r="B337" s="1181"/>
      <c r="C337" s="499" t="s">
        <v>635</v>
      </c>
      <c r="D337" s="509">
        <f>IF(D$15=TMDPeriodValueTypeForecast,IF('Delivery Calculation'!$H$41=TMDAllocationTandM,0,'Delivery Calculation'!M151),IF(MDReportingPeriod=TMDMonthly,D331,IF(MDReportingPeriod=TMDTwoweekly,D330,D329)))</f>
        <v>0</v>
      </c>
      <c r="E337" s="509">
        <f>IF(E$15=TMDPeriodValueTypeForecast,IF('Delivery Calculation'!$H$41=TMDAllocationTandM,0,'Delivery Calculation'!N151),IF(MDReportingPeriod=TMDMonthly,E331,IF(MDReportingPeriod=TMDTwoweekly,E330,E329)))</f>
        <v>0</v>
      </c>
      <c r="F337" s="509">
        <f>IF(F$15=TMDPeriodValueTypeForecast,IF('Delivery Calculation'!$H$41=TMDAllocationTandM,0,'Delivery Calculation'!O151),IF(MDReportingPeriod=TMDMonthly,F331,IF(MDReportingPeriod=TMDTwoweekly,F330,F329)))</f>
        <v>0</v>
      </c>
      <c r="G337" s="509">
        <f>IF(G$15=TMDPeriodValueTypeForecast,IF('Delivery Calculation'!$H$41=TMDAllocationTandM,0,'Delivery Calculation'!P151),IF(MDReportingPeriod=TMDMonthly,G331,IF(MDReportingPeriod=TMDTwoweekly,G330,G329)))</f>
        <v>0</v>
      </c>
      <c r="H337" s="509">
        <f>IF(H$15=TMDPeriodValueTypeForecast,IF('Delivery Calculation'!$H$41=TMDAllocationTandM,0,'Delivery Calculation'!Q151),IF(MDReportingPeriod=TMDMonthly,H331,IF(MDReportingPeriod=TMDTwoweekly,H330,H329)))</f>
        <v>0</v>
      </c>
      <c r="I337" s="509">
        <f>IF(I$15=TMDPeriodValueTypeForecast,IF('Delivery Calculation'!$H$41=TMDAllocationTandM,0,'Delivery Calculation'!R151),IF(MDReportingPeriod=TMDMonthly,I331,IF(MDReportingPeriod=TMDTwoweekly,I330,I329)))</f>
        <v>0</v>
      </c>
      <c r="J337" s="509">
        <f>IF(J$15=TMDPeriodValueTypeForecast,IF('Delivery Calculation'!$H$41=TMDAllocationTandM,0,'Delivery Calculation'!S151),IF(MDReportingPeriod=TMDMonthly,J331,IF(MDReportingPeriod=TMDTwoweekly,J330,J329)))</f>
        <v>0</v>
      </c>
      <c r="K337" s="509">
        <f>IF(K$15=TMDPeriodValueTypeForecast,IF('Delivery Calculation'!$H$41=TMDAllocationTandM,0,'Delivery Calculation'!T151),IF(MDReportingPeriod=TMDMonthly,K331,IF(MDReportingPeriod=TMDTwoweekly,K330,K329)))</f>
        <v>0</v>
      </c>
      <c r="L337" s="509">
        <f>IF(L$15=TMDPeriodValueTypeForecast,IF('Delivery Calculation'!$H$41=TMDAllocationTandM,0,'Delivery Calculation'!U151),IF(MDReportingPeriod=TMDMonthly,L331,IF(MDReportingPeriod=TMDTwoweekly,L330,L329)))</f>
        <v>0</v>
      </c>
      <c r="M337" s="509">
        <f>IF(M$15=TMDPeriodValueTypeForecast,IF('Delivery Calculation'!$H$41=TMDAllocationTandM,0,'Delivery Calculation'!V151),IF(MDReportingPeriod=TMDMonthly,M331,IF(MDReportingPeriod=TMDTwoweekly,M330,M329)))</f>
        <v>0</v>
      </c>
      <c r="N337" s="509">
        <f>IF(N$15=TMDPeriodValueTypeForecast,IF('Delivery Calculation'!$H$41=TMDAllocationTandM,0,'Delivery Calculation'!W151),IF(MDReportingPeriod=TMDMonthly,N331,IF(MDReportingPeriod=TMDTwoweekly,N330,N329)))</f>
        <v>0</v>
      </c>
      <c r="O337" s="509">
        <f>IF(O$15=TMDPeriodValueTypeForecast,IF('Delivery Calculation'!$H$41=TMDAllocationTandM,0,'Delivery Calculation'!X151),IF(MDReportingPeriod=TMDMonthly,O331,IF(MDReportingPeriod=TMDTwoweekly,O330,O329)))</f>
        <v>0</v>
      </c>
      <c r="P337" s="509">
        <f>IF(P$15=TMDPeriodValueTypeForecast,IF('Delivery Calculation'!$H$41=TMDAllocationTandM,0,'Delivery Calculation'!Y151),IF(MDReportingPeriod=TMDMonthly,P331,IF(MDReportingPeriod=TMDTwoweekly,P330,P329)))</f>
        <v>0</v>
      </c>
      <c r="Q337" s="509">
        <f>IF(Q$15=TMDPeriodValueTypeForecast,IF('Delivery Calculation'!$H$41=TMDAllocationTandM,0,'Delivery Calculation'!Z151),IF(MDReportingPeriod=TMDMonthly,Q331,IF(MDReportingPeriod=TMDTwoweekly,Q330,Q329)))</f>
        <v>0</v>
      </c>
      <c r="R337" s="509">
        <f>IF(R$15=TMDPeriodValueTypeForecast,IF('Delivery Calculation'!$H$41=TMDAllocationTandM,0,'Delivery Calculation'!AA151),IF(MDReportingPeriod=TMDMonthly,R331,IF(MDReportingPeriod=TMDTwoweekly,R330,R329)))</f>
        <v>0</v>
      </c>
      <c r="S337" s="509">
        <f>IF(S$15=TMDPeriodValueTypeForecast,IF('Delivery Calculation'!$H$41=TMDAllocationTandM,0,'Delivery Calculation'!AB151),IF(MDReportingPeriod=TMDMonthly,S331,IF(MDReportingPeriod=TMDTwoweekly,S330,S329)))</f>
        <v>0</v>
      </c>
      <c r="T337" s="509">
        <f>IF(T$15=TMDPeriodValueTypeForecast,IF('Delivery Calculation'!$H$41=TMDAllocationTandM,0,'Delivery Calculation'!AC151),IF(MDReportingPeriod=TMDMonthly,T331,IF(MDReportingPeriod=TMDTwoweekly,T330,T329)))</f>
        <v>0</v>
      </c>
      <c r="U337" s="509">
        <f>IF(U$15=TMDPeriodValueTypeForecast,IF('Delivery Calculation'!$H$41=TMDAllocationTandM,0,'Delivery Calculation'!AD151),IF(MDReportingPeriod=TMDMonthly,U331,IF(MDReportingPeriod=TMDTwoweekly,U330,U329)))</f>
        <v>0</v>
      </c>
      <c r="V337" s="509">
        <f>IF(V$15=TMDPeriodValueTypeForecast,IF('Delivery Calculation'!$H$41=TMDAllocationTandM,0,'Delivery Calculation'!AE151),IF(MDReportingPeriod=TMDMonthly,V331,IF(MDReportingPeriod=TMDTwoweekly,V330,V329)))</f>
        <v>0</v>
      </c>
      <c r="W337" s="509">
        <f>IF(W$15=TMDPeriodValueTypeForecast,IF('Delivery Calculation'!$H$41=TMDAllocationTandM,0,'Delivery Calculation'!AF151),IF(MDReportingPeriod=TMDMonthly,W331,IF(MDReportingPeriod=TMDTwoweekly,W330,W329)))</f>
        <v>0</v>
      </c>
      <c r="X337" s="509">
        <f>IF(X$15=TMDPeriodValueTypeForecast,IF('Delivery Calculation'!$H$41=TMDAllocationTandM,0,'Delivery Calculation'!AG151),IF(MDReportingPeriod=TMDMonthly,X331,IF(MDReportingPeriod=TMDTwoweekly,X330,X329)))</f>
        <v>0</v>
      </c>
      <c r="Y337" s="509">
        <f>IF(Y$15=TMDPeriodValueTypeForecast,IF('Delivery Calculation'!$H$41=TMDAllocationTandM,0,'Delivery Calculation'!AH151),IF(MDReportingPeriod=TMDMonthly,Y331,IF(MDReportingPeriod=TMDTwoweekly,Y330,Y329)))</f>
        <v>0</v>
      </c>
      <c r="Z337" s="509">
        <f>IF(Z$15=TMDPeriodValueTypeForecast,IF('Delivery Calculation'!$H$41=TMDAllocationTandM,0,'Delivery Calculation'!AI151),IF(MDReportingPeriod=TMDMonthly,Z331,IF(MDReportingPeriod=TMDTwoweekly,Z330,Z329)))</f>
        <v>0</v>
      </c>
      <c r="AA337" s="509">
        <f>IF(AA$15=TMDPeriodValueTypeForecast,IF('Delivery Calculation'!$H$41=TMDAllocationTandM,0,'Delivery Calculation'!AJ151),IF(MDReportingPeriod=TMDMonthly,AA331,IF(MDReportingPeriod=TMDTwoweekly,AA330,AA329)))</f>
        <v>0</v>
      </c>
      <c r="AB337" s="509">
        <f>IF(AB$15=TMDPeriodValueTypeForecast,IF('Delivery Calculation'!$H$41=TMDAllocationTandM,0,'Delivery Calculation'!AK151),IF(MDReportingPeriod=TMDMonthly,AB331,IF(MDReportingPeriod=TMDTwoweekly,AB330,AB329)))</f>
        <v>0</v>
      </c>
      <c r="AC337" s="509">
        <f>IF(AC$15=TMDPeriodValueTypeForecast,IF('Delivery Calculation'!$H$41=TMDAllocationTandM,0,'Delivery Calculation'!AL151),IF(MDReportingPeriod=TMDMonthly,AC331,IF(MDReportingPeriod=TMDTwoweekly,AC330,AC329)))</f>
        <v>0</v>
      </c>
      <c r="AD337" s="509">
        <f>IF(AD$15=TMDPeriodValueTypeForecast,IF('Delivery Calculation'!$H$41=TMDAllocationTandM,0,'Delivery Calculation'!AM151),IF(MDReportingPeriod=TMDMonthly,AD331,IF(MDReportingPeriod=TMDTwoweekly,AD330,AD329)))</f>
        <v>0</v>
      </c>
      <c r="AE337" s="509">
        <f>IF(AE$15=TMDPeriodValueTypeForecast,IF('Delivery Calculation'!$H$41=TMDAllocationTandM,0,'Delivery Calculation'!AN151),IF(MDReportingPeriod=TMDMonthly,AE331,IF(MDReportingPeriod=TMDTwoweekly,AE330,AE329)))</f>
        <v>0</v>
      </c>
      <c r="AF337" s="509">
        <f>IF(AF$15=TMDPeriodValueTypeForecast,IF('Delivery Calculation'!$H$41=TMDAllocationTandM,0,'Delivery Calculation'!AO151),IF(MDReportingPeriod=TMDMonthly,AF331,IF(MDReportingPeriod=TMDTwoweekly,AF330,AF329)))</f>
        <v>0</v>
      </c>
      <c r="AG337" s="509">
        <f>IF(AG$15=TMDPeriodValueTypeForecast,IF('Delivery Calculation'!$H$41=TMDAllocationTandM,0,'Delivery Calculation'!AP151),IF(MDReportingPeriod=TMDMonthly,AG331,IF(MDReportingPeriod=TMDTwoweekly,AG330,AG329)))</f>
        <v>0</v>
      </c>
      <c r="AH337" s="509">
        <f>IF(AH$15=TMDPeriodValueTypeForecast,IF('Delivery Calculation'!$H$41=TMDAllocationTandM,0,'Delivery Calculation'!AQ151),IF(MDReportingPeriod=TMDMonthly,AH331,IF(MDReportingPeriod=TMDTwoweekly,AH330,AH329)))</f>
        <v>0</v>
      </c>
      <c r="AI337" s="509">
        <f>IF(AI$15=TMDPeriodValueTypeForecast,IF('Delivery Calculation'!$H$41=TMDAllocationTandM,0,'Delivery Calculation'!AR151),IF(MDReportingPeriod=TMDMonthly,AI331,IF(MDReportingPeriod=TMDTwoweekly,AI330,AI329)))</f>
        <v>0</v>
      </c>
      <c r="AJ337" s="509">
        <f>IF(AJ$15=TMDPeriodValueTypeForecast,IF('Delivery Calculation'!$H$41=TMDAllocationTandM,0,'Delivery Calculation'!AS151),IF(MDReportingPeriod=TMDMonthly,AJ331,IF(MDReportingPeriod=TMDTwoweekly,AJ330,AJ329)))</f>
        <v>0</v>
      </c>
      <c r="AK337" s="509">
        <f>IF(AK$15=TMDPeriodValueTypeForecast,IF('Delivery Calculation'!$H$41=TMDAllocationTandM,0,'Delivery Calculation'!AT151),IF(MDReportingPeriod=TMDMonthly,AK331,IF(MDReportingPeriod=TMDTwoweekly,AK330,AK329)))</f>
        <v>0</v>
      </c>
      <c r="AL337" s="509">
        <f>IF(AL$15=TMDPeriodValueTypeForecast,IF('Delivery Calculation'!$H$41=TMDAllocationTandM,0,'Delivery Calculation'!AU151),IF(MDReportingPeriod=TMDMonthly,AL331,IF(MDReportingPeriod=TMDTwoweekly,AL330,AL329)))</f>
        <v>0</v>
      </c>
      <c r="AM337" s="509">
        <f>IF(AM$15=TMDPeriodValueTypeForecast,IF('Delivery Calculation'!$H$41=TMDAllocationTandM,0,'Delivery Calculation'!AV151),IF(MDReportingPeriod=TMDMonthly,AM331,IF(MDReportingPeriod=TMDTwoweekly,AM330,AM329)))</f>
        <v>0</v>
      </c>
      <c r="AN337" s="509">
        <f>IF(AN$15=TMDPeriodValueTypeForecast,IF('Delivery Calculation'!$H$41=TMDAllocationTandM,0,'Delivery Calculation'!AW151),IF(MDReportingPeriod=TMDMonthly,AN331,IF(MDReportingPeriod=TMDTwoweekly,AN330,AN329)))</f>
        <v>0</v>
      </c>
      <c r="AO337" s="509">
        <f>IF(AO$15=TMDPeriodValueTypeForecast,IF('Delivery Calculation'!$H$41=TMDAllocationTandM,0,'Delivery Calculation'!AX151),IF(MDReportingPeriod=TMDMonthly,AO331,IF(MDReportingPeriod=TMDTwoweekly,AO330,AO329)))</f>
        <v>0</v>
      </c>
      <c r="AP337" s="501"/>
      <c r="AQ337" s="505">
        <f>SUMIF($D$15:$AO$15,TMDPeriodValueTypeReported,D337:AO337)</f>
        <v>0</v>
      </c>
      <c r="AR337" s="505">
        <f>SUMIF($D$15:$AO$15,TMDPeriodValueTypeForecast,D337:AO337)</f>
        <v>0</v>
      </c>
      <c r="AS337" s="523">
        <f>'Delivery Calculation'!J41</f>
        <v>0</v>
      </c>
      <c r="AT337" s="505">
        <f>AS337-(AQ337+AR337)</f>
        <v>0</v>
      </c>
      <c r="AU337" s="505"/>
      <c r="AV337" s="510"/>
      <c r="AW337" s="452"/>
    </row>
    <row r="338" spans="1:50">
      <c r="A338" s="1184"/>
      <c r="B338" s="1181"/>
      <c r="C338" s="499" t="s">
        <v>636</v>
      </c>
      <c r="D338" s="509">
        <f>IF(D$15=TMDPeriodValueTypeForecast,IF('Delivery Calculation'!$H$41=TMDAllocationTandM,0,'Delivery Calculation'!M115),IF(MDReportingPeriod=TMDMonthly,D334,IF(MDReportingPeriod=TMDTwoweekly,D333,D332)))</f>
        <v>0</v>
      </c>
      <c r="E338" s="509">
        <f>IF(E$15=TMDPeriodValueTypeForecast,IF('Delivery Calculation'!$H$41=TMDAllocationTandM,0,'Delivery Calculation'!N115),IF(MDReportingPeriod=TMDMonthly,E334,IF(MDReportingPeriod=TMDTwoweekly,E333,E332)))</f>
        <v>0</v>
      </c>
      <c r="F338" s="509">
        <f>IF(F$15=TMDPeriodValueTypeForecast,IF('Delivery Calculation'!$H$41=TMDAllocationTandM,0,'Delivery Calculation'!O115),IF(MDReportingPeriod=TMDMonthly,F334,IF(MDReportingPeriod=TMDTwoweekly,F333,F332)))</f>
        <v>0</v>
      </c>
      <c r="G338" s="509">
        <f>IF(G$15=TMDPeriodValueTypeForecast,IF('Delivery Calculation'!$H$41=TMDAllocationTandM,0,'Delivery Calculation'!P115),IF(MDReportingPeriod=TMDMonthly,G334,IF(MDReportingPeriod=TMDTwoweekly,G333,G332)))</f>
        <v>0</v>
      </c>
      <c r="H338" s="509">
        <f>IF(H$15=TMDPeriodValueTypeForecast,IF('Delivery Calculation'!$H$41=TMDAllocationTandM,0,'Delivery Calculation'!Q115),IF(MDReportingPeriod=TMDMonthly,H334,IF(MDReportingPeriod=TMDTwoweekly,H333,H332)))</f>
        <v>0</v>
      </c>
      <c r="I338" s="509">
        <f>IF(I$15=TMDPeriodValueTypeForecast,IF('Delivery Calculation'!$H$41=TMDAllocationTandM,0,'Delivery Calculation'!R115),IF(MDReportingPeriod=TMDMonthly,I334,IF(MDReportingPeriod=TMDTwoweekly,I333,I332)))</f>
        <v>0</v>
      </c>
      <c r="J338" s="509">
        <f>IF(J$15=TMDPeriodValueTypeForecast,IF('Delivery Calculation'!$H$41=TMDAllocationTandM,0,'Delivery Calculation'!S115),IF(MDReportingPeriod=TMDMonthly,J334,IF(MDReportingPeriod=TMDTwoweekly,J333,J332)))</f>
        <v>0</v>
      </c>
      <c r="K338" s="509">
        <f>IF(K$15=TMDPeriodValueTypeForecast,IF('Delivery Calculation'!$H$41=TMDAllocationTandM,0,'Delivery Calculation'!T115),IF(MDReportingPeriod=TMDMonthly,K334,IF(MDReportingPeriod=TMDTwoweekly,K333,K332)))</f>
        <v>0</v>
      </c>
      <c r="L338" s="509">
        <f>IF(L$15=TMDPeriodValueTypeForecast,IF('Delivery Calculation'!$H$41=TMDAllocationTandM,0,'Delivery Calculation'!U115),IF(MDReportingPeriod=TMDMonthly,L334,IF(MDReportingPeriod=TMDTwoweekly,L333,L332)))</f>
        <v>0</v>
      </c>
      <c r="M338" s="509">
        <f>IF(M$15=TMDPeriodValueTypeForecast,IF('Delivery Calculation'!$H$41=TMDAllocationTandM,0,'Delivery Calculation'!V115),IF(MDReportingPeriod=TMDMonthly,M334,IF(MDReportingPeriod=TMDTwoweekly,M333,M332)))</f>
        <v>0</v>
      </c>
      <c r="N338" s="509">
        <f>IF(N$15=TMDPeriodValueTypeForecast,IF('Delivery Calculation'!$H$41=TMDAllocationTandM,0,'Delivery Calculation'!W115),IF(MDReportingPeriod=TMDMonthly,N334,IF(MDReportingPeriod=TMDTwoweekly,N333,N332)))</f>
        <v>0</v>
      </c>
      <c r="O338" s="509">
        <f>IF(O$15=TMDPeriodValueTypeForecast,IF('Delivery Calculation'!$H$41=TMDAllocationTandM,0,'Delivery Calculation'!X115),IF(MDReportingPeriod=TMDMonthly,O334,IF(MDReportingPeriod=TMDTwoweekly,O333,O332)))</f>
        <v>0</v>
      </c>
      <c r="P338" s="509">
        <f>IF(P$15=TMDPeriodValueTypeForecast,IF('Delivery Calculation'!$H$41=TMDAllocationTandM,0,'Delivery Calculation'!Y115),IF(MDReportingPeriod=TMDMonthly,P334,IF(MDReportingPeriod=TMDTwoweekly,P333,P332)))</f>
        <v>0</v>
      </c>
      <c r="Q338" s="509">
        <f>IF(Q$15=TMDPeriodValueTypeForecast,IF('Delivery Calculation'!$H$41=TMDAllocationTandM,0,'Delivery Calculation'!Z115),IF(MDReportingPeriod=TMDMonthly,Q334,IF(MDReportingPeriod=TMDTwoweekly,Q333,Q332)))</f>
        <v>0</v>
      </c>
      <c r="R338" s="509">
        <f>IF(R$15=TMDPeriodValueTypeForecast,IF('Delivery Calculation'!$H$41=TMDAllocationTandM,0,'Delivery Calculation'!AA115),IF(MDReportingPeriod=TMDMonthly,R334,IF(MDReportingPeriod=TMDTwoweekly,R333,R332)))</f>
        <v>0</v>
      </c>
      <c r="S338" s="509">
        <f>IF(S$15=TMDPeriodValueTypeForecast,IF('Delivery Calculation'!$H$41=TMDAllocationTandM,0,'Delivery Calculation'!AB115),IF(MDReportingPeriod=TMDMonthly,S334,IF(MDReportingPeriod=TMDTwoweekly,S333,S332)))</f>
        <v>0</v>
      </c>
      <c r="T338" s="509">
        <f>IF(T$15=TMDPeriodValueTypeForecast,IF('Delivery Calculation'!$H$41=TMDAllocationTandM,0,'Delivery Calculation'!AC115),IF(MDReportingPeriod=TMDMonthly,T334,IF(MDReportingPeriod=TMDTwoweekly,T333,T332)))</f>
        <v>0</v>
      </c>
      <c r="U338" s="509">
        <f>IF(U$15=TMDPeriodValueTypeForecast,IF('Delivery Calculation'!$H$41=TMDAllocationTandM,0,'Delivery Calculation'!AD115),IF(MDReportingPeriod=TMDMonthly,U334,IF(MDReportingPeriod=TMDTwoweekly,U333,U332)))</f>
        <v>0</v>
      </c>
      <c r="V338" s="509">
        <f>IF(V$15=TMDPeriodValueTypeForecast,IF('Delivery Calculation'!$H$41=TMDAllocationTandM,0,'Delivery Calculation'!AE115),IF(MDReportingPeriod=TMDMonthly,V334,IF(MDReportingPeriod=TMDTwoweekly,V333,V332)))</f>
        <v>0</v>
      </c>
      <c r="W338" s="509">
        <f>IF(W$15=TMDPeriodValueTypeForecast,IF('Delivery Calculation'!$H$41=TMDAllocationTandM,0,'Delivery Calculation'!AF115),IF(MDReportingPeriod=TMDMonthly,W334,IF(MDReportingPeriod=TMDTwoweekly,W333,W332)))</f>
        <v>0</v>
      </c>
      <c r="X338" s="509">
        <f>IF(X$15=TMDPeriodValueTypeForecast,IF('Delivery Calculation'!$H$41=TMDAllocationTandM,0,'Delivery Calculation'!AG115),IF(MDReportingPeriod=TMDMonthly,X334,IF(MDReportingPeriod=TMDTwoweekly,X333,X332)))</f>
        <v>0</v>
      </c>
      <c r="Y338" s="509">
        <f>IF(Y$15=TMDPeriodValueTypeForecast,IF('Delivery Calculation'!$H$41=TMDAllocationTandM,0,'Delivery Calculation'!AH115),IF(MDReportingPeriod=TMDMonthly,Y334,IF(MDReportingPeriod=TMDTwoweekly,Y333,Y332)))</f>
        <v>0</v>
      </c>
      <c r="Z338" s="509">
        <f>IF(Z$15=TMDPeriodValueTypeForecast,IF('Delivery Calculation'!$H$41=TMDAllocationTandM,0,'Delivery Calculation'!AI115),IF(MDReportingPeriod=TMDMonthly,Z334,IF(MDReportingPeriod=TMDTwoweekly,Z333,Z332)))</f>
        <v>0</v>
      </c>
      <c r="AA338" s="509">
        <f>IF(AA$15=TMDPeriodValueTypeForecast,IF('Delivery Calculation'!$H$41=TMDAllocationTandM,0,'Delivery Calculation'!AJ115),IF(MDReportingPeriod=TMDMonthly,AA334,IF(MDReportingPeriod=TMDTwoweekly,AA333,AA332)))</f>
        <v>0</v>
      </c>
      <c r="AB338" s="509">
        <f>IF(AB$15=TMDPeriodValueTypeForecast,IF('Delivery Calculation'!$H$41=TMDAllocationTandM,0,'Delivery Calculation'!AK115),IF(MDReportingPeriod=TMDMonthly,AB334,IF(MDReportingPeriod=TMDTwoweekly,AB333,AB332)))</f>
        <v>0</v>
      </c>
      <c r="AC338" s="509">
        <f>IF(AC$15=TMDPeriodValueTypeForecast,IF('Delivery Calculation'!$H$41=TMDAllocationTandM,0,'Delivery Calculation'!AL115),IF(MDReportingPeriod=TMDMonthly,AC334,IF(MDReportingPeriod=TMDTwoweekly,AC333,AC332)))</f>
        <v>0</v>
      </c>
      <c r="AD338" s="509">
        <f>IF(AD$15=TMDPeriodValueTypeForecast,IF('Delivery Calculation'!$H$41=TMDAllocationTandM,0,'Delivery Calculation'!AM115),IF(MDReportingPeriod=TMDMonthly,AD334,IF(MDReportingPeriod=TMDTwoweekly,AD333,AD332)))</f>
        <v>0</v>
      </c>
      <c r="AE338" s="509">
        <f>IF(AE$15=TMDPeriodValueTypeForecast,IF('Delivery Calculation'!$H$41=TMDAllocationTandM,0,'Delivery Calculation'!AN115),IF(MDReportingPeriod=TMDMonthly,AE334,IF(MDReportingPeriod=TMDTwoweekly,AE333,AE332)))</f>
        <v>0</v>
      </c>
      <c r="AF338" s="509">
        <f>IF(AF$15=TMDPeriodValueTypeForecast,IF('Delivery Calculation'!$H$41=TMDAllocationTandM,0,'Delivery Calculation'!AO115),IF(MDReportingPeriod=TMDMonthly,AF334,IF(MDReportingPeriod=TMDTwoweekly,AF333,AF332)))</f>
        <v>0</v>
      </c>
      <c r="AG338" s="509">
        <f>IF(AG$15=TMDPeriodValueTypeForecast,IF('Delivery Calculation'!$H$41=TMDAllocationTandM,0,'Delivery Calculation'!AP115),IF(MDReportingPeriod=TMDMonthly,AG334,IF(MDReportingPeriod=TMDTwoweekly,AG333,AG332)))</f>
        <v>0</v>
      </c>
      <c r="AH338" s="509">
        <f>IF(AH$15=TMDPeriodValueTypeForecast,IF('Delivery Calculation'!$H$41=TMDAllocationTandM,0,'Delivery Calculation'!AQ115),IF(MDReportingPeriod=TMDMonthly,AH334,IF(MDReportingPeriod=TMDTwoweekly,AH333,AH332)))</f>
        <v>0</v>
      </c>
      <c r="AI338" s="509">
        <f>IF(AI$15=TMDPeriodValueTypeForecast,IF('Delivery Calculation'!$H$41=TMDAllocationTandM,0,'Delivery Calculation'!AR115),IF(MDReportingPeriod=TMDMonthly,AI334,IF(MDReportingPeriod=TMDTwoweekly,AI333,AI332)))</f>
        <v>0</v>
      </c>
      <c r="AJ338" s="509">
        <f>IF(AJ$15=TMDPeriodValueTypeForecast,IF('Delivery Calculation'!$H$41=TMDAllocationTandM,0,'Delivery Calculation'!AS115),IF(MDReportingPeriod=TMDMonthly,AJ334,IF(MDReportingPeriod=TMDTwoweekly,AJ333,AJ332)))</f>
        <v>0</v>
      </c>
      <c r="AK338" s="509">
        <f>IF(AK$15=TMDPeriodValueTypeForecast,IF('Delivery Calculation'!$H$41=TMDAllocationTandM,0,'Delivery Calculation'!AT115),IF(MDReportingPeriod=TMDMonthly,AK334,IF(MDReportingPeriod=TMDTwoweekly,AK333,AK332)))</f>
        <v>0</v>
      </c>
      <c r="AL338" s="509">
        <f>IF(AL$15=TMDPeriodValueTypeForecast,IF('Delivery Calculation'!$H$41=TMDAllocationTandM,0,'Delivery Calculation'!AU115),IF(MDReportingPeriod=TMDMonthly,AL334,IF(MDReportingPeriod=TMDTwoweekly,AL333,AL332)))</f>
        <v>0</v>
      </c>
      <c r="AM338" s="509">
        <f>IF(AM$15=TMDPeriodValueTypeForecast,IF('Delivery Calculation'!$H$41=TMDAllocationTandM,0,'Delivery Calculation'!AV115),IF(MDReportingPeriod=TMDMonthly,AM334,IF(MDReportingPeriod=TMDTwoweekly,AM333,AM332)))</f>
        <v>0</v>
      </c>
      <c r="AN338" s="509">
        <f>IF(AN$15=TMDPeriodValueTypeForecast,IF('Delivery Calculation'!$H$41=TMDAllocationTandM,0,'Delivery Calculation'!AW115),IF(MDReportingPeriod=TMDMonthly,AN334,IF(MDReportingPeriod=TMDTwoweekly,AN333,AN332)))</f>
        <v>0</v>
      </c>
      <c r="AO338" s="509">
        <f>IF(AO$15=TMDPeriodValueTypeForecast,IF('Delivery Calculation'!$H$41=TMDAllocationTandM,0,'Delivery Calculation'!AX115),IF(MDReportingPeriod=TMDMonthly,AO334,IF(MDReportingPeriod=TMDTwoweekly,AO333,AO332)))</f>
        <v>0</v>
      </c>
      <c r="AP338" s="501"/>
      <c r="AQ338" s="505">
        <f>SUMIF($D$15:$AO$15,TMDPeriodValueTypeReported,D338:AO338)</f>
        <v>0</v>
      </c>
      <c r="AR338" s="505">
        <f>SUMIF($D$15:$AO$15,TMDPeriodValueTypeForecast,D338:AO338)</f>
        <v>0</v>
      </c>
      <c r="AS338" s="523">
        <f>'Delivery Calculation'!I41</f>
        <v>0</v>
      </c>
      <c r="AT338" s="505">
        <f>AS338-(AQ338+AR338)</f>
        <v>0</v>
      </c>
      <c r="AU338" s="505"/>
      <c r="AV338" s="510"/>
      <c r="AW338" s="452"/>
    </row>
    <row r="339" spans="1:50">
      <c r="A339" s="1185"/>
      <c r="B339" s="1182"/>
      <c r="C339" s="499" t="s">
        <v>637</v>
      </c>
      <c r="D339" s="509"/>
      <c r="E339" s="509"/>
      <c r="F339" s="509"/>
      <c r="G339" s="509"/>
      <c r="H339" s="509"/>
      <c r="I339" s="509"/>
      <c r="J339" s="509"/>
      <c r="K339" s="509"/>
      <c r="L339" s="509"/>
      <c r="M339" s="509"/>
      <c r="N339" s="509"/>
      <c r="O339" s="509"/>
      <c r="P339" s="509"/>
      <c r="Q339" s="509"/>
      <c r="R339" s="509"/>
      <c r="S339" s="509"/>
      <c r="T339" s="509"/>
      <c r="U339" s="509"/>
      <c r="V339" s="509"/>
      <c r="W339" s="509"/>
      <c r="X339" s="509"/>
      <c r="Y339" s="509"/>
      <c r="Z339" s="509"/>
      <c r="AA339" s="509"/>
      <c r="AB339" s="509"/>
      <c r="AC339" s="509"/>
      <c r="AD339" s="509"/>
      <c r="AE339" s="509"/>
      <c r="AF339" s="509"/>
      <c r="AG339" s="509"/>
      <c r="AH339" s="509"/>
      <c r="AI339" s="509"/>
      <c r="AJ339" s="509"/>
      <c r="AK339" s="509"/>
      <c r="AL339" s="509"/>
      <c r="AM339" s="509"/>
      <c r="AN339" s="509"/>
      <c r="AO339" s="509"/>
      <c r="AP339" s="501"/>
      <c r="AQ339" s="505">
        <f>SUMIF($D$15:$AO$15,TMDPeriodValueTypeReported,D339:AO339)</f>
        <v>0</v>
      </c>
      <c r="AR339" s="505">
        <f>SUMIF($D$15:$AO$15,TMDPeriodValueTypeForecast,D339:AO339)</f>
        <v>0</v>
      </c>
      <c r="AS339" s="505"/>
      <c r="AT339" s="505">
        <f>AQ339+AR339</f>
        <v>0</v>
      </c>
      <c r="AU339" s="505"/>
      <c r="AV339" s="510"/>
      <c r="AW339" s="452"/>
    </row>
    <row r="340" spans="1:50" hidden="1">
      <c r="A340" s="143"/>
      <c r="B340" s="483"/>
      <c r="C340" s="496" t="s">
        <v>1339</v>
      </c>
      <c r="D340" s="516">
        <f t="shared" ref="D340:AO340" si="174">IF(ISERR(GETPIVOTDATA("[Measures].[Hours]",TRIMARANweekly,"[Order].[Position Number]","[Order].[Position Number].&amp;[" &amp; $B347 &amp; "]","[Period].[Week]","[Period].[Week].&amp;[" &amp; YEAR(D$14-7) &amp; TEXT(WEEKNUM(D$14-7),"00") &amp; "]")),0,GETPIVOTDATA("[Measures].[Hours]",TRIMARANweekly,"[Order].[Position Number]","[Order].[Position Number].&amp;[" &amp; $B347 &amp; "]","[Period].[Week]","[Period].[Week].&amp;[" &amp; YEAR(D$14-7) &amp; TEXT(WEEKNUM(D$14-7),"00") &amp; "]"))</f>
        <v>0</v>
      </c>
      <c r="E340" s="516">
        <f t="shared" si="174"/>
        <v>0</v>
      </c>
      <c r="F340" s="516">
        <f t="shared" si="174"/>
        <v>0</v>
      </c>
      <c r="G340" s="516">
        <f t="shared" si="174"/>
        <v>0</v>
      </c>
      <c r="H340" s="516">
        <f t="shared" si="174"/>
        <v>0</v>
      </c>
      <c r="I340" s="516">
        <f t="shared" si="174"/>
        <v>0</v>
      </c>
      <c r="J340" s="516">
        <f t="shared" si="174"/>
        <v>0</v>
      </c>
      <c r="K340" s="516">
        <f t="shared" si="174"/>
        <v>0</v>
      </c>
      <c r="L340" s="516">
        <f t="shared" si="174"/>
        <v>0</v>
      </c>
      <c r="M340" s="516">
        <f t="shared" si="174"/>
        <v>0</v>
      </c>
      <c r="N340" s="516">
        <f t="shared" si="174"/>
        <v>0</v>
      </c>
      <c r="O340" s="516">
        <f t="shared" si="174"/>
        <v>0</v>
      </c>
      <c r="P340" s="516">
        <f t="shared" si="174"/>
        <v>0</v>
      </c>
      <c r="Q340" s="516">
        <f t="shared" si="174"/>
        <v>0</v>
      </c>
      <c r="R340" s="516">
        <f t="shared" si="174"/>
        <v>0</v>
      </c>
      <c r="S340" s="516">
        <f t="shared" si="174"/>
        <v>0</v>
      </c>
      <c r="T340" s="516">
        <f t="shared" si="174"/>
        <v>0</v>
      </c>
      <c r="U340" s="516">
        <f t="shared" si="174"/>
        <v>0</v>
      </c>
      <c r="V340" s="516">
        <f t="shared" si="174"/>
        <v>0</v>
      </c>
      <c r="W340" s="516">
        <f t="shared" si="174"/>
        <v>0</v>
      </c>
      <c r="X340" s="516">
        <f t="shared" si="174"/>
        <v>0</v>
      </c>
      <c r="Y340" s="516">
        <f t="shared" si="174"/>
        <v>0</v>
      </c>
      <c r="Z340" s="516">
        <f t="shared" si="174"/>
        <v>0</v>
      </c>
      <c r="AA340" s="516">
        <f t="shared" si="174"/>
        <v>0</v>
      </c>
      <c r="AB340" s="516">
        <f t="shared" si="174"/>
        <v>0</v>
      </c>
      <c r="AC340" s="516">
        <f t="shared" si="174"/>
        <v>0</v>
      </c>
      <c r="AD340" s="516">
        <f t="shared" si="174"/>
        <v>0</v>
      </c>
      <c r="AE340" s="516">
        <f t="shared" si="174"/>
        <v>0</v>
      </c>
      <c r="AF340" s="516">
        <f t="shared" si="174"/>
        <v>0</v>
      </c>
      <c r="AG340" s="516">
        <f t="shared" si="174"/>
        <v>0</v>
      </c>
      <c r="AH340" s="516">
        <f t="shared" si="174"/>
        <v>0</v>
      </c>
      <c r="AI340" s="516">
        <f t="shared" si="174"/>
        <v>0</v>
      </c>
      <c r="AJ340" s="516">
        <f t="shared" si="174"/>
        <v>0</v>
      </c>
      <c r="AK340" s="516">
        <f t="shared" si="174"/>
        <v>0</v>
      </c>
      <c r="AL340" s="516">
        <f t="shared" si="174"/>
        <v>0</v>
      </c>
      <c r="AM340" s="516">
        <f t="shared" si="174"/>
        <v>0</v>
      </c>
      <c r="AN340" s="516">
        <f t="shared" si="174"/>
        <v>0</v>
      </c>
      <c r="AO340" s="516">
        <f t="shared" si="174"/>
        <v>0</v>
      </c>
      <c r="AP340" s="501"/>
      <c r="AQ340" s="505"/>
      <c r="AR340" s="505"/>
      <c r="AS340" s="505"/>
      <c r="AT340" s="505"/>
      <c r="AU340" s="505"/>
      <c r="AV340" s="510"/>
      <c r="AW340" s="452"/>
    </row>
    <row r="341" spans="1:50" hidden="1">
      <c r="A341" s="143"/>
      <c r="B341" s="483"/>
      <c r="C341" s="496" t="s">
        <v>1340</v>
      </c>
      <c r="D341" s="516">
        <f t="shared" ref="D341:AO341" si="175">IF(ISERR(GETPIVOTDATA("[Measures].[Hours]",TRIMARANweekly,"[Order].[Position Number]","[Order].[Position Number].&amp;[" &amp; $B347 &amp; "]","[Period].[Week]","[Period].[Week].&amp;[" &amp; YEAR(D$14-14) &amp; TEXT(WEEKNUM(D$14-14),"00") &amp; "]")),0,GETPIVOTDATA("[Measures].[Hours]",TRIMARANweekly,"[Order].[Position Number]","[Order].[Position Number].&amp;[" &amp; $B347 &amp; "]","[Period].[Week]","[Period].[Week].&amp;[" &amp; YEAR(D$14-14) &amp; TEXT(WEEKNUM(D$14-14),"00") &amp; "]"))+D340</f>
        <v>0</v>
      </c>
      <c r="E341" s="516">
        <f t="shared" si="175"/>
        <v>0</v>
      </c>
      <c r="F341" s="516">
        <f t="shared" si="175"/>
        <v>0</v>
      </c>
      <c r="G341" s="516">
        <f t="shared" si="175"/>
        <v>0</v>
      </c>
      <c r="H341" s="516">
        <f t="shared" si="175"/>
        <v>0</v>
      </c>
      <c r="I341" s="516">
        <f t="shared" si="175"/>
        <v>0</v>
      </c>
      <c r="J341" s="516">
        <f t="shared" si="175"/>
        <v>0</v>
      </c>
      <c r="K341" s="516">
        <f t="shared" si="175"/>
        <v>0</v>
      </c>
      <c r="L341" s="516">
        <f t="shared" si="175"/>
        <v>0</v>
      </c>
      <c r="M341" s="516">
        <f t="shared" si="175"/>
        <v>0</v>
      </c>
      <c r="N341" s="516">
        <f t="shared" si="175"/>
        <v>0</v>
      </c>
      <c r="O341" s="516">
        <f t="shared" si="175"/>
        <v>0</v>
      </c>
      <c r="P341" s="516">
        <f t="shared" si="175"/>
        <v>0</v>
      </c>
      <c r="Q341" s="516">
        <f t="shared" si="175"/>
        <v>0</v>
      </c>
      <c r="R341" s="516">
        <f t="shared" si="175"/>
        <v>0</v>
      </c>
      <c r="S341" s="516">
        <f t="shared" si="175"/>
        <v>0</v>
      </c>
      <c r="T341" s="516">
        <f t="shared" si="175"/>
        <v>0</v>
      </c>
      <c r="U341" s="516">
        <f t="shared" si="175"/>
        <v>0</v>
      </c>
      <c r="V341" s="516">
        <f t="shared" si="175"/>
        <v>0</v>
      </c>
      <c r="W341" s="516">
        <f t="shared" si="175"/>
        <v>0</v>
      </c>
      <c r="X341" s="516">
        <f t="shared" si="175"/>
        <v>0</v>
      </c>
      <c r="Y341" s="516">
        <f t="shared" si="175"/>
        <v>0</v>
      </c>
      <c r="Z341" s="516">
        <f t="shared" si="175"/>
        <v>0</v>
      </c>
      <c r="AA341" s="516">
        <f t="shared" si="175"/>
        <v>0</v>
      </c>
      <c r="AB341" s="516">
        <f t="shared" si="175"/>
        <v>0</v>
      </c>
      <c r="AC341" s="516">
        <f t="shared" si="175"/>
        <v>0</v>
      </c>
      <c r="AD341" s="516">
        <f t="shared" si="175"/>
        <v>0</v>
      </c>
      <c r="AE341" s="516">
        <f t="shared" si="175"/>
        <v>0</v>
      </c>
      <c r="AF341" s="516">
        <f t="shared" si="175"/>
        <v>0</v>
      </c>
      <c r="AG341" s="516">
        <f t="shared" si="175"/>
        <v>0</v>
      </c>
      <c r="AH341" s="516">
        <f t="shared" si="175"/>
        <v>0</v>
      </c>
      <c r="AI341" s="516">
        <f t="shared" si="175"/>
        <v>0</v>
      </c>
      <c r="AJ341" s="516">
        <f t="shared" si="175"/>
        <v>0</v>
      </c>
      <c r="AK341" s="516">
        <f t="shared" si="175"/>
        <v>0</v>
      </c>
      <c r="AL341" s="516">
        <f t="shared" si="175"/>
        <v>0</v>
      </c>
      <c r="AM341" s="516">
        <f t="shared" si="175"/>
        <v>0</v>
      </c>
      <c r="AN341" s="516">
        <f t="shared" si="175"/>
        <v>0</v>
      </c>
      <c r="AO341" s="516">
        <f t="shared" si="175"/>
        <v>0</v>
      </c>
      <c r="AP341" s="501"/>
      <c r="AQ341" s="505"/>
      <c r="AR341" s="505"/>
      <c r="AS341" s="505"/>
      <c r="AT341" s="505"/>
      <c r="AU341" s="505"/>
      <c r="AV341" s="510"/>
      <c r="AW341" s="452"/>
    </row>
    <row r="342" spans="1:50" hidden="1">
      <c r="A342" s="143"/>
      <c r="B342" s="483"/>
      <c r="C342" s="496" t="s">
        <v>1341</v>
      </c>
      <c r="D342" s="516">
        <f t="shared" ref="D342:AO342" si="176">IF(ISERR(GETPIVOTDATA("[Measures].[Hours]",TRIMARANmonthly,"[Period].[Month]","[Period].[Month].&amp;["&amp;IF(MONTH(D$14)=1,YEAR(D$14)-1&amp;TEXT(12,"00"),YEAR(D$14)&amp;TEXT(MONTH(D$14)-1,"00"))&amp;"]","[Order].[Position Number]","[Order].[Position Number].&amp;["&amp;$B347&amp;"]")),0,GETPIVOTDATA("[Measures].[Hours]",TRIMARANmonthly,"[Period].[Month]","[Period].[Month].&amp;["&amp;IF(MONTH(D$14)=1,YEAR(D$14)-1&amp;TEXT(12,"00"),YEAR(D$14)&amp;TEXT(MONTH(D$14)-1,"00"))&amp;"]","[Order].[Position Number]","[Order].[Position Number].&amp;["&amp;$B347&amp;"]"))</f>
        <v>0</v>
      </c>
      <c r="E342" s="516">
        <f t="shared" si="176"/>
        <v>0</v>
      </c>
      <c r="F342" s="516">
        <f t="shared" si="176"/>
        <v>0</v>
      </c>
      <c r="G342" s="516">
        <f t="shared" si="176"/>
        <v>0</v>
      </c>
      <c r="H342" s="516">
        <f t="shared" si="176"/>
        <v>0</v>
      </c>
      <c r="I342" s="516">
        <f t="shared" si="176"/>
        <v>0</v>
      </c>
      <c r="J342" s="516">
        <f t="shared" si="176"/>
        <v>0</v>
      </c>
      <c r="K342" s="516">
        <f t="shared" si="176"/>
        <v>0</v>
      </c>
      <c r="L342" s="516">
        <f t="shared" si="176"/>
        <v>0</v>
      </c>
      <c r="M342" s="516">
        <f t="shared" si="176"/>
        <v>0</v>
      </c>
      <c r="N342" s="516">
        <f t="shared" si="176"/>
        <v>0</v>
      </c>
      <c r="O342" s="516">
        <f t="shared" si="176"/>
        <v>0</v>
      </c>
      <c r="P342" s="516">
        <f t="shared" si="176"/>
        <v>0</v>
      </c>
      <c r="Q342" s="516">
        <f t="shared" si="176"/>
        <v>0</v>
      </c>
      <c r="R342" s="516">
        <f t="shared" si="176"/>
        <v>0</v>
      </c>
      <c r="S342" s="516">
        <f t="shared" si="176"/>
        <v>0</v>
      </c>
      <c r="T342" s="516">
        <f t="shared" si="176"/>
        <v>0</v>
      </c>
      <c r="U342" s="516">
        <f t="shared" si="176"/>
        <v>0</v>
      </c>
      <c r="V342" s="516">
        <f t="shared" si="176"/>
        <v>0</v>
      </c>
      <c r="W342" s="516">
        <f t="shared" si="176"/>
        <v>0</v>
      </c>
      <c r="X342" s="516">
        <f t="shared" si="176"/>
        <v>0</v>
      </c>
      <c r="Y342" s="516">
        <f t="shared" si="176"/>
        <v>0</v>
      </c>
      <c r="Z342" s="516">
        <f t="shared" si="176"/>
        <v>0</v>
      </c>
      <c r="AA342" s="516">
        <f t="shared" si="176"/>
        <v>0</v>
      </c>
      <c r="AB342" s="516">
        <f t="shared" si="176"/>
        <v>0</v>
      </c>
      <c r="AC342" s="516">
        <f t="shared" si="176"/>
        <v>0</v>
      </c>
      <c r="AD342" s="516">
        <f t="shared" si="176"/>
        <v>0</v>
      </c>
      <c r="AE342" s="516">
        <f t="shared" si="176"/>
        <v>0</v>
      </c>
      <c r="AF342" s="516">
        <f t="shared" si="176"/>
        <v>0</v>
      </c>
      <c r="AG342" s="516">
        <f t="shared" si="176"/>
        <v>0</v>
      </c>
      <c r="AH342" s="516">
        <f t="shared" si="176"/>
        <v>0</v>
      </c>
      <c r="AI342" s="516">
        <f t="shared" si="176"/>
        <v>0</v>
      </c>
      <c r="AJ342" s="516">
        <f t="shared" si="176"/>
        <v>0</v>
      </c>
      <c r="AK342" s="516">
        <f t="shared" si="176"/>
        <v>0</v>
      </c>
      <c r="AL342" s="516">
        <f t="shared" si="176"/>
        <v>0</v>
      </c>
      <c r="AM342" s="516">
        <f t="shared" si="176"/>
        <v>0</v>
      </c>
      <c r="AN342" s="516">
        <f t="shared" si="176"/>
        <v>0</v>
      </c>
      <c r="AO342" s="516">
        <f t="shared" si="176"/>
        <v>0</v>
      </c>
      <c r="AP342" s="501"/>
      <c r="AQ342" s="505"/>
      <c r="AR342" s="505"/>
      <c r="AS342" s="505"/>
      <c r="AT342" s="505"/>
      <c r="AU342" s="505"/>
      <c r="AV342" s="510"/>
      <c r="AW342" s="452"/>
    </row>
    <row r="343" spans="1:50" hidden="1">
      <c r="A343" s="143"/>
      <c r="B343" s="483"/>
      <c r="C343" s="496" t="s">
        <v>1339</v>
      </c>
      <c r="D343" s="516">
        <f t="shared" ref="D343:AO343" si="177">IF(ISERR(GETPIVOTDATA("[Measures].[" &amp; MDContractCurrency &amp; "]",TRIMARANweekly,"[Order].[Position Number]","[Order].[Position Number].&amp;[" &amp; $B347 &amp; "]","[Period].[Week]","[Period].[Week].&amp;[" &amp; YEAR(D$14-7) &amp; TEXT(WEEKNUM(D$14-7),"00") &amp; "]")),0,GETPIVOTDATA("[Measures].[" &amp; MDContractCurrency &amp; "]",TRIMARANweekly,"[Order].[Position Number]","[Order].[Position Number].&amp;[" &amp; $B347 &amp; "]","[Period].[Week]","[Period].[Week].&amp;[" &amp; YEAR(D$14-7) &amp; TEXT(WEEKNUM(D$14-7),"00") &amp; "]"))</f>
        <v>0</v>
      </c>
      <c r="E343" s="516">
        <f t="shared" si="177"/>
        <v>0</v>
      </c>
      <c r="F343" s="516">
        <f t="shared" si="177"/>
        <v>0</v>
      </c>
      <c r="G343" s="516">
        <f t="shared" si="177"/>
        <v>0</v>
      </c>
      <c r="H343" s="516">
        <f t="shared" si="177"/>
        <v>0</v>
      </c>
      <c r="I343" s="516">
        <f t="shared" si="177"/>
        <v>0</v>
      </c>
      <c r="J343" s="516">
        <f t="shared" si="177"/>
        <v>0</v>
      </c>
      <c r="K343" s="516">
        <f t="shared" si="177"/>
        <v>0</v>
      </c>
      <c r="L343" s="516">
        <f t="shared" si="177"/>
        <v>0</v>
      </c>
      <c r="M343" s="516">
        <f t="shared" si="177"/>
        <v>0</v>
      </c>
      <c r="N343" s="516">
        <f t="shared" si="177"/>
        <v>0</v>
      </c>
      <c r="O343" s="516">
        <f t="shared" si="177"/>
        <v>0</v>
      </c>
      <c r="P343" s="516">
        <f t="shared" si="177"/>
        <v>0</v>
      </c>
      <c r="Q343" s="516">
        <f t="shared" si="177"/>
        <v>0</v>
      </c>
      <c r="R343" s="516">
        <f t="shared" si="177"/>
        <v>0</v>
      </c>
      <c r="S343" s="516">
        <f t="shared" si="177"/>
        <v>0</v>
      </c>
      <c r="T343" s="516">
        <f t="shared" si="177"/>
        <v>0</v>
      </c>
      <c r="U343" s="516">
        <f t="shared" si="177"/>
        <v>0</v>
      </c>
      <c r="V343" s="516">
        <f t="shared" si="177"/>
        <v>0</v>
      </c>
      <c r="W343" s="516">
        <f t="shared" si="177"/>
        <v>0</v>
      </c>
      <c r="X343" s="516">
        <f t="shared" si="177"/>
        <v>0</v>
      </c>
      <c r="Y343" s="516">
        <f t="shared" si="177"/>
        <v>0</v>
      </c>
      <c r="Z343" s="516">
        <f t="shared" si="177"/>
        <v>0</v>
      </c>
      <c r="AA343" s="516">
        <f t="shared" si="177"/>
        <v>0</v>
      </c>
      <c r="AB343" s="516">
        <f t="shared" si="177"/>
        <v>0</v>
      </c>
      <c r="AC343" s="516">
        <f t="shared" si="177"/>
        <v>0</v>
      </c>
      <c r="AD343" s="516">
        <f t="shared" si="177"/>
        <v>0</v>
      </c>
      <c r="AE343" s="516">
        <f t="shared" si="177"/>
        <v>0</v>
      </c>
      <c r="AF343" s="516">
        <f t="shared" si="177"/>
        <v>0</v>
      </c>
      <c r="AG343" s="516">
        <f t="shared" si="177"/>
        <v>0</v>
      </c>
      <c r="AH343" s="516">
        <f t="shared" si="177"/>
        <v>0</v>
      </c>
      <c r="AI343" s="516">
        <f t="shared" si="177"/>
        <v>0</v>
      </c>
      <c r="AJ343" s="516">
        <f t="shared" si="177"/>
        <v>0</v>
      </c>
      <c r="AK343" s="516">
        <f t="shared" si="177"/>
        <v>0</v>
      </c>
      <c r="AL343" s="516">
        <f t="shared" si="177"/>
        <v>0</v>
      </c>
      <c r="AM343" s="516">
        <f t="shared" si="177"/>
        <v>0</v>
      </c>
      <c r="AN343" s="516">
        <f t="shared" si="177"/>
        <v>0</v>
      </c>
      <c r="AO343" s="516">
        <f t="shared" si="177"/>
        <v>0</v>
      </c>
      <c r="AP343" s="501"/>
      <c r="AQ343" s="505"/>
      <c r="AR343" s="505"/>
      <c r="AS343" s="505"/>
      <c r="AT343" s="505"/>
      <c r="AU343" s="505"/>
      <c r="AV343" s="510"/>
      <c r="AW343" s="452"/>
    </row>
    <row r="344" spans="1:50" hidden="1">
      <c r="A344" s="143"/>
      <c r="B344" s="483"/>
      <c r="C344" s="496" t="s">
        <v>1340</v>
      </c>
      <c r="D344" s="516">
        <f t="shared" ref="D344:AO344" si="178">IF(ISERR(GETPIVOTDATA("[Measures].[" &amp; MDContractCurrency &amp; "]",TRIMARANweekly,"[Order].[Position Number]","[Order].[Position Number].&amp;[" &amp; $B347 &amp; "]","[Period].[Week]","[Period].[Week].&amp;[" &amp; YEAR(D$14-14) &amp; TEXT(WEEKNUM(D$14-14),"00") &amp; "]")),0,GETPIVOTDATA("[Measures].[" &amp; MDContractCurrency &amp; "]",TRIMARANweekly,"[Order].[Position Number]","[Order].[Position Number].&amp;[" &amp; $B347 &amp; "]","[Period].[Week]","[Period].[Week].&amp;[" &amp; YEAR(D$14-14) &amp; TEXT(WEEKNUM(D$14-14),"00") &amp; "]"))+D343</f>
        <v>0</v>
      </c>
      <c r="E344" s="516">
        <f t="shared" si="178"/>
        <v>0</v>
      </c>
      <c r="F344" s="516">
        <f t="shared" si="178"/>
        <v>0</v>
      </c>
      <c r="G344" s="516">
        <f t="shared" si="178"/>
        <v>0</v>
      </c>
      <c r="H344" s="516">
        <f t="shared" si="178"/>
        <v>0</v>
      </c>
      <c r="I344" s="516">
        <f t="shared" si="178"/>
        <v>0</v>
      </c>
      <c r="J344" s="516">
        <f t="shared" si="178"/>
        <v>0</v>
      </c>
      <c r="K344" s="516">
        <f t="shared" si="178"/>
        <v>0</v>
      </c>
      <c r="L344" s="516">
        <f t="shared" si="178"/>
        <v>0</v>
      </c>
      <c r="M344" s="516">
        <f t="shared" si="178"/>
        <v>0</v>
      </c>
      <c r="N344" s="516">
        <f t="shared" si="178"/>
        <v>0</v>
      </c>
      <c r="O344" s="516">
        <f t="shared" si="178"/>
        <v>0</v>
      </c>
      <c r="P344" s="516">
        <f t="shared" si="178"/>
        <v>0</v>
      </c>
      <c r="Q344" s="516">
        <f t="shared" si="178"/>
        <v>0</v>
      </c>
      <c r="R344" s="516">
        <f t="shared" si="178"/>
        <v>0</v>
      </c>
      <c r="S344" s="516">
        <f t="shared" si="178"/>
        <v>0</v>
      </c>
      <c r="T344" s="516">
        <f t="shared" si="178"/>
        <v>0</v>
      </c>
      <c r="U344" s="516">
        <f t="shared" si="178"/>
        <v>0</v>
      </c>
      <c r="V344" s="516">
        <f t="shared" si="178"/>
        <v>0</v>
      </c>
      <c r="W344" s="516">
        <f t="shared" si="178"/>
        <v>0</v>
      </c>
      <c r="X344" s="516">
        <f t="shared" si="178"/>
        <v>0</v>
      </c>
      <c r="Y344" s="516">
        <f t="shared" si="178"/>
        <v>0</v>
      </c>
      <c r="Z344" s="516">
        <f t="shared" si="178"/>
        <v>0</v>
      </c>
      <c r="AA344" s="516">
        <f t="shared" si="178"/>
        <v>0</v>
      </c>
      <c r="AB344" s="516">
        <f t="shared" si="178"/>
        <v>0</v>
      </c>
      <c r="AC344" s="516">
        <f t="shared" si="178"/>
        <v>0</v>
      </c>
      <c r="AD344" s="516">
        <f t="shared" si="178"/>
        <v>0</v>
      </c>
      <c r="AE344" s="516">
        <f t="shared" si="178"/>
        <v>0</v>
      </c>
      <c r="AF344" s="516">
        <f t="shared" si="178"/>
        <v>0</v>
      </c>
      <c r="AG344" s="516">
        <f t="shared" si="178"/>
        <v>0</v>
      </c>
      <c r="AH344" s="516">
        <f t="shared" si="178"/>
        <v>0</v>
      </c>
      <c r="AI344" s="516">
        <f t="shared" si="178"/>
        <v>0</v>
      </c>
      <c r="AJ344" s="516">
        <f t="shared" si="178"/>
        <v>0</v>
      </c>
      <c r="AK344" s="516">
        <f t="shared" si="178"/>
        <v>0</v>
      </c>
      <c r="AL344" s="516">
        <f t="shared" si="178"/>
        <v>0</v>
      </c>
      <c r="AM344" s="516">
        <f t="shared" si="178"/>
        <v>0</v>
      </c>
      <c r="AN344" s="516">
        <f t="shared" si="178"/>
        <v>0</v>
      </c>
      <c r="AO344" s="516">
        <f t="shared" si="178"/>
        <v>0</v>
      </c>
      <c r="AP344" s="501"/>
      <c r="AQ344" s="505"/>
      <c r="AR344" s="505"/>
      <c r="AS344" s="505"/>
      <c r="AT344" s="505"/>
      <c r="AU344" s="505"/>
      <c r="AV344" s="510"/>
      <c r="AW344" s="452"/>
    </row>
    <row r="345" spans="1:50" hidden="1">
      <c r="A345" s="141"/>
      <c r="B345" s="517"/>
      <c r="C345" s="496" t="s">
        <v>1341</v>
      </c>
      <c r="D345" s="516">
        <f t="shared" ref="D345:AO345" si="179">IF(ISERR(GETPIVOTDATA("[Measures].[" &amp; MDContractCurrency &amp; "]",TRIMARANmonthly,"[Period].[Month]","[Period].[Month].&amp;["&amp;IF(MONTH(D$14)=1,YEAR(D$14)-1&amp;TEXT(12,"00"),YEAR(D$14)&amp;TEXT(MONTH(D$14)-1,"00"))&amp;"]","[Order].[Position Number]","[Order].[Position Number].&amp;["&amp;$B347&amp;"]")),0,GETPIVOTDATA("[Measures].[" &amp; MDContractCurrency &amp; "]",TRIMARANmonthly,"[Period].[Month]","[Period].[Month].&amp;["&amp;IF(MONTH(D$14)=1,YEAR(D$14)-1&amp;TEXT(12,"00"),YEAR(D$14)&amp;TEXT(MONTH(D$14)-1,"00"))&amp;"]","[Order].[Position Number]","[Order].[Position Number].&amp;["&amp;$B347&amp;"]"))</f>
        <v>0</v>
      </c>
      <c r="E345" s="516">
        <f t="shared" si="179"/>
        <v>0</v>
      </c>
      <c r="F345" s="516">
        <f t="shared" si="179"/>
        <v>0</v>
      </c>
      <c r="G345" s="516">
        <f t="shared" si="179"/>
        <v>0</v>
      </c>
      <c r="H345" s="516">
        <f t="shared" si="179"/>
        <v>0</v>
      </c>
      <c r="I345" s="516">
        <f t="shared" si="179"/>
        <v>0</v>
      </c>
      <c r="J345" s="516">
        <f t="shared" si="179"/>
        <v>0</v>
      </c>
      <c r="K345" s="516">
        <f t="shared" si="179"/>
        <v>0</v>
      </c>
      <c r="L345" s="516">
        <f t="shared" si="179"/>
        <v>0</v>
      </c>
      <c r="M345" s="516">
        <f t="shared" si="179"/>
        <v>0</v>
      </c>
      <c r="N345" s="516">
        <f t="shared" si="179"/>
        <v>0</v>
      </c>
      <c r="O345" s="516">
        <f t="shared" si="179"/>
        <v>0</v>
      </c>
      <c r="P345" s="516">
        <f t="shared" si="179"/>
        <v>0</v>
      </c>
      <c r="Q345" s="516">
        <f t="shared" si="179"/>
        <v>0</v>
      </c>
      <c r="R345" s="516">
        <f t="shared" si="179"/>
        <v>0</v>
      </c>
      <c r="S345" s="516">
        <f t="shared" si="179"/>
        <v>0</v>
      </c>
      <c r="T345" s="516">
        <f t="shared" si="179"/>
        <v>0</v>
      </c>
      <c r="U345" s="516">
        <f t="shared" si="179"/>
        <v>0</v>
      </c>
      <c r="V345" s="516">
        <f t="shared" si="179"/>
        <v>0</v>
      </c>
      <c r="W345" s="516">
        <f t="shared" si="179"/>
        <v>0</v>
      </c>
      <c r="X345" s="516">
        <f t="shared" si="179"/>
        <v>0</v>
      </c>
      <c r="Y345" s="516">
        <f t="shared" si="179"/>
        <v>0</v>
      </c>
      <c r="Z345" s="516">
        <f t="shared" si="179"/>
        <v>0</v>
      </c>
      <c r="AA345" s="516">
        <f t="shared" si="179"/>
        <v>0</v>
      </c>
      <c r="AB345" s="516">
        <f t="shared" si="179"/>
        <v>0</v>
      </c>
      <c r="AC345" s="516">
        <f t="shared" si="179"/>
        <v>0</v>
      </c>
      <c r="AD345" s="516">
        <f t="shared" si="179"/>
        <v>0</v>
      </c>
      <c r="AE345" s="516">
        <f t="shared" si="179"/>
        <v>0</v>
      </c>
      <c r="AF345" s="516">
        <f t="shared" si="179"/>
        <v>0</v>
      </c>
      <c r="AG345" s="516">
        <f t="shared" si="179"/>
        <v>0</v>
      </c>
      <c r="AH345" s="516">
        <f t="shared" si="179"/>
        <v>0</v>
      </c>
      <c r="AI345" s="516">
        <f t="shared" si="179"/>
        <v>0</v>
      </c>
      <c r="AJ345" s="516">
        <f t="shared" si="179"/>
        <v>0</v>
      </c>
      <c r="AK345" s="516">
        <f t="shared" si="179"/>
        <v>0</v>
      </c>
      <c r="AL345" s="516">
        <f t="shared" si="179"/>
        <v>0</v>
      </c>
      <c r="AM345" s="516">
        <f t="shared" si="179"/>
        <v>0</v>
      </c>
      <c r="AN345" s="516">
        <f t="shared" si="179"/>
        <v>0</v>
      </c>
      <c r="AO345" s="516">
        <f t="shared" si="179"/>
        <v>0</v>
      </c>
      <c r="AP345" s="501"/>
      <c r="AQ345" s="505"/>
      <c r="AR345" s="505"/>
      <c r="AS345" s="505"/>
      <c r="AT345" s="505"/>
      <c r="AU345" s="505"/>
      <c r="AV345" s="510"/>
      <c r="AW345" s="452"/>
    </row>
    <row r="346" spans="1:50">
      <c r="A346" s="477"/>
      <c r="B346" s="483"/>
      <c r="C346" s="496"/>
      <c r="D346" s="496"/>
      <c r="E346" s="496"/>
      <c r="F346" s="496"/>
      <c r="G346" s="496"/>
      <c r="H346" s="496"/>
      <c r="I346" s="496"/>
      <c r="J346" s="496"/>
      <c r="K346" s="496"/>
      <c r="L346" s="496"/>
      <c r="M346" s="496"/>
      <c r="N346" s="496"/>
      <c r="O346" s="496"/>
      <c r="P346" s="496"/>
      <c r="Q346" s="496"/>
      <c r="R346" s="496"/>
      <c r="S346" s="496"/>
      <c r="T346" s="496"/>
      <c r="U346" s="496"/>
      <c r="V346" s="496"/>
      <c r="W346" s="496"/>
      <c r="X346" s="496"/>
      <c r="Y346" s="496"/>
      <c r="Z346" s="496"/>
      <c r="AA346" s="496"/>
      <c r="AB346" s="496"/>
      <c r="AC346" s="496"/>
      <c r="AD346" s="496"/>
      <c r="AE346" s="496"/>
      <c r="AF346" s="496"/>
      <c r="AG346" s="496"/>
      <c r="AH346" s="496"/>
      <c r="AI346" s="496"/>
      <c r="AJ346" s="496"/>
      <c r="AK346" s="496"/>
      <c r="AL346" s="496"/>
      <c r="AM346" s="496"/>
      <c r="AN346" s="496"/>
      <c r="AO346" s="496"/>
      <c r="AP346" s="501"/>
      <c r="AQ346" s="505"/>
      <c r="AR346" s="505"/>
      <c r="AS346" s="505"/>
      <c r="AT346" s="505"/>
      <c r="AU346" s="505"/>
      <c r="AV346" s="510"/>
      <c r="AW346" s="452"/>
    </row>
    <row r="347" spans="1:50">
      <c r="A347" s="1183" t="str">
        <f>'Delivery Calculation'!B42 &amp; CHAR(10) &amp; 'Delivery Calculation'!P42 &amp; " - " &amp; 'Delivery Calculation'!Q42</f>
        <v xml:space="preserve">0
 - </v>
      </c>
      <c r="B347" s="1180">
        <f>'Delivery Calculation'!A42</f>
        <v>0</v>
      </c>
      <c r="C347" s="499" t="s">
        <v>638</v>
      </c>
      <c r="D347" s="518">
        <f>'Delivery Calculation'!M223</f>
        <v>0</v>
      </c>
      <c r="E347" s="518">
        <f>'Delivery Calculation'!N223</f>
        <v>0</v>
      </c>
      <c r="F347" s="518">
        <f>'Delivery Calculation'!O223</f>
        <v>0</v>
      </c>
      <c r="G347" s="518">
        <f>'Delivery Calculation'!P223</f>
        <v>0</v>
      </c>
      <c r="H347" s="518">
        <f>'Delivery Calculation'!Q223</f>
        <v>0</v>
      </c>
      <c r="I347" s="518">
        <f>'Delivery Calculation'!R223</f>
        <v>0</v>
      </c>
      <c r="J347" s="518">
        <f>'Delivery Calculation'!S223</f>
        <v>0</v>
      </c>
      <c r="K347" s="518">
        <f>'Delivery Calculation'!T223</f>
        <v>0</v>
      </c>
      <c r="L347" s="518">
        <f>'Delivery Calculation'!U223</f>
        <v>0</v>
      </c>
      <c r="M347" s="518">
        <f>'Delivery Calculation'!V223</f>
        <v>0</v>
      </c>
      <c r="N347" s="518">
        <f>'Delivery Calculation'!W223</f>
        <v>0</v>
      </c>
      <c r="O347" s="518">
        <f>'Delivery Calculation'!X223</f>
        <v>0</v>
      </c>
      <c r="P347" s="518">
        <f>'Delivery Calculation'!Y223</f>
        <v>0</v>
      </c>
      <c r="Q347" s="518">
        <f>'Delivery Calculation'!Z223</f>
        <v>0</v>
      </c>
      <c r="R347" s="518">
        <f>'Delivery Calculation'!AA223</f>
        <v>0</v>
      </c>
      <c r="S347" s="518">
        <f>'Delivery Calculation'!AB223</f>
        <v>0</v>
      </c>
      <c r="T347" s="518">
        <f>'Delivery Calculation'!AC223</f>
        <v>0</v>
      </c>
      <c r="U347" s="518">
        <f>'Delivery Calculation'!AD223</f>
        <v>0</v>
      </c>
      <c r="V347" s="518">
        <f>'Delivery Calculation'!AE223</f>
        <v>0</v>
      </c>
      <c r="W347" s="518">
        <f>'Delivery Calculation'!AF223</f>
        <v>0</v>
      </c>
      <c r="X347" s="518">
        <f>'Delivery Calculation'!AG223</f>
        <v>0</v>
      </c>
      <c r="Y347" s="518">
        <f>'Delivery Calculation'!AH223</f>
        <v>0</v>
      </c>
      <c r="Z347" s="518">
        <f>'Delivery Calculation'!AI223</f>
        <v>0</v>
      </c>
      <c r="AA347" s="518">
        <f>'Delivery Calculation'!AJ223</f>
        <v>0</v>
      </c>
      <c r="AB347" s="518">
        <f>'Delivery Calculation'!AK223</f>
        <v>0</v>
      </c>
      <c r="AC347" s="518">
        <f>'Delivery Calculation'!AL223</f>
        <v>0</v>
      </c>
      <c r="AD347" s="518">
        <f>'Delivery Calculation'!AM223</f>
        <v>0</v>
      </c>
      <c r="AE347" s="518">
        <f>'Delivery Calculation'!AN223</f>
        <v>0</v>
      </c>
      <c r="AF347" s="518">
        <f>'Delivery Calculation'!AO223</f>
        <v>0</v>
      </c>
      <c r="AG347" s="518">
        <f>'Delivery Calculation'!AP223</f>
        <v>0</v>
      </c>
      <c r="AH347" s="518">
        <f>'Delivery Calculation'!AQ223</f>
        <v>0</v>
      </c>
      <c r="AI347" s="518">
        <f>'Delivery Calculation'!AR223</f>
        <v>0</v>
      </c>
      <c r="AJ347" s="518">
        <f>'Delivery Calculation'!AS223</f>
        <v>0</v>
      </c>
      <c r="AK347" s="518">
        <f>'Delivery Calculation'!AT223</f>
        <v>0</v>
      </c>
      <c r="AL347" s="518">
        <f>'Delivery Calculation'!AU223</f>
        <v>0</v>
      </c>
      <c r="AM347" s="518">
        <f>'Delivery Calculation'!AV223</f>
        <v>0</v>
      </c>
      <c r="AN347" s="518">
        <f>'Delivery Calculation'!AW223</f>
        <v>0</v>
      </c>
      <c r="AO347" s="518">
        <f>'Delivery Calculation'!AX223</f>
        <v>0</v>
      </c>
      <c r="AP347" s="501"/>
      <c r="AQ347" s="519">
        <f>IF(COUNTIF($D$15:$AO$15, TMDPeriodValueTypeReported)&gt;0, INDEX(D347:AO347,1,COUNTIF(D$15:$AO$15,TMDPeriodValueTypeReported)),0)</f>
        <v>0</v>
      </c>
      <c r="AR347" s="519"/>
      <c r="AS347" s="520">
        <f>'Delivery Calculation'!N42</f>
        <v>0</v>
      </c>
      <c r="AT347" s="519">
        <f>AQ347*'Delivery Calculation'!N42</f>
        <v>0</v>
      </c>
      <c r="AU347" s="521" t="s">
        <v>522</v>
      </c>
      <c r="AV347" s="510"/>
      <c r="AW347" s="452"/>
    </row>
    <row r="348" spans="1:50">
      <c r="A348" s="1184"/>
      <c r="B348" s="1181"/>
      <c r="C348" s="499" t="s">
        <v>639</v>
      </c>
      <c r="D348" s="509">
        <f>IF(D$15=TMDPeriodValueTypeForecast,IF('Delivery Calculation'!$H$42=TMDAllocationTandM,0,'Delivery Calculation'!M152),IF(MDReportingPeriod=TMDMonthly,D342,IF(MDReportingPeriod=TMDTwoweekly,D341,D340)))</f>
        <v>0</v>
      </c>
      <c r="E348" s="509">
        <f>IF(E$15=TMDPeriodValueTypeForecast,IF('Delivery Calculation'!$H$42=TMDAllocationTandM,0,'Delivery Calculation'!N152),IF(MDReportingPeriod=TMDMonthly,E342,IF(MDReportingPeriod=TMDTwoweekly,E341,E340)))</f>
        <v>0</v>
      </c>
      <c r="F348" s="509">
        <f>IF(F$15=TMDPeriodValueTypeForecast,IF('Delivery Calculation'!$H$42=TMDAllocationTandM,0,'Delivery Calculation'!O152),IF(MDReportingPeriod=TMDMonthly,F342,IF(MDReportingPeriod=TMDTwoweekly,F341,F340)))</f>
        <v>0</v>
      </c>
      <c r="G348" s="509">
        <f>IF(G$15=TMDPeriodValueTypeForecast,IF('Delivery Calculation'!$H$42=TMDAllocationTandM,0,'Delivery Calculation'!P152),IF(MDReportingPeriod=TMDMonthly,G342,IF(MDReportingPeriod=TMDTwoweekly,G341,G340)))</f>
        <v>0</v>
      </c>
      <c r="H348" s="509">
        <f>IF(H$15=TMDPeriodValueTypeForecast,IF('Delivery Calculation'!$H$42=TMDAllocationTandM,0,'Delivery Calculation'!Q152),IF(MDReportingPeriod=TMDMonthly,H342,IF(MDReportingPeriod=TMDTwoweekly,H341,H340)))</f>
        <v>0</v>
      </c>
      <c r="I348" s="509">
        <f>IF(I$15=TMDPeriodValueTypeForecast,IF('Delivery Calculation'!$H$42=TMDAllocationTandM,0,'Delivery Calculation'!R152),IF(MDReportingPeriod=TMDMonthly,I342,IF(MDReportingPeriod=TMDTwoweekly,I341,I340)))</f>
        <v>0</v>
      </c>
      <c r="J348" s="509">
        <f>IF(J$15=TMDPeriodValueTypeForecast,IF('Delivery Calculation'!$H$42=TMDAllocationTandM,0,'Delivery Calculation'!S152),IF(MDReportingPeriod=TMDMonthly,J342,IF(MDReportingPeriod=TMDTwoweekly,J341,J340)))</f>
        <v>0</v>
      </c>
      <c r="K348" s="509">
        <f>IF(K$15=TMDPeriodValueTypeForecast,IF('Delivery Calculation'!$H$42=TMDAllocationTandM,0,'Delivery Calculation'!T152),IF(MDReportingPeriod=TMDMonthly,K342,IF(MDReportingPeriod=TMDTwoweekly,K341,K340)))</f>
        <v>0</v>
      </c>
      <c r="L348" s="509">
        <f>IF(L$15=TMDPeriodValueTypeForecast,IF('Delivery Calculation'!$H$42=TMDAllocationTandM,0,'Delivery Calculation'!U152),IF(MDReportingPeriod=TMDMonthly,L342,IF(MDReportingPeriod=TMDTwoweekly,L341,L340)))</f>
        <v>0</v>
      </c>
      <c r="M348" s="509">
        <f>IF(M$15=TMDPeriodValueTypeForecast,IF('Delivery Calculation'!$H$42=TMDAllocationTandM,0,'Delivery Calculation'!V152),IF(MDReportingPeriod=TMDMonthly,M342,IF(MDReportingPeriod=TMDTwoweekly,M341,M340)))</f>
        <v>0</v>
      </c>
      <c r="N348" s="509">
        <f>IF(N$15=TMDPeriodValueTypeForecast,IF('Delivery Calculation'!$H$42=TMDAllocationTandM,0,'Delivery Calculation'!W152),IF(MDReportingPeriod=TMDMonthly,N342,IF(MDReportingPeriod=TMDTwoweekly,N341,N340)))</f>
        <v>0</v>
      </c>
      <c r="O348" s="509">
        <f>IF(O$15=TMDPeriodValueTypeForecast,IF('Delivery Calculation'!$H$42=TMDAllocationTandM,0,'Delivery Calculation'!X152),IF(MDReportingPeriod=TMDMonthly,O342,IF(MDReportingPeriod=TMDTwoweekly,O341,O340)))</f>
        <v>0</v>
      </c>
      <c r="P348" s="509">
        <f>IF(P$15=TMDPeriodValueTypeForecast,IF('Delivery Calculation'!$H$42=TMDAllocationTandM,0,'Delivery Calculation'!Y152),IF(MDReportingPeriod=TMDMonthly,P342,IF(MDReportingPeriod=TMDTwoweekly,P341,P340)))</f>
        <v>0</v>
      </c>
      <c r="Q348" s="509">
        <f>IF(Q$15=TMDPeriodValueTypeForecast,IF('Delivery Calculation'!$H$42=TMDAllocationTandM,0,'Delivery Calculation'!Z152),IF(MDReportingPeriod=TMDMonthly,Q342,IF(MDReportingPeriod=TMDTwoweekly,Q341,Q340)))</f>
        <v>0</v>
      </c>
      <c r="R348" s="509">
        <f>IF(R$15=TMDPeriodValueTypeForecast,IF('Delivery Calculation'!$H$42=TMDAllocationTandM,0,'Delivery Calculation'!AA152),IF(MDReportingPeriod=TMDMonthly,R342,IF(MDReportingPeriod=TMDTwoweekly,R341,R340)))</f>
        <v>0</v>
      </c>
      <c r="S348" s="509">
        <f>IF(S$15=TMDPeriodValueTypeForecast,IF('Delivery Calculation'!$H$42=TMDAllocationTandM,0,'Delivery Calculation'!AB152),IF(MDReportingPeriod=TMDMonthly,S342,IF(MDReportingPeriod=TMDTwoweekly,S341,S340)))</f>
        <v>0</v>
      </c>
      <c r="T348" s="509">
        <f>IF(T$15=TMDPeriodValueTypeForecast,IF('Delivery Calculation'!$H$42=TMDAllocationTandM,0,'Delivery Calculation'!AC152),IF(MDReportingPeriod=TMDMonthly,T342,IF(MDReportingPeriod=TMDTwoweekly,T341,T340)))</f>
        <v>0</v>
      </c>
      <c r="U348" s="509">
        <f>IF(U$15=TMDPeriodValueTypeForecast,IF('Delivery Calculation'!$H$42=TMDAllocationTandM,0,'Delivery Calculation'!AD152),IF(MDReportingPeriod=TMDMonthly,U342,IF(MDReportingPeriod=TMDTwoweekly,U341,U340)))</f>
        <v>0</v>
      </c>
      <c r="V348" s="509">
        <f>IF(V$15=TMDPeriodValueTypeForecast,IF('Delivery Calculation'!$H$42=TMDAllocationTandM,0,'Delivery Calculation'!AE152),IF(MDReportingPeriod=TMDMonthly,V342,IF(MDReportingPeriod=TMDTwoweekly,V341,V340)))</f>
        <v>0</v>
      </c>
      <c r="W348" s="509">
        <f>IF(W$15=TMDPeriodValueTypeForecast,IF('Delivery Calculation'!$H$42=TMDAllocationTandM,0,'Delivery Calculation'!AF152),IF(MDReportingPeriod=TMDMonthly,W342,IF(MDReportingPeriod=TMDTwoweekly,W341,W340)))</f>
        <v>0</v>
      </c>
      <c r="X348" s="509">
        <f>IF(X$15=TMDPeriodValueTypeForecast,IF('Delivery Calculation'!$H$42=TMDAllocationTandM,0,'Delivery Calculation'!AG152),IF(MDReportingPeriod=TMDMonthly,X342,IF(MDReportingPeriod=TMDTwoweekly,X341,X340)))</f>
        <v>0</v>
      </c>
      <c r="Y348" s="509">
        <f>IF(Y$15=TMDPeriodValueTypeForecast,IF('Delivery Calculation'!$H$42=TMDAllocationTandM,0,'Delivery Calculation'!AH152),IF(MDReportingPeriod=TMDMonthly,Y342,IF(MDReportingPeriod=TMDTwoweekly,Y341,Y340)))</f>
        <v>0</v>
      </c>
      <c r="Z348" s="509">
        <f>IF(Z$15=TMDPeriodValueTypeForecast,IF('Delivery Calculation'!$H$42=TMDAllocationTandM,0,'Delivery Calculation'!AI152),IF(MDReportingPeriod=TMDMonthly,Z342,IF(MDReportingPeriod=TMDTwoweekly,Z341,Z340)))</f>
        <v>0</v>
      </c>
      <c r="AA348" s="509">
        <f>IF(AA$15=TMDPeriodValueTypeForecast,IF('Delivery Calculation'!$H$42=TMDAllocationTandM,0,'Delivery Calculation'!AJ152),IF(MDReportingPeriod=TMDMonthly,AA342,IF(MDReportingPeriod=TMDTwoweekly,AA341,AA340)))</f>
        <v>0</v>
      </c>
      <c r="AB348" s="509">
        <f>IF(AB$15=TMDPeriodValueTypeForecast,IF('Delivery Calculation'!$H$42=TMDAllocationTandM,0,'Delivery Calculation'!AK152),IF(MDReportingPeriod=TMDMonthly,AB342,IF(MDReportingPeriod=TMDTwoweekly,AB341,AB340)))</f>
        <v>0</v>
      </c>
      <c r="AC348" s="509">
        <f>IF(AC$15=TMDPeriodValueTypeForecast,IF('Delivery Calculation'!$H$42=TMDAllocationTandM,0,'Delivery Calculation'!AL152),IF(MDReportingPeriod=TMDMonthly,AC342,IF(MDReportingPeriod=TMDTwoweekly,AC341,AC340)))</f>
        <v>0</v>
      </c>
      <c r="AD348" s="509">
        <f>IF(AD$15=TMDPeriodValueTypeForecast,IF('Delivery Calculation'!$H$42=TMDAllocationTandM,0,'Delivery Calculation'!AM152),IF(MDReportingPeriod=TMDMonthly,AD342,IF(MDReportingPeriod=TMDTwoweekly,AD341,AD340)))</f>
        <v>0</v>
      </c>
      <c r="AE348" s="509">
        <f>IF(AE$15=TMDPeriodValueTypeForecast,IF('Delivery Calculation'!$H$42=TMDAllocationTandM,0,'Delivery Calculation'!AN152),IF(MDReportingPeriod=TMDMonthly,AE342,IF(MDReportingPeriod=TMDTwoweekly,AE341,AE340)))</f>
        <v>0</v>
      </c>
      <c r="AF348" s="509">
        <f>IF(AF$15=TMDPeriodValueTypeForecast,IF('Delivery Calculation'!$H$42=TMDAllocationTandM,0,'Delivery Calculation'!AO152),IF(MDReportingPeriod=TMDMonthly,AF342,IF(MDReportingPeriod=TMDTwoweekly,AF341,AF340)))</f>
        <v>0</v>
      </c>
      <c r="AG348" s="509">
        <f>IF(AG$15=TMDPeriodValueTypeForecast,IF('Delivery Calculation'!$H$42=TMDAllocationTandM,0,'Delivery Calculation'!AP152),IF(MDReportingPeriod=TMDMonthly,AG342,IF(MDReportingPeriod=TMDTwoweekly,AG341,AG340)))</f>
        <v>0</v>
      </c>
      <c r="AH348" s="509">
        <f>IF(AH$15=TMDPeriodValueTypeForecast,IF('Delivery Calculation'!$H$42=TMDAllocationTandM,0,'Delivery Calculation'!AQ152),IF(MDReportingPeriod=TMDMonthly,AH342,IF(MDReportingPeriod=TMDTwoweekly,AH341,AH340)))</f>
        <v>0</v>
      </c>
      <c r="AI348" s="509">
        <f>IF(AI$15=TMDPeriodValueTypeForecast,IF('Delivery Calculation'!$H$42=TMDAllocationTandM,0,'Delivery Calculation'!AR152),IF(MDReportingPeriod=TMDMonthly,AI342,IF(MDReportingPeriod=TMDTwoweekly,AI341,AI340)))</f>
        <v>0</v>
      </c>
      <c r="AJ348" s="509">
        <f>IF(AJ$15=TMDPeriodValueTypeForecast,IF('Delivery Calculation'!$H$42=TMDAllocationTandM,0,'Delivery Calculation'!AS152),IF(MDReportingPeriod=TMDMonthly,AJ342,IF(MDReportingPeriod=TMDTwoweekly,AJ341,AJ340)))</f>
        <v>0</v>
      </c>
      <c r="AK348" s="509">
        <f>IF(AK$15=TMDPeriodValueTypeForecast,IF('Delivery Calculation'!$H$42=TMDAllocationTandM,0,'Delivery Calculation'!AT152),IF(MDReportingPeriod=TMDMonthly,AK342,IF(MDReportingPeriod=TMDTwoweekly,AK341,AK340)))</f>
        <v>0</v>
      </c>
      <c r="AL348" s="509">
        <f>IF(AL$15=TMDPeriodValueTypeForecast,IF('Delivery Calculation'!$H$42=TMDAllocationTandM,0,'Delivery Calculation'!AU152),IF(MDReportingPeriod=TMDMonthly,AL342,IF(MDReportingPeriod=TMDTwoweekly,AL341,AL340)))</f>
        <v>0</v>
      </c>
      <c r="AM348" s="509">
        <f>IF(AM$15=TMDPeriodValueTypeForecast,IF('Delivery Calculation'!$H$42=TMDAllocationTandM,0,'Delivery Calculation'!AV152),IF(MDReportingPeriod=TMDMonthly,AM342,IF(MDReportingPeriod=TMDTwoweekly,AM341,AM340)))</f>
        <v>0</v>
      </c>
      <c r="AN348" s="509">
        <f>IF(AN$15=TMDPeriodValueTypeForecast,IF('Delivery Calculation'!$H$42=TMDAllocationTandM,0,'Delivery Calculation'!AW152),IF(MDReportingPeriod=TMDMonthly,AN342,IF(MDReportingPeriod=TMDTwoweekly,AN341,AN340)))</f>
        <v>0</v>
      </c>
      <c r="AO348" s="509">
        <f>IF(AO$15=TMDPeriodValueTypeForecast,IF('Delivery Calculation'!$H$42=TMDAllocationTandM,0,'Delivery Calculation'!AX152),IF(MDReportingPeriod=TMDMonthly,AO342,IF(MDReportingPeriod=TMDTwoweekly,AO341,AO340)))</f>
        <v>0</v>
      </c>
      <c r="AP348" s="501"/>
      <c r="AQ348" s="505">
        <f>SUMIF($D$15:$AO$15,TMDPeriodValueTypeReported,D348:AO348)</f>
        <v>0</v>
      </c>
      <c r="AR348" s="505">
        <f>SUMIF($D$15:$AO$15,TMDPeriodValueTypeForecast,D348:AO348)</f>
        <v>0</v>
      </c>
      <c r="AS348" s="523">
        <f>'Delivery Calculation'!J42</f>
        <v>0</v>
      </c>
      <c r="AT348" s="505">
        <f>AS348-(AQ348+AR348)</f>
        <v>0</v>
      </c>
      <c r="AU348" s="505"/>
      <c r="AV348" s="510"/>
      <c r="AW348" s="452"/>
    </row>
    <row r="349" spans="1:50">
      <c r="A349" s="1184"/>
      <c r="B349" s="1181"/>
      <c r="C349" s="499" t="s">
        <v>640</v>
      </c>
      <c r="D349" s="509">
        <f>IF(D$15=TMDPeriodValueTypeForecast,IF('Delivery Calculation'!$H$42=TMDAllocationTandM,0,'Delivery Calculation'!M116),IF(MDReportingPeriod=TMDMonthly,D345,IF(MDReportingPeriod=TMDTwoweekly,D344,D343)))</f>
        <v>0</v>
      </c>
      <c r="E349" s="509">
        <f>IF(E$15=TMDPeriodValueTypeForecast,IF('Delivery Calculation'!$H$42=TMDAllocationTandM,0,'Delivery Calculation'!N116),IF(MDReportingPeriod=TMDMonthly,E345,IF(MDReportingPeriod=TMDTwoweekly,E344,E343)))</f>
        <v>0</v>
      </c>
      <c r="F349" s="509">
        <f>IF(F$15=TMDPeriodValueTypeForecast,IF('Delivery Calculation'!$H$42=TMDAllocationTandM,0,'Delivery Calculation'!O116),IF(MDReportingPeriod=TMDMonthly,F345,IF(MDReportingPeriod=TMDTwoweekly,F344,F343)))</f>
        <v>0</v>
      </c>
      <c r="G349" s="509">
        <f>IF(G$15=TMDPeriodValueTypeForecast,IF('Delivery Calculation'!$H$42=TMDAllocationTandM,0,'Delivery Calculation'!P116),IF(MDReportingPeriod=TMDMonthly,G345,IF(MDReportingPeriod=TMDTwoweekly,G344,G343)))</f>
        <v>0</v>
      </c>
      <c r="H349" s="509">
        <f>IF(H$15=TMDPeriodValueTypeForecast,IF('Delivery Calculation'!$H$42=TMDAllocationTandM,0,'Delivery Calculation'!Q116),IF(MDReportingPeriod=TMDMonthly,H345,IF(MDReportingPeriod=TMDTwoweekly,H344,H343)))</f>
        <v>0</v>
      </c>
      <c r="I349" s="509">
        <f>IF(I$15=TMDPeriodValueTypeForecast,IF('Delivery Calculation'!$H$42=TMDAllocationTandM,0,'Delivery Calculation'!R116),IF(MDReportingPeriod=TMDMonthly,I345,IF(MDReportingPeriod=TMDTwoweekly,I344,I343)))</f>
        <v>0</v>
      </c>
      <c r="J349" s="509">
        <f>IF(J$15=TMDPeriodValueTypeForecast,IF('Delivery Calculation'!$H$42=TMDAllocationTandM,0,'Delivery Calculation'!S116),IF(MDReportingPeriod=TMDMonthly,J345,IF(MDReportingPeriod=TMDTwoweekly,J344,J343)))</f>
        <v>0</v>
      </c>
      <c r="K349" s="509">
        <f>IF(K$15=TMDPeriodValueTypeForecast,IF('Delivery Calculation'!$H$42=TMDAllocationTandM,0,'Delivery Calculation'!T116),IF(MDReportingPeriod=TMDMonthly,K345,IF(MDReportingPeriod=TMDTwoweekly,K344,K343)))</f>
        <v>0</v>
      </c>
      <c r="L349" s="509">
        <f>IF(L$15=TMDPeriodValueTypeForecast,IF('Delivery Calculation'!$H$42=TMDAllocationTandM,0,'Delivery Calculation'!U116),IF(MDReportingPeriod=TMDMonthly,L345,IF(MDReportingPeriod=TMDTwoweekly,L344,L343)))</f>
        <v>0</v>
      </c>
      <c r="M349" s="509">
        <f>IF(M$15=TMDPeriodValueTypeForecast,IF('Delivery Calculation'!$H$42=TMDAllocationTandM,0,'Delivery Calculation'!V116),IF(MDReportingPeriod=TMDMonthly,M345,IF(MDReportingPeriod=TMDTwoweekly,M344,M343)))</f>
        <v>0</v>
      </c>
      <c r="N349" s="509">
        <f>IF(N$15=TMDPeriodValueTypeForecast,IF('Delivery Calculation'!$H$42=TMDAllocationTandM,0,'Delivery Calculation'!W116),IF(MDReportingPeriod=TMDMonthly,N345,IF(MDReportingPeriod=TMDTwoweekly,N344,N343)))</f>
        <v>0</v>
      </c>
      <c r="O349" s="509">
        <f>IF(O$15=TMDPeriodValueTypeForecast,IF('Delivery Calculation'!$H$42=TMDAllocationTandM,0,'Delivery Calculation'!X116),IF(MDReportingPeriod=TMDMonthly,O345,IF(MDReportingPeriod=TMDTwoweekly,O344,O343)))</f>
        <v>0</v>
      </c>
      <c r="P349" s="509">
        <f>IF(P$15=TMDPeriodValueTypeForecast,IF('Delivery Calculation'!$H$42=TMDAllocationTandM,0,'Delivery Calculation'!Y116),IF(MDReportingPeriod=TMDMonthly,P345,IF(MDReportingPeriod=TMDTwoweekly,P344,P343)))</f>
        <v>0</v>
      </c>
      <c r="Q349" s="509">
        <f>IF(Q$15=TMDPeriodValueTypeForecast,IF('Delivery Calculation'!$H$42=TMDAllocationTandM,0,'Delivery Calculation'!Z116),IF(MDReportingPeriod=TMDMonthly,Q345,IF(MDReportingPeriod=TMDTwoweekly,Q344,Q343)))</f>
        <v>0</v>
      </c>
      <c r="R349" s="509">
        <f>IF(R$15=TMDPeriodValueTypeForecast,IF('Delivery Calculation'!$H$42=TMDAllocationTandM,0,'Delivery Calculation'!AA116),IF(MDReportingPeriod=TMDMonthly,R345,IF(MDReportingPeriod=TMDTwoweekly,R344,R343)))</f>
        <v>0</v>
      </c>
      <c r="S349" s="509">
        <f>IF(S$15=TMDPeriodValueTypeForecast,IF('Delivery Calculation'!$H$42=TMDAllocationTandM,0,'Delivery Calculation'!AB116),IF(MDReportingPeriod=TMDMonthly,S345,IF(MDReportingPeriod=TMDTwoweekly,S344,S343)))</f>
        <v>0</v>
      </c>
      <c r="T349" s="509">
        <f>IF(T$15=TMDPeriodValueTypeForecast,IF('Delivery Calculation'!$H$42=TMDAllocationTandM,0,'Delivery Calculation'!AC116),IF(MDReportingPeriod=TMDMonthly,T345,IF(MDReportingPeriod=TMDTwoweekly,T344,T343)))</f>
        <v>0</v>
      </c>
      <c r="U349" s="509">
        <f>IF(U$15=TMDPeriodValueTypeForecast,IF('Delivery Calculation'!$H$42=TMDAllocationTandM,0,'Delivery Calculation'!AD116),IF(MDReportingPeriod=TMDMonthly,U345,IF(MDReportingPeriod=TMDTwoweekly,U344,U343)))</f>
        <v>0</v>
      </c>
      <c r="V349" s="509">
        <f>IF(V$15=TMDPeriodValueTypeForecast,IF('Delivery Calculation'!$H$42=TMDAllocationTandM,0,'Delivery Calculation'!AE116),IF(MDReportingPeriod=TMDMonthly,V345,IF(MDReportingPeriod=TMDTwoweekly,V344,V343)))</f>
        <v>0</v>
      </c>
      <c r="W349" s="509">
        <f>IF(W$15=TMDPeriodValueTypeForecast,IF('Delivery Calculation'!$H$42=TMDAllocationTandM,0,'Delivery Calculation'!AF116),IF(MDReportingPeriod=TMDMonthly,W345,IF(MDReportingPeriod=TMDTwoweekly,W344,W343)))</f>
        <v>0</v>
      </c>
      <c r="X349" s="509">
        <f>IF(X$15=TMDPeriodValueTypeForecast,IF('Delivery Calculation'!$H$42=TMDAllocationTandM,0,'Delivery Calculation'!AG116),IF(MDReportingPeriod=TMDMonthly,X345,IF(MDReportingPeriod=TMDTwoweekly,X344,X343)))</f>
        <v>0</v>
      </c>
      <c r="Y349" s="509">
        <f>IF(Y$15=TMDPeriodValueTypeForecast,IF('Delivery Calculation'!$H$42=TMDAllocationTandM,0,'Delivery Calculation'!AH116),IF(MDReportingPeriod=TMDMonthly,Y345,IF(MDReportingPeriod=TMDTwoweekly,Y344,Y343)))</f>
        <v>0</v>
      </c>
      <c r="Z349" s="509">
        <f>IF(Z$15=TMDPeriodValueTypeForecast,IF('Delivery Calculation'!$H$42=TMDAllocationTandM,0,'Delivery Calculation'!AI116),IF(MDReportingPeriod=TMDMonthly,Z345,IF(MDReportingPeriod=TMDTwoweekly,Z344,Z343)))</f>
        <v>0</v>
      </c>
      <c r="AA349" s="509">
        <f>IF(AA$15=TMDPeriodValueTypeForecast,IF('Delivery Calculation'!$H$42=TMDAllocationTandM,0,'Delivery Calculation'!AJ116),IF(MDReportingPeriod=TMDMonthly,AA345,IF(MDReportingPeriod=TMDTwoweekly,AA344,AA343)))</f>
        <v>0</v>
      </c>
      <c r="AB349" s="509">
        <f>IF(AB$15=TMDPeriodValueTypeForecast,IF('Delivery Calculation'!$H$42=TMDAllocationTandM,0,'Delivery Calculation'!AK116),IF(MDReportingPeriod=TMDMonthly,AB345,IF(MDReportingPeriod=TMDTwoweekly,AB344,AB343)))</f>
        <v>0</v>
      </c>
      <c r="AC349" s="509">
        <f>IF(AC$15=TMDPeriodValueTypeForecast,IF('Delivery Calculation'!$H$42=TMDAllocationTandM,0,'Delivery Calculation'!AL116),IF(MDReportingPeriod=TMDMonthly,AC345,IF(MDReportingPeriod=TMDTwoweekly,AC344,AC343)))</f>
        <v>0</v>
      </c>
      <c r="AD349" s="509">
        <f>IF(AD$15=TMDPeriodValueTypeForecast,IF('Delivery Calculation'!$H$42=TMDAllocationTandM,0,'Delivery Calculation'!AM116),IF(MDReportingPeriod=TMDMonthly,AD345,IF(MDReportingPeriod=TMDTwoweekly,AD344,AD343)))</f>
        <v>0</v>
      </c>
      <c r="AE349" s="509">
        <f>IF(AE$15=TMDPeriodValueTypeForecast,IF('Delivery Calculation'!$H$42=TMDAllocationTandM,0,'Delivery Calculation'!AN116),IF(MDReportingPeriod=TMDMonthly,AE345,IF(MDReportingPeriod=TMDTwoweekly,AE344,AE343)))</f>
        <v>0</v>
      </c>
      <c r="AF349" s="509">
        <f>IF(AF$15=TMDPeriodValueTypeForecast,IF('Delivery Calculation'!$H$42=TMDAllocationTandM,0,'Delivery Calculation'!AO116),IF(MDReportingPeriod=TMDMonthly,AF345,IF(MDReportingPeriod=TMDTwoweekly,AF344,AF343)))</f>
        <v>0</v>
      </c>
      <c r="AG349" s="509">
        <f>IF(AG$15=TMDPeriodValueTypeForecast,IF('Delivery Calculation'!$H$42=TMDAllocationTandM,0,'Delivery Calculation'!AP116),IF(MDReportingPeriod=TMDMonthly,AG345,IF(MDReportingPeriod=TMDTwoweekly,AG344,AG343)))</f>
        <v>0</v>
      </c>
      <c r="AH349" s="509">
        <f>IF(AH$15=TMDPeriodValueTypeForecast,IF('Delivery Calculation'!$H$42=TMDAllocationTandM,0,'Delivery Calculation'!AQ116),IF(MDReportingPeriod=TMDMonthly,AH345,IF(MDReportingPeriod=TMDTwoweekly,AH344,AH343)))</f>
        <v>0</v>
      </c>
      <c r="AI349" s="509">
        <f>IF(AI$15=TMDPeriodValueTypeForecast,IF('Delivery Calculation'!$H$42=TMDAllocationTandM,0,'Delivery Calculation'!AR116),IF(MDReportingPeriod=TMDMonthly,AI345,IF(MDReportingPeriod=TMDTwoweekly,AI344,AI343)))</f>
        <v>0</v>
      </c>
      <c r="AJ349" s="509">
        <f>IF(AJ$15=TMDPeriodValueTypeForecast,IF('Delivery Calculation'!$H$42=TMDAllocationTandM,0,'Delivery Calculation'!AS116),IF(MDReportingPeriod=TMDMonthly,AJ345,IF(MDReportingPeriod=TMDTwoweekly,AJ344,AJ343)))</f>
        <v>0</v>
      </c>
      <c r="AK349" s="509">
        <f>IF(AK$15=TMDPeriodValueTypeForecast,IF('Delivery Calculation'!$H$42=TMDAllocationTandM,0,'Delivery Calculation'!AT116),IF(MDReportingPeriod=TMDMonthly,AK345,IF(MDReportingPeriod=TMDTwoweekly,AK344,AK343)))</f>
        <v>0</v>
      </c>
      <c r="AL349" s="509">
        <f>IF(AL$15=TMDPeriodValueTypeForecast,IF('Delivery Calculation'!$H$42=TMDAllocationTandM,0,'Delivery Calculation'!AU116),IF(MDReportingPeriod=TMDMonthly,AL345,IF(MDReportingPeriod=TMDTwoweekly,AL344,AL343)))</f>
        <v>0</v>
      </c>
      <c r="AM349" s="509">
        <f>IF(AM$15=TMDPeriodValueTypeForecast,IF('Delivery Calculation'!$H$42=TMDAllocationTandM,0,'Delivery Calculation'!AV116),IF(MDReportingPeriod=TMDMonthly,AM345,IF(MDReportingPeriod=TMDTwoweekly,AM344,AM343)))</f>
        <v>0</v>
      </c>
      <c r="AN349" s="509">
        <f>IF(AN$15=TMDPeriodValueTypeForecast,IF('Delivery Calculation'!$H$42=TMDAllocationTandM,0,'Delivery Calculation'!AW116),IF(MDReportingPeriod=TMDMonthly,AN345,IF(MDReportingPeriod=TMDTwoweekly,AN344,AN343)))</f>
        <v>0</v>
      </c>
      <c r="AO349" s="509">
        <f>IF(AO$15=TMDPeriodValueTypeForecast,IF('Delivery Calculation'!$H$42=TMDAllocationTandM,0,'Delivery Calculation'!AX116),IF(MDReportingPeriod=TMDMonthly,AO345,IF(MDReportingPeriod=TMDTwoweekly,AO344,AO343)))</f>
        <v>0</v>
      </c>
      <c r="AP349" s="501"/>
      <c r="AQ349" s="505">
        <f>SUMIF($D$15:$AO$15,TMDPeriodValueTypeReported,D349:AO349)</f>
        <v>0</v>
      </c>
      <c r="AR349" s="505">
        <f>SUMIF($D$15:$AO$15,TMDPeriodValueTypeForecast,D349:AO349)</f>
        <v>0</v>
      </c>
      <c r="AS349" s="523">
        <f>'Delivery Calculation'!I42</f>
        <v>0</v>
      </c>
      <c r="AT349" s="505">
        <f>AS349-(AQ349+AR349)</f>
        <v>0</v>
      </c>
      <c r="AU349" s="505"/>
      <c r="AV349" s="510"/>
      <c r="AW349" s="452"/>
    </row>
    <row r="350" spans="1:50">
      <c r="A350" s="1185"/>
      <c r="B350" s="1182"/>
      <c r="C350" s="499" t="s">
        <v>641</v>
      </c>
      <c r="D350" s="509"/>
      <c r="E350" s="509"/>
      <c r="F350" s="509"/>
      <c r="G350" s="509"/>
      <c r="H350" s="509"/>
      <c r="I350" s="509"/>
      <c r="J350" s="509"/>
      <c r="K350" s="509"/>
      <c r="L350" s="509"/>
      <c r="M350" s="509"/>
      <c r="N350" s="509"/>
      <c r="O350" s="509"/>
      <c r="P350" s="509"/>
      <c r="Q350" s="509"/>
      <c r="R350" s="509"/>
      <c r="S350" s="509"/>
      <c r="T350" s="509"/>
      <c r="U350" s="509"/>
      <c r="V350" s="509"/>
      <c r="W350" s="509"/>
      <c r="X350" s="509"/>
      <c r="Y350" s="509"/>
      <c r="Z350" s="509"/>
      <c r="AA350" s="509"/>
      <c r="AB350" s="509"/>
      <c r="AC350" s="509"/>
      <c r="AD350" s="509"/>
      <c r="AE350" s="509"/>
      <c r="AF350" s="509"/>
      <c r="AG350" s="509"/>
      <c r="AH350" s="509"/>
      <c r="AI350" s="509"/>
      <c r="AJ350" s="509"/>
      <c r="AK350" s="509"/>
      <c r="AL350" s="509"/>
      <c r="AM350" s="509"/>
      <c r="AN350" s="509"/>
      <c r="AO350" s="509"/>
      <c r="AP350" s="501"/>
      <c r="AQ350" s="505">
        <f>SUMIF($D$15:$AO$15,TMDPeriodValueTypeReported,D350:AO350)</f>
        <v>0</v>
      </c>
      <c r="AR350" s="505">
        <f>SUMIF($D$15:$AO$15,TMDPeriodValueTypeForecast,D350:AO350)</f>
        <v>0</v>
      </c>
      <c r="AS350" s="505"/>
      <c r="AT350" s="505">
        <f>AQ350+AR350</f>
        <v>0</v>
      </c>
      <c r="AU350" s="505"/>
      <c r="AV350" s="510"/>
      <c r="AW350" s="452"/>
    </row>
    <row r="351" spans="1:50" s="528" customFormat="1">
      <c r="A351" s="526"/>
      <c r="B351" s="526"/>
      <c r="C351" s="526"/>
      <c r="D351" s="527"/>
      <c r="E351" s="527"/>
      <c r="F351" s="527"/>
      <c r="G351" s="527"/>
      <c r="H351" s="527"/>
      <c r="I351" s="527"/>
      <c r="J351" s="527"/>
      <c r="K351" s="527"/>
      <c r="L351" s="527"/>
      <c r="M351" s="527"/>
      <c r="N351" s="527"/>
      <c r="O351" s="527"/>
      <c r="P351" s="527"/>
      <c r="Q351" s="527"/>
      <c r="R351" s="527"/>
      <c r="S351" s="527"/>
      <c r="T351" s="527"/>
      <c r="U351" s="527"/>
      <c r="V351" s="527"/>
      <c r="W351" s="527"/>
      <c r="X351" s="527"/>
      <c r="Y351" s="527"/>
      <c r="Z351" s="527"/>
      <c r="AA351" s="527"/>
      <c r="AB351" s="527"/>
      <c r="AC351" s="527"/>
      <c r="AD351" s="527"/>
      <c r="AE351" s="527"/>
      <c r="AF351" s="527"/>
      <c r="AG351" s="527"/>
      <c r="AH351" s="527"/>
      <c r="AI351" s="527"/>
      <c r="AJ351" s="527"/>
      <c r="AK351" s="527"/>
      <c r="AL351" s="527"/>
      <c r="AM351" s="527"/>
      <c r="AN351" s="527"/>
      <c r="AO351" s="527"/>
      <c r="AP351" s="501"/>
      <c r="AQ351" s="505"/>
      <c r="AR351" s="505"/>
      <c r="AS351" s="505"/>
      <c r="AT351" s="505"/>
      <c r="AU351" s="505"/>
      <c r="AV351" s="510"/>
      <c r="AW351" s="452"/>
      <c r="AX351" s="126"/>
    </row>
    <row r="352" spans="1:50" s="507" customFormat="1">
      <c r="A352" s="529"/>
      <c r="B352" s="529"/>
      <c r="C352" s="530"/>
      <c r="D352" s="531"/>
      <c r="E352" s="531"/>
      <c r="F352" s="531"/>
      <c r="G352" s="531"/>
      <c r="H352" s="531"/>
      <c r="I352" s="531"/>
      <c r="J352" s="531"/>
      <c r="K352" s="531"/>
      <c r="L352" s="531"/>
      <c r="M352" s="531"/>
      <c r="N352" s="531"/>
      <c r="O352" s="531"/>
      <c r="P352" s="531"/>
      <c r="Q352" s="452"/>
      <c r="R352" s="452"/>
      <c r="S352" s="452"/>
      <c r="T352" s="452"/>
      <c r="U352" s="452"/>
      <c r="V352" s="452"/>
      <c r="W352" s="452"/>
      <c r="X352" s="452"/>
      <c r="Y352" s="452"/>
      <c r="Z352" s="452"/>
      <c r="AA352" s="452"/>
      <c r="AB352" s="452"/>
      <c r="AC352" s="452"/>
      <c r="AD352" s="452"/>
      <c r="AE352" s="452"/>
      <c r="AF352" s="452"/>
      <c r="AG352" s="452"/>
      <c r="AH352" s="452"/>
      <c r="AI352" s="452"/>
      <c r="AJ352" s="452"/>
      <c r="AK352" s="452"/>
      <c r="AL352" s="452"/>
      <c r="AM352" s="452"/>
      <c r="AN352" s="452"/>
      <c r="AO352" s="452"/>
      <c r="AP352" s="141"/>
      <c r="AQ352" s="505"/>
      <c r="AR352" s="505"/>
      <c r="AS352" s="505"/>
      <c r="AT352" s="505"/>
      <c r="AU352" s="505"/>
      <c r="AV352" s="510"/>
      <c r="AW352" s="452"/>
      <c r="AX352" s="126"/>
    </row>
    <row r="353" spans="1:50" s="507" customFormat="1">
      <c r="A353" s="529"/>
      <c r="B353" s="1178" t="s">
        <v>642</v>
      </c>
      <c r="C353" s="1178"/>
      <c r="D353" s="531"/>
      <c r="E353" s="531"/>
      <c r="F353" s="531"/>
      <c r="G353" s="531"/>
      <c r="H353" s="531"/>
      <c r="I353" s="531"/>
      <c r="J353" s="531"/>
      <c r="K353" s="531"/>
      <c r="L353" s="531"/>
      <c r="M353" s="531"/>
      <c r="N353" s="531"/>
      <c r="O353" s="531"/>
      <c r="P353" s="531"/>
      <c r="Q353" s="452"/>
      <c r="R353" s="452"/>
      <c r="S353" s="452"/>
      <c r="T353" s="452"/>
      <c r="U353" s="452"/>
      <c r="V353" s="452"/>
      <c r="W353" s="452"/>
      <c r="X353" s="452"/>
      <c r="Y353" s="452"/>
      <c r="Z353" s="452"/>
      <c r="AA353" s="452"/>
      <c r="AB353" s="452"/>
      <c r="AC353" s="452"/>
      <c r="AD353" s="452"/>
      <c r="AE353" s="452"/>
      <c r="AF353" s="452"/>
      <c r="AG353" s="452"/>
      <c r="AH353" s="452"/>
      <c r="AI353" s="452"/>
      <c r="AJ353" s="452"/>
      <c r="AK353" s="452"/>
      <c r="AL353" s="452"/>
      <c r="AM353" s="452"/>
      <c r="AN353" s="452"/>
      <c r="AO353" s="452"/>
      <c r="AP353" s="141"/>
      <c r="AQ353" s="505"/>
      <c r="AR353" s="505"/>
      <c r="AS353" s="505"/>
      <c r="AT353" s="505"/>
      <c r="AU353" s="505"/>
      <c r="AV353" s="510"/>
      <c r="AW353" s="452"/>
      <c r="AX353" s="126"/>
    </row>
    <row r="354" spans="1:50" s="507" customFormat="1" ht="15" customHeight="1">
      <c r="A354" s="452"/>
      <c r="B354" s="1179" t="s">
        <v>263</v>
      </c>
      <c r="C354" s="1179"/>
      <c r="D354" s="532">
        <f t="shared" ref="D354:AO354" si="180">IF(D15=TMDPeriodValueTypeReported,D19,0)</f>
        <v>0</v>
      </c>
      <c r="E354" s="532">
        <f t="shared" si="180"/>
        <v>0</v>
      </c>
      <c r="F354" s="532">
        <f t="shared" si="180"/>
        <v>0</v>
      </c>
      <c r="G354" s="532">
        <f t="shared" si="180"/>
        <v>0</v>
      </c>
      <c r="H354" s="532">
        <f t="shared" si="180"/>
        <v>0</v>
      </c>
      <c r="I354" s="532">
        <f t="shared" si="180"/>
        <v>0</v>
      </c>
      <c r="J354" s="532">
        <f t="shared" si="180"/>
        <v>0</v>
      </c>
      <c r="K354" s="532">
        <f t="shared" si="180"/>
        <v>0</v>
      </c>
      <c r="L354" s="532">
        <f t="shared" si="180"/>
        <v>0</v>
      </c>
      <c r="M354" s="532">
        <f t="shared" si="180"/>
        <v>0</v>
      </c>
      <c r="N354" s="532">
        <f t="shared" si="180"/>
        <v>0</v>
      </c>
      <c r="O354" s="532">
        <f t="shared" si="180"/>
        <v>0</v>
      </c>
      <c r="P354" s="532">
        <f t="shared" si="180"/>
        <v>0</v>
      </c>
      <c r="Q354" s="532">
        <f t="shared" si="180"/>
        <v>0</v>
      </c>
      <c r="R354" s="532">
        <f t="shared" si="180"/>
        <v>0</v>
      </c>
      <c r="S354" s="532">
        <f t="shared" si="180"/>
        <v>0</v>
      </c>
      <c r="T354" s="532">
        <f t="shared" si="180"/>
        <v>0</v>
      </c>
      <c r="U354" s="532">
        <f t="shared" si="180"/>
        <v>0</v>
      </c>
      <c r="V354" s="532">
        <f t="shared" si="180"/>
        <v>0</v>
      </c>
      <c r="W354" s="532">
        <f t="shared" si="180"/>
        <v>0</v>
      </c>
      <c r="X354" s="532">
        <f t="shared" si="180"/>
        <v>0</v>
      </c>
      <c r="Y354" s="532">
        <f t="shared" si="180"/>
        <v>0</v>
      </c>
      <c r="Z354" s="532">
        <f t="shared" si="180"/>
        <v>0</v>
      </c>
      <c r="AA354" s="532">
        <f t="shared" si="180"/>
        <v>0</v>
      </c>
      <c r="AB354" s="532">
        <f t="shared" si="180"/>
        <v>0</v>
      </c>
      <c r="AC354" s="532">
        <f t="shared" si="180"/>
        <v>0</v>
      </c>
      <c r="AD354" s="532">
        <f t="shared" si="180"/>
        <v>0</v>
      </c>
      <c r="AE354" s="532">
        <f t="shared" si="180"/>
        <v>0</v>
      </c>
      <c r="AF354" s="532">
        <f t="shared" si="180"/>
        <v>0</v>
      </c>
      <c r="AG354" s="532">
        <f t="shared" si="180"/>
        <v>0</v>
      </c>
      <c r="AH354" s="532">
        <f t="shared" si="180"/>
        <v>0</v>
      </c>
      <c r="AI354" s="532">
        <f t="shared" si="180"/>
        <v>0</v>
      </c>
      <c r="AJ354" s="532">
        <f t="shared" si="180"/>
        <v>0</v>
      </c>
      <c r="AK354" s="532">
        <f t="shared" si="180"/>
        <v>0</v>
      </c>
      <c r="AL354" s="532">
        <f t="shared" si="180"/>
        <v>0</v>
      </c>
      <c r="AM354" s="532">
        <f t="shared" si="180"/>
        <v>0</v>
      </c>
      <c r="AN354" s="532">
        <f t="shared" si="180"/>
        <v>0</v>
      </c>
      <c r="AO354" s="532">
        <f t="shared" si="180"/>
        <v>0</v>
      </c>
      <c r="AP354" s="141"/>
      <c r="AQ354" s="523">
        <f>SUM(D354:AO354)</f>
        <v>0</v>
      </c>
      <c r="AR354" s="523">
        <f>SUM(D369:AO369)</f>
        <v>0</v>
      </c>
      <c r="AS354" s="523">
        <f>SUM(D384:AP384)</f>
        <v>0</v>
      </c>
      <c r="AT354" s="505"/>
      <c r="AU354" s="505"/>
      <c r="AV354" s="510"/>
      <c r="AW354" s="452"/>
      <c r="AX354" s="126"/>
    </row>
    <row r="355" spans="1:50" s="507" customFormat="1" ht="15" customHeight="1">
      <c r="A355" s="452"/>
      <c r="B355" s="1179" t="s">
        <v>264</v>
      </c>
      <c r="C355" s="1179"/>
      <c r="D355" s="532">
        <f t="shared" ref="D355:AO355" si="181">IF(D15=TMDPeriodValueTypeReported,D30+D41+D52+D63+D74+D85+D96+D107+D118+D129+D140+D151+D162+D173+D184+D195+D206+D217+D228+D239+D250+D261+D272+D283+D294+D305+D316+D327+D338+D349,0)</f>
        <v>0</v>
      </c>
      <c r="E355" s="532">
        <f t="shared" si="181"/>
        <v>0</v>
      </c>
      <c r="F355" s="532">
        <f t="shared" si="181"/>
        <v>0</v>
      </c>
      <c r="G355" s="532">
        <f t="shared" si="181"/>
        <v>0</v>
      </c>
      <c r="H355" s="532">
        <f t="shared" si="181"/>
        <v>0</v>
      </c>
      <c r="I355" s="532">
        <f t="shared" si="181"/>
        <v>0</v>
      </c>
      <c r="J355" s="532">
        <f t="shared" si="181"/>
        <v>0</v>
      </c>
      <c r="K355" s="532">
        <f t="shared" si="181"/>
        <v>0</v>
      </c>
      <c r="L355" s="532">
        <f t="shared" si="181"/>
        <v>0</v>
      </c>
      <c r="M355" s="532">
        <f t="shared" si="181"/>
        <v>0</v>
      </c>
      <c r="N355" s="532">
        <f t="shared" si="181"/>
        <v>0</v>
      </c>
      <c r="O355" s="532">
        <f t="shared" si="181"/>
        <v>0</v>
      </c>
      <c r="P355" s="532">
        <f t="shared" si="181"/>
        <v>0</v>
      </c>
      <c r="Q355" s="532">
        <f t="shared" si="181"/>
        <v>0</v>
      </c>
      <c r="R355" s="532">
        <f t="shared" si="181"/>
        <v>0</v>
      </c>
      <c r="S355" s="532">
        <f t="shared" si="181"/>
        <v>0</v>
      </c>
      <c r="T355" s="532">
        <f t="shared" si="181"/>
        <v>0</v>
      </c>
      <c r="U355" s="532">
        <f t="shared" si="181"/>
        <v>0</v>
      </c>
      <c r="V355" s="532">
        <f t="shared" si="181"/>
        <v>0</v>
      </c>
      <c r="W355" s="532">
        <f t="shared" si="181"/>
        <v>0</v>
      </c>
      <c r="X355" s="532">
        <f t="shared" si="181"/>
        <v>0</v>
      </c>
      <c r="Y355" s="532">
        <f t="shared" si="181"/>
        <v>0</v>
      </c>
      <c r="Z355" s="532">
        <f t="shared" si="181"/>
        <v>0</v>
      </c>
      <c r="AA355" s="532">
        <f t="shared" si="181"/>
        <v>0</v>
      </c>
      <c r="AB355" s="532">
        <f t="shared" si="181"/>
        <v>0</v>
      </c>
      <c r="AC355" s="532">
        <f t="shared" si="181"/>
        <v>0</v>
      </c>
      <c r="AD355" s="532">
        <f t="shared" si="181"/>
        <v>0</v>
      </c>
      <c r="AE355" s="532">
        <f t="shared" si="181"/>
        <v>0</v>
      </c>
      <c r="AF355" s="532">
        <f t="shared" si="181"/>
        <v>0</v>
      </c>
      <c r="AG355" s="532">
        <f t="shared" si="181"/>
        <v>0</v>
      </c>
      <c r="AH355" s="532">
        <f t="shared" si="181"/>
        <v>0</v>
      </c>
      <c r="AI355" s="532">
        <f t="shared" si="181"/>
        <v>0</v>
      </c>
      <c r="AJ355" s="532">
        <f t="shared" si="181"/>
        <v>0</v>
      </c>
      <c r="AK355" s="532">
        <f t="shared" si="181"/>
        <v>0</v>
      </c>
      <c r="AL355" s="532">
        <f t="shared" si="181"/>
        <v>0</v>
      </c>
      <c r="AM355" s="532">
        <f t="shared" si="181"/>
        <v>0</v>
      </c>
      <c r="AN355" s="532">
        <f t="shared" si="181"/>
        <v>0</v>
      </c>
      <c r="AO355" s="532">
        <f t="shared" si="181"/>
        <v>0</v>
      </c>
      <c r="AP355" s="452"/>
      <c r="AQ355" s="523">
        <f>SUM(D355:AO355)</f>
        <v>0</v>
      </c>
      <c r="AR355" s="523">
        <f ca="1">SUM(D370:AO370)</f>
        <v>0</v>
      </c>
      <c r="AS355" s="523">
        <f>SUM(D385:AO385)</f>
        <v>0</v>
      </c>
      <c r="AT355" s="505"/>
      <c r="AU355" s="505"/>
      <c r="AV355" s="510"/>
      <c r="AW355" s="452"/>
    </row>
    <row r="356" spans="1:50" s="507" customFormat="1" ht="15" customHeight="1">
      <c r="A356" s="452"/>
      <c r="B356" s="1179" t="s">
        <v>643</v>
      </c>
      <c r="C356" s="1179"/>
      <c r="D356" s="532">
        <f>SUM(D354:D355)</f>
        <v>0</v>
      </c>
      <c r="E356" s="532">
        <f t="shared" ref="E356:AO356" si="182">SUM(E354:E355)</f>
        <v>0</v>
      </c>
      <c r="F356" s="532">
        <f t="shared" si="182"/>
        <v>0</v>
      </c>
      <c r="G356" s="532">
        <f t="shared" si="182"/>
        <v>0</v>
      </c>
      <c r="H356" s="532">
        <f t="shared" si="182"/>
        <v>0</v>
      </c>
      <c r="I356" s="532">
        <f t="shared" si="182"/>
        <v>0</v>
      </c>
      <c r="J356" s="532">
        <f t="shared" si="182"/>
        <v>0</v>
      </c>
      <c r="K356" s="532">
        <f t="shared" si="182"/>
        <v>0</v>
      </c>
      <c r="L356" s="532">
        <f t="shared" si="182"/>
        <v>0</v>
      </c>
      <c r="M356" s="532">
        <f t="shared" si="182"/>
        <v>0</v>
      </c>
      <c r="N356" s="532">
        <f t="shared" si="182"/>
        <v>0</v>
      </c>
      <c r="O356" s="532">
        <f t="shared" si="182"/>
        <v>0</v>
      </c>
      <c r="P356" s="532">
        <f t="shared" si="182"/>
        <v>0</v>
      </c>
      <c r="Q356" s="532">
        <f t="shared" si="182"/>
        <v>0</v>
      </c>
      <c r="R356" s="532">
        <f t="shared" si="182"/>
        <v>0</v>
      </c>
      <c r="S356" s="532">
        <f t="shared" si="182"/>
        <v>0</v>
      </c>
      <c r="T356" s="532">
        <f t="shared" si="182"/>
        <v>0</v>
      </c>
      <c r="U356" s="532">
        <f t="shared" si="182"/>
        <v>0</v>
      </c>
      <c r="V356" s="532">
        <f t="shared" si="182"/>
        <v>0</v>
      </c>
      <c r="W356" s="532">
        <f t="shared" si="182"/>
        <v>0</v>
      </c>
      <c r="X356" s="532">
        <f t="shared" si="182"/>
        <v>0</v>
      </c>
      <c r="Y356" s="532">
        <f t="shared" si="182"/>
        <v>0</v>
      </c>
      <c r="Z356" s="532">
        <f t="shared" si="182"/>
        <v>0</v>
      </c>
      <c r="AA356" s="532">
        <f t="shared" si="182"/>
        <v>0</v>
      </c>
      <c r="AB356" s="532">
        <f t="shared" si="182"/>
        <v>0</v>
      </c>
      <c r="AC356" s="532">
        <f t="shared" si="182"/>
        <v>0</v>
      </c>
      <c r="AD356" s="532">
        <f t="shared" si="182"/>
        <v>0</v>
      </c>
      <c r="AE356" s="532">
        <f t="shared" si="182"/>
        <v>0</v>
      </c>
      <c r="AF356" s="532">
        <f t="shared" si="182"/>
        <v>0</v>
      </c>
      <c r="AG356" s="532">
        <f t="shared" si="182"/>
        <v>0</v>
      </c>
      <c r="AH356" s="532">
        <f t="shared" si="182"/>
        <v>0</v>
      </c>
      <c r="AI356" s="532">
        <f t="shared" si="182"/>
        <v>0</v>
      </c>
      <c r="AJ356" s="532">
        <f t="shared" si="182"/>
        <v>0</v>
      </c>
      <c r="AK356" s="532">
        <f t="shared" si="182"/>
        <v>0</v>
      </c>
      <c r="AL356" s="532">
        <f t="shared" si="182"/>
        <v>0</v>
      </c>
      <c r="AM356" s="532">
        <f t="shared" si="182"/>
        <v>0</v>
      </c>
      <c r="AN356" s="532">
        <f t="shared" si="182"/>
        <v>0</v>
      </c>
      <c r="AO356" s="532">
        <f t="shared" si="182"/>
        <v>0</v>
      </c>
      <c r="AP356" s="141"/>
      <c r="AQ356" s="523">
        <f>SUM(AQ354:AQ355)</f>
        <v>0</v>
      </c>
      <c r="AR356" s="523">
        <f ca="1">SUM(D371:AO371)</f>
        <v>0</v>
      </c>
      <c r="AS356" s="523">
        <f>SUM(AS354:AS355)</f>
        <v>0</v>
      </c>
      <c r="AT356" s="505"/>
      <c r="AU356" s="505"/>
      <c r="AV356" s="510"/>
      <c r="AW356" s="452"/>
      <c r="AX356" s="126"/>
    </row>
    <row r="357" spans="1:50" s="507" customFormat="1">
      <c r="A357" s="452"/>
      <c r="B357" s="510"/>
      <c r="C357" s="505"/>
      <c r="D357" s="452"/>
      <c r="E357" s="452"/>
      <c r="F357" s="452"/>
      <c r="G357" s="452"/>
      <c r="H357" s="452"/>
      <c r="I357" s="452"/>
      <c r="J357" s="452"/>
      <c r="K357" s="452"/>
      <c r="L357" s="452"/>
      <c r="M357" s="452"/>
      <c r="N357" s="452"/>
      <c r="O357" s="452"/>
      <c r="P357" s="452"/>
      <c r="Q357" s="452"/>
      <c r="R357" s="452"/>
      <c r="S357" s="452"/>
      <c r="T357" s="452"/>
      <c r="U357" s="452"/>
      <c r="V357" s="452"/>
      <c r="W357" s="452"/>
      <c r="X357" s="452"/>
      <c r="Y357" s="452"/>
      <c r="Z357" s="452"/>
      <c r="AA357" s="452"/>
      <c r="AB357" s="452"/>
      <c r="AC357" s="452"/>
      <c r="AD357" s="452"/>
      <c r="AE357" s="452"/>
      <c r="AF357" s="452"/>
      <c r="AG357" s="452"/>
      <c r="AH357" s="452"/>
      <c r="AI357" s="452"/>
      <c r="AJ357" s="452"/>
      <c r="AK357" s="452"/>
      <c r="AL357" s="452"/>
      <c r="AM357" s="452"/>
      <c r="AN357" s="452"/>
      <c r="AO357" s="452"/>
      <c r="AP357" s="141"/>
      <c r="AQ357" s="505"/>
      <c r="AR357" s="505"/>
      <c r="AS357" s="505"/>
      <c r="AT357" s="505"/>
      <c r="AU357" s="505"/>
      <c r="AV357" s="510"/>
      <c r="AW357" s="452"/>
      <c r="AX357" s="126"/>
    </row>
    <row r="358" spans="1:50" s="507" customFormat="1" ht="15" customHeight="1">
      <c r="A358" s="452"/>
      <c r="B358" s="1179" t="s">
        <v>265</v>
      </c>
      <c r="C358" s="1179"/>
      <c r="D358" s="532">
        <f t="shared" ref="D358:AO358" si="183">IF(D15=TMDPeriodValueTypeReported,D20,0)</f>
        <v>0</v>
      </c>
      <c r="E358" s="532">
        <f t="shared" si="183"/>
        <v>0</v>
      </c>
      <c r="F358" s="532">
        <f t="shared" si="183"/>
        <v>0</v>
      </c>
      <c r="G358" s="532">
        <f t="shared" si="183"/>
        <v>0</v>
      </c>
      <c r="H358" s="532">
        <f t="shared" si="183"/>
        <v>0</v>
      </c>
      <c r="I358" s="532">
        <f t="shared" si="183"/>
        <v>0</v>
      </c>
      <c r="J358" s="532">
        <f t="shared" si="183"/>
        <v>0</v>
      </c>
      <c r="K358" s="532">
        <f t="shared" si="183"/>
        <v>0</v>
      </c>
      <c r="L358" s="532">
        <f t="shared" si="183"/>
        <v>0</v>
      </c>
      <c r="M358" s="532">
        <f t="shared" si="183"/>
        <v>0</v>
      </c>
      <c r="N358" s="532">
        <f t="shared" si="183"/>
        <v>0</v>
      </c>
      <c r="O358" s="532">
        <f t="shared" si="183"/>
        <v>0</v>
      </c>
      <c r="P358" s="532">
        <f t="shared" si="183"/>
        <v>0</v>
      </c>
      <c r="Q358" s="532">
        <f t="shared" si="183"/>
        <v>0</v>
      </c>
      <c r="R358" s="532">
        <f t="shared" si="183"/>
        <v>0</v>
      </c>
      <c r="S358" s="532">
        <f t="shared" si="183"/>
        <v>0</v>
      </c>
      <c r="T358" s="532">
        <f t="shared" si="183"/>
        <v>0</v>
      </c>
      <c r="U358" s="532">
        <f t="shared" si="183"/>
        <v>0</v>
      </c>
      <c r="V358" s="532">
        <f t="shared" si="183"/>
        <v>0</v>
      </c>
      <c r="W358" s="532">
        <f t="shared" si="183"/>
        <v>0</v>
      </c>
      <c r="X358" s="532">
        <f t="shared" si="183"/>
        <v>0</v>
      </c>
      <c r="Y358" s="532">
        <f t="shared" si="183"/>
        <v>0</v>
      </c>
      <c r="Z358" s="532">
        <f t="shared" si="183"/>
        <v>0</v>
      </c>
      <c r="AA358" s="532">
        <f t="shared" si="183"/>
        <v>0</v>
      </c>
      <c r="AB358" s="532">
        <f t="shared" si="183"/>
        <v>0</v>
      </c>
      <c r="AC358" s="532">
        <f t="shared" si="183"/>
        <v>0</v>
      </c>
      <c r="AD358" s="532">
        <f t="shared" si="183"/>
        <v>0</v>
      </c>
      <c r="AE358" s="532">
        <f t="shared" si="183"/>
        <v>0</v>
      </c>
      <c r="AF358" s="532">
        <f t="shared" si="183"/>
        <v>0</v>
      </c>
      <c r="AG358" s="532">
        <f t="shared" si="183"/>
        <v>0</v>
      </c>
      <c r="AH358" s="532">
        <f t="shared" si="183"/>
        <v>0</v>
      </c>
      <c r="AI358" s="532">
        <f t="shared" si="183"/>
        <v>0</v>
      </c>
      <c r="AJ358" s="532">
        <f t="shared" si="183"/>
        <v>0</v>
      </c>
      <c r="AK358" s="532">
        <f t="shared" si="183"/>
        <v>0</v>
      </c>
      <c r="AL358" s="532">
        <f t="shared" si="183"/>
        <v>0</v>
      </c>
      <c r="AM358" s="532">
        <f t="shared" si="183"/>
        <v>0</v>
      </c>
      <c r="AN358" s="532">
        <f t="shared" si="183"/>
        <v>0</v>
      </c>
      <c r="AO358" s="532">
        <f t="shared" si="183"/>
        <v>0</v>
      </c>
      <c r="AP358" s="141"/>
      <c r="AQ358" s="523">
        <f>SUM(D358:AO358)</f>
        <v>0</v>
      </c>
      <c r="AR358" s="523">
        <f>SUM(D373:AO373)</f>
        <v>0</v>
      </c>
      <c r="AS358" s="523"/>
      <c r="AT358" s="505"/>
      <c r="AU358" s="505"/>
      <c r="AV358" s="510"/>
      <c r="AW358" s="452"/>
      <c r="AX358" s="126"/>
    </row>
    <row r="359" spans="1:50" s="507" customFormat="1" ht="15" customHeight="1">
      <c r="A359" s="452"/>
      <c r="B359" s="1179" t="s">
        <v>644</v>
      </c>
      <c r="C359" s="1179"/>
      <c r="D359" s="532">
        <f t="shared" ref="D359:AO359" si="184">IF(D15=TMDPeriodValueTypeReported,D31+D42+D53+D64+D75+D86+D97+D108+D119+D130+D141+D152+D163+D174+D185+D196+D207+D218+D229+D240+D251+D262+D273+D284+D295+D306+D317+D328+D339+D350,0)</f>
        <v>0</v>
      </c>
      <c r="E359" s="532">
        <f t="shared" si="184"/>
        <v>0</v>
      </c>
      <c r="F359" s="532">
        <f t="shared" si="184"/>
        <v>0</v>
      </c>
      <c r="G359" s="532">
        <f t="shared" si="184"/>
        <v>0</v>
      </c>
      <c r="H359" s="532">
        <f t="shared" si="184"/>
        <v>0</v>
      </c>
      <c r="I359" s="532">
        <f t="shared" si="184"/>
        <v>0</v>
      </c>
      <c r="J359" s="532">
        <f t="shared" si="184"/>
        <v>0</v>
      </c>
      <c r="K359" s="532">
        <f t="shared" si="184"/>
        <v>0</v>
      </c>
      <c r="L359" s="532">
        <f t="shared" si="184"/>
        <v>0</v>
      </c>
      <c r="M359" s="532">
        <f t="shared" si="184"/>
        <v>0</v>
      </c>
      <c r="N359" s="532">
        <f t="shared" si="184"/>
        <v>0</v>
      </c>
      <c r="O359" s="532">
        <f t="shared" si="184"/>
        <v>0</v>
      </c>
      <c r="P359" s="532">
        <f t="shared" si="184"/>
        <v>0</v>
      </c>
      <c r="Q359" s="532">
        <f t="shared" si="184"/>
        <v>0</v>
      </c>
      <c r="R359" s="532">
        <f t="shared" si="184"/>
        <v>0</v>
      </c>
      <c r="S359" s="532">
        <f t="shared" si="184"/>
        <v>0</v>
      </c>
      <c r="T359" s="532">
        <f t="shared" si="184"/>
        <v>0</v>
      </c>
      <c r="U359" s="532">
        <f t="shared" si="184"/>
        <v>0</v>
      </c>
      <c r="V359" s="532">
        <f t="shared" si="184"/>
        <v>0</v>
      </c>
      <c r="W359" s="532">
        <f t="shared" si="184"/>
        <v>0</v>
      </c>
      <c r="X359" s="532">
        <f t="shared" si="184"/>
        <v>0</v>
      </c>
      <c r="Y359" s="532">
        <f t="shared" si="184"/>
        <v>0</v>
      </c>
      <c r="Z359" s="532">
        <f t="shared" si="184"/>
        <v>0</v>
      </c>
      <c r="AA359" s="532">
        <f t="shared" si="184"/>
        <v>0</v>
      </c>
      <c r="AB359" s="532">
        <f t="shared" si="184"/>
        <v>0</v>
      </c>
      <c r="AC359" s="532">
        <f t="shared" si="184"/>
        <v>0</v>
      </c>
      <c r="AD359" s="532">
        <f t="shared" si="184"/>
        <v>0</v>
      </c>
      <c r="AE359" s="532">
        <f t="shared" si="184"/>
        <v>0</v>
      </c>
      <c r="AF359" s="532">
        <f t="shared" si="184"/>
        <v>0</v>
      </c>
      <c r="AG359" s="532">
        <f t="shared" si="184"/>
        <v>0</v>
      </c>
      <c r="AH359" s="532">
        <f t="shared" si="184"/>
        <v>0</v>
      </c>
      <c r="AI359" s="532">
        <f t="shared" si="184"/>
        <v>0</v>
      </c>
      <c r="AJ359" s="532">
        <f t="shared" si="184"/>
        <v>0</v>
      </c>
      <c r="AK359" s="532">
        <f t="shared" si="184"/>
        <v>0</v>
      </c>
      <c r="AL359" s="532">
        <f t="shared" si="184"/>
        <v>0</v>
      </c>
      <c r="AM359" s="532">
        <f t="shared" si="184"/>
        <v>0</v>
      </c>
      <c r="AN359" s="532">
        <f t="shared" si="184"/>
        <v>0</v>
      </c>
      <c r="AO359" s="532">
        <f t="shared" si="184"/>
        <v>0</v>
      </c>
      <c r="AP359" s="141"/>
      <c r="AQ359" s="523">
        <f>SUM(D359:AO359)</f>
        <v>0</v>
      </c>
      <c r="AR359" s="523">
        <f>SUM(D374:AO374)</f>
        <v>0</v>
      </c>
      <c r="AS359" s="523"/>
      <c r="AT359" s="505"/>
      <c r="AU359" s="505"/>
      <c r="AV359" s="510"/>
      <c r="AW359" s="452"/>
      <c r="AX359" s="126"/>
    </row>
    <row r="360" spans="1:50" s="507" customFormat="1" ht="15" customHeight="1">
      <c r="A360" s="452"/>
      <c r="B360" s="1179" t="s">
        <v>645</v>
      </c>
      <c r="C360" s="1179"/>
      <c r="D360" s="532">
        <f>SUM(D358:D359)</f>
        <v>0</v>
      </c>
      <c r="E360" s="532">
        <f t="shared" ref="E360:AO360" si="185">SUM(E358:E359)</f>
        <v>0</v>
      </c>
      <c r="F360" s="532">
        <f t="shared" si="185"/>
        <v>0</v>
      </c>
      <c r="G360" s="532">
        <f t="shared" si="185"/>
        <v>0</v>
      </c>
      <c r="H360" s="532">
        <f t="shared" si="185"/>
        <v>0</v>
      </c>
      <c r="I360" s="532">
        <f t="shared" si="185"/>
        <v>0</v>
      </c>
      <c r="J360" s="532">
        <f t="shared" si="185"/>
        <v>0</v>
      </c>
      <c r="K360" s="532">
        <f t="shared" si="185"/>
        <v>0</v>
      </c>
      <c r="L360" s="532">
        <f t="shared" si="185"/>
        <v>0</v>
      </c>
      <c r="M360" s="532">
        <f t="shared" si="185"/>
        <v>0</v>
      </c>
      <c r="N360" s="532">
        <f t="shared" si="185"/>
        <v>0</v>
      </c>
      <c r="O360" s="532">
        <f t="shared" si="185"/>
        <v>0</v>
      </c>
      <c r="P360" s="532">
        <f t="shared" si="185"/>
        <v>0</v>
      </c>
      <c r="Q360" s="532">
        <f t="shared" si="185"/>
        <v>0</v>
      </c>
      <c r="R360" s="532">
        <f t="shared" si="185"/>
        <v>0</v>
      </c>
      <c r="S360" s="532">
        <f t="shared" si="185"/>
        <v>0</v>
      </c>
      <c r="T360" s="532">
        <f t="shared" si="185"/>
        <v>0</v>
      </c>
      <c r="U360" s="532">
        <f t="shared" si="185"/>
        <v>0</v>
      </c>
      <c r="V360" s="532">
        <f t="shared" si="185"/>
        <v>0</v>
      </c>
      <c r="W360" s="532">
        <f t="shared" si="185"/>
        <v>0</v>
      </c>
      <c r="X360" s="532">
        <f t="shared" si="185"/>
        <v>0</v>
      </c>
      <c r="Y360" s="532">
        <f t="shared" si="185"/>
        <v>0</v>
      </c>
      <c r="Z360" s="532">
        <f t="shared" si="185"/>
        <v>0</v>
      </c>
      <c r="AA360" s="532">
        <f t="shared" si="185"/>
        <v>0</v>
      </c>
      <c r="AB360" s="532">
        <f t="shared" si="185"/>
        <v>0</v>
      </c>
      <c r="AC360" s="532">
        <f t="shared" si="185"/>
        <v>0</v>
      </c>
      <c r="AD360" s="532">
        <f t="shared" si="185"/>
        <v>0</v>
      </c>
      <c r="AE360" s="532">
        <f t="shared" si="185"/>
        <v>0</v>
      </c>
      <c r="AF360" s="532">
        <f t="shared" si="185"/>
        <v>0</v>
      </c>
      <c r="AG360" s="532">
        <f t="shared" si="185"/>
        <v>0</v>
      </c>
      <c r="AH360" s="532">
        <f t="shared" si="185"/>
        <v>0</v>
      </c>
      <c r="AI360" s="532">
        <f t="shared" si="185"/>
        <v>0</v>
      </c>
      <c r="AJ360" s="532">
        <f t="shared" si="185"/>
        <v>0</v>
      </c>
      <c r="AK360" s="532">
        <f t="shared" si="185"/>
        <v>0</v>
      </c>
      <c r="AL360" s="532">
        <f t="shared" si="185"/>
        <v>0</v>
      </c>
      <c r="AM360" s="532">
        <f t="shared" si="185"/>
        <v>0</v>
      </c>
      <c r="AN360" s="532">
        <f t="shared" si="185"/>
        <v>0</v>
      </c>
      <c r="AO360" s="532">
        <f t="shared" si="185"/>
        <v>0</v>
      </c>
      <c r="AP360" s="141"/>
      <c r="AQ360" s="523">
        <f>SUM(AQ358:AQ359)</f>
        <v>0</v>
      </c>
      <c r="AR360" s="523">
        <f>SUM(D375:AO375)</f>
        <v>0</v>
      </c>
      <c r="AS360" s="523"/>
      <c r="AT360" s="505"/>
      <c r="AU360" s="505"/>
      <c r="AV360" s="510"/>
      <c r="AW360" s="452"/>
      <c r="AX360" s="126"/>
    </row>
    <row r="361" spans="1:50" s="507" customFormat="1">
      <c r="A361" s="452"/>
      <c r="B361" s="510"/>
      <c r="C361" s="510"/>
      <c r="D361" s="452"/>
      <c r="E361" s="452"/>
      <c r="F361" s="452"/>
      <c r="G361" s="452"/>
      <c r="H361" s="452"/>
      <c r="I361" s="452"/>
      <c r="J361" s="452"/>
      <c r="K361" s="452"/>
      <c r="L361" s="452"/>
      <c r="M361" s="452"/>
      <c r="N361" s="452"/>
      <c r="O361" s="452"/>
      <c r="P361" s="452"/>
      <c r="Q361" s="452"/>
      <c r="R361" s="452"/>
      <c r="S361" s="452"/>
      <c r="T361" s="452"/>
      <c r="U361" s="452"/>
      <c r="V361" s="452"/>
      <c r="W361" s="452"/>
      <c r="X361" s="452"/>
      <c r="Y361" s="452"/>
      <c r="Z361" s="452"/>
      <c r="AA361" s="452"/>
      <c r="AB361" s="452"/>
      <c r="AC361" s="452"/>
      <c r="AD361" s="452"/>
      <c r="AE361" s="452"/>
      <c r="AF361" s="452"/>
      <c r="AG361" s="452"/>
      <c r="AH361" s="452"/>
      <c r="AI361" s="452"/>
      <c r="AJ361" s="452"/>
      <c r="AK361" s="452"/>
      <c r="AL361" s="452"/>
      <c r="AM361" s="452"/>
      <c r="AN361" s="452"/>
      <c r="AO361" s="452"/>
      <c r="AP361" s="141"/>
      <c r="AQ361" s="505"/>
      <c r="AR361" s="505"/>
      <c r="AS361" s="505"/>
      <c r="AT361" s="505"/>
      <c r="AU361" s="505"/>
      <c r="AV361" s="510"/>
      <c r="AW361" s="452"/>
      <c r="AX361" s="126"/>
    </row>
    <row r="362" spans="1:50" s="507" customFormat="1" ht="15" customHeight="1">
      <c r="A362" s="452"/>
      <c r="B362" s="1179" t="s">
        <v>646</v>
      </c>
      <c r="C362" s="1179"/>
      <c r="D362" s="532">
        <f>D356+D360</f>
        <v>0</v>
      </c>
      <c r="E362" s="532">
        <f t="shared" ref="E362:AO362" si="186">E356+E360</f>
        <v>0</v>
      </c>
      <c r="F362" s="532">
        <f t="shared" si="186"/>
        <v>0</v>
      </c>
      <c r="G362" s="532">
        <f t="shared" si="186"/>
        <v>0</v>
      </c>
      <c r="H362" s="532">
        <f t="shared" si="186"/>
        <v>0</v>
      </c>
      <c r="I362" s="532">
        <f t="shared" si="186"/>
        <v>0</v>
      </c>
      <c r="J362" s="532">
        <f t="shared" si="186"/>
        <v>0</v>
      </c>
      <c r="K362" s="532">
        <f t="shared" si="186"/>
        <v>0</v>
      </c>
      <c r="L362" s="532">
        <f t="shared" si="186"/>
        <v>0</v>
      </c>
      <c r="M362" s="532">
        <f t="shared" si="186"/>
        <v>0</v>
      </c>
      <c r="N362" s="532">
        <f t="shared" si="186"/>
        <v>0</v>
      </c>
      <c r="O362" s="532">
        <f t="shared" si="186"/>
        <v>0</v>
      </c>
      <c r="P362" s="532">
        <f t="shared" si="186"/>
        <v>0</v>
      </c>
      <c r="Q362" s="532">
        <f t="shared" si="186"/>
        <v>0</v>
      </c>
      <c r="R362" s="532">
        <f t="shared" si="186"/>
        <v>0</v>
      </c>
      <c r="S362" s="532">
        <f t="shared" si="186"/>
        <v>0</v>
      </c>
      <c r="T362" s="532">
        <f t="shared" si="186"/>
        <v>0</v>
      </c>
      <c r="U362" s="532">
        <f t="shared" si="186"/>
        <v>0</v>
      </c>
      <c r="V362" s="532">
        <f t="shared" si="186"/>
        <v>0</v>
      </c>
      <c r="W362" s="532">
        <f t="shared" si="186"/>
        <v>0</v>
      </c>
      <c r="X362" s="532">
        <f t="shared" si="186"/>
        <v>0</v>
      </c>
      <c r="Y362" s="532">
        <f t="shared" si="186"/>
        <v>0</v>
      </c>
      <c r="Z362" s="532">
        <f t="shared" si="186"/>
        <v>0</v>
      </c>
      <c r="AA362" s="532">
        <f t="shared" si="186"/>
        <v>0</v>
      </c>
      <c r="AB362" s="532">
        <f t="shared" si="186"/>
        <v>0</v>
      </c>
      <c r="AC362" s="532">
        <f t="shared" si="186"/>
        <v>0</v>
      </c>
      <c r="AD362" s="532">
        <f t="shared" si="186"/>
        <v>0</v>
      </c>
      <c r="AE362" s="532">
        <f t="shared" si="186"/>
        <v>0</v>
      </c>
      <c r="AF362" s="532">
        <f t="shared" si="186"/>
        <v>0</v>
      </c>
      <c r="AG362" s="532">
        <f t="shared" si="186"/>
        <v>0</v>
      </c>
      <c r="AH362" s="532">
        <f t="shared" si="186"/>
        <v>0</v>
      </c>
      <c r="AI362" s="532">
        <f t="shared" si="186"/>
        <v>0</v>
      </c>
      <c r="AJ362" s="532">
        <f t="shared" si="186"/>
        <v>0</v>
      </c>
      <c r="AK362" s="532">
        <f t="shared" si="186"/>
        <v>0</v>
      </c>
      <c r="AL362" s="532">
        <f t="shared" si="186"/>
        <v>0</v>
      </c>
      <c r="AM362" s="532">
        <f t="shared" si="186"/>
        <v>0</v>
      </c>
      <c r="AN362" s="532">
        <f t="shared" si="186"/>
        <v>0</v>
      </c>
      <c r="AO362" s="532">
        <f t="shared" si="186"/>
        <v>0</v>
      </c>
      <c r="AP362" s="141"/>
      <c r="AQ362" s="523">
        <f>AQ356+AQ360</f>
        <v>0</v>
      </c>
      <c r="AR362" s="523">
        <f ca="1">SUM(D377:AO377)</f>
        <v>0</v>
      </c>
      <c r="AS362" s="505"/>
      <c r="AT362" s="505"/>
      <c r="AU362" s="505"/>
      <c r="AV362" s="510"/>
      <c r="AW362" s="452"/>
      <c r="AX362" s="126"/>
    </row>
    <row r="363" spans="1:50" s="507" customFormat="1" ht="15" customHeight="1">
      <c r="A363" s="452"/>
      <c r="B363" s="1179" t="s">
        <v>647</v>
      </c>
      <c r="C363" s="1179"/>
      <c r="D363" s="532">
        <f t="shared" ref="D363:AO363" si="187">IF(D15=TMDPeriodValueTypeReported,D29+D40+D51+D62+D73+D84+D95+D106+D117+D128+D139+D150+D161+D172+D183+D194+D205+D216+D227+D238+D249+D260+D271+D282+D293+D304+D315+D326+D337+D348,0)</f>
        <v>0</v>
      </c>
      <c r="E363" s="532">
        <f t="shared" si="187"/>
        <v>0</v>
      </c>
      <c r="F363" s="532">
        <f t="shared" si="187"/>
        <v>0</v>
      </c>
      <c r="G363" s="532">
        <f t="shared" si="187"/>
        <v>0</v>
      </c>
      <c r="H363" s="532">
        <f t="shared" si="187"/>
        <v>0</v>
      </c>
      <c r="I363" s="532">
        <f t="shared" si="187"/>
        <v>0</v>
      </c>
      <c r="J363" s="532">
        <f t="shared" si="187"/>
        <v>0</v>
      </c>
      <c r="K363" s="532">
        <f t="shared" si="187"/>
        <v>0</v>
      </c>
      <c r="L363" s="532">
        <f t="shared" si="187"/>
        <v>0</v>
      </c>
      <c r="M363" s="532">
        <f t="shared" si="187"/>
        <v>0</v>
      </c>
      <c r="N363" s="532">
        <f t="shared" si="187"/>
        <v>0</v>
      </c>
      <c r="O363" s="532">
        <f t="shared" si="187"/>
        <v>0</v>
      </c>
      <c r="P363" s="532">
        <f t="shared" si="187"/>
        <v>0</v>
      </c>
      <c r="Q363" s="532">
        <f t="shared" si="187"/>
        <v>0</v>
      </c>
      <c r="R363" s="532">
        <f t="shared" si="187"/>
        <v>0</v>
      </c>
      <c r="S363" s="532">
        <f t="shared" si="187"/>
        <v>0</v>
      </c>
      <c r="T363" s="532">
        <f t="shared" si="187"/>
        <v>0</v>
      </c>
      <c r="U363" s="532">
        <f t="shared" si="187"/>
        <v>0</v>
      </c>
      <c r="V363" s="532">
        <f t="shared" si="187"/>
        <v>0</v>
      </c>
      <c r="W363" s="532">
        <f t="shared" si="187"/>
        <v>0</v>
      </c>
      <c r="X363" s="532">
        <f t="shared" si="187"/>
        <v>0</v>
      </c>
      <c r="Y363" s="532">
        <f t="shared" si="187"/>
        <v>0</v>
      </c>
      <c r="Z363" s="532">
        <f t="shared" si="187"/>
        <v>0</v>
      </c>
      <c r="AA363" s="532">
        <f t="shared" si="187"/>
        <v>0</v>
      </c>
      <c r="AB363" s="532">
        <f t="shared" si="187"/>
        <v>0</v>
      </c>
      <c r="AC363" s="532">
        <f t="shared" si="187"/>
        <v>0</v>
      </c>
      <c r="AD363" s="532">
        <f t="shared" si="187"/>
        <v>0</v>
      </c>
      <c r="AE363" s="532">
        <f t="shared" si="187"/>
        <v>0</v>
      </c>
      <c r="AF363" s="532">
        <f t="shared" si="187"/>
        <v>0</v>
      </c>
      <c r="AG363" s="532">
        <f t="shared" si="187"/>
        <v>0</v>
      </c>
      <c r="AH363" s="532">
        <f t="shared" si="187"/>
        <v>0</v>
      </c>
      <c r="AI363" s="532">
        <f t="shared" si="187"/>
        <v>0</v>
      </c>
      <c r="AJ363" s="532">
        <f t="shared" si="187"/>
        <v>0</v>
      </c>
      <c r="AK363" s="532">
        <f t="shared" si="187"/>
        <v>0</v>
      </c>
      <c r="AL363" s="532">
        <f t="shared" si="187"/>
        <v>0</v>
      </c>
      <c r="AM363" s="532">
        <f t="shared" si="187"/>
        <v>0</v>
      </c>
      <c r="AN363" s="532">
        <f t="shared" si="187"/>
        <v>0</v>
      </c>
      <c r="AO363" s="532">
        <f t="shared" si="187"/>
        <v>0</v>
      </c>
      <c r="AP363" s="141"/>
      <c r="AQ363" s="523">
        <f>SUM(D363:AO363)</f>
        <v>0</v>
      </c>
      <c r="AR363" s="523">
        <f>SUM(D378:AO378)</f>
        <v>0</v>
      </c>
      <c r="AS363" s="523">
        <f>SUM(D386:AO386)</f>
        <v>0</v>
      </c>
      <c r="AT363" s="505"/>
      <c r="AU363" s="505">
        <f>IF(ISERR(GETPIVOTDATA("[Measures].[Hours]",TRIMARANweekly)),0,GETPIVOTDATA("[Measures].[Hours]",TRIMARANweekly))</f>
        <v>63.75</v>
      </c>
      <c r="AV363" s="510"/>
      <c r="AW363" s="452"/>
      <c r="AX363" s="126"/>
    </row>
    <row r="364" spans="1:50" s="507" customFormat="1" ht="15" customHeight="1">
      <c r="A364" s="452"/>
      <c r="B364" s="1179" t="s">
        <v>268</v>
      </c>
      <c r="C364" s="1179"/>
      <c r="D364" s="533">
        <f t="shared" ref="D364:AO364" si="188">IF(D15=TMDPeriodValueTypeReported,D28*$AS$28+D39*$AS$39+D50*$AS$50+D61*$AS$61+D72*$AS$72+D83*$AS$83+D94*$AS$94+D105*$AS$105+D116*$AS$116+D127*$AS$127+D138*$AS$138+D149*$AS$149+D160*$AS$160+D171*$AS$171+D182*$AS$182+D193*$AS$193+D204*$AS$204+D215*$AS$215+D226*$AS$226+D237*$AS$237+D248*$AS$248+D259*$AS$259+D270*$AS$270+D281*$AS$281+D292*$AS$292+D303*$AS$303+D314*$AS$314+D325*$AS$325+D336*$AS$336+D347*$AS$347,0)</f>
        <v>0</v>
      </c>
      <c r="E364" s="533">
        <f t="shared" si="188"/>
        <v>0</v>
      </c>
      <c r="F364" s="533">
        <f t="shared" si="188"/>
        <v>0</v>
      </c>
      <c r="G364" s="533">
        <f t="shared" si="188"/>
        <v>0</v>
      </c>
      <c r="H364" s="533">
        <f t="shared" si="188"/>
        <v>0</v>
      </c>
      <c r="I364" s="533">
        <f t="shared" si="188"/>
        <v>0</v>
      </c>
      <c r="J364" s="533">
        <f t="shared" si="188"/>
        <v>0</v>
      </c>
      <c r="K364" s="533">
        <f t="shared" si="188"/>
        <v>0</v>
      </c>
      <c r="L364" s="533">
        <f t="shared" si="188"/>
        <v>0</v>
      </c>
      <c r="M364" s="533">
        <f t="shared" si="188"/>
        <v>0</v>
      </c>
      <c r="N364" s="533">
        <f t="shared" si="188"/>
        <v>0</v>
      </c>
      <c r="O364" s="533">
        <f t="shared" si="188"/>
        <v>0</v>
      </c>
      <c r="P364" s="533">
        <f t="shared" si="188"/>
        <v>0</v>
      </c>
      <c r="Q364" s="533">
        <f t="shared" si="188"/>
        <v>0</v>
      </c>
      <c r="R364" s="533">
        <f t="shared" si="188"/>
        <v>0</v>
      </c>
      <c r="S364" s="533">
        <f t="shared" si="188"/>
        <v>0</v>
      </c>
      <c r="T364" s="533">
        <f t="shared" si="188"/>
        <v>0</v>
      </c>
      <c r="U364" s="533">
        <f t="shared" si="188"/>
        <v>0</v>
      </c>
      <c r="V364" s="533">
        <f t="shared" si="188"/>
        <v>0</v>
      </c>
      <c r="W364" s="533">
        <f t="shared" si="188"/>
        <v>0</v>
      </c>
      <c r="X364" s="533">
        <f t="shared" si="188"/>
        <v>0</v>
      </c>
      <c r="Y364" s="533">
        <f t="shared" si="188"/>
        <v>0</v>
      </c>
      <c r="Z364" s="533">
        <f t="shared" si="188"/>
        <v>0</v>
      </c>
      <c r="AA364" s="533">
        <f t="shared" si="188"/>
        <v>0</v>
      </c>
      <c r="AB364" s="533">
        <f t="shared" si="188"/>
        <v>0</v>
      </c>
      <c r="AC364" s="533">
        <f t="shared" si="188"/>
        <v>0</v>
      </c>
      <c r="AD364" s="533">
        <f t="shared" si="188"/>
        <v>0</v>
      </c>
      <c r="AE364" s="533">
        <f t="shared" si="188"/>
        <v>0</v>
      </c>
      <c r="AF364" s="533">
        <f t="shared" si="188"/>
        <v>0</v>
      </c>
      <c r="AG364" s="533">
        <f t="shared" si="188"/>
        <v>0</v>
      </c>
      <c r="AH364" s="533">
        <f t="shared" si="188"/>
        <v>0</v>
      </c>
      <c r="AI364" s="533">
        <f t="shared" si="188"/>
        <v>0</v>
      </c>
      <c r="AJ364" s="533">
        <f t="shared" si="188"/>
        <v>0</v>
      </c>
      <c r="AK364" s="533">
        <f t="shared" si="188"/>
        <v>0</v>
      </c>
      <c r="AL364" s="533">
        <f t="shared" si="188"/>
        <v>0</v>
      </c>
      <c r="AM364" s="533">
        <f t="shared" si="188"/>
        <v>0</v>
      </c>
      <c r="AN364" s="533">
        <f t="shared" si="188"/>
        <v>0</v>
      </c>
      <c r="AO364" s="533">
        <f t="shared" si="188"/>
        <v>0</v>
      </c>
      <c r="AP364" s="141"/>
      <c r="AQ364" s="519">
        <f>IF(COUNTIF($D$15:$AO$15,TMDPeriodValueTypeReported)&gt;0, INDEX(D364:AO364,1,COUNTIF($D$15:$AO$15,TMDPeriodValueTypeReported)),0)</f>
        <v>0</v>
      </c>
      <c r="AR364" s="519">
        <f>IF(COUNTIF($D$15:$AO$15,TMDPeriodValueTypeForecast)&gt;0, INDEX(D379:AO379,1,COUNTIF($D$15:$AO$15,TMDPeriodValueTypeForecast)),0)</f>
        <v>0</v>
      </c>
      <c r="AS364" s="519">
        <f>IF(COUNTIF($D$15:$AO$15,TMDPeriodValueTypeReported)&gt;0, INDEX(D387:AO387,1,COUNTIF($D$15:$AO$15,TMDPeriodValueTypeReported)),0)</f>
        <v>0</v>
      </c>
      <c r="AT364" s="505"/>
      <c r="AU364" s="505"/>
      <c r="AV364" s="510"/>
      <c r="AW364" s="452"/>
      <c r="AX364" s="126"/>
    </row>
    <row r="365" spans="1:50" s="507" customFormat="1" ht="15" customHeight="1">
      <c r="A365" s="452"/>
      <c r="B365" s="1179" t="s">
        <v>269</v>
      </c>
      <c r="C365" s="1179"/>
      <c r="D365" s="534">
        <f t="shared" ref="D365:AO365" si="189">IF(D15=TMDPeriodValueTypeReported, D17,0)</f>
        <v>0</v>
      </c>
      <c r="E365" s="534">
        <f t="shared" si="189"/>
        <v>0</v>
      </c>
      <c r="F365" s="534">
        <f t="shared" si="189"/>
        <v>0</v>
      </c>
      <c r="G365" s="534">
        <f t="shared" si="189"/>
        <v>0</v>
      </c>
      <c r="H365" s="534">
        <f t="shared" si="189"/>
        <v>0</v>
      </c>
      <c r="I365" s="534">
        <f t="shared" si="189"/>
        <v>0</v>
      </c>
      <c r="J365" s="534">
        <f t="shared" si="189"/>
        <v>0</v>
      </c>
      <c r="K365" s="534">
        <f t="shared" si="189"/>
        <v>0</v>
      </c>
      <c r="L365" s="534">
        <f t="shared" si="189"/>
        <v>0</v>
      </c>
      <c r="M365" s="534">
        <f t="shared" si="189"/>
        <v>0</v>
      </c>
      <c r="N365" s="534">
        <f t="shared" si="189"/>
        <v>0</v>
      </c>
      <c r="O365" s="534">
        <f t="shared" si="189"/>
        <v>0</v>
      </c>
      <c r="P365" s="534">
        <f t="shared" si="189"/>
        <v>0</v>
      </c>
      <c r="Q365" s="534">
        <f t="shared" si="189"/>
        <v>0</v>
      </c>
      <c r="R365" s="534">
        <f t="shared" si="189"/>
        <v>0</v>
      </c>
      <c r="S365" s="534">
        <f t="shared" si="189"/>
        <v>0</v>
      </c>
      <c r="T365" s="534">
        <f t="shared" si="189"/>
        <v>0</v>
      </c>
      <c r="U365" s="534">
        <f t="shared" si="189"/>
        <v>0</v>
      </c>
      <c r="V365" s="534">
        <f t="shared" si="189"/>
        <v>0</v>
      </c>
      <c r="W365" s="534">
        <f t="shared" si="189"/>
        <v>0</v>
      </c>
      <c r="X365" s="534">
        <f t="shared" si="189"/>
        <v>0</v>
      </c>
      <c r="Y365" s="534">
        <f t="shared" si="189"/>
        <v>0</v>
      </c>
      <c r="Z365" s="534">
        <f t="shared" si="189"/>
        <v>0</v>
      </c>
      <c r="AA365" s="534">
        <f t="shared" si="189"/>
        <v>0</v>
      </c>
      <c r="AB365" s="534">
        <f t="shared" si="189"/>
        <v>0</v>
      </c>
      <c r="AC365" s="534">
        <f t="shared" si="189"/>
        <v>0</v>
      </c>
      <c r="AD365" s="534">
        <f t="shared" si="189"/>
        <v>0</v>
      </c>
      <c r="AE365" s="534">
        <f t="shared" si="189"/>
        <v>0</v>
      </c>
      <c r="AF365" s="534">
        <f t="shared" si="189"/>
        <v>0</v>
      </c>
      <c r="AG365" s="534">
        <f t="shared" si="189"/>
        <v>0</v>
      </c>
      <c r="AH365" s="534">
        <f t="shared" si="189"/>
        <v>0</v>
      </c>
      <c r="AI365" s="534">
        <f t="shared" si="189"/>
        <v>0</v>
      </c>
      <c r="AJ365" s="534">
        <f t="shared" si="189"/>
        <v>0</v>
      </c>
      <c r="AK365" s="534">
        <f t="shared" si="189"/>
        <v>0</v>
      </c>
      <c r="AL365" s="534">
        <f t="shared" si="189"/>
        <v>0</v>
      </c>
      <c r="AM365" s="534">
        <f t="shared" si="189"/>
        <v>0</v>
      </c>
      <c r="AN365" s="534">
        <f t="shared" si="189"/>
        <v>0</v>
      </c>
      <c r="AO365" s="534">
        <f t="shared" si="189"/>
        <v>0</v>
      </c>
      <c r="AP365" s="141"/>
      <c r="AQ365" s="523">
        <f>SUM(D365:AO365)</f>
        <v>0</v>
      </c>
      <c r="AR365" s="523">
        <f>SUM(D380:AO380)</f>
        <v>0</v>
      </c>
      <c r="AS365" s="505"/>
      <c r="AT365" s="505"/>
      <c r="AU365" s="505"/>
      <c r="AV365" s="510"/>
      <c r="AW365" s="452"/>
      <c r="AX365" s="126"/>
    </row>
    <row r="366" spans="1:50" s="507" customFormat="1">
      <c r="A366" s="452"/>
      <c r="B366" s="510"/>
      <c r="C366" s="510"/>
      <c r="D366" s="452"/>
      <c r="E366" s="452"/>
      <c r="F366" s="452"/>
      <c r="G366" s="452"/>
      <c r="H366" s="452"/>
      <c r="I366" s="452"/>
      <c r="J366" s="452"/>
      <c r="K366" s="452"/>
      <c r="L366" s="452"/>
      <c r="M366" s="452"/>
      <c r="N366" s="452"/>
      <c r="O366" s="452"/>
      <c r="P366" s="452"/>
      <c r="Q366" s="452"/>
      <c r="R366" s="452"/>
      <c r="S366" s="452"/>
      <c r="T366" s="452"/>
      <c r="U366" s="452"/>
      <c r="V366" s="452"/>
      <c r="W366" s="452"/>
      <c r="X366" s="452"/>
      <c r="Y366" s="452"/>
      <c r="Z366" s="452"/>
      <c r="AA366" s="452"/>
      <c r="AB366" s="452"/>
      <c r="AC366" s="452"/>
      <c r="AD366" s="452"/>
      <c r="AE366" s="452"/>
      <c r="AF366" s="452"/>
      <c r="AG366" s="452"/>
      <c r="AH366" s="452"/>
      <c r="AI366" s="452"/>
      <c r="AJ366" s="452"/>
      <c r="AK366" s="452"/>
      <c r="AL366" s="452"/>
      <c r="AM366" s="452"/>
      <c r="AN366" s="452"/>
      <c r="AO366" s="452"/>
      <c r="AP366" s="141"/>
      <c r="AQ366" s="505"/>
      <c r="AR366" s="505"/>
      <c r="AS366" s="505"/>
      <c r="AT366" s="505"/>
      <c r="AU366" s="505"/>
      <c r="AV366" s="510"/>
      <c r="AW366" s="452"/>
      <c r="AX366" s="126"/>
    </row>
    <row r="367" spans="1:50" s="507" customFormat="1">
      <c r="A367" s="452"/>
      <c r="B367" s="510"/>
      <c r="C367" s="510"/>
      <c r="D367" s="452"/>
      <c r="E367" s="452"/>
      <c r="F367" s="452"/>
      <c r="G367" s="452"/>
      <c r="H367" s="452"/>
      <c r="I367" s="452"/>
      <c r="J367" s="452"/>
      <c r="K367" s="452"/>
      <c r="L367" s="452"/>
      <c r="M367" s="452"/>
      <c r="N367" s="452"/>
      <c r="O367" s="452"/>
      <c r="P367" s="452"/>
      <c r="Q367" s="452"/>
      <c r="R367" s="452"/>
      <c r="S367" s="452"/>
      <c r="T367" s="452"/>
      <c r="U367" s="452"/>
      <c r="V367" s="452"/>
      <c r="W367" s="452"/>
      <c r="X367" s="452"/>
      <c r="Y367" s="452"/>
      <c r="Z367" s="452"/>
      <c r="AA367" s="452"/>
      <c r="AB367" s="452"/>
      <c r="AC367" s="452"/>
      <c r="AD367" s="452"/>
      <c r="AE367" s="452"/>
      <c r="AF367" s="452"/>
      <c r="AG367" s="452"/>
      <c r="AH367" s="452"/>
      <c r="AI367" s="452"/>
      <c r="AJ367" s="452"/>
      <c r="AK367" s="452"/>
      <c r="AL367" s="452"/>
      <c r="AM367" s="452"/>
      <c r="AN367" s="452"/>
      <c r="AO367" s="452"/>
      <c r="AP367" s="141"/>
      <c r="AQ367" s="505"/>
      <c r="AR367" s="505"/>
      <c r="AS367" s="505"/>
      <c r="AT367" s="505"/>
      <c r="AU367" s="505"/>
      <c r="AV367" s="510"/>
      <c r="AW367" s="452"/>
      <c r="AX367" s="126"/>
    </row>
    <row r="368" spans="1:50" s="507" customFormat="1">
      <c r="A368" s="452"/>
      <c r="B368" s="1178" t="s">
        <v>648</v>
      </c>
      <c r="C368" s="1178"/>
      <c r="D368" s="531"/>
      <c r="E368" s="531"/>
      <c r="F368" s="531"/>
      <c r="G368" s="531"/>
      <c r="H368" s="531"/>
      <c r="I368" s="531"/>
      <c r="J368" s="531"/>
      <c r="K368" s="531"/>
      <c r="L368" s="531"/>
      <c r="M368" s="531"/>
      <c r="N368" s="531"/>
      <c r="O368" s="531"/>
      <c r="P368" s="531"/>
      <c r="Q368" s="531"/>
      <c r="R368" s="531"/>
      <c r="S368" s="531"/>
      <c r="T368" s="531"/>
      <c r="U368" s="531"/>
      <c r="V368" s="531"/>
      <c r="W368" s="531"/>
      <c r="X368" s="531"/>
      <c r="Y368" s="531"/>
      <c r="Z368" s="531"/>
      <c r="AA368" s="531"/>
      <c r="AB368" s="531"/>
      <c r="AC368" s="531"/>
      <c r="AD368" s="531"/>
      <c r="AE368" s="531"/>
      <c r="AF368" s="531"/>
      <c r="AG368" s="531"/>
      <c r="AH368" s="531"/>
      <c r="AI368" s="531"/>
      <c r="AJ368" s="531"/>
      <c r="AK368" s="531"/>
      <c r="AL368" s="531"/>
      <c r="AM368" s="531"/>
      <c r="AN368" s="531"/>
      <c r="AO368" s="531"/>
      <c r="AP368" s="141"/>
      <c r="AQ368" s="505"/>
      <c r="AR368" s="505"/>
      <c r="AS368" s="505"/>
      <c r="AT368" s="505"/>
      <c r="AU368" s="505"/>
      <c r="AV368" s="510"/>
      <c r="AW368" s="452"/>
      <c r="AX368" s="126"/>
    </row>
    <row r="369" spans="1:53" s="507" customFormat="1" ht="15" customHeight="1">
      <c r="A369" s="452"/>
      <c r="B369" s="1179" t="s">
        <v>263</v>
      </c>
      <c r="C369" s="1179"/>
      <c r="D369" s="532">
        <f t="shared" ref="D369:AO369" si="190">IF(D15=TMDPeriodValueTypeForecast,D19,0)</f>
        <v>0</v>
      </c>
      <c r="E369" s="532">
        <f t="shared" si="190"/>
        <v>0</v>
      </c>
      <c r="F369" s="532">
        <f t="shared" si="190"/>
        <v>0</v>
      </c>
      <c r="G369" s="532">
        <f t="shared" si="190"/>
        <v>0</v>
      </c>
      <c r="H369" s="532">
        <f t="shared" si="190"/>
        <v>0</v>
      </c>
      <c r="I369" s="532">
        <f t="shared" si="190"/>
        <v>0</v>
      </c>
      <c r="J369" s="532">
        <f t="shared" si="190"/>
        <v>0</v>
      </c>
      <c r="K369" s="532">
        <f t="shared" si="190"/>
        <v>0</v>
      </c>
      <c r="L369" s="532">
        <f t="shared" si="190"/>
        <v>0</v>
      </c>
      <c r="M369" s="532">
        <f t="shared" si="190"/>
        <v>0</v>
      </c>
      <c r="N369" s="532">
        <f t="shared" si="190"/>
        <v>0</v>
      </c>
      <c r="O369" s="532">
        <f t="shared" si="190"/>
        <v>0</v>
      </c>
      <c r="P369" s="532">
        <f t="shared" si="190"/>
        <v>0</v>
      </c>
      <c r="Q369" s="532">
        <f t="shared" si="190"/>
        <v>0</v>
      </c>
      <c r="R369" s="532">
        <f t="shared" si="190"/>
        <v>0</v>
      </c>
      <c r="S369" s="532">
        <f t="shared" si="190"/>
        <v>0</v>
      </c>
      <c r="T369" s="532">
        <f t="shared" si="190"/>
        <v>0</v>
      </c>
      <c r="U369" s="532">
        <f t="shared" si="190"/>
        <v>0</v>
      </c>
      <c r="V369" s="532">
        <f t="shared" si="190"/>
        <v>0</v>
      </c>
      <c r="W369" s="532">
        <f t="shared" si="190"/>
        <v>0</v>
      </c>
      <c r="X369" s="532">
        <f t="shared" si="190"/>
        <v>0</v>
      </c>
      <c r="Y369" s="532">
        <f t="shared" si="190"/>
        <v>0</v>
      </c>
      <c r="Z369" s="532">
        <f t="shared" si="190"/>
        <v>0</v>
      </c>
      <c r="AA369" s="532">
        <f t="shared" si="190"/>
        <v>0</v>
      </c>
      <c r="AB369" s="532">
        <f t="shared" si="190"/>
        <v>0</v>
      </c>
      <c r="AC369" s="532">
        <f t="shared" si="190"/>
        <v>0</v>
      </c>
      <c r="AD369" s="532">
        <f t="shared" si="190"/>
        <v>0</v>
      </c>
      <c r="AE369" s="532">
        <f t="shared" si="190"/>
        <v>0</v>
      </c>
      <c r="AF369" s="532">
        <f t="shared" si="190"/>
        <v>0</v>
      </c>
      <c r="AG369" s="532">
        <f t="shared" si="190"/>
        <v>0</v>
      </c>
      <c r="AH369" s="532">
        <f t="shared" si="190"/>
        <v>0</v>
      </c>
      <c r="AI369" s="532">
        <f t="shared" si="190"/>
        <v>0</v>
      </c>
      <c r="AJ369" s="532">
        <f t="shared" si="190"/>
        <v>0</v>
      </c>
      <c r="AK369" s="532">
        <f t="shared" si="190"/>
        <v>0</v>
      </c>
      <c r="AL369" s="532">
        <f t="shared" si="190"/>
        <v>0</v>
      </c>
      <c r="AM369" s="532">
        <f t="shared" si="190"/>
        <v>0</v>
      </c>
      <c r="AN369" s="532">
        <f t="shared" si="190"/>
        <v>0</v>
      </c>
      <c r="AO369" s="532">
        <f t="shared" si="190"/>
        <v>0</v>
      </c>
      <c r="AP369" s="141"/>
      <c r="AQ369" s="505"/>
      <c r="AR369" s="505"/>
      <c r="AS369" s="505"/>
      <c r="AT369" s="505"/>
      <c r="AU369" s="505"/>
      <c r="AV369" s="510"/>
      <c r="AW369" s="452"/>
      <c r="AX369" s="126"/>
    </row>
    <row r="370" spans="1:53" s="507" customFormat="1" ht="15" customHeight="1">
      <c r="A370" s="452"/>
      <c r="B370" s="1179" t="s">
        <v>264</v>
      </c>
      <c r="C370" s="1179"/>
      <c r="D370" s="532">
        <f t="shared" ref="D370:AO370" ca="1" si="191">IF(D15=TMDPeriodValueTypeForecast,D30+D41+D52+D63+D74+D85+D96+D107+D118+D129+D140+D151+D162+D173+D184+D195+D206+D217+D228+D239+D250+D261+D272+D283+D294+D305+D316+D327+D338+D349,0)</f>
        <v>0</v>
      </c>
      <c r="E370" s="532">
        <f t="shared" ca="1" si="191"/>
        <v>0</v>
      </c>
      <c r="F370" s="532">
        <f t="shared" ca="1" si="191"/>
        <v>0</v>
      </c>
      <c r="G370" s="532">
        <f t="shared" ca="1" si="191"/>
        <v>0</v>
      </c>
      <c r="H370" s="532">
        <f t="shared" ca="1" si="191"/>
        <v>0</v>
      </c>
      <c r="I370" s="532">
        <f t="shared" ca="1" si="191"/>
        <v>0</v>
      </c>
      <c r="J370" s="532">
        <f t="shared" ca="1" si="191"/>
        <v>0</v>
      </c>
      <c r="K370" s="532">
        <f t="shared" ca="1" si="191"/>
        <v>0</v>
      </c>
      <c r="L370" s="532">
        <f t="shared" ca="1" si="191"/>
        <v>0</v>
      </c>
      <c r="M370" s="532">
        <f t="shared" ca="1" si="191"/>
        <v>0</v>
      </c>
      <c r="N370" s="532">
        <f t="shared" ca="1" si="191"/>
        <v>0</v>
      </c>
      <c r="O370" s="532">
        <f t="shared" ca="1" si="191"/>
        <v>0</v>
      </c>
      <c r="P370" s="532">
        <f t="shared" ca="1" si="191"/>
        <v>0</v>
      </c>
      <c r="Q370" s="532">
        <f t="shared" ca="1" si="191"/>
        <v>0</v>
      </c>
      <c r="R370" s="532">
        <f t="shared" ca="1" si="191"/>
        <v>0</v>
      </c>
      <c r="S370" s="532">
        <f t="shared" ca="1" si="191"/>
        <v>0</v>
      </c>
      <c r="T370" s="532">
        <f t="shared" ca="1" si="191"/>
        <v>0</v>
      </c>
      <c r="U370" s="532">
        <f t="shared" ca="1" si="191"/>
        <v>0</v>
      </c>
      <c r="V370" s="532">
        <f t="shared" ca="1" si="191"/>
        <v>0</v>
      </c>
      <c r="W370" s="532">
        <f t="shared" ca="1" si="191"/>
        <v>0</v>
      </c>
      <c r="X370" s="532">
        <f t="shared" ca="1" si="191"/>
        <v>0</v>
      </c>
      <c r="Y370" s="532">
        <f t="shared" ca="1" si="191"/>
        <v>0</v>
      </c>
      <c r="Z370" s="532">
        <f t="shared" ca="1" si="191"/>
        <v>0</v>
      </c>
      <c r="AA370" s="532">
        <f t="shared" ca="1" si="191"/>
        <v>0</v>
      </c>
      <c r="AB370" s="532">
        <f t="shared" ca="1" si="191"/>
        <v>0</v>
      </c>
      <c r="AC370" s="532">
        <f t="shared" ca="1" si="191"/>
        <v>0</v>
      </c>
      <c r="AD370" s="532">
        <f t="shared" ca="1" si="191"/>
        <v>0</v>
      </c>
      <c r="AE370" s="532">
        <f t="shared" ca="1" si="191"/>
        <v>0</v>
      </c>
      <c r="AF370" s="532">
        <f t="shared" ca="1" si="191"/>
        <v>0</v>
      </c>
      <c r="AG370" s="532">
        <f t="shared" ca="1" si="191"/>
        <v>0</v>
      </c>
      <c r="AH370" s="532">
        <f t="shared" ca="1" si="191"/>
        <v>0</v>
      </c>
      <c r="AI370" s="532">
        <f t="shared" ca="1" si="191"/>
        <v>0</v>
      </c>
      <c r="AJ370" s="532">
        <f t="shared" ca="1" si="191"/>
        <v>0</v>
      </c>
      <c r="AK370" s="532">
        <f t="shared" ca="1" si="191"/>
        <v>0</v>
      </c>
      <c r="AL370" s="532">
        <f t="shared" ca="1" si="191"/>
        <v>0</v>
      </c>
      <c r="AM370" s="532">
        <f t="shared" ca="1" si="191"/>
        <v>0</v>
      </c>
      <c r="AN370" s="532">
        <f t="shared" ca="1" si="191"/>
        <v>0</v>
      </c>
      <c r="AO370" s="532">
        <f t="shared" ca="1" si="191"/>
        <v>0</v>
      </c>
      <c r="AP370" s="141"/>
      <c r="AQ370" s="505"/>
      <c r="AR370" s="505"/>
      <c r="AS370" s="505"/>
      <c r="AT370" s="505"/>
      <c r="AU370" s="505"/>
      <c r="AV370" s="510"/>
      <c r="AW370" s="452"/>
      <c r="AX370" s="126"/>
    </row>
    <row r="371" spans="1:53" s="507" customFormat="1" ht="15" customHeight="1">
      <c r="A371" s="452"/>
      <c r="B371" s="1179" t="s">
        <v>643</v>
      </c>
      <c r="C371" s="1179"/>
      <c r="D371" s="532">
        <f ca="1">SUM(D369:D370)</f>
        <v>0</v>
      </c>
      <c r="E371" s="532">
        <f t="shared" ref="E371:AO371" ca="1" si="192">SUM(E369:E370)</f>
        <v>0</v>
      </c>
      <c r="F371" s="532">
        <f t="shared" ca="1" si="192"/>
        <v>0</v>
      </c>
      <c r="G371" s="532">
        <f t="shared" ca="1" si="192"/>
        <v>0</v>
      </c>
      <c r="H371" s="532">
        <f t="shared" ca="1" si="192"/>
        <v>0</v>
      </c>
      <c r="I371" s="532">
        <f t="shared" ca="1" si="192"/>
        <v>0</v>
      </c>
      <c r="J371" s="532">
        <f t="shared" ca="1" si="192"/>
        <v>0</v>
      </c>
      <c r="K371" s="532">
        <f t="shared" ca="1" si="192"/>
        <v>0</v>
      </c>
      <c r="L371" s="532">
        <f t="shared" ca="1" si="192"/>
        <v>0</v>
      </c>
      <c r="M371" s="532">
        <f t="shared" ca="1" si="192"/>
        <v>0</v>
      </c>
      <c r="N371" s="532">
        <f t="shared" ca="1" si="192"/>
        <v>0</v>
      </c>
      <c r="O371" s="532">
        <f t="shared" ca="1" si="192"/>
        <v>0</v>
      </c>
      <c r="P371" s="532">
        <f t="shared" ca="1" si="192"/>
        <v>0</v>
      </c>
      <c r="Q371" s="532">
        <f t="shared" ca="1" si="192"/>
        <v>0</v>
      </c>
      <c r="R371" s="532">
        <f t="shared" ca="1" si="192"/>
        <v>0</v>
      </c>
      <c r="S371" s="532">
        <f t="shared" ca="1" si="192"/>
        <v>0</v>
      </c>
      <c r="T371" s="532">
        <f t="shared" ca="1" si="192"/>
        <v>0</v>
      </c>
      <c r="U371" s="532">
        <f t="shared" ca="1" si="192"/>
        <v>0</v>
      </c>
      <c r="V371" s="532">
        <f t="shared" ca="1" si="192"/>
        <v>0</v>
      </c>
      <c r="W371" s="532">
        <f t="shared" ca="1" si="192"/>
        <v>0</v>
      </c>
      <c r="X371" s="532">
        <f t="shared" ca="1" si="192"/>
        <v>0</v>
      </c>
      <c r="Y371" s="532">
        <f t="shared" ca="1" si="192"/>
        <v>0</v>
      </c>
      <c r="Z371" s="532">
        <f t="shared" ca="1" si="192"/>
        <v>0</v>
      </c>
      <c r="AA371" s="532">
        <f t="shared" ca="1" si="192"/>
        <v>0</v>
      </c>
      <c r="AB371" s="532">
        <f t="shared" ca="1" si="192"/>
        <v>0</v>
      </c>
      <c r="AC371" s="532">
        <f t="shared" ca="1" si="192"/>
        <v>0</v>
      </c>
      <c r="AD371" s="532">
        <f t="shared" ca="1" si="192"/>
        <v>0</v>
      </c>
      <c r="AE371" s="532">
        <f t="shared" ca="1" si="192"/>
        <v>0</v>
      </c>
      <c r="AF371" s="532">
        <f t="shared" ca="1" si="192"/>
        <v>0</v>
      </c>
      <c r="AG371" s="532">
        <f t="shared" ca="1" si="192"/>
        <v>0</v>
      </c>
      <c r="AH371" s="532">
        <f t="shared" ca="1" si="192"/>
        <v>0</v>
      </c>
      <c r="AI371" s="532">
        <f t="shared" ca="1" si="192"/>
        <v>0</v>
      </c>
      <c r="AJ371" s="532">
        <f t="shared" ca="1" si="192"/>
        <v>0</v>
      </c>
      <c r="AK371" s="532">
        <f t="shared" ca="1" si="192"/>
        <v>0</v>
      </c>
      <c r="AL371" s="532">
        <f t="shared" ca="1" si="192"/>
        <v>0</v>
      </c>
      <c r="AM371" s="532">
        <f t="shared" ca="1" si="192"/>
        <v>0</v>
      </c>
      <c r="AN371" s="532">
        <f t="shared" ca="1" si="192"/>
        <v>0</v>
      </c>
      <c r="AO371" s="532">
        <f t="shared" ca="1" si="192"/>
        <v>0</v>
      </c>
      <c r="AP371" s="141"/>
      <c r="AQ371" s="505"/>
      <c r="AR371" s="505"/>
      <c r="AS371" s="505"/>
      <c r="AT371" s="505"/>
      <c r="AU371" s="505"/>
      <c r="AV371" s="510"/>
      <c r="AW371" s="452"/>
      <c r="AX371" s="126"/>
    </row>
    <row r="372" spans="1:53" s="507" customFormat="1">
      <c r="A372" s="452"/>
      <c r="B372" s="510"/>
      <c r="C372" s="505"/>
      <c r="D372" s="452"/>
      <c r="E372" s="452"/>
      <c r="F372" s="452"/>
      <c r="G372" s="452"/>
      <c r="H372" s="452"/>
      <c r="I372" s="452"/>
      <c r="J372" s="452"/>
      <c r="K372" s="452"/>
      <c r="L372" s="452"/>
      <c r="M372" s="452"/>
      <c r="N372" s="452"/>
      <c r="O372" s="452"/>
      <c r="P372" s="452"/>
      <c r="Q372" s="452"/>
      <c r="R372" s="452"/>
      <c r="S372" s="452"/>
      <c r="T372" s="452"/>
      <c r="U372" s="452"/>
      <c r="V372" s="452"/>
      <c r="W372" s="452"/>
      <c r="X372" s="452"/>
      <c r="Y372" s="452"/>
      <c r="Z372" s="452"/>
      <c r="AA372" s="452"/>
      <c r="AB372" s="452"/>
      <c r="AC372" s="452"/>
      <c r="AD372" s="452"/>
      <c r="AE372" s="452"/>
      <c r="AF372" s="452"/>
      <c r="AG372" s="452"/>
      <c r="AH372" s="452"/>
      <c r="AI372" s="452"/>
      <c r="AJ372" s="452"/>
      <c r="AK372" s="452"/>
      <c r="AL372" s="452"/>
      <c r="AM372" s="452"/>
      <c r="AN372" s="452"/>
      <c r="AO372" s="452"/>
      <c r="AP372" s="141"/>
      <c r="AQ372" s="505"/>
      <c r="AR372" s="505"/>
      <c r="AS372" s="505"/>
      <c r="AT372" s="505"/>
      <c r="AU372" s="505"/>
      <c r="AV372" s="510"/>
      <c r="AW372" s="452"/>
      <c r="AX372" s="126"/>
    </row>
    <row r="373" spans="1:53" s="507" customFormat="1" ht="15" customHeight="1">
      <c r="A373" s="452"/>
      <c r="B373" s="1179" t="s">
        <v>265</v>
      </c>
      <c r="C373" s="1179"/>
      <c r="D373" s="532">
        <f t="shared" ref="D373:AO373" si="193">IF(D15=TMDPeriodValueTypeForecast,D20,0)</f>
        <v>0</v>
      </c>
      <c r="E373" s="532">
        <f t="shared" si="193"/>
        <v>0</v>
      </c>
      <c r="F373" s="532">
        <f t="shared" si="193"/>
        <v>0</v>
      </c>
      <c r="G373" s="532">
        <f t="shared" si="193"/>
        <v>0</v>
      </c>
      <c r="H373" s="532">
        <f t="shared" si="193"/>
        <v>0</v>
      </c>
      <c r="I373" s="532">
        <f t="shared" si="193"/>
        <v>0</v>
      </c>
      <c r="J373" s="532">
        <f t="shared" si="193"/>
        <v>0</v>
      </c>
      <c r="K373" s="532">
        <f t="shared" si="193"/>
        <v>0</v>
      </c>
      <c r="L373" s="532">
        <f t="shared" si="193"/>
        <v>0</v>
      </c>
      <c r="M373" s="532">
        <f t="shared" si="193"/>
        <v>0</v>
      </c>
      <c r="N373" s="532">
        <f t="shared" si="193"/>
        <v>0</v>
      </c>
      <c r="O373" s="532">
        <f t="shared" si="193"/>
        <v>0</v>
      </c>
      <c r="P373" s="532">
        <f t="shared" si="193"/>
        <v>0</v>
      </c>
      <c r="Q373" s="532">
        <f t="shared" si="193"/>
        <v>0</v>
      </c>
      <c r="R373" s="532">
        <f t="shared" si="193"/>
        <v>0</v>
      </c>
      <c r="S373" s="532">
        <f t="shared" si="193"/>
        <v>0</v>
      </c>
      <c r="T373" s="532">
        <f t="shared" si="193"/>
        <v>0</v>
      </c>
      <c r="U373" s="532">
        <f t="shared" si="193"/>
        <v>0</v>
      </c>
      <c r="V373" s="532">
        <f t="shared" si="193"/>
        <v>0</v>
      </c>
      <c r="W373" s="532">
        <f t="shared" si="193"/>
        <v>0</v>
      </c>
      <c r="X373" s="532">
        <f t="shared" si="193"/>
        <v>0</v>
      </c>
      <c r="Y373" s="532">
        <f t="shared" si="193"/>
        <v>0</v>
      </c>
      <c r="Z373" s="532">
        <f t="shared" si="193"/>
        <v>0</v>
      </c>
      <c r="AA373" s="532">
        <f t="shared" si="193"/>
        <v>0</v>
      </c>
      <c r="AB373" s="532">
        <f t="shared" si="193"/>
        <v>0</v>
      </c>
      <c r="AC373" s="532">
        <f t="shared" si="193"/>
        <v>0</v>
      </c>
      <c r="AD373" s="532">
        <f t="shared" si="193"/>
        <v>0</v>
      </c>
      <c r="AE373" s="532">
        <f t="shared" si="193"/>
        <v>0</v>
      </c>
      <c r="AF373" s="532">
        <f t="shared" si="193"/>
        <v>0</v>
      </c>
      <c r="AG373" s="532">
        <f t="shared" si="193"/>
        <v>0</v>
      </c>
      <c r="AH373" s="532">
        <f t="shared" si="193"/>
        <v>0</v>
      </c>
      <c r="AI373" s="532">
        <f t="shared" si="193"/>
        <v>0</v>
      </c>
      <c r="AJ373" s="532">
        <f t="shared" si="193"/>
        <v>0</v>
      </c>
      <c r="AK373" s="532">
        <f t="shared" si="193"/>
        <v>0</v>
      </c>
      <c r="AL373" s="532">
        <f t="shared" si="193"/>
        <v>0</v>
      </c>
      <c r="AM373" s="532">
        <f t="shared" si="193"/>
        <v>0</v>
      </c>
      <c r="AN373" s="532">
        <f t="shared" si="193"/>
        <v>0</v>
      </c>
      <c r="AO373" s="532">
        <f t="shared" si="193"/>
        <v>0</v>
      </c>
      <c r="AP373" s="141"/>
      <c r="AQ373" s="505"/>
      <c r="AR373" s="505"/>
      <c r="AS373" s="505"/>
      <c r="AT373" s="505"/>
      <c r="AU373" s="505"/>
      <c r="AV373" s="510"/>
      <c r="AW373" s="452"/>
      <c r="AX373" s="126"/>
    </row>
    <row r="374" spans="1:53" s="507" customFormat="1" ht="15" customHeight="1">
      <c r="A374" s="452"/>
      <c r="B374" s="1179" t="s">
        <v>644</v>
      </c>
      <c r="C374" s="1179"/>
      <c r="D374" s="532">
        <f t="shared" ref="D374:AO374" si="194">IF(D15=TMDPeriodValueTypeForecast,D31+D42+D53+D64+D75+D86+D97+D108+D119+D130+D141+D152+D163+D174+D185+D196+D207+D218+D229+D240+D251+D262+D273+D284+D295+D306+D317+D328+D339+D350,0)</f>
        <v>0</v>
      </c>
      <c r="E374" s="532">
        <f t="shared" si="194"/>
        <v>0</v>
      </c>
      <c r="F374" s="532">
        <f t="shared" si="194"/>
        <v>0</v>
      </c>
      <c r="G374" s="532">
        <f t="shared" si="194"/>
        <v>0</v>
      </c>
      <c r="H374" s="532">
        <f t="shared" si="194"/>
        <v>0</v>
      </c>
      <c r="I374" s="532">
        <f t="shared" si="194"/>
        <v>0</v>
      </c>
      <c r="J374" s="532">
        <f t="shared" si="194"/>
        <v>0</v>
      </c>
      <c r="K374" s="532">
        <f t="shared" si="194"/>
        <v>0</v>
      </c>
      <c r="L374" s="532">
        <f t="shared" si="194"/>
        <v>0</v>
      </c>
      <c r="M374" s="532">
        <f t="shared" si="194"/>
        <v>0</v>
      </c>
      <c r="N374" s="532">
        <f t="shared" si="194"/>
        <v>0</v>
      </c>
      <c r="O374" s="532">
        <f t="shared" si="194"/>
        <v>0</v>
      </c>
      <c r="P374" s="532">
        <f t="shared" si="194"/>
        <v>0</v>
      </c>
      <c r="Q374" s="532">
        <f t="shared" si="194"/>
        <v>0</v>
      </c>
      <c r="R374" s="532">
        <f t="shared" si="194"/>
        <v>0</v>
      </c>
      <c r="S374" s="532">
        <f t="shared" si="194"/>
        <v>0</v>
      </c>
      <c r="T374" s="532">
        <f t="shared" si="194"/>
        <v>0</v>
      </c>
      <c r="U374" s="532">
        <f t="shared" si="194"/>
        <v>0</v>
      </c>
      <c r="V374" s="532">
        <f t="shared" si="194"/>
        <v>0</v>
      </c>
      <c r="W374" s="532">
        <f t="shared" si="194"/>
        <v>0</v>
      </c>
      <c r="X374" s="532">
        <f t="shared" si="194"/>
        <v>0</v>
      </c>
      <c r="Y374" s="532">
        <f t="shared" si="194"/>
        <v>0</v>
      </c>
      <c r="Z374" s="532">
        <f t="shared" si="194"/>
        <v>0</v>
      </c>
      <c r="AA374" s="532">
        <f t="shared" si="194"/>
        <v>0</v>
      </c>
      <c r="AB374" s="532">
        <f t="shared" si="194"/>
        <v>0</v>
      </c>
      <c r="AC374" s="532">
        <f t="shared" si="194"/>
        <v>0</v>
      </c>
      <c r="AD374" s="532">
        <f t="shared" si="194"/>
        <v>0</v>
      </c>
      <c r="AE374" s="532">
        <f t="shared" si="194"/>
        <v>0</v>
      </c>
      <c r="AF374" s="532">
        <f t="shared" si="194"/>
        <v>0</v>
      </c>
      <c r="AG374" s="532">
        <f t="shared" si="194"/>
        <v>0</v>
      </c>
      <c r="AH374" s="532">
        <f t="shared" si="194"/>
        <v>0</v>
      </c>
      <c r="AI374" s="532">
        <f t="shared" si="194"/>
        <v>0</v>
      </c>
      <c r="AJ374" s="532">
        <f t="shared" si="194"/>
        <v>0</v>
      </c>
      <c r="AK374" s="532">
        <f t="shared" si="194"/>
        <v>0</v>
      </c>
      <c r="AL374" s="532">
        <f t="shared" si="194"/>
        <v>0</v>
      </c>
      <c r="AM374" s="532">
        <f t="shared" si="194"/>
        <v>0</v>
      </c>
      <c r="AN374" s="532">
        <f t="shared" si="194"/>
        <v>0</v>
      </c>
      <c r="AO374" s="532">
        <f t="shared" si="194"/>
        <v>0</v>
      </c>
      <c r="AP374" s="141"/>
      <c r="AQ374" s="505"/>
      <c r="AR374" s="505"/>
      <c r="AS374" s="505"/>
      <c r="AT374" s="505"/>
      <c r="AU374" s="505"/>
      <c r="AV374" s="510"/>
      <c r="AW374" s="452"/>
      <c r="AX374" s="126"/>
    </row>
    <row r="375" spans="1:53" s="507" customFormat="1" ht="15" customHeight="1">
      <c r="A375" s="452"/>
      <c r="B375" s="1179" t="s">
        <v>649</v>
      </c>
      <c r="C375" s="1179"/>
      <c r="D375" s="532">
        <f>SUM(D373:D374)</f>
        <v>0</v>
      </c>
      <c r="E375" s="532">
        <f t="shared" ref="E375:AO375" si="195">SUM(E373:E374)</f>
        <v>0</v>
      </c>
      <c r="F375" s="532">
        <f t="shared" si="195"/>
        <v>0</v>
      </c>
      <c r="G375" s="532">
        <f t="shared" si="195"/>
        <v>0</v>
      </c>
      <c r="H375" s="532">
        <f t="shared" si="195"/>
        <v>0</v>
      </c>
      <c r="I375" s="532">
        <f t="shared" si="195"/>
        <v>0</v>
      </c>
      <c r="J375" s="532">
        <f t="shared" si="195"/>
        <v>0</v>
      </c>
      <c r="K375" s="532">
        <f t="shared" si="195"/>
        <v>0</v>
      </c>
      <c r="L375" s="532">
        <f t="shared" si="195"/>
        <v>0</v>
      </c>
      <c r="M375" s="532">
        <f t="shared" si="195"/>
        <v>0</v>
      </c>
      <c r="N375" s="532">
        <f t="shared" si="195"/>
        <v>0</v>
      </c>
      <c r="O375" s="532">
        <f t="shared" si="195"/>
        <v>0</v>
      </c>
      <c r="P375" s="532">
        <f t="shared" si="195"/>
        <v>0</v>
      </c>
      <c r="Q375" s="532">
        <f t="shared" si="195"/>
        <v>0</v>
      </c>
      <c r="R375" s="532">
        <f t="shared" si="195"/>
        <v>0</v>
      </c>
      <c r="S375" s="532">
        <f t="shared" si="195"/>
        <v>0</v>
      </c>
      <c r="T375" s="532">
        <f t="shared" si="195"/>
        <v>0</v>
      </c>
      <c r="U375" s="532">
        <f t="shared" si="195"/>
        <v>0</v>
      </c>
      <c r="V375" s="532">
        <f t="shared" si="195"/>
        <v>0</v>
      </c>
      <c r="W375" s="532">
        <f t="shared" si="195"/>
        <v>0</v>
      </c>
      <c r="X375" s="532">
        <f t="shared" si="195"/>
        <v>0</v>
      </c>
      <c r="Y375" s="532">
        <f t="shared" si="195"/>
        <v>0</v>
      </c>
      <c r="Z375" s="532">
        <f t="shared" si="195"/>
        <v>0</v>
      </c>
      <c r="AA375" s="532">
        <f t="shared" si="195"/>
        <v>0</v>
      </c>
      <c r="AB375" s="532">
        <f t="shared" si="195"/>
        <v>0</v>
      </c>
      <c r="AC375" s="532">
        <f t="shared" si="195"/>
        <v>0</v>
      </c>
      <c r="AD375" s="532">
        <f t="shared" si="195"/>
        <v>0</v>
      </c>
      <c r="AE375" s="532">
        <f t="shared" si="195"/>
        <v>0</v>
      </c>
      <c r="AF375" s="532">
        <f t="shared" si="195"/>
        <v>0</v>
      </c>
      <c r="AG375" s="532">
        <f t="shared" si="195"/>
        <v>0</v>
      </c>
      <c r="AH375" s="532">
        <f t="shared" si="195"/>
        <v>0</v>
      </c>
      <c r="AI375" s="532">
        <f t="shared" si="195"/>
        <v>0</v>
      </c>
      <c r="AJ375" s="532">
        <f t="shared" si="195"/>
        <v>0</v>
      </c>
      <c r="AK375" s="532">
        <f t="shared" si="195"/>
        <v>0</v>
      </c>
      <c r="AL375" s="532">
        <f t="shared" si="195"/>
        <v>0</v>
      </c>
      <c r="AM375" s="532">
        <f t="shared" si="195"/>
        <v>0</v>
      </c>
      <c r="AN375" s="532">
        <f t="shared" si="195"/>
        <v>0</v>
      </c>
      <c r="AO375" s="532">
        <f t="shared" si="195"/>
        <v>0</v>
      </c>
      <c r="AP375" s="141"/>
      <c r="AQ375" s="505"/>
      <c r="AR375" s="505"/>
      <c r="AS375" s="505"/>
      <c r="AT375" s="505"/>
      <c r="AU375" s="505"/>
      <c r="AV375" s="510"/>
      <c r="AW375" s="452"/>
      <c r="AX375" s="126"/>
    </row>
    <row r="376" spans="1:53" s="507" customFormat="1">
      <c r="A376" s="452"/>
      <c r="B376" s="510"/>
      <c r="C376" s="510"/>
      <c r="D376" s="452"/>
      <c r="E376" s="452"/>
      <c r="F376" s="452"/>
      <c r="G376" s="452"/>
      <c r="H376" s="452"/>
      <c r="I376" s="452"/>
      <c r="J376" s="452"/>
      <c r="K376" s="452"/>
      <c r="L376" s="452"/>
      <c r="M376" s="452"/>
      <c r="N376" s="452"/>
      <c r="O376" s="452"/>
      <c r="P376" s="452"/>
      <c r="Q376" s="452"/>
      <c r="R376" s="452"/>
      <c r="S376" s="452"/>
      <c r="T376" s="452"/>
      <c r="U376" s="452"/>
      <c r="V376" s="452"/>
      <c r="W376" s="452"/>
      <c r="X376" s="452"/>
      <c r="Y376" s="452"/>
      <c r="Z376" s="452"/>
      <c r="AA376" s="452"/>
      <c r="AB376" s="452"/>
      <c r="AC376" s="452"/>
      <c r="AD376" s="452"/>
      <c r="AE376" s="452"/>
      <c r="AF376" s="452"/>
      <c r="AG376" s="452"/>
      <c r="AH376" s="452"/>
      <c r="AI376" s="452"/>
      <c r="AJ376" s="452"/>
      <c r="AK376" s="452"/>
      <c r="AL376" s="452"/>
      <c r="AM376" s="452"/>
      <c r="AN376" s="452"/>
      <c r="AO376" s="452"/>
      <c r="AP376" s="141"/>
      <c r="AQ376" s="505"/>
      <c r="AR376" s="505"/>
      <c r="AS376" s="505"/>
      <c r="AT376" s="505"/>
      <c r="AU376" s="505"/>
      <c r="AV376" s="510"/>
      <c r="AW376" s="452"/>
      <c r="AX376" s="126"/>
    </row>
    <row r="377" spans="1:53" s="507" customFormat="1" ht="15" customHeight="1">
      <c r="A377" s="452"/>
      <c r="B377" s="1179" t="s">
        <v>646</v>
      </c>
      <c r="C377" s="1179"/>
      <c r="D377" s="532">
        <f ca="1">D371+D375</f>
        <v>0</v>
      </c>
      <c r="E377" s="532">
        <f t="shared" ref="E377:AO377" ca="1" si="196">E371+E375</f>
        <v>0</v>
      </c>
      <c r="F377" s="532">
        <f t="shared" ca="1" si="196"/>
        <v>0</v>
      </c>
      <c r="G377" s="532">
        <f t="shared" ca="1" si="196"/>
        <v>0</v>
      </c>
      <c r="H377" s="532">
        <f t="shared" ca="1" si="196"/>
        <v>0</v>
      </c>
      <c r="I377" s="532">
        <f t="shared" ca="1" si="196"/>
        <v>0</v>
      </c>
      <c r="J377" s="532">
        <f t="shared" ca="1" si="196"/>
        <v>0</v>
      </c>
      <c r="K377" s="532">
        <f t="shared" ca="1" si="196"/>
        <v>0</v>
      </c>
      <c r="L377" s="532">
        <f t="shared" ca="1" si="196"/>
        <v>0</v>
      </c>
      <c r="M377" s="532">
        <f t="shared" ca="1" si="196"/>
        <v>0</v>
      </c>
      <c r="N377" s="532">
        <f t="shared" ca="1" si="196"/>
        <v>0</v>
      </c>
      <c r="O377" s="532">
        <f t="shared" ca="1" si="196"/>
        <v>0</v>
      </c>
      <c r="P377" s="532">
        <f t="shared" ca="1" si="196"/>
        <v>0</v>
      </c>
      <c r="Q377" s="532">
        <f t="shared" ca="1" si="196"/>
        <v>0</v>
      </c>
      <c r="R377" s="532">
        <f t="shared" ca="1" si="196"/>
        <v>0</v>
      </c>
      <c r="S377" s="532">
        <f t="shared" ca="1" si="196"/>
        <v>0</v>
      </c>
      <c r="T377" s="532">
        <f t="shared" ca="1" si="196"/>
        <v>0</v>
      </c>
      <c r="U377" s="532">
        <f t="shared" ca="1" si="196"/>
        <v>0</v>
      </c>
      <c r="V377" s="532">
        <f t="shared" ca="1" si="196"/>
        <v>0</v>
      </c>
      <c r="W377" s="532">
        <f t="shared" ca="1" si="196"/>
        <v>0</v>
      </c>
      <c r="X377" s="532">
        <f t="shared" ca="1" si="196"/>
        <v>0</v>
      </c>
      <c r="Y377" s="532">
        <f t="shared" ca="1" si="196"/>
        <v>0</v>
      </c>
      <c r="Z377" s="532">
        <f t="shared" ca="1" si="196"/>
        <v>0</v>
      </c>
      <c r="AA377" s="532">
        <f t="shared" ca="1" si="196"/>
        <v>0</v>
      </c>
      <c r="AB377" s="532">
        <f t="shared" ca="1" si="196"/>
        <v>0</v>
      </c>
      <c r="AC377" s="532">
        <f t="shared" ca="1" si="196"/>
        <v>0</v>
      </c>
      <c r="AD377" s="532">
        <f t="shared" ca="1" si="196"/>
        <v>0</v>
      </c>
      <c r="AE377" s="532">
        <f t="shared" ca="1" si="196"/>
        <v>0</v>
      </c>
      <c r="AF377" s="532">
        <f t="shared" ca="1" si="196"/>
        <v>0</v>
      </c>
      <c r="AG377" s="532">
        <f t="shared" ca="1" si="196"/>
        <v>0</v>
      </c>
      <c r="AH377" s="532">
        <f t="shared" ca="1" si="196"/>
        <v>0</v>
      </c>
      <c r="AI377" s="532">
        <f t="shared" ca="1" si="196"/>
        <v>0</v>
      </c>
      <c r="AJ377" s="532">
        <f t="shared" ca="1" si="196"/>
        <v>0</v>
      </c>
      <c r="AK377" s="532">
        <f t="shared" ca="1" si="196"/>
        <v>0</v>
      </c>
      <c r="AL377" s="532">
        <f t="shared" ca="1" si="196"/>
        <v>0</v>
      </c>
      <c r="AM377" s="532">
        <f t="shared" ca="1" si="196"/>
        <v>0</v>
      </c>
      <c r="AN377" s="532">
        <f t="shared" ca="1" si="196"/>
        <v>0</v>
      </c>
      <c r="AO377" s="532">
        <f t="shared" ca="1" si="196"/>
        <v>0</v>
      </c>
      <c r="AP377" s="141"/>
      <c r="AQ377" s="505"/>
      <c r="AR377" s="505"/>
      <c r="AS377" s="505"/>
      <c r="AT377" s="505"/>
      <c r="AU377" s="505"/>
      <c r="AV377" s="510"/>
      <c r="AW377" s="452"/>
      <c r="AX377" s="126"/>
    </row>
    <row r="378" spans="1:53" s="507" customFormat="1" ht="15" customHeight="1">
      <c r="A378" s="452"/>
      <c r="B378" s="1179" t="s">
        <v>647</v>
      </c>
      <c r="C378" s="1179"/>
      <c r="D378" s="532">
        <f t="shared" ref="D378:AO378" si="197">IF(D15=TMDPeriodValueTypeForecast,D29+D40+D51+D62+D73+D84+D95+D106+D117+D128+D139+D150+D161+D172+D183+D194+D205+D216+D227+D238+D249+D260+D271+D282+D293+D304+D315+D326+D337+D348,0)</f>
        <v>0</v>
      </c>
      <c r="E378" s="532">
        <f t="shared" si="197"/>
        <v>0</v>
      </c>
      <c r="F378" s="532">
        <f t="shared" si="197"/>
        <v>0</v>
      </c>
      <c r="G378" s="532">
        <f t="shared" si="197"/>
        <v>0</v>
      </c>
      <c r="H378" s="532">
        <f t="shared" si="197"/>
        <v>0</v>
      </c>
      <c r="I378" s="532">
        <f t="shared" si="197"/>
        <v>0</v>
      </c>
      <c r="J378" s="532">
        <f t="shared" si="197"/>
        <v>0</v>
      </c>
      <c r="K378" s="532">
        <f t="shared" si="197"/>
        <v>0</v>
      </c>
      <c r="L378" s="532">
        <f t="shared" si="197"/>
        <v>0</v>
      </c>
      <c r="M378" s="532">
        <f t="shared" si="197"/>
        <v>0</v>
      </c>
      <c r="N378" s="532">
        <f t="shared" si="197"/>
        <v>0</v>
      </c>
      <c r="O378" s="532">
        <f t="shared" si="197"/>
        <v>0</v>
      </c>
      <c r="P378" s="532">
        <f t="shared" si="197"/>
        <v>0</v>
      </c>
      <c r="Q378" s="532">
        <f t="shared" si="197"/>
        <v>0</v>
      </c>
      <c r="R378" s="532">
        <f t="shared" si="197"/>
        <v>0</v>
      </c>
      <c r="S378" s="532">
        <f t="shared" si="197"/>
        <v>0</v>
      </c>
      <c r="T378" s="532">
        <f t="shared" si="197"/>
        <v>0</v>
      </c>
      <c r="U378" s="532">
        <f t="shared" si="197"/>
        <v>0</v>
      </c>
      <c r="V378" s="532">
        <f t="shared" si="197"/>
        <v>0</v>
      </c>
      <c r="W378" s="532">
        <f t="shared" si="197"/>
        <v>0</v>
      </c>
      <c r="X378" s="532">
        <f t="shared" si="197"/>
        <v>0</v>
      </c>
      <c r="Y378" s="532">
        <f t="shared" si="197"/>
        <v>0</v>
      </c>
      <c r="Z378" s="532">
        <f t="shared" si="197"/>
        <v>0</v>
      </c>
      <c r="AA378" s="532">
        <f t="shared" si="197"/>
        <v>0</v>
      </c>
      <c r="AB378" s="532">
        <f t="shared" si="197"/>
        <v>0</v>
      </c>
      <c r="AC378" s="532">
        <f t="shared" si="197"/>
        <v>0</v>
      </c>
      <c r="AD378" s="532">
        <f t="shared" si="197"/>
        <v>0</v>
      </c>
      <c r="AE378" s="532">
        <f t="shared" si="197"/>
        <v>0</v>
      </c>
      <c r="AF378" s="532">
        <f t="shared" si="197"/>
        <v>0</v>
      </c>
      <c r="AG378" s="532">
        <f t="shared" si="197"/>
        <v>0</v>
      </c>
      <c r="AH378" s="532">
        <f t="shared" si="197"/>
        <v>0</v>
      </c>
      <c r="AI378" s="532">
        <f t="shared" si="197"/>
        <v>0</v>
      </c>
      <c r="AJ378" s="532">
        <f t="shared" si="197"/>
        <v>0</v>
      </c>
      <c r="AK378" s="532">
        <f t="shared" si="197"/>
        <v>0</v>
      </c>
      <c r="AL378" s="532">
        <f t="shared" si="197"/>
        <v>0</v>
      </c>
      <c r="AM378" s="532">
        <f t="shared" si="197"/>
        <v>0</v>
      </c>
      <c r="AN378" s="532">
        <f t="shared" si="197"/>
        <v>0</v>
      </c>
      <c r="AO378" s="532">
        <f t="shared" si="197"/>
        <v>0</v>
      </c>
      <c r="AP378" s="141"/>
      <c r="AQ378" s="505"/>
      <c r="AR378" s="505"/>
      <c r="AS378" s="505"/>
      <c r="AT378" s="505"/>
      <c r="AU378" s="505"/>
      <c r="AV378" s="510"/>
      <c r="AW378" s="452"/>
      <c r="AX378" s="126"/>
      <c r="AZ378" s="535"/>
      <c r="BA378" s="535"/>
    </row>
    <row r="379" spans="1:53" s="507" customFormat="1" ht="15" customHeight="1">
      <c r="A379" s="452"/>
      <c r="B379" s="1179" t="s">
        <v>268</v>
      </c>
      <c r="C379" s="1179"/>
      <c r="D379" s="533">
        <f t="shared" ref="D379:AO379" si="198">IF(D15=TMDPeriodValueTypeForecast,D28*$AS$28+D39*$AS$39+D50*$AS$50+D61*$AS$61+D72*$AS$72+D83*$AS$83+D94*$AS$94+D105*$AS$105+D116*$AS$116+D127*$AS$127+D138*$AS$138+D149*$AS$149+D160*$AS$160+D171*$AS$171+D182*$AS$182+D193*$AS$193+D204*$AS$204+D215*$AS$215+D226*$AS$226+D237*$AS$237+D248*$AS$248+D259*$AS$259+D270*$AS$270+D281*$AS$281+D292*$AS$292+D303*$AS$303+D314*$AS$314+D325*$AS$325+D336*$AS$336+D347*$AS$347,0)</f>
        <v>0</v>
      </c>
      <c r="E379" s="533">
        <f t="shared" si="198"/>
        <v>0</v>
      </c>
      <c r="F379" s="533">
        <f t="shared" si="198"/>
        <v>0</v>
      </c>
      <c r="G379" s="533">
        <f t="shared" si="198"/>
        <v>0</v>
      </c>
      <c r="H379" s="533">
        <f t="shared" si="198"/>
        <v>0</v>
      </c>
      <c r="I379" s="533">
        <f t="shared" si="198"/>
        <v>0</v>
      </c>
      <c r="J379" s="533">
        <f t="shared" si="198"/>
        <v>0</v>
      </c>
      <c r="K379" s="533">
        <f t="shared" si="198"/>
        <v>0</v>
      </c>
      <c r="L379" s="533">
        <f t="shared" si="198"/>
        <v>0</v>
      </c>
      <c r="M379" s="533">
        <f t="shared" si="198"/>
        <v>0</v>
      </c>
      <c r="N379" s="533">
        <f t="shared" si="198"/>
        <v>0</v>
      </c>
      <c r="O379" s="533">
        <f t="shared" si="198"/>
        <v>0</v>
      </c>
      <c r="P379" s="533">
        <f t="shared" si="198"/>
        <v>0</v>
      </c>
      <c r="Q379" s="533">
        <f t="shared" si="198"/>
        <v>0</v>
      </c>
      <c r="R379" s="533">
        <f t="shared" si="198"/>
        <v>0</v>
      </c>
      <c r="S379" s="533">
        <f t="shared" si="198"/>
        <v>0</v>
      </c>
      <c r="T379" s="533">
        <f t="shared" si="198"/>
        <v>0</v>
      </c>
      <c r="U379" s="533">
        <f t="shared" si="198"/>
        <v>0</v>
      </c>
      <c r="V379" s="533">
        <f t="shared" si="198"/>
        <v>0</v>
      </c>
      <c r="W379" s="533">
        <f t="shared" si="198"/>
        <v>0</v>
      </c>
      <c r="X379" s="533">
        <f t="shared" si="198"/>
        <v>0</v>
      </c>
      <c r="Y379" s="533">
        <f t="shared" si="198"/>
        <v>0</v>
      </c>
      <c r="Z379" s="533">
        <f t="shared" si="198"/>
        <v>0</v>
      </c>
      <c r="AA379" s="533">
        <f t="shared" si="198"/>
        <v>0</v>
      </c>
      <c r="AB379" s="533">
        <f t="shared" si="198"/>
        <v>0</v>
      </c>
      <c r="AC379" s="533">
        <f t="shared" si="198"/>
        <v>0</v>
      </c>
      <c r="AD379" s="533">
        <f t="shared" si="198"/>
        <v>0</v>
      </c>
      <c r="AE379" s="533">
        <f t="shared" si="198"/>
        <v>0</v>
      </c>
      <c r="AF379" s="533">
        <f t="shared" si="198"/>
        <v>0</v>
      </c>
      <c r="AG379" s="533">
        <f t="shared" si="198"/>
        <v>0</v>
      </c>
      <c r="AH379" s="533">
        <f t="shared" si="198"/>
        <v>0</v>
      </c>
      <c r="AI379" s="533">
        <f t="shared" si="198"/>
        <v>0</v>
      </c>
      <c r="AJ379" s="533">
        <f t="shared" si="198"/>
        <v>0</v>
      </c>
      <c r="AK379" s="533">
        <f t="shared" si="198"/>
        <v>0</v>
      </c>
      <c r="AL379" s="533">
        <f t="shared" si="198"/>
        <v>0</v>
      </c>
      <c r="AM379" s="533">
        <f t="shared" si="198"/>
        <v>0</v>
      </c>
      <c r="AN379" s="533">
        <f t="shared" si="198"/>
        <v>0</v>
      </c>
      <c r="AO379" s="533">
        <f t="shared" si="198"/>
        <v>0</v>
      </c>
      <c r="AP379" s="536"/>
      <c r="AQ379" s="505"/>
      <c r="AR379" s="505"/>
      <c r="AS379" s="505"/>
      <c r="AT379" s="505"/>
      <c r="AU379" s="505"/>
      <c r="AV379" s="510"/>
      <c r="AW379" s="452"/>
      <c r="AX379" s="126"/>
      <c r="AZ379" s="535"/>
      <c r="BA379" s="535"/>
    </row>
    <row r="380" spans="1:53" s="507" customFormat="1" ht="15" customHeight="1">
      <c r="A380" s="452"/>
      <c r="B380" s="1179" t="s">
        <v>269</v>
      </c>
      <c r="C380" s="1179"/>
      <c r="D380" s="534" t="str">
        <f t="shared" ref="D380:AO380" si="199">IF(D15=TMDPeriodValueTypeForecast, D17,0)</f>
        <v/>
      </c>
      <c r="E380" s="534" t="str">
        <f t="shared" si="199"/>
        <v/>
      </c>
      <c r="F380" s="534" t="str">
        <f t="shared" si="199"/>
        <v/>
      </c>
      <c r="G380" s="534" t="str">
        <f t="shared" si="199"/>
        <v/>
      </c>
      <c r="H380" s="534" t="str">
        <f t="shared" si="199"/>
        <v/>
      </c>
      <c r="I380" s="534" t="str">
        <f t="shared" si="199"/>
        <v/>
      </c>
      <c r="J380" s="534" t="str">
        <f t="shared" si="199"/>
        <v/>
      </c>
      <c r="K380" s="534" t="str">
        <f t="shared" si="199"/>
        <v/>
      </c>
      <c r="L380" s="534" t="str">
        <f t="shared" si="199"/>
        <v/>
      </c>
      <c r="M380" s="534" t="str">
        <f t="shared" si="199"/>
        <v/>
      </c>
      <c r="N380" s="534" t="str">
        <f t="shared" si="199"/>
        <v/>
      </c>
      <c r="O380" s="534" t="str">
        <f t="shared" si="199"/>
        <v/>
      </c>
      <c r="P380" s="534" t="str">
        <f t="shared" si="199"/>
        <v/>
      </c>
      <c r="Q380" s="534" t="str">
        <f t="shared" si="199"/>
        <v/>
      </c>
      <c r="R380" s="534" t="str">
        <f t="shared" si="199"/>
        <v/>
      </c>
      <c r="S380" s="534" t="str">
        <f t="shared" si="199"/>
        <v/>
      </c>
      <c r="T380" s="534" t="str">
        <f t="shared" si="199"/>
        <v/>
      </c>
      <c r="U380" s="534" t="str">
        <f t="shared" si="199"/>
        <v/>
      </c>
      <c r="V380" s="534" t="str">
        <f t="shared" si="199"/>
        <v/>
      </c>
      <c r="W380" s="534" t="str">
        <f t="shared" si="199"/>
        <v/>
      </c>
      <c r="X380" s="534" t="str">
        <f t="shared" si="199"/>
        <v/>
      </c>
      <c r="Y380" s="534" t="str">
        <f t="shared" si="199"/>
        <v/>
      </c>
      <c r="Z380" s="534" t="str">
        <f t="shared" si="199"/>
        <v/>
      </c>
      <c r="AA380" s="534" t="str">
        <f t="shared" si="199"/>
        <v/>
      </c>
      <c r="AB380" s="534" t="str">
        <f t="shared" si="199"/>
        <v/>
      </c>
      <c r="AC380" s="534" t="str">
        <f t="shared" si="199"/>
        <v/>
      </c>
      <c r="AD380" s="534" t="str">
        <f t="shared" si="199"/>
        <v/>
      </c>
      <c r="AE380" s="534" t="str">
        <f t="shared" si="199"/>
        <v/>
      </c>
      <c r="AF380" s="534" t="str">
        <f t="shared" si="199"/>
        <v/>
      </c>
      <c r="AG380" s="534" t="str">
        <f t="shared" si="199"/>
        <v/>
      </c>
      <c r="AH380" s="534" t="str">
        <f t="shared" si="199"/>
        <v/>
      </c>
      <c r="AI380" s="534" t="str">
        <f t="shared" si="199"/>
        <v/>
      </c>
      <c r="AJ380" s="534" t="str">
        <f t="shared" si="199"/>
        <v/>
      </c>
      <c r="AK380" s="534" t="str">
        <f t="shared" si="199"/>
        <v/>
      </c>
      <c r="AL380" s="534" t="str">
        <f t="shared" si="199"/>
        <v/>
      </c>
      <c r="AM380" s="534" t="str">
        <f t="shared" si="199"/>
        <v/>
      </c>
      <c r="AN380" s="534" t="str">
        <f t="shared" si="199"/>
        <v/>
      </c>
      <c r="AO380" s="534" t="str">
        <f t="shared" si="199"/>
        <v/>
      </c>
      <c r="AP380" s="141"/>
      <c r="AQ380" s="519"/>
      <c r="AR380" s="505"/>
      <c r="AS380" s="519"/>
      <c r="AT380" s="505"/>
      <c r="AU380" s="505"/>
      <c r="AV380" s="510"/>
      <c r="AW380" s="452"/>
      <c r="AX380" s="126"/>
    </row>
    <row r="381" spans="1:53" s="507" customFormat="1">
      <c r="A381" s="452"/>
      <c r="B381" s="510"/>
      <c r="C381" s="510"/>
      <c r="D381" s="452"/>
      <c r="E381" s="452"/>
      <c r="F381" s="452"/>
      <c r="G381" s="452"/>
      <c r="H381" s="452"/>
      <c r="I381" s="452"/>
      <c r="J381" s="452"/>
      <c r="K381" s="452"/>
      <c r="L381" s="452"/>
      <c r="M381" s="452"/>
      <c r="N381" s="452"/>
      <c r="O381" s="452"/>
      <c r="P381" s="452"/>
      <c r="Q381" s="452"/>
      <c r="R381" s="452"/>
      <c r="S381" s="452"/>
      <c r="T381" s="452"/>
      <c r="U381" s="452"/>
      <c r="V381" s="452"/>
      <c r="W381" s="452"/>
      <c r="X381" s="452"/>
      <c r="Y381" s="452"/>
      <c r="Z381" s="452"/>
      <c r="AA381" s="452"/>
      <c r="AB381" s="452"/>
      <c r="AC381" s="452"/>
      <c r="AD381" s="452"/>
      <c r="AE381" s="452"/>
      <c r="AF381" s="452"/>
      <c r="AG381" s="452"/>
      <c r="AH381" s="452"/>
      <c r="AI381" s="452"/>
      <c r="AJ381" s="452"/>
      <c r="AK381" s="452"/>
      <c r="AL381" s="452"/>
      <c r="AM381" s="452"/>
      <c r="AN381" s="452"/>
      <c r="AO381" s="452"/>
      <c r="AP381" s="141"/>
      <c r="AQ381" s="505"/>
      <c r="AR381" s="505"/>
      <c r="AS381" s="505"/>
      <c r="AT381" s="505"/>
      <c r="AU381" s="505"/>
      <c r="AV381" s="510"/>
      <c r="AW381" s="452"/>
      <c r="AX381" s="126"/>
      <c r="AZ381" s="535"/>
      <c r="BA381" s="535"/>
    </row>
    <row r="382" spans="1:53" s="507" customFormat="1">
      <c r="A382" s="452"/>
      <c r="B382" s="510"/>
      <c r="C382" s="510"/>
      <c r="D382" s="452"/>
      <c r="E382" s="452"/>
      <c r="F382" s="452"/>
      <c r="G382" s="452"/>
      <c r="H382" s="452"/>
      <c r="I382" s="452"/>
      <c r="J382" s="452"/>
      <c r="K382" s="452"/>
      <c r="L382" s="452"/>
      <c r="M382" s="452"/>
      <c r="N382" s="452"/>
      <c r="O382" s="452"/>
      <c r="P382" s="452"/>
      <c r="Q382" s="452"/>
      <c r="R382" s="452"/>
      <c r="S382" s="452"/>
      <c r="T382" s="452"/>
      <c r="U382" s="452"/>
      <c r="V382" s="452"/>
      <c r="W382" s="452"/>
      <c r="X382" s="452"/>
      <c r="Y382" s="452"/>
      <c r="Z382" s="452"/>
      <c r="AA382" s="452"/>
      <c r="AB382" s="452"/>
      <c r="AC382" s="452"/>
      <c r="AD382" s="452"/>
      <c r="AE382" s="452"/>
      <c r="AF382" s="452"/>
      <c r="AG382" s="452"/>
      <c r="AH382" s="452"/>
      <c r="AI382" s="452"/>
      <c r="AJ382" s="452"/>
      <c r="AK382" s="452"/>
      <c r="AL382" s="452"/>
      <c r="AM382" s="452"/>
      <c r="AN382" s="452"/>
      <c r="AO382" s="452"/>
      <c r="AP382" s="141"/>
      <c r="AQ382" s="505"/>
      <c r="AR382" s="505"/>
      <c r="AS382" s="505"/>
      <c r="AT382" s="505"/>
      <c r="AU382" s="505"/>
      <c r="AV382" s="510"/>
      <c r="AW382" s="452"/>
      <c r="AX382" s="126"/>
      <c r="AZ382" s="535"/>
      <c r="BA382" s="535"/>
    </row>
    <row r="383" spans="1:53" s="507" customFormat="1">
      <c r="A383" s="452"/>
      <c r="B383" s="1178" t="s">
        <v>650</v>
      </c>
      <c r="C383" s="1178"/>
      <c r="D383" s="531"/>
      <c r="E383" s="531"/>
      <c r="F383" s="531"/>
      <c r="G383" s="531"/>
      <c r="H383" s="531"/>
      <c r="I383" s="531"/>
      <c r="J383" s="531"/>
      <c r="K383" s="531"/>
      <c r="L383" s="531"/>
      <c r="M383" s="531"/>
      <c r="N383" s="531"/>
      <c r="O383" s="531"/>
      <c r="P383" s="531"/>
      <c r="Q383" s="531"/>
      <c r="R383" s="531"/>
      <c r="S383" s="531"/>
      <c r="T383" s="531"/>
      <c r="U383" s="531"/>
      <c r="V383" s="531"/>
      <c r="W383" s="531"/>
      <c r="X383" s="531"/>
      <c r="Y383" s="531"/>
      <c r="Z383" s="531"/>
      <c r="AA383" s="531"/>
      <c r="AB383" s="531"/>
      <c r="AC383" s="531"/>
      <c r="AD383" s="531"/>
      <c r="AE383" s="531"/>
      <c r="AF383" s="531"/>
      <c r="AG383" s="531"/>
      <c r="AH383" s="531"/>
      <c r="AI383" s="531"/>
      <c r="AJ383" s="531"/>
      <c r="AK383" s="531"/>
      <c r="AL383" s="531"/>
      <c r="AM383" s="531"/>
      <c r="AN383" s="531"/>
      <c r="AO383" s="531"/>
      <c r="AP383" s="141"/>
      <c r="AQ383" s="505"/>
      <c r="AR383" s="505"/>
      <c r="AS383" s="505"/>
      <c r="AT383" s="505"/>
      <c r="AU383" s="505"/>
      <c r="AV383" s="510"/>
      <c r="AW383" s="452"/>
      <c r="AX383" s="126"/>
      <c r="AZ383" s="535"/>
      <c r="BA383" s="535"/>
    </row>
    <row r="384" spans="1:53" s="507" customFormat="1">
      <c r="A384" s="452"/>
      <c r="B384" s="1179" t="s">
        <v>476</v>
      </c>
      <c r="C384" s="1179"/>
      <c r="D384" s="532">
        <f>IF(D15=TMDPeriodValueTypeReported,'Delivery Calculation'!M81,0)</f>
        <v>0</v>
      </c>
      <c r="E384" s="532">
        <f>IF(E15=TMDPeriodValueTypeReported,'Delivery Calculation'!N81,0)</f>
        <v>0</v>
      </c>
      <c r="F384" s="532">
        <f>IF(F15=TMDPeriodValueTypeReported,'Delivery Calculation'!O81,0)</f>
        <v>0</v>
      </c>
      <c r="G384" s="532">
        <f>IF(G15=TMDPeriodValueTypeReported,'Delivery Calculation'!P81,0)</f>
        <v>0</v>
      </c>
      <c r="H384" s="532">
        <f>IF(H15=TMDPeriodValueTypeReported,'Delivery Calculation'!Q81,0)</f>
        <v>0</v>
      </c>
      <c r="I384" s="532">
        <f>IF(I15=TMDPeriodValueTypeReported,'Delivery Calculation'!R81,0)</f>
        <v>0</v>
      </c>
      <c r="J384" s="532">
        <f>IF(J15=TMDPeriodValueTypeReported,'Delivery Calculation'!S81,0)</f>
        <v>0</v>
      </c>
      <c r="K384" s="532">
        <f>IF(K15=TMDPeriodValueTypeReported,'Delivery Calculation'!T81,0)</f>
        <v>0</v>
      </c>
      <c r="L384" s="532">
        <f>IF(L15=TMDPeriodValueTypeReported,'Delivery Calculation'!U81,0)</f>
        <v>0</v>
      </c>
      <c r="M384" s="532">
        <f>IF(M15=TMDPeriodValueTypeReported,'Delivery Calculation'!V81,0)</f>
        <v>0</v>
      </c>
      <c r="N384" s="532">
        <f>IF(N15=TMDPeriodValueTypeReported,'Delivery Calculation'!W81,0)</f>
        <v>0</v>
      </c>
      <c r="O384" s="532">
        <f>IF(O15=TMDPeriodValueTypeReported,'Delivery Calculation'!X81,0)</f>
        <v>0</v>
      </c>
      <c r="P384" s="532">
        <f>IF(P15=TMDPeriodValueTypeReported,'Delivery Calculation'!Y81,0)</f>
        <v>0</v>
      </c>
      <c r="Q384" s="532">
        <f>IF(Q15=TMDPeriodValueTypeReported,'Delivery Calculation'!Z81,0)</f>
        <v>0</v>
      </c>
      <c r="R384" s="532">
        <f>IF(R15=TMDPeriodValueTypeReported,'Delivery Calculation'!AA81,0)</f>
        <v>0</v>
      </c>
      <c r="S384" s="532">
        <f>IF(S15=TMDPeriodValueTypeReported,'Delivery Calculation'!AB81,0)</f>
        <v>0</v>
      </c>
      <c r="T384" s="532">
        <f>IF(T15=TMDPeriodValueTypeReported,'Delivery Calculation'!AC81,0)</f>
        <v>0</v>
      </c>
      <c r="U384" s="532">
        <f>IF(U15=TMDPeriodValueTypeReported,'Delivery Calculation'!AD81,0)</f>
        <v>0</v>
      </c>
      <c r="V384" s="532">
        <f>IF(V15=TMDPeriodValueTypeReported,'Delivery Calculation'!AE81,0)</f>
        <v>0</v>
      </c>
      <c r="W384" s="532">
        <f>IF(W15=TMDPeriodValueTypeReported,'Delivery Calculation'!AF81,0)</f>
        <v>0</v>
      </c>
      <c r="X384" s="532">
        <f>IF(X15=TMDPeriodValueTypeReported,'Delivery Calculation'!AG81,0)</f>
        <v>0</v>
      </c>
      <c r="Y384" s="532">
        <f>IF(Y15=TMDPeriodValueTypeReported,'Delivery Calculation'!AH81,0)</f>
        <v>0</v>
      </c>
      <c r="Z384" s="532">
        <f>IF(Z15=TMDPeriodValueTypeReported,'Delivery Calculation'!AI81,0)</f>
        <v>0</v>
      </c>
      <c r="AA384" s="532">
        <f>IF(AA15=TMDPeriodValueTypeReported,'Delivery Calculation'!AJ81,0)</f>
        <v>0</v>
      </c>
      <c r="AB384" s="532">
        <f>IF(AB15=TMDPeriodValueTypeReported,'Delivery Calculation'!AK81,0)</f>
        <v>0</v>
      </c>
      <c r="AC384" s="532">
        <f>IF(AC15=TMDPeriodValueTypeReported,'Delivery Calculation'!AL81,0)</f>
        <v>0</v>
      </c>
      <c r="AD384" s="532">
        <f>IF(AD15=TMDPeriodValueTypeReported,'Delivery Calculation'!AM81,0)</f>
        <v>0</v>
      </c>
      <c r="AE384" s="532">
        <f>IF(AE15=TMDPeriodValueTypeReported,'Delivery Calculation'!AN81,0)</f>
        <v>0</v>
      </c>
      <c r="AF384" s="532">
        <f>IF(AF15=TMDPeriodValueTypeReported,'Delivery Calculation'!AO81,0)</f>
        <v>0</v>
      </c>
      <c r="AG384" s="532">
        <f>IF(AG15=TMDPeriodValueTypeReported,'Delivery Calculation'!AP81,0)</f>
        <v>0</v>
      </c>
      <c r="AH384" s="532">
        <f>IF(AH15=TMDPeriodValueTypeReported,'Delivery Calculation'!AQ81,0)</f>
        <v>0</v>
      </c>
      <c r="AI384" s="532">
        <f>IF(AI15=TMDPeriodValueTypeReported,'Delivery Calculation'!AR81,0)</f>
        <v>0</v>
      </c>
      <c r="AJ384" s="532">
        <f>IF(AJ15=TMDPeriodValueTypeReported,'Delivery Calculation'!AS81,0)</f>
        <v>0</v>
      </c>
      <c r="AK384" s="532">
        <f>IF(AK15=TMDPeriodValueTypeReported,'Delivery Calculation'!AT81,0)</f>
        <v>0</v>
      </c>
      <c r="AL384" s="532">
        <f>IF(AL15=TMDPeriodValueTypeReported,'Delivery Calculation'!AU81,0)</f>
        <v>0</v>
      </c>
      <c r="AM384" s="532">
        <f>IF(AM15=TMDPeriodValueTypeReported,'Delivery Calculation'!AV81,0)</f>
        <v>0</v>
      </c>
      <c r="AN384" s="532">
        <f>IF(AN15=TMDPeriodValueTypeReported,'Delivery Calculation'!AW81,0)</f>
        <v>0</v>
      </c>
      <c r="AO384" s="532">
        <f>IF(AO15=TMDPeriodValueTypeReported,'Delivery Calculation'!AX81,0)</f>
        <v>0</v>
      </c>
      <c r="AP384" s="141"/>
      <c r="AQ384" s="505"/>
      <c r="AR384" s="505"/>
      <c r="AS384" s="505"/>
      <c r="AT384" s="505"/>
      <c r="AU384" s="505"/>
      <c r="AV384" s="510"/>
      <c r="AW384" s="452"/>
      <c r="AX384" s="126"/>
      <c r="AZ384" s="535"/>
      <c r="BA384" s="535"/>
    </row>
    <row r="385" spans="1:53" s="507" customFormat="1" ht="15" customHeight="1">
      <c r="A385" s="452"/>
      <c r="B385" s="1179" t="s">
        <v>267</v>
      </c>
      <c r="C385" s="1179"/>
      <c r="D385" s="532">
        <f>IF(D15=TMDPeriodValueTypeReported,'Delivery Calculation'!M117,0)</f>
        <v>0</v>
      </c>
      <c r="E385" s="532">
        <f>IF(E15=TMDPeriodValueTypeReported,'Delivery Calculation'!N117,0)</f>
        <v>0</v>
      </c>
      <c r="F385" s="532">
        <f>IF(F15=TMDPeriodValueTypeReported,'Delivery Calculation'!O117,0)</f>
        <v>0</v>
      </c>
      <c r="G385" s="532">
        <f>IF(G15=TMDPeriodValueTypeReported,'Delivery Calculation'!P117,0)</f>
        <v>0</v>
      </c>
      <c r="H385" s="532">
        <f>IF(H15=TMDPeriodValueTypeReported,'Delivery Calculation'!Q117,0)</f>
        <v>0</v>
      </c>
      <c r="I385" s="532">
        <f>IF(I15=TMDPeriodValueTypeReported,'Delivery Calculation'!R117,0)</f>
        <v>0</v>
      </c>
      <c r="J385" s="532">
        <f>IF(J15=TMDPeriodValueTypeReported,'Delivery Calculation'!S117,0)</f>
        <v>0</v>
      </c>
      <c r="K385" s="532">
        <f>IF(K15=TMDPeriodValueTypeReported,'Delivery Calculation'!T117,0)</f>
        <v>0</v>
      </c>
      <c r="L385" s="532">
        <f>IF(L15=TMDPeriodValueTypeReported,'Delivery Calculation'!U117,0)</f>
        <v>0</v>
      </c>
      <c r="M385" s="532">
        <f>IF(M15=TMDPeriodValueTypeReported,'Delivery Calculation'!V117,0)</f>
        <v>0</v>
      </c>
      <c r="N385" s="532">
        <f>IF(N15=TMDPeriodValueTypeReported,'Delivery Calculation'!W117,0)</f>
        <v>0</v>
      </c>
      <c r="O385" s="532">
        <f>IF(O15=TMDPeriodValueTypeReported,'Delivery Calculation'!X117,0)</f>
        <v>0</v>
      </c>
      <c r="P385" s="532">
        <f>IF(P15=TMDPeriodValueTypeReported,'Delivery Calculation'!Y117,0)</f>
        <v>0</v>
      </c>
      <c r="Q385" s="532">
        <f>IF(Q15=TMDPeriodValueTypeReported,'Delivery Calculation'!Z117,0)</f>
        <v>0</v>
      </c>
      <c r="R385" s="532">
        <f>IF(R15=TMDPeriodValueTypeReported,'Delivery Calculation'!AA117,0)</f>
        <v>0</v>
      </c>
      <c r="S385" s="532">
        <f>IF(S15=TMDPeriodValueTypeReported,'Delivery Calculation'!AB117,0)</f>
        <v>0</v>
      </c>
      <c r="T385" s="532">
        <f>IF(T15=TMDPeriodValueTypeReported,'Delivery Calculation'!AC117,0)</f>
        <v>0</v>
      </c>
      <c r="U385" s="532">
        <f>IF(U15=TMDPeriodValueTypeReported,'Delivery Calculation'!AD117,0)</f>
        <v>0</v>
      </c>
      <c r="V385" s="532">
        <f>IF(V15=TMDPeriodValueTypeReported,'Delivery Calculation'!AE117,0)</f>
        <v>0</v>
      </c>
      <c r="W385" s="532">
        <f>IF(W15=TMDPeriodValueTypeReported,'Delivery Calculation'!AF117,0)</f>
        <v>0</v>
      </c>
      <c r="X385" s="532">
        <f>IF(X15=TMDPeriodValueTypeReported,'Delivery Calculation'!AG117,0)</f>
        <v>0</v>
      </c>
      <c r="Y385" s="532">
        <f>IF(Y15=TMDPeriodValueTypeReported,'Delivery Calculation'!AH117,0)</f>
        <v>0</v>
      </c>
      <c r="Z385" s="532">
        <f>IF(Z15=TMDPeriodValueTypeReported,'Delivery Calculation'!AI117,0)</f>
        <v>0</v>
      </c>
      <c r="AA385" s="532">
        <f>IF(AA15=TMDPeriodValueTypeReported,'Delivery Calculation'!AJ117,0)</f>
        <v>0</v>
      </c>
      <c r="AB385" s="532">
        <f>IF(AB15=TMDPeriodValueTypeReported,'Delivery Calculation'!AK117,0)</f>
        <v>0</v>
      </c>
      <c r="AC385" s="532">
        <f>IF(AC15=TMDPeriodValueTypeReported,'Delivery Calculation'!AL117,0)</f>
        <v>0</v>
      </c>
      <c r="AD385" s="532">
        <f>IF(AD15=TMDPeriodValueTypeReported,'Delivery Calculation'!AM117,0)</f>
        <v>0</v>
      </c>
      <c r="AE385" s="532">
        <f>IF(AE15=TMDPeriodValueTypeReported,'Delivery Calculation'!AN117,0)</f>
        <v>0</v>
      </c>
      <c r="AF385" s="532">
        <f>IF(AF15=TMDPeriodValueTypeReported,'Delivery Calculation'!AO117,0)</f>
        <v>0</v>
      </c>
      <c r="AG385" s="532">
        <f>IF(AG15=TMDPeriodValueTypeReported,'Delivery Calculation'!AP117,0)</f>
        <v>0</v>
      </c>
      <c r="AH385" s="532">
        <f>IF(AH15=TMDPeriodValueTypeReported,'Delivery Calculation'!AQ117,0)</f>
        <v>0</v>
      </c>
      <c r="AI385" s="532">
        <f>IF(AI15=TMDPeriodValueTypeReported,'Delivery Calculation'!AR117,0)</f>
        <v>0</v>
      </c>
      <c r="AJ385" s="532">
        <f>IF(AJ15=TMDPeriodValueTypeReported,'Delivery Calculation'!AS117,0)</f>
        <v>0</v>
      </c>
      <c r="AK385" s="532">
        <f>IF(AK15=TMDPeriodValueTypeReported,'Delivery Calculation'!AT117,0)</f>
        <v>0</v>
      </c>
      <c r="AL385" s="532">
        <f>IF(AL15=TMDPeriodValueTypeReported,'Delivery Calculation'!AU117,0)</f>
        <v>0</v>
      </c>
      <c r="AM385" s="532">
        <f>IF(AM15=TMDPeriodValueTypeReported,'Delivery Calculation'!AV117,0)</f>
        <v>0</v>
      </c>
      <c r="AN385" s="532">
        <f>IF(AN15=TMDPeriodValueTypeReported,'Delivery Calculation'!AW117,0)</f>
        <v>0</v>
      </c>
      <c r="AO385" s="532">
        <f>IF(AO15=TMDPeriodValueTypeReported,'Delivery Calculation'!AX117,0)</f>
        <v>0</v>
      </c>
      <c r="AP385" s="141"/>
      <c r="AQ385" s="505"/>
      <c r="AR385" s="505"/>
      <c r="AS385" s="505"/>
      <c r="AT385" s="505"/>
      <c r="AU385" s="505"/>
      <c r="AV385" s="510"/>
      <c r="AW385" s="452"/>
      <c r="AX385" s="126"/>
      <c r="AZ385" s="535"/>
      <c r="BA385" s="535"/>
    </row>
    <row r="386" spans="1:53" s="507" customFormat="1" ht="15" customHeight="1">
      <c r="A386" s="452"/>
      <c r="B386" s="1179" t="s">
        <v>647</v>
      </c>
      <c r="C386" s="1179"/>
      <c r="D386" s="532">
        <f>IF(D15=TMDPeriodValueTypeReported,'Delivery Calculation'!M153,0)</f>
        <v>0</v>
      </c>
      <c r="E386" s="532">
        <f>IF(E15=TMDPeriodValueTypeReported,'Delivery Calculation'!N153,0)</f>
        <v>0</v>
      </c>
      <c r="F386" s="532">
        <f>IF(F15=TMDPeriodValueTypeReported,'Delivery Calculation'!O153,0)</f>
        <v>0</v>
      </c>
      <c r="G386" s="532">
        <f>IF(G15=TMDPeriodValueTypeReported,'Delivery Calculation'!P153,0)</f>
        <v>0</v>
      </c>
      <c r="H386" s="532">
        <f>IF(H15=TMDPeriodValueTypeReported,'Delivery Calculation'!Q153,0)</f>
        <v>0</v>
      </c>
      <c r="I386" s="532">
        <f>IF(I15=TMDPeriodValueTypeReported,'Delivery Calculation'!R153,0)</f>
        <v>0</v>
      </c>
      <c r="J386" s="532">
        <f>IF(J15=TMDPeriodValueTypeReported,'Delivery Calculation'!S153,0)</f>
        <v>0</v>
      </c>
      <c r="K386" s="532">
        <f>IF(K15=TMDPeriodValueTypeReported,'Delivery Calculation'!T153,0)</f>
        <v>0</v>
      </c>
      <c r="L386" s="532">
        <f>IF(L15=TMDPeriodValueTypeReported,'Delivery Calculation'!U153,0)</f>
        <v>0</v>
      </c>
      <c r="M386" s="532">
        <f>IF(M15=TMDPeriodValueTypeReported,'Delivery Calculation'!V153,0)</f>
        <v>0</v>
      </c>
      <c r="N386" s="532">
        <f>IF(N15=TMDPeriodValueTypeReported,'Delivery Calculation'!W153,0)</f>
        <v>0</v>
      </c>
      <c r="O386" s="532">
        <f>IF(O15=TMDPeriodValueTypeReported,'Delivery Calculation'!X153,0)</f>
        <v>0</v>
      </c>
      <c r="P386" s="532">
        <f>IF(P15=TMDPeriodValueTypeReported,'Delivery Calculation'!Y153,0)</f>
        <v>0</v>
      </c>
      <c r="Q386" s="532">
        <f>IF(Q15=TMDPeriodValueTypeReported,'Delivery Calculation'!Z153,0)</f>
        <v>0</v>
      </c>
      <c r="R386" s="532">
        <f>IF(R15=TMDPeriodValueTypeReported,'Delivery Calculation'!AA153,0)</f>
        <v>0</v>
      </c>
      <c r="S386" s="532">
        <f>IF(S15=TMDPeriodValueTypeReported,'Delivery Calculation'!AB153,0)</f>
        <v>0</v>
      </c>
      <c r="T386" s="532">
        <f>IF(T15=TMDPeriodValueTypeReported,'Delivery Calculation'!AC153,0)</f>
        <v>0</v>
      </c>
      <c r="U386" s="532">
        <f>IF(U15=TMDPeriodValueTypeReported,'Delivery Calculation'!AD153,0)</f>
        <v>0</v>
      </c>
      <c r="V386" s="532">
        <f>IF(V15=TMDPeriodValueTypeReported,'Delivery Calculation'!AE153,0)</f>
        <v>0</v>
      </c>
      <c r="W386" s="532">
        <f>IF(W15=TMDPeriodValueTypeReported,'Delivery Calculation'!AF153,0)</f>
        <v>0</v>
      </c>
      <c r="X386" s="532">
        <f>IF(X15=TMDPeriodValueTypeReported,'Delivery Calculation'!AG153,0)</f>
        <v>0</v>
      </c>
      <c r="Y386" s="532">
        <f>IF(Y15=TMDPeriodValueTypeReported,'Delivery Calculation'!AH153,0)</f>
        <v>0</v>
      </c>
      <c r="Z386" s="532">
        <f>IF(Z15=TMDPeriodValueTypeReported,'Delivery Calculation'!AI153,0)</f>
        <v>0</v>
      </c>
      <c r="AA386" s="532">
        <f>IF(AA15=TMDPeriodValueTypeReported,'Delivery Calculation'!AJ153,0)</f>
        <v>0</v>
      </c>
      <c r="AB386" s="532">
        <f>IF(AB15=TMDPeriodValueTypeReported,'Delivery Calculation'!AK153,0)</f>
        <v>0</v>
      </c>
      <c r="AC386" s="532">
        <f>IF(AC15=TMDPeriodValueTypeReported,'Delivery Calculation'!AL153,0)</f>
        <v>0</v>
      </c>
      <c r="AD386" s="532">
        <f>IF(AD15=TMDPeriodValueTypeReported,'Delivery Calculation'!AM153,0)</f>
        <v>0</v>
      </c>
      <c r="AE386" s="532">
        <f>IF(AE15=TMDPeriodValueTypeReported,'Delivery Calculation'!AN153,0)</f>
        <v>0</v>
      </c>
      <c r="AF386" s="532">
        <f>IF(AF15=TMDPeriodValueTypeReported,'Delivery Calculation'!AO153,0)</f>
        <v>0</v>
      </c>
      <c r="AG386" s="532">
        <f>IF(AG15=TMDPeriodValueTypeReported,'Delivery Calculation'!AP153,0)</f>
        <v>0</v>
      </c>
      <c r="AH386" s="532">
        <f>IF(AH15=TMDPeriodValueTypeReported,'Delivery Calculation'!AQ153,0)</f>
        <v>0</v>
      </c>
      <c r="AI386" s="532">
        <f>IF(AI15=TMDPeriodValueTypeReported,'Delivery Calculation'!AR153,0)</f>
        <v>0</v>
      </c>
      <c r="AJ386" s="532">
        <f>IF(AJ15=TMDPeriodValueTypeReported,'Delivery Calculation'!AS153,0)</f>
        <v>0</v>
      </c>
      <c r="AK386" s="532">
        <f>IF(AK15=TMDPeriodValueTypeReported,'Delivery Calculation'!AT153,0)</f>
        <v>0</v>
      </c>
      <c r="AL386" s="532">
        <f>IF(AL15=TMDPeriodValueTypeReported,'Delivery Calculation'!AU153,0)</f>
        <v>0</v>
      </c>
      <c r="AM386" s="532">
        <f>IF(AM15=TMDPeriodValueTypeReported,'Delivery Calculation'!AV153,0)</f>
        <v>0</v>
      </c>
      <c r="AN386" s="532">
        <f>IF(AN15=TMDPeriodValueTypeReported,'Delivery Calculation'!AW153,0)</f>
        <v>0</v>
      </c>
      <c r="AO386" s="532">
        <f>IF(AO15=TMDPeriodValueTypeReported,'Delivery Calculation'!AX153,0)</f>
        <v>0</v>
      </c>
      <c r="AP386" s="141"/>
      <c r="AQ386" s="505"/>
      <c r="AR386" s="505"/>
      <c r="AS386" s="505"/>
      <c r="AT386" s="505"/>
      <c r="AU386" s="505"/>
      <c r="AV386" s="510"/>
      <c r="AW386" s="452"/>
      <c r="AX386" s="126"/>
      <c r="AZ386" s="535"/>
      <c r="BA386" s="535"/>
    </row>
    <row r="387" spans="1:53" s="507" customFormat="1" ht="15" customHeight="1">
      <c r="A387" s="452"/>
      <c r="B387" s="1179" t="s">
        <v>268</v>
      </c>
      <c r="C387" s="1179"/>
      <c r="D387" s="533">
        <f>IF(D15=TMDPeriodValueTypeReported,'Delivery Calculation'!M189,0)</f>
        <v>0</v>
      </c>
      <c r="E387" s="533">
        <f>IF(E15=TMDPeriodValueTypeReported,'Delivery Calculation'!N189,0)</f>
        <v>0</v>
      </c>
      <c r="F387" s="533">
        <f>IF(F15=TMDPeriodValueTypeReported,'Delivery Calculation'!O189,0)</f>
        <v>0</v>
      </c>
      <c r="G387" s="533">
        <f>IF(G15=TMDPeriodValueTypeReported,'Delivery Calculation'!P189,0)</f>
        <v>0</v>
      </c>
      <c r="H387" s="533">
        <f>IF(H15=TMDPeriodValueTypeReported,'Delivery Calculation'!Q189,0)</f>
        <v>0</v>
      </c>
      <c r="I387" s="533">
        <f>IF(I15=TMDPeriodValueTypeReported,'Delivery Calculation'!R189,0)</f>
        <v>0</v>
      </c>
      <c r="J387" s="533">
        <f>IF(J15=TMDPeriodValueTypeReported,'Delivery Calculation'!S189,0)</f>
        <v>0</v>
      </c>
      <c r="K387" s="533">
        <f>IF(K15=TMDPeriodValueTypeReported,'Delivery Calculation'!T189,0)</f>
        <v>0</v>
      </c>
      <c r="L387" s="533">
        <f>IF(L15=TMDPeriodValueTypeReported,'Delivery Calculation'!U189,0)</f>
        <v>0</v>
      </c>
      <c r="M387" s="533">
        <f>IF(M15=TMDPeriodValueTypeReported,'Delivery Calculation'!V189,0)</f>
        <v>0</v>
      </c>
      <c r="N387" s="533">
        <f>IF(N15=TMDPeriodValueTypeReported,'Delivery Calculation'!W189,0)</f>
        <v>0</v>
      </c>
      <c r="O387" s="533">
        <f>IF(O15=TMDPeriodValueTypeReported,'Delivery Calculation'!X189,0)</f>
        <v>0</v>
      </c>
      <c r="P387" s="533">
        <f>IF(P15=TMDPeriodValueTypeReported,'Delivery Calculation'!Y189,0)</f>
        <v>0</v>
      </c>
      <c r="Q387" s="533">
        <f>IF(Q15=TMDPeriodValueTypeReported,'Delivery Calculation'!Z189,0)</f>
        <v>0</v>
      </c>
      <c r="R387" s="533">
        <f>IF(R15=TMDPeriodValueTypeReported,'Delivery Calculation'!AA189,0)</f>
        <v>0</v>
      </c>
      <c r="S387" s="533">
        <f>IF(S15=TMDPeriodValueTypeReported,'Delivery Calculation'!AB189,0)</f>
        <v>0</v>
      </c>
      <c r="T387" s="533">
        <f>IF(T15=TMDPeriodValueTypeReported,'Delivery Calculation'!AC189,0)</f>
        <v>0</v>
      </c>
      <c r="U387" s="533">
        <f>IF(U15=TMDPeriodValueTypeReported,'Delivery Calculation'!AD189,0)</f>
        <v>0</v>
      </c>
      <c r="V387" s="533">
        <f>IF(V15=TMDPeriodValueTypeReported,'Delivery Calculation'!AE189,0)</f>
        <v>0</v>
      </c>
      <c r="W387" s="533">
        <f>IF(W15=TMDPeriodValueTypeReported,'Delivery Calculation'!AF189,0)</f>
        <v>0</v>
      </c>
      <c r="X387" s="533">
        <f>IF(X15=TMDPeriodValueTypeReported,'Delivery Calculation'!AG189,0)</f>
        <v>0</v>
      </c>
      <c r="Y387" s="533">
        <f>IF(Y15=TMDPeriodValueTypeReported,'Delivery Calculation'!AH189,0)</f>
        <v>0</v>
      </c>
      <c r="Z387" s="533">
        <f>IF(Z15=TMDPeriodValueTypeReported,'Delivery Calculation'!AI189,0)</f>
        <v>0</v>
      </c>
      <c r="AA387" s="533">
        <f>IF(AA15=TMDPeriodValueTypeReported,'Delivery Calculation'!AJ189,0)</f>
        <v>0</v>
      </c>
      <c r="AB387" s="533">
        <f>IF(AB15=TMDPeriodValueTypeReported,'Delivery Calculation'!AK189,0)</f>
        <v>0</v>
      </c>
      <c r="AC387" s="533">
        <f>IF(AC15=TMDPeriodValueTypeReported,'Delivery Calculation'!AL189,0)</f>
        <v>0</v>
      </c>
      <c r="AD387" s="533">
        <f>IF(AD15=TMDPeriodValueTypeReported,'Delivery Calculation'!AM189,0)</f>
        <v>0</v>
      </c>
      <c r="AE387" s="533">
        <f>IF(AE15=TMDPeriodValueTypeReported,'Delivery Calculation'!AN189,0)</f>
        <v>0</v>
      </c>
      <c r="AF387" s="533">
        <f>IF(AF15=TMDPeriodValueTypeReported,'Delivery Calculation'!AO189,0)</f>
        <v>0</v>
      </c>
      <c r="AG387" s="533">
        <f>IF(AG15=TMDPeriodValueTypeReported,'Delivery Calculation'!AP189,0)</f>
        <v>0</v>
      </c>
      <c r="AH387" s="533">
        <f>IF(AH15=TMDPeriodValueTypeReported,'Delivery Calculation'!AQ189,0)</f>
        <v>0</v>
      </c>
      <c r="AI387" s="533">
        <f>IF(AI15=TMDPeriodValueTypeReported,'Delivery Calculation'!AR189,0)</f>
        <v>0</v>
      </c>
      <c r="AJ387" s="533">
        <f>IF(AJ15=TMDPeriodValueTypeReported,'Delivery Calculation'!AS189,0)</f>
        <v>0</v>
      </c>
      <c r="AK387" s="533">
        <f>IF(AK15=TMDPeriodValueTypeReported,'Delivery Calculation'!AT189,0)</f>
        <v>0</v>
      </c>
      <c r="AL387" s="533">
        <f>IF(AL15=TMDPeriodValueTypeReported,'Delivery Calculation'!AU189,0)</f>
        <v>0</v>
      </c>
      <c r="AM387" s="533">
        <f>IF(AM15=TMDPeriodValueTypeReported,'Delivery Calculation'!AV189,0)</f>
        <v>0</v>
      </c>
      <c r="AN387" s="533">
        <f>IF(AN15=TMDPeriodValueTypeReported,'Delivery Calculation'!AW189,0)</f>
        <v>0</v>
      </c>
      <c r="AO387" s="533">
        <f>IF(AO15=TMDPeriodValueTypeReported,'Delivery Calculation'!AX189,0)</f>
        <v>0</v>
      </c>
      <c r="AP387" s="141"/>
      <c r="AQ387" s="505"/>
      <c r="AR387" s="505"/>
      <c r="AS387" s="505"/>
      <c r="AT387" s="505"/>
      <c r="AU387" s="505"/>
      <c r="AV387" s="510"/>
      <c r="AW387" s="452"/>
      <c r="AX387" s="126"/>
      <c r="AZ387" s="535"/>
      <c r="BA387" s="535"/>
    </row>
    <row r="388" spans="1:53" s="507" customFormat="1">
      <c r="A388" s="452"/>
      <c r="B388" s="510"/>
      <c r="C388" s="510"/>
      <c r="D388" s="452"/>
      <c r="E388" s="452"/>
      <c r="F388" s="452"/>
      <c r="G388" s="452"/>
      <c r="H388" s="452"/>
      <c r="I388" s="452"/>
      <c r="J388" s="452"/>
      <c r="K388" s="452"/>
      <c r="L388" s="452"/>
      <c r="M388" s="452"/>
      <c r="N388" s="452"/>
      <c r="O388" s="452"/>
      <c r="P388" s="452"/>
      <c r="Q388" s="452"/>
      <c r="R388" s="452"/>
      <c r="S388" s="452"/>
      <c r="T388" s="452"/>
      <c r="U388" s="452"/>
      <c r="V388" s="452"/>
      <c r="W388" s="452"/>
      <c r="X388" s="452"/>
      <c r="Y388" s="452"/>
      <c r="Z388" s="452"/>
      <c r="AA388" s="452"/>
      <c r="AB388" s="452"/>
      <c r="AC388" s="452"/>
      <c r="AD388" s="452"/>
      <c r="AE388" s="452"/>
      <c r="AF388" s="452"/>
      <c r="AG388" s="452"/>
      <c r="AH388" s="452"/>
      <c r="AI388" s="452"/>
      <c r="AJ388" s="452"/>
      <c r="AK388" s="452"/>
      <c r="AL388" s="452"/>
      <c r="AM388" s="452"/>
      <c r="AN388" s="452"/>
      <c r="AO388" s="452"/>
      <c r="AP388" s="141"/>
      <c r="AQ388" s="505"/>
      <c r="AR388" s="505"/>
      <c r="AS388" s="505"/>
      <c r="AT388" s="505"/>
      <c r="AU388" s="505"/>
      <c r="AV388" s="510"/>
      <c r="AW388" s="452"/>
      <c r="AX388" s="126"/>
      <c r="AZ388" s="535"/>
      <c r="BA388" s="535"/>
    </row>
    <row r="389" spans="1:53" s="507" customFormat="1">
      <c r="A389" s="452"/>
      <c r="B389" s="510"/>
      <c r="C389" s="510"/>
      <c r="D389" s="452"/>
      <c r="E389" s="452"/>
      <c r="F389" s="452"/>
      <c r="G389" s="452"/>
      <c r="H389" s="452"/>
      <c r="I389" s="452"/>
      <c r="J389" s="452"/>
      <c r="K389" s="452"/>
      <c r="L389" s="452"/>
      <c r="M389" s="452"/>
      <c r="N389" s="452"/>
      <c r="O389" s="452"/>
      <c r="P389" s="452"/>
      <c r="Q389" s="452"/>
      <c r="R389" s="452"/>
      <c r="S389" s="452"/>
      <c r="T389" s="452"/>
      <c r="U389" s="452"/>
      <c r="V389" s="452"/>
      <c r="W389" s="452"/>
      <c r="X389" s="452"/>
      <c r="Y389" s="452"/>
      <c r="Z389" s="452"/>
      <c r="AA389" s="452"/>
      <c r="AB389" s="452"/>
      <c r="AC389" s="452"/>
      <c r="AD389" s="452"/>
      <c r="AE389" s="452"/>
      <c r="AF389" s="452"/>
      <c r="AG389" s="452"/>
      <c r="AH389" s="452"/>
      <c r="AI389" s="452"/>
      <c r="AJ389" s="452"/>
      <c r="AK389" s="452"/>
      <c r="AL389" s="452"/>
      <c r="AM389" s="452"/>
      <c r="AN389" s="452"/>
      <c r="AO389" s="452"/>
      <c r="AP389" s="141"/>
      <c r="AQ389" s="505"/>
      <c r="AR389" s="505"/>
      <c r="AS389" s="505"/>
      <c r="AT389" s="505"/>
      <c r="AU389" s="505"/>
      <c r="AV389" s="510"/>
      <c r="AW389" s="452"/>
      <c r="AX389" s="126"/>
      <c r="AZ389" s="535"/>
      <c r="BA389" s="535"/>
    </row>
    <row r="390" spans="1:53" s="507" customFormat="1">
      <c r="A390" s="452"/>
      <c r="B390" s="1178" t="s">
        <v>651</v>
      </c>
      <c r="C390" s="1178"/>
      <c r="D390" s="531"/>
      <c r="E390" s="531"/>
      <c r="F390" s="531"/>
      <c r="G390" s="531"/>
      <c r="H390" s="531"/>
      <c r="I390" s="531"/>
      <c r="J390" s="531"/>
      <c r="K390" s="531"/>
      <c r="L390" s="531"/>
      <c r="M390" s="531"/>
      <c r="N390" s="531"/>
      <c r="O390" s="531"/>
      <c r="P390" s="531"/>
      <c r="Q390" s="531"/>
      <c r="R390" s="531"/>
      <c r="S390" s="531"/>
      <c r="T390" s="531"/>
      <c r="U390" s="531"/>
      <c r="V390" s="531"/>
      <c r="W390" s="531"/>
      <c r="X390" s="531"/>
      <c r="Y390" s="531"/>
      <c r="Z390" s="531"/>
      <c r="AA390" s="531"/>
      <c r="AB390" s="531"/>
      <c r="AC390" s="531"/>
      <c r="AD390" s="531"/>
      <c r="AE390" s="531"/>
      <c r="AF390" s="531"/>
      <c r="AG390" s="531"/>
      <c r="AH390" s="531"/>
      <c r="AI390" s="531"/>
      <c r="AJ390" s="531"/>
      <c r="AK390" s="531"/>
      <c r="AL390" s="531"/>
      <c r="AM390" s="531"/>
      <c r="AN390" s="531"/>
      <c r="AO390" s="531"/>
      <c r="AP390" s="141"/>
      <c r="AQ390" s="505"/>
      <c r="AR390" s="505"/>
      <c r="AS390" s="505"/>
      <c r="AT390" s="505"/>
      <c r="AU390" s="505"/>
      <c r="AV390" s="510"/>
      <c r="AW390" s="452"/>
      <c r="AX390" s="126"/>
      <c r="AZ390" s="535"/>
      <c r="BA390" s="535"/>
    </row>
    <row r="391" spans="1:53" s="507" customFormat="1">
      <c r="A391" s="452"/>
      <c r="B391" s="1179" t="s">
        <v>266</v>
      </c>
      <c r="C391" s="1179"/>
      <c r="D391" s="532">
        <f>IF(D15=TMDPeriodValueTypeForecast,'Delivery Calculation'!M81,0)</f>
        <v>0</v>
      </c>
      <c r="E391" s="532">
        <f>IF(E15=TMDPeriodValueTypeForecast,'Delivery Calculation'!N81,0)</f>
        <v>0</v>
      </c>
      <c r="F391" s="532">
        <f>IF(F15=TMDPeriodValueTypeForecast,'Delivery Calculation'!O81,0)</f>
        <v>0</v>
      </c>
      <c r="G391" s="532">
        <f>IF(G15=TMDPeriodValueTypeForecast,'Delivery Calculation'!P81,0)</f>
        <v>0</v>
      </c>
      <c r="H391" s="532">
        <f>IF(H15=TMDPeriodValueTypeForecast,'Delivery Calculation'!Q81,0)</f>
        <v>0</v>
      </c>
      <c r="I391" s="532">
        <f>IF(I15=TMDPeriodValueTypeForecast,'Delivery Calculation'!R81,0)</f>
        <v>0</v>
      </c>
      <c r="J391" s="532">
        <f>IF(J15=TMDPeriodValueTypeForecast,'Delivery Calculation'!S81,0)</f>
        <v>0</v>
      </c>
      <c r="K391" s="532">
        <f>IF(K15=TMDPeriodValueTypeForecast,'Delivery Calculation'!T81,0)</f>
        <v>0</v>
      </c>
      <c r="L391" s="532">
        <f>IF(L15=TMDPeriodValueTypeForecast,'Delivery Calculation'!U81,0)</f>
        <v>0</v>
      </c>
      <c r="M391" s="532">
        <f>IF(M15=TMDPeriodValueTypeForecast,'Delivery Calculation'!V81,0)</f>
        <v>0</v>
      </c>
      <c r="N391" s="532">
        <f>IF(N15=TMDPeriodValueTypeForecast,'Delivery Calculation'!W81,0)</f>
        <v>0</v>
      </c>
      <c r="O391" s="532">
        <f>IF(O15=TMDPeriodValueTypeForecast,'Delivery Calculation'!X81,0)</f>
        <v>0</v>
      </c>
      <c r="P391" s="532">
        <f>IF(P15=TMDPeriodValueTypeForecast,'Delivery Calculation'!Y81,0)</f>
        <v>0</v>
      </c>
      <c r="Q391" s="532">
        <f>IF(Q15=TMDPeriodValueTypeForecast,'Delivery Calculation'!Z81,0)</f>
        <v>0</v>
      </c>
      <c r="R391" s="532">
        <f>IF(R15=TMDPeriodValueTypeForecast,'Delivery Calculation'!AA81,0)</f>
        <v>0</v>
      </c>
      <c r="S391" s="532">
        <f>IF(S15=TMDPeriodValueTypeForecast,'Delivery Calculation'!AB81,0)</f>
        <v>0</v>
      </c>
      <c r="T391" s="532">
        <f>IF(T15=TMDPeriodValueTypeForecast,'Delivery Calculation'!AC81,0)</f>
        <v>0</v>
      </c>
      <c r="U391" s="532">
        <f>IF(U15=TMDPeriodValueTypeForecast,'Delivery Calculation'!AD81,0)</f>
        <v>0</v>
      </c>
      <c r="V391" s="532">
        <f>IF(V15=TMDPeriodValueTypeForecast,'Delivery Calculation'!AE81,0)</f>
        <v>0</v>
      </c>
      <c r="W391" s="532">
        <f>IF(W15=TMDPeriodValueTypeForecast,'Delivery Calculation'!AF81,0)</f>
        <v>0</v>
      </c>
      <c r="X391" s="532">
        <f>IF(X15=TMDPeriodValueTypeForecast,'Delivery Calculation'!AG81,0)</f>
        <v>0</v>
      </c>
      <c r="Y391" s="532">
        <f>IF(Y15=TMDPeriodValueTypeForecast,'Delivery Calculation'!AH81,0)</f>
        <v>0</v>
      </c>
      <c r="Z391" s="532">
        <f>IF(Z15=TMDPeriodValueTypeForecast,'Delivery Calculation'!AI81,0)</f>
        <v>0</v>
      </c>
      <c r="AA391" s="532">
        <f>IF(AA15=TMDPeriodValueTypeForecast,'Delivery Calculation'!AJ81,0)</f>
        <v>0</v>
      </c>
      <c r="AB391" s="532">
        <f>IF(AB15=TMDPeriodValueTypeForecast,'Delivery Calculation'!AK81,0)</f>
        <v>0</v>
      </c>
      <c r="AC391" s="532">
        <f>IF(AC15=TMDPeriodValueTypeForecast,'Delivery Calculation'!AL81,0)</f>
        <v>0</v>
      </c>
      <c r="AD391" s="532">
        <f>IF(AD15=TMDPeriodValueTypeForecast,'Delivery Calculation'!AM81,0)</f>
        <v>0</v>
      </c>
      <c r="AE391" s="532">
        <f>IF(AE15=TMDPeriodValueTypeForecast,'Delivery Calculation'!AN81,0)</f>
        <v>0</v>
      </c>
      <c r="AF391" s="532">
        <f>IF(AF15=TMDPeriodValueTypeForecast,'Delivery Calculation'!AO81,0)</f>
        <v>0</v>
      </c>
      <c r="AG391" s="532">
        <f>IF(AG15=TMDPeriodValueTypeForecast,'Delivery Calculation'!AP81,0)</f>
        <v>0</v>
      </c>
      <c r="AH391" s="532">
        <f>IF(AH15=TMDPeriodValueTypeForecast,'Delivery Calculation'!AQ81,0)</f>
        <v>0</v>
      </c>
      <c r="AI391" s="532">
        <f>IF(AI15=TMDPeriodValueTypeForecast,'Delivery Calculation'!AR81,0)</f>
        <v>0</v>
      </c>
      <c r="AJ391" s="532">
        <f>IF(AJ15=TMDPeriodValueTypeForecast,'Delivery Calculation'!AS81,0)</f>
        <v>0</v>
      </c>
      <c r="AK391" s="532">
        <f>IF(AK15=TMDPeriodValueTypeForecast,'Delivery Calculation'!AT81,0)</f>
        <v>0</v>
      </c>
      <c r="AL391" s="532">
        <f>IF(AL15=TMDPeriodValueTypeForecast,'Delivery Calculation'!AU81,0)</f>
        <v>0</v>
      </c>
      <c r="AM391" s="532">
        <f>IF(AM15=TMDPeriodValueTypeForecast,'Delivery Calculation'!AV81,0)</f>
        <v>0</v>
      </c>
      <c r="AN391" s="532">
        <f>IF(AN15=TMDPeriodValueTypeForecast,'Delivery Calculation'!AW81,0)</f>
        <v>0</v>
      </c>
      <c r="AO391" s="532">
        <f>IF(AO15=TMDPeriodValueTypeForecast,'Delivery Calculation'!AX81,0)</f>
        <v>0</v>
      </c>
      <c r="AP391" s="141"/>
      <c r="AQ391" s="505"/>
      <c r="AR391" s="505"/>
      <c r="AS391" s="505"/>
      <c r="AT391" s="505"/>
      <c r="AU391" s="505"/>
      <c r="AV391" s="510"/>
      <c r="AW391" s="452"/>
      <c r="AX391" s="126"/>
      <c r="AZ391" s="535"/>
      <c r="BA391" s="535"/>
    </row>
    <row r="392" spans="1:53" s="507" customFormat="1" ht="15" customHeight="1">
      <c r="A392" s="452"/>
      <c r="B392" s="1179" t="s">
        <v>652</v>
      </c>
      <c r="C392" s="1179"/>
      <c r="D392" s="532">
        <f ca="1">IF(D15=TMDPeriodValueTypeForecast,'Delivery Calculation'!M117,0)</f>
        <v>0</v>
      </c>
      <c r="E392" s="532">
        <f ca="1">IF(E15=TMDPeriodValueTypeForecast,'Delivery Calculation'!N117,0)</f>
        <v>0</v>
      </c>
      <c r="F392" s="532">
        <f ca="1">IF(F15=TMDPeriodValueTypeForecast,'Delivery Calculation'!O117,0)</f>
        <v>0</v>
      </c>
      <c r="G392" s="532">
        <f ca="1">IF(G15=TMDPeriodValueTypeForecast,'Delivery Calculation'!P117,0)</f>
        <v>0</v>
      </c>
      <c r="H392" s="532">
        <f ca="1">IF(H15=TMDPeriodValueTypeForecast,'Delivery Calculation'!Q117,0)</f>
        <v>0</v>
      </c>
      <c r="I392" s="532">
        <f ca="1">IF(I15=TMDPeriodValueTypeForecast,'Delivery Calculation'!R117,0)</f>
        <v>0</v>
      </c>
      <c r="J392" s="532">
        <f ca="1">IF(J15=TMDPeriodValueTypeForecast,'Delivery Calculation'!S117,0)</f>
        <v>0</v>
      </c>
      <c r="K392" s="532">
        <f ca="1">IF(K15=TMDPeriodValueTypeForecast,'Delivery Calculation'!T117,0)</f>
        <v>0</v>
      </c>
      <c r="L392" s="532">
        <f ca="1">IF(L15=TMDPeriodValueTypeForecast,'Delivery Calculation'!U117,0)</f>
        <v>0</v>
      </c>
      <c r="M392" s="532">
        <f ca="1">IF(M15=TMDPeriodValueTypeForecast,'Delivery Calculation'!V117,0)</f>
        <v>0</v>
      </c>
      <c r="N392" s="532">
        <f ca="1">IF(N15=TMDPeriodValueTypeForecast,'Delivery Calculation'!W117,0)</f>
        <v>0</v>
      </c>
      <c r="O392" s="532">
        <f ca="1">IF(O15=TMDPeriodValueTypeForecast,'Delivery Calculation'!X117,0)</f>
        <v>0</v>
      </c>
      <c r="P392" s="532">
        <f ca="1">IF(P15=TMDPeriodValueTypeForecast,'Delivery Calculation'!Y117,0)</f>
        <v>0</v>
      </c>
      <c r="Q392" s="532">
        <f ca="1">IF(Q15=TMDPeriodValueTypeForecast,'Delivery Calculation'!Z117,0)</f>
        <v>0</v>
      </c>
      <c r="R392" s="532">
        <f ca="1">IF(R15=TMDPeriodValueTypeForecast,'Delivery Calculation'!AA117,0)</f>
        <v>0</v>
      </c>
      <c r="S392" s="532">
        <f ca="1">IF(S15=TMDPeriodValueTypeForecast,'Delivery Calculation'!AB117,0)</f>
        <v>0</v>
      </c>
      <c r="T392" s="532">
        <f ca="1">IF(T15=TMDPeriodValueTypeForecast,'Delivery Calculation'!AC117,0)</f>
        <v>0</v>
      </c>
      <c r="U392" s="532">
        <f ca="1">IF(U15=TMDPeriodValueTypeForecast,'Delivery Calculation'!AD117,0)</f>
        <v>0</v>
      </c>
      <c r="V392" s="532">
        <f ca="1">IF(V15=TMDPeriodValueTypeForecast,'Delivery Calculation'!AE117,0)</f>
        <v>0</v>
      </c>
      <c r="W392" s="532">
        <f ca="1">IF(W15=TMDPeriodValueTypeForecast,'Delivery Calculation'!AF117,0)</f>
        <v>0</v>
      </c>
      <c r="X392" s="532">
        <f ca="1">IF(X15=TMDPeriodValueTypeForecast,'Delivery Calculation'!AG117,0)</f>
        <v>0</v>
      </c>
      <c r="Y392" s="532">
        <f ca="1">IF(Y15=TMDPeriodValueTypeForecast,'Delivery Calculation'!AH117,0)</f>
        <v>0</v>
      </c>
      <c r="Z392" s="532">
        <f ca="1">IF(Z15=TMDPeriodValueTypeForecast,'Delivery Calculation'!AI117,0)</f>
        <v>0</v>
      </c>
      <c r="AA392" s="532">
        <f ca="1">IF(AA15=TMDPeriodValueTypeForecast,'Delivery Calculation'!AJ117,0)</f>
        <v>0</v>
      </c>
      <c r="AB392" s="532">
        <f ca="1">IF(AB15=TMDPeriodValueTypeForecast,'Delivery Calculation'!AK117,0)</f>
        <v>0</v>
      </c>
      <c r="AC392" s="532">
        <f ca="1">IF(AC15=TMDPeriodValueTypeForecast,'Delivery Calculation'!AL117,0)</f>
        <v>0</v>
      </c>
      <c r="AD392" s="532">
        <f ca="1">IF(AD15=TMDPeriodValueTypeForecast,'Delivery Calculation'!AM117,0)</f>
        <v>0</v>
      </c>
      <c r="AE392" s="532">
        <f ca="1">IF(AE15=TMDPeriodValueTypeForecast,'Delivery Calculation'!AN117,0)</f>
        <v>0</v>
      </c>
      <c r="AF392" s="532">
        <f ca="1">IF(AF15=TMDPeriodValueTypeForecast,'Delivery Calculation'!AO117,0)</f>
        <v>0</v>
      </c>
      <c r="AG392" s="532">
        <f ca="1">IF(AG15=TMDPeriodValueTypeForecast,'Delivery Calculation'!AP117,0)</f>
        <v>0</v>
      </c>
      <c r="AH392" s="532">
        <f ca="1">IF(AH15=TMDPeriodValueTypeForecast,'Delivery Calculation'!AQ117,0)</f>
        <v>0</v>
      </c>
      <c r="AI392" s="532">
        <f ca="1">IF(AI15=TMDPeriodValueTypeForecast,'Delivery Calculation'!AR117,0)</f>
        <v>0</v>
      </c>
      <c r="AJ392" s="532">
        <f ca="1">IF(AJ15=TMDPeriodValueTypeForecast,'Delivery Calculation'!AS117,0)</f>
        <v>0</v>
      </c>
      <c r="AK392" s="532">
        <f ca="1">IF(AK15=TMDPeriodValueTypeForecast,'Delivery Calculation'!AT117,0)</f>
        <v>0</v>
      </c>
      <c r="AL392" s="532">
        <f ca="1">IF(AL15=TMDPeriodValueTypeForecast,'Delivery Calculation'!AU117,0)</f>
        <v>0</v>
      </c>
      <c r="AM392" s="532">
        <f ca="1">IF(AM15=TMDPeriodValueTypeForecast,'Delivery Calculation'!AV117,0)</f>
        <v>0</v>
      </c>
      <c r="AN392" s="532">
        <f ca="1">IF(AN15=TMDPeriodValueTypeForecast,'Delivery Calculation'!AW117,0)</f>
        <v>0</v>
      </c>
      <c r="AO392" s="532">
        <f ca="1">IF(AO15=TMDPeriodValueTypeForecast,'Delivery Calculation'!AX117,0)</f>
        <v>0</v>
      </c>
      <c r="AP392" s="141"/>
      <c r="AQ392" s="505"/>
      <c r="AR392" s="505"/>
      <c r="AS392" s="505"/>
      <c r="AT392" s="505"/>
      <c r="AU392" s="505"/>
      <c r="AV392" s="510"/>
      <c r="AW392" s="452"/>
      <c r="AX392" s="126"/>
      <c r="AZ392" s="535"/>
      <c r="BA392" s="535"/>
    </row>
    <row r="393" spans="1:53" s="507" customFormat="1" ht="15" customHeight="1">
      <c r="A393" s="452"/>
      <c r="B393" s="1179" t="s">
        <v>647</v>
      </c>
      <c r="C393" s="1179"/>
      <c r="D393" s="532">
        <f>IF(D15=TMDPeriodValueTypeForecast,'Delivery Calculation'!M153,0)</f>
        <v>0</v>
      </c>
      <c r="E393" s="532">
        <f>IF(E15=TMDPeriodValueTypeForecast,'Delivery Calculation'!N153,0)</f>
        <v>0</v>
      </c>
      <c r="F393" s="532">
        <f>IF(F15=TMDPeriodValueTypeForecast,'Delivery Calculation'!O153,0)</f>
        <v>0</v>
      </c>
      <c r="G393" s="532">
        <f>IF(G15=TMDPeriodValueTypeForecast,'Delivery Calculation'!P153,0)</f>
        <v>0</v>
      </c>
      <c r="H393" s="532">
        <f>IF(H15=TMDPeriodValueTypeForecast,'Delivery Calculation'!Q153,0)</f>
        <v>0</v>
      </c>
      <c r="I393" s="532">
        <f>IF(I15=TMDPeriodValueTypeForecast,'Delivery Calculation'!R153,0)</f>
        <v>0</v>
      </c>
      <c r="J393" s="532">
        <f>IF(J15=TMDPeriodValueTypeForecast,'Delivery Calculation'!S153,0)</f>
        <v>0</v>
      </c>
      <c r="K393" s="532">
        <f>IF(K15=TMDPeriodValueTypeForecast,'Delivery Calculation'!T153,0)</f>
        <v>0</v>
      </c>
      <c r="L393" s="532">
        <f>IF(L15=TMDPeriodValueTypeForecast,'Delivery Calculation'!U153,0)</f>
        <v>0</v>
      </c>
      <c r="M393" s="532">
        <f>IF(M15=TMDPeriodValueTypeForecast,'Delivery Calculation'!V153,0)</f>
        <v>0</v>
      </c>
      <c r="N393" s="532">
        <f>IF(N15=TMDPeriodValueTypeForecast,'Delivery Calculation'!W153,0)</f>
        <v>0</v>
      </c>
      <c r="O393" s="532">
        <f>IF(O15=TMDPeriodValueTypeForecast,'Delivery Calculation'!X153,0)</f>
        <v>0</v>
      </c>
      <c r="P393" s="532">
        <f>IF(P15=TMDPeriodValueTypeForecast,'Delivery Calculation'!Y153,0)</f>
        <v>0</v>
      </c>
      <c r="Q393" s="532">
        <f>IF(Q15=TMDPeriodValueTypeForecast,'Delivery Calculation'!Z153,0)</f>
        <v>0</v>
      </c>
      <c r="R393" s="532">
        <f>IF(R15=TMDPeriodValueTypeForecast,'Delivery Calculation'!AA153,0)</f>
        <v>0</v>
      </c>
      <c r="S393" s="532">
        <f>IF(S15=TMDPeriodValueTypeForecast,'Delivery Calculation'!AB153,0)</f>
        <v>0</v>
      </c>
      <c r="T393" s="532">
        <f>IF(T15=TMDPeriodValueTypeForecast,'Delivery Calculation'!AC153,0)</f>
        <v>0</v>
      </c>
      <c r="U393" s="532">
        <f>IF(U15=TMDPeriodValueTypeForecast,'Delivery Calculation'!AD153,0)</f>
        <v>0</v>
      </c>
      <c r="V393" s="532">
        <f>IF(V15=TMDPeriodValueTypeForecast,'Delivery Calculation'!AE153,0)</f>
        <v>0</v>
      </c>
      <c r="W393" s="532">
        <f>IF(W15=TMDPeriodValueTypeForecast,'Delivery Calculation'!AF153,0)</f>
        <v>0</v>
      </c>
      <c r="X393" s="532">
        <f>IF(X15=TMDPeriodValueTypeForecast,'Delivery Calculation'!AG153,0)</f>
        <v>0</v>
      </c>
      <c r="Y393" s="532">
        <f>IF(Y15=TMDPeriodValueTypeForecast,'Delivery Calculation'!AH153,0)</f>
        <v>0</v>
      </c>
      <c r="Z393" s="532">
        <f>IF(Z15=TMDPeriodValueTypeForecast,'Delivery Calculation'!AI153,0)</f>
        <v>0</v>
      </c>
      <c r="AA393" s="532">
        <f>IF(AA15=TMDPeriodValueTypeForecast,'Delivery Calculation'!AJ153,0)</f>
        <v>0</v>
      </c>
      <c r="AB393" s="532">
        <f>IF(AB15=TMDPeriodValueTypeForecast,'Delivery Calculation'!AK153,0)</f>
        <v>0</v>
      </c>
      <c r="AC393" s="532">
        <f>IF(AC15=TMDPeriodValueTypeForecast,'Delivery Calculation'!AL153,0)</f>
        <v>0</v>
      </c>
      <c r="AD393" s="532">
        <f>IF(AD15=TMDPeriodValueTypeForecast,'Delivery Calculation'!AM153,0)</f>
        <v>0</v>
      </c>
      <c r="AE393" s="532">
        <f>IF(AE15=TMDPeriodValueTypeForecast,'Delivery Calculation'!AN153,0)</f>
        <v>0</v>
      </c>
      <c r="AF393" s="532">
        <f>IF(AF15=TMDPeriodValueTypeForecast,'Delivery Calculation'!AO153,0)</f>
        <v>0</v>
      </c>
      <c r="AG393" s="532">
        <f>IF(AG15=TMDPeriodValueTypeForecast,'Delivery Calculation'!AP153,0)</f>
        <v>0</v>
      </c>
      <c r="AH393" s="532">
        <f>IF(AH15=TMDPeriodValueTypeForecast,'Delivery Calculation'!AQ153,0)</f>
        <v>0</v>
      </c>
      <c r="AI393" s="532">
        <f>IF(AI15=TMDPeriodValueTypeForecast,'Delivery Calculation'!AR153,0)</f>
        <v>0</v>
      </c>
      <c r="AJ393" s="532">
        <f>IF(AJ15=TMDPeriodValueTypeForecast,'Delivery Calculation'!AS153,0)</f>
        <v>0</v>
      </c>
      <c r="AK393" s="532">
        <f>IF(AK15=TMDPeriodValueTypeForecast,'Delivery Calculation'!AT153,0)</f>
        <v>0</v>
      </c>
      <c r="AL393" s="532">
        <f>IF(AL15=TMDPeriodValueTypeForecast,'Delivery Calculation'!AU153,0)</f>
        <v>0</v>
      </c>
      <c r="AM393" s="532">
        <f>IF(AM15=TMDPeriodValueTypeForecast,'Delivery Calculation'!AV153,0)</f>
        <v>0</v>
      </c>
      <c r="AN393" s="532">
        <f>IF(AN15=TMDPeriodValueTypeForecast,'Delivery Calculation'!AW153,0)</f>
        <v>0</v>
      </c>
      <c r="AO393" s="532">
        <f>IF(AO15=TMDPeriodValueTypeForecast,'Delivery Calculation'!AX153,0)</f>
        <v>0</v>
      </c>
      <c r="AP393" s="141"/>
      <c r="AQ393" s="505"/>
      <c r="AR393" s="505"/>
      <c r="AS393" s="505"/>
      <c r="AT393" s="505"/>
      <c r="AU393" s="505"/>
      <c r="AV393" s="510"/>
      <c r="AW393" s="452"/>
      <c r="AX393" s="126"/>
      <c r="AZ393" s="535"/>
      <c r="BA393" s="535"/>
    </row>
    <row r="394" spans="1:53" s="507" customFormat="1" ht="15" customHeight="1">
      <c r="A394" s="452"/>
      <c r="B394" s="1179" t="s">
        <v>268</v>
      </c>
      <c r="C394" s="1179"/>
      <c r="D394" s="533">
        <f>IF(D15=TMDPeriodValueTypeForecast,'Delivery Calculation'!M189,0)</f>
        <v>0</v>
      </c>
      <c r="E394" s="533">
        <f>IF(E15=TMDPeriodValueTypeForecast,'Delivery Calculation'!N189,0)</f>
        <v>0</v>
      </c>
      <c r="F394" s="533">
        <f>IF(F15=TMDPeriodValueTypeForecast,'Delivery Calculation'!O189,0)</f>
        <v>0</v>
      </c>
      <c r="G394" s="533">
        <f>IF(G15=TMDPeriodValueTypeForecast,'Delivery Calculation'!P189,0)</f>
        <v>0</v>
      </c>
      <c r="H394" s="533">
        <f>IF(H15=TMDPeriodValueTypeForecast,'Delivery Calculation'!Q189,0)</f>
        <v>0</v>
      </c>
      <c r="I394" s="533">
        <f>IF(I15=TMDPeriodValueTypeForecast,'Delivery Calculation'!R189,0)</f>
        <v>0</v>
      </c>
      <c r="J394" s="533">
        <f>IF(J15=TMDPeriodValueTypeForecast,'Delivery Calculation'!S189,0)</f>
        <v>0</v>
      </c>
      <c r="K394" s="533">
        <f>IF(K15=TMDPeriodValueTypeForecast,'Delivery Calculation'!T189,0)</f>
        <v>0</v>
      </c>
      <c r="L394" s="533">
        <f>IF(L15=TMDPeriodValueTypeForecast,'Delivery Calculation'!U189,0)</f>
        <v>0</v>
      </c>
      <c r="M394" s="533">
        <f>IF(M15=TMDPeriodValueTypeForecast,'Delivery Calculation'!V189,0)</f>
        <v>0</v>
      </c>
      <c r="N394" s="533">
        <f>IF(N15=TMDPeriodValueTypeForecast,'Delivery Calculation'!W189,0)</f>
        <v>0</v>
      </c>
      <c r="O394" s="533">
        <f>IF(O15=TMDPeriodValueTypeForecast,'Delivery Calculation'!X189,0)</f>
        <v>0</v>
      </c>
      <c r="P394" s="533">
        <f>IF(P15=TMDPeriodValueTypeForecast,'Delivery Calculation'!Y189,0)</f>
        <v>0</v>
      </c>
      <c r="Q394" s="533">
        <f>IF(Q15=TMDPeriodValueTypeForecast,'Delivery Calculation'!Z189,0)</f>
        <v>0</v>
      </c>
      <c r="R394" s="533">
        <f>IF(R15=TMDPeriodValueTypeForecast,'Delivery Calculation'!AA189,0)</f>
        <v>0</v>
      </c>
      <c r="S394" s="533">
        <f>IF(S15=TMDPeriodValueTypeForecast,'Delivery Calculation'!AB189,0)</f>
        <v>0</v>
      </c>
      <c r="T394" s="533">
        <f>IF(T15=TMDPeriodValueTypeForecast,'Delivery Calculation'!AC189,0)</f>
        <v>0</v>
      </c>
      <c r="U394" s="533">
        <f>IF(U15=TMDPeriodValueTypeForecast,'Delivery Calculation'!AD189,0)</f>
        <v>0</v>
      </c>
      <c r="V394" s="533">
        <f>IF(V15=TMDPeriodValueTypeForecast,'Delivery Calculation'!AE189,0)</f>
        <v>0</v>
      </c>
      <c r="W394" s="533">
        <f>IF(W15=TMDPeriodValueTypeForecast,'Delivery Calculation'!AF189,0)</f>
        <v>0</v>
      </c>
      <c r="X394" s="533">
        <f>IF(X15=TMDPeriodValueTypeForecast,'Delivery Calculation'!AG189,0)</f>
        <v>0</v>
      </c>
      <c r="Y394" s="533">
        <f>IF(Y15=TMDPeriodValueTypeForecast,'Delivery Calculation'!AH189,0)</f>
        <v>0</v>
      </c>
      <c r="Z394" s="533">
        <f>IF(Z15=TMDPeriodValueTypeForecast,'Delivery Calculation'!AI189,0)</f>
        <v>0</v>
      </c>
      <c r="AA394" s="533">
        <f>IF(AA15=TMDPeriodValueTypeForecast,'Delivery Calculation'!AJ189,0)</f>
        <v>0</v>
      </c>
      <c r="AB394" s="533">
        <f>IF(AB15=TMDPeriodValueTypeForecast,'Delivery Calculation'!AK189,0)</f>
        <v>0</v>
      </c>
      <c r="AC394" s="533">
        <f>IF(AC15=TMDPeriodValueTypeForecast,'Delivery Calculation'!AL189,0)</f>
        <v>0</v>
      </c>
      <c r="AD394" s="533">
        <f>IF(AD15=TMDPeriodValueTypeForecast,'Delivery Calculation'!AM189,0)</f>
        <v>0</v>
      </c>
      <c r="AE394" s="533">
        <f>IF(AE15=TMDPeriodValueTypeForecast,'Delivery Calculation'!AN189,0)</f>
        <v>0</v>
      </c>
      <c r="AF394" s="533">
        <f>IF(AF15=TMDPeriodValueTypeForecast,'Delivery Calculation'!AO189,0)</f>
        <v>0</v>
      </c>
      <c r="AG394" s="533">
        <f>IF(AG15=TMDPeriodValueTypeForecast,'Delivery Calculation'!AP189,0)</f>
        <v>0</v>
      </c>
      <c r="AH394" s="533">
        <f>IF(AH15=TMDPeriodValueTypeForecast,'Delivery Calculation'!AQ189,0)</f>
        <v>0</v>
      </c>
      <c r="AI394" s="533">
        <f>IF(AI15=TMDPeriodValueTypeForecast,'Delivery Calculation'!AR189,0)</f>
        <v>0</v>
      </c>
      <c r="AJ394" s="533">
        <f>IF(AJ15=TMDPeriodValueTypeForecast,'Delivery Calculation'!AS189,0)</f>
        <v>0</v>
      </c>
      <c r="AK394" s="533">
        <f>IF(AK15=TMDPeriodValueTypeForecast,'Delivery Calculation'!AT189,0)</f>
        <v>0</v>
      </c>
      <c r="AL394" s="533">
        <f>IF(AL15=TMDPeriodValueTypeForecast,'Delivery Calculation'!AU189,0)</f>
        <v>0</v>
      </c>
      <c r="AM394" s="533">
        <f>IF(AM15=TMDPeriodValueTypeForecast,'Delivery Calculation'!AV189,0)</f>
        <v>0</v>
      </c>
      <c r="AN394" s="533">
        <f>IF(AN15=TMDPeriodValueTypeForecast,'Delivery Calculation'!AW189,0)</f>
        <v>0</v>
      </c>
      <c r="AO394" s="533">
        <f>IF(AO15=TMDPeriodValueTypeForecast,'Delivery Calculation'!AX189,0)</f>
        <v>0</v>
      </c>
      <c r="AP394" s="141"/>
      <c r="AQ394" s="505"/>
      <c r="AR394" s="505"/>
      <c r="AS394" s="505"/>
      <c r="AT394" s="505"/>
      <c r="AU394" s="505"/>
      <c r="AV394" s="510"/>
      <c r="AW394" s="452"/>
      <c r="AX394" s="126"/>
      <c r="AZ394" s="535"/>
      <c r="BA394" s="535"/>
    </row>
    <row r="395" spans="1:53" s="507" customFormat="1">
      <c r="A395" s="452"/>
      <c r="B395" s="510"/>
      <c r="C395" s="510"/>
      <c r="D395" s="452"/>
      <c r="E395" s="452"/>
      <c r="F395" s="452"/>
      <c r="G395" s="452"/>
      <c r="H395" s="452"/>
      <c r="I395" s="452"/>
      <c r="J395" s="452"/>
      <c r="K395" s="452"/>
      <c r="L395" s="452"/>
      <c r="M395" s="452"/>
      <c r="N395" s="452"/>
      <c r="O395" s="452"/>
      <c r="P395" s="452"/>
      <c r="Q395" s="452"/>
      <c r="R395" s="452"/>
      <c r="S395" s="452"/>
      <c r="T395" s="452"/>
      <c r="U395" s="452"/>
      <c r="V395" s="452"/>
      <c r="W395" s="452"/>
      <c r="X395" s="452"/>
      <c r="Y395" s="452"/>
      <c r="Z395" s="452"/>
      <c r="AA395" s="452"/>
      <c r="AB395" s="452"/>
      <c r="AC395" s="452"/>
      <c r="AD395" s="452"/>
      <c r="AE395" s="452"/>
      <c r="AF395" s="452"/>
      <c r="AG395" s="452"/>
      <c r="AH395" s="452"/>
      <c r="AI395" s="452"/>
      <c r="AJ395" s="452"/>
      <c r="AK395" s="452"/>
      <c r="AL395" s="452"/>
      <c r="AM395" s="452"/>
      <c r="AN395" s="452"/>
      <c r="AO395" s="452"/>
      <c r="AP395" s="141"/>
      <c r="AQ395" s="505"/>
      <c r="AR395" s="505"/>
      <c r="AS395" s="505"/>
      <c r="AT395" s="505"/>
      <c r="AU395" s="505"/>
      <c r="AV395" s="510"/>
      <c r="AW395" s="452"/>
      <c r="AX395" s="126"/>
      <c r="AZ395" s="535"/>
      <c r="BA395" s="535"/>
    </row>
    <row r="396" spans="1:53" s="507" customFormat="1">
      <c r="A396" s="452"/>
      <c r="B396" s="510"/>
      <c r="C396" s="510"/>
      <c r="D396" s="452"/>
      <c r="E396" s="452"/>
      <c r="F396" s="452"/>
      <c r="G396" s="452"/>
      <c r="H396" s="452"/>
      <c r="I396" s="452"/>
      <c r="J396" s="452"/>
      <c r="K396" s="452"/>
      <c r="L396" s="452"/>
      <c r="M396" s="452"/>
      <c r="N396" s="452"/>
      <c r="O396" s="452"/>
      <c r="P396" s="452"/>
      <c r="Q396" s="452"/>
      <c r="R396" s="452"/>
      <c r="S396" s="452"/>
      <c r="T396" s="452"/>
      <c r="U396" s="452"/>
      <c r="V396" s="452"/>
      <c r="W396" s="452"/>
      <c r="X396" s="452"/>
      <c r="Y396" s="452"/>
      <c r="Z396" s="452"/>
      <c r="AA396" s="452"/>
      <c r="AB396" s="452"/>
      <c r="AC396" s="452"/>
      <c r="AD396" s="452"/>
      <c r="AE396" s="452"/>
      <c r="AF396" s="452"/>
      <c r="AG396" s="452"/>
      <c r="AH396" s="452"/>
      <c r="AI396" s="452"/>
      <c r="AJ396" s="452"/>
      <c r="AK396" s="452"/>
      <c r="AL396" s="452"/>
      <c r="AM396" s="452"/>
      <c r="AN396" s="452"/>
      <c r="AO396" s="452"/>
      <c r="AP396" s="141"/>
      <c r="AQ396" s="505"/>
      <c r="AR396" s="505"/>
      <c r="AS396" s="505"/>
      <c r="AT396" s="505"/>
      <c r="AU396" s="505"/>
      <c r="AV396" s="510"/>
      <c r="AW396" s="452"/>
      <c r="AX396" s="126"/>
      <c r="AZ396" s="535"/>
      <c r="BA396" s="535"/>
    </row>
    <row r="397" spans="1:53" s="507" customFormat="1">
      <c r="A397" s="452"/>
      <c r="B397" s="510"/>
      <c r="C397" s="510"/>
      <c r="D397" s="452"/>
      <c r="E397" s="452"/>
      <c r="F397" s="452"/>
      <c r="G397" s="452"/>
      <c r="H397" s="452"/>
      <c r="I397" s="452"/>
      <c r="J397" s="452"/>
      <c r="K397" s="452"/>
      <c r="L397" s="452"/>
      <c r="M397" s="452"/>
      <c r="N397" s="452"/>
      <c r="O397" s="452"/>
      <c r="P397" s="452"/>
      <c r="Q397" s="452"/>
      <c r="R397" s="452"/>
      <c r="S397" s="452"/>
      <c r="T397" s="452"/>
      <c r="U397" s="452"/>
      <c r="V397" s="452"/>
      <c r="W397" s="452"/>
      <c r="X397" s="452"/>
      <c r="Y397" s="452"/>
      <c r="Z397" s="452"/>
      <c r="AA397" s="452"/>
      <c r="AB397" s="452"/>
      <c r="AC397" s="452"/>
      <c r="AD397" s="452"/>
      <c r="AE397" s="452"/>
      <c r="AF397" s="452"/>
      <c r="AG397" s="452"/>
      <c r="AH397" s="452"/>
      <c r="AI397" s="452"/>
      <c r="AJ397" s="452"/>
      <c r="AK397" s="452"/>
      <c r="AL397" s="452"/>
      <c r="AM397" s="452"/>
      <c r="AN397" s="452"/>
      <c r="AO397" s="452"/>
      <c r="AP397" s="141"/>
      <c r="AQ397" s="505"/>
      <c r="AR397" s="505"/>
      <c r="AS397" s="505"/>
      <c r="AT397" s="505"/>
      <c r="AU397" s="505"/>
      <c r="AV397" s="510"/>
      <c r="AW397" s="452"/>
      <c r="AX397" s="126"/>
      <c r="AZ397" s="535"/>
      <c r="BA397" s="535"/>
    </row>
    <row r="398" spans="1:53" s="507" customFormat="1">
      <c r="A398" s="452"/>
      <c r="B398" s="1178" t="s">
        <v>653</v>
      </c>
      <c r="C398" s="1178"/>
      <c r="D398" s="452" t="s">
        <v>262</v>
      </c>
      <c r="E398" s="452" t="s">
        <v>654</v>
      </c>
      <c r="F398" s="452" t="s">
        <v>518</v>
      </c>
      <c r="G398" s="452"/>
      <c r="H398" s="452"/>
      <c r="I398" s="452"/>
      <c r="J398" s="452"/>
      <c r="K398" s="452"/>
      <c r="L398" s="452"/>
      <c r="M398" s="452"/>
      <c r="N398" s="452"/>
      <c r="O398" s="452"/>
      <c r="P398" s="452"/>
      <c r="Q398" s="452"/>
      <c r="R398" s="452"/>
      <c r="S398" s="452"/>
      <c r="T398" s="452"/>
      <c r="U398" s="452"/>
      <c r="V398" s="452"/>
      <c r="W398" s="452"/>
      <c r="X398" s="452"/>
      <c r="Y398" s="452"/>
      <c r="Z398" s="452"/>
      <c r="AA398" s="452"/>
      <c r="AB398" s="452"/>
      <c r="AC398" s="452"/>
      <c r="AD398" s="452"/>
      <c r="AE398" s="452"/>
      <c r="AF398" s="452"/>
      <c r="AG398" s="452"/>
      <c r="AH398" s="452"/>
      <c r="AI398" s="452"/>
      <c r="AJ398" s="452"/>
      <c r="AK398" s="452"/>
      <c r="AL398" s="452"/>
      <c r="AM398" s="452"/>
      <c r="AN398" s="452"/>
      <c r="AO398" s="452"/>
      <c r="AP398" s="141"/>
      <c r="AQ398" s="505"/>
      <c r="AR398" s="505"/>
      <c r="AS398" s="505"/>
      <c r="AT398" s="505"/>
      <c r="AU398" s="505"/>
      <c r="AV398" s="510"/>
      <c r="AX398" s="126"/>
      <c r="AY398" s="535"/>
      <c r="AZ398" s="535"/>
    </row>
    <row r="399" spans="1:53" s="507" customFormat="1" ht="15" customHeight="1">
      <c r="A399" s="452"/>
      <c r="B399" s="1179" t="s">
        <v>655</v>
      </c>
      <c r="C399" s="1179"/>
      <c r="D399" s="537">
        <v>0</v>
      </c>
      <c r="E399" s="537">
        <f>AVReportedExpClPersonal+AVReportedExpClTravel</f>
        <v>0</v>
      </c>
      <c r="F399" s="537">
        <v>0</v>
      </c>
      <c r="G399" s="452"/>
      <c r="H399" s="452"/>
      <c r="I399" s="452"/>
      <c r="J399" s="452"/>
      <c r="K399" s="452"/>
      <c r="L399" s="452"/>
      <c r="M399" s="452"/>
      <c r="N399" s="452"/>
      <c r="O399" s="452"/>
      <c r="P399" s="452"/>
      <c r="Q399" s="452"/>
      <c r="R399" s="452"/>
      <c r="S399" s="452"/>
      <c r="T399" s="452"/>
      <c r="U399" s="452"/>
      <c r="V399" s="452"/>
      <c r="W399" s="452"/>
      <c r="X399" s="452"/>
      <c r="Y399" s="452"/>
      <c r="Z399" s="452"/>
      <c r="AA399" s="452"/>
      <c r="AB399" s="452"/>
      <c r="AC399" s="452"/>
      <c r="AD399" s="452"/>
      <c r="AE399" s="452"/>
      <c r="AF399" s="452"/>
      <c r="AG399" s="452"/>
      <c r="AH399" s="452"/>
      <c r="AI399" s="452"/>
      <c r="AJ399" s="452"/>
      <c r="AK399" s="452"/>
      <c r="AL399" s="452"/>
      <c r="AM399" s="452"/>
      <c r="AN399" s="452"/>
      <c r="AO399" s="452"/>
      <c r="AP399" s="141"/>
      <c r="AQ399" s="505"/>
      <c r="AR399" s="505"/>
      <c r="AS399" s="505"/>
      <c r="AT399" s="505"/>
      <c r="AU399" s="505"/>
      <c r="AV399" s="510"/>
      <c r="AX399" s="126"/>
      <c r="AY399" s="535"/>
      <c r="AZ399" s="535"/>
    </row>
    <row r="400" spans="1:53" s="507" customFormat="1" ht="15" customHeight="1">
      <c r="A400" s="452"/>
      <c r="B400" s="1179" t="s">
        <v>656</v>
      </c>
      <c r="C400" s="1179"/>
      <c r="D400" s="537">
        <v>0</v>
      </c>
      <c r="E400" s="537">
        <f>AVReportedExpNClPersonal+AVReportedExpNClTravel</f>
        <v>0</v>
      </c>
      <c r="F400" s="537">
        <v>0</v>
      </c>
      <c r="G400" s="452"/>
      <c r="H400" s="452"/>
      <c r="I400" s="452"/>
      <c r="J400" s="452"/>
      <c r="K400" s="452"/>
      <c r="L400" s="452"/>
      <c r="M400" s="452"/>
      <c r="N400" s="452"/>
      <c r="O400" s="452"/>
      <c r="P400" s="452"/>
      <c r="Q400" s="452"/>
      <c r="R400" s="452"/>
      <c r="S400" s="452"/>
      <c r="T400" s="452"/>
      <c r="U400" s="452"/>
      <c r="V400" s="452"/>
      <c r="W400" s="452"/>
      <c r="X400" s="452"/>
      <c r="Y400" s="452"/>
      <c r="Z400" s="452"/>
      <c r="AA400" s="452"/>
      <c r="AB400" s="452"/>
      <c r="AC400" s="452"/>
      <c r="AD400" s="452"/>
      <c r="AE400" s="452"/>
      <c r="AF400" s="452"/>
      <c r="AG400" s="452"/>
      <c r="AH400" s="452"/>
      <c r="AI400" s="452"/>
      <c r="AJ400" s="452"/>
      <c r="AK400" s="452"/>
      <c r="AL400" s="452"/>
      <c r="AM400" s="452"/>
      <c r="AN400" s="452"/>
      <c r="AO400" s="452"/>
      <c r="AP400" s="141"/>
      <c r="AQ400" s="505"/>
      <c r="AR400" s="505"/>
      <c r="AS400" s="505"/>
      <c r="AT400" s="505"/>
      <c r="AU400" s="505"/>
      <c r="AV400" s="510"/>
      <c r="AX400" s="126"/>
      <c r="AY400" s="535"/>
      <c r="AZ400" s="535"/>
    </row>
    <row r="401" spans="1:59" s="507" customFormat="1" ht="15" customHeight="1">
      <c r="A401" s="452"/>
      <c r="B401" s="1179" t="s">
        <v>657</v>
      </c>
      <c r="C401" s="1179"/>
      <c r="D401" s="537">
        <v>0</v>
      </c>
      <c r="E401" s="537">
        <f ca="1">AVForecastExpClPersonal+AVForecastExpClTravel</f>
        <v>0</v>
      </c>
      <c r="F401" s="537">
        <v>0</v>
      </c>
      <c r="G401" s="452"/>
      <c r="H401" s="452"/>
      <c r="I401" s="452"/>
      <c r="J401" s="452"/>
      <c r="K401" s="452"/>
      <c r="L401" s="452"/>
      <c r="M401" s="452"/>
      <c r="N401" s="452"/>
      <c r="O401" s="452"/>
      <c r="P401" s="452"/>
      <c r="Q401" s="452"/>
      <c r="R401" s="452"/>
      <c r="S401" s="452"/>
      <c r="T401" s="452"/>
      <c r="U401" s="452"/>
      <c r="V401" s="452"/>
      <c r="W401" s="452"/>
      <c r="X401" s="452"/>
      <c r="Y401" s="452"/>
      <c r="Z401" s="452"/>
      <c r="AA401" s="452"/>
      <c r="AB401" s="452"/>
      <c r="AC401" s="452"/>
      <c r="AD401" s="452"/>
      <c r="AE401" s="452"/>
      <c r="AF401" s="452"/>
      <c r="AG401" s="452"/>
      <c r="AH401" s="452"/>
      <c r="AI401" s="452"/>
      <c r="AJ401" s="452"/>
      <c r="AK401" s="452"/>
      <c r="AL401" s="452"/>
      <c r="AM401" s="452"/>
      <c r="AN401" s="452"/>
      <c r="AO401" s="452"/>
      <c r="AP401" s="141"/>
      <c r="AQ401" s="505"/>
      <c r="AR401" s="505"/>
      <c r="AS401" s="505"/>
      <c r="AT401" s="505"/>
      <c r="AU401" s="505"/>
      <c r="AV401" s="510"/>
      <c r="AX401" s="126"/>
      <c r="AY401" s="535"/>
      <c r="AZ401" s="535"/>
    </row>
    <row r="402" spans="1:59" s="507" customFormat="1" ht="15" customHeight="1">
      <c r="A402" s="452"/>
      <c r="B402" s="1179" t="s">
        <v>658</v>
      </c>
      <c r="C402" s="1179"/>
      <c r="D402" s="537">
        <v>0</v>
      </c>
      <c r="E402" s="537">
        <f>AVForecastExpNClPersonal+AVForecastExpNClTravel</f>
        <v>0</v>
      </c>
      <c r="F402" s="537">
        <v>0</v>
      </c>
      <c r="G402" s="452"/>
      <c r="H402" s="452"/>
      <c r="I402" s="452"/>
      <c r="J402" s="452"/>
      <c r="K402" s="452"/>
      <c r="L402" s="452"/>
      <c r="M402" s="452"/>
      <c r="N402" s="452"/>
      <c r="O402" s="452"/>
      <c r="P402" s="452"/>
      <c r="Q402" s="452"/>
      <c r="R402" s="452"/>
      <c r="S402" s="452"/>
      <c r="T402" s="452"/>
      <c r="U402" s="452"/>
      <c r="V402" s="452"/>
      <c r="W402" s="452"/>
      <c r="X402" s="452"/>
      <c r="Y402" s="452"/>
      <c r="Z402" s="452"/>
      <c r="AA402" s="452"/>
      <c r="AB402" s="452"/>
      <c r="AC402" s="452"/>
      <c r="AD402" s="452"/>
      <c r="AE402" s="452"/>
      <c r="AF402" s="452"/>
      <c r="AG402" s="452"/>
      <c r="AH402" s="452"/>
      <c r="AI402" s="452"/>
      <c r="AJ402" s="452"/>
      <c r="AK402" s="452"/>
      <c r="AL402" s="452"/>
      <c r="AM402" s="452"/>
      <c r="AN402" s="452"/>
      <c r="AO402" s="452"/>
      <c r="AP402" s="141"/>
      <c r="AQ402" s="505"/>
      <c r="AR402" s="505"/>
      <c r="AS402" s="505"/>
      <c r="AT402" s="505"/>
      <c r="AU402" s="505"/>
      <c r="AV402" s="510"/>
      <c r="AX402" s="126"/>
      <c r="AY402" s="535"/>
      <c r="AZ402" s="535"/>
    </row>
    <row r="403" spans="1:59" s="507" customFormat="1" ht="15" customHeight="1">
      <c r="A403" s="452"/>
      <c r="B403" s="1179" t="s">
        <v>844</v>
      </c>
      <c r="C403" s="1179"/>
      <c r="D403" s="537">
        <f ca="1">DCBudgetExpClPersonal</f>
        <v>93800</v>
      </c>
      <c r="E403" s="537"/>
      <c r="F403" s="537"/>
      <c r="G403" s="452"/>
      <c r="H403" s="452"/>
      <c r="I403" s="452"/>
      <c r="J403" s="452"/>
      <c r="K403" s="452"/>
      <c r="L403" s="452"/>
      <c r="M403" s="452"/>
      <c r="N403" s="452"/>
      <c r="O403" s="452"/>
      <c r="P403" s="452"/>
      <c r="Q403" s="452"/>
      <c r="R403" s="452"/>
      <c r="S403" s="452"/>
      <c r="T403" s="452"/>
      <c r="U403" s="452"/>
      <c r="V403" s="452"/>
      <c r="W403" s="452"/>
      <c r="X403" s="452"/>
      <c r="Y403" s="452"/>
      <c r="Z403" s="452"/>
      <c r="AA403" s="452"/>
      <c r="AB403" s="452"/>
      <c r="AC403" s="452"/>
      <c r="AD403" s="452"/>
      <c r="AE403" s="452"/>
      <c r="AF403" s="452"/>
      <c r="AG403" s="452"/>
      <c r="AH403" s="452"/>
      <c r="AI403" s="452"/>
      <c r="AJ403" s="452"/>
      <c r="AK403" s="452"/>
      <c r="AL403" s="452"/>
      <c r="AM403" s="452"/>
      <c r="AN403" s="452"/>
      <c r="AO403" s="452"/>
      <c r="AP403" s="141"/>
      <c r="AQ403" s="505"/>
      <c r="AR403" s="505"/>
      <c r="AS403" s="505"/>
      <c r="AT403" s="505"/>
      <c r="AU403" s="505"/>
      <c r="AV403" s="510"/>
      <c r="AX403" s="126"/>
      <c r="AY403" s="535"/>
      <c r="AZ403" s="535"/>
    </row>
    <row r="404" spans="1:59" s="507" customFormat="1" ht="15" customHeight="1">
      <c r="A404" s="452"/>
      <c r="B404" s="1179" t="s">
        <v>845</v>
      </c>
      <c r="C404" s="1179"/>
      <c r="D404" s="537">
        <f>DCBudgetExpClTravel</f>
        <v>0</v>
      </c>
      <c r="E404" s="537"/>
      <c r="F404" s="537"/>
      <c r="G404" s="452"/>
      <c r="H404" s="452"/>
      <c r="I404" s="452"/>
      <c r="J404" s="452"/>
      <c r="K404" s="452"/>
      <c r="L404" s="452"/>
      <c r="M404" s="452"/>
      <c r="N404" s="452"/>
      <c r="O404" s="452"/>
      <c r="P404" s="452"/>
      <c r="Q404" s="452"/>
      <c r="R404" s="452"/>
      <c r="S404" s="452"/>
      <c r="T404" s="452"/>
      <c r="U404" s="452"/>
      <c r="V404" s="452"/>
      <c r="W404" s="452"/>
      <c r="X404" s="452"/>
      <c r="Y404" s="452"/>
      <c r="Z404" s="452"/>
      <c r="AA404" s="452"/>
      <c r="AB404" s="452"/>
      <c r="AC404" s="452"/>
      <c r="AD404" s="452"/>
      <c r="AE404" s="452"/>
      <c r="AF404" s="452"/>
      <c r="AG404" s="452"/>
      <c r="AH404" s="452"/>
      <c r="AI404" s="452"/>
      <c r="AJ404" s="452"/>
      <c r="AK404" s="452"/>
      <c r="AL404" s="452"/>
      <c r="AM404" s="452"/>
      <c r="AN404" s="452"/>
      <c r="AO404" s="452"/>
      <c r="AP404" s="141"/>
      <c r="AQ404" s="505"/>
      <c r="AR404" s="505"/>
      <c r="AS404" s="505"/>
      <c r="AT404" s="505"/>
      <c r="AU404" s="505"/>
      <c r="AV404" s="510"/>
      <c r="AX404" s="126"/>
      <c r="AY404" s="535"/>
      <c r="AZ404" s="535"/>
    </row>
    <row r="405" spans="1:59" s="507" customFormat="1" ht="15" customHeight="1">
      <c r="A405" s="452"/>
      <c r="B405" s="1179" t="s">
        <v>846</v>
      </c>
      <c r="C405" s="1179"/>
      <c r="D405" s="537">
        <f>PCRiskCharge</f>
        <v>0</v>
      </c>
      <c r="E405" s="537"/>
      <c r="F405" s="537"/>
      <c r="G405" s="452"/>
      <c r="H405" s="452"/>
      <c r="I405" s="452"/>
      <c r="J405" s="452"/>
      <c r="K405" s="452"/>
      <c r="L405" s="452"/>
      <c r="M405" s="452"/>
      <c r="N405" s="452"/>
      <c r="O405" s="452"/>
      <c r="P405" s="452"/>
      <c r="Q405" s="452"/>
      <c r="R405" s="452"/>
      <c r="S405" s="452"/>
      <c r="T405" s="452"/>
      <c r="U405" s="452"/>
      <c r="V405" s="452"/>
      <c r="W405" s="452"/>
      <c r="X405" s="452"/>
      <c r="Y405" s="452"/>
      <c r="Z405" s="452"/>
      <c r="AA405" s="452"/>
      <c r="AB405" s="452"/>
      <c r="AC405" s="452"/>
      <c r="AD405" s="452"/>
      <c r="AE405" s="452"/>
      <c r="AF405" s="452"/>
      <c r="AG405" s="452"/>
      <c r="AH405" s="452"/>
      <c r="AI405" s="452"/>
      <c r="AJ405" s="452"/>
      <c r="AK405" s="452"/>
      <c r="AL405" s="452"/>
      <c r="AM405" s="452"/>
      <c r="AN405" s="452"/>
      <c r="AO405" s="452"/>
      <c r="AP405" s="141"/>
      <c r="AQ405" s="505"/>
      <c r="AR405" s="505"/>
      <c r="AS405" s="505"/>
      <c r="AT405" s="505"/>
      <c r="AU405" s="505"/>
      <c r="AV405" s="510"/>
      <c r="AX405" s="126"/>
      <c r="AY405" s="535"/>
      <c r="AZ405" s="535"/>
    </row>
    <row r="406" spans="1:59" s="507" customFormat="1" ht="15" customHeight="1">
      <c r="A406" s="452"/>
      <c r="B406" s="1179" t="s">
        <v>847</v>
      </c>
      <c r="C406" s="1179"/>
      <c r="D406" s="537">
        <f>PCAdditionalMargin</f>
        <v>0</v>
      </c>
      <c r="E406" s="537"/>
      <c r="F406" s="537"/>
      <c r="G406" s="452"/>
      <c r="H406" s="452"/>
      <c r="I406" s="452"/>
      <c r="J406" s="452"/>
      <c r="K406" s="452"/>
      <c r="L406" s="452"/>
      <c r="M406" s="452"/>
      <c r="N406" s="452"/>
      <c r="O406" s="452"/>
      <c r="P406" s="452"/>
      <c r="Q406" s="452"/>
      <c r="R406" s="452"/>
      <c r="S406" s="452"/>
      <c r="T406" s="452"/>
      <c r="U406" s="452"/>
      <c r="V406" s="452"/>
      <c r="W406" s="452"/>
      <c r="X406" s="452"/>
      <c r="Y406" s="452"/>
      <c r="Z406" s="452"/>
      <c r="AA406" s="452"/>
      <c r="AB406" s="452"/>
      <c r="AC406" s="452"/>
      <c r="AD406" s="452"/>
      <c r="AE406" s="452"/>
      <c r="AF406" s="452"/>
      <c r="AG406" s="452"/>
      <c r="AH406" s="452"/>
      <c r="AI406" s="452"/>
      <c r="AJ406" s="452"/>
      <c r="AK406" s="452"/>
      <c r="AL406" s="452"/>
      <c r="AM406" s="452"/>
      <c r="AN406" s="452"/>
      <c r="AO406" s="452"/>
      <c r="AP406" s="141"/>
      <c r="AQ406" s="505"/>
      <c r="AR406" s="505"/>
      <c r="AS406" s="505"/>
      <c r="AT406" s="505"/>
      <c r="AU406" s="505"/>
      <c r="AV406" s="510"/>
      <c r="AX406" s="126"/>
      <c r="AY406" s="535"/>
      <c r="AZ406" s="535"/>
    </row>
    <row r="407" spans="1:59" s="507" customFormat="1" ht="15" customHeight="1">
      <c r="A407" s="452"/>
      <c r="B407" s="1179" t="s">
        <v>659</v>
      </c>
      <c r="C407" s="1179"/>
      <c r="D407" s="537">
        <v>0</v>
      </c>
      <c r="E407" s="537">
        <v>0</v>
      </c>
      <c r="F407" s="537">
        <f>AQ17</f>
        <v>0</v>
      </c>
      <c r="G407" s="452"/>
      <c r="H407" s="452"/>
      <c r="I407" s="452"/>
      <c r="J407" s="452"/>
      <c r="K407" s="452"/>
      <c r="L407" s="452"/>
      <c r="M407" s="452"/>
      <c r="N407" s="452"/>
      <c r="O407" s="452"/>
      <c r="P407" s="452"/>
      <c r="Q407" s="452"/>
      <c r="R407" s="452"/>
      <c r="S407" s="452"/>
      <c r="T407" s="452"/>
      <c r="U407" s="452"/>
      <c r="V407" s="452"/>
      <c r="W407" s="452"/>
      <c r="X407" s="452"/>
      <c r="Y407" s="452"/>
      <c r="Z407" s="452"/>
      <c r="AA407" s="452"/>
      <c r="AB407" s="452"/>
      <c r="AC407" s="452"/>
      <c r="AD407" s="452"/>
      <c r="AE407" s="452"/>
      <c r="AF407" s="452"/>
      <c r="AG407" s="452"/>
      <c r="AH407" s="452"/>
      <c r="AI407" s="452"/>
      <c r="AJ407" s="452"/>
      <c r="AK407" s="452"/>
      <c r="AL407" s="452"/>
      <c r="AM407" s="452"/>
      <c r="AN407" s="452"/>
      <c r="AO407" s="452"/>
      <c r="AP407" s="141"/>
      <c r="AQ407" s="505"/>
      <c r="AR407" s="505"/>
      <c r="AS407" s="505"/>
      <c r="AT407" s="505"/>
      <c r="AU407" s="505"/>
      <c r="AV407" s="510"/>
      <c r="AX407" s="126"/>
      <c r="AY407" s="535"/>
      <c r="AZ407" s="535"/>
    </row>
    <row r="408" spans="1:59" s="507" customFormat="1" ht="15" customHeight="1">
      <c r="A408" s="452"/>
      <c r="B408" s="1179" t="s">
        <v>660</v>
      </c>
      <c r="C408" s="1179"/>
      <c r="D408" s="537">
        <v>0</v>
      </c>
      <c r="E408" s="537">
        <v>0</v>
      </c>
      <c r="F408" s="537">
        <f>AR17</f>
        <v>0</v>
      </c>
      <c r="G408" s="452"/>
      <c r="H408" s="452"/>
      <c r="I408" s="452"/>
      <c r="J408" s="452"/>
      <c r="K408" s="452"/>
      <c r="L408" s="452"/>
      <c r="M408" s="452"/>
      <c r="N408" s="452"/>
      <c r="O408" s="452"/>
      <c r="P408" s="452"/>
      <c r="Q408" s="452"/>
      <c r="R408" s="452"/>
      <c r="S408" s="452"/>
      <c r="T408" s="452"/>
      <c r="U408" s="452"/>
      <c r="V408" s="452"/>
      <c r="W408" s="452"/>
      <c r="X408" s="452"/>
      <c r="Y408" s="452"/>
      <c r="Z408" s="452"/>
      <c r="AA408" s="452"/>
      <c r="AB408" s="452"/>
      <c r="AC408" s="452"/>
      <c r="AD408" s="452"/>
      <c r="AE408" s="452"/>
      <c r="AF408" s="452"/>
      <c r="AG408" s="452"/>
      <c r="AH408" s="452"/>
      <c r="AI408" s="452"/>
      <c r="AJ408" s="452"/>
      <c r="AK408" s="452"/>
      <c r="AL408" s="452"/>
      <c r="AM408" s="452"/>
      <c r="AN408" s="452"/>
      <c r="AO408" s="452"/>
      <c r="AP408" s="141"/>
      <c r="AQ408" s="505"/>
      <c r="AR408" s="505"/>
      <c r="AS408" s="505"/>
      <c r="AT408" s="505"/>
      <c r="AU408" s="505"/>
      <c r="AV408" s="510"/>
      <c r="AX408" s="126"/>
      <c r="AY408" s="535"/>
      <c r="AZ408" s="535"/>
    </row>
    <row r="409" spans="1:59" s="507" customFormat="1">
      <c r="A409" s="538"/>
      <c r="B409" s="538"/>
      <c r="C409" s="538"/>
      <c r="D409" s="538"/>
      <c r="E409" s="538"/>
      <c r="F409" s="538"/>
      <c r="G409" s="538"/>
      <c r="H409" s="538"/>
      <c r="I409" s="538"/>
      <c r="J409" s="538"/>
      <c r="K409" s="538"/>
      <c r="L409" s="538"/>
      <c r="M409" s="538"/>
      <c r="N409" s="538"/>
      <c r="O409" s="538"/>
      <c r="P409" s="538"/>
      <c r="Q409" s="538"/>
      <c r="R409" s="538"/>
      <c r="S409" s="538"/>
      <c r="T409" s="538"/>
      <c r="U409" s="538"/>
      <c r="V409" s="538"/>
      <c r="W409" s="538"/>
      <c r="X409" s="538"/>
      <c r="Y409" s="538"/>
      <c r="Z409" s="538"/>
      <c r="AA409" s="538"/>
      <c r="AB409" s="538"/>
      <c r="AC409" s="538"/>
      <c r="AD409" s="538"/>
      <c r="AE409" s="538"/>
      <c r="AF409" s="538"/>
      <c r="AG409" s="538"/>
      <c r="AH409" s="538"/>
      <c r="AI409" s="538"/>
      <c r="AJ409" s="538"/>
      <c r="AK409" s="538"/>
      <c r="AL409" s="538"/>
      <c r="AM409" s="538"/>
      <c r="AN409" s="538"/>
      <c r="AO409" s="538"/>
      <c r="AP409" s="141"/>
      <c r="AQ409" s="481"/>
      <c r="AR409" s="481"/>
      <c r="AS409" s="481"/>
      <c r="AT409" s="481"/>
      <c r="AU409" s="481"/>
      <c r="AV409" s="452"/>
      <c r="AX409" s="126"/>
      <c r="AY409" s="535"/>
      <c r="AZ409" s="535"/>
    </row>
    <row r="410" spans="1:59" s="507" customFormat="1">
      <c r="A410" s="538"/>
      <c r="B410" s="538"/>
      <c r="C410" s="538"/>
      <c r="D410" s="538"/>
      <c r="E410" s="538"/>
      <c r="F410" s="538"/>
      <c r="G410" s="538"/>
      <c r="H410" s="538"/>
      <c r="I410" s="538"/>
      <c r="J410" s="538"/>
      <c r="K410" s="538"/>
      <c r="L410" s="538"/>
      <c r="M410" s="538"/>
      <c r="N410" s="538"/>
      <c r="O410" s="538"/>
      <c r="P410" s="538"/>
      <c r="Q410" s="538"/>
      <c r="R410" s="538"/>
      <c r="S410" s="538"/>
      <c r="T410" s="538"/>
      <c r="U410" s="538"/>
      <c r="V410" s="538"/>
      <c r="W410" s="538"/>
      <c r="X410" s="538"/>
      <c r="Y410" s="538"/>
      <c r="Z410" s="538"/>
      <c r="AA410" s="538"/>
      <c r="AB410" s="538"/>
      <c r="AC410" s="538"/>
      <c r="AD410" s="538"/>
      <c r="AE410" s="538"/>
      <c r="AF410" s="538"/>
      <c r="AG410" s="538"/>
      <c r="AH410" s="538"/>
      <c r="AI410" s="538"/>
      <c r="AJ410" s="538"/>
      <c r="AK410" s="538"/>
      <c r="AL410" s="538"/>
      <c r="AM410" s="538"/>
      <c r="AN410" s="538"/>
      <c r="AO410" s="538"/>
      <c r="AP410" s="141"/>
      <c r="AQ410" s="481"/>
      <c r="AR410" s="481"/>
      <c r="AS410" s="481"/>
      <c r="AT410" s="481"/>
      <c r="AU410" s="481"/>
      <c r="AV410" s="452"/>
      <c r="AW410" s="452"/>
      <c r="AX410" s="126"/>
      <c r="AZ410" s="535"/>
      <c r="BA410" s="535"/>
    </row>
    <row r="411" spans="1:59" s="528" customFormat="1">
      <c r="AP411" s="126"/>
      <c r="AQ411" s="539"/>
      <c r="AR411" s="539"/>
      <c r="AS411" s="539"/>
      <c r="AT411" s="539"/>
      <c r="AU411" s="539"/>
      <c r="AV411" s="507"/>
      <c r="AW411" s="507"/>
      <c r="AX411" s="126"/>
      <c r="AZ411" s="540"/>
      <c r="BA411" s="540"/>
    </row>
    <row r="412" spans="1:59" s="528" customFormat="1">
      <c r="AP412" s="126"/>
      <c r="AQ412" s="539"/>
      <c r="AR412" s="539"/>
      <c r="AS412" s="539"/>
      <c r="AT412" s="539"/>
      <c r="AU412" s="539"/>
      <c r="AV412" s="507"/>
      <c r="AW412" s="507"/>
      <c r="AX412" s="126"/>
      <c r="AZ412" s="540"/>
      <c r="BA412" s="540"/>
    </row>
    <row r="413" spans="1:59" s="528" customFormat="1">
      <c r="AP413" s="126"/>
      <c r="AQ413" s="539"/>
      <c r="AR413" s="539"/>
      <c r="AS413" s="539"/>
      <c r="AT413" s="539"/>
      <c r="AU413" s="539"/>
      <c r="AV413" s="507"/>
      <c r="AW413" s="507"/>
      <c r="AX413" s="126"/>
      <c r="AZ413" s="540"/>
      <c r="BA413" s="540"/>
    </row>
    <row r="414" spans="1:59" s="528" customFormat="1">
      <c r="AP414" s="126"/>
      <c r="AQ414" s="539"/>
      <c r="AR414" s="539"/>
      <c r="AS414" s="539"/>
      <c r="AT414" s="539"/>
      <c r="AU414" s="539"/>
      <c r="AV414" s="507"/>
      <c r="AW414" s="507"/>
      <c r="AX414" s="126"/>
      <c r="AZ414" s="540"/>
      <c r="BA414" s="540"/>
    </row>
    <row r="415" spans="1:59">
      <c r="A415" s="528"/>
      <c r="B415" s="528"/>
      <c r="C415" s="528"/>
      <c r="D415" s="528"/>
      <c r="E415" s="528"/>
      <c r="F415" s="528"/>
      <c r="G415" s="528"/>
      <c r="H415" s="528"/>
      <c r="I415" s="528"/>
      <c r="J415" s="528"/>
      <c r="K415" s="528"/>
      <c r="L415" s="528"/>
      <c r="M415" s="528"/>
      <c r="N415" s="528"/>
      <c r="O415" s="528"/>
      <c r="P415" s="528"/>
      <c r="Q415" s="528"/>
      <c r="R415" s="528"/>
      <c r="S415" s="528"/>
      <c r="T415" s="528"/>
      <c r="U415" s="528"/>
      <c r="V415" s="528"/>
      <c r="W415" s="528"/>
      <c r="X415" s="528"/>
      <c r="Y415" s="528"/>
      <c r="Z415" s="528"/>
      <c r="AA415" s="528"/>
      <c r="AB415" s="528"/>
      <c r="AC415" s="528"/>
      <c r="AD415" s="528"/>
      <c r="AE415" s="528"/>
      <c r="AF415" s="528"/>
      <c r="AG415" s="528"/>
      <c r="AH415" s="528"/>
      <c r="AI415" s="528"/>
      <c r="AJ415" s="528"/>
      <c r="AK415" s="528"/>
      <c r="AL415" s="528"/>
      <c r="AM415" s="528"/>
      <c r="AN415" s="528"/>
      <c r="AO415" s="528"/>
      <c r="AY415" s="528"/>
      <c r="AZ415" s="540"/>
      <c r="BA415" s="540"/>
      <c r="BB415" s="528"/>
      <c r="BC415" s="528"/>
      <c r="BD415" s="528"/>
      <c r="BE415" s="528"/>
      <c r="BF415" s="528"/>
      <c r="BG415" s="528"/>
    </row>
    <row r="416" spans="1:59">
      <c r="A416" s="528"/>
      <c r="B416" s="528"/>
      <c r="C416" s="528"/>
      <c r="D416" s="528"/>
      <c r="E416" s="528"/>
      <c r="F416" s="528"/>
      <c r="G416" s="528"/>
      <c r="H416" s="528"/>
      <c r="I416" s="528"/>
      <c r="J416" s="528"/>
      <c r="K416" s="528"/>
      <c r="L416" s="528"/>
      <c r="M416" s="528"/>
      <c r="N416" s="528"/>
      <c r="O416" s="528"/>
      <c r="P416" s="528"/>
      <c r="Q416" s="528"/>
      <c r="R416" s="528"/>
      <c r="S416" s="528"/>
      <c r="T416" s="528"/>
      <c r="U416" s="528"/>
      <c r="V416" s="528"/>
      <c r="W416" s="528"/>
      <c r="X416" s="528"/>
      <c r="Y416" s="528"/>
      <c r="Z416" s="528"/>
      <c r="AA416" s="528"/>
      <c r="AB416" s="528"/>
      <c r="AC416" s="528"/>
      <c r="AD416" s="528"/>
      <c r="AE416" s="528"/>
      <c r="AF416" s="528"/>
      <c r="AG416" s="528"/>
      <c r="AH416" s="528"/>
      <c r="AI416" s="528"/>
      <c r="AJ416" s="528"/>
      <c r="AK416" s="528"/>
      <c r="AL416" s="528"/>
      <c r="AM416" s="528"/>
      <c r="AN416" s="528"/>
      <c r="AO416" s="528"/>
      <c r="AY416" s="528"/>
      <c r="AZ416" s="540"/>
      <c r="BA416" s="540"/>
      <c r="BB416" s="528"/>
      <c r="BC416" s="528"/>
      <c r="BD416" s="528"/>
      <c r="BE416" s="528"/>
      <c r="BF416" s="528"/>
      <c r="BG416" s="528"/>
    </row>
    <row r="417" spans="1:59">
      <c r="A417" s="528"/>
      <c r="B417" s="528"/>
      <c r="C417" s="528"/>
      <c r="D417" s="528"/>
      <c r="E417" s="528"/>
      <c r="F417" s="528"/>
      <c r="G417" s="528"/>
      <c r="H417" s="528"/>
      <c r="I417" s="528"/>
      <c r="J417" s="528"/>
      <c r="K417" s="528"/>
      <c r="L417" s="528"/>
      <c r="M417" s="528"/>
      <c r="N417" s="528"/>
      <c r="O417" s="528"/>
      <c r="P417" s="528"/>
      <c r="Q417" s="528"/>
      <c r="R417" s="528"/>
      <c r="S417" s="528"/>
      <c r="T417" s="528"/>
      <c r="U417" s="528"/>
      <c r="V417" s="528"/>
      <c r="W417" s="528"/>
      <c r="X417" s="528"/>
      <c r="Y417" s="528"/>
      <c r="Z417" s="528"/>
      <c r="AA417" s="528"/>
      <c r="AB417" s="528"/>
      <c r="AC417" s="528"/>
      <c r="AD417" s="528"/>
      <c r="AE417" s="528"/>
      <c r="AF417" s="528"/>
      <c r="AG417" s="528"/>
      <c r="AH417" s="528"/>
      <c r="AI417" s="528"/>
      <c r="AJ417" s="528"/>
      <c r="AK417" s="528"/>
      <c r="AL417" s="528"/>
      <c r="AM417" s="528"/>
      <c r="AN417" s="528"/>
      <c r="AO417" s="528"/>
      <c r="AY417" s="528"/>
      <c r="AZ417" s="540"/>
      <c r="BA417" s="540"/>
      <c r="BB417" s="528"/>
      <c r="BC417" s="528"/>
      <c r="BD417" s="528"/>
      <c r="BE417" s="528"/>
      <c r="BF417" s="528"/>
      <c r="BG417" s="528"/>
    </row>
    <row r="418" spans="1:59">
      <c r="AZ418" s="541"/>
      <c r="BA418" s="541"/>
    </row>
    <row r="419" spans="1:59">
      <c r="AZ419" s="541"/>
      <c r="BA419" s="541"/>
    </row>
    <row r="420" spans="1:59">
      <c r="AZ420" s="541"/>
      <c r="BA420" s="541"/>
    </row>
    <row r="421" spans="1:59">
      <c r="AZ421" s="541"/>
      <c r="BA421" s="541"/>
    </row>
    <row r="422" spans="1:59">
      <c r="AZ422" s="541"/>
      <c r="BA422" s="541"/>
    </row>
    <row r="423" spans="1:59">
      <c r="AZ423" s="541"/>
      <c r="BA423" s="541"/>
    </row>
    <row r="424" spans="1:59">
      <c r="AZ424" s="541"/>
      <c r="BA424" s="541"/>
    </row>
    <row r="425" spans="1:59">
      <c r="AZ425" s="541"/>
      <c r="BA425" s="541"/>
    </row>
    <row r="426" spans="1:59">
      <c r="AZ426" s="541"/>
      <c r="BA426" s="541"/>
    </row>
    <row r="427" spans="1:59">
      <c r="AZ427" s="541"/>
      <c r="BA427" s="541"/>
    </row>
  </sheetData>
  <sheetProtection algorithmName="SHA-512" hashValue="AQUKUjrQG875N0vHfT2CXvZTHvAPj+CySmryo3EaYTN961wsYrTTQqMPaADC6Wwihc38Jl/aSic1uWpbyAi+0g==" saltValue="WRm87+LGMBN/9g1xofUX8A==" spinCount="100000" sheet="1" objects="1" scenarios="1" formatCells="0"/>
  <mergeCells count="111">
    <mergeCell ref="A7:A9"/>
    <mergeCell ref="A1:E1"/>
    <mergeCell ref="A2:E2"/>
    <mergeCell ref="B365:C365"/>
    <mergeCell ref="A182:A185"/>
    <mergeCell ref="A347:A350"/>
    <mergeCell ref="A193:A196"/>
    <mergeCell ref="A215:A218"/>
    <mergeCell ref="A248:A251"/>
    <mergeCell ref="A281:A284"/>
    <mergeCell ref="A314:A317"/>
    <mergeCell ref="A94:A97"/>
    <mergeCell ref="A105:A108"/>
    <mergeCell ref="A116:A119"/>
    <mergeCell ref="A127:A130"/>
    <mergeCell ref="A138:A141"/>
    <mergeCell ref="A83:A86"/>
    <mergeCell ref="A28:A31"/>
    <mergeCell ref="A39:A42"/>
    <mergeCell ref="A149:A152"/>
    <mergeCell ref="A160:A163"/>
    <mergeCell ref="A171:A174"/>
    <mergeCell ref="B215:B218"/>
    <mergeCell ref="A15:C15"/>
    <mergeCell ref="A50:A53"/>
    <mergeCell ref="H5:J5"/>
    <mergeCell ref="L5:N5"/>
    <mergeCell ref="D5:F5"/>
    <mergeCell ref="A237:A240"/>
    <mergeCell ref="B237:B240"/>
    <mergeCell ref="B193:B196"/>
    <mergeCell ref="A204:A207"/>
    <mergeCell ref="B204:B207"/>
    <mergeCell ref="B19:B20"/>
    <mergeCell ref="B138:B141"/>
    <mergeCell ref="B149:B152"/>
    <mergeCell ref="B160:B163"/>
    <mergeCell ref="B171:B174"/>
    <mergeCell ref="B182:B185"/>
    <mergeCell ref="B83:B86"/>
    <mergeCell ref="B94:B97"/>
    <mergeCell ref="B105:B108"/>
    <mergeCell ref="B116:B119"/>
    <mergeCell ref="B127:B130"/>
    <mergeCell ref="B28:B31"/>
    <mergeCell ref="B39:B42"/>
    <mergeCell ref="B50:B53"/>
    <mergeCell ref="B61:B64"/>
    <mergeCell ref="B72:B75"/>
    <mergeCell ref="A61:A64"/>
    <mergeCell ref="A72:A75"/>
    <mergeCell ref="B281:B284"/>
    <mergeCell ref="A292:A295"/>
    <mergeCell ref="B292:B295"/>
    <mergeCell ref="A226:A229"/>
    <mergeCell ref="B226:B229"/>
    <mergeCell ref="A325:A328"/>
    <mergeCell ref="B325:B328"/>
    <mergeCell ref="A336:A339"/>
    <mergeCell ref="B336:B339"/>
    <mergeCell ref="B347:B350"/>
    <mergeCell ref="A303:A306"/>
    <mergeCell ref="B303:B306"/>
    <mergeCell ref="B248:B251"/>
    <mergeCell ref="A259:A262"/>
    <mergeCell ref="B259:B262"/>
    <mergeCell ref="A270:A273"/>
    <mergeCell ref="B270:B273"/>
    <mergeCell ref="B359:C359"/>
    <mergeCell ref="B360:C360"/>
    <mergeCell ref="B362:C362"/>
    <mergeCell ref="B363:C363"/>
    <mergeCell ref="B364:C364"/>
    <mergeCell ref="B355:C355"/>
    <mergeCell ref="B356:C356"/>
    <mergeCell ref="B358:C358"/>
    <mergeCell ref="B314:B317"/>
    <mergeCell ref="B353:C353"/>
    <mergeCell ref="B354:C354"/>
    <mergeCell ref="B374:C374"/>
    <mergeCell ref="B375:C375"/>
    <mergeCell ref="B377:C377"/>
    <mergeCell ref="B378:C378"/>
    <mergeCell ref="B379:C379"/>
    <mergeCell ref="B380:C380"/>
    <mergeCell ref="B368:C368"/>
    <mergeCell ref="B369:C369"/>
    <mergeCell ref="B370:C370"/>
    <mergeCell ref="B371:C371"/>
    <mergeCell ref="B373:C373"/>
    <mergeCell ref="B390:C390"/>
    <mergeCell ref="B391:C391"/>
    <mergeCell ref="B392:C392"/>
    <mergeCell ref="B393:C393"/>
    <mergeCell ref="B394:C394"/>
    <mergeCell ref="B383:C383"/>
    <mergeCell ref="B384:C384"/>
    <mergeCell ref="B385:C385"/>
    <mergeCell ref="B386:C386"/>
    <mergeCell ref="B387:C387"/>
    <mergeCell ref="B398:C398"/>
    <mergeCell ref="B399:C399"/>
    <mergeCell ref="B400:C400"/>
    <mergeCell ref="B401:C401"/>
    <mergeCell ref="B402:C402"/>
    <mergeCell ref="B403:C403"/>
    <mergeCell ref="B407:C407"/>
    <mergeCell ref="B408:C408"/>
    <mergeCell ref="B404:C404"/>
    <mergeCell ref="B405:C405"/>
    <mergeCell ref="B406:C406"/>
  </mergeCells>
  <conditionalFormatting sqref="D15:AO15">
    <cfRule type="cellIs" dxfId="88" priority="37" operator="equal">
      <formula>"reported"</formula>
    </cfRule>
  </conditionalFormatting>
  <conditionalFormatting sqref="O11:O12">
    <cfRule type="cellIs" dxfId="87" priority="35" operator="greaterThan">
      <formula>0</formula>
    </cfRule>
    <cfRule type="cellIs" dxfId="86" priority="36" operator="lessThan">
      <formula>0</formula>
    </cfRule>
  </conditionalFormatting>
  <conditionalFormatting sqref="D17:AO17">
    <cfRule type="expression" dxfId="85" priority="1">
      <formula>AND(D$15=TMDPeriodValueTypeReported,D$16&lt;&gt;TMDInvoiceStatusInvoiced,D$16&lt;&gt;"")</formula>
    </cfRule>
  </conditionalFormatting>
  <dataValidations count="1">
    <dataValidation type="list" operator="equal" allowBlank="1" showInputMessage="1" showErrorMessage="1" sqref="D15:AO15">
      <formula1>TMDPeriodValueType</formula1>
    </dataValidation>
  </dataValidations>
  <pageMargins left="0.11811023622047245" right="0.11811023622047245" top="0.19685039370078741" bottom="0.19685039370078741" header="0.39370078740157483" footer="0.31496062992125984"/>
  <pageSetup paperSize="9" scale="51" fitToWidth="2" fitToHeight="3" orientation="landscape" horizontalDpi="1200" verticalDpi="1200" r:id="rId1"/>
  <rowBreaks count="2" manualBreakCount="2">
    <brk id="115" max="40" man="1"/>
    <brk id="247" max="40" man="1"/>
  </rowBreaks>
  <customProperties>
    <customPr name="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0489" r:id="rId5" name="Button 9">
              <controlPr defaultSize="0" print="0" autoFill="0" autoPict="0" macro="[0]!btnRefreshSlicer">
                <anchor moveWithCells="1" sizeWithCells="1">
                  <from>
                    <xdr:col>0</xdr:col>
                    <xdr:colOff>114300</xdr:colOff>
                    <xdr:row>6</xdr:row>
                    <xdr:rowOff>144780</xdr:rowOff>
                  </from>
                  <to>
                    <xdr:col>0</xdr:col>
                    <xdr:colOff>1447800</xdr:colOff>
                    <xdr:row>8</xdr:row>
                    <xdr:rowOff>68580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BBB59"/>
    <pageSetUpPr fitToPage="1"/>
  </sheetPr>
  <dimension ref="A1:CC49"/>
  <sheetViews>
    <sheetView zoomScaleNormal="100" workbookViewId="0">
      <selection activeCell="A3" sqref="A3"/>
    </sheetView>
  </sheetViews>
  <sheetFormatPr defaultColWidth="9.109375" defaultRowHeight="13.8"/>
  <cols>
    <col min="1" max="1" width="9.109375" style="141"/>
    <col min="2" max="2" width="19" style="141" customWidth="1"/>
    <col min="3" max="3" width="12.33203125" style="141" customWidth="1"/>
    <col min="4" max="4" width="1.33203125" style="583" customWidth="1"/>
    <col min="5" max="5" width="0.88671875" style="584" customWidth="1"/>
    <col min="6" max="17" width="9.109375" style="141" customWidth="1"/>
    <col min="18" max="18" width="9.109375" style="141"/>
    <col min="19" max="19" width="9.109375" style="141" customWidth="1"/>
    <col min="20" max="25" width="9.109375" style="141"/>
    <col min="26" max="26" width="9.109375" style="141" customWidth="1"/>
    <col min="27" max="27" width="9.109375" style="141"/>
    <col min="28" max="28" width="9.109375" style="141" customWidth="1"/>
    <col min="29" max="69" width="9.109375" style="141"/>
    <col min="70" max="70" width="9.109375" style="141" customWidth="1"/>
    <col min="71" max="16384" width="9.109375" style="141"/>
  </cols>
  <sheetData>
    <row r="1" spans="1:81" s="558" customFormat="1" ht="21">
      <c r="A1" s="823" t="str">
        <f>MDProjektname</f>
        <v>Migration GEFI</v>
      </c>
      <c r="B1" s="824"/>
      <c r="C1" s="824"/>
      <c r="D1" s="824"/>
      <c r="E1" s="825"/>
      <c r="F1" s="141"/>
      <c r="G1" s="141"/>
      <c r="H1" s="141"/>
      <c r="I1" s="141"/>
      <c r="J1" s="141"/>
      <c r="K1" s="141"/>
      <c r="L1" s="141"/>
      <c r="M1" s="141"/>
      <c r="N1" s="141"/>
      <c r="O1" s="141"/>
      <c r="P1" s="141"/>
      <c r="Q1" s="141"/>
      <c r="R1" s="141"/>
      <c r="S1" s="141"/>
      <c r="T1" s="141"/>
    </row>
    <row r="2" spans="1:81" s="558" customFormat="1" ht="26.25" customHeight="1" thickBot="1">
      <c r="A2" s="826" t="str">
        <f>MDCustomer</f>
        <v>OFISA</v>
      </c>
      <c r="B2" s="827"/>
      <c r="C2" s="827"/>
      <c r="D2" s="827"/>
      <c r="E2" s="828"/>
      <c r="F2" s="141"/>
      <c r="H2" s="559" t="s">
        <v>1494</v>
      </c>
      <c r="I2" s="141"/>
      <c r="J2" s="141"/>
      <c r="K2" s="141"/>
      <c r="L2" s="141"/>
      <c r="M2" s="141"/>
      <c r="N2" s="141"/>
      <c r="O2" s="141"/>
      <c r="P2" s="141"/>
      <c r="Q2" s="141"/>
      <c r="R2" s="141"/>
      <c r="S2" s="141"/>
      <c r="T2" s="141"/>
    </row>
    <row r="3" spans="1:81" s="558" customFormat="1" ht="26.25" customHeight="1">
      <c r="A3" s="803"/>
      <c r="B3" s="141"/>
      <c r="C3" s="141"/>
      <c r="D3" s="141"/>
      <c r="E3" s="141"/>
      <c r="F3" s="141"/>
      <c r="H3" s="560" t="s">
        <v>1507</v>
      </c>
      <c r="I3" s="141"/>
      <c r="J3" s="141"/>
      <c r="K3" s="141"/>
      <c r="L3" s="141"/>
      <c r="M3" s="141"/>
      <c r="N3" s="141"/>
      <c r="O3" s="141"/>
      <c r="P3" s="141"/>
      <c r="Q3" s="141"/>
      <c r="R3" s="141"/>
      <c r="S3" s="141"/>
      <c r="T3" s="141"/>
    </row>
    <row r="4" spans="1:81" s="558" customFormat="1" ht="15" customHeight="1">
      <c r="A4" s="141"/>
      <c r="B4" s="141"/>
      <c r="C4" s="141"/>
      <c r="D4" s="141"/>
      <c r="E4" s="141"/>
      <c r="F4" s="141"/>
      <c r="G4" s="141"/>
      <c r="H4" s="141"/>
      <c r="I4" s="141"/>
      <c r="J4" s="141"/>
      <c r="K4" s="141"/>
      <c r="L4" s="141"/>
      <c r="M4" s="141"/>
      <c r="N4" s="141"/>
      <c r="O4" s="141"/>
      <c r="P4" s="141"/>
      <c r="Q4" s="141"/>
      <c r="R4" s="141"/>
      <c r="S4" s="141"/>
      <c r="T4" s="141"/>
    </row>
    <row r="5" spans="1:81">
      <c r="A5" s="561"/>
      <c r="B5" s="562" t="s">
        <v>1089</v>
      </c>
      <c r="C5" s="563"/>
      <c r="D5" s="564"/>
      <c r="E5" s="565"/>
      <c r="F5" s="1201" t="s">
        <v>1090</v>
      </c>
      <c r="G5" s="1202"/>
      <c r="H5" s="1202"/>
      <c r="I5" s="1202"/>
      <c r="J5" s="1202"/>
      <c r="K5" s="1202"/>
      <c r="L5" s="1202"/>
      <c r="M5" s="1202"/>
      <c r="N5" s="1202"/>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2"/>
      <c r="AM5" s="1202"/>
      <c r="AN5" s="1202"/>
      <c r="AO5" s="1202"/>
      <c r="AP5" s="1202"/>
      <c r="AQ5" s="1202"/>
      <c r="AR5" s="1202"/>
      <c r="AS5" s="1202"/>
      <c r="AT5" s="1202"/>
      <c r="AU5" s="1202"/>
      <c r="AV5" s="1202"/>
      <c r="AW5" s="1202"/>
      <c r="AX5" s="1202"/>
      <c r="AY5" s="1202"/>
      <c r="AZ5" s="1202"/>
      <c r="BA5" s="1202"/>
      <c r="BB5" s="1202"/>
      <c r="BC5" s="1202"/>
      <c r="BD5" s="1202"/>
      <c r="BE5" s="1202"/>
      <c r="BF5" s="1202"/>
      <c r="BG5" s="1202"/>
      <c r="BH5" s="1202"/>
      <c r="BI5" s="1202"/>
      <c r="BJ5" s="1202"/>
      <c r="BK5" s="1202"/>
      <c r="BL5" s="1202"/>
      <c r="BM5" s="1202"/>
      <c r="BN5" s="1202"/>
      <c r="BO5" s="1202"/>
      <c r="BP5" s="1202"/>
      <c r="BQ5" s="1202"/>
      <c r="BR5" s="1202"/>
      <c r="BS5" s="1202"/>
      <c r="BT5" s="1202"/>
      <c r="BU5" s="1202"/>
      <c r="BV5" s="1202"/>
      <c r="BW5" s="1202"/>
      <c r="BX5" s="1202"/>
      <c r="BY5" s="1202"/>
      <c r="BZ5" s="1202"/>
      <c r="CA5" s="1202"/>
      <c r="CB5" s="1202"/>
      <c r="CC5" s="1203"/>
    </row>
    <row r="6" spans="1:81">
      <c r="A6" s="561"/>
      <c r="B6" s="1204" t="s">
        <v>1091</v>
      </c>
      <c r="C6" s="566" t="s">
        <v>1092</v>
      </c>
      <c r="D6" s="564"/>
      <c r="E6" s="565"/>
      <c r="F6" s="1199" t="str">
        <f>IF(F49&lt;&gt;"",MONTH(F49)&amp;" / "&amp;YEAR(F49),"")</f>
        <v>5 / 2014</v>
      </c>
      <c r="G6" s="1200"/>
      <c r="H6" s="1199" t="str">
        <f t="shared" ref="H6" si="0">IF(H49&lt;&gt;"",MONTH(H49)&amp;" / "&amp;YEAR(H49),"")</f>
        <v>6 / 2014</v>
      </c>
      <c r="I6" s="1200"/>
      <c r="J6" s="1199" t="str">
        <f t="shared" ref="J6" si="1">IF(J49&lt;&gt;"",MONTH(J49)&amp;" / "&amp;YEAR(J49),"")</f>
        <v>7 / 2014</v>
      </c>
      <c r="K6" s="1200"/>
      <c r="L6" s="1199" t="str">
        <f t="shared" ref="L6" si="2">IF(L49&lt;&gt;"",MONTH(L49)&amp;" / "&amp;YEAR(L49),"")</f>
        <v>8 / 2014</v>
      </c>
      <c r="M6" s="1200"/>
      <c r="N6" s="1199" t="str">
        <f t="shared" ref="N6" si="3">IF(N49&lt;&gt;"",MONTH(N49)&amp;" / "&amp;YEAR(N49),"")</f>
        <v>9 / 2014</v>
      </c>
      <c r="O6" s="1200"/>
      <c r="P6" s="1199" t="str">
        <f t="shared" ref="P6" si="4">IF(P49&lt;&gt;"",MONTH(P49)&amp;" / "&amp;YEAR(P49),"")</f>
        <v/>
      </c>
      <c r="Q6" s="1200"/>
      <c r="R6" s="1199" t="str">
        <f t="shared" ref="R6" si="5">IF(R49&lt;&gt;"",MONTH(R49)&amp;" / "&amp;YEAR(R49),"")</f>
        <v/>
      </c>
      <c r="S6" s="1200"/>
      <c r="T6" s="1199" t="str">
        <f t="shared" ref="T6" si="6">IF(T49&lt;&gt;"",MONTH(T49)&amp;" / "&amp;YEAR(T49),"")</f>
        <v/>
      </c>
      <c r="U6" s="1200"/>
      <c r="V6" s="1199" t="str">
        <f t="shared" ref="V6" si="7">IF(V49&lt;&gt;"",MONTH(V49)&amp;" / "&amp;YEAR(V49),"")</f>
        <v/>
      </c>
      <c r="W6" s="1200"/>
      <c r="X6" s="1199" t="str">
        <f t="shared" ref="X6" si="8">IF(X49&lt;&gt;"",MONTH(X49)&amp;" / "&amp;YEAR(X49),"")</f>
        <v/>
      </c>
      <c r="Y6" s="1200"/>
      <c r="Z6" s="1199" t="str">
        <f t="shared" ref="Z6" si="9">IF(Z49&lt;&gt;"",MONTH(Z49)&amp;" / "&amp;YEAR(Z49),"")</f>
        <v/>
      </c>
      <c r="AA6" s="1200"/>
      <c r="AB6" s="1199" t="str">
        <f t="shared" ref="AB6" si="10">IF(AB49&lt;&gt;"",MONTH(AB49)&amp;" / "&amp;YEAR(AB49),"")</f>
        <v/>
      </c>
      <c r="AC6" s="1200"/>
      <c r="AD6" s="1199" t="str">
        <f t="shared" ref="AD6" si="11">IF(AD49&lt;&gt;"",MONTH(AD49)&amp;" / "&amp;YEAR(AD49),"")</f>
        <v/>
      </c>
      <c r="AE6" s="1200"/>
      <c r="AF6" s="1199" t="str">
        <f t="shared" ref="AF6" si="12">IF(AF49&lt;&gt;"",MONTH(AF49)&amp;" / "&amp;YEAR(AF49),"")</f>
        <v/>
      </c>
      <c r="AG6" s="1200"/>
      <c r="AH6" s="1199" t="str">
        <f t="shared" ref="AH6" si="13">IF(AH49&lt;&gt;"",MONTH(AH49)&amp;" / "&amp;YEAR(AH49),"")</f>
        <v/>
      </c>
      <c r="AI6" s="1200"/>
      <c r="AJ6" s="1199" t="str">
        <f t="shared" ref="AJ6" si="14">IF(AJ49&lt;&gt;"",MONTH(AJ49)&amp;" / "&amp;YEAR(AJ49),"")</f>
        <v/>
      </c>
      <c r="AK6" s="1200"/>
      <c r="AL6" s="1199" t="str">
        <f t="shared" ref="AL6" si="15">IF(AL49&lt;&gt;"",MONTH(AL49)&amp;" / "&amp;YEAR(AL49),"")</f>
        <v/>
      </c>
      <c r="AM6" s="1200"/>
      <c r="AN6" s="1199" t="str">
        <f t="shared" ref="AN6" si="16">IF(AN49&lt;&gt;"",MONTH(AN49)&amp;" / "&amp;YEAR(AN49),"")</f>
        <v/>
      </c>
      <c r="AO6" s="1200"/>
      <c r="AP6" s="1199" t="str">
        <f t="shared" ref="AP6" si="17">IF(AP49&lt;&gt;"",MONTH(AP49)&amp;" / "&amp;YEAR(AP49),"")</f>
        <v/>
      </c>
      <c r="AQ6" s="1200"/>
      <c r="AR6" s="1199" t="str">
        <f t="shared" ref="AR6" si="18">IF(AR49&lt;&gt;"",MONTH(AR49)&amp;" / "&amp;YEAR(AR49),"")</f>
        <v/>
      </c>
      <c r="AS6" s="1200"/>
      <c r="AT6" s="1199" t="str">
        <f t="shared" ref="AT6" si="19">IF(AT49&lt;&gt;"",MONTH(AT49)&amp;" / "&amp;YEAR(AT49),"")</f>
        <v/>
      </c>
      <c r="AU6" s="1200"/>
      <c r="AV6" s="1199" t="str">
        <f t="shared" ref="AV6" si="20">IF(AV49&lt;&gt;"",MONTH(AV49)&amp;" / "&amp;YEAR(AV49),"")</f>
        <v/>
      </c>
      <c r="AW6" s="1200"/>
      <c r="AX6" s="1199" t="str">
        <f t="shared" ref="AX6" si="21">IF(AX49&lt;&gt;"",MONTH(AX49)&amp;" / "&amp;YEAR(AX49),"")</f>
        <v/>
      </c>
      <c r="AY6" s="1200"/>
      <c r="AZ6" s="1199" t="str">
        <f t="shared" ref="AZ6" si="22">IF(AZ49&lt;&gt;"",MONTH(AZ49)&amp;" / "&amp;YEAR(AZ49),"")</f>
        <v/>
      </c>
      <c r="BA6" s="1200"/>
      <c r="BB6" s="1199" t="str">
        <f t="shared" ref="BB6" si="23">IF(BB49&lt;&gt;"",MONTH(BB49)&amp;" / "&amp;YEAR(BB49),"")</f>
        <v/>
      </c>
      <c r="BC6" s="1200"/>
      <c r="BD6" s="1199" t="str">
        <f t="shared" ref="BD6" si="24">IF(BD49&lt;&gt;"",MONTH(BD49)&amp;" / "&amp;YEAR(BD49),"")</f>
        <v/>
      </c>
      <c r="BE6" s="1200"/>
      <c r="BF6" s="1199" t="str">
        <f t="shared" ref="BF6" si="25">IF(BF49&lt;&gt;"",MONTH(BF49)&amp;" / "&amp;YEAR(BF49),"")</f>
        <v/>
      </c>
      <c r="BG6" s="1200"/>
      <c r="BH6" s="1199" t="str">
        <f t="shared" ref="BH6" si="26">IF(BH49&lt;&gt;"",MONTH(BH49)&amp;" / "&amp;YEAR(BH49),"")</f>
        <v/>
      </c>
      <c r="BI6" s="1200"/>
      <c r="BJ6" s="1199" t="str">
        <f t="shared" ref="BJ6" si="27">IF(BJ49&lt;&gt;"",MONTH(BJ49)&amp;" / "&amp;YEAR(BJ49),"")</f>
        <v/>
      </c>
      <c r="BK6" s="1200"/>
      <c r="BL6" s="1199" t="str">
        <f t="shared" ref="BL6" si="28">IF(BL49&lt;&gt;"",MONTH(BL49)&amp;" / "&amp;YEAR(BL49),"")</f>
        <v/>
      </c>
      <c r="BM6" s="1200"/>
      <c r="BN6" s="1199" t="str">
        <f t="shared" ref="BN6" si="29">IF(BN49&lt;&gt;"",MONTH(BN49)&amp;" / "&amp;YEAR(BN49),"")</f>
        <v/>
      </c>
      <c r="BO6" s="1200"/>
      <c r="BP6" s="1199" t="str">
        <f t="shared" ref="BP6" si="30">IF(BP49&lt;&gt;"",MONTH(BP49)&amp;" / "&amp;YEAR(BP49),"")</f>
        <v/>
      </c>
      <c r="BQ6" s="1200"/>
      <c r="BR6" s="1199" t="str">
        <f t="shared" ref="BR6" si="31">IF(BR49&lt;&gt;"",MONTH(BR49)&amp;" / "&amp;YEAR(BR49),"")</f>
        <v/>
      </c>
      <c r="BS6" s="1200"/>
      <c r="BT6" s="1199" t="str">
        <f t="shared" ref="BT6" si="32">IF(BT49&lt;&gt;"",MONTH(BT49)&amp;" / "&amp;YEAR(BT49),"")</f>
        <v/>
      </c>
      <c r="BU6" s="1200"/>
      <c r="BV6" s="1199" t="str">
        <f t="shared" ref="BV6" si="33">IF(BV49&lt;&gt;"",MONTH(BV49)&amp;" / "&amp;YEAR(BV49),"")</f>
        <v/>
      </c>
      <c r="BW6" s="1200"/>
      <c r="BX6" s="1199" t="str">
        <f t="shared" ref="BX6" si="34">IF(BX49&lt;&gt;"",MONTH(BX49)&amp;" / "&amp;YEAR(BX49),"")</f>
        <v/>
      </c>
      <c r="BY6" s="1200"/>
      <c r="BZ6" s="1199" t="str">
        <f t="shared" ref="BZ6" si="35">IF(BZ49&lt;&gt;"",MONTH(BZ49)&amp;" / "&amp;YEAR(BZ49),"")</f>
        <v/>
      </c>
      <c r="CA6" s="1200"/>
      <c r="CB6" s="1199" t="str">
        <f t="shared" ref="CB6" si="36">IF(CB49&lt;&gt;"",MONTH(CB49)&amp;" / "&amp;YEAR(CB49),"")</f>
        <v/>
      </c>
      <c r="CC6" s="1200"/>
    </row>
    <row r="7" spans="1:81">
      <c r="A7" s="561"/>
      <c r="B7" s="1205"/>
      <c r="C7" s="567" t="s">
        <v>1026</v>
      </c>
      <c r="D7" s="568"/>
      <c r="E7" s="569"/>
      <c r="F7" s="570" t="s">
        <v>1093</v>
      </c>
      <c r="G7" s="571" t="s">
        <v>1094</v>
      </c>
      <c r="H7" s="570" t="s">
        <v>1093</v>
      </c>
      <c r="I7" s="571" t="s">
        <v>1094</v>
      </c>
      <c r="J7" s="570" t="s">
        <v>1093</v>
      </c>
      <c r="K7" s="571" t="s">
        <v>1094</v>
      </c>
      <c r="L7" s="570" t="s">
        <v>1093</v>
      </c>
      <c r="M7" s="571" t="s">
        <v>1094</v>
      </c>
      <c r="N7" s="570" t="s">
        <v>1093</v>
      </c>
      <c r="O7" s="571" t="s">
        <v>1094</v>
      </c>
      <c r="P7" s="570" t="s">
        <v>1093</v>
      </c>
      <c r="Q7" s="571" t="s">
        <v>1094</v>
      </c>
      <c r="R7" s="570" t="s">
        <v>1093</v>
      </c>
      <c r="S7" s="571" t="s">
        <v>1094</v>
      </c>
      <c r="T7" s="570" t="s">
        <v>1093</v>
      </c>
      <c r="U7" s="571" t="s">
        <v>1094</v>
      </c>
      <c r="V7" s="570" t="s">
        <v>1093</v>
      </c>
      <c r="W7" s="571" t="s">
        <v>1094</v>
      </c>
      <c r="X7" s="570" t="s">
        <v>1093</v>
      </c>
      <c r="Y7" s="571" t="s">
        <v>1094</v>
      </c>
      <c r="Z7" s="570" t="s">
        <v>1093</v>
      </c>
      <c r="AA7" s="571" t="s">
        <v>1094</v>
      </c>
      <c r="AB7" s="570" t="s">
        <v>1093</v>
      </c>
      <c r="AC7" s="571" t="s">
        <v>1094</v>
      </c>
      <c r="AD7" s="570" t="s">
        <v>1093</v>
      </c>
      <c r="AE7" s="571" t="s">
        <v>1094</v>
      </c>
      <c r="AF7" s="570" t="s">
        <v>1093</v>
      </c>
      <c r="AG7" s="571" t="s">
        <v>1094</v>
      </c>
      <c r="AH7" s="570" t="s">
        <v>1093</v>
      </c>
      <c r="AI7" s="571" t="s">
        <v>1094</v>
      </c>
      <c r="AJ7" s="570" t="s">
        <v>1093</v>
      </c>
      <c r="AK7" s="571" t="s">
        <v>1094</v>
      </c>
      <c r="AL7" s="570" t="s">
        <v>1093</v>
      </c>
      <c r="AM7" s="571" t="s">
        <v>1094</v>
      </c>
      <c r="AN7" s="570" t="s">
        <v>1093</v>
      </c>
      <c r="AO7" s="571" t="s">
        <v>1094</v>
      </c>
      <c r="AP7" s="570" t="s">
        <v>1093</v>
      </c>
      <c r="AQ7" s="571" t="s">
        <v>1094</v>
      </c>
      <c r="AR7" s="570" t="s">
        <v>1093</v>
      </c>
      <c r="AS7" s="571" t="s">
        <v>1094</v>
      </c>
      <c r="AT7" s="570" t="s">
        <v>1093</v>
      </c>
      <c r="AU7" s="571" t="s">
        <v>1094</v>
      </c>
      <c r="AV7" s="570" t="s">
        <v>1093</v>
      </c>
      <c r="AW7" s="571" t="s">
        <v>1094</v>
      </c>
      <c r="AX7" s="570" t="s">
        <v>1093</v>
      </c>
      <c r="AY7" s="571" t="s">
        <v>1094</v>
      </c>
      <c r="AZ7" s="570" t="s">
        <v>1093</v>
      </c>
      <c r="BA7" s="571" t="s">
        <v>1094</v>
      </c>
      <c r="BB7" s="570" t="s">
        <v>1093</v>
      </c>
      <c r="BC7" s="571" t="s">
        <v>1094</v>
      </c>
      <c r="BD7" s="570" t="s">
        <v>1093</v>
      </c>
      <c r="BE7" s="571" t="s">
        <v>1094</v>
      </c>
      <c r="BF7" s="570" t="s">
        <v>1093</v>
      </c>
      <c r="BG7" s="571" t="s">
        <v>1094</v>
      </c>
      <c r="BH7" s="570" t="s">
        <v>1093</v>
      </c>
      <c r="BI7" s="571" t="s">
        <v>1094</v>
      </c>
      <c r="BJ7" s="570" t="s">
        <v>1093</v>
      </c>
      <c r="BK7" s="571" t="s">
        <v>1094</v>
      </c>
      <c r="BL7" s="570" t="s">
        <v>1093</v>
      </c>
      <c r="BM7" s="571" t="s">
        <v>1094</v>
      </c>
      <c r="BN7" s="570" t="s">
        <v>1093</v>
      </c>
      <c r="BO7" s="571" t="s">
        <v>1094</v>
      </c>
      <c r="BP7" s="570" t="s">
        <v>1093</v>
      </c>
      <c r="BQ7" s="571" t="s">
        <v>1094</v>
      </c>
      <c r="BR7" s="570" t="s">
        <v>1093</v>
      </c>
      <c r="BS7" s="571" t="s">
        <v>1094</v>
      </c>
      <c r="BT7" s="570" t="s">
        <v>1093</v>
      </c>
      <c r="BU7" s="571" t="s">
        <v>1094</v>
      </c>
      <c r="BV7" s="570" t="s">
        <v>1093</v>
      </c>
      <c r="BW7" s="571" t="s">
        <v>1094</v>
      </c>
      <c r="BX7" s="570" t="s">
        <v>1093</v>
      </c>
      <c r="BY7" s="571" t="s">
        <v>1094</v>
      </c>
      <c r="BZ7" s="570" t="s">
        <v>1093</v>
      </c>
      <c r="CA7" s="571" t="s">
        <v>1094</v>
      </c>
      <c r="CB7" s="570" t="s">
        <v>1093</v>
      </c>
      <c r="CC7" s="571" t="s">
        <v>1094</v>
      </c>
    </row>
    <row r="8" spans="1:81">
      <c r="A8" s="572" t="str">
        <f>'Master Data'!A25:B25</f>
        <v>PM</v>
      </c>
      <c r="B8" s="573" t="str">
        <f>IF('Master Data'!B25&lt;&gt;0,'Master Data'!B25,"")</f>
        <v>Project Management</v>
      </c>
      <c r="C8" s="574">
        <f>IF(A8&lt;&gt;0,SUMIF('Effort Estimation'!H:H,A8,'Effort Estimation'!O:O),"")</f>
        <v>7</v>
      </c>
      <c r="D8" s="564"/>
      <c r="E8" s="565"/>
      <c r="F8" s="575"/>
      <c r="G8" s="576"/>
      <c r="H8" s="573" t="str">
        <f>IF($F8&lt;&gt;0,$F8,"")</f>
        <v/>
      </c>
      <c r="I8" s="576"/>
      <c r="J8" s="573" t="str">
        <f>IF($F8&lt;&gt;0,$F8,"")</f>
        <v/>
      </c>
      <c r="K8" s="576"/>
      <c r="L8" s="573" t="str">
        <f>IF($F8&lt;&gt;0,$F8,"")</f>
        <v/>
      </c>
      <c r="M8" s="576"/>
      <c r="N8" s="573" t="str">
        <f>IF($F8&lt;&gt;0,$F8,"")</f>
        <v/>
      </c>
      <c r="O8" s="576"/>
      <c r="P8" s="573" t="str">
        <f>IF($F8&lt;&gt;0,$F8,"")</f>
        <v/>
      </c>
      <c r="Q8" s="576"/>
      <c r="R8" s="573" t="str">
        <f>IF($F8&lt;&gt;0,$F8,"")</f>
        <v/>
      </c>
      <c r="S8" s="576"/>
      <c r="T8" s="573" t="str">
        <f>IF($F8&lt;&gt;0,$F8,"")</f>
        <v/>
      </c>
      <c r="U8" s="576"/>
      <c r="V8" s="573" t="str">
        <f>IF($F8&lt;&gt;0,$F8,"")</f>
        <v/>
      </c>
      <c r="W8" s="576"/>
      <c r="X8" s="573" t="str">
        <f>IF($F8&lt;&gt;0,$F8,"")</f>
        <v/>
      </c>
      <c r="Y8" s="576"/>
      <c r="Z8" s="573" t="str">
        <f>IF($F8&lt;&gt;0,$F8,"")</f>
        <v/>
      </c>
      <c r="AA8" s="576"/>
      <c r="AB8" s="573" t="str">
        <f>IF($F8&lt;&gt;0,$F8,"")</f>
        <v/>
      </c>
      <c r="AC8" s="576"/>
      <c r="AD8" s="573" t="str">
        <f>IF($F8&lt;&gt;0,$F8,"")</f>
        <v/>
      </c>
      <c r="AE8" s="576"/>
      <c r="AF8" s="573" t="str">
        <f>IF($F8&lt;&gt;0,$F8,"")</f>
        <v/>
      </c>
      <c r="AG8" s="576"/>
      <c r="AH8" s="573" t="str">
        <f>IF($F8&lt;&gt;0,$F8,"")</f>
        <v/>
      </c>
      <c r="AI8" s="576"/>
      <c r="AJ8" s="573" t="str">
        <f>IF($F8&lt;&gt;0,$F8,"")</f>
        <v/>
      </c>
      <c r="AK8" s="576"/>
      <c r="AL8" s="573" t="str">
        <f>IF($F8&lt;&gt;0,$F8,"")</f>
        <v/>
      </c>
      <c r="AM8" s="576"/>
      <c r="AN8" s="573" t="str">
        <f>IF($F8&lt;&gt;0,$F8,"")</f>
        <v/>
      </c>
      <c r="AO8" s="576"/>
      <c r="AP8" s="573" t="str">
        <f>IF($F8&lt;&gt;0,$F8,"")</f>
        <v/>
      </c>
      <c r="AQ8" s="576"/>
      <c r="AR8" s="573" t="str">
        <f>IF($F8&lt;&gt;0,$F8,"")</f>
        <v/>
      </c>
      <c r="AS8" s="576"/>
      <c r="AT8" s="573" t="str">
        <f>IF($F8&lt;&gt;0,$F8,"")</f>
        <v/>
      </c>
      <c r="AU8" s="576"/>
      <c r="AV8" s="573" t="str">
        <f>IF($F8&lt;&gt;0,$F8,"")</f>
        <v/>
      </c>
      <c r="AW8" s="576"/>
      <c r="AX8" s="573" t="str">
        <f>IF($F8&lt;&gt;0,$F8,"")</f>
        <v/>
      </c>
      <c r="AY8" s="576"/>
      <c r="AZ8" s="573" t="str">
        <f>IF($F8&lt;&gt;0,$F8,"")</f>
        <v/>
      </c>
      <c r="BA8" s="576"/>
      <c r="BB8" s="573" t="str">
        <f>IF($F8&lt;&gt;0,$F8,"")</f>
        <v/>
      </c>
      <c r="BC8" s="576"/>
      <c r="BD8" s="573" t="str">
        <f>IF($F8&lt;&gt;0,$F8,"")</f>
        <v/>
      </c>
      <c r="BE8" s="576"/>
      <c r="BF8" s="573" t="str">
        <f>IF($F8&lt;&gt;0,$F8,"")</f>
        <v/>
      </c>
      <c r="BG8" s="576"/>
      <c r="BH8" s="573" t="str">
        <f>IF($F8&lt;&gt;0,$F8,"")</f>
        <v/>
      </c>
      <c r="BI8" s="576"/>
      <c r="BJ8" s="573" t="str">
        <f>IF($F8&lt;&gt;0,$F8,"")</f>
        <v/>
      </c>
      <c r="BK8" s="576"/>
      <c r="BL8" s="573" t="str">
        <f>IF($F8&lt;&gt;0,$F8,"")</f>
        <v/>
      </c>
      <c r="BM8" s="576"/>
      <c r="BN8" s="573" t="str">
        <f>IF($F8&lt;&gt;0,$F8,"")</f>
        <v/>
      </c>
      <c r="BO8" s="576"/>
      <c r="BP8" s="573" t="str">
        <f>IF($F8&lt;&gt;0,$F8,"")</f>
        <v/>
      </c>
      <c r="BQ8" s="576"/>
      <c r="BR8" s="573" t="str">
        <f>IF($F8&lt;&gt;0,$F8,"")</f>
        <v/>
      </c>
      <c r="BS8" s="576"/>
      <c r="BT8" s="573" t="str">
        <f>IF($F8&lt;&gt;0,$F8,"")</f>
        <v/>
      </c>
      <c r="BU8" s="576"/>
      <c r="BV8" s="573" t="str">
        <f>IF($F8&lt;&gt;0,$F8,"")</f>
        <v/>
      </c>
      <c r="BW8" s="576"/>
      <c r="BX8" s="573" t="str">
        <f>IF($F8&lt;&gt;0,$F8,"")</f>
        <v/>
      </c>
      <c r="BY8" s="576"/>
      <c r="BZ8" s="573" t="str">
        <f>IF($F8&lt;&gt;0,$F8,"")</f>
        <v/>
      </c>
      <c r="CA8" s="576"/>
      <c r="CB8" s="573" t="str">
        <f>IF($F8&lt;&gt;0,$F8,"")</f>
        <v/>
      </c>
      <c r="CC8" s="576"/>
    </row>
    <row r="9" spans="1:81">
      <c r="A9" s="572" t="str">
        <f>'Master Data'!A26:B26</f>
        <v>ARCH</v>
      </c>
      <c r="B9" s="573" t="str">
        <f>IF('Master Data'!B26&lt;&gt;0,'Master Data'!B26,"")</f>
        <v>Architecture</v>
      </c>
      <c r="C9" s="574">
        <f>IF(A9&lt;&gt;0,SUMIF('Effort Estimation'!H:H,A9,'Effort Estimation'!O:O),"")</f>
        <v>31</v>
      </c>
      <c r="D9" s="564"/>
      <c r="E9" s="565"/>
      <c r="F9" s="575"/>
      <c r="G9" s="576"/>
      <c r="H9" s="573" t="str">
        <f t="shared" ref="H9:AJ25" si="37">IF($F9&lt;&gt;0,$F9,"")</f>
        <v/>
      </c>
      <c r="I9" s="576"/>
      <c r="J9" s="573" t="str">
        <f t="shared" si="37"/>
        <v/>
      </c>
      <c r="K9" s="576"/>
      <c r="L9" s="573" t="str">
        <f t="shared" si="37"/>
        <v/>
      </c>
      <c r="M9" s="576"/>
      <c r="N9" s="573" t="str">
        <f t="shared" si="37"/>
        <v/>
      </c>
      <c r="O9" s="576"/>
      <c r="P9" s="573" t="str">
        <f t="shared" si="37"/>
        <v/>
      </c>
      <c r="Q9" s="576"/>
      <c r="R9" s="573" t="str">
        <f t="shared" si="37"/>
        <v/>
      </c>
      <c r="S9" s="576"/>
      <c r="T9" s="573" t="str">
        <f t="shared" si="37"/>
        <v/>
      </c>
      <c r="U9" s="576"/>
      <c r="V9" s="573" t="str">
        <f t="shared" si="37"/>
        <v/>
      </c>
      <c r="W9" s="576"/>
      <c r="X9" s="573" t="str">
        <f t="shared" si="37"/>
        <v/>
      </c>
      <c r="Y9" s="576"/>
      <c r="Z9" s="573" t="str">
        <f t="shared" si="37"/>
        <v/>
      </c>
      <c r="AA9" s="576"/>
      <c r="AB9" s="573" t="str">
        <f t="shared" si="37"/>
        <v/>
      </c>
      <c r="AC9" s="576"/>
      <c r="AD9" s="573" t="str">
        <f t="shared" si="37"/>
        <v/>
      </c>
      <c r="AE9" s="576"/>
      <c r="AF9" s="573" t="str">
        <f t="shared" si="37"/>
        <v/>
      </c>
      <c r="AG9" s="576"/>
      <c r="AH9" s="573" t="str">
        <f t="shared" si="37"/>
        <v/>
      </c>
      <c r="AI9" s="576"/>
      <c r="AJ9" s="573" t="str">
        <f t="shared" si="37"/>
        <v/>
      </c>
      <c r="AK9" s="576"/>
      <c r="AL9" s="573" t="str">
        <f t="shared" ref="AL9:AL25" si="38">IF($F9&lt;&gt;0,$F9,"")</f>
        <v/>
      </c>
      <c r="AM9" s="576"/>
      <c r="AN9" s="573" t="str">
        <f t="shared" ref="AN9:AN25" si="39">IF($F9&lt;&gt;0,$F9,"")</f>
        <v/>
      </c>
      <c r="AO9" s="576"/>
      <c r="AP9" s="573" t="str">
        <f t="shared" ref="AP9:AP25" si="40">IF($F9&lt;&gt;0,$F9,"")</f>
        <v/>
      </c>
      <c r="AQ9" s="576"/>
      <c r="AR9" s="573" t="str">
        <f t="shared" ref="AR9:AR25" si="41">IF($F9&lt;&gt;0,$F9,"")</f>
        <v/>
      </c>
      <c r="AS9" s="576"/>
      <c r="AT9" s="573" t="str">
        <f t="shared" ref="AT9:AT25" si="42">IF($F9&lt;&gt;0,$F9,"")</f>
        <v/>
      </c>
      <c r="AU9" s="576"/>
      <c r="AV9" s="573" t="str">
        <f t="shared" ref="AV9:AV25" si="43">IF($F9&lt;&gt;0,$F9,"")</f>
        <v/>
      </c>
      <c r="AW9" s="576"/>
      <c r="AX9" s="573" t="str">
        <f t="shared" ref="AX9:AX25" si="44">IF($F9&lt;&gt;0,$F9,"")</f>
        <v/>
      </c>
      <c r="AY9" s="576"/>
      <c r="AZ9" s="573" t="str">
        <f t="shared" ref="AZ9:AZ25" si="45">IF($F9&lt;&gt;0,$F9,"")</f>
        <v/>
      </c>
      <c r="BA9" s="576"/>
      <c r="BB9" s="573" t="str">
        <f t="shared" ref="BB9:BB25" si="46">IF($F9&lt;&gt;0,$F9,"")</f>
        <v/>
      </c>
      <c r="BC9" s="576"/>
      <c r="BD9" s="573" t="str">
        <f t="shared" ref="BD9:BD25" si="47">IF($F9&lt;&gt;0,$F9,"")</f>
        <v/>
      </c>
      <c r="BE9" s="576"/>
      <c r="BF9" s="573" t="str">
        <f t="shared" ref="BF9:BF25" si="48">IF($F9&lt;&gt;0,$F9,"")</f>
        <v/>
      </c>
      <c r="BG9" s="576"/>
      <c r="BH9" s="573" t="str">
        <f t="shared" ref="BH9:BH25" si="49">IF($F9&lt;&gt;0,$F9,"")</f>
        <v/>
      </c>
      <c r="BI9" s="576"/>
      <c r="BJ9" s="573" t="str">
        <f t="shared" ref="BJ9:BJ25" si="50">IF($F9&lt;&gt;0,$F9,"")</f>
        <v/>
      </c>
      <c r="BK9" s="576"/>
      <c r="BL9" s="573" t="str">
        <f t="shared" ref="BL9:BL25" si="51">IF($F9&lt;&gt;0,$F9,"")</f>
        <v/>
      </c>
      <c r="BM9" s="576"/>
      <c r="BN9" s="573" t="str">
        <f t="shared" ref="BN9:BN25" si="52">IF($F9&lt;&gt;0,$F9,"")</f>
        <v/>
      </c>
      <c r="BO9" s="576"/>
      <c r="BP9" s="573" t="str">
        <f t="shared" ref="BP9:BP25" si="53">IF($F9&lt;&gt;0,$F9,"")</f>
        <v/>
      </c>
      <c r="BQ9" s="576"/>
      <c r="BR9" s="573" t="str">
        <f t="shared" ref="BR9:BR25" si="54">IF($F9&lt;&gt;0,$F9,"")</f>
        <v/>
      </c>
      <c r="BS9" s="576"/>
      <c r="BT9" s="573" t="str">
        <f t="shared" ref="BT9:BT25" si="55">IF($F9&lt;&gt;0,$F9,"")</f>
        <v/>
      </c>
      <c r="BU9" s="576"/>
      <c r="BV9" s="573" t="str">
        <f t="shared" ref="BV9:BV25" si="56">IF($F9&lt;&gt;0,$F9,"")</f>
        <v/>
      </c>
      <c r="BW9" s="576"/>
      <c r="BX9" s="573" t="str">
        <f t="shared" ref="BX9:BX25" si="57">IF($F9&lt;&gt;0,$F9,"")</f>
        <v/>
      </c>
      <c r="BY9" s="576"/>
      <c r="BZ9" s="573" t="str">
        <f t="shared" ref="BZ9:BZ25" si="58">IF($F9&lt;&gt;0,$F9,"")</f>
        <v/>
      </c>
      <c r="CA9" s="576"/>
      <c r="CB9" s="573" t="str">
        <f t="shared" ref="CB9:CB25" si="59">IF($F9&lt;&gt;0,$F9,"")</f>
        <v/>
      </c>
      <c r="CC9" s="576"/>
    </row>
    <row r="10" spans="1:81">
      <c r="A10" s="572" t="str">
        <f>'Master Data'!A27:B27</f>
        <v>DEV</v>
      </c>
      <c r="B10" s="573" t="str">
        <f>IF('Master Data'!B27&lt;&gt;0,'Master Data'!B27,"")</f>
        <v>Development</v>
      </c>
      <c r="C10" s="574">
        <f>IF(A10&lt;&gt;0,SUMIF('Effort Estimation'!H:H,A10,'Effort Estimation'!O:O),"")</f>
        <v>25</v>
      </c>
      <c r="D10" s="564"/>
      <c r="E10" s="565"/>
      <c r="F10" s="575"/>
      <c r="G10" s="576"/>
      <c r="H10" s="573" t="str">
        <f t="shared" si="37"/>
        <v/>
      </c>
      <c r="I10" s="576"/>
      <c r="J10" s="573" t="str">
        <f t="shared" si="37"/>
        <v/>
      </c>
      <c r="K10" s="576"/>
      <c r="L10" s="573" t="str">
        <f t="shared" si="37"/>
        <v/>
      </c>
      <c r="M10" s="576"/>
      <c r="N10" s="573" t="str">
        <f t="shared" si="37"/>
        <v/>
      </c>
      <c r="O10" s="576"/>
      <c r="P10" s="573" t="str">
        <f t="shared" si="37"/>
        <v/>
      </c>
      <c r="Q10" s="576"/>
      <c r="R10" s="573" t="str">
        <f t="shared" si="37"/>
        <v/>
      </c>
      <c r="S10" s="576"/>
      <c r="T10" s="573" t="str">
        <f t="shared" si="37"/>
        <v/>
      </c>
      <c r="U10" s="576"/>
      <c r="V10" s="573" t="str">
        <f t="shared" si="37"/>
        <v/>
      </c>
      <c r="W10" s="576"/>
      <c r="X10" s="573" t="str">
        <f t="shared" si="37"/>
        <v/>
      </c>
      <c r="Y10" s="576"/>
      <c r="Z10" s="573" t="str">
        <f t="shared" si="37"/>
        <v/>
      </c>
      <c r="AA10" s="576"/>
      <c r="AB10" s="573" t="str">
        <f t="shared" si="37"/>
        <v/>
      </c>
      <c r="AC10" s="576"/>
      <c r="AD10" s="573" t="str">
        <f t="shared" si="37"/>
        <v/>
      </c>
      <c r="AE10" s="576"/>
      <c r="AF10" s="573" t="str">
        <f t="shared" si="37"/>
        <v/>
      </c>
      <c r="AG10" s="576"/>
      <c r="AH10" s="573" t="str">
        <f t="shared" si="37"/>
        <v/>
      </c>
      <c r="AI10" s="576"/>
      <c r="AJ10" s="573" t="str">
        <f t="shared" si="37"/>
        <v/>
      </c>
      <c r="AK10" s="576"/>
      <c r="AL10" s="573" t="str">
        <f t="shared" si="38"/>
        <v/>
      </c>
      <c r="AM10" s="576"/>
      <c r="AN10" s="573" t="str">
        <f t="shared" si="39"/>
        <v/>
      </c>
      <c r="AO10" s="576"/>
      <c r="AP10" s="573" t="str">
        <f t="shared" si="40"/>
        <v/>
      </c>
      <c r="AQ10" s="576"/>
      <c r="AR10" s="573" t="str">
        <f t="shared" si="41"/>
        <v/>
      </c>
      <c r="AS10" s="576"/>
      <c r="AT10" s="573" t="str">
        <f t="shared" si="42"/>
        <v/>
      </c>
      <c r="AU10" s="576"/>
      <c r="AV10" s="573" t="str">
        <f t="shared" si="43"/>
        <v/>
      </c>
      <c r="AW10" s="576"/>
      <c r="AX10" s="573" t="str">
        <f t="shared" si="44"/>
        <v/>
      </c>
      <c r="AY10" s="576"/>
      <c r="AZ10" s="573" t="str">
        <f t="shared" si="45"/>
        <v/>
      </c>
      <c r="BA10" s="576"/>
      <c r="BB10" s="573" t="str">
        <f t="shared" si="46"/>
        <v/>
      </c>
      <c r="BC10" s="576"/>
      <c r="BD10" s="573" t="str">
        <f t="shared" si="47"/>
        <v/>
      </c>
      <c r="BE10" s="576"/>
      <c r="BF10" s="573" t="str">
        <f t="shared" si="48"/>
        <v/>
      </c>
      <c r="BG10" s="576"/>
      <c r="BH10" s="573" t="str">
        <f t="shared" si="49"/>
        <v/>
      </c>
      <c r="BI10" s="576"/>
      <c r="BJ10" s="573" t="str">
        <f t="shared" si="50"/>
        <v/>
      </c>
      <c r="BK10" s="576"/>
      <c r="BL10" s="573" t="str">
        <f t="shared" si="51"/>
        <v/>
      </c>
      <c r="BM10" s="576"/>
      <c r="BN10" s="573" t="str">
        <f t="shared" si="52"/>
        <v/>
      </c>
      <c r="BO10" s="576"/>
      <c r="BP10" s="573" t="str">
        <f t="shared" si="53"/>
        <v/>
      </c>
      <c r="BQ10" s="576"/>
      <c r="BR10" s="573" t="str">
        <f t="shared" si="54"/>
        <v/>
      </c>
      <c r="BS10" s="576"/>
      <c r="BT10" s="573" t="str">
        <f t="shared" si="55"/>
        <v/>
      </c>
      <c r="BU10" s="576"/>
      <c r="BV10" s="573" t="str">
        <f t="shared" si="56"/>
        <v/>
      </c>
      <c r="BW10" s="576"/>
      <c r="BX10" s="573" t="str">
        <f t="shared" si="57"/>
        <v/>
      </c>
      <c r="BY10" s="576"/>
      <c r="BZ10" s="573" t="str">
        <f t="shared" si="58"/>
        <v/>
      </c>
      <c r="CA10" s="576"/>
      <c r="CB10" s="573" t="str">
        <f t="shared" si="59"/>
        <v/>
      </c>
      <c r="CC10" s="576"/>
    </row>
    <row r="11" spans="1:81">
      <c r="A11" s="572" t="str">
        <f>'Master Data'!A28:B28</f>
        <v>TST</v>
      </c>
      <c r="B11" s="573" t="str">
        <f>IF('Master Data'!B28&lt;&gt;0,'Master Data'!B28,"")</f>
        <v>Test</v>
      </c>
      <c r="C11" s="574">
        <f>IF(A11&lt;&gt;0,SUMIF('Effort Estimation'!H:H,A11,'Effort Estimation'!O:O),"")</f>
        <v>10</v>
      </c>
      <c r="D11" s="564"/>
      <c r="E11" s="565"/>
      <c r="F11" s="575"/>
      <c r="G11" s="576"/>
      <c r="H11" s="573" t="str">
        <f t="shared" si="37"/>
        <v/>
      </c>
      <c r="I11" s="576"/>
      <c r="J11" s="573" t="str">
        <f t="shared" si="37"/>
        <v/>
      </c>
      <c r="K11" s="576"/>
      <c r="L11" s="573" t="str">
        <f t="shared" si="37"/>
        <v/>
      </c>
      <c r="M11" s="576"/>
      <c r="N11" s="573" t="str">
        <f t="shared" si="37"/>
        <v/>
      </c>
      <c r="O11" s="576"/>
      <c r="P11" s="573" t="str">
        <f t="shared" si="37"/>
        <v/>
      </c>
      <c r="Q11" s="576"/>
      <c r="R11" s="573" t="str">
        <f t="shared" si="37"/>
        <v/>
      </c>
      <c r="S11" s="576"/>
      <c r="T11" s="573" t="str">
        <f t="shared" si="37"/>
        <v/>
      </c>
      <c r="U11" s="576"/>
      <c r="V11" s="573" t="str">
        <f t="shared" si="37"/>
        <v/>
      </c>
      <c r="W11" s="576"/>
      <c r="X11" s="573" t="str">
        <f t="shared" si="37"/>
        <v/>
      </c>
      <c r="Y11" s="576"/>
      <c r="Z11" s="573" t="str">
        <f t="shared" si="37"/>
        <v/>
      </c>
      <c r="AA11" s="576"/>
      <c r="AB11" s="573" t="str">
        <f t="shared" si="37"/>
        <v/>
      </c>
      <c r="AC11" s="576"/>
      <c r="AD11" s="573" t="str">
        <f t="shared" si="37"/>
        <v/>
      </c>
      <c r="AE11" s="576"/>
      <c r="AF11" s="573" t="str">
        <f t="shared" si="37"/>
        <v/>
      </c>
      <c r="AG11" s="576"/>
      <c r="AH11" s="573" t="str">
        <f t="shared" si="37"/>
        <v/>
      </c>
      <c r="AI11" s="576"/>
      <c r="AJ11" s="573" t="str">
        <f t="shared" si="37"/>
        <v/>
      </c>
      <c r="AK11" s="576"/>
      <c r="AL11" s="573" t="str">
        <f t="shared" si="38"/>
        <v/>
      </c>
      <c r="AM11" s="576"/>
      <c r="AN11" s="573" t="str">
        <f t="shared" si="39"/>
        <v/>
      </c>
      <c r="AO11" s="576"/>
      <c r="AP11" s="573" t="str">
        <f t="shared" si="40"/>
        <v/>
      </c>
      <c r="AQ11" s="576"/>
      <c r="AR11" s="573" t="str">
        <f t="shared" si="41"/>
        <v/>
      </c>
      <c r="AS11" s="576"/>
      <c r="AT11" s="573" t="str">
        <f t="shared" si="42"/>
        <v/>
      </c>
      <c r="AU11" s="576"/>
      <c r="AV11" s="573" t="str">
        <f t="shared" si="43"/>
        <v/>
      </c>
      <c r="AW11" s="576"/>
      <c r="AX11" s="573" t="str">
        <f t="shared" si="44"/>
        <v/>
      </c>
      <c r="AY11" s="576"/>
      <c r="AZ11" s="573" t="str">
        <f t="shared" si="45"/>
        <v/>
      </c>
      <c r="BA11" s="576"/>
      <c r="BB11" s="573" t="str">
        <f t="shared" si="46"/>
        <v/>
      </c>
      <c r="BC11" s="576"/>
      <c r="BD11" s="573" t="str">
        <f t="shared" si="47"/>
        <v/>
      </c>
      <c r="BE11" s="576"/>
      <c r="BF11" s="573" t="str">
        <f t="shared" si="48"/>
        <v/>
      </c>
      <c r="BG11" s="576"/>
      <c r="BH11" s="573" t="str">
        <f t="shared" si="49"/>
        <v/>
      </c>
      <c r="BI11" s="576"/>
      <c r="BJ11" s="573" t="str">
        <f t="shared" si="50"/>
        <v/>
      </c>
      <c r="BK11" s="576"/>
      <c r="BL11" s="573" t="str">
        <f t="shared" si="51"/>
        <v/>
      </c>
      <c r="BM11" s="576"/>
      <c r="BN11" s="573" t="str">
        <f t="shared" si="52"/>
        <v/>
      </c>
      <c r="BO11" s="576"/>
      <c r="BP11" s="573" t="str">
        <f t="shared" si="53"/>
        <v/>
      </c>
      <c r="BQ11" s="576"/>
      <c r="BR11" s="573" t="str">
        <f t="shared" si="54"/>
        <v/>
      </c>
      <c r="BS11" s="576"/>
      <c r="BT11" s="573" t="str">
        <f t="shared" si="55"/>
        <v/>
      </c>
      <c r="BU11" s="576"/>
      <c r="BV11" s="573" t="str">
        <f t="shared" si="56"/>
        <v/>
      </c>
      <c r="BW11" s="576"/>
      <c r="BX11" s="573" t="str">
        <f t="shared" si="57"/>
        <v/>
      </c>
      <c r="BY11" s="576"/>
      <c r="BZ11" s="573" t="str">
        <f t="shared" si="58"/>
        <v/>
      </c>
      <c r="CA11" s="576"/>
      <c r="CB11" s="573" t="str">
        <f t="shared" si="59"/>
        <v/>
      </c>
      <c r="CC11" s="576"/>
    </row>
    <row r="12" spans="1:81">
      <c r="A12" s="572">
        <f>'Master Data'!A29:B29</f>
        <v>0</v>
      </c>
      <c r="B12" s="573" t="str">
        <f>IF('Master Data'!B29&lt;&gt;0,'Master Data'!B29,"")</f>
        <v/>
      </c>
      <c r="C12" s="574" t="str">
        <f>IF(A12&lt;&gt;0,SUMIF('Effort Estimation'!H:H,A12,'Effort Estimation'!O:O),"")</f>
        <v/>
      </c>
      <c r="D12" s="564"/>
      <c r="E12" s="565"/>
      <c r="F12" s="575"/>
      <c r="G12" s="577"/>
      <c r="H12" s="573" t="str">
        <f t="shared" si="37"/>
        <v/>
      </c>
      <c r="I12" s="576"/>
      <c r="J12" s="573" t="str">
        <f t="shared" si="37"/>
        <v/>
      </c>
      <c r="K12" s="576"/>
      <c r="L12" s="573" t="str">
        <f t="shared" si="37"/>
        <v/>
      </c>
      <c r="M12" s="576"/>
      <c r="N12" s="573" t="str">
        <f t="shared" si="37"/>
        <v/>
      </c>
      <c r="O12" s="576"/>
      <c r="P12" s="573" t="str">
        <f t="shared" si="37"/>
        <v/>
      </c>
      <c r="Q12" s="576"/>
      <c r="R12" s="573" t="str">
        <f t="shared" si="37"/>
        <v/>
      </c>
      <c r="S12" s="576"/>
      <c r="T12" s="573" t="str">
        <f t="shared" si="37"/>
        <v/>
      </c>
      <c r="U12" s="576"/>
      <c r="V12" s="573" t="str">
        <f t="shared" si="37"/>
        <v/>
      </c>
      <c r="W12" s="576"/>
      <c r="X12" s="573" t="str">
        <f t="shared" si="37"/>
        <v/>
      </c>
      <c r="Y12" s="576"/>
      <c r="Z12" s="573" t="str">
        <f t="shared" si="37"/>
        <v/>
      </c>
      <c r="AA12" s="576"/>
      <c r="AB12" s="573" t="str">
        <f t="shared" si="37"/>
        <v/>
      </c>
      <c r="AC12" s="576"/>
      <c r="AD12" s="573" t="str">
        <f t="shared" si="37"/>
        <v/>
      </c>
      <c r="AE12" s="576"/>
      <c r="AF12" s="573" t="str">
        <f t="shared" si="37"/>
        <v/>
      </c>
      <c r="AG12" s="576"/>
      <c r="AH12" s="573" t="str">
        <f t="shared" si="37"/>
        <v/>
      </c>
      <c r="AI12" s="576"/>
      <c r="AJ12" s="573" t="str">
        <f t="shared" si="37"/>
        <v/>
      </c>
      <c r="AK12" s="576"/>
      <c r="AL12" s="573" t="str">
        <f t="shared" si="38"/>
        <v/>
      </c>
      <c r="AM12" s="576"/>
      <c r="AN12" s="573" t="str">
        <f t="shared" si="39"/>
        <v/>
      </c>
      <c r="AO12" s="576"/>
      <c r="AP12" s="573" t="str">
        <f t="shared" si="40"/>
        <v/>
      </c>
      <c r="AQ12" s="576"/>
      <c r="AR12" s="573" t="str">
        <f t="shared" si="41"/>
        <v/>
      </c>
      <c r="AS12" s="576"/>
      <c r="AT12" s="573" t="str">
        <f t="shared" si="42"/>
        <v/>
      </c>
      <c r="AU12" s="576"/>
      <c r="AV12" s="573" t="str">
        <f t="shared" si="43"/>
        <v/>
      </c>
      <c r="AW12" s="576"/>
      <c r="AX12" s="573" t="str">
        <f t="shared" si="44"/>
        <v/>
      </c>
      <c r="AY12" s="576"/>
      <c r="AZ12" s="573" t="str">
        <f t="shared" si="45"/>
        <v/>
      </c>
      <c r="BA12" s="576"/>
      <c r="BB12" s="573" t="str">
        <f t="shared" si="46"/>
        <v/>
      </c>
      <c r="BC12" s="576"/>
      <c r="BD12" s="573" t="str">
        <f t="shared" si="47"/>
        <v/>
      </c>
      <c r="BE12" s="576"/>
      <c r="BF12" s="573" t="str">
        <f t="shared" si="48"/>
        <v/>
      </c>
      <c r="BG12" s="576"/>
      <c r="BH12" s="573" t="str">
        <f t="shared" si="49"/>
        <v/>
      </c>
      <c r="BI12" s="576"/>
      <c r="BJ12" s="573" t="str">
        <f t="shared" si="50"/>
        <v/>
      </c>
      <c r="BK12" s="576"/>
      <c r="BL12" s="573" t="str">
        <f t="shared" si="51"/>
        <v/>
      </c>
      <c r="BM12" s="576"/>
      <c r="BN12" s="573" t="str">
        <f t="shared" si="52"/>
        <v/>
      </c>
      <c r="BO12" s="576"/>
      <c r="BP12" s="573" t="str">
        <f t="shared" si="53"/>
        <v/>
      </c>
      <c r="BQ12" s="576"/>
      <c r="BR12" s="573" t="str">
        <f t="shared" si="54"/>
        <v/>
      </c>
      <c r="BS12" s="576"/>
      <c r="BT12" s="573" t="str">
        <f t="shared" si="55"/>
        <v/>
      </c>
      <c r="BU12" s="576"/>
      <c r="BV12" s="573" t="str">
        <f t="shared" si="56"/>
        <v/>
      </c>
      <c r="BW12" s="576"/>
      <c r="BX12" s="573" t="str">
        <f t="shared" si="57"/>
        <v/>
      </c>
      <c r="BY12" s="576"/>
      <c r="BZ12" s="573" t="str">
        <f t="shared" si="58"/>
        <v/>
      </c>
      <c r="CA12" s="576"/>
      <c r="CB12" s="573" t="str">
        <f t="shared" si="59"/>
        <v/>
      </c>
      <c r="CC12" s="576"/>
    </row>
    <row r="13" spans="1:81">
      <c r="A13" s="572">
        <f>'Master Data'!A30:B30</f>
        <v>0</v>
      </c>
      <c r="B13" s="573" t="str">
        <f>IF('Master Data'!B30&lt;&gt;0,'Master Data'!B30,"")</f>
        <v/>
      </c>
      <c r="C13" s="574" t="str">
        <f>IF(A13&lt;&gt;0,SUMIF('Effort Estimation'!H:H,A13,'Effort Estimation'!O:O),"")</f>
        <v/>
      </c>
      <c r="D13" s="564"/>
      <c r="E13" s="565"/>
      <c r="F13" s="575"/>
      <c r="G13" s="576"/>
      <c r="H13" s="573" t="str">
        <f t="shared" si="37"/>
        <v/>
      </c>
      <c r="I13" s="576"/>
      <c r="J13" s="573" t="str">
        <f t="shared" si="37"/>
        <v/>
      </c>
      <c r="K13" s="576"/>
      <c r="L13" s="573" t="str">
        <f t="shared" si="37"/>
        <v/>
      </c>
      <c r="M13" s="576"/>
      <c r="N13" s="573" t="str">
        <f t="shared" si="37"/>
        <v/>
      </c>
      <c r="O13" s="576"/>
      <c r="P13" s="573" t="str">
        <f t="shared" si="37"/>
        <v/>
      </c>
      <c r="Q13" s="576"/>
      <c r="R13" s="573" t="str">
        <f t="shared" si="37"/>
        <v/>
      </c>
      <c r="S13" s="576"/>
      <c r="T13" s="573" t="str">
        <f t="shared" si="37"/>
        <v/>
      </c>
      <c r="U13" s="576"/>
      <c r="V13" s="573" t="str">
        <f t="shared" si="37"/>
        <v/>
      </c>
      <c r="W13" s="576"/>
      <c r="X13" s="573" t="str">
        <f t="shared" si="37"/>
        <v/>
      </c>
      <c r="Y13" s="576"/>
      <c r="Z13" s="573" t="str">
        <f t="shared" si="37"/>
        <v/>
      </c>
      <c r="AA13" s="576"/>
      <c r="AB13" s="573" t="str">
        <f t="shared" si="37"/>
        <v/>
      </c>
      <c r="AC13" s="576"/>
      <c r="AD13" s="573" t="str">
        <f t="shared" si="37"/>
        <v/>
      </c>
      <c r="AE13" s="576"/>
      <c r="AF13" s="573" t="str">
        <f t="shared" si="37"/>
        <v/>
      </c>
      <c r="AG13" s="576"/>
      <c r="AH13" s="573" t="str">
        <f t="shared" si="37"/>
        <v/>
      </c>
      <c r="AI13" s="576"/>
      <c r="AJ13" s="573" t="str">
        <f t="shared" si="37"/>
        <v/>
      </c>
      <c r="AK13" s="576"/>
      <c r="AL13" s="573" t="str">
        <f t="shared" si="38"/>
        <v/>
      </c>
      <c r="AM13" s="576"/>
      <c r="AN13" s="573" t="str">
        <f t="shared" si="39"/>
        <v/>
      </c>
      <c r="AO13" s="576"/>
      <c r="AP13" s="573" t="str">
        <f t="shared" si="40"/>
        <v/>
      </c>
      <c r="AQ13" s="576"/>
      <c r="AR13" s="573" t="str">
        <f t="shared" si="41"/>
        <v/>
      </c>
      <c r="AS13" s="576"/>
      <c r="AT13" s="573" t="str">
        <f t="shared" si="42"/>
        <v/>
      </c>
      <c r="AU13" s="576"/>
      <c r="AV13" s="573" t="str">
        <f t="shared" si="43"/>
        <v/>
      </c>
      <c r="AW13" s="576"/>
      <c r="AX13" s="573" t="str">
        <f t="shared" si="44"/>
        <v/>
      </c>
      <c r="AY13" s="576"/>
      <c r="AZ13" s="573" t="str">
        <f t="shared" si="45"/>
        <v/>
      </c>
      <c r="BA13" s="576"/>
      <c r="BB13" s="573" t="str">
        <f t="shared" si="46"/>
        <v/>
      </c>
      <c r="BC13" s="576"/>
      <c r="BD13" s="573" t="str">
        <f t="shared" si="47"/>
        <v/>
      </c>
      <c r="BE13" s="576"/>
      <c r="BF13" s="573" t="str">
        <f t="shared" si="48"/>
        <v/>
      </c>
      <c r="BG13" s="576"/>
      <c r="BH13" s="573" t="str">
        <f t="shared" si="49"/>
        <v/>
      </c>
      <c r="BI13" s="576"/>
      <c r="BJ13" s="573" t="str">
        <f t="shared" si="50"/>
        <v/>
      </c>
      <c r="BK13" s="576"/>
      <c r="BL13" s="573" t="str">
        <f t="shared" si="51"/>
        <v/>
      </c>
      <c r="BM13" s="576"/>
      <c r="BN13" s="573" t="str">
        <f t="shared" si="52"/>
        <v/>
      </c>
      <c r="BO13" s="576"/>
      <c r="BP13" s="573" t="str">
        <f t="shared" si="53"/>
        <v/>
      </c>
      <c r="BQ13" s="576"/>
      <c r="BR13" s="573" t="str">
        <f t="shared" si="54"/>
        <v/>
      </c>
      <c r="BS13" s="576"/>
      <c r="BT13" s="573" t="str">
        <f t="shared" si="55"/>
        <v/>
      </c>
      <c r="BU13" s="576"/>
      <c r="BV13" s="573" t="str">
        <f t="shared" si="56"/>
        <v/>
      </c>
      <c r="BW13" s="576"/>
      <c r="BX13" s="573" t="str">
        <f t="shared" si="57"/>
        <v/>
      </c>
      <c r="BY13" s="576"/>
      <c r="BZ13" s="573" t="str">
        <f t="shared" si="58"/>
        <v/>
      </c>
      <c r="CA13" s="576"/>
      <c r="CB13" s="573" t="str">
        <f t="shared" si="59"/>
        <v/>
      </c>
      <c r="CC13" s="576"/>
    </row>
    <row r="14" spans="1:81">
      <c r="A14" s="572">
        <f>'Master Data'!A31:B31</f>
        <v>0</v>
      </c>
      <c r="B14" s="573" t="str">
        <f>IF('Master Data'!B31&lt;&gt;0,'Master Data'!B31,"")</f>
        <v/>
      </c>
      <c r="C14" s="574" t="str">
        <f>IF(A14&lt;&gt;0,SUMIF('Effort Estimation'!H:H,A14,'Effort Estimation'!O:O),"")</f>
        <v/>
      </c>
      <c r="D14" s="564"/>
      <c r="E14" s="565"/>
      <c r="F14" s="575"/>
      <c r="G14" s="576"/>
      <c r="H14" s="573" t="str">
        <f t="shared" si="37"/>
        <v/>
      </c>
      <c r="I14" s="576"/>
      <c r="J14" s="573" t="str">
        <f t="shared" si="37"/>
        <v/>
      </c>
      <c r="K14" s="576"/>
      <c r="L14" s="573" t="str">
        <f t="shared" si="37"/>
        <v/>
      </c>
      <c r="M14" s="576"/>
      <c r="N14" s="573" t="str">
        <f t="shared" si="37"/>
        <v/>
      </c>
      <c r="O14" s="576"/>
      <c r="P14" s="573" t="str">
        <f t="shared" si="37"/>
        <v/>
      </c>
      <c r="Q14" s="576"/>
      <c r="R14" s="573" t="str">
        <f t="shared" si="37"/>
        <v/>
      </c>
      <c r="S14" s="576"/>
      <c r="T14" s="573" t="str">
        <f t="shared" si="37"/>
        <v/>
      </c>
      <c r="U14" s="576"/>
      <c r="V14" s="573" t="str">
        <f t="shared" si="37"/>
        <v/>
      </c>
      <c r="W14" s="576"/>
      <c r="X14" s="573" t="str">
        <f t="shared" si="37"/>
        <v/>
      </c>
      <c r="Y14" s="576"/>
      <c r="Z14" s="573" t="str">
        <f t="shared" si="37"/>
        <v/>
      </c>
      <c r="AA14" s="576"/>
      <c r="AB14" s="573" t="str">
        <f t="shared" si="37"/>
        <v/>
      </c>
      <c r="AC14" s="576"/>
      <c r="AD14" s="573" t="str">
        <f t="shared" si="37"/>
        <v/>
      </c>
      <c r="AE14" s="576"/>
      <c r="AF14" s="573" t="str">
        <f t="shared" si="37"/>
        <v/>
      </c>
      <c r="AG14" s="576"/>
      <c r="AH14" s="573" t="str">
        <f t="shared" si="37"/>
        <v/>
      </c>
      <c r="AI14" s="576"/>
      <c r="AJ14" s="573" t="str">
        <f t="shared" si="37"/>
        <v/>
      </c>
      <c r="AK14" s="576"/>
      <c r="AL14" s="573" t="str">
        <f t="shared" si="38"/>
        <v/>
      </c>
      <c r="AM14" s="576"/>
      <c r="AN14" s="573" t="str">
        <f t="shared" si="39"/>
        <v/>
      </c>
      <c r="AO14" s="576"/>
      <c r="AP14" s="573" t="str">
        <f t="shared" si="40"/>
        <v/>
      </c>
      <c r="AQ14" s="576"/>
      <c r="AR14" s="573" t="str">
        <f t="shared" si="41"/>
        <v/>
      </c>
      <c r="AS14" s="576"/>
      <c r="AT14" s="573" t="str">
        <f t="shared" si="42"/>
        <v/>
      </c>
      <c r="AU14" s="576"/>
      <c r="AV14" s="573" t="str">
        <f t="shared" si="43"/>
        <v/>
      </c>
      <c r="AW14" s="576"/>
      <c r="AX14" s="573" t="str">
        <f t="shared" si="44"/>
        <v/>
      </c>
      <c r="AY14" s="576"/>
      <c r="AZ14" s="573" t="str">
        <f t="shared" si="45"/>
        <v/>
      </c>
      <c r="BA14" s="576"/>
      <c r="BB14" s="573" t="str">
        <f t="shared" si="46"/>
        <v/>
      </c>
      <c r="BC14" s="576"/>
      <c r="BD14" s="573" t="str">
        <f t="shared" si="47"/>
        <v/>
      </c>
      <c r="BE14" s="576"/>
      <c r="BF14" s="573" t="str">
        <f t="shared" si="48"/>
        <v/>
      </c>
      <c r="BG14" s="576"/>
      <c r="BH14" s="573" t="str">
        <f t="shared" si="49"/>
        <v/>
      </c>
      <c r="BI14" s="576"/>
      <c r="BJ14" s="573" t="str">
        <f t="shared" si="50"/>
        <v/>
      </c>
      <c r="BK14" s="576"/>
      <c r="BL14" s="573" t="str">
        <f t="shared" si="51"/>
        <v/>
      </c>
      <c r="BM14" s="576"/>
      <c r="BN14" s="573" t="str">
        <f t="shared" si="52"/>
        <v/>
      </c>
      <c r="BO14" s="576"/>
      <c r="BP14" s="573" t="str">
        <f t="shared" si="53"/>
        <v/>
      </c>
      <c r="BQ14" s="576"/>
      <c r="BR14" s="573" t="str">
        <f t="shared" si="54"/>
        <v/>
      </c>
      <c r="BS14" s="576"/>
      <c r="BT14" s="573" t="str">
        <f t="shared" si="55"/>
        <v/>
      </c>
      <c r="BU14" s="576"/>
      <c r="BV14" s="573" t="str">
        <f t="shared" si="56"/>
        <v/>
      </c>
      <c r="BW14" s="576"/>
      <c r="BX14" s="573" t="str">
        <f t="shared" si="57"/>
        <v/>
      </c>
      <c r="BY14" s="576"/>
      <c r="BZ14" s="573" t="str">
        <f t="shared" si="58"/>
        <v/>
      </c>
      <c r="CA14" s="576"/>
      <c r="CB14" s="573" t="str">
        <f t="shared" si="59"/>
        <v/>
      </c>
      <c r="CC14" s="576"/>
    </row>
    <row r="15" spans="1:81">
      <c r="A15" s="572">
        <f>'Master Data'!A32:B32</f>
        <v>0</v>
      </c>
      <c r="B15" s="573" t="str">
        <f>IF('Master Data'!B32&lt;&gt;0,'Master Data'!B32,"")</f>
        <v/>
      </c>
      <c r="C15" s="574" t="str">
        <f>IF(A15&lt;&gt;0,SUMIF('Effort Estimation'!H:H,A15,'Effort Estimation'!O:O),"")</f>
        <v/>
      </c>
      <c r="D15" s="564"/>
      <c r="E15" s="565"/>
      <c r="F15" s="575"/>
      <c r="G15" s="576"/>
      <c r="H15" s="573" t="str">
        <f t="shared" si="37"/>
        <v/>
      </c>
      <c r="I15" s="576"/>
      <c r="J15" s="573" t="str">
        <f t="shared" si="37"/>
        <v/>
      </c>
      <c r="K15" s="576"/>
      <c r="L15" s="573" t="str">
        <f t="shared" si="37"/>
        <v/>
      </c>
      <c r="M15" s="576"/>
      <c r="N15" s="573" t="str">
        <f t="shared" si="37"/>
        <v/>
      </c>
      <c r="O15" s="576"/>
      <c r="P15" s="573" t="str">
        <f t="shared" si="37"/>
        <v/>
      </c>
      <c r="Q15" s="576"/>
      <c r="R15" s="573" t="str">
        <f t="shared" si="37"/>
        <v/>
      </c>
      <c r="S15" s="576"/>
      <c r="T15" s="573" t="str">
        <f t="shared" si="37"/>
        <v/>
      </c>
      <c r="U15" s="576"/>
      <c r="V15" s="573" t="str">
        <f t="shared" si="37"/>
        <v/>
      </c>
      <c r="W15" s="576"/>
      <c r="X15" s="573" t="str">
        <f t="shared" si="37"/>
        <v/>
      </c>
      <c r="Y15" s="576"/>
      <c r="Z15" s="573" t="str">
        <f t="shared" si="37"/>
        <v/>
      </c>
      <c r="AA15" s="576"/>
      <c r="AB15" s="573" t="str">
        <f t="shared" si="37"/>
        <v/>
      </c>
      <c r="AC15" s="576"/>
      <c r="AD15" s="573" t="str">
        <f t="shared" si="37"/>
        <v/>
      </c>
      <c r="AE15" s="576"/>
      <c r="AF15" s="573" t="str">
        <f t="shared" si="37"/>
        <v/>
      </c>
      <c r="AG15" s="576"/>
      <c r="AH15" s="573" t="str">
        <f t="shared" si="37"/>
        <v/>
      </c>
      <c r="AI15" s="576"/>
      <c r="AJ15" s="573" t="str">
        <f t="shared" si="37"/>
        <v/>
      </c>
      <c r="AK15" s="576"/>
      <c r="AL15" s="573" t="str">
        <f t="shared" si="38"/>
        <v/>
      </c>
      <c r="AM15" s="576"/>
      <c r="AN15" s="573" t="str">
        <f t="shared" si="39"/>
        <v/>
      </c>
      <c r="AO15" s="576"/>
      <c r="AP15" s="573" t="str">
        <f t="shared" si="40"/>
        <v/>
      </c>
      <c r="AQ15" s="576"/>
      <c r="AR15" s="573" t="str">
        <f t="shared" si="41"/>
        <v/>
      </c>
      <c r="AS15" s="576"/>
      <c r="AT15" s="573" t="str">
        <f t="shared" si="42"/>
        <v/>
      </c>
      <c r="AU15" s="576"/>
      <c r="AV15" s="573" t="str">
        <f t="shared" si="43"/>
        <v/>
      </c>
      <c r="AW15" s="576"/>
      <c r="AX15" s="573" t="str">
        <f t="shared" si="44"/>
        <v/>
      </c>
      <c r="AY15" s="576"/>
      <c r="AZ15" s="573" t="str">
        <f t="shared" si="45"/>
        <v/>
      </c>
      <c r="BA15" s="576"/>
      <c r="BB15" s="573" t="str">
        <f t="shared" si="46"/>
        <v/>
      </c>
      <c r="BC15" s="576"/>
      <c r="BD15" s="573" t="str">
        <f t="shared" si="47"/>
        <v/>
      </c>
      <c r="BE15" s="576"/>
      <c r="BF15" s="573" t="str">
        <f t="shared" si="48"/>
        <v/>
      </c>
      <c r="BG15" s="576"/>
      <c r="BH15" s="573" t="str">
        <f t="shared" si="49"/>
        <v/>
      </c>
      <c r="BI15" s="576"/>
      <c r="BJ15" s="573" t="str">
        <f t="shared" si="50"/>
        <v/>
      </c>
      <c r="BK15" s="576"/>
      <c r="BL15" s="573" t="str">
        <f t="shared" si="51"/>
        <v/>
      </c>
      <c r="BM15" s="576"/>
      <c r="BN15" s="573" t="str">
        <f t="shared" si="52"/>
        <v/>
      </c>
      <c r="BO15" s="576"/>
      <c r="BP15" s="573" t="str">
        <f t="shared" si="53"/>
        <v/>
      </c>
      <c r="BQ15" s="576"/>
      <c r="BR15" s="573" t="str">
        <f t="shared" si="54"/>
        <v/>
      </c>
      <c r="BS15" s="576"/>
      <c r="BT15" s="573" t="str">
        <f t="shared" si="55"/>
        <v/>
      </c>
      <c r="BU15" s="576"/>
      <c r="BV15" s="573" t="str">
        <f t="shared" si="56"/>
        <v/>
      </c>
      <c r="BW15" s="576"/>
      <c r="BX15" s="573" t="str">
        <f t="shared" si="57"/>
        <v/>
      </c>
      <c r="BY15" s="576"/>
      <c r="BZ15" s="573" t="str">
        <f t="shared" si="58"/>
        <v/>
      </c>
      <c r="CA15" s="576"/>
      <c r="CB15" s="573" t="str">
        <f t="shared" si="59"/>
        <v/>
      </c>
      <c r="CC15" s="576"/>
    </row>
    <row r="16" spans="1:81">
      <c r="A16" s="572">
        <f>'Master Data'!A33:B33</f>
        <v>0</v>
      </c>
      <c r="B16" s="573" t="str">
        <f>IF('Master Data'!B33&lt;&gt;0,'Master Data'!B33,"")</f>
        <v/>
      </c>
      <c r="C16" s="574" t="str">
        <f>IF(A16&lt;&gt;0,SUMIF('Effort Estimation'!H:H,A16,'Effort Estimation'!O:O),"")</f>
        <v/>
      </c>
      <c r="D16" s="564"/>
      <c r="E16" s="565"/>
      <c r="F16" s="575"/>
      <c r="G16" s="576"/>
      <c r="H16" s="573" t="str">
        <f t="shared" si="37"/>
        <v/>
      </c>
      <c r="I16" s="576"/>
      <c r="J16" s="573" t="str">
        <f t="shared" si="37"/>
        <v/>
      </c>
      <c r="K16" s="576"/>
      <c r="L16" s="573" t="str">
        <f t="shared" si="37"/>
        <v/>
      </c>
      <c r="M16" s="576"/>
      <c r="N16" s="573" t="str">
        <f t="shared" si="37"/>
        <v/>
      </c>
      <c r="O16" s="576"/>
      <c r="P16" s="573" t="str">
        <f t="shared" si="37"/>
        <v/>
      </c>
      <c r="Q16" s="576"/>
      <c r="R16" s="573" t="str">
        <f t="shared" si="37"/>
        <v/>
      </c>
      <c r="S16" s="576"/>
      <c r="T16" s="573" t="str">
        <f t="shared" si="37"/>
        <v/>
      </c>
      <c r="U16" s="576"/>
      <c r="V16" s="573" t="str">
        <f t="shared" si="37"/>
        <v/>
      </c>
      <c r="W16" s="576"/>
      <c r="X16" s="573" t="str">
        <f t="shared" si="37"/>
        <v/>
      </c>
      <c r="Y16" s="576"/>
      <c r="Z16" s="573" t="str">
        <f t="shared" si="37"/>
        <v/>
      </c>
      <c r="AA16" s="576"/>
      <c r="AB16" s="573" t="str">
        <f t="shared" si="37"/>
        <v/>
      </c>
      <c r="AC16" s="576"/>
      <c r="AD16" s="573" t="str">
        <f t="shared" si="37"/>
        <v/>
      </c>
      <c r="AE16" s="576"/>
      <c r="AF16" s="573" t="str">
        <f t="shared" si="37"/>
        <v/>
      </c>
      <c r="AG16" s="576"/>
      <c r="AH16" s="573" t="str">
        <f t="shared" si="37"/>
        <v/>
      </c>
      <c r="AI16" s="576"/>
      <c r="AJ16" s="573" t="str">
        <f t="shared" si="37"/>
        <v/>
      </c>
      <c r="AK16" s="576"/>
      <c r="AL16" s="573" t="str">
        <f t="shared" si="38"/>
        <v/>
      </c>
      <c r="AM16" s="576"/>
      <c r="AN16" s="573" t="str">
        <f t="shared" si="39"/>
        <v/>
      </c>
      <c r="AO16" s="576"/>
      <c r="AP16" s="573" t="str">
        <f t="shared" si="40"/>
        <v/>
      </c>
      <c r="AQ16" s="576"/>
      <c r="AR16" s="573" t="str">
        <f t="shared" si="41"/>
        <v/>
      </c>
      <c r="AS16" s="576"/>
      <c r="AT16" s="573" t="str">
        <f t="shared" si="42"/>
        <v/>
      </c>
      <c r="AU16" s="576"/>
      <c r="AV16" s="573" t="str">
        <f t="shared" si="43"/>
        <v/>
      </c>
      <c r="AW16" s="576"/>
      <c r="AX16" s="573" t="str">
        <f t="shared" si="44"/>
        <v/>
      </c>
      <c r="AY16" s="576"/>
      <c r="AZ16" s="573" t="str">
        <f t="shared" si="45"/>
        <v/>
      </c>
      <c r="BA16" s="576"/>
      <c r="BB16" s="573" t="str">
        <f t="shared" si="46"/>
        <v/>
      </c>
      <c r="BC16" s="576"/>
      <c r="BD16" s="573" t="str">
        <f t="shared" si="47"/>
        <v/>
      </c>
      <c r="BE16" s="576"/>
      <c r="BF16" s="573" t="str">
        <f t="shared" si="48"/>
        <v/>
      </c>
      <c r="BG16" s="576"/>
      <c r="BH16" s="573" t="str">
        <f t="shared" si="49"/>
        <v/>
      </c>
      <c r="BI16" s="576"/>
      <c r="BJ16" s="573" t="str">
        <f t="shared" si="50"/>
        <v/>
      </c>
      <c r="BK16" s="576"/>
      <c r="BL16" s="573" t="str">
        <f t="shared" si="51"/>
        <v/>
      </c>
      <c r="BM16" s="576"/>
      <c r="BN16" s="573" t="str">
        <f t="shared" si="52"/>
        <v/>
      </c>
      <c r="BO16" s="576"/>
      <c r="BP16" s="573" t="str">
        <f t="shared" si="53"/>
        <v/>
      </c>
      <c r="BQ16" s="576"/>
      <c r="BR16" s="573" t="str">
        <f t="shared" si="54"/>
        <v/>
      </c>
      <c r="BS16" s="576"/>
      <c r="BT16" s="573" t="str">
        <f t="shared" si="55"/>
        <v/>
      </c>
      <c r="BU16" s="576"/>
      <c r="BV16" s="573" t="str">
        <f t="shared" si="56"/>
        <v/>
      </c>
      <c r="BW16" s="576"/>
      <c r="BX16" s="573" t="str">
        <f t="shared" si="57"/>
        <v/>
      </c>
      <c r="BY16" s="576"/>
      <c r="BZ16" s="573" t="str">
        <f t="shared" si="58"/>
        <v/>
      </c>
      <c r="CA16" s="576"/>
      <c r="CB16" s="573" t="str">
        <f t="shared" si="59"/>
        <v/>
      </c>
      <c r="CC16" s="576"/>
    </row>
    <row r="17" spans="1:81">
      <c r="A17" s="572">
        <f>'Master Data'!A34:B34</f>
        <v>0</v>
      </c>
      <c r="B17" s="573" t="str">
        <f>IF('Master Data'!B34&lt;&gt;0,'Master Data'!B34,"")</f>
        <v/>
      </c>
      <c r="C17" s="574" t="str">
        <f>IF(A17&lt;&gt;0,SUMIF('Effort Estimation'!H:H,A17,'Effort Estimation'!O:O),"")</f>
        <v/>
      </c>
      <c r="D17" s="564"/>
      <c r="E17" s="565"/>
      <c r="F17" s="575"/>
      <c r="G17" s="576"/>
      <c r="H17" s="573" t="str">
        <f t="shared" si="37"/>
        <v/>
      </c>
      <c r="I17" s="576"/>
      <c r="J17" s="573" t="str">
        <f t="shared" si="37"/>
        <v/>
      </c>
      <c r="K17" s="576"/>
      <c r="L17" s="573" t="str">
        <f t="shared" si="37"/>
        <v/>
      </c>
      <c r="M17" s="576"/>
      <c r="N17" s="573" t="str">
        <f t="shared" si="37"/>
        <v/>
      </c>
      <c r="O17" s="576"/>
      <c r="P17" s="573" t="str">
        <f t="shared" si="37"/>
        <v/>
      </c>
      <c r="Q17" s="576"/>
      <c r="R17" s="573" t="str">
        <f t="shared" si="37"/>
        <v/>
      </c>
      <c r="S17" s="576"/>
      <c r="T17" s="573" t="str">
        <f t="shared" si="37"/>
        <v/>
      </c>
      <c r="U17" s="576"/>
      <c r="V17" s="573" t="str">
        <f t="shared" si="37"/>
        <v/>
      </c>
      <c r="W17" s="576"/>
      <c r="X17" s="573" t="str">
        <f t="shared" si="37"/>
        <v/>
      </c>
      <c r="Y17" s="576"/>
      <c r="Z17" s="573" t="str">
        <f t="shared" si="37"/>
        <v/>
      </c>
      <c r="AA17" s="576"/>
      <c r="AB17" s="573" t="str">
        <f t="shared" si="37"/>
        <v/>
      </c>
      <c r="AC17" s="576"/>
      <c r="AD17" s="573" t="str">
        <f t="shared" si="37"/>
        <v/>
      </c>
      <c r="AE17" s="576"/>
      <c r="AF17" s="573" t="str">
        <f t="shared" si="37"/>
        <v/>
      </c>
      <c r="AG17" s="576"/>
      <c r="AH17" s="573" t="str">
        <f t="shared" si="37"/>
        <v/>
      </c>
      <c r="AI17" s="576"/>
      <c r="AJ17" s="573" t="str">
        <f t="shared" si="37"/>
        <v/>
      </c>
      <c r="AK17" s="576"/>
      <c r="AL17" s="573" t="str">
        <f t="shared" si="38"/>
        <v/>
      </c>
      <c r="AM17" s="576"/>
      <c r="AN17" s="573" t="str">
        <f t="shared" si="39"/>
        <v/>
      </c>
      <c r="AO17" s="576"/>
      <c r="AP17" s="573" t="str">
        <f t="shared" si="40"/>
        <v/>
      </c>
      <c r="AQ17" s="576"/>
      <c r="AR17" s="573" t="str">
        <f t="shared" si="41"/>
        <v/>
      </c>
      <c r="AS17" s="576"/>
      <c r="AT17" s="573" t="str">
        <f t="shared" si="42"/>
        <v/>
      </c>
      <c r="AU17" s="576"/>
      <c r="AV17" s="573" t="str">
        <f t="shared" si="43"/>
        <v/>
      </c>
      <c r="AW17" s="576"/>
      <c r="AX17" s="573" t="str">
        <f t="shared" si="44"/>
        <v/>
      </c>
      <c r="AY17" s="576"/>
      <c r="AZ17" s="573" t="str">
        <f t="shared" si="45"/>
        <v/>
      </c>
      <c r="BA17" s="576"/>
      <c r="BB17" s="573" t="str">
        <f t="shared" si="46"/>
        <v/>
      </c>
      <c r="BC17" s="576"/>
      <c r="BD17" s="573" t="str">
        <f t="shared" si="47"/>
        <v/>
      </c>
      <c r="BE17" s="576"/>
      <c r="BF17" s="573" t="str">
        <f t="shared" si="48"/>
        <v/>
      </c>
      <c r="BG17" s="576"/>
      <c r="BH17" s="573" t="str">
        <f t="shared" si="49"/>
        <v/>
      </c>
      <c r="BI17" s="576"/>
      <c r="BJ17" s="573" t="str">
        <f t="shared" si="50"/>
        <v/>
      </c>
      <c r="BK17" s="576"/>
      <c r="BL17" s="573" t="str">
        <f t="shared" si="51"/>
        <v/>
      </c>
      <c r="BM17" s="576"/>
      <c r="BN17" s="573" t="str">
        <f t="shared" si="52"/>
        <v/>
      </c>
      <c r="BO17" s="576"/>
      <c r="BP17" s="573" t="str">
        <f t="shared" si="53"/>
        <v/>
      </c>
      <c r="BQ17" s="576"/>
      <c r="BR17" s="573" t="str">
        <f t="shared" si="54"/>
        <v/>
      </c>
      <c r="BS17" s="576"/>
      <c r="BT17" s="573" t="str">
        <f t="shared" si="55"/>
        <v/>
      </c>
      <c r="BU17" s="576"/>
      <c r="BV17" s="573" t="str">
        <f t="shared" si="56"/>
        <v/>
      </c>
      <c r="BW17" s="576"/>
      <c r="BX17" s="573" t="str">
        <f t="shared" si="57"/>
        <v/>
      </c>
      <c r="BY17" s="576"/>
      <c r="BZ17" s="573" t="str">
        <f t="shared" si="58"/>
        <v/>
      </c>
      <c r="CA17" s="576"/>
      <c r="CB17" s="573" t="str">
        <f t="shared" si="59"/>
        <v/>
      </c>
      <c r="CC17" s="576"/>
    </row>
    <row r="18" spans="1:81">
      <c r="A18" s="572">
        <f>'Master Data'!A35:B35</f>
        <v>0</v>
      </c>
      <c r="B18" s="573" t="str">
        <f>IF('Master Data'!B35&lt;&gt;0,'Master Data'!B35,"")</f>
        <v/>
      </c>
      <c r="C18" s="574" t="str">
        <f>IF(A18&lt;&gt;0,SUMIF('Effort Estimation'!H:H,A18,'Effort Estimation'!O:O),"")</f>
        <v/>
      </c>
      <c r="D18" s="564"/>
      <c r="E18" s="565"/>
      <c r="F18" s="575"/>
      <c r="G18" s="576"/>
      <c r="H18" s="573" t="str">
        <f t="shared" si="37"/>
        <v/>
      </c>
      <c r="I18" s="576"/>
      <c r="J18" s="573" t="str">
        <f t="shared" si="37"/>
        <v/>
      </c>
      <c r="K18" s="576"/>
      <c r="L18" s="573" t="str">
        <f t="shared" si="37"/>
        <v/>
      </c>
      <c r="M18" s="576"/>
      <c r="N18" s="573" t="str">
        <f t="shared" si="37"/>
        <v/>
      </c>
      <c r="O18" s="576"/>
      <c r="P18" s="573" t="str">
        <f t="shared" si="37"/>
        <v/>
      </c>
      <c r="Q18" s="576"/>
      <c r="R18" s="573" t="str">
        <f t="shared" si="37"/>
        <v/>
      </c>
      <c r="S18" s="576"/>
      <c r="T18" s="573" t="str">
        <f t="shared" si="37"/>
        <v/>
      </c>
      <c r="U18" s="576"/>
      <c r="V18" s="573" t="str">
        <f t="shared" si="37"/>
        <v/>
      </c>
      <c r="W18" s="576"/>
      <c r="X18" s="573" t="str">
        <f t="shared" si="37"/>
        <v/>
      </c>
      <c r="Y18" s="576"/>
      <c r="Z18" s="573" t="str">
        <f t="shared" si="37"/>
        <v/>
      </c>
      <c r="AA18" s="576"/>
      <c r="AB18" s="573" t="str">
        <f t="shared" si="37"/>
        <v/>
      </c>
      <c r="AC18" s="576"/>
      <c r="AD18" s="573" t="str">
        <f t="shared" si="37"/>
        <v/>
      </c>
      <c r="AE18" s="576"/>
      <c r="AF18" s="573" t="str">
        <f t="shared" si="37"/>
        <v/>
      </c>
      <c r="AG18" s="576"/>
      <c r="AH18" s="573" t="str">
        <f t="shared" si="37"/>
        <v/>
      </c>
      <c r="AI18" s="576"/>
      <c r="AJ18" s="573" t="str">
        <f t="shared" si="37"/>
        <v/>
      </c>
      <c r="AK18" s="576"/>
      <c r="AL18" s="573" t="str">
        <f t="shared" si="38"/>
        <v/>
      </c>
      <c r="AM18" s="576"/>
      <c r="AN18" s="573" t="str">
        <f t="shared" si="39"/>
        <v/>
      </c>
      <c r="AO18" s="576"/>
      <c r="AP18" s="573" t="str">
        <f t="shared" si="40"/>
        <v/>
      </c>
      <c r="AQ18" s="576"/>
      <c r="AR18" s="573" t="str">
        <f t="shared" si="41"/>
        <v/>
      </c>
      <c r="AS18" s="576"/>
      <c r="AT18" s="573" t="str">
        <f t="shared" si="42"/>
        <v/>
      </c>
      <c r="AU18" s="576"/>
      <c r="AV18" s="573" t="str">
        <f t="shared" si="43"/>
        <v/>
      </c>
      <c r="AW18" s="576"/>
      <c r="AX18" s="573" t="str">
        <f t="shared" si="44"/>
        <v/>
      </c>
      <c r="AY18" s="576"/>
      <c r="AZ18" s="573" t="str">
        <f t="shared" si="45"/>
        <v/>
      </c>
      <c r="BA18" s="576"/>
      <c r="BB18" s="573" t="str">
        <f t="shared" si="46"/>
        <v/>
      </c>
      <c r="BC18" s="576"/>
      <c r="BD18" s="573" t="str">
        <f t="shared" si="47"/>
        <v/>
      </c>
      <c r="BE18" s="576"/>
      <c r="BF18" s="573" t="str">
        <f t="shared" si="48"/>
        <v/>
      </c>
      <c r="BG18" s="576"/>
      <c r="BH18" s="573" t="str">
        <f t="shared" si="49"/>
        <v/>
      </c>
      <c r="BI18" s="576"/>
      <c r="BJ18" s="573" t="str">
        <f t="shared" si="50"/>
        <v/>
      </c>
      <c r="BK18" s="576"/>
      <c r="BL18" s="573" t="str">
        <f t="shared" si="51"/>
        <v/>
      </c>
      <c r="BM18" s="576"/>
      <c r="BN18" s="573" t="str">
        <f t="shared" si="52"/>
        <v/>
      </c>
      <c r="BO18" s="576"/>
      <c r="BP18" s="573" t="str">
        <f t="shared" si="53"/>
        <v/>
      </c>
      <c r="BQ18" s="576"/>
      <c r="BR18" s="573" t="str">
        <f t="shared" si="54"/>
        <v/>
      </c>
      <c r="BS18" s="576"/>
      <c r="BT18" s="573" t="str">
        <f t="shared" si="55"/>
        <v/>
      </c>
      <c r="BU18" s="576"/>
      <c r="BV18" s="573" t="str">
        <f t="shared" si="56"/>
        <v/>
      </c>
      <c r="BW18" s="576"/>
      <c r="BX18" s="573" t="str">
        <f t="shared" si="57"/>
        <v/>
      </c>
      <c r="BY18" s="576"/>
      <c r="BZ18" s="573" t="str">
        <f t="shared" si="58"/>
        <v/>
      </c>
      <c r="CA18" s="576"/>
      <c r="CB18" s="573" t="str">
        <f t="shared" si="59"/>
        <v/>
      </c>
      <c r="CC18" s="576"/>
    </row>
    <row r="19" spans="1:81">
      <c r="A19" s="572">
        <f>'Master Data'!A36:B36</f>
        <v>0</v>
      </c>
      <c r="B19" s="573" t="str">
        <f>IF('Master Data'!B36&lt;&gt;0,'Master Data'!B36,"")</f>
        <v/>
      </c>
      <c r="C19" s="574" t="str">
        <f>IF(A19&lt;&gt;0,SUMIF('Effort Estimation'!H:H,A19,'Effort Estimation'!O:O),"")</f>
        <v/>
      </c>
      <c r="D19" s="564"/>
      <c r="E19" s="565"/>
      <c r="F19" s="575"/>
      <c r="G19" s="576"/>
      <c r="H19" s="573" t="str">
        <f t="shared" si="37"/>
        <v/>
      </c>
      <c r="I19" s="576"/>
      <c r="J19" s="573" t="str">
        <f t="shared" si="37"/>
        <v/>
      </c>
      <c r="K19" s="576"/>
      <c r="L19" s="573" t="str">
        <f t="shared" si="37"/>
        <v/>
      </c>
      <c r="M19" s="576"/>
      <c r="N19" s="573" t="str">
        <f t="shared" si="37"/>
        <v/>
      </c>
      <c r="O19" s="576"/>
      <c r="P19" s="573" t="str">
        <f t="shared" si="37"/>
        <v/>
      </c>
      <c r="Q19" s="576"/>
      <c r="R19" s="573" t="str">
        <f t="shared" si="37"/>
        <v/>
      </c>
      <c r="S19" s="576"/>
      <c r="T19" s="573" t="str">
        <f t="shared" si="37"/>
        <v/>
      </c>
      <c r="U19" s="576"/>
      <c r="V19" s="573" t="str">
        <f t="shared" si="37"/>
        <v/>
      </c>
      <c r="W19" s="576"/>
      <c r="X19" s="573" t="str">
        <f t="shared" si="37"/>
        <v/>
      </c>
      <c r="Y19" s="576"/>
      <c r="Z19" s="573" t="str">
        <f t="shared" si="37"/>
        <v/>
      </c>
      <c r="AA19" s="576"/>
      <c r="AB19" s="573" t="str">
        <f t="shared" si="37"/>
        <v/>
      </c>
      <c r="AC19" s="576"/>
      <c r="AD19" s="573" t="str">
        <f t="shared" si="37"/>
        <v/>
      </c>
      <c r="AE19" s="576"/>
      <c r="AF19" s="573" t="str">
        <f t="shared" si="37"/>
        <v/>
      </c>
      <c r="AG19" s="576"/>
      <c r="AH19" s="573" t="str">
        <f t="shared" si="37"/>
        <v/>
      </c>
      <c r="AI19" s="576"/>
      <c r="AJ19" s="573" t="str">
        <f t="shared" si="37"/>
        <v/>
      </c>
      <c r="AK19" s="576"/>
      <c r="AL19" s="573" t="str">
        <f t="shared" si="38"/>
        <v/>
      </c>
      <c r="AM19" s="576"/>
      <c r="AN19" s="573" t="str">
        <f t="shared" si="39"/>
        <v/>
      </c>
      <c r="AO19" s="576"/>
      <c r="AP19" s="573" t="str">
        <f t="shared" si="40"/>
        <v/>
      </c>
      <c r="AQ19" s="576"/>
      <c r="AR19" s="573" t="str">
        <f t="shared" si="41"/>
        <v/>
      </c>
      <c r="AS19" s="576"/>
      <c r="AT19" s="573" t="str">
        <f t="shared" si="42"/>
        <v/>
      </c>
      <c r="AU19" s="576"/>
      <c r="AV19" s="573" t="str">
        <f t="shared" si="43"/>
        <v/>
      </c>
      <c r="AW19" s="576"/>
      <c r="AX19" s="573" t="str">
        <f t="shared" si="44"/>
        <v/>
      </c>
      <c r="AY19" s="576"/>
      <c r="AZ19" s="573" t="str">
        <f t="shared" si="45"/>
        <v/>
      </c>
      <c r="BA19" s="576"/>
      <c r="BB19" s="573" t="str">
        <f t="shared" si="46"/>
        <v/>
      </c>
      <c r="BC19" s="576"/>
      <c r="BD19" s="573" t="str">
        <f t="shared" si="47"/>
        <v/>
      </c>
      <c r="BE19" s="576"/>
      <c r="BF19" s="573" t="str">
        <f t="shared" si="48"/>
        <v/>
      </c>
      <c r="BG19" s="576"/>
      <c r="BH19" s="573" t="str">
        <f t="shared" si="49"/>
        <v/>
      </c>
      <c r="BI19" s="576"/>
      <c r="BJ19" s="573" t="str">
        <f t="shared" si="50"/>
        <v/>
      </c>
      <c r="BK19" s="576"/>
      <c r="BL19" s="573" t="str">
        <f t="shared" si="51"/>
        <v/>
      </c>
      <c r="BM19" s="576"/>
      <c r="BN19" s="573" t="str">
        <f t="shared" si="52"/>
        <v/>
      </c>
      <c r="BO19" s="576"/>
      <c r="BP19" s="573" t="str">
        <f t="shared" si="53"/>
        <v/>
      </c>
      <c r="BQ19" s="576"/>
      <c r="BR19" s="573" t="str">
        <f t="shared" si="54"/>
        <v/>
      </c>
      <c r="BS19" s="576"/>
      <c r="BT19" s="573" t="str">
        <f t="shared" si="55"/>
        <v/>
      </c>
      <c r="BU19" s="576"/>
      <c r="BV19" s="573" t="str">
        <f t="shared" si="56"/>
        <v/>
      </c>
      <c r="BW19" s="576"/>
      <c r="BX19" s="573" t="str">
        <f t="shared" si="57"/>
        <v/>
      </c>
      <c r="BY19" s="576"/>
      <c r="BZ19" s="573" t="str">
        <f t="shared" si="58"/>
        <v/>
      </c>
      <c r="CA19" s="576"/>
      <c r="CB19" s="573" t="str">
        <f t="shared" si="59"/>
        <v/>
      </c>
      <c r="CC19" s="576"/>
    </row>
    <row r="20" spans="1:81">
      <c r="A20" s="572">
        <f>'Master Data'!A37:B37</f>
        <v>0</v>
      </c>
      <c r="B20" s="573" t="str">
        <f>IF('Master Data'!B37&lt;&gt;0,'Master Data'!B37,"")</f>
        <v/>
      </c>
      <c r="C20" s="574" t="str">
        <f>IF(A20&lt;&gt;0,SUMIF('Effort Estimation'!H:H,A20,'Effort Estimation'!O:O),"")</f>
        <v/>
      </c>
      <c r="D20" s="564"/>
      <c r="E20" s="565"/>
      <c r="F20" s="575"/>
      <c r="G20" s="576"/>
      <c r="H20" s="573" t="str">
        <f t="shared" si="37"/>
        <v/>
      </c>
      <c r="I20" s="576"/>
      <c r="J20" s="573" t="str">
        <f t="shared" si="37"/>
        <v/>
      </c>
      <c r="K20" s="576"/>
      <c r="L20" s="573" t="str">
        <f t="shared" si="37"/>
        <v/>
      </c>
      <c r="M20" s="576"/>
      <c r="N20" s="573" t="str">
        <f t="shared" si="37"/>
        <v/>
      </c>
      <c r="O20" s="576"/>
      <c r="P20" s="573" t="str">
        <f t="shared" si="37"/>
        <v/>
      </c>
      <c r="Q20" s="576"/>
      <c r="R20" s="573" t="str">
        <f t="shared" si="37"/>
        <v/>
      </c>
      <c r="S20" s="576"/>
      <c r="T20" s="573" t="str">
        <f t="shared" si="37"/>
        <v/>
      </c>
      <c r="U20" s="576"/>
      <c r="V20" s="573" t="str">
        <f t="shared" si="37"/>
        <v/>
      </c>
      <c r="W20" s="576"/>
      <c r="X20" s="573" t="str">
        <f t="shared" si="37"/>
        <v/>
      </c>
      <c r="Y20" s="576"/>
      <c r="Z20" s="573" t="str">
        <f t="shared" si="37"/>
        <v/>
      </c>
      <c r="AA20" s="576"/>
      <c r="AB20" s="573" t="str">
        <f t="shared" si="37"/>
        <v/>
      </c>
      <c r="AC20" s="576"/>
      <c r="AD20" s="573" t="str">
        <f t="shared" si="37"/>
        <v/>
      </c>
      <c r="AE20" s="576"/>
      <c r="AF20" s="573" t="str">
        <f t="shared" si="37"/>
        <v/>
      </c>
      <c r="AG20" s="576"/>
      <c r="AH20" s="573" t="str">
        <f t="shared" si="37"/>
        <v/>
      </c>
      <c r="AI20" s="576"/>
      <c r="AJ20" s="573" t="str">
        <f t="shared" si="37"/>
        <v/>
      </c>
      <c r="AK20" s="576"/>
      <c r="AL20" s="573" t="str">
        <f t="shared" si="38"/>
        <v/>
      </c>
      <c r="AM20" s="576"/>
      <c r="AN20" s="573" t="str">
        <f t="shared" si="39"/>
        <v/>
      </c>
      <c r="AO20" s="576"/>
      <c r="AP20" s="573" t="str">
        <f t="shared" si="40"/>
        <v/>
      </c>
      <c r="AQ20" s="576"/>
      <c r="AR20" s="573" t="str">
        <f t="shared" si="41"/>
        <v/>
      </c>
      <c r="AS20" s="576"/>
      <c r="AT20" s="573" t="str">
        <f t="shared" si="42"/>
        <v/>
      </c>
      <c r="AU20" s="576"/>
      <c r="AV20" s="573" t="str">
        <f t="shared" si="43"/>
        <v/>
      </c>
      <c r="AW20" s="576"/>
      <c r="AX20" s="573" t="str">
        <f t="shared" si="44"/>
        <v/>
      </c>
      <c r="AY20" s="576"/>
      <c r="AZ20" s="573" t="str">
        <f t="shared" si="45"/>
        <v/>
      </c>
      <c r="BA20" s="576"/>
      <c r="BB20" s="573" t="str">
        <f t="shared" si="46"/>
        <v/>
      </c>
      <c r="BC20" s="576"/>
      <c r="BD20" s="573" t="str">
        <f t="shared" si="47"/>
        <v/>
      </c>
      <c r="BE20" s="576"/>
      <c r="BF20" s="573" t="str">
        <f t="shared" si="48"/>
        <v/>
      </c>
      <c r="BG20" s="576"/>
      <c r="BH20" s="573" t="str">
        <f t="shared" si="49"/>
        <v/>
      </c>
      <c r="BI20" s="576"/>
      <c r="BJ20" s="573" t="str">
        <f t="shared" si="50"/>
        <v/>
      </c>
      <c r="BK20" s="576"/>
      <c r="BL20" s="573" t="str">
        <f t="shared" si="51"/>
        <v/>
      </c>
      <c r="BM20" s="576"/>
      <c r="BN20" s="573" t="str">
        <f t="shared" si="52"/>
        <v/>
      </c>
      <c r="BO20" s="576"/>
      <c r="BP20" s="573" t="str">
        <f t="shared" si="53"/>
        <v/>
      </c>
      <c r="BQ20" s="576"/>
      <c r="BR20" s="573" t="str">
        <f t="shared" si="54"/>
        <v/>
      </c>
      <c r="BS20" s="576"/>
      <c r="BT20" s="573" t="str">
        <f t="shared" si="55"/>
        <v/>
      </c>
      <c r="BU20" s="576"/>
      <c r="BV20" s="573" t="str">
        <f t="shared" si="56"/>
        <v/>
      </c>
      <c r="BW20" s="576"/>
      <c r="BX20" s="573" t="str">
        <f t="shared" si="57"/>
        <v/>
      </c>
      <c r="BY20" s="576"/>
      <c r="BZ20" s="573" t="str">
        <f t="shared" si="58"/>
        <v/>
      </c>
      <c r="CA20" s="576"/>
      <c r="CB20" s="573" t="str">
        <f t="shared" si="59"/>
        <v/>
      </c>
      <c r="CC20" s="576"/>
    </row>
    <row r="21" spans="1:81">
      <c r="A21" s="572">
        <f>'Master Data'!A38:B38</f>
        <v>0</v>
      </c>
      <c r="B21" s="573" t="str">
        <f>IF('Master Data'!B38&lt;&gt;0,'Master Data'!B38,"")</f>
        <v/>
      </c>
      <c r="C21" s="574" t="str">
        <f>IF(A21&lt;&gt;0,SUMIF('Effort Estimation'!H:H,A21,'Effort Estimation'!O:O),"")</f>
        <v/>
      </c>
      <c r="D21" s="564"/>
      <c r="E21" s="565"/>
      <c r="F21" s="575"/>
      <c r="G21" s="576"/>
      <c r="H21" s="573" t="str">
        <f t="shared" si="37"/>
        <v/>
      </c>
      <c r="I21" s="576"/>
      <c r="J21" s="573" t="str">
        <f t="shared" si="37"/>
        <v/>
      </c>
      <c r="K21" s="576"/>
      <c r="L21" s="573" t="str">
        <f t="shared" si="37"/>
        <v/>
      </c>
      <c r="M21" s="576"/>
      <c r="N21" s="573" t="str">
        <f t="shared" si="37"/>
        <v/>
      </c>
      <c r="O21" s="576"/>
      <c r="P21" s="573" t="str">
        <f t="shared" si="37"/>
        <v/>
      </c>
      <c r="Q21" s="576"/>
      <c r="R21" s="573" t="str">
        <f t="shared" si="37"/>
        <v/>
      </c>
      <c r="S21" s="576"/>
      <c r="T21" s="573" t="str">
        <f t="shared" si="37"/>
        <v/>
      </c>
      <c r="U21" s="576"/>
      <c r="V21" s="573" t="str">
        <f t="shared" si="37"/>
        <v/>
      </c>
      <c r="W21" s="576"/>
      <c r="X21" s="573" t="str">
        <f t="shared" si="37"/>
        <v/>
      </c>
      <c r="Y21" s="576"/>
      <c r="Z21" s="573" t="str">
        <f t="shared" si="37"/>
        <v/>
      </c>
      <c r="AA21" s="576"/>
      <c r="AB21" s="573" t="str">
        <f t="shared" si="37"/>
        <v/>
      </c>
      <c r="AC21" s="576"/>
      <c r="AD21" s="573" t="str">
        <f t="shared" si="37"/>
        <v/>
      </c>
      <c r="AE21" s="576"/>
      <c r="AF21" s="573" t="str">
        <f t="shared" si="37"/>
        <v/>
      </c>
      <c r="AG21" s="576"/>
      <c r="AH21" s="573" t="str">
        <f t="shared" si="37"/>
        <v/>
      </c>
      <c r="AI21" s="576"/>
      <c r="AJ21" s="573" t="str">
        <f t="shared" si="37"/>
        <v/>
      </c>
      <c r="AK21" s="576"/>
      <c r="AL21" s="573" t="str">
        <f t="shared" si="38"/>
        <v/>
      </c>
      <c r="AM21" s="576"/>
      <c r="AN21" s="573" t="str">
        <f t="shared" si="39"/>
        <v/>
      </c>
      <c r="AO21" s="576"/>
      <c r="AP21" s="573" t="str">
        <f t="shared" si="40"/>
        <v/>
      </c>
      <c r="AQ21" s="576"/>
      <c r="AR21" s="573" t="str">
        <f t="shared" si="41"/>
        <v/>
      </c>
      <c r="AS21" s="576"/>
      <c r="AT21" s="573" t="str">
        <f t="shared" si="42"/>
        <v/>
      </c>
      <c r="AU21" s="576"/>
      <c r="AV21" s="573" t="str">
        <f t="shared" si="43"/>
        <v/>
      </c>
      <c r="AW21" s="576"/>
      <c r="AX21" s="573" t="str">
        <f t="shared" si="44"/>
        <v/>
      </c>
      <c r="AY21" s="576"/>
      <c r="AZ21" s="573" t="str">
        <f t="shared" si="45"/>
        <v/>
      </c>
      <c r="BA21" s="576"/>
      <c r="BB21" s="573" t="str">
        <f t="shared" si="46"/>
        <v/>
      </c>
      <c r="BC21" s="576"/>
      <c r="BD21" s="573" t="str">
        <f t="shared" si="47"/>
        <v/>
      </c>
      <c r="BE21" s="576"/>
      <c r="BF21" s="573" t="str">
        <f t="shared" si="48"/>
        <v/>
      </c>
      <c r="BG21" s="576"/>
      <c r="BH21" s="573" t="str">
        <f t="shared" si="49"/>
        <v/>
      </c>
      <c r="BI21" s="576"/>
      <c r="BJ21" s="573" t="str">
        <f t="shared" si="50"/>
        <v/>
      </c>
      <c r="BK21" s="576"/>
      <c r="BL21" s="573" t="str">
        <f t="shared" si="51"/>
        <v/>
      </c>
      <c r="BM21" s="576"/>
      <c r="BN21" s="573" t="str">
        <f t="shared" si="52"/>
        <v/>
      </c>
      <c r="BO21" s="576"/>
      <c r="BP21" s="573" t="str">
        <f t="shared" si="53"/>
        <v/>
      </c>
      <c r="BQ21" s="576"/>
      <c r="BR21" s="573" t="str">
        <f t="shared" si="54"/>
        <v/>
      </c>
      <c r="BS21" s="576"/>
      <c r="BT21" s="573" t="str">
        <f t="shared" si="55"/>
        <v/>
      </c>
      <c r="BU21" s="576"/>
      <c r="BV21" s="573" t="str">
        <f t="shared" si="56"/>
        <v/>
      </c>
      <c r="BW21" s="576"/>
      <c r="BX21" s="573" t="str">
        <f t="shared" si="57"/>
        <v/>
      </c>
      <c r="BY21" s="576"/>
      <c r="BZ21" s="573" t="str">
        <f t="shared" si="58"/>
        <v/>
      </c>
      <c r="CA21" s="576"/>
      <c r="CB21" s="573" t="str">
        <f t="shared" si="59"/>
        <v/>
      </c>
      <c r="CC21" s="576"/>
    </row>
    <row r="22" spans="1:81">
      <c r="A22" s="572">
        <f>'Master Data'!A39:B39</f>
        <v>0</v>
      </c>
      <c r="B22" s="573" t="str">
        <f>IF('Master Data'!B39&lt;&gt;0,'Master Data'!B39,"")</f>
        <v/>
      </c>
      <c r="C22" s="574" t="str">
        <f>IF(A22&lt;&gt;0,SUMIF('Effort Estimation'!H:H,A22,'Effort Estimation'!O:O),"")</f>
        <v/>
      </c>
      <c r="D22" s="564"/>
      <c r="E22" s="565"/>
      <c r="F22" s="575"/>
      <c r="G22" s="576"/>
      <c r="H22" s="573" t="str">
        <f t="shared" si="37"/>
        <v/>
      </c>
      <c r="I22" s="576"/>
      <c r="J22" s="573" t="str">
        <f t="shared" si="37"/>
        <v/>
      </c>
      <c r="K22" s="576"/>
      <c r="L22" s="573" t="str">
        <f t="shared" si="37"/>
        <v/>
      </c>
      <c r="M22" s="576"/>
      <c r="N22" s="573" t="str">
        <f t="shared" si="37"/>
        <v/>
      </c>
      <c r="O22" s="576"/>
      <c r="P22" s="573" t="str">
        <f t="shared" si="37"/>
        <v/>
      </c>
      <c r="Q22" s="576"/>
      <c r="R22" s="573" t="str">
        <f t="shared" si="37"/>
        <v/>
      </c>
      <c r="S22" s="576"/>
      <c r="T22" s="573" t="str">
        <f t="shared" si="37"/>
        <v/>
      </c>
      <c r="U22" s="576"/>
      <c r="V22" s="573" t="str">
        <f t="shared" si="37"/>
        <v/>
      </c>
      <c r="W22" s="576"/>
      <c r="X22" s="573" t="str">
        <f t="shared" si="37"/>
        <v/>
      </c>
      <c r="Y22" s="576"/>
      <c r="Z22" s="573" t="str">
        <f t="shared" si="37"/>
        <v/>
      </c>
      <c r="AA22" s="576"/>
      <c r="AB22" s="573" t="str">
        <f t="shared" si="37"/>
        <v/>
      </c>
      <c r="AC22" s="576"/>
      <c r="AD22" s="573" t="str">
        <f t="shared" si="37"/>
        <v/>
      </c>
      <c r="AE22" s="576"/>
      <c r="AF22" s="573" t="str">
        <f t="shared" si="37"/>
        <v/>
      </c>
      <c r="AG22" s="576"/>
      <c r="AH22" s="573" t="str">
        <f t="shared" si="37"/>
        <v/>
      </c>
      <c r="AI22" s="576"/>
      <c r="AJ22" s="573" t="str">
        <f t="shared" si="37"/>
        <v/>
      </c>
      <c r="AK22" s="576"/>
      <c r="AL22" s="573" t="str">
        <f t="shared" si="38"/>
        <v/>
      </c>
      <c r="AM22" s="576"/>
      <c r="AN22" s="573" t="str">
        <f t="shared" si="39"/>
        <v/>
      </c>
      <c r="AO22" s="576"/>
      <c r="AP22" s="573" t="str">
        <f t="shared" si="40"/>
        <v/>
      </c>
      <c r="AQ22" s="576"/>
      <c r="AR22" s="573" t="str">
        <f t="shared" si="41"/>
        <v/>
      </c>
      <c r="AS22" s="576"/>
      <c r="AT22" s="573" t="str">
        <f t="shared" si="42"/>
        <v/>
      </c>
      <c r="AU22" s="576"/>
      <c r="AV22" s="573" t="str">
        <f t="shared" si="43"/>
        <v/>
      </c>
      <c r="AW22" s="576"/>
      <c r="AX22" s="573" t="str">
        <f t="shared" si="44"/>
        <v/>
      </c>
      <c r="AY22" s="576"/>
      <c r="AZ22" s="573" t="str">
        <f t="shared" si="45"/>
        <v/>
      </c>
      <c r="BA22" s="576"/>
      <c r="BB22" s="573" t="str">
        <f t="shared" si="46"/>
        <v/>
      </c>
      <c r="BC22" s="576"/>
      <c r="BD22" s="573" t="str">
        <f t="shared" si="47"/>
        <v/>
      </c>
      <c r="BE22" s="576"/>
      <c r="BF22" s="573" t="str">
        <f t="shared" si="48"/>
        <v/>
      </c>
      <c r="BG22" s="576"/>
      <c r="BH22" s="573" t="str">
        <f t="shared" si="49"/>
        <v/>
      </c>
      <c r="BI22" s="576"/>
      <c r="BJ22" s="573" t="str">
        <f t="shared" si="50"/>
        <v/>
      </c>
      <c r="BK22" s="576"/>
      <c r="BL22" s="573" t="str">
        <f t="shared" si="51"/>
        <v/>
      </c>
      <c r="BM22" s="576"/>
      <c r="BN22" s="573" t="str">
        <f t="shared" si="52"/>
        <v/>
      </c>
      <c r="BO22" s="576"/>
      <c r="BP22" s="573" t="str">
        <f t="shared" si="53"/>
        <v/>
      </c>
      <c r="BQ22" s="576"/>
      <c r="BR22" s="573" t="str">
        <f t="shared" si="54"/>
        <v/>
      </c>
      <c r="BS22" s="576"/>
      <c r="BT22" s="573" t="str">
        <f t="shared" si="55"/>
        <v/>
      </c>
      <c r="BU22" s="576"/>
      <c r="BV22" s="573" t="str">
        <f t="shared" si="56"/>
        <v/>
      </c>
      <c r="BW22" s="576"/>
      <c r="BX22" s="573" t="str">
        <f t="shared" si="57"/>
        <v/>
      </c>
      <c r="BY22" s="576"/>
      <c r="BZ22" s="573" t="str">
        <f t="shared" si="58"/>
        <v/>
      </c>
      <c r="CA22" s="576"/>
      <c r="CB22" s="573" t="str">
        <f t="shared" si="59"/>
        <v/>
      </c>
      <c r="CC22" s="576"/>
    </row>
    <row r="23" spans="1:81">
      <c r="A23" s="572">
        <f>'Master Data'!A40:B40</f>
        <v>0</v>
      </c>
      <c r="B23" s="573" t="str">
        <f>IF('Master Data'!B40&lt;&gt;0,'Master Data'!B40,"")</f>
        <v/>
      </c>
      <c r="C23" s="574" t="str">
        <f>IF(A23&lt;&gt;0,SUMIF('Effort Estimation'!H:H,A23,'Effort Estimation'!O:O),"")</f>
        <v/>
      </c>
      <c r="D23" s="564"/>
      <c r="E23" s="565"/>
      <c r="F23" s="575"/>
      <c r="G23" s="576"/>
      <c r="H23" s="573" t="str">
        <f t="shared" si="37"/>
        <v/>
      </c>
      <c r="I23" s="576"/>
      <c r="J23" s="573" t="str">
        <f t="shared" si="37"/>
        <v/>
      </c>
      <c r="K23" s="576"/>
      <c r="L23" s="573" t="str">
        <f t="shared" si="37"/>
        <v/>
      </c>
      <c r="M23" s="576"/>
      <c r="N23" s="573" t="str">
        <f t="shared" si="37"/>
        <v/>
      </c>
      <c r="O23" s="576"/>
      <c r="P23" s="573" t="str">
        <f t="shared" si="37"/>
        <v/>
      </c>
      <c r="Q23" s="576"/>
      <c r="R23" s="573" t="str">
        <f t="shared" si="37"/>
        <v/>
      </c>
      <c r="S23" s="576"/>
      <c r="T23" s="573" t="str">
        <f t="shared" si="37"/>
        <v/>
      </c>
      <c r="U23" s="576"/>
      <c r="V23" s="573" t="str">
        <f t="shared" si="37"/>
        <v/>
      </c>
      <c r="W23" s="576"/>
      <c r="X23" s="573" t="str">
        <f t="shared" si="37"/>
        <v/>
      </c>
      <c r="Y23" s="576"/>
      <c r="Z23" s="573" t="str">
        <f t="shared" si="37"/>
        <v/>
      </c>
      <c r="AA23" s="576"/>
      <c r="AB23" s="573" t="str">
        <f t="shared" si="37"/>
        <v/>
      </c>
      <c r="AC23" s="576"/>
      <c r="AD23" s="573" t="str">
        <f t="shared" si="37"/>
        <v/>
      </c>
      <c r="AE23" s="576"/>
      <c r="AF23" s="573" t="str">
        <f t="shared" si="37"/>
        <v/>
      </c>
      <c r="AG23" s="576"/>
      <c r="AH23" s="573" t="str">
        <f t="shared" si="37"/>
        <v/>
      </c>
      <c r="AI23" s="576"/>
      <c r="AJ23" s="573" t="str">
        <f t="shared" si="37"/>
        <v/>
      </c>
      <c r="AK23" s="576"/>
      <c r="AL23" s="573" t="str">
        <f t="shared" si="38"/>
        <v/>
      </c>
      <c r="AM23" s="576"/>
      <c r="AN23" s="573" t="str">
        <f t="shared" si="39"/>
        <v/>
      </c>
      <c r="AO23" s="576"/>
      <c r="AP23" s="573" t="str">
        <f t="shared" si="40"/>
        <v/>
      </c>
      <c r="AQ23" s="576"/>
      <c r="AR23" s="573" t="str">
        <f t="shared" si="41"/>
        <v/>
      </c>
      <c r="AS23" s="576"/>
      <c r="AT23" s="573" t="str">
        <f t="shared" si="42"/>
        <v/>
      </c>
      <c r="AU23" s="576"/>
      <c r="AV23" s="573" t="str">
        <f t="shared" si="43"/>
        <v/>
      </c>
      <c r="AW23" s="576"/>
      <c r="AX23" s="573" t="str">
        <f t="shared" si="44"/>
        <v/>
      </c>
      <c r="AY23" s="576"/>
      <c r="AZ23" s="573" t="str">
        <f t="shared" si="45"/>
        <v/>
      </c>
      <c r="BA23" s="576"/>
      <c r="BB23" s="573" t="str">
        <f t="shared" si="46"/>
        <v/>
      </c>
      <c r="BC23" s="576"/>
      <c r="BD23" s="573" t="str">
        <f t="shared" si="47"/>
        <v/>
      </c>
      <c r="BE23" s="576"/>
      <c r="BF23" s="573" t="str">
        <f t="shared" si="48"/>
        <v/>
      </c>
      <c r="BG23" s="576"/>
      <c r="BH23" s="573" t="str">
        <f t="shared" si="49"/>
        <v/>
      </c>
      <c r="BI23" s="576"/>
      <c r="BJ23" s="573" t="str">
        <f t="shared" si="50"/>
        <v/>
      </c>
      <c r="BK23" s="576"/>
      <c r="BL23" s="573" t="str">
        <f t="shared" si="51"/>
        <v/>
      </c>
      <c r="BM23" s="576"/>
      <c r="BN23" s="573" t="str">
        <f t="shared" si="52"/>
        <v/>
      </c>
      <c r="BO23" s="576"/>
      <c r="BP23" s="573" t="str">
        <f t="shared" si="53"/>
        <v/>
      </c>
      <c r="BQ23" s="576"/>
      <c r="BR23" s="573" t="str">
        <f t="shared" si="54"/>
        <v/>
      </c>
      <c r="BS23" s="576"/>
      <c r="BT23" s="573" t="str">
        <f t="shared" si="55"/>
        <v/>
      </c>
      <c r="BU23" s="576"/>
      <c r="BV23" s="573" t="str">
        <f t="shared" si="56"/>
        <v/>
      </c>
      <c r="BW23" s="576"/>
      <c r="BX23" s="573" t="str">
        <f t="shared" si="57"/>
        <v/>
      </c>
      <c r="BY23" s="576"/>
      <c r="BZ23" s="573" t="str">
        <f t="shared" si="58"/>
        <v/>
      </c>
      <c r="CA23" s="576"/>
      <c r="CB23" s="573" t="str">
        <f t="shared" si="59"/>
        <v/>
      </c>
      <c r="CC23" s="576"/>
    </row>
    <row r="24" spans="1:81">
      <c r="A24" s="572">
        <f>'Master Data'!A41:B41</f>
        <v>0</v>
      </c>
      <c r="B24" s="573" t="str">
        <f>IF('Master Data'!B41&lt;&gt;0,'Master Data'!B41,"")</f>
        <v/>
      </c>
      <c r="C24" s="574" t="str">
        <f>IF(A24&lt;&gt;0,SUMIF('Effort Estimation'!H:H,A24,'Effort Estimation'!O:O),"")</f>
        <v/>
      </c>
      <c r="D24" s="564"/>
      <c r="E24" s="565"/>
      <c r="F24" s="575"/>
      <c r="G24" s="576"/>
      <c r="H24" s="573" t="str">
        <f t="shared" si="37"/>
        <v/>
      </c>
      <c r="I24" s="576"/>
      <c r="J24" s="573" t="str">
        <f t="shared" si="37"/>
        <v/>
      </c>
      <c r="K24" s="576"/>
      <c r="L24" s="573" t="str">
        <f t="shared" si="37"/>
        <v/>
      </c>
      <c r="M24" s="576"/>
      <c r="N24" s="573" t="str">
        <f t="shared" si="37"/>
        <v/>
      </c>
      <c r="O24" s="576"/>
      <c r="P24" s="573" t="str">
        <f t="shared" si="37"/>
        <v/>
      </c>
      <c r="Q24" s="576"/>
      <c r="R24" s="573" t="str">
        <f t="shared" si="37"/>
        <v/>
      </c>
      <c r="S24" s="576"/>
      <c r="T24" s="573" t="str">
        <f t="shared" si="37"/>
        <v/>
      </c>
      <c r="U24" s="576"/>
      <c r="V24" s="573" t="str">
        <f t="shared" si="37"/>
        <v/>
      </c>
      <c r="W24" s="576"/>
      <c r="X24" s="573" t="str">
        <f t="shared" si="37"/>
        <v/>
      </c>
      <c r="Y24" s="576"/>
      <c r="Z24" s="573" t="str">
        <f t="shared" si="37"/>
        <v/>
      </c>
      <c r="AA24" s="576"/>
      <c r="AB24" s="573" t="str">
        <f t="shared" si="37"/>
        <v/>
      </c>
      <c r="AC24" s="576"/>
      <c r="AD24" s="573" t="str">
        <f t="shared" si="37"/>
        <v/>
      </c>
      <c r="AE24" s="576"/>
      <c r="AF24" s="573" t="str">
        <f t="shared" si="37"/>
        <v/>
      </c>
      <c r="AG24" s="576"/>
      <c r="AH24" s="573" t="str">
        <f t="shared" si="37"/>
        <v/>
      </c>
      <c r="AI24" s="576"/>
      <c r="AJ24" s="573" t="str">
        <f t="shared" si="37"/>
        <v/>
      </c>
      <c r="AK24" s="576"/>
      <c r="AL24" s="573" t="str">
        <f t="shared" si="38"/>
        <v/>
      </c>
      <c r="AM24" s="576"/>
      <c r="AN24" s="573" t="str">
        <f t="shared" si="39"/>
        <v/>
      </c>
      <c r="AO24" s="576"/>
      <c r="AP24" s="573" t="str">
        <f t="shared" si="40"/>
        <v/>
      </c>
      <c r="AQ24" s="576"/>
      <c r="AR24" s="573" t="str">
        <f t="shared" si="41"/>
        <v/>
      </c>
      <c r="AS24" s="576"/>
      <c r="AT24" s="573" t="str">
        <f t="shared" si="42"/>
        <v/>
      </c>
      <c r="AU24" s="576"/>
      <c r="AV24" s="573" t="str">
        <f t="shared" si="43"/>
        <v/>
      </c>
      <c r="AW24" s="576"/>
      <c r="AX24" s="573" t="str">
        <f t="shared" si="44"/>
        <v/>
      </c>
      <c r="AY24" s="576"/>
      <c r="AZ24" s="573" t="str">
        <f t="shared" si="45"/>
        <v/>
      </c>
      <c r="BA24" s="576"/>
      <c r="BB24" s="573" t="str">
        <f t="shared" si="46"/>
        <v/>
      </c>
      <c r="BC24" s="576"/>
      <c r="BD24" s="573" t="str">
        <f t="shared" si="47"/>
        <v/>
      </c>
      <c r="BE24" s="576"/>
      <c r="BF24" s="573" t="str">
        <f t="shared" si="48"/>
        <v/>
      </c>
      <c r="BG24" s="576"/>
      <c r="BH24" s="573" t="str">
        <f t="shared" si="49"/>
        <v/>
      </c>
      <c r="BI24" s="576"/>
      <c r="BJ24" s="573" t="str">
        <f t="shared" si="50"/>
        <v/>
      </c>
      <c r="BK24" s="576"/>
      <c r="BL24" s="573" t="str">
        <f t="shared" si="51"/>
        <v/>
      </c>
      <c r="BM24" s="576"/>
      <c r="BN24" s="573" t="str">
        <f t="shared" si="52"/>
        <v/>
      </c>
      <c r="BO24" s="576"/>
      <c r="BP24" s="573" t="str">
        <f t="shared" si="53"/>
        <v/>
      </c>
      <c r="BQ24" s="576"/>
      <c r="BR24" s="573" t="str">
        <f t="shared" si="54"/>
        <v/>
      </c>
      <c r="BS24" s="576"/>
      <c r="BT24" s="573" t="str">
        <f t="shared" si="55"/>
        <v/>
      </c>
      <c r="BU24" s="576"/>
      <c r="BV24" s="573" t="str">
        <f t="shared" si="56"/>
        <v/>
      </c>
      <c r="BW24" s="576"/>
      <c r="BX24" s="573" t="str">
        <f t="shared" si="57"/>
        <v/>
      </c>
      <c r="BY24" s="576"/>
      <c r="BZ24" s="573" t="str">
        <f t="shared" si="58"/>
        <v/>
      </c>
      <c r="CA24" s="576"/>
      <c r="CB24" s="573" t="str">
        <f t="shared" si="59"/>
        <v/>
      </c>
      <c r="CC24" s="576"/>
    </row>
    <row r="25" spans="1:81">
      <c r="A25" s="572">
        <f>'Master Data'!A42:B42</f>
        <v>0</v>
      </c>
      <c r="B25" s="573" t="str">
        <f>IF('Master Data'!B42&lt;&gt;0,'Master Data'!B42,"")</f>
        <v/>
      </c>
      <c r="C25" s="574" t="str">
        <f>IF(A25&lt;&gt;0,SUMIF('Effort Estimation'!H:H,A25,'Effort Estimation'!O:O),"")</f>
        <v/>
      </c>
      <c r="D25" s="564"/>
      <c r="E25" s="565"/>
      <c r="F25" s="575"/>
      <c r="G25" s="576"/>
      <c r="H25" s="573" t="str">
        <f t="shared" si="37"/>
        <v/>
      </c>
      <c r="I25" s="576"/>
      <c r="J25" s="573" t="str">
        <f t="shared" si="37"/>
        <v/>
      </c>
      <c r="K25" s="576"/>
      <c r="L25" s="573" t="str">
        <f t="shared" si="37"/>
        <v/>
      </c>
      <c r="M25" s="576"/>
      <c r="N25" s="573" t="str">
        <f t="shared" si="37"/>
        <v/>
      </c>
      <c r="O25" s="576"/>
      <c r="P25" s="573" t="str">
        <f t="shared" si="37"/>
        <v/>
      </c>
      <c r="Q25" s="576"/>
      <c r="R25" s="573" t="str">
        <f t="shared" si="37"/>
        <v/>
      </c>
      <c r="S25" s="576"/>
      <c r="T25" s="573" t="str">
        <f t="shared" si="37"/>
        <v/>
      </c>
      <c r="U25" s="576"/>
      <c r="V25" s="573" t="str">
        <f t="shared" si="37"/>
        <v/>
      </c>
      <c r="W25" s="576"/>
      <c r="X25" s="573" t="str">
        <f t="shared" si="37"/>
        <v/>
      </c>
      <c r="Y25" s="576"/>
      <c r="Z25" s="573" t="str">
        <f t="shared" si="37"/>
        <v/>
      </c>
      <c r="AA25" s="576"/>
      <c r="AB25" s="573" t="str">
        <f t="shared" si="37"/>
        <v/>
      </c>
      <c r="AC25" s="576"/>
      <c r="AD25" s="573" t="str">
        <f t="shared" si="37"/>
        <v/>
      </c>
      <c r="AE25" s="576"/>
      <c r="AF25" s="573" t="str">
        <f t="shared" si="37"/>
        <v/>
      </c>
      <c r="AG25" s="576"/>
      <c r="AH25" s="573" t="str">
        <f t="shared" si="37"/>
        <v/>
      </c>
      <c r="AI25" s="576"/>
      <c r="AJ25" s="573" t="str">
        <f t="shared" si="37"/>
        <v/>
      </c>
      <c r="AK25" s="576"/>
      <c r="AL25" s="573" t="str">
        <f t="shared" si="38"/>
        <v/>
      </c>
      <c r="AM25" s="576"/>
      <c r="AN25" s="573" t="str">
        <f t="shared" si="39"/>
        <v/>
      </c>
      <c r="AO25" s="576"/>
      <c r="AP25" s="573" t="str">
        <f t="shared" si="40"/>
        <v/>
      </c>
      <c r="AQ25" s="576"/>
      <c r="AR25" s="573" t="str">
        <f t="shared" si="41"/>
        <v/>
      </c>
      <c r="AS25" s="576"/>
      <c r="AT25" s="573" t="str">
        <f t="shared" si="42"/>
        <v/>
      </c>
      <c r="AU25" s="576"/>
      <c r="AV25" s="573" t="str">
        <f t="shared" si="43"/>
        <v/>
      </c>
      <c r="AW25" s="576"/>
      <c r="AX25" s="573" t="str">
        <f t="shared" si="44"/>
        <v/>
      </c>
      <c r="AY25" s="576"/>
      <c r="AZ25" s="573" t="str">
        <f t="shared" si="45"/>
        <v/>
      </c>
      <c r="BA25" s="576"/>
      <c r="BB25" s="573" t="str">
        <f t="shared" si="46"/>
        <v/>
      </c>
      <c r="BC25" s="576"/>
      <c r="BD25" s="573" t="str">
        <f t="shared" si="47"/>
        <v/>
      </c>
      <c r="BE25" s="576"/>
      <c r="BF25" s="573" t="str">
        <f t="shared" si="48"/>
        <v/>
      </c>
      <c r="BG25" s="576"/>
      <c r="BH25" s="573" t="str">
        <f t="shared" si="49"/>
        <v/>
      </c>
      <c r="BI25" s="576"/>
      <c r="BJ25" s="573" t="str">
        <f t="shared" si="50"/>
        <v/>
      </c>
      <c r="BK25" s="576"/>
      <c r="BL25" s="573" t="str">
        <f t="shared" si="51"/>
        <v/>
      </c>
      <c r="BM25" s="576"/>
      <c r="BN25" s="573" t="str">
        <f t="shared" si="52"/>
        <v/>
      </c>
      <c r="BO25" s="576"/>
      <c r="BP25" s="573" t="str">
        <f t="shared" si="53"/>
        <v/>
      </c>
      <c r="BQ25" s="576"/>
      <c r="BR25" s="573" t="str">
        <f t="shared" si="54"/>
        <v/>
      </c>
      <c r="BS25" s="576"/>
      <c r="BT25" s="573" t="str">
        <f t="shared" si="55"/>
        <v/>
      </c>
      <c r="BU25" s="576"/>
      <c r="BV25" s="573" t="str">
        <f t="shared" si="56"/>
        <v/>
      </c>
      <c r="BW25" s="576"/>
      <c r="BX25" s="573" t="str">
        <f t="shared" si="57"/>
        <v/>
      </c>
      <c r="BY25" s="576"/>
      <c r="BZ25" s="573" t="str">
        <f t="shared" si="58"/>
        <v/>
      </c>
      <c r="CA25" s="576"/>
      <c r="CB25" s="573" t="str">
        <f t="shared" si="59"/>
        <v/>
      </c>
      <c r="CC25" s="576"/>
    </row>
    <row r="26" spans="1:81">
      <c r="A26" s="572"/>
      <c r="B26" s="561"/>
      <c r="C26" s="561"/>
      <c r="D26" s="564"/>
      <c r="E26" s="565"/>
      <c r="F26" s="561"/>
      <c r="G26" s="803" t="str">
        <f>IF(SUM(G8:G25)&lt;&gt;0,SUM(G8:G25),"")</f>
        <v/>
      </c>
      <c r="H26" s="561"/>
      <c r="I26" s="803" t="str">
        <f>IF(SUM(I8:I25)&lt;&gt;0,SUM(I8:I25),"")</f>
        <v/>
      </c>
      <c r="J26" s="561"/>
      <c r="K26" s="803" t="str">
        <f>IF(SUM(K8:K25)&lt;&gt;0,SUM(K8:K25),"")</f>
        <v/>
      </c>
      <c r="L26" s="561"/>
      <c r="M26" s="803" t="str">
        <f>IF(SUM(M8:M25)&lt;&gt;0,SUM(M8:M25),"")</f>
        <v/>
      </c>
      <c r="N26" s="561"/>
      <c r="O26" s="803" t="str">
        <f>IF(SUM(O8:O25)&lt;&gt;0,SUM(O8:O25),"")</f>
        <v/>
      </c>
      <c r="P26" s="561"/>
      <c r="Q26" s="803" t="str">
        <f>IF(SUM(Q8:Q25)&lt;&gt;0,SUM(Q8:Q25),"")</f>
        <v/>
      </c>
      <c r="R26" s="561"/>
      <c r="S26" s="803" t="str">
        <f>IF(SUM(S8:S25)&lt;&gt;0,SUM(S8:S25),"")</f>
        <v/>
      </c>
      <c r="T26" s="561"/>
      <c r="U26" s="803" t="str">
        <f>IF(SUM(U8:U25)&lt;&gt;0,SUM(U8:U25),"")</f>
        <v/>
      </c>
      <c r="V26" s="561"/>
      <c r="W26" s="803" t="str">
        <f>IF(SUM(W8:W25)&lt;&gt;0,SUM(W8:W25),"")</f>
        <v/>
      </c>
      <c r="Y26" s="803" t="str">
        <f>IF(SUM(Y8:Y25)&lt;&gt;0,SUM(Y8:Y25),"")</f>
        <v/>
      </c>
      <c r="AA26" s="803" t="str">
        <f>IF(SUM(AA8:AA25)&lt;&gt;0,SUM(AA8:AA25),"")</f>
        <v/>
      </c>
      <c r="AC26" s="803" t="str">
        <f>IF(SUM(AC8:AC25)&lt;&gt;0,SUM(AC8:AC25),"")</f>
        <v/>
      </c>
      <c r="AE26" s="803" t="str">
        <f>IF(SUM(AE8:AE25)&lt;&gt;0,SUM(AE8:AE25),"")</f>
        <v/>
      </c>
      <c r="AG26" s="803" t="str">
        <f>IF(SUM(AG8:AG25)&lt;&gt;0,SUM(AG8:AG25),"")</f>
        <v/>
      </c>
      <c r="AI26" s="803" t="str">
        <f>IF(SUM(AI8:AI25)&lt;&gt;0,SUM(AI8:AI25),"")</f>
        <v/>
      </c>
      <c r="AK26" s="803" t="str">
        <f>IF(SUM(AK8:AK25)&lt;&gt;0,SUM(AK8:AK25),"")</f>
        <v/>
      </c>
      <c r="AM26" s="803" t="str">
        <f>IF(SUM(AM8:AM25)&lt;&gt;0,SUM(AM8:AM25),"")</f>
        <v/>
      </c>
      <c r="AO26" s="803" t="str">
        <f>IF(SUM(AO8:AO25)&lt;&gt;0,SUM(AO8:AO25),"")</f>
        <v/>
      </c>
      <c r="AQ26" s="803" t="str">
        <f>IF(SUM(AQ8:AQ25)&lt;&gt;0,SUM(AQ8:AQ25),"")</f>
        <v/>
      </c>
      <c r="AS26" s="803" t="str">
        <f>IF(SUM(AS8:AS25)&lt;&gt;0,SUM(AS8:AS25),"")</f>
        <v/>
      </c>
      <c r="AU26" s="803" t="str">
        <f>IF(SUM(AU8:AU25)&lt;&gt;0,SUM(AU8:AU25),"")</f>
        <v/>
      </c>
      <c r="AW26" s="803" t="str">
        <f>IF(SUM(AW8:AW25)&lt;&gt;0,SUM(AW8:AW25),"")</f>
        <v/>
      </c>
      <c r="AY26" s="803" t="str">
        <f>IF(SUM(AY8:AY25)&lt;&gt;0,SUM(AY8:AY25),"")</f>
        <v/>
      </c>
      <c r="BA26" s="803" t="str">
        <f>IF(SUM(BA8:BA25)&lt;&gt;0,SUM(BA8:BA25),"")</f>
        <v/>
      </c>
      <c r="BC26" s="803" t="str">
        <f>IF(SUM(BC8:BC25)&lt;&gt;0,SUM(BC8:BC25),"")</f>
        <v/>
      </c>
      <c r="BE26" s="803" t="str">
        <f>IF(SUM(BE8:BE25)&lt;&gt;0,SUM(BE8:BE25),"")</f>
        <v/>
      </c>
      <c r="BG26" s="803" t="str">
        <f>IF(SUM(BG8:BG25)&lt;&gt;0,SUM(BG8:BG25),"")</f>
        <v/>
      </c>
      <c r="BI26" s="803" t="str">
        <f>IF(SUM(BI8:BI25)&lt;&gt;0,SUM(BI8:BI25),"")</f>
        <v/>
      </c>
      <c r="BK26" s="803" t="str">
        <f>IF(SUM(BK8:BK25)&lt;&gt;0,SUM(BK8:BK25),"")</f>
        <v/>
      </c>
      <c r="BM26" s="803" t="str">
        <f>IF(SUM(BM8:BM25)&lt;&gt;0,SUM(BM8:BM25),"")</f>
        <v/>
      </c>
      <c r="BO26" s="803" t="str">
        <f>IF(SUM(BO8:BO25)&lt;&gt;0,SUM(BO8:BO25),"")</f>
        <v/>
      </c>
      <c r="BQ26" s="803" t="str">
        <f>IF(SUM(BQ8:BQ25)&lt;&gt;0,SUM(BQ8:BQ25),"")</f>
        <v/>
      </c>
      <c r="BS26" s="803" t="str">
        <f>IF(SUM(BS8:BS25)&lt;&gt;0,SUM(BS8:BS25),"")</f>
        <v/>
      </c>
      <c r="BU26" s="803" t="str">
        <f>IF(SUM(BU8:BU25)&lt;&gt;0,SUM(BU8:BU25),"")</f>
        <v/>
      </c>
      <c r="BW26" s="803" t="str">
        <f>IF(SUM(BW8:BW25)&lt;&gt;0,SUM(BW8:BW25),"")</f>
        <v/>
      </c>
      <c r="BY26" s="803" t="str">
        <f>IF(SUM(BY8:BY25)&lt;&gt;0,SUM(BY8:BY25),"")</f>
        <v/>
      </c>
      <c r="CA26" s="803" t="str">
        <f>IF(SUM(CA8:CA25)&lt;&gt;0,SUM(CA8:CA25),"")</f>
        <v/>
      </c>
      <c r="CC26" s="803" t="str">
        <f>IF(SUM(CC8:CC25)&lt;&gt;0,SUM(CC8:CC25),"")</f>
        <v/>
      </c>
    </row>
    <row r="27" spans="1:81">
      <c r="A27" s="572"/>
      <c r="B27" s="801" t="s">
        <v>1540</v>
      </c>
      <c r="C27" s="802">
        <f>IF(SUM(C8:C25)&lt;&gt;0,SUM(C8:C25),"")</f>
        <v>73</v>
      </c>
      <c r="D27" s="564"/>
      <c r="E27" s="565"/>
      <c r="F27" s="1197" t="s">
        <v>1095</v>
      </c>
      <c r="G27" s="1198"/>
      <c r="H27" s="1198"/>
      <c r="I27" s="1198"/>
      <c r="J27" s="807">
        <f>IF(COUNTA('Master Data'!$M$24:$M$42)&lt;&gt;0,COUNTA('Master Data'!$M$24:$M$42),"")</f>
        <v>3</v>
      </c>
      <c r="K27" s="810" t="s">
        <v>1547</v>
      </c>
      <c r="L27" s="578" t="s">
        <v>1543</v>
      </c>
      <c r="M27" s="579"/>
      <c r="N27" s="561"/>
      <c r="O27" s="561"/>
      <c r="P27" s="561"/>
      <c r="Q27" s="561"/>
      <c r="R27" s="561"/>
      <c r="S27" s="561"/>
      <c r="T27" s="561"/>
      <c r="U27" s="561"/>
      <c r="V27" s="561"/>
      <c r="W27" s="561"/>
    </row>
    <row r="28" spans="1:81">
      <c r="A28" s="561"/>
      <c r="B28" s="561"/>
      <c r="C28" s="561"/>
      <c r="D28" s="564"/>
      <c r="E28" s="565"/>
      <c r="F28" s="1195" t="s">
        <v>1542</v>
      </c>
      <c r="G28" s="1196"/>
      <c r="H28" s="1196"/>
      <c r="I28" s="1196"/>
      <c r="J28" s="808" t="str">
        <f>IF(SUM($F$26:$CC$26)*RPWorkdays&lt;&gt;0,SUM($F$26:$CC$26)*RPWorkdays,"")</f>
        <v/>
      </c>
      <c r="K28" s="810">
        <f>COUNTIF($M$29:$M$46,"&gt;0")</f>
        <v>0</v>
      </c>
      <c r="L28" s="580" t="s">
        <v>1093</v>
      </c>
      <c r="M28" s="581" t="s">
        <v>1094</v>
      </c>
      <c r="N28" s="805" t="s">
        <v>1544</v>
      </c>
      <c r="O28" s="805" t="s">
        <v>1545</v>
      </c>
      <c r="P28" s="561"/>
      <c r="Q28" s="561"/>
      <c r="R28" s="561"/>
      <c r="S28" s="561"/>
      <c r="T28" s="561"/>
      <c r="U28" s="561"/>
      <c r="V28" s="561"/>
      <c r="W28" s="561"/>
    </row>
    <row r="29" spans="1:81">
      <c r="A29" s="561"/>
      <c r="B29" s="561"/>
      <c r="C29" s="561"/>
      <c r="D29" s="564"/>
      <c r="E29" s="565"/>
      <c r="F29" s="1193" t="s">
        <v>1546</v>
      </c>
      <c r="G29" s="1194"/>
      <c r="H29" s="1194"/>
      <c r="I29" s="1194"/>
      <c r="J29" s="809" t="str">
        <f>IF(K28&gt;0,SUM($M$29:$M$46)/K28,"")</f>
        <v/>
      </c>
      <c r="L29" s="561" t="str">
        <f>IF($F8&lt;&gt;0,$F8,"")</f>
        <v/>
      </c>
      <c r="M29" s="582" t="str">
        <f t="shared" ref="M29:M46" si="60">IF($O29&gt;0,$N29/$O29,"")</f>
        <v/>
      </c>
      <c r="N29" s="806">
        <f t="shared" ref="N29:N46" si="61">SUMIFS($G$8:$G$25,$F$8:$F$25,$L29,$G$8:$G$25,"&gt;0")
+SUMIFS($I$8:$I$25,$H$8:$H$25,$L29,$I$8:$I$25,"&gt;0")
+SUMIFS($K$8:$K$25,$J$8:$J$25,$L29,$K$8:$K$25,"&gt;0")
+SUMIFS($M$8:$M$25,$L$8:$L$25,$L29,$M$8:$M$25,"&gt;0")
+SUMIFS($O$8:$O$25,$N$8:$N$25,$L29,$O$8:$O$25,"&gt;0")
+SUMIFS($Q$8:$Q$25,$P$8:$P$25,$L29,$Q$8:$Q$25,"&gt;0")
+SUMIFS($S$8:$S$25,$R$8:$R$25,$L29,$S$8:$S$25,"&gt;0")
+SUMIFS($U$8:$U$25,$T$8:$T$25,$L29,$U$8:$U$25,"&gt;0")
+SUMIFS($W$8:$W$25,$V$8:$V$25,$L29,$W$8:$W$25,"&gt;0")
+SUMIFS($Y$8:$Y$25,$X$8:$X$25,$L29,$Y$8:$Y$25,"&gt;0")
+SUMIFS($AA$8:$AA$25,$Z$8:$Z$25,$L29,$AA$8:$AA$25,"&gt;0")
+SUMIFS($AC$8:$AC$25,$AB$8:$AB$25,$L29,$AC$8:$AC$25,"&gt;0")
+SUMIFS($AE$8:$AE$25,$AD$8:$AD$25,$L29,$AE$8:$AE$25,"&gt;0")
+SUMIFS($AG$8:$AG$25,$AF$8:$AF$25,$L29,$AG$8:$AG$25,"&gt;0")
+SUMIFS($AI$8:$AI$25,$AH$8:$AH$25,$L29,$AI$8:$AI$25,"&gt;0")
+SUMIFS($AK$8:$AK$25,$AJ$8:$AJ$25,$L29,$AK$8:$AK$25,"&gt;0")
+SUMIFS($AM$8:$AM$25,$AL$8:$AL$25,$L29,$AM$8:$AM$25,"&gt;0")
+SUMIFS($AO$8:$AO$25,$AN$8:$AN$25,$L29,$AO$8:$AO$25,"&gt;0")
+SUMIFS($AQ$8:$AQ$25,$AP$8:$AP$25,$L29,$AQ$8:$AQ$25,"&gt;0")
+SUMIFS($AS$8:$AS$25,$AR$8:$AR$25,$L29,$AS$8:$AS$25,"&gt;0")
+SUMIFS($AU$8:$AU$25,$AT$8:$AT$25,$L29,$AU$8:$AU$25,"&gt;0")
+SUMIFS($AW$8:$AW$25,$AV$8:$AV$25,$L29,$AW$8:$AW$25,"&gt;0")
+SUMIFS($AY$8:$AY$25,$AX$8:$AX$25,$L29,$AY$8:$AY$25,"&gt;0")
+SUMIFS($BA$8:$BA$25,$AZ$8:$AZ$25,$L29,$BA$8:$BA$25,"&gt;0")
+SUMIFS($BC$8:$BC$25,$BB$8:$BB$25,$L29,$BC$8:$BC$25,"&gt;0")
+SUMIFS($BE$8:$BE$25,$BD$8:$BD$25,$L29,$BE$8:$BE$25,"&gt;0")
+SUMIFS($BG$8:$BG$25,$BF$8:$BF$25,$L29,$BG$8:$BG$25,"&gt;0")
+SUMIFS($BI$8:$BI$25,$BH$8:$BH$25,$L29,$BI$8:$BI$25,"&gt;0")
+SUMIFS($BK$8:$BK$25,$BJ$8:$BJ$25,$L29,$BK$8:$BK$25,"&gt;0")
+SUMIFS($BM$8:$BM$25,$BL$8:$BL$25,$L29,$BM$8:$BM$25,"&gt;0")
+SUMIFS($BO$8:$BO$25,$BN$8:$BN$25,$L29,$BO$8:$BO$25,"&gt;0")
+SUMIFS($BQ$8:$BQ$25,$BP$8:$BP$25,$L29,$BQ$8:$BQ$25,"&gt;0")
+SUMIFS($BS$8:$BS$25,$BR$8:$BR$25,$L29,$BS$8:$BS$25,"&gt;0")
+SUMIFS($BU$8:$BU$25,$BT$8:$BT$25,$L29,$BU$8:$BU$25,"&gt;0")
+SUMIFS($BW$8:$BW$25,$BV$8:$BV$25,$L29,$BW$8:$BW$25,"&gt;0")
+SUMIFS($BY$8:$BY$25,$BX$8:$BX$25,$L29,$BY$8:$BY$25,"&gt;0")
+SUMIFS($CA$8:$CA$25,$BZ$8:$BZ$25,$L29,$CA$8:$CA$25,"&gt;0")
+SUMIFS($CC$8:$CC$25,$CB$8:$CB$25,$L29,$CC$8:$CC$25,"&gt;0")</f>
        <v>0</v>
      </c>
      <c r="O29" s="572">
        <f t="shared" ref="O29:O46" si="62">COUNTIFS($F$8:$F$25,$L29,$G$8:$G$25,"&gt;0")
+COUNTIFS($H$8:$H$25,$L29,$I$8:$I$25,"&gt;0")
+COUNTIFS($J$8:$J$25,$L29,$K$8:$K$25,"&gt;0")
+COUNTIFS($L$8:$L$25,$L29,$M$8:$M$25,"&gt;0")
+COUNTIFS($N$8:$N$25,$L29,$O$8:$O$25,"&gt;0")
+COUNTIFS($P$8:$P$25,$L29,$Q$8:$Q$25,"&gt;0")
+COUNTIFS($R$8:$R$25,$L29,$S$8:$S$25,"&gt;0")
+COUNTIFS($T$8:$T$25,$L29,$U$8:$U$25,"&gt;0")
+COUNTIFS($V$8:$V$25,$L29,$W$8:$W$25,"&gt;0")
+COUNTIFS($X$8:$X$25,$L29,$Y$8:$Y$25,"&gt;0")
+COUNTIFS($Z$8:$Z$25,$L29,$AA$8:$AA$25,"&gt;0")
+COUNTIFS($AB$8:$AB$25,$L29,$AC$8:$AC$25,"&gt;0")
+COUNTIFS($AD$8:$AD$25,$L29,$AE$8:$AE$25,"&gt;0")
+COUNTIFS($AF$8:$AF$25,$L29,$AG$8:$AG$25,"&gt;0")
+COUNTIFS($AH$8:$AH$25,$L29,$AI$8:$AI$25,"&gt;0")
+COUNTIFS($AJ$8:$AJ$25,$L29,$AK$8:$AK$25,"&gt;0")
+COUNTIFS($AL$8:$AL$25,$L29,$AM$8:$AM$25,"&gt;0")
+COUNTIFS($AN$8:$AN$25,$L29,$AO$8:$AO$25,"&gt;0")
+COUNTIFS($AP$8:$AP$25,$L29,$AQ$8:$AQ$25,"&gt;0")
+COUNTIFS($AR$8:$AR$25,$L29,$AS$8:$AS$25,"&gt;0")
+COUNTIFS($AT$8:$AT$25,$L29,$AU$8:$AU$25,"&gt;0")
+COUNTIFS($AV$8:$AV$25,$L29,$AW$8:$AW$25,"&gt;0")
+COUNTIFS($AX$8:$AX$25,$L29,$AY$8:$AY$25,"&gt;0")
+COUNTIFS($AZ$8:$AZ$25,$L29,$BA$8:$BA$25,"&gt;0")
+COUNTIFS($BB$8:$BB$25,$L29,$BC$8:$BC$25,"&gt;0")
+COUNTIFS($BD$8:$BD$25,$L29,$BE$8:$BE$25,"&gt;0")
+COUNTIFS($BF$8:$BF$25,$L29,$BG$8:$BG$25,"&gt;0")
+COUNTIFS($BH$8:$BH$25,$L29,$BI$8:$BI$25,"&gt;0")
+COUNTIFS($BJ$8:$BJ$25,$L29,$BK$8:$BK$25,"&gt;0")
+COUNTIFS($BL$8:$BL$25,$L29,$BM$8:$BM$25,"&gt;0")
+COUNTIFS($BN$8:$BN$25,$L29,$BO$8:$BO$25,"&gt;0")
+COUNTIFS($BP$8:$BP$25,$L29,$BQ$8:$BQ$25,"&gt;0")
+COUNTIFS($BR$8:$BR$25,$L29,$BS$8:$BS$25,"&gt;0")
+COUNTIFS($BT$8:$BT$25,$L29,$BU$8:$BU$25,"&gt;0")
+COUNTIFS($BV$8:$BV$25,$L29,$BW$8:$BW$25,"&gt;0")
+COUNTIFS($BX$8:$BX$25,$L29,$BY$8:$BY$25,"&gt;0")
+COUNTIFS($BZ$8:$BZ$25,$L29,$CA$8:$CA$25,"&gt;0")
+COUNTIFS($CB$8:$CB$25,$L29,$CC$8:$CC$25,"&gt;0")</f>
        <v>0</v>
      </c>
      <c r="P29" s="561"/>
      <c r="Q29" s="561"/>
      <c r="R29" s="561"/>
      <c r="S29" s="561"/>
      <c r="T29" s="561"/>
      <c r="U29" s="561"/>
      <c r="V29" s="561"/>
      <c r="W29" s="561"/>
    </row>
    <row r="30" spans="1:81">
      <c r="A30" s="561"/>
      <c r="B30" s="561"/>
      <c r="C30" s="561"/>
      <c r="D30" s="564"/>
      <c r="E30" s="565"/>
      <c r="F30" s="561"/>
      <c r="G30" s="561"/>
      <c r="H30" s="561"/>
      <c r="I30" s="561"/>
      <c r="J30" s="561"/>
      <c r="L30" s="561" t="str">
        <f t="shared" ref="L30:L46" si="63">IF($F9&lt;&gt;0,$F9,"")</f>
        <v/>
      </c>
      <c r="M30" s="582" t="str">
        <f t="shared" si="60"/>
        <v/>
      </c>
      <c r="N30" s="806">
        <f t="shared" si="61"/>
        <v>0</v>
      </c>
      <c r="O30" s="572">
        <f t="shared" si="62"/>
        <v>0</v>
      </c>
      <c r="P30" s="561"/>
      <c r="Q30" s="561"/>
      <c r="R30" s="561"/>
      <c r="S30" s="561"/>
      <c r="T30" s="561"/>
      <c r="U30" s="561"/>
      <c r="V30" s="561"/>
      <c r="W30" s="561"/>
    </row>
    <row r="31" spans="1:81">
      <c r="A31" s="561"/>
      <c r="B31" s="804" t="s">
        <v>1541</v>
      </c>
      <c r="C31" s="509">
        <v>20</v>
      </c>
      <c r="D31" s="564"/>
      <c r="E31" s="565"/>
      <c r="F31" s="561"/>
      <c r="G31" s="561"/>
      <c r="H31" s="561"/>
      <c r="I31" s="561"/>
      <c r="L31" s="561" t="str">
        <f t="shared" si="63"/>
        <v/>
      </c>
      <c r="M31" s="582" t="str">
        <f t="shared" si="60"/>
        <v/>
      </c>
      <c r="N31" s="806">
        <f t="shared" si="61"/>
        <v>0</v>
      </c>
      <c r="O31" s="572">
        <f t="shared" si="62"/>
        <v>0</v>
      </c>
      <c r="P31" s="561"/>
      <c r="Q31" s="561"/>
      <c r="R31" s="561"/>
      <c r="S31" s="561"/>
      <c r="T31" s="561"/>
      <c r="U31" s="561"/>
      <c r="V31" s="561"/>
      <c r="W31" s="561"/>
    </row>
    <row r="32" spans="1:81">
      <c r="A32" s="561"/>
      <c r="B32" s="561"/>
      <c r="C32" s="561"/>
      <c r="D32" s="564"/>
      <c r="E32" s="565"/>
      <c r="F32" s="561"/>
      <c r="G32" s="561"/>
      <c r="H32" s="561"/>
      <c r="I32" s="561"/>
      <c r="J32" s="561"/>
      <c r="L32" s="561" t="str">
        <f t="shared" si="63"/>
        <v/>
      </c>
      <c r="M32" s="582" t="str">
        <f t="shared" si="60"/>
        <v/>
      </c>
      <c r="N32" s="806">
        <f t="shared" si="61"/>
        <v>0</v>
      </c>
      <c r="O32" s="572">
        <f t="shared" si="62"/>
        <v>0</v>
      </c>
      <c r="P32" s="561"/>
      <c r="Q32" s="561"/>
      <c r="R32" s="561"/>
      <c r="S32" s="561"/>
      <c r="T32" s="561"/>
      <c r="U32" s="561"/>
      <c r="V32" s="561"/>
      <c r="W32" s="561"/>
    </row>
    <row r="33" spans="1:25">
      <c r="A33" s="561"/>
      <c r="B33" s="561"/>
      <c r="C33" s="561"/>
      <c r="D33" s="564"/>
      <c r="E33" s="565"/>
      <c r="F33" s="561"/>
      <c r="G33" s="561"/>
      <c r="H33" s="561"/>
      <c r="I33" s="561"/>
      <c r="J33" s="561"/>
      <c r="L33" s="561" t="str">
        <f t="shared" si="63"/>
        <v/>
      </c>
      <c r="M33" s="582" t="str">
        <f t="shared" si="60"/>
        <v/>
      </c>
      <c r="N33" s="806">
        <f t="shared" si="61"/>
        <v>0</v>
      </c>
      <c r="O33" s="572">
        <f t="shared" si="62"/>
        <v>0</v>
      </c>
      <c r="P33" s="561"/>
      <c r="Q33" s="561"/>
      <c r="R33" s="561"/>
      <c r="S33" s="561"/>
      <c r="T33" s="561"/>
      <c r="U33" s="561"/>
      <c r="V33" s="561"/>
      <c r="W33" s="561"/>
    </row>
    <row r="34" spans="1:25">
      <c r="A34" s="561"/>
      <c r="B34" s="561"/>
      <c r="C34" s="561"/>
      <c r="D34" s="564"/>
      <c r="E34" s="565"/>
      <c r="F34" s="561"/>
      <c r="G34" s="561"/>
      <c r="H34" s="561"/>
      <c r="I34" s="561"/>
      <c r="J34" s="561"/>
      <c r="L34" s="561" t="str">
        <f t="shared" si="63"/>
        <v/>
      </c>
      <c r="M34" s="582" t="str">
        <f t="shared" si="60"/>
        <v/>
      </c>
      <c r="N34" s="806">
        <f t="shared" si="61"/>
        <v>0</v>
      </c>
      <c r="O34" s="572">
        <f t="shared" si="62"/>
        <v>0</v>
      </c>
      <c r="P34" s="561"/>
      <c r="Q34" s="561"/>
      <c r="R34" s="561"/>
      <c r="S34" s="561"/>
      <c r="T34" s="561"/>
      <c r="U34" s="561"/>
      <c r="V34" s="561"/>
      <c r="W34" s="561"/>
    </row>
    <row r="35" spans="1:25">
      <c r="A35" s="561"/>
      <c r="B35" s="561"/>
      <c r="C35" s="561"/>
      <c r="D35" s="564"/>
      <c r="E35" s="565"/>
      <c r="F35" s="561"/>
      <c r="G35" s="561"/>
      <c r="H35" s="561"/>
      <c r="I35" s="561"/>
      <c r="J35" s="561"/>
      <c r="L35" s="561" t="str">
        <f t="shared" si="63"/>
        <v/>
      </c>
      <c r="M35" s="582" t="str">
        <f t="shared" si="60"/>
        <v/>
      </c>
      <c r="N35" s="806">
        <f t="shared" si="61"/>
        <v>0</v>
      </c>
      <c r="O35" s="572">
        <f t="shared" si="62"/>
        <v>0</v>
      </c>
      <c r="P35" s="561"/>
      <c r="Q35" s="561"/>
      <c r="R35" s="561"/>
      <c r="S35" s="561"/>
      <c r="T35" s="561"/>
      <c r="U35" s="561"/>
      <c r="V35" s="561"/>
      <c r="W35" s="561"/>
    </row>
    <row r="36" spans="1:25">
      <c r="A36" s="561"/>
      <c r="B36" s="561"/>
      <c r="C36" s="561"/>
      <c r="D36" s="564"/>
      <c r="E36" s="565"/>
      <c r="F36" s="561"/>
      <c r="G36" s="561"/>
      <c r="H36" s="561"/>
      <c r="I36" s="561"/>
      <c r="J36" s="561"/>
      <c r="L36" s="561" t="str">
        <f t="shared" si="63"/>
        <v/>
      </c>
      <c r="M36" s="582" t="str">
        <f t="shared" si="60"/>
        <v/>
      </c>
      <c r="N36" s="806">
        <f t="shared" si="61"/>
        <v>0</v>
      </c>
      <c r="O36" s="572">
        <f t="shared" si="62"/>
        <v>0</v>
      </c>
      <c r="P36" s="561"/>
      <c r="Q36" s="561"/>
      <c r="R36" s="561"/>
      <c r="S36" s="561"/>
      <c r="T36" s="561"/>
      <c r="U36" s="561"/>
      <c r="V36" s="561"/>
      <c r="W36" s="561"/>
      <c r="X36" s="561"/>
      <c r="Y36" s="561"/>
    </row>
    <row r="37" spans="1:25">
      <c r="L37" s="561" t="str">
        <f t="shared" si="63"/>
        <v/>
      </c>
      <c r="M37" s="582" t="str">
        <f t="shared" si="60"/>
        <v/>
      </c>
      <c r="N37" s="806">
        <f t="shared" si="61"/>
        <v>0</v>
      </c>
      <c r="O37" s="572">
        <f t="shared" si="62"/>
        <v>0</v>
      </c>
    </row>
    <row r="38" spans="1:25">
      <c r="L38" s="561" t="str">
        <f t="shared" si="63"/>
        <v/>
      </c>
      <c r="M38" s="582" t="str">
        <f t="shared" si="60"/>
        <v/>
      </c>
      <c r="N38" s="806">
        <f t="shared" si="61"/>
        <v>0</v>
      </c>
      <c r="O38" s="572">
        <f t="shared" si="62"/>
        <v>0</v>
      </c>
    </row>
    <row r="39" spans="1:25">
      <c r="L39" s="561" t="str">
        <f t="shared" si="63"/>
        <v/>
      </c>
      <c r="M39" s="582" t="str">
        <f t="shared" si="60"/>
        <v/>
      </c>
      <c r="N39" s="806">
        <f t="shared" si="61"/>
        <v>0</v>
      </c>
      <c r="O39" s="572">
        <f t="shared" si="62"/>
        <v>0</v>
      </c>
    </row>
    <row r="40" spans="1:25">
      <c r="L40" s="561" t="str">
        <f t="shared" si="63"/>
        <v/>
      </c>
      <c r="M40" s="582" t="str">
        <f t="shared" si="60"/>
        <v/>
      </c>
      <c r="N40" s="806">
        <f t="shared" si="61"/>
        <v>0</v>
      </c>
      <c r="O40" s="572">
        <f t="shared" si="62"/>
        <v>0</v>
      </c>
    </row>
    <row r="41" spans="1:25">
      <c r="L41" s="561" t="str">
        <f t="shared" si="63"/>
        <v/>
      </c>
      <c r="M41" s="582" t="str">
        <f t="shared" si="60"/>
        <v/>
      </c>
      <c r="N41" s="806">
        <f t="shared" si="61"/>
        <v>0</v>
      </c>
      <c r="O41" s="572">
        <f t="shared" si="62"/>
        <v>0</v>
      </c>
    </row>
    <row r="42" spans="1:25">
      <c r="L42" s="561" t="str">
        <f t="shared" si="63"/>
        <v/>
      </c>
      <c r="M42" s="582" t="str">
        <f t="shared" si="60"/>
        <v/>
      </c>
      <c r="N42" s="806">
        <f t="shared" si="61"/>
        <v>0</v>
      </c>
      <c r="O42" s="572">
        <f t="shared" si="62"/>
        <v>0</v>
      </c>
    </row>
    <row r="43" spans="1:25">
      <c r="L43" s="561" t="str">
        <f t="shared" si="63"/>
        <v/>
      </c>
      <c r="M43" s="582" t="str">
        <f t="shared" si="60"/>
        <v/>
      </c>
      <c r="N43" s="806">
        <f t="shared" si="61"/>
        <v>0</v>
      </c>
      <c r="O43" s="572">
        <f t="shared" si="62"/>
        <v>0</v>
      </c>
    </row>
    <row r="44" spans="1:25">
      <c r="L44" s="561" t="str">
        <f t="shared" si="63"/>
        <v/>
      </c>
      <c r="M44" s="582" t="str">
        <f t="shared" si="60"/>
        <v/>
      </c>
      <c r="N44" s="806">
        <f t="shared" si="61"/>
        <v>0</v>
      </c>
      <c r="O44" s="572">
        <f t="shared" si="62"/>
        <v>0</v>
      </c>
    </row>
    <row r="45" spans="1:25">
      <c r="L45" s="561" t="str">
        <f t="shared" si="63"/>
        <v/>
      </c>
      <c r="M45" s="582" t="str">
        <f t="shared" si="60"/>
        <v/>
      </c>
      <c r="N45" s="806">
        <f t="shared" si="61"/>
        <v>0</v>
      </c>
      <c r="O45" s="572">
        <f t="shared" si="62"/>
        <v>0</v>
      </c>
    </row>
    <row r="46" spans="1:25">
      <c r="L46" s="561" t="str">
        <f t="shared" si="63"/>
        <v/>
      </c>
      <c r="M46" s="582" t="str">
        <f t="shared" si="60"/>
        <v/>
      </c>
      <c r="N46" s="806">
        <f t="shared" si="61"/>
        <v>0</v>
      </c>
      <c r="O46" s="572">
        <f t="shared" si="62"/>
        <v>0</v>
      </c>
    </row>
    <row r="47" spans="1:25">
      <c r="F47" s="585"/>
      <c r="G47" s="585"/>
      <c r="K47" s="561"/>
      <c r="L47" s="582"/>
      <c r="M47" s="803"/>
      <c r="N47" s="561"/>
    </row>
    <row r="48" spans="1:25">
      <c r="F48" s="585"/>
      <c r="G48" s="585"/>
    </row>
    <row r="49" spans="6:81" ht="14.25" hidden="1" customHeight="1">
      <c r="F49" s="585">
        <f>DATE(YEAR(MDProjectStart),MONTH(MDProjectStart),1)</f>
        <v>41760</v>
      </c>
      <c r="G49" s="585"/>
      <c r="H49" s="585">
        <f>IF(ISERR(YEAR(F49)),"",IF(DATE(YEAR(F49),MONTH(F49)+1,1)&lt;DATE(YEAR(MDProjectEnd),MONTH(MDProjectEnd)+1,DAY(MDProjectEnd)),DATE(YEAR(F49),MONTH(F49)+1,1),""))</f>
        <v>41791</v>
      </c>
      <c r="I49" s="585"/>
      <c r="J49" s="585">
        <f>IF(ISERR(YEAR(H49)),"",IF(DATE(YEAR(H49),MONTH(H49)+1,1)&lt;DATE(YEAR(MDProjectEnd),MONTH(MDProjectEnd)+1,DAY(MDProjectEnd)),DATE(YEAR(H49),MONTH(H49)+1,1),""))</f>
        <v>41821</v>
      </c>
      <c r="K49" s="585"/>
      <c r="L49" s="585">
        <f>IF(ISERR(YEAR(J49)),"",IF(DATE(YEAR(J49),MONTH(J49)+1,1)&lt;DATE(YEAR(MDProjectEnd),MONTH(MDProjectEnd)+1,DAY(MDProjectEnd)),DATE(YEAR(J49),MONTH(J49)+1,1),""))</f>
        <v>41852</v>
      </c>
      <c r="M49" s="585"/>
      <c r="N49" s="585">
        <f>IF(ISERR(YEAR(L49)),"",IF(DATE(YEAR(L49),MONTH(L49)+1,1)&lt;DATE(YEAR(MDProjectEnd),MONTH(MDProjectEnd)+1,DAY(MDProjectEnd)),DATE(YEAR(L49),MONTH(L49)+1,1),""))</f>
        <v>41883</v>
      </c>
      <c r="O49" s="585"/>
      <c r="P49" s="585" t="str">
        <f>IF(ISERR(YEAR(N49)),"",IF(DATE(YEAR(N49),MONTH(N49)+1,1)&lt;DATE(YEAR(MDProjectEnd),MONTH(MDProjectEnd)+1,DAY(MDProjectEnd)),DATE(YEAR(N49),MONTH(N49)+1,1),""))</f>
        <v/>
      </c>
      <c r="Q49" s="585"/>
      <c r="R49" s="585" t="str">
        <f>IF(ISERR(YEAR(P49)),"",IF(DATE(YEAR(P49),MONTH(P49)+1,1)&lt;DATE(YEAR(MDProjectEnd),MONTH(MDProjectEnd)+1,DAY(MDProjectEnd)),DATE(YEAR(P49),MONTH(P49)+1,1),""))</f>
        <v/>
      </c>
      <c r="S49" s="585"/>
      <c r="T49" s="585" t="str">
        <f>IF(ISERR(YEAR(R49)),"",IF(DATE(YEAR(R49),MONTH(R49)+1,1)&lt;DATE(YEAR(MDProjectEnd),MONTH(MDProjectEnd)+1,DAY(MDProjectEnd)),DATE(YEAR(R49),MONTH(R49)+1,1),""))</f>
        <v/>
      </c>
      <c r="U49" s="585"/>
      <c r="V49" s="585" t="str">
        <f>IF(ISERR(YEAR(T49)),"",IF(DATE(YEAR(T49),MONTH(T49)+1,1)&lt;DATE(YEAR(MDProjectEnd),MONTH(MDProjectEnd)+1,DAY(MDProjectEnd)),DATE(YEAR(T49),MONTH(T49)+1,1),""))</f>
        <v/>
      </c>
      <c r="W49" s="585"/>
      <c r="X49" s="585" t="str">
        <f>IF(ISERR(YEAR(V49)),"",IF(DATE(YEAR(V49),MONTH(V49)+1,1)&lt;DATE(YEAR(MDProjectEnd),MONTH(MDProjectEnd)+1,DAY(MDProjectEnd)),DATE(YEAR(V49),MONTH(V49)+1,1),""))</f>
        <v/>
      </c>
      <c r="Y49" s="585"/>
      <c r="Z49" s="585" t="str">
        <f>IF(ISERR(YEAR(X49)),"",IF(DATE(YEAR(X49),MONTH(X49)+1,1)&lt;DATE(YEAR(MDProjectEnd),MONTH(MDProjectEnd)+1,DAY(MDProjectEnd)),DATE(YEAR(X49),MONTH(X49)+1,1),""))</f>
        <v/>
      </c>
      <c r="AA49" s="585"/>
      <c r="AB49" s="585" t="str">
        <f>IF(ISERR(YEAR(Z49)),"",IF(DATE(YEAR(Z49),MONTH(Z49)+1,1)&lt;DATE(YEAR(MDProjectEnd),MONTH(MDProjectEnd)+1,DAY(MDProjectEnd)),DATE(YEAR(Z49),MONTH(Z49)+1,1),""))</f>
        <v/>
      </c>
      <c r="AC49" s="585"/>
      <c r="AD49" s="585" t="str">
        <f>IF(ISERR(YEAR(AB49)),"",IF(DATE(YEAR(AB49),MONTH(AB49)+1,1)&lt;DATE(YEAR(MDProjectEnd),MONTH(MDProjectEnd)+1,DAY(MDProjectEnd)),DATE(YEAR(AB49),MONTH(AB49)+1,1),""))</f>
        <v/>
      </c>
      <c r="AE49" s="585"/>
      <c r="AF49" s="585" t="str">
        <f>IF(ISERR(YEAR(AD49)),"",IF(DATE(YEAR(AD49),MONTH(AD49)+1,1)&lt;DATE(YEAR(MDProjectEnd),MONTH(MDProjectEnd)+1,DAY(MDProjectEnd)),DATE(YEAR(AD49),MONTH(AD49)+1,1),""))</f>
        <v/>
      </c>
      <c r="AG49" s="585"/>
      <c r="AH49" s="585" t="str">
        <f>IF(ISERR(YEAR(AF49)),"",IF(DATE(YEAR(AF49),MONTH(AF49)+1,1)&lt;DATE(YEAR(MDProjectEnd),MONTH(MDProjectEnd)+1,DAY(MDProjectEnd)),DATE(YEAR(AF49),MONTH(AF49)+1,1),""))</f>
        <v/>
      </c>
      <c r="AI49" s="585"/>
      <c r="AJ49" s="585" t="str">
        <f>IF(ISERR(YEAR(AH49)),"",IF(DATE(YEAR(AH49),MONTH(AH49)+1,1)&lt;DATE(YEAR(MDProjectEnd),MONTH(MDProjectEnd)+1,DAY(MDProjectEnd)),DATE(YEAR(AH49),MONTH(AH49)+1,1),""))</f>
        <v/>
      </c>
      <c r="AK49" s="585"/>
      <c r="AL49" s="585" t="str">
        <f>IF(ISERR(YEAR(AJ49)),"",IF(DATE(YEAR(AJ49),MONTH(AJ49)+1,1)&lt;DATE(YEAR(MDProjectEnd),MONTH(MDProjectEnd)+1,DAY(MDProjectEnd)),DATE(YEAR(AJ49),MONTH(AJ49)+1,1),""))</f>
        <v/>
      </c>
      <c r="AM49" s="585"/>
      <c r="AN49" s="585" t="str">
        <f>IF(ISERR(YEAR(AL49)),"",IF(DATE(YEAR(AL49),MONTH(AL49)+1,1)&lt;DATE(YEAR(MDProjectEnd),MONTH(MDProjectEnd)+1,DAY(MDProjectEnd)),DATE(YEAR(AL49),MONTH(AL49)+1,1),""))</f>
        <v/>
      </c>
      <c r="AO49" s="585"/>
      <c r="AP49" s="585" t="str">
        <f>IF(ISERR(YEAR(AN49)),"",IF(DATE(YEAR(AN49),MONTH(AN49)+1,1)&lt;DATE(YEAR(MDProjectEnd),MONTH(MDProjectEnd)+1,DAY(MDProjectEnd)),DATE(YEAR(AN49),MONTH(AN49)+1,1),""))</f>
        <v/>
      </c>
      <c r="AQ49" s="585"/>
      <c r="AR49" s="585" t="str">
        <f>IF(ISERR(YEAR(AP49)),"",IF(DATE(YEAR(AP49),MONTH(AP49)+1,1)&lt;DATE(YEAR(MDProjectEnd),MONTH(MDProjectEnd)+1,DAY(MDProjectEnd)),DATE(YEAR(AP49),MONTH(AP49)+1,1),""))</f>
        <v/>
      </c>
      <c r="AS49" s="585"/>
      <c r="AT49" s="585" t="str">
        <f>IF(ISERR(YEAR(AR49)),"",IF(DATE(YEAR(AR49),MONTH(AR49)+1,1)&lt;DATE(YEAR(MDProjectEnd),MONTH(MDProjectEnd)+1,DAY(MDProjectEnd)),DATE(YEAR(AR49),MONTH(AR49)+1,1),""))</f>
        <v/>
      </c>
      <c r="AU49" s="585"/>
      <c r="AV49" s="585" t="str">
        <f>IF(ISERR(YEAR(AT49)),"",IF(DATE(YEAR(AT49),MONTH(AT49)+1,1)&lt;DATE(YEAR(MDProjectEnd),MONTH(MDProjectEnd)+1,DAY(MDProjectEnd)),DATE(YEAR(AT49),MONTH(AT49)+1,1),""))</f>
        <v/>
      </c>
      <c r="AW49" s="585"/>
      <c r="AX49" s="585" t="str">
        <f>IF(ISERR(YEAR(AV49)),"",IF(DATE(YEAR(AV49),MONTH(AV49)+1,1)&lt;DATE(YEAR(MDProjectEnd),MONTH(MDProjectEnd)+1,DAY(MDProjectEnd)),DATE(YEAR(AV49),MONTH(AV49)+1,1),""))</f>
        <v/>
      </c>
      <c r="AY49" s="585"/>
      <c r="AZ49" s="585" t="str">
        <f>IF(ISERR(YEAR(AX49)),"",IF(DATE(YEAR(AX49),MONTH(AX49)+1,1)&lt;DATE(YEAR(MDProjectEnd),MONTH(MDProjectEnd)+1,DAY(MDProjectEnd)),DATE(YEAR(AX49),MONTH(AX49)+1,1),""))</f>
        <v/>
      </c>
      <c r="BA49" s="585"/>
      <c r="BB49" s="585" t="str">
        <f>IF(ISERR(YEAR(AZ49)),"",IF(DATE(YEAR(AZ49),MONTH(AZ49)+1,1)&lt;DATE(YEAR(MDProjectEnd),MONTH(MDProjectEnd)+1,DAY(MDProjectEnd)),DATE(YEAR(AZ49),MONTH(AZ49)+1,1),""))</f>
        <v/>
      </c>
      <c r="BC49" s="585"/>
      <c r="BD49" s="585" t="str">
        <f>IF(ISERR(YEAR(BB49)),"",IF(DATE(YEAR(BB49),MONTH(BB49)+1,1)&lt;DATE(YEAR(MDProjectEnd),MONTH(MDProjectEnd)+1,DAY(MDProjectEnd)),DATE(YEAR(BB49),MONTH(BB49)+1,1),""))</f>
        <v/>
      </c>
      <c r="BE49" s="585"/>
      <c r="BF49" s="585" t="str">
        <f>IF(ISERR(YEAR(BD49)),"",IF(DATE(YEAR(BD49),MONTH(BD49)+1,1)&lt;DATE(YEAR(MDProjectEnd),MONTH(MDProjectEnd)+1,DAY(MDProjectEnd)),DATE(YEAR(BD49),MONTH(BD49)+1,1),""))</f>
        <v/>
      </c>
      <c r="BG49" s="585"/>
      <c r="BH49" s="585" t="str">
        <f>IF(ISERR(YEAR(BF49)),"",IF(DATE(YEAR(BF49),MONTH(BF49)+1,1)&lt;DATE(YEAR(MDProjectEnd),MONTH(MDProjectEnd)+1,DAY(MDProjectEnd)),DATE(YEAR(BF49),MONTH(BF49)+1,1),""))</f>
        <v/>
      </c>
      <c r="BI49" s="585"/>
      <c r="BJ49" s="585" t="str">
        <f>IF(ISERR(YEAR(BH49)),"",IF(DATE(YEAR(BH49),MONTH(BH49)+1,1)&lt;DATE(YEAR(MDProjectEnd),MONTH(MDProjectEnd)+1,DAY(MDProjectEnd)),DATE(YEAR(BH49),MONTH(BH49)+1,1),""))</f>
        <v/>
      </c>
      <c r="BK49" s="585"/>
      <c r="BL49" s="585" t="str">
        <f>IF(ISERR(YEAR(BJ49)),"",IF(DATE(YEAR(BJ49),MONTH(BJ49)+1,1)&lt;DATE(YEAR(MDProjectEnd),MONTH(MDProjectEnd)+1,DAY(MDProjectEnd)),DATE(YEAR(BJ49),MONTH(BJ49)+1,1),""))</f>
        <v/>
      </c>
      <c r="BM49" s="585"/>
      <c r="BN49" s="585" t="str">
        <f>IF(ISERR(YEAR(BL49)),"",IF(DATE(YEAR(BL49),MONTH(BL49)+1,1)&lt;DATE(YEAR(MDProjectEnd),MONTH(MDProjectEnd)+1,DAY(MDProjectEnd)),DATE(YEAR(BL49),MONTH(BL49)+1,1),""))</f>
        <v/>
      </c>
      <c r="BO49" s="585"/>
      <c r="BP49" s="585" t="str">
        <f>IF(ISERR(YEAR(BN49)),"",IF(DATE(YEAR(BN49),MONTH(BN49)+1,1)&lt;DATE(YEAR(MDProjectEnd),MONTH(MDProjectEnd)+1,DAY(MDProjectEnd)),DATE(YEAR(BN49),MONTH(BN49)+1,1),""))</f>
        <v/>
      </c>
      <c r="BQ49" s="585"/>
      <c r="BR49" s="585" t="str">
        <f>IF(ISERR(YEAR(BP49)),"",IF(DATE(YEAR(BP49),MONTH(BP49)+1,1)&lt;DATE(YEAR(MDProjectEnd),MONTH(MDProjectEnd)+1,DAY(MDProjectEnd)),DATE(YEAR(BP49),MONTH(BP49)+1,1),""))</f>
        <v/>
      </c>
      <c r="BS49" s="585"/>
      <c r="BT49" s="585" t="str">
        <f>IF(ISERR(YEAR(BR49)),"",IF(DATE(YEAR(BR49),MONTH(BR49)+1,1)&lt;DATE(YEAR(MDProjectEnd),MONTH(MDProjectEnd)+1,DAY(MDProjectEnd)),DATE(YEAR(BR49),MONTH(BR49)+1,1),""))</f>
        <v/>
      </c>
      <c r="BU49" s="585"/>
      <c r="BV49" s="585" t="str">
        <f>IF(ISERR(YEAR(BT49)),"",IF(DATE(YEAR(BT49),MONTH(BT49)+1,1)&lt;DATE(YEAR(MDProjectEnd),MONTH(MDProjectEnd)+1,DAY(MDProjectEnd)),DATE(YEAR(BT49),MONTH(BT49)+1,1),""))</f>
        <v/>
      </c>
      <c r="BW49" s="585"/>
      <c r="BX49" s="585" t="str">
        <f>IF(ISERR(YEAR(BV49)),"",IF(DATE(YEAR(BV49),MONTH(BV49)+1,1)&lt;DATE(YEAR(MDProjectEnd),MONTH(MDProjectEnd)+1,DAY(MDProjectEnd)),DATE(YEAR(BV49),MONTH(BV49)+1,1),""))</f>
        <v/>
      </c>
      <c r="BY49" s="585"/>
      <c r="BZ49" s="585" t="str">
        <f>IF(ISERR(YEAR(BX49)),"",IF(DATE(YEAR(BX49),MONTH(BX49)+1,1)&lt;DATE(YEAR(MDProjectEnd),MONTH(MDProjectEnd)+1,DAY(MDProjectEnd)),DATE(YEAR(BX49),MONTH(BX49)+1,1),""))</f>
        <v/>
      </c>
      <c r="CA49" s="585"/>
      <c r="CB49" s="585" t="str">
        <f>IF(ISERR(YEAR(BZ49)),"",IF(DATE(YEAR(BZ49),MONTH(BZ49)+1,1)&lt;DATE(YEAR(MDProjectEnd),MONTH(MDProjectEnd)+1,DAY(MDProjectEnd)),DATE(YEAR(BZ49),MONTH(BZ49)+1,1),""))</f>
        <v/>
      </c>
      <c r="CC49" s="585"/>
    </row>
  </sheetData>
  <sheetProtection algorithmName="SHA-512" hashValue="oketly21n+Q2Xq8UYVQ2ddEw/lZF1vUPz6rpP8yDO2vVjg6WUufYcFE4Cop8WmBPpA39ix7OoTFvO2yV45UQ3w==" saltValue="zL5QljRnDyLhvlS109CoxA==" spinCount="100000" sheet="1" objects="1" scenarios="1" formatCells="0"/>
  <sortState ref="L27:M42">
    <sortCondition ref="L27:L42"/>
  </sortState>
  <mergeCells count="45">
    <mergeCell ref="X6:Y6"/>
    <mergeCell ref="Z6:AA6"/>
    <mergeCell ref="AB6:AC6"/>
    <mergeCell ref="R6:S6"/>
    <mergeCell ref="T6:U6"/>
    <mergeCell ref="V6:W6"/>
    <mergeCell ref="A1:E1"/>
    <mergeCell ref="A2:E2"/>
    <mergeCell ref="L6:M6"/>
    <mergeCell ref="N6:O6"/>
    <mergeCell ref="P6:Q6"/>
    <mergeCell ref="B6:B7"/>
    <mergeCell ref="F6:G6"/>
    <mergeCell ref="H6:I6"/>
    <mergeCell ref="J6:K6"/>
    <mergeCell ref="AD6:AE6"/>
    <mergeCell ref="AF6:AG6"/>
    <mergeCell ref="AH6:AI6"/>
    <mergeCell ref="AJ6:AK6"/>
    <mergeCell ref="AL6:AM6"/>
    <mergeCell ref="AZ6:BA6"/>
    <mergeCell ref="BB6:BC6"/>
    <mergeCell ref="BD6:BE6"/>
    <mergeCell ref="BF6:BG6"/>
    <mergeCell ref="AN6:AO6"/>
    <mergeCell ref="AP6:AQ6"/>
    <mergeCell ref="AR6:AS6"/>
    <mergeCell ref="AT6:AU6"/>
    <mergeCell ref="AV6:AW6"/>
    <mergeCell ref="F29:I29"/>
    <mergeCell ref="F28:I28"/>
    <mergeCell ref="F27:I27"/>
    <mergeCell ref="CB6:CC6"/>
    <mergeCell ref="F5:CC5"/>
    <mergeCell ref="BR6:BS6"/>
    <mergeCell ref="BT6:BU6"/>
    <mergeCell ref="BV6:BW6"/>
    <mergeCell ref="BX6:BY6"/>
    <mergeCell ref="BZ6:CA6"/>
    <mergeCell ref="BH6:BI6"/>
    <mergeCell ref="BJ6:BK6"/>
    <mergeCell ref="BL6:BM6"/>
    <mergeCell ref="BN6:BO6"/>
    <mergeCell ref="BP6:BQ6"/>
    <mergeCell ref="AX6:AY6"/>
  </mergeCells>
  <conditionalFormatting sqref="C31">
    <cfRule type="expression" dxfId="84" priority="1">
      <formula>AND(C$15=TMDPeriodValueTypeReported,C$16&lt;&gt;TMDInvoiceStatusInvoiced,C$16&lt;&gt;"")</formula>
    </cfRule>
  </conditionalFormatting>
  <dataValidations count="1">
    <dataValidation type="list" allowBlank="1" showInputMessage="1" showErrorMessage="1" sqref="F8:F25">
      <formula1>MDStaffMember</formula1>
    </dataValidation>
  </dataValidations>
  <pageMargins left="0.70866141732283472" right="0.70866141732283472" top="0.74803149606299213" bottom="0.74803149606299213" header="0.31496062992125984" footer="0.31496062992125984"/>
  <pageSetup paperSize="9" scale="57" fitToWidth="4" orientation="landscape" r:id="rId1"/>
  <colBreaks count="2" manualBreakCount="2">
    <brk id="41" max="46" man="1"/>
    <brk id="61" max="46" man="1"/>
  </colBreaks>
  <customProperties>
    <customPr name="Guid" r:id="rId2"/>
  </customProperties>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tabColor theme="6"/>
  </sheetPr>
  <dimension ref="A1:AT46"/>
  <sheetViews>
    <sheetView zoomScaleNormal="100" workbookViewId="0">
      <pane xSplit="6" ySplit="6" topLeftCell="G7" activePane="bottomRight" state="frozen"/>
      <selection activeCell="J21" sqref="J21"/>
      <selection pane="topRight" activeCell="J21" sqref="J21"/>
      <selection pane="bottomLeft" activeCell="J21" sqref="J21"/>
      <selection pane="bottomRight" activeCell="G7" sqref="G7"/>
    </sheetView>
  </sheetViews>
  <sheetFormatPr defaultColWidth="11.44140625" defaultRowHeight="13.8"/>
  <cols>
    <col min="1" max="1" width="12.5546875" style="126" customWidth="1"/>
    <col min="2" max="3" width="11.44140625" style="126" customWidth="1"/>
    <col min="4" max="4" width="24.6640625" style="126" customWidth="1"/>
    <col min="5" max="11" width="11.44140625" style="126" customWidth="1"/>
    <col min="12" max="44" width="11.44140625" style="126"/>
    <col min="45" max="45" width="11.44140625" style="126" customWidth="1"/>
    <col min="46" max="16384" width="11.44140625" style="126"/>
  </cols>
  <sheetData>
    <row r="1" spans="1:46"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46"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46" s="153" customFormat="1" ht="26.25" customHeight="1">
      <c r="A3" s="126"/>
      <c r="B3" s="126"/>
      <c r="C3" s="126"/>
      <c r="D3" s="126"/>
      <c r="E3" s="126"/>
      <c r="F3" s="126"/>
      <c r="H3" s="154" t="s">
        <v>1508</v>
      </c>
      <c r="I3" s="126"/>
      <c r="J3" s="126"/>
      <c r="K3" s="126"/>
      <c r="L3" s="126"/>
      <c r="M3" s="126"/>
      <c r="N3" s="126"/>
      <c r="O3" s="126"/>
      <c r="P3" s="126"/>
      <c r="Q3" s="126"/>
      <c r="R3" s="126"/>
      <c r="S3" s="126"/>
      <c r="T3" s="126"/>
    </row>
    <row r="4" spans="1:46" s="153" customFormat="1" ht="15" customHeight="1">
      <c r="A4" s="126"/>
      <c r="B4" s="126"/>
      <c r="C4" s="126"/>
      <c r="D4" s="126"/>
      <c r="E4" s="126"/>
      <c r="F4" s="126"/>
      <c r="G4" s="126"/>
      <c r="H4" s="126"/>
      <c r="I4" s="126"/>
      <c r="J4" s="126"/>
      <c r="K4" s="126"/>
      <c r="L4" s="126"/>
      <c r="M4" s="126"/>
      <c r="N4" s="126"/>
      <c r="O4" s="126"/>
      <c r="P4" s="126"/>
      <c r="Q4" s="126"/>
      <c r="R4" s="126"/>
      <c r="S4" s="126"/>
      <c r="T4" s="126"/>
    </row>
    <row r="5" spans="1:46" ht="15.6">
      <c r="A5" s="141"/>
      <c r="B5" s="141"/>
      <c r="C5" s="141"/>
      <c r="D5" s="141"/>
      <c r="E5" s="546" t="s">
        <v>389</v>
      </c>
      <c r="F5" s="547"/>
      <c r="G5" s="547"/>
      <c r="H5" s="547"/>
      <c r="I5" s="547"/>
      <c r="J5" s="547"/>
      <c r="K5" s="547"/>
      <c r="L5" s="547"/>
      <c r="M5" s="547"/>
      <c r="N5" s="547"/>
      <c r="O5" s="547"/>
      <c r="P5" s="547"/>
      <c r="Q5" s="547"/>
      <c r="R5" s="547"/>
      <c r="S5" s="547"/>
      <c r="T5" s="547"/>
      <c r="U5" s="547"/>
      <c r="V5" s="547"/>
      <c r="W5" s="547"/>
      <c r="X5" s="547"/>
      <c r="Y5" s="547"/>
      <c r="Z5" s="547"/>
      <c r="AA5" s="547"/>
      <c r="AB5" s="547"/>
      <c r="AC5" s="547"/>
      <c r="AD5" s="547"/>
      <c r="AE5" s="547"/>
      <c r="AF5" s="547"/>
      <c r="AG5" s="547"/>
      <c r="AH5" s="547"/>
      <c r="AI5" s="547"/>
      <c r="AJ5" s="547"/>
      <c r="AK5" s="547"/>
      <c r="AL5" s="547"/>
      <c r="AM5" s="547"/>
      <c r="AN5" s="547"/>
      <c r="AO5" s="547"/>
      <c r="AP5" s="548"/>
      <c r="AQ5" s="548"/>
      <c r="AR5" s="168"/>
      <c r="AS5" s="141"/>
      <c r="AT5" s="141"/>
    </row>
    <row r="6" spans="1:46">
      <c r="A6" s="1209" t="s">
        <v>390</v>
      </c>
      <c r="B6" s="1210"/>
      <c r="C6" s="1210"/>
      <c r="D6" s="1211"/>
      <c r="E6" s="586" t="s">
        <v>391</v>
      </c>
      <c r="F6" s="549" t="s">
        <v>392</v>
      </c>
      <c r="G6" s="588">
        <f t="array" ref="G6:AR6">MDReportingDates</f>
        <v>41774</v>
      </c>
      <c r="H6" s="588">
        <v>41788</v>
      </c>
      <c r="I6" s="588">
        <v>41802</v>
      </c>
      <c r="J6" s="588">
        <v>41816</v>
      </c>
      <c r="K6" s="588">
        <v>41830</v>
      </c>
      <c r="L6" s="588">
        <v>41844</v>
      </c>
      <c r="M6" s="588">
        <v>41858</v>
      </c>
      <c r="N6" s="588">
        <v>41872</v>
      </c>
      <c r="O6" s="588">
        <v>41886</v>
      </c>
      <c r="P6" s="588">
        <v>41900</v>
      </c>
      <c r="Q6" s="588">
        <v>41914</v>
      </c>
      <c r="R6" s="588">
        <v>41928</v>
      </c>
      <c r="S6" s="588">
        <v>41942</v>
      </c>
      <c r="T6" s="589">
        <v>41956</v>
      </c>
      <c r="U6" s="589">
        <v>41970</v>
      </c>
      <c r="V6" s="589">
        <v>41984</v>
      </c>
      <c r="W6" s="589">
        <v>41998</v>
      </c>
      <c r="X6" s="589">
        <v>42012</v>
      </c>
      <c r="Y6" s="589">
        <v>42026</v>
      </c>
      <c r="Z6" s="589">
        <v>42040</v>
      </c>
      <c r="AA6" s="589">
        <v>42054</v>
      </c>
      <c r="AB6" s="589">
        <v>42068</v>
      </c>
      <c r="AC6" s="589">
        <v>42082</v>
      </c>
      <c r="AD6" s="589">
        <v>42096</v>
      </c>
      <c r="AE6" s="589">
        <v>42110</v>
      </c>
      <c r="AF6" s="589">
        <v>42124</v>
      </c>
      <c r="AG6" s="589">
        <v>42138</v>
      </c>
      <c r="AH6" s="589">
        <v>42152</v>
      </c>
      <c r="AI6" s="589">
        <v>42166</v>
      </c>
      <c r="AJ6" s="589">
        <v>42180</v>
      </c>
      <c r="AK6" s="589">
        <v>42194</v>
      </c>
      <c r="AL6" s="589">
        <v>42208</v>
      </c>
      <c r="AM6" s="589">
        <v>42222</v>
      </c>
      <c r="AN6" s="589">
        <v>42236</v>
      </c>
      <c r="AO6" s="589">
        <v>42250</v>
      </c>
      <c r="AP6" s="589">
        <v>42264</v>
      </c>
      <c r="AQ6" s="589">
        <v>42278</v>
      </c>
      <c r="AR6" s="589">
        <v>42292</v>
      </c>
      <c r="AS6" s="590" t="s">
        <v>393</v>
      </c>
      <c r="AT6" s="141"/>
    </row>
    <row r="7" spans="1:46">
      <c r="A7" s="1206"/>
      <c r="B7" s="1207"/>
      <c r="C7" s="1207"/>
      <c r="D7" s="1208"/>
      <c r="E7" s="587" t="s">
        <v>27</v>
      </c>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550"/>
      <c r="AL7" s="550"/>
      <c r="AM7" s="550"/>
      <c r="AN7" s="550"/>
      <c r="AO7" s="550"/>
      <c r="AP7" s="550"/>
      <c r="AQ7" s="550"/>
      <c r="AR7" s="550"/>
      <c r="AS7" s="591" t="str">
        <f>IF(F7&lt;&gt;"",IF(COUNT(G7:AR7)&gt;0,INDEX(G7:AR7,COUNT(G7:AR7)),F7),"")</f>
        <v/>
      </c>
      <c r="AT7" s="141"/>
    </row>
    <row r="8" spans="1:46">
      <c r="A8" s="1206"/>
      <c r="B8" s="1207"/>
      <c r="C8" s="1207"/>
      <c r="D8" s="1208"/>
      <c r="E8" s="587" t="s">
        <v>394</v>
      </c>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550"/>
      <c r="AL8" s="550"/>
      <c r="AM8" s="550"/>
      <c r="AN8" s="550"/>
      <c r="AO8" s="550"/>
      <c r="AP8" s="550"/>
      <c r="AQ8" s="550"/>
      <c r="AR8" s="550"/>
      <c r="AS8" s="591" t="str">
        <f t="shared" ref="AS8:AS18" si="0">IF(F8&lt;&gt;"",IF(COUNT(G8:AR8)&gt;0,INDEX(G8:AR8,COUNT(G8:AR8)),F8),"")</f>
        <v/>
      </c>
      <c r="AT8" s="141"/>
    </row>
    <row r="9" spans="1:46">
      <c r="A9" s="1206"/>
      <c r="B9" s="1207"/>
      <c r="C9" s="1207"/>
      <c r="D9" s="1208"/>
      <c r="E9" s="587" t="s">
        <v>395</v>
      </c>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91" t="str">
        <f t="shared" si="0"/>
        <v/>
      </c>
      <c r="AT9" s="141"/>
    </row>
    <row r="10" spans="1:46">
      <c r="A10" s="1206"/>
      <c r="B10" s="1207"/>
      <c r="C10" s="1207"/>
      <c r="D10" s="1208"/>
      <c r="E10" s="587" t="s">
        <v>396</v>
      </c>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550"/>
      <c r="AL10" s="550"/>
      <c r="AM10" s="550"/>
      <c r="AN10" s="550"/>
      <c r="AO10" s="550"/>
      <c r="AP10" s="550"/>
      <c r="AQ10" s="550"/>
      <c r="AR10" s="550"/>
      <c r="AS10" s="591" t="str">
        <f t="shared" si="0"/>
        <v/>
      </c>
      <c r="AT10" s="141"/>
    </row>
    <row r="11" spans="1:46">
      <c r="A11" s="1206"/>
      <c r="B11" s="1207"/>
      <c r="C11" s="1207"/>
      <c r="D11" s="1208"/>
      <c r="E11" s="587" t="s">
        <v>397</v>
      </c>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550"/>
      <c r="AL11" s="550"/>
      <c r="AM11" s="550"/>
      <c r="AN11" s="550"/>
      <c r="AO11" s="550"/>
      <c r="AP11" s="550"/>
      <c r="AQ11" s="550"/>
      <c r="AR11" s="550"/>
      <c r="AS11" s="591" t="str">
        <f t="shared" si="0"/>
        <v/>
      </c>
      <c r="AT11" s="141"/>
    </row>
    <row r="12" spans="1:46">
      <c r="A12" s="1206"/>
      <c r="B12" s="1207"/>
      <c r="C12" s="1207"/>
      <c r="D12" s="1208"/>
      <c r="E12" s="587" t="s">
        <v>398</v>
      </c>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550"/>
      <c r="AL12" s="550"/>
      <c r="AM12" s="550"/>
      <c r="AN12" s="550"/>
      <c r="AO12" s="550"/>
      <c r="AP12" s="550"/>
      <c r="AQ12" s="550"/>
      <c r="AR12" s="550"/>
      <c r="AS12" s="591" t="str">
        <f t="shared" si="0"/>
        <v/>
      </c>
      <c r="AT12" s="141"/>
    </row>
    <row r="13" spans="1:46">
      <c r="A13" s="1206"/>
      <c r="B13" s="1207"/>
      <c r="C13" s="1207"/>
      <c r="D13" s="1208"/>
      <c r="E13" s="587" t="s">
        <v>399</v>
      </c>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550"/>
      <c r="AL13" s="550"/>
      <c r="AM13" s="550"/>
      <c r="AN13" s="550"/>
      <c r="AO13" s="550"/>
      <c r="AP13" s="550"/>
      <c r="AQ13" s="550"/>
      <c r="AR13" s="550"/>
      <c r="AS13" s="591" t="str">
        <f t="shared" si="0"/>
        <v/>
      </c>
      <c r="AT13" s="141"/>
    </row>
    <row r="14" spans="1:46">
      <c r="A14" s="1206"/>
      <c r="B14" s="1207"/>
      <c r="C14" s="1207"/>
      <c r="D14" s="1208"/>
      <c r="E14" s="587" t="s">
        <v>400</v>
      </c>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550"/>
      <c r="AL14" s="550"/>
      <c r="AM14" s="550"/>
      <c r="AN14" s="550"/>
      <c r="AO14" s="550"/>
      <c r="AP14" s="550"/>
      <c r="AQ14" s="550"/>
      <c r="AR14" s="550"/>
      <c r="AS14" s="591" t="str">
        <f t="shared" si="0"/>
        <v/>
      </c>
      <c r="AT14" s="141"/>
    </row>
    <row r="15" spans="1:46">
      <c r="A15" s="1206"/>
      <c r="B15" s="1207"/>
      <c r="C15" s="1207"/>
      <c r="D15" s="1208"/>
      <c r="E15" s="587" t="s">
        <v>401</v>
      </c>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550"/>
      <c r="AL15" s="550"/>
      <c r="AM15" s="550"/>
      <c r="AN15" s="550"/>
      <c r="AO15" s="550"/>
      <c r="AP15" s="550"/>
      <c r="AQ15" s="550"/>
      <c r="AR15" s="550"/>
      <c r="AS15" s="591" t="str">
        <f t="shared" si="0"/>
        <v/>
      </c>
      <c r="AT15" s="141"/>
    </row>
    <row r="16" spans="1:46">
      <c r="A16" s="1206"/>
      <c r="B16" s="1207"/>
      <c r="C16" s="1207"/>
      <c r="D16" s="1208"/>
      <c r="E16" s="587" t="s">
        <v>402</v>
      </c>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550"/>
      <c r="AL16" s="550"/>
      <c r="AM16" s="550"/>
      <c r="AN16" s="550"/>
      <c r="AO16" s="550"/>
      <c r="AP16" s="550"/>
      <c r="AQ16" s="550"/>
      <c r="AR16" s="550"/>
      <c r="AS16" s="591" t="str">
        <f t="shared" si="0"/>
        <v/>
      </c>
      <c r="AT16" s="141"/>
    </row>
    <row r="17" spans="1:46">
      <c r="A17" s="1206"/>
      <c r="B17" s="1207"/>
      <c r="C17" s="1207"/>
      <c r="D17" s="1208"/>
      <c r="E17" s="587" t="s">
        <v>403</v>
      </c>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550"/>
      <c r="AL17" s="550"/>
      <c r="AM17" s="550"/>
      <c r="AN17" s="550"/>
      <c r="AO17" s="550"/>
      <c r="AP17" s="550"/>
      <c r="AQ17" s="550"/>
      <c r="AR17" s="550"/>
      <c r="AS17" s="591" t="str">
        <f t="shared" si="0"/>
        <v/>
      </c>
      <c r="AT17" s="141"/>
    </row>
    <row r="18" spans="1:46">
      <c r="A18" s="1206"/>
      <c r="B18" s="1207"/>
      <c r="C18" s="1207"/>
      <c r="D18" s="1208"/>
      <c r="E18" s="587" t="s">
        <v>404</v>
      </c>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550"/>
      <c r="AL18" s="550"/>
      <c r="AM18" s="550"/>
      <c r="AN18" s="550"/>
      <c r="AO18" s="550"/>
      <c r="AP18" s="550"/>
      <c r="AQ18" s="550"/>
      <c r="AR18" s="550"/>
      <c r="AS18" s="591" t="str">
        <f t="shared" si="0"/>
        <v/>
      </c>
      <c r="AT18" s="141"/>
    </row>
    <row r="19" spans="1:46">
      <c r="A19" s="141"/>
      <c r="B19" s="141"/>
      <c r="C19" s="141"/>
      <c r="D19" s="141"/>
      <c r="E19" s="452" t="s">
        <v>1351</v>
      </c>
      <c r="F19" s="141"/>
      <c r="G19" s="452" t="str">
        <f>IF(G$20="","",IF(OR(G$20="invoiced",G$20="invoicedinvoiced",G$20="invoicedinvoicedinvoiced",G$20="invoicedinvoicedinvoicedinvoiced",G$20="invoicedinvoicedinvoicedinvoicedinvoiced",G$20="invoicedinvoicedinvoicedinvoicedinvoicedinvoiced",G$20="invoicedinvoicedinvoicedinvoicedinvoicedinvoicedinvoiced",G$20="invoicedinvoicedinvoicedinvoicedinvoicedinvoicedinvoicedinvoiced",G$20="invoicedinvoicedinvoicedinvoicedinvoicedinvoicedinvoicedinvoicedinvoiced",G$20="invoicedinvoicedinvoicedinvoicedinvoicedinvoicedinvoicedinvoicedinvoicedinvoiced"),"invoiced","not invoiced"))</f>
        <v/>
      </c>
      <c r="H19" s="452" t="str">
        <f t="shared" ref="H19:AR19" si="1">IF(H$20="","",IF(OR(H$20="invoiced",H$20="invoicedinvoiced",H$20="invoicedinvoicedinvoiced",H$20="invoicedinvoicedinvoicedinvoiced",H$20="invoicedinvoicedinvoicedinvoicedinvoiced",H$20="invoicedinvoicedinvoicedinvoicedinvoicedinvoiced",H$20="invoicedinvoicedinvoicedinvoicedinvoicedinvoicedinvoiced",H$20="invoicedinvoicedinvoicedinvoicedinvoicedinvoicedinvoicedinvoiced",H$20="invoicedinvoicedinvoicedinvoicedinvoicedinvoicedinvoicedinvoicedinvoiced",H$20="invoicedinvoicedinvoicedinvoicedinvoicedinvoicedinvoicedinvoicedinvoicedinvoiced"),"invoiced","not invoiced"))</f>
        <v/>
      </c>
      <c r="I19" s="452" t="str">
        <f t="shared" si="1"/>
        <v/>
      </c>
      <c r="J19" s="452" t="str">
        <f t="shared" si="1"/>
        <v/>
      </c>
      <c r="K19" s="452" t="str">
        <f t="shared" si="1"/>
        <v/>
      </c>
      <c r="L19" s="452" t="str">
        <f t="shared" si="1"/>
        <v/>
      </c>
      <c r="M19" s="452" t="str">
        <f t="shared" si="1"/>
        <v/>
      </c>
      <c r="N19" s="452" t="str">
        <f t="shared" si="1"/>
        <v/>
      </c>
      <c r="O19" s="452" t="str">
        <f t="shared" si="1"/>
        <v/>
      </c>
      <c r="P19" s="452" t="str">
        <f t="shared" si="1"/>
        <v/>
      </c>
      <c r="Q19" s="452" t="str">
        <f t="shared" si="1"/>
        <v/>
      </c>
      <c r="R19" s="452" t="str">
        <f t="shared" si="1"/>
        <v/>
      </c>
      <c r="S19" s="452" t="str">
        <f t="shared" si="1"/>
        <v/>
      </c>
      <c r="T19" s="452" t="str">
        <f t="shared" si="1"/>
        <v/>
      </c>
      <c r="U19" s="452" t="str">
        <f t="shared" si="1"/>
        <v/>
      </c>
      <c r="V19" s="452" t="str">
        <f t="shared" si="1"/>
        <v/>
      </c>
      <c r="W19" s="452" t="str">
        <f t="shared" si="1"/>
        <v/>
      </c>
      <c r="X19" s="452" t="str">
        <f t="shared" si="1"/>
        <v/>
      </c>
      <c r="Y19" s="452" t="str">
        <f t="shared" si="1"/>
        <v/>
      </c>
      <c r="Z19" s="452" t="str">
        <f t="shared" si="1"/>
        <v/>
      </c>
      <c r="AA19" s="452" t="str">
        <f t="shared" si="1"/>
        <v/>
      </c>
      <c r="AB19" s="452" t="str">
        <f t="shared" si="1"/>
        <v/>
      </c>
      <c r="AC19" s="452" t="str">
        <f t="shared" si="1"/>
        <v/>
      </c>
      <c r="AD19" s="452" t="str">
        <f>IF(AD$20="","",IF(OR(AD$20="invoiced",AD$20="invoicedinvoiced",AD$20="invoicedinvoicedinvoiced",AD$20="invoicedinvoicedinvoicedinvoiced",AD$20="invoicedinvoicedinvoicedinvoicedinvoiced",AD$20="invoicedinvoicedinvoicedinvoicedinvoicedinvoiced",AD$20="invoicedinvoicedinvoicedinvoicedinvoicedinvoicedinvoiced",AD$20="invoicedinvoicedinvoicedinvoicedinvoicedinvoicedinvoicedinvoiced",AD$20="invoicedinvoicedinvoicedinvoicedinvoicedinvoicedinvoicedinvoicedinvoiced",AD$20="invoicedinvoicedinvoicedinvoicedinvoicedinvoicedinvoicedinvoicedinvoicedinvoiced"),"invoiced","not invoiced"))</f>
        <v/>
      </c>
      <c r="AE19" s="452" t="str">
        <f t="shared" si="1"/>
        <v/>
      </c>
      <c r="AF19" s="452" t="str">
        <f t="shared" si="1"/>
        <v/>
      </c>
      <c r="AG19" s="452" t="str">
        <f t="shared" si="1"/>
        <v/>
      </c>
      <c r="AH19" s="452" t="str">
        <f t="shared" si="1"/>
        <v/>
      </c>
      <c r="AI19" s="452" t="str">
        <f t="shared" si="1"/>
        <v/>
      </c>
      <c r="AJ19" s="452" t="str">
        <f t="shared" si="1"/>
        <v/>
      </c>
      <c r="AK19" s="452" t="str">
        <f t="shared" si="1"/>
        <v/>
      </c>
      <c r="AL19" s="452" t="str">
        <f t="shared" si="1"/>
        <v/>
      </c>
      <c r="AM19" s="452" t="str">
        <f t="shared" si="1"/>
        <v/>
      </c>
      <c r="AN19" s="452" t="str">
        <f t="shared" si="1"/>
        <v/>
      </c>
      <c r="AO19" s="452" t="str">
        <f t="shared" si="1"/>
        <v/>
      </c>
      <c r="AP19" s="452" t="str">
        <f t="shared" si="1"/>
        <v/>
      </c>
      <c r="AQ19" s="452" t="str">
        <f t="shared" si="1"/>
        <v/>
      </c>
      <c r="AR19" s="452" t="str">
        <f t="shared" si="1"/>
        <v/>
      </c>
      <c r="AS19" s="551">
        <f>MAX(AS7:AS18)</f>
        <v>0</v>
      </c>
      <c r="AT19" s="141"/>
    </row>
    <row r="20" spans="1:46" ht="24.6">
      <c r="A20" s="552" t="s">
        <v>1509</v>
      </c>
      <c r="B20" s="553"/>
      <c r="C20" s="553"/>
      <c r="D20" s="141"/>
      <c r="E20" s="141"/>
      <c r="F20" s="141"/>
      <c r="G20" s="554" t="str">
        <f>G32 &amp; G33 &amp; G34 &amp; G35 &amp; G36 &amp; G37 &amp; G38 &amp; G39 &amp; G40 &amp; G41</f>
        <v/>
      </c>
      <c r="H20" s="554" t="str">
        <f t="shared" ref="H20:AR20" si="2">H32 &amp; H33 &amp; H34 &amp; H35 &amp; H36 &amp; H37 &amp; H38 &amp; H39 &amp; H40 &amp; H41</f>
        <v/>
      </c>
      <c r="I20" s="554" t="str">
        <f t="shared" si="2"/>
        <v/>
      </c>
      <c r="J20" s="554" t="str">
        <f t="shared" si="2"/>
        <v/>
      </c>
      <c r="K20" s="554" t="str">
        <f t="shared" si="2"/>
        <v/>
      </c>
      <c r="L20" s="554" t="str">
        <f t="shared" si="2"/>
        <v/>
      </c>
      <c r="M20" s="554" t="str">
        <f t="shared" si="2"/>
        <v/>
      </c>
      <c r="N20" s="554" t="str">
        <f t="shared" si="2"/>
        <v/>
      </c>
      <c r="O20" s="554" t="str">
        <f t="shared" si="2"/>
        <v/>
      </c>
      <c r="P20" s="554" t="str">
        <f t="shared" si="2"/>
        <v/>
      </c>
      <c r="Q20" s="554" t="str">
        <f t="shared" si="2"/>
        <v/>
      </c>
      <c r="R20" s="554" t="str">
        <f t="shared" si="2"/>
        <v/>
      </c>
      <c r="S20" s="554" t="str">
        <f t="shared" si="2"/>
        <v/>
      </c>
      <c r="T20" s="554" t="str">
        <f t="shared" si="2"/>
        <v/>
      </c>
      <c r="U20" s="554" t="str">
        <f t="shared" si="2"/>
        <v/>
      </c>
      <c r="V20" s="554" t="str">
        <f t="shared" si="2"/>
        <v/>
      </c>
      <c r="W20" s="554" t="str">
        <f t="shared" si="2"/>
        <v/>
      </c>
      <c r="X20" s="554" t="str">
        <f t="shared" si="2"/>
        <v/>
      </c>
      <c r="Y20" s="554" t="str">
        <f t="shared" si="2"/>
        <v/>
      </c>
      <c r="Z20" s="554" t="str">
        <f t="shared" si="2"/>
        <v/>
      </c>
      <c r="AA20" s="554" t="str">
        <f t="shared" si="2"/>
        <v/>
      </c>
      <c r="AB20" s="554" t="str">
        <f t="shared" si="2"/>
        <v/>
      </c>
      <c r="AC20" s="554" t="str">
        <f t="shared" si="2"/>
        <v/>
      </c>
      <c r="AD20" s="554" t="str">
        <f t="shared" si="2"/>
        <v/>
      </c>
      <c r="AE20" s="554" t="str">
        <f t="shared" si="2"/>
        <v/>
      </c>
      <c r="AF20" s="554" t="str">
        <f t="shared" si="2"/>
        <v/>
      </c>
      <c r="AG20" s="554" t="str">
        <f t="shared" si="2"/>
        <v/>
      </c>
      <c r="AH20" s="554" t="str">
        <f t="shared" si="2"/>
        <v/>
      </c>
      <c r="AI20" s="554" t="str">
        <f t="shared" si="2"/>
        <v/>
      </c>
      <c r="AJ20" s="554" t="str">
        <f t="shared" si="2"/>
        <v/>
      </c>
      <c r="AK20" s="554" t="str">
        <f t="shared" si="2"/>
        <v/>
      </c>
      <c r="AL20" s="554" t="str">
        <f t="shared" si="2"/>
        <v/>
      </c>
      <c r="AM20" s="554" t="str">
        <f t="shared" si="2"/>
        <v/>
      </c>
      <c r="AN20" s="554" t="str">
        <f t="shared" si="2"/>
        <v/>
      </c>
      <c r="AO20" s="554" t="str">
        <f t="shared" si="2"/>
        <v/>
      </c>
      <c r="AP20" s="554" t="str">
        <f t="shared" si="2"/>
        <v/>
      </c>
      <c r="AQ20" s="554" t="str">
        <f t="shared" si="2"/>
        <v/>
      </c>
      <c r="AR20" s="554" t="str">
        <f t="shared" si="2"/>
        <v/>
      </c>
      <c r="AS20" s="141"/>
      <c r="AT20" s="141"/>
    </row>
    <row r="21" spans="1:46">
      <c r="A21" s="543" t="s">
        <v>303</v>
      </c>
      <c r="B21" s="1212" t="s">
        <v>1028</v>
      </c>
      <c r="C21" s="1213"/>
      <c r="D21" s="544" t="s">
        <v>306</v>
      </c>
      <c r="E21" s="593" t="str">
        <f>MDContractCurrency</f>
        <v>CHF</v>
      </c>
      <c r="F21" s="593" t="s">
        <v>1347</v>
      </c>
      <c r="G21" s="554" t="str">
        <f>IF(SUM(G22:G31)&gt;0,SUM(G22:G31),"")</f>
        <v/>
      </c>
      <c r="H21" s="554" t="str">
        <f t="shared" ref="H21:AR21" si="3">IF(SUM(H22:H31)&gt;0,SUM(H22:H31),"")</f>
        <v/>
      </c>
      <c r="I21" s="554" t="str">
        <f t="shared" si="3"/>
        <v/>
      </c>
      <c r="J21" s="554" t="str">
        <f t="shared" si="3"/>
        <v/>
      </c>
      <c r="K21" s="554" t="str">
        <f t="shared" si="3"/>
        <v/>
      </c>
      <c r="L21" s="554" t="str">
        <f t="shared" si="3"/>
        <v/>
      </c>
      <c r="M21" s="554" t="str">
        <f t="shared" si="3"/>
        <v/>
      </c>
      <c r="N21" s="554" t="str">
        <f t="shared" si="3"/>
        <v/>
      </c>
      <c r="O21" s="554" t="str">
        <f t="shared" si="3"/>
        <v/>
      </c>
      <c r="P21" s="554" t="str">
        <f t="shared" si="3"/>
        <v/>
      </c>
      <c r="Q21" s="554" t="str">
        <f t="shared" si="3"/>
        <v/>
      </c>
      <c r="R21" s="554" t="str">
        <f t="shared" si="3"/>
        <v/>
      </c>
      <c r="S21" s="554" t="str">
        <f t="shared" si="3"/>
        <v/>
      </c>
      <c r="T21" s="554" t="str">
        <f t="shared" si="3"/>
        <v/>
      </c>
      <c r="U21" s="554" t="str">
        <f t="shared" si="3"/>
        <v/>
      </c>
      <c r="V21" s="554" t="str">
        <f t="shared" si="3"/>
        <v/>
      </c>
      <c r="W21" s="554" t="str">
        <f t="shared" si="3"/>
        <v/>
      </c>
      <c r="X21" s="554" t="str">
        <f t="shared" si="3"/>
        <v/>
      </c>
      <c r="Y21" s="554" t="str">
        <f t="shared" si="3"/>
        <v/>
      </c>
      <c r="Z21" s="554" t="str">
        <f t="shared" si="3"/>
        <v/>
      </c>
      <c r="AA21" s="554" t="str">
        <f t="shared" si="3"/>
        <v/>
      </c>
      <c r="AB21" s="554" t="str">
        <f t="shared" si="3"/>
        <v/>
      </c>
      <c r="AC21" s="554" t="str">
        <f t="shared" si="3"/>
        <v/>
      </c>
      <c r="AD21" s="554" t="str">
        <f t="shared" si="3"/>
        <v/>
      </c>
      <c r="AE21" s="554" t="str">
        <f t="shared" si="3"/>
        <v/>
      </c>
      <c r="AF21" s="554" t="str">
        <f t="shared" si="3"/>
        <v/>
      </c>
      <c r="AG21" s="554" t="str">
        <f t="shared" si="3"/>
        <v/>
      </c>
      <c r="AH21" s="554" t="str">
        <f t="shared" si="3"/>
        <v/>
      </c>
      <c r="AI21" s="554" t="str">
        <f t="shared" si="3"/>
        <v/>
      </c>
      <c r="AJ21" s="554" t="str">
        <f t="shared" si="3"/>
        <v/>
      </c>
      <c r="AK21" s="554" t="str">
        <f t="shared" si="3"/>
        <v/>
      </c>
      <c r="AL21" s="554" t="str">
        <f t="shared" si="3"/>
        <v/>
      </c>
      <c r="AM21" s="554" t="str">
        <f t="shared" si="3"/>
        <v/>
      </c>
      <c r="AN21" s="554" t="str">
        <f t="shared" si="3"/>
        <v/>
      </c>
      <c r="AO21" s="554" t="str">
        <f t="shared" si="3"/>
        <v/>
      </c>
      <c r="AP21" s="554" t="str">
        <f t="shared" si="3"/>
        <v/>
      </c>
      <c r="AQ21" s="554" t="str">
        <f t="shared" si="3"/>
        <v/>
      </c>
      <c r="AR21" s="554" t="str">
        <f t="shared" si="3"/>
        <v/>
      </c>
      <c r="AS21" s="141"/>
      <c r="AT21" s="141"/>
    </row>
    <row r="22" spans="1:46">
      <c r="A22" s="592"/>
      <c r="B22" s="1214"/>
      <c r="C22" s="1214"/>
      <c r="D22" s="545"/>
      <c r="E22" s="594" t="str">
        <f t="shared" ref="E22:E31" si="4">IF(F22="","",PCPriceOffered*F22)</f>
        <v/>
      </c>
      <c r="F22" s="595"/>
      <c r="G22" s="554" t="str">
        <f>IF($A22&lt;G$6,$E22,"")</f>
        <v/>
      </c>
      <c r="H22" s="554" t="str">
        <f>IF(AND($A22&lt;H$6,SUM($G22:G22)=0),$E22,"")</f>
        <v/>
      </c>
      <c r="I22" s="554" t="str">
        <f>IF(AND($A22&lt;I$6,SUM($G22:H22)=0),$E22,"")</f>
        <v/>
      </c>
      <c r="J22" s="554" t="str">
        <f>IF(AND($A22&lt;J$6,SUM($G22:I22)=0),$E22,"")</f>
        <v/>
      </c>
      <c r="K22" s="554" t="str">
        <f>IF(AND($A22&lt;K$6,SUM($G22:J22)=0),$E22,"")</f>
        <v/>
      </c>
      <c r="L22" s="554" t="str">
        <f>IF(AND($A22&lt;L$6,SUM($G22:K22)=0),$E22,"")</f>
        <v/>
      </c>
      <c r="M22" s="554" t="str">
        <f>IF(AND($A22&lt;M$6,SUM($G22:L22)=0),$E22,"")</f>
        <v/>
      </c>
      <c r="N22" s="554" t="str">
        <f>IF(AND($A22&lt;N$6,SUM($G22:M22)=0),$E22,"")</f>
        <v/>
      </c>
      <c r="O22" s="554" t="str">
        <f>IF(AND($A22&lt;O$6,SUM($G22:N22)=0),$E22,"")</f>
        <v/>
      </c>
      <c r="P22" s="554" t="str">
        <f>IF(AND($A22&lt;P$6,SUM($G22:O22)=0),$E22,"")</f>
        <v/>
      </c>
      <c r="Q22" s="554" t="str">
        <f>IF(AND($A22&lt;Q$6,SUM($G22:P22)=0),$E22,"")</f>
        <v/>
      </c>
      <c r="R22" s="554" t="str">
        <f>IF(AND($A22&lt;R$6,SUM($G22:Q22)=0),$E22,"")</f>
        <v/>
      </c>
      <c r="S22" s="554" t="str">
        <f>IF(AND($A22&lt;S$6,SUM($G22:R22)=0),$E22,"")</f>
        <v/>
      </c>
      <c r="T22" s="554" t="str">
        <f>IF(AND($A22&lt;T$6,SUM($G22:S22)=0),$E22,"")</f>
        <v/>
      </c>
      <c r="U22" s="554" t="str">
        <f>IF(AND($A22&lt;U$6,SUM($G22:T22)=0),$E22,"")</f>
        <v/>
      </c>
      <c r="V22" s="554" t="str">
        <f>IF(AND($A22&lt;V$6,SUM($G22:U22)=0),$E22,"")</f>
        <v/>
      </c>
      <c r="W22" s="554" t="str">
        <f>IF(AND($A22&lt;W$6,SUM($G22:V22)=0),$E22,"")</f>
        <v/>
      </c>
      <c r="X22" s="554" t="str">
        <f>IF(AND($A22&lt;X$6,SUM($G22:W22)=0),$E22,"")</f>
        <v/>
      </c>
      <c r="Y22" s="554" t="str">
        <f>IF(AND($A22&lt;Y$6,SUM($G22:X22)=0),$E22,"")</f>
        <v/>
      </c>
      <c r="Z22" s="554" t="str">
        <f>IF(AND($A22&lt;Z$6,SUM($G22:Y22)=0),$E22,"")</f>
        <v/>
      </c>
      <c r="AA22" s="554" t="str">
        <f>IF(AND($A22&lt;AA$6,SUM($G22:Z22)=0),$E22,"")</f>
        <v/>
      </c>
      <c r="AB22" s="554" t="str">
        <f>IF(AND($A22&lt;AB$6,SUM($G22:AA22)=0),$E22,"")</f>
        <v/>
      </c>
      <c r="AC22" s="554" t="str">
        <f>IF(AND($A22&lt;AC$6,SUM($G22:AB22)=0),$E22,"")</f>
        <v/>
      </c>
      <c r="AD22" s="554" t="str">
        <f>IF(AND($A22&lt;AD$6,SUM($G22:AC22)=0),$E22,"")</f>
        <v/>
      </c>
      <c r="AE22" s="554" t="str">
        <f>IF(AND($A22&lt;AE$6,SUM($G22:AD22)=0),$E22,"")</f>
        <v/>
      </c>
      <c r="AF22" s="554" t="str">
        <f>IF(AND($A22&lt;AF$6,SUM($G22:AE22)=0),$E22,"")</f>
        <v/>
      </c>
      <c r="AG22" s="554" t="str">
        <f>IF(AND($A22&lt;AG$6,SUM($G22:AF22)=0),$E22,"")</f>
        <v/>
      </c>
      <c r="AH22" s="554" t="str">
        <f>IF(AND($A22&lt;AH$6,SUM($G22:AG22)=0),$E22,"")</f>
        <v/>
      </c>
      <c r="AI22" s="554" t="str">
        <f>IF(AND($A22&lt;AI$6,SUM($G22:AH22)=0),$E22,"")</f>
        <v/>
      </c>
      <c r="AJ22" s="554" t="str">
        <f>IF(AND($A22&lt;AJ$6,SUM($G22:AI22)=0),$E22,"")</f>
        <v/>
      </c>
      <c r="AK22" s="554" t="str">
        <f>IF(AND($A22&lt;AK$6,SUM($G22:AJ22)=0),$E22,"")</f>
        <v/>
      </c>
      <c r="AL22" s="554" t="str">
        <f>IF(AND($A22&lt;AL$6,SUM($G22:AK22)=0),$E22,"")</f>
        <v/>
      </c>
      <c r="AM22" s="554" t="str">
        <f>IF(AND($A22&lt;AM$6,SUM($G22:AL22)=0),$E22,"")</f>
        <v/>
      </c>
      <c r="AN22" s="554" t="str">
        <f>IF(AND($A22&lt;AN$6,SUM($G22:AM22)=0),$E22,"")</f>
        <v/>
      </c>
      <c r="AO22" s="554" t="str">
        <f>IF(AND($A22&lt;AO$6,SUM($G22:AN22)=0),$E22,"")</f>
        <v/>
      </c>
      <c r="AP22" s="554" t="str">
        <f>IF(AND($A22&lt;AP$6,SUM($G22:AO22)=0),$E22,"")</f>
        <v/>
      </c>
      <c r="AQ22" s="554" t="str">
        <f>IF(AND($A22&lt;AQ$6,SUM($G22:AP22)=0),$E22,"")</f>
        <v/>
      </c>
      <c r="AR22" s="554" t="str">
        <f>IF(AND($A22&lt;AR$6,SUM($G22:AQ22)=0),$E22,"")</f>
        <v/>
      </c>
      <c r="AS22" s="141"/>
      <c r="AT22" s="141"/>
    </row>
    <row r="23" spans="1:46">
      <c r="A23" s="592"/>
      <c r="B23" s="1214"/>
      <c r="C23" s="1214"/>
      <c r="D23" s="545"/>
      <c r="E23" s="594" t="str">
        <f t="shared" si="4"/>
        <v/>
      </c>
      <c r="F23" s="595"/>
      <c r="G23" s="554" t="str">
        <f t="shared" ref="G23:G31" si="5">IF($A23&lt;G$6,$E23,"")</f>
        <v/>
      </c>
      <c r="H23" s="554" t="str">
        <f>IF(AND($A23&lt;H$6,SUM($G23:G23)=0),$E23,"")</f>
        <v/>
      </c>
      <c r="I23" s="554" t="str">
        <f>IF(AND($A23&lt;I$6,SUM($G23:H23)=0),$E23,"")</f>
        <v/>
      </c>
      <c r="J23" s="554" t="str">
        <f>IF(AND($A23&lt;J$6,SUM($G23:I23)=0),$E23,"")</f>
        <v/>
      </c>
      <c r="K23" s="554" t="str">
        <f>IF(AND($A23&lt;K$6,SUM($G23:J23)=0),$E23,"")</f>
        <v/>
      </c>
      <c r="L23" s="554" t="str">
        <f>IF(AND($A23&lt;L$6,SUM($G23:K23)=0),$E23,"")</f>
        <v/>
      </c>
      <c r="M23" s="554" t="str">
        <f>IF(AND($A23&lt;M$6,SUM($G23:L23)=0),$E23,"")</f>
        <v/>
      </c>
      <c r="N23" s="554" t="str">
        <f>IF(AND($A23&lt;N$6,SUM($G23:M23)=0),$E23,"")</f>
        <v/>
      </c>
      <c r="O23" s="554" t="str">
        <f>IF(AND($A23&lt;O$6,SUM($G23:N23)=0),$E23,"")</f>
        <v/>
      </c>
      <c r="P23" s="554" t="str">
        <f>IF(AND($A23&lt;P$6,SUM($G23:O23)=0),$E23,"")</f>
        <v/>
      </c>
      <c r="Q23" s="554" t="str">
        <f>IF(AND($A23&lt;Q$6,SUM($G23:P23)=0),$E23,"")</f>
        <v/>
      </c>
      <c r="R23" s="554" t="str">
        <f>IF(AND($A23&lt;R$6,SUM($G23:Q23)=0),$E23,"")</f>
        <v/>
      </c>
      <c r="S23" s="554" t="str">
        <f>IF(AND($A23&lt;S$6,SUM($G23:R23)=0),$E23,"")</f>
        <v/>
      </c>
      <c r="T23" s="554" t="str">
        <f>IF(AND($A23&lt;T$6,SUM($G23:S23)=0),$E23,"")</f>
        <v/>
      </c>
      <c r="U23" s="554" t="str">
        <f>IF(AND($A23&lt;U$6,SUM($G23:T23)=0),$E23,"")</f>
        <v/>
      </c>
      <c r="V23" s="554" t="str">
        <f>IF(AND($A23&lt;V$6,SUM($G23:U23)=0),$E23,"")</f>
        <v/>
      </c>
      <c r="W23" s="554" t="str">
        <f>IF(AND($A23&lt;W$6,SUM($G23:V23)=0),$E23,"")</f>
        <v/>
      </c>
      <c r="X23" s="554" t="str">
        <f>IF(AND($A23&lt;X$6,SUM($G23:W23)=0),$E23,"")</f>
        <v/>
      </c>
      <c r="Y23" s="554" t="str">
        <f>IF(AND($A23&lt;Y$6,SUM($G23:X23)=0),$E23,"")</f>
        <v/>
      </c>
      <c r="Z23" s="554" t="str">
        <f>IF(AND($A23&lt;Z$6,SUM($G23:Y23)=0),$E23,"")</f>
        <v/>
      </c>
      <c r="AA23" s="554" t="str">
        <f>IF(AND($A23&lt;AA$6,SUM($G23:Z23)=0),$E23,"")</f>
        <v/>
      </c>
      <c r="AB23" s="554" t="str">
        <f>IF(AND($A23&lt;AB$6,SUM($G23:AA23)=0),$E23,"")</f>
        <v/>
      </c>
      <c r="AC23" s="554" t="str">
        <f>IF(AND($A23&lt;AC$6,SUM($G23:AB23)=0),$E23,"")</f>
        <v/>
      </c>
      <c r="AD23" s="554" t="str">
        <f>IF(AND($A23&lt;AD$6,SUM($G23:AC23)=0),$E23,"")</f>
        <v/>
      </c>
      <c r="AE23" s="554" t="str">
        <f>IF(AND($A23&lt;AE$6,SUM($G23:AD23)=0),$E23,"")</f>
        <v/>
      </c>
      <c r="AF23" s="554" t="str">
        <f>IF(AND($A23&lt;AF$6,SUM($G23:AE23)=0),$E23,"")</f>
        <v/>
      </c>
      <c r="AG23" s="554" t="str">
        <f>IF(AND($A23&lt;AG$6,SUM($G23:AF23)=0),$E23,"")</f>
        <v/>
      </c>
      <c r="AH23" s="554" t="str">
        <f>IF(AND($A23&lt;AH$6,SUM($G23:AG23)=0),$E23,"")</f>
        <v/>
      </c>
      <c r="AI23" s="554" t="str">
        <f>IF(AND($A23&lt;AI$6,SUM($G23:AH23)=0),$E23,"")</f>
        <v/>
      </c>
      <c r="AJ23" s="554" t="str">
        <f>IF(AND($A23&lt;AJ$6,SUM($G23:AI23)=0),$E23,"")</f>
        <v/>
      </c>
      <c r="AK23" s="554" t="str">
        <f>IF(AND($A23&lt;AK$6,SUM($G23:AJ23)=0),$E23,"")</f>
        <v/>
      </c>
      <c r="AL23" s="554" t="str">
        <f>IF(AND($A23&lt;AL$6,SUM($G23:AK23)=0),$E23,"")</f>
        <v/>
      </c>
      <c r="AM23" s="554" t="str">
        <f>IF(AND($A23&lt;AM$6,SUM($G23:AL23)=0),$E23,"")</f>
        <v/>
      </c>
      <c r="AN23" s="554" t="str">
        <f>IF(AND($A23&lt;AN$6,SUM($G23:AM23)=0),$E23,"")</f>
        <v/>
      </c>
      <c r="AO23" s="554" t="str">
        <f>IF(AND($A23&lt;AO$6,SUM($G23:AN23)=0),$E23,"")</f>
        <v/>
      </c>
      <c r="AP23" s="554" t="str">
        <f>IF(AND($A23&lt;AP$6,SUM($G23:AO23)=0),$E23,"")</f>
        <v/>
      </c>
      <c r="AQ23" s="554" t="str">
        <f>IF(AND($A23&lt;AQ$6,SUM($G23:AP23)=0),$E23,"")</f>
        <v/>
      </c>
      <c r="AR23" s="554" t="str">
        <f>IF(AND($A23&lt;AR$6,SUM($G23:AQ23)=0),$E23,"")</f>
        <v/>
      </c>
      <c r="AS23" s="141"/>
      <c r="AT23" s="141"/>
    </row>
    <row r="24" spans="1:46">
      <c r="A24" s="592"/>
      <c r="B24" s="1214"/>
      <c r="C24" s="1214"/>
      <c r="D24" s="545"/>
      <c r="E24" s="594" t="str">
        <f t="shared" si="4"/>
        <v/>
      </c>
      <c r="F24" s="595"/>
      <c r="G24" s="554" t="str">
        <f t="shared" si="5"/>
        <v/>
      </c>
      <c r="H24" s="554" t="str">
        <f>IF(AND($A24&lt;H$6,SUM($G24:G24)=0),$E24,"")</f>
        <v/>
      </c>
      <c r="I24" s="554" t="str">
        <f>IF(AND($A24&lt;I$6,SUM($G24:H24)=0),$E24,"")</f>
        <v/>
      </c>
      <c r="J24" s="554" t="str">
        <f>IF(AND($A24&lt;J$6,SUM($G24:I24)=0),$E24,"")</f>
        <v/>
      </c>
      <c r="K24" s="554" t="str">
        <f>IF(AND($A24&lt;K$6,SUM($G24:J24)=0),$E24,"")</f>
        <v/>
      </c>
      <c r="L24" s="554" t="str">
        <f>IF(AND($A24&lt;L$6,SUM($G24:K24)=0),$E24,"")</f>
        <v/>
      </c>
      <c r="M24" s="554" t="str">
        <f>IF(AND($A24&lt;M$6,SUM($G24:L24)=0),$E24,"")</f>
        <v/>
      </c>
      <c r="N24" s="554" t="str">
        <f>IF(AND($A24&lt;N$6,SUM($G24:M24)=0),$E24,"")</f>
        <v/>
      </c>
      <c r="O24" s="554" t="str">
        <f>IF(AND($A24&lt;O$6,SUM($G24:N24)=0),$E24,"")</f>
        <v/>
      </c>
      <c r="P24" s="554" t="str">
        <f>IF(AND($A24&lt;P$6,SUM($G24:O24)=0),$E24,"")</f>
        <v/>
      </c>
      <c r="Q24" s="554" t="str">
        <f>IF(AND($A24&lt;Q$6,SUM($G24:P24)=0),$E24,"")</f>
        <v/>
      </c>
      <c r="R24" s="554" t="str">
        <f>IF(AND($A24&lt;R$6,SUM($G24:Q24)=0),$E24,"")</f>
        <v/>
      </c>
      <c r="S24" s="554" t="str">
        <f>IF(AND($A24&lt;S$6,SUM($G24:R24)=0),$E24,"")</f>
        <v/>
      </c>
      <c r="T24" s="554" t="str">
        <f>IF(AND($A24&lt;T$6,SUM($G24:S24)=0),$E24,"")</f>
        <v/>
      </c>
      <c r="U24" s="554" t="str">
        <f>IF(AND($A24&lt;U$6,SUM($G24:T24)=0),$E24,"")</f>
        <v/>
      </c>
      <c r="V24" s="554" t="str">
        <f>IF(AND($A24&lt;V$6,SUM($G24:U24)=0),$E24,"")</f>
        <v/>
      </c>
      <c r="W24" s="554" t="str">
        <f>IF(AND($A24&lt;W$6,SUM($G24:V24)=0),$E24,"")</f>
        <v/>
      </c>
      <c r="X24" s="554" t="str">
        <f>IF(AND($A24&lt;X$6,SUM($G24:W24)=0),$E24,"")</f>
        <v/>
      </c>
      <c r="Y24" s="554" t="str">
        <f>IF(AND($A24&lt;Y$6,SUM($G24:X24)=0),$E24,"")</f>
        <v/>
      </c>
      <c r="Z24" s="554" t="str">
        <f>IF(AND($A24&lt;Z$6,SUM($G24:Y24)=0),$E24,"")</f>
        <v/>
      </c>
      <c r="AA24" s="554" t="str">
        <f>IF(AND($A24&lt;AA$6,SUM($G24:Z24)=0),$E24,"")</f>
        <v/>
      </c>
      <c r="AB24" s="554" t="str">
        <f>IF(AND($A24&lt;AB$6,SUM($G24:AA24)=0),$E24,"")</f>
        <v/>
      </c>
      <c r="AC24" s="554" t="str">
        <f>IF(AND($A24&lt;AC$6,SUM($G24:AB24)=0),$E24,"")</f>
        <v/>
      </c>
      <c r="AD24" s="554" t="str">
        <f>IF(AND($A24&lt;AD$6,SUM($G24:AC24)=0),$E24,"")</f>
        <v/>
      </c>
      <c r="AE24" s="554" t="str">
        <f>IF(AND($A24&lt;AE$6,SUM($G24:AD24)=0),$E24,"")</f>
        <v/>
      </c>
      <c r="AF24" s="554" t="str">
        <f>IF(AND($A24&lt;AF$6,SUM($G24:AE24)=0),$E24,"")</f>
        <v/>
      </c>
      <c r="AG24" s="554" t="str">
        <f>IF(AND($A24&lt;AG$6,SUM($G24:AF24)=0),$E24,"")</f>
        <v/>
      </c>
      <c r="AH24" s="554" t="str">
        <f>IF(AND($A24&lt;AH$6,SUM($G24:AG24)=0),$E24,"")</f>
        <v/>
      </c>
      <c r="AI24" s="554" t="str">
        <f>IF(AND($A24&lt;AI$6,SUM($G24:AH24)=0),$E24,"")</f>
        <v/>
      </c>
      <c r="AJ24" s="554" t="str">
        <f>IF(AND($A24&lt;AJ$6,SUM($G24:AI24)=0),$E24,"")</f>
        <v/>
      </c>
      <c r="AK24" s="554" t="str">
        <f>IF(AND($A24&lt;AK$6,SUM($G24:AJ24)=0),$E24,"")</f>
        <v/>
      </c>
      <c r="AL24" s="554" t="str">
        <f>IF(AND($A24&lt;AL$6,SUM($G24:AK24)=0),$E24,"")</f>
        <v/>
      </c>
      <c r="AM24" s="554" t="str">
        <f>IF(AND($A24&lt;AM$6,SUM($G24:AL24)=0),$E24,"")</f>
        <v/>
      </c>
      <c r="AN24" s="554" t="str">
        <f>IF(AND($A24&lt;AN$6,SUM($G24:AM24)=0),$E24,"")</f>
        <v/>
      </c>
      <c r="AO24" s="554" t="str">
        <f>IF(AND($A24&lt;AO$6,SUM($G24:AN24)=0),$E24,"")</f>
        <v/>
      </c>
      <c r="AP24" s="554" t="str">
        <f>IF(AND($A24&lt;AP$6,SUM($G24:AO24)=0),$E24,"")</f>
        <v/>
      </c>
      <c r="AQ24" s="554" t="str">
        <f>IF(AND($A24&lt;AQ$6,SUM($G24:AP24)=0),$E24,"")</f>
        <v/>
      </c>
      <c r="AR24" s="554" t="str">
        <f>IF(AND($A24&lt;AR$6,SUM($G24:AQ24)=0),$E24,"")</f>
        <v/>
      </c>
      <c r="AS24" s="141"/>
      <c r="AT24" s="141"/>
    </row>
    <row r="25" spans="1:46">
      <c r="A25" s="592"/>
      <c r="B25" s="1214"/>
      <c r="C25" s="1214"/>
      <c r="D25" s="545"/>
      <c r="E25" s="594" t="str">
        <f t="shared" si="4"/>
        <v/>
      </c>
      <c r="F25" s="595"/>
      <c r="G25" s="554" t="str">
        <f t="shared" si="5"/>
        <v/>
      </c>
      <c r="H25" s="554" t="str">
        <f>IF(AND($A25&lt;H$6,SUM($G25:G25)=0),$E25,"")</f>
        <v/>
      </c>
      <c r="I25" s="554" t="str">
        <f>IF(AND($A25&lt;I$6,SUM($G25:H25)=0),$E25,"")</f>
        <v/>
      </c>
      <c r="J25" s="554" t="str">
        <f>IF(AND($A25&lt;J$6,SUM($G25:I25)=0),$E25,"")</f>
        <v/>
      </c>
      <c r="K25" s="554" t="str">
        <f>IF(AND($A25&lt;K$6,SUM($G25:J25)=0),$E25,"")</f>
        <v/>
      </c>
      <c r="L25" s="554" t="str">
        <f>IF(AND($A25&lt;L$6,SUM($G25:K25)=0),$E25,"")</f>
        <v/>
      </c>
      <c r="M25" s="554" t="str">
        <f>IF(AND($A25&lt;M$6,SUM($G25:L25)=0),$E25,"")</f>
        <v/>
      </c>
      <c r="N25" s="554" t="str">
        <f>IF(AND($A25&lt;N$6,SUM($G25:M25)=0),$E25,"")</f>
        <v/>
      </c>
      <c r="O25" s="554" t="str">
        <f>IF(AND($A25&lt;O$6,SUM($G25:N25)=0),$E25,"")</f>
        <v/>
      </c>
      <c r="P25" s="554" t="str">
        <f>IF(AND($A25&lt;P$6,SUM($G25:O25)=0),$E25,"")</f>
        <v/>
      </c>
      <c r="Q25" s="554" t="str">
        <f>IF(AND($A25&lt;Q$6,SUM($G25:P25)=0),$E25,"")</f>
        <v/>
      </c>
      <c r="R25" s="554" t="str">
        <f>IF(AND($A25&lt;R$6,SUM($G25:Q25)=0),$E25,"")</f>
        <v/>
      </c>
      <c r="S25" s="554" t="str">
        <f>IF(AND($A25&lt;S$6,SUM($G25:R25)=0),$E25,"")</f>
        <v/>
      </c>
      <c r="T25" s="554" t="str">
        <f>IF(AND($A25&lt;T$6,SUM($G25:S25)=0),$E25,"")</f>
        <v/>
      </c>
      <c r="U25" s="554" t="str">
        <f>IF(AND($A25&lt;U$6,SUM($G25:T25)=0),$E25,"")</f>
        <v/>
      </c>
      <c r="V25" s="554" t="str">
        <f>IF(AND($A25&lt;V$6,SUM($G25:U25)=0),$E25,"")</f>
        <v/>
      </c>
      <c r="W25" s="554" t="str">
        <f>IF(AND($A25&lt;W$6,SUM($G25:V25)=0),$E25,"")</f>
        <v/>
      </c>
      <c r="X25" s="554" t="str">
        <f>IF(AND($A25&lt;X$6,SUM($G25:W25)=0),$E25,"")</f>
        <v/>
      </c>
      <c r="Y25" s="554" t="str">
        <f>IF(AND($A25&lt;Y$6,SUM($G25:X25)=0),$E25,"")</f>
        <v/>
      </c>
      <c r="Z25" s="554" t="str">
        <f>IF(AND($A25&lt;Z$6,SUM($G25:Y25)=0),$E25,"")</f>
        <v/>
      </c>
      <c r="AA25" s="554" t="str">
        <f>IF(AND($A25&lt;AA$6,SUM($G25:Z25)=0),$E25,"")</f>
        <v/>
      </c>
      <c r="AB25" s="554" t="str">
        <f>IF(AND($A25&lt;AB$6,SUM($G25:AA25)=0),$E25,"")</f>
        <v/>
      </c>
      <c r="AC25" s="554" t="str">
        <f>IF(AND($A25&lt;AC$6,SUM($G25:AB25)=0),$E25,"")</f>
        <v/>
      </c>
      <c r="AD25" s="554" t="str">
        <f>IF(AND($A25&lt;AD$6,SUM($G25:AC25)=0),$E25,"")</f>
        <v/>
      </c>
      <c r="AE25" s="554" t="str">
        <f>IF(AND($A25&lt;AE$6,SUM($G25:AD25)=0),$E25,"")</f>
        <v/>
      </c>
      <c r="AF25" s="554" t="str">
        <f>IF(AND($A25&lt;AF$6,SUM($G25:AE25)=0),$E25,"")</f>
        <v/>
      </c>
      <c r="AG25" s="554" t="str">
        <f>IF(AND($A25&lt;AG$6,SUM($G25:AF25)=0),$E25,"")</f>
        <v/>
      </c>
      <c r="AH25" s="554" t="str">
        <f>IF(AND($A25&lt;AH$6,SUM($G25:AG25)=0),$E25,"")</f>
        <v/>
      </c>
      <c r="AI25" s="554" t="str">
        <f>IF(AND($A25&lt;AI$6,SUM($G25:AH25)=0),$E25,"")</f>
        <v/>
      </c>
      <c r="AJ25" s="554" t="str">
        <f>IF(AND($A25&lt;AJ$6,SUM($G25:AI25)=0),$E25,"")</f>
        <v/>
      </c>
      <c r="AK25" s="554" t="str">
        <f>IF(AND($A25&lt;AK$6,SUM($G25:AJ25)=0),$E25,"")</f>
        <v/>
      </c>
      <c r="AL25" s="554" t="str">
        <f>IF(AND($A25&lt;AL$6,SUM($G25:AK25)=0),$E25,"")</f>
        <v/>
      </c>
      <c r="AM25" s="554" t="str">
        <f>IF(AND($A25&lt;AM$6,SUM($G25:AL25)=0),$E25,"")</f>
        <v/>
      </c>
      <c r="AN25" s="554" t="str">
        <f>IF(AND($A25&lt;AN$6,SUM($G25:AM25)=0),$E25,"")</f>
        <v/>
      </c>
      <c r="AO25" s="554" t="str">
        <f>IF(AND($A25&lt;AO$6,SUM($G25:AN25)=0),$E25,"")</f>
        <v/>
      </c>
      <c r="AP25" s="554" t="str">
        <f>IF(AND($A25&lt;AP$6,SUM($G25:AO25)=0),$E25,"")</f>
        <v/>
      </c>
      <c r="AQ25" s="554" t="str">
        <f>IF(AND($A25&lt;AQ$6,SUM($G25:AP25)=0),$E25,"")</f>
        <v/>
      </c>
      <c r="AR25" s="554" t="str">
        <f>IF(AND($A25&lt;AR$6,SUM($G25:AQ25)=0),$E25,"")</f>
        <v/>
      </c>
      <c r="AS25" s="141"/>
      <c r="AT25" s="141"/>
    </row>
    <row r="26" spans="1:46">
      <c r="A26" s="592"/>
      <c r="B26" s="1214"/>
      <c r="C26" s="1214"/>
      <c r="D26" s="545"/>
      <c r="E26" s="594" t="str">
        <f t="shared" si="4"/>
        <v/>
      </c>
      <c r="F26" s="595"/>
      <c r="G26" s="554" t="str">
        <f t="shared" si="5"/>
        <v/>
      </c>
      <c r="H26" s="554" t="str">
        <f>IF(AND($A26&lt;H$6,SUM($G26:G26)=0),$E26,"")</f>
        <v/>
      </c>
      <c r="I26" s="554" t="str">
        <f>IF(AND($A26&lt;I$6,SUM($G26:H26)=0),$E26,"")</f>
        <v/>
      </c>
      <c r="J26" s="554" t="str">
        <f>IF(AND($A26&lt;J$6,SUM($G26:I26)=0),$E26,"")</f>
        <v/>
      </c>
      <c r="K26" s="554" t="str">
        <f>IF(AND($A26&lt;K$6,SUM($G26:J26)=0),$E26,"")</f>
        <v/>
      </c>
      <c r="L26" s="554" t="str">
        <f>IF(AND($A26&lt;L$6,SUM($G26:K26)=0),$E26,"")</f>
        <v/>
      </c>
      <c r="M26" s="554" t="str">
        <f>IF(AND($A26&lt;M$6,SUM($G26:L26)=0),$E26,"")</f>
        <v/>
      </c>
      <c r="N26" s="554" t="str">
        <f>IF(AND($A26&lt;N$6,SUM($G26:M26)=0),$E26,"")</f>
        <v/>
      </c>
      <c r="O26" s="554" t="str">
        <f>IF(AND($A26&lt;O$6,SUM($G26:N26)=0),$E26,"")</f>
        <v/>
      </c>
      <c r="P26" s="554" t="str">
        <f>IF(AND($A26&lt;P$6,SUM($G26:O26)=0),$E26,"")</f>
        <v/>
      </c>
      <c r="Q26" s="554" t="str">
        <f>IF(AND($A26&lt;Q$6,SUM($G26:P26)=0),$E26,"")</f>
        <v/>
      </c>
      <c r="R26" s="554" t="str">
        <f>IF(AND($A26&lt;R$6,SUM($G26:Q26)=0),$E26,"")</f>
        <v/>
      </c>
      <c r="S26" s="554" t="str">
        <f>IF(AND($A26&lt;S$6,SUM($G26:R26)=0),$E26,"")</f>
        <v/>
      </c>
      <c r="T26" s="554" t="str">
        <f>IF(AND($A26&lt;T$6,SUM($G26:S26)=0),$E26,"")</f>
        <v/>
      </c>
      <c r="U26" s="554" t="str">
        <f>IF(AND($A26&lt;U$6,SUM($G26:T26)=0),$E26,"")</f>
        <v/>
      </c>
      <c r="V26" s="554" t="str">
        <f>IF(AND($A26&lt;V$6,SUM($G26:U26)=0),$E26,"")</f>
        <v/>
      </c>
      <c r="W26" s="554" t="str">
        <f>IF(AND($A26&lt;W$6,SUM($G26:V26)=0),$E26,"")</f>
        <v/>
      </c>
      <c r="X26" s="554" t="str">
        <f>IF(AND($A26&lt;X$6,SUM($G26:W26)=0),$E26,"")</f>
        <v/>
      </c>
      <c r="Y26" s="554" t="str">
        <f>IF(AND($A26&lt;Y$6,SUM($G26:X26)=0),$E26,"")</f>
        <v/>
      </c>
      <c r="Z26" s="554" t="str">
        <f>IF(AND($A26&lt;Z$6,SUM($G26:Y26)=0),$E26,"")</f>
        <v/>
      </c>
      <c r="AA26" s="554" t="str">
        <f>IF(AND($A26&lt;AA$6,SUM($G26:Z26)=0),$E26,"")</f>
        <v/>
      </c>
      <c r="AB26" s="554" t="str">
        <f>IF(AND($A26&lt;AB$6,SUM($G26:AA26)=0),$E26,"")</f>
        <v/>
      </c>
      <c r="AC26" s="554" t="str">
        <f>IF(AND($A26&lt;AC$6,SUM($G26:AB26)=0),$E26,"")</f>
        <v/>
      </c>
      <c r="AD26" s="554" t="str">
        <f>IF(AND($A26&lt;AD$6,SUM($G26:AC26)=0),$E26,"")</f>
        <v/>
      </c>
      <c r="AE26" s="554" t="str">
        <f>IF(AND($A26&lt;AE$6,SUM($G26:AD26)=0),$E26,"")</f>
        <v/>
      </c>
      <c r="AF26" s="554" t="str">
        <f>IF(AND($A26&lt;AF$6,SUM($G26:AE26)=0),$E26,"")</f>
        <v/>
      </c>
      <c r="AG26" s="554" t="str">
        <f>IF(AND($A26&lt;AG$6,SUM($G26:AF26)=0),$E26,"")</f>
        <v/>
      </c>
      <c r="AH26" s="554" t="str">
        <f>IF(AND($A26&lt;AH$6,SUM($G26:AG26)=0),$E26,"")</f>
        <v/>
      </c>
      <c r="AI26" s="554" t="str">
        <f>IF(AND($A26&lt;AI$6,SUM($G26:AH26)=0),$E26,"")</f>
        <v/>
      </c>
      <c r="AJ26" s="554" t="str">
        <f>IF(AND($A26&lt;AJ$6,SUM($G26:AI26)=0),$E26,"")</f>
        <v/>
      </c>
      <c r="AK26" s="554" t="str">
        <f>IF(AND($A26&lt;AK$6,SUM($G26:AJ26)=0),$E26,"")</f>
        <v/>
      </c>
      <c r="AL26" s="554" t="str">
        <f>IF(AND($A26&lt;AL$6,SUM($G26:AK26)=0),$E26,"")</f>
        <v/>
      </c>
      <c r="AM26" s="554" t="str">
        <f>IF(AND($A26&lt;AM$6,SUM($G26:AL26)=0),$E26,"")</f>
        <v/>
      </c>
      <c r="AN26" s="554" t="str">
        <f>IF(AND($A26&lt;AN$6,SUM($G26:AM26)=0),$E26,"")</f>
        <v/>
      </c>
      <c r="AO26" s="554" t="str">
        <f>IF(AND($A26&lt;AO$6,SUM($G26:AN26)=0),$E26,"")</f>
        <v/>
      </c>
      <c r="AP26" s="554" t="str">
        <f>IF(AND($A26&lt;AP$6,SUM($G26:AO26)=0),$E26,"")</f>
        <v/>
      </c>
      <c r="AQ26" s="554" t="str">
        <f>IF(AND($A26&lt;AQ$6,SUM($G26:AP26)=0),$E26,"")</f>
        <v/>
      </c>
      <c r="AR26" s="554" t="str">
        <f>IF(AND($A26&lt;AR$6,SUM($G26:AQ26)=0),$E26,"")</f>
        <v/>
      </c>
      <c r="AS26" s="141"/>
      <c r="AT26" s="141"/>
    </row>
    <row r="27" spans="1:46">
      <c r="A27" s="592"/>
      <c r="B27" s="1214"/>
      <c r="C27" s="1214"/>
      <c r="D27" s="545"/>
      <c r="E27" s="594" t="str">
        <f t="shared" si="4"/>
        <v/>
      </c>
      <c r="F27" s="595"/>
      <c r="G27" s="554" t="str">
        <f t="shared" si="5"/>
        <v/>
      </c>
      <c r="H27" s="554" t="str">
        <f>IF(AND($A27&lt;H$6,SUM($G27:G27)=0),$E27,"")</f>
        <v/>
      </c>
      <c r="I27" s="554" t="str">
        <f>IF(AND($A27&lt;I$6,SUM($G27:H27)=0),$E27,"")</f>
        <v/>
      </c>
      <c r="J27" s="554" t="str">
        <f>IF(AND($A27&lt;J$6,SUM($G27:I27)=0),$E27,"")</f>
        <v/>
      </c>
      <c r="K27" s="554" t="str">
        <f>IF(AND($A27&lt;K$6,SUM($G27:J27)=0),$E27,"")</f>
        <v/>
      </c>
      <c r="L27" s="554" t="str">
        <f>IF(AND($A27&lt;L$6,SUM($G27:K27)=0),$E27,"")</f>
        <v/>
      </c>
      <c r="M27" s="554" t="str">
        <f>IF(AND($A27&lt;M$6,SUM($G27:L27)=0),$E27,"")</f>
        <v/>
      </c>
      <c r="N27" s="554" t="str">
        <f>IF(AND($A27&lt;N$6,SUM($G27:M27)=0),$E27,"")</f>
        <v/>
      </c>
      <c r="O27" s="554" t="str">
        <f>IF(AND($A27&lt;O$6,SUM($G27:N27)=0),$E27,"")</f>
        <v/>
      </c>
      <c r="P27" s="554" t="str">
        <f>IF(AND($A27&lt;P$6,SUM($G27:O27)=0),$E27,"")</f>
        <v/>
      </c>
      <c r="Q27" s="554" t="str">
        <f>IF(AND($A27&lt;Q$6,SUM($G27:P27)=0),$E27,"")</f>
        <v/>
      </c>
      <c r="R27" s="554" t="str">
        <f>IF(AND($A27&lt;R$6,SUM($G27:Q27)=0),$E27,"")</f>
        <v/>
      </c>
      <c r="S27" s="554" t="str">
        <f>IF(AND($A27&lt;S$6,SUM($G27:R27)=0),$E27,"")</f>
        <v/>
      </c>
      <c r="T27" s="554" t="str">
        <f>IF(AND($A27&lt;T$6,SUM($G27:S27)=0),$E27,"")</f>
        <v/>
      </c>
      <c r="U27" s="554" t="str">
        <f>IF(AND($A27&lt;U$6,SUM($G27:T27)=0),$E27,"")</f>
        <v/>
      </c>
      <c r="V27" s="554" t="str">
        <f>IF(AND($A27&lt;V$6,SUM($G27:U27)=0),$E27,"")</f>
        <v/>
      </c>
      <c r="W27" s="554" t="str">
        <f>IF(AND($A27&lt;W$6,SUM($G27:V27)=0),$E27,"")</f>
        <v/>
      </c>
      <c r="X27" s="554" t="str">
        <f>IF(AND($A27&lt;X$6,SUM($G27:W27)=0),$E27,"")</f>
        <v/>
      </c>
      <c r="Y27" s="554" t="str">
        <f>IF(AND($A27&lt;Y$6,SUM($G27:X27)=0),$E27,"")</f>
        <v/>
      </c>
      <c r="Z27" s="554" t="str">
        <f>IF(AND($A27&lt;Z$6,SUM($G27:Y27)=0),$E27,"")</f>
        <v/>
      </c>
      <c r="AA27" s="554" t="str">
        <f>IF(AND($A27&lt;AA$6,SUM($G27:Z27)=0),$E27,"")</f>
        <v/>
      </c>
      <c r="AB27" s="554" t="str">
        <f>IF(AND($A27&lt;AB$6,SUM($G27:AA27)=0),$E27,"")</f>
        <v/>
      </c>
      <c r="AC27" s="554" t="str">
        <f>IF(AND($A27&lt;AC$6,SUM($G27:AB27)=0),$E27,"")</f>
        <v/>
      </c>
      <c r="AD27" s="554" t="str">
        <f>IF(AND($A27&lt;AD$6,SUM($G27:AC27)=0),$E27,"")</f>
        <v/>
      </c>
      <c r="AE27" s="554" t="str">
        <f>IF(AND($A27&lt;AE$6,SUM($G27:AD27)=0),$E27,"")</f>
        <v/>
      </c>
      <c r="AF27" s="554" t="str">
        <f>IF(AND($A27&lt;AF$6,SUM($G27:AE27)=0),$E27,"")</f>
        <v/>
      </c>
      <c r="AG27" s="554" t="str">
        <f>IF(AND($A27&lt;AG$6,SUM($G27:AF27)=0),$E27,"")</f>
        <v/>
      </c>
      <c r="AH27" s="554" t="str">
        <f>IF(AND($A27&lt;AH$6,SUM($G27:AG27)=0),$E27,"")</f>
        <v/>
      </c>
      <c r="AI27" s="554" t="str">
        <f>IF(AND($A27&lt;AI$6,SUM($G27:AH27)=0),$E27,"")</f>
        <v/>
      </c>
      <c r="AJ27" s="554" t="str">
        <f>IF(AND($A27&lt;AJ$6,SUM($G27:AI27)=0),$E27,"")</f>
        <v/>
      </c>
      <c r="AK27" s="554" t="str">
        <f>IF(AND($A27&lt;AK$6,SUM($G27:AJ27)=0),$E27,"")</f>
        <v/>
      </c>
      <c r="AL27" s="554" t="str">
        <f>IF(AND($A27&lt;AL$6,SUM($G27:AK27)=0),$E27,"")</f>
        <v/>
      </c>
      <c r="AM27" s="554" t="str">
        <f>IF(AND($A27&lt;AM$6,SUM($G27:AL27)=0),$E27,"")</f>
        <v/>
      </c>
      <c r="AN27" s="554" t="str">
        <f>IF(AND($A27&lt;AN$6,SUM($G27:AM27)=0),$E27,"")</f>
        <v/>
      </c>
      <c r="AO27" s="554" t="str">
        <f>IF(AND($A27&lt;AO$6,SUM($G27:AN27)=0),$E27,"")</f>
        <v/>
      </c>
      <c r="AP27" s="554" t="str">
        <f>IF(AND($A27&lt;AP$6,SUM($G27:AO27)=0),$E27,"")</f>
        <v/>
      </c>
      <c r="AQ27" s="554" t="str">
        <f>IF(AND($A27&lt;AQ$6,SUM($G27:AP27)=0),$E27,"")</f>
        <v/>
      </c>
      <c r="AR27" s="554" t="str">
        <f>IF(AND($A27&lt;AR$6,SUM($G27:AQ27)=0),$E27,"")</f>
        <v/>
      </c>
      <c r="AS27" s="141"/>
      <c r="AT27" s="141"/>
    </row>
    <row r="28" spans="1:46">
      <c r="A28" s="592"/>
      <c r="B28" s="1214"/>
      <c r="C28" s="1214"/>
      <c r="D28" s="545"/>
      <c r="E28" s="594" t="str">
        <f t="shared" si="4"/>
        <v/>
      </c>
      <c r="F28" s="595"/>
      <c r="G28" s="554" t="str">
        <f t="shared" si="5"/>
        <v/>
      </c>
      <c r="H28" s="554" t="str">
        <f>IF(AND($A28&lt;H$6,SUM($G28:G28)=0),$E28,"")</f>
        <v/>
      </c>
      <c r="I28" s="554" t="str">
        <f>IF(AND($A28&lt;I$6,SUM($G28:H28)=0),$E28,"")</f>
        <v/>
      </c>
      <c r="J28" s="554" t="str">
        <f>IF(AND($A28&lt;J$6,SUM($G28:I28)=0),$E28,"")</f>
        <v/>
      </c>
      <c r="K28" s="554" t="str">
        <f>IF(AND($A28&lt;K$6,SUM($G28:J28)=0),$E28,"")</f>
        <v/>
      </c>
      <c r="L28" s="554" t="str">
        <f>IF(AND($A28&lt;L$6,SUM($G28:K28)=0),$E28,"")</f>
        <v/>
      </c>
      <c r="M28" s="554" t="str">
        <f>IF(AND($A28&lt;M$6,SUM($G28:L28)=0),$E28,"")</f>
        <v/>
      </c>
      <c r="N28" s="554" t="str">
        <f>IF(AND($A28&lt;N$6,SUM($G28:M28)=0),$E28,"")</f>
        <v/>
      </c>
      <c r="O28" s="554" t="str">
        <f>IF(AND($A28&lt;O$6,SUM($G28:N28)=0),$E28,"")</f>
        <v/>
      </c>
      <c r="P28" s="554" t="str">
        <f>IF(AND($A28&lt;P$6,SUM($G28:O28)=0),$E28,"")</f>
        <v/>
      </c>
      <c r="Q28" s="554" t="str">
        <f>IF(AND($A28&lt;Q$6,SUM($G28:P28)=0),$E28,"")</f>
        <v/>
      </c>
      <c r="R28" s="554" t="str">
        <f>IF(AND($A28&lt;R$6,SUM($G28:Q28)=0),$E28,"")</f>
        <v/>
      </c>
      <c r="S28" s="554" t="str">
        <f>IF(AND($A28&lt;S$6,SUM($G28:R28)=0),$E28,"")</f>
        <v/>
      </c>
      <c r="T28" s="554" t="str">
        <f>IF(AND($A28&lt;T$6,SUM($G28:S28)=0),$E28,"")</f>
        <v/>
      </c>
      <c r="U28" s="554" t="str">
        <f>IF(AND($A28&lt;U$6,SUM($G28:T28)=0),$E28,"")</f>
        <v/>
      </c>
      <c r="V28" s="554" t="str">
        <f>IF(AND($A28&lt;V$6,SUM($G28:U28)=0),$E28,"")</f>
        <v/>
      </c>
      <c r="W28" s="554" t="str">
        <f>IF(AND($A28&lt;W$6,SUM($G28:V28)=0),$E28,"")</f>
        <v/>
      </c>
      <c r="X28" s="554" t="str">
        <f>IF(AND($A28&lt;X$6,SUM($G28:W28)=0),$E28,"")</f>
        <v/>
      </c>
      <c r="Y28" s="554" t="str">
        <f>IF(AND($A28&lt;Y$6,SUM($G28:X28)=0),$E28,"")</f>
        <v/>
      </c>
      <c r="Z28" s="554" t="str">
        <f>IF(AND($A28&lt;Z$6,SUM($G28:Y28)=0),$E28,"")</f>
        <v/>
      </c>
      <c r="AA28" s="554" t="str">
        <f>IF(AND($A28&lt;AA$6,SUM($G28:Z28)=0),$E28,"")</f>
        <v/>
      </c>
      <c r="AB28" s="554" t="str">
        <f>IF(AND($A28&lt;AB$6,SUM($G28:AA28)=0),$E28,"")</f>
        <v/>
      </c>
      <c r="AC28" s="554" t="str">
        <f>IF(AND($A28&lt;AC$6,SUM($G28:AB28)=0),$E28,"")</f>
        <v/>
      </c>
      <c r="AD28" s="554" t="str">
        <f>IF(AND($A28&lt;AD$6,SUM($G28:AC28)=0),$E28,"")</f>
        <v/>
      </c>
      <c r="AE28" s="554" t="str">
        <f>IF(AND($A28&lt;AE$6,SUM($G28:AD28)=0),$E28,"")</f>
        <v/>
      </c>
      <c r="AF28" s="554" t="str">
        <f>IF(AND($A28&lt;AF$6,SUM($G28:AE28)=0),$E28,"")</f>
        <v/>
      </c>
      <c r="AG28" s="554" t="str">
        <f>IF(AND($A28&lt;AG$6,SUM($G28:AF28)=0),$E28,"")</f>
        <v/>
      </c>
      <c r="AH28" s="554" t="str">
        <f>IF(AND($A28&lt;AH$6,SUM($G28:AG28)=0),$E28,"")</f>
        <v/>
      </c>
      <c r="AI28" s="554" t="str">
        <f>IF(AND($A28&lt;AI$6,SUM($G28:AH28)=0),$E28,"")</f>
        <v/>
      </c>
      <c r="AJ28" s="554" t="str">
        <f>IF(AND($A28&lt;AJ$6,SUM($G28:AI28)=0),$E28,"")</f>
        <v/>
      </c>
      <c r="AK28" s="554" t="str">
        <f>IF(AND($A28&lt;AK$6,SUM($G28:AJ28)=0),$E28,"")</f>
        <v/>
      </c>
      <c r="AL28" s="554" t="str">
        <f>IF(AND($A28&lt;AL$6,SUM($G28:AK28)=0),$E28,"")</f>
        <v/>
      </c>
      <c r="AM28" s="554" t="str">
        <f>IF(AND($A28&lt;AM$6,SUM($G28:AL28)=0),$E28,"")</f>
        <v/>
      </c>
      <c r="AN28" s="554" t="str">
        <f>IF(AND($A28&lt;AN$6,SUM($G28:AM28)=0),$E28,"")</f>
        <v/>
      </c>
      <c r="AO28" s="554" t="str">
        <f>IF(AND($A28&lt;AO$6,SUM($G28:AN28)=0),$E28,"")</f>
        <v/>
      </c>
      <c r="AP28" s="554" t="str">
        <f>IF(AND($A28&lt;AP$6,SUM($G28:AO28)=0),$E28,"")</f>
        <v/>
      </c>
      <c r="AQ28" s="554" t="str">
        <f>IF(AND($A28&lt;AQ$6,SUM($G28:AP28)=0),$E28,"")</f>
        <v/>
      </c>
      <c r="AR28" s="554" t="str">
        <f>IF(AND($A28&lt;AR$6,SUM($G28:AQ28)=0),$E28,"")</f>
        <v/>
      </c>
      <c r="AS28" s="141"/>
      <c r="AT28" s="141"/>
    </row>
    <row r="29" spans="1:46">
      <c r="A29" s="592"/>
      <c r="B29" s="1214"/>
      <c r="C29" s="1214"/>
      <c r="D29" s="545"/>
      <c r="E29" s="594" t="str">
        <f t="shared" si="4"/>
        <v/>
      </c>
      <c r="F29" s="595"/>
      <c r="G29" s="554" t="str">
        <f t="shared" si="5"/>
        <v/>
      </c>
      <c r="H29" s="554" t="str">
        <f>IF(AND($A29&lt;H$6,SUM($G29:G29)=0),$E29,"")</f>
        <v/>
      </c>
      <c r="I29" s="554" t="str">
        <f>IF(AND($A29&lt;I$6,SUM($G29:H29)=0),$E29,"")</f>
        <v/>
      </c>
      <c r="J29" s="554" t="str">
        <f>IF(AND($A29&lt;J$6,SUM($G29:I29)=0),$E29,"")</f>
        <v/>
      </c>
      <c r="K29" s="554" t="str">
        <f>IF(AND($A29&lt;K$6,SUM($G29:J29)=0),$E29,"")</f>
        <v/>
      </c>
      <c r="L29" s="554" t="str">
        <f>IF(AND($A29&lt;L$6,SUM($G29:K29)=0),$E29,"")</f>
        <v/>
      </c>
      <c r="M29" s="554" t="str">
        <f>IF(AND($A29&lt;M$6,SUM($G29:L29)=0),$E29,"")</f>
        <v/>
      </c>
      <c r="N29" s="554" t="str">
        <f>IF(AND($A29&lt;N$6,SUM($G29:M29)=0),$E29,"")</f>
        <v/>
      </c>
      <c r="O29" s="554" t="str">
        <f>IF(AND($A29&lt;O$6,SUM($G29:N29)=0),$E29,"")</f>
        <v/>
      </c>
      <c r="P29" s="554" t="str">
        <f>IF(AND($A29&lt;P$6,SUM($G29:O29)=0),$E29,"")</f>
        <v/>
      </c>
      <c r="Q29" s="554" t="str">
        <f>IF(AND($A29&lt;Q$6,SUM($G29:P29)=0),$E29,"")</f>
        <v/>
      </c>
      <c r="R29" s="554" t="str">
        <f>IF(AND($A29&lt;R$6,SUM($G29:Q29)=0),$E29,"")</f>
        <v/>
      </c>
      <c r="S29" s="554" t="str">
        <f>IF(AND($A29&lt;S$6,SUM($G29:R29)=0),$E29,"")</f>
        <v/>
      </c>
      <c r="T29" s="554" t="str">
        <f>IF(AND($A29&lt;T$6,SUM($G29:S29)=0),$E29,"")</f>
        <v/>
      </c>
      <c r="U29" s="554" t="str">
        <f>IF(AND($A29&lt;U$6,SUM($G29:T29)=0),$E29,"")</f>
        <v/>
      </c>
      <c r="V29" s="554" t="str">
        <f>IF(AND($A29&lt;V$6,SUM($G29:U29)=0),$E29,"")</f>
        <v/>
      </c>
      <c r="W29" s="554" t="str">
        <f>IF(AND($A29&lt;W$6,SUM($G29:V29)=0),$E29,"")</f>
        <v/>
      </c>
      <c r="X29" s="554" t="str">
        <f>IF(AND($A29&lt;X$6,SUM($G29:W29)=0),$E29,"")</f>
        <v/>
      </c>
      <c r="Y29" s="554" t="str">
        <f>IF(AND($A29&lt;Y$6,SUM($G29:X29)=0),$E29,"")</f>
        <v/>
      </c>
      <c r="Z29" s="554" t="str">
        <f>IF(AND($A29&lt;Z$6,SUM($G29:Y29)=0),$E29,"")</f>
        <v/>
      </c>
      <c r="AA29" s="554" t="str">
        <f>IF(AND($A29&lt;AA$6,SUM($G29:Z29)=0),$E29,"")</f>
        <v/>
      </c>
      <c r="AB29" s="554" t="str">
        <f>IF(AND($A29&lt;AB$6,SUM($G29:AA29)=0),$E29,"")</f>
        <v/>
      </c>
      <c r="AC29" s="554" t="str">
        <f>IF(AND($A29&lt;AC$6,SUM($G29:AB29)=0),$E29,"")</f>
        <v/>
      </c>
      <c r="AD29" s="554" t="str">
        <f>IF(AND($A29&lt;AD$6,SUM($G29:AC29)=0),$E29,"")</f>
        <v/>
      </c>
      <c r="AE29" s="554" t="str">
        <f>IF(AND($A29&lt;AE$6,SUM($G29:AD29)=0),$E29,"")</f>
        <v/>
      </c>
      <c r="AF29" s="554" t="str">
        <f>IF(AND($A29&lt;AF$6,SUM($G29:AE29)=0),$E29,"")</f>
        <v/>
      </c>
      <c r="AG29" s="554" t="str">
        <f>IF(AND($A29&lt;AG$6,SUM($G29:AF29)=0),$E29,"")</f>
        <v/>
      </c>
      <c r="AH29" s="554" t="str">
        <f>IF(AND($A29&lt;AH$6,SUM($G29:AG29)=0),$E29,"")</f>
        <v/>
      </c>
      <c r="AI29" s="554" t="str">
        <f>IF(AND($A29&lt;AI$6,SUM($G29:AH29)=0),$E29,"")</f>
        <v/>
      </c>
      <c r="AJ29" s="554" t="str">
        <f>IF(AND($A29&lt;AJ$6,SUM($G29:AI29)=0),$E29,"")</f>
        <v/>
      </c>
      <c r="AK29" s="554" t="str">
        <f>IF(AND($A29&lt;AK$6,SUM($G29:AJ29)=0),$E29,"")</f>
        <v/>
      </c>
      <c r="AL29" s="554" t="str">
        <f>IF(AND($A29&lt;AL$6,SUM($G29:AK29)=0),$E29,"")</f>
        <v/>
      </c>
      <c r="AM29" s="554" t="str">
        <f>IF(AND($A29&lt;AM$6,SUM($G29:AL29)=0),$E29,"")</f>
        <v/>
      </c>
      <c r="AN29" s="554" t="str">
        <f>IF(AND($A29&lt;AN$6,SUM($G29:AM29)=0),$E29,"")</f>
        <v/>
      </c>
      <c r="AO29" s="554" t="str">
        <f>IF(AND($A29&lt;AO$6,SUM($G29:AN29)=0),$E29,"")</f>
        <v/>
      </c>
      <c r="AP29" s="554" t="str">
        <f>IF(AND($A29&lt;AP$6,SUM($G29:AO29)=0),$E29,"")</f>
        <v/>
      </c>
      <c r="AQ29" s="554" t="str">
        <f>IF(AND($A29&lt;AQ$6,SUM($G29:AP29)=0),$E29,"")</f>
        <v/>
      </c>
      <c r="AR29" s="554" t="str">
        <f>IF(AND($A29&lt;AR$6,SUM($G29:AQ29)=0),$E29,"")</f>
        <v/>
      </c>
      <c r="AS29" s="141"/>
      <c r="AT29" s="141"/>
    </row>
    <row r="30" spans="1:46">
      <c r="A30" s="592"/>
      <c r="B30" s="1214"/>
      <c r="C30" s="1214"/>
      <c r="D30" s="545"/>
      <c r="E30" s="594" t="str">
        <f t="shared" si="4"/>
        <v/>
      </c>
      <c r="F30" s="595"/>
      <c r="G30" s="554" t="str">
        <f t="shared" si="5"/>
        <v/>
      </c>
      <c r="H30" s="554" t="str">
        <f>IF(AND($A30&lt;H$6,SUM($G30:G30)=0),$E30,"")</f>
        <v/>
      </c>
      <c r="I30" s="554" t="str">
        <f>IF(AND($A30&lt;I$6,SUM($G30:H30)=0),$E30,"")</f>
        <v/>
      </c>
      <c r="J30" s="554" t="str">
        <f>IF(AND($A30&lt;J$6,SUM($G30:I30)=0),$E30,"")</f>
        <v/>
      </c>
      <c r="K30" s="554" t="str">
        <f>IF(AND($A30&lt;K$6,SUM($G30:J30)=0),$E30,"")</f>
        <v/>
      </c>
      <c r="L30" s="554" t="str">
        <f>IF(AND($A30&lt;L$6,SUM($G30:K30)=0),$E30,"")</f>
        <v/>
      </c>
      <c r="M30" s="554" t="str">
        <f>IF(AND($A30&lt;M$6,SUM($G30:L30)=0),$E30,"")</f>
        <v/>
      </c>
      <c r="N30" s="554" t="str">
        <f>IF(AND($A30&lt;N$6,SUM($G30:M30)=0),$E30,"")</f>
        <v/>
      </c>
      <c r="O30" s="554" t="str">
        <f>IF(AND($A30&lt;O$6,SUM($G30:N30)=0),$E30,"")</f>
        <v/>
      </c>
      <c r="P30" s="554" t="str">
        <f>IF(AND($A30&lt;P$6,SUM($G30:O30)=0),$E30,"")</f>
        <v/>
      </c>
      <c r="Q30" s="554" t="str">
        <f>IF(AND($A30&lt;Q$6,SUM($G30:P30)=0),$E30,"")</f>
        <v/>
      </c>
      <c r="R30" s="554" t="str">
        <f>IF(AND($A30&lt;R$6,SUM($G30:Q30)=0),$E30,"")</f>
        <v/>
      </c>
      <c r="S30" s="554" t="str">
        <f>IF(AND($A30&lt;S$6,SUM($G30:R30)=0),$E30,"")</f>
        <v/>
      </c>
      <c r="T30" s="554" t="str">
        <f>IF(AND($A30&lt;T$6,SUM($G30:S30)=0),$E30,"")</f>
        <v/>
      </c>
      <c r="U30" s="554" t="str">
        <f>IF(AND($A30&lt;U$6,SUM($G30:T30)=0),$E30,"")</f>
        <v/>
      </c>
      <c r="V30" s="554" t="str">
        <f>IF(AND($A30&lt;V$6,SUM($G30:U30)=0),$E30,"")</f>
        <v/>
      </c>
      <c r="W30" s="554" t="str">
        <f>IF(AND($A30&lt;W$6,SUM($G30:V30)=0),$E30,"")</f>
        <v/>
      </c>
      <c r="X30" s="554" t="str">
        <f>IF(AND($A30&lt;X$6,SUM($G30:W30)=0),$E30,"")</f>
        <v/>
      </c>
      <c r="Y30" s="554" t="str">
        <f>IF(AND($A30&lt;Y$6,SUM($G30:X30)=0),$E30,"")</f>
        <v/>
      </c>
      <c r="Z30" s="554" t="str">
        <f>IF(AND($A30&lt;Z$6,SUM($G30:Y30)=0),$E30,"")</f>
        <v/>
      </c>
      <c r="AA30" s="554" t="str">
        <f>IF(AND($A30&lt;AA$6,SUM($G30:Z30)=0),$E30,"")</f>
        <v/>
      </c>
      <c r="AB30" s="554" t="str">
        <f>IF(AND($A30&lt;AB$6,SUM($G30:AA30)=0),$E30,"")</f>
        <v/>
      </c>
      <c r="AC30" s="554" t="str">
        <f>IF(AND($A30&lt;AC$6,SUM($G30:AB30)=0),$E30,"")</f>
        <v/>
      </c>
      <c r="AD30" s="554" t="str">
        <f>IF(AND($A30&lt;AD$6,SUM($G30:AC30)=0),$E30,"")</f>
        <v/>
      </c>
      <c r="AE30" s="554" t="str">
        <f>IF(AND($A30&lt;AE$6,SUM($G30:AD30)=0),$E30,"")</f>
        <v/>
      </c>
      <c r="AF30" s="554" t="str">
        <f>IF(AND($A30&lt;AF$6,SUM($G30:AE30)=0),$E30,"")</f>
        <v/>
      </c>
      <c r="AG30" s="554" t="str">
        <f>IF(AND($A30&lt;AG$6,SUM($G30:AF30)=0),$E30,"")</f>
        <v/>
      </c>
      <c r="AH30" s="554" t="str">
        <f>IF(AND($A30&lt;AH$6,SUM($G30:AG30)=0),$E30,"")</f>
        <v/>
      </c>
      <c r="AI30" s="554" t="str">
        <f>IF(AND($A30&lt;AI$6,SUM($G30:AH30)=0),$E30,"")</f>
        <v/>
      </c>
      <c r="AJ30" s="554" t="str">
        <f>IF(AND($A30&lt;AJ$6,SUM($G30:AI30)=0),$E30,"")</f>
        <v/>
      </c>
      <c r="AK30" s="554" t="str">
        <f>IF(AND($A30&lt;AK$6,SUM($G30:AJ30)=0),$E30,"")</f>
        <v/>
      </c>
      <c r="AL30" s="554" t="str">
        <f>IF(AND($A30&lt;AL$6,SUM($G30:AK30)=0),$E30,"")</f>
        <v/>
      </c>
      <c r="AM30" s="554" t="str">
        <f>IF(AND($A30&lt;AM$6,SUM($G30:AL30)=0),$E30,"")</f>
        <v/>
      </c>
      <c r="AN30" s="554" t="str">
        <f>IF(AND($A30&lt;AN$6,SUM($G30:AM30)=0),$E30,"")</f>
        <v/>
      </c>
      <c r="AO30" s="554" t="str">
        <f>IF(AND($A30&lt;AO$6,SUM($G30:AN30)=0),$E30,"")</f>
        <v/>
      </c>
      <c r="AP30" s="554" t="str">
        <f>IF(AND($A30&lt;AP$6,SUM($G30:AO30)=0),$E30,"")</f>
        <v/>
      </c>
      <c r="AQ30" s="554" t="str">
        <f>IF(AND($A30&lt;AQ$6,SUM($G30:AP30)=0),$E30,"")</f>
        <v/>
      </c>
      <c r="AR30" s="554" t="str">
        <f>IF(AND($A30&lt;AR$6,SUM($G30:AQ30)=0),$E30,"")</f>
        <v/>
      </c>
      <c r="AS30" s="141"/>
      <c r="AT30" s="141"/>
    </row>
    <row r="31" spans="1:46">
      <c r="A31" s="592"/>
      <c r="B31" s="1214"/>
      <c r="C31" s="1214"/>
      <c r="D31" s="545"/>
      <c r="E31" s="594" t="str">
        <f t="shared" si="4"/>
        <v/>
      </c>
      <c r="F31" s="595"/>
      <c r="G31" s="554" t="str">
        <f t="shared" si="5"/>
        <v/>
      </c>
      <c r="H31" s="554" t="str">
        <f>IF(AND($A31&lt;H$6,SUM($G31:G31)=0),$E31,"")</f>
        <v/>
      </c>
      <c r="I31" s="554" t="str">
        <f>IF(AND($A31&lt;I$6,SUM($G31:H31)=0),$E31,"")</f>
        <v/>
      </c>
      <c r="J31" s="554" t="str">
        <f>IF(AND($A31&lt;J$6,SUM($G31:I31)=0),$E31,"")</f>
        <v/>
      </c>
      <c r="K31" s="554" t="str">
        <f>IF(AND($A31&lt;K$6,SUM($G31:J31)=0),$E31,"")</f>
        <v/>
      </c>
      <c r="L31" s="554" t="str">
        <f>IF(AND($A31&lt;L$6,SUM($G31:K31)=0),$E31,"")</f>
        <v/>
      </c>
      <c r="M31" s="554" t="str">
        <f>IF(AND($A31&lt;M$6,SUM($G31:L31)=0),$E31,"")</f>
        <v/>
      </c>
      <c r="N31" s="554" t="str">
        <f>IF(AND($A31&lt;N$6,SUM($G31:M31)=0),$E31,"")</f>
        <v/>
      </c>
      <c r="O31" s="554" t="str">
        <f>IF(AND($A31&lt;O$6,SUM($G31:N31)=0),$E31,"")</f>
        <v/>
      </c>
      <c r="P31" s="554" t="str">
        <f>IF(AND($A31&lt;P$6,SUM($G31:O31)=0),$E31,"")</f>
        <v/>
      </c>
      <c r="Q31" s="554" t="str">
        <f>IF(AND($A31&lt;Q$6,SUM($G31:P31)=0),$E31,"")</f>
        <v/>
      </c>
      <c r="R31" s="554" t="str">
        <f>IF(AND($A31&lt;R$6,SUM($G31:Q31)=0),$E31,"")</f>
        <v/>
      </c>
      <c r="S31" s="554" t="str">
        <f>IF(AND($A31&lt;S$6,SUM($G31:R31)=0),$E31,"")</f>
        <v/>
      </c>
      <c r="T31" s="554" t="str">
        <f>IF(AND($A31&lt;T$6,SUM($G31:S31)=0),$E31,"")</f>
        <v/>
      </c>
      <c r="U31" s="554" t="str">
        <f>IF(AND($A31&lt;U$6,SUM($G31:T31)=0),$E31,"")</f>
        <v/>
      </c>
      <c r="V31" s="554" t="str">
        <f>IF(AND($A31&lt;V$6,SUM($G31:U31)=0),$E31,"")</f>
        <v/>
      </c>
      <c r="W31" s="554" t="str">
        <f>IF(AND($A31&lt;W$6,SUM($G31:V31)=0),$E31,"")</f>
        <v/>
      </c>
      <c r="X31" s="554" t="str">
        <f>IF(AND($A31&lt;X$6,SUM($G31:W31)=0),$E31,"")</f>
        <v/>
      </c>
      <c r="Y31" s="554" t="str">
        <f>IF(AND($A31&lt;Y$6,SUM($G31:X31)=0),$E31,"")</f>
        <v/>
      </c>
      <c r="Z31" s="554" t="str">
        <f>IF(AND($A31&lt;Z$6,SUM($G31:Y31)=0),$E31,"")</f>
        <v/>
      </c>
      <c r="AA31" s="554" t="str">
        <f>IF(AND($A31&lt;AA$6,SUM($G31:Z31)=0),$E31,"")</f>
        <v/>
      </c>
      <c r="AB31" s="554" t="str">
        <f>IF(AND($A31&lt;AB$6,SUM($G31:AA31)=0),$E31,"")</f>
        <v/>
      </c>
      <c r="AC31" s="554" t="str">
        <f>IF(AND($A31&lt;AC$6,SUM($G31:AB31)=0),$E31,"")</f>
        <v/>
      </c>
      <c r="AD31" s="554" t="str">
        <f>IF(AND($A31&lt;AD$6,SUM($G31:AC31)=0),$E31,"")</f>
        <v/>
      </c>
      <c r="AE31" s="554" t="str">
        <f>IF(AND($A31&lt;AE$6,SUM($G31:AD31)=0),$E31,"")</f>
        <v/>
      </c>
      <c r="AF31" s="554" t="str">
        <f>IF(AND($A31&lt;AF$6,SUM($G31:AE31)=0),$E31,"")</f>
        <v/>
      </c>
      <c r="AG31" s="554" t="str">
        <f>IF(AND($A31&lt;AG$6,SUM($G31:AF31)=0),$E31,"")</f>
        <v/>
      </c>
      <c r="AH31" s="554" t="str">
        <f>IF(AND($A31&lt;AH$6,SUM($G31:AG31)=0),$E31,"")</f>
        <v/>
      </c>
      <c r="AI31" s="554" t="str">
        <f>IF(AND($A31&lt;AI$6,SUM($G31:AH31)=0),$E31,"")</f>
        <v/>
      </c>
      <c r="AJ31" s="554" t="str">
        <f>IF(AND($A31&lt;AJ$6,SUM($G31:AI31)=0),$E31,"")</f>
        <v/>
      </c>
      <c r="AK31" s="554" t="str">
        <f>IF(AND($A31&lt;AK$6,SUM($G31:AJ31)=0),$E31,"")</f>
        <v/>
      </c>
      <c r="AL31" s="554" t="str">
        <f>IF(AND($A31&lt;AL$6,SUM($G31:AK31)=0),$E31,"")</f>
        <v/>
      </c>
      <c r="AM31" s="554" t="str">
        <f>IF(AND($A31&lt;AM$6,SUM($G31:AL31)=0),$E31,"")</f>
        <v/>
      </c>
      <c r="AN31" s="554" t="str">
        <f>IF(AND($A31&lt;AN$6,SUM($G31:AM31)=0),$E31,"")</f>
        <v/>
      </c>
      <c r="AO31" s="554" t="str">
        <f>IF(AND($A31&lt;AO$6,SUM($G31:AN31)=0),$E31,"")</f>
        <v/>
      </c>
      <c r="AP31" s="554" t="str">
        <f>IF(AND($A31&lt;AP$6,SUM($G31:AO31)=0),$E31,"")</f>
        <v/>
      </c>
      <c r="AQ31" s="554" t="str">
        <f>IF(AND($A31&lt;AQ$6,SUM($G31:AP31)=0),$E31,"")</f>
        <v/>
      </c>
      <c r="AR31" s="554" t="str">
        <f>IF(AND($A31&lt;AR$6,SUM($G31:AQ31)=0),$E31,"")</f>
        <v/>
      </c>
      <c r="AS31" s="141"/>
      <c r="AT31" s="141"/>
    </row>
    <row r="32" spans="1:46">
      <c r="A32" s="141"/>
      <c r="B32" s="141"/>
      <c r="C32" s="141"/>
      <c r="D32" s="141"/>
      <c r="E32" s="141"/>
      <c r="F32" s="555"/>
      <c r="G32" s="554" t="str">
        <f>IF(AND($A22&lt;G$6,$E22&lt;&gt;""),$D22,"")</f>
        <v/>
      </c>
      <c r="H32" s="554" t="str">
        <f>IF(AND($A22&lt;H$6,$E22&lt;&gt;"",SUM($G22:G22)=0),$D22,"")</f>
        <v/>
      </c>
      <c r="I32" s="554" t="str">
        <f>IF(AND($A22&lt;I$6,$E22&lt;&gt;"",SUM($G22:H22)=0),$D22,"")</f>
        <v/>
      </c>
      <c r="J32" s="554" t="str">
        <f>IF(AND($A22&lt;J$6,$E22&lt;&gt;"",SUM($G22:I22)=0),$D22,"")</f>
        <v/>
      </c>
      <c r="K32" s="554" t="str">
        <f>IF(AND($A22&lt;K$6,$E22&lt;&gt;"",SUM($G22:J22)=0),$D22,"")</f>
        <v/>
      </c>
      <c r="L32" s="554" t="str">
        <f>IF(AND($A22&lt;L$6,$E22&lt;&gt;"",SUM($G22:K22)=0),$D22,"")</f>
        <v/>
      </c>
      <c r="M32" s="554" t="str">
        <f>IF(AND($A22&lt;M$6,$E22&lt;&gt;"",SUM($G22:L22)=0),$D22,"")</f>
        <v/>
      </c>
      <c r="N32" s="554" t="str">
        <f>IF(AND($A22&lt;N$6,$E22&lt;&gt;"",SUM($G22:M22)=0),$D22,"")</f>
        <v/>
      </c>
      <c r="O32" s="554" t="str">
        <f>IF(AND($A22&lt;O$6,$E22&lt;&gt;"",SUM($G22:N22)=0),$D22,"")</f>
        <v/>
      </c>
      <c r="P32" s="554" t="str">
        <f>IF(AND($A22&lt;P$6,$E22&lt;&gt;"",SUM($G22:O22)=0),$D22,"")</f>
        <v/>
      </c>
      <c r="Q32" s="554" t="str">
        <f>IF(AND($A22&lt;Q$6,$E22&lt;&gt;"",SUM($G22:P22)=0),$D22,"")</f>
        <v/>
      </c>
      <c r="R32" s="554" t="str">
        <f>IF(AND($A22&lt;R$6,$E22&lt;&gt;"",SUM($G22:Q22)=0),$D22,"")</f>
        <v/>
      </c>
      <c r="S32" s="554" t="str">
        <f>IF(AND($A22&lt;S$6,$E22&lt;&gt;"",SUM($G22:R22)=0),$D22,"")</f>
        <v/>
      </c>
      <c r="T32" s="554" t="str">
        <f>IF(AND($A22&lt;T$6,$E22&lt;&gt;"",SUM($G22:S22)=0),$D22,"")</f>
        <v/>
      </c>
      <c r="U32" s="554" t="str">
        <f>IF(AND($A22&lt;U$6,$E22&lt;&gt;"",SUM($G22:T22)=0),$D22,"")</f>
        <v/>
      </c>
      <c r="V32" s="554" t="str">
        <f>IF(AND($A22&lt;V$6,$E22&lt;&gt;"",SUM($G22:U22)=0),$D22,"")</f>
        <v/>
      </c>
      <c r="W32" s="554" t="str">
        <f>IF(AND($A22&lt;W$6,$E22&lt;&gt;"",SUM($G22:V22)=0),$D22,"")</f>
        <v/>
      </c>
      <c r="X32" s="554" t="str">
        <f>IF(AND($A22&lt;X$6,$E22&lt;&gt;"",SUM($G22:W22)=0),$D22,"")</f>
        <v/>
      </c>
      <c r="Y32" s="554" t="str">
        <f>IF(AND($A22&lt;Y$6,$E22&lt;&gt;"",SUM($G22:X22)=0),$D22,"")</f>
        <v/>
      </c>
      <c r="Z32" s="554" t="str">
        <f>IF(AND($A22&lt;Z$6,$E22&lt;&gt;"",SUM($G22:Y22)=0),$D22,"")</f>
        <v/>
      </c>
      <c r="AA32" s="554" t="str">
        <f>IF(AND($A22&lt;AA$6,$E22&lt;&gt;"",SUM($G22:Z22)=0),$D22,"")</f>
        <v/>
      </c>
      <c r="AB32" s="554" t="str">
        <f>IF(AND($A22&lt;AB$6,$E22&lt;&gt;"",SUM($G22:AA22)=0),$D22,"")</f>
        <v/>
      </c>
      <c r="AC32" s="554" t="str">
        <f>IF(AND($A22&lt;AC$6,$E22&lt;&gt;"",SUM($G22:AB22)=0),$D22,"")</f>
        <v/>
      </c>
      <c r="AD32" s="554" t="str">
        <f>IF(AND($A22&lt;AD$6,$E22&lt;&gt;"",SUM($G22:AC22)=0),$D22,"")</f>
        <v/>
      </c>
      <c r="AE32" s="554" t="str">
        <f>IF(AND($A22&lt;AE$6,$E22&lt;&gt;"",SUM($G22:AD22)=0),$D22,"")</f>
        <v/>
      </c>
      <c r="AF32" s="554" t="str">
        <f>IF(AND($A22&lt;AF$6,$E22&lt;&gt;"",SUM($G22:AE22)=0),$D22,"")</f>
        <v/>
      </c>
      <c r="AG32" s="554" t="str">
        <f>IF(AND($A22&lt;AG$6,$E22&lt;&gt;"",SUM($G22:AF22)=0),$D22,"")</f>
        <v/>
      </c>
      <c r="AH32" s="554" t="str">
        <f>IF(AND($A22&lt;AH$6,$E22&lt;&gt;"",SUM($G22:AG22)=0),$D22,"")</f>
        <v/>
      </c>
      <c r="AI32" s="554" t="str">
        <f>IF(AND($A22&lt;AI$6,$E22&lt;&gt;"",SUM($G22:AH22)=0),$D22,"")</f>
        <v/>
      </c>
      <c r="AJ32" s="554" t="str">
        <f>IF(AND($A22&lt;AJ$6,$E22&lt;&gt;"",SUM($G22:AI22)=0),$D22,"")</f>
        <v/>
      </c>
      <c r="AK32" s="554" t="str">
        <f>IF(AND($A22&lt;AK$6,$E22&lt;&gt;"",SUM($G22:AJ22)=0),$D22,"")</f>
        <v/>
      </c>
      <c r="AL32" s="554" t="str">
        <f>IF(AND($A22&lt;AL$6,$E22&lt;&gt;"",SUM($G22:AK22)=0),$D22,"")</f>
        <v/>
      </c>
      <c r="AM32" s="554" t="str">
        <f>IF(AND($A22&lt;AM$6,$E22&lt;&gt;"",SUM($G22:AL22)=0),$D22,"")</f>
        <v/>
      </c>
      <c r="AN32" s="554" t="str">
        <f>IF(AND($A22&lt;AN$6,$E22&lt;&gt;"",SUM($G22:AM22)=0),$D22,"")</f>
        <v/>
      </c>
      <c r="AO32" s="554" t="str">
        <f>IF(AND($A22&lt;AO$6,$E22&lt;&gt;"",SUM($G22:AN22)=0),$D22,"")</f>
        <v/>
      </c>
      <c r="AP32" s="554" t="str">
        <f>IF(AND($A22&lt;AP$6,$E22&lt;&gt;"",SUM($G22:AO22)=0),$D22,"")</f>
        <v/>
      </c>
      <c r="AQ32" s="554" t="str">
        <f>IF(AND($A22&lt;AQ$6,$E22&lt;&gt;"",SUM($G22:AP22)=0),$D22,"")</f>
        <v/>
      </c>
      <c r="AR32" s="554" t="str">
        <f>IF(AND($A22&lt;AR$6,$E22&lt;&gt;"",SUM($G22:AQ22)=0),$D22,"")</f>
        <v/>
      </c>
      <c r="AS32" s="141"/>
      <c r="AT32" s="141"/>
    </row>
    <row r="33" spans="1:46">
      <c r="A33" s="141"/>
      <c r="B33" s="141"/>
      <c r="C33" s="141"/>
      <c r="D33" s="141"/>
      <c r="E33" s="141"/>
      <c r="F33" s="141"/>
      <c r="G33" s="554" t="str">
        <f t="shared" ref="G33:G41" si="6">IF(AND($A23&lt;G$6,$E23&lt;&gt;""),$D23,"")</f>
        <v/>
      </c>
      <c r="H33" s="554" t="str">
        <f>IF(AND($A23&lt;H$6,$E23&lt;&gt;"",SUM($G23:G23)=0),$D23,"")</f>
        <v/>
      </c>
      <c r="I33" s="554" t="str">
        <f>IF(AND($A23&lt;I$6,$E23&lt;&gt;"",SUM($G23:H23)=0),$D23,"")</f>
        <v/>
      </c>
      <c r="J33" s="554" t="str">
        <f>IF(AND($A23&lt;J$6,$E23&lt;&gt;"",SUM($G23:I23)=0),$D23,"")</f>
        <v/>
      </c>
      <c r="K33" s="554" t="str">
        <f>IF(AND($A23&lt;K$6,$E23&lt;&gt;"",SUM($G23:J23)=0),$D23,"")</f>
        <v/>
      </c>
      <c r="L33" s="554" t="str">
        <f>IF(AND($A23&lt;L$6,$E23&lt;&gt;"",SUM($G23:K23)=0),$D23,"")</f>
        <v/>
      </c>
      <c r="M33" s="554" t="str">
        <f>IF(AND($A23&lt;M$6,$E23&lt;&gt;"",SUM($G23:L23)=0),$D23,"")</f>
        <v/>
      </c>
      <c r="N33" s="554" t="str">
        <f>IF(AND($A23&lt;N$6,$E23&lt;&gt;"",SUM($G23:M23)=0),$D23,"")</f>
        <v/>
      </c>
      <c r="O33" s="554" t="str">
        <f>IF(AND($A23&lt;O$6,$E23&lt;&gt;"",SUM($G23:N23)=0),$D23,"")</f>
        <v/>
      </c>
      <c r="P33" s="554" t="str">
        <f>IF(AND($A23&lt;P$6,$E23&lt;&gt;"",SUM($G23:O23)=0),$D23,"")</f>
        <v/>
      </c>
      <c r="Q33" s="554" t="str">
        <f>IF(AND($A23&lt;Q$6,$E23&lt;&gt;"",SUM($G23:P23)=0),$D23,"")</f>
        <v/>
      </c>
      <c r="R33" s="554" t="str">
        <f>IF(AND($A23&lt;R$6,$E23&lt;&gt;"",SUM($G23:Q23)=0),$D23,"")</f>
        <v/>
      </c>
      <c r="S33" s="554" t="str">
        <f>IF(AND($A23&lt;S$6,$E23&lt;&gt;"",SUM($G23:R23)=0),$D23,"")</f>
        <v/>
      </c>
      <c r="T33" s="554" t="str">
        <f>IF(AND($A23&lt;T$6,$E23&lt;&gt;"",SUM($G23:S23)=0),$D23,"")</f>
        <v/>
      </c>
      <c r="U33" s="554" t="str">
        <f>IF(AND($A23&lt;U$6,$E23&lt;&gt;"",SUM($G23:T23)=0),$D23,"")</f>
        <v/>
      </c>
      <c r="V33" s="554" t="str">
        <f>IF(AND($A23&lt;V$6,$E23&lt;&gt;"",SUM($G23:U23)=0),$D23,"")</f>
        <v/>
      </c>
      <c r="W33" s="554" t="str">
        <f>IF(AND($A23&lt;W$6,$E23&lt;&gt;"",SUM($G23:V23)=0),$D23,"")</f>
        <v/>
      </c>
      <c r="X33" s="554" t="str">
        <f>IF(AND($A23&lt;X$6,$E23&lt;&gt;"",SUM($G23:W23)=0),$D23,"")</f>
        <v/>
      </c>
      <c r="Y33" s="554" t="str">
        <f>IF(AND($A23&lt;Y$6,$E23&lt;&gt;"",SUM($G23:X23)=0),$D23,"")</f>
        <v/>
      </c>
      <c r="Z33" s="554" t="str">
        <f>IF(AND($A23&lt;Z$6,$E23&lt;&gt;"",SUM($G23:Y23)=0),$D23,"")</f>
        <v/>
      </c>
      <c r="AA33" s="554" t="str">
        <f>IF(AND($A23&lt;AA$6,$E23&lt;&gt;"",SUM($G23:Z23)=0),$D23,"")</f>
        <v/>
      </c>
      <c r="AB33" s="554" t="str">
        <f>IF(AND($A23&lt;AB$6,$E23&lt;&gt;"",SUM($G23:AA23)=0),$D23,"")</f>
        <v/>
      </c>
      <c r="AC33" s="554" t="str">
        <f>IF(AND($A23&lt;AC$6,$E23&lt;&gt;"",SUM($G23:AB23)=0),$D23,"")</f>
        <v/>
      </c>
      <c r="AD33" s="554" t="str">
        <f>IF(AND($A23&lt;AD$6,$E23&lt;&gt;"",SUM($G23:AC23)=0),$D23,"")</f>
        <v/>
      </c>
      <c r="AE33" s="554" t="str">
        <f>IF(AND($A23&lt;AE$6,$E23&lt;&gt;"",SUM($G23:AD23)=0),$D23,"")</f>
        <v/>
      </c>
      <c r="AF33" s="554" t="str">
        <f>IF(AND($A23&lt;AF$6,$E23&lt;&gt;"",SUM($G23:AE23)=0),$D23,"")</f>
        <v/>
      </c>
      <c r="AG33" s="554" t="str">
        <f>IF(AND($A23&lt;AG$6,$E23&lt;&gt;"",SUM($G23:AF23)=0),$D23,"")</f>
        <v/>
      </c>
      <c r="AH33" s="554" t="str">
        <f>IF(AND($A23&lt;AH$6,$E23&lt;&gt;"",SUM($G23:AG23)=0),$D23,"")</f>
        <v/>
      </c>
      <c r="AI33" s="554" t="str">
        <f>IF(AND($A23&lt;AI$6,$E23&lt;&gt;"",SUM($G23:AH23)=0),$D23,"")</f>
        <v/>
      </c>
      <c r="AJ33" s="554" t="str">
        <f>IF(AND($A23&lt;AJ$6,$E23&lt;&gt;"",SUM($G23:AI23)=0),$D23,"")</f>
        <v/>
      </c>
      <c r="AK33" s="554" t="str">
        <f>IF(AND($A23&lt;AK$6,$E23&lt;&gt;"",SUM($G23:AJ23)=0),$D23,"")</f>
        <v/>
      </c>
      <c r="AL33" s="554" t="str">
        <f>IF(AND($A23&lt;AL$6,$E23&lt;&gt;"",SUM($G23:AK23)=0),$D23,"")</f>
        <v/>
      </c>
      <c r="AM33" s="554" t="str">
        <f>IF(AND($A23&lt;AM$6,$E23&lt;&gt;"",SUM($G23:AL23)=0),$D23,"")</f>
        <v/>
      </c>
      <c r="AN33" s="554" t="str">
        <f>IF(AND($A23&lt;AN$6,$E23&lt;&gt;"",SUM($G23:AM23)=0),$D23,"")</f>
        <v/>
      </c>
      <c r="AO33" s="554" t="str">
        <f>IF(AND($A23&lt;AO$6,$E23&lt;&gt;"",SUM($G23:AN23)=0),$D23,"")</f>
        <v/>
      </c>
      <c r="AP33" s="554" t="str">
        <f>IF(AND($A23&lt;AP$6,$E23&lt;&gt;"",SUM($G23:AO23)=0),$D23,"")</f>
        <v/>
      </c>
      <c r="AQ33" s="554" t="str">
        <f>IF(AND($A23&lt;AQ$6,$E23&lt;&gt;"",SUM($G23:AP23)=0),$D23,"")</f>
        <v/>
      </c>
      <c r="AR33" s="554" t="str">
        <f>IF(AND($A23&lt;AR$6,$E23&lt;&gt;"",SUM($G23:AQ23)=0),$D23,"")</f>
        <v/>
      </c>
      <c r="AS33" s="141"/>
      <c r="AT33" s="141"/>
    </row>
    <row r="34" spans="1:46">
      <c r="A34" s="141"/>
      <c r="B34" s="141"/>
      <c r="C34" s="141"/>
      <c r="D34" s="141"/>
      <c r="E34" s="141"/>
      <c r="F34" s="141"/>
      <c r="G34" s="554" t="str">
        <f t="shared" si="6"/>
        <v/>
      </c>
      <c r="H34" s="554" t="str">
        <f>IF(AND($A24&lt;H$6,$E24&lt;&gt;"",SUM($G24:G24)=0),$D24,"")</f>
        <v/>
      </c>
      <c r="I34" s="554" t="str">
        <f>IF(AND($A24&lt;I$6,$E24&lt;&gt;"",SUM($G24:H24)=0),$D24,"")</f>
        <v/>
      </c>
      <c r="J34" s="554" t="str">
        <f>IF(AND($A24&lt;J$6,$E24&lt;&gt;"",SUM($G24:I24)=0),$D24,"")</f>
        <v/>
      </c>
      <c r="K34" s="554" t="str">
        <f>IF(AND($A24&lt;K$6,$E24&lt;&gt;"",SUM($G24:J24)=0),$D24,"")</f>
        <v/>
      </c>
      <c r="L34" s="554" t="str">
        <f>IF(AND($A24&lt;L$6,$E24&lt;&gt;"",SUM($G24:K24)=0),$D24,"")</f>
        <v/>
      </c>
      <c r="M34" s="554" t="str">
        <f>IF(AND($A24&lt;M$6,$E24&lt;&gt;"",SUM($G24:L24)=0),$D24,"")</f>
        <v/>
      </c>
      <c r="N34" s="554" t="str">
        <f>IF(AND($A24&lt;N$6,$E24&lt;&gt;"",SUM($G24:M24)=0),$D24,"")</f>
        <v/>
      </c>
      <c r="O34" s="554" t="str">
        <f>IF(AND($A24&lt;O$6,$E24&lt;&gt;"",SUM($G24:N24)=0),$D24,"")</f>
        <v/>
      </c>
      <c r="P34" s="554" t="str">
        <f>IF(AND($A24&lt;P$6,$E24&lt;&gt;"",SUM($G24:O24)=0),$D24,"")</f>
        <v/>
      </c>
      <c r="Q34" s="554" t="str">
        <f>IF(AND($A24&lt;Q$6,$E24&lt;&gt;"",SUM($G24:P24)=0),$D24,"")</f>
        <v/>
      </c>
      <c r="R34" s="554" t="str">
        <f>IF(AND($A24&lt;R$6,$E24&lt;&gt;"",SUM($G24:Q24)=0),$D24,"")</f>
        <v/>
      </c>
      <c r="S34" s="554" t="str">
        <f>IF(AND($A24&lt;S$6,$E24&lt;&gt;"",SUM($G24:R24)=0),$D24,"")</f>
        <v/>
      </c>
      <c r="T34" s="554" t="str">
        <f>IF(AND($A24&lt;T$6,$E24&lt;&gt;"",SUM($G24:S24)=0),$D24,"")</f>
        <v/>
      </c>
      <c r="U34" s="554" t="str">
        <f>IF(AND($A24&lt;U$6,$E24&lt;&gt;"",SUM($G24:T24)=0),$D24,"")</f>
        <v/>
      </c>
      <c r="V34" s="554" t="str">
        <f>IF(AND($A24&lt;V$6,$E24&lt;&gt;"",SUM($G24:U24)=0),$D24,"")</f>
        <v/>
      </c>
      <c r="W34" s="554" t="str">
        <f>IF(AND($A24&lt;W$6,$E24&lt;&gt;"",SUM($G24:V24)=0),$D24,"")</f>
        <v/>
      </c>
      <c r="X34" s="554" t="str">
        <f>IF(AND($A24&lt;X$6,$E24&lt;&gt;"",SUM($G24:W24)=0),$D24,"")</f>
        <v/>
      </c>
      <c r="Y34" s="554" t="str">
        <f>IF(AND($A24&lt;Y$6,$E24&lt;&gt;"",SUM($G24:X24)=0),$D24,"")</f>
        <v/>
      </c>
      <c r="Z34" s="554" t="str">
        <f>IF(AND($A24&lt;Z$6,$E24&lt;&gt;"",SUM($G24:Y24)=0),$D24,"")</f>
        <v/>
      </c>
      <c r="AA34" s="554" t="str">
        <f>IF(AND($A24&lt;AA$6,$E24&lt;&gt;"",SUM($G24:Z24)=0),$D24,"")</f>
        <v/>
      </c>
      <c r="AB34" s="554" t="str">
        <f>IF(AND($A24&lt;AB$6,$E24&lt;&gt;"",SUM($G24:AA24)=0),$D24,"")</f>
        <v/>
      </c>
      <c r="AC34" s="554" t="str">
        <f>IF(AND($A24&lt;AC$6,$E24&lt;&gt;"",SUM($G24:AB24)=0),$D24,"")</f>
        <v/>
      </c>
      <c r="AD34" s="554" t="str">
        <f>IF(AND($A24&lt;AD$6,$E24&lt;&gt;"",SUM($G24:AC24)=0),$D24,"")</f>
        <v/>
      </c>
      <c r="AE34" s="554" t="str">
        <f>IF(AND($A24&lt;AE$6,$E24&lt;&gt;"",SUM($G24:AD24)=0),$D24,"")</f>
        <v/>
      </c>
      <c r="AF34" s="554" t="str">
        <f>IF(AND($A24&lt;AF$6,$E24&lt;&gt;"",SUM($G24:AE24)=0),$D24,"")</f>
        <v/>
      </c>
      <c r="AG34" s="554" t="str">
        <f>IF(AND($A24&lt;AG$6,$E24&lt;&gt;"",SUM($G24:AF24)=0),$D24,"")</f>
        <v/>
      </c>
      <c r="AH34" s="554" t="str">
        <f>IF(AND($A24&lt;AH$6,$E24&lt;&gt;"",SUM($G24:AG24)=0),$D24,"")</f>
        <v/>
      </c>
      <c r="AI34" s="554" t="str">
        <f>IF(AND($A24&lt;AI$6,$E24&lt;&gt;"",SUM($G24:AH24)=0),$D24,"")</f>
        <v/>
      </c>
      <c r="AJ34" s="554" t="str">
        <f>IF(AND($A24&lt;AJ$6,$E24&lt;&gt;"",SUM($G24:AI24)=0),$D24,"")</f>
        <v/>
      </c>
      <c r="AK34" s="554" t="str">
        <f>IF(AND($A24&lt;AK$6,$E24&lt;&gt;"",SUM($G24:AJ24)=0),$D24,"")</f>
        <v/>
      </c>
      <c r="AL34" s="554" t="str">
        <f>IF(AND($A24&lt;AL$6,$E24&lt;&gt;"",SUM($G24:AK24)=0),$D24,"")</f>
        <v/>
      </c>
      <c r="AM34" s="554" t="str">
        <f>IF(AND($A24&lt;AM$6,$E24&lt;&gt;"",SUM($G24:AL24)=0),$D24,"")</f>
        <v/>
      </c>
      <c r="AN34" s="554" t="str">
        <f>IF(AND($A24&lt;AN$6,$E24&lt;&gt;"",SUM($G24:AM24)=0),$D24,"")</f>
        <v/>
      </c>
      <c r="AO34" s="554" t="str">
        <f>IF(AND($A24&lt;AO$6,$E24&lt;&gt;"",SUM($G24:AN24)=0),$D24,"")</f>
        <v/>
      </c>
      <c r="AP34" s="554" t="str">
        <f>IF(AND($A24&lt;AP$6,$E24&lt;&gt;"",SUM($G24:AO24)=0),$D24,"")</f>
        <v/>
      </c>
      <c r="AQ34" s="554" t="str">
        <f>IF(AND($A24&lt;AQ$6,$E24&lt;&gt;"",SUM($G24:AP24)=0),$D24,"")</f>
        <v/>
      </c>
      <c r="AR34" s="554" t="str">
        <f>IF(AND($A24&lt;AR$6,$E24&lt;&gt;"",SUM($G24:AQ24)=0),$D24,"")</f>
        <v/>
      </c>
      <c r="AS34" s="141"/>
      <c r="AT34" s="141"/>
    </row>
    <row r="35" spans="1:46">
      <c r="A35" s="141"/>
      <c r="B35" s="141"/>
      <c r="C35" s="141"/>
      <c r="D35" s="141"/>
      <c r="E35" s="141"/>
      <c r="F35" s="141"/>
      <c r="G35" s="554" t="str">
        <f t="shared" si="6"/>
        <v/>
      </c>
      <c r="H35" s="554" t="str">
        <f>IF(AND($A25&lt;H$6,$E25&lt;&gt;"",SUM($G25:G25)=0),$D25,"")</f>
        <v/>
      </c>
      <c r="I35" s="554" t="str">
        <f>IF(AND($A25&lt;I$6,$E25&lt;&gt;"",SUM($G25:H25)=0),$D25,"")</f>
        <v/>
      </c>
      <c r="J35" s="554" t="str">
        <f>IF(AND($A25&lt;J$6,$E25&lt;&gt;"",SUM($G25:I25)=0),$D25,"")</f>
        <v/>
      </c>
      <c r="K35" s="554" t="str">
        <f>IF(AND($A25&lt;K$6,$E25&lt;&gt;"",SUM($G25:J25)=0),$D25,"")</f>
        <v/>
      </c>
      <c r="L35" s="554" t="str">
        <f>IF(AND($A25&lt;L$6,$E25&lt;&gt;"",SUM($G25:K25)=0),$D25,"")</f>
        <v/>
      </c>
      <c r="M35" s="554" t="str">
        <f>IF(AND($A25&lt;M$6,$E25&lt;&gt;"",SUM($G25:L25)=0),$D25,"")</f>
        <v/>
      </c>
      <c r="N35" s="554" t="str">
        <f>IF(AND($A25&lt;N$6,$E25&lt;&gt;"",SUM($G25:M25)=0),$D25,"")</f>
        <v/>
      </c>
      <c r="O35" s="554" t="str">
        <f>IF(AND($A25&lt;O$6,$E25&lt;&gt;"",SUM($G25:N25)=0),$D25,"")</f>
        <v/>
      </c>
      <c r="P35" s="554" t="str">
        <f>IF(AND($A25&lt;P$6,$E25&lt;&gt;"",SUM($G25:O25)=0),$D25,"")</f>
        <v/>
      </c>
      <c r="Q35" s="554" t="str">
        <f>IF(AND($A25&lt;Q$6,$E25&lt;&gt;"",SUM($G25:P25)=0),$D25,"")</f>
        <v/>
      </c>
      <c r="R35" s="554" t="str">
        <f>IF(AND($A25&lt;R$6,$E25&lt;&gt;"",SUM($G25:Q25)=0),$D25,"")</f>
        <v/>
      </c>
      <c r="S35" s="554" t="str">
        <f>IF(AND($A25&lt;S$6,$E25&lt;&gt;"",SUM($G25:R25)=0),$D25,"")</f>
        <v/>
      </c>
      <c r="T35" s="554" t="str">
        <f>IF(AND($A25&lt;T$6,$E25&lt;&gt;"",SUM($G25:S25)=0),$D25,"")</f>
        <v/>
      </c>
      <c r="U35" s="554" t="str">
        <f>IF(AND($A25&lt;U$6,$E25&lt;&gt;"",SUM($G25:T25)=0),$D25,"")</f>
        <v/>
      </c>
      <c r="V35" s="554" t="str">
        <f>IF(AND($A25&lt;V$6,$E25&lt;&gt;"",SUM($G25:U25)=0),$D25,"")</f>
        <v/>
      </c>
      <c r="W35" s="554" t="str">
        <f>IF(AND($A25&lt;W$6,$E25&lt;&gt;"",SUM($G25:V25)=0),$D25,"")</f>
        <v/>
      </c>
      <c r="X35" s="554" t="str">
        <f>IF(AND($A25&lt;X$6,$E25&lt;&gt;"",SUM($G25:W25)=0),$D25,"")</f>
        <v/>
      </c>
      <c r="Y35" s="554" t="str">
        <f>IF(AND($A25&lt;Y$6,$E25&lt;&gt;"",SUM($G25:X25)=0),$D25,"")</f>
        <v/>
      </c>
      <c r="Z35" s="554" t="str">
        <f>IF(AND($A25&lt;Z$6,$E25&lt;&gt;"",SUM($G25:Y25)=0),$D25,"")</f>
        <v/>
      </c>
      <c r="AA35" s="554" t="str">
        <f>IF(AND($A25&lt;AA$6,$E25&lt;&gt;"",SUM($G25:Z25)=0),$D25,"")</f>
        <v/>
      </c>
      <c r="AB35" s="554" t="str">
        <f>IF(AND($A25&lt;AB$6,$E25&lt;&gt;"",SUM($G25:AA25)=0),$D25,"")</f>
        <v/>
      </c>
      <c r="AC35" s="554" t="str">
        <f>IF(AND($A25&lt;AC$6,$E25&lt;&gt;"",SUM($G25:AB25)=0),$D25,"")</f>
        <v/>
      </c>
      <c r="AD35" s="554" t="str">
        <f>IF(AND($A25&lt;AD$6,$E25&lt;&gt;"",SUM($G25:AC25)=0),$D25,"")</f>
        <v/>
      </c>
      <c r="AE35" s="554" t="str">
        <f>IF(AND($A25&lt;AE$6,$E25&lt;&gt;"",SUM($G25:AD25)=0),$D25,"")</f>
        <v/>
      </c>
      <c r="AF35" s="554" t="str">
        <f>IF(AND($A25&lt;AF$6,$E25&lt;&gt;"",SUM($G25:AE25)=0),$D25,"")</f>
        <v/>
      </c>
      <c r="AG35" s="554" t="str">
        <f>IF(AND($A25&lt;AG$6,$E25&lt;&gt;"",SUM($G25:AF25)=0),$D25,"")</f>
        <v/>
      </c>
      <c r="AH35" s="554" t="str">
        <f>IF(AND($A25&lt;AH$6,$E25&lt;&gt;"",SUM($G25:AG25)=0),$D25,"")</f>
        <v/>
      </c>
      <c r="AI35" s="554" t="str">
        <f>IF(AND($A25&lt;AI$6,$E25&lt;&gt;"",SUM($G25:AH25)=0),$D25,"")</f>
        <v/>
      </c>
      <c r="AJ35" s="554" t="str">
        <f>IF(AND($A25&lt;AJ$6,$E25&lt;&gt;"",SUM($G25:AI25)=0),$D25,"")</f>
        <v/>
      </c>
      <c r="AK35" s="554" t="str">
        <f>IF(AND($A25&lt;AK$6,$E25&lt;&gt;"",SUM($G25:AJ25)=0),$D25,"")</f>
        <v/>
      </c>
      <c r="AL35" s="554" t="str">
        <f>IF(AND($A25&lt;AL$6,$E25&lt;&gt;"",SUM($G25:AK25)=0),$D25,"")</f>
        <v/>
      </c>
      <c r="AM35" s="554" t="str">
        <f>IF(AND($A25&lt;AM$6,$E25&lt;&gt;"",SUM($G25:AL25)=0),$D25,"")</f>
        <v/>
      </c>
      <c r="AN35" s="554" t="str">
        <f>IF(AND($A25&lt;AN$6,$E25&lt;&gt;"",SUM($G25:AM25)=0),$D25,"")</f>
        <v/>
      </c>
      <c r="AO35" s="554" t="str">
        <f>IF(AND($A25&lt;AO$6,$E25&lt;&gt;"",SUM($G25:AN25)=0),$D25,"")</f>
        <v/>
      </c>
      <c r="AP35" s="554" t="str">
        <f>IF(AND($A25&lt;AP$6,$E25&lt;&gt;"",SUM($G25:AO25)=0),$D25,"")</f>
        <v/>
      </c>
      <c r="AQ35" s="554" t="str">
        <f>IF(AND($A25&lt;AQ$6,$E25&lt;&gt;"",SUM($G25:AP25)=0),$D25,"")</f>
        <v/>
      </c>
      <c r="AR35" s="554" t="str">
        <f>IF(AND($A25&lt;AR$6,$E25&lt;&gt;"",SUM($G25:AQ25)=0),$D25,"")</f>
        <v/>
      </c>
      <c r="AS35" s="141"/>
      <c r="AT35" s="141"/>
    </row>
    <row r="36" spans="1:46">
      <c r="G36" s="554" t="str">
        <f t="shared" si="6"/>
        <v/>
      </c>
      <c r="H36" s="554" t="str">
        <f>IF(AND($A26&lt;H$6,$E26&lt;&gt;"",SUM($G26:G26)=0),$D26,"")</f>
        <v/>
      </c>
      <c r="I36" s="554" t="str">
        <f>IF(AND($A26&lt;I$6,$E26&lt;&gt;"",SUM($G26:H26)=0),$D26,"")</f>
        <v/>
      </c>
      <c r="J36" s="554" t="str">
        <f>IF(AND($A26&lt;J$6,$E26&lt;&gt;"",SUM($G26:I26)=0),$D26,"")</f>
        <v/>
      </c>
      <c r="K36" s="554" t="str">
        <f>IF(AND($A26&lt;K$6,$E26&lt;&gt;"",SUM($G26:J26)=0),$D26,"")</f>
        <v/>
      </c>
      <c r="L36" s="554" t="str">
        <f>IF(AND($A26&lt;L$6,$E26&lt;&gt;"",SUM($G26:K26)=0),$D26,"")</f>
        <v/>
      </c>
      <c r="M36" s="554" t="str">
        <f>IF(AND($A26&lt;M$6,$E26&lt;&gt;"",SUM($G26:L26)=0),$D26,"")</f>
        <v/>
      </c>
      <c r="N36" s="554" t="str">
        <f>IF(AND($A26&lt;N$6,$E26&lt;&gt;"",SUM($G26:M26)=0),$D26,"")</f>
        <v/>
      </c>
      <c r="O36" s="554" t="str">
        <f>IF(AND($A26&lt;O$6,$E26&lt;&gt;"",SUM($G26:N26)=0),$D26,"")</f>
        <v/>
      </c>
      <c r="P36" s="554" t="str">
        <f>IF(AND($A26&lt;P$6,$E26&lt;&gt;"",SUM($G26:O26)=0),$D26,"")</f>
        <v/>
      </c>
      <c r="Q36" s="554" t="str">
        <f>IF(AND($A26&lt;Q$6,$E26&lt;&gt;"",SUM($G26:P26)=0),$D26,"")</f>
        <v/>
      </c>
      <c r="R36" s="554" t="str">
        <f>IF(AND($A26&lt;R$6,$E26&lt;&gt;"",SUM($G26:Q26)=0),$D26,"")</f>
        <v/>
      </c>
      <c r="S36" s="554" t="str">
        <f>IF(AND($A26&lt;S$6,$E26&lt;&gt;"",SUM($G26:R26)=0),$D26,"")</f>
        <v/>
      </c>
      <c r="T36" s="554" t="str">
        <f>IF(AND($A26&lt;T$6,$E26&lt;&gt;"",SUM($G26:S26)=0),$D26,"")</f>
        <v/>
      </c>
      <c r="U36" s="554" t="str">
        <f>IF(AND($A26&lt;U$6,$E26&lt;&gt;"",SUM($G26:T26)=0),$D26,"")</f>
        <v/>
      </c>
      <c r="V36" s="554" t="str">
        <f>IF(AND($A26&lt;V$6,$E26&lt;&gt;"",SUM($G26:U26)=0),$D26,"")</f>
        <v/>
      </c>
      <c r="W36" s="554" t="str">
        <f>IF(AND($A26&lt;W$6,$E26&lt;&gt;"",SUM($G26:V26)=0),$D26,"")</f>
        <v/>
      </c>
      <c r="X36" s="554" t="str">
        <f>IF(AND($A26&lt;X$6,$E26&lt;&gt;"",SUM($G26:W26)=0),$D26,"")</f>
        <v/>
      </c>
      <c r="Y36" s="554" t="str">
        <f>IF(AND($A26&lt;Y$6,$E26&lt;&gt;"",SUM($G26:X26)=0),$D26,"")</f>
        <v/>
      </c>
      <c r="Z36" s="554" t="str">
        <f>IF(AND($A26&lt;Z$6,$E26&lt;&gt;"",SUM($G26:Y26)=0),$D26,"")</f>
        <v/>
      </c>
      <c r="AA36" s="554" t="str">
        <f>IF(AND($A26&lt;AA$6,$E26&lt;&gt;"",SUM($G26:Z26)=0),$D26,"")</f>
        <v/>
      </c>
      <c r="AB36" s="554" t="str">
        <f>IF(AND($A26&lt;AB$6,$E26&lt;&gt;"",SUM($G26:AA26)=0),$D26,"")</f>
        <v/>
      </c>
      <c r="AC36" s="554" t="str">
        <f>IF(AND($A26&lt;AC$6,$E26&lt;&gt;"",SUM($G26:AB26)=0),$D26,"")</f>
        <v/>
      </c>
      <c r="AD36" s="554" t="str">
        <f>IF(AND($A26&lt;AD$6,$E26&lt;&gt;"",SUM($G26:AC26)=0),$D26,"")</f>
        <v/>
      </c>
      <c r="AE36" s="554" t="str">
        <f>IF(AND($A26&lt;AE$6,$E26&lt;&gt;"",SUM($G26:AD26)=0),$D26,"")</f>
        <v/>
      </c>
      <c r="AF36" s="554" t="str">
        <f>IF(AND($A26&lt;AF$6,$E26&lt;&gt;"",SUM($G26:AE26)=0),$D26,"")</f>
        <v/>
      </c>
      <c r="AG36" s="554" t="str">
        <f>IF(AND($A26&lt;AG$6,$E26&lt;&gt;"",SUM($G26:AF26)=0),$D26,"")</f>
        <v/>
      </c>
      <c r="AH36" s="554" t="str">
        <f>IF(AND($A26&lt;AH$6,$E26&lt;&gt;"",SUM($G26:AG26)=0),$D26,"")</f>
        <v/>
      </c>
      <c r="AI36" s="554" t="str">
        <f>IF(AND($A26&lt;AI$6,$E26&lt;&gt;"",SUM($G26:AH26)=0),$D26,"")</f>
        <v/>
      </c>
      <c r="AJ36" s="554" t="str">
        <f>IF(AND($A26&lt;AJ$6,$E26&lt;&gt;"",SUM($G26:AI26)=0),$D26,"")</f>
        <v/>
      </c>
      <c r="AK36" s="554" t="str">
        <f>IF(AND($A26&lt;AK$6,$E26&lt;&gt;"",SUM($G26:AJ26)=0),$D26,"")</f>
        <v/>
      </c>
      <c r="AL36" s="554" t="str">
        <f>IF(AND($A26&lt;AL$6,$E26&lt;&gt;"",SUM($G26:AK26)=0),$D26,"")</f>
        <v/>
      </c>
      <c r="AM36" s="554" t="str">
        <f>IF(AND($A26&lt;AM$6,$E26&lt;&gt;"",SUM($G26:AL26)=0),$D26,"")</f>
        <v/>
      </c>
      <c r="AN36" s="554" t="str">
        <f>IF(AND($A26&lt;AN$6,$E26&lt;&gt;"",SUM($G26:AM26)=0),$D26,"")</f>
        <v/>
      </c>
      <c r="AO36" s="554" t="str">
        <f>IF(AND($A26&lt;AO$6,$E26&lt;&gt;"",SUM($G26:AN26)=0),$D26,"")</f>
        <v/>
      </c>
      <c r="AP36" s="554" t="str">
        <f>IF(AND($A26&lt;AP$6,$E26&lt;&gt;"",SUM($G26:AO26)=0),$D26,"")</f>
        <v/>
      </c>
      <c r="AQ36" s="554" t="str">
        <f>IF(AND($A26&lt;AQ$6,$E26&lt;&gt;"",SUM($G26:AP26)=0),$D26,"")</f>
        <v/>
      </c>
      <c r="AR36" s="554" t="str">
        <f>IF(AND($A26&lt;AR$6,$E26&lt;&gt;"",SUM($G26:AQ26)=0),$D26,"")</f>
        <v/>
      </c>
    </row>
    <row r="37" spans="1:46">
      <c r="G37" s="554" t="str">
        <f t="shared" si="6"/>
        <v/>
      </c>
      <c r="H37" s="554" t="str">
        <f>IF(AND($A27&lt;H$6,$E27&lt;&gt;"",SUM($G27:G27)=0),$D27,"")</f>
        <v/>
      </c>
      <c r="I37" s="554" t="str">
        <f>IF(AND($A27&lt;I$6,$E27&lt;&gt;"",SUM($G27:H27)=0),$D27,"")</f>
        <v/>
      </c>
      <c r="J37" s="554" t="str">
        <f>IF(AND($A27&lt;J$6,$E27&lt;&gt;"",SUM($G27:I27)=0),$D27,"")</f>
        <v/>
      </c>
      <c r="K37" s="554" t="str">
        <f>IF(AND($A27&lt;K$6,$E27&lt;&gt;"",SUM($G27:J27)=0),$D27,"")</f>
        <v/>
      </c>
      <c r="L37" s="554" t="str">
        <f>IF(AND($A27&lt;L$6,$E27&lt;&gt;"",SUM($G27:K27)=0),$D27,"")</f>
        <v/>
      </c>
      <c r="M37" s="554" t="str">
        <f>IF(AND($A27&lt;M$6,$E27&lt;&gt;"",SUM($G27:L27)=0),$D27,"")</f>
        <v/>
      </c>
      <c r="N37" s="554" t="str">
        <f>IF(AND($A27&lt;N$6,$E27&lt;&gt;"",SUM($G27:M27)=0),$D27,"")</f>
        <v/>
      </c>
      <c r="O37" s="554" t="str">
        <f>IF(AND($A27&lt;O$6,$E27&lt;&gt;"",SUM($G27:N27)=0),$D27,"")</f>
        <v/>
      </c>
      <c r="P37" s="554" t="str">
        <f>IF(AND($A27&lt;P$6,$E27&lt;&gt;"",SUM($G27:O27)=0),$D27,"")</f>
        <v/>
      </c>
      <c r="Q37" s="554" t="str">
        <f>IF(AND($A27&lt;Q$6,$E27&lt;&gt;"",SUM($G27:P27)=0),$D27,"")</f>
        <v/>
      </c>
      <c r="R37" s="554" t="str">
        <f>IF(AND($A27&lt;R$6,$E27&lt;&gt;"",SUM($G27:Q27)=0),$D27,"")</f>
        <v/>
      </c>
      <c r="S37" s="554" t="str">
        <f>IF(AND($A27&lt;S$6,$E27&lt;&gt;"",SUM($G27:R27)=0),$D27,"")</f>
        <v/>
      </c>
      <c r="T37" s="554" t="str">
        <f>IF(AND($A27&lt;T$6,$E27&lt;&gt;"",SUM($G27:S27)=0),$D27,"")</f>
        <v/>
      </c>
      <c r="U37" s="554" t="str">
        <f>IF(AND($A27&lt;U$6,$E27&lt;&gt;"",SUM($G27:T27)=0),$D27,"")</f>
        <v/>
      </c>
      <c r="V37" s="554" t="str">
        <f>IF(AND($A27&lt;V$6,$E27&lt;&gt;"",SUM($G27:U27)=0),$D27,"")</f>
        <v/>
      </c>
      <c r="W37" s="554" t="str">
        <f>IF(AND($A27&lt;W$6,$E27&lt;&gt;"",SUM($G27:V27)=0),$D27,"")</f>
        <v/>
      </c>
      <c r="X37" s="554" t="str">
        <f>IF(AND($A27&lt;X$6,$E27&lt;&gt;"",SUM($G27:W27)=0),$D27,"")</f>
        <v/>
      </c>
      <c r="Y37" s="554" t="str">
        <f>IF(AND($A27&lt;Y$6,$E27&lt;&gt;"",SUM($G27:X27)=0),$D27,"")</f>
        <v/>
      </c>
      <c r="Z37" s="554" t="str">
        <f>IF(AND($A27&lt;Z$6,$E27&lt;&gt;"",SUM($G27:Y27)=0),$D27,"")</f>
        <v/>
      </c>
      <c r="AA37" s="554" t="str">
        <f>IF(AND($A27&lt;AA$6,$E27&lt;&gt;"",SUM($G27:Z27)=0),$D27,"")</f>
        <v/>
      </c>
      <c r="AB37" s="554" t="str">
        <f>IF(AND($A27&lt;AB$6,$E27&lt;&gt;"",SUM($G27:AA27)=0),$D27,"")</f>
        <v/>
      </c>
      <c r="AC37" s="554" t="str">
        <f>IF(AND($A27&lt;AC$6,$E27&lt;&gt;"",SUM($G27:AB27)=0),$D27,"")</f>
        <v/>
      </c>
      <c r="AD37" s="554" t="str">
        <f>IF(AND($A27&lt;AD$6,$E27&lt;&gt;"",SUM($G27:AC27)=0),$D27,"")</f>
        <v/>
      </c>
      <c r="AE37" s="554" t="str">
        <f>IF(AND($A27&lt;AE$6,$E27&lt;&gt;"",SUM($G27:AD27)=0),$D27,"")</f>
        <v/>
      </c>
      <c r="AF37" s="554" t="str">
        <f>IF(AND($A27&lt;AF$6,$E27&lt;&gt;"",SUM($G27:AE27)=0),$D27,"")</f>
        <v/>
      </c>
      <c r="AG37" s="554" t="str">
        <f>IF(AND($A27&lt;AG$6,$E27&lt;&gt;"",SUM($G27:AF27)=0),$D27,"")</f>
        <v/>
      </c>
      <c r="AH37" s="554" t="str">
        <f>IF(AND($A27&lt;AH$6,$E27&lt;&gt;"",SUM($G27:AG27)=0),$D27,"")</f>
        <v/>
      </c>
      <c r="AI37" s="554" t="str">
        <f>IF(AND($A27&lt;AI$6,$E27&lt;&gt;"",SUM($G27:AH27)=0),$D27,"")</f>
        <v/>
      </c>
      <c r="AJ37" s="554" t="str">
        <f>IF(AND($A27&lt;AJ$6,$E27&lt;&gt;"",SUM($G27:AI27)=0),$D27,"")</f>
        <v/>
      </c>
      <c r="AK37" s="554" t="str">
        <f>IF(AND($A27&lt;AK$6,$E27&lt;&gt;"",SUM($G27:AJ27)=0),$D27,"")</f>
        <v/>
      </c>
      <c r="AL37" s="554" t="str">
        <f>IF(AND($A27&lt;AL$6,$E27&lt;&gt;"",SUM($G27:AK27)=0),$D27,"")</f>
        <v/>
      </c>
      <c r="AM37" s="554" t="str">
        <f>IF(AND($A27&lt;AM$6,$E27&lt;&gt;"",SUM($G27:AL27)=0),$D27,"")</f>
        <v/>
      </c>
      <c r="AN37" s="554" t="str">
        <f>IF(AND($A27&lt;AN$6,$E27&lt;&gt;"",SUM($G27:AM27)=0),$D27,"")</f>
        <v/>
      </c>
      <c r="AO37" s="554" t="str">
        <f>IF(AND($A27&lt;AO$6,$E27&lt;&gt;"",SUM($G27:AN27)=0),$D27,"")</f>
        <v/>
      </c>
      <c r="AP37" s="554" t="str">
        <f>IF(AND($A27&lt;AP$6,$E27&lt;&gt;"",SUM($G27:AO27)=0),$D27,"")</f>
        <v/>
      </c>
      <c r="AQ37" s="554" t="str">
        <f>IF(AND($A27&lt;AQ$6,$E27&lt;&gt;"",SUM($G27:AP27)=0),$D27,"")</f>
        <v/>
      </c>
      <c r="AR37" s="554" t="str">
        <f>IF(AND($A27&lt;AR$6,$E27&lt;&gt;"",SUM($G27:AQ27)=0),$D27,"")</f>
        <v/>
      </c>
    </row>
    <row r="38" spans="1:46">
      <c r="G38" s="554" t="str">
        <f t="shared" si="6"/>
        <v/>
      </c>
      <c r="H38" s="554" t="str">
        <f>IF(AND($A28&lt;H$6,$E28&lt;&gt;"",SUM($G28:G28)=0),$D28,"")</f>
        <v/>
      </c>
      <c r="I38" s="554" t="str">
        <f>IF(AND($A28&lt;I$6,$E28&lt;&gt;"",SUM($G28:H28)=0),$D28,"")</f>
        <v/>
      </c>
      <c r="J38" s="554" t="str">
        <f>IF(AND($A28&lt;J$6,$E28&lt;&gt;"",SUM($G28:I28)=0),$D28,"")</f>
        <v/>
      </c>
      <c r="K38" s="554" t="str">
        <f>IF(AND($A28&lt;K$6,$E28&lt;&gt;"",SUM($G28:J28)=0),$D28,"")</f>
        <v/>
      </c>
      <c r="L38" s="554" t="str">
        <f>IF(AND($A28&lt;L$6,$E28&lt;&gt;"",SUM($G28:K28)=0),$D28,"")</f>
        <v/>
      </c>
      <c r="M38" s="554" t="str">
        <f>IF(AND($A28&lt;M$6,$E28&lt;&gt;"",SUM($G28:L28)=0),$D28,"")</f>
        <v/>
      </c>
      <c r="N38" s="554" t="str">
        <f>IF(AND($A28&lt;N$6,$E28&lt;&gt;"",SUM($G28:M28)=0),$D28,"")</f>
        <v/>
      </c>
      <c r="O38" s="554" t="str">
        <f>IF(AND($A28&lt;O$6,$E28&lt;&gt;"",SUM($G28:N28)=0),$D28,"")</f>
        <v/>
      </c>
      <c r="P38" s="554" t="str">
        <f>IF(AND($A28&lt;P$6,$E28&lt;&gt;"",SUM($G28:O28)=0),$D28,"")</f>
        <v/>
      </c>
      <c r="Q38" s="554" t="str">
        <f>IF(AND($A28&lt;Q$6,$E28&lt;&gt;"",SUM($G28:P28)=0),$D28,"")</f>
        <v/>
      </c>
      <c r="R38" s="554" t="str">
        <f>IF(AND($A28&lt;R$6,$E28&lt;&gt;"",SUM($G28:Q28)=0),$D28,"")</f>
        <v/>
      </c>
      <c r="S38" s="554" t="str">
        <f>IF(AND($A28&lt;S$6,$E28&lt;&gt;"",SUM($G28:R28)=0),$D28,"")</f>
        <v/>
      </c>
      <c r="T38" s="554" t="str">
        <f>IF(AND($A28&lt;T$6,$E28&lt;&gt;"",SUM($G28:S28)=0),$D28,"")</f>
        <v/>
      </c>
      <c r="U38" s="554" t="str">
        <f>IF(AND($A28&lt;U$6,$E28&lt;&gt;"",SUM($G28:T28)=0),$D28,"")</f>
        <v/>
      </c>
      <c r="V38" s="554" t="str">
        <f>IF(AND($A28&lt;V$6,$E28&lt;&gt;"",SUM($G28:U28)=0),$D28,"")</f>
        <v/>
      </c>
      <c r="W38" s="554" t="str">
        <f>IF(AND($A28&lt;W$6,$E28&lt;&gt;"",SUM($G28:V28)=0),$D28,"")</f>
        <v/>
      </c>
      <c r="X38" s="554" t="str">
        <f>IF(AND($A28&lt;X$6,$E28&lt;&gt;"",SUM($G28:W28)=0),$D28,"")</f>
        <v/>
      </c>
      <c r="Y38" s="554" t="str">
        <f>IF(AND($A28&lt;Y$6,$E28&lt;&gt;"",SUM($G28:X28)=0),$D28,"")</f>
        <v/>
      </c>
      <c r="Z38" s="554" t="str">
        <f>IF(AND($A28&lt;Z$6,$E28&lt;&gt;"",SUM($G28:Y28)=0),$D28,"")</f>
        <v/>
      </c>
      <c r="AA38" s="554" t="str">
        <f>IF(AND($A28&lt;AA$6,$E28&lt;&gt;"",SUM($G28:Z28)=0),$D28,"")</f>
        <v/>
      </c>
      <c r="AB38" s="554" t="str">
        <f>IF(AND($A28&lt;AB$6,$E28&lt;&gt;"",SUM($G28:AA28)=0),$D28,"")</f>
        <v/>
      </c>
      <c r="AC38" s="554" t="str">
        <f>IF(AND($A28&lt;AC$6,$E28&lt;&gt;"",SUM($G28:AB28)=0),$D28,"")</f>
        <v/>
      </c>
      <c r="AD38" s="554" t="str">
        <f>IF(AND($A28&lt;AD$6,$E28&lt;&gt;"",SUM($G28:AC28)=0),$D28,"")</f>
        <v/>
      </c>
      <c r="AE38" s="554" t="str">
        <f>IF(AND($A28&lt;AE$6,$E28&lt;&gt;"",SUM($G28:AD28)=0),$D28,"")</f>
        <v/>
      </c>
      <c r="AF38" s="554" t="str">
        <f>IF(AND($A28&lt;AF$6,$E28&lt;&gt;"",SUM($G28:AE28)=0),$D28,"")</f>
        <v/>
      </c>
      <c r="AG38" s="554" t="str">
        <f>IF(AND($A28&lt;AG$6,$E28&lt;&gt;"",SUM($G28:AF28)=0),$D28,"")</f>
        <v/>
      </c>
      <c r="AH38" s="554" t="str">
        <f>IF(AND($A28&lt;AH$6,$E28&lt;&gt;"",SUM($G28:AG28)=0),$D28,"")</f>
        <v/>
      </c>
      <c r="AI38" s="554" t="str">
        <f>IF(AND($A28&lt;AI$6,$E28&lt;&gt;"",SUM($G28:AH28)=0),$D28,"")</f>
        <v/>
      </c>
      <c r="AJ38" s="554" t="str">
        <f>IF(AND($A28&lt;AJ$6,$E28&lt;&gt;"",SUM($G28:AI28)=0),$D28,"")</f>
        <v/>
      </c>
      <c r="AK38" s="554" t="str">
        <f>IF(AND($A28&lt;AK$6,$E28&lt;&gt;"",SUM($G28:AJ28)=0),$D28,"")</f>
        <v/>
      </c>
      <c r="AL38" s="554" t="str">
        <f>IF(AND($A28&lt;AL$6,$E28&lt;&gt;"",SUM($G28:AK28)=0),$D28,"")</f>
        <v/>
      </c>
      <c r="AM38" s="554" t="str">
        <f>IF(AND($A28&lt;AM$6,$E28&lt;&gt;"",SUM($G28:AL28)=0),$D28,"")</f>
        <v/>
      </c>
      <c r="AN38" s="554" t="str">
        <f>IF(AND($A28&lt;AN$6,$E28&lt;&gt;"",SUM($G28:AM28)=0),$D28,"")</f>
        <v/>
      </c>
      <c r="AO38" s="554" t="str">
        <f>IF(AND($A28&lt;AO$6,$E28&lt;&gt;"",SUM($G28:AN28)=0),$D28,"")</f>
        <v/>
      </c>
      <c r="AP38" s="554" t="str">
        <f>IF(AND($A28&lt;AP$6,$E28&lt;&gt;"",SUM($G28:AO28)=0),$D28,"")</f>
        <v/>
      </c>
      <c r="AQ38" s="554" t="str">
        <f>IF(AND($A28&lt;AQ$6,$E28&lt;&gt;"",SUM($G28:AP28)=0),$D28,"")</f>
        <v/>
      </c>
      <c r="AR38" s="554" t="str">
        <f>IF(AND($A28&lt;AR$6,$E28&lt;&gt;"",SUM($G28:AQ28)=0),$D28,"")</f>
        <v/>
      </c>
    </row>
    <row r="39" spans="1:46">
      <c r="G39" s="554" t="str">
        <f t="shared" si="6"/>
        <v/>
      </c>
      <c r="H39" s="554" t="str">
        <f>IF(AND($A29&lt;H$6,$E29&lt;&gt;"",SUM($G29:G29)=0),$D29,"")</f>
        <v/>
      </c>
      <c r="I39" s="554" t="str">
        <f>IF(AND($A29&lt;I$6,$E29&lt;&gt;"",SUM($G29:H29)=0),$D29,"")</f>
        <v/>
      </c>
      <c r="J39" s="554" t="str">
        <f>IF(AND($A29&lt;J$6,$E29&lt;&gt;"",SUM($G29:I29)=0),$D29,"")</f>
        <v/>
      </c>
      <c r="K39" s="554" t="str">
        <f>IF(AND($A29&lt;K$6,$E29&lt;&gt;"",SUM($G29:J29)=0),$D29,"")</f>
        <v/>
      </c>
      <c r="L39" s="554" t="str">
        <f>IF(AND($A29&lt;L$6,$E29&lt;&gt;"",SUM($G29:K29)=0),$D29,"")</f>
        <v/>
      </c>
      <c r="M39" s="554" t="str">
        <f>IF(AND($A29&lt;M$6,$E29&lt;&gt;"",SUM($G29:L29)=0),$D29,"")</f>
        <v/>
      </c>
      <c r="N39" s="554" t="str">
        <f>IF(AND($A29&lt;N$6,$E29&lt;&gt;"",SUM($G29:M29)=0),$D29,"")</f>
        <v/>
      </c>
      <c r="O39" s="554" t="str">
        <f>IF(AND($A29&lt;O$6,$E29&lt;&gt;"",SUM($G29:N29)=0),$D29,"")</f>
        <v/>
      </c>
      <c r="P39" s="554" t="str">
        <f>IF(AND($A29&lt;P$6,$E29&lt;&gt;"",SUM($G29:O29)=0),$D29,"")</f>
        <v/>
      </c>
      <c r="Q39" s="554" t="str">
        <f>IF(AND($A29&lt;Q$6,$E29&lt;&gt;"",SUM($G29:P29)=0),$D29,"")</f>
        <v/>
      </c>
      <c r="R39" s="554" t="str">
        <f>IF(AND($A29&lt;R$6,$E29&lt;&gt;"",SUM($G29:Q29)=0),$D29,"")</f>
        <v/>
      </c>
      <c r="S39" s="554" t="str">
        <f>IF(AND($A29&lt;S$6,$E29&lt;&gt;"",SUM($G29:R29)=0),$D29,"")</f>
        <v/>
      </c>
      <c r="T39" s="554" t="str">
        <f>IF(AND($A29&lt;T$6,$E29&lt;&gt;"",SUM($G29:S29)=0),$D29,"")</f>
        <v/>
      </c>
      <c r="U39" s="554" t="str">
        <f>IF(AND($A29&lt;U$6,$E29&lt;&gt;"",SUM($G29:T29)=0),$D29,"")</f>
        <v/>
      </c>
      <c r="V39" s="554" t="str">
        <f>IF(AND($A29&lt;V$6,$E29&lt;&gt;"",SUM($G29:U29)=0),$D29,"")</f>
        <v/>
      </c>
      <c r="W39" s="554" t="str">
        <f>IF(AND($A29&lt;W$6,$E29&lt;&gt;"",SUM($G29:V29)=0),$D29,"")</f>
        <v/>
      </c>
      <c r="X39" s="554" t="str">
        <f>IF(AND($A29&lt;X$6,$E29&lt;&gt;"",SUM($G29:W29)=0),$D29,"")</f>
        <v/>
      </c>
      <c r="Y39" s="554" t="str">
        <f>IF(AND($A29&lt;Y$6,$E29&lt;&gt;"",SUM($G29:X29)=0),$D29,"")</f>
        <v/>
      </c>
      <c r="Z39" s="554" t="str">
        <f>IF(AND($A29&lt;Z$6,$E29&lt;&gt;"",SUM($G29:Y29)=0),$D29,"")</f>
        <v/>
      </c>
      <c r="AA39" s="554" t="str">
        <f>IF(AND($A29&lt;AA$6,$E29&lt;&gt;"",SUM($G29:Z29)=0),$D29,"")</f>
        <v/>
      </c>
      <c r="AB39" s="554" t="str">
        <f>IF(AND($A29&lt;AB$6,$E29&lt;&gt;"",SUM($G29:AA29)=0),$D29,"")</f>
        <v/>
      </c>
      <c r="AC39" s="554" t="str">
        <f>IF(AND($A29&lt;AC$6,$E29&lt;&gt;"",SUM($G29:AB29)=0),$D29,"")</f>
        <v/>
      </c>
      <c r="AD39" s="554" t="str">
        <f>IF(AND($A29&lt;AD$6,$E29&lt;&gt;"",SUM($G29:AC29)=0),$D29,"")</f>
        <v/>
      </c>
      <c r="AE39" s="554" t="str">
        <f>IF(AND($A29&lt;AE$6,$E29&lt;&gt;"",SUM($G29:AD29)=0),$D29,"")</f>
        <v/>
      </c>
      <c r="AF39" s="554" t="str">
        <f>IF(AND($A29&lt;AF$6,$E29&lt;&gt;"",SUM($G29:AE29)=0),$D29,"")</f>
        <v/>
      </c>
      <c r="AG39" s="554" t="str">
        <f>IF(AND($A29&lt;AG$6,$E29&lt;&gt;"",SUM($G29:AF29)=0),$D29,"")</f>
        <v/>
      </c>
      <c r="AH39" s="554" t="str">
        <f>IF(AND($A29&lt;AH$6,$E29&lt;&gt;"",SUM($G29:AG29)=0),$D29,"")</f>
        <v/>
      </c>
      <c r="AI39" s="554" t="str">
        <f>IF(AND($A29&lt;AI$6,$E29&lt;&gt;"",SUM($G29:AH29)=0),$D29,"")</f>
        <v/>
      </c>
      <c r="AJ39" s="554" t="str">
        <f>IF(AND($A29&lt;AJ$6,$E29&lt;&gt;"",SUM($G29:AI29)=0),$D29,"")</f>
        <v/>
      </c>
      <c r="AK39" s="554" t="str">
        <f>IF(AND($A29&lt;AK$6,$E29&lt;&gt;"",SUM($G29:AJ29)=0),$D29,"")</f>
        <v/>
      </c>
      <c r="AL39" s="554" t="str">
        <f>IF(AND($A29&lt;AL$6,$E29&lt;&gt;"",SUM($G29:AK29)=0),$D29,"")</f>
        <v/>
      </c>
      <c r="AM39" s="554" t="str">
        <f>IF(AND($A29&lt;AM$6,$E29&lt;&gt;"",SUM($G29:AL29)=0),$D29,"")</f>
        <v/>
      </c>
      <c r="AN39" s="554" t="str">
        <f>IF(AND($A29&lt;AN$6,$E29&lt;&gt;"",SUM($G29:AM29)=0),$D29,"")</f>
        <v/>
      </c>
      <c r="AO39" s="554" t="str">
        <f>IF(AND($A29&lt;AO$6,$E29&lt;&gt;"",SUM($G29:AN29)=0),$D29,"")</f>
        <v/>
      </c>
      <c r="AP39" s="554" t="str">
        <f>IF(AND($A29&lt;AP$6,$E29&lt;&gt;"",SUM($G29:AO29)=0),$D29,"")</f>
        <v/>
      </c>
      <c r="AQ39" s="554" t="str">
        <f>IF(AND($A29&lt;AQ$6,$E29&lt;&gt;"",SUM($G29:AP29)=0),$D29,"")</f>
        <v/>
      </c>
      <c r="AR39" s="554" t="str">
        <f>IF(AND($A29&lt;AR$6,$E29&lt;&gt;"",SUM($G29:AQ29)=0),$D29,"")</f>
        <v/>
      </c>
    </row>
    <row r="40" spans="1:46">
      <c r="G40" s="554" t="str">
        <f t="shared" si="6"/>
        <v/>
      </c>
      <c r="H40" s="554" t="str">
        <f>IF(AND($A30&lt;H$6,$E30&lt;&gt;"",SUM($G30:G30)=0),$D30,"")</f>
        <v/>
      </c>
      <c r="I40" s="554" t="str">
        <f>IF(AND($A30&lt;I$6,$E30&lt;&gt;"",SUM($G30:H30)=0),$D30,"")</f>
        <v/>
      </c>
      <c r="J40" s="554" t="str">
        <f>IF(AND($A30&lt;J$6,$E30&lt;&gt;"",SUM($G30:I30)=0),$D30,"")</f>
        <v/>
      </c>
      <c r="K40" s="554" t="str">
        <f>IF(AND($A30&lt;K$6,$E30&lt;&gt;"",SUM($G30:J30)=0),$D30,"")</f>
        <v/>
      </c>
      <c r="L40" s="554" t="str">
        <f>IF(AND($A30&lt;L$6,$E30&lt;&gt;"",SUM($G30:K30)=0),$D30,"")</f>
        <v/>
      </c>
      <c r="M40" s="554" t="str">
        <f>IF(AND($A30&lt;M$6,$E30&lt;&gt;"",SUM($G30:L30)=0),$D30,"")</f>
        <v/>
      </c>
      <c r="N40" s="554" t="str">
        <f>IF(AND($A30&lt;N$6,$E30&lt;&gt;"",SUM($G30:M30)=0),$D30,"")</f>
        <v/>
      </c>
      <c r="O40" s="554" t="str">
        <f>IF(AND($A30&lt;O$6,$E30&lt;&gt;"",SUM($G30:N30)=0),$D30,"")</f>
        <v/>
      </c>
      <c r="P40" s="554" t="str">
        <f>IF(AND($A30&lt;P$6,$E30&lt;&gt;"",SUM($G30:O30)=0),$D30,"")</f>
        <v/>
      </c>
      <c r="Q40" s="554" t="str">
        <f>IF(AND($A30&lt;Q$6,$E30&lt;&gt;"",SUM($G30:P30)=0),$D30,"")</f>
        <v/>
      </c>
      <c r="R40" s="554" t="str">
        <f>IF(AND($A30&lt;R$6,$E30&lt;&gt;"",SUM($G30:Q30)=0),$D30,"")</f>
        <v/>
      </c>
      <c r="S40" s="554" t="str">
        <f>IF(AND($A30&lt;S$6,$E30&lt;&gt;"",SUM($G30:R30)=0),$D30,"")</f>
        <v/>
      </c>
      <c r="T40" s="554" t="str">
        <f>IF(AND($A30&lt;T$6,$E30&lt;&gt;"",SUM($G30:S30)=0),$D30,"")</f>
        <v/>
      </c>
      <c r="U40" s="554" t="str">
        <f>IF(AND($A30&lt;U$6,$E30&lt;&gt;"",SUM($G30:T30)=0),$D30,"")</f>
        <v/>
      </c>
      <c r="V40" s="554" t="str">
        <f>IF(AND($A30&lt;V$6,$E30&lt;&gt;"",SUM($G30:U30)=0),$D30,"")</f>
        <v/>
      </c>
      <c r="W40" s="554" t="str">
        <f>IF(AND($A30&lt;W$6,$E30&lt;&gt;"",SUM($G30:V30)=0),$D30,"")</f>
        <v/>
      </c>
      <c r="X40" s="554" t="str">
        <f>IF(AND($A30&lt;X$6,$E30&lt;&gt;"",SUM($G30:W30)=0),$D30,"")</f>
        <v/>
      </c>
      <c r="Y40" s="554" t="str">
        <f>IF(AND($A30&lt;Y$6,$E30&lt;&gt;"",SUM($G30:X30)=0),$D30,"")</f>
        <v/>
      </c>
      <c r="Z40" s="554" t="str">
        <f>IF(AND($A30&lt;Z$6,$E30&lt;&gt;"",SUM($G30:Y30)=0),$D30,"")</f>
        <v/>
      </c>
      <c r="AA40" s="554" t="str">
        <f>IF(AND($A30&lt;AA$6,$E30&lt;&gt;"",SUM($G30:Z30)=0),$D30,"")</f>
        <v/>
      </c>
      <c r="AB40" s="554" t="str">
        <f>IF(AND($A30&lt;AB$6,$E30&lt;&gt;"",SUM($G30:AA30)=0),$D30,"")</f>
        <v/>
      </c>
      <c r="AC40" s="554" t="str">
        <f>IF(AND($A30&lt;AC$6,$E30&lt;&gt;"",SUM($G30:AB30)=0),$D30,"")</f>
        <v/>
      </c>
      <c r="AD40" s="554" t="str">
        <f>IF(AND($A30&lt;AD$6,$E30&lt;&gt;"",SUM($G30:AC30)=0),$D30,"")</f>
        <v/>
      </c>
      <c r="AE40" s="554" t="str">
        <f>IF(AND($A30&lt;AE$6,$E30&lt;&gt;"",SUM($G30:AD30)=0),$D30,"")</f>
        <v/>
      </c>
      <c r="AF40" s="554" t="str">
        <f>IF(AND($A30&lt;AF$6,$E30&lt;&gt;"",SUM($G30:AE30)=0),$D30,"")</f>
        <v/>
      </c>
      <c r="AG40" s="554" t="str">
        <f>IF(AND($A30&lt;AG$6,$E30&lt;&gt;"",SUM($G30:AF30)=0),$D30,"")</f>
        <v/>
      </c>
      <c r="AH40" s="554" t="str">
        <f>IF(AND($A30&lt;AH$6,$E30&lt;&gt;"",SUM($G30:AG30)=0),$D30,"")</f>
        <v/>
      </c>
      <c r="AI40" s="554" t="str">
        <f>IF(AND($A30&lt;AI$6,$E30&lt;&gt;"",SUM($G30:AH30)=0),$D30,"")</f>
        <v/>
      </c>
      <c r="AJ40" s="554" t="str">
        <f>IF(AND($A30&lt;AJ$6,$E30&lt;&gt;"",SUM($G30:AI30)=0),$D30,"")</f>
        <v/>
      </c>
      <c r="AK40" s="554" t="str">
        <f>IF(AND($A30&lt;AK$6,$E30&lt;&gt;"",SUM($G30:AJ30)=0),$D30,"")</f>
        <v/>
      </c>
      <c r="AL40" s="554" t="str">
        <f>IF(AND($A30&lt;AL$6,$E30&lt;&gt;"",SUM($G30:AK30)=0),$D30,"")</f>
        <v/>
      </c>
      <c r="AM40" s="554" t="str">
        <f>IF(AND($A30&lt;AM$6,$E30&lt;&gt;"",SUM($G30:AL30)=0),$D30,"")</f>
        <v/>
      </c>
      <c r="AN40" s="554" t="str">
        <f>IF(AND($A30&lt;AN$6,$E30&lt;&gt;"",SUM($G30:AM30)=0),$D30,"")</f>
        <v/>
      </c>
      <c r="AO40" s="554" t="str">
        <f>IF(AND($A30&lt;AO$6,$E30&lt;&gt;"",SUM($G30:AN30)=0),$D30,"")</f>
        <v/>
      </c>
      <c r="AP40" s="554" t="str">
        <f>IF(AND($A30&lt;AP$6,$E30&lt;&gt;"",SUM($G30:AO30)=0),$D30,"")</f>
        <v/>
      </c>
      <c r="AQ40" s="554" t="str">
        <f>IF(AND($A30&lt;AQ$6,$E30&lt;&gt;"",SUM($G30:AP30)=0),$D30,"")</f>
        <v/>
      </c>
      <c r="AR40" s="554" t="str">
        <f>IF(AND($A30&lt;AR$6,$E30&lt;&gt;"",SUM($G30:AQ30)=0),$D30,"")</f>
        <v/>
      </c>
    </row>
    <row r="41" spans="1:46">
      <c r="G41" s="554" t="str">
        <f t="shared" si="6"/>
        <v/>
      </c>
      <c r="H41" s="554" t="str">
        <f>IF(AND($A31&lt;H$6,$E31&lt;&gt;"",SUM($G31:G31)=0),$D31,"")</f>
        <v/>
      </c>
      <c r="I41" s="554" t="str">
        <f>IF(AND($A31&lt;I$6,$E31&lt;&gt;"",SUM($G31:H31)=0),$D31,"")</f>
        <v/>
      </c>
      <c r="J41" s="554" t="str">
        <f>IF(AND($A31&lt;J$6,$E31&lt;&gt;"",SUM($G31:I31)=0),$D31,"")</f>
        <v/>
      </c>
      <c r="K41" s="554" t="str">
        <f>IF(AND($A31&lt;K$6,$E31&lt;&gt;"",SUM($G31:J31)=0),$D31,"")</f>
        <v/>
      </c>
      <c r="L41" s="554" t="str">
        <f>IF(AND($A31&lt;L$6,$E31&lt;&gt;"",SUM($G31:K31)=0),$D31,"")</f>
        <v/>
      </c>
      <c r="M41" s="554" t="str">
        <f>IF(AND($A31&lt;M$6,$E31&lt;&gt;"",SUM($G31:L31)=0),$D31,"")</f>
        <v/>
      </c>
      <c r="N41" s="554" t="str">
        <f>IF(AND($A31&lt;N$6,$E31&lt;&gt;"",SUM($G31:M31)=0),$D31,"")</f>
        <v/>
      </c>
      <c r="O41" s="554" t="str">
        <f>IF(AND($A31&lt;O$6,$E31&lt;&gt;"",SUM($G31:N31)=0),$D31,"")</f>
        <v/>
      </c>
      <c r="P41" s="554" t="str">
        <f>IF(AND($A31&lt;P$6,$E31&lt;&gt;"",SUM($G31:O31)=0),$D31,"")</f>
        <v/>
      </c>
      <c r="Q41" s="554" t="str">
        <f>IF(AND($A31&lt;Q$6,$E31&lt;&gt;"",SUM($G31:P31)=0),$D31,"")</f>
        <v/>
      </c>
      <c r="R41" s="554" t="str">
        <f>IF(AND($A31&lt;R$6,$E31&lt;&gt;"",SUM($G31:Q31)=0),$D31,"")</f>
        <v/>
      </c>
      <c r="S41" s="554" t="str">
        <f>IF(AND($A31&lt;S$6,$E31&lt;&gt;"",SUM($G31:R31)=0),$D31,"")</f>
        <v/>
      </c>
      <c r="T41" s="554" t="str">
        <f>IF(AND($A31&lt;T$6,$E31&lt;&gt;"",SUM($G31:S31)=0),$D31,"")</f>
        <v/>
      </c>
      <c r="U41" s="554" t="str">
        <f>IF(AND($A31&lt;U$6,$E31&lt;&gt;"",SUM($G31:T31)=0),$D31,"")</f>
        <v/>
      </c>
      <c r="V41" s="554" t="str">
        <f>IF(AND($A31&lt;V$6,$E31&lt;&gt;"",SUM($G31:U31)=0),$D31,"")</f>
        <v/>
      </c>
      <c r="W41" s="554" t="str">
        <f>IF(AND($A31&lt;W$6,$E31&lt;&gt;"",SUM($G31:V31)=0),$D31,"")</f>
        <v/>
      </c>
      <c r="X41" s="554" t="str">
        <f>IF(AND($A31&lt;X$6,$E31&lt;&gt;"",SUM($G31:W31)=0),$D31,"")</f>
        <v/>
      </c>
      <c r="Y41" s="554" t="str">
        <f>IF(AND($A31&lt;Y$6,$E31&lt;&gt;"",SUM($G31:X31)=0),$D31,"")</f>
        <v/>
      </c>
      <c r="Z41" s="554" t="str">
        <f>IF(AND($A31&lt;Z$6,$E31&lt;&gt;"",SUM($G31:Y31)=0),$D31,"")</f>
        <v/>
      </c>
      <c r="AA41" s="554" t="str">
        <f>IF(AND($A31&lt;AA$6,$E31&lt;&gt;"",SUM($G31:Z31)=0),$D31,"")</f>
        <v/>
      </c>
      <c r="AB41" s="554" t="str">
        <f>IF(AND($A31&lt;AB$6,$E31&lt;&gt;"",SUM($G31:AA31)=0),$D31,"")</f>
        <v/>
      </c>
      <c r="AC41" s="554" t="str">
        <f>IF(AND($A31&lt;AC$6,$E31&lt;&gt;"",SUM($G31:AB31)=0),$D31,"")</f>
        <v/>
      </c>
      <c r="AD41" s="554" t="str">
        <f>IF(AND($A31&lt;AD$6,$E31&lt;&gt;"",SUM($G31:AC31)=0),$D31,"")</f>
        <v/>
      </c>
      <c r="AE41" s="554" t="str">
        <f>IF(AND($A31&lt;AE$6,$E31&lt;&gt;"",SUM($G31:AD31)=0),$D31,"")</f>
        <v/>
      </c>
      <c r="AF41" s="554" t="str">
        <f>IF(AND($A31&lt;AF$6,$E31&lt;&gt;"",SUM($G31:AE31)=0),$D31,"")</f>
        <v/>
      </c>
      <c r="AG41" s="554" t="str">
        <f>IF(AND($A31&lt;AG$6,$E31&lt;&gt;"",SUM($G31:AF31)=0),$D31,"")</f>
        <v/>
      </c>
      <c r="AH41" s="554" t="str">
        <f>IF(AND($A31&lt;AH$6,$E31&lt;&gt;"",SUM($G31:AG31)=0),$D31,"")</f>
        <v/>
      </c>
      <c r="AI41" s="554" t="str">
        <f>IF(AND($A31&lt;AI$6,$E31&lt;&gt;"",SUM($G31:AH31)=0),$D31,"")</f>
        <v/>
      </c>
      <c r="AJ41" s="554" t="str">
        <f>IF(AND($A31&lt;AJ$6,$E31&lt;&gt;"",SUM($G31:AI31)=0),$D31,"")</f>
        <v/>
      </c>
      <c r="AK41" s="554" t="str">
        <f>IF(AND($A31&lt;AK$6,$E31&lt;&gt;"",SUM($G31:AJ31)=0),$D31,"")</f>
        <v/>
      </c>
      <c r="AL41" s="554" t="str">
        <f>IF(AND($A31&lt;AL$6,$E31&lt;&gt;"",SUM($G31:AK31)=0),$D31,"")</f>
        <v/>
      </c>
      <c r="AM41" s="554" t="str">
        <f>IF(AND($A31&lt;AM$6,$E31&lt;&gt;"",SUM($G31:AL31)=0),$D31,"")</f>
        <v/>
      </c>
      <c r="AN41" s="554" t="str">
        <f>IF(AND($A31&lt;AN$6,$E31&lt;&gt;"",SUM($G31:AM31)=0),$D31,"")</f>
        <v/>
      </c>
      <c r="AO41" s="554" t="str">
        <f>IF(AND($A31&lt;AO$6,$E31&lt;&gt;"",SUM($G31:AN31)=0),$D31,"")</f>
        <v/>
      </c>
      <c r="AP41" s="554" t="str">
        <f>IF(AND($A31&lt;AP$6,$E31&lt;&gt;"",SUM($G31:AO31)=0),$D31,"")</f>
        <v/>
      </c>
      <c r="AQ41" s="554" t="str">
        <f>IF(AND($A31&lt;AQ$6,$E31&lt;&gt;"",SUM($G31:AP31)=0),$D31,"")</f>
        <v/>
      </c>
      <c r="AR41" s="554" t="str">
        <f>IF(AND($A31&lt;AR$6,$E31&lt;&gt;"",SUM($G31:AQ31)=0),$D31,"")</f>
        <v/>
      </c>
    </row>
    <row r="42" spans="1:46">
      <c r="G42" s="556"/>
      <c r="H42" s="557"/>
      <c r="I42" s="556"/>
      <c r="J42" s="556"/>
      <c r="K42" s="556"/>
      <c r="L42" s="556"/>
      <c r="M42" s="556"/>
      <c r="N42" s="556"/>
      <c r="O42" s="556"/>
      <c r="P42" s="556"/>
      <c r="Q42" s="556"/>
      <c r="R42" s="556"/>
      <c r="S42" s="556"/>
      <c r="T42" s="556"/>
      <c r="U42" s="556"/>
      <c r="V42" s="556"/>
      <c r="W42" s="556"/>
      <c r="X42" s="556"/>
      <c r="Y42" s="556"/>
      <c r="Z42" s="556"/>
      <c r="AA42" s="556"/>
      <c r="AB42" s="556"/>
      <c r="AC42" s="556"/>
      <c r="AD42" s="556"/>
      <c r="AE42" s="556"/>
      <c r="AF42" s="556"/>
      <c r="AG42" s="556"/>
      <c r="AH42" s="556"/>
      <c r="AI42" s="556"/>
      <c r="AJ42" s="556"/>
      <c r="AK42" s="556"/>
      <c r="AL42" s="556"/>
      <c r="AM42" s="556"/>
      <c r="AN42" s="556"/>
      <c r="AO42" s="556"/>
      <c r="AP42" s="556"/>
      <c r="AQ42" s="556"/>
      <c r="AR42" s="556"/>
    </row>
    <row r="43" spans="1:46">
      <c r="G43" s="556"/>
      <c r="H43" s="557"/>
      <c r="I43" s="556"/>
      <c r="J43" s="556"/>
      <c r="K43" s="556"/>
      <c r="L43" s="556"/>
      <c r="M43" s="556"/>
      <c r="N43" s="556"/>
      <c r="O43" s="556"/>
      <c r="P43" s="556"/>
      <c r="Q43" s="556"/>
      <c r="R43" s="556"/>
      <c r="S43" s="556"/>
      <c r="T43" s="556"/>
      <c r="U43" s="556"/>
      <c r="V43" s="556"/>
      <c r="W43" s="556"/>
      <c r="X43" s="556"/>
      <c r="Y43" s="556"/>
      <c r="Z43" s="556"/>
      <c r="AA43" s="556"/>
      <c r="AB43" s="556"/>
      <c r="AC43" s="556"/>
      <c r="AD43" s="556"/>
      <c r="AE43" s="556"/>
      <c r="AF43" s="556"/>
      <c r="AG43" s="556"/>
      <c r="AH43" s="556"/>
      <c r="AI43" s="556"/>
      <c r="AJ43" s="556"/>
      <c r="AK43" s="556"/>
      <c r="AL43" s="556"/>
      <c r="AM43" s="556"/>
      <c r="AN43" s="556"/>
      <c r="AO43" s="556"/>
      <c r="AP43" s="556"/>
      <c r="AQ43" s="556"/>
      <c r="AR43" s="556"/>
    </row>
    <row r="44" spans="1:46">
      <c r="G44" s="556"/>
      <c r="H44" s="556"/>
      <c r="I44" s="556"/>
      <c r="J44" s="556"/>
      <c r="K44" s="556"/>
      <c r="L44" s="556"/>
      <c r="M44" s="556"/>
      <c r="N44" s="556"/>
      <c r="O44" s="556"/>
      <c r="P44" s="556"/>
      <c r="Q44" s="556"/>
      <c r="R44" s="556"/>
      <c r="S44" s="556"/>
      <c r="T44" s="556"/>
      <c r="U44" s="556"/>
      <c r="V44" s="556"/>
      <c r="W44" s="556"/>
      <c r="X44" s="556"/>
      <c r="Y44" s="556"/>
      <c r="Z44" s="556"/>
      <c r="AA44" s="556"/>
      <c r="AB44" s="556"/>
      <c r="AC44" s="556"/>
      <c r="AD44" s="556"/>
      <c r="AE44" s="556"/>
      <c r="AF44" s="556"/>
      <c r="AG44" s="556"/>
      <c r="AH44" s="556"/>
      <c r="AI44" s="556"/>
      <c r="AJ44" s="556"/>
      <c r="AK44" s="556"/>
      <c r="AL44" s="556"/>
      <c r="AM44" s="556"/>
      <c r="AN44" s="556"/>
      <c r="AO44" s="556"/>
      <c r="AP44" s="556"/>
      <c r="AQ44" s="556"/>
      <c r="AR44" s="556"/>
    </row>
    <row r="45" spans="1:46">
      <c r="G45" s="556"/>
      <c r="H45" s="556"/>
      <c r="I45" s="556"/>
      <c r="J45" s="556"/>
      <c r="K45" s="556"/>
      <c r="L45" s="556"/>
      <c r="M45" s="556"/>
      <c r="N45" s="556"/>
      <c r="O45" s="556"/>
      <c r="P45" s="556"/>
      <c r="Q45" s="556"/>
      <c r="R45" s="556"/>
      <c r="S45" s="556"/>
      <c r="T45" s="556"/>
      <c r="U45" s="556"/>
      <c r="V45" s="556"/>
      <c r="W45" s="556"/>
      <c r="X45" s="556"/>
      <c r="Y45" s="556"/>
      <c r="Z45" s="556"/>
      <c r="AA45" s="556"/>
      <c r="AB45" s="556"/>
      <c r="AC45" s="556"/>
      <c r="AD45" s="556"/>
      <c r="AE45" s="556"/>
      <c r="AF45" s="556"/>
      <c r="AG45" s="556"/>
      <c r="AH45" s="556"/>
      <c r="AI45" s="556"/>
      <c r="AJ45" s="556"/>
      <c r="AK45" s="556"/>
      <c r="AL45" s="556"/>
      <c r="AM45" s="556"/>
      <c r="AN45" s="556"/>
      <c r="AO45" s="556"/>
      <c r="AP45" s="556"/>
      <c r="AQ45" s="556"/>
      <c r="AR45" s="556"/>
    </row>
    <row r="46" spans="1:46">
      <c r="G46" s="556"/>
      <c r="H46" s="556"/>
      <c r="I46" s="556"/>
      <c r="J46" s="556"/>
      <c r="K46" s="556"/>
      <c r="L46" s="556"/>
      <c r="M46" s="556"/>
      <c r="N46" s="556"/>
      <c r="O46" s="556"/>
      <c r="P46" s="556"/>
      <c r="Q46" s="556"/>
      <c r="R46" s="556"/>
      <c r="S46" s="556"/>
      <c r="T46" s="556"/>
      <c r="U46" s="556"/>
      <c r="V46" s="556"/>
      <c r="W46" s="556"/>
      <c r="X46" s="556"/>
      <c r="Y46" s="556"/>
      <c r="Z46" s="556"/>
      <c r="AA46" s="556"/>
      <c r="AB46" s="556"/>
      <c r="AC46" s="556"/>
      <c r="AD46" s="556"/>
      <c r="AE46" s="556"/>
      <c r="AF46" s="556"/>
      <c r="AG46" s="556"/>
      <c r="AH46" s="556"/>
      <c r="AI46" s="556"/>
      <c r="AJ46" s="556"/>
      <c r="AK46" s="556"/>
      <c r="AL46" s="556"/>
      <c r="AM46" s="556"/>
      <c r="AN46" s="556"/>
      <c r="AO46" s="556"/>
      <c r="AP46" s="556"/>
      <c r="AQ46" s="556"/>
      <c r="AR46" s="556"/>
    </row>
  </sheetData>
  <sheetProtection algorithmName="SHA-512" hashValue="goyBMvBWhuVtEfArcU90R/rEYtCz9O7gOOZawQHUs8SbRQkuVzuemxh1zzpg4XHGltWmRmcm75jFL5PUQScPCw==" saltValue="MYsjEveqPu+b6x/Rvadzcw==" spinCount="100000" sheet="1" objects="1" scenarios="1" formatCells="0"/>
  <mergeCells count="26">
    <mergeCell ref="B31:C31"/>
    <mergeCell ref="B26:C26"/>
    <mergeCell ref="B27:C27"/>
    <mergeCell ref="B28:C28"/>
    <mergeCell ref="B29:C29"/>
    <mergeCell ref="B30:C30"/>
    <mergeCell ref="B21:C21"/>
    <mergeCell ref="B22:C22"/>
    <mergeCell ref="B23:C23"/>
    <mergeCell ref="B24:C24"/>
    <mergeCell ref="B25:C25"/>
    <mergeCell ref="A1:E1"/>
    <mergeCell ref="A2:E2"/>
    <mergeCell ref="A18:D18"/>
    <mergeCell ref="A6:D6"/>
    <mergeCell ref="A12:D12"/>
    <mergeCell ref="A13:D13"/>
    <mergeCell ref="A14:D14"/>
    <mergeCell ref="A15:D15"/>
    <mergeCell ref="A16:D16"/>
    <mergeCell ref="A7:D7"/>
    <mergeCell ref="A8:D8"/>
    <mergeCell ref="A9:D9"/>
    <mergeCell ref="A10:D10"/>
    <mergeCell ref="A17:D17"/>
    <mergeCell ref="A11:D11"/>
  </mergeCells>
  <conditionalFormatting sqref="F22:F31">
    <cfRule type="expression" dxfId="83" priority="1">
      <formula>SUM($F$22:$F$31)&gt;1</formula>
    </cfRule>
  </conditionalFormatting>
  <dataValidations count="3">
    <dataValidation type="list" allowBlank="1" showInputMessage="1" showErrorMessage="1" sqref="E7:E18">
      <formula1>TMDYesNo</formula1>
    </dataValidation>
    <dataValidation type="list" allowBlank="1" showInputMessage="1" showErrorMessage="1" sqref="D22:D31">
      <formula1>TMDInvoiceStatus</formula1>
    </dataValidation>
    <dataValidation type="date" errorStyle="warning" operator="greaterThanOrEqual" allowBlank="1" showInputMessage="1" showErrorMessage="1" errorTitle="Are you sure?" error="Either you have entered an invalid date format or you entered a date which is before project start !!_x000a_Please press Continue to go on!" sqref="A22:A31">
      <formula1>MDProjectStart</formula1>
    </dataValidation>
  </dataValidations>
  <pageMargins left="0.11811023622047245" right="0.11811023622047245" top="0.19685039370078741" bottom="0.19685039370078741" header="0.31496062992125984" footer="0.31496062992125984"/>
  <pageSetup paperSize="9" scale="60" fitToWidth="3" orientation="landscape" horizontalDpi="300" verticalDpi="300" r:id="rId1"/>
  <customProperties>
    <customPr name="Guid" r:id="rId2"/>
  </customProperties>
  <drawing r:id="rId3"/>
  <legacy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6"/>
    <pageSetUpPr fitToPage="1"/>
  </sheetPr>
  <dimension ref="A1:AA136"/>
  <sheetViews>
    <sheetView zoomScaleNormal="100" zoomScaleSheetLayoutView="40" workbookViewId="0">
      <pane xSplit="1" ySplit="6" topLeftCell="K10" activePane="bottomRight" state="frozen"/>
      <selection activeCell="J21" sqref="J21"/>
      <selection pane="topRight" activeCell="J21" sqref="J21"/>
      <selection pane="bottomLeft" activeCell="J21" sqref="J21"/>
      <selection pane="bottomRight" activeCell="AB11" sqref="AB11"/>
    </sheetView>
  </sheetViews>
  <sheetFormatPr defaultColWidth="11.44140625" defaultRowHeight="13.2"/>
  <cols>
    <col min="1" max="1" width="6.88671875" style="619" bestFit="1" customWidth="1"/>
    <col min="2" max="23" width="11.44140625" style="617" customWidth="1"/>
    <col min="24" max="25" width="11.44140625" style="617"/>
    <col min="26" max="26" width="11.44140625" style="617" hidden="1" customWidth="1"/>
    <col min="27" max="30" width="11.44140625" style="617"/>
    <col min="31" max="31" width="11.44140625" style="617" customWidth="1"/>
    <col min="32" max="249" width="11.44140625" style="617"/>
    <col min="250" max="250" width="6.88671875" style="617" customWidth="1"/>
    <col min="251" max="251" width="30.5546875" style="617" customWidth="1"/>
    <col min="252" max="252" width="42.88671875" style="617" customWidth="1"/>
    <col min="253" max="253" width="28.33203125" style="617" customWidth="1"/>
    <col min="254" max="255" width="15.5546875" style="617" customWidth="1"/>
    <col min="256" max="256" width="13.5546875" style="617" customWidth="1"/>
    <col min="257" max="257" width="28.44140625" style="617" customWidth="1"/>
    <col min="258" max="258" width="13.44140625" style="617" customWidth="1"/>
    <col min="259" max="259" width="19.88671875" style="617" customWidth="1"/>
    <col min="260" max="260" width="28.44140625" style="617" customWidth="1"/>
    <col min="261" max="261" width="13.5546875" style="617" customWidth="1"/>
    <col min="262" max="264" width="15.5546875" style="617" customWidth="1"/>
    <col min="265" max="505" width="11.44140625" style="617"/>
    <col min="506" max="506" width="6.88671875" style="617" customWidth="1"/>
    <col min="507" max="507" width="30.5546875" style="617" customWidth="1"/>
    <col min="508" max="508" width="42.88671875" style="617" customWidth="1"/>
    <col min="509" max="509" width="28.33203125" style="617" customWidth="1"/>
    <col min="510" max="511" width="15.5546875" style="617" customWidth="1"/>
    <col min="512" max="512" width="13.5546875" style="617" customWidth="1"/>
    <col min="513" max="513" width="28.44140625" style="617" customWidth="1"/>
    <col min="514" max="514" width="13.44140625" style="617" customWidth="1"/>
    <col min="515" max="515" width="19.88671875" style="617" customWidth="1"/>
    <col min="516" max="516" width="28.44140625" style="617" customWidth="1"/>
    <col min="517" max="517" width="13.5546875" style="617" customWidth="1"/>
    <col min="518" max="520" width="15.5546875" style="617" customWidth="1"/>
    <col min="521" max="761" width="11.44140625" style="617"/>
    <col min="762" max="762" width="6.88671875" style="617" customWidth="1"/>
    <col min="763" max="763" width="30.5546875" style="617" customWidth="1"/>
    <col min="764" max="764" width="42.88671875" style="617" customWidth="1"/>
    <col min="765" max="765" width="28.33203125" style="617" customWidth="1"/>
    <col min="766" max="767" width="15.5546875" style="617" customWidth="1"/>
    <col min="768" max="768" width="13.5546875" style="617" customWidth="1"/>
    <col min="769" max="769" width="28.44140625" style="617" customWidth="1"/>
    <col min="770" max="770" width="13.44140625" style="617" customWidth="1"/>
    <col min="771" max="771" width="19.88671875" style="617" customWidth="1"/>
    <col min="772" max="772" width="28.44140625" style="617" customWidth="1"/>
    <col min="773" max="773" width="13.5546875" style="617" customWidth="1"/>
    <col min="774" max="776" width="15.5546875" style="617" customWidth="1"/>
    <col min="777" max="1017" width="11.44140625" style="617"/>
    <col min="1018" max="1018" width="6.88671875" style="617" customWidth="1"/>
    <col min="1019" max="1019" width="30.5546875" style="617" customWidth="1"/>
    <col min="1020" max="1020" width="42.88671875" style="617" customWidth="1"/>
    <col min="1021" max="1021" width="28.33203125" style="617" customWidth="1"/>
    <col min="1022" max="1023" width="15.5546875" style="617" customWidth="1"/>
    <col min="1024" max="1024" width="13.5546875" style="617" customWidth="1"/>
    <col min="1025" max="1025" width="28.44140625" style="617" customWidth="1"/>
    <col min="1026" max="1026" width="13.44140625" style="617" customWidth="1"/>
    <col min="1027" max="1027" width="19.88671875" style="617" customWidth="1"/>
    <col min="1028" max="1028" width="28.44140625" style="617" customWidth="1"/>
    <col min="1029" max="1029" width="13.5546875" style="617" customWidth="1"/>
    <col min="1030" max="1032" width="15.5546875" style="617" customWidth="1"/>
    <col min="1033" max="1273" width="11.44140625" style="617"/>
    <col min="1274" max="1274" width="6.88671875" style="617" customWidth="1"/>
    <col min="1275" max="1275" width="30.5546875" style="617" customWidth="1"/>
    <col min="1276" max="1276" width="42.88671875" style="617" customWidth="1"/>
    <col min="1277" max="1277" width="28.33203125" style="617" customWidth="1"/>
    <col min="1278" max="1279" width="15.5546875" style="617" customWidth="1"/>
    <col min="1280" max="1280" width="13.5546875" style="617" customWidth="1"/>
    <col min="1281" max="1281" width="28.44140625" style="617" customWidth="1"/>
    <col min="1282" max="1282" width="13.44140625" style="617" customWidth="1"/>
    <col min="1283" max="1283" width="19.88671875" style="617" customWidth="1"/>
    <col min="1284" max="1284" width="28.44140625" style="617" customWidth="1"/>
    <col min="1285" max="1285" width="13.5546875" style="617" customWidth="1"/>
    <col min="1286" max="1288" width="15.5546875" style="617" customWidth="1"/>
    <col min="1289" max="1529" width="11.44140625" style="617"/>
    <col min="1530" max="1530" width="6.88671875" style="617" customWidth="1"/>
    <col min="1531" max="1531" width="30.5546875" style="617" customWidth="1"/>
    <col min="1532" max="1532" width="42.88671875" style="617" customWidth="1"/>
    <col min="1533" max="1533" width="28.33203125" style="617" customWidth="1"/>
    <col min="1534" max="1535" width="15.5546875" style="617" customWidth="1"/>
    <col min="1536" max="1536" width="13.5546875" style="617" customWidth="1"/>
    <col min="1537" max="1537" width="28.44140625" style="617" customWidth="1"/>
    <col min="1538" max="1538" width="13.44140625" style="617" customWidth="1"/>
    <col min="1539" max="1539" width="19.88671875" style="617" customWidth="1"/>
    <col min="1540" max="1540" width="28.44140625" style="617" customWidth="1"/>
    <col min="1541" max="1541" width="13.5546875" style="617" customWidth="1"/>
    <col min="1542" max="1544" width="15.5546875" style="617" customWidth="1"/>
    <col min="1545" max="1785" width="11.44140625" style="617"/>
    <col min="1786" max="1786" width="6.88671875" style="617" customWidth="1"/>
    <col min="1787" max="1787" width="30.5546875" style="617" customWidth="1"/>
    <col min="1788" max="1788" width="42.88671875" style="617" customWidth="1"/>
    <col min="1789" max="1789" width="28.33203125" style="617" customWidth="1"/>
    <col min="1790" max="1791" width="15.5546875" style="617" customWidth="1"/>
    <col min="1792" max="1792" width="13.5546875" style="617" customWidth="1"/>
    <col min="1793" max="1793" width="28.44140625" style="617" customWidth="1"/>
    <col min="1794" max="1794" width="13.44140625" style="617" customWidth="1"/>
    <col min="1795" max="1795" width="19.88671875" style="617" customWidth="1"/>
    <col min="1796" max="1796" width="28.44140625" style="617" customWidth="1"/>
    <col min="1797" max="1797" width="13.5546875" style="617" customWidth="1"/>
    <col min="1798" max="1800" width="15.5546875" style="617" customWidth="1"/>
    <col min="1801" max="2041" width="11.44140625" style="617"/>
    <col min="2042" max="2042" width="6.88671875" style="617" customWidth="1"/>
    <col min="2043" max="2043" width="30.5546875" style="617" customWidth="1"/>
    <col min="2044" max="2044" width="42.88671875" style="617" customWidth="1"/>
    <col min="2045" max="2045" width="28.33203125" style="617" customWidth="1"/>
    <col min="2046" max="2047" width="15.5546875" style="617" customWidth="1"/>
    <col min="2048" max="2048" width="13.5546875" style="617" customWidth="1"/>
    <col min="2049" max="2049" width="28.44140625" style="617" customWidth="1"/>
    <col min="2050" max="2050" width="13.44140625" style="617" customWidth="1"/>
    <col min="2051" max="2051" width="19.88671875" style="617" customWidth="1"/>
    <col min="2052" max="2052" width="28.44140625" style="617" customWidth="1"/>
    <col min="2053" max="2053" width="13.5546875" style="617" customWidth="1"/>
    <col min="2054" max="2056" width="15.5546875" style="617" customWidth="1"/>
    <col min="2057" max="2297" width="11.44140625" style="617"/>
    <col min="2298" max="2298" width="6.88671875" style="617" customWidth="1"/>
    <col min="2299" max="2299" width="30.5546875" style="617" customWidth="1"/>
    <col min="2300" max="2300" width="42.88671875" style="617" customWidth="1"/>
    <col min="2301" max="2301" width="28.33203125" style="617" customWidth="1"/>
    <col min="2302" max="2303" width="15.5546875" style="617" customWidth="1"/>
    <col min="2304" max="2304" width="13.5546875" style="617" customWidth="1"/>
    <col min="2305" max="2305" width="28.44140625" style="617" customWidth="1"/>
    <col min="2306" max="2306" width="13.44140625" style="617" customWidth="1"/>
    <col min="2307" max="2307" width="19.88671875" style="617" customWidth="1"/>
    <col min="2308" max="2308" width="28.44140625" style="617" customWidth="1"/>
    <col min="2309" max="2309" width="13.5546875" style="617" customWidth="1"/>
    <col min="2310" max="2312" width="15.5546875" style="617" customWidth="1"/>
    <col min="2313" max="2553" width="11.44140625" style="617"/>
    <col min="2554" max="2554" width="6.88671875" style="617" customWidth="1"/>
    <col min="2555" max="2555" width="30.5546875" style="617" customWidth="1"/>
    <col min="2556" max="2556" width="42.88671875" style="617" customWidth="1"/>
    <col min="2557" max="2557" width="28.33203125" style="617" customWidth="1"/>
    <col min="2558" max="2559" width="15.5546875" style="617" customWidth="1"/>
    <col min="2560" max="2560" width="13.5546875" style="617" customWidth="1"/>
    <col min="2561" max="2561" width="28.44140625" style="617" customWidth="1"/>
    <col min="2562" max="2562" width="13.44140625" style="617" customWidth="1"/>
    <col min="2563" max="2563" width="19.88671875" style="617" customWidth="1"/>
    <col min="2564" max="2564" width="28.44140625" style="617" customWidth="1"/>
    <col min="2565" max="2565" width="13.5546875" style="617" customWidth="1"/>
    <col min="2566" max="2568" width="15.5546875" style="617" customWidth="1"/>
    <col min="2569" max="2809" width="11.44140625" style="617"/>
    <col min="2810" max="2810" width="6.88671875" style="617" customWidth="1"/>
    <col min="2811" max="2811" width="30.5546875" style="617" customWidth="1"/>
    <col min="2812" max="2812" width="42.88671875" style="617" customWidth="1"/>
    <col min="2813" max="2813" width="28.33203125" style="617" customWidth="1"/>
    <col min="2814" max="2815" width="15.5546875" style="617" customWidth="1"/>
    <col min="2816" max="2816" width="13.5546875" style="617" customWidth="1"/>
    <col min="2817" max="2817" width="28.44140625" style="617" customWidth="1"/>
    <col min="2818" max="2818" width="13.44140625" style="617" customWidth="1"/>
    <col min="2819" max="2819" width="19.88671875" style="617" customWidth="1"/>
    <col min="2820" max="2820" width="28.44140625" style="617" customWidth="1"/>
    <col min="2821" max="2821" width="13.5546875" style="617" customWidth="1"/>
    <col min="2822" max="2824" width="15.5546875" style="617" customWidth="1"/>
    <col min="2825" max="3065" width="11.44140625" style="617"/>
    <col min="3066" max="3066" width="6.88671875" style="617" customWidth="1"/>
    <col min="3067" max="3067" width="30.5546875" style="617" customWidth="1"/>
    <col min="3068" max="3068" width="42.88671875" style="617" customWidth="1"/>
    <col min="3069" max="3069" width="28.33203125" style="617" customWidth="1"/>
    <col min="3070" max="3071" width="15.5546875" style="617" customWidth="1"/>
    <col min="3072" max="3072" width="13.5546875" style="617" customWidth="1"/>
    <col min="3073" max="3073" width="28.44140625" style="617" customWidth="1"/>
    <col min="3074" max="3074" width="13.44140625" style="617" customWidth="1"/>
    <col min="3075" max="3075" width="19.88671875" style="617" customWidth="1"/>
    <col min="3076" max="3076" width="28.44140625" style="617" customWidth="1"/>
    <col min="3077" max="3077" width="13.5546875" style="617" customWidth="1"/>
    <col min="3078" max="3080" width="15.5546875" style="617" customWidth="1"/>
    <col min="3081" max="3321" width="11.44140625" style="617"/>
    <col min="3322" max="3322" width="6.88671875" style="617" customWidth="1"/>
    <col min="3323" max="3323" width="30.5546875" style="617" customWidth="1"/>
    <col min="3324" max="3324" width="42.88671875" style="617" customWidth="1"/>
    <col min="3325" max="3325" width="28.33203125" style="617" customWidth="1"/>
    <col min="3326" max="3327" width="15.5546875" style="617" customWidth="1"/>
    <col min="3328" max="3328" width="13.5546875" style="617" customWidth="1"/>
    <col min="3329" max="3329" width="28.44140625" style="617" customWidth="1"/>
    <col min="3330" max="3330" width="13.44140625" style="617" customWidth="1"/>
    <col min="3331" max="3331" width="19.88671875" style="617" customWidth="1"/>
    <col min="3332" max="3332" width="28.44140625" style="617" customWidth="1"/>
    <col min="3333" max="3333" width="13.5546875" style="617" customWidth="1"/>
    <col min="3334" max="3336" width="15.5546875" style="617" customWidth="1"/>
    <col min="3337" max="3577" width="11.44140625" style="617"/>
    <col min="3578" max="3578" width="6.88671875" style="617" customWidth="1"/>
    <col min="3579" max="3579" width="30.5546875" style="617" customWidth="1"/>
    <col min="3580" max="3580" width="42.88671875" style="617" customWidth="1"/>
    <col min="3581" max="3581" width="28.33203125" style="617" customWidth="1"/>
    <col min="3582" max="3583" width="15.5546875" style="617" customWidth="1"/>
    <col min="3584" max="3584" width="13.5546875" style="617" customWidth="1"/>
    <col min="3585" max="3585" width="28.44140625" style="617" customWidth="1"/>
    <col min="3586" max="3586" width="13.44140625" style="617" customWidth="1"/>
    <col min="3587" max="3587" width="19.88671875" style="617" customWidth="1"/>
    <col min="3588" max="3588" width="28.44140625" style="617" customWidth="1"/>
    <col min="3589" max="3589" width="13.5546875" style="617" customWidth="1"/>
    <col min="3590" max="3592" width="15.5546875" style="617" customWidth="1"/>
    <col min="3593" max="3833" width="11.44140625" style="617"/>
    <col min="3834" max="3834" width="6.88671875" style="617" customWidth="1"/>
    <col min="3835" max="3835" width="30.5546875" style="617" customWidth="1"/>
    <col min="3836" max="3836" width="42.88671875" style="617" customWidth="1"/>
    <col min="3837" max="3837" width="28.33203125" style="617" customWidth="1"/>
    <col min="3838" max="3839" width="15.5546875" style="617" customWidth="1"/>
    <col min="3840" max="3840" width="13.5546875" style="617" customWidth="1"/>
    <col min="3841" max="3841" width="28.44140625" style="617" customWidth="1"/>
    <col min="3842" max="3842" width="13.44140625" style="617" customWidth="1"/>
    <col min="3843" max="3843" width="19.88671875" style="617" customWidth="1"/>
    <col min="3844" max="3844" width="28.44140625" style="617" customWidth="1"/>
    <col min="3845" max="3845" width="13.5546875" style="617" customWidth="1"/>
    <col min="3846" max="3848" width="15.5546875" style="617" customWidth="1"/>
    <col min="3849" max="4089" width="11.44140625" style="617"/>
    <col min="4090" max="4090" width="6.88671875" style="617" customWidth="1"/>
    <col min="4091" max="4091" width="30.5546875" style="617" customWidth="1"/>
    <col min="4092" max="4092" width="42.88671875" style="617" customWidth="1"/>
    <col min="4093" max="4093" width="28.33203125" style="617" customWidth="1"/>
    <col min="4094" max="4095" width="15.5546875" style="617" customWidth="1"/>
    <col min="4096" max="4096" width="13.5546875" style="617" customWidth="1"/>
    <col min="4097" max="4097" width="28.44140625" style="617" customWidth="1"/>
    <col min="4098" max="4098" width="13.44140625" style="617" customWidth="1"/>
    <col min="4099" max="4099" width="19.88671875" style="617" customWidth="1"/>
    <col min="4100" max="4100" width="28.44140625" style="617" customWidth="1"/>
    <col min="4101" max="4101" width="13.5546875" style="617" customWidth="1"/>
    <col min="4102" max="4104" width="15.5546875" style="617" customWidth="1"/>
    <col min="4105" max="4345" width="11.44140625" style="617"/>
    <col min="4346" max="4346" width="6.88671875" style="617" customWidth="1"/>
    <col min="4347" max="4347" width="30.5546875" style="617" customWidth="1"/>
    <col min="4348" max="4348" width="42.88671875" style="617" customWidth="1"/>
    <col min="4349" max="4349" width="28.33203125" style="617" customWidth="1"/>
    <col min="4350" max="4351" width="15.5546875" style="617" customWidth="1"/>
    <col min="4352" max="4352" width="13.5546875" style="617" customWidth="1"/>
    <col min="4353" max="4353" width="28.44140625" style="617" customWidth="1"/>
    <col min="4354" max="4354" width="13.44140625" style="617" customWidth="1"/>
    <col min="4355" max="4355" width="19.88671875" style="617" customWidth="1"/>
    <col min="4356" max="4356" width="28.44140625" style="617" customWidth="1"/>
    <col min="4357" max="4357" width="13.5546875" style="617" customWidth="1"/>
    <col min="4358" max="4360" width="15.5546875" style="617" customWidth="1"/>
    <col min="4361" max="4601" width="11.44140625" style="617"/>
    <col min="4602" max="4602" width="6.88671875" style="617" customWidth="1"/>
    <col min="4603" max="4603" width="30.5546875" style="617" customWidth="1"/>
    <col min="4604" max="4604" width="42.88671875" style="617" customWidth="1"/>
    <col min="4605" max="4605" width="28.33203125" style="617" customWidth="1"/>
    <col min="4606" max="4607" width="15.5546875" style="617" customWidth="1"/>
    <col min="4608" max="4608" width="13.5546875" style="617" customWidth="1"/>
    <col min="4609" max="4609" width="28.44140625" style="617" customWidth="1"/>
    <col min="4610" max="4610" width="13.44140625" style="617" customWidth="1"/>
    <col min="4611" max="4611" width="19.88671875" style="617" customWidth="1"/>
    <col min="4612" max="4612" width="28.44140625" style="617" customWidth="1"/>
    <col min="4613" max="4613" width="13.5546875" style="617" customWidth="1"/>
    <col min="4614" max="4616" width="15.5546875" style="617" customWidth="1"/>
    <col min="4617" max="4857" width="11.44140625" style="617"/>
    <col min="4858" max="4858" width="6.88671875" style="617" customWidth="1"/>
    <col min="4859" max="4859" width="30.5546875" style="617" customWidth="1"/>
    <col min="4860" max="4860" width="42.88671875" style="617" customWidth="1"/>
    <col min="4861" max="4861" width="28.33203125" style="617" customWidth="1"/>
    <col min="4862" max="4863" width="15.5546875" style="617" customWidth="1"/>
    <col min="4864" max="4864" width="13.5546875" style="617" customWidth="1"/>
    <col min="4865" max="4865" width="28.44140625" style="617" customWidth="1"/>
    <col min="4866" max="4866" width="13.44140625" style="617" customWidth="1"/>
    <col min="4867" max="4867" width="19.88671875" style="617" customWidth="1"/>
    <col min="4868" max="4868" width="28.44140625" style="617" customWidth="1"/>
    <col min="4869" max="4869" width="13.5546875" style="617" customWidth="1"/>
    <col min="4870" max="4872" width="15.5546875" style="617" customWidth="1"/>
    <col min="4873" max="5113" width="11.44140625" style="617"/>
    <col min="5114" max="5114" width="6.88671875" style="617" customWidth="1"/>
    <col min="5115" max="5115" width="30.5546875" style="617" customWidth="1"/>
    <col min="5116" max="5116" width="42.88671875" style="617" customWidth="1"/>
    <col min="5117" max="5117" width="28.33203125" style="617" customWidth="1"/>
    <col min="5118" max="5119" width="15.5546875" style="617" customWidth="1"/>
    <col min="5120" max="5120" width="13.5546875" style="617" customWidth="1"/>
    <col min="5121" max="5121" width="28.44140625" style="617" customWidth="1"/>
    <col min="5122" max="5122" width="13.44140625" style="617" customWidth="1"/>
    <col min="5123" max="5123" width="19.88671875" style="617" customWidth="1"/>
    <col min="5124" max="5124" width="28.44140625" style="617" customWidth="1"/>
    <col min="5125" max="5125" width="13.5546875" style="617" customWidth="1"/>
    <col min="5126" max="5128" width="15.5546875" style="617" customWidth="1"/>
    <col min="5129" max="5369" width="11.44140625" style="617"/>
    <col min="5370" max="5370" width="6.88671875" style="617" customWidth="1"/>
    <col min="5371" max="5371" width="30.5546875" style="617" customWidth="1"/>
    <col min="5372" max="5372" width="42.88671875" style="617" customWidth="1"/>
    <col min="5373" max="5373" width="28.33203125" style="617" customWidth="1"/>
    <col min="5374" max="5375" width="15.5546875" style="617" customWidth="1"/>
    <col min="5376" max="5376" width="13.5546875" style="617" customWidth="1"/>
    <col min="5377" max="5377" width="28.44140625" style="617" customWidth="1"/>
    <col min="5378" max="5378" width="13.44140625" style="617" customWidth="1"/>
    <col min="5379" max="5379" width="19.88671875" style="617" customWidth="1"/>
    <col min="5380" max="5380" width="28.44140625" style="617" customWidth="1"/>
    <col min="5381" max="5381" width="13.5546875" style="617" customWidth="1"/>
    <col min="5382" max="5384" width="15.5546875" style="617" customWidth="1"/>
    <col min="5385" max="5625" width="11.44140625" style="617"/>
    <col min="5626" max="5626" width="6.88671875" style="617" customWidth="1"/>
    <col min="5627" max="5627" width="30.5546875" style="617" customWidth="1"/>
    <col min="5628" max="5628" width="42.88671875" style="617" customWidth="1"/>
    <col min="5629" max="5629" width="28.33203125" style="617" customWidth="1"/>
    <col min="5630" max="5631" width="15.5546875" style="617" customWidth="1"/>
    <col min="5632" max="5632" width="13.5546875" style="617" customWidth="1"/>
    <col min="5633" max="5633" width="28.44140625" style="617" customWidth="1"/>
    <col min="5634" max="5634" width="13.44140625" style="617" customWidth="1"/>
    <col min="5635" max="5635" width="19.88671875" style="617" customWidth="1"/>
    <col min="5636" max="5636" width="28.44140625" style="617" customWidth="1"/>
    <col min="5637" max="5637" width="13.5546875" style="617" customWidth="1"/>
    <col min="5638" max="5640" width="15.5546875" style="617" customWidth="1"/>
    <col min="5641" max="5881" width="11.44140625" style="617"/>
    <col min="5882" max="5882" width="6.88671875" style="617" customWidth="1"/>
    <col min="5883" max="5883" width="30.5546875" style="617" customWidth="1"/>
    <col min="5884" max="5884" width="42.88671875" style="617" customWidth="1"/>
    <col min="5885" max="5885" width="28.33203125" style="617" customWidth="1"/>
    <col min="5886" max="5887" width="15.5546875" style="617" customWidth="1"/>
    <col min="5888" max="5888" width="13.5546875" style="617" customWidth="1"/>
    <col min="5889" max="5889" width="28.44140625" style="617" customWidth="1"/>
    <col min="5890" max="5890" width="13.44140625" style="617" customWidth="1"/>
    <col min="5891" max="5891" width="19.88671875" style="617" customWidth="1"/>
    <col min="5892" max="5892" width="28.44140625" style="617" customWidth="1"/>
    <col min="5893" max="5893" width="13.5546875" style="617" customWidth="1"/>
    <col min="5894" max="5896" width="15.5546875" style="617" customWidth="1"/>
    <col min="5897" max="6137" width="11.44140625" style="617"/>
    <col min="6138" max="6138" width="6.88671875" style="617" customWidth="1"/>
    <col min="6139" max="6139" width="30.5546875" style="617" customWidth="1"/>
    <col min="6140" max="6140" width="42.88671875" style="617" customWidth="1"/>
    <col min="6141" max="6141" width="28.33203125" style="617" customWidth="1"/>
    <col min="6142" max="6143" width="15.5546875" style="617" customWidth="1"/>
    <col min="6144" max="6144" width="13.5546875" style="617" customWidth="1"/>
    <col min="6145" max="6145" width="28.44140625" style="617" customWidth="1"/>
    <col min="6146" max="6146" width="13.44140625" style="617" customWidth="1"/>
    <col min="6147" max="6147" width="19.88671875" style="617" customWidth="1"/>
    <col min="6148" max="6148" width="28.44140625" style="617" customWidth="1"/>
    <col min="6149" max="6149" width="13.5546875" style="617" customWidth="1"/>
    <col min="6150" max="6152" width="15.5546875" style="617" customWidth="1"/>
    <col min="6153" max="6393" width="11.44140625" style="617"/>
    <col min="6394" max="6394" width="6.88671875" style="617" customWidth="1"/>
    <col min="6395" max="6395" width="30.5546875" style="617" customWidth="1"/>
    <col min="6396" max="6396" width="42.88671875" style="617" customWidth="1"/>
    <col min="6397" max="6397" width="28.33203125" style="617" customWidth="1"/>
    <col min="6398" max="6399" width="15.5546875" style="617" customWidth="1"/>
    <col min="6400" max="6400" width="13.5546875" style="617" customWidth="1"/>
    <col min="6401" max="6401" width="28.44140625" style="617" customWidth="1"/>
    <col min="6402" max="6402" width="13.44140625" style="617" customWidth="1"/>
    <col min="6403" max="6403" width="19.88671875" style="617" customWidth="1"/>
    <col min="6404" max="6404" width="28.44140625" style="617" customWidth="1"/>
    <col min="6405" max="6405" width="13.5546875" style="617" customWidth="1"/>
    <col min="6406" max="6408" width="15.5546875" style="617" customWidth="1"/>
    <col min="6409" max="6649" width="11.44140625" style="617"/>
    <col min="6650" max="6650" width="6.88671875" style="617" customWidth="1"/>
    <col min="6651" max="6651" width="30.5546875" style="617" customWidth="1"/>
    <col min="6652" max="6652" width="42.88671875" style="617" customWidth="1"/>
    <col min="6653" max="6653" width="28.33203125" style="617" customWidth="1"/>
    <col min="6654" max="6655" width="15.5546875" style="617" customWidth="1"/>
    <col min="6656" max="6656" width="13.5546875" style="617" customWidth="1"/>
    <col min="6657" max="6657" width="28.44140625" style="617" customWidth="1"/>
    <col min="6658" max="6658" width="13.44140625" style="617" customWidth="1"/>
    <col min="6659" max="6659" width="19.88671875" style="617" customWidth="1"/>
    <col min="6660" max="6660" width="28.44140625" style="617" customWidth="1"/>
    <col min="6661" max="6661" width="13.5546875" style="617" customWidth="1"/>
    <col min="6662" max="6664" width="15.5546875" style="617" customWidth="1"/>
    <col min="6665" max="6905" width="11.44140625" style="617"/>
    <col min="6906" max="6906" width="6.88671875" style="617" customWidth="1"/>
    <col min="6907" max="6907" width="30.5546875" style="617" customWidth="1"/>
    <col min="6908" max="6908" width="42.88671875" style="617" customWidth="1"/>
    <col min="6909" max="6909" width="28.33203125" style="617" customWidth="1"/>
    <col min="6910" max="6911" width="15.5546875" style="617" customWidth="1"/>
    <col min="6912" max="6912" width="13.5546875" style="617" customWidth="1"/>
    <col min="6913" max="6913" width="28.44140625" style="617" customWidth="1"/>
    <col min="6914" max="6914" width="13.44140625" style="617" customWidth="1"/>
    <col min="6915" max="6915" width="19.88671875" style="617" customWidth="1"/>
    <col min="6916" max="6916" width="28.44140625" style="617" customWidth="1"/>
    <col min="6917" max="6917" width="13.5546875" style="617" customWidth="1"/>
    <col min="6918" max="6920" width="15.5546875" style="617" customWidth="1"/>
    <col min="6921" max="7161" width="11.44140625" style="617"/>
    <col min="7162" max="7162" width="6.88671875" style="617" customWidth="1"/>
    <col min="7163" max="7163" width="30.5546875" style="617" customWidth="1"/>
    <col min="7164" max="7164" width="42.88671875" style="617" customWidth="1"/>
    <col min="7165" max="7165" width="28.33203125" style="617" customWidth="1"/>
    <col min="7166" max="7167" width="15.5546875" style="617" customWidth="1"/>
    <col min="7168" max="7168" width="13.5546875" style="617" customWidth="1"/>
    <col min="7169" max="7169" width="28.44140625" style="617" customWidth="1"/>
    <col min="7170" max="7170" width="13.44140625" style="617" customWidth="1"/>
    <col min="7171" max="7171" width="19.88671875" style="617" customWidth="1"/>
    <col min="7172" max="7172" width="28.44140625" style="617" customWidth="1"/>
    <col min="7173" max="7173" width="13.5546875" style="617" customWidth="1"/>
    <col min="7174" max="7176" width="15.5546875" style="617" customWidth="1"/>
    <col min="7177" max="7417" width="11.44140625" style="617"/>
    <col min="7418" max="7418" width="6.88671875" style="617" customWidth="1"/>
    <col min="7419" max="7419" width="30.5546875" style="617" customWidth="1"/>
    <col min="7420" max="7420" width="42.88671875" style="617" customWidth="1"/>
    <col min="7421" max="7421" width="28.33203125" style="617" customWidth="1"/>
    <col min="7422" max="7423" width="15.5546875" style="617" customWidth="1"/>
    <col min="7424" max="7424" width="13.5546875" style="617" customWidth="1"/>
    <col min="7425" max="7425" width="28.44140625" style="617" customWidth="1"/>
    <col min="7426" max="7426" width="13.44140625" style="617" customWidth="1"/>
    <col min="7427" max="7427" width="19.88671875" style="617" customWidth="1"/>
    <col min="7428" max="7428" width="28.44140625" style="617" customWidth="1"/>
    <col min="7429" max="7429" width="13.5546875" style="617" customWidth="1"/>
    <col min="7430" max="7432" width="15.5546875" style="617" customWidth="1"/>
    <col min="7433" max="7673" width="11.44140625" style="617"/>
    <col min="7674" max="7674" width="6.88671875" style="617" customWidth="1"/>
    <col min="7675" max="7675" width="30.5546875" style="617" customWidth="1"/>
    <col min="7676" max="7676" width="42.88671875" style="617" customWidth="1"/>
    <col min="7677" max="7677" width="28.33203125" style="617" customWidth="1"/>
    <col min="7678" max="7679" width="15.5546875" style="617" customWidth="1"/>
    <col min="7680" max="7680" width="13.5546875" style="617" customWidth="1"/>
    <col min="7681" max="7681" width="28.44140625" style="617" customWidth="1"/>
    <col min="7682" max="7682" width="13.44140625" style="617" customWidth="1"/>
    <col min="7683" max="7683" width="19.88671875" style="617" customWidth="1"/>
    <col min="7684" max="7684" width="28.44140625" style="617" customWidth="1"/>
    <col min="7685" max="7685" width="13.5546875" style="617" customWidth="1"/>
    <col min="7686" max="7688" width="15.5546875" style="617" customWidth="1"/>
    <col min="7689" max="7929" width="11.44140625" style="617"/>
    <col min="7930" max="7930" width="6.88671875" style="617" customWidth="1"/>
    <col min="7931" max="7931" width="30.5546875" style="617" customWidth="1"/>
    <col min="7932" max="7932" width="42.88671875" style="617" customWidth="1"/>
    <col min="7933" max="7933" width="28.33203125" style="617" customWidth="1"/>
    <col min="7934" max="7935" width="15.5546875" style="617" customWidth="1"/>
    <col min="7936" max="7936" width="13.5546875" style="617" customWidth="1"/>
    <col min="7937" max="7937" width="28.44140625" style="617" customWidth="1"/>
    <col min="7938" max="7938" width="13.44140625" style="617" customWidth="1"/>
    <col min="7939" max="7939" width="19.88671875" style="617" customWidth="1"/>
    <col min="7940" max="7940" width="28.44140625" style="617" customWidth="1"/>
    <col min="7941" max="7941" width="13.5546875" style="617" customWidth="1"/>
    <col min="7942" max="7944" width="15.5546875" style="617" customWidth="1"/>
    <col min="7945" max="8185" width="11.44140625" style="617"/>
    <col min="8186" max="8186" width="6.88671875" style="617" customWidth="1"/>
    <col min="8187" max="8187" width="30.5546875" style="617" customWidth="1"/>
    <col min="8188" max="8188" width="42.88671875" style="617" customWidth="1"/>
    <col min="8189" max="8189" width="28.33203125" style="617" customWidth="1"/>
    <col min="8190" max="8191" width="15.5546875" style="617" customWidth="1"/>
    <col min="8192" max="8192" width="13.5546875" style="617" customWidth="1"/>
    <col min="8193" max="8193" width="28.44140625" style="617" customWidth="1"/>
    <col min="8194" max="8194" width="13.44140625" style="617" customWidth="1"/>
    <col min="8195" max="8195" width="19.88671875" style="617" customWidth="1"/>
    <col min="8196" max="8196" width="28.44140625" style="617" customWidth="1"/>
    <col min="8197" max="8197" width="13.5546875" style="617" customWidth="1"/>
    <col min="8198" max="8200" width="15.5546875" style="617" customWidth="1"/>
    <col min="8201" max="8441" width="11.44140625" style="617"/>
    <col min="8442" max="8442" width="6.88671875" style="617" customWidth="1"/>
    <col min="8443" max="8443" width="30.5546875" style="617" customWidth="1"/>
    <col min="8444" max="8444" width="42.88671875" style="617" customWidth="1"/>
    <col min="8445" max="8445" width="28.33203125" style="617" customWidth="1"/>
    <col min="8446" max="8447" width="15.5546875" style="617" customWidth="1"/>
    <col min="8448" max="8448" width="13.5546875" style="617" customWidth="1"/>
    <col min="8449" max="8449" width="28.44140625" style="617" customWidth="1"/>
    <col min="8450" max="8450" width="13.44140625" style="617" customWidth="1"/>
    <col min="8451" max="8451" width="19.88671875" style="617" customWidth="1"/>
    <col min="8452" max="8452" width="28.44140625" style="617" customWidth="1"/>
    <col min="8453" max="8453" width="13.5546875" style="617" customWidth="1"/>
    <col min="8454" max="8456" width="15.5546875" style="617" customWidth="1"/>
    <col min="8457" max="8697" width="11.44140625" style="617"/>
    <col min="8698" max="8698" width="6.88671875" style="617" customWidth="1"/>
    <col min="8699" max="8699" width="30.5546875" style="617" customWidth="1"/>
    <col min="8700" max="8700" width="42.88671875" style="617" customWidth="1"/>
    <col min="8701" max="8701" width="28.33203125" style="617" customWidth="1"/>
    <col min="8702" max="8703" width="15.5546875" style="617" customWidth="1"/>
    <col min="8704" max="8704" width="13.5546875" style="617" customWidth="1"/>
    <col min="8705" max="8705" width="28.44140625" style="617" customWidth="1"/>
    <col min="8706" max="8706" width="13.44140625" style="617" customWidth="1"/>
    <col min="8707" max="8707" width="19.88671875" style="617" customWidth="1"/>
    <col min="8708" max="8708" width="28.44140625" style="617" customWidth="1"/>
    <col min="8709" max="8709" width="13.5546875" style="617" customWidth="1"/>
    <col min="8710" max="8712" width="15.5546875" style="617" customWidth="1"/>
    <col min="8713" max="8953" width="11.44140625" style="617"/>
    <col min="8954" max="8954" width="6.88671875" style="617" customWidth="1"/>
    <col min="8955" max="8955" width="30.5546875" style="617" customWidth="1"/>
    <col min="8956" max="8956" width="42.88671875" style="617" customWidth="1"/>
    <col min="8957" max="8957" width="28.33203125" style="617" customWidth="1"/>
    <col min="8958" max="8959" width="15.5546875" style="617" customWidth="1"/>
    <col min="8960" max="8960" width="13.5546875" style="617" customWidth="1"/>
    <col min="8961" max="8961" width="28.44140625" style="617" customWidth="1"/>
    <col min="8962" max="8962" width="13.44140625" style="617" customWidth="1"/>
    <col min="8963" max="8963" width="19.88671875" style="617" customWidth="1"/>
    <col min="8964" max="8964" width="28.44140625" style="617" customWidth="1"/>
    <col min="8965" max="8965" width="13.5546875" style="617" customWidth="1"/>
    <col min="8966" max="8968" width="15.5546875" style="617" customWidth="1"/>
    <col min="8969" max="9209" width="11.44140625" style="617"/>
    <col min="9210" max="9210" width="6.88671875" style="617" customWidth="1"/>
    <col min="9211" max="9211" width="30.5546875" style="617" customWidth="1"/>
    <col min="9212" max="9212" width="42.88671875" style="617" customWidth="1"/>
    <col min="9213" max="9213" width="28.33203125" style="617" customWidth="1"/>
    <col min="9214" max="9215" width="15.5546875" style="617" customWidth="1"/>
    <col min="9216" max="9216" width="13.5546875" style="617" customWidth="1"/>
    <col min="9217" max="9217" width="28.44140625" style="617" customWidth="1"/>
    <col min="9218" max="9218" width="13.44140625" style="617" customWidth="1"/>
    <col min="9219" max="9219" width="19.88671875" style="617" customWidth="1"/>
    <col min="9220" max="9220" width="28.44140625" style="617" customWidth="1"/>
    <col min="9221" max="9221" width="13.5546875" style="617" customWidth="1"/>
    <col min="9222" max="9224" width="15.5546875" style="617" customWidth="1"/>
    <col min="9225" max="9465" width="11.44140625" style="617"/>
    <col min="9466" max="9466" width="6.88671875" style="617" customWidth="1"/>
    <col min="9467" max="9467" width="30.5546875" style="617" customWidth="1"/>
    <col min="9468" max="9468" width="42.88671875" style="617" customWidth="1"/>
    <col min="9469" max="9469" width="28.33203125" style="617" customWidth="1"/>
    <col min="9470" max="9471" width="15.5546875" style="617" customWidth="1"/>
    <col min="9472" max="9472" width="13.5546875" style="617" customWidth="1"/>
    <col min="9473" max="9473" width="28.44140625" style="617" customWidth="1"/>
    <col min="9474" max="9474" width="13.44140625" style="617" customWidth="1"/>
    <col min="9475" max="9475" width="19.88671875" style="617" customWidth="1"/>
    <col min="9476" max="9476" width="28.44140625" style="617" customWidth="1"/>
    <col min="9477" max="9477" width="13.5546875" style="617" customWidth="1"/>
    <col min="9478" max="9480" width="15.5546875" style="617" customWidth="1"/>
    <col min="9481" max="9721" width="11.44140625" style="617"/>
    <col min="9722" max="9722" width="6.88671875" style="617" customWidth="1"/>
    <col min="9723" max="9723" width="30.5546875" style="617" customWidth="1"/>
    <col min="9724" max="9724" width="42.88671875" style="617" customWidth="1"/>
    <col min="9725" max="9725" width="28.33203125" style="617" customWidth="1"/>
    <col min="9726" max="9727" width="15.5546875" style="617" customWidth="1"/>
    <col min="9728" max="9728" width="13.5546875" style="617" customWidth="1"/>
    <col min="9729" max="9729" width="28.44140625" style="617" customWidth="1"/>
    <col min="9730" max="9730" width="13.44140625" style="617" customWidth="1"/>
    <col min="9731" max="9731" width="19.88671875" style="617" customWidth="1"/>
    <col min="9732" max="9732" width="28.44140625" style="617" customWidth="1"/>
    <col min="9733" max="9733" width="13.5546875" style="617" customWidth="1"/>
    <col min="9734" max="9736" width="15.5546875" style="617" customWidth="1"/>
    <col min="9737" max="9977" width="11.44140625" style="617"/>
    <col min="9978" max="9978" width="6.88671875" style="617" customWidth="1"/>
    <col min="9979" max="9979" width="30.5546875" style="617" customWidth="1"/>
    <col min="9980" max="9980" width="42.88671875" style="617" customWidth="1"/>
    <col min="9981" max="9981" width="28.33203125" style="617" customWidth="1"/>
    <col min="9982" max="9983" width="15.5546875" style="617" customWidth="1"/>
    <col min="9984" max="9984" width="13.5546875" style="617" customWidth="1"/>
    <col min="9985" max="9985" width="28.44140625" style="617" customWidth="1"/>
    <col min="9986" max="9986" width="13.44140625" style="617" customWidth="1"/>
    <col min="9987" max="9987" width="19.88671875" style="617" customWidth="1"/>
    <col min="9988" max="9988" width="28.44140625" style="617" customWidth="1"/>
    <col min="9989" max="9989" width="13.5546875" style="617" customWidth="1"/>
    <col min="9990" max="9992" width="15.5546875" style="617" customWidth="1"/>
    <col min="9993" max="10233" width="11.44140625" style="617"/>
    <col min="10234" max="10234" width="6.88671875" style="617" customWidth="1"/>
    <col min="10235" max="10235" width="30.5546875" style="617" customWidth="1"/>
    <col min="10236" max="10236" width="42.88671875" style="617" customWidth="1"/>
    <col min="10237" max="10237" width="28.33203125" style="617" customWidth="1"/>
    <col min="10238" max="10239" width="15.5546875" style="617" customWidth="1"/>
    <col min="10240" max="10240" width="13.5546875" style="617" customWidth="1"/>
    <col min="10241" max="10241" width="28.44140625" style="617" customWidth="1"/>
    <col min="10242" max="10242" width="13.44140625" style="617" customWidth="1"/>
    <col min="10243" max="10243" width="19.88671875" style="617" customWidth="1"/>
    <col min="10244" max="10244" width="28.44140625" style="617" customWidth="1"/>
    <col min="10245" max="10245" width="13.5546875" style="617" customWidth="1"/>
    <col min="10246" max="10248" width="15.5546875" style="617" customWidth="1"/>
    <col min="10249" max="10489" width="11.44140625" style="617"/>
    <col min="10490" max="10490" width="6.88671875" style="617" customWidth="1"/>
    <col min="10491" max="10491" width="30.5546875" style="617" customWidth="1"/>
    <col min="10492" max="10492" width="42.88671875" style="617" customWidth="1"/>
    <col min="10493" max="10493" width="28.33203125" style="617" customWidth="1"/>
    <col min="10494" max="10495" width="15.5546875" style="617" customWidth="1"/>
    <col min="10496" max="10496" width="13.5546875" style="617" customWidth="1"/>
    <col min="10497" max="10497" width="28.44140625" style="617" customWidth="1"/>
    <col min="10498" max="10498" width="13.44140625" style="617" customWidth="1"/>
    <col min="10499" max="10499" width="19.88671875" style="617" customWidth="1"/>
    <col min="10500" max="10500" width="28.44140625" style="617" customWidth="1"/>
    <col min="10501" max="10501" width="13.5546875" style="617" customWidth="1"/>
    <col min="10502" max="10504" width="15.5546875" style="617" customWidth="1"/>
    <col min="10505" max="10745" width="11.44140625" style="617"/>
    <col min="10746" max="10746" width="6.88671875" style="617" customWidth="1"/>
    <col min="10747" max="10747" width="30.5546875" style="617" customWidth="1"/>
    <col min="10748" max="10748" width="42.88671875" style="617" customWidth="1"/>
    <col min="10749" max="10749" width="28.33203125" style="617" customWidth="1"/>
    <col min="10750" max="10751" width="15.5546875" style="617" customWidth="1"/>
    <col min="10752" max="10752" width="13.5546875" style="617" customWidth="1"/>
    <col min="10753" max="10753" width="28.44140625" style="617" customWidth="1"/>
    <col min="10754" max="10754" width="13.44140625" style="617" customWidth="1"/>
    <col min="10755" max="10755" width="19.88671875" style="617" customWidth="1"/>
    <col min="10756" max="10756" width="28.44140625" style="617" customWidth="1"/>
    <col min="10757" max="10757" width="13.5546875" style="617" customWidth="1"/>
    <col min="10758" max="10760" width="15.5546875" style="617" customWidth="1"/>
    <col min="10761" max="11001" width="11.44140625" style="617"/>
    <col min="11002" max="11002" width="6.88671875" style="617" customWidth="1"/>
    <col min="11003" max="11003" width="30.5546875" style="617" customWidth="1"/>
    <col min="11004" max="11004" width="42.88671875" style="617" customWidth="1"/>
    <col min="11005" max="11005" width="28.33203125" style="617" customWidth="1"/>
    <col min="11006" max="11007" width="15.5546875" style="617" customWidth="1"/>
    <col min="11008" max="11008" width="13.5546875" style="617" customWidth="1"/>
    <col min="11009" max="11009" width="28.44140625" style="617" customWidth="1"/>
    <col min="11010" max="11010" width="13.44140625" style="617" customWidth="1"/>
    <col min="11011" max="11011" width="19.88671875" style="617" customWidth="1"/>
    <col min="11012" max="11012" width="28.44140625" style="617" customWidth="1"/>
    <col min="11013" max="11013" width="13.5546875" style="617" customWidth="1"/>
    <col min="11014" max="11016" width="15.5546875" style="617" customWidth="1"/>
    <col min="11017" max="11257" width="11.44140625" style="617"/>
    <col min="11258" max="11258" width="6.88671875" style="617" customWidth="1"/>
    <col min="11259" max="11259" width="30.5546875" style="617" customWidth="1"/>
    <col min="11260" max="11260" width="42.88671875" style="617" customWidth="1"/>
    <col min="11261" max="11261" width="28.33203125" style="617" customWidth="1"/>
    <col min="11262" max="11263" width="15.5546875" style="617" customWidth="1"/>
    <col min="11264" max="11264" width="13.5546875" style="617" customWidth="1"/>
    <col min="11265" max="11265" width="28.44140625" style="617" customWidth="1"/>
    <col min="11266" max="11266" width="13.44140625" style="617" customWidth="1"/>
    <col min="11267" max="11267" width="19.88671875" style="617" customWidth="1"/>
    <col min="11268" max="11268" width="28.44140625" style="617" customWidth="1"/>
    <col min="11269" max="11269" width="13.5546875" style="617" customWidth="1"/>
    <col min="11270" max="11272" width="15.5546875" style="617" customWidth="1"/>
    <col min="11273" max="11513" width="11.44140625" style="617"/>
    <col min="11514" max="11514" width="6.88671875" style="617" customWidth="1"/>
    <col min="11515" max="11515" width="30.5546875" style="617" customWidth="1"/>
    <col min="11516" max="11516" width="42.88671875" style="617" customWidth="1"/>
    <col min="11517" max="11517" width="28.33203125" style="617" customWidth="1"/>
    <col min="11518" max="11519" width="15.5546875" style="617" customWidth="1"/>
    <col min="11520" max="11520" width="13.5546875" style="617" customWidth="1"/>
    <col min="11521" max="11521" width="28.44140625" style="617" customWidth="1"/>
    <col min="11522" max="11522" width="13.44140625" style="617" customWidth="1"/>
    <col min="11523" max="11523" width="19.88671875" style="617" customWidth="1"/>
    <col min="11524" max="11524" width="28.44140625" style="617" customWidth="1"/>
    <col min="11525" max="11525" width="13.5546875" style="617" customWidth="1"/>
    <col min="11526" max="11528" width="15.5546875" style="617" customWidth="1"/>
    <col min="11529" max="11769" width="11.44140625" style="617"/>
    <col min="11770" max="11770" width="6.88671875" style="617" customWidth="1"/>
    <col min="11771" max="11771" width="30.5546875" style="617" customWidth="1"/>
    <col min="11772" max="11772" width="42.88671875" style="617" customWidth="1"/>
    <col min="11773" max="11773" width="28.33203125" style="617" customWidth="1"/>
    <col min="11774" max="11775" width="15.5546875" style="617" customWidth="1"/>
    <col min="11776" max="11776" width="13.5546875" style="617" customWidth="1"/>
    <col min="11777" max="11777" width="28.44140625" style="617" customWidth="1"/>
    <col min="11778" max="11778" width="13.44140625" style="617" customWidth="1"/>
    <col min="11779" max="11779" width="19.88671875" style="617" customWidth="1"/>
    <col min="11780" max="11780" width="28.44140625" style="617" customWidth="1"/>
    <col min="11781" max="11781" width="13.5546875" style="617" customWidth="1"/>
    <col min="11782" max="11784" width="15.5546875" style="617" customWidth="1"/>
    <col min="11785" max="12025" width="11.44140625" style="617"/>
    <col min="12026" max="12026" width="6.88671875" style="617" customWidth="1"/>
    <col min="12027" max="12027" width="30.5546875" style="617" customWidth="1"/>
    <col min="12028" max="12028" width="42.88671875" style="617" customWidth="1"/>
    <col min="12029" max="12029" width="28.33203125" style="617" customWidth="1"/>
    <col min="12030" max="12031" width="15.5546875" style="617" customWidth="1"/>
    <col min="12032" max="12032" width="13.5546875" style="617" customWidth="1"/>
    <col min="12033" max="12033" width="28.44140625" style="617" customWidth="1"/>
    <col min="12034" max="12034" width="13.44140625" style="617" customWidth="1"/>
    <col min="12035" max="12035" width="19.88671875" style="617" customWidth="1"/>
    <col min="12036" max="12036" width="28.44140625" style="617" customWidth="1"/>
    <col min="12037" max="12037" width="13.5546875" style="617" customWidth="1"/>
    <col min="12038" max="12040" width="15.5546875" style="617" customWidth="1"/>
    <col min="12041" max="12281" width="11.44140625" style="617"/>
    <col min="12282" max="12282" width="6.88671875" style="617" customWidth="1"/>
    <col min="12283" max="12283" width="30.5546875" style="617" customWidth="1"/>
    <col min="12284" max="12284" width="42.88671875" style="617" customWidth="1"/>
    <col min="12285" max="12285" width="28.33203125" style="617" customWidth="1"/>
    <col min="12286" max="12287" width="15.5546875" style="617" customWidth="1"/>
    <col min="12288" max="12288" width="13.5546875" style="617" customWidth="1"/>
    <col min="12289" max="12289" width="28.44140625" style="617" customWidth="1"/>
    <col min="12290" max="12290" width="13.44140625" style="617" customWidth="1"/>
    <col min="12291" max="12291" width="19.88671875" style="617" customWidth="1"/>
    <col min="12292" max="12292" width="28.44140625" style="617" customWidth="1"/>
    <col min="12293" max="12293" width="13.5546875" style="617" customWidth="1"/>
    <col min="12294" max="12296" width="15.5546875" style="617" customWidth="1"/>
    <col min="12297" max="12537" width="11.44140625" style="617"/>
    <col min="12538" max="12538" width="6.88671875" style="617" customWidth="1"/>
    <col min="12539" max="12539" width="30.5546875" style="617" customWidth="1"/>
    <col min="12540" max="12540" width="42.88671875" style="617" customWidth="1"/>
    <col min="12541" max="12541" width="28.33203125" style="617" customWidth="1"/>
    <col min="12542" max="12543" width="15.5546875" style="617" customWidth="1"/>
    <col min="12544" max="12544" width="13.5546875" style="617" customWidth="1"/>
    <col min="12545" max="12545" width="28.44140625" style="617" customWidth="1"/>
    <col min="12546" max="12546" width="13.44140625" style="617" customWidth="1"/>
    <col min="12547" max="12547" width="19.88671875" style="617" customWidth="1"/>
    <col min="12548" max="12548" width="28.44140625" style="617" customWidth="1"/>
    <col min="12549" max="12549" width="13.5546875" style="617" customWidth="1"/>
    <col min="12550" max="12552" width="15.5546875" style="617" customWidth="1"/>
    <col min="12553" max="12793" width="11.44140625" style="617"/>
    <col min="12794" max="12794" width="6.88671875" style="617" customWidth="1"/>
    <col min="12795" max="12795" width="30.5546875" style="617" customWidth="1"/>
    <col min="12796" max="12796" width="42.88671875" style="617" customWidth="1"/>
    <col min="12797" max="12797" width="28.33203125" style="617" customWidth="1"/>
    <col min="12798" max="12799" width="15.5546875" style="617" customWidth="1"/>
    <col min="12800" max="12800" width="13.5546875" style="617" customWidth="1"/>
    <col min="12801" max="12801" width="28.44140625" style="617" customWidth="1"/>
    <col min="12802" max="12802" width="13.44140625" style="617" customWidth="1"/>
    <col min="12803" max="12803" width="19.88671875" style="617" customWidth="1"/>
    <col min="12804" max="12804" width="28.44140625" style="617" customWidth="1"/>
    <col min="12805" max="12805" width="13.5546875" style="617" customWidth="1"/>
    <col min="12806" max="12808" width="15.5546875" style="617" customWidth="1"/>
    <col min="12809" max="13049" width="11.44140625" style="617"/>
    <col min="13050" max="13050" width="6.88671875" style="617" customWidth="1"/>
    <col min="13051" max="13051" width="30.5546875" style="617" customWidth="1"/>
    <col min="13052" max="13052" width="42.88671875" style="617" customWidth="1"/>
    <col min="13053" max="13053" width="28.33203125" style="617" customWidth="1"/>
    <col min="13054" max="13055" width="15.5546875" style="617" customWidth="1"/>
    <col min="13056" max="13056" width="13.5546875" style="617" customWidth="1"/>
    <col min="13057" max="13057" width="28.44140625" style="617" customWidth="1"/>
    <col min="13058" max="13058" width="13.44140625" style="617" customWidth="1"/>
    <col min="13059" max="13059" width="19.88671875" style="617" customWidth="1"/>
    <col min="13060" max="13060" width="28.44140625" style="617" customWidth="1"/>
    <col min="13061" max="13061" width="13.5546875" style="617" customWidth="1"/>
    <col min="13062" max="13064" width="15.5546875" style="617" customWidth="1"/>
    <col min="13065" max="13305" width="11.44140625" style="617"/>
    <col min="13306" max="13306" width="6.88671875" style="617" customWidth="1"/>
    <col min="13307" max="13307" width="30.5546875" style="617" customWidth="1"/>
    <col min="13308" max="13308" width="42.88671875" style="617" customWidth="1"/>
    <col min="13309" max="13309" width="28.33203125" style="617" customWidth="1"/>
    <col min="13310" max="13311" width="15.5546875" style="617" customWidth="1"/>
    <col min="13312" max="13312" width="13.5546875" style="617" customWidth="1"/>
    <col min="13313" max="13313" width="28.44140625" style="617" customWidth="1"/>
    <col min="13314" max="13314" width="13.44140625" style="617" customWidth="1"/>
    <col min="13315" max="13315" width="19.88671875" style="617" customWidth="1"/>
    <col min="13316" max="13316" width="28.44140625" style="617" customWidth="1"/>
    <col min="13317" max="13317" width="13.5546875" style="617" customWidth="1"/>
    <col min="13318" max="13320" width="15.5546875" style="617" customWidth="1"/>
    <col min="13321" max="13561" width="11.44140625" style="617"/>
    <col min="13562" max="13562" width="6.88671875" style="617" customWidth="1"/>
    <col min="13563" max="13563" width="30.5546875" style="617" customWidth="1"/>
    <col min="13564" max="13564" width="42.88671875" style="617" customWidth="1"/>
    <col min="13565" max="13565" width="28.33203125" style="617" customWidth="1"/>
    <col min="13566" max="13567" width="15.5546875" style="617" customWidth="1"/>
    <col min="13568" max="13568" width="13.5546875" style="617" customWidth="1"/>
    <col min="13569" max="13569" width="28.44140625" style="617" customWidth="1"/>
    <col min="13570" max="13570" width="13.44140625" style="617" customWidth="1"/>
    <col min="13571" max="13571" width="19.88671875" style="617" customWidth="1"/>
    <col min="13572" max="13572" width="28.44140625" style="617" customWidth="1"/>
    <col min="13573" max="13573" width="13.5546875" style="617" customWidth="1"/>
    <col min="13574" max="13576" width="15.5546875" style="617" customWidth="1"/>
    <col min="13577" max="13817" width="11.44140625" style="617"/>
    <col min="13818" max="13818" width="6.88671875" style="617" customWidth="1"/>
    <col min="13819" max="13819" width="30.5546875" style="617" customWidth="1"/>
    <col min="13820" max="13820" width="42.88671875" style="617" customWidth="1"/>
    <col min="13821" max="13821" width="28.33203125" style="617" customWidth="1"/>
    <col min="13822" max="13823" width="15.5546875" style="617" customWidth="1"/>
    <col min="13824" max="13824" width="13.5546875" style="617" customWidth="1"/>
    <col min="13825" max="13825" width="28.44140625" style="617" customWidth="1"/>
    <col min="13826" max="13826" width="13.44140625" style="617" customWidth="1"/>
    <col min="13827" max="13827" width="19.88671875" style="617" customWidth="1"/>
    <col min="13828" max="13828" width="28.44140625" style="617" customWidth="1"/>
    <col min="13829" max="13829" width="13.5546875" style="617" customWidth="1"/>
    <col min="13830" max="13832" width="15.5546875" style="617" customWidth="1"/>
    <col min="13833" max="14073" width="11.44140625" style="617"/>
    <col min="14074" max="14074" width="6.88671875" style="617" customWidth="1"/>
    <col min="14075" max="14075" width="30.5546875" style="617" customWidth="1"/>
    <col min="14076" max="14076" width="42.88671875" style="617" customWidth="1"/>
    <col min="14077" max="14077" width="28.33203125" style="617" customWidth="1"/>
    <col min="14078" max="14079" width="15.5546875" style="617" customWidth="1"/>
    <col min="14080" max="14080" width="13.5546875" style="617" customWidth="1"/>
    <col min="14081" max="14081" width="28.44140625" style="617" customWidth="1"/>
    <col min="14082" max="14082" width="13.44140625" style="617" customWidth="1"/>
    <col min="14083" max="14083" width="19.88671875" style="617" customWidth="1"/>
    <col min="14084" max="14084" width="28.44140625" style="617" customWidth="1"/>
    <col min="14085" max="14085" width="13.5546875" style="617" customWidth="1"/>
    <col min="14086" max="14088" width="15.5546875" style="617" customWidth="1"/>
    <col min="14089" max="14329" width="11.44140625" style="617"/>
    <col min="14330" max="14330" width="6.88671875" style="617" customWidth="1"/>
    <col min="14331" max="14331" width="30.5546875" style="617" customWidth="1"/>
    <col min="14332" max="14332" width="42.88671875" style="617" customWidth="1"/>
    <col min="14333" max="14333" width="28.33203125" style="617" customWidth="1"/>
    <col min="14334" max="14335" width="15.5546875" style="617" customWidth="1"/>
    <col min="14336" max="14336" width="13.5546875" style="617" customWidth="1"/>
    <col min="14337" max="14337" width="28.44140625" style="617" customWidth="1"/>
    <col min="14338" max="14338" width="13.44140625" style="617" customWidth="1"/>
    <col min="14339" max="14339" width="19.88671875" style="617" customWidth="1"/>
    <col min="14340" max="14340" width="28.44140625" style="617" customWidth="1"/>
    <col min="14341" max="14341" width="13.5546875" style="617" customWidth="1"/>
    <col min="14342" max="14344" width="15.5546875" style="617" customWidth="1"/>
    <col min="14345" max="14585" width="11.44140625" style="617"/>
    <col min="14586" max="14586" width="6.88671875" style="617" customWidth="1"/>
    <col min="14587" max="14587" width="30.5546875" style="617" customWidth="1"/>
    <col min="14588" max="14588" width="42.88671875" style="617" customWidth="1"/>
    <col min="14589" max="14589" width="28.33203125" style="617" customWidth="1"/>
    <col min="14590" max="14591" width="15.5546875" style="617" customWidth="1"/>
    <col min="14592" max="14592" width="13.5546875" style="617" customWidth="1"/>
    <col min="14593" max="14593" width="28.44140625" style="617" customWidth="1"/>
    <col min="14594" max="14594" width="13.44140625" style="617" customWidth="1"/>
    <col min="14595" max="14595" width="19.88671875" style="617" customWidth="1"/>
    <col min="14596" max="14596" width="28.44140625" style="617" customWidth="1"/>
    <col min="14597" max="14597" width="13.5546875" style="617" customWidth="1"/>
    <col min="14598" max="14600" width="15.5546875" style="617" customWidth="1"/>
    <col min="14601" max="14841" width="11.44140625" style="617"/>
    <col min="14842" max="14842" width="6.88671875" style="617" customWidth="1"/>
    <col min="14843" max="14843" width="30.5546875" style="617" customWidth="1"/>
    <col min="14844" max="14844" width="42.88671875" style="617" customWidth="1"/>
    <col min="14845" max="14845" width="28.33203125" style="617" customWidth="1"/>
    <col min="14846" max="14847" width="15.5546875" style="617" customWidth="1"/>
    <col min="14848" max="14848" width="13.5546875" style="617" customWidth="1"/>
    <col min="14849" max="14849" width="28.44140625" style="617" customWidth="1"/>
    <col min="14850" max="14850" width="13.44140625" style="617" customWidth="1"/>
    <col min="14851" max="14851" width="19.88671875" style="617" customWidth="1"/>
    <col min="14852" max="14852" width="28.44140625" style="617" customWidth="1"/>
    <col min="14853" max="14853" width="13.5546875" style="617" customWidth="1"/>
    <col min="14854" max="14856" width="15.5546875" style="617" customWidth="1"/>
    <col min="14857" max="15097" width="11.44140625" style="617"/>
    <col min="15098" max="15098" width="6.88671875" style="617" customWidth="1"/>
    <col min="15099" max="15099" width="30.5546875" style="617" customWidth="1"/>
    <col min="15100" max="15100" width="42.88671875" style="617" customWidth="1"/>
    <col min="15101" max="15101" width="28.33203125" style="617" customWidth="1"/>
    <col min="15102" max="15103" width="15.5546875" style="617" customWidth="1"/>
    <col min="15104" max="15104" width="13.5546875" style="617" customWidth="1"/>
    <col min="15105" max="15105" width="28.44140625" style="617" customWidth="1"/>
    <col min="15106" max="15106" width="13.44140625" style="617" customWidth="1"/>
    <col min="15107" max="15107" width="19.88671875" style="617" customWidth="1"/>
    <col min="15108" max="15108" width="28.44140625" style="617" customWidth="1"/>
    <col min="15109" max="15109" width="13.5546875" style="617" customWidth="1"/>
    <col min="15110" max="15112" width="15.5546875" style="617" customWidth="1"/>
    <col min="15113" max="15353" width="11.44140625" style="617"/>
    <col min="15354" max="15354" width="6.88671875" style="617" customWidth="1"/>
    <col min="15355" max="15355" width="30.5546875" style="617" customWidth="1"/>
    <col min="15356" max="15356" width="42.88671875" style="617" customWidth="1"/>
    <col min="15357" max="15357" width="28.33203125" style="617" customWidth="1"/>
    <col min="15358" max="15359" width="15.5546875" style="617" customWidth="1"/>
    <col min="15360" max="15360" width="13.5546875" style="617" customWidth="1"/>
    <col min="15361" max="15361" width="28.44140625" style="617" customWidth="1"/>
    <col min="15362" max="15362" width="13.44140625" style="617" customWidth="1"/>
    <col min="15363" max="15363" width="19.88671875" style="617" customWidth="1"/>
    <col min="15364" max="15364" width="28.44140625" style="617" customWidth="1"/>
    <col min="15365" max="15365" width="13.5546875" style="617" customWidth="1"/>
    <col min="15366" max="15368" width="15.5546875" style="617" customWidth="1"/>
    <col min="15369" max="15609" width="11.44140625" style="617"/>
    <col min="15610" max="15610" width="6.88671875" style="617" customWidth="1"/>
    <col min="15611" max="15611" width="30.5546875" style="617" customWidth="1"/>
    <col min="15612" max="15612" width="42.88671875" style="617" customWidth="1"/>
    <col min="15613" max="15613" width="28.33203125" style="617" customWidth="1"/>
    <col min="15614" max="15615" width="15.5546875" style="617" customWidth="1"/>
    <col min="15616" max="15616" width="13.5546875" style="617" customWidth="1"/>
    <col min="15617" max="15617" width="28.44140625" style="617" customWidth="1"/>
    <col min="15618" max="15618" width="13.44140625" style="617" customWidth="1"/>
    <col min="15619" max="15619" width="19.88671875" style="617" customWidth="1"/>
    <col min="15620" max="15620" width="28.44140625" style="617" customWidth="1"/>
    <col min="15621" max="15621" width="13.5546875" style="617" customWidth="1"/>
    <col min="15622" max="15624" width="15.5546875" style="617" customWidth="1"/>
    <col min="15625" max="15865" width="11.44140625" style="617"/>
    <col min="15866" max="15866" width="6.88671875" style="617" customWidth="1"/>
    <col min="15867" max="15867" width="30.5546875" style="617" customWidth="1"/>
    <col min="15868" max="15868" width="42.88671875" style="617" customWidth="1"/>
    <col min="15869" max="15869" width="28.33203125" style="617" customWidth="1"/>
    <col min="15870" max="15871" width="15.5546875" style="617" customWidth="1"/>
    <col min="15872" max="15872" width="13.5546875" style="617" customWidth="1"/>
    <col min="15873" max="15873" width="28.44140625" style="617" customWidth="1"/>
    <col min="15874" max="15874" width="13.44140625" style="617" customWidth="1"/>
    <col min="15875" max="15875" width="19.88671875" style="617" customWidth="1"/>
    <col min="15876" max="15876" width="28.44140625" style="617" customWidth="1"/>
    <col min="15877" max="15877" width="13.5546875" style="617" customWidth="1"/>
    <col min="15878" max="15880" width="15.5546875" style="617" customWidth="1"/>
    <col min="15881" max="16121" width="11.44140625" style="617"/>
    <col min="16122" max="16122" width="6.88671875" style="617" customWidth="1"/>
    <col min="16123" max="16123" width="30.5546875" style="617" customWidth="1"/>
    <col min="16124" max="16124" width="42.88671875" style="617" customWidth="1"/>
    <col min="16125" max="16125" width="28.33203125" style="617" customWidth="1"/>
    <col min="16126" max="16127" width="15.5546875" style="617" customWidth="1"/>
    <col min="16128" max="16128" width="13.5546875" style="617" customWidth="1"/>
    <col min="16129" max="16129" width="28.44140625" style="617" customWidth="1"/>
    <col min="16130" max="16130" width="13.44140625" style="617" customWidth="1"/>
    <col min="16131" max="16131" width="19.88671875" style="617" customWidth="1"/>
    <col min="16132" max="16132" width="28.44140625" style="617" customWidth="1"/>
    <col min="16133" max="16133" width="13.5546875" style="617" customWidth="1"/>
    <col min="16134" max="16136" width="15.5546875" style="617" customWidth="1"/>
    <col min="16137" max="16384" width="11.44140625" style="617"/>
  </cols>
  <sheetData>
    <row r="1" spans="1:27"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7"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610"/>
    </row>
    <row r="3" spans="1:27" s="153" customFormat="1" ht="26.25" customHeight="1">
      <c r="A3" s="126"/>
      <c r="B3" s="126"/>
      <c r="C3" s="126"/>
      <c r="D3" s="126"/>
      <c r="E3" s="126"/>
      <c r="F3" s="126"/>
      <c r="H3" s="154" t="s">
        <v>1510</v>
      </c>
      <c r="I3" s="126"/>
      <c r="J3" s="126"/>
      <c r="K3" s="126"/>
      <c r="L3" s="126"/>
      <c r="M3" s="126"/>
      <c r="N3" s="126"/>
      <c r="O3" s="126"/>
      <c r="P3" s="126"/>
      <c r="Q3" s="126"/>
      <c r="R3" s="126"/>
      <c r="S3" s="126"/>
      <c r="T3" s="126"/>
    </row>
    <row r="4" spans="1:27" s="153" customFormat="1" ht="15" customHeight="1">
      <c r="S4" s="126"/>
      <c r="T4" s="126"/>
    </row>
    <row r="5" spans="1:27" s="153" customFormat="1" ht="15" customHeight="1">
      <c r="A5" s="611" t="s">
        <v>774</v>
      </c>
      <c r="B5" s="612"/>
      <c r="C5" s="612"/>
      <c r="D5" s="612"/>
      <c r="E5" s="612"/>
      <c r="F5" s="612"/>
      <c r="G5" s="612"/>
      <c r="H5" s="612"/>
      <c r="I5" s="612"/>
      <c r="J5" s="612"/>
      <c r="K5" s="612"/>
      <c r="L5" s="612"/>
      <c r="M5" s="612"/>
      <c r="N5" s="612"/>
      <c r="O5" s="612"/>
      <c r="P5" s="613"/>
      <c r="Q5" s="614">
        <f>SUM(Q7:Q46)</f>
        <v>0</v>
      </c>
      <c r="R5" s="614">
        <f>SUM(R7:R46)</f>
        <v>0</v>
      </c>
      <c r="S5" s="126"/>
      <c r="T5" s="126"/>
    </row>
    <row r="6" spans="1:27" ht="75" customHeight="1">
      <c r="A6" s="454" t="s">
        <v>201</v>
      </c>
      <c r="B6" s="1215" t="s">
        <v>5</v>
      </c>
      <c r="C6" s="1216"/>
      <c r="D6" s="615" t="s">
        <v>1511</v>
      </c>
      <c r="E6" s="1215" t="s">
        <v>202</v>
      </c>
      <c r="F6" s="1216"/>
      <c r="G6" s="1216"/>
      <c r="H6" s="1215" t="s">
        <v>307</v>
      </c>
      <c r="I6" s="1216"/>
      <c r="J6" s="1216"/>
      <c r="K6" s="615" t="s">
        <v>30</v>
      </c>
      <c r="L6" s="1215" t="s">
        <v>308</v>
      </c>
      <c r="M6" s="1216"/>
      <c r="N6" s="1216"/>
      <c r="O6" s="615" t="s">
        <v>60</v>
      </c>
      <c r="P6" s="454" t="s">
        <v>304</v>
      </c>
      <c r="Q6" s="454" t="s">
        <v>1512</v>
      </c>
      <c r="R6" s="454" t="s">
        <v>965</v>
      </c>
      <c r="S6" s="453" t="s">
        <v>303</v>
      </c>
      <c r="T6" s="615" t="s">
        <v>966</v>
      </c>
      <c r="U6" s="1215" t="s">
        <v>309</v>
      </c>
      <c r="V6" s="1216"/>
      <c r="W6" s="1216"/>
      <c r="X6" s="615" t="s">
        <v>306</v>
      </c>
      <c r="Y6" s="615" t="s">
        <v>991</v>
      </c>
      <c r="Z6" s="453" t="s">
        <v>971</v>
      </c>
      <c r="AA6" s="616"/>
    </row>
    <row r="7" spans="1:27" ht="115.5" customHeight="1">
      <c r="A7" s="618">
        <v>1</v>
      </c>
      <c r="B7" s="1217" t="s">
        <v>1562</v>
      </c>
      <c r="C7" s="1217"/>
      <c r="D7" s="606" t="s">
        <v>157</v>
      </c>
      <c r="E7" s="1218" t="s">
        <v>1563</v>
      </c>
      <c r="F7" s="1218"/>
      <c r="G7" s="1218"/>
      <c r="H7" s="1219" t="s">
        <v>1564</v>
      </c>
      <c r="I7" s="1219"/>
      <c r="J7" s="1219"/>
      <c r="K7" s="607" t="s">
        <v>41</v>
      </c>
      <c r="L7" s="1220" t="s">
        <v>1565</v>
      </c>
      <c r="M7" s="1220"/>
      <c r="N7" s="1220"/>
      <c r="O7" s="608" t="s">
        <v>41</v>
      </c>
      <c r="P7" s="627">
        <f t="shared" ref="P7:P43" si="0">IF(AND(K7&lt;&gt;"", O7&lt;&gt;""),INDEX(RRMatrix,VLOOKUP(K7,RRProbabilityColumn,2,FALSE),HLOOKUP(O7,RRImpactRow,2,FALSE)),0)</f>
        <v>0.5625</v>
      </c>
      <c r="Q7" s="596"/>
      <c r="R7" s="597">
        <f t="shared" ref="R7:R46" si="1">IF(X7=TMDRiskStatusSolved,0,P7*Q7)</f>
        <v>0</v>
      </c>
      <c r="S7" s="628"/>
      <c r="T7" s="629"/>
      <c r="U7" s="1221"/>
      <c r="V7" s="1221"/>
      <c r="W7" s="1221"/>
      <c r="X7" s="630"/>
      <c r="Y7" s="629"/>
      <c r="Z7" s="599">
        <f t="shared" ref="Z7:Z46" si="2">IF(OR(ISBLANK(Y7),Y7="no",X7=TMDRiskStatusSolved),0,Q7)</f>
        <v>0</v>
      </c>
      <c r="AA7" s="616"/>
    </row>
    <row r="8" spans="1:27" ht="115.5" customHeight="1">
      <c r="A8" s="618">
        <f t="shared" ref="A8:A46" si="3">A7+1</f>
        <v>2</v>
      </c>
      <c r="B8" s="1217" t="s">
        <v>1566</v>
      </c>
      <c r="C8" s="1217"/>
      <c r="D8" s="606" t="s">
        <v>160</v>
      </c>
      <c r="E8" s="1218" t="s">
        <v>1567</v>
      </c>
      <c r="F8" s="1218"/>
      <c r="G8" s="1218"/>
      <c r="H8" s="1219" t="s">
        <v>1568</v>
      </c>
      <c r="I8" s="1219"/>
      <c r="J8" s="1219"/>
      <c r="K8" s="607" t="s">
        <v>41</v>
      </c>
      <c r="L8" s="1220" t="s">
        <v>1569</v>
      </c>
      <c r="M8" s="1220"/>
      <c r="N8" s="1220"/>
      <c r="O8" s="608" t="s">
        <v>41</v>
      </c>
      <c r="P8" s="627">
        <f t="shared" si="0"/>
        <v>0.5625</v>
      </c>
      <c r="Q8" s="596"/>
      <c r="R8" s="597">
        <f t="shared" si="1"/>
        <v>0</v>
      </c>
      <c r="S8" s="628"/>
      <c r="T8" s="629"/>
      <c r="U8" s="1221"/>
      <c r="V8" s="1221"/>
      <c r="W8" s="1221"/>
      <c r="X8" s="630"/>
      <c r="Y8" s="629"/>
      <c r="Z8" s="599">
        <f t="shared" si="2"/>
        <v>0</v>
      </c>
      <c r="AA8" s="616"/>
    </row>
    <row r="9" spans="1:27" ht="115.5" customHeight="1">
      <c r="A9" s="618">
        <f t="shared" si="3"/>
        <v>3</v>
      </c>
      <c r="B9" s="1217" t="s">
        <v>1570</v>
      </c>
      <c r="C9" s="1217"/>
      <c r="D9" s="606" t="s">
        <v>1017</v>
      </c>
      <c r="E9" s="1218" t="s">
        <v>1571</v>
      </c>
      <c r="F9" s="1218"/>
      <c r="G9" s="1218"/>
      <c r="H9" s="1219" t="s">
        <v>1572</v>
      </c>
      <c r="I9" s="1219"/>
      <c r="J9" s="1219"/>
      <c r="K9" s="607" t="s">
        <v>41</v>
      </c>
      <c r="L9" s="1220" t="s">
        <v>1573</v>
      </c>
      <c r="M9" s="1220"/>
      <c r="N9" s="1220"/>
      <c r="O9" s="608" t="s">
        <v>37</v>
      </c>
      <c r="P9" s="627">
        <f t="shared" si="0"/>
        <v>0.375</v>
      </c>
      <c r="Q9" s="596"/>
      <c r="R9" s="597">
        <f t="shared" si="1"/>
        <v>0</v>
      </c>
      <c r="S9" s="628"/>
      <c r="T9" s="629"/>
      <c r="U9" s="1221"/>
      <c r="V9" s="1221"/>
      <c r="W9" s="1221"/>
      <c r="X9" s="630"/>
      <c r="Y9" s="629"/>
      <c r="Z9" s="599">
        <f t="shared" si="2"/>
        <v>0</v>
      </c>
      <c r="AA9" s="616"/>
    </row>
    <row r="10" spans="1:27" ht="115.5" customHeight="1">
      <c r="A10" s="618">
        <f t="shared" si="3"/>
        <v>4</v>
      </c>
      <c r="B10" s="1217" t="s">
        <v>1610</v>
      </c>
      <c r="C10" s="1217"/>
      <c r="D10" s="606" t="s">
        <v>157</v>
      </c>
      <c r="E10" s="1218" t="s">
        <v>1611</v>
      </c>
      <c r="F10" s="1218"/>
      <c r="G10" s="1218"/>
      <c r="H10" s="1219" t="s">
        <v>1612</v>
      </c>
      <c r="I10" s="1219"/>
      <c r="J10" s="1219"/>
      <c r="K10" s="607" t="s">
        <v>41</v>
      </c>
      <c r="L10" s="1220" t="s">
        <v>1613</v>
      </c>
      <c r="M10" s="1220"/>
      <c r="N10" s="1220"/>
      <c r="O10" s="608" t="s">
        <v>41</v>
      </c>
      <c r="P10" s="627">
        <f t="shared" si="0"/>
        <v>0.5625</v>
      </c>
      <c r="Q10" s="596"/>
      <c r="R10" s="597">
        <f t="shared" si="1"/>
        <v>0</v>
      </c>
      <c r="S10" s="628"/>
      <c r="T10" s="629"/>
      <c r="U10" s="1221" t="s">
        <v>1614</v>
      </c>
      <c r="V10" s="1221"/>
      <c r="W10" s="1221"/>
      <c r="X10" s="630"/>
      <c r="Y10" s="629" t="s">
        <v>23</v>
      </c>
      <c r="Z10" s="599">
        <f t="shared" si="2"/>
        <v>0</v>
      </c>
      <c r="AA10" s="616"/>
    </row>
    <row r="11" spans="1:27" ht="115.5" customHeight="1">
      <c r="A11" s="618">
        <f t="shared" si="3"/>
        <v>5</v>
      </c>
      <c r="B11" s="1217"/>
      <c r="C11" s="1217"/>
      <c r="D11" s="606"/>
      <c r="E11" s="1218"/>
      <c r="F11" s="1218"/>
      <c r="G11" s="1218"/>
      <c r="H11" s="1219"/>
      <c r="I11" s="1219"/>
      <c r="J11" s="1219"/>
      <c r="K11" s="607"/>
      <c r="L11" s="1220"/>
      <c r="M11" s="1220"/>
      <c r="N11" s="1220"/>
      <c r="O11" s="608"/>
      <c r="P11" s="627">
        <f t="shared" si="0"/>
        <v>0</v>
      </c>
      <c r="Q11" s="596"/>
      <c r="R11" s="597">
        <f t="shared" si="1"/>
        <v>0</v>
      </c>
      <c r="S11" s="628"/>
      <c r="T11" s="629"/>
      <c r="U11" s="1221"/>
      <c r="V11" s="1221"/>
      <c r="W11" s="1221"/>
      <c r="X11" s="630"/>
      <c r="Y11" s="629"/>
      <c r="Z11" s="599">
        <f t="shared" si="2"/>
        <v>0</v>
      </c>
      <c r="AA11" s="616"/>
    </row>
    <row r="12" spans="1:27" ht="115.5" customHeight="1">
      <c r="A12" s="618">
        <f t="shared" si="3"/>
        <v>6</v>
      </c>
      <c r="B12" s="1217"/>
      <c r="C12" s="1217"/>
      <c r="D12" s="606"/>
      <c r="E12" s="1218"/>
      <c r="F12" s="1218"/>
      <c r="G12" s="1218"/>
      <c r="H12" s="1219"/>
      <c r="I12" s="1219"/>
      <c r="J12" s="1219"/>
      <c r="K12" s="607"/>
      <c r="L12" s="1220"/>
      <c r="M12" s="1220"/>
      <c r="N12" s="1220"/>
      <c r="O12" s="608"/>
      <c r="P12" s="627">
        <f t="shared" si="0"/>
        <v>0</v>
      </c>
      <c r="Q12" s="596"/>
      <c r="R12" s="597">
        <f t="shared" si="1"/>
        <v>0</v>
      </c>
      <c r="S12" s="628"/>
      <c r="T12" s="629"/>
      <c r="U12" s="1221"/>
      <c r="V12" s="1221"/>
      <c r="W12" s="1221"/>
      <c r="X12" s="630"/>
      <c r="Y12" s="629"/>
      <c r="Z12" s="599">
        <f t="shared" si="2"/>
        <v>0</v>
      </c>
      <c r="AA12" s="616"/>
    </row>
    <row r="13" spans="1:27" ht="115.5" customHeight="1">
      <c r="A13" s="618">
        <f t="shared" si="3"/>
        <v>7</v>
      </c>
      <c r="B13" s="1217"/>
      <c r="C13" s="1217"/>
      <c r="D13" s="606"/>
      <c r="E13" s="1218"/>
      <c r="F13" s="1218"/>
      <c r="G13" s="1218"/>
      <c r="H13" s="1219"/>
      <c r="I13" s="1219"/>
      <c r="J13" s="1219"/>
      <c r="K13" s="607"/>
      <c r="L13" s="1220"/>
      <c r="M13" s="1220"/>
      <c r="N13" s="1220"/>
      <c r="O13" s="608"/>
      <c r="P13" s="627">
        <f t="shared" si="0"/>
        <v>0</v>
      </c>
      <c r="Q13" s="596"/>
      <c r="R13" s="597">
        <f t="shared" si="1"/>
        <v>0</v>
      </c>
      <c r="S13" s="628"/>
      <c r="T13" s="629"/>
      <c r="U13" s="1221"/>
      <c r="V13" s="1221"/>
      <c r="W13" s="1221"/>
      <c r="X13" s="630"/>
      <c r="Y13" s="629"/>
      <c r="Z13" s="599">
        <f t="shared" si="2"/>
        <v>0</v>
      </c>
      <c r="AA13" s="616"/>
    </row>
    <row r="14" spans="1:27" ht="115.5" customHeight="1">
      <c r="A14" s="618">
        <f t="shared" si="3"/>
        <v>8</v>
      </c>
      <c r="B14" s="1217"/>
      <c r="C14" s="1217"/>
      <c r="D14" s="606"/>
      <c r="E14" s="1218"/>
      <c r="F14" s="1218"/>
      <c r="G14" s="1218"/>
      <c r="H14" s="1219"/>
      <c r="I14" s="1219"/>
      <c r="J14" s="1219"/>
      <c r="K14" s="607"/>
      <c r="L14" s="1220"/>
      <c r="M14" s="1220"/>
      <c r="N14" s="1220"/>
      <c r="O14" s="608"/>
      <c r="P14" s="627">
        <f t="shared" si="0"/>
        <v>0</v>
      </c>
      <c r="Q14" s="596"/>
      <c r="R14" s="597">
        <f t="shared" si="1"/>
        <v>0</v>
      </c>
      <c r="S14" s="628"/>
      <c r="T14" s="629"/>
      <c r="U14" s="1221"/>
      <c r="V14" s="1221"/>
      <c r="W14" s="1221"/>
      <c r="X14" s="630"/>
      <c r="Y14" s="629"/>
      <c r="Z14" s="599">
        <f t="shared" si="2"/>
        <v>0</v>
      </c>
      <c r="AA14" s="616"/>
    </row>
    <row r="15" spans="1:27" ht="115.5" customHeight="1">
      <c r="A15" s="618">
        <f t="shared" si="3"/>
        <v>9</v>
      </c>
      <c r="B15" s="1217"/>
      <c r="C15" s="1217"/>
      <c r="D15" s="606"/>
      <c r="E15" s="1218"/>
      <c r="F15" s="1218"/>
      <c r="G15" s="1218"/>
      <c r="H15" s="1219"/>
      <c r="I15" s="1219"/>
      <c r="J15" s="1219"/>
      <c r="K15" s="607"/>
      <c r="L15" s="1220"/>
      <c r="M15" s="1220"/>
      <c r="N15" s="1220"/>
      <c r="O15" s="608"/>
      <c r="P15" s="627">
        <f t="shared" si="0"/>
        <v>0</v>
      </c>
      <c r="Q15" s="596"/>
      <c r="R15" s="597">
        <f t="shared" si="1"/>
        <v>0</v>
      </c>
      <c r="S15" s="628"/>
      <c r="T15" s="629"/>
      <c r="U15" s="1221"/>
      <c r="V15" s="1221"/>
      <c r="W15" s="1221"/>
      <c r="X15" s="630"/>
      <c r="Y15" s="629"/>
      <c r="Z15" s="599">
        <f t="shared" si="2"/>
        <v>0</v>
      </c>
      <c r="AA15" s="616"/>
    </row>
    <row r="16" spans="1:27" ht="115.5" customHeight="1">
      <c r="A16" s="618">
        <f t="shared" si="3"/>
        <v>10</v>
      </c>
      <c r="B16" s="1217"/>
      <c r="C16" s="1217"/>
      <c r="D16" s="606"/>
      <c r="E16" s="1218"/>
      <c r="F16" s="1218"/>
      <c r="G16" s="1218"/>
      <c r="H16" s="1219"/>
      <c r="I16" s="1219"/>
      <c r="J16" s="1219"/>
      <c r="K16" s="607"/>
      <c r="L16" s="1220"/>
      <c r="M16" s="1220"/>
      <c r="N16" s="1220"/>
      <c r="O16" s="608"/>
      <c r="P16" s="627">
        <f t="shared" si="0"/>
        <v>0</v>
      </c>
      <c r="Q16" s="596"/>
      <c r="R16" s="597">
        <f t="shared" si="1"/>
        <v>0</v>
      </c>
      <c r="S16" s="628"/>
      <c r="T16" s="629"/>
      <c r="U16" s="1221"/>
      <c r="V16" s="1221"/>
      <c r="W16" s="1221"/>
      <c r="X16" s="630"/>
      <c r="Y16" s="629"/>
      <c r="Z16" s="599">
        <f t="shared" si="2"/>
        <v>0</v>
      </c>
      <c r="AA16" s="616"/>
    </row>
    <row r="17" spans="1:27" ht="115.5" customHeight="1">
      <c r="A17" s="618">
        <f t="shared" si="3"/>
        <v>11</v>
      </c>
      <c r="B17" s="1217"/>
      <c r="C17" s="1217"/>
      <c r="D17" s="606"/>
      <c r="E17" s="1218"/>
      <c r="F17" s="1218"/>
      <c r="G17" s="1218"/>
      <c r="H17" s="1219"/>
      <c r="I17" s="1219"/>
      <c r="J17" s="1219"/>
      <c r="K17" s="607"/>
      <c r="L17" s="1220"/>
      <c r="M17" s="1220"/>
      <c r="N17" s="1220"/>
      <c r="O17" s="608"/>
      <c r="P17" s="627">
        <f t="shared" si="0"/>
        <v>0</v>
      </c>
      <c r="Q17" s="596"/>
      <c r="R17" s="597">
        <f t="shared" si="1"/>
        <v>0</v>
      </c>
      <c r="S17" s="628"/>
      <c r="T17" s="629"/>
      <c r="U17" s="1221"/>
      <c r="V17" s="1221"/>
      <c r="W17" s="1221"/>
      <c r="X17" s="630"/>
      <c r="Y17" s="629"/>
      <c r="Z17" s="599">
        <f t="shared" si="2"/>
        <v>0</v>
      </c>
      <c r="AA17" s="616"/>
    </row>
    <row r="18" spans="1:27" ht="115.5" customHeight="1">
      <c r="A18" s="618">
        <f t="shared" si="3"/>
        <v>12</v>
      </c>
      <c r="B18" s="1217"/>
      <c r="C18" s="1217"/>
      <c r="D18" s="606"/>
      <c r="E18" s="1218"/>
      <c r="F18" s="1218"/>
      <c r="G18" s="1218"/>
      <c r="H18" s="1219"/>
      <c r="I18" s="1219"/>
      <c r="J18" s="1219"/>
      <c r="K18" s="607"/>
      <c r="L18" s="1220"/>
      <c r="M18" s="1220"/>
      <c r="N18" s="1220"/>
      <c r="O18" s="608"/>
      <c r="P18" s="627">
        <f t="shared" si="0"/>
        <v>0</v>
      </c>
      <c r="Q18" s="596"/>
      <c r="R18" s="597">
        <f t="shared" si="1"/>
        <v>0</v>
      </c>
      <c r="S18" s="628"/>
      <c r="T18" s="629"/>
      <c r="U18" s="1221"/>
      <c r="V18" s="1221"/>
      <c r="W18" s="1221"/>
      <c r="X18" s="630"/>
      <c r="Y18" s="629"/>
      <c r="Z18" s="599">
        <f t="shared" si="2"/>
        <v>0</v>
      </c>
      <c r="AA18" s="616"/>
    </row>
    <row r="19" spans="1:27" ht="115.5" customHeight="1">
      <c r="A19" s="618">
        <f t="shared" si="3"/>
        <v>13</v>
      </c>
      <c r="B19" s="1217"/>
      <c r="C19" s="1217"/>
      <c r="D19" s="606"/>
      <c r="E19" s="1218"/>
      <c r="F19" s="1218"/>
      <c r="G19" s="1218"/>
      <c r="H19" s="1219"/>
      <c r="I19" s="1219"/>
      <c r="J19" s="1219"/>
      <c r="K19" s="607"/>
      <c r="L19" s="1220"/>
      <c r="M19" s="1220"/>
      <c r="N19" s="1220"/>
      <c r="O19" s="608"/>
      <c r="P19" s="627">
        <f t="shared" si="0"/>
        <v>0</v>
      </c>
      <c r="Q19" s="596"/>
      <c r="R19" s="597">
        <f t="shared" si="1"/>
        <v>0</v>
      </c>
      <c r="S19" s="598"/>
      <c r="T19" s="629"/>
      <c r="U19" s="1221"/>
      <c r="V19" s="1221"/>
      <c r="W19" s="1221"/>
      <c r="X19" s="630"/>
      <c r="Y19" s="629"/>
      <c r="Z19" s="599">
        <f t="shared" si="2"/>
        <v>0</v>
      </c>
      <c r="AA19" s="616"/>
    </row>
    <row r="20" spans="1:27" ht="115.5" customHeight="1">
      <c r="A20" s="618">
        <f t="shared" si="3"/>
        <v>14</v>
      </c>
      <c r="B20" s="1217"/>
      <c r="C20" s="1217"/>
      <c r="D20" s="606"/>
      <c r="E20" s="1218"/>
      <c r="F20" s="1218"/>
      <c r="G20" s="1218"/>
      <c r="H20" s="1219"/>
      <c r="I20" s="1219"/>
      <c r="J20" s="1219"/>
      <c r="K20" s="607"/>
      <c r="L20" s="1220"/>
      <c r="M20" s="1220"/>
      <c r="N20" s="1220"/>
      <c r="O20" s="608"/>
      <c r="P20" s="627">
        <f t="shared" si="0"/>
        <v>0</v>
      </c>
      <c r="Q20" s="596"/>
      <c r="R20" s="597">
        <f t="shared" si="1"/>
        <v>0</v>
      </c>
      <c r="S20" s="598"/>
      <c r="T20" s="629"/>
      <c r="U20" s="1221"/>
      <c r="V20" s="1221"/>
      <c r="W20" s="1221"/>
      <c r="X20" s="630"/>
      <c r="Y20" s="629"/>
      <c r="Z20" s="599">
        <f t="shared" si="2"/>
        <v>0</v>
      </c>
      <c r="AA20" s="616"/>
    </row>
    <row r="21" spans="1:27" ht="115.5" customHeight="1">
      <c r="A21" s="618">
        <f t="shared" si="3"/>
        <v>15</v>
      </c>
      <c r="B21" s="1222"/>
      <c r="C21" s="1222"/>
      <c r="D21" s="609"/>
      <c r="E21" s="1223"/>
      <c r="F21" s="1223"/>
      <c r="G21" s="1223"/>
      <c r="H21" s="1223"/>
      <c r="I21" s="1223"/>
      <c r="J21" s="1223"/>
      <c r="K21" s="609"/>
      <c r="L21" s="1223"/>
      <c r="M21" s="1223"/>
      <c r="N21" s="1223"/>
      <c r="O21" s="609"/>
      <c r="P21" s="627">
        <f t="shared" si="0"/>
        <v>0</v>
      </c>
      <c r="Q21" s="596"/>
      <c r="R21" s="597">
        <f t="shared" si="1"/>
        <v>0</v>
      </c>
      <c r="S21" s="600"/>
      <c r="T21" s="609"/>
      <c r="U21" s="1223"/>
      <c r="V21" s="1223"/>
      <c r="W21" s="1223"/>
      <c r="X21" s="631"/>
      <c r="Y21" s="629"/>
      <c r="Z21" s="599">
        <f t="shared" si="2"/>
        <v>0</v>
      </c>
      <c r="AA21" s="616"/>
    </row>
    <row r="22" spans="1:27" ht="115.5" customHeight="1">
      <c r="A22" s="618">
        <f t="shared" si="3"/>
        <v>16</v>
      </c>
      <c r="B22" s="1222"/>
      <c r="C22" s="1222"/>
      <c r="D22" s="609"/>
      <c r="E22" s="1223"/>
      <c r="F22" s="1223"/>
      <c r="G22" s="1223"/>
      <c r="H22" s="1223"/>
      <c r="I22" s="1223"/>
      <c r="J22" s="1223"/>
      <c r="K22" s="609"/>
      <c r="L22" s="1223"/>
      <c r="M22" s="1223"/>
      <c r="N22" s="1223"/>
      <c r="O22" s="609"/>
      <c r="P22" s="627">
        <f t="shared" si="0"/>
        <v>0</v>
      </c>
      <c r="Q22" s="596"/>
      <c r="R22" s="597">
        <f t="shared" si="1"/>
        <v>0</v>
      </c>
      <c r="S22" s="600"/>
      <c r="T22" s="609"/>
      <c r="U22" s="1223"/>
      <c r="V22" s="1223"/>
      <c r="W22" s="1223"/>
      <c r="X22" s="631"/>
      <c r="Y22" s="629"/>
      <c r="Z22" s="599">
        <f t="shared" si="2"/>
        <v>0</v>
      </c>
      <c r="AA22" s="616"/>
    </row>
    <row r="23" spans="1:27" ht="115.5" customHeight="1">
      <c r="A23" s="618">
        <f t="shared" si="3"/>
        <v>17</v>
      </c>
      <c r="B23" s="1222"/>
      <c r="C23" s="1222"/>
      <c r="D23" s="609"/>
      <c r="E23" s="1223"/>
      <c r="F23" s="1223"/>
      <c r="G23" s="1223"/>
      <c r="H23" s="1223"/>
      <c r="I23" s="1223"/>
      <c r="J23" s="1223"/>
      <c r="K23" s="609"/>
      <c r="L23" s="1223"/>
      <c r="M23" s="1223"/>
      <c r="N23" s="1223"/>
      <c r="O23" s="609"/>
      <c r="P23" s="627">
        <f t="shared" si="0"/>
        <v>0</v>
      </c>
      <c r="Q23" s="596"/>
      <c r="R23" s="597">
        <f t="shared" si="1"/>
        <v>0</v>
      </c>
      <c r="S23" s="600"/>
      <c r="T23" s="609"/>
      <c r="U23" s="1223"/>
      <c r="V23" s="1223"/>
      <c r="W23" s="1223"/>
      <c r="X23" s="631"/>
      <c r="Y23" s="629"/>
      <c r="Z23" s="599">
        <f t="shared" si="2"/>
        <v>0</v>
      </c>
      <c r="AA23" s="616"/>
    </row>
    <row r="24" spans="1:27" ht="115.5" customHeight="1">
      <c r="A24" s="618">
        <f t="shared" si="3"/>
        <v>18</v>
      </c>
      <c r="B24" s="1222"/>
      <c r="C24" s="1222"/>
      <c r="D24" s="609"/>
      <c r="E24" s="1223"/>
      <c r="F24" s="1223"/>
      <c r="G24" s="1223"/>
      <c r="H24" s="1223"/>
      <c r="I24" s="1223"/>
      <c r="J24" s="1223"/>
      <c r="K24" s="609"/>
      <c r="L24" s="1223"/>
      <c r="M24" s="1223"/>
      <c r="N24" s="1223"/>
      <c r="O24" s="609"/>
      <c r="P24" s="627">
        <f t="shared" si="0"/>
        <v>0</v>
      </c>
      <c r="Q24" s="596"/>
      <c r="R24" s="597">
        <f t="shared" si="1"/>
        <v>0</v>
      </c>
      <c r="S24" s="600"/>
      <c r="T24" s="609"/>
      <c r="U24" s="1223"/>
      <c r="V24" s="1223"/>
      <c r="W24" s="1223"/>
      <c r="X24" s="631"/>
      <c r="Y24" s="629"/>
      <c r="Z24" s="599">
        <f t="shared" si="2"/>
        <v>0</v>
      </c>
      <c r="AA24" s="616"/>
    </row>
    <row r="25" spans="1:27" ht="115.5" customHeight="1">
      <c r="A25" s="618">
        <f t="shared" si="3"/>
        <v>19</v>
      </c>
      <c r="B25" s="1222"/>
      <c r="C25" s="1222"/>
      <c r="D25" s="609"/>
      <c r="E25" s="1223"/>
      <c r="F25" s="1223"/>
      <c r="G25" s="1223"/>
      <c r="H25" s="1223"/>
      <c r="I25" s="1223"/>
      <c r="J25" s="1223"/>
      <c r="K25" s="609"/>
      <c r="L25" s="1223"/>
      <c r="M25" s="1223"/>
      <c r="N25" s="1223"/>
      <c r="O25" s="609"/>
      <c r="P25" s="627">
        <f t="shared" si="0"/>
        <v>0</v>
      </c>
      <c r="Q25" s="596"/>
      <c r="R25" s="597">
        <f t="shared" si="1"/>
        <v>0</v>
      </c>
      <c r="S25" s="600"/>
      <c r="T25" s="609"/>
      <c r="U25" s="1223"/>
      <c r="V25" s="1223"/>
      <c r="W25" s="1223"/>
      <c r="X25" s="631"/>
      <c r="Y25" s="629"/>
      <c r="Z25" s="599">
        <f t="shared" si="2"/>
        <v>0</v>
      </c>
      <c r="AA25" s="616"/>
    </row>
    <row r="26" spans="1:27" ht="115.5" customHeight="1">
      <c r="A26" s="618">
        <f t="shared" si="3"/>
        <v>20</v>
      </c>
      <c r="B26" s="1222"/>
      <c r="C26" s="1222"/>
      <c r="D26" s="609"/>
      <c r="E26" s="1223"/>
      <c r="F26" s="1223"/>
      <c r="G26" s="1223"/>
      <c r="H26" s="1223"/>
      <c r="I26" s="1223"/>
      <c r="J26" s="1223"/>
      <c r="K26" s="609"/>
      <c r="L26" s="1223"/>
      <c r="M26" s="1223"/>
      <c r="N26" s="1223"/>
      <c r="O26" s="609"/>
      <c r="P26" s="627">
        <f t="shared" si="0"/>
        <v>0</v>
      </c>
      <c r="Q26" s="596"/>
      <c r="R26" s="597">
        <f t="shared" si="1"/>
        <v>0</v>
      </c>
      <c r="S26" s="600"/>
      <c r="T26" s="609"/>
      <c r="U26" s="1223"/>
      <c r="V26" s="1223"/>
      <c r="W26" s="1223"/>
      <c r="X26" s="631"/>
      <c r="Y26" s="629"/>
      <c r="Z26" s="599">
        <f t="shared" si="2"/>
        <v>0</v>
      </c>
      <c r="AA26" s="616"/>
    </row>
    <row r="27" spans="1:27" ht="115.5" customHeight="1">
      <c r="A27" s="618">
        <f t="shared" si="3"/>
        <v>21</v>
      </c>
      <c r="B27" s="1217"/>
      <c r="C27" s="1217"/>
      <c r="D27" s="606"/>
      <c r="E27" s="1218"/>
      <c r="F27" s="1218"/>
      <c r="G27" s="1218"/>
      <c r="H27" s="1219"/>
      <c r="I27" s="1219"/>
      <c r="J27" s="1219"/>
      <c r="K27" s="607"/>
      <c r="L27" s="1220"/>
      <c r="M27" s="1220"/>
      <c r="N27" s="1220"/>
      <c r="O27" s="608"/>
      <c r="P27" s="627">
        <f t="shared" si="0"/>
        <v>0</v>
      </c>
      <c r="Q27" s="596"/>
      <c r="R27" s="597">
        <f t="shared" si="1"/>
        <v>0</v>
      </c>
      <c r="S27" s="628"/>
      <c r="T27" s="629"/>
      <c r="U27" s="1221"/>
      <c r="V27" s="1221"/>
      <c r="W27" s="1221"/>
      <c r="X27" s="630"/>
      <c r="Y27" s="629"/>
      <c r="Z27" s="599">
        <f t="shared" si="2"/>
        <v>0</v>
      </c>
      <c r="AA27" s="616"/>
    </row>
    <row r="28" spans="1:27" ht="115.5" customHeight="1">
      <c r="A28" s="618">
        <f t="shared" si="3"/>
        <v>22</v>
      </c>
      <c r="B28" s="1217"/>
      <c r="C28" s="1217"/>
      <c r="D28" s="606"/>
      <c r="E28" s="1218"/>
      <c r="F28" s="1218"/>
      <c r="G28" s="1218"/>
      <c r="H28" s="1219"/>
      <c r="I28" s="1219"/>
      <c r="J28" s="1219"/>
      <c r="K28" s="607"/>
      <c r="L28" s="1220"/>
      <c r="M28" s="1220"/>
      <c r="N28" s="1220"/>
      <c r="O28" s="608"/>
      <c r="P28" s="627">
        <f t="shared" si="0"/>
        <v>0</v>
      </c>
      <c r="Q28" s="596"/>
      <c r="R28" s="597">
        <f t="shared" si="1"/>
        <v>0</v>
      </c>
      <c r="S28" s="628"/>
      <c r="T28" s="629"/>
      <c r="U28" s="1221"/>
      <c r="V28" s="1221"/>
      <c r="W28" s="1221"/>
      <c r="X28" s="630"/>
      <c r="Y28" s="629"/>
      <c r="Z28" s="599">
        <f t="shared" si="2"/>
        <v>0</v>
      </c>
      <c r="AA28" s="616"/>
    </row>
    <row r="29" spans="1:27" ht="115.5" customHeight="1">
      <c r="A29" s="618">
        <f t="shared" si="3"/>
        <v>23</v>
      </c>
      <c r="B29" s="1217"/>
      <c r="C29" s="1217"/>
      <c r="D29" s="606"/>
      <c r="E29" s="1218"/>
      <c r="F29" s="1218"/>
      <c r="G29" s="1218"/>
      <c r="H29" s="1219"/>
      <c r="I29" s="1219"/>
      <c r="J29" s="1219"/>
      <c r="K29" s="607"/>
      <c r="L29" s="1220"/>
      <c r="M29" s="1220"/>
      <c r="N29" s="1220"/>
      <c r="O29" s="608"/>
      <c r="P29" s="627">
        <f t="shared" si="0"/>
        <v>0</v>
      </c>
      <c r="Q29" s="596"/>
      <c r="R29" s="597">
        <f t="shared" si="1"/>
        <v>0</v>
      </c>
      <c r="S29" s="628"/>
      <c r="T29" s="629"/>
      <c r="U29" s="1221"/>
      <c r="V29" s="1221"/>
      <c r="W29" s="1221"/>
      <c r="X29" s="630"/>
      <c r="Y29" s="629"/>
      <c r="Z29" s="599">
        <f t="shared" si="2"/>
        <v>0</v>
      </c>
      <c r="AA29" s="616"/>
    </row>
    <row r="30" spans="1:27" ht="115.5" customHeight="1">
      <c r="A30" s="618">
        <f t="shared" si="3"/>
        <v>24</v>
      </c>
      <c r="B30" s="1217"/>
      <c r="C30" s="1217"/>
      <c r="D30" s="606"/>
      <c r="E30" s="1218"/>
      <c r="F30" s="1218"/>
      <c r="G30" s="1218"/>
      <c r="H30" s="1219"/>
      <c r="I30" s="1219"/>
      <c r="J30" s="1219"/>
      <c r="K30" s="607"/>
      <c r="L30" s="1220"/>
      <c r="M30" s="1220"/>
      <c r="N30" s="1220"/>
      <c r="O30" s="608"/>
      <c r="P30" s="627">
        <f t="shared" si="0"/>
        <v>0</v>
      </c>
      <c r="Q30" s="596"/>
      <c r="R30" s="597">
        <f t="shared" si="1"/>
        <v>0</v>
      </c>
      <c r="S30" s="628"/>
      <c r="T30" s="629"/>
      <c r="U30" s="1221"/>
      <c r="V30" s="1221"/>
      <c r="W30" s="1221"/>
      <c r="X30" s="630"/>
      <c r="Y30" s="629"/>
      <c r="Z30" s="599">
        <f t="shared" si="2"/>
        <v>0</v>
      </c>
      <c r="AA30" s="616"/>
    </row>
    <row r="31" spans="1:27" ht="115.5" customHeight="1">
      <c r="A31" s="618">
        <f t="shared" si="3"/>
        <v>25</v>
      </c>
      <c r="B31" s="1217"/>
      <c r="C31" s="1217"/>
      <c r="D31" s="606"/>
      <c r="E31" s="1218"/>
      <c r="F31" s="1218"/>
      <c r="G31" s="1218"/>
      <c r="H31" s="1219"/>
      <c r="I31" s="1219"/>
      <c r="J31" s="1219"/>
      <c r="K31" s="607"/>
      <c r="L31" s="1220"/>
      <c r="M31" s="1220"/>
      <c r="N31" s="1220"/>
      <c r="O31" s="608"/>
      <c r="P31" s="627">
        <f t="shared" si="0"/>
        <v>0</v>
      </c>
      <c r="Q31" s="596"/>
      <c r="R31" s="597">
        <f t="shared" si="1"/>
        <v>0</v>
      </c>
      <c r="S31" s="628"/>
      <c r="T31" s="629"/>
      <c r="U31" s="1221"/>
      <c r="V31" s="1221"/>
      <c r="W31" s="1221"/>
      <c r="X31" s="630"/>
      <c r="Y31" s="629"/>
      <c r="Z31" s="599">
        <f t="shared" si="2"/>
        <v>0</v>
      </c>
      <c r="AA31" s="616"/>
    </row>
    <row r="32" spans="1:27" ht="115.5" customHeight="1">
      <c r="A32" s="618">
        <f t="shared" si="3"/>
        <v>26</v>
      </c>
      <c r="B32" s="1217"/>
      <c r="C32" s="1217"/>
      <c r="D32" s="606"/>
      <c r="E32" s="1218"/>
      <c r="F32" s="1218"/>
      <c r="G32" s="1218"/>
      <c r="H32" s="1219"/>
      <c r="I32" s="1219"/>
      <c r="J32" s="1219"/>
      <c r="K32" s="607"/>
      <c r="L32" s="1220"/>
      <c r="M32" s="1220"/>
      <c r="N32" s="1220"/>
      <c r="O32" s="608"/>
      <c r="P32" s="627">
        <f t="shared" si="0"/>
        <v>0</v>
      </c>
      <c r="Q32" s="596"/>
      <c r="R32" s="597">
        <f t="shared" si="1"/>
        <v>0</v>
      </c>
      <c r="S32" s="628"/>
      <c r="T32" s="629"/>
      <c r="U32" s="1221"/>
      <c r="V32" s="1221"/>
      <c r="W32" s="1221"/>
      <c r="X32" s="630"/>
      <c r="Y32" s="629"/>
      <c r="Z32" s="599">
        <f t="shared" si="2"/>
        <v>0</v>
      </c>
      <c r="AA32" s="616"/>
    </row>
    <row r="33" spans="1:27" ht="115.5" customHeight="1">
      <c r="A33" s="618">
        <f t="shared" si="3"/>
        <v>27</v>
      </c>
      <c r="B33" s="1217"/>
      <c r="C33" s="1217"/>
      <c r="D33" s="606"/>
      <c r="E33" s="1218"/>
      <c r="F33" s="1218"/>
      <c r="G33" s="1218"/>
      <c r="H33" s="1219"/>
      <c r="I33" s="1219"/>
      <c r="J33" s="1219"/>
      <c r="K33" s="607"/>
      <c r="L33" s="1220"/>
      <c r="M33" s="1220"/>
      <c r="N33" s="1220"/>
      <c r="O33" s="608"/>
      <c r="P33" s="627">
        <f t="shared" si="0"/>
        <v>0</v>
      </c>
      <c r="Q33" s="596"/>
      <c r="R33" s="597">
        <f t="shared" si="1"/>
        <v>0</v>
      </c>
      <c r="S33" s="628"/>
      <c r="T33" s="629"/>
      <c r="U33" s="1221"/>
      <c r="V33" s="1221"/>
      <c r="W33" s="1221"/>
      <c r="X33" s="630"/>
      <c r="Y33" s="629"/>
      <c r="Z33" s="599">
        <f t="shared" si="2"/>
        <v>0</v>
      </c>
      <c r="AA33" s="616"/>
    </row>
    <row r="34" spans="1:27" ht="115.5" customHeight="1">
      <c r="A34" s="618">
        <f t="shared" si="3"/>
        <v>28</v>
      </c>
      <c r="B34" s="1217"/>
      <c r="C34" s="1217"/>
      <c r="D34" s="606"/>
      <c r="E34" s="1218"/>
      <c r="F34" s="1218"/>
      <c r="G34" s="1218"/>
      <c r="H34" s="1219"/>
      <c r="I34" s="1219"/>
      <c r="J34" s="1219"/>
      <c r="K34" s="607"/>
      <c r="L34" s="1220"/>
      <c r="M34" s="1220"/>
      <c r="N34" s="1220"/>
      <c r="O34" s="608"/>
      <c r="P34" s="627">
        <f t="shared" si="0"/>
        <v>0</v>
      </c>
      <c r="Q34" s="596"/>
      <c r="R34" s="597">
        <f t="shared" si="1"/>
        <v>0</v>
      </c>
      <c r="S34" s="628"/>
      <c r="T34" s="629"/>
      <c r="U34" s="1221"/>
      <c r="V34" s="1221"/>
      <c r="W34" s="1221"/>
      <c r="X34" s="630"/>
      <c r="Y34" s="629"/>
      <c r="Z34" s="599">
        <f t="shared" si="2"/>
        <v>0</v>
      </c>
      <c r="AA34" s="616"/>
    </row>
    <row r="35" spans="1:27" ht="115.5" customHeight="1">
      <c r="A35" s="618">
        <f t="shared" si="3"/>
        <v>29</v>
      </c>
      <c r="B35" s="1217"/>
      <c r="C35" s="1217"/>
      <c r="D35" s="606"/>
      <c r="E35" s="1218"/>
      <c r="F35" s="1218"/>
      <c r="G35" s="1218"/>
      <c r="H35" s="1219"/>
      <c r="I35" s="1219"/>
      <c r="J35" s="1219"/>
      <c r="K35" s="607"/>
      <c r="L35" s="1220"/>
      <c r="M35" s="1220"/>
      <c r="N35" s="1220"/>
      <c r="O35" s="608"/>
      <c r="P35" s="627">
        <f t="shared" si="0"/>
        <v>0</v>
      </c>
      <c r="Q35" s="596"/>
      <c r="R35" s="597">
        <f t="shared" si="1"/>
        <v>0</v>
      </c>
      <c r="S35" s="628"/>
      <c r="T35" s="629"/>
      <c r="U35" s="1221"/>
      <c r="V35" s="1221"/>
      <c r="W35" s="1221"/>
      <c r="X35" s="630"/>
      <c r="Y35" s="629"/>
      <c r="Z35" s="599">
        <f t="shared" si="2"/>
        <v>0</v>
      </c>
      <c r="AA35" s="616"/>
    </row>
    <row r="36" spans="1:27" ht="115.5" customHeight="1">
      <c r="A36" s="618">
        <f t="shared" si="3"/>
        <v>30</v>
      </c>
      <c r="B36" s="1217"/>
      <c r="C36" s="1217"/>
      <c r="D36" s="606"/>
      <c r="E36" s="1218"/>
      <c r="F36" s="1218"/>
      <c r="G36" s="1218"/>
      <c r="H36" s="1219"/>
      <c r="I36" s="1219"/>
      <c r="J36" s="1219"/>
      <c r="K36" s="607"/>
      <c r="L36" s="1220"/>
      <c r="M36" s="1220"/>
      <c r="N36" s="1220"/>
      <c r="O36" s="608"/>
      <c r="P36" s="627">
        <f t="shared" si="0"/>
        <v>0</v>
      </c>
      <c r="Q36" s="596"/>
      <c r="R36" s="597">
        <f t="shared" si="1"/>
        <v>0</v>
      </c>
      <c r="S36" s="628"/>
      <c r="T36" s="629"/>
      <c r="U36" s="1221"/>
      <c r="V36" s="1221"/>
      <c r="W36" s="1221"/>
      <c r="X36" s="630"/>
      <c r="Y36" s="629"/>
      <c r="Z36" s="599">
        <f t="shared" si="2"/>
        <v>0</v>
      </c>
      <c r="AA36" s="616"/>
    </row>
    <row r="37" spans="1:27" ht="115.5" customHeight="1">
      <c r="A37" s="618">
        <f t="shared" si="3"/>
        <v>31</v>
      </c>
      <c r="B37" s="1217"/>
      <c r="C37" s="1217"/>
      <c r="D37" s="606"/>
      <c r="E37" s="1218"/>
      <c r="F37" s="1218"/>
      <c r="G37" s="1218"/>
      <c r="H37" s="1219"/>
      <c r="I37" s="1219"/>
      <c r="J37" s="1219"/>
      <c r="K37" s="607"/>
      <c r="L37" s="1220"/>
      <c r="M37" s="1220"/>
      <c r="N37" s="1220"/>
      <c r="O37" s="608"/>
      <c r="P37" s="627">
        <f t="shared" si="0"/>
        <v>0</v>
      </c>
      <c r="Q37" s="596"/>
      <c r="R37" s="597">
        <f t="shared" si="1"/>
        <v>0</v>
      </c>
      <c r="S37" s="628"/>
      <c r="T37" s="629"/>
      <c r="U37" s="1221"/>
      <c r="V37" s="1221"/>
      <c r="W37" s="1221"/>
      <c r="X37" s="630"/>
      <c r="Y37" s="629"/>
      <c r="Z37" s="599">
        <f t="shared" si="2"/>
        <v>0</v>
      </c>
      <c r="AA37" s="616"/>
    </row>
    <row r="38" spans="1:27" ht="115.5" customHeight="1">
      <c r="A38" s="618">
        <f t="shared" si="3"/>
        <v>32</v>
      </c>
      <c r="B38" s="1217"/>
      <c r="C38" s="1217"/>
      <c r="D38" s="606"/>
      <c r="E38" s="1218"/>
      <c r="F38" s="1218"/>
      <c r="G38" s="1218"/>
      <c r="H38" s="1219"/>
      <c r="I38" s="1219"/>
      <c r="J38" s="1219"/>
      <c r="K38" s="607"/>
      <c r="L38" s="1220"/>
      <c r="M38" s="1220"/>
      <c r="N38" s="1220"/>
      <c r="O38" s="608"/>
      <c r="P38" s="627">
        <f t="shared" si="0"/>
        <v>0</v>
      </c>
      <c r="Q38" s="596"/>
      <c r="R38" s="597">
        <f t="shared" si="1"/>
        <v>0</v>
      </c>
      <c r="S38" s="628"/>
      <c r="T38" s="629"/>
      <c r="U38" s="1221"/>
      <c r="V38" s="1221"/>
      <c r="W38" s="1221"/>
      <c r="X38" s="630"/>
      <c r="Y38" s="629"/>
      <c r="Z38" s="599">
        <f t="shared" si="2"/>
        <v>0</v>
      </c>
      <c r="AA38" s="616"/>
    </row>
    <row r="39" spans="1:27" ht="115.5" customHeight="1">
      <c r="A39" s="618">
        <f t="shared" si="3"/>
        <v>33</v>
      </c>
      <c r="B39" s="1217"/>
      <c r="C39" s="1217"/>
      <c r="D39" s="606"/>
      <c r="E39" s="1218"/>
      <c r="F39" s="1218"/>
      <c r="G39" s="1218"/>
      <c r="H39" s="1219"/>
      <c r="I39" s="1219"/>
      <c r="J39" s="1219"/>
      <c r="K39" s="607"/>
      <c r="L39" s="1220"/>
      <c r="M39" s="1220"/>
      <c r="N39" s="1220"/>
      <c r="O39" s="608"/>
      <c r="P39" s="627">
        <f t="shared" si="0"/>
        <v>0</v>
      </c>
      <c r="Q39" s="596"/>
      <c r="R39" s="597">
        <f t="shared" si="1"/>
        <v>0</v>
      </c>
      <c r="S39" s="598"/>
      <c r="T39" s="629"/>
      <c r="U39" s="1221"/>
      <c r="V39" s="1221"/>
      <c r="W39" s="1221"/>
      <c r="X39" s="630"/>
      <c r="Y39" s="629"/>
      <c r="Z39" s="599">
        <f t="shared" si="2"/>
        <v>0</v>
      </c>
      <c r="AA39" s="616"/>
    </row>
    <row r="40" spans="1:27" ht="115.5" customHeight="1">
      <c r="A40" s="618">
        <f t="shared" si="3"/>
        <v>34</v>
      </c>
      <c r="B40" s="1217"/>
      <c r="C40" s="1217"/>
      <c r="D40" s="606"/>
      <c r="E40" s="1218"/>
      <c r="F40" s="1218"/>
      <c r="G40" s="1218"/>
      <c r="H40" s="1219"/>
      <c r="I40" s="1219"/>
      <c r="J40" s="1219"/>
      <c r="K40" s="607"/>
      <c r="L40" s="1220"/>
      <c r="M40" s="1220"/>
      <c r="N40" s="1220"/>
      <c r="O40" s="608"/>
      <c r="P40" s="627">
        <f t="shared" si="0"/>
        <v>0</v>
      </c>
      <c r="Q40" s="596"/>
      <c r="R40" s="597">
        <f t="shared" si="1"/>
        <v>0</v>
      </c>
      <c r="S40" s="598"/>
      <c r="T40" s="629"/>
      <c r="U40" s="1221"/>
      <c r="V40" s="1221"/>
      <c r="W40" s="1221"/>
      <c r="X40" s="630"/>
      <c r="Y40" s="629"/>
      <c r="Z40" s="599">
        <f t="shared" si="2"/>
        <v>0</v>
      </c>
      <c r="AA40" s="616"/>
    </row>
    <row r="41" spans="1:27" ht="115.5" customHeight="1">
      <c r="A41" s="618">
        <f t="shared" si="3"/>
        <v>35</v>
      </c>
      <c r="B41" s="1222"/>
      <c r="C41" s="1222"/>
      <c r="D41" s="609"/>
      <c r="E41" s="1223"/>
      <c r="F41" s="1223"/>
      <c r="G41" s="1223"/>
      <c r="H41" s="1223"/>
      <c r="I41" s="1223"/>
      <c r="J41" s="1223"/>
      <c r="K41" s="609"/>
      <c r="L41" s="1223"/>
      <c r="M41" s="1223"/>
      <c r="N41" s="1223"/>
      <c r="O41" s="609"/>
      <c r="P41" s="627">
        <f t="shared" si="0"/>
        <v>0</v>
      </c>
      <c r="Q41" s="596"/>
      <c r="R41" s="597">
        <f t="shared" si="1"/>
        <v>0</v>
      </c>
      <c r="S41" s="600"/>
      <c r="T41" s="609"/>
      <c r="U41" s="1223"/>
      <c r="V41" s="1223"/>
      <c r="W41" s="1223"/>
      <c r="X41" s="631"/>
      <c r="Y41" s="629"/>
      <c r="Z41" s="599">
        <f t="shared" si="2"/>
        <v>0</v>
      </c>
      <c r="AA41" s="616"/>
    </row>
    <row r="42" spans="1:27" ht="115.5" customHeight="1">
      <c r="A42" s="618">
        <f t="shared" si="3"/>
        <v>36</v>
      </c>
      <c r="B42" s="1222"/>
      <c r="C42" s="1222"/>
      <c r="D42" s="609"/>
      <c r="E42" s="1223"/>
      <c r="F42" s="1223"/>
      <c r="G42" s="1223"/>
      <c r="H42" s="1223"/>
      <c r="I42" s="1223"/>
      <c r="J42" s="1223"/>
      <c r="K42" s="609"/>
      <c r="L42" s="1223"/>
      <c r="M42" s="1223"/>
      <c r="N42" s="1223"/>
      <c r="O42" s="609"/>
      <c r="P42" s="627">
        <f t="shared" si="0"/>
        <v>0</v>
      </c>
      <c r="Q42" s="596"/>
      <c r="R42" s="597">
        <f t="shared" si="1"/>
        <v>0</v>
      </c>
      <c r="S42" s="600"/>
      <c r="T42" s="609"/>
      <c r="U42" s="1223"/>
      <c r="V42" s="1223"/>
      <c r="W42" s="1223"/>
      <c r="X42" s="631"/>
      <c r="Y42" s="629"/>
      <c r="Z42" s="599">
        <f t="shared" si="2"/>
        <v>0</v>
      </c>
      <c r="AA42" s="616"/>
    </row>
    <row r="43" spans="1:27" ht="115.5" customHeight="1">
      <c r="A43" s="618">
        <f t="shared" si="3"/>
        <v>37</v>
      </c>
      <c r="B43" s="1222"/>
      <c r="C43" s="1222"/>
      <c r="D43" s="609"/>
      <c r="E43" s="1223"/>
      <c r="F43" s="1223"/>
      <c r="G43" s="1223"/>
      <c r="H43" s="1223"/>
      <c r="I43" s="1223"/>
      <c r="J43" s="1223"/>
      <c r="K43" s="609"/>
      <c r="L43" s="1223"/>
      <c r="M43" s="1223"/>
      <c r="N43" s="1223"/>
      <c r="O43" s="609"/>
      <c r="P43" s="627">
        <f t="shared" si="0"/>
        <v>0</v>
      </c>
      <c r="Q43" s="596"/>
      <c r="R43" s="597">
        <f t="shared" si="1"/>
        <v>0</v>
      </c>
      <c r="S43" s="600"/>
      <c r="T43" s="609"/>
      <c r="U43" s="1223"/>
      <c r="V43" s="1223"/>
      <c r="W43" s="1223"/>
      <c r="X43" s="631"/>
      <c r="Y43" s="629"/>
      <c r="Z43" s="599">
        <f t="shared" si="2"/>
        <v>0</v>
      </c>
      <c r="AA43" s="616"/>
    </row>
    <row r="44" spans="1:27" ht="115.5" customHeight="1">
      <c r="A44" s="618">
        <f t="shared" si="3"/>
        <v>38</v>
      </c>
      <c r="B44" s="1222"/>
      <c r="C44" s="1222"/>
      <c r="D44" s="609"/>
      <c r="E44" s="1223"/>
      <c r="F44" s="1223"/>
      <c r="G44" s="1223"/>
      <c r="H44" s="1223"/>
      <c r="I44" s="1223"/>
      <c r="J44" s="1223"/>
      <c r="K44" s="609"/>
      <c r="L44" s="1223"/>
      <c r="M44" s="1223"/>
      <c r="N44" s="1223"/>
      <c r="O44" s="609"/>
      <c r="P44" s="627">
        <f t="shared" ref="P44:P46" si="4">IF(AND(K44&lt;&gt;"", O44&lt;&gt;""),INDEX(RRMatrix,VLOOKUP(K44,RRProbabilityColumn,2,FALSE),HLOOKUP(O44,RRImpactRow,2,FALSE)),0)</f>
        <v>0</v>
      </c>
      <c r="Q44" s="596"/>
      <c r="R44" s="597">
        <f t="shared" si="1"/>
        <v>0</v>
      </c>
      <c r="S44" s="600"/>
      <c r="T44" s="609"/>
      <c r="U44" s="1223"/>
      <c r="V44" s="1223"/>
      <c r="W44" s="1223"/>
      <c r="X44" s="631"/>
      <c r="Y44" s="629"/>
      <c r="Z44" s="599">
        <f t="shared" si="2"/>
        <v>0</v>
      </c>
      <c r="AA44" s="616"/>
    </row>
    <row r="45" spans="1:27" ht="115.5" customHeight="1">
      <c r="A45" s="618">
        <f t="shared" si="3"/>
        <v>39</v>
      </c>
      <c r="B45" s="1222"/>
      <c r="C45" s="1222"/>
      <c r="D45" s="609"/>
      <c r="E45" s="1223"/>
      <c r="F45" s="1223"/>
      <c r="G45" s="1223"/>
      <c r="H45" s="1223"/>
      <c r="I45" s="1223"/>
      <c r="J45" s="1223"/>
      <c r="K45" s="609"/>
      <c r="L45" s="1223"/>
      <c r="M45" s="1223"/>
      <c r="N45" s="1223"/>
      <c r="O45" s="609"/>
      <c r="P45" s="627">
        <f t="shared" si="4"/>
        <v>0</v>
      </c>
      <c r="Q45" s="596"/>
      <c r="R45" s="597">
        <f t="shared" si="1"/>
        <v>0</v>
      </c>
      <c r="S45" s="600"/>
      <c r="T45" s="609"/>
      <c r="U45" s="1223"/>
      <c r="V45" s="1223"/>
      <c r="W45" s="1223"/>
      <c r="X45" s="631"/>
      <c r="Y45" s="629"/>
      <c r="Z45" s="599">
        <f t="shared" si="2"/>
        <v>0</v>
      </c>
      <c r="AA45" s="616"/>
    </row>
    <row r="46" spans="1:27" ht="115.5" customHeight="1">
      <c r="A46" s="618">
        <f t="shared" si="3"/>
        <v>40</v>
      </c>
      <c r="B46" s="1222"/>
      <c r="C46" s="1222"/>
      <c r="D46" s="609"/>
      <c r="E46" s="1223"/>
      <c r="F46" s="1223"/>
      <c r="G46" s="1223"/>
      <c r="H46" s="1223"/>
      <c r="I46" s="1223"/>
      <c r="J46" s="1223"/>
      <c r="K46" s="609"/>
      <c r="L46" s="1223"/>
      <c r="M46" s="1223"/>
      <c r="N46" s="1223"/>
      <c r="O46" s="609"/>
      <c r="P46" s="627">
        <f t="shared" si="4"/>
        <v>0</v>
      </c>
      <c r="Q46" s="596"/>
      <c r="R46" s="597">
        <f t="shared" si="1"/>
        <v>0</v>
      </c>
      <c r="S46" s="600"/>
      <c r="T46" s="609"/>
      <c r="U46" s="1223"/>
      <c r="V46" s="1223"/>
      <c r="W46" s="1223"/>
      <c r="X46" s="631"/>
      <c r="Y46" s="629"/>
      <c r="Z46" s="599">
        <f t="shared" si="2"/>
        <v>0</v>
      </c>
      <c r="AA46" s="616"/>
    </row>
    <row r="47" spans="1:27">
      <c r="S47" s="616"/>
      <c r="T47" s="616"/>
      <c r="U47" s="616"/>
      <c r="V47" s="616"/>
      <c r="W47" s="616"/>
      <c r="X47" s="616"/>
      <c r="Y47" s="616"/>
      <c r="Z47" s="616"/>
      <c r="AA47" s="616"/>
    </row>
    <row r="48" spans="1:27">
      <c r="A48" s="620"/>
      <c r="B48" s="616"/>
      <c r="C48" s="616"/>
      <c r="D48" s="616"/>
      <c r="E48" s="616"/>
      <c r="F48" s="616"/>
      <c r="G48" s="616"/>
      <c r="H48" s="616"/>
      <c r="I48" s="616"/>
      <c r="J48" s="616"/>
      <c r="K48" s="616"/>
      <c r="L48" s="616"/>
      <c r="M48" s="616"/>
      <c r="N48" s="616"/>
      <c r="O48" s="616"/>
      <c r="P48" s="616"/>
      <c r="Q48" s="616"/>
      <c r="R48" s="616"/>
      <c r="S48" s="616"/>
      <c r="T48" s="616"/>
      <c r="U48" s="616"/>
      <c r="V48" s="616"/>
      <c r="W48" s="616"/>
      <c r="X48" s="616"/>
      <c r="Y48" s="616"/>
      <c r="Z48" s="616"/>
      <c r="AA48" s="616"/>
    </row>
    <row r="49" spans="1:27" s="624" customFormat="1" ht="15.75" customHeight="1">
      <c r="A49" s="621"/>
      <c r="B49" s="622"/>
      <c r="C49" s="622"/>
      <c r="D49" s="622"/>
      <c r="E49" s="623"/>
      <c r="F49" s="623"/>
      <c r="G49" s="623"/>
      <c r="H49" s="623"/>
      <c r="I49" s="623"/>
      <c r="J49" s="623"/>
      <c r="K49" s="623"/>
      <c r="L49" s="623"/>
      <c r="M49" s="623"/>
      <c r="N49" s="623"/>
      <c r="O49" s="623"/>
      <c r="P49" s="623"/>
      <c r="Q49" s="623"/>
      <c r="R49" s="623"/>
      <c r="S49" s="623"/>
      <c r="T49" s="623"/>
      <c r="U49" s="623"/>
      <c r="V49" s="623"/>
      <c r="W49" s="623"/>
      <c r="X49" s="623"/>
      <c r="Y49" s="623"/>
      <c r="Z49" s="623"/>
      <c r="AA49" s="623"/>
    </row>
    <row r="50" spans="1:27" ht="15" hidden="1" customHeight="1">
      <c r="A50" s="620"/>
      <c r="B50" s="616"/>
      <c r="C50" s="616"/>
      <c r="D50" s="616"/>
      <c r="E50" s="616"/>
      <c r="F50" s="616"/>
      <c r="G50" s="616"/>
      <c r="H50" s="616"/>
      <c r="I50" s="616"/>
      <c r="J50" s="616"/>
      <c r="K50" s="616"/>
      <c r="L50" s="616"/>
      <c r="M50" s="616"/>
      <c r="N50" s="616"/>
      <c r="O50" s="616"/>
      <c r="P50" s="616"/>
      <c r="Q50" s="616"/>
      <c r="R50" s="616"/>
      <c r="S50" s="616"/>
      <c r="T50" s="616"/>
      <c r="U50" s="616"/>
      <c r="V50" s="616"/>
      <c r="W50" s="616"/>
      <c r="X50" s="616"/>
      <c r="Y50" s="616"/>
      <c r="Z50" s="616"/>
      <c r="AA50" s="616"/>
    </row>
    <row r="51" spans="1:27" ht="30" hidden="1" customHeight="1">
      <c r="A51" s="620" t="s">
        <v>1515</v>
      </c>
      <c r="B51" s="632" t="s">
        <v>962</v>
      </c>
      <c r="C51" s="632" t="s">
        <v>963</v>
      </c>
      <c r="D51" s="632" t="s">
        <v>964</v>
      </c>
      <c r="E51" s="633" t="s">
        <v>201</v>
      </c>
      <c r="F51" s="633" t="s">
        <v>5</v>
      </c>
      <c r="G51" s="633" t="s">
        <v>754</v>
      </c>
      <c r="H51" s="633" t="s">
        <v>755</v>
      </c>
      <c r="I51" s="633" t="s">
        <v>307</v>
      </c>
      <c r="J51" s="633" t="s">
        <v>308</v>
      </c>
      <c r="K51" s="633" t="s">
        <v>965</v>
      </c>
      <c r="L51" s="633" t="s">
        <v>30</v>
      </c>
      <c r="M51" s="633" t="s">
        <v>60</v>
      </c>
      <c r="N51" s="633" t="s">
        <v>304</v>
      </c>
      <c r="O51" s="633" t="s">
        <v>303</v>
      </c>
      <c r="P51" s="633" t="s">
        <v>966</v>
      </c>
      <c r="Q51" s="633" t="s">
        <v>309</v>
      </c>
      <c r="R51" s="633" t="s">
        <v>306</v>
      </c>
      <c r="S51" s="620"/>
      <c r="T51" s="632" t="s">
        <v>967</v>
      </c>
      <c r="U51" s="632" t="s">
        <v>968</v>
      </c>
      <c r="V51" s="632" t="s">
        <v>969</v>
      </c>
      <c r="W51" s="632" t="s">
        <v>970</v>
      </c>
      <c r="X51" s="616"/>
      <c r="Y51" s="616"/>
      <c r="Z51" s="616"/>
      <c r="AA51" s="616"/>
    </row>
    <row r="52" spans="1:27" ht="15" hidden="1" customHeight="1">
      <c r="A52" s="620"/>
      <c r="B52" s="620"/>
      <c r="C52" s="634">
        <f>IF(D52&gt;0,MATCH(D52,$R$7:$R$46,0),0)</f>
        <v>0</v>
      </c>
      <c r="D52" s="635">
        <f>LARGE($R$7:$R$46,1)</f>
        <v>0</v>
      </c>
      <c r="E52" s="620" t="str">
        <f>IF(C52&gt;0,INDEX($A$7:$A$46,C52),"")</f>
        <v/>
      </c>
      <c r="F52" s="620" t="str">
        <f>IF(C52&gt;0,INDEX($B$7:$B$46,C52),"")</f>
        <v/>
      </c>
      <c r="G52" s="620" t="str">
        <f>IF(C52&gt;0,INDEX($D$7:$D$46,C52),"")</f>
        <v/>
      </c>
      <c r="H52" s="620" t="str">
        <f>IF(C52&gt;0,INDEX($E$7:$E$46,C52),"")</f>
        <v/>
      </c>
      <c r="I52" s="620" t="str">
        <f>IF(C52&gt;0,INDEX($H$7:$H$46,C52),"")</f>
        <v/>
      </c>
      <c r="J52" s="620" t="str">
        <f>IF(C52&gt;0,INDEX($L$7:$L$46,C52),"")</f>
        <v/>
      </c>
      <c r="K52" s="636" t="str">
        <f>IF(C52&gt;0,INDEX($R$7:$R$46,C52),"")</f>
        <v/>
      </c>
      <c r="L52" s="620" t="str">
        <f>IF(C52&gt;0,INDEX($K$7:$K$46,C52),"")</f>
        <v/>
      </c>
      <c r="M52" s="620" t="str">
        <f>IF(C52&gt;0,INDEX($O$7:$O$46,C52),"")</f>
        <v/>
      </c>
      <c r="N52" s="637" t="str">
        <f>IF(C52&gt;0,INDEX($P$7:$P$46,C52),"")</f>
        <v/>
      </c>
      <c r="O52" s="638" t="str">
        <f>IF(C52&gt;0,INDEX($S$7:$S$46,C52),"")</f>
        <v/>
      </c>
      <c r="P52" s="620" t="str">
        <f>IF(C52&gt;0,INDEX($T$7:$T$46,C52),"")</f>
        <v/>
      </c>
      <c r="Q52" s="620" t="str">
        <f>IF(C52&gt;0,INDEX($U$7:$U$46,C52),"")</f>
        <v/>
      </c>
      <c r="R52" s="620" t="str">
        <f>IF(C52&gt;0,INDEX($X$7:$X$46,C52),"")</f>
        <v/>
      </c>
      <c r="S52" s="620"/>
      <c r="T52" s="620" t="str">
        <f>F52</f>
        <v/>
      </c>
      <c r="U52" s="620">
        <f>IF(L52&lt;&gt;"",MATCH(L52,RRProbability,0),0)</f>
        <v>0</v>
      </c>
      <c r="V52" s="620">
        <f>IF(M52&lt;&gt;"",MATCH(M52,RRImpact,0),0)</f>
        <v>0</v>
      </c>
      <c r="W52" s="636" t="str">
        <f>K52</f>
        <v/>
      </c>
      <c r="X52" s="616"/>
      <c r="Y52" s="616"/>
      <c r="Z52" s="616"/>
      <c r="AA52" s="616"/>
    </row>
    <row r="53" spans="1:27" ht="15" hidden="1" customHeight="1">
      <c r="A53" s="620"/>
      <c r="B53" s="620">
        <f>IF(D53=D52,C52,0)</f>
        <v>0</v>
      </c>
      <c r="C53" s="634">
        <f ca="1">IF(D53&gt;0,MATCH(D53,OFFSET($R$7:$R$46,B53,0,ROWS($R$7:$R$46)-B53),0)+B53,0)</f>
        <v>0</v>
      </c>
      <c r="D53" s="635">
        <f>LARGE($R$7:$R$46,2)</f>
        <v>0</v>
      </c>
      <c r="E53" s="620" t="str">
        <f t="shared" ref="E53:E56" ca="1" si="5">IF(C53&gt;0,INDEX($A$7:$A$46,C53),"")</f>
        <v/>
      </c>
      <c r="F53" s="620" t="str">
        <f t="shared" ref="F53:F56" ca="1" si="6">IF(C53&gt;0,INDEX($B$7:$B$46,C53),"")</f>
        <v/>
      </c>
      <c r="G53" s="620" t="str">
        <f t="shared" ref="G53:G56" ca="1" si="7">IF(C53&gt;0,INDEX($D$7:$D$46,C53),"")</f>
        <v/>
      </c>
      <c r="H53" s="620" t="str">
        <f t="shared" ref="H53:H56" ca="1" si="8">IF(C53&gt;0,INDEX($E$7:$E$46,C53),"")</f>
        <v/>
      </c>
      <c r="I53" s="620" t="str">
        <f t="shared" ref="I53:I56" ca="1" si="9">IF(C53&gt;0,INDEX($H$7:$H$46,C53),"")</f>
        <v/>
      </c>
      <c r="J53" s="620" t="str">
        <f t="shared" ref="J53:J56" ca="1" si="10">IF(C53&gt;0,INDEX($L$7:$L$46,C53),"")</f>
        <v/>
      </c>
      <c r="K53" s="636" t="str">
        <f t="shared" ref="K53:K56" ca="1" si="11">IF(C53&gt;0,INDEX($R$7:$R$46,C53),"")</f>
        <v/>
      </c>
      <c r="L53" s="620" t="str">
        <f t="shared" ref="L53:L56" ca="1" si="12">IF(C53&gt;0,INDEX($K$7:$K$46,C53),"")</f>
        <v/>
      </c>
      <c r="M53" s="620" t="str">
        <f t="shared" ref="M53:M56" ca="1" si="13">IF(C53&gt;0,INDEX($O$7:$O$46,C53),"")</f>
        <v/>
      </c>
      <c r="N53" s="637" t="str">
        <f t="shared" ref="N53:N56" ca="1" si="14">IF(C53&gt;0,INDEX($P$7:$P$46,C53),"")</f>
        <v/>
      </c>
      <c r="O53" s="638" t="str">
        <f t="shared" ref="O53:O56" ca="1" si="15">IF(C53&gt;0,INDEX($S$7:$S$46,C53),"")</f>
        <v/>
      </c>
      <c r="P53" s="620" t="str">
        <f t="shared" ref="P53:P56" ca="1" si="16">IF(C53&gt;0,INDEX($T$7:$T$46,C53),"")</f>
        <v/>
      </c>
      <c r="Q53" s="620" t="str">
        <f t="shared" ref="Q53:Q56" ca="1" si="17">IF(C53&gt;0,INDEX($U$7:$U$46,C53),"")</f>
        <v/>
      </c>
      <c r="R53" s="620" t="str">
        <f t="shared" ref="R53:R56" ca="1" si="18">IF(C53&gt;0,INDEX($X$7:$X$46,C53),"")</f>
        <v/>
      </c>
      <c r="S53" s="620"/>
      <c r="T53" s="620" t="str">
        <f ca="1">F53</f>
        <v/>
      </c>
      <c r="U53" s="620">
        <f ca="1">IF(L53&lt;&gt;"",MATCH(L53,RRProbability,0),0)</f>
        <v>0</v>
      </c>
      <c r="V53" s="620">
        <f ca="1">IF(M53&lt;&gt;"",MATCH(M53,RRImpact,0),0)</f>
        <v>0</v>
      </c>
      <c r="W53" s="636" t="str">
        <f ca="1">K53</f>
        <v/>
      </c>
      <c r="X53" s="616"/>
      <c r="Y53" s="616"/>
      <c r="Z53" s="616"/>
      <c r="AA53" s="616"/>
    </row>
    <row r="54" spans="1:27" ht="15" hidden="1" customHeight="1">
      <c r="A54" s="620"/>
      <c r="B54" s="620">
        <f ca="1">IF(D54=D53,C53,0)</f>
        <v>0</v>
      </c>
      <c r="C54" s="634">
        <f ca="1">IF(D54&gt;0,MATCH(D54,OFFSET($R$7:$R$46,B54,0,ROWS($R$7:$R$46)-B54),0)+B54,0)</f>
        <v>0</v>
      </c>
      <c r="D54" s="635">
        <f>LARGE($R$7:$R$46,3)</f>
        <v>0</v>
      </c>
      <c r="E54" s="620" t="str">
        <f t="shared" ca="1" si="5"/>
        <v/>
      </c>
      <c r="F54" s="620" t="str">
        <f t="shared" ca="1" si="6"/>
        <v/>
      </c>
      <c r="G54" s="620" t="str">
        <f t="shared" ca="1" si="7"/>
        <v/>
      </c>
      <c r="H54" s="620" t="str">
        <f t="shared" ca="1" si="8"/>
        <v/>
      </c>
      <c r="I54" s="620" t="str">
        <f t="shared" ca="1" si="9"/>
        <v/>
      </c>
      <c r="J54" s="620" t="str">
        <f t="shared" ca="1" si="10"/>
        <v/>
      </c>
      <c r="K54" s="636" t="str">
        <f t="shared" ca="1" si="11"/>
        <v/>
      </c>
      <c r="L54" s="620" t="str">
        <f t="shared" ca="1" si="12"/>
        <v/>
      </c>
      <c r="M54" s="620" t="str">
        <f t="shared" ca="1" si="13"/>
        <v/>
      </c>
      <c r="N54" s="637" t="str">
        <f t="shared" ca="1" si="14"/>
        <v/>
      </c>
      <c r="O54" s="638" t="str">
        <f t="shared" ca="1" si="15"/>
        <v/>
      </c>
      <c r="P54" s="620" t="str">
        <f t="shared" ca="1" si="16"/>
        <v/>
      </c>
      <c r="Q54" s="620" t="str">
        <f t="shared" ca="1" si="17"/>
        <v/>
      </c>
      <c r="R54" s="620" t="str">
        <f t="shared" ca="1" si="18"/>
        <v/>
      </c>
      <c r="S54" s="620"/>
      <c r="T54" s="620" t="str">
        <f ca="1">F54</f>
        <v/>
      </c>
      <c r="U54" s="620">
        <f ca="1">IF(L54&lt;&gt;"",MATCH(L54,RRProbability,0),0)</f>
        <v>0</v>
      </c>
      <c r="V54" s="620">
        <f ca="1">IF(M54&lt;&gt;"",MATCH(M54,RRImpact,0),0)</f>
        <v>0</v>
      </c>
      <c r="W54" s="636" t="str">
        <f ca="1">K54</f>
        <v/>
      </c>
      <c r="X54" s="616"/>
      <c r="Y54" s="616"/>
      <c r="Z54" s="616"/>
      <c r="AA54" s="616"/>
    </row>
    <row r="55" spans="1:27" ht="15" hidden="1" customHeight="1">
      <c r="A55" s="620"/>
      <c r="B55" s="620">
        <f ca="1">IF(D55=D54,C54,0)</f>
        <v>0</v>
      </c>
      <c r="C55" s="634">
        <f ca="1">IF(D55&gt;0,MATCH(D55,OFFSET($R$7:$R$46,B55,0,ROWS($R$7:$R$46)-B55),0)+B55,0)</f>
        <v>0</v>
      </c>
      <c r="D55" s="635">
        <f>LARGE($R$7:$R$46,4)</f>
        <v>0</v>
      </c>
      <c r="E55" s="620" t="str">
        <f t="shared" ca="1" si="5"/>
        <v/>
      </c>
      <c r="F55" s="620" t="str">
        <f t="shared" ca="1" si="6"/>
        <v/>
      </c>
      <c r="G55" s="620" t="str">
        <f t="shared" ca="1" si="7"/>
        <v/>
      </c>
      <c r="H55" s="620" t="str">
        <f t="shared" ca="1" si="8"/>
        <v/>
      </c>
      <c r="I55" s="620" t="str">
        <f t="shared" ca="1" si="9"/>
        <v/>
      </c>
      <c r="J55" s="620" t="str">
        <f t="shared" ca="1" si="10"/>
        <v/>
      </c>
      <c r="K55" s="636" t="str">
        <f t="shared" ca="1" si="11"/>
        <v/>
      </c>
      <c r="L55" s="620" t="str">
        <f t="shared" ca="1" si="12"/>
        <v/>
      </c>
      <c r="M55" s="620" t="str">
        <f t="shared" ca="1" si="13"/>
        <v/>
      </c>
      <c r="N55" s="637" t="str">
        <f t="shared" ca="1" si="14"/>
        <v/>
      </c>
      <c r="O55" s="638" t="str">
        <f t="shared" ca="1" si="15"/>
        <v/>
      </c>
      <c r="P55" s="620" t="str">
        <f t="shared" ca="1" si="16"/>
        <v/>
      </c>
      <c r="Q55" s="620" t="str">
        <f t="shared" ca="1" si="17"/>
        <v/>
      </c>
      <c r="R55" s="620" t="str">
        <f t="shared" ca="1" si="18"/>
        <v/>
      </c>
      <c r="S55" s="620"/>
      <c r="T55" s="620" t="str">
        <f ca="1">F55</f>
        <v/>
      </c>
      <c r="U55" s="620">
        <f ca="1">IF(L55&lt;&gt;"",MATCH(L55,RRProbability,0),0)</f>
        <v>0</v>
      </c>
      <c r="V55" s="620">
        <f ca="1">IF(M55&lt;&gt;"",MATCH(M55,RRImpact,0),0)</f>
        <v>0</v>
      </c>
      <c r="W55" s="636" t="str">
        <f ca="1">K55</f>
        <v/>
      </c>
      <c r="X55" s="616"/>
      <c r="Y55" s="616"/>
      <c r="Z55" s="616"/>
      <c r="AA55" s="616"/>
    </row>
    <row r="56" spans="1:27" ht="15" hidden="1" customHeight="1">
      <c r="A56" s="620"/>
      <c r="B56" s="620">
        <f ca="1">IF(D56=D55,C55,0)</f>
        <v>0</v>
      </c>
      <c r="C56" s="634">
        <f ca="1">IF(D56&gt;0,MATCH(D56,OFFSET($R$7:$R$46,B56,0,ROWS($R$7:$R$46)-B56),0)+B56,0)</f>
        <v>0</v>
      </c>
      <c r="D56" s="635">
        <f>LARGE($R$7:$R$46,5)</f>
        <v>0</v>
      </c>
      <c r="E56" s="620" t="str">
        <f t="shared" ca="1" si="5"/>
        <v/>
      </c>
      <c r="F56" s="620" t="str">
        <f t="shared" ca="1" si="6"/>
        <v/>
      </c>
      <c r="G56" s="620" t="str">
        <f t="shared" ca="1" si="7"/>
        <v/>
      </c>
      <c r="H56" s="620" t="str">
        <f t="shared" ca="1" si="8"/>
        <v/>
      </c>
      <c r="I56" s="620" t="str">
        <f t="shared" ca="1" si="9"/>
        <v/>
      </c>
      <c r="J56" s="620" t="str">
        <f t="shared" ca="1" si="10"/>
        <v/>
      </c>
      <c r="K56" s="636" t="str">
        <f t="shared" ca="1" si="11"/>
        <v/>
      </c>
      <c r="L56" s="620" t="str">
        <f t="shared" ca="1" si="12"/>
        <v/>
      </c>
      <c r="M56" s="620" t="str">
        <f t="shared" ca="1" si="13"/>
        <v/>
      </c>
      <c r="N56" s="637" t="str">
        <f t="shared" ca="1" si="14"/>
        <v/>
      </c>
      <c r="O56" s="638" t="str">
        <f t="shared" ca="1" si="15"/>
        <v/>
      </c>
      <c r="P56" s="620" t="str">
        <f t="shared" ca="1" si="16"/>
        <v/>
      </c>
      <c r="Q56" s="620" t="str">
        <f t="shared" ca="1" si="17"/>
        <v/>
      </c>
      <c r="R56" s="620" t="str">
        <f t="shared" ca="1" si="18"/>
        <v/>
      </c>
      <c r="S56" s="620"/>
      <c r="T56" s="620" t="str">
        <f ca="1">F56</f>
        <v/>
      </c>
      <c r="U56" s="620">
        <f ca="1">IF(L56&lt;&gt;"",MATCH(L56,RRProbability,0),0)</f>
        <v>0</v>
      </c>
      <c r="V56" s="620">
        <f ca="1">IF(M56&lt;&gt;"",MATCH(M56,RRImpact,0),0)</f>
        <v>0</v>
      </c>
      <c r="W56" s="636" t="str">
        <f ca="1">K56</f>
        <v/>
      </c>
      <c r="X56" s="616"/>
      <c r="Y56" s="616"/>
      <c r="Z56" s="616"/>
      <c r="AA56" s="616"/>
    </row>
    <row r="57" spans="1:27" ht="15" hidden="1" customHeight="1">
      <c r="A57" s="620"/>
      <c r="B57" s="616"/>
      <c r="C57" s="616"/>
      <c r="D57" s="616"/>
      <c r="E57" s="616"/>
      <c r="F57" s="616"/>
      <c r="G57" s="616"/>
      <c r="H57" s="616"/>
      <c r="I57" s="616"/>
      <c r="J57" s="616"/>
      <c r="K57" s="616"/>
      <c r="L57" s="616"/>
      <c r="M57" s="616"/>
      <c r="N57" s="616"/>
      <c r="O57" s="616"/>
      <c r="P57" s="616"/>
      <c r="Q57" s="616"/>
      <c r="R57" s="616"/>
      <c r="S57" s="616"/>
      <c r="T57" s="616"/>
      <c r="U57" s="616"/>
      <c r="V57" s="616"/>
      <c r="W57" s="616"/>
      <c r="X57" s="616"/>
      <c r="Y57" s="616"/>
      <c r="Z57" s="616"/>
      <c r="AA57" s="616"/>
    </row>
    <row r="58" spans="1:27" ht="15" hidden="1" customHeight="1">
      <c r="A58" s="620"/>
      <c r="B58" s="616"/>
      <c r="C58" s="616"/>
      <c r="D58" s="616"/>
      <c r="E58" s="616"/>
      <c r="F58" s="616"/>
      <c r="G58" s="616"/>
      <c r="H58" s="616"/>
      <c r="I58" s="616"/>
      <c r="J58" s="616"/>
      <c r="K58" s="616"/>
      <c r="L58" s="616"/>
      <c r="M58" s="616"/>
      <c r="N58" s="616"/>
      <c r="O58" s="616"/>
      <c r="P58" s="616"/>
      <c r="Q58" s="616"/>
      <c r="R58" s="616"/>
      <c r="S58" s="616"/>
      <c r="T58" s="616"/>
      <c r="U58" s="616"/>
      <c r="V58" s="616"/>
      <c r="W58" s="616"/>
      <c r="X58" s="616"/>
      <c r="Y58" s="616"/>
      <c r="Z58" s="616"/>
      <c r="AA58" s="616"/>
    </row>
    <row r="59" spans="1:27" ht="15" hidden="1" customHeight="1">
      <c r="A59" s="616"/>
      <c r="B59" s="616"/>
      <c r="C59" s="616"/>
      <c r="D59" s="616"/>
      <c r="E59" s="616"/>
      <c r="F59" s="616"/>
      <c r="G59" s="616"/>
      <c r="H59" s="616"/>
      <c r="I59" s="616"/>
      <c r="J59" s="616"/>
      <c r="K59" s="616"/>
      <c r="L59" s="616"/>
      <c r="M59" s="616"/>
      <c r="N59" s="616"/>
      <c r="O59" s="616"/>
      <c r="P59" s="616"/>
      <c r="Q59" s="616"/>
      <c r="R59" s="616"/>
      <c r="S59" s="616"/>
      <c r="T59" s="616"/>
      <c r="U59" s="616"/>
      <c r="V59" s="616"/>
      <c r="W59" s="616"/>
      <c r="X59" s="616"/>
      <c r="Y59" s="616"/>
      <c r="Z59" s="616"/>
      <c r="AA59" s="616"/>
    </row>
    <row r="60" spans="1:27" ht="15" hidden="1" customHeight="1">
      <c r="A60" s="620"/>
      <c r="B60" s="616"/>
      <c r="C60" s="616"/>
      <c r="D60" s="616"/>
      <c r="E60" s="616"/>
      <c r="F60" s="616"/>
      <c r="G60" s="616"/>
      <c r="H60" s="616"/>
      <c r="I60" s="616"/>
      <c r="J60" s="616"/>
      <c r="K60" s="616"/>
      <c r="L60" s="616"/>
      <c r="M60" s="616"/>
      <c r="N60" s="616"/>
      <c r="O60" s="616"/>
      <c r="P60" s="616"/>
      <c r="Q60" s="616"/>
      <c r="R60" s="616"/>
      <c r="S60" s="616"/>
      <c r="T60" s="616"/>
      <c r="U60" s="616"/>
      <c r="V60" s="616"/>
      <c r="W60" s="616"/>
      <c r="X60" s="616"/>
      <c r="Y60" s="616"/>
      <c r="Z60" s="616"/>
      <c r="AA60" s="616"/>
    </row>
    <row r="61" spans="1:27" ht="30" hidden="1" customHeight="1">
      <c r="A61" s="620" t="s">
        <v>1514</v>
      </c>
      <c r="B61" s="632" t="s">
        <v>962</v>
      </c>
      <c r="C61" s="632" t="s">
        <v>963</v>
      </c>
      <c r="D61" s="632" t="s">
        <v>964</v>
      </c>
      <c r="E61" s="633" t="s">
        <v>201</v>
      </c>
      <c r="F61" s="633" t="s">
        <v>5</v>
      </c>
      <c r="G61" s="633" t="s">
        <v>754</v>
      </c>
      <c r="H61" s="633" t="s">
        <v>755</v>
      </c>
      <c r="I61" s="633" t="s">
        <v>307</v>
      </c>
      <c r="J61" s="633" t="s">
        <v>308</v>
      </c>
      <c r="K61" s="633" t="s">
        <v>965</v>
      </c>
      <c r="L61" s="633" t="s">
        <v>30</v>
      </c>
      <c r="M61" s="633" t="s">
        <v>60</v>
      </c>
      <c r="N61" s="633" t="s">
        <v>304</v>
      </c>
      <c r="O61" s="633" t="s">
        <v>303</v>
      </c>
      <c r="P61" s="633" t="s">
        <v>966</v>
      </c>
      <c r="Q61" s="633" t="s">
        <v>309</v>
      </c>
      <c r="R61" s="633" t="s">
        <v>306</v>
      </c>
      <c r="S61" s="620"/>
      <c r="T61" s="632" t="s">
        <v>967</v>
      </c>
      <c r="U61" s="632" t="s">
        <v>968</v>
      </c>
      <c r="V61" s="632" t="s">
        <v>969</v>
      </c>
      <c r="W61" s="632" t="s">
        <v>970</v>
      </c>
      <c r="X61" s="616"/>
      <c r="Y61" s="616"/>
      <c r="Z61" s="616"/>
      <c r="AA61" s="616"/>
    </row>
    <row r="62" spans="1:27" ht="15" hidden="1" customHeight="1">
      <c r="A62" s="620"/>
      <c r="B62" s="620"/>
      <c r="C62" s="634">
        <f>IF(D62&gt;0,MATCH(D62,$Z$7:$Z$46,0),0)</f>
        <v>0</v>
      </c>
      <c r="D62" s="635">
        <f>LARGE($Z$7:$Z$46,1)</f>
        <v>0</v>
      </c>
      <c r="E62" s="620" t="str">
        <f>IF(C62&gt;0,INDEX($A$7:$A$46,C62),"")</f>
        <v/>
      </c>
      <c r="F62" s="620" t="str">
        <f>IF(C62&gt;0,INDEX($B$7:$B$46,C62),"")</f>
        <v/>
      </c>
      <c r="G62" s="620" t="str">
        <f>IF(C62&gt;0,INDEX($D$7:$D$46,C62),"")</f>
        <v/>
      </c>
      <c r="H62" s="620" t="str">
        <f>IF(C62&gt;0,INDEX($E$7:$E$46,C62),"")</f>
        <v/>
      </c>
      <c r="I62" s="620" t="str">
        <f>IF(C62&gt;0,INDEX($H$7:$H$46,C62),"")</f>
        <v/>
      </c>
      <c r="J62" s="620" t="str">
        <f>IF(C62&gt;0,INDEX($L$7:$L$46,C62),"")</f>
        <v/>
      </c>
      <c r="K62" s="636" t="str">
        <f>IF(C62&gt;0,INDEX($R$7:$R$46,C62),"")</f>
        <v/>
      </c>
      <c r="L62" s="620" t="str">
        <f>IF(C62&gt;0,INDEX($K$7:$K$46,C62),"")</f>
        <v/>
      </c>
      <c r="M62" s="620" t="str">
        <f>IF(C62&gt;0,INDEX($O$7:$O$46,C62),"")</f>
        <v/>
      </c>
      <c r="N62" s="637" t="str">
        <f>IF(C62&gt;0,INDEX($P$7:$P$46,C62),"")</f>
        <v/>
      </c>
      <c r="O62" s="638" t="str">
        <f>IF(C62&gt;0,INDEX($S$7:$S$46,C62),"")</f>
        <v/>
      </c>
      <c r="P62" s="620" t="str">
        <f>IF(C62&gt;0,INDEX($T$7:$T$46,C62),"")</f>
        <v/>
      </c>
      <c r="Q62" s="620" t="str">
        <f>IF(C62&gt;0,INDEX($U$7:$U$46,C62),"")</f>
        <v/>
      </c>
      <c r="R62" s="620" t="str">
        <f>IF(C62&gt;0,INDEX($X$7:$X$46,C62),"")</f>
        <v/>
      </c>
      <c r="S62" s="620"/>
      <c r="T62" s="620" t="str">
        <f>F62</f>
        <v/>
      </c>
      <c r="U62" s="620">
        <f>IF(L62&lt;&gt;"",MATCH(L62,RRProbability,0),0)</f>
        <v>0</v>
      </c>
      <c r="V62" s="620">
        <f>IF(M62&lt;&gt;"",MATCH(M62,RRImpact,0),0)</f>
        <v>0</v>
      </c>
      <c r="W62" s="636" t="str">
        <f>K62</f>
        <v/>
      </c>
      <c r="X62" s="616"/>
      <c r="Y62" s="616"/>
      <c r="Z62" s="616"/>
      <c r="AA62" s="616"/>
    </row>
    <row r="63" spans="1:27" ht="15" hidden="1" customHeight="1">
      <c r="A63" s="620"/>
      <c r="B63" s="620">
        <f>IF(D63=D62,C62,0)</f>
        <v>0</v>
      </c>
      <c r="C63" s="634">
        <f ca="1">IF(D63&gt;0,MATCH(D63,OFFSET($Z$7:$Z$46,B63,0,ROWS($Z$7:$Z$46)-B63),0)+B63,0)</f>
        <v>0</v>
      </c>
      <c r="D63" s="635">
        <f>LARGE($Z$7:$Z$46,2)</f>
        <v>0</v>
      </c>
      <c r="E63" s="620" t="str">
        <f t="shared" ref="E63:E66" ca="1" si="19">IF(C63&gt;0,INDEX($A$7:$A$46,C63),"")</f>
        <v/>
      </c>
      <c r="F63" s="620" t="str">
        <f t="shared" ref="F63:F66" ca="1" si="20">IF(C63&gt;0,INDEX($B$7:$B$46,C63),"")</f>
        <v/>
      </c>
      <c r="G63" s="620" t="str">
        <f t="shared" ref="G63:G66" ca="1" si="21">IF(C63&gt;0,INDEX($D$7:$D$46,C63),"")</f>
        <v/>
      </c>
      <c r="H63" s="620" t="str">
        <f t="shared" ref="H63:H66" ca="1" si="22">IF(C63&gt;0,INDEX($E$7:$E$46,C63),"")</f>
        <v/>
      </c>
      <c r="I63" s="620" t="str">
        <f t="shared" ref="I63:I66" ca="1" si="23">IF(C63&gt;0,INDEX($H$7:$H$46,C63),"")</f>
        <v/>
      </c>
      <c r="J63" s="620" t="str">
        <f t="shared" ref="J63:J66" ca="1" si="24">IF(C63&gt;0,INDEX($L$7:$L$46,C63),"")</f>
        <v/>
      </c>
      <c r="K63" s="636" t="str">
        <f t="shared" ref="K63:K66" ca="1" si="25">IF(C63&gt;0,INDEX($R$7:$R$46,C63),"")</f>
        <v/>
      </c>
      <c r="L63" s="620" t="str">
        <f t="shared" ref="L63:L66" ca="1" si="26">IF(C63&gt;0,INDEX($K$7:$K$46,C63),"")</f>
        <v/>
      </c>
      <c r="M63" s="620" t="str">
        <f t="shared" ref="M63:M66" ca="1" si="27">IF(C63&gt;0,INDEX($O$7:$O$46,C63),"")</f>
        <v/>
      </c>
      <c r="N63" s="637" t="str">
        <f t="shared" ref="N63:N66" ca="1" si="28">IF(C63&gt;0,INDEX($P$7:$P$46,C63),"")</f>
        <v/>
      </c>
      <c r="O63" s="638" t="str">
        <f t="shared" ref="O63:O66" ca="1" si="29">IF(C63&gt;0,INDEX($S$7:$S$46,C63),"")</f>
        <v/>
      </c>
      <c r="P63" s="620" t="str">
        <f t="shared" ref="P63:P66" ca="1" si="30">IF(C63&gt;0,INDEX($T$7:$T$46,C63),"")</f>
        <v/>
      </c>
      <c r="Q63" s="620" t="str">
        <f t="shared" ref="Q63:Q66" ca="1" si="31">IF(C63&gt;0,INDEX($U$7:$U$46,C63),"")</f>
        <v/>
      </c>
      <c r="R63" s="620" t="str">
        <f t="shared" ref="R63:R66" ca="1" si="32">IF(C63&gt;0,INDEX($X$7:$X$46,C63),"")</f>
        <v/>
      </c>
      <c r="S63" s="620"/>
      <c r="T63" s="620" t="str">
        <f ca="1">F63</f>
        <v/>
      </c>
      <c r="U63" s="620">
        <f ca="1">IF(L63&lt;&gt;"",MATCH(L63,RRProbability,0),0)</f>
        <v>0</v>
      </c>
      <c r="V63" s="620">
        <f ca="1">IF(M63&lt;&gt;"",MATCH(M63,RRImpact,0),0)</f>
        <v>0</v>
      </c>
      <c r="W63" s="636" t="str">
        <f ca="1">K63</f>
        <v/>
      </c>
      <c r="X63" s="616"/>
      <c r="Y63" s="616"/>
      <c r="Z63" s="616"/>
      <c r="AA63" s="616"/>
    </row>
    <row r="64" spans="1:27" ht="15" hidden="1" customHeight="1">
      <c r="A64" s="620"/>
      <c r="B64" s="620">
        <f ca="1">IF(D64=D63,C63,0)</f>
        <v>0</v>
      </c>
      <c r="C64" s="634">
        <f ca="1">IF(D64&gt;0,MATCH(D64,OFFSET($Z$7:$Z$46,B64,0,ROWS($Z$7:$Z$46)-B64),0)+B64,0)</f>
        <v>0</v>
      </c>
      <c r="D64" s="635">
        <f>LARGE($Z$7:$Z$46,3)</f>
        <v>0</v>
      </c>
      <c r="E64" s="620" t="str">
        <f t="shared" ca="1" si="19"/>
        <v/>
      </c>
      <c r="F64" s="620" t="str">
        <f t="shared" ca="1" si="20"/>
        <v/>
      </c>
      <c r="G64" s="620" t="str">
        <f t="shared" ca="1" si="21"/>
        <v/>
      </c>
      <c r="H64" s="620" t="str">
        <f t="shared" ca="1" si="22"/>
        <v/>
      </c>
      <c r="I64" s="620" t="str">
        <f t="shared" ca="1" si="23"/>
        <v/>
      </c>
      <c r="J64" s="620" t="str">
        <f t="shared" ca="1" si="24"/>
        <v/>
      </c>
      <c r="K64" s="636" t="str">
        <f t="shared" ca="1" si="25"/>
        <v/>
      </c>
      <c r="L64" s="620" t="str">
        <f t="shared" ca="1" si="26"/>
        <v/>
      </c>
      <c r="M64" s="620" t="str">
        <f t="shared" ca="1" si="27"/>
        <v/>
      </c>
      <c r="N64" s="637" t="str">
        <f t="shared" ca="1" si="28"/>
        <v/>
      </c>
      <c r="O64" s="638" t="str">
        <f t="shared" ca="1" si="29"/>
        <v/>
      </c>
      <c r="P64" s="620" t="str">
        <f t="shared" ca="1" si="30"/>
        <v/>
      </c>
      <c r="Q64" s="620" t="str">
        <f t="shared" ca="1" si="31"/>
        <v/>
      </c>
      <c r="R64" s="620" t="str">
        <f t="shared" ca="1" si="32"/>
        <v/>
      </c>
      <c r="S64" s="620"/>
      <c r="T64" s="620" t="str">
        <f ca="1">F64</f>
        <v/>
      </c>
      <c r="U64" s="620">
        <f ca="1">IF(L64&lt;&gt;"",MATCH(L64,RRProbability,0),0)</f>
        <v>0</v>
      </c>
      <c r="V64" s="620">
        <f ca="1">IF(M64&lt;&gt;"",MATCH(M64,RRImpact,0),0)</f>
        <v>0</v>
      </c>
      <c r="W64" s="636" t="str">
        <f ca="1">K64</f>
        <v/>
      </c>
      <c r="X64" s="616"/>
      <c r="Y64" s="616"/>
      <c r="Z64" s="616"/>
      <c r="AA64" s="616"/>
    </row>
    <row r="65" spans="1:27" ht="15" hidden="1" customHeight="1">
      <c r="A65" s="620"/>
      <c r="B65" s="620">
        <f ca="1">IF(D65=D64,C64,0)</f>
        <v>0</v>
      </c>
      <c r="C65" s="634">
        <f ca="1">IF(D65&gt;0,MATCH(D65,OFFSET($Z$7:$Z$46,B65,0,ROWS($Z$7:$Z$46)-B65),0)+B65,0)</f>
        <v>0</v>
      </c>
      <c r="D65" s="635">
        <f>LARGE($Z$7:$Z$46,4)</f>
        <v>0</v>
      </c>
      <c r="E65" s="620" t="str">
        <f t="shared" ca="1" si="19"/>
        <v/>
      </c>
      <c r="F65" s="620" t="str">
        <f t="shared" ca="1" si="20"/>
        <v/>
      </c>
      <c r="G65" s="620" t="str">
        <f t="shared" ca="1" si="21"/>
        <v/>
      </c>
      <c r="H65" s="620" t="str">
        <f t="shared" ca="1" si="22"/>
        <v/>
      </c>
      <c r="I65" s="620" t="str">
        <f t="shared" ca="1" si="23"/>
        <v/>
      </c>
      <c r="J65" s="620" t="str">
        <f t="shared" ca="1" si="24"/>
        <v/>
      </c>
      <c r="K65" s="636" t="str">
        <f t="shared" ca="1" si="25"/>
        <v/>
      </c>
      <c r="L65" s="620" t="str">
        <f t="shared" ca="1" si="26"/>
        <v/>
      </c>
      <c r="M65" s="620" t="str">
        <f t="shared" ca="1" si="27"/>
        <v/>
      </c>
      <c r="N65" s="637" t="str">
        <f t="shared" ca="1" si="28"/>
        <v/>
      </c>
      <c r="O65" s="638" t="str">
        <f t="shared" ca="1" si="29"/>
        <v/>
      </c>
      <c r="P65" s="620" t="str">
        <f t="shared" ca="1" si="30"/>
        <v/>
      </c>
      <c r="Q65" s="620" t="str">
        <f t="shared" ca="1" si="31"/>
        <v/>
      </c>
      <c r="R65" s="620" t="str">
        <f t="shared" ca="1" si="32"/>
        <v/>
      </c>
      <c r="S65" s="620"/>
      <c r="T65" s="620" t="str">
        <f ca="1">F65</f>
        <v/>
      </c>
      <c r="U65" s="620">
        <f ca="1">IF(L65&lt;&gt;"",MATCH(L65,RRProbability,0),0)</f>
        <v>0</v>
      </c>
      <c r="V65" s="620">
        <f ca="1">IF(M65&lt;&gt;"",MATCH(M65,RRImpact,0),0)</f>
        <v>0</v>
      </c>
      <c r="W65" s="636" t="str">
        <f ca="1">K65</f>
        <v/>
      </c>
      <c r="X65" s="616"/>
      <c r="Y65" s="616"/>
      <c r="Z65" s="616"/>
      <c r="AA65" s="616"/>
    </row>
    <row r="66" spans="1:27" ht="15" hidden="1" customHeight="1">
      <c r="A66" s="620"/>
      <c r="B66" s="620">
        <f ca="1">IF(D66=D65,C65,0)</f>
        <v>0</v>
      </c>
      <c r="C66" s="634">
        <f ca="1">IF(D66&gt;0,MATCH(D66,OFFSET($Z$7:$Z$46,B66,0,ROWS($Z$7:$Z$46)-B66),0)+B66,0)</f>
        <v>0</v>
      </c>
      <c r="D66" s="635">
        <f>LARGE($Z$7:$Z$46,5)</f>
        <v>0</v>
      </c>
      <c r="E66" s="620" t="str">
        <f t="shared" ca="1" si="19"/>
        <v/>
      </c>
      <c r="F66" s="620" t="str">
        <f t="shared" ca="1" si="20"/>
        <v/>
      </c>
      <c r="G66" s="620" t="str">
        <f t="shared" ca="1" si="21"/>
        <v/>
      </c>
      <c r="H66" s="620" t="str">
        <f t="shared" ca="1" si="22"/>
        <v/>
      </c>
      <c r="I66" s="620" t="str">
        <f t="shared" ca="1" si="23"/>
        <v/>
      </c>
      <c r="J66" s="620" t="str">
        <f t="shared" ca="1" si="24"/>
        <v/>
      </c>
      <c r="K66" s="636" t="str">
        <f t="shared" ca="1" si="25"/>
        <v/>
      </c>
      <c r="L66" s="620" t="str">
        <f t="shared" ca="1" si="26"/>
        <v/>
      </c>
      <c r="M66" s="620" t="str">
        <f t="shared" ca="1" si="27"/>
        <v/>
      </c>
      <c r="N66" s="637" t="str">
        <f t="shared" ca="1" si="28"/>
        <v/>
      </c>
      <c r="O66" s="638" t="str">
        <f t="shared" ca="1" si="29"/>
        <v/>
      </c>
      <c r="P66" s="620" t="str">
        <f t="shared" ca="1" si="30"/>
        <v/>
      </c>
      <c r="Q66" s="620" t="str">
        <f t="shared" ca="1" si="31"/>
        <v/>
      </c>
      <c r="R66" s="620" t="str">
        <f t="shared" ca="1" si="32"/>
        <v/>
      </c>
      <c r="S66" s="620"/>
      <c r="T66" s="620" t="str">
        <f ca="1">F66</f>
        <v/>
      </c>
      <c r="U66" s="620">
        <f ca="1">IF(L66&lt;&gt;"",MATCH(L66,RRProbability,0),0)</f>
        <v>0</v>
      </c>
      <c r="V66" s="620">
        <f ca="1">IF(M66&lt;&gt;"",MATCH(M66,RRImpact,0),0)</f>
        <v>0</v>
      </c>
      <c r="W66" s="636" t="str">
        <f ca="1">K66</f>
        <v/>
      </c>
      <c r="X66" s="616"/>
      <c r="Y66" s="616"/>
      <c r="Z66" s="616"/>
      <c r="AA66" s="616"/>
    </row>
    <row r="67" spans="1:27" ht="15" hidden="1" customHeight="1">
      <c r="A67" s="620"/>
      <c r="B67" s="616"/>
      <c r="C67" s="616"/>
      <c r="D67" s="616"/>
      <c r="E67" s="616"/>
      <c r="F67" s="616"/>
      <c r="G67" s="616"/>
      <c r="H67" s="616"/>
      <c r="I67" s="616"/>
      <c r="J67" s="616"/>
      <c r="K67" s="616"/>
      <c r="L67" s="616"/>
      <c r="M67" s="616"/>
      <c r="N67" s="616"/>
      <c r="O67" s="616"/>
      <c r="P67" s="616"/>
      <c r="Q67" s="616"/>
      <c r="R67" s="616"/>
      <c r="S67" s="616"/>
      <c r="T67" s="616"/>
      <c r="U67" s="616"/>
      <c r="V67" s="616"/>
      <c r="W67" s="616"/>
      <c r="X67" s="616"/>
      <c r="Y67" s="616"/>
      <c r="Z67" s="616"/>
      <c r="AA67" s="616"/>
    </row>
    <row r="68" spans="1:27" ht="15" customHeight="1">
      <c r="A68" s="620"/>
      <c r="B68" s="616"/>
      <c r="C68" s="616"/>
      <c r="D68" s="616"/>
      <c r="E68" s="616"/>
      <c r="F68" s="616"/>
      <c r="G68" s="616"/>
      <c r="H68" s="616"/>
      <c r="I68" s="616"/>
      <c r="J68" s="616"/>
      <c r="K68" s="616"/>
      <c r="L68" s="616"/>
      <c r="M68" s="616"/>
      <c r="N68" s="616"/>
      <c r="O68" s="616"/>
      <c r="P68" s="616"/>
      <c r="Q68" s="616"/>
      <c r="R68" s="616"/>
      <c r="S68" s="616"/>
      <c r="T68" s="616"/>
      <c r="U68" s="616"/>
      <c r="V68" s="616"/>
      <c r="W68" s="616"/>
      <c r="X68" s="616"/>
      <c r="Y68" s="616"/>
      <c r="Z68" s="616"/>
      <c r="AA68" s="616"/>
    </row>
    <row r="69" spans="1:27" ht="15" customHeight="1"/>
    <row r="70" spans="1:27" ht="15" customHeight="1"/>
    <row r="71" spans="1:27" ht="15" customHeight="1"/>
    <row r="72" spans="1:27" ht="15" customHeight="1"/>
    <row r="73" spans="1:27" ht="15" customHeight="1"/>
    <row r="74" spans="1:27" ht="15" customHeight="1"/>
    <row r="75" spans="1:27" ht="15" customHeight="1"/>
    <row r="76" spans="1:27" ht="15" customHeight="1"/>
    <row r="77" spans="1:27" ht="15" customHeight="1"/>
    <row r="78" spans="1:27" ht="15" customHeight="1"/>
    <row r="79" spans="1:27" ht="15" customHeight="1"/>
    <row r="80" spans="1:27" ht="15" customHeight="1"/>
    <row r="81" spans="1:25" ht="15" customHeight="1"/>
    <row r="82" spans="1:25" ht="15" customHeight="1"/>
    <row r="83" spans="1:25" ht="15" customHeight="1"/>
    <row r="84" spans="1:25" ht="15" customHeight="1"/>
    <row r="85" spans="1:25" ht="15" customHeight="1"/>
    <row r="86" spans="1:25" ht="15" customHeight="1"/>
    <row r="87" spans="1:25" ht="15" customHeight="1"/>
    <row r="88" spans="1:25" ht="15" customHeight="1">
      <c r="A88" s="625"/>
      <c r="B88" s="626"/>
      <c r="C88" s="626"/>
      <c r="D88" s="626"/>
      <c r="E88" s="626"/>
      <c r="F88" s="626"/>
      <c r="G88" s="626"/>
      <c r="H88" s="626"/>
      <c r="I88" s="626"/>
      <c r="J88" s="626"/>
      <c r="K88" s="626"/>
      <c r="L88" s="626"/>
      <c r="M88" s="626"/>
      <c r="N88" s="626"/>
      <c r="O88" s="626"/>
      <c r="P88" s="626"/>
      <c r="Q88" s="626"/>
      <c r="R88" s="626"/>
      <c r="S88" s="626"/>
      <c r="T88" s="626"/>
      <c r="U88" s="626"/>
      <c r="V88" s="626"/>
      <c r="W88" s="626"/>
      <c r="X88" s="626"/>
      <c r="Y88" s="626"/>
    </row>
    <row r="89" spans="1:25" ht="15" customHeight="1">
      <c r="A89" s="625"/>
      <c r="B89" s="626"/>
      <c r="C89" s="626"/>
      <c r="D89" s="626"/>
      <c r="E89" s="626"/>
      <c r="F89" s="626"/>
      <c r="G89" s="626"/>
      <c r="H89" s="626"/>
      <c r="I89" s="626"/>
      <c r="J89" s="626"/>
      <c r="K89" s="626"/>
      <c r="L89" s="626"/>
      <c r="M89" s="626"/>
      <c r="N89" s="626"/>
      <c r="O89" s="626"/>
      <c r="P89" s="626"/>
      <c r="Q89" s="626"/>
      <c r="R89" s="626"/>
      <c r="S89" s="626"/>
      <c r="T89" s="626"/>
      <c r="U89" s="626"/>
      <c r="V89" s="626"/>
      <c r="W89" s="626"/>
      <c r="X89" s="626"/>
      <c r="Y89" s="626"/>
    </row>
    <row r="90" spans="1:25" ht="15" customHeight="1">
      <c r="A90" s="625"/>
      <c r="B90" s="626"/>
      <c r="C90" s="626"/>
      <c r="D90" s="626"/>
      <c r="E90" s="626"/>
      <c r="F90" s="626"/>
      <c r="G90" s="626"/>
      <c r="H90" s="626"/>
      <c r="I90" s="626"/>
      <c r="J90" s="626"/>
      <c r="K90" s="626"/>
      <c r="L90" s="626"/>
      <c r="M90" s="626"/>
      <c r="N90" s="626"/>
      <c r="O90" s="626"/>
      <c r="P90" s="626"/>
      <c r="Q90" s="626"/>
      <c r="R90" s="626"/>
      <c r="S90" s="626"/>
      <c r="T90" s="626"/>
      <c r="U90" s="626"/>
      <c r="V90" s="626"/>
      <c r="W90" s="626"/>
      <c r="X90" s="626"/>
      <c r="Y90" s="626"/>
    </row>
    <row r="91" spans="1:25" ht="15" customHeight="1">
      <c r="A91" s="625"/>
      <c r="B91" s="626"/>
      <c r="C91" s="626"/>
      <c r="D91" s="626"/>
      <c r="E91" s="626"/>
      <c r="F91" s="626"/>
      <c r="G91" s="626"/>
      <c r="H91" s="626"/>
      <c r="I91" s="626"/>
      <c r="J91" s="626"/>
      <c r="K91" s="626"/>
      <c r="L91" s="626"/>
      <c r="M91" s="626"/>
      <c r="N91" s="626"/>
      <c r="O91" s="626"/>
      <c r="P91" s="626"/>
      <c r="Q91" s="626"/>
      <c r="R91" s="626"/>
      <c r="S91" s="626"/>
      <c r="T91" s="626"/>
      <c r="U91" s="626"/>
      <c r="V91" s="626"/>
      <c r="W91" s="626"/>
      <c r="X91" s="626"/>
      <c r="Y91" s="626"/>
    </row>
    <row r="92" spans="1:25" ht="15" customHeight="1">
      <c r="A92" s="625"/>
      <c r="B92" s="626"/>
      <c r="C92" s="626"/>
      <c r="D92" s="626"/>
      <c r="E92" s="626"/>
      <c r="F92" s="626"/>
      <c r="G92" s="626"/>
      <c r="H92" s="626"/>
      <c r="I92" s="626"/>
      <c r="J92" s="626"/>
      <c r="K92" s="626"/>
      <c r="L92" s="626"/>
      <c r="M92" s="626"/>
      <c r="N92" s="626"/>
      <c r="O92" s="626"/>
      <c r="P92" s="626"/>
      <c r="Q92" s="626"/>
      <c r="R92" s="626"/>
      <c r="S92" s="626"/>
      <c r="T92" s="626"/>
      <c r="U92" s="626"/>
      <c r="V92" s="626"/>
      <c r="W92" s="626"/>
      <c r="X92" s="626"/>
      <c r="Y92" s="626"/>
    </row>
    <row r="93" spans="1:25" ht="15" customHeight="1">
      <c r="A93" s="625"/>
      <c r="B93" s="626"/>
      <c r="C93" s="626"/>
      <c r="D93" s="626"/>
      <c r="E93" s="626"/>
      <c r="F93" s="626"/>
      <c r="G93" s="626"/>
      <c r="H93" s="626"/>
      <c r="I93" s="626"/>
      <c r="J93" s="626"/>
      <c r="K93" s="626"/>
      <c r="L93" s="626"/>
      <c r="M93" s="626"/>
      <c r="N93" s="626"/>
      <c r="O93" s="626"/>
      <c r="P93" s="626"/>
      <c r="Q93" s="626"/>
      <c r="R93" s="626"/>
      <c r="S93" s="626"/>
      <c r="T93" s="626"/>
      <c r="U93" s="626"/>
      <c r="V93" s="626"/>
      <c r="W93" s="626"/>
      <c r="X93" s="626"/>
      <c r="Y93" s="626"/>
    </row>
    <row r="94" spans="1:25" ht="15" customHeight="1">
      <c r="A94" s="625"/>
      <c r="B94" s="626"/>
      <c r="C94" s="626"/>
      <c r="D94" s="626"/>
      <c r="E94" s="626"/>
      <c r="F94" s="626"/>
      <c r="G94" s="626"/>
      <c r="H94" s="626"/>
      <c r="I94" s="626"/>
      <c r="J94" s="626"/>
      <c r="K94" s="626"/>
      <c r="L94" s="626"/>
      <c r="M94" s="626"/>
      <c r="N94" s="626"/>
      <c r="O94" s="626"/>
      <c r="P94" s="626"/>
      <c r="Q94" s="626"/>
      <c r="R94" s="626"/>
      <c r="S94" s="626"/>
      <c r="T94" s="626"/>
      <c r="U94" s="626"/>
      <c r="V94" s="626"/>
      <c r="W94" s="626"/>
      <c r="X94" s="626"/>
      <c r="Y94" s="626"/>
    </row>
    <row r="95" spans="1:25" ht="15" customHeight="1">
      <c r="A95" s="625"/>
      <c r="B95" s="626"/>
      <c r="C95" s="626"/>
      <c r="D95" s="626"/>
      <c r="E95" s="626"/>
      <c r="F95" s="626"/>
      <c r="G95" s="626"/>
      <c r="H95" s="626"/>
      <c r="I95" s="626"/>
      <c r="J95" s="626"/>
      <c r="K95" s="626"/>
      <c r="L95" s="626"/>
      <c r="M95" s="626"/>
      <c r="N95" s="626"/>
      <c r="O95" s="626"/>
      <c r="P95" s="626"/>
      <c r="Q95" s="626"/>
      <c r="R95" s="626"/>
      <c r="S95" s="626"/>
      <c r="T95" s="626"/>
      <c r="U95" s="626"/>
      <c r="V95" s="626"/>
      <c r="W95" s="626"/>
      <c r="X95" s="626"/>
      <c r="Y95" s="626"/>
    </row>
    <row r="96" spans="1:25" ht="15" customHeight="1">
      <c r="A96" s="625"/>
      <c r="B96" s="626"/>
      <c r="C96" s="626"/>
      <c r="D96" s="626"/>
      <c r="E96" s="626"/>
      <c r="F96" s="626"/>
      <c r="G96" s="626"/>
      <c r="H96" s="626"/>
      <c r="I96" s="626"/>
      <c r="J96" s="626"/>
      <c r="K96" s="626"/>
      <c r="L96" s="626"/>
      <c r="M96" s="626"/>
      <c r="N96" s="626"/>
      <c r="O96" s="626"/>
      <c r="P96" s="626"/>
      <c r="Q96" s="626"/>
      <c r="R96" s="626"/>
      <c r="S96" s="626"/>
      <c r="T96" s="626"/>
      <c r="U96" s="626"/>
      <c r="V96" s="626"/>
      <c r="W96" s="626"/>
      <c r="X96" s="626"/>
      <c r="Y96" s="626"/>
    </row>
    <row r="97" spans="1:25" ht="15" customHeight="1">
      <c r="A97" s="625"/>
      <c r="B97" s="626"/>
      <c r="C97" s="626"/>
      <c r="D97" s="626"/>
      <c r="E97" s="626"/>
      <c r="F97" s="626"/>
      <c r="G97" s="626"/>
      <c r="H97" s="626"/>
      <c r="I97" s="626"/>
      <c r="J97" s="626"/>
      <c r="K97" s="626"/>
      <c r="L97" s="626"/>
      <c r="M97" s="626"/>
      <c r="N97" s="626"/>
      <c r="O97" s="626"/>
      <c r="P97" s="626"/>
      <c r="Q97" s="626"/>
      <c r="R97" s="626"/>
      <c r="S97" s="626"/>
      <c r="T97" s="626"/>
      <c r="U97" s="626"/>
      <c r="V97" s="626"/>
      <c r="W97" s="626"/>
      <c r="X97" s="626"/>
      <c r="Y97" s="626"/>
    </row>
    <row r="98" spans="1:25" ht="15" customHeight="1">
      <c r="A98" s="625"/>
      <c r="B98" s="626"/>
      <c r="C98" s="626"/>
      <c r="D98" s="626"/>
      <c r="E98" s="626"/>
      <c r="F98" s="626"/>
      <c r="G98" s="626"/>
      <c r="H98" s="626"/>
      <c r="I98" s="626"/>
      <c r="J98" s="626"/>
      <c r="K98" s="626"/>
      <c r="L98" s="626"/>
      <c r="M98" s="626"/>
      <c r="N98" s="626"/>
      <c r="O98" s="626"/>
      <c r="P98" s="626"/>
      <c r="Q98" s="626"/>
      <c r="R98" s="626"/>
      <c r="S98" s="626"/>
      <c r="T98" s="626"/>
      <c r="U98" s="626"/>
      <c r="V98" s="626"/>
      <c r="W98" s="626"/>
      <c r="X98" s="626"/>
      <c r="Y98" s="626"/>
    </row>
    <row r="99" spans="1:25" ht="15" customHeight="1">
      <c r="A99" s="625"/>
      <c r="B99" s="626"/>
      <c r="C99" s="626"/>
      <c r="D99" s="626"/>
      <c r="E99" s="626"/>
      <c r="F99" s="626"/>
      <c r="G99" s="626"/>
      <c r="H99" s="626"/>
      <c r="I99" s="626"/>
      <c r="J99" s="626"/>
      <c r="K99" s="626"/>
      <c r="L99" s="626"/>
      <c r="M99" s="626"/>
      <c r="N99" s="626"/>
      <c r="O99" s="626"/>
      <c r="P99" s="626"/>
      <c r="Q99" s="626"/>
      <c r="R99" s="626"/>
      <c r="S99" s="626"/>
      <c r="T99" s="626"/>
      <c r="U99" s="626"/>
      <c r="V99" s="626"/>
      <c r="W99" s="626"/>
      <c r="X99" s="626"/>
      <c r="Y99" s="626"/>
    </row>
    <row r="100" spans="1:25" ht="15" customHeight="1">
      <c r="A100" s="625"/>
      <c r="B100" s="626"/>
      <c r="C100" s="626"/>
      <c r="D100" s="626"/>
      <c r="E100" s="626"/>
      <c r="F100" s="626"/>
      <c r="G100" s="626"/>
      <c r="H100" s="626"/>
      <c r="I100" s="626"/>
      <c r="J100" s="626"/>
      <c r="K100" s="626"/>
      <c r="L100" s="626"/>
      <c r="M100" s="626"/>
      <c r="N100" s="626"/>
      <c r="O100" s="626"/>
      <c r="P100" s="626"/>
      <c r="Q100" s="626"/>
      <c r="R100" s="626"/>
      <c r="S100" s="626"/>
      <c r="T100" s="626"/>
      <c r="U100" s="626"/>
      <c r="V100" s="626"/>
      <c r="W100" s="626"/>
      <c r="X100" s="626"/>
      <c r="Y100" s="626"/>
    </row>
    <row r="101" spans="1:25" ht="15" customHeight="1">
      <c r="A101" s="625"/>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c r="X101" s="626"/>
      <c r="Y101" s="626"/>
    </row>
    <row r="102" spans="1:25" ht="15" customHeight="1">
      <c r="A102" s="625"/>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c r="X102" s="626"/>
      <c r="Y102" s="626"/>
    </row>
    <row r="103" spans="1:25" ht="15" customHeight="1">
      <c r="A103" s="625"/>
      <c r="B103" s="626"/>
      <c r="C103" s="626"/>
      <c r="D103" s="626"/>
      <c r="E103" s="626"/>
      <c r="F103" s="626"/>
      <c r="G103" s="626"/>
      <c r="H103" s="626"/>
      <c r="I103" s="626"/>
      <c r="J103" s="626"/>
      <c r="K103" s="626"/>
      <c r="L103" s="626"/>
      <c r="M103" s="626"/>
      <c r="N103" s="626"/>
      <c r="O103" s="626"/>
      <c r="P103" s="626"/>
      <c r="Q103" s="626"/>
      <c r="R103" s="626"/>
      <c r="S103" s="626"/>
      <c r="T103" s="626"/>
      <c r="U103" s="626"/>
      <c r="V103" s="626"/>
      <c r="W103" s="626"/>
      <c r="X103" s="626"/>
      <c r="Y103" s="626"/>
    </row>
    <row r="104" spans="1:25" ht="15" customHeight="1">
      <c r="A104" s="625"/>
      <c r="B104" s="626"/>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row>
    <row r="105" spans="1:25" ht="15" customHeight="1">
      <c r="A105" s="625"/>
      <c r="B105" s="626"/>
      <c r="C105" s="626"/>
      <c r="D105" s="626"/>
      <c r="E105" s="626"/>
      <c r="F105" s="626"/>
      <c r="G105" s="626"/>
      <c r="H105" s="626"/>
      <c r="I105" s="626"/>
      <c r="J105" s="626"/>
      <c r="K105" s="626"/>
      <c r="L105" s="626"/>
      <c r="M105" s="626"/>
      <c r="N105" s="626"/>
      <c r="O105" s="626"/>
      <c r="P105" s="626"/>
      <c r="Q105" s="626"/>
      <c r="R105" s="626"/>
      <c r="S105" s="626"/>
      <c r="T105" s="626"/>
      <c r="U105" s="626"/>
      <c r="V105" s="626"/>
      <c r="W105" s="626"/>
      <c r="X105" s="626"/>
      <c r="Y105" s="626"/>
    </row>
    <row r="106" spans="1:25" ht="15" customHeight="1">
      <c r="A106" s="625"/>
      <c r="B106" s="626"/>
      <c r="C106" s="626"/>
      <c r="D106" s="626"/>
      <c r="E106" s="626"/>
      <c r="F106" s="626"/>
      <c r="G106" s="626"/>
      <c r="H106" s="626"/>
      <c r="I106" s="626"/>
      <c r="J106" s="626"/>
      <c r="K106" s="626"/>
      <c r="L106" s="626"/>
      <c r="M106" s="626"/>
      <c r="N106" s="626"/>
      <c r="O106" s="626"/>
      <c r="P106" s="626"/>
      <c r="Q106" s="626"/>
      <c r="R106" s="626"/>
      <c r="S106" s="626"/>
      <c r="T106" s="626"/>
      <c r="U106" s="626"/>
      <c r="V106" s="626"/>
      <c r="W106" s="626"/>
      <c r="X106" s="626"/>
      <c r="Y106" s="626"/>
    </row>
    <row r="107" spans="1:25" ht="15" customHeight="1">
      <c r="A107" s="625"/>
      <c r="B107" s="626"/>
      <c r="C107" s="626"/>
      <c r="D107" s="626"/>
      <c r="E107" s="626"/>
      <c r="F107" s="626"/>
      <c r="G107" s="626"/>
      <c r="H107" s="626"/>
      <c r="I107" s="626"/>
      <c r="J107" s="626"/>
      <c r="K107" s="626"/>
      <c r="L107" s="626"/>
      <c r="M107" s="626"/>
      <c r="N107" s="626"/>
      <c r="O107" s="626"/>
      <c r="P107" s="626"/>
      <c r="Q107" s="626"/>
      <c r="R107" s="626"/>
      <c r="S107" s="626"/>
      <c r="T107" s="626"/>
      <c r="U107" s="626"/>
      <c r="V107" s="626"/>
      <c r="W107" s="626"/>
      <c r="X107" s="626"/>
      <c r="Y107" s="626"/>
    </row>
    <row r="108" spans="1:25" ht="15" customHeight="1">
      <c r="A108" s="625"/>
      <c r="B108" s="626"/>
      <c r="C108" s="626"/>
      <c r="D108" s="626"/>
      <c r="E108" s="626"/>
      <c r="F108" s="626"/>
      <c r="G108" s="626"/>
      <c r="H108" s="626"/>
      <c r="I108" s="626"/>
      <c r="J108" s="626"/>
      <c r="K108" s="626"/>
      <c r="L108" s="626"/>
      <c r="M108" s="626"/>
      <c r="N108" s="626"/>
      <c r="O108" s="626"/>
      <c r="P108" s="626"/>
      <c r="Q108" s="626"/>
      <c r="R108" s="626"/>
      <c r="S108" s="626"/>
      <c r="T108" s="626"/>
      <c r="U108" s="626"/>
      <c r="V108" s="626"/>
      <c r="W108" s="626"/>
      <c r="X108" s="626"/>
      <c r="Y108" s="626"/>
    </row>
    <row r="109" spans="1:25" ht="15" customHeight="1">
      <c r="A109" s="625"/>
      <c r="B109" s="626"/>
      <c r="C109" s="626"/>
      <c r="D109" s="626"/>
      <c r="E109" s="626"/>
      <c r="F109" s="626"/>
      <c r="G109" s="626"/>
      <c r="H109" s="626"/>
      <c r="I109" s="626"/>
      <c r="J109" s="626"/>
      <c r="K109" s="626"/>
      <c r="L109" s="626"/>
      <c r="M109" s="626"/>
      <c r="N109" s="626"/>
      <c r="O109" s="626"/>
      <c r="P109" s="626"/>
      <c r="Q109" s="626"/>
      <c r="R109" s="626"/>
      <c r="S109" s="626"/>
      <c r="T109" s="626"/>
      <c r="U109" s="626"/>
      <c r="V109" s="626"/>
      <c r="W109" s="626"/>
      <c r="X109" s="626"/>
      <c r="Y109" s="626"/>
    </row>
    <row r="110" spans="1:25" ht="15" customHeight="1">
      <c r="A110" s="625"/>
      <c r="B110" s="626"/>
      <c r="C110" s="626"/>
      <c r="D110" s="626"/>
      <c r="E110" s="626"/>
      <c r="F110" s="626"/>
      <c r="G110" s="626"/>
      <c r="H110" s="626"/>
      <c r="I110" s="626"/>
      <c r="J110" s="626"/>
      <c r="K110" s="626"/>
      <c r="L110" s="626"/>
      <c r="M110" s="626"/>
      <c r="N110" s="626"/>
      <c r="O110" s="626"/>
      <c r="P110" s="626"/>
      <c r="Q110" s="626"/>
      <c r="R110" s="626"/>
      <c r="S110" s="626"/>
      <c r="T110" s="626"/>
      <c r="U110" s="626"/>
      <c r="V110" s="626"/>
      <c r="W110" s="626"/>
      <c r="X110" s="626"/>
      <c r="Y110" s="626"/>
    </row>
    <row r="111" spans="1:25" ht="15" customHeight="1">
      <c r="A111" s="625"/>
      <c r="B111" s="626"/>
      <c r="C111" s="626"/>
      <c r="D111" s="626"/>
      <c r="E111" s="626"/>
      <c r="F111" s="626"/>
      <c r="G111" s="626"/>
      <c r="H111" s="626"/>
      <c r="I111" s="626"/>
      <c r="J111" s="626"/>
      <c r="K111" s="626"/>
      <c r="L111" s="626"/>
      <c r="M111" s="626"/>
      <c r="N111" s="626"/>
      <c r="O111" s="626"/>
      <c r="P111" s="626"/>
      <c r="Q111" s="626"/>
      <c r="R111" s="626"/>
      <c r="S111" s="626"/>
      <c r="T111" s="626"/>
      <c r="U111" s="626"/>
      <c r="V111" s="626"/>
      <c r="W111" s="626"/>
      <c r="X111" s="626"/>
      <c r="Y111" s="626"/>
    </row>
    <row r="112" spans="1:25" ht="15" customHeight="1">
      <c r="A112" s="625"/>
      <c r="B112" s="626"/>
      <c r="C112" s="626"/>
      <c r="D112" s="626"/>
      <c r="E112" s="626"/>
      <c r="F112" s="626"/>
      <c r="G112" s="626"/>
      <c r="H112" s="626"/>
      <c r="I112" s="626"/>
      <c r="J112" s="626"/>
      <c r="K112" s="626"/>
      <c r="L112" s="626"/>
      <c r="M112" s="626"/>
      <c r="N112" s="626"/>
      <c r="O112" s="626"/>
      <c r="P112" s="626"/>
      <c r="Q112" s="626"/>
      <c r="R112" s="626"/>
      <c r="S112" s="626"/>
      <c r="T112" s="626"/>
      <c r="U112" s="626"/>
      <c r="V112" s="626"/>
      <c r="W112" s="626"/>
      <c r="X112" s="626"/>
      <c r="Y112" s="626"/>
    </row>
    <row r="113" spans="1:25" ht="15" customHeight="1">
      <c r="A113" s="625"/>
      <c r="B113" s="626"/>
      <c r="C113" s="626"/>
      <c r="D113" s="626"/>
      <c r="E113" s="626"/>
      <c r="F113" s="626"/>
      <c r="G113" s="626"/>
      <c r="H113" s="626"/>
      <c r="I113" s="626"/>
      <c r="J113" s="626"/>
      <c r="K113" s="626"/>
      <c r="L113" s="626"/>
      <c r="M113" s="626"/>
      <c r="N113" s="626"/>
      <c r="O113" s="626"/>
      <c r="P113" s="626"/>
      <c r="Q113" s="626"/>
      <c r="R113" s="626"/>
      <c r="S113" s="626"/>
      <c r="T113" s="626"/>
      <c r="U113" s="626"/>
      <c r="V113" s="626"/>
      <c r="W113" s="626"/>
      <c r="X113" s="626"/>
      <c r="Y113" s="626"/>
    </row>
    <row r="114" spans="1:25" ht="15" customHeight="1">
      <c r="A114" s="625"/>
      <c r="B114" s="626"/>
      <c r="C114" s="626"/>
      <c r="D114" s="626"/>
      <c r="E114" s="626"/>
      <c r="F114" s="626"/>
      <c r="G114" s="626"/>
      <c r="H114" s="626"/>
      <c r="I114" s="626"/>
      <c r="J114" s="626"/>
      <c r="K114" s="626"/>
      <c r="L114" s="626"/>
      <c r="M114" s="626"/>
      <c r="N114" s="626"/>
      <c r="O114" s="626"/>
      <c r="P114" s="626"/>
      <c r="Q114" s="626"/>
      <c r="R114" s="626"/>
      <c r="S114" s="626"/>
      <c r="T114" s="626"/>
      <c r="U114" s="626"/>
      <c r="V114" s="626"/>
      <c r="W114" s="626"/>
      <c r="X114" s="626"/>
      <c r="Y114" s="626"/>
    </row>
    <row r="115" spans="1:25" ht="15" customHeight="1">
      <c r="A115" s="625"/>
      <c r="B115" s="626"/>
      <c r="C115" s="626"/>
      <c r="D115" s="626"/>
      <c r="E115" s="626"/>
      <c r="F115" s="626"/>
      <c r="G115" s="626"/>
      <c r="H115" s="626"/>
      <c r="I115" s="626"/>
      <c r="J115" s="626"/>
      <c r="K115" s="626"/>
      <c r="L115" s="626"/>
      <c r="M115" s="626"/>
      <c r="N115" s="626"/>
      <c r="O115" s="626"/>
      <c r="P115" s="626"/>
      <c r="Q115" s="626"/>
      <c r="R115" s="626"/>
      <c r="S115" s="626"/>
      <c r="T115" s="626"/>
      <c r="U115" s="626"/>
      <c r="V115" s="626"/>
      <c r="W115" s="626"/>
      <c r="X115" s="626"/>
      <c r="Y115" s="626"/>
    </row>
    <row r="116" spans="1:25" ht="15" customHeight="1">
      <c r="A116" s="625"/>
      <c r="B116" s="626"/>
      <c r="C116" s="626"/>
      <c r="D116" s="626"/>
      <c r="E116" s="626"/>
      <c r="F116" s="626"/>
      <c r="G116" s="626"/>
      <c r="H116" s="626"/>
      <c r="I116" s="626"/>
      <c r="J116" s="626"/>
      <c r="K116" s="626"/>
      <c r="L116" s="626"/>
      <c r="M116" s="626"/>
      <c r="N116" s="626"/>
      <c r="O116" s="626"/>
      <c r="P116" s="626"/>
      <c r="Q116" s="626"/>
      <c r="R116" s="626"/>
      <c r="S116" s="626"/>
      <c r="T116" s="626"/>
      <c r="U116" s="626"/>
      <c r="V116" s="626"/>
      <c r="W116" s="626"/>
      <c r="X116" s="626"/>
      <c r="Y116" s="626"/>
    </row>
    <row r="117" spans="1:25" ht="15" customHeight="1">
      <c r="A117" s="625"/>
      <c r="B117" s="626"/>
      <c r="C117" s="626"/>
      <c r="D117" s="626"/>
      <c r="E117" s="626"/>
      <c r="F117" s="626"/>
      <c r="G117" s="626"/>
      <c r="H117" s="626"/>
      <c r="I117" s="626"/>
      <c r="J117" s="626"/>
      <c r="K117" s="626"/>
      <c r="L117" s="626"/>
      <c r="M117" s="626"/>
      <c r="N117" s="626"/>
      <c r="O117" s="626"/>
      <c r="P117" s="626"/>
      <c r="Q117" s="626"/>
      <c r="R117" s="626"/>
      <c r="S117" s="626"/>
      <c r="T117" s="626"/>
      <c r="U117" s="626"/>
      <c r="V117" s="626"/>
      <c r="W117" s="626"/>
      <c r="X117" s="626"/>
      <c r="Y117" s="626"/>
    </row>
    <row r="118" spans="1:25" ht="15" customHeight="1">
      <c r="A118" s="625"/>
      <c r="B118" s="626"/>
      <c r="C118" s="626"/>
      <c r="D118" s="626"/>
      <c r="E118" s="626"/>
      <c r="F118" s="626"/>
      <c r="G118" s="626"/>
      <c r="H118" s="626"/>
      <c r="I118" s="626"/>
      <c r="J118" s="626"/>
      <c r="K118" s="626"/>
      <c r="L118" s="626"/>
      <c r="M118" s="626"/>
      <c r="N118" s="626"/>
      <c r="O118" s="626"/>
      <c r="P118" s="626"/>
      <c r="Q118" s="626"/>
      <c r="R118" s="626"/>
      <c r="S118" s="626"/>
      <c r="T118" s="626"/>
      <c r="U118" s="626"/>
      <c r="V118" s="626"/>
      <c r="W118" s="626"/>
      <c r="X118" s="626"/>
      <c r="Y118" s="626"/>
    </row>
    <row r="119" spans="1:25" ht="15" customHeight="1">
      <c r="A119" s="625"/>
      <c r="B119" s="626"/>
      <c r="C119" s="626"/>
      <c r="D119" s="626"/>
      <c r="E119" s="626"/>
      <c r="F119" s="626"/>
      <c r="G119" s="626"/>
      <c r="H119" s="626"/>
      <c r="I119" s="626"/>
      <c r="J119" s="626"/>
      <c r="K119" s="626"/>
      <c r="L119" s="626"/>
      <c r="M119" s="626"/>
      <c r="N119" s="626"/>
      <c r="O119" s="626"/>
      <c r="P119" s="626"/>
      <c r="Q119" s="626"/>
      <c r="R119" s="626"/>
      <c r="S119" s="626"/>
      <c r="T119" s="626"/>
      <c r="U119" s="626"/>
      <c r="V119" s="626"/>
      <c r="W119" s="626"/>
      <c r="X119" s="626"/>
      <c r="Y119" s="626"/>
    </row>
    <row r="120" spans="1:25" ht="15" customHeight="1">
      <c r="A120" s="625"/>
      <c r="B120" s="626"/>
      <c r="C120" s="626"/>
      <c r="D120" s="626"/>
      <c r="E120" s="626"/>
      <c r="F120" s="626"/>
      <c r="G120" s="626"/>
      <c r="H120" s="626"/>
      <c r="I120" s="626"/>
      <c r="J120" s="626"/>
      <c r="K120" s="626"/>
      <c r="L120" s="626"/>
      <c r="M120" s="626"/>
      <c r="N120" s="626"/>
      <c r="O120" s="626"/>
      <c r="P120" s="626"/>
      <c r="Q120" s="626"/>
      <c r="R120" s="626"/>
      <c r="S120" s="626"/>
      <c r="T120" s="626"/>
      <c r="U120" s="626"/>
      <c r="V120" s="626"/>
      <c r="W120" s="626"/>
      <c r="X120" s="626"/>
      <c r="Y120" s="626"/>
    </row>
    <row r="121" spans="1:25" ht="15" customHeight="1">
      <c r="A121" s="625"/>
      <c r="B121" s="626"/>
      <c r="C121" s="626"/>
      <c r="D121" s="626"/>
      <c r="E121" s="626"/>
      <c r="F121" s="626"/>
      <c r="G121" s="626"/>
      <c r="H121" s="626"/>
      <c r="I121" s="626"/>
      <c r="J121" s="626"/>
      <c r="K121" s="626"/>
      <c r="L121" s="626"/>
      <c r="M121" s="626"/>
      <c r="N121" s="626"/>
      <c r="O121" s="626"/>
      <c r="P121" s="626"/>
      <c r="Q121" s="626"/>
      <c r="R121" s="626"/>
      <c r="S121" s="626"/>
      <c r="T121" s="626"/>
      <c r="U121" s="626"/>
      <c r="V121" s="626"/>
      <c r="W121" s="626"/>
      <c r="X121" s="626"/>
      <c r="Y121" s="626"/>
    </row>
    <row r="122" spans="1:25" ht="15" customHeight="1">
      <c r="A122" s="625"/>
      <c r="B122" s="626"/>
      <c r="C122" s="626"/>
      <c r="D122" s="626"/>
      <c r="E122" s="626"/>
      <c r="F122" s="626"/>
      <c r="G122" s="626"/>
      <c r="H122" s="626"/>
      <c r="I122" s="626"/>
      <c r="J122" s="626"/>
      <c r="K122" s="626"/>
      <c r="L122" s="626"/>
      <c r="M122" s="626"/>
      <c r="N122" s="626"/>
      <c r="O122" s="626"/>
      <c r="P122" s="626"/>
      <c r="Q122" s="626"/>
      <c r="R122" s="626"/>
      <c r="S122" s="626"/>
      <c r="T122" s="626"/>
      <c r="U122" s="626"/>
      <c r="V122" s="626"/>
      <c r="W122" s="626"/>
      <c r="X122" s="626"/>
      <c r="Y122" s="626"/>
    </row>
    <row r="123" spans="1:25" ht="15" customHeight="1">
      <c r="A123" s="625"/>
      <c r="B123" s="626"/>
      <c r="C123" s="626"/>
      <c r="D123" s="626"/>
      <c r="E123" s="626"/>
      <c r="F123" s="626"/>
      <c r="G123" s="626"/>
      <c r="H123" s="626"/>
      <c r="I123" s="626"/>
      <c r="J123" s="626"/>
      <c r="K123" s="626"/>
      <c r="L123" s="626"/>
      <c r="M123" s="626"/>
      <c r="N123" s="626"/>
      <c r="O123" s="626"/>
      <c r="P123" s="626"/>
      <c r="Q123" s="626"/>
      <c r="R123" s="626"/>
      <c r="S123" s="626"/>
      <c r="T123" s="626"/>
      <c r="U123" s="626"/>
      <c r="V123" s="626"/>
      <c r="W123" s="626"/>
      <c r="X123" s="626"/>
      <c r="Y123" s="626"/>
    </row>
    <row r="124" spans="1:25" ht="15" customHeight="1">
      <c r="A124" s="625"/>
      <c r="B124" s="626"/>
      <c r="C124" s="626"/>
      <c r="D124" s="626"/>
      <c r="E124" s="626"/>
      <c r="F124" s="626"/>
      <c r="G124" s="626"/>
      <c r="H124" s="626"/>
      <c r="I124" s="626"/>
      <c r="J124" s="626"/>
      <c r="K124" s="626"/>
      <c r="L124" s="626"/>
      <c r="M124" s="626"/>
      <c r="N124" s="626"/>
      <c r="O124" s="626"/>
      <c r="P124" s="626"/>
      <c r="Q124" s="626"/>
      <c r="R124" s="626"/>
      <c r="S124" s="626"/>
      <c r="T124" s="626"/>
      <c r="U124" s="626"/>
      <c r="V124" s="626"/>
      <c r="W124" s="626"/>
      <c r="X124" s="626"/>
      <c r="Y124" s="626"/>
    </row>
    <row r="125" spans="1:25" ht="15" customHeight="1">
      <c r="A125" s="625"/>
      <c r="B125" s="626"/>
      <c r="C125" s="626"/>
      <c r="D125" s="626"/>
      <c r="E125" s="626"/>
      <c r="F125" s="626"/>
      <c r="G125" s="626"/>
      <c r="H125" s="626"/>
      <c r="I125" s="626"/>
      <c r="J125" s="626"/>
      <c r="K125" s="626"/>
      <c r="L125" s="626"/>
      <c r="M125" s="626"/>
      <c r="N125" s="626"/>
      <c r="O125" s="626"/>
      <c r="P125" s="626"/>
      <c r="Q125" s="626"/>
      <c r="R125" s="626"/>
      <c r="S125" s="626"/>
      <c r="T125" s="626"/>
      <c r="U125" s="626"/>
      <c r="V125" s="626"/>
      <c r="W125" s="626"/>
      <c r="X125" s="626"/>
      <c r="Y125" s="626"/>
    </row>
    <row r="126" spans="1:25" ht="15" customHeight="1">
      <c r="A126" s="625"/>
      <c r="B126" s="626"/>
      <c r="C126" s="626"/>
      <c r="D126" s="626"/>
      <c r="E126" s="626"/>
      <c r="F126" s="626"/>
      <c r="G126" s="626"/>
      <c r="H126" s="626"/>
      <c r="I126" s="626"/>
      <c r="J126" s="626"/>
      <c r="K126" s="626"/>
      <c r="L126" s="626"/>
      <c r="M126" s="626"/>
      <c r="N126" s="626"/>
      <c r="O126" s="626"/>
      <c r="P126" s="626"/>
      <c r="Q126" s="626"/>
      <c r="R126" s="626"/>
      <c r="S126" s="626"/>
      <c r="T126" s="626"/>
      <c r="U126" s="626"/>
      <c r="V126" s="626"/>
      <c r="W126" s="626"/>
      <c r="X126" s="626"/>
      <c r="Y126" s="626"/>
    </row>
    <row r="127" spans="1:25" ht="15" customHeight="1">
      <c r="A127" s="625"/>
      <c r="B127" s="626"/>
      <c r="C127" s="626"/>
      <c r="D127" s="626"/>
      <c r="E127" s="626"/>
      <c r="F127" s="626"/>
      <c r="G127" s="626"/>
      <c r="H127" s="626"/>
      <c r="I127" s="626"/>
      <c r="J127" s="626"/>
      <c r="K127" s="626"/>
      <c r="L127" s="626"/>
      <c r="M127" s="626"/>
      <c r="N127" s="626"/>
      <c r="O127" s="626"/>
      <c r="P127" s="626"/>
      <c r="Q127" s="626"/>
      <c r="R127" s="626"/>
      <c r="S127" s="626"/>
      <c r="T127" s="626"/>
      <c r="U127" s="626"/>
      <c r="V127" s="626"/>
      <c r="W127" s="626"/>
      <c r="X127" s="626"/>
      <c r="Y127" s="626"/>
    </row>
    <row r="128" spans="1:25" ht="15" customHeight="1">
      <c r="A128" s="625"/>
      <c r="B128" s="626"/>
      <c r="C128" s="626"/>
      <c r="D128" s="626"/>
      <c r="E128" s="626"/>
      <c r="F128" s="626"/>
      <c r="G128" s="626"/>
      <c r="H128" s="626"/>
      <c r="I128" s="626"/>
      <c r="J128" s="626"/>
      <c r="K128" s="626"/>
      <c r="L128" s="626"/>
      <c r="M128" s="626"/>
      <c r="N128" s="626"/>
      <c r="O128" s="626"/>
      <c r="P128" s="626"/>
      <c r="Q128" s="626"/>
      <c r="R128" s="626"/>
      <c r="S128" s="626"/>
      <c r="T128" s="626"/>
      <c r="U128" s="626"/>
      <c r="V128" s="626"/>
      <c r="W128" s="626"/>
      <c r="X128" s="626"/>
      <c r="Y128" s="626"/>
    </row>
    <row r="129" spans="1:25" ht="15" customHeight="1">
      <c r="A129" s="625"/>
      <c r="B129" s="626"/>
      <c r="C129" s="626"/>
      <c r="D129" s="626"/>
      <c r="E129" s="626"/>
      <c r="F129" s="626"/>
      <c r="G129" s="626"/>
      <c r="H129" s="626"/>
      <c r="I129" s="626"/>
      <c r="J129" s="626"/>
      <c r="K129" s="626"/>
      <c r="L129" s="626"/>
      <c r="M129" s="626"/>
      <c r="N129" s="626"/>
      <c r="O129" s="626"/>
      <c r="P129" s="626"/>
      <c r="Q129" s="626"/>
      <c r="R129" s="626"/>
      <c r="S129" s="626"/>
      <c r="T129" s="626"/>
      <c r="U129" s="626"/>
      <c r="V129" s="626"/>
      <c r="W129" s="626"/>
      <c r="X129" s="626"/>
      <c r="Y129" s="626"/>
    </row>
    <row r="130" spans="1:25" ht="15" customHeight="1">
      <c r="A130" s="625"/>
      <c r="B130" s="626"/>
      <c r="C130" s="626"/>
      <c r="D130" s="626"/>
      <c r="E130" s="626"/>
      <c r="F130" s="626"/>
      <c r="G130" s="626"/>
      <c r="H130" s="626"/>
      <c r="I130" s="626"/>
      <c r="J130" s="626"/>
      <c r="K130" s="626"/>
      <c r="L130" s="626"/>
      <c r="M130" s="626"/>
      <c r="N130" s="626"/>
      <c r="O130" s="626"/>
      <c r="P130" s="626"/>
      <c r="Q130" s="626"/>
      <c r="R130" s="626"/>
      <c r="S130" s="626"/>
      <c r="T130" s="626"/>
      <c r="U130" s="626"/>
      <c r="V130" s="626"/>
      <c r="W130" s="626"/>
      <c r="X130" s="626"/>
      <c r="Y130" s="626"/>
    </row>
    <row r="131" spans="1:25" ht="15" customHeight="1">
      <c r="A131" s="625"/>
      <c r="B131" s="626"/>
      <c r="C131" s="626"/>
      <c r="D131" s="626"/>
      <c r="E131" s="626"/>
      <c r="F131" s="626"/>
      <c r="G131" s="626"/>
      <c r="H131" s="626"/>
      <c r="I131" s="626"/>
      <c r="J131" s="626"/>
      <c r="K131" s="626"/>
      <c r="L131" s="626"/>
      <c r="M131" s="626"/>
      <c r="N131" s="626"/>
      <c r="O131" s="626"/>
      <c r="P131" s="626"/>
      <c r="Q131" s="626"/>
      <c r="R131" s="626"/>
      <c r="S131" s="626"/>
      <c r="T131" s="626"/>
      <c r="U131" s="626"/>
      <c r="V131" s="626"/>
      <c r="W131" s="626"/>
      <c r="X131" s="626"/>
      <c r="Y131" s="626"/>
    </row>
    <row r="132" spans="1:25" ht="15" customHeight="1">
      <c r="A132" s="625"/>
      <c r="B132" s="626"/>
      <c r="C132" s="626"/>
      <c r="D132" s="626"/>
      <c r="E132" s="626"/>
      <c r="F132" s="626"/>
      <c r="G132" s="626"/>
      <c r="H132" s="626"/>
      <c r="I132" s="626"/>
      <c r="J132" s="626"/>
      <c r="K132" s="626"/>
      <c r="L132" s="626"/>
      <c r="M132" s="626"/>
      <c r="N132" s="626"/>
      <c r="O132" s="626"/>
      <c r="P132" s="626"/>
      <c r="Q132" s="626"/>
      <c r="R132" s="626"/>
      <c r="S132" s="626"/>
      <c r="T132" s="626"/>
      <c r="U132" s="626"/>
      <c r="V132" s="626"/>
      <c r="W132" s="626"/>
      <c r="X132" s="626"/>
      <c r="Y132" s="626"/>
    </row>
    <row r="133" spans="1:25" ht="15" customHeight="1">
      <c r="A133" s="625"/>
      <c r="B133" s="626"/>
      <c r="C133" s="626"/>
      <c r="D133" s="626"/>
      <c r="E133" s="626"/>
      <c r="F133" s="626"/>
      <c r="G133" s="626"/>
      <c r="H133" s="626"/>
      <c r="I133" s="626"/>
      <c r="J133" s="626"/>
      <c r="K133" s="626"/>
      <c r="L133" s="626"/>
      <c r="M133" s="626"/>
      <c r="N133" s="626"/>
      <c r="O133" s="626"/>
      <c r="P133" s="626"/>
      <c r="Q133" s="626"/>
      <c r="R133" s="626"/>
      <c r="S133" s="626"/>
      <c r="T133" s="626"/>
      <c r="U133" s="626"/>
      <c r="V133" s="626"/>
      <c r="W133" s="626"/>
      <c r="X133" s="626"/>
      <c r="Y133" s="626"/>
    </row>
    <row r="134" spans="1:25" ht="15" customHeight="1">
      <c r="A134" s="625"/>
      <c r="B134" s="626"/>
      <c r="C134" s="626"/>
      <c r="D134" s="626"/>
      <c r="E134" s="626"/>
      <c r="F134" s="626"/>
      <c r="G134" s="626"/>
      <c r="H134" s="626"/>
      <c r="I134" s="626"/>
      <c r="J134" s="626"/>
      <c r="K134" s="626"/>
      <c r="L134" s="626"/>
      <c r="M134" s="626"/>
      <c r="N134" s="626"/>
      <c r="O134" s="626"/>
      <c r="P134" s="626"/>
      <c r="Q134" s="626"/>
      <c r="R134" s="626"/>
      <c r="S134" s="626"/>
      <c r="T134" s="626"/>
      <c r="U134" s="626"/>
      <c r="V134" s="626"/>
      <c r="W134" s="626"/>
      <c r="X134" s="626"/>
      <c r="Y134" s="626"/>
    </row>
    <row r="135" spans="1:25" ht="15" customHeight="1">
      <c r="A135" s="625"/>
      <c r="B135" s="626"/>
      <c r="C135" s="626"/>
      <c r="D135" s="626"/>
      <c r="E135" s="626"/>
      <c r="F135" s="626"/>
      <c r="G135" s="626"/>
      <c r="H135" s="626"/>
      <c r="I135" s="626"/>
      <c r="J135" s="626"/>
      <c r="K135" s="626"/>
      <c r="L135" s="626"/>
      <c r="M135" s="626"/>
      <c r="N135" s="626"/>
      <c r="O135" s="626"/>
      <c r="P135" s="626"/>
      <c r="Q135" s="626"/>
      <c r="R135" s="626"/>
      <c r="S135" s="626"/>
      <c r="T135" s="626"/>
      <c r="U135" s="626"/>
      <c r="V135" s="626"/>
      <c r="W135" s="626"/>
      <c r="X135" s="626"/>
      <c r="Y135" s="626"/>
    </row>
    <row r="136" spans="1:25" ht="15" customHeight="1">
      <c r="A136" s="625"/>
      <c r="B136" s="626"/>
      <c r="C136" s="626"/>
      <c r="D136" s="626"/>
      <c r="E136" s="626"/>
      <c r="F136" s="626"/>
      <c r="G136" s="626"/>
      <c r="H136" s="626"/>
      <c r="I136" s="626"/>
      <c r="J136" s="626"/>
      <c r="K136" s="626"/>
      <c r="L136" s="626"/>
      <c r="M136" s="626"/>
      <c r="N136" s="626"/>
      <c r="O136" s="626"/>
      <c r="P136" s="626"/>
      <c r="Q136" s="626"/>
      <c r="R136" s="626"/>
      <c r="S136" s="626"/>
      <c r="T136" s="626"/>
      <c r="U136" s="626"/>
      <c r="V136" s="626"/>
      <c r="W136" s="626"/>
      <c r="X136" s="626"/>
      <c r="Y136" s="626"/>
    </row>
  </sheetData>
  <sheetProtection algorithmName="SHA-512" hashValue="5jSuEpbtZxZmMRFqVxi8VnIhLafXeOZiuwSyZqKPhOvqWHwcpmuxHye97EXlo3fkZ579aZvBKTv5YOzINYoZSw==" saltValue="Nqbv+nfkVoIFFqQwAJrwdw==" spinCount="100000" sheet="1" objects="1" scenarios="1" formatCells="0"/>
  <mergeCells count="207">
    <mergeCell ref="B45:C45"/>
    <mergeCell ref="E45:G45"/>
    <mergeCell ref="H45:J45"/>
    <mergeCell ref="L45:N45"/>
    <mergeCell ref="U45:W45"/>
    <mergeCell ref="B46:C46"/>
    <mergeCell ref="E46:G46"/>
    <mergeCell ref="H46:J46"/>
    <mergeCell ref="L46:N46"/>
    <mergeCell ref="U46:W46"/>
    <mergeCell ref="B43:C43"/>
    <mergeCell ref="E43:G43"/>
    <mergeCell ref="H43:J43"/>
    <mergeCell ref="L43:N43"/>
    <mergeCell ref="U43:W43"/>
    <mergeCell ref="B44:C44"/>
    <mergeCell ref="E44:G44"/>
    <mergeCell ref="H44:J44"/>
    <mergeCell ref="L44:N44"/>
    <mergeCell ref="U44:W44"/>
    <mergeCell ref="B41:C41"/>
    <mergeCell ref="E41:G41"/>
    <mergeCell ref="H41:J41"/>
    <mergeCell ref="L41:N41"/>
    <mergeCell ref="U41:W41"/>
    <mergeCell ref="B42:C42"/>
    <mergeCell ref="E42:G42"/>
    <mergeCell ref="H42:J42"/>
    <mergeCell ref="L42:N42"/>
    <mergeCell ref="U42:W42"/>
    <mergeCell ref="B39:C39"/>
    <mergeCell ref="E39:G39"/>
    <mergeCell ref="H39:J39"/>
    <mergeCell ref="L39:N39"/>
    <mergeCell ref="U39:W39"/>
    <mergeCell ref="B40:C40"/>
    <mergeCell ref="E40:G40"/>
    <mergeCell ref="H40:J40"/>
    <mergeCell ref="L40:N40"/>
    <mergeCell ref="U40:W40"/>
    <mergeCell ref="B37:C37"/>
    <mergeCell ref="E37:G37"/>
    <mergeCell ref="H37:J37"/>
    <mergeCell ref="L37:N37"/>
    <mergeCell ref="U37:W37"/>
    <mergeCell ref="B38:C38"/>
    <mergeCell ref="E38:G38"/>
    <mergeCell ref="H38:J38"/>
    <mergeCell ref="L38:N38"/>
    <mergeCell ref="U38:W38"/>
    <mergeCell ref="B35:C35"/>
    <mergeCell ref="E35:G35"/>
    <mergeCell ref="H35:J35"/>
    <mergeCell ref="L35:N35"/>
    <mergeCell ref="U35:W35"/>
    <mergeCell ref="B36:C36"/>
    <mergeCell ref="E36:G36"/>
    <mergeCell ref="H36:J36"/>
    <mergeCell ref="L36:N36"/>
    <mergeCell ref="U36:W36"/>
    <mergeCell ref="B33:C33"/>
    <mergeCell ref="E33:G33"/>
    <mergeCell ref="H33:J33"/>
    <mergeCell ref="L33:N33"/>
    <mergeCell ref="U33:W33"/>
    <mergeCell ref="B34:C34"/>
    <mergeCell ref="E34:G34"/>
    <mergeCell ref="H34:J34"/>
    <mergeCell ref="L34:N34"/>
    <mergeCell ref="U34:W34"/>
    <mergeCell ref="B31:C31"/>
    <mergeCell ref="E31:G31"/>
    <mergeCell ref="H31:J31"/>
    <mergeCell ref="L31:N31"/>
    <mergeCell ref="U31:W31"/>
    <mergeCell ref="B32:C32"/>
    <mergeCell ref="E32:G32"/>
    <mergeCell ref="H32:J32"/>
    <mergeCell ref="L32:N32"/>
    <mergeCell ref="U32:W32"/>
    <mergeCell ref="B29:C29"/>
    <mergeCell ref="E29:G29"/>
    <mergeCell ref="H29:J29"/>
    <mergeCell ref="L29:N29"/>
    <mergeCell ref="U29:W29"/>
    <mergeCell ref="B30:C30"/>
    <mergeCell ref="E30:G30"/>
    <mergeCell ref="H30:J30"/>
    <mergeCell ref="L30:N30"/>
    <mergeCell ref="U30:W30"/>
    <mergeCell ref="A1:E1"/>
    <mergeCell ref="A2:E2"/>
    <mergeCell ref="B27:C27"/>
    <mergeCell ref="E27:G27"/>
    <mergeCell ref="H27:J27"/>
    <mergeCell ref="L27:N27"/>
    <mergeCell ref="U27:W27"/>
    <mergeCell ref="B28:C28"/>
    <mergeCell ref="E28:G28"/>
    <mergeCell ref="H28:J28"/>
    <mergeCell ref="L28:N28"/>
    <mergeCell ref="U28:W28"/>
    <mergeCell ref="U7:W7"/>
    <mergeCell ref="U8:W8"/>
    <mergeCell ref="U9:W9"/>
    <mergeCell ref="U10:W10"/>
    <mergeCell ref="U15:W15"/>
    <mergeCell ref="U11:W11"/>
    <mergeCell ref="U12:W12"/>
    <mergeCell ref="U13:W13"/>
    <mergeCell ref="U14:W14"/>
    <mergeCell ref="L15:N15"/>
    <mergeCell ref="L14:N14"/>
    <mergeCell ref="L9:N9"/>
    <mergeCell ref="L7:N7"/>
    <mergeCell ref="L8:N8"/>
    <mergeCell ref="E7:G7"/>
    <mergeCell ref="E8:G8"/>
    <mergeCell ref="H15:J15"/>
    <mergeCell ref="H14:J14"/>
    <mergeCell ref="H11:J11"/>
    <mergeCell ref="H12:J12"/>
    <mergeCell ref="H13:J13"/>
    <mergeCell ref="H7:J7"/>
    <mergeCell ref="H8:J8"/>
    <mergeCell ref="H9:J9"/>
    <mergeCell ref="H10:J10"/>
    <mergeCell ref="E15:G15"/>
    <mergeCell ref="E14:G14"/>
    <mergeCell ref="E9:G9"/>
    <mergeCell ref="E10:G10"/>
    <mergeCell ref="E11:G11"/>
    <mergeCell ref="E12:G12"/>
    <mergeCell ref="E13:G13"/>
    <mergeCell ref="L10:N10"/>
    <mergeCell ref="L11:N11"/>
    <mergeCell ref="L12:N12"/>
    <mergeCell ref="L13:N13"/>
    <mergeCell ref="B24:C24"/>
    <mergeCell ref="E24:G24"/>
    <mergeCell ref="H24:J24"/>
    <mergeCell ref="L24:N24"/>
    <mergeCell ref="U24:W24"/>
    <mergeCell ref="B26:C26"/>
    <mergeCell ref="E26:G26"/>
    <mergeCell ref="H26:J26"/>
    <mergeCell ref="L26:N26"/>
    <mergeCell ref="U26:W26"/>
    <mergeCell ref="B25:C25"/>
    <mergeCell ref="E25:G25"/>
    <mergeCell ref="H25:J25"/>
    <mergeCell ref="L25:N25"/>
    <mergeCell ref="U25:W25"/>
    <mergeCell ref="B23:C23"/>
    <mergeCell ref="E23:G23"/>
    <mergeCell ref="H23:J23"/>
    <mergeCell ref="L23:N23"/>
    <mergeCell ref="U23:W23"/>
    <mergeCell ref="B22:C22"/>
    <mergeCell ref="E22:G22"/>
    <mergeCell ref="H22:J22"/>
    <mergeCell ref="L22:N22"/>
    <mergeCell ref="U22:W22"/>
    <mergeCell ref="B21:C21"/>
    <mergeCell ref="E21:G21"/>
    <mergeCell ref="H21:J21"/>
    <mergeCell ref="L21:N21"/>
    <mergeCell ref="U21:W21"/>
    <mergeCell ref="B20:C20"/>
    <mergeCell ref="E20:G20"/>
    <mergeCell ref="H20:J20"/>
    <mergeCell ref="L20:N20"/>
    <mergeCell ref="U20:W20"/>
    <mergeCell ref="B19:C19"/>
    <mergeCell ref="B18:C18"/>
    <mergeCell ref="E19:G19"/>
    <mergeCell ref="E18:G18"/>
    <mergeCell ref="H19:J19"/>
    <mergeCell ref="H18:J18"/>
    <mergeCell ref="L19:N19"/>
    <mergeCell ref="L18:N18"/>
    <mergeCell ref="U19:W19"/>
    <mergeCell ref="U18:W18"/>
    <mergeCell ref="U6:W6"/>
    <mergeCell ref="H6:J6"/>
    <mergeCell ref="B6:C6"/>
    <mergeCell ref="E6:G6"/>
    <mergeCell ref="L6:N6"/>
    <mergeCell ref="B17:C17"/>
    <mergeCell ref="B16:C16"/>
    <mergeCell ref="E17:G17"/>
    <mergeCell ref="E16:G16"/>
    <mergeCell ref="H17:J17"/>
    <mergeCell ref="H16:J16"/>
    <mergeCell ref="L17:N17"/>
    <mergeCell ref="L16:N16"/>
    <mergeCell ref="U17:W17"/>
    <mergeCell ref="U16:W16"/>
    <mergeCell ref="B15:C15"/>
    <mergeCell ref="B14:C14"/>
    <mergeCell ref="B11:C11"/>
    <mergeCell ref="B12:C12"/>
    <mergeCell ref="B13:C13"/>
    <mergeCell ref="B7:C7"/>
    <mergeCell ref="B8:C8"/>
    <mergeCell ref="B9:C9"/>
    <mergeCell ref="B10:C10"/>
  </mergeCells>
  <conditionalFormatting sqref="P7:P43">
    <cfRule type="cellIs" dxfId="82" priority="13" stopIfTrue="1" operator="greaterThan">
      <formula>RRRed</formula>
    </cfRule>
    <cfRule type="cellIs" dxfId="81" priority="14" stopIfTrue="1" operator="between">
      <formula>RRYellowLow</formula>
      <formula>RRYellowHigh</formula>
    </cfRule>
    <cfRule type="cellIs" dxfId="80" priority="15" stopIfTrue="1" operator="lessThan">
      <formula>RRGray</formula>
    </cfRule>
  </conditionalFormatting>
  <conditionalFormatting sqref="P44:P46">
    <cfRule type="cellIs" dxfId="79" priority="1" stopIfTrue="1" operator="greaterThan">
      <formula>RRRed</formula>
    </cfRule>
    <cfRule type="cellIs" dxfId="78" priority="2" stopIfTrue="1" operator="between">
      <formula>RRYellowLow</formula>
      <formula>RRYellowHigh</formula>
    </cfRule>
    <cfRule type="cellIs" dxfId="77" priority="3" stopIfTrue="1" operator="lessThan">
      <formula>RRGray</formula>
    </cfRule>
  </conditionalFormatting>
  <dataValidations count="5">
    <dataValidation type="list" allowBlank="1" showInputMessage="1" showErrorMessage="1" sqref="JJ6:JJ11 WWD6:WWD11 WMH6:WMH11 WCL6:WCL11 VSP6:VSP11 VIT6:VIT11 UYX6:UYX11 UPB6:UPB11 UFF6:UFF11 TVJ6:TVJ11 TLN6:TLN11 TBR6:TBR11 SRV6:SRV11 SHZ6:SHZ11 RYD6:RYD11 ROH6:ROH11 REL6:REL11 QUP6:QUP11 QKT6:QKT11 QAX6:QAX11 PRB6:PRB11 PHF6:PHF11 OXJ6:OXJ11 ONN6:ONN11 ODR6:ODR11 NTV6:NTV11 NJZ6:NJZ11 NAD6:NAD11 MQH6:MQH11 MGL6:MGL11 LWP6:LWP11 LMT6:LMT11 LCX6:LCX11 KTB6:KTB11 KJF6:KJF11 JZJ6:JZJ11 JPN6:JPN11 JFR6:JFR11 IVV6:IVV11 ILZ6:ILZ11 ICD6:ICD11 HSH6:HSH11 HIL6:HIL11 GYP6:GYP11 GOT6:GOT11 GEX6:GEX11 FVB6:FVB11 FLF6:FLF11 FBJ6:FBJ11 ERN6:ERN11 EHR6:EHR11 DXV6:DXV11 DNZ6:DNZ11 DED6:DED11 CUH6:CUH11 CKL6:CKL11 CAP6:CAP11 BQT6:BQT11 BGX6:BGX11 AXB6:AXB11 ANF6:ANF11 ADJ6:ADJ11 TN6:TN11 JR6:JR11 WVV6:WVV11 WLZ6:WLZ11 WCD6:WCD11 VSH6:VSH11 VIL6:VIL11 UYP6:UYP11 UOT6:UOT11 UEX6:UEX11 TVB6:TVB11 TLF6:TLF11 TBJ6:TBJ11 SRN6:SRN11 SHR6:SHR11 RXV6:RXV11 RNZ6:RNZ11 RED6:RED11 QUH6:QUH11 QKL6:QKL11 QAP6:QAP11 PQT6:PQT11 PGX6:PGX11 OXB6:OXB11 ONF6:ONF11 ODJ6:ODJ11 NTN6:NTN11 NJR6:NJR11 MZV6:MZV11 MPZ6:MPZ11 MGD6:MGD11 LWH6:LWH11 LML6:LML11 LCP6:LCP11 KST6:KST11 KIX6:KIX11 JZB6:JZB11 JPF6:JPF11 JFJ6:JFJ11 IVN6:IVN11 ILR6:ILR11 IBV6:IBV11 HRZ6:HRZ11 HID6:HID11 GYH6:GYH11 GOL6:GOL11 GEP6:GEP11 FUT6:FUT11 FKX6:FKX11 FBB6:FBB11 ERF6:ERF11 EHJ6:EHJ11 DXN6:DXN11 DNR6:DNR11 DDV6:DDV11 CTZ6:CTZ11 CKD6:CKD11 CAH6:CAH11 BQL6:BQL11 BGP6:BGP11 AWT6:AWT11 AMX6:AMX11 ADB6:ADB11 TF6:TF11 WVN983065:WVN983071 WLR983065:WLR983071 WBV983065:WBV983071 VRZ983065:VRZ983071 VID983065:VID983071 UYH983065:UYH983071 UOL983065:UOL983071 UEP983065:UEP983071 TUT983065:TUT983071 TKX983065:TKX983071 TBB983065:TBB983071 SRF983065:SRF983071 SHJ983065:SHJ983071 RXN983065:RXN983071 RNR983065:RNR983071 RDV983065:RDV983071 QTZ983065:QTZ983071 QKD983065:QKD983071 QAH983065:QAH983071 PQL983065:PQL983071 PGP983065:PGP983071 OWT983065:OWT983071 OMX983065:OMX983071 ODB983065:ODB983071 NTF983065:NTF983071 NJJ983065:NJJ983071 MZN983065:MZN983071 MPR983065:MPR983071 MFV983065:MFV983071 LVZ983065:LVZ983071 LMD983065:LMD983071 LCH983065:LCH983071 KSL983065:KSL983071 KIP983065:KIP983071 JYT983065:JYT983071 JOX983065:JOX983071 JFB983065:JFB983071 IVF983065:IVF983071 ILJ983065:ILJ983071 IBN983065:IBN983071 HRR983065:HRR983071 HHV983065:HHV983071 GXZ983065:GXZ983071 GOD983065:GOD983071 GEH983065:GEH983071 FUL983065:FUL983071 FKP983065:FKP983071 FAT983065:FAT983071 EQX983065:EQX983071 EHB983065:EHB983071 DXF983065:DXF983071 DNJ983065:DNJ983071 DDN983065:DDN983071 CTR983065:CTR983071 CJV983065:CJV983071 BZZ983065:BZZ983071 BQD983065:BQD983071 BGH983065:BGH983071 AWL983065:AWL983071 AMP983065:AMP983071 ACT983065:ACT983071 SX983065:SX983071 JB983065:JB983071 WVN917529:WVN917535 WLR917529:WLR917535 WBV917529:WBV917535 VRZ917529:VRZ917535 VID917529:VID917535 UYH917529:UYH917535 UOL917529:UOL917535 UEP917529:UEP917535 TUT917529:TUT917535 TKX917529:TKX917535 TBB917529:TBB917535 SRF917529:SRF917535 SHJ917529:SHJ917535 RXN917529:RXN917535 RNR917529:RNR917535 RDV917529:RDV917535 QTZ917529:QTZ917535 QKD917529:QKD917535 QAH917529:QAH917535 PQL917529:PQL917535 PGP917529:PGP917535 OWT917529:OWT917535 OMX917529:OMX917535 ODB917529:ODB917535 NTF917529:NTF917535 NJJ917529:NJJ917535 MZN917529:MZN917535 MPR917529:MPR917535 MFV917529:MFV917535 LVZ917529:LVZ917535 LMD917529:LMD917535 LCH917529:LCH917535 KSL917529:KSL917535 KIP917529:KIP917535 JYT917529:JYT917535 JOX917529:JOX917535 JFB917529:JFB917535 IVF917529:IVF917535 ILJ917529:ILJ917535 IBN917529:IBN917535 HRR917529:HRR917535 HHV917529:HHV917535 GXZ917529:GXZ917535 GOD917529:GOD917535 GEH917529:GEH917535 FUL917529:FUL917535 FKP917529:FKP917535 FAT917529:FAT917535 EQX917529:EQX917535 EHB917529:EHB917535 DXF917529:DXF917535 DNJ917529:DNJ917535 DDN917529:DDN917535 CTR917529:CTR917535 CJV917529:CJV917535 BZZ917529:BZZ917535 BQD917529:BQD917535 BGH917529:BGH917535 AWL917529:AWL917535 AMP917529:AMP917535 ACT917529:ACT917535 SX917529:SX917535 JB917529:JB917535 WVN851993:WVN851999 WLR851993:WLR851999 WBV851993:WBV851999 VRZ851993:VRZ851999 VID851993:VID851999 UYH851993:UYH851999 UOL851993:UOL851999 UEP851993:UEP851999 TUT851993:TUT851999 TKX851993:TKX851999 TBB851993:TBB851999 SRF851993:SRF851999 SHJ851993:SHJ851999 RXN851993:RXN851999 RNR851993:RNR851999 RDV851993:RDV851999 QTZ851993:QTZ851999 QKD851993:QKD851999 QAH851993:QAH851999 PQL851993:PQL851999 PGP851993:PGP851999 OWT851993:OWT851999 OMX851993:OMX851999 ODB851993:ODB851999 NTF851993:NTF851999 NJJ851993:NJJ851999 MZN851993:MZN851999 MPR851993:MPR851999 MFV851993:MFV851999 LVZ851993:LVZ851999 LMD851993:LMD851999 LCH851993:LCH851999 KSL851993:KSL851999 KIP851993:KIP851999 JYT851993:JYT851999 JOX851993:JOX851999 JFB851993:JFB851999 IVF851993:IVF851999 ILJ851993:ILJ851999 IBN851993:IBN851999 HRR851993:HRR851999 HHV851993:HHV851999 GXZ851993:GXZ851999 GOD851993:GOD851999 GEH851993:GEH851999 FUL851993:FUL851999 FKP851993:FKP851999 FAT851993:FAT851999 EQX851993:EQX851999 EHB851993:EHB851999 DXF851993:DXF851999 DNJ851993:DNJ851999 DDN851993:DDN851999 CTR851993:CTR851999 CJV851993:CJV851999 BZZ851993:BZZ851999 BQD851993:BQD851999 BGH851993:BGH851999 AWL851993:AWL851999 AMP851993:AMP851999 ACT851993:ACT851999 SX851993:SX851999 JB851993:JB851999 WVN786457:WVN786463 WLR786457:WLR786463 WBV786457:WBV786463 VRZ786457:VRZ786463 VID786457:VID786463 UYH786457:UYH786463 UOL786457:UOL786463 UEP786457:UEP786463 TUT786457:TUT786463 TKX786457:TKX786463 TBB786457:TBB786463 SRF786457:SRF786463 SHJ786457:SHJ786463 RXN786457:RXN786463 RNR786457:RNR786463 RDV786457:RDV786463 QTZ786457:QTZ786463 QKD786457:QKD786463 QAH786457:QAH786463 PQL786457:PQL786463 PGP786457:PGP786463 OWT786457:OWT786463 OMX786457:OMX786463 ODB786457:ODB786463 NTF786457:NTF786463 NJJ786457:NJJ786463 MZN786457:MZN786463 MPR786457:MPR786463 MFV786457:MFV786463 LVZ786457:LVZ786463 LMD786457:LMD786463 LCH786457:LCH786463 KSL786457:KSL786463 KIP786457:KIP786463 JYT786457:JYT786463 JOX786457:JOX786463 JFB786457:JFB786463 IVF786457:IVF786463 ILJ786457:ILJ786463 IBN786457:IBN786463 HRR786457:HRR786463 HHV786457:HHV786463 GXZ786457:GXZ786463 GOD786457:GOD786463 GEH786457:GEH786463 FUL786457:FUL786463 FKP786457:FKP786463 FAT786457:FAT786463 EQX786457:EQX786463 EHB786457:EHB786463 DXF786457:DXF786463 DNJ786457:DNJ786463 DDN786457:DDN786463 CTR786457:CTR786463 CJV786457:CJV786463 BZZ786457:BZZ786463 BQD786457:BQD786463 BGH786457:BGH786463 AWL786457:AWL786463 AMP786457:AMP786463 ACT786457:ACT786463 SX786457:SX786463 JB786457:JB786463 WVN720921:WVN720927 WLR720921:WLR720927 WBV720921:WBV720927 VRZ720921:VRZ720927 VID720921:VID720927 UYH720921:UYH720927 UOL720921:UOL720927 UEP720921:UEP720927 TUT720921:TUT720927 TKX720921:TKX720927 TBB720921:TBB720927 SRF720921:SRF720927 SHJ720921:SHJ720927 RXN720921:RXN720927 RNR720921:RNR720927 RDV720921:RDV720927 QTZ720921:QTZ720927 QKD720921:QKD720927 QAH720921:QAH720927 PQL720921:PQL720927 PGP720921:PGP720927 OWT720921:OWT720927 OMX720921:OMX720927 ODB720921:ODB720927 NTF720921:NTF720927 NJJ720921:NJJ720927 MZN720921:MZN720927 MPR720921:MPR720927 MFV720921:MFV720927 LVZ720921:LVZ720927 LMD720921:LMD720927 LCH720921:LCH720927 KSL720921:KSL720927 KIP720921:KIP720927 JYT720921:JYT720927 JOX720921:JOX720927 JFB720921:JFB720927 IVF720921:IVF720927 ILJ720921:ILJ720927 IBN720921:IBN720927 HRR720921:HRR720927 HHV720921:HHV720927 GXZ720921:GXZ720927 GOD720921:GOD720927 GEH720921:GEH720927 FUL720921:FUL720927 FKP720921:FKP720927 FAT720921:FAT720927 EQX720921:EQX720927 EHB720921:EHB720927 DXF720921:DXF720927 DNJ720921:DNJ720927 DDN720921:DDN720927 CTR720921:CTR720927 CJV720921:CJV720927 BZZ720921:BZZ720927 BQD720921:BQD720927 BGH720921:BGH720927 AWL720921:AWL720927 AMP720921:AMP720927 ACT720921:ACT720927 SX720921:SX720927 JB720921:JB720927 WVN655385:WVN655391 WLR655385:WLR655391 WBV655385:WBV655391 VRZ655385:VRZ655391 VID655385:VID655391 UYH655385:UYH655391 UOL655385:UOL655391 UEP655385:UEP655391 TUT655385:TUT655391 TKX655385:TKX655391 TBB655385:TBB655391 SRF655385:SRF655391 SHJ655385:SHJ655391 RXN655385:RXN655391 RNR655385:RNR655391 RDV655385:RDV655391 QTZ655385:QTZ655391 QKD655385:QKD655391 QAH655385:QAH655391 PQL655385:PQL655391 PGP655385:PGP655391 OWT655385:OWT655391 OMX655385:OMX655391 ODB655385:ODB655391 NTF655385:NTF655391 NJJ655385:NJJ655391 MZN655385:MZN655391 MPR655385:MPR655391 MFV655385:MFV655391 LVZ655385:LVZ655391 LMD655385:LMD655391 LCH655385:LCH655391 KSL655385:KSL655391 KIP655385:KIP655391 JYT655385:JYT655391 JOX655385:JOX655391 JFB655385:JFB655391 IVF655385:IVF655391 ILJ655385:ILJ655391 IBN655385:IBN655391 HRR655385:HRR655391 HHV655385:HHV655391 GXZ655385:GXZ655391 GOD655385:GOD655391 GEH655385:GEH655391 FUL655385:FUL655391 FKP655385:FKP655391 FAT655385:FAT655391 EQX655385:EQX655391 EHB655385:EHB655391 DXF655385:DXF655391 DNJ655385:DNJ655391 DDN655385:DDN655391 CTR655385:CTR655391 CJV655385:CJV655391 BZZ655385:BZZ655391 BQD655385:BQD655391 BGH655385:BGH655391 AWL655385:AWL655391 AMP655385:AMP655391 ACT655385:ACT655391 SX655385:SX655391 JB655385:JB655391 WVN589849:WVN589855 WLR589849:WLR589855 WBV589849:WBV589855 VRZ589849:VRZ589855 VID589849:VID589855 UYH589849:UYH589855 UOL589849:UOL589855 UEP589849:UEP589855 TUT589849:TUT589855 TKX589849:TKX589855 TBB589849:TBB589855 SRF589849:SRF589855 SHJ589849:SHJ589855 RXN589849:RXN589855 RNR589849:RNR589855 RDV589849:RDV589855 QTZ589849:QTZ589855 QKD589849:QKD589855 QAH589849:QAH589855 PQL589849:PQL589855 PGP589849:PGP589855 OWT589849:OWT589855 OMX589849:OMX589855 ODB589849:ODB589855 NTF589849:NTF589855 NJJ589849:NJJ589855 MZN589849:MZN589855 MPR589849:MPR589855 MFV589849:MFV589855 LVZ589849:LVZ589855 LMD589849:LMD589855 LCH589849:LCH589855 KSL589849:KSL589855 KIP589849:KIP589855 JYT589849:JYT589855 JOX589849:JOX589855 JFB589849:JFB589855 IVF589849:IVF589855 ILJ589849:ILJ589855 IBN589849:IBN589855 HRR589849:HRR589855 HHV589849:HHV589855 GXZ589849:GXZ589855 GOD589849:GOD589855 GEH589849:GEH589855 FUL589849:FUL589855 FKP589849:FKP589855 FAT589849:FAT589855 EQX589849:EQX589855 EHB589849:EHB589855 DXF589849:DXF589855 DNJ589849:DNJ589855 DDN589849:DDN589855 CTR589849:CTR589855 CJV589849:CJV589855 BZZ589849:BZZ589855 BQD589849:BQD589855 BGH589849:BGH589855 AWL589849:AWL589855 AMP589849:AMP589855 ACT589849:ACT589855 SX589849:SX589855 JB589849:JB589855 WVN524313:WVN524319 WLR524313:WLR524319 WBV524313:WBV524319 VRZ524313:VRZ524319 VID524313:VID524319 UYH524313:UYH524319 UOL524313:UOL524319 UEP524313:UEP524319 TUT524313:TUT524319 TKX524313:TKX524319 TBB524313:TBB524319 SRF524313:SRF524319 SHJ524313:SHJ524319 RXN524313:RXN524319 RNR524313:RNR524319 RDV524313:RDV524319 QTZ524313:QTZ524319 QKD524313:QKD524319 QAH524313:QAH524319 PQL524313:PQL524319 PGP524313:PGP524319 OWT524313:OWT524319 OMX524313:OMX524319 ODB524313:ODB524319 NTF524313:NTF524319 NJJ524313:NJJ524319 MZN524313:MZN524319 MPR524313:MPR524319 MFV524313:MFV524319 LVZ524313:LVZ524319 LMD524313:LMD524319 LCH524313:LCH524319 KSL524313:KSL524319 KIP524313:KIP524319 JYT524313:JYT524319 JOX524313:JOX524319 JFB524313:JFB524319 IVF524313:IVF524319 ILJ524313:ILJ524319 IBN524313:IBN524319 HRR524313:HRR524319 HHV524313:HHV524319 GXZ524313:GXZ524319 GOD524313:GOD524319 GEH524313:GEH524319 FUL524313:FUL524319 FKP524313:FKP524319 FAT524313:FAT524319 EQX524313:EQX524319 EHB524313:EHB524319 DXF524313:DXF524319 DNJ524313:DNJ524319 DDN524313:DDN524319 CTR524313:CTR524319 CJV524313:CJV524319 BZZ524313:BZZ524319 BQD524313:BQD524319 BGH524313:BGH524319 AWL524313:AWL524319 AMP524313:AMP524319 ACT524313:ACT524319 SX524313:SX524319 JB524313:JB524319 WVN458777:WVN458783 WLR458777:WLR458783 WBV458777:WBV458783 VRZ458777:VRZ458783 VID458777:VID458783 UYH458777:UYH458783 UOL458777:UOL458783 UEP458777:UEP458783 TUT458777:TUT458783 TKX458777:TKX458783 TBB458777:TBB458783 SRF458777:SRF458783 SHJ458777:SHJ458783 RXN458777:RXN458783 RNR458777:RNR458783 RDV458777:RDV458783 QTZ458777:QTZ458783 QKD458777:QKD458783 QAH458777:QAH458783 PQL458777:PQL458783 PGP458777:PGP458783 OWT458777:OWT458783 OMX458777:OMX458783 ODB458777:ODB458783 NTF458777:NTF458783 NJJ458777:NJJ458783 MZN458777:MZN458783 MPR458777:MPR458783 MFV458777:MFV458783 LVZ458777:LVZ458783 LMD458777:LMD458783 LCH458777:LCH458783 KSL458777:KSL458783 KIP458777:KIP458783 JYT458777:JYT458783 JOX458777:JOX458783 JFB458777:JFB458783 IVF458777:IVF458783 ILJ458777:ILJ458783 IBN458777:IBN458783 HRR458777:HRR458783 HHV458777:HHV458783 GXZ458777:GXZ458783 GOD458777:GOD458783 GEH458777:GEH458783 FUL458777:FUL458783 FKP458777:FKP458783 FAT458777:FAT458783 EQX458777:EQX458783 EHB458777:EHB458783 DXF458777:DXF458783 DNJ458777:DNJ458783 DDN458777:DDN458783 CTR458777:CTR458783 CJV458777:CJV458783 BZZ458777:BZZ458783 BQD458777:BQD458783 BGH458777:BGH458783 AWL458777:AWL458783 AMP458777:AMP458783 ACT458777:ACT458783 SX458777:SX458783 JB458777:JB458783 WVN393241:WVN393247 WLR393241:WLR393247 WBV393241:WBV393247 VRZ393241:VRZ393247 VID393241:VID393247 UYH393241:UYH393247 UOL393241:UOL393247 UEP393241:UEP393247 TUT393241:TUT393247 TKX393241:TKX393247 TBB393241:TBB393247 SRF393241:SRF393247 SHJ393241:SHJ393247 RXN393241:RXN393247 RNR393241:RNR393247 RDV393241:RDV393247 QTZ393241:QTZ393247 QKD393241:QKD393247 QAH393241:QAH393247 PQL393241:PQL393247 PGP393241:PGP393247 OWT393241:OWT393247 OMX393241:OMX393247 ODB393241:ODB393247 NTF393241:NTF393247 NJJ393241:NJJ393247 MZN393241:MZN393247 MPR393241:MPR393247 MFV393241:MFV393247 LVZ393241:LVZ393247 LMD393241:LMD393247 LCH393241:LCH393247 KSL393241:KSL393247 KIP393241:KIP393247 JYT393241:JYT393247 JOX393241:JOX393247 JFB393241:JFB393247 IVF393241:IVF393247 ILJ393241:ILJ393247 IBN393241:IBN393247 HRR393241:HRR393247 HHV393241:HHV393247 GXZ393241:GXZ393247 GOD393241:GOD393247 GEH393241:GEH393247 FUL393241:FUL393247 FKP393241:FKP393247 FAT393241:FAT393247 EQX393241:EQX393247 EHB393241:EHB393247 DXF393241:DXF393247 DNJ393241:DNJ393247 DDN393241:DDN393247 CTR393241:CTR393247 CJV393241:CJV393247 BZZ393241:BZZ393247 BQD393241:BQD393247 BGH393241:BGH393247 AWL393241:AWL393247 AMP393241:AMP393247 ACT393241:ACT393247 SX393241:SX393247 JB393241:JB393247 WVN327705:WVN327711 WLR327705:WLR327711 WBV327705:WBV327711 VRZ327705:VRZ327711 VID327705:VID327711 UYH327705:UYH327711 UOL327705:UOL327711 UEP327705:UEP327711 TUT327705:TUT327711 TKX327705:TKX327711 TBB327705:TBB327711 SRF327705:SRF327711 SHJ327705:SHJ327711 RXN327705:RXN327711 RNR327705:RNR327711 RDV327705:RDV327711 QTZ327705:QTZ327711 QKD327705:QKD327711 QAH327705:QAH327711 PQL327705:PQL327711 PGP327705:PGP327711 OWT327705:OWT327711 OMX327705:OMX327711 ODB327705:ODB327711 NTF327705:NTF327711 NJJ327705:NJJ327711 MZN327705:MZN327711 MPR327705:MPR327711 MFV327705:MFV327711 LVZ327705:LVZ327711 LMD327705:LMD327711 LCH327705:LCH327711 KSL327705:KSL327711 KIP327705:KIP327711 JYT327705:JYT327711 JOX327705:JOX327711 JFB327705:JFB327711 IVF327705:IVF327711 ILJ327705:ILJ327711 IBN327705:IBN327711 HRR327705:HRR327711 HHV327705:HHV327711 GXZ327705:GXZ327711 GOD327705:GOD327711 GEH327705:GEH327711 FUL327705:FUL327711 FKP327705:FKP327711 FAT327705:FAT327711 EQX327705:EQX327711 EHB327705:EHB327711 DXF327705:DXF327711 DNJ327705:DNJ327711 DDN327705:DDN327711 CTR327705:CTR327711 CJV327705:CJV327711 BZZ327705:BZZ327711 BQD327705:BQD327711 BGH327705:BGH327711 AWL327705:AWL327711 AMP327705:AMP327711 ACT327705:ACT327711 SX327705:SX327711 JB327705:JB327711 WVN262169:WVN262175 WLR262169:WLR262175 WBV262169:WBV262175 VRZ262169:VRZ262175 VID262169:VID262175 UYH262169:UYH262175 UOL262169:UOL262175 UEP262169:UEP262175 TUT262169:TUT262175 TKX262169:TKX262175 TBB262169:TBB262175 SRF262169:SRF262175 SHJ262169:SHJ262175 RXN262169:RXN262175 RNR262169:RNR262175 RDV262169:RDV262175 QTZ262169:QTZ262175 QKD262169:QKD262175 QAH262169:QAH262175 PQL262169:PQL262175 PGP262169:PGP262175 OWT262169:OWT262175 OMX262169:OMX262175 ODB262169:ODB262175 NTF262169:NTF262175 NJJ262169:NJJ262175 MZN262169:MZN262175 MPR262169:MPR262175 MFV262169:MFV262175 LVZ262169:LVZ262175 LMD262169:LMD262175 LCH262169:LCH262175 KSL262169:KSL262175 KIP262169:KIP262175 JYT262169:JYT262175 JOX262169:JOX262175 JFB262169:JFB262175 IVF262169:IVF262175 ILJ262169:ILJ262175 IBN262169:IBN262175 HRR262169:HRR262175 HHV262169:HHV262175 GXZ262169:GXZ262175 GOD262169:GOD262175 GEH262169:GEH262175 FUL262169:FUL262175 FKP262169:FKP262175 FAT262169:FAT262175 EQX262169:EQX262175 EHB262169:EHB262175 DXF262169:DXF262175 DNJ262169:DNJ262175 DDN262169:DDN262175 CTR262169:CTR262175 CJV262169:CJV262175 BZZ262169:BZZ262175 BQD262169:BQD262175 BGH262169:BGH262175 AWL262169:AWL262175 AMP262169:AMP262175 ACT262169:ACT262175 SX262169:SX262175 JB262169:JB262175 WVN196633:WVN196639 WLR196633:WLR196639 WBV196633:WBV196639 VRZ196633:VRZ196639 VID196633:VID196639 UYH196633:UYH196639 UOL196633:UOL196639 UEP196633:UEP196639 TUT196633:TUT196639 TKX196633:TKX196639 TBB196633:TBB196639 SRF196633:SRF196639 SHJ196633:SHJ196639 RXN196633:RXN196639 RNR196633:RNR196639 RDV196633:RDV196639 QTZ196633:QTZ196639 QKD196633:QKD196639 QAH196633:QAH196639 PQL196633:PQL196639 PGP196633:PGP196639 OWT196633:OWT196639 OMX196633:OMX196639 ODB196633:ODB196639 NTF196633:NTF196639 NJJ196633:NJJ196639 MZN196633:MZN196639 MPR196633:MPR196639 MFV196633:MFV196639 LVZ196633:LVZ196639 LMD196633:LMD196639 LCH196633:LCH196639 KSL196633:KSL196639 KIP196633:KIP196639 JYT196633:JYT196639 JOX196633:JOX196639 JFB196633:JFB196639 IVF196633:IVF196639 ILJ196633:ILJ196639 IBN196633:IBN196639 HRR196633:HRR196639 HHV196633:HHV196639 GXZ196633:GXZ196639 GOD196633:GOD196639 GEH196633:GEH196639 FUL196633:FUL196639 FKP196633:FKP196639 FAT196633:FAT196639 EQX196633:EQX196639 EHB196633:EHB196639 DXF196633:DXF196639 DNJ196633:DNJ196639 DDN196633:DDN196639 CTR196633:CTR196639 CJV196633:CJV196639 BZZ196633:BZZ196639 BQD196633:BQD196639 BGH196633:BGH196639 AWL196633:AWL196639 AMP196633:AMP196639 ACT196633:ACT196639 SX196633:SX196639 JB196633:JB196639 WVN131097:WVN131103 WLR131097:WLR131103 WBV131097:WBV131103 VRZ131097:VRZ131103 VID131097:VID131103 UYH131097:UYH131103 UOL131097:UOL131103 UEP131097:UEP131103 TUT131097:TUT131103 TKX131097:TKX131103 TBB131097:TBB131103 SRF131097:SRF131103 SHJ131097:SHJ131103 RXN131097:RXN131103 RNR131097:RNR131103 RDV131097:RDV131103 QTZ131097:QTZ131103 QKD131097:QKD131103 QAH131097:QAH131103 PQL131097:PQL131103 PGP131097:PGP131103 OWT131097:OWT131103 OMX131097:OMX131103 ODB131097:ODB131103 NTF131097:NTF131103 NJJ131097:NJJ131103 MZN131097:MZN131103 MPR131097:MPR131103 MFV131097:MFV131103 LVZ131097:LVZ131103 LMD131097:LMD131103 LCH131097:LCH131103 KSL131097:KSL131103 KIP131097:KIP131103 JYT131097:JYT131103 JOX131097:JOX131103 JFB131097:JFB131103 IVF131097:IVF131103 ILJ131097:ILJ131103 IBN131097:IBN131103 HRR131097:HRR131103 HHV131097:HHV131103 GXZ131097:GXZ131103 GOD131097:GOD131103 GEH131097:GEH131103 FUL131097:FUL131103 FKP131097:FKP131103 FAT131097:FAT131103 EQX131097:EQX131103 EHB131097:EHB131103 DXF131097:DXF131103 DNJ131097:DNJ131103 DDN131097:DDN131103 CTR131097:CTR131103 CJV131097:CJV131103 BZZ131097:BZZ131103 BQD131097:BQD131103 BGH131097:BGH131103 AWL131097:AWL131103 AMP131097:AMP131103 ACT131097:ACT131103 SX131097:SX131103 JB131097:JB131103 WVN65561:WVN65567 WLR65561:WLR65567 WBV65561:WBV65567 VRZ65561:VRZ65567 VID65561:VID65567 UYH65561:UYH65567 UOL65561:UOL65567 UEP65561:UEP65567 TUT65561:TUT65567 TKX65561:TKX65567 TBB65561:TBB65567 SRF65561:SRF65567 SHJ65561:SHJ65567 RXN65561:RXN65567 RNR65561:RNR65567 RDV65561:RDV65567 QTZ65561:QTZ65567 QKD65561:QKD65567 QAH65561:QAH65567 PQL65561:PQL65567 PGP65561:PGP65567 OWT65561:OWT65567 OMX65561:OMX65567 ODB65561:ODB65567 NTF65561:NTF65567 NJJ65561:NJJ65567 MZN65561:MZN65567 MPR65561:MPR65567 MFV65561:MFV65567 LVZ65561:LVZ65567 LMD65561:LMD65567 LCH65561:LCH65567 KSL65561:KSL65567 KIP65561:KIP65567 JYT65561:JYT65567 JOX65561:JOX65567 JFB65561:JFB65567 IVF65561:IVF65567 ILJ65561:ILJ65567 IBN65561:IBN65567 HRR65561:HRR65567 HHV65561:HHV65567 GXZ65561:GXZ65567 GOD65561:GOD65567 GEH65561:GEH65567 FUL65561:FUL65567 FKP65561:FKP65567 FAT65561:FAT65567 EQX65561:EQX65567 EHB65561:EHB65567 DXF65561:DXF65567 DNJ65561:DNJ65567 DDN65561:DDN65567 CTR65561:CTR65567 CJV65561:CJV65567 BZZ65561:BZZ65567 BQD65561:BQD65567 BGH65561:BGH65567 AWL65561:AWL65567 AMP65561:AMP65567 ACT65561:ACT65567 SX65561:SX65567 JB65561:JB65567 WVF983065:WVF983071 WLJ983065:WLJ983071 WBN983065:WBN983071 VRR983065:VRR983071 VHV983065:VHV983071 UXZ983065:UXZ983071 UOD983065:UOD983071 UEH983065:UEH983071 TUL983065:TUL983071 TKP983065:TKP983071 TAT983065:TAT983071 SQX983065:SQX983071 SHB983065:SHB983071 RXF983065:RXF983071 RNJ983065:RNJ983071 RDN983065:RDN983071 QTR983065:QTR983071 QJV983065:QJV983071 PZZ983065:PZZ983071 PQD983065:PQD983071 PGH983065:PGH983071 OWL983065:OWL983071 OMP983065:OMP983071 OCT983065:OCT983071 NSX983065:NSX983071 NJB983065:NJB983071 MZF983065:MZF983071 MPJ983065:MPJ983071 MFN983065:MFN983071 LVR983065:LVR983071 LLV983065:LLV983071 LBZ983065:LBZ983071 KSD983065:KSD983071 KIH983065:KIH983071 JYL983065:JYL983071 JOP983065:JOP983071 JET983065:JET983071 IUX983065:IUX983071 ILB983065:ILB983071 IBF983065:IBF983071 HRJ983065:HRJ983071 HHN983065:HHN983071 GXR983065:GXR983071 GNV983065:GNV983071 GDZ983065:GDZ983071 FUD983065:FUD983071 FKH983065:FKH983071 FAL983065:FAL983071 EQP983065:EQP983071 EGT983065:EGT983071 DWX983065:DWX983071 DNB983065:DNB983071 DDF983065:DDF983071 CTJ983065:CTJ983071 CJN983065:CJN983071 BZR983065:BZR983071 BPV983065:BPV983071 BFZ983065:BFZ983071 AWD983065:AWD983071 AMH983065:AMH983071 ACL983065:ACL983071 SP983065:SP983071 IT983065:IT983071 WVF917529:WVF917535 WLJ917529:WLJ917535 WBN917529:WBN917535 VRR917529:VRR917535 VHV917529:VHV917535 UXZ917529:UXZ917535 UOD917529:UOD917535 UEH917529:UEH917535 TUL917529:TUL917535 TKP917529:TKP917535 TAT917529:TAT917535 SQX917529:SQX917535 SHB917529:SHB917535 RXF917529:RXF917535 RNJ917529:RNJ917535 RDN917529:RDN917535 QTR917529:QTR917535 QJV917529:QJV917535 PZZ917529:PZZ917535 PQD917529:PQD917535 PGH917529:PGH917535 OWL917529:OWL917535 OMP917529:OMP917535 OCT917529:OCT917535 NSX917529:NSX917535 NJB917529:NJB917535 MZF917529:MZF917535 MPJ917529:MPJ917535 MFN917529:MFN917535 LVR917529:LVR917535 LLV917529:LLV917535 LBZ917529:LBZ917535 KSD917529:KSD917535 KIH917529:KIH917535 JYL917529:JYL917535 JOP917529:JOP917535 JET917529:JET917535 IUX917529:IUX917535 ILB917529:ILB917535 IBF917529:IBF917535 HRJ917529:HRJ917535 HHN917529:HHN917535 GXR917529:GXR917535 GNV917529:GNV917535 GDZ917529:GDZ917535 FUD917529:FUD917535 FKH917529:FKH917535 FAL917529:FAL917535 EQP917529:EQP917535 EGT917529:EGT917535 DWX917529:DWX917535 DNB917529:DNB917535 DDF917529:DDF917535 CTJ917529:CTJ917535 CJN917529:CJN917535 BZR917529:BZR917535 BPV917529:BPV917535 BFZ917529:BFZ917535 AWD917529:AWD917535 AMH917529:AMH917535 ACL917529:ACL917535 SP917529:SP917535 IT917529:IT917535 WVF851993:WVF851999 WLJ851993:WLJ851999 WBN851993:WBN851999 VRR851993:VRR851999 VHV851993:VHV851999 UXZ851993:UXZ851999 UOD851993:UOD851999 UEH851993:UEH851999 TUL851993:TUL851999 TKP851993:TKP851999 TAT851993:TAT851999 SQX851993:SQX851999 SHB851993:SHB851999 RXF851993:RXF851999 RNJ851993:RNJ851999 RDN851993:RDN851999 QTR851993:QTR851999 QJV851993:QJV851999 PZZ851993:PZZ851999 PQD851993:PQD851999 PGH851993:PGH851999 OWL851993:OWL851999 OMP851993:OMP851999 OCT851993:OCT851999 NSX851993:NSX851999 NJB851993:NJB851999 MZF851993:MZF851999 MPJ851993:MPJ851999 MFN851993:MFN851999 LVR851993:LVR851999 LLV851993:LLV851999 LBZ851993:LBZ851999 KSD851993:KSD851999 KIH851993:KIH851999 JYL851993:JYL851999 JOP851993:JOP851999 JET851993:JET851999 IUX851993:IUX851999 ILB851993:ILB851999 IBF851993:IBF851999 HRJ851993:HRJ851999 HHN851993:HHN851999 GXR851993:GXR851999 GNV851993:GNV851999 GDZ851993:GDZ851999 FUD851993:FUD851999 FKH851993:FKH851999 FAL851993:FAL851999 EQP851993:EQP851999 EGT851993:EGT851999 DWX851993:DWX851999 DNB851993:DNB851999 DDF851993:DDF851999 CTJ851993:CTJ851999 CJN851993:CJN851999 BZR851993:BZR851999 BPV851993:BPV851999 BFZ851993:BFZ851999 AWD851993:AWD851999 AMH851993:AMH851999 ACL851993:ACL851999 SP851993:SP851999 IT851993:IT851999 WVF786457:WVF786463 WLJ786457:WLJ786463 WBN786457:WBN786463 VRR786457:VRR786463 VHV786457:VHV786463 UXZ786457:UXZ786463 UOD786457:UOD786463 UEH786457:UEH786463 TUL786457:TUL786463 TKP786457:TKP786463 TAT786457:TAT786463 SQX786457:SQX786463 SHB786457:SHB786463 RXF786457:RXF786463 RNJ786457:RNJ786463 RDN786457:RDN786463 QTR786457:QTR786463 QJV786457:QJV786463 PZZ786457:PZZ786463 PQD786457:PQD786463 PGH786457:PGH786463 OWL786457:OWL786463 OMP786457:OMP786463 OCT786457:OCT786463 NSX786457:NSX786463 NJB786457:NJB786463 MZF786457:MZF786463 MPJ786457:MPJ786463 MFN786457:MFN786463 LVR786457:LVR786463 LLV786457:LLV786463 LBZ786457:LBZ786463 KSD786457:KSD786463 KIH786457:KIH786463 JYL786457:JYL786463 JOP786457:JOP786463 JET786457:JET786463 IUX786457:IUX786463 ILB786457:ILB786463 IBF786457:IBF786463 HRJ786457:HRJ786463 HHN786457:HHN786463 GXR786457:GXR786463 GNV786457:GNV786463 GDZ786457:GDZ786463 FUD786457:FUD786463 FKH786457:FKH786463 FAL786457:FAL786463 EQP786457:EQP786463 EGT786457:EGT786463 DWX786457:DWX786463 DNB786457:DNB786463 DDF786457:DDF786463 CTJ786457:CTJ786463 CJN786457:CJN786463 BZR786457:BZR786463 BPV786457:BPV786463 BFZ786457:BFZ786463 AWD786457:AWD786463 AMH786457:AMH786463 ACL786457:ACL786463 SP786457:SP786463 IT786457:IT786463 WVF720921:WVF720927 WLJ720921:WLJ720927 WBN720921:WBN720927 VRR720921:VRR720927 VHV720921:VHV720927 UXZ720921:UXZ720927 UOD720921:UOD720927 UEH720921:UEH720927 TUL720921:TUL720927 TKP720921:TKP720927 TAT720921:TAT720927 SQX720921:SQX720927 SHB720921:SHB720927 RXF720921:RXF720927 RNJ720921:RNJ720927 RDN720921:RDN720927 QTR720921:QTR720927 QJV720921:QJV720927 PZZ720921:PZZ720927 PQD720921:PQD720927 PGH720921:PGH720927 OWL720921:OWL720927 OMP720921:OMP720927 OCT720921:OCT720927 NSX720921:NSX720927 NJB720921:NJB720927 MZF720921:MZF720927 MPJ720921:MPJ720927 MFN720921:MFN720927 LVR720921:LVR720927 LLV720921:LLV720927 LBZ720921:LBZ720927 KSD720921:KSD720927 KIH720921:KIH720927 JYL720921:JYL720927 JOP720921:JOP720927 JET720921:JET720927 IUX720921:IUX720927 ILB720921:ILB720927 IBF720921:IBF720927 HRJ720921:HRJ720927 HHN720921:HHN720927 GXR720921:GXR720927 GNV720921:GNV720927 GDZ720921:GDZ720927 FUD720921:FUD720927 FKH720921:FKH720927 FAL720921:FAL720927 EQP720921:EQP720927 EGT720921:EGT720927 DWX720921:DWX720927 DNB720921:DNB720927 DDF720921:DDF720927 CTJ720921:CTJ720927 CJN720921:CJN720927 BZR720921:BZR720927 BPV720921:BPV720927 BFZ720921:BFZ720927 AWD720921:AWD720927 AMH720921:AMH720927 ACL720921:ACL720927 SP720921:SP720927 IT720921:IT720927 WVF655385:WVF655391 WLJ655385:WLJ655391 WBN655385:WBN655391 VRR655385:VRR655391 VHV655385:VHV655391 UXZ655385:UXZ655391 UOD655385:UOD655391 UEH655385:UEH655391 TUL655385:TUL655391 TKP655385:TKP655391 TAT655385:TAT655391 SQX655385:SQX655391 SHB655385:SHB655391 RXF655385:RXF655391 RNJ655385:RNJ655391 RDN655385:RDN655391 QTR655385:QTR655391 QJV655385:QJV655391 PZZ655385:PZZ655391 PQD655385:PQD655391 PGH655385:PGH655391 OWL655385:OWL655391 OMP655385:OMP655391 OCT655385:OCT655391 NSX655385:NSX655391 NJB655385:NJB655391 MZF655385:MZF655391 MPJ655385:MPJ655391 MFN655385:MFN655391 LVR655385:LVR655391 LLV655385:LLV655391 LBZ655385:LBZ655391 KSD655385:KSD655391 KIH655385:KIH655391 JYL655385:JYL655391 JOP655385:JOP655391 JET655385:JET655391 IUX655385:IUX655391 ILB655385:ILB655391 IBF655385:IBF655391 HRJ655385:HRJ655391 HHN655385:HHN655391 GXR655385:GXR655391 GNV655385:GNV655391 GDZ655385:GDZ655391 FUD655385:FUD655391 FKH655385:FKH655391 FAL655385:FAL655391 EQP655385:EQP655391 EGT655385:EGT655391 DWX655385:DWX655391 DNB655385:DNB655391 DDF655385:DDF655391 CTJ655385:CTJ655391 CJN655385:CJN655391 BZR655385:BZR655391 BPV655385:BPV655391 BFZ655385:BFZ655391 AWD655385:AWD655391 AMH655385:AMH655391 ACL655385:ACL655391 SP655385:SP655391 IT655385:IT655391 WVF589849:WVF589855 WLJ589849:WLJ589855 WBN589849:WBN589855 VRR589849:VRR589855 VHV589849:VHV589855 UXZ589849:UXZ589855 UOD589849:UOD589855 UEH589849:UEH589855 TUL589849:TUL589855 TKP589849:TKP589855 TAT589849:TAT589855 SQX589849:SQX589855 SHB589849:SHB589855 RXF589849:RXF589855 RNJ589849:RNJ589855 RDN589849:RDN589855 QTR589849:QTR589855 QJV589849:QJV589855 PZZ589849:PZZ589855 PQD589849:PQD589855 PGH589849:PGH589855 OWL589849:OWL589855 OMP589849:OMP589855 OCT589849:OCT589855 NSX589849:NSX589855 NJB589849:NJB589855 MZF589849:MZF589855 MPJ589849:MPJ589855 MFN589849:MFN589855 LVR589849:LVR589855 LLV589849:LLV589855 LBZ589849:LBZ589855 KSD589849:KSD589855 KIH589849:KIH589855 JYL589849:JYL589855 JOP589849:JOP589855 JET589849:JET589855 IUX589849:IUX589855 ILB589849:ILB589855 IBF589849:IBF589855 HRJ589849:HRJ589855 HHN589849:HHN589855 GXR589849:GXR589855 GNV589849:GNV589855 GDZ589849:GDZ589855 FUD589849:FUD589855 FKH589849:FKH589855 FAL589849:FAL589855 EQP589849:EQP589855 EGT589849:EGT589855 DWX589849:DWX589855 DNB589849:DNB589855 DDF589849:DDF589855 CTJ589849:CTJ589855 CJN589849:CJN589855 BZR589849:BZR589855 BPV589849:BPV589855 BFZ589849:BFZ589855 AWD589849:AWD589855 AMH589849:AMH589855 ACL589849:ACL589855 SP589849:SP589855 IT589849:IT589855 WVF524313:WVF524319 WLJ524313:WLJ524319 WBN524313:WBN524319 VRR524313:VRR524319 VHV524313:VHV524319 UXZ524313:UXZ524319 UOD524313:UOD524319 UEH524313:UEH524319 TUL524313:TUL524319 TKP524313:TKP524319 TAT524313:TAT524319 SQX524313:SQX524319 SHB524313:SHB524319 RXF524313:RXF524319 RNJ524313:RNJ524319 RDN524313:RDN524319 QTR524313:QTR524319 QJV524313:QJV524319 PZZ524313:PZZ524319 PQD524313:PQD524319 PGH524313:PGH524319 OWL524313:OWL524319 OMP524313:OMP524319 OCT524313:OCT524319 NSX524313:NSX524319 NJB524313:NJB524319 MZF524313:MZF524319 MPJ524313:MPJ524319 MFN524313:MFN524319 LVR524313:LVR524319 LLV524313:LLV524319 LBZ524313:LBZ524319 KSD524313:KSD524319 KIH524313:KIH524319 JYL524313:JYL524319 JOP524313:JOP524319 JET524313:JET524319 IUX524313:IUX524319 ILB524313:ILB524319 IBF524313:IBF524319 HRJ524313:HRJ524319 HHN524313:HHN524319 GXR524313:GXR524319 GNV524313:GNV524319 GDZ524313:GDZ524319 FUD524313:FUD524319 FKH524313:FKH524319 FAL524313:FAL524319 EQP524313:EQP524319 EGT524313:EGT524319 DWX524313:DWX524319 DNB524313:DNB524319 DDF524313:DDF524319 CTJ524313:CTJ524319 CJN524313:CJN524319 BZR524313:BZR524319 BPV524313:BPV524319 BFZ524313:BFZ524319 AWD524313:AWD524319 AMH524313:AMH524319 ACL524313:ACL524319 SP524313:SP524319 IT524313:IT524319 WVF458777:WVF458783 WLJ458777:WLJ458783 WBN458777:WBN458783 VRR458777:VRR458783 VHV458777:VHV458783 UXZ458777:UXZ458783 UOD458777:UOD458783 UEH458777:UEH458783 TUL458777:TUL458783 TKP458777:TKP458783 TAT458777:TAT458783 SQX458777:SQX458783 SHB458777:SHB458783 RXF458777:RXF458783 RNJ458777:RNJ458783 RDN458777:RDN458783 QTR458777:QTR458783 QJV458777:QJV458783 PZZ458777:PZZ458783 PQD458777:PQD458783 PGH458777:PGH458783 OWL458777:OWL458783 OMP458777:OMP458783 OCT458777:OCT458783 NSX458777:NSX458783 NJB458777:NJB458783 MZF458777:MZF458783 MPJ458777:MPJ458783 MFN458777:MFN458783 LVR458777:LVR458783 LLV458777:LLV458783 LBZ458777:LBZ458783 KSD458777:KSD458783 KIH458777:KIH458783 JYL458777:JYL458783 JOP458777:JOP458783 JET458777:JET458783 IUX458777:IUX458783 ILB458777:ILB458783 IBF458777:IBF458783 HRJ458777:HRJ458783 HHN458777:HHN458783 GXR458777:GXR458783 GNV458777:GNV458783 GDZ458777:GDZ458783 FUD458777:FUD458783 FKH458777:FKH458783 FAL458777:FAL458783 EQP458777:EQP458783 EGT458777:EGT458783 DWX458777:DWX458783 DNB458777:DNB458783 DDF458777:DDF458783 CTJ458777:CTJ458783 CJN458777:CJN458783 BZR458777:BZR458783 BPV458777:BPV458783 BFZ458777:BFZ458783 AWD458777:AWD458783 AMH458777:AMH458783 ACL458777:ACL458783 SP458777:SP458783 IT458777:IT458783 WVF393241:WVF393247 WLJ393241:WLJ393247 WBN393241:WBN393247 VRR393241:VRR393247 VHV393241:VHV393247 UXZ393241:UXZ393247 UOD393241:UOD393247 UEH393241:UEH393247 TUL393241:TUL393247 TKP393241:TKP393247 TAT393241:TAT393247 SQX393241:SQX393247 SHB393241:SHB393247 RXF393241:RXF393247 RNJ393241:RNJ393247 RDN393241:RDN393247 QTR393241:QTR393247 QJV393241:QJV393247 PZZ393241:PZZ393247 PQD393241:PQD393247 PGH393241:PGH393247 OWL393241:OWL393247 OMP393241:OMP393247 OCT393241:OCT393247 NSX393241:NSX393247 NJB393241:NJB393247 MZF393241:MZF393247 MPJ393241:MPJ393247 MFN393241:MFN393247 LVR393241:LVR393247 LLV393241:LLV393247 LBZ393241:LBZ393247 KSD393241:KSD393247 KIH393241:KIH393247 JYL393241:JYL393247 JOP393241:JOP393247 JET393241:JET393247 IUX393241:IUX393247 ILB393241:ILB393247 IBF393241:IBF393247 HRJ393241:HRJ393247 HHN393241:HHN393247 GXR393241:GXR393247 GNV393241:GNV393247 GDZ393241:GDZ393247 FUD393241:FUD393247 FKH393241:FKH393247 FAL393241:FAL393247 EQP393241:EQP393247 EGT393241:EGT393247 DWX393241:DWX393247 DNB393241:DNB393247 DDF393241:DDF393247 CTJ393241:CTJ393247 CJN393241:CJN393247 BZR393241:BZR393247 BPV393241:BPV393247 BFZ393241:BFZ393247 AWD393241:AWD393247 AMH393241:AMH393247 ACL393241:ACL393247 SP393241:SP393247 IT393241:IT393247 WVF327705:WVF327711 WLJ327705:WLJ327711 WBN327705:WBN327711 VRR327705:VRR327711 VHV327705:VHV327711 UXZ327705:UXZ327711 UOD327705:UOD327711 UEH327705:UEH327711 TUL327705:TUL327711 TKP327705:TKP327711 TAT327705:TAT327711 SQX327705:SQX327711 SHB327705:SHB327711 RXF327705:RXF327711 RNJ327705:RNJ327711 RDN327705:RDN327711 QTR327705:QTR327711 QJV327705:QJV327711 PZZ327705:PZZ327711 PQD327705:PQD327711 PGH327705:PGH327711 OWL327705:OWL327711 OMP327705:OMP327711 OCT327705:OCT327711 NSX327705:NSX327711 NJB327705:NJB327711 MZF327705:MZF327711 MPJ327705:MPJ327711 MFN327705:MFN327711 LVR327705:LVR327711 LLV327705:LLV327711 LBZ327705:LBZ327711 KSD327705:KSD327711 KIH327705:KIH327711 JYL327705:JYL327711 JOP327705:JOP327711 JET327705:JET327711 IUX327705:IUX327711 ILB327705:ILB327711 IBF327705:IBF327711 HRJ327705:HRJ327711 HHN327705:HHN327711 GXR327705:GXR327711 GNV327705:GNV327711 GDZ327705:GDZ327711 FUD327705:FUD327711 FKH327705:FKH327711 FAL327705:FAL327711 EQP327705:EQP327711 EGT327705:EGT327711 DWX327705:DWX327711 DNB327705:DNB327711 DDF327705:DDF327711 CTJ327705:CTJ327711 CJN327705:CJN327711 BZR327705:BZR327711 BPV327705:BPV327711 BFZ327705:BFZ327711 AWD327705:AWD327711 AMH327705:AMH327711 ACL327705:ACL327711 SP327705:SP327711 IT327705:IT327711 WVF262169:WVF262175 WLJ262169:WLJ262175 WBN262169:WBN262175 VRR262169:VRR262175 VHV262169:VHV262175 UXZ262169:UXZ262175 UOD262169:UOD262175 UEH262169:UEH262175 TUL262169:TUL262175 TKP262169:TKP262175 TAT262169:TAT262175 SQX262169:SQX262175 SHB262169:SHB262175 RXF262169:RXF262175 RNJ262169:RNJ262175 RDN262169:RDN262175 QTR262169:QTR262175 QJV262169:QJV262175 PZZ262169:PZZ262175 PQD262169:PQD262175 PGH262169:PGH262175 OWL262169:OWL262175 OMP262169:OMP262175 OCT262169:OCT262175 NSX262169:NSX262175 NJB262169:NJB262175 MZF262169:MZF262175 MPJ262169:MPJ262175 MFN262169:MFN262175 LVR262169:LVR262175 LLV262169:LLV262175 LBZ262169:LBZ262175 KSD262169:KSD262175 KIH262169:KIH262175 JYL262169:JYL262175 JOP262169:JOP262175 JET262169:JET262175 IUX262169:IUX262175 ILB262169:ILB262175 IBF262169:IBF262175 HRJ262169:HRJ262175 HHN262169:HHN262175 GXR262169:GXR262175 GNV262169:GNV262175 GDZ262169:GDZ262175 FUD262169:FUD262175 FKH262169:FKH262175 FAL262169:FAL262175 EQP262169:EQP262175 EGT262169:EGT262175 DWX262169:DWX262175 DNB262169:DNB262175 DDF262169:DDF262175 CTJ262169:CTJ262175 CJN262169:CJN262175 BZR262169:BZR262175 BPV262169:BPV262175 BFZ262169:BFZ262175 AWD262169:AWD262175 AMH262169:AMH262175 ACL262169:ACL262175 SP262169:SP262175 IT262169:IT262175 WVF196633:WVF196639 WLJ196633:WLJ196639 WBN196633:WBN196639 VRR196633:VRR196639 VHV196633:VHV196639 UXZ196633:UXZ196639 UOD196633:UOD196639 UEH196633:UEH196639 TUL196633:TUL196639 TKP196633:TKP196639 TAT196633:TAT196639 SQX196633:SQX196639 SHB196633:SHB196639 RXF196633:RXF196639 RNJ196633:RNJ196639 RDN196633:RDN196639 QTR196633:QTR196639 QJV196633:QJV196639 PZZ196633:PZZ196639 PQD196633:PQD196639 PGH196633:PGH196639 OWL196633:OWL196639 OMP196633:OMP196639 OCT196633:OCT196639 NSX196633:NSX196639 NJB196633:NJB196639 MZF196633:MZF196639 MPJ196633:MPJ196639 MFN196633:MFN196639 LVR196633:LVR196639 LLV196633:LLV196639 LBZ196633:LBZ196639 KSD196633:KSD196639 KIH196633:KIH196639 JYL196633:JYL196639 JOP196633:JOP196639 JET196633:JET196639 IUX196633:IUX196639 ILB196633:ILB196639 IBF196633:IBF196639 HRJ196633:HRJ196639 HHN196633:HHN196639 GXR196633:GXR196639 GNV196633:GNV196639 GDZ196633:GDZ196639 FUD196633:FUD196639 FKH196633:FKH196639 FAL196633:FAL196639 EQP196633:EQP196639 EGT196633:EGT196639 DWX196633:DWX196639 DNB196633:DNB196639 DDF196633:DDF196639 CTJ196633:CTJ196639 CJN196633:CJN196639 BZR196633:BZR196639 BPV196633:BPV196639 BFZ196633:BFZ196639 AWD196633:AWD196639 AMH196633:AMH196639 ACL196633:ACL196639 SP196633:SP196639 IT196633:IT196639 WVF131097:WVF131103 WLJ131097:WLJ131103 WBN131097:WBN131103 VRR131097:VRR131103 VHV131097:VHV131103 UXZ131097:UXZ131103 UOD131097:UOD131103 UEH131097:UEH131103 TUL131097:TUL131103 TKP131097:TKP131103 TAT131097:TAT131103 SQX131097:SQX131103 SHB131097:SHB131103 RXF131097:RXF131103 RNJ131097:RNJ131103 RDN131097:RDN131103 QTR131097:QTR131103 QJV131097:QJV131103 PZZ131097:PZZ131103 PQD131097:PQD131103 PGH131097:PGH131103 OWL131097:OWL131103 OMP131097:OMP131103 OCT131097:OCT131103 NSX131097:NSX131103 NJB131097:NJB131103 MZF131097:MZF131103 MPJ131097:MPJ131103 MFN131097:MFN131103 LVR131097:LVR131103 LLV131097:LLV131103 LBZ131097:LBZ131103 KSD131097:KSD131103 KIH131097:KIH131103 JYL131097:JYL131103 JOP131097:JOP131103 JET131097:JET131103 IUX131097:IUX131103 ILB131097:ILB131103 IBF131097:IBF131103 HRJ131097:HRJ131103 HHN131097:HHN131103 GXR131097:GXR131103 GNV131097:GNV131103 GDZ131097:GDZ131103 FUD131097:FUD131103 FKH131097:FKH131103 FAL131097:FAL131103 EQP131097:EQP131103 EGT131097:EGT131103 DWX131097:DWX131103 DNB131097:DNB131103 DDF131097:DDF131103 CTJ131097:CTJ131103 CJN131097:CJN131103 BZR131097:BZR131103 BPV131097:BPV131103 BFZ131097:BFZ131103 AWD131097:AWD131103 AMH131097:AMH131103 ACL131097:ACL131103 SP131097:SP131103 IT131097:IT131103 WVF65561:WVF65567 WLJ65561:WLJ65567 WBN65561:WBN65567 VRR65561:VRR65567 VHV65561:VHV65567 UXZ65561:UXZ65567 UOD65561:UOD65567 UEH65561:UEH65567 TUL65561:TUL65567 TKP65561:TKP65567 TAT65561:TAT65567 SQX65561:SQX65567 SHB65561:SHB65567 RXF65561:RXF65567 RNJ65561:RNJ65567 RDN65561:RDN65567 QTR65561:QTR65567 QJV65561:QJV65567 PZZ65561:PZZ65567 PQD65561:PQD65567 PGH65561:PGH65567 OWL65561:OWL65567 OMP65561:OMP65567 OCT65561:OCT65567 NSX65561:NSX65567 NJB65561:NJB65567 MZF65561:MZF65567 MPJ65561:MPJ65567 MFN65561:MFN65567 LVR65561:LVR65567 LLV65561:LLV65567 LBZ65561:LBZ65567 KSD65561:KSD65567 KIH65561:KIH65567 JYL65561:JYL65567 JOP65561:JOP65567 JET65561:JET65567 IUX65561:IUX65567 ILB65561:ILB65567 IBF65561:IBF65567 HRJ65561:HRJ65567 HHN65561:HHN65567 GXR65561:GXR65567 GNV65561:GNV65567 GDZ65561:GDZ65567 FUD65561:FUD65567 FKH65561:FKH65567 FAL65561:FAL65567 EQP65561:EQP65567 EGT65561:EGT65567 DWX65561:DWX65567 DNB65561:DNB65567 DDF65561:DDF65567 CTJ65561:CTJ65567 CJN65561:CJN65567 BZR65561:BZR65567 BPV65561:BPV65567 BFZ65561:BFZ65567 AWD65561:AWD65567 AMH65561:AMH65567 ACL65561:ACL65567 SP65561:SP65567 IT65561:IT65567 E983065:E983071 E917529:E917535 E851993:E851999 E786457:E786463 E720921:E720927 E655385:E655391 E589849:E589855 E524313:E524319 E458777:E458783 E393241:E393247 E327705:E327711 E262169:E262175 E196633:E196639 E131097:E131103 E65561:E65567 L983065:L983071 L917529:L917535 L851993:L851999 L786457:L786463 L720921:L720927 L655385:L655391 L589849:L589855 L524313:L524319 L458777:L458783 L393241:L393247 L327705:L327711 L262169:L262175 L196633:L196639 L131097:L131103 L65561:L65567 K7:K46 JJ27:JJ31 WWD27:WWD31 WMH27:WMH31 WCL27:WCL31 VSP27:VSP31 VIT27:VIT31 UYX27:UYX31 UPB27:UPB31 UFF27:UFF31 TVJ27:TVJ31 TLN27:TLN31 TBR27:TBR31 SRV27:SRV31 SHZ27:SHZ31 RYD27:RYD31 ROH27:ROH31 REL27:REL31 QUP27:QUP31 QKT27:QKT31 QAX27:QAX31 PRB27:PRB31 PHF27:PHF31 OXJ27:OXJ31 ONN27:ONN31 ODR27:ODR31 NTV27:NTV31 NJZ27:NJZ31 NAD27:NAD31 MQH27:MQH31 MGL27:MGL31 LWP27:LWP31 LMT27:LMT31 LCX27:LCX31 KTB27:KTB31 KJF27:KJF31 JZJ27:JZJ31 JPN27:JPN31 JFR27:JFR31 IVV27:IVV31 ILZ27:ILZ31 ICD27:ICD31 HSH27:HSH31 HIL27:HIL31 GYP27:GYP31 GOT27:GOT31 GEX27:GEX31 FVB27:FVB31 FLF27:FLF31 FBJ27:FBJ31 ERN27:ERN31 EHR27:EHR31 DXV27:DXV31 DNZ27:DNZ31 DED27:DED31 CUH27:CUH31 CKL27:CKL31 CAP27:CAP31 BQT27:BQT31 BGX27:BGX31 AXB27:AXB31 ANF27:ANF31 ADJ27:ADJ31 TN27:TN31 JR27:JR31 WVV27:WVV31 WLZ27:WLZ31 WCD27:WCD31 VSH27:VSH31 VIL27:VIL31 UYP27:UYP31 UOT27:UOT31 UEX27:UEX31 TVB27:TVB31 TLF27:TLF31 TBJ27:TBJ31 SRN27:SRN31 SHR27:SHR31 RXV27:RXV31 RNZ27:RNZ31 RED27:RED31 QUH27:QUH31 QKL27:QKL31 QAP27:QAP31 PQT27:PQT31 PGX27:PGX31 OXB27:OXB31 ONF27:ONF31 ODJ27:ODJ31 NTN27:NTN31 NJR27:NJR31 MZV27:MZV31 MPZ27:MPZ31 MGD27:MGD31 LWH27:LWH31 LML27:LML31 LCP27:LCP31 KST27:KST31 KIX27:KIX31 JZB27:JZB31 JPF27:JPF31 JFJ27:JFJ31 IVN27:IVN31 ILR27:ILR31 IBV27:IBV31 HRZ27:HRZ31 HID27:HID31 GYH27:GYH31 GOL27:GOL31 GEP27:GEP31 FUT27:FUT31 FKX27:FKX31 FBB27:FBB31 ERF27:ERF31 EHJ27:EHJ31 DXN27:DXN31 DNR27:DNR31 DDV27:DDV31 CTZ27:CTZ31 CKD27:CKD31 CAH27:CAH31 BQL27:BQL31 BGP27:BGP31 AWT27:AWT31 AMX27:AMX31 ADB27:ADB31 TF27:TF31">
      <formula1>RRProbability</formula1>
    </dataValidation>
    <dataValidation type="list" allowBlank="1" showInputMessage="1" showErrorMessage="1" sqref="WWE6:WWE11 M65561:M65567 WMI6:WMI11 WCM6:WCM11 VSQ6:VSQ11 VIU6:VIU11 UYY6:UYY11 UPC6:UPC11 UFG6:UFG11 TVK6:TVK11 TLO6:TLO11 TBS6:TBS11 SRW6:SRW11 SIA6:SIA11 RYE6:RYE11 ROI6:ROI11 REM6:REM11 QUQ6:QUQ11 QKU6:QKU11 QAY6:QAY11 PRC6:PRC11 PHG6:PHG11 OXK6:OXK11 ONO6:ONO11 ODS6:ODS11 NTW6:NTW11 NKA6:NKA11 NAE6:NAE11 MQI6:MQI11 MGM6:MGM11 LWQ6:LWQ11 LMU6:LMU11 LCY6:LCY11 KTC6:KTC11 KJG6:KJG11 JZK6:JZK11 JPO6:JPO11 JFS6:JFS11 IVW6:IVW11 IMA6:IMA11 ICE6:ICE11 HSI6:HSI11 HIM6:HIM11 GYQ6:GYQ11 GOU6:GOU11 GEY6:GEY11 FVC6:FVC11 FLG6:FLG11 FBK6:FBK11 ERO6:ERO11 EHS6:EHS11 DXW6:DXW11 DOA6:DOA11 DEE6:DEE11 CUI6:CUI11 CKM6:CKM11 CAQ6:CAQ11 BQU6:BQU11 BGY6:BGY11 AXC6:AXC11 ANG6:ANG11 ADK6:ADK11 TO6:TO11 JS6:JS11 WVW6:WVW11 WMA6:WMA11 WCE6:WCE11 VSI6:VSI11 VIM6:VIM11 UYQ6:UYQ11 UOU6:UOU11 UEY6:UEY11 TVC6:TVC11 TLG6:TLG11 TBK6:TBK11 SRO6:SRO11 SHS6:SHS11 RXW6:RXW11 ROA6:ROA11 REE6:REE11 QUI6:QUI11 QKM6:QKM11 QAQ6:QAQ11 PQU6:PQU11 PGY6:PGY11 OXC6:OXC11 ONG6:ONG11 ODK6:ODK11 NTO6:NTO11 NJS6:NJS11 MZW6:MZW11 MQA6:MQA11 MGE6:MGE11 LWI6:LWI11 LMM6:LMM11 LCQ6:LCQ11 KSU6:KSU11 KIY6:KIY11 JZC6:JZC11 JPG6:JPG11 JFK6:JFK11 IVO6:IVO11 ILS6:ILS11 IBW6:IBW11 HSA6:HSA11 HIE6:HIE11 GYI6:GYI11 GOM6:GOM11 GEQ6:GEQ11 FUU6:FUU11 FKY6:FKY11 FBC6:FBC11 ERG6:ERG11 EHK6:EHK11 DXO6:DXO11 DNS6:DNS11 DDW6:DDW11 CUA6:CUA11 CKE6:CKE11 CAI6:CAI11 BQM6:BQM11 BGQ6:BGQ11 AWU6:AWU11 AMY6:AMY11 ADC6:ADC11 TG6:TG11 JK6:JK11 WVO983065:WVO983071 WLS983065:WLS983071 WBW983065:WBW983071 VSA983065:VSA983071 VIE983065:VIE983071 UYI983065:UYI983071 UOM983065:UOM983071 UEQ983065:UEQ983071 TUU983065:TUU983071 TKY983065:TKY983071 TBC983065:TBC983071 SRG983065:SRG983071 SHK983065:SHK983071 RXO983065:RXO983071 RNS983065:RNS983071 RDW983065:RDW983071 QUA983065:QUA983071 QKE983065:QKE983071 QAI983065:QAI983071 PQM983065:PQM983071 PGQ983065:PGQ983071 OWU983065:OWU983071 OMY983065:OMY983071 ODC983065:ODC983071 NTG983065:NTG983071 NJK983065:NJK983071 MZO983065:MZO983071 MPS983065:MPS983071 MFW983065:MFW983071 LWA983065:LWA983071 LME983065:LME983071 LCI983065:LCI983071 KSM983065:KSM983071 KIQ983065:KIQ983071 JYU983065:JYU983071 JOY983065:JOY983071 JFC983065:JFC983071 IVG983065:IVG983071 ILK983065:ILK983071 IBO983065:IBO983071 HRS983065:HRS983071 HHW983065:HHW983071 GYA983065:GYA983071 GOE983065:GOE983071 GEI983065:GEI983071 FUM983065:FUM983071 FKQ983065:FKQ983071 FAU983065:FAU983071 EQY983065:EQY983071 EHC983065:EHC983071 DXG983065:DXG983071 DNK983065:DNK983071 DDO983065:DDO983071 CTS983065:CTS983071 CJW983065:CJW983071 CAA983065:CAA983071 BQE983065:BQE983071 BGI983065:BGI983071 AWM983065:AWM983071 AMQ983065:AMQ983071 ACU983065:ACU983071 SY983065:SY983071 JC983065:JC983071 WVO917529:WVO917535 WLS917529:WLS917535 WBW917529:WBW917535 VSA917529:VSA917535 VIE917529:VIE917535 UYI917529:UYI917535 UOM917529:UOM917535 UEQ917529:UEQ917535 TUU917529:TUU917535 TKY917529:TKY917535 TBC917529:TBC917535 SRG917529:SRG917535 SHK917529:SHK917535 RXO917529:RXO917535 RNS917529:RNS917535 RDW917529:RDW917535 QUA917529:QUA917535 QKE917529:QKE917535 QAI917529:QAI917535 PQM917529:PQM917535 PGQ917529:PGQ917535 OWU917529:OWU917535 OMY917529:OMY917535 ODC917529:ODC917535 NTG917529:NTG917535 NJK917529:NJK917535 MZO917529:MZO917535 MPS917529:MPS917535 MFW917529:MFW917535 LWA917529:LWA917535 LME917529:LME917535 LCI917529:LCI917535 KSM917529:KSM917535 KIQ917529:KIQ917535 JYU917529:JYU917535 JOY917529:JOY917535 JFC917529:JFC917535 IVG917529:IVG917535 ILK917529:ILK917535 IBO917529:IBO917535 HRS917529:HRS917535 HHW917529:HHW917535 GYA917529:GYA917535 GOE917529:GOE917535 GEI917529:GEI917535 FUM917529:FUM917535 FKQ917529:FKQ917535 FAU917529:FAU917535 EQY917529:EQY917535 EHC917529:EHC917535 DXG917529:DXG917535 DNK917529:DNK917535 DDO917529:DDO917535 CTS917529:CTS917535 CJW917529:CJW917535 CAA917529:CAA917535 BQE917529:BQE917535 BGI917529:BGI917535 AWM917529:AWM917535 AMQ917529:AMQ917535 ACU917529:ACU917535 SY917529:SY917535 JC917529:JC917535 WVO851993:WVO851999 WLS851993:WLS851999 WBW851993:WBW851999 VSA851993:VSA851999 VIE851993:VIE851999 UYI851993:UYI851999 UOM851993:UOM851999 UEQ851993:UEQ851999 TUU851993:TUU851999 TKY851993:TKY851999 TBC851993:TBC851999 SRG851993:SRG851999 SHK851993:SHK851999 RXO851993:RXO851999 RNS851993:RNS851999 RDW851993:RDW851999 QUA851993:QUA851999 QKE851993:QKE851999 QAI851993:QAI851999 PQM851993:PQM851999 PGQ851993:PGQ851999 OWU851993:OWU851999 OMY851993:OMY851999 ODC851993:ODC851999 NTG851993:NTG851999 NJK851993:NJK851999 MZO851993:MZO851999 MPS851993:MPS851999 MFW851993:MFW851999 LWA851993:LWA851999 LME851993:LME851999 LCI851993:LCI851999 KSM851993:KSM851999 KIQ851993:KIQ851999 JYU851993:JYU851999 JOY851993:JOY851999 JFC851993:JFC851999 IVG851993:IVG851999 ILK851993:ILK851999 IBO851993:IBO851999 HRS851993:HRS851999 HHW851993:HHW851999 GYA851993:GYA851999 GOE851993:GOE851999 GEI851993:GEI851999 FUM851993:FUM851999 FKQ851993:FKQ851999 FAU851993:FAU851999 EQY851993:EQY851999 EHC851993:EHC851999 DXG851993:DXG851999 DNK851993:DNK851999 DDO851993:DDO851999 CTS851993:CTS851999 CJW851993:CJW851999 CAA851993:CAA851999 BQE851993:BQE851999 BGI851993:BGI851999 AWM851993:AWM851999 AMQ851993:AMQ851999 ACU851993:ACU851999 SY851993:SY851999 JC851993:JC851999 WVO786457:WVO786463 WLS786457:WLS786463 WBW786457:WBW786463 VSA786457:VSA786463 VIE786457:VIE786463 UYI786457:UYI786463 UOM786457:UOM786463 UEQ786457:UEQ786463 TUU786457:TUU786463 TKY786457:TKY786463 TBC786457:TBC786463 SRG786457:SRG786463 SHK786457:SHK786463 RXO786457:RXO786463 RNS786457:RNS786463 RDW786457:RDW786463 QUA786457:QUA786463 QKE786457:QKE786463 QAI786457:QAI786463 PQM786457:PQM786463 PGQ786457:PGQ786463 OWU786457:OWU786463 OMY786457:OMY786463 ODC786457:ODC786463 NTG786457:NTG786463 NJK786457:NJK786463 MZO786457:MZO786463 MPS786457:MPS786463 MFW786457:MFW786463 LWA786457:LWA786463 LME786457:LME786463 LCI786457:LCI786463 KSM786457:KSM786463 KIQ786457:KIQ786463 JYU786457:JYU786463 JOY786457:JOY786463 JFC786457:JFC786463 IVG786457:IVG786463 ILK786457:ILK786463 IBO786457:IBO786463 HRS786457:HRS786463 HHW786457:HHW786463 GYA786457:GYA786463 GOE786457:GOE786463 GEI786457:GEI786463 FUM786457:FUM786463 FKQ786457:FKQ786463 FAU786457:FAU786463 EQY786457:EQY786463 EHC786457:EHC786463 DXG786457:DXG786463 DNK786457:DNK786463 DDO786457:DDO786463 CTS786457:CTS786463 CJW786457:CJW786463 CAA786457:CAA786463 BQE786457:BQE786463 BGI786457:BGI786463 AWM786457:AWM786463 AMQ786457:AMQ786463 ACU786457:ACU786463 SY786457:SY786463 JC786457:JC786463 WVO720921:WVO720927 WLS720921:WLS720927 WBW720921:WBW720927 VSA720921:VSA720927 VIE720921:VIE720927 UYI720921:UYI720927 UOM720921:UOM720927 UEQ720921:UEQ720927 TUU720921:TUU720927 TKY720921:TKY720927 TBC720921:TBC720927 SRG720921:SRG720927 SHK720921:SHK720927 RXO720921:RXO720927 RNS720921:RNS720927 RDW720921:RDW720927 QUA720921:QUA720927 QKE720921:QKE720927 QAI720921:QAI720927 PQM720921:PQM720927 PGQ720921:PGQ720927 OWU720921:OWU720927 OMY720921:OMY720927 ODC720921:ODC720927 NTG720921:NTG720927 NJK720921:NJK720927 MZO720921:MZO720927 MPS720921:MPS720927 MFW720921:MFW720927 LWA720921:LWA720927 LME720921:LME720927 LCI720921:LCI720927 KSM720921:KSM720927 KIQ720921:KIQ720927 JYU720921:JYU720927 JOY720921:JOY720927 JFC720921:JFC720927 IVG720921:IVG720927 ILK720921:ILK720927 IBO720921:IBO720927 HRS720921:HRS720927 HHW720921:HHW720927 GYA720921:GYA720927 GOE720921:GOE720927 GEI720921:GEI720927 FUM720921:FUM720927 FKQ720921:FKQ720927 FAU720921:FAU720927 EQY720921:EQY720927 EHC720921:EHC720927 DXG720921:DXG720927 DNK720921:DNK720927 DDO720921:DDO720927 CTS720921:CTS720927 CJW720921:CJW720927 CAA720921:CAA720927 BQE720921:BQE720927 BGI720921:BGI720927 AWM720921:AWM720927 AMQ720921:AMQ720927 ACU720921:ACU720927 SY720921:SY720927 JC720921:JC720927 WVO655385:WVO655391 WLS655385:WLS655391 WBW655385:WBW655391 VSA655385:VSA655391 VIE655385:VIE655391 UYI655385:UYI655391 UOM655385:UOM655391 UEQ655385:UEQ655391 TUU655385:TUU655391 TKY655385:TKY655391 TBC655385:TBC655391 SRG655385:SRG655391 SHK655385:SHK655391 RXO655385:RXO655391 RNS655385:RNS655391 RDW655385:RDW655391 QUA655385:QUA655391 QKE655385:QKE655391 QAI655385:QAI655391 PQM655385:PQM655391 PGQ655385:PGQ655391 OWU655385:OWU655391 OMY655385:OMY655391 ODC655385:ODC655391 NTG655385:NTG655391 NJK655385:NJK655391 MZO655385:MZO655391 MPS655385:MPS655391 MFW655385:MFW655391 LWA655385:LWA655391 LME655385:LME655391 LCI655385:LCI655391 KSM655385:KSM655391 KIQ655385:KIQ655391 JYU655385:JYU655391 JOY655385:JOY655391 JFC655385:JFC655391 IVG655385:IVG655391 ILK655385:ILK655391 IBO655385:IBO655391 HRS655385:HRS655391 HHW655385:HHW655391 GYA655385:GYA655391 GOE655385:GOE655391 GEI655385:GEI655391 FUM655385:FUM655391 FKQ655385:FKQ655391 FAU655385:FAU655391 EQY655385:EQY655391 EHC655385:EHC655391 DXG655385:DXG655391 DNK655385:DNK655391 DDO655385:DDO655391 CTS655385:CTS655391 CJW655385:CJW655391 CAA655385:CAA655391 BQE655385:BQE655391 BGI655385:BGI655391 AWM655385:AWM655391 AMQ655385:AMQ655391 ACU655385:ACU655391 SY655385:SY655391 JC655385:JC655391 WVO589849:WVO589855 WLS589849:WLS589855 WBW589849:WBW589855 VSA589849:VSA589855 VIE589849:VIE589855 UYI589849:UYI589855 UOM589849:UOM589855 UEQ589849:UEQ589855 TUU589849:TUU589855 TKY589849:TKY589855 TBC589849:TBC589855 SRG589849:SRG589855 SHK589849:SHK589855 RXO589849:RXO589855 RNS589849:RNS589855 RDW589849:RDW589855 QUA589849:QUA589855 QKE589849:QKE589855 QAI589849:QAI589855 PQM589849:PQM589855 PGQ589849:PGQ589855 OWU589849:OWU589855 OMY589849:OMY589855 ODC589849:ODC589855 NTG589849:NTG589855 NJK589849:NJK589855 MZO589849:MZO589855 MPS589849:MPS589855 MFW589849:MFW589855 LWA589849:LWA589855 LME589849:LME589855 LCI589849:LCI589855 KSM589849:KSM589855 KIQ589849:KIQ589855 JYU589849:JYU589855 JOY589849:JOY589855 JFC589849:JFC589855 IVG589849:IVG589855 ILK589849:ILK589855 IBO589849:IBO589855 HRS589849:HRS589855 HHW589849:HHW589855 GYA589849:GYA589855 GOE589849:GOE589855 GEI589849:GEI589855 FUM589849:FUM589855 FKQ589849:FKQ589855 FAU589849:FAU589855 EQY589849:EQY589855 EHC589849:EHC589855 DXG589849:DXG589855 DNK589849:DNK589855 DDO589849:DDO589855 CTS589849:CTS589855 CJW589849:CJW589855 CAA589849:CAA589855 BQE589849:BQE589855 BGI589849:BGI589855 AWM589849:AWM589855 AMQ589849:AMQ589855 ACU589849:ACU589855 SY589849:SY589855 JC589849:JC589855 WVO524313:WVO524319 WLS524313:WLS524319 WBW524313:WBW524319 VSA524313:VSA524319 VIE524313:VIE524319 UYI524313:UYI524319 UOM524313:UOM524319 UEQ524313:UEQ524319 TUU524313:TUU524319 TKY524313:TKY524319 TBC524313:TBC524319 SRG524313:SRG524319 SHK524313:SHK524319 RXO524313:RXO524319 RNS524313:RNS524319 RDW524313:RDW524319 QUA524313:QUA524319 QKE524313:QKE524319 QAI524313:QAI524319 PQM524313:PQM524319 PGQ524313:PGQ524319 OWU524313:OWU524319 OMY524313:OMY524319 ODC524313:ODC524319 NTG524313:NTG524319 NJK524313:NJK524319 MZO524313:MZO524319 MPS524313:MPS524319 MFW524313:MFW524319 LWA524313:LWA524319 LME524313:LME524319 LCI524313:LCI524319 KSM524313:KSM524319 KIQ524313:KIQ524319 JYU524313:JYU524319 JOY524313:JOY524319 JFC524313:JFC524319 IVG524313:IVG524319 ILK524313:ILK524319 IBO524313:IBO524319 HRS524313:HRS524319 HHW524313:HHW524319 GYA524313:GYA524319 GOE524313:GOE524319 GEI524313:GEI524319 FUM524313:FUM524319 FKQ524313:FKQ524319 FAU524313:FAU524319 EQY524313:EQY524319 EHC524313:EHC524319 DXG524313:DXG524319 DNK524313:DNK524319 DDO524313:DDO524319 CTS524313:CTS524319 CJW524313:CJW524319 CAA524313:CAA524319 BQE524313:BQE524319 BGI524313:BGI524319 AWM524313:AWM524319 AMQ524313:AMQ524319 ACU524313:ACU524319 SY524313:SY524319 JC524313:JC524319 WVO458777:WVO458783 WLS458777:WLS458783 WBW458777:WBW458783 VSA458777:VSA458783 VIE458777:VIE458783 UYI458777:UYI458783 UOM458777:UOM458783 UEQ458777:UEQ458783 TUU458777:TUU458783 TKY458777:TKY458783 TBC458777:TBC458783 SRG458777:SRG458783 SHK458777:SHK458783 RXO458777:RXO458783 RNS458777:RNS458783 RDW458777:RDW458783 QUA458777:QUA458783 QKE458777:QKE458783 QAI458777:QAI458783 PQM458777:PQM458783 PGQ458777:PGQ458783 OWU458777:OWU458783 OMY458777:OMY458783 ODC458777:ODC458783 NTG458777:NTG458783 NJK458777:NJK458783 MZO458777:MZO458783 MPS458777:MPS458783 MFW458777:MFW458783 LWA458777:LWA458783 LME458777:LME458783 LCI458777:LCI458783 KSM458777:KSM458783 KIQ458777:KIQ458783 JYU458777:JYU458783 JOY458777:JOY458783 JFC458777:JFC458783 IVG458777:IVG458783 ILK458777:ILK458783 IBO458777:IBO458783 HRS458777:HRS458783 HHW458777:HHW458783 GYA458777:GYA458783 GOE458777:GOE458783 GEI458777:GEI458783 FUM458777:FUM458783 FKQ458777:FKQ458783 FAU458777:FAU458783 EQY458777:EQY458783 EHC458777:EHC458783 DXG458777:DXG458783 DNK458777:DNK458783 DDO458777:DDO458783 CTS458777:CTS458783 CJW458777:CJW458783 CAA458777:CAA458783 BQE458777:BQE458783 BGI458777:BGI458783 AWM458777:AWM458783 AMQ458777:AMQ458783 ACU458777:ACU458783 SY458777:SY458783 JC458777:JC458783 WVO393241:WVO393247 WLS393241:WLS393247 WBW393241:WBW393247 VSA393241:VSA393247 VIE393241:VIE393247 UYI393241:UYI393247 UOM393241:UOM393247 UEQ393241:UEQ393247 TUU393241:TUU393247 TKY393241:TKY393247 TBC393241:TBC393247 SRG393241:SRG393247 SHK393241:SHK393247 RXO393241:RXO393247 RNS393241:RNS393247 RDW393241:RDW393247 QUA393241:QUA393247 QKE393241:QKE393247 QAI393241:QAI393247 PQM393241:PQM393247 PGQ393241:PGQ393247 OWU393241:OWU393247 OMY393241:OMY393247 ODC393241:ODC393247 NTG393241:NTG393247 NJK393241:NJK393247 MZO393241:MZO393247 MPS393241:MPS393247 MFW393241:MFW393247 LWA393241:LWA393247 LME393241:LME393247 LCI393241:LCI393247 KSM393241:KSM393247 KIQ393241:KIQ393247 JYU393241:JYU393247 JOY393241:JOY393247 JFC393241:JFC393247 IVG393241:IVG393247 ILK393241:ILK393247 IBO393241:IBO393247 HRS393241:HRS393247 HHW393241:HHW393247 GYA393241:GYA393247 GOE393241:GOE393247 GEI393241:GEI393247 FUM393241:FUM393247 FKQ393241:FKQ393247 FAU393241:FAU393247 EQY393241:EQY393247 EHC393241:EHC393247 DXG393241:DXG393247 DNK393241:DNK393247 DDO393241:DDO393247 CTS393241:CTS393247 CJW393241:CJW393247 CAA393241:CAA393247 BQE393241:BQE393247 BGI393241:BGI393247 AWM393241:AWM393247 AMQ393241:AMQ393247 ACU393241:ACU393247 SY393241:SY393247 JC393241:JC393247 WVO327705:WVO327711 WLS327705:WLS327711 WBW327705:WBW327711 VSA327705:VSA327711 VIE327705:VIE327711 UYI327705:UYI327711 UOM327705:UOM327711 UEQ327705:UEQ327711 TUU327705:TUU327711 TKY327705:TKY327711 TBC327705:TBC327711 SRG327705:SRG327711 SHK327705:SHK327711 RXO327705:RXO327711 RNS327705:RNS327711 RDW327705:RDW327711 QUA327705:QUA327711 QKE327705:QKE327711 QAI327705:QAI327711 PQM327705:PQM327711 PGQ327705:PGQ327711 OWU327705:OWU327711 OMY327705:OMY327711 ODC327705:ODC327711 NTG327705:NTG327711 NJK327705:NJK327711 MZO327705:MZO327711 MPS327705:MPS327711 MFW327705:MFW327711 LWA327705:LWA327711 LME327705:LME327711 LCI327705:LCI327711 KSM327705:KSM327711 KIQ327705:KIQ327711 JYU327705:JYU327711 JOY327705:JOY327711 JFC327705:JFC327711 IVG327705:IVG327711 ILK327705:ILK327711 IBO327705:IBO327711 HRS327705:HRS327711 HHW327705:HHW327711 GYA327705:GYA327711 GOE327705:GOE327711 GEI327705:GEI327711 FUM327705:FUM327711 FKQ327705:FKQ327711 FAU327705:FAU327711 EQY327705:EQY327711 EHC327705:EHC327711 DXG327705:DXG327711 DNK327705:DNK327711 DDO327705:DDO327711 CTS327705:CTS327711 CJW327705:CJW327711 CAA327705:CAA327711 BQE327705:BQE327711 BGI327705:BGI327711 AWM327705:AWM327711 AMQ327705:AMQ327711 ACU327705:ACU327711 SY327705:SY327711 JC327705:JC327711 WVO262169:WVO262175 WLS262169:WLS262175 WBW262169:WBW262175 VSA262169:VSA262175 VIE262169:VIE262175 UYI262169:UYI262175 UOM262169:UOM262175 UEQ262169:UEQ262175 TUU262169:TUU262175 TKY262169:TKY262175 TBC262169:TBC262175 SRG262169:SRG262175 SHK262169:SHK262175 RXO262169:RXO262175 RNS262169:RNS262175 RDW262169:RDW262175 QUA262169:QUA262175 QKE262169:QKE262175 QAI262169:QAI262175 PQM262169:PQM262175 PGQ262169:PGQ262175 OWU262169:OWU262175 OMY262169:OMY262175 ODC262169:ODC262175 NTG262169:NTG262175 NJK262169:NJK262175 MZO262169:MZO262175 MPS262169:MPS262175 MFW262169:MFW262175 LWA262169:LWA262175 LME262169:LME262175 LCI262169:LCI262175 KSM262169:KSM262175 KIQ262169:KIQ262175 JYU262169:JYU262175 JOY262169:JOY262175 JFC262169:JFC262175 IVG262169:IVG262175 ILK262169:ILK262175 IBO262169:IBO262175 HRS262169:HRS262175 HHW262169:HHW262175 GYA262169:GYA262175 GOE262169:GOE262175 GEI262169:GEI262175 FUM262169:FUM262175 FKQ262169:FKQ262175 FAU262169:FAU262175 EQY262169:EQY262175 EHC262169:EHC262175 DXG262169:DXG262175 DNK262169:DNK262175 DDO262169:DDO262175 CTS262169:CTS262175 CJW262169:CJW262175 CAA262169:CAA262175 BQE262169:BQE262175 BGI262169:BGI262175 AWM262169:AWM262175 AMQ262169:AMQ262175 ACU262169:ACU262175 SY262169:SY262175 JC262169:JC262175 WVO196633:WVO196639 WLS196633:WLS196639 WBW196633:WBW196639 VSA196633:VSA196639 VIE196633:VIE196639 UYI196633:UYI196639 UOM196633:UOM196639 UEQ196633:UEQ196639 TUU196633:TUU196639 TKY196633:TKY196639 TBC196633:TBC196639 SRG196633:SRG196639 SHK196633:SHK196639 RXO196633:RXO196639 RNS196633:RNS196639 RDW196633:RDW196639 QUA196633:QUA196639 QKE196633:QKE196639 QAI196633:QAI196639 PQM196633:PQM196639 PGQ196633:PGQ196639 OWU196633:OWU196639 OMY196633:OMY196639 ODC196633:ODC196639 NTG196633:NTG196639 NJK196633:NJK196639 MZO196633:MZO196639 MPS196633:MPS196639 MFW196633:MFW196639 LWA196633:LWA196639 LME196633:LME196639 LCI196633:LCI196639 KSM196633:KSM196639 KIQ196633:KIQ196639 JYU196633:JYU196639 JOY196633:JOY196639 JFC196633:JFC196639 IVG196633:IVG196639 ILK196633:ILK196639 IBO196633:IBO196639 HRS196633:HRS196639 HHW196633:HHW196639 GYA196633:GYA196639 GOE196633:GOE196639 GEI196633:GEI196639 FUM196633:FUM196639 FKQ196633:FKQ196639 FAU196633:FAU196639 EQY196633:EQY196639 EHC196633:EHC196639 DXG196633:DXG196639 DNK196633:DNK196639 DDO196633:DDO196639 CTS196633:CTS196639 CJW196633:CJW196639 CAA196633:CAA196639 BQE196633:BQE196639 BGI196633:BGI196639 AWM196633:AWM196639 AMQ196633:AMQ196639 ACU196633:ACU196639 SY196633:SY196639 JC196633:JC196639 WVO131097:WVO131103 WLS131097:WLS131103 WBW131097:WBW131103 VSA131097:VSA131103 VIE131097:VIE131103 UYI131097:UYI131103 UOM131097:UOM131103 UEQ131097:UEQ131103 TUU131097:TUU131103 TKY131097:TKY131103 TBC131097:TBC131103 SRG131097:SRG131103 SHK131097:SHK131103 RXO131097:RXO131103 RNS131097:RNS131103 RDW131097:RDW131103 QUA131097:QUA131103 QKE131097:QKE131103 QAI131097:QAI131103 PQM131097:PQM131103 PGQ131097:PGQ131103 OWU131097:OWU131103 OMY131097:OMY131103 ODC131097:ODC131103 NTG131097:NTG131103 NJK131097:NJK131103 MZO131097:MZO131103 MPS131097:MPS131103 MFW131097:MFW131103 LWA131097:LWA131103 LME131097:LME131103 LCI131097:LCI131103 KSM131097:KSM131103 KIQ131097:KIQ131103 JYU131097:JYU131103 JOY131097:JOY131103 JFC131097:JFC131103 IVG131097:IVG131103 ILK131097:ILK131103 IBO131097:IBO131103 HRS131097:HRS131103 HHW131097:HHW131103 GYA131097:GYA131103 GOE131097:GOE131103 GEI131097:GEI131103 FUM131097:FUM131103 FKQ131097:FKQ131103 FAU131097:FAU131103 EQY131097:EQY131103 EHC131097:EHC131103 DXG131097:DXG131103 DNK131097:DNK131103 DDO131097:DDO131103 CTS131097:CTS131103 CJW131097:CJW131103 CAA131097:CAA131103 BQE131097:BQE131103 BGI131097:BGI131103 AWM131097:AWM131103 AMQ131097:AMQ131103 ACU131097:ACU131103 SY131097:SY131103 JC131097:JC131103 WVO65561:WVO65567 WLS65561:WLS65567 WBW65561:WBW65567 VSA65561:VSA65567 VIE65561:VIE65567 UYI65561:UYI65567 UOM65561:UOM65567 UEQ65561:UEQ65567 TUU65561:TUU65567 TKY65561:TKY65567 TBC65561:TBC65567 SRG65561:SRG65567 SHK65561:SHK65567 RXO65561:RXO65567 RNS65561:RNS65567 RDW65561:RDW65567 QUA65561:QUA65567 QKE65561:QKE65567 QAI65561:QAI65567 PQM65561:PQM65567 PGQ65561:PGQ65567 OWU65561:OWU65567 OMY65561:OMY65567 ODC65561:ODC65567 NTG65561:NTG65567 NJK65561:NJK65567 MZO65561:MZO65567 MPS65561:MPS65567 MFW65561:MFW65567 LWA65561:LWA65567 LME65561:LME65567 LCI65561:LCI65567 KSM65561:KSM65567 KIQ65561:KIQ65567 JYU65561:JYU65567 JOY65561:JOY65567 JFC65561:JFC65567 IVG65561:IVG65567 ILK65561:ILK65567 IBO65561:IBO65567 HRS65561:HRS65567 HHW65561:HHW65567 GYA65561:GYA65567 GOE65561:GOE65567 GEI65561:GEI65567 FUM65561:FUM65567 FKQ65561:FKQ65567 FAU65561:FAU65567 EQY65561:EQY65567 EHC65561:EHC65567 DXG65561:DXG65567 DNK65561:DNK65567 DDO65561:DDO65567 CTS65561:CTS65567 CJW65561:CJW65567 CAA65561:CAA65567 BQE65561:BQE65567 BGI65561:BGI65567 AWM65561:AWM65567 AMQ65561:AMQ65567 ACU65561:ACU65567 SY65561:SY65567 JC65561:JC65567 WVG983065:WVG983071 WLK983065:WLK983071 WBO983065:WBO983071 VRS983065:VRS983071 VHW983065:VHW983071 UYA983065:UYA983071 UOE983065:UOE983071 UEI983065:UEI983071 TUM983065:TUM983071 TKQ983065:TKQ983071 TAU983065:TAU983071 SQY983065:SQY983071 SHC983065:SHC983071 RXG983065:RXG983071 RNK983065:RNK983071 RDO983065:RDO983071 QTS983065:QTS983071 QJW983065:QJW983071 QAA983065:QAA983071 PQE983065:PQE983071 PGI983065:PGI983071 OWM983065:OWM983071 OMQ983065:OMQ983071 OCU983065:OCU983071 NSY983065:NSY983071 NJC983065:NJC983071 MZG983065:MZG983071 MPK983065:MPK983071 MFO983065:MFO983071 LVS983065:LVS983071 LLW983065:LLW983071 LCA983065:LCA983071 KSE983065:KSE983071 KII983065:KII983071 JYM983065:JYM983071 JOQ983065:JOQ983071 JEU983065:JEU983071 IUY983065:IUY983071 ILC983065:ILC983071 IBG983065:IBG983071 HRK983065:HRK983071 HHO983065:HHO983071 GXS983065:GXS983071 GNW983065:GNW983071 GEA983065:GEA983071 FUE983065:FUE983071 FKI983065:FKI983071 FAM983065:FAM983071 EQQ983065:EQQ983071 EGU983065:EGU983071 DWY983065:DWY983071 DNC983065:DNC983071 DDG983065:DDG983071 CTK983065:CTK983071 CJO983065:CJO983071 BZS983065:BZS983071 BPW983065:BPW983071 BGA983065:BGA983071 AWE983065:AWE983071 AMI983065:AMI983071 ACM983065:ACM983071 SQ983065:SQ983071 IU983065:IU983071 WVG917529:WVG917535 WLK917529:WLK917535 WBO917529:WBO917535 VRS917529:VRS917535 VHW917529:VHW917535 UYA917529:UYA917535 UOE917529:UOE917535 UEI917529:UEI917535 TUM917529:TUM917535 TKQ917529:TKQ917535 TAU917529:TAU917535 SQY917529:SQY917535 SHC917529:SHC917535 RXG917529:RXG917535 RNK917529:RNK917535 RDO917529:RDO917535 QTS917529:QTS917535 QJW917529:QJW917535 QAA917529:QAA917535 PQE917529:PQE917535 PGI917529:PGI917535 OWM917529:OWM917535 OMQ917529:OMQ917535 OCU917529:OCU917535 NSY917529:NSY917535 NJC917529:NJC917535 MZG917529:MZG917535 MPK917529:MPK917535 MFO917529:MFO917535 LVS917529:LVS917535 LLW917529:LLW917535 LCA917529:LCA917535 KSE917529:KSE917535 KII917529:KII917535 JYM917529:JYM917535 JOQ917529:JOQ917535 JEU917529:JEU917535 IUY917529:IUY917535 ILC917529:ILC917535 IBG917529:IBG917535 HRK917529:HRK917535 HHO917529:HHO917535 GXS917529:GXS917535 GNW917529:GNW917535 GEA917529:GEA917535 FUE917529:FUE917535 FKI917529:FKI917535 FAM917529:FAM917535 EQQ917529:EQQ917535 EGU917529:EGU917535 DWY917529:DWY917535 DNC917529:DNC917535 DDG917529:DDG917535 CTK917529:CTK917535 CJO917529:CJO917535 BZS917529:BZS917535 BPW917529:BPW917535 BGA917529:BGA917535 AWE917529:AWE917535 AMI917529:AMI917535 ACM917529:ACM917535 SQ917529:SQ917535 IU917529:IU917535 WVG851993:WVG851999 WLK851993:WLK851999 WBO851993:WBO851999 VRS851993:VRS851999 VHW851993:VHW851999 UYA851993:UYA851999 UOE851993:UOE851999 UEI851993:UEI851999 TUM851993:TUM851999 TKQ851993:TKQ851999 TAU851993:TAU851999 SQY851993:SQY851999 SHC851993:SHC851999 RXG851993:RXG851999 RNK851993:RNK851999 RDO851993:RDO851999 QTS851993:QTS851999 QJW851993:QJW851999 QAA851993:QAA851999 PQE851993:PQE851999 PGI851993:PGI851999 OWM851993:OWM851999 OMQ851993:OMQ851999 OCU851993:OCU851999 NSY851993:NSY851999 NJC851993:NJC851999 MZG851993:MZG851999 MPK851993:MPK851999 MFO851993:MFO851999 LVS851993:LVS851999 LLW851993:LLW851999 LCA851993:LCA851999 KSE851993:KSE851999 KII851993:KII851999 JYM851993:JYM851999 JOQ851993:JOQ851999 JEU851993:JEU851999 IUY851993:IUY851999 ILC851993:ILC851999 IBG851993:IBG851999 HRK851993:HRK851999 HHO851993:HHO851999 GXS851993:GXS851999 GNW851993:GNW851999 GEA851993:GEA851999 FUE851993:FUE851999 FKI851993:FKI851999 FAM851993:FAM851999 EQQ851993:EQQ851999 EGU851993:EGU851999 DWY851993:DWY851999 DNC851993:DNC851999 DDG851993:DDG851999 CTK851993:CTK851999 CJO851993:CJO851999 BZS851993:BZS851999 BPW851993:BPW851999 BGA851993:BGA851999 AWE851993:AWE851999 AMI851993:AMI851999 ACM851993:ACM851999 SQ851993:SQ851999 IU851993:IU851999 WVG786457:WVG786463 WLK786457:WLK786463 WBO786457:WBO786463 VRS786457:VRS786463 VHW786457:VHW786463 UYA786457:UYA786463 UOE786457:UOE786463 UEI786457:UEI786463 TUM786457:TUM786463 TKQ786457:TKQ786463 TAU786457:TAU786463 SQY786457:SQY786463 SHC786457:SHC786463 RXG786457:RXG786463 RNK786457:RNK786463 RDO786457:RDO786463 QTS786457:QTS786463 QJW786457:QJW786463 QAA786457:QAA786463 PQE786457:PQE786463 PGI786457:PGI786463 OWM786457:OWM786463 OMQ786457:OMQ786463 OCU786457:OCU786463 NSY786457:NSY786463 NJC786457:NJC786463 MZG786457:MZG786463 MPK786457:MPK786463 MFO786457:MFO786463 LVS786457:LVS786463 LLW786457:LLW786463 LCA786457:LCA786463 KSE786457:KSE786463 KII786457:KII786463 JYM786457:JYM786463 JOQ786457:JOQ786463 JEU786457:JEU786463 IUY786457:IUY786463 ILC786457:ILC786463 IBG786457:IBG786463 HRK786457:HRK786463 HHO786457:HHO786463 GXS786457:GXS786463 GNW786457:GNW786463 GEA786457:GEA786463 FUE786457:FUE786463 FKI786457:FKI786463 FAM786457:FAM786463 EQQ786457:EQQ786463 EGU786457:EGU786463 DWY786457:DWY786463 DNC786457:DNC786463 DDG786457:DDG786463 CTK786457:CTK786463 CJO786457:CJO786463 BZS786457:BZS786463 BPW786457:BPW786463 BGA786457:BGA786463 AWE786457:AWE786463 AMI786457:AMI786463 ACM786457:ACM786463 SQ786457:SQ786463 IU786457:IU786463 WVG720921:WVG720927 WLK720921:WLK720927 WBO720921:WBO720927 VRS720921:VRS720927 VHW720921:VHW720927 UYA720921:UYA720927 UOE720921:UOE720927 UEI720921:UEI720927 TUM720921:TUM720927 TKQ720921:TKQ720927 TAU720921:TAU720927 SQY720921:SQY720927 SHC720921:SHC720927 RXG720921:RXG720927 RNK720921:RNK720927 RDO720921:RDO720927 QTS720921:QTS720927 QJW720921:QJW720927 QAA720921:QAA720927 PQE720921:PQE720927 PGI720921:PGI720927 OWM720921:OWM720927 OMQ720921:OMQ720927 OCU720921:OCU720927 NSY720921:NSY720927 NJC720921:NJC720927 MZG720921:MZG720927 MPK720921:MPK720927 MFO720921:MFO720927 LVS720921:LVS720927 LLW720921:LLW720927 LCA720921:LCA720927 KSE720921:KSE720927 KII720921:KII720927 JYM720921:JYM720927 JOQ720921:JOQ720927 JEU720921:JEU720927 IUY720921:IUY720927 ILC720921:ILC720927 IBG720921:IBG720927 HRK720921:HRK720927 HHO720921:HHO720927 GXS720921:GXS720927 GNW720921:GNW720927 GEA720921:GEA720927 FUE720921:FUE720927 FKI720921:FKI720927 FAM720921:FAM720927 EQQ720921:EQQ720927 EGU720921:EGU720927 DWY720921:DWY720927 DNC720921:DNC720927 DDG720921:DDG720927 CTK720921:CTK720927 CJO720921:CJO720927 BZS720921:BZS720927 BPW720921:BPW720927 BGA720921:BGA720927 AWE720921:AWE720927 AMI720921:AMI720927 ACM720921:ACM720927 SQ720921:SQ720927 IU720921:IU720927 WVG655385:WVG655391 WLK655385:WLK655391 WBO655385:WBO655391 VRS655385:VRS655391 VHW655385:VHW655391 UYA655385:UYA655391 UOE655385:UOE655391 UEI655385:UEI655391 TUM655385:TUM655391 TKQ655385:TKQ655391 TAU655385:TAU655391 SQY655385:SQY655391 SHC655385:SHC655391 RXG655385:RXG655391 RNK655385:RNK655391 RDO655385:RDO655391 QTS655385:QTS655391 QJW655385:QJW655391 QAA655385:QAA655391 PQE655385:PQE655391 PGI655385:PGI655391 OWM655385:OWM655391 OMQ655385:OMQ655391 OCU655385:OCU655391 NSY655385:NSY655391 NJC655385:NJC655391 MZG655385:MZG655391 MPK655385:MPK655391 MFO655385:MFO655391 LVS655385:LVS655391 LLW655385:LLW655391 LCA655385:LCA655391 KSE655385:KSE655391 KII655385:KII655391 JYM655385:JYM655391 JOQ655385:JOQ655391 JEU655385:JEU655391 IUY655385:IUY655391 ILC655385:ILC655391 IBG655385:IBG655391 HRK655385:HRK655391 HHO655385:HHO655391 GXS655385:GXS655391 GNW655385:GNW655391 GEA655385:GEA655391 FUE655385:FUE655391 FKI655385:FKI655391 FAM655385:FAM655391 EQQ655385:EQQ655391 EGU655385:EGU655391 DWY655385:DWY655391 DNC655385:DNC655391 DDG655385:DDG655391 CTK655385:CTK655391 CJO655385:CJO655391 BZS655385:BZS655391 BPW655385:BPW655391 BGA655385:BGA655391 AWE655385:AWE655391 AMI655385:AMI655391 ACM655385:ACM655391 SQ655385:SQ655391 IU655385:IU655391 WVG589849:WVG589855 WLK589849:WLK589855 WBO589849:WBO589855 VRS589849:VRS589855 VHW589849:VHW589855 UYA589849:UYA589855 UOE589849:UOE589855 UEI589849:UEI589855 TUM589849:TUM589855 TKQ589849:TKQ589855 TAU589849:TAU589855 SQY589849:SQY589855 SHC589849:SHC589855 RXG589849:RXG589855 RNK589849:RNK589855 RDO589849:RDO589855 QTS589849:QTS589855 QJW589849:QJW589855 QAA589849:QAA589855 PQE589849:PQE589855 PGI589849:PGI589855 OWM589849:OWM589855 OMQ589849:OMQ589855 OCU589849:OCU589855 NSY589849:NSY589855 NJC589849:NJC589855 MZG589849:MZG589855 MPK589849:MPK589855 MFO589849:MFO589855 LVS589849:LVS589855 LLW589849:LLW589855 LCA589849:LCA589855 KSE589849:KSE589855 KII589849:KII589855 JYM589849:JYM589855 JOQ589849:JOQ589855 JEU589849:JEU589855 IUY589849:IUY589855 ILC589849:ILC589855 IBG589849:IBG589855 HRK589849:HRK589855 HHO589849:HHO589855 GXS589849:GXS589855 GNW589849:GNW589855 GEA589849:GEA589855 FUE589849:FUE589855 FKI589849:FKI589855 FAM589849:FAM589855 EQQ589849:EQQ589855 EGU589849:EGU589855 DWY589849:DWY589855 DNC589849:DNC589855 DDG589849:DDG589855 CTK589849:CTK589855 CJO589849:CJO589855 BZS589849:BZS589855 BPW589849:BPW589855 BGA589849:BGA589855 AWE589849:AWE589855 AMI589849:AMI589855 ACM589849:ACM589855 SQ589849:SQ589855 IU589849:IU589855 WVG524313:WVG524319 WLK524313:WLK524319 WBO524313:WBO524319 VRS524313:VRS524319 VHW524313:VHW524319 UYA524313:UYA524319 UOE524313:UOE524319 UEI524313:UEI524319 TUM524313:TUM524319 TKQ524313:TKQ524319 TAU524313:TAU524319 SQY524313:SQY524319 SHC524313:SHC524319 RXG524313:RXG524319 RNK524313:RNK524319 RDO524313:RDO524319 QTS524313:QTS524319 QJW524313:QJW524319 QAA524313:QAA524319 PQE524313:PQE524319 PGI524313:PGI524319 OWM524313:OWM524319 OMQ524313:OMQ524319 OCU524313:OCU524319 NSY524313:NSY524319 NJC524313:NJC524319 MZG524313:MZG524319 MPK524313:MPK524319 MFO524313:MFO524319 LVS524313:LVS524319 LLW524313:LLW524319 LCA524313:LCA524319 KSE524313:KSE524319 KII524313:KII524319 JYM524313:JYM524319 JOQ524313:JOQ524319 JEU524313:JEU524319 IUY524313:IUY524319 ILC524313:ILC524319 IBG524313:IBG524319 HRK524313:HRK524319 HHO524313:HHO524319 GXS524313:GXS524319 GNW524313:GNW524319 GEA524313:GEA524319 FUE524313:FUE524319 FKI524313:FKI524319 FAM524313:FAM524319 EQQ524313:EQQ524319 EGU524313:EGU524319 DWY524313:DWY524319 DNC524313:DNC524319 DDG524313:DDG524319 CTK524313:CTK524319 CJO524313:CJO524319 BZS524313:BZS524319 BPW524313:BPW524319 BGA524313:BGA524319 AWE524313:AWE524319 AMI524313:AMI524319 ACM524313:ACM524319 SQ524313:SQ524319 IU524313:IU524319 WVG458777:WVG458783 WLK458777:WLK458783 WBO458777:WBO458783 VRS458777:VRS458783 VHW458777:VHW458783 UYA458777:UYA458783 UOE458777:UOE458783 UEI458777:UEI458783 TUM458777:TUM458783 TKQ458777:TKQ458783 TAU458777:TAU458783 SQY458777:SQY458783 SHC458777:SHC458783 RXG458777:RXG458783 RNK458777:RNK458783 RDO458777:RDO458783 QTS458777:QTS458783 QJW458777:QJW458783 QAA458777:QAA458783 PQE458777:PQE458783 PGI458777:PGI458783 OWM458777:OWM458783 OMQ458777:OMQ458783 OCU458777:OCU458783 NSY458777:NSY458783 NJC458777:NJC458783 MZG458777:MZG458783 MPK458777:MPK458783 MFO458777:MFO458783 LVS458777:LVS458783 LLW458777:LLW458783 LCA458777:LCA458783 KSE458777:KSE458783 KII458777:KII458783 JYM458777:JYM458783 JOQ458777:JOQ458783 JEU458777:JEU458783 IUY458777:IUY458783 ILC458777:ILC458783 IBG458777:IBG458783 HRK458777:HRK458783 HHO458777:HHO458783 GXS458777:GXS458783 GNW458777:GNW458783 GEA458777:GEA458783 FUE458777:FUE458783 FKI458777:FKI458783 FAM458777:FAM458783 EQQ458777:EQQ458783 EGU458777:EGU458783 DWY458777:DWY458783 DNC458777:DNC458783 DDG458777:DDG458783 CTK458777:CTK458783 CJO458777:CJO458783 BZS458777:BZS458783 BPW458777:BPW458783 BGA458777:BGA458783 AWE458777:AWE458783 AMI458777:AMI458783 ACM458777:ACM458783 SQ458777:SQ458783 IU458777:IU458783 WVG393241:WVG393247 WLK393241:WLK393247 WBO393241:WBO393247 VRS393241:VRS393247 VHW393241:VHW393247 UYA393241:UYA393247 UOE393241:UOE393247 UEI393241:UEI393247 TUM393241:TUM393247 TKQ393241:TKQ393247 TAU393241:TAU393247 SQY393241:SQY393247 SHC393241:SHC393247 RXG393241:RXG393247 RNK393241:RNK393247 RDO393241:RDO393247 QTS393241:QTS393247 QJW393241:QJW393247 QAA393241:QAA393247 PQE393241:PQE393247 PGI393241:PGI393247 OWM393241:OWM393247 OMQ393241:OMQ393247 OCU393241:OCU393247 NSY393241:NSY393247 NJC393241:NJC393247 MZG393241:MZG393247 MPK393241:MPK393247 MFO393241:MFO393247 LVS393241:LVS393247 LLW393241:LLW393247 LCA393241:LCA393247 KSE393241:KSE393247 KII393241:KII393247 JYM393241:JYM393247 JOQ393241:JOQ393247 JEU393241:JEU393247 IUY393241:IUY393247 ILC393241:ILC393247 IBG393241:IBG393247 HRK393241:HRK393247 HHO393241:HHO393247 GXS393241:GXS393247 GNW393241:GNW393247 GEA393241:GEA393247 FUE393241:FUE393247 FKI393241:FKI393247 FAM393241:FAM393247 EQQ393241:EQQ393247 EGU393241:EGU393247 DWY393241:DWY393247 DNC393241:DNC393247 DDG393241:DDG393247 CTK393241:CTK393247 CJO393241:CJO393247 BZS393241:BZS393247 BPW393241:BPW393247 BGA393241:BGA393247 AWE393241:AWE393247 AMI393241:AMI393247 ACM393241:ACM393247 SQ393241:SQ393247 IU393241:IU393247 WVG327705:WVG327711 WLK327705:WLK327711 WBO327705:WBO327711 VRS327705:VRS327711 VHW327705:VHW327711 UYA327705:UYA327711 UOE327705:UOE327711 UEI327705:UEI327711 TUM327705:TUM327711 TKQ327705:TKQ327711 TAU327705:TAU327711 SQY327705:SQY327711 SHC327705:SHC327711 RXG327705:RXG327711 RNK327705:RNK327711 RDO327705:RDO327711 QTS327705:QTS327711 QJW327705:QJW327711 QAA327705:QAA327711 PQE327705:PQE327711 PGI327705:PGI327711 OWM327705:OWM327711 OMQ327705:OMQ327711 OCU327705:OCU327711 NSY327705:NSY327711 NJC327705:NJC327711 MZG327705:MZG327711 MPK327705:MPK327711 MFO327705:MFO327711 LVS327705:LVS327711 LLW327705:LLW327711 LCA327705:LCA327711 KSE327705:KSE327711 KII327705:KII327711 JYM327705:JYM327711 JOQ327705:JOQ327711 JEU327705:JEU327711 IUY327705:IUY327711 ILC327705:ILC327711 IBG327705:IBG327711 HRK327705:HRK327711 HHO327705:HHO327711 GXS327705:GXS327711 GNW327705:GNW327711 GEA327705:GEA327711 FUE327705:FUE327711 FKI327705:FKI327711 FAM327705:FAM327711 EQQ327705:EQQ327711 EGU327705:EGU327711 DWY327705:DWY327711 DNC327705:DNC327711 DDG327705:DDG327711 CTK327705:CTK327711 CJO327705:CJO327711 BZS327705:BZS327711 BPW327705:BPW327711 BGA327705:BGA327711 AWE327705:AWE327711 AMI327705:AMI327711 ACM327705:ACM327711 SQ327705:SQ327711 IU327705:IU327711 WVG262169:WVG262175 WLK262169:WLK262175 WBO262169:WBO262175 VRS262169:VRS262175 VHW262169:VHW262175 UYA262169:UYA262175 UOE262169:UOE262175 UEI262169:UEI262175 TUM262169:TUM262175 TKQ262169:TKQ262175 TAU262169:TAU262175 SQY262169:SQY262175 SHC262169:SHC262175 RXG262169:RXG262175 RNK262169:RNK262175 RDO262169:RDO262175 QTS262169:QTS262175 QJW262169:QJW262175 QAA262169:QAA262175 PQE262169:PQE262175 PGI262169:PGI262175 OWM262169:OWM262175 OMQ262169:OMQ262175 OCU262169:OCU262175 NSY262169:NSY262175 NJC262169:NJC262175 MZG262169:MZG262175 MPK262169:MPK262175 MFO262169:MFO262175 LVS262169:LVS262175 LLW262169:LLW262175 LCA262169:LCA262175 KSE262169:KSE262175 KII262169:KII262175 JYM262169:JYM262175 JOQ262169:JOQ262175 JEU262169:JEU262175 IUY262169:IUY262175 ILC262169:ILC262175 IBG262169:IBG262175 HRK262169:HRK262175 HHO262169:HHO262175 GXS262169:GXS262175 GNW262169:GNW262175 GEA262169:GEA262175 FUE262169:FUE262175 FKI262169:FKI262175 FAM262169:FAM262175 EQQ262169:EQQ262175 EGU262169:EGU262175 DWY262169:DWY262175 DNC262169:DNC262175 DDG262169:DDG262175 CTK262169:CTK262175 CJO262169:CJO262175 BZS262169:BZS262175 BPW262169:BPW262175 BGA262169:BGA262175 AWE262169:AWE262175 AMI262169:AMI262175 ACM262169:ACM262175 SQ262169:SQ262175 IU262169:IU262175 WVG196633:WVG196639 WLK196633:WLK196639 WBO196633:WBO196639 VRS196633:VRS196639 VHW196633:VHW196639 UYA196633:UYA196639 UOE196633:UOE196639 UEI196633:UEI196639 TUM196633:TUM196639 TKQ196633:TKQ196639 TAU196633:TAU196639 SQY196633:SQY196639 SHC196633:SHC196639 RXG196633:RXG196639 RNK196633:RNK196639 RDO196633:RDO196639 QTS196633:QTS196639 QJW196633:QJW196639 QAA196633:QAA196639 PQE196633:PQE196639 PGI196633:PGI196639 OWM196633:OWM196639 OMQ196633:OMQ196639 OCU196633:OCU196639 NSY196633:NSY196639 NJC196633:NJC196639 MZG196633:MZG196639 MPK196633:MPK196639 MFO196633:MFO196639 LVS196633:LVS196639 LLW196633:LLW196639 LCA196633:LCA196639 KSE196633:KSE196639 KII196633:KII196639 JYM196633:JYM196639 JOQ196633:JOQ196639 JEU196633:JEU196639 IUY196633:IUY196639 ILC196633:ILC196639 IBG196633:IBG196639 HRK196633:HRK196639 HHO196633:HHO196639 GXS196633:GXS196639 GNW196633:GNW196639 GEA196633:GEA196639 FUE196633:FUE196639 FKI196633:FKI196639 FAM196633:FAM196639 EQQ196633:EQQ196639 EGU196633:EGU196639 DWY196633:DWY196639 DNC196633:DNC196639 DDG196633:DDG196639 CTK196633:CTK196639 CJO196633:CJO196639 BZS196633:BZS196639 BPW196633:BPW196639 BGA196633:BGA196639 AWE196633:AWE196639 AMI196633:AMI196639 ACM196633:ACM196639 SQ196633:SQ196639 IU196633:IU196639 WVG131097:WVG131103 WLK131097:WLK131103 WBO131097:WBO131103 VRS131097:VRS131103 VHW131097:VHW131103 UYA131097:UYA131103 UOE131097:UOE131103 UEI131097:UEI131103 TUM131097:TUM131103 TKQ131097:TKQ131103 TAU131097:TAU131103 SQY131097:SQY131103 SHC131097:SHC131103 RXG131097:RXG131103 RNK131097:RNK131103 RDO131097:RDO131103 QTS131097:QTS131103 QJW131097:QJW131103 QAA131097:QAA131103 PQE131097:PQE131103 PGI131097:PGI131103 OWM131097:OWM131103 OMQ131097:OMQ131103 OCU131097:OCU131103 NSY131097:NSY131103 NJC131097:NJC131103 MZG131097:MZG131103 MPK131097:MPK131103 MFO131097:MFO131103 LVS131097:LVS131103 LLW131097:LLW131103 LCA131097:LCA131103 KSE131097:KSE131103 KII131097:KII131103 JYM131097:JYM131103 JOQ131097:JOQ131103 JEU131097:JEU131103 IUY131097:IUY131103 ILC131097:ILC131103 IBG131097:IBG131103 HRK131097:HRK131103 HHO131097:HHO131103 GXS131097:GXS131103 GNW131097:GNW131103 GEA131097:GEA131103 FUE131097:FUE131103 FKI131097:FKI131103 FAM131097:FAM131103 EQQ131097:EQQ131103 EGU131097:EGU131103 DWY131097:DWY131103 DNC131097:DNC131103 DDG131097:DDG131103 CTK131097:CTK131103 CJO131097:CJO131103 BZS131097:BZS131103 BPW131097:BPW131103 BGA131097:BGA131103 AWE131097:AWE131103 AMI131097:AMI131103 ACM131097:ACM131103 SQ131097:SQ131103 IU131097:IU131103 WVG65561:WVG65567 WLK65561:WLK65567 WBO65561:WBO65567 VRS65561:VRS65567 VHW65561:VHW65567 UYA65561:UYA65567 UOE65561:UOE65567 UEI65561:UEI65567 TUM65561:TUM65567 TKQ65561:TKQ65567 TAU65561:TAU65567 SQY65561:SQY65567 SHC65561:SHC65567 RXG65561:RXG65567 RNK65561:RNK65567 RDO65561:RDO65567 QTS65561:QTS65567 QJW65561:QJW65567 QAA65561:QAA65567 PQE65561:PQE65567 PGI65561:PGI65567 OWM65561:OWM65567 OMQ65561:OMQ65567 OCU65561:OCU65567 NSY65561:NSY65567 NJC65561:NJC65567 MZG65561:MZG65567 MPK65561:MPK65567 MFO65561:MFO65567 LVS65561:LVS65567 LLW65561:LLW65567 LCA65561:LCA65567 KSE65561:KSE65567 KII65561:KII65567 JYM65561:JYM65567 JOQ65561:JOQ65567 JEU65561:JEU65567 IUY65561:IUY65567 ILC65561:ILC65567 IBG65561:IBG65567 HRK65561:HRK65567 HHO65561:HHO65567 GXS65561:GXS65567 GNW65561:GNW65567 GEA65561:GEA65567 FUE65561:FUE65567 FKI65561:FKI65567 FAM65561:FAM65567 EQQ65561:EQQ65567 EGU65561:EGU65567 DWY65561:DWY65567 DNC65561:DNC65567 DDG65561:DDG65567 CTK65561:CTK65567 CJO65561:CJO65567 BZS65561:BZS65567 BPW65561:BPW65567 BGA65561:BGA65567 AWE65561:AWE65567 AMI65561:AMI65567 ACM65561:ACM65567 SQ65561:SQ65567 IU65561:IU65567 F983065:F983071 F917529:F917535 F851993:F851999 F786457:F786463 F720921:F720927 F655385:F655391 F589849:F589855 F524313:F524319 F458777:F458783 F393241:F393247 F327705:F327711 F262169:F262175 F196633:F196639 F131097:F131103 F65561:F65567 M983065:M983071 M917529:M917535 M851993:M851999 M786457:M786463 M720921:M720927 M655385:M655391 M589849:M589855 M524313:M524319 M458777:M458783 M393241:M393247 M327705:M327711 M262169:M262175 M196633:M196639 M131097:M131103 O7:O46 WWE27:WWE31 WMI27:WMI31 WCM27:WCM31 VSQ27:VSQ31 VIU27:VIU31 UYY27:UYY31 UPC27:UPC31 UFG27:UFG31 TVK27:TVK31 TLO27:TLO31 TBS27:TBS31 SRW27:SRW31 SIA27:SIA31 RYE27:RYE31 ROI27:ROI31 REM27:REM31 QUQ27:QUQ31 QKU27:QKU31 QAY27:QAY31 PRC27:PRC31 PHG27:PHG31 OXK27:OXK31 ONO27:ONO31 ODS27:ODS31 NTW27:NTW31 NKA27:NKA31 NAE27:NAE31 MQI27:MQI31 MGM27:MGM31 LWQ27:LWQ31 LMU27:LMU31 LCY27:LCY31 KTC27:KTC31 KJG27:KJG31 JZK27:JZK31 JPO27:JPO31 JFS27:JFS31 IVW27:IVW31 IMA27:IMA31 ICE27:ICE31 HSI27:HSI31 HIM27:HIM31 GYQ27:GYQ31 GOU27:GOU31 GEY27:GEY31 FVC27:FVC31 FLG27:FLG31 FBK27:FBK31 ERO27:ERO31 EHS27:EHS31 DXW27:DXW31 DOA27:DOA31 DEE27:DEE31 CUI27:CUI31 CKM27:CKM31 CAQ27:CAQ31 BQU27:BQU31 BGY27:BGY31 AXC27:AXC31 ANG27:ANG31 ADK27:ADK31 TO27:TO31 JS27:JS31 WVW27:WVW31 WMA27:WMA31 WCE27:WCE31 VSI27:VSI31 VIM27:VIM31 UYQ27:UYQ31 UOU27:UOU31 UEY27:UEY31 TVC27:TVC31 TLG27:TLG31 TBK27:TBK31 SRO27:SRO31 SHS27:SHS31 RXW27:RXW31 ROA27:ROA31 REE27:REE31 QUI27:QUI31 QKM27:QKM31 QAQ27:QAQ31 PQU27:PQU31 PGY27:PGY31 OXC27:OXC31 ONG27:ONG31 ODK27:ODK31 NTO27:NTO31 NJS27:NJS31 MZW27:MZW31 MQA27:MQA31 MGE27:MGE31 LWI27:LWI31 LMM27:LMM31 LCQ27:LCQ31 KSU27:KSU31 KIY27:KIY31 JZC27:JZC31 JPG27:JPG31 JFK27:JFK31 IVO27:IVO31 ILS27:ILS31 IBW27:IBW31 HSA27:HSA31 HIE27:HIE31 GYI27:GYI31 GOM27:GOM31 GEQ27:GEQ31 FUU27:FUU31 FKY27:FKY31 FBC27:FBC31 ERG27:ERG31 EHK27:EHK31 DXO27:DXO31 DNS27:DNS31 DDW27:DDW31 CUA27:CUA31 CKE27:CKE31 CAI27:CAI31 BQM27:BQM31 BGQ27:BGQ31 AWU27:AWU31 AMY27:AMY31 ADC27:ADC31 TG27:TG31 JK27:JK31">
      <formula1>RRImpact</formula1>
    </dataValidation>
    <dataValidation type="list" allowBlank="1" showInputMessage="1" showErrorMessage="1" sqref="X7:X46">
      <formula1>TMDRiskStatus</formula1>
    </dataValidation>
    <dataValidation type="list" allowBlank="1" showInputMessage="1" showErrorMessage="1" sqref="D7:D46">
      <formula1>TMDRisktype</formula1>
    </dataValidation>
    <dataValidation type="list" allowBlank="1" showInputMessage="1" showErrorMessage="1" sqref="Y7:Y46">
      <formula1>TMDRiskShow</formula1>
    </dataValidation>
  </dataValidations>
  <pageMargins left="0.39370078740157483" right="0.39370078740157483" top="0.39370078740157483" bottom="0.39370078740157483" header="0.51181102362204722" footer="0.51181102362204722"/>
  <pageSetup paperSize="9" scale="49" fitToHeight="5" orientation="landscape" r:id="rId1"/>
  <customProperties>
    <customPr name="Gu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BBB59"/>
    <pageSetUpPr fitToPage="1"/>
  </sheetPr>
  <dimension ref="A1:T150"/>
  <sheetViews>
    <sheetView zoomScaleNormal="100" workbookViewId="0">
      <selection activeCell="A3" sqref="A3"/>
    </sheetView>
  </sheetViews>
  <sheetFormatPr defaultColWidth="9.109375" defaultRowHeight="14.4"/>
  <cols>
    <col min="1" max="1" width="9.109375" style="86"/>
    <col min="2" max="2" width="3" style="86" bestFit="1" customWidth="1"/>
    <col min="3" max="3" width="17.6640625" style="86" bestFit="1" customWidth="1"/>
    <col min="4" max="4" width="8.5546875" style="86" bestFit="1" customWidth="1"/>
    <col min="5" max="5" width="11.109375" style="86" customWidth="1"/>
    <col min="6" max="6" width="10.44140625" style="86" customWidth="1"/>
    <col min="7" max="7" width="11.44140625" style="645" customWidth="1"/>
    <col min="8" max="8" width="14.33203125" style="86" customWidth="1"/>
    <col min="9" max="9" width="11.6640625" style="86" customWidth="1"/>
    <col min="10" max="10" width="11.33203125" style="647" bestFit="1" customWidth="1"/>
    <col min="11" max="11" width="19.44140625" style="86" customWidth="1"/>
    <col min="12" max="16384" width="9.109375" style="86"/>
  </cols>
  <sheetData>
    <row r="1" spans="1:20" s="171" customFormat="1" ht="21">
      <c r="A1" s="1232" t="str">
        <f>MDProjektname</f>
        <v>Migration GEFI</v>
      </c>
      <c r="B1" s="1233"/>
      <c r="C1" s="1233"/>
      <c r="D1" s="1233"/>
      <c r="E1" s="1234"/>
      <c r="F1" s="71"/>
      <c r="G1" s="643"/>
      <c r="H1" s="71"/>
      <c r="I1" s="71"/>
      <c r="J1" s="71"/>
      <c r="K1" s="71"/>
      <c r="L1" s="71"/>
      <c r="M1" s="71"/>
      <c r="N1" s="71"/>
      <c r="O1" s="71"/>
      <c r="P1" s="71"/>
      <c r="Q1" s="71"/>
      <c r="R1" s="71"/>
      <c r="S1" s="71"/>
      <c r="T1" s="71"/>
    </row>
    <row r="2" spans="1:20" s="171" customFormat="1" ht="26.25" customHeight="1" thickBot="1">
      <c r="A2" s="1235" t="str">
        <f>MDCustomer</f>
        <v>OFISA</v>
      </c>
      <c r="B2" s="1236"/>
      <c r="C2" s="1236"/>
      <c r="D2" s="1236"/>
      <c r="E2" s="1237"/>
      <c r="F2" s="71"/>
      <c r="G2" s="644"/>
      <c r="H2" s="172" t="s">
        <v>1088</v>
      </c>
      <c r="I2" s="71"/>
      <c r="J2" s="71"/>
      <c r="K2" s="71"/>
      <c r="L2" s="71"/>
      <c r="M2" s="71"/>
      <c r="N2" s="71"/>
      <c r="O2" s="71"/>
      <c r="P2" s="71"/>
      <c r="Q2" s="71"/>
      <c r="R2" s="71"/>
      <c r="S2" s="71"/>
      <c r="T2" s="71"/>
    </row>
    <row r="3" spans="1:20" s="171" customFormat="1" ht="26.25" customHeight="1">
      <c r="A3" s="71"/>
      <c r="B3" s="71"/>
      <c r="C3" s="71"/>
      <c r="D3" s="71"/>
      <c r="E3" s="71"/>
      <c r="F3" s="71"/>
      <c r="G3" s="644"/>
      <c r="H3" s="173" t="s">
        <v>1087</v>
      </c>
      <c r="I3" s="71"/>
      <c r="J3" s="71"/>
      <c r="K3" s="71"/>
      <c r="L3" s="71"/>
      <c r="M3" s="71"/>
      <c r="N3" s="71"/>
      <c r="O3" s="71"/>
      <c r="P3" s="71"/>
      <c r="Q3" s="71"/>
      <c r="R3" s="71"/>
      <c r="S3" s="71"/>
      <c r="T3" s="71"/>
    </row>
    <row r="4" spans="1:20" s="171" customFormat="1" ht="15" customHeight="1">
      <c r="A4" s="71"/>
      <c r="B4" s="71"/>
      <c r="C4" s="71"/>
      <c r="D4" s="71"/>
      <c r="E4" s="71"/>
      <c r="F4" s="71"/>
      <c r="G4" s="643"/>
      <c r="H4" s="71"/>
      <c r="I4" s="71"/>
      <c r="J4" s="71"/>
      <c r="K4" s="71"/>
      <c r="L4" s="71"/>
      <c r="M4" s="71"/>
      <c r="N4" s="71"/>
      <c r="O4" s="71"/>
      <c r="P4" s="71"/>
      <c r="Q4" s="71"/>
      <c r="R4" s="71"/>
      <c r="S4" s="71"/>
      <c r="T4" s="71"/>
    </row>
    <row r="5" spans="1:20" ht="15" customHeight="1">
      <c r="A5" s="71"/>
      <c r="B5" s="1227" t="s">
        <v>201</v>
      </c>
      <c r="C5" s="1238" t="s">
        <v>1000</v>
      </c>
      <c r="D5" s="639" t="s">
        <v>1022</v>
      </c>
      <c r="E5" s="641" t="s">
        <v>262</v>
      </c>
      <c r="F5" s="642"/>
      <c r="G5" s="1224" t="s">
        <v>1023</v>
      </c>
      <c r="H5" s="1240" t="s">
        <v>1024</v>
      </c>
      <c r="I5" s="1224" t="s">
        <v>306</v>
      </c>
      <c r="J5" s="1227" t="s">
        <v>1025</v>
      </c>
      <c r="K5" s="71"/>
      <c r="L5" s="71"/>
      <c r="M5" s="71"/>
      <c r="N5" s="71"/>
      <c r="O5" s="71"/>
      <c r="P5" s="71"/>
      <c r="Q5" s="71"/>
      <c r="R5" s="71"/>
      <c r="S5" s="71"/>
      <c r="T5" s="71"/>
    </row>
    <row r="6" spans="1:20">
      <c r="A6" s="71"/>
      <c r="B6" s="1228"/>
      <c r="C6" s="1239"/>
      <c r="D6" s="640"/>
      <c r="E6" s="641" t="s">
        <v>1026</v>
      </c>
      <c r="F6" s="642" t="str">
        <f>MDContractCurrency</f>
        <v>CHF</v>
      </c>
      <c r="G6" s="1225"/>
      <c r="H6" s="1241"/>
      <c r="I6" s="1225"/>
      <c r="J6" s="1228"/>
      <c r="K6" s="71"/>
      <c r="L6" s="71"/>
      <c r="M6" s="71"/>
      <c r="N6" s="71"/>
      <c r="O6" s="71"/>
      <c r="P6" s="71"/>
      <c r="Q6" s="71"/>
      <c r="R6" s="71"/>
      <c r="S6" s="71"/>
      <c r="T6" s="71"/>
    </row>
    <row r="7" spans="1:20" ht="15" thickBot="1">
      <c r="A7" s="71"/>
      <c r="B7" s="1228"/>
      <c r="C7" s="1230" t="s">
        <v>1027</v>
      </c>
      <c r="D7" s="1231"/>
      <c r="E7" s="791">
        <f>SUMIF(G9:G997,TMDCRApproved,E9:E997)</f>
        <v>0</v>
      </c>
      <c r="F7" s="792">
        <f>SUMIF(G9:G997,TMDCRApproved,F9:F997)</f>
        <v>0</v>
      </c>
      <c r="G7" s="1225"/>
      <c r="H7" s="1241"/>
      <c r="I7" s="1225"/>
      <c r="J7" s="1228"/>
      <c r="K7" s="71"/>
      <c r="L7" s="71"/>
      <c r="M7" s="71"/>
      <c r="N7" s="71"/>
      <c r="O7" s="71"/>
      <c r="P7" s="71"/>
      <c r="Q7" s="71"/>
      <c r="R7" s="71"/>
      <c r="S7" s="71"/>
      <c r="T7" s="71"/>
    </row>
    <row r="8" spans="1:20" ht="15" thickTop="1">
      <c r="A8" s="71"/>
      <c r="B8" s="1229"/>
      <c r="C8" s="80"/>
      <c r="D8" s="81"/>
      <c r="E8" s="82"/>
      <c r="F8" s="82"/>
      <c r="G8" s="1226"/>
      <c r="H8" s="1242"/>
      <c r="I8" s="1226"/>
      <c r="J8" s="1229"/>
      <c r="K8" s="71"/>
      <c r="L8" s="71"/>
      <c r="M8" s="71"/>
      <c r="N8" s="71"/>
      <c r="O8" s="71"/>
      <c r="P8" s="71"/>
      <c r="Q8" s="71"/>
      <c r="R8" s="71"/>
      <c r="S8" s="71"/>
      <c r="T8" s="71"/>
    </row>
    <row r="9" spans="1:20">
      <c r="A9" s="71"/>
      <c r="B9" s="786"/>
      <c r="C9" s="787"/>
      <c r="D9" s="787"/>
      <c r="E9" s="788"/>
      <c r="F9" s="788"/>
      <c r="G9" s="787"/>
      <c r="H9" s="789"/>
      <c r="I9" s="790"/>
      <c r="J9" s="786"/>
      <c r="K9" s="71"/>
      <c r="L9" s="71"/>
      <c r="M9" s="71"/>
      <c r="N9" s="71"/>
      <c r="O9" s="71"/>
      <c r="P9" s="71"/>
      <c r="Q9" s="71"/>
      <c r="R9" s="71"/>
      <c r="S9" s="71"/>
      <c r="T9" s="71"/>
    </row>
    <row r="10" spans="1:20">
      <c r="A10" s="71"/>
      <c r="B10" s="786"/>
      <c r="C10" s="787"/>
      <c r="D10" s="787"/>
      <c r="E10" s="788"/>
      <c r="F10" s="788"/>
      <c r="G10" s="787"/>
      <c r="H10" s="789"/>
      <c r="I10" s="790"/>
      <c r="J10" s="786"/>
      <c r="K10" s="71"/>
      <c r="L10" s="71"/>
      <c r="M10" s="71"/>
      <c r="N10" s="71"/>
      <c r="O10" s="71"/>
      <c r="P10" s="71"/>
      <c r="Q10" s="71"/>
      <c r="R10" s="71"/>
      <c r="S10" s="71"/>
      <c r="T10" s="71"/>
    </row>
    <row r="11" spans="1:20">
      <c r="A11" s="71"/>
      <c r="B11" s="786"/>
      <c r="C11" s="787"/>
      <c r="D11" s="787"/>
      <c r="E11" s="788"/>
      <c r="F11" s="788"/>
      <c r="G11" s="787"/>
      <c r="H11" s="789"/>
      <c r="I11" s="790"/>
      <c r="J11" s="786"/>
      <c r="K11" s="71"/>
      <c r="L11" s="71"/>
      <c r="M11" s="71"/>
      <c r="N11" s="71"/>
      <c r="O11" s="71"/>
      <c r="P11" s="71"/>
      <c r="Q11" s="71"/>
      <c r="R11" s="71"/>
      <c r="S11" s="71"/>
      <c r="T11" s="71"/>
    </row>
    <row r="12" spans="1:20">
      <c r="A12" s="71"/>
      <c r="B12" s="786"/>
      <c r="C12" s="787"/>
      <c r="D12" s="787"/>
      <c r="E12" s="788"/>
      <c r="F12" s="788"/>
      <c r="G12" s="787"/>
      <c r="H12" s="789"/>
      <c r="I12" s="790"/>
      <c r="J12" s="786"/>
      <c r="K12" s="71"/>
      <c r="L12" s="71"/>
      <c r="M12" s="71"/>
      <c r="N12" s="71"/>
      <c r="O12" s="71"/>
      <c r="P12" s="71"/>
      <c r="Q12" s="71"/>
      <c r="R12" s="71"/>
      <c r="S12" s="71"/>
      <c r="T12" s="71"/>
    </row>
    <row r="13" spans="1:20">
      <c r="A13" s="71"/>
      <c r="B13" s="786"/>
      <c r="C13" s="787"/>
      <c r="D13" s="787"/>
      <c r="E13" s="788"/>
      <c r="F13" s="788"/>
      <c r="G13" s="787"/>
      <c r="H13" s="789"/>
      <c r="I13" s="790"/>
      <c r="J13" s="786"/>
      <c r="K13" s="71"/>
      <c r="L13" s="71"/>
      <c r="M13" s="71"/>
      <c r="N13" s="71"/>
      <c r="O13" s="71"/>
      <c r="P13" s="71"/>
      <c r="Q13" s="71"/>
      <c r="R13" s="71"/>
      <c r="S13" s="71"/>
      <c r="T13" s="71"/>
    </row>
    <row r="14" spans="1:20">
      <c r="A14" s="71"/>
      <c r="B14" s="786"/>
      <c r="C14" s="787"/>
      <c r="D14" s="787"/>
      <c r="E14" s="788"/>
      <c r="F14" s="788"/>
      <c r="G14" s="787"/>
      <c r="H14" s="789"/>
      <c r="I14" s="790"/>
      <c r="J14" s="786"/>
      <c r="K14" s="71"/>
      <c r="L14" s="71"/>
      <c r="M14" s="71"/>
      <c r="N14" s="71"/>
      <c r="O14" s="71"/>
      <c r="P14" s="71"/>
      <c r="Q14" s="71"/>
      <c r="R14" s="71"/>
      <c r="S14" s="71"/>
      <c r="T14" s="71"/>
    </row>
    <row r="15" spans="1:20">
      <c r="A15" s="71"/>
      <c r="B15" s="786"/>
      <c r="C15" s="787"/>
      <c r="D15" s="787"/>
      <c r="E15" s="788"/>
      <c r="F15" s="788"/>
      <c r="G15" s="787"/>
      <c r="H15" s="789"/>
      <c r="I15" s="790"/>
      <c r="J15" s="786"/>
      <c r="K15" s="71"/>
      <c r="L15" s="71"/>
      <c r="M15" s="71"/>
      <c r="N15" s="71"/>
      <c r="O15" s="71"/>
      <c r="P15" s="71"/>
      <c r="Q15" s="71"/>
      <c r="R15" s="71"/>
      <c r="S15" s="71"/>
      <c r="T15" s="71"/>
    </row>
    <row r="16" spans="1:20">
      <c r="A16" s="71"/>
      <c r="B16" s="786"/>
      <c r="C16" s="787"/>
      <c r="D16" s="787"/>
      <c r="E16" s="788"/>
      <c r="F16" s="788"/>
      <c r="G16" s="787"/>
      <c r="H16" s="789"/>
      <c r="I16" s="790"/>
      <c r="J16" s="786"/>
      <c r="K16" s="71"/>
      <c r="L16" s="71"/>
      <c r="M16" s="71"/>
      <c r="N16" s="71"/>
      <c r="O16" s="71"/>
      <c r="P16" s="71"/>
      <c r="Q16" s="71"/>
      <c r="R16" s="71"/>
      <c r="S16" s="71"/>
      <c r="T16" s="71"/>
    </row>
    <row r="17" spans="1:20">
      <c r="A17" s="71"/>
      <c r="B17" s="786"/>
      <c r="C17" s="787"/>
      <c r="D17" s="787"/>
      <c r="E17" s="788"/>
      <c r="F17" s="788"/>
      <c r="G17" s="787"/>
      <c r="H17" s="789"/>
      <c r="I17" s="790"/>
      <c r="J17" s="786"/>
      <c r="K17" s="71"/>
      <c r="L17" s="71"/>
      <c r="M17" s="71"/>
      <c r="N17" s="71"/>
      <c r="O17" s="71"/>
      <c r="P17" s="71"/>
      <c r="Q17" s="71"/>
      <c r="R17" s="71"/>
      <c r="S17" s="71"/>
      <c r="T17" s="71"/>
    </row>
    <row r="18" spans="1:20">
      <c r="A18" s="71"/>
      <c r="B18" s="786"/>
      <c r="C18" s="787"/>
      <c r="D18" s="787"/>
      <c r="E18" s="788"/>
      <c r="F18" s="788"/>
      <c r="G18" s="787"/>
      <c r="H18" s="789"/>
      <c r="I18" s="790"/>
      <c r="J18" s="786"/>
      <c r="K18" s="71"/>
      <c r="L18" s="71"/>
      <c r="M18" s="71"/>
      <c r="N18" s="71"/>
      <c r="O18" s="71"/>
      <c r="P18" s="71"/>
      <c r="Q18" s="71"/>
      <c r="R18" s="71"/>
      <c r="S18" s="71"/>
      <c r="T18" s="71"/>
    </row>
    <row r="19" spans="1:20">
      <c r="A19" s="71"/>
      <c r="B19" s="786"/>
      <c r="C19" s="787"/>
      <c r="D19" s="787"/>
      <c r="E19" s="788"/>
      <c r="F19" s="788"/>
      <c r="G19" s="787"/>
      <c r="H19" s="789"/>
      <c r="I19" s="790"/>
      <c r="J19" s="786"/>
      <c r="K19" s="71"/>
      <c r="L19" s="71"/>
      <c r="M19" s="71"/>
      <c r="N19" s="71"/>
      <c r="O19" s="71"/>
      <c r="P19" s="71"/>
      <c r="Q19" s="71"/>
      <c r="R19" s="71"/>
      <c r="S19" s="71"/>
      <c r="T19" s="71"/>
    </row>
    <row r="20" spans="1:20">
      <c r="A20" s="71"/>
      <c r="B20" s="786"/>
      <c r="C20" s="787"/>
      <c r="D20" s="787"/>
      <c r="E20" s="788"/>
      <c r="F20" s="788"/>
      <c r="G20" s="787"/>
      <c r="H20" s="789"/>
      <c r="I20" s="790"/>
      <c r="J20" s="786"/>
      <c r="K20" s="71"/>
      <c r="L20" s="71"/>
      <c r="M20" s="71"/>
      <c r="N20" s="71"/>
      <c r="O20" s="71"/>
      <c r="P20" s="71"/>
      <c r="Q20" s="71"/>
      <c r="R20" s="71"/>
      <c r="S20" s="71"/>
      <c r="T20" s="71"/>
    </row>
    <row r="21" spans="1:20">
      <c r="A21" s="71"/>
      <c r="B21" s="786"/>
      <c r="C21" s="787"/>
      <c r="D21" s="787"/>
      <c r="E21" s="788"/>
      <c r="F21" s="788"/>
      <c r="G21" s="787"/>
      <c r="H21" s="789"/>
      <c r="I21" s="790"/>
      <c r="J21" s="786"/>
      <c r="K21" s="71"/>
      <c r="L21" s="71"/>
      <c r="M21" s="71"/>
      <c r="N21" s="71"/>
      <c r="O21" s="71"/>
      <c r="P21" s="71"/>
      <c r="Q21" s="71"/>
      <c r="R21" s="71"/>
      <c r="S21" s="71"/>
      <c r="T21" s="71"/>
    </row>
    <row r="22" spans="1:20">
      <c r="A22" s="71"/>
      <c r="B22" s="786"/>
      <c r="C22" s="787"/>
      <c r="D22" s="787"/>
      <c r="E22" s="788"/>
      <c r="F22" s="788"/>
      <c r="G22" s="787"/>
      <c r="H22" s="789"/>
      <c r="I22" s="790"/>
      <c r="J22" s="786"/>
      <c r="K22" s="71"/>
      <c r="L22" s="71"/>
      <c r="M22" s="71"/>
      <c r="N22" s="71"/>
      <c r="O22" s="71"/>
      <c r="P22" s="71"/>
      <c r="Q22" s="71"/>
      <c r="R22" s="71"/>
      <c r="S22" s="71"/>
      <c r="T22" s="71"/>
    </row>
    <row r="23" spans="1:20">
      <c r="A23" s="71"/>
      <c r="B23" s="786"/>
      <c r="C23" s="787"/>
      <c r="D23" s="787"/>
      <c r="E23" s="788"/>
      <c r="F23" s="788"/>
      <c r="G23" s="787"/>
      <c r="H23" s="789"/>
      <c r="I23" s="790"/>
      <c r="J23" s="786"/>
      <c r="K23" s="71"/>
      <c r="L23" s="71"/>
      <c r="M23" s="71"/>
      <c r="N23" s="71"/>
      <c r="O23" s="71"/>
      <c r="P23" s="71"/>
      <c r="Q23" s="71"/>
      <c r="R23" s="71"/>
      <c r="S23" s="71"/>
      <c r="T23" s="71"/>
    </row>
    <row r="24" spans="1:20">
      <c r="A24" s="71"/>
      <c r="B24" s="786"/>
      <c r="C24" s="787"/>
      <c r="D24" s="787"/>
      <c r="E24" s="788"/>
      <c r="F24" s="788"/>
      <c r="G24" s="787"/>
      <c r="H24" s="789"/>
      <c r="I24" s="790"/>
      <c r="J24" s="786"/>
      <c r="K24" s="71"/>
      <c r="L24" s="71"/>
      <c r="M24" s="71"/>
      <c r="N24" s="71"/>
      <c r="O24" s="71"/>
      <c r="P24" s="71"/>
      <c r="Q24" s="71"/>
      <c r="R24" s="71"/>
      <c r="S24" s="71"/>
      <c r="T24" s="71"/>
    </row>
    <row r="25" spans="1:20">
      <c r="A25" s="71"/>
      <c r="B25" s="786"/>
      <c r="C25" s="787"/>
      <c r="D25" s="787"/>
      <c r="E25" s="788"/>
      <c r="F25" s="788"/>
      <c r="G25" s="787"/>
      <c r="H25" s="789"/>
      <c r="I25" s="790"/>
      <c r="J25" s="786"/>
      <c r="K25" s="71"/>
      <c r="L25" s="71"/>
      <c r="M25" s="71"/>
      <c r="N25" s="71"/>
      <c r="O25" s="71"/>
      <c r="P25" s="71"/>
      <c r="Q25" s="71"/>
      <c r="R25" s="71"/>
      <c r="S25" s="71"/>
      <c r="T25" s="71"/>
    </row>
    <row r="26" spans="1:20">
      <c r="A26" s="71"/>
      <c r="B26" s="786"/>
      <c r="C26" s="787"/>
      <c r="D26" s="787"/>
      <c r="E26" s="788"/>
      <c r="F26" s="788"/>
      <c r="G26" s="787"/>
      <c r="H26" s="789"/>
      <c r="I26" s="790"/>
      <c r="J26" s="786"/>
      <c r="K26" s="71"/>
      <c r="L26" s="71"/>
      <c r="M26" s="71"/>
      <c r="N26" s="71"/>
      <c r="O26" s="71"/>
      <c r="P26" s="71"/>
      <c r="Q26" s="71"/>
      <c r="R26" s="71"/>
      <c r="S26" s="71"/>
      <c r="T26" s="71"/>
    </row>
    <row r="27" spans="1:20">
      <c r="A27" s="71"/>
      <c r="B27" s="786"/>
      <c r="C27" s="787"/>
      <c r="D27" s="787"/>
      <c r="E27" s="788"/>
      <c r="F27" s="788"/>
      <c r="G27" s="787"/>
      <c r="H27" s="789"/>
      <c r="I27" s="790"/>
      <c r="J27" s="786"/>
      <c r="K27" s="71"/>
      <c r="L27" s="71"/>
      <c r="M27" s="71"/>
      <c r="N27" s="71"/>
      <c r="O27" s="71"/>
      <c r="P27" s="71"/>
      <c r="Q27" s="71"/>
      <c r="R27" s="71"/>
      <c r="S27" s="71"/>
      <c r="T27" s="71"/>
    </row>
    <row r="28" spans="1:20">
      <c r="A28" s="71"/>
      <c r="B28" s="786"/>
      <c r="C28" s="787"/>
      <c r="D28" s="787"/>
      <c r="E28" s="788"/>
      <c r="F28" s="788"/>
      <c r="G28" s="787"/>
      <c r="H28" s="789"/>
      <c r="I28" s="790"/>
      <c r="J28" s="786"/>
      <c r="K28" s="71"/>
      <c r="L28" s="71"/>
      <c r="M28" s="71"/>
      <c r="N28" s="71"/>
      <c r="O28" s="71"/>
      <c r="P28" s="71"/>
      <c r="Q28" s="71"/>
      <c r="R28" s="71"/>
      <c r="S28" s="71"/>
      <c r="T28" s="71"/>
    </row>
    <row r="29" spans="1:20">
      <c r="A29" s="71"/>
      <c r="B29" s="786"/>
      <c r="C29" s="787"/>
      <c r="D29" s="787"/>
      <c r="E29" s="788"/>
      <c r="F29" s="788"/>
      <c r="G29" s="787"/>
      <c r="H29" s="789"/>
      <c r="I29" s="790"/>
      <c r="J29" s="786"/>
      <c r="K29" s="71"/>
      <c r="L29" s="71"/>
      <c r="M29" s="71"/>
      <c r="N29" s="71"/>
      <c r="O29" s="71"/>
      <c r="P29" s="71"/>
      <c r="Q29" s="71"/>
      <c r="R29" s="71"/>
      <c r="S29" s="71"/>
      <c r="T29" s="71"/>
    </row>
    <row r="30" spans="1:20">
      <c r="A30" s="71"/>
      <c r="B30" s="786"/>
      <c r="C30" s="787"/>
      <c r="D30" s="787"/>
      <c r="E30" s="788"/>
      <c r="F30" s="788"/>
      <c r="G30" s="787"/>
      <c r="H30" s="789"/>
      <c r="I30" s="790"/>
      <c r="J30" s="786"/>
      <c r="K30" s="71"/>
      <c r="L30" s="71"/>
      <c r="M30" s="71"/>
      <c r="N30" s="71"/>
      <c r="O30" s="71"/>
      <c r="P30" s="71"/>
      <c r="Q30" s="71"/>
      <c r="R30" s="71"/>
      <c r="S30" s="71"/>
      <c r="T30" s="71"/>
    </row>
    <row r="31" spans="1:20">
      <c r="A31" s="71"/>
      <c r="B31" s="786"/>
      <c r="C31" s="787"/>
      <c r="D31" s="787"/>
      <c r="E31" s="788"/>
      <c r="F31" s="788"/>
      <c r="G31" s="787"/>
      <c r="H31" s="789"/>
      <c r="I31" s="790"/>
      <c r="J31" s="786"/>
      <c r="K31" s="71"/>
      <c r="L31" s="71"/>
      <c r="M31" s="71"/>
      <c r="N31" s="71"/>
      <c r="O31" s="71"/>
      <c r="P31" s="71"/>
      <c r="Q31" s="71"/>
      <c r="R31" s="71"/>
      <c r="S31" s="71"/>
      <c r="T31" s="71"/>
    </row>
    <row r="32" spans="1:20">
      <c r="A32" s="71"/>
      <c r="B32" s="786"/>
      <c r="C32" s="787"/>
      <c r="D32" s="787"/>
      <c r="E32" s="788"/>
      <c r="F32" s="788"/>
      <c r="G32" s="787"/>
      <c r="H32" s="789"/>
      <c r="I32" s="790"/>
      <c r="J32" s="786"/>
      <c r="K32" s="71"/>
      <c r="L32" s="71"/>
      <c r="M32" s="71"/>
      <c r="N32" s="71"/>
      <c r="O32" s="71"/>
      <c r="P32" s="71"/>
      <c r="Q32" s="71"/>
      <c r="R32" s="71"/>
      <c r="S32" s="71"/>
      <c r="T32" s="71"/>
    </row>
    <row r="33" spans="1:20">
      <c r="A33" s="71"/>
      <c r="B33" s="786"/>
      <c r="C33" s="787"/>
      <c r="D33" s="787"/>
      <c r="E33" s="788"/>
      <c r="F33" s="788"/>
      <c r="G33" s="787"/>
      <c r="H33" s="789"/>
      <c r="I33" s="790"/>
      <c r="J33" s="786"/>
      <c r="K33" s="71"/>
      <c r="L33" s="71"/>
      <c r="M33" s="71"/>
      <c r="N33" s="71"/>
      <c r="O33" s="71"/>
      <c r="P33" s="71"/>
      <c r="Q33" s="71"/>
      <c r="R33" s="71"/>
      <c r="S33" s="71"/>
      <c r="T33" s="71"/>
    </row>
    <row r="34" spans="1:20">
      <c r="A34" s="71"/>
      <c r="B34" s="786"/>
      <c r="C34" s="787"/>
      <c r="D34" s="787"/>
      <c r="E34" s="788"/>
      <c r="F34" s="788"/>
      <c r="G34" s="787"/>
      <c r="H34" s="789"/>
      <c r="I34" s="790"/>
      <c r="J34" s="786"/>
      <c r="K34" s="71"/>
      <c r="L34" s="71"/>
      <c r="M34" s="71"/>
      <c r="N34" s="71"/>
      <c r="O34" s="71"/>
      <c r="P34" s="71"/>
      <c r="Q34" s="71"/>
      <c r="R34" s="71"/>
      <c r="S34" s="71"/>
      <c r="T34" s="71"/>
    </row>
    <row r="35" spans="1:20">
      <c r="A35" s="71"/>
      <c r="B35" s="786"/>
      <c r="C35" s="787"/>
      <c r="D35" s="787"/>
      <c r="E35" s="788"/>
      <c r="F35" s="788"/>
      <c r="G35" s="787"/>
      <c r="H35" s="789"/>
      <c r="I35" s="790"/>
      <c r="J35" s="786"/>
      <c r="K35" s="71"/>
      <c r="L35" s="71"/>
      <c r="M35" s="71"/>
      <c r="N35" s="71"/>
      <c r="O35" s="71"/>
      <c r="P35" s="71"/>
      <c r="Q35" s="71"/>
      <c r="R35" s="71"/>
      <c r="S35" s="71"/>
      <c r="T35" s="71"/>
    </row>
    <row r="36" spans="1:20">
      <c r="A36" s="71"/>
      <c r="B36" s="786"/>
      <c r="C36" s="787"/>
      <c r="D36" s="787"/>
      <c r="E36" s="788"/>
      <c r="F36" s="788"/>
      <c r="G36" s="787"/>
      <c r="H36" s="789"/>
      <c r="I36" s="790"/>
      <c r="J36" s="786"/>
      <c r="K36" s="71"/>
      <c r="L36" s="71"/>
      <c r="M36" s="71"/>
      <c r="N36" s="71"/>
      <c r="O36" s="71"/>
      <c r="P36" s="71"/>
      <c r="Q36" s="71"/>
      <c r="R36" s="71"/>
      <c r="S36" s="71"/>
      <c r="T36" s="71"/>
    </row>
    <row r="37" spans="1:20">
      <c r="A37" s="71"/>
      <c r="B37" s="786"/>
      <c r="C37" s="787"/>
      <c r="D37" s="787"/>
      <c r="E37" s="788"/>
      <c r="F37" s="788"/>
      <c r="G37" s="787"/>
      <c r="H37" s="789"/>
      <c r="I37" s="790"/>
      <c r="J37" s="786"/>
      <c r="K37" s="71"/>
      <c r="L37" s="71"/>
      <c r="M37" s="71"/>
      <c r="N37" s="71"/>
      <c r="O37" s="71"/>
      <c r="P37" s="71"/>
      <c r="Q37" s="71"/>
      <c r="R37" s="71"/>
      <c r="S37" s="71"/>
      <c r="T37" s="71"/>
    </row>
    <row r="38" spans="1:20">
      <c r="A38" s="71"/>
      <c r="B38" s="786"/>
      <c r="C38" s="787"/>
      <c r="D38" s="787"/>
      <c r="E38" s="788"/>
      <c r="F38" s="788"/>
      <c r="G38" s="787"/>
      <c r="H38" s="789"/>
      <c r="I38" s="790"/>
      <c r="J38" s="786"/>
      <c r="K38" s="71"/>
      <c r="L38" s="71"/>
      <c r="M38" s="71"/>
      <c r="N38" s="71"/>
      <c r="O38" s="71"/>
      <c r="P38" s="71"/>
      <c r="Q38" s="71"/>
      <c r="R38" s="71"/>
      <c r="S38" s="71"/>
      <c r="T38" s="71"/>
    </row>
    <row r="39" spans="1:20">
      <c r="A39" s="71"/>
      <c r="B39" s="786"/>
      <c r="C39" s="787"/>
      <c r="D39" s="787"/>
      <c r="E39" s="788"/>
      <c r="F39" s="788"/>
      <c r="G39" s="787"/>
      <c r="H39" s="789"/>
      <c r="I39" s="790"/>
      <c r="J39" s="786"/>
      <c r="K39" s="71"/>
      <c r="L39" s="71"/>
      <c r="M39" s="71"/>
      <c r="N39" s="71"/>
      <c r="O39" s="71"/>
      <c r="P39" s="71"/>
      <c r="Q39" s="71"/>
      <c r="R39" s="71"/>
      <c r="S39" s="71"/>
      <c r="T39" s="71"/>
    </row>
    <row r="40" spans="1:20">
      <c r="A40" s="71"/>
      <c r="B40" s="786"/>
      <c r="C40" s="787"/>
      <c r="D40" s="787"/>
      <c r="E40" s="788"/>
      <c r="F40" s="788"/>
      <c r="G40" s="787"/>
      <c r="H40" s="789"/>
      <c r="I40" s="790"/>
      <c r="J40" s="786"/>
      <c r="K40" s="71"/>
      <c r="L40" s="71"/>
      <c r="M40" s="71"/>
      <c r="N40" s="71"/>
      <c r="O40" s="71"/>
      <c r="P40" s="71"/>
      <c r="Q40" s="71"/>
      <c r="R40" s="71"/>
      <c r="S40" s="71"/>
      <c r="T40" s="71"/>
    </row>
    <row r="41" spans="1:20">
      <c r="A41" s="71"/>
      <c r="B41" s="786"/>
      <c r="C41" s="787"/>
      <c r="D41" s="787"/>
      <c r="E41" s="788"/>
      <c r="F41" s="788"/>
      <c r="G41" s="787"/>
      <c r="H41" s="789"/>
      <c r="I41" s="790"/>
      <c r="J41" s="786"/>
      <c r="K41" s="71"/>
      <c r="L41" s="71"/>
      <c r="M41" s="71"/>
      <c r="N41" s="71"/>
      <c r="O41" s="71"/>
      <c r="P41" s="71"/>
      <c r="Q41" s="71"/>
      <c r="R41" s="71"/>
      <c r="S41" s="71"/>
      <c r="T41" s="71"/>
    </row>
    <row r="42" spans="1:20">
      <c r="A42" s="71"/>
      <c r="B42" s="786"/>
      <c r="C42" s="787"/>
      <c r="D42" s="787"/>
      <c r="E42" s="788"/>
      <c r="F42" s="788"/>
      <c r="G42" s="787"/>
      <c r="H42" s="789"/>
      <c r="I42" s="790"/>
      <c r="J42" s="786"/>
      <c r="K42" s="71"/>
      <c r="L42" s="71"/>
      <c r="M42" s="71"/>
      <c r="N42" s="71"/>
      <c r="O42" s="71"/>
      <c r="P42" s="71"/>
      <c r="Q42" s="71"/>
      <c r="R42" s="71"/>
      <c r="S42" s="71"/>
      <c r="T42" s="71"/>
    </row>
    <row r="43" spans="1:20">
      <c r="A43" s="71"/>
      <c r="B43" s="786"/>
      <c r="C43" s="787"/>
      <c r="D43" s="787"/>
      <c r="E43" s="788"/>
      <c r="F43" s="788"/>
      <c r="G43" s="787"/>
      <c r="H43" s="789"/>
      <c r="I43" s="790"/>
      <c r="J43" s="786"/>
      <c r="K43" s="71"/>
      <c r="L43" s="71"/>
      <c r="M43" s="71"/>
      <c r="N43" s="71"/>
      <c r="O43" s="71"/>
      <c r="P43" s="71"/>
      <c r="Q43" s="71"/>
      <c r="R43" s="71"/>
      <c r="S43" s="71"/>
      <c r="T43" s="71"/>
    </row>
    <row r="44" spans="1:20">
      <c r="A44" s="71"/>
      <c r="B44" s="786"/>
      <c r="C44" s="787"/>
      <c r="D44" s="787"/>
      <c r="E44" s="788"/>
      <c r="F44" s="788"/>
      <c r="G44" s="787"/>
      <c r="H44" s="789"/>
      <c r="I44" s="790"/>
      <c r="J44" s="786"/>
      <c r="K44" s="71"/>
      <c r="L44" s="71"/>
      <c r="M44" s="71"/>
      <c r="N44" s="71"/>
      <c r="O44" s="71"/>
      <c r="P44" s="71"/>
      <c r="Q44" s="71"/>
      <c r="R44" s="71"/>
      <c r="S44" s="71"/>
      <c r="T44" s="71"/>
    </row>
    <row r="45" spans="1:20">
      <c r="A45" s="71"/>
      <c r="B45" s="786"/>
      <c r="C45" s="787"/>
      <c r="D45" s="787"/>
      <c r="E45" s="788"/>
      <c r="F45" s="788"/>
      <c r="G45" s="787"/>
      <c r="H45" s="789"/>
      <c r="I45" s="790"/>
      <c r="J45" s="786"/>
      <c r="K45" s="71"/>
      <c r="L45" s="71"/>
      <c r="M45" s="71"/>
      <c r="N45" s="71"/>
      <c r="O45" s="71"/>
      <c r="P45" s="71"/>
      <c r="Q45" s="71"/>
      <c r="R45" s="71"/>
      <c r="S45" s="71"/>
      <c r="T45" s="71"/>
    </row>
    <row r="46" spans="1:20">
      <c r="A46" s="71"/>
      <c r="B46" s="786"/>
      <c r="C46" s="787"/>
      <c r="D46" s="787"/>
      <c r="E46" s="788"/>
      <c r="F46" s="788"/>
      <c r="G46" s="787"/>
      <c r="H46" s="789"/>
      <c r="I46" s="790"/>
      <c r="J46" s="786"/>
      <c r="K46" s="71"/>
      <c r="L46" s="71"/>
      <c r="M46" s="71"/>
      <c r="N46" s="71"/>
      <c r="O46" s="71"/>
      <c r="P46" s="71"/>
      <c r="Q46" s="71"/>
      <c r="R46" s="71"/>
      <c r="S46" s="71"/>
      <c r="T46" s="71"/>
    </row>
    <row r="47" spans="1:20">
      <c r="A47" s="71"/>
      <c r="B47" s="786"/>
      <c r="C47" s="787"/>
      <c r="D47" s="787"/>
      <c r="E47" s="788"/>
      <c r="F47" s="788"/>
      <c r="G47" s="787"/>
      <c r="H47" s="789"/>
      <c r="I47" s="790"/>
      <c r="J47" s="786"/>
      <c r="K47" s="71"/>
      <c r="L47" s="71"/>
      <c r="M47" s="71"/>
      <c r="N47" s="71"/>
      <c r="O47" s="71"/>
      <c r="P47" s="71"/>
      <c r="Q47" s="71"/>
      <c r="R47" s="71"/>
      <c r="S47" s="71"/>
      <c r="T47" s="71"/>
    </row>
    <row r="48" spans="1:20">
      <c r="A48" s="71"/>
      <c r="B48" s="786"/>
      <c r="C48" s="787"/>
      <c r="D48" s="787"/>
      <c r="E48" s="788"/>
      <c r="F48" s="788"/>
      <c r="G48" s="787"/>
      <c r="H48" s="789"/>
      <c r="I48" s="790"/>
      <c r="J48" s="786"/>
      <c r="K48" s="71"/>
      <c r="L48" s="71"/>
      <c r="M48" s="71"/>
      <c r="N48" s="71"/>
      <c r="O48" s="71"/>
      <c r="P48" s="71"/>
      <c r="Q48" s="71"/>
      <c r="R48" s="71"/>
      <c r="S48" s="71"/>
      <c r="T48" s="71"/>
    </row>
    <row r="49" spans="1:20">
      <c r="A49" s="71"/>
      <c r="B49" s="786"/>
      <c r="C49" s="787"/>
      <c r="D49" s="787"/>
      <c r="E49" s="788"/>
      <c r="F49" s="788"/>
      <c r="G49" s="787"/>
      <c r="H49" s="789"/>
      <c r="I49" s="790"/>
      <c r="J49" s="786"/>
      <c r="K49" s="71"/>
      <c r="L49" s="71"/>
      <c r="M49" s="71"/>
      <c r="N49" s="71"/>
      <c r="O49" s="71"/>
      <c r="P49" s="71"/>
      <c r="Q49" s="71"/>
      <c r="R49" s="71"/>
      <c r="S49" s="71"/>
      <c r="T49" s="71"/>
    </row>
    <row r="50" spans="1:20">
      <c r="A50" s="71"/>
      <c r="B50" s="786"/>
      <c r="C50" s="787"/>
      <c r="D50" s="787"/>
      <c r="E50" s="788"/>
      <c r="F50" s="788"/>
      <c r="G50" s="787"/>
      <c r="H50" s="789"/>
      <c r="I50" s="790"/>
      <c r="J50" s="786"/>
      <c r="K50" s="71"/>
      <c r="L50" s="71"/>
      <c r="M50" s="71"/>
      <c r="N50" s="71"/>
      <c r="O50" s="71"/>
      <c r="P50" s="71"/>
      <c r="Q50" s="71"/>
      <c r="R50" s="71"/>
      <c r="S50" s="71"/>
      <c r="T50" s="71"/>
    </row>
    <row r="51" spans="1:20">
      <c r="A51" s="71"/>
      <c r="B51" s="786"/>
      <c r="C51" s="787"/>
      <c r="D51" s="787"/>
      <c r="E51" s="788"/>
      <c r="F51" s="788"/>
      <c r="G51" s="787"/>
      <c r="H51" s="789"/>
      <c r="I51" s="790"/>
      <c r="J51" s="786"/>
      <c r="K51" s="71"/>
      <c r="L51" s="71"/>
      <c r="M51" s="71"/>
      <c r="N51" s="71"/>
      <c r="O51" s="71"/>
      <c r="P51" s="71"/>
      <c r="Q51" s="71"/>
      <c r="R51" s="71"/>
      <c r="S51" s="71"/>
      <c r="T51" s="71"/>
    </row>
    <row r="52" spans="1:20">
      <c r="A52" s="71"/>
      <c r="B52" s="786"/>
      <c r="C52" s="787"/>
      <c r="D52" s="787"/>
      <c r="E52" s="788"/>
      <c r="F52" s="788"/>
      <c r="G52" s="787"/>
      <c r="H52" s="789"/>
      <c r="I52" s="790"/>
      <c r="J52" s="786"/>
      <c r="K52" s="71"/>
      <c r="L52" s="71"/>
      <c r="M52" s="71"/>
      <c r="N52" s="71"/>
      <c r="O52" s="71"/>
      <c r="P52" s="71"/>
      <c r="Q52" s="71"/>
      <c r="R52" s="71"/>
      <c r="S52" s="71"/>
      <c r="T52" s="71"/>
    </row>
    <row r="53" spans="1:20">
      <c r="A53" s="71"/>
      <c r="B53" s="786"/>
      <c r="C53" s="787"/>
      <c r="D53" s="787"/>
      <c r="E53" s="788"/>
      <c r="F53" s="788"/>
      <c r="G53" s="787"/>
      <c r="H53" s="789"/>
      <c r="I53" s="790"/>
      <c r="J53" s="786"/>
      <c r="K53" s="71"/>
      <c r="L53" s="71"/>
      <c r="M53" s="71"/>
      <c r="N53" s="71"/>
      <c r="O53" s="71"/>
      <c r="P53" s="71"/>
      <c r="Q53" s="71"/>
      <c r="R53" s="71"/>
      <c r="S53" s="71"/>
      <c r="T53" s="71"/>
    </row>
    <row r="54" spans="1:20">
      <c r="A54" s="71"/>
      <c r="B54" s="786"/>
      <c r="C54" s="787"/>
      <c r="D54" s="787"/>
      <c r="E54" s="788"/>
      <c r="F54" s="788"/>
      <c r="G54" s="787"/>
      <c r="H54" s="789"/>
      <c r="I54" s="790"/>
      <c r="J54" s="786"/>
      <c r="K54" s="71"/>
      <c r="L54" s="71"/>
      <c r="M54" s="71"/>
      <c r="N54" s="71"/>
      <c r="O54" s="71"/>
      <c r="P54" s="71"/>
      <c r="Q54" s="71"/>
      <c r="R54" s="71"/>
      <c r="S54" s="71"/>
      <c r="T54" s="71"/>
    </row>
    <row r="55" spans="1:20">
      <c r="A55" s="71"/>
      <c r="B55" s="786"/>
      <c r="C55" s="787"/>
      <c r="D55" s="787"/>
      <c r="E55" s="788"/>
      <c r="F55" s="788"/>
      <c r="G55" s="787"/>
      <c r="H55" s="789"/>
      <c r="I55" s="790"/>
      <c r="J55" s="786"/>
      <c r="K55" s="71"/>
      <c r="L55" s="71"/>
      <c r="M55" s="71"/>
      <c r="N55" s="71"/>
      <c r="O55" s="71"/>
      <c r="P55" s="71"/>
      <c r="Q55" s="71"/>
      <c r="R55" s="71"/>
      <c r="S55" s="71"/>
      <c r="T55" s="71"/>
    </row>
    <row r="56" spans="1:20">
      <c r="A56" s="71"/>
      <c r="B56" s="786"/>
      <c r="C56" s="787"/>
      <c r="D56" s="787"/>
      <c r="E56" s="788"/>
      <c r="F56" s="788"/>
      <c r="G56" s="787"/>
      <c r="H56" s="789"/>
      <c r="I56" s="790"/>
      <c r="J56" s="786"/>
      <c r="K56" s="71"/>
      <c r="L56" s="71"/>
      <c r="M56" s="71"/>
      <c r="N56" s="71"/>
      <c r="O56" s="71"/>
      <c r="P56" s="71"/>
      <c r="Q56" s="71"/>
      <c r="R56" s="71"/>
      <c r="S56" s="71"/>
      <c r="T56" s="71"/>
    </row>
    <row r="57" spans="1:20">
      <c r="A57" s="71"/>
      <c r="B57" s="786"/>
      <c r="C57" s="787"/>
      <c r="D57" s="787"/>
      <c r="E57" s="788"/>
      <c r="F57" s="788"/>
      <c r="G57" s="787"/>
      <c r="H57" s="789"/>
      <c r="I57" s="790"/>
      <c r="J57" s="786"/>
      <c r="K57" s="71"/>
      <c r="L57" s="71"/>
      <c r="M57" s="71"/>
      <c r="N57" s="71"/>
      <c r="O57" s="71"/>
      <c r="P57" s="71"/>
      <c r="Q57" s="71"/>
      <c r="R57" s="71"/>
      <c r="S57" s="71"/>
      <c r="T57" s="71"/>
    </row>
    <row r="58" spans="1:20">
      <c r="A58" s="71"/>
      <c r="B58" s="786"/>
      <c r="C58" s="787"/>
      <c r="D58" s="787"/>
      <c r="E58" s="788"/>
      <c r="F58" s="788"/>
      <c r="G58" s="787"/>
      <c r="H58" s="789"/>
      <c r="I58" s="790"/>
      <c r="J58" s="786"/>
      <c r="K58" s="71"/>
      <c r="L58" s="71"/>
      <c r="M58" s="71"/>
      <c r="N58" s="71"/>
      <c r="O58" s="71"/>
      <c r="P58" s="71"/>
      <c r="Q58" s="71"/>
      <c r="R58" s="71"/>
      <c r="S58" s="71"/>
      <c r="T58" s="71"/>
    </row>
    <row r="59" spans="1:20">
      <c r="A59" s="71"/>
      <c r="B59" s="786"/>
      <c r="C59" s="787"/>
      <c r="D59" s="787"/>
      <c r="E59" s="788"/>
      <c r="F59" s="788"/>
      <c r="G59" s="787"/>
      <c r="H59" s="789"/>
      <c r="I59" s="790"/>
      <c r="J59" s="786"/>
      <c r="K59" s="71"/>
      <c r="L59" s="71"/>
      <c r="M59" s="71"/>
      <c r="N59" s="71"/>
      <c r="O59" s="71"/>
      <c r="P59" s="71"/>
      <c r="Q59" s="71"/>
      <c r="R59" s="71"/>
      <c r="S59" s="71"/>
      <c r="T59" s="71"/>
    </row>
    <row r="60" spans="1:20">
      <c r="A60" s="71"/>
      <c r="B60" s="786"/>
      <c r="C60" s="787"/>
      <c r="D60" s="787"/>
      <c r="E60" s="788"/>
      <c r="F60" s="788"/>
      <c r="G60" s="787"/>
      <c r="H60" s="789"/>
      <c r="I60" s="790"/>
      <c r="J60" s="786"/>
      <c r="K60" s="71"/>
      <c r="L60" s="71"/>
      <c r="M60" s="71"/>
      <c r="N60" s="71"/>
      <c r="O60" s="71"/>
      <c r="P60" s="71"/>
      <c r="Q60" s="71"/>
      <c r="R60" s="71"/>
      <c r="S60" s="71"/>
      <c r="T60" s="71"/>
    </row>
    <row r="61" spans="1:20">
      <c r="A61" s="71"/>
      <c r="B61" s="786"/>
      <c r="C61" s="787"/>
      <c r="D61" s="787"/>
      <c r="E61" s="788"/>
      <c r="F61" s="788"/>
      <c r="G61" s="787"/>
      <c r="H61" s="789"/>
      <c r="I61" s="790"/>
      <c r="J61" s="786"/>
      <c r="K61" s="71"/>
      <c r="L61" s="71"/>
      <c r="M61" s="71"/>
      <c r="N61" s="71"/>
      <c r="O61" s="71"/>
      <c r="P61" s="71"/>
      <c r="Q61" s="71"/>
      <c r="R61" s="71"/>
      <c r="S61" s="71"/>
      <c r="T61" s="71"/>
    </row>
    <row r="62" spans="1:20">
      <c r="A62" s="71"/>
      <c r="B62" s="786"/>
      <c r="C62" s="787"/>
      <c r="D62" s="787"/>
      <c r="E62" s="788"/>
      <c r="F62" s="788"/>
      <c r="G62" s="787"/>
      <c r="H62" s="789"/>
      <c r="I62" s="790"/>
      <c r="J62" s="786"/>
      <c r="K62" s="71"/>
      <c r="L62" s="71"/>
      <c r="M62" s="71"/>
      <c r="N62" s="71"/>
      <c r="O62" s="71"/>
      <c r="P62" s="71"/>
      <c r="Q62" s="71"/>
      <c r="R62" s="71"/>
      <c r="S62" s="71"/>
      <c r="T62" s="71"/>
    </row>
    <row r="63" spans="1:20">
      <c r="A63" s="71"/>
      <c r="B63" s="786"/>
      <c r="C63" s="787"/>
      <c r="D63" s="787"/>
      <c r="E63" s="788"/>
      <c r="F63" s="788"/>
      <c r="G63" s="787"/>
      <c r="H63" s="789"/>
      <c r="I63" s="790"/>
      <c r="J63" s="786"/>
      <c r="K63" s="71"/>
      <c r="L63" s="71"/>
      <c r="M63" s="71"/>
      <c r="N63" s="71"/>
      <c r="O63" s="71"/>
      <c r="P63" s="71"/>
      <c r="Q63" s="71"/>
      <c r="R63" s="71"/>
      <c r="S63" s="71"/>
      <c r="T63" s="71"/>
    </row>
    <row r="64" spans="1:20">
      <c r="A64" s="71"/>
      <c r="B64" s="786"/>
      <c r="C64" s="787"/>
      <c r="D64" s="787"/>
      <c r="E64" s="788"/>
      <c r="F64" s="788"/>
      <c r="G64" s="787"/>
      <c r="H64" s="789"/>
      <c r="I64" s="790"/>
      <c r="J64" s="786"/>
      <c r="K64" s="71"/>
      <c r="L64" s="71"/>
      <c r="M64" s="71"/>
      <c r="N64" s="71"/>
      <c r="O64" s="71"/>
      <c r="P64" s="71"/>
      <c r="Q64" s="71"/>
      <c r="R64" s="71"/>
      <c r="S64" s="71"/>
      <c r="T64" s="71"/>
    </row>
    <row r="65" spans="1:20">
      <c r="A65" s="71"/>
      <c r="B65" s="786"/>
      <c r="C65" s="787"/>
      <c r="D65" s="787"/>
      <c r="E65" s="788"/>
      <c r="F65" s="788"/>
      <c r="G65" s="787"/>
      <c r="H65" s="789"/>
      <c r="I65" s="790"/>
      <c r="J65" s="786"/>
      <c r="K65" s="71"/>
      <c r="L65" s="71"/>
      <c r="M65" s="71"/>
      <c r="N65" s="71"/>
      <c r="O65" s="71"/>
      <c r="P65" s="71"/>
      <c r="Q65" s="71"/>
      <c r="R65" s="71"/>
      <c r="S65" s="71"/>
      <c r="T65" s="71"/>
    </row>
    <row r="66" spans="1:20">
      <c r="A66" s="71"/>
      <c r="B66" s="786"/>
      <c r="C66" s="787"/>
      <c r="D66" s="787"/>
      <c r="E66" s="788"/>
      <c r="F66" s="788"/>
      <c r="G66" s="787"/>
      <c r="H66" s="789"/>
      <c r="I66" s="790"/>
      <c r="J66" s="786"/>
      <c r="K66" s="71"/>
      <c r="L66" s="71"/>
      <c r="M66" s="71"/>
      <c r="N66" s="71"/>
      <c r="O66" s="71"/>
      <c r="P66" s="71"/>
      <c r="Q66" s="71"/>
      <c r="R66" s="71"/>
      <c r="S66" s="71"/>
      <c r="T66" s="71"/>
    </row>
    <row r="67" spans="1:20">
      <c r="A67" s="71"/>
      <c r="B67" s="786"/>
      <c r="C67" s="787"/>
      <c r="D67" s="787"/>
      <c r="E67" s="788"/>
      <c r="F67" s="788"/>
      <c r="G67" s="787"/>
      <c r="H67" s="789"/>
      <c r="I67" s="790"/>
      <c r="J67" s="786"/>
      <c r="K67" s="71"/>
      <c r="L67" s="71"/>
      <c r="M67" s="71"/>
      <c r="N67" s="71"/>
      <c r="O67" s="71"/>
      <c r="P67" s="71"/>
      <c r="Q67" s="71"/>
      <c r="R67" s="71"/>
      <c r="S67" s="71"/>
      <c r="T67" s="71"/>
    </row>
    <row r="68" spans="1:20">
      <c r="A68" s="71"/>
      <c r="B68" s="786"/>
      <c r="C68" s="787"/>
      <c r="D68" s="787"/>
      <c r="E68" s="788"/>
      <c r="F68" s="788"/>
      <c r="G68" s="787"/>
      <c r="H68" s="789"/>
      <c r="I68" s="790"/>
      <c r="J68" s="786"/>
      <c r="K68" s="71"/>
      <c r="L68" s="71"/>
      <c r="M68" s="71"/>
      <c r="N68" s="71"/>
      <c r="O68" s="71"/>
      <c r="P68" s="71"/>
      <c r="Q68" s="71"/>
      <c r="R68" s="71"/>
      <c r="S68" s="71"/>
      <c r="T68" s="71"/>
    </row>
    <row r="69" spans="1:20">
      <c r="A69" s="71"/>
      <c r="B69" s="786"/>
      <c r="C69" s="787"/>
      <c r="D69" s="787"/>
      <c r="E69" s="788"/>
      <c r="F69" s="788"/>
      <c r="G69" s="787"/>
      <c r="H69" s="789"/>
      <c r="I69" s="790"/>
      <c r="J69" s="786"/>
      <c r="K69" s="71"/>
      <c r="L69" s="71"/>
      <c r="M69" s="71"/>
      <c r="N69" s="71"/>
      <c r="O69" s="71"/>
      <c r="P69" s="71"/>
      <c r="Q69" s="71"/>
      <c r="R69" s="71"/>
      <c r="S69" s="71"/>
      <c r="T69" s="71"/>
    </row>
    <row r="70" spans="1:20">
      <c r="A70" s="71"/>
      <c r="B70" s="786"/>
      <c r="C70" s="787"/>
      <c r="D70" s="787"/>
      <c r="E70" s="788"/>
      <c r="F70" s="788"/>
      <c r="G70" s="787"/>
      <c r="H70" s="789"/>
      <c r="I70" s="790"/>
      <c r="J70" s="786"/>
      <c r="K70" s="71"/>
      <c r="L70" s="71"/>
      <c r="M70" s="71"/>
      <c r="N70" s="71"/>
      <c r="O70" s="71"/>
      <c r="P70" s="71"/>
      <c r="Q70" s="71"/>
      <c r="R70" s="71"/>
      <c r="S70" s="71"/>
      <c r="T70" s="71"/>
    </row>
    <row r="71" spans="1:20">
      <c r="A71" s="71"/>
      <c r="B71" s="786"/>
      <c r="C71" s="787"/>
      <c r="D71" s="787"/>
      <c r="E71" s="788"/>
      <c r="F71" s="788"/>
      <c r="G71" s="787"/>
      <c r="H71" s="789"/>
      <c r="I71" s="790"/>
      <c r="J71" s="786"/>
      <c r="K71" s="71"/>
      <c r="L71" s="71"/>
      <c r="M71" s="71"/>
      <c r="N71" s="71"/>
      <c r="O71" s="71"/>
      <c r="P71" s="71"/>
      <c r="Q71" s="71"/>
      <c r="R71" s="71"/>
      <c r="S71" s="71"/>
      <c r="T71" s="71"/>
    </row>
    <row r="72" spans="1:20">
      <c r="A72" s="71"/>
      <c r="B72" s="786"/>
      <c r="C72" s="787"/>
      <c r="D72" s="787"/>
      <c r="E72" s="788"/>
      <c r="F72" s="788"/>
      <c r="G72" s="787"/>
      <c r="H72" s="789"/>
      <c r="I72" s="790"/>
      <c r="J72" s="786"/>
      <c r="K72" s="71"/>
      <c r="L72" s="71"/>
      <c r="M72" s="71"/>
      <c r="N72" s="71"/>
      <c r="O72" s="71"/>
      <c r="P72" s="71"/>
      <c r="Q72" s="71"/>
      <c r="R72" s="71"/>
      <c r="S72" s="71"/>
      <c r="T72" s="71"/>
    </row>
    <row r="73" spans="1:20">
      <c r="A73" s="71"/>
      <c r="B73" s="786"/>
      <c r="C73" s="787"/>
      <c r="D73" s="787"/>
      <c r="E73" s="788"/>
      <c r="F73" s="788"/>
      <c r="G73" s="787"/>
      <c r="H73" s="789"/>
      <c r="I73" s="790"/>
      <c r="J73" s="786"/>
      <c r="K73" s="71"/>
      <c r="L73" s="71"/>
      <c r="M73" s="71"/>
      <c r="N73" s="71"/>
      <c r="O73" s="71"/>
      <c r="P73" s="71"/>
      <c r="Q73" s="71"/>
      <c r="R73" s="71"/>
      <c r="S73" s="71"/>
      <c r="T73" s="71"/>
    </row>
    <row r="74" spans="1:20">
      <c r="A74" s="71"/>
      <c r="B74" s="786"/>
      <c r="C74" s="787"/>
      <c r="D74" s="787"/>
      <c r="E74" s="788"/>
      <c r="F74" s="788"/>
      <c r="G74" s="787"/>
      <c r="H74" s="789"/>
      <c r="I74" s="790"/>
      <c r="J74" s="786"/>
      <c r="K74" s="71"/>
      <c r="L74" s="71"/>
      <c r="M74" s="71"/>
      <c r="N74" s="71"/>
      <c r="O74" s="71"/>
      <c r="P74" s="71"/>
      <c r="Q74" s="71"/>
      <c r="R74" s="71"/>
      <c r="S74" s="71"/>
      <c r="T74" s="71"/>
    </row>
    <row r="75" spans="1:20">
      <c r="A75" s="71"/>
      <c r="B75" s="786"/>
      <c r="C75" s="787"/>
      <c r="D75" s="787"/>
      <c r="E75" s="788"/>
      <c r="F75" s="788"/>
      <c r="G75" s="787"/>
      <c r="H75" s="789"/>
      <c r="I75" s="790"/>
      <c r="J75" s="786"/>
      <c r="K75" s="71"/>
      <c r="L75" s="71"/>
      <c r="M75" s="71"/>
      <c r="N75" s="71"/>
      <c r="O75" s="71"/>
      <c r="P75" s="71"/>
      <c r="Q75" s="71"/>
      <c r="R75" s="71"/>
      <c r="S75" s="71"/>
      <c r="T75" s="71"/>
    </row>
    <row r="76" spans="1:20">
      <c r="A76" s="71"/>
      <c r="B76" s="786"/>
      <c r="C76" s="787"/>
      <c r="D76" s="787"/>
      <c r="E76" s="788"/>
      <c r="F76" s="788"/>
      <c r="G76" s="787"/>
      <c r="H76" s="789"/>
      <c r="I76" s="790"/>
      <c r="J76" s="786"/>
      <c r="K76" s="71"/>
      <c r="L76" s="71"/>
      <c r="M76" s="71"/>
      <c r="N76" s="71"/>
      <c r="O76" s="71"/>
      <c r="P76" s="71"/>
      <c r="Q76" s="71"/>
      <c r="R76" s="71"/>
      <c r="S76" s="71"/>
      <c r="T76" s="71"/>
    </row>
    <row r="77" spans="1:20">
      <c r="A77" s="71"/>
      <c r="B77" s="786"/>
      <c r="C77" s="787"/>
      <c r="D77" s="787"/>
      <c r="E77" s="788"/>
      <c r="F77" s="788"/>
      <c r="G77" s="787"/>
      <c r="H77" s="789"/>
      <c r="I77" s="790"/>
      <c r="J77" s="786"/>
      <c r="K77" s="71"/>
      <c r="L77" s="71"/>
      <c r="M77" s="71"/>
      <c r="N77" s="71"/>
      <c r="O77" s="71"/>
      <c r="P77" s="71"/>
      <c r="Q77" s="71"/>
      <c r="R77" s="71"/>
      <c r="S77" s="71"/>
      <c r="T77" s="71"/>
    </row>
    <row r="78" spans="1:20">
      <c r="A78" s="71"/>
      <c r="B78" s="786"/>
      <c r="C78" s="787"/>
      <c r="D78" s="787"/>
      <c r="E78" s="788"/>
      <c r="F78" s="788"/>
      <c r="G78" s="787"/>
      <c r="H78" s="789"/>
      <c r="I78" s="790"/>
      <c r="J78" s="786"/>
      <c r="K78" s="71"/>
      <c r="L78" s="71"/>
      <c r="M78" s="71"/>
      <c r="N78" s="71"/>
      <c r="O78" s="71"/>
      <c r="P78" s="71"/>
      <c r="Q78" s="71"/>
      <c r="R78" s="71"/>
      <c r="S78" s="71"/>
      <c r="T78" s="71"/>
    </row>
    <row r="79" spans="1:20">
      <c r="A79" s="71"/>
      <c r="B79" s="786"/>
      <c r="C79" s="787"/>
      <c r="D79" s="787"/>
      <c r="E79" s="788"/>
      <c r="F79" s="788"/>
      <c r="G79" s="787"/>
      <c r="H79" s="789"/>
      <c r="I79" s="790"/>
      <c r="J79" s="786"/>
      <c r="K79" s="71"/>
      <c r="L79" s="71"/>
      <c r="M79" s="71"/>
      <c r="N79" s="71"/>
      <c r="O79" s="71"/>
      <c r="P79" s="71"/>
      <c r="Q79" s="71"/>
      <c r="R79" s="71"/>
      <c r="S79" s="71"/>
      <c r="T79" s="71"/>
    </row>
    <row r="80" spans="1:20">
      <c r="A80" s="71"/>
      <c r="B80" s="786"/>
      <c r="C80" s="787"/>
      <c r="D80" s="787"/>
      <c r="E80" s="788"/>
      <c r="F80" s="788"/>
      <c r="G80" s="787"/>
      <c r="H80" s="789"/>
      <c r="I80" s="790"/>
      <c r="J80" s="786"/>
      <c r="K80" s="71"/>
      <c r="L80" s="71"/>
      <c r="M80" s="71"/>
      <c r="N80" s="71"/>
      <c r="O80" s="71"/>
      <c r="P80" s="71"/>
      <c r="Q80" s="71"/>
      <c r="R80" s="71"/>
      <c r="S80" s="71"/>
      <c r="T80" s="71"/>
    </row>
    <row r="81" spans="1:20">
      <c r="A81" s="71"/>
      <c r="B81" s="786"/>
      <c r="C81" s="787"/>
      <c r="D81" s="787"/>
      <c r="E81" s="788"/>
      <c r="F81" s="788"/>
      <c r="G81" s="787"/>
      <c r="H81" s="789"/>
      <c r="I81" s="790"/>
      <c r="J81" s="786"/>
      <c r="K81" s="71"/>
      <c r="L81" s="71"/>
      <c r="M81" s="71"/>
      <c r="N81" s="71"/>
      <c r="O81" s="71"/>
      <c r="P81" s="71"/>
      <c r="Q81" s="71"/>
      <c r="R81" s="71"/>
      <c r="S81" s="71"/>
      <c r="T81" s="71"/>
    </row>
    <row r="82" spans="1:20">
      <c r="A82" s="71"/>
      <c r="B82" s="786"/>
      <c r="C82" s="787"/>
      <c r="D82" s="787"/>
      <c r="E82" s="788"/>
      <c r="F82" s="788"/>
      <c r="G82" s="787"/>
      <c r="H82" s="789"/>
      <c r="I82" s="790"/>
      <c r="J82" s="786"/>
      <c r="K82" s="71"/>
      <c r="L82" s="71"/>
      <c r="M82" s="71"/>
      <c r="N82" s="71"/>
      <c r="O82" s="71"/>
      <c r="P82" s="71"/>
      <c r="Q82" s="71"/>
      <c r="R82" s="71"/>
      <c r="S82" s="71"/>
      <c r="T82" s="71"/>
    </row>
    <row r="83" spans="1:20">
      <c r="A83" s="71"/>
      <c r="B83" s="786"/>
      <c r="C83" s="787"/>
      <c r="D83" s="787"/>
      <c r="E83" s="788"/>
      <c r="F83" s="788"/>
      <c r="G83" s="787"/>
      <c r="H83" s="789"/>
      <c r="I83" s="790"/>
      <c r="J83" s="786"/>
      <c r="K83" s="71"/>
      <c r="L83" s="71"/>
      <c r="M83" s="71"/>
      <c r="N83" s="71"/>
      <c r="O83" s="71"/>
      <c r="P83" s="71"/>
      <c r="Q83" s="71"/>
      <c r="R83" s="71"/>
      <c r="S83" s="71"/>
      <c r="T83" s="71"/>
    </row>
    <row r="84" spans="1:20">
      <c r="A84" s="71"/>
      <c r="B84" s="786"/>
      <c r="C84" s="787"/>
      <c r="D84" s="787"/>
      <c r="E84" s="788"/>
      <c r="F84" s="788"/>
      <c r="G84" s="787"/>
      <c r="H84" s="789"/>
      <c r="I84" s="790"/>
      <c r="J84" s="786"/>
      <c r="K84" s="71"/>
      <c r="L84" s="71"/>
      <c r="M84" s="71"/>
      <c r="N84" s="71"/>
      <c r="O84" s="71"/>
      <c r="P84" s="71"/>
      <c r="Q84" s="71"/>
      <c r="R84" s="71"/>
      <c r="S84" s="71"/>
      <c r="T84" s="71"/>
    </row>
    <row r="85" spans="1:20">
      <c r="A85" s="71"/>
      <c r="B85" s="786"/>
      <c r="C85" s="787"/>
      <c r="D85" s="787"/>
      <c r="E85" s="788"/>
      <c r="F85" s="788"/>
      <c r="G85" s="787"/>
      <c r="H85" s="789"/>
      <c r="I85" s="790"/>
      <c r="J85" s="786"/>
      <c r="K85" s="71"/>
      <c r="L85" s="71"/>
      <c r="M85" s="71"/>
      <c r="N85" s="71"/>
      <c r="O85" s="71"/>
      <c r="P85" s="71"/>
      <c r="Q85" s="71"/>
      <c r="R85" s="71"/>
      <c r="S85" s="71"/>
      <c r="T85" s="71"/>
    </row>
    <row r="86" spans="1:20">
      <c r="A86" s="71"/>
      <c r="B86" s="786"/>
      <c r="C86" s="787"/>
      <c r="D86" s="787"/>
      <c r="E86" s="788"/>
      <c r="F86" s="788"/>
      <c r="G86" s="787"/>
      <c r="H86" s="789"/>
      <c r="I86" s="790"/>
      <c r="J86" s="786"/>
      <c r="K86" s="71"/>
      <c r="L86" s="71"/>
      <c r="M86" s="71"/>
      <c r="N86" s="71"/>
      <c r="O86" s="71"/>
      <c r="P86" s="71"/>
      <c r="Q86" s="71"/>
      <c r="R86" s="71"/>
      <c r="S86" s="71"/>
      <c r="T86" s="71"/>
    </row>
    <row r="87" spans="1:20">
      <c r="A87" s="71"/>
      <c r="B87" s="786"/>
      <c r="C87" s="787"/>
      <c r="D87" s="787"/>
      <c r="E87" s="788"/>
      <c r="F87" s="788"/>
      <c r="G87" s="787"/>
      <c r="H87" s="789"/>
      <c r="I87" s="790"/>
      <c r="J87" s="786"/>
      <c r="K87" s="71"/>
      <c r="L87" s="71"/>
      <c r="M87" s="71"/>
      <c r="N87" s="71"/>
      <c r="O87" s="71"/>
      <c r="P87" s="71"/>
      <c r="Q87" s="71"/>
      <c r="R87" s="71"/>
      <c r="S87" s="71"/>
      <c r="T87" s="71"/>
    </row>
    <row r="88" spans="1:20">
      <c r="A88" s="71"/>
      <c r="B88" s="786"/>
      <c r="C88" s="787"/>
      <c r="D88" s="787"/>
      <c r="E88" s="788"/>
      <c r="F88" s="788"/>
      <c r="G88" s="787"/>
      <c r="H88" s="789"/>
      <c r="I88" s="790"/>
      <c r="J88" s="786"/>
      <c r="K88" s="71"/>
      <c r="L88" s="71"/>
      <c r="M88" s="71"/>
      <c r="N88" s="71"/>
      <c r="O88" s="71"/>
      <c r="P88" s="71"/>
      <c r="Q88" s="71"/>
      <c r="R88" s="71"/>
      <c r="S88" s="71"/>
      <c r="T88" s="71"/>
    </row>
    <row r="89" spans="1:20">
      <c r="A89" s="71"/>
      <c r="B89" s="786"/>
      <c r="C89" s="787"/>
      <c r="D89" s="787"/>
      <c r="E89" s="788"/>
      <c r="F89" s="788"/>
      <c r="G89" s="787"/>
      <c r="H89" s="789"/>
      <c r="I89" s="790"/>
      <c r="J89" s="786"/>
      <c r="K89" s="71"/>
      <c r="L89" s="71"/>
      <c r="M89" s="71"/>
      <c r="N89" s="71"/>
      <c r="O89" s="71"/>
      <c r="P89" s="71"/>
      <c r="Q89" s="71"/>
      <c r="R89" s="71"/>
      <c r="S89" s="71"/>
      <c r="T89" s="71"/>
    </row>
    <row r="90" spans="1:20">
      <c r="A90" s="71"/>
      <c r="B90" s="786"/>
      <c r="C90" s="787"/>
      <c r="D90" s="787"/>
      <c r="E90" s="788"/>
      <c r="F90" s="788"/>
      <c r="G90" s="787"/>
      <c r="H90" s="789"/>
      <c r="I90" s="790"/>
      <c r="J90" s="786"/>
      <c r="K90" s="71"/>
      <c r="L90" s="71"/>
      <c r="M90" s="71"/>
      <c r="N90" s="71"/>
      <c r="O90" s="71"/>
      <c r="P90" s="71"/>
      <c r="Q90" s="71"/>
      <c r="R90" s="71"/>
      <c r="S90" s="71"/>
      <c r="T90" s="71"/>
    </row>
    <row r="91" spans="1:20">
      <c r="A91" s="71"/>
      <c r="B91" s="786"/>
      <c r="C91" s="787"/>
      <c r="D91" s="787"/>
      <c r="E91" s="788"/>
      <c r="F91" s="788"/>
      <c r="G91" s="787"/>
      <c r="H91" s="789"/>
      <c r="I91" s="790"/>
      <c r="J91" s="786"/>
      <c r="K91" s="71"/>
      <c r="L91" s="71"/>
      <c r="M91" s="71"/>
      <c r="N91" s="71"/>
      <c r="O91" s="71"/>
      <c r="P91" s="71"/>
      <c r="Q91" s="71"/>
      <c r="R91" s="71"/>
      <c r="S91" s="71"/>
      <c r="T91" s="71"/>
    </row>
    <row r="92" spans="1:20">
      <c r="A92" s="71"/>
      <c r="B92" s="786"/>
      <c r="C92" s="787"/>
      <c r="D92" s="787"/>
      <c r="E92" s="788"/>
      <c r="F92" s="788"/>
      <c r="G92" s="787"/>
      <c r="H92" s="789"/>
      <c r="I92" s="790"/>
      <c r="J92" s="786"/>
      <c r="K92" s="71"/>
      <c r="L92" s="71"/>
      <c r="M92" s="71"/>
      <c r="N92" s="71"/>
      <c r="O92" s="71"/>
      <c r="P92" s="71"/>
      <c r="Q92" s="71"/>
      <c r="R92" s="71"/>
      <c r="S92" s="71"/>
      <c r="T92" s="71"/>
    </row>
    <row r="93" spans="1:20">
      <c r="A93" s="71"/>
      <c r="B93" s="786"/>
      <c r="C93" s="787"/>
      <c r="D93" s="787"/>
      <c r="E93" s="788"/>
      <c r="F93" s="788"/>
      <c r="G93" s="787"/>
      <c r="H93" s="789"/>
      <c r="I93" s="790"/>
      <c r="J93" s="786"/>
      <c r="K93" s="71"/>
      <c r="L93" s="71"/>
      <c r="M93" s="71"/>
      <c r="N93" s="71"/>
      <c r="O93" s="71"/>
      <c r="P93" s="71"/>
      <c r="Q93" s="71"/>
      <c r="R93" s="71"/>
      <c r="S93" s="71"/>
      <c r="T93" s="71"/>
    </row>
    <row r="94" spans="1:20">
      <c r="A94" s="71"/>
      <c r="B94" s="786"/>
      <c r="C94" s="787"/>
      <c r="D94" s="787"/>
      <c r="E94" s="788"/>
      <c r="F94" s="788"/>
      <c r="G94" s="787"/>
      <c r="H94" s="789"/>
      <c r="I94" s="790"/>
      <c r="J94" s="786"/>
      <c r="K94" s="71"/>
      <c r="L94" s="71"/>
      <c r="M94" s="71"/>
      <c r="N94" s="71"/>
      <c r="O94" s="71"/>
      <c r="P94" s="71"/>
      <c r="Q94" s="71"/>
      <c r="R94" s="71"/>
      <c r="S94" s="71"/>
      <c r="T94" s="71"/>
    </row>
    <row r="95" spans="1:20">
      <c r="A95" s="71"/>
      <c r="B95" s="786"/>
      <c r="C95" s="787"/>
      <c r="D95" s="787"/>
      <c r="E95" s="788"/>
      <c r="F95" s="788"/>
      <c r="G95" s="787"/>
      <c r="H95" s="789"/>
      <c r="I95" s="790"/>
      <c r="J95" s="786"/>
      <c r="K95" s="71"/>
      <c r="L95" s="71"/>
      <c r="M95" s="71"/>
      <c r="N95" s="71"/>
      <c r="O95" s="71"/>
      <c r="P95" s="71"/>
      <c r="Q95" s="71"/>
      <c r="R95" s="71"/>
      <c r="S95" s="71"/>
      <c r="T95" s="71"/>
    </row>
    <row r="96" spans="1:20">
      <c r="A96" s="71"/>
      <c r="B96" s="786"/>
      <c r="C96" s="787"/>
      <c r="D96" s="787"/>
      <c r="E96" s="788"/>
      <c r="F96" s="788"/>
      <c r="G96" s="787"/>
      <c r="H96" s="789"/>
      <c r="I96" s="790"/>
      <c r="J96" s="786"/>
      <c r="K96" s="71"/>
      <c r="L96" s="71"/>
      <c r="M96" s="71"/>
      <c r="N96" s="71"/>
      <c r="O96" s="71"/>
      <c r="P96" s="71"/>
      <c r="Q96" s="71"/>
      <c r="R96" s="71"/>
      <c r="S96" s="71"/>
      <c r="T96" s="71"/>
    </row>
    <row r="97" spans="1:20">
      <c r="A97" s="71"/>
      <c r="B97" s="786"/>
      <c r="C97" s="787"/>
      <c r="D97" s="787"/>
      <c r="E97" s="788"/>
      <c r="F97" s="788"/>
      <c r="G97" s="787"/>
      <c r="H97" s="789"/>
      <c r="I97" s="790"/>
      <c r="J97" s="786"/>
      <c r="K97" s="71"/>
      <c r="L97" s="71"/>
      <c r="M97" s="71"/>
      <c r="N97" s="71"/>
      <c r="O97" s="71"/>
      <c r="P97" s="71"/>
      <c r="Q97" s="71"/>
      <c r="R97" s="71"/>
      <c r="S97" s="71"/>
      <c r="T97" s="71"/>
    </row>
    <row r="98" spans="1:20">
      <c r="A98" s="71"/>
      <c r="B98" s="71"/>
      <c r="C98" s="71"/>
      <c r="D98" s="71"/>
      <c r="E98" s="71"/>
      <c r="F98" s="71"/>
      <c r="G98" s="643"/>
      <c r="H98" s="71"/>
      <c r="I98" s="71"/>
      <c r="J98" s="646"/>
      <c r="K98" s="71"/>
      <c r="L98" s="71"/>
      <c r="M98" s="71"/>
      <c r="N98" s="71"/>
      <c r="O98" s="71"/>
      <c r="P98" s="71"/>
      <c r="Q98" s="71"/>
      <c r="R98" s="71"/>
      <c r="S98" s="71"/>
      <c r="T98" s="71"/>
    </row>
    <row r="99" spans="1:20">
      <c r="A99" s="71"/>
      <c r="B99" s="71"/>
      <c r="C99" s="71"/>
      <c r="D99" s="71"/>
      <c r="E99" s="71"/>
      <c r="F99" s="71"/>
      <c r="G99" s="643"/>
      <c r="H99" s="71"/>
      <c r="I99" s="71"/>
      <c r="J99" s="646"/>
      <c r="K99" s="71"/>
      <c r="L99" s="71"/>
      <c r="M99" s="71"/>
      <c r="N99" s="71"/>
      <c r="O99" s="71"/>
      <c r="P99" s="71"/>
      <c r="Q99" s="71"/>
      <c r="R99" s="71"/>
      <c r="S99" s="71"/>
      <c r="T99" s="71"/>
    </row>
    <row r="100" spans="1:20">
      <c r="A100" s="71"/>
      <c r="B100" s="71"/>
      <c r="C100" s="71"/>
      <c r="D100" s="71"/>
      <c r="E100" s="71"/>
      <c r="F100" s="71"/>
      <c r="G100" s="643"/>
      <c r="H100" s="71"/>
      <c r="I100" s="71"/>
      <c r="J100" s="646"/>
      <c r="K100" s="71"/>
      <c r="L100" s="71"/>
      <c r="M100" s="71"/>
      <c r="N100" s="71"/>
      <c r="O100" s="71"/>
      <c r="P100" s="71"/>
      <c r="Q100" s="71"/>
      <c r="R100" s="71"/>
      <c r="S100" s="71"/>
      <c r="T100" s="71"/>
    </row>
    <row r="101" spans="1:20">
      <c r="A101" s="71"/>
      <c r="B101" s="71"/>
      <c r="C101" s="71"/>
      <c r="D101" s="71"/>
      <c r="E101" s="71"/>
      <c r="F101" s="71"/>
      <c r="G101" s="643"/>
      <c r="H101" s="71"/>
      <c r="I101" s="71"/>
      <c r="J101" s="646"/>
      <c r="K101" s="71"/>
      <c r="L101" s="71"/>
      <c r="M101" s="71"/>
      <c r="N101" s="71"/>
      <c r="O101" s="71"/>
      <c r="P101" s="71"/>
      <c r="Q101" s="71"/>
      <c r="R101" s="71"/>
      <c r="S101" s="71"/>
      <c r="T101" s="71"/>
    </row>
    <row r="102" spans="1:20">
      <c r="A102" s="71"/>
      <c r="B102" s="71"/>
      <c r="C102" s="71"/>
      <c r="D102" s="71"/>
      <c r="E102" s="71"/>
      <c r="F102" s="71"/>
      <c r="G102" s="643"/>
      <c r="H102" s="71"/>
      <c r="I102" s="71"/>
      <c r="J102" s="646"/>
      <c r="K102" s="71"/>
      <c r="L102" s="71"/>
      <c r="M102" s="71"/>
      <c r="N102" s="71"/>
      <c r="O102" s="71"/>
      <c r="P102" s="71"/>
      <c r="Q102" s="71"/>
      <c r="R102" s="71"/>
      <c r="S102" s="71"/>
      <c r="T102" s="71"/>
    </row>
    <row r="103" spans="1:20">
      <c r="A103" s="71"/>
      <c r="B103" s="71"/>
      <c r="C103" s="71"/>
      <c r="D103" s="71"/>
      <c r="E103" s="71"/>
      <c r="F103" s="71"/>
      <c r="G103" s="643"/>
      <c r="H103" s="71"/>
      <c r="I103" s="71"/>
      <c r="J103" s="646"/>
      <c r="K103" s="71"/>
      <c r="L103" s="71"/>
      <c r="M103" s="71"/>
      <c r="N103" s="71"/>
      <c r="O103" s="71"/>
      <c r="P103" s="71"/>
      <c r="Q103" s="71"/>
      <c r="R103" s="71"/>
      <c r="S103" s="71"/>
      <c r="T103" s="71"/>
    </row>
    <row r="104" spans="1:20">
      <c r="A104" s="71"/>
      <c r="B104" s="71"/>
      <c r="C104" s="71"/>
      <c r="D104" s="71"/>
      <c r="E104" s="71"/>
      <c r="F104" s="71"/>
      <c r="G104" s="643"/>
      <c r="H104" s="71"/>
      <c r="I104" s="71"/>
      <c r="J104" s="646"/>
      <c r="K104" s="71"/>
      <c r="L104" s="71"/>
      <c r="M104" s="71"/>
      <c r="N104" s="71"/>
      <c r="O104" s="71"/>
      <c r="P104" s="71"/>
      <c r="Q104" s="71"/>
      <c r="R104" s="71"/>
      <c r="S104" s="71"/>
      <c r="T104" s="71"/>
    </row>
    <row r="105" spans="1:20">
      <c r="A105" s="71"/>
      <c r="B105" s="71"/>
      <c r="C105" s="71"/>
      <c r="D105" s="71"/>
      <c r="E105" s="71"/>
      <c r="F105" s="71"/>
      <c r="G105" s="643"/>
      <c r="H105" s="71"/>
      <c r="I105" s="71"/>
      <c r="J105" s="646"/>
      <c r="K105" s="71"/>
      <c r="L105" s="71"/>
      <c r="M105" s="71"/>
      <c r="N105" s="71"/>
      <c r="O105" s="71"/>
      <c r="P105" s="71"/>
      <c r="Q105" s="71"/>
      <c r="R105" s="71"/>
      <c r="S105" s="71"/>
      <c r="T105" s="71"/>
    </row>
    <row r="106" spans="1:20">
      <c r="A106" s="71"/>
      <c r="B106" s="71"/>
      <c r="C106" s="71"/>
      <c r="D106" s="71"/>
      <c r="E106" s="71"/>
      <c r="F106" s="71"/>
      <c r="G106" s="643"/>
      <c r="H106" s="71"/>
      <c r="I106" s="71"/>
      <c r="J106" s="646"/>
      <c r="K106" s="71"/>
      <c r="L106" s="71"/>
      <c r="M106" s="71"/>
      <c r="N106" s="71"/>
      <c r="O106" s="71"/>
      <c r="P106" s="71"/>
      <c r="Q106" s="71"/>
      <c r="R106" s="71"/>
      <c r="S106" s="71"/>
      <c r="T106" s="71"/>
    </row>
    <row r="107" spans="1:20">
      <c r="A107" s="71"/>
      <c r="B107" s="71"/>
      <c r="C107" s="71"/>
      <c r="D107" s="71"/>
      <c r="E107" s="71"/>
      <c r="F107" s="71"/>
      <c r="G107" s="643"/>
      <c r="H107" s="71"/>
      <c r="I107" s="71"/>
      <c r="J107" s="646"/>
      <c r="K107" s="71"/>
      <c r="L107" s="71"/>
      <c r="M107" s="71"/>
      <c r="N107" s="71"/>
      <c r="O107" s="71"/>
      <c r="P107" s="71"/>
      <c r="Q107" s="71"/>
      <c r="R107" s="71"/>
      <c r="S107" s="71"/>
      <c r="T107" s="71"/>
    </row>
    <row r="108" spans="1:20">
      <c r="A108" s="71"/>
      <c r="B108" s="71"/>
      <c r="C108" s="71"/>
      <c r="D108" s="71"/>
      <c r="E108" s="71"/>
      <c r="F108" s="71"/>
      <c r="G108" s="643"/>
      <c r="H108" s="71"/>
      <c r="I108" s="71"/>
      <c r="J108" s="646"/>
      <c r="K108" s="71"/>
      <c r="L108" s="71"/>
      <c r="M108" s="71"/>
      <c r="N108" s="71"/>
      <c r="O108" s="71"/>
      <c r="P108" s="71"/>
      <c r="Q108" s="71"/>
      <c r="R108" s="71"/>
      <c r="S108" s="71"/>
      <c r="T108" s="71"/>
    </row>
    <row r="109" spans="1:20">
      <c r="A109" s="71"/>
      <c r="B109" s="71"/>
      <c r="C109" s="71"/>
      <c r="D109" s="71"/>
      <c r="E109" s="71"/>
      <c r="F109" s="71"/>
      <c r="G109" s="643"/>
      <c r="H109" s="71"/>
      <c r="I109" s="71"/>
      <c r="J109" s="646"/>
      <c r="K109" s="71"/>
      <c r="L109" s="71"/>
      <c r="M109" s="71"/>
      <c r="N109" s="71"/>
      <c r="O109" s="71"/>
      <c r="P109" s="71"/>
      <c r="Q109" s="71"/>
      <c r="R109" s="71"/>
      <c r="S109" s="71"/>
      <c r="T109" s="71"/>
    </row>
    <row r="110" spans="1:20">
      <c r="A110" s="71"/>
      <c r="B110" s="71"/>
      <c r="C110" s="71"/>
      <c r="D110" s="71"/>
      <c r="E110" s="71"/>
      <c r="F110" s="71"/>
      <c r="G110" s="643"/>
      <c r="H110" s="71"/>
      <c r="I110" s="71"/>
      <c r="J110" s="646"/>
      <c r="K110" s="71"/>
      <c r="L110" s="71"/>
      <c r="M110" s="71"/>
      <c r="N110" s="71"/>
      <c r="O110" s="71"/>
      <c r="P110" s="71"/>
      <c r="Q110" s="71"/>
      <c r="R110" s="71"/>
      <c r="S110" s="71"/>
      <c r="T110" s="71"/>
    </row>
    <row r="111" spans="1:20">
      <c r="A111" s="71"/>
      <c r="B111" s="71"/>
      <c r="C111" s="71"/>
      <c r="D111" s="71"/>
      <c r="E111" s="71"/>
      <c r="F111" s="71"/>
      <c r="G111" s="643"/>
      <c r="H111" s="71"/>
      <c r="I111" s="71"/>
      <c r="J111" s="646"/>
      <c r="K111" s="71"/>
      <c r="L111" s="71"/>
      <c r="M111" s="71"/>
      <c r="N111" s="71"/>
      <c r="O111" s="71"/>
      <c r="P111" s="71"/>
      <c r="Q111" s="71"/>
      <c r="R111" s="71"/>
      <c r="S111" s="71"/>
      <c r="T111" s="71"/>
    </row>
    <row r="112" spans="1:20">
      <c r="A112" s="71"/>
      <c r="B112" s="71"/>
      <c r="C112" s="71"/>
      <c r="D112" s="71"/>
      <c r="E112" s="71"/>
      <c r="F112" s="71"/>
      <c r="G112" s="643"/>
      <c r="H112" s="71"/>
      <c r="I112" s="71"/>
      <c r="J112" s="646"/>
      <c r="K112" s="71"/>
      <c r="L112" s="71"/>
      <c r="M112" s="71"/>
      <c r="N112" s="71"/>
      <c r="O112" s="71"/>
      <c r="P112" s="71"/>
      <c r="Q112" s="71"/>
      <c r="R112" s="71"/>
      <c r="S112" s="71"/>
      <c r="T112" s="71"/>
    </row>
    <row r="113" spans="1:20">
      <c r="A113" s="71"/>
      <c r="B113" s="71"/>
      <c r="C113" s="71"/>
      <c r="D113" s="71"/>
      <c r="E113" s="71"/>
      <c r="F113" s="71"/>
      <c r="G113" s="643"/>
      <c r="H113" s="71"/>
      <c r="I113" s="71"/>
      <c r="J113" s="646"/>
      <c r="K113" s="71"/>
      <c r="L113" s="71"/>
      <c r="M113" s="71"/>
      <c r="N113" s="71"/>
      <c r="O113" s="71"/>
      <c r="P113" s="71"/>
      <c r="Q113" s="71"/>
      <c r="R113" s="71"/>
      <c r="S113" s="71"/>
      <c r="T113" s="71"/>
    </row>
    <row r="114" spans="1:20">
      <c r="A114" s="71"/>
      <c r="B114" s="71"/>
      <c r="C114" s="71"/>
      <c r="D114" s="71"/>
      <c r="E114" s="71"/>
      <c r="F114" s="71"/>
      <c r="G114" s="643"/>
      <c r="H114" s="71"/>
      <c r="I114" s="71"/>
      <c r="J114" s="646"/>
      <c r="K114" s="71"/>
      <c r="L114" s="71"/>
      <c r="M114" s="71"/>
      <c r="N114" s="71"/>
      <c r="O114" s="71"/>
      <c r="P114" s="71"/>
      <c r="Q114" s="71"/>
      <c r="R114" s="71"/>
      <c r="S114" s="71"/>
      <c r="T114" s="71"/>
    </row>
    <row r="115" spans="1:20">
      <c r="A115" s="71"/>
      <c r="B115" s="71"/>
      <c r="C115" s="71"/>
      <c r="D115" s="71"/>
      <c r="E115" s="71"/>
      <c r="F115" s="71"/>
      <c r="G115" s="643"/>
      <c r="H115" s="71"/>
      <c r="I115" s="71"/>
      <c r="J115" s="646"/>
      <c r="K115" s="71"/>
      <c r="L115" s="71"/>
      <c r="M115" s="71"/>
      <c r="N115" s="71"/>
      <c r="O115" s="71"/>
      <c r="P115" s="71"/>
      <c r="Q115" s="71"/>
      <c r="R115" s="71"/>
      <c r="S115" s="71"/>
      <c r="T115" s="71"/>
    </row>
    <row r="116" spans="1:20">
      <c r="A116" s="71"/>
      <c r="B116" s="71"/>
      <c r="C116" s="71"/>
      <c r="D116" s="71"/>
      <c r="E116" s="71"/>
      <c r="F116" s="71"/>
      <c r="G116" s="643"/>
      <c r="H116" s="71"/>
      <c r="I116" s="71"/>
      <c r="J116" s="646"/>
      <c r="K116" s="71"/>
      <c r="L116" s="71"/>
      <c r="M116" s="71"/>
      <c r="N116" s="71"/>
      <c r="O116" s="71"/>
      <c r="P116" s="71"/>
      <c r="Q116" s="71"/>
      <c r="R116" s="71"/>
      <c r="S116" s="71"/>
      <c r="T116" s="71"/>
    </row>
    <row r="117" spans="1:20">
      <c r="A117" s="71"/>
      <c r="B117" s="71"/>
      <c r="C117" s="71"/>
      <c r="D117" s="71"/>
      <c r="E117" s="71"/>
      <c r="F117" s="71"/>
      <c r="G117" s="643"/>
      <c r="H117" s="71"/>
      <c r="I117" s="71"/>
      <c r="J117" s="646"/>
      <c r="K117" s="71"/>
      <c r="L117" s="71"/>
      <c r="M117" s="71"/>
      <c r="N117" s="71"/>
      <c r="O117" s="71"/>
      <c r="P117" s="71"/>
      <c r="Q117" s="71"/>
      <c r="R117" s="71"/>
      <c r="S117" s="71"/>
      <c r="T117" s="71"/>
    </row>
    <row r="118" spans="1:20">
      <c r="A118" s="71"/>
      <c r="B118" s="71"/>
      <c r="C118" s="71"/>
      <c r="D118" s="71"/>
      <c r="E118" s="71"/>
      <c r="F118" s="71"/>
      <c r="G118" s="643"/>
      <c r="H118" s="71"/>
      <c r="I118" s="71"/>
      <c r="J118" s="646"/>
      <c r="K118" s="71"/>
      <c r="L118" s="71"/>
      <c r="M118" s="71"/>
      <c r="N118" s="71"/>
      <c r="O118" s="71"/>
      <c r="P118" s="71"/>
      <c r="Q118" s="71"/>
      <c r="R118" s="71"/>
      <c r="S118" s="71"/>
      <c r="T118" s="71"/>
    </row>
    <row r="119" spans="1:20">
      <c r="A119" s="71"/>
      <c r="B119" s="71"/>
      <c r="C119" s="71"/>
      <c r="D119" s="71"/>
      <c r="E119" s="71"/>
      <c r="F119" s="71"/>
      <c r="G119" s="643"/>
      <c r="H119" s="71"/>
      <c r="I119" s="71"/>
      <c r="J119" s="646"/>
      <c r="K119" s="71"/>
      <c r="L119" s="71"/>
      <c r="M119" s="71"/>
      <c r="N119" s="71"/>
      <c r="O119" s="71"/>
      <c r="P119" s="71"/>
      <c r="Q119" s="71"/>
      <c r="R119" s="71"/>
      <c r="S119" s="71"/>
      <c r="T119" s="71"/>
    </row>
    <row r="120" spans="1:20">
      <c r="A120" s="71"/>
      <c r="B120" s="71"/>
      <c r="C120" s="71"/>
      <c r="D120" s="71"/>
      <c r="E120" s="71"/>
      <c r="F120" s="71"/>
      <c r="G120" s="643"/>
      <c r="H120" s="71"/>
      <c r="I120" s="71"/>
      <c r="J120" s="646"/>
      <c r="K120" s="71"/>
      <c r="L120" s="71"/>
      <c r="M120" s="71"/>
      <c r="N120" s="71"/>
      <c r="O120" s="71"/>
      <c r="P120" s="71"/>
      <c r="Q120" s="71"/>
      <c r="R120" s="71"/>
      <c r="S120" s="71"/>
      <c r="T120" s="71"/>
    </row>
    <row r="121" spans="1:20">
      <c r="A121" s="71"/>
      <c r="B121" s="71"/>
      <c r="C121" s="71"/>
      <c r="D121" s="71"/>
      <c r="E121" s="71"/>
      <c r="F121" s="71"/>
      <c r="G121" s="643"/>
      <c r="H121" s="71"/>
      <c r="I121" s="71"/>
      <c r="J121" s="646"/>
      <c r="K121" s="71"/>
      <c r="L121" s="71"/>
      <c r="M121" s="71"/>
      <c r="N121" s="71"/>
      <c r="O121" s="71"/>
      <c r="P121" s="71"/>
      <c r="Q121" s="71"/>
      <c r="R121" s="71"/>
      <c r="S121" s="71"/>
      <c r="T121" s="71"/>
    </row>
    <row r="122" spans="1:20">
      <c r="A122" s="71"/>
      <c r="B122" s="71"/>
      <c r="C122" s="71"/>
      <c r="D122" s="71"/>
      <c r="E122" s="71"/>
      <c r="F122" s="71"/>
      <c r="G122" s="643"/>
      <c r="H122" s="71"/>
      <c r="I122" s="71"/>
      <c r="J122" s="646"/>
      <c r="K122" s="71"/>
      <c r="L122" s="71"/>
      <c r="M122" s="71"/>
      <c r="N122" s="71"/>
      <c r="O122" s="71"/>
      <c r="P122" s="71"/>
      <c r="Q122" s="71"/>
      <c r="R122" s="71"/>
      <c r="S122" s="71"/>
      <c r="T122" s="71"/>
    </row>
    <row r="123" spans="1:20">
      <c r="A123" s="71"/>
      <c r="B123" s="71"/>
      <c r="C123" s="71"/>
      <c r="D123" s="71"/>
      <c r="E123" s="71"/>
      <c r="F123" s="71"/>
      <c r="G123" s="643"/>
      <c r="H123" s="71"/>
      <c r="I123" s="71"/>
      <c r="J123" s="646"/>
      <c r="K123" s="71"/>
      <c r="L123" s="71"/>
      <c r="M123" s="71"/>
      <c r="N123" s="71"/>
      <c r="O123" s="71"/>
      <c r="P123" s="71"/>
      <c r="Q123" s="71"/>
      <c r="R123" s="71"/>
      <c r="S123" s="71"/>
      <c r="T123" s="71"/>
    </row>
    <row r="124" spans="1:20">
      <c r="A124" s="71"/>
      <c r="B124" s="71"/>
      <c r="C124" s="71"/>
      <c r="D124" s="71"/>
      <c r="E124" s="71"/>
      <c r="F124" s="71"/>
      <c r="G124" s="643"/>
      <c r="H124" s="71"/>
      <c r="I124" s="71"/>
      <c r="J124" s="646"/>
      <c r="K124" s="71"/>
      <c r="L124" s="71"/>
      <c r="M124" s="71"/>
      <c r="N124" s="71"/>
      <c r="O124" s="71"/>
      <c r="P124" s="71"/>
      <c r="Q124" s="71"/>
      <c r="R124" s="71"/>
      <c r="S124" s="71"/>
      <c r="T124" s="71"/>
    </row>
    <row r="125" spans="1:20">
      <c r="A125" s="71"/>
      <c r="B125" s="71"/>
      <c r="C125" s="71"/>
      <c r="D125" s="71"/>
      <c r="E125" s="71"/>
      <c r="F125" s="71"/>
      <c r="G125" s="643"/>
      <c r="H125" s="71"/>
      <c r="I125" s="71"/>
      <c r="J125" s="646"/>
      <c r="K125" s="71"/>
      <c r="L125" s="71"/>
      <c r="M125" s="71"/>
      <c r="N125" s="71"/>
      <c r="O125" s="71"/>
      <c r="P125" s="71"/>
      <c r="Q125" s="71"/>
      <c r="R125" s="71"/>
      <c r="S125" s="71"/>
      <c r="T125" s="71"/>
    </row>
    <row r="126" spans="1:20">
      <c r="A126" s="71"/>
      <c r="B126" s="71"/>
      <c r="C126" s="71"/>
      <c r="D126" s="71"/>
      <c r="E126" s="71"/>
      <c r="F126" s="71"/>
      <c r="G126" s="643"/>
      <c r="H126" s="71"/>
      <c r="I126" s="71"/>
      <c r="J126" s="646"/>
      <c r="K126" s="71"/>
      <c r="L126" s="71"/>
      <c r="M126" s="71"/>
      <c r="N126" s="71"/>
      <c r="O126" s="71"/>
      <c r="P126" s="71"/>
      <c r="Q126" s="71"/>
      <c r="R126" s="71"/>
      <c r="S126" s="71"/>
      <c r="T126" s="71"/>
    </row>
    <row r="127" spans="1:20">
      <c r="A127" s="71"/>
      <c r="B127" s="71"/>
      <c r="C127" s="71"/>
      <c r="D127" s="71"/>
      <c r="E127" s="71"/>
      <c r="F127" s="71"/>
      <c r="G127" s="643"/>
      <c r="H127" s="71"/>
      <c r="I127" s="71"/>
      <c r="J127" s="646"/>
      <c r="K127" s="71"/>
      <c r="L127" s="71"/>
      <c r="M127" s="71"/>
      <c r="N127" s="71"/>
      <c r="O127" s="71"/>
      <c r="P127" s="71"/>
      <c r="Q127" s="71"/>
      <c r="R127" s="71"/>
      <c r="S127" s="71"/>
      <c r="T127" s="71"/>
    </row>
    <row r="128" spans="1:20">
      <c r="A128" s="71"/>
      <c r="B128" s="71"/>
      <c r="C128" s="71"/>
      <c r="D128" s="71"/>
      <c r="E128" s="71"/>
      <c r="F128" s="71"/>
      <c r="G128" s="643"/>
      <c r="H128" s="71"/>
      <c r="I128" s="71"/>
      <c r="J128" s="646"/>
      <c r="K128" s="71"/>
      <c r="L128" s="71"/>
      <c r="M128" s="71"/>
      <c r="N128" s="71"/>
      <c r="O128" s="71"/>
      <c r="P128" s="71"/>
      <c r="Q128" s="71"/>
      <c r="R128" s="71"/>
      <c r="S128" s="71"/>
      <c r="T128" s="71"/>
    </row>
    <row r="129" spans="1:20">
      <c r="A129" s="71"/>
      <c r="B129" s="71"/>
      <c r="C129" s="71"/>
      <c r="D129" s="71"/>
      <c r="E129" s="71"/>
      <c r="F129" s="71"/>
      <c r="G129" s="643"/>
      <c r="H129" s="71"/>
      <c r="I129" s="71"/>
      <c r="J129" s="646"/>
      <c r="K129" s="71"/>
      <c r="L129" s="71"/>
      <c r="M129" s="71"/>
      <c r="N129" s="71"/>
      <c r="O129" s="71"/>
      <c r="P129" s="71"/>
      <c r="Q129" s="71"/>
      <c r="R129" s="71"/>
      <c r="S129" s="71"/>
      <c r="T129" s="71"/>
    </row>
    <row r="130" spans="1:20">
      <c r="A130" s="71"/>
      <c r="B130" s="71"/>
      <c r="C130" s="71"/>
      <c r="D130" s="71"/>
      <c r="E130" s="71"/>
      <c r="F130" s="71"/>
      <c r="G130" s="643"/>
      <c r="H130" s="71"/>
      <c r="I130" s="71"/>
      <c r="J130" s="646"/>
      <c r="K130" s="71"/>
      <c r="L130" s="71"/>
      <c r="M130" s="71"/>
      <c r="N130" s="71"/>
      <c r="O130" s="71"/>
      <c r="P130" s="71"/>
      <c r="Q130" s="71"/>
      <c r="R130" s="71"/>
      <c r="S130" s="71"/>
      <c r="T130" s="71"/>
    </row>
    <row r="131" spans="1:20">
      <c r="A131" s="71"/>
      <c r="B131" s="71"/>
      <c r="C131" s="71"/>
      <c r="D131" s="71"/>
      <c r="E131" s="71"/>
      <c r="F131" s="71"/>
      <c r="G131" s="643"/>
      <c r="H131" s="71"/>
      <c r="I131" s="71"/>
      <c r="J131" s="646"/>
      <c r="K131" s="71"/>
      <c r="L131" s="71"/>
      <c r="M131" s="71"/>
      <c r="N131" s="71"/>
      <c r="O131" s="71"/>
      <c r="P131" s="71"/>
      <c r="Q131" s="71"/>
      <c r="R131" s="71"/>
      <c r="S131" s="71"/>
      <c r="T131" s="71"/>
    </row>
    <row r="132" spans="1:20">
      <c r="A132" s="71"/>
      <c r="B132" s="71"/>
      <c r="C132" s="71"/>
      <c r="D132" s="71"/>
      <c r="E132" s="71"/>
      <c r="F132" s="71"/>
      <c r="G132" s="643"/>
      <c r="H132" s="71"/>
      <c r="I132" s="71"/>
      <c r="J132" s="646"/>
      <c r="K132" s="71"/>
      <c r="L132" s="71"/>
      <c r="M132" s="71"/>
      <c r="N132" s="71"/>
      <c r="O132" s="71"/>
      <c r="P132" s="71"/>
      <c r="Q132" s="71"/>
      <c r="R132" s="71"/>
      <c r="S132" s="71"/>
      <c r="T132" s="71"/>
    </row>
    <row r="133" spans="1:20">
      <c r="A133" s="71"/>
      <c r="B133" s="71"/>
      <c r="C133" s="71"/>
      <c r="D133" s="71"/>
      <c r="E133" s="71"/>
      <c r="F133" s="71"/>
      <c r="G133" s="643"/>
      <c r="H133" s="71"/>
      <c r="I133" s="71"/>
      <c r="J133" s="646"/>
      <c r="K133" s="71"/>
      <c r="L133" s="71"/>
      <c r="M133" s="71"/>
      <c r="N133" s="71"/>
      <c r="O133" s="71"/>
      <c r="P133" s="71"/>
      <c r="Q133" s="71"/>
      <c r="R133" s="71"/>
      <c r="S133" s="71"/>
      <c r="T133" s="71"/>
    </row>
    <row r="134" spans="1:20">
      <c r="A134" s="71"/>
      <c r="B134" s="71"/>
      <c r="C134" s="71"/>
      <c r="D134" s="71"/>
      <c r="E134" s="71"/>
      <c r="F134" s="71"/>
      <c r="G134" s="643"/>
      <c r="H134" s="71"/>
      <c r="I134" s="71"/>
      <c r="J134" s="646"/>
      <c r="K134" s="71"/>
      <c r="L134" s="71"/>
      <c r="M134" s="71"/>
      <c r="N134" s="71"/>
      <c r="O134" s="71"/>
      <c r="P134" s="71"/>
      <c r="Q134" s="71"/>
      <c r="R134" s="71"/>
      <c r="S134" s="71"/>
      <c r="T134" s="71"/>
    </row>
    <row r="135" spans="1:20">
      <c r="A135" s="71"/>
      <c r="B135" s="71"/>
      <c r="C135" s="71"/>
      <c r="D135" s="71"/>
      <c r="E135" s="71"/>
      <c r="F135" s="71"/>
      <c r="G135" s="643"/>
      <c r="H135" s="71"/>
      <c r="I135" s="71"/>
      <c r="J135" s="646"/>
      <c r="K135" s="71"/>
      <c r="L135" s="71"/>
      <c r="M135" s="71"/>
      <c r="N135" s="71"/>
      <c r="O135" s="71"/>
      <c r="P135" s="71"/>
      <c r="Q135" s="71"/>
      <c r="R135" s="71"/>
      <c r="S135" s="71"/>
      <c r="T135" s="71"/>
    </row>
    <row r="136" spans="1:20">
      <c r="A136" s="71"/>
      <c r="B136" s="71"/>
      <c r="C136" s="71"/>
      <c r="D136" s="71"/>
      <c r="E136" s="71"/>
      <c r="F136" s="71"/>
      <c r="G136" s="643"/>
      <c r="H136" s="71"/>
      <c r="I136" s="71"/>
      <c r="J136" s="646"/>
      <c r="K136" s="71"/>
      <c r="L136" s="71"/>
      <c r="M136" s="71"/>
      <c r="N136" s="71"/>
      <c r="O136" s="71"/>
      <c r="P136" s="71"/>
      <c r="Q136" s="71"/>
      <c r="R136" s="71"/>
      <c r="S136" s="71"/>
      <c r="T136" s="71"/>
    </row>
    <row r="137" spans="1:20">
      <c r="A137" s="71"/>
      <c r="B137" s="71"/>
      <c r="C137" s="71"/>
      <c r="D137" s="71"/>
      <c r="E137" s="71"/>
      <c r="F137" s="71"/>
      <c r="G137" s="643"/>
      <c r="H137" s="71"/>
      <c r="I137" s="71"/>
      <c r="J137" s="646"/>
      <c r="K137" s="71"/>
      <c r="L137" s="71"/>
      <c r="M137" s="71"/>
      <c r="N137" s="71"/>
      <c r="O137" s="71"/>
      <c r="P137" s="71"/>
      <c r="Q137" s="71"/>
      <c r="R137" s="71"/>
      <c r="S137" s="71"/>
      <c r="T137" s="71"/>
    </row>
    <row r="138" spans="1:20">
      <c r="A138" s="71"/>
      <c r="B138" s="71"/>
      <c r="C138" s="71"/>
      <c r="D138" s="71"/>
      <c r="E138" s="71"/>
      <c r="F138" s="71"/>
      <c r="G138" s="643"/>
      <c r="H138" s="71"/>
      <c r="I138" s="71"/>
      <c r="J138" s="646"/>
      <c r="K138" s="71"/>
      <c r="L138" s="71"/>
      <c r="M138" s="71"/>
      <c r="N138" s="71"/>
      <c r="O138" s="71"/>
      <c r="P138" s="71"/>
      <c r="Q138" s="71"/>
      <c r="R138" s="71"/>
      <c r="S138" s="71"/>
      <c r="T138" s="71"/>
    </row>
    <row r="139" spans="1:20">
      <c r="A139" s="71"/>
      <c r="B139" s="71"/>
      <c r="C139" s="71"/>
      <c r="D139" s="71"/>
      <c r="E139" s="71"/>
      <c r="F139" s="71"/>
      <c r="G139" s="643"/>
      <c r="H139" s="71"/>
      <c r="I139" s="71"/>
      <c r="J139" s="646"/>
      <c r="K139" s="71"/>
      <c r="L139" s="71"/>
      <c r="M139" s="71"/>
      <c r="N139" s="71"/>
      <c r="O139" s="71"/>
      <c r="P139" s="71"/>
      <c r="Q139" s="71"/>
      <c r="R139" s="71"/>
      <c r="S139" s="71"/>
      <c r="T139" s="71"/>
    </row>
    <row r="140" spans="1:20">
      <c r="A140" s="71"/>
      <c r="B140" s="71"/>
      <c r="C140" s="71"/>
      <c r="D140" s="71"/>
      <c r="E140" s="71"/>
      <c r="F140" s="71"/>
      <c r="G140" s="643"/>
      <c r="H140" s="71"/>
      <c r="I140" s="71"/>
      <c r="J140" s="646"/>
      <c r="K140" s="71"/>
      <c r="L140" s="71"/>
      <c r="M140" s="71"/>
      <c r="N140" s="71"/>
      <c r="O140" s="71"/>
      <c r="P140" s="71"/>
      <c r="Q140" s="71"/>
      <c r="R140" s="71"/>
      <c r="S140" s="71"/>
      <c r="T140" s="71"/>
    </row>
    <row r="141" spans="1:20">
      <c r="A141" s="71"/>
      <c r="B141" s="71"/>
      <c r="C141" s="71"/>
      <c r="D141" s="71"/>
      <c r="E141" s="71"/>
      <c r="F141" s="71"/>
      <c r="G141" s="643"/>
      <c r="H141" s="71"/>
      <c r="I141" s="71"/>
      <c r="J141" s="646"/>
      <c r="K141" s="71"/>
      <c r="L141" s="71"/>
      <c r="M141" s="71"/>
      <c r="N141" s="71"/>
      <c r="O141" s="71"/>
      <c r="P141" s="71"/>
      <c r="Q141" s="71"/>
      <c r="R141" s="71"/>
      <c r="S141" s="71"/>
      <c r="T141" s="71"/>
    </row>
    <row r="142" spans="1:20">
      <c r="A142" s="71"/>
      <c r="B142" s="71"/>
      <c r="C142" s="71"/>
      <c r="D142" s="71"/>
      <c r="E142" s="71"/>
      <c r="F142" s="71"/>
      <c r="G142" s="643"/>
      <c r="H142" s="71"/>
      <c r="I142" s="71"/>
      <c r="J142" s="646"/>
      <c r="K142" s="71"/>
      <c r="L142" s="71"/>
      <c r="M142" s="71"/>
      <c r="N142" s="71"/>
      <c r="O142" s="71"/>
      <c r="P142" s="71"/>
      <c r="Q142" s="71"/>
      <c r="R142" s="71"/>
      <c r="S142" s="71"/>
      <c r="T142" s="71"/>
    </row>
    <row r="143" spans="1:20">
      <c r="A143" s="71"/>
      <c r="B143" s="71"/>
      <c r="C143" s="71"/>
      <c r="D143" s="71"/>
      <c r="E143" s="71"/>
      <c r="F143" s="71"/>
      <c r="G143" s="643"/>
      <c r="H143" s="71"/>
      <c r="I143" s="71"/>
      <c r="J143" s="646"/>
      <c r="K143" s="71"/>
      <c r="L143" s="71"/>
      <c r="M143" s="71"/>
      <c r="N143" s="71"/>
      <c r="O143" s="71"/>
      <c r="P143" s="71"/>
      <c r="Q143" s="71"/>
      <c r="R143" s="71"/>
      <c r="S143" s="71"/>
      <c r="T143" s="71"/>
    </row>
    <row r="144" spans="1:20">
      <c r="A144" s="71"/>
      <c r="B144" s="71"/>
      <c r="C144" s="71"/>
      <c r="D144" s="71"/>
      <c r="E144" s="71"/>
      <c r="F144" s="71"/>
      <c r="G144" s="643"/>
      <c r="H144" s="71"/>
      <c r="I144" s="71"/>
      <c r="J144" s="646"/>
      <c r="K144" s="71"/>
      <c r="L144" s="71"/>
      <c r="M144" s="71"/>
      <c r="N144" s="71"/>
      <c r="O144" s="71"/>
      <c r="P144" s="71"/>
      <c r="Q144" s="71"/>
      <c r="R144" s="71"/>
      <c r="S144" s="71"/>
      <c r="T144" s="71"/>
    </row>
    <row r="145" spans="1:20">
      <c r="A145" s="71"/>
      <c r="B145" s="71"/>
      <c r="C145" s="71"/>
      <c r="D145" s="71"/>
      <c r="E145" s="71"/>
      <c r="F145" s="71"/>
      <c r="G145" s="643"/>
      <c r="H145" s="71"/>
      <c r="I145" s="71"/>
      <c r="J145" s="646"/>
      <c r="K145" s="71"/>
      <c r="L145" s="71"/>
      <c r="M145" s="71"/>
      <c r="N145" s="71"/>
      <c r="O145" s="71"/>
      <c r="P145" s="71"/>
      <c r="Q145" s="71"/>
      <c r="R145" s="71"/>
      <c r="S145" s="71"/>
      <c r="T145" s="71"/>
    </row>
    <row r="146" spans="1:20">
      <c r="A146" s="71"/>
      <c r="B146" s="71"/>
      <c r="C146" s="71"/>
      <c r="D146" s="71"/>
      <c r="E146" s="71"/>
      <c r="F146" s="71"/>
      <c r="G146" s="643"/>
      <c r="H146" s="71"/>
      <c r="I146" s="71"/>
      <c r="J146" s="646"/>
      <c r="K146" s="71"/>
      <c r="L146" s="71"/>
      <c r="M146" s="71"/>
      <c r="N146" s="71"/>
      <c r="O146" s="71"/>
      <c r="P146" s="71"/>
      <c r="Q146" s="71"/>
      <c r="R146" s="71"/>
      <c r="S146" s="71"/>
      <c r="T146" s="71"/>
    </row>
    <row r="147" spans="1:20">
      <c r="A147" s="71"/>
      <c r="B147" s="71"/>
      <c r="C147" s="71"/>
      <c r="D147" s="71"/>
      <c r="E147" s="71"/>
      <c r="F147" s="71"/>
      <c r="G147" s="643"/>
      <c r="H147" s="71"/>
      <c r="I147" s="71"/>
      <c r="J147" s="646"/>
      <c r="K147" s="71"/>
      <c r="L147" s="71"/>
      <c r="M147" s="71"/>
      <c r="N147" s="71"/>
      <c r="O147" s="71"/>
      <c r="P147" s="71"/>
      <c r="Q147" s="71"/>
      <c r="R147" s="71"/>
      <c r="S147" s="71"/>
      <c r="T147" s="71"/>
    </row>
    <row r="148" spans="1:20">
      <c r="A148" s="71"/>
      <c r="B148" s="71"/>
      <c r="C148" s="71"/>
      <c r="D148" s="71"/>
      <c r="E148" s="71"/>
      <c r="F148" s="71"/>
      <c r="G148" s="643"/>
      <c r="H148" s="71"/>
      <c r="I148" s="71"/>
      <c r="J148" s="646"/>
      <c r="K148" s="71"/>
      <c r="L148" s="71"/>
      <c r="M148" s="71"/>
      <c r="N148" s="71"/>
      <c r="O148" s="71"/>
      <c r="P148" s="71"/>
      <c r="Q148" s="71"/>
      <c r="R148" s="71"/>
      <c r="S148" s="71"/>
      <c r="T148" s="71"/>
    </row>
    <row r="149" spans="1:20">
      <c r="A149" s="71"/>
      <c r="B149" s="71"/>
      <c r="C149" s="71"/>
      <c r="D149" s="71"/>
      <c r="E149" s="71"/>
      <c r="F149" s="71"/>
      <c r="G149" s="643"/>
      <c r="H149" s="71"/>
      <c r="I149" s="71"/>
      <c r="J149" s="646"/>
      <c r="K149" s="71"/>
      <c r="L149" s="71"/>
      <c r="M149" s="71"/>
      <c r="N149" s="71"/>
      <c r="O149" s="71"/>
      <c r="P149" s="71"/>
      <c r="Q149" s="71"/>
      <c r="R149" s="71"/>
      <c r="S149" s="71"/>
      <c r="T149" s="71"/>
    </row>
    <row r="150" spans="1:20">
      <c r="A150" s="71"/>
      <c r="B150" s="71"/>
      <c r="C150" s="71"/>
      <c r="D150" s="71"/>
      <c r="E150" s="71"/>
      <c r="F150" s="71"/>
      <c r="G150" s="643"/>
      <c r="H150" s="71"/>
      <c r="I150" s="71"/>
      <c r="J150" s="646"/>
      <c r="K150" s="71"/>
      <c r="L150" s="71"/>
      <c r="M150" s="71"/>
      <c r="N150" s="71"/>
      <c r="O150" s="71"/>
      <c r="P150" s="71"/>
      <c r="Q150" s="71"/>
      <c r="R150" s="71"/>
      <c r="S150" s="71"/>
      <c r="T150" s="71"/>
    </row>
  </sheetData>
  <sheetProtection algorithmName="SHA-512" hashValue="2WI83gPT2xb7hgv3doemgey2tVQcVzq6zPY9Sk4wzJCAf8vCuMfazX9H7ZWHKI4C8cXirHPPL+A4xyrIc7le7w==" saltValue="HqeKxQQDf9MUJP0bsDf2cg==" spinCount="100000" sheet="1" objects="1" scenarios="1" formatCells="0"/>
  <protectedRanges>
    <protectedRange sqref="B13:C97 E11:J97 K11:T12 A9:T9 A10:C12 E10:T10 D10:D97" name="Edit"/>
  </protectedRanges>
  <mergeCells count="9">
    <mergeCell ref="I5:I8"/>
    <mergeCell ref="J5:J8"/>
    <mergeCell ref="B5:B8"/>
    <mergeCell ref="C7:D7"/>
    <mergeCell ref="A1:E1"/>
    <mergeCell ref="A2:E2"/>
    <mergeCell ref="C5:C6"/>
    <mergeCell ref="G5:G8"/>
    <mergeCell ref="H5:H8"/>
  </mergeCells>
  <dataValidations count="3">
    <dataValidation type="list" allowBlank="1" showInputMessage="1" showErrorMessage="1" sqref="I9:I97">
      <formula1>TMDCRStatus</formula1>
    </dataValidation>
    <dataValidation type="list" allowBlank="1" showInputMessage="1" showErrorMessage="1" sqref="D9:D97">
      <formula1>TMDCRType</formula1>
    </dataValidation>
    <dataValidation type="list" allowBlank="1" showInputMessage="1" showErrorMessage="1" sqref="G9:G97">
      <formula1>TMDCRApproval</formula1>
    </dataValidation>
  </dataValidations>
  <pageMargins left="0.70866141732283472" right="0.70866141732283472" top="0.74803149606299213" bottom="0.74803149606299213" header="0.31496062992125984" footer="0.31496062992125984"/>
  <pageSetup paperSize="9" scale="80" fitToHeight="0" orientation="portrait" r:id="rId1"/>
  <colBreaks count="1" manualBreakCount="1">
    <brk id="10" max="1048575" man="1"/>
  </colBreaks>
  <customProperties>
    <customPr name="Gu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tabColor rgb="FF9BBB59"/>
    <pageSetUpPr fitToPage="1"/>
  </sheetPr>
  <dimension ref="A1:AH52"/>
  <sheetViews>
    <sheetView zoomScale="70" zoomScaleNormal="70" zoomScaleSheetLayoutView="55" workbookViewId="0">
      <pane xSplit="1" ySplit="5" topLeftCell="B6" activePane="bottomRight" state="frozen"/>
      <selection activeCell="J21" sqref="J21"/>
      <selection pane="topRight" activeCell="J21" sqref="J21"/>
      <selection pane="bottomLeft" activeCell="J21" sqref="J21"/>
      <selection pane="bottomRight" activeCell="B3" sqref="B3"/>
    </sheetView>
  </sheetViews>
  <sheetFormatPr defaultColWidth="11.44140625" defaultRowHeight="13.8"/>
  <cols>
    <col min="1" max="1" width="12.44140625" style="126" customWidth="1"/>
    <col min="2" max="2" width="5.6640625" style="126" customWidth="1"/>
    <col min="3" max="4" width="11.44140625" style="126" customWidth="1"/>
    <col min="5" max="6" width="11.44140625" style="126"/>
    <col min="7" max="7" width="5.6640625" style="126" customWidth="1"/>
    <col min="8" max="11" width="11.44140625" style="126"/>
    <col min="12" max="12" width="5.6640625" style="126" customWidth="1"/>
    <col min="13" max="16" width="11.44140625" style="126"/>
    <col min="17" max="17" width="5.88671875" style="126" customWidth="1"/>
    <col min="18" max="16384" width="11.44140625" style="126"/>
  </cols>
  <sheetData>
    <row r="1" spans="1:32" s="153" customFormat="1" ht="21">
      <c r="B1" s="823" t="str">
        <f>MDProjektname</f>
        <v>Migration GEFI</v>
      </c>
      <c r="C1" s="824"/>
      <c r="D1" s="824"/>
      <c r="E1" s="824"/>
      <c r="F1" s="825"/>
      <c r="G1" s="126"/>
      <c r="H1" s="126"/>
      <c r="I1" s="126"/>
      <c r="J1" s="126"/>
      <c r="K1" s="126"/>
      <c r="L1" s="126"/>
      <c r="R1" s="126"/>
      <c r="S1" s="126"/>
      <c r="T1" s="126"/>
    </row>
    <row r="2" spans="1:32" s="153" customFormat="1" ht="26.25" customHeight="1" thickBot="1">
      <c r="B2" s="826" t="str">
        <f>MDCustomer</f>
        <v>OFISA</v>
      </c>
      <c r="C2" s="827"/>
      <c r="D2" s="827"/>
      <c r="E2" s="827"/>
      <c r="F2" s="828"/>
      <c r="I2" s="126"/>
      <c r="J2" s="126"/>
      <c r="K2" s="193" t="s">
        <v>1494</v>
      </c>
      <c r="L2" s="126"/>
      <c r="R2" s="126"/>
      <c r="S2" s="126"/>
      <c r="T2" s="126"/>
    </row>
    <row r="3" spans="1:32" s="153" customFormat="1" ht="26.25" customHeight="1">
      <c r="A3" s="126"/>
      <c r="B3" s="126"/>
      <c r="C3" s="126"/>
      <c r="D3" s="126"/>
      <c r="E3" s="126"/>
      <c r="F3" s="126"/>
      <c r="I3" s="126"/>
      <c r="J3" s="126"/>
      <c r="K3" s="154" t="s">
        <v>1516</v>
      </c>
      <c r="L3" s="126"/>
      <c r="M3" s="126"/>
      <c r="N3" s="126"/>
      <c r="O3" s="126"/>
      <c r="P3" s="126"/>
      <c r="Q3" s="126"/>
      <c r="R3" s="126"/>
      <c r="S3" s="126"/>
      <c r="T3" s="126"/>
    </row>
    <row r="4" spans="1:32" s="153" customFormat="1" ht="15" customHeight="1">
      <c r="A4" s="126"/>
      <c r="B4" s="126"/>
      <c r="C4" s="126"/>
      <c r="D4" s="126"/>
      <c r="E4" s="126"/>
      <c r="F4" s="126"/>
      <c r="G4" s="126"/>
      <c r="H4" s="126"/>
      <c r="I4" s="126"/>
      <c r="J4" s="126"/>
      <c r="K4" s="126"/>
      <c r="L4" s="126"/>
      <c r="M4" s="126"/>
      <c r="N4" s="126"/>
      <c r="O4" s="126"/>
      <c r="P4" s="126"/>
      <c r="Q4" s="126"/>
      <c r="R4" s="126"/>
      <c r="S4" s="126"/>
      <c r="T4" s="126"/>
    </row>
    <row r="5" spans="1:32" ht="27.6">
      <c r="A5" s="453" t="s">
        <v>245</v>
      </c>
      <c r="B5" s="1246" t="s">
        <v>1097</v>
      </c>
      <c r="C5" s="1247"/>
      <c r="D5" s="1247"/>
      <c r="E5" s="1247"/>
      <c r="F5" s="1248"/>
      <c r="G5" s="1246" t="s">
        <v>1325</v>
      </c>
      <c r="H5" s="1247"/>
      <c r="I5" s="1247"/>
      <c r="J5" s="1247"/>
      <c r="K5" s="1248"/>
      <c r="L5" s="1246" t="s">
        <v>1324</v>
      </c>
      <c r="M5" s="1247"/>
      <c r="N5" s="1247"/>
      <c r="O5" s="1247"/>
      <c r="P5" s="1248"/>
      <c r="Q5" s="1252" t="s">
        <v>1326</v>
      </c>
      <c r="R5" s="1253"/>
      <c r="S5" s="1253"/>
      <c r="T5" s="1253"/>
      <c r="U5" s="1249" t="s">
        <v>1327</v>
      </c>
      <c r="V5" s="1250"/>
      <c r="W5" s="1250"/>
      <c r="X5" s="1251"/>
      <c r="Y5" s="1249" t="s">
        <v>247</v>
      </c>
      <c r="Z5" s="1250"/>
      <c r="AA5" s="1250"/>
      <c r="AB5" s="1251"/>
      <c r="AC5" s="1252" t="s">
        <v>248</v>
      </c>
      <c r="AD5" s="1253"/>
      <c r="AE5" s="1253"/>
      <c r="AF5" s="1253"/>
    </row>
    <row r="6" spans="1:32" ht="74.25" customHeight="1">
      <c r="A6" s="655">
        <f>INDEX(MDReportingDates,1,1)</f>
        <v>41774</v>
      </c>
      <c r="B6" s="648"/>
      <c r="C6" s="1243"/>
      <c r="D6" s="1244"/>
      <c r="E6" s="1244"/>
      <c r="F6" s="1245"/>
      <c r="G6" s="648"/>
      <c r="H6" s="1243"/>
      <c r="I6" s="1244"/>
      <c r="J6" s="1244"/>
      <c r="K6" s="1245"/>
      <c r="L6" s="648"/>
      <c r="M6" s="1243"/>
      <c r="N6" s="1244"/>
      <c r="O6" s="1244"/>
      <c r="P6" s="1245"/>
      <c r="Q6" s="648"/>
      <c r="R6" s="1243"/>
      <c r="S6" s="1244"/>
      <c r="T6" s="1245"/>
      <c r="U6" s="1243"/>
      <c r="V6" s="1244"/>
      <c r="W6" s="1244"/>
      <c r="X6" s="1245"/>
      <c r="Y6" s="1243"/>
      <c r="Z6" s="1244"/>
      <c r="AA6" s="1244"/>
      <c r="AB6" s="1245"/>
      <c r="AC6" s="1243"/>
      <c r="AD6" s="1244"/>
      <c r="AE6" s="1244"/>
      <c r="AF6" s="1245"/>
    </row>
    <row r="7" spans="1:32" ht="74.25" customHeight="1">
      <c r="A7" s="655">
        <f>INDEX(MDReportingDates,1,2)</f>
        <v>41788</v>
      </c>
      <c r="B7" s="648"/>
      <c r="C7" s="1243"/>
      <c r="D7" s="1244"/>
      <c r="E7" s="1244"/>
      <c r="F7" s="1245"/>
      <c r="G7" s="648"/>
      <c r="H7" s="1243"/>
      <c r="I7" s="1244"/>
      <c r="J7" s="1244"/>
      <c r="K7" s="1245"/>
      <c r="L7" s="648"/>
      <c r="M7" s="1243"/>
      <c r="N7" s="1244"/>
      <c r="O7" s="1244"/>
      <c r="P7" s="1245"/>
      <c r="Q7" s="648"/>
      <c r="R7" s="1243"/>
      <c r="S7" s="1244"/>
      <c r="T7" s="1245"/>
      <c r="U7" s="1243"/>
      <c r="V7" s="1244"/>
      <c r="W7" s="1244"/>
      <c r="X7" s="1245"/>
      <c r="Y7" s="1243"/>
      <c r="Z7" s="1244"/>
      <c r="AA7" s="1244"/>
      <c r="AB7" s="1245"/>
      <c r="AC7" s="1243"/>
      <c r="AD7" s="1244"/>
      <c r="AE7" s="1244"/>
      <c r="AF7" s="1245"/>
    </row>
    <row r="8" spans="1:32" ht="74.25" customHeight="1">
      <c r="A8" s="655">
        <f>INDEX(MDReportingDates,1,3)</f>
        <v>41802</v>
      </c>
      <c r="B8" s="648"/>
      <c r="C8" s="1243"/>
      <c r="D8" s="1244"/>
      <c r="E8" s="1244"/>
      <c r="F8" s="1245"/>
      <c r="G8" s="648"/>
      <c r="H8" s="1243"/>
      <c r="I8" s="1244"/>
      <c r="J8" s="1244"/>
      <c r="K8" s="1245"/>
      <c r="L8" s="648"/>
      <c r="M8" s="1243"/>
      <c r="N8" s="1244"/>
      <c r="O8" s="1244"/>
      <c r="P8" s="1245"/>
      <c r="Q8" s="648"/>
      <c r="R8" s="1243"/>
      <c r="S8" s="1244"/>
      <c r="T8" s="1245"/>
      <c r="U8" s="1243"/>
      <c r="V8" s="1244"/>
      <c r="W8" s="1244"/>
      <c r="X8" s="1245"/>
      <c r="Y8" s="1243"/>
      <c r="Z8" s="1244"/>
      <c r="AA8" s="1244"/>
      <c r="AB8" s="1245"/>
      <c r="AC8" s="1243"/>
      <c r="AD8" s="1244"/>
      <c r="AE8" s="1244"/>
      <c r="AF8" s="1245"/>
    </row>
    <row r="9" spans="1:32" ht="74.25" customHeight="1">
      <c r="A9" s="655">
        <f>INDEX(MDReportingDates,1,4)</f>
        <v>41816</v>
      </c>
      <c r="B9" s="648"/>
      <c r="C9" s="1243"/>
      <c r="D9" s="1244"/>
      <c r="E9" s="1244"/>
      <c r="F9" s="1245"/>
      <c r="G9" s="648"/>
      <c r="H9" s="1243"/>
      <c r="I9" s="1244"/>
      <c r="J9" s="1244"/>
      <c r="K9" s="1245"/>
      <c r="L9" s="648"/>
      <c r="M9" s="1243"/>
      <c r="N9" s="1244"/>
      <c r="O9" s="1244"/>
      <c r="P9" s="1245"/>
      <c r="Q9" s="648"/>
      <c r="R9" s="1243"/>
      <c r="S9" s="1244"/>
      <c r="T9" s="1245"/>
      <c r="U9" s="1243"/>
      <c r="V9" s="1244"/>
      <c r="W9" s="1244"/>
      <c r="X9" s="1245"/>
      <c r="Y9" s="1243"/>
      <c r="Z9" s="1244"/>
      <c r="AA9" s="1244"/>
      <c r="AB9" s="1245"/>
      <c r="AC9" s="1243"/>
      <c r="AD9" s="1244"/>
      <c r="AE9" s="1244"/>
      <c r="AF9" s="1245"/>
    </row>
    <row r="10" spans="1:32" ht="74.25" customHeight="1">
      <c r="A10" s="655">
        <f>INDEX(MDReportingDates,1,5)</f>
        <v>41830</v>
      </c>
      <c r="B10" s="648"/>
      <c r="C10" s="1243"/>
      <c r="D10" s="1244"/>
      <c r="E10" s="1244"/>
      <c r="F10" s="1245"/>
      <c r="G10" s="648"/>
      <c r="H10" s="1243"/>
      <c r="I10" s="1244"/>
      <c r="J10" s="1244"/>
      <c r="K10" s="1245"/>
      <c r="L10" s="648"/>
      <c r="M10" s="1243"/>
      <c r="N10" s="1244"/>
      <c r="O10" s="1244"/>
      <c r="P10" s="1245"/>
      <c r="Q10" s="648"/>
      <c r="R10" s="1243"/>
      <c r="S10" s="1244"/>
      <c r="T10" s="1245"/>
      <c r="U10" s="1243"/>
      <c r="V10" s="1244"/>
      <c r="W10" s="1244"/>
      <c r="X10" s="1245"/>
      <c r="Y10" s="1243"/>
      <c r="Z10" s="1244"/>
      <c r="AA10" s="1244"/>
      <c r="AB10" s="1245"/>
      <c r="AC10" s="1243"/>
      <c r="AD10" s="1244"/>
      <c r="AE10" s="1244"/>
      <c r="AF10" s="1245"/>
    </row>
    <row r="11" spans="1:32" ht="74.25" customHeight="1">
      <c r="A11" s="655">
        <f>INDEX(MDReportingDates,1,6)</f>
        <v>41844</v>
      </c>
      <c r="B11" s="648"/>
      <c r="C11" s="1243"/>
      <c r="D11" s="1244"/>
      <c r="E11" s="1244"/>
      <c r="F11" s="1245"/>
      <c r="G11" s="648"/>
      <c r="H11" s="1243"/>
      <c r="I11" s="1244"/>
      <c r="J11" s="1244"/>
      <c r="K11" s="1245"/>
      <c r="L11" s="648"/>
      <c r="M11" s="1243"/>
      <c r="N11" s="1244"/>
      <c r="O11" s="1244"/>
      <c r="P11" s="1245"/>
      <c r="Q11" s="648"/>
      <c r="R11" s="1243"/>
      <c r="S11" s="1244"/>
      <c r="T11" s="1245"/>
      <c r="U11" s="1243"/>
      <c r="V11" s="1244"/>
      <c r="W11" s="1244"/>
      <c r="X11" s="1245"/>
      <c r="Y11" s="1243"/>
      <c r="Z11" s="1244"/>
      <c r="AA11" s="1244"/>
      <c r="AB11" s="1245"/>
      <c r="AC11" s="1243"/>
      <c r="AD11" s="1244"/>
      <c r="AE11" s="1244"/>
      <c r="AF11" s="1245"/>
    </row>
    <row r="12" spans="1:32" ht="74.25" customHeight="1">
      <c r="A12" s="655">
        <f>INDEX(MDReportingDates,1,7)</f>
        <v>41858</v>
      </c>
      <c r="B12" s="648"/>
      <c r="C12" s="1243"/>
      <c r="D12" s="1244"/>
      <c r="E12" s="1244"/>
      <c r="F12" s="1245"/>
      <c r="G12" s="648"/>
      <c r="H12" s="1243"/>
      <c r="I12" s="1244"/>
      <c r="J12" s="1244"/>
      <c r="K12" s="1245"/>
      <c r="L12" s="648"/>
      <c r="M12" s="1243"/>
      <c r="N12" s="1244"/>
      <c r="O12" s="1244"/>
      <c r="P12" s="1245"/>
      <c r="Q12" s="648"/>
      <c r="R12" s="1243"/>
      <c r="S12" s="1244"/>
      <c r="T12" s="1245"/>
      <c r="U12" s="1243"/>
      <c r="V12" s="1244"/>
      <c r="W12" s="1244"/>
      <c r="X12" s="1245"/>
      <c r="Y12" s="1243"/>
      <c r="Z12" s="1244"/>
      <c r="AA12" s="1244"/>
      <c r="AB12" s="1245"/>
      <c r="AC12" s="1243"/>
      <c r="AD12" s="1244"/>
      <c r="AE12" s="1244"/>
      <c r="AF12" s="1245"/>
    </row>
    <row r="13" spans="1:32" ht="74.25" customHeight="1">
      <c r="A13" s="655">
        <f>INDEX(MDReportingDates,1,8)</f>
        <v>41872</v>
      </c>
      <c r="B13" s="648"/>
      <c r="C13" s="1243"/>
      <c r="D13" s="1244"/>
      <c r="E13" s="1244"/>
      <c r="F13" s="1245"/>
      <c r="G13" s="648"/>
      <c r="H13" s="1243"/>
      <c r="I13" s="1244"/>
      <c r="J13" s="1244"/>
      <c r="K13" s="1245"/>
      <c r="L13" s="648"/>
      <c r="M13" s="1243"/>
      <c r="N13" s="1244"/>
      <c r="O13" s="1244"/>
      <c r="P13" s="1245"/>
      <c r="Q13" s="648"/>
      <c r="R13" s="1243"/>
      <c r="S13" s="1244"/>
      <c r="T13" s="1245"/>
      <c r="U13" s="1243"/>
      <c r="V13" s="1244"/>
      <c r="W13" s="1244"/>
      <c r="X13" s="1245"/>
      <c r="Y13" s="1243"/>
      <c r="Z13" s="1244"/>
      <c r="AA13" s="1244"/>
      <c r="AB13" s="1245"/>
      <c r="AC13" s="1243"/>
      <c r="AD13" s="1244"/>
      <c r="AE13" s="1244"/>
      <c r="AF13" s="1245"/>
    </row>
    <row r="14" spans="1:32" ht="74.25" customHeight="1">
      <c r="A14" s="655">
        <f>INDEX(MDReportingDates,1,9)</f>
        <v>41886</v>
      </c>
      <c r="B14" s="648"/>
      <c r="C14" s="1243"/>
      <c r="D14" s="1244"/>
      <c r="E14" s="1244"/>
      <c r="F14" s="1245"/>
      <c r="G14" s="648"/>
      <c r="H14" s="1243"/>
      <c r="I14" s="1244"/>
      <c r="J14" s="1244"/>
      <c r="K14" s="1245"/>
      <c r="L14" s="648"/>
      <c r="M14" s="1243"/>
      <c r="N14" s="1244"/>
      <c r="O14" s="1244"/>
      <c r="P14" s="1245"/>
      <c r="Q14" s="648"/>
      <c r="R14" s="1243"/>
      <c r="S14" s="1244"/>
      <c r="T14" s="1245"/>
      <c r="U14" s="1243"/>
      <c r="V14" s="1244"/>
      <c r="W14" s="1244"/>
      <c r="X14" s="1245"/>
      <c r="Y14" s="1243"/>
      <c r="Z14" s="1244"/>
      <c r="AA14" s="1244"/>
      <c r="AB14" s="1245"/>
      <c r="AC14" s="1243"/>
      <c r="AD14" s="1244"/>
      <c r="AE14" s="1244"/>
      <c r="AF14" s="1245"/>
    </row>
    <row r="15" spans="1:32" ht="74.25" customHeight="1">
      <c r="A15" s="656">
        <f>INDEX(MDReportingDates,1,10)</f>
        <v>41900</v>
      </c>
      <c r="B15" s="648"/>
      <c r="C15" s="1243"/>
      <c r="D15" s="1244"/>
      <c r="E15" s="1244"/>
      <c r="F15" s="1245"/>
      <c r="G15" s="648"/>
      <c r="H15" s="1243"/>
      <c r="I15" s="1244"/>
      <c r="J15" s="1244"/>
      <c r="K15" s="1245"/>
      <c r="L15" s="648"/>
      <c r="M15" s="1243"/>
      <c r="N15" s="1244"/>
      <c r="O15" s="1244"/>
      <c r="P15" s="1245"/>
      <c r="Q15" s="648"/>
      <c r="R15" s="1243"/>
      <c r="S15" s="1244"/>
      <c r="T15" s="1245"/>
      <c r="U15" s="1243"/>
      <c r="V15" s="1244"/>
      <c r="W15" s="1244"/>
      <c r="X15" s="1245"/>
      <c r="Y15" s="1243"/>
      <c r="Z15" s="1244"/>
      <c r="AA15" s="1244"/>
      <c r="AB15" s="1245"/>
      <c r="AC15" s="1243"/>
      <c r="AD15" s="1244"/>
      <c r="AE15" s="1244"/>
      <c r="AF15" s="1245"/>
    </row>
    <row r="16" spans="1:32" ht="74.25" customHeight="1">
      <c r="A16" s="655">
        <f>INDEX(MDReportingDates,1,11)</f>
        <v>41914</v>
      </c>
      <c r="B16" s="648"/>
      <c r="C16" s="1243"/>
      <c r="D16" s="1244"/>
      <c r="E16" s="1244"/>
      <c r="F16" s="1245"/>
      <c r="G16" s="648"/>
      <c r="H16" s="1243"/>
      <c r="I16" s="1244"/>
      <c r="J16" s="1244"/>
      <c r="K16" s="1245"/>
      <c r="L16" s="648"/>
      <c r="M16" s="1243"/>
      <c r="N16" s="1244"/>
      <c r="O16" s="1244"/>
      <c r="P16" s="1245"/>
      <c r="Q16" s="648"/>
      <c r="R16" s="1243"/>
      <c r="S16" s="1244"/>
      <c r="T16" s="1245"/>
      <c r="U16" s="1243"/>
      <c r="V16" s="1244"/>
      <c r="W16" s="1244"/>
      <c r="X16" s="1245"/>
      <c r="Y16" s="1243"/>
      <c r="Z16" s="1244"/>
      <c r="AA16" s="1244"/>
      <c r="AB16" s="1245"/>
      <c r="AC16" s="1243"/>
      <c r="AD16" s="1244"/>
      <c r="AE16" s="1244"/>
      <c r="AF16" s="1245"/>
    </row>
    <row r="17" spans="1:32" ht="74.25" customHeight="1">
      <c r="A17" s="655">
        <f>INDEX(MDReportingDates,1,12)</f>
        <v>41928</v>
      </c>
      <c r="B17" s="648"/>
      <c r="C17" s="1243"/>
      <c r="D17" s="1244"/>
      <c r="E17" s="1244"/>
      <c r="F17" s="1245"/>
      <c r="G17" s="648"/>
      <c r="H17" s="1243"/>
      <c r="I17" s="1244"/>
      <c r="J17" s="1244"/>
      <c r="K17" s="1245"/>
      <c r="L17" s="648"/>
      <c r="M17" s="1243"/>
      <c r="N17" s="1244"/>
      <c r="O17" s="1244"/>
      <c r="P17" s="1245"/>
      <c r="Q17" s="648"/>
      <c r="R17" s="1243"/>
      <c r="S17" s="1244"/>
      <c r="T17" s="1245"/>
      <c r="U17" s="1243"/>
      <c r="V17" s="1244"/>
      <c r="W17" s="1244"/>
      <c r="X17" s="1245"/>
      <c r="Y17" s="1243"/>
      <c r="Z17" s="1244"/>
      <c r="AA17" s="1244"/>
      <c r="AB17" s="1245"/>
      <c r="AC17" s="1243"/>
      <c r="AD17" s="1244"/>
      <c r="AE17" s="1244"/>
      <c r="AF17" s="1245"/>
    </row>
    <row r="18" spans="1:32" ht="74.25" customHeight="1">
      <c r="A18" s="655">
        <f>INDEX(MDReportingDates,1,13)</f>
        <v>41942</v>
      </c>
      <c r="B18" s="648"/>
      <c r="C18" s="1243"/>
      <c r="D18" s="1244"/>
      <c r="E18" s="1244"/>
      <c r="F18" s="1245"/>
      <c r="G18" s="648"/>
      <c r="H18" s="1243"/>
      <c r="I18" s="1244"/>
      <c r="J18" s="1244"/>
      <c r="K18" s="1245"/>
      <c r="L18" s="648"/>
      <c r="M18" s="1243"/>
      <c r="N18" s="1244"/>
      <c r="O18" s="1244"/>
      <c r="P18" s="1245"/>
      <c r="Q18" s="648"/>
      <c r="R18" s="1243"/>
      <c r="S18" s="1244"/>
      <c r="T18" s="1245"/>
      <c r="U18" s="1243"/>
      <c r="V18" s="1244"/>
      <c r="W18" s="1244"/>
      <c r="X18" s="1245"/>
      <c r="Y18" s="1243"/>
      <c r="Z18" s="1244"/>
      <c r="AA18" s="1244"/>
      <c r="AB18" s="1245"/>
      <c r="AC18" s="1243"/>
      <c r="AD18" s="1244"/>
      <c r="AE18" s="1244"/>
      <c r="AF18" s="1245"/>
    </row>
    <row r="19" spans="1:32" ht="74.25" customHeight="1">
      <c r="A19" s="655">
        <f>INDEX(MDReportingDates,1,14)</f>
        <v>41956</v>
      </c>
      <c r="B19" s="648"/>
      <c r="C19" s="1243"/>
      <c r="D19" s="1244"/>
      <c r="E19" s="1244"/>
      <c r="F19" s="1245"/>
      <c r="G19" s="648"/>
      <c r="H19" s="1243"/>
      <c r="I19" s="1244"/>
      <c r="J19" s="1244"/>
      <c r="K19" s="1245"/>
      <c r="L19" s="648"/>
      <c r="M19" s="1243"/>
      <c r="N19" s="1244"/>
      <c r="O19" s="1244"/>
      <c r="P19" s="1245"/>
      <c r="Q19" s="648"/>
      <c r="R19" s="1243"/>
      <c r="S19" s="1244"/>
      <c r="T19" s="1245"/>
      <c r="U19" s="1243"/>
      <c r="V19" s="1244"/>
      <c r="W19" s="1244"/>
      <c r="X19" s="1245"/>
      <c r="Y19" s="1243"/>
      <c r="Z19" s="1244"/>
      <c r="AA19" s="1244"/>
      <c r="AB19" s="1245"/>
      <c r="AC19" s="1243"/>
      <c r="AD19" s="1244"/>
      <c r="AE19" s="1244"/>
      <c r="AF19" s="1245"/>
    </row>
    <row r="20" spans="1:32" ht="74.25" customHeight="1">
      <c r="A20" s="655">
        <f>INDEX(MDReportingDates,1,15)</f>
        <v>41970</v>
      </c>
      <c r="B20" s="648"/>
      <c r="C20" s="1243"/>
      <c r="D20" s="1244"/>
      <c r="E20" s="1244"/>
      <c r="F20" s="1245"/>
      <c r="G20" s="648"/>
      <c r="H20" s="1243"/>
      <c r="I20" s="1244"/>
      <c r="J20" s="1244"/>
      <c r="K20" s="1245"/>
      <c r="L20" s="648"/>
      <c r="M20" s="1243"/>
      <c r="N20" s="1244"/>
      <c r="O20" s="1244"/>
      <c r="P20" s="1245"/>
      <c r="Q20" s="648"/>
      <c r="R20" s="1243"/>
      <c r="S20" s="1244"/>
      <c r="T20" s="1245"/>
      <c r="U20" s="1243"/>
      <c r="V20" s="1244"/>
      <c r="W20" s="1244"/>
      <c r="X20" s="1245"/>
      <c r="Y20" s="1243"/>
      <c r="Z20" s="1244"/>
      <c r="AA20" s="1244"/>
      <c r="AB20" s="1245"/>
      <c r="AC20" s="1243"/>
      <c r="AD20" s="1244"/>
      <c r="AE20" s="1244"/>
      <c r="AF20" s="1245"/>
    </row>
    <row r="21" spans="1:32" ht="74.25" customHeight="1">
      <c r="A21" s="655">
        <f>INDEX(MDReportingDates,1,16)</f>
        <v>41984</v>
      </c>
      <c r="B21" s="648"/>
      <c r="C21" s="1243"/>
      <c r="D21" s="1244"/>
      <c r="E21" s="1244"/>
      <c r="F21" s="1245"/>
      <c r="G21" s="648"/>
      <c r="H21" s="1243"/>
      <c r="I21" s="1244"/>
      <c r="J21" s="1244"/>
      <c r="K21" s="1245"/>
      <c r="L21" s="648"/>
      <c r="M21" s="1243"/>
      <c r="N21" s="1244"/>
      <c r="O21" s="1244"/>
      <c r="P21" s="1245"/>
      <c r="Q21" s="648"/>
      <c r="R21" s="1243"/>
      <c r="S21" s="1244"/>
      <c r="T21" s="1245"/>
      <c r="U21" s="1243"/>
      <c r="V21" s="1244"/>
      <c r="W21" s="1244"/>
      <c r="X21" s="1245"/>
      <c r="Y21" s="1243"/>
      <c r="Z21" s="1244"/>
      <c r="AA21" s="1244"/>
      <c r="AB21" s="1245"/>
      <c r="AC21" s="1243"/>
      <c r="AD21" s="1244"/>
      <c r="AE21" s="1244"/>
      <c r="AF21" s="1245"/>
    </row>
    <row r="22" spans="1:32" ht="74.25" customHeight="1">
      <c r="A22" s="655">
        <f>INDEX(MDReportingDates,1,17)</f>
        <v>41998</v>
      </c>
      <c r="B22" s="648"/>
      <c r="C22" s="1243"/>
      <c r="D22" s="1244"/>
      <c r="E22" s="1244"/>
      <c r="F22" s="1245"/>
      <c r="G22" s="648"/>
      <c r="H22" s="1243"/>
      <c r="I22" s="1244"/>
      <c r="J22" s="1244"/>
      <c r="K22" s="1245"/>
      <c r="L22" s="648"/>
      <c r="M22" s="1243"/>
      <c r="N22" s="1244"/>
      <c r="O22" s="1244"/>
      <c r="P22" s="1245"/>
      <c r="Q22" s="648"/>
      <c r="R22" s="1243"/>
      <c r="S22" s="1244"/>
      <c r="T22" s="1245"/>
      <c r="U22" s="1243"/>
      <c r="V22" s="1244"/>
      <c r="W22" s="1244"/>
      <c r="X22" s="1245"/>
      <c r="Y22" s="1243"/>
      <c r="Z22" s="1244"/>
      <c r="AA22" s="1244"/>
      <c r="AB22" s="1245"/>
      <c r="AC22" s="1243"/>
      <c r="AD22" s="1244"/>
      <c r="AE22" s="1244"/>
      <c r="AF22" s="1245"/>
    </row>
    <row r="23" spans="1:32" ht="74.25" customHeight="1">
      <c r="A23" s="655">
        <f>INDEX(MDReportingDates,1,18)</f>
        <v>42012</v>
      </c>
      <c r="B23" s="648"/>
      <c r="C23" s="1243"/>
      <c r="D23" s="1244"/>
      <c r="E23" s="1244"/>
      <c r="F23" s="1245"/>
      <c r="G23" s="648"/>
      <c r="H23" s="1243"/>
      <c r="I23" s="1244"/>
      <c r="J23" s="1244"/>
      <c r="K23" s="1245"/>
      <c r="L23" s="648"/>
      <c r="M23" s="1243"/>
      <c r="N23" s="1244"/>
      <c r="O23" s="1244"/>
      <c r="P23" s="1245"/>
      <c r="Q23" s="648"/>
      <c r="R23" s="1243"/>
      <c r="S23" s="1244"/>
      <c r="T23" s="1245"/>
      <c r="U23" s="1243"/>
      <c r="V23" s="1244"/>
      <c r="W23" s="1244"/>
      <c r="X23" s="1245"/>
      <c r="Y23" s="1243"/>
      <c r="Z23" s="1244"/>
      <c r="AA23" s="1244"/>
      <c r="AB23" s="1245"/>
      <c r="AC23" s="1243"/>
      <c r="AD23" s="1244"/>
      <c r="AE23" s="1244"/>
      <c r="AF23" s="1245"/>
    </row>
    <row r="24" spans="1:32" ht="74.25" customHeight="1">
      <c r="A24" s="655">
        <f>INDEX(MDReportingDates,1,19)</f>
        <v>42026</v>
      </c>
      <c r="B24" s="648"/>
      <c r="C24" s="1243"/>
      <c r="D24" s="1244"/>
      <c r="E24" s="1244"/>
      <c r="F24" s="1245"/>
      <c r="G24" s="648"/>
      <c r="H24" s="1243"/>
      <c r="I24" s="1244"/>
      <c r="J24" s="1244"/>
      <c r="K24" s="1245"/>
      <c r="L24" s="648"/>
      <c r="M24" s="1243"/>
      <c r="N24" s="1244"/>
      <c r="O24" s="1244"/>
      <c r="P24" s="1245"/>
      <c r="Q24" s="648"/>
      <c r="R24" s="1243"/>
      <c r="S24" s="1244"/>
      <c r="T24" s="1245"/>
      <c r="U24" s="1243"/>
      <c r="V24" s="1244"/>
      <c r="W24" s="1244"/>
      <c r="X24" s="1245"/>
      <c r="Y24" s="1243"/>
      <c r="Z24" s="1244"/>
      <c r="AA24" s="1244"/>
      <c r="AB24" s="1245"/>
      <c r="AC24" s="1243"/>
      <c r="AD24" s="1244"/>
      <c r="AE24" s="1244"/>
      <c r="AF24" s="1245"/>
    </row>
    <row r="25" spans="1:32" ht="74.25" customHeight="1">
      <c r="A25" s="655">
        <f>INDEX(MDReportingDates,1,20)</f>
        <v>42040</v>
      </c>
      <c r="B25" s="648"/>
      <c r="C25" s="1243"/>
      <c r="D25" s="1244"/>
      <c r="E25" s="1244"/>
      <c r="F25" s="1245"/>
      <c r="G25" s="648"/>
      <c r="H25" s="1243"/>
      <c r="I25" s="1244"/>
      <c r="J25" s="1244"/>
      <c r="K25" s="1245"/>
      <c r="L25" s="648"/>
      <c r="M25" s="1243"/>
      <c r="N25" s="1244"/>
      <c r="O25" s="1244"/>
      <c r="P25" s="1245"/>
      <c r="Q25" s="648"/>
      <c r="R25" s="1243"/>
      <c r="S25" s="1244"/>
      <c r="T25" s="1245"/>
      <c r="U25" s="1243"/>
      <c r="V25" s="1244"/>
      <c r="W25" s="1244"/>
      <c r="X25" s="1245"/>
      <c r="Y25" s="1243"/>
      <c r="Z25" s="1244"/>
      <c r="AA25" s="1244"/>
      <c r="AB25" s="1245"/>
      <c r="AC25" s="1243"/>
      <c r="AD25" s="1244"/>
      <c r="AE25" s="1244"/>
      <c r="AF25" s="1245"/>
    </row>
    <row r="26" spans="1:32" ht="74.25" customHeight="1">
      <c r="A26" s="655">
        <f>INDEX(MDReportingDates,1,21)</f>
        <v>42054</v>
      </c>
      <c r="B26" s="648"/>
      <c r="C26" s="1243"/>
      <c r="D26" s="1244"/>
      <c r="E26" s="1244"/>
      <c r="F26" s="1245"/>
      <c r="G26" s="648"/>
      <c r="H26" s="1243"/>
      <c r="I26" s="1244"/>
      <c r="J26" s="1244"/>
      <c r="K26" s="1245"/>
      <c r="L26" s="648"/>
      <c r="M26" s="1243"/>
      <c r="N26" s="1244"/>
      <c r="O26" s="1244"/>
      <c r="P26" s="1245"/>
      <c r="Q26" s="648"/>
      <c r="R26" s="1243"/>
      <c r="S26" s="1244"/>
      <c r="T26" s="1245"/>
      <c r="U26" s="1243"/>
      <c r="V26" s="1244"/>
      <c r="W26" s="1244"/>
      <c r="X26" s="1245"/>
      <c r="Y26" s="1243"/>
      <c r="Z26" s="1244"/>
      <c r="AA26" s="1244"/>
      <c r="AB26" s="1245"/>
      <c r="AC26" s="1243"/>
      <c r="AD26" s="1244"/>
      <c r="AE26" s="1244"/>
      <c r="AF26" s="1245"/>
    </row>
    <row r="27" spans="1:32" ht="74.25" customHeight="1">
      <c r="A27" s="655">
        <f>INDEX(MDReportingDates,1,22)</f>
        <v>42068</v>
      </c>
      <c r="B27" s="648"/>
      <c r="C27" s="1243"/>
      <c r="D27" s="1244"/>
      <c r="E27" s="1244"/>
      <c r="F27" s="1245"/>
      <c r="G27" s="648"/>
      <c r="H27" s="1243"/>
      <c r="I27" s="1244"/>
      <c r="J27" s="1244"/>
      <c r="K27" s="1245"/>
      <c r="L27" s="648"/>
      <c r="M27" s="1243"/>
      <c r="N27" s="1244"/>
      <c r="O27" s="1244"/>
      <c r="P27" s="1245"/>
      <c r="Q27" s="648"/>
      <c r="R27" s="1243"/>
      <c r="S27" s="1244"/>
      <c r="T27" s="1245"/>
      <c r="U27" s="1243"/>
      <c r="V27" s="1244"/>
      <c r="W27" s="1244"/>
      <c r="X27" s="1245"/>
      <c r="Y27" s="1243"/>
      <c r="Z27" s="1244"/>
      <c r="AA27" s="1244"/>
      <c r="AB27" s="1245"/>
      <c r="AC27" s="1243"/>
      <c r="AD27" s="1244"/>
      <c r="AE27" s="1244"/>
      <c r="AF27" s="1245"/>
    </row>
    <row r="28" spans="1:32" ht="74.25" customHeight="1">
      <c r="A28" s="655">
        <f>INDEX(MDReportingDates,1,23)</f>
        <v>42082</v>
      </c>
      <c r="B28" s="648"/>
      <c r="C28" s="1243"/>
      <c r="D28" s="1244"/>
      <c r="E28" s="1244"/>
      <c r="F28" s="1245"/>
      <c r="G28" s="648"/>
      <c r="H28" s="1243"/>
      <c r="I28" s="1244"/>
      <c r="J28" s="1244"/>
      <c r="K28" s="1245"/>
      <c r="L28" s="648"/>
      <c r="M28" s="1243"/>
      <c r="N28" s="1244"/>
      <c r="O28" s="1244"/>
      <c r="P28" s="1245"/>
      <c r="Q28" s="648"/>
      <c r="R28" s="1243"/>
      <c r="S28" s="1244"/>
      <c r="T28" s="1245"/>
      <c r="U28" s="1243"/>
      <c r="V28" s="1244"/>
      <c r="W28" s="1244"/>
      <c r="X28" s="1245"/>
      <c r="Y28" s="1243"/>
      <c r="Z28" s="1244"/>
      <c r="AA28" s="1244"/>
      <c r="AB28" s="1245"/>
      <c r="AC28" s="1243"/>
      <c r="AD28" s="1244"/>
      <c r="AE28" s="1244"/>
      <c r="AF28" s="1245"/>
    </row>
    <row r="29" spans="1:32" ht="74.25" customHeight="1">
      <c r="A29" s="655">
        <f>INDEX(MDReportingDates,1,24)</f>
        <v>42096</v>
      </c>
      <c r="B29" s="648"/>
      <c r="C29" s="1243"/>
      <c r="D29" s="1244"/>
      <c r="E29" s="1244"/>
      <c r="F29" s="1245"/>
      <c r="G29" s="648"/>
      <c r="H29" s="1243"/>
      <c r="I29" s="1244"/>
      <c r="J29" s="1244"/>
      <c r="K29" s="1245"/>
      <c r="L29" s="648"/>
      <c r="M29" s="1243"/>
      <c r="N29" s="1244"/>
      <c r="O29" s="1244"/>
      <c r="P29" s="1245"/>
      <c r="Q29" s="648"/>
      <c r="R29" s="1243"/>
      <c r="S29" s="1244"/>
      <c r="T29" s="1245"/>
      <c r="U29" s="1243"/>
      <c r="V29" s="1244"/>
      <c r="W29" s="1244"/>
      <c r="X29" s="1245"/>
      <c r="Y29" s="1243"/>
      <c r="Z29" s="1244"/>
      <c r="AA29" s="1244"/>
      <c r="AB29" s="1245"/>
      <c r="AC29" s="1243"/>
      <c r="AD29" s="1244"/>
      <c r="AE29" s="1244"/>
      <c r="AF29" s="1245"/>
    </row>
    <row r="30" spans="1:32" ht="74.25" customHeight="1">
      <c r="A30" s="655">
        <f>INDEX(MDReportingDates,1,25)</f>
        <v>42110</v>
      </c>
      <c r="B30" s="648"/>
      <c r="C30" s="1243"/>
      <c r="D30" s="1244"/>
      <c r="E30" s="1244"/>
      <c r="F30" s="1245"/>
      <c r="G30" s="648"/>
      <c r="H30" s="1243"/>
      <c r="I30" s="1244"/>
      <c r="J30" s="1244"/>
      <c r="K30" s="1245"/>
      <c r="L30" s="648"/>
      <c r="M30" s="1243"/>
      <c r="N30" s="1244"/>
      <c r="O30" s="1244"/>
      <c r="P30" s="1245"/>
      <c r="Q30" s="648"/>
      <c r="R30" s="1243"/>
      <c r="S30" s="1244"/>
      <c r="T30" s="1245"/>
      <c r="U30" s="1243"/>
      <c r="V30" s="1244"/>
      <c r="W30" s="1244"/>
      <c r="X30" s="1245"/>
      <c r="Y30" s="1243"/>
      <c r="Z30" s="1244"/>
      <c r="AA30" s="1244"/>
      <c r="AB30" s="1245"/>
      <c r="AC30" s="1243"/>
      <c r="AD30" s="1244"/>
      <c r="AE30" s="1244"/>
      <c r="AF30" s="1245"/>
    </row>
    <row r="31" spans="1:32" ht="74.25" customHeight="1">
      <c r="A31" s="655">
        <f>INDEX(MDReportingDates,1,26)</f>
        <v>42124</v>
      </c>
      <c r="B31" s="648"/>
      <c r="C31" s="1243"/>
      <c r="D31" s="1244"/>
      <c r="E31" s="1244"/>
      <c r="F31" s="1245"/>
      <c r="G31" s="648"/>
      <c r="H31" s="1243"/>
      <c r="I31" s="1244"/>
      <c r="J31" s="1244"/>
      <c r="K31" s="1245"/>
      <c r="L31" s="648"/>
      <c r="M31" s="1243"/>
      <c r="N31" s="1244"/>
      <c r="O31" s="1244"/>
      <c r="P31" s="1245"/>
      <c r="Q31" s="648"/>
      <c r="R31" s="1243"/>
      <c r="S31" s="1244"/>
      <c r="T31" s="1245"/>
      <c r="U31" s="1243"/>
      <c r="V31" s="1244"/>
      <c r="W31" s="1244"/>
      <c r="X31" s="1245"/>
      <c r="Y31" s="1243"/>
      <c r="Z31" s="1244"/>
      <c r="AA31" s="1244"/>
      <c r="AB31" s="1245"/>
      <c r="AC31" s="1243"/>
      <c r="AD31" s="1244"/>
      <c r="AE31" s="1244"/>
      <c r="AF31" s="1245"/>
    </row>
    <row r="32" spans="1:32" ht="74.25" customHeight="1">
      <c r="A32" s="655">
        <f>INDEX(MDReportingDates,1,27)</f>
        <v>42138</v>
      </c>
      <c r="B32" s="648"/>
      <c r="C32" s="1243"/>
      <c r="D32" s="1244"/>
      <c r="E32" s="1244"/>
      <c r="F32" s="1245"/>
      <c r="G32" s="648"/>
      <c r="H32" s="1243"/>
      <c r="I32" s="1244"/>
      <c r="J32" s="1244"/>
      <c r="K32" s="1245"/>
      <c r="L32" s="648"/>
      <c r="M32" s="1243"/>
      <c r="N32" s="1244"/>
      <c r="O32" s="1244"/>
      <c r="P32" s="1245"/>
      <c r="Q32" s="648"/>
      <c r="R32" s="1243"/>
      <c r="S32" s="1244"/>
      <c r="T32" s="1245"/>
      <c r="U32" s="1243"/>
      <c r="V32" s="1244"/>
      <c r="W32" s="1244"/>
      <c r="X32" s="1245"/>
      <c r="Y32" s="1243"/>
      <c r="Z32" s="1244"/>
      <c r="AA32" s="1244"/>
      <c r="AB32" s="1245"/>
      <c r="AC32" s="1243"/>
      <c r="AD32" s="1244"/>
      <c r="AE32" s="1244"/>
      <c r="AF32" s="1245"/>
    </row>
    <row r="33" spans="1:34" ht="74.25" customHeight="1">
      <c r="A33" s="655">
        <f>INDEX(MDReportingDates,1,28)</f>
        <v>42152</v>
      </c>
      <c r="B33" s="648"/>
      <c r="C33" s="1243"/>
      <c r="D33" s="1244"/>
      <c r="E33" s="1244"/>
      <c r="F33" s="1245"/>
      <c r="G33" s="648"/>
      <c r="H33" s="1243"/>
      <c r="I33" s="1244"/>
      <c r="J33" s="1244"/>
      <c r="K33" s="1245"/>
      <c r="L33" s="648"/>
      <c r="M33" s="1243"/>
      <c r="N33" s="1244"/>
      <c r="O33" s="1244"/>
      <c r="P33" s="1245"/>
      <c r="Q33" s="648"/>
      <c r="R33" s="1243"/>
      <c r="S33" s="1244"/>
      <c r="T33" s="1245"/>
      <c r="U33" s="1243"/>
      <c r="V33" s="1244"/>
      <c r="W33" s="1244"/>
      <c r="X33" s="1245"/>
      <c r="Y33" s="1243"/>
      <c r="Z33" s="1244"/>
      <c r="AA33" s="1244"/>
      <c r="AB33" s="1245"/>
      <c r="AC33" s="1243"/>
      <c r="AD33" s="1244"/>
      <c r="AE33" s="1244"/>
      <c r="AF33" s="1245"/>
    </row>
    <row r="34" spans="1:34" ht="74.25" customHeight="1">
      <c r="A34" s="655">
        <f>INDEX(MDReportingDates,1,29)</f>
        <v>42166</v>
      </c>
      <c r="B34" s="648"/>
      <c r="C34" s="1243"/>
      <c r="D34" s="1244"/>
      <c r="E34" s="1244"/>
      <c r="F34" s="1245"/>
      <c r="G34" s="648"/>
      <c r="H34" s="1243"/>
      <c r="I34" s="1244"/>
      <c r="J34" s="1244"/>
      <c r="K34" s="1245"/>
      <c r="L34" s="648"/>
      <c r="M34" s="1243"/>
      <c r="N34" s="1244"/>
      <c r="O34" s="1244"/>
      <c r="P34" s="1245"/>
      <c r="Q34" s="648"/>
      <c r="R34" s="1243"/>
      <c r="S34" s="1244"/>
      <c r="T34" s="1245"/>
      <c r="U34" s="1243"/>
      <c r="V34" s="1244"/>
      <c r="W34" s="1244"/>
      <c r="X34" s="1245"/>
      <c r="Y34" s="1243"/>
      <c r="Z34" s="1244"/>
      <c r="AA34" s="1244"/>
      <c r="AB34" s="1245"/>
      <c r="AC34" s="1243"/>
      <c r="AD34" s="1244"/>
      <c r="AE34" s="1244"/>
      <c r="AF34" s="1245"/>
    </row>
    <row r="35" spans="1:34" ht="74.25" customHeight="1">
      <c r="A35" s="655">
        <f>INDEX(MDReportingDates,1,30)</f>
        <v>42180</v>
      </c>
      <c r="B35" s="648"/>
      <c r="C35" s="1243"/>
      <c r="D35" s="1244"/>
      <c r="E35" s="1244"/>
      <c r="F35" s="1245"/>
      <c r="G35" s="648"/>
      <c r="H35" s="1243"/>
      <c r="I35" s="1244"/>
      <c r="J35" s="1244"/>
      <c r="K35" s="1245"/>
      <c r="L35" s="648"/>
      <c r="M35" s="1243"/>
      <c r="N35" s="1244"/>
      <c r="O35" s="1244"/>
      <c r="P35" s="1245"/>
      <c r="Q35" s="648"/>
      <c r="R35" s="1243"/>
      <c r="S35" s="1244"/>
      <c r="T35" s="1245"/>
      <c r="U35" s="1243"/>
      <c r="V35" s="1244"/>
      <c r="W35" s="1244"/>
      <c r="X35" s="1245"/>
      <c r="Y35" s="1243"/>
      <c r="Z35" s="1244"/>
      <c r="AA35" s="1244"/>
      <c r="AB35" s="1245"/>
      <c r="AC35" s="1243"/>
      <c r="AD35" s="1244"/>
      <c r="AE35" s="1244"/>
      <c r="AF35" s="1245"/>
    </row>
    <row r="36" spans="1:34" ht="74.25" customHeight="1">
      <c r="A36" s="655">
        <f>INDEX(MDReportingDates,1,31)</f>
        <v>42194</v>
      </c>
      <c r="B36" s="648"/>
      <c r="C36" s="1243"/>
      <c r="D36" s="1244"/>
      <c r="E36" s="1244"/>
      <c r="F36" s="1245"/>
      <c r="G36" s="648"/>
      <c r="H36" s="1243"/>
      <c r="I36" s="1244"/>
      <c r="J36" s="1244"/>
      <c r="K36" s="1245"/>
      <c r="L36" s="648"/>
      <c r="M36" s="1243"/>
      <c r="N36" s="1244"/>
      <c r="O36" s="1244"/>
      <c r="P36" s="1245"/>
      <c r="Q36" s="648"/>
      <c r="R36" s="1243"/>
      <c r="S36" s="1244"/>
      <c r="T36" s="1245"/>
      <c r="U36" s="1243"/>
      <c r="V36" s="1244"/>
      <c r="W36" s="1244"/>
      <c r="X36" s="1245"/>
      <c r="Y36" s="1243"/>
      <c r="Z36" s="1244"/>
      <c r="AA36" s="1244"/>
      <c r="AB36" s="1245"/>
      <c r="AC36" s="1243"/>
      <c r="AD36" s="1244"/>
      <c r="AE36" s="1244"/>
      <c r="AF36" s="1245"/>
    </row>
    <row r="37" spans="1:34" ht="74.25" customHeight="1">
      <c r="A37" s="655">
        <f>INDEX(MDReportingDates,1,32)</f>
        <v>42208</v>
      </c>
      <c r="B37" s="648"/>
      <c r="C37" s="1243"/>
      <c r="D37" s="1244"/>
      <c r="E37" s="1244"/>
      <c r="F37" s="1245"/>
      <c r="G37" s="648"/>
      <c r="H37" s="1243"/>
      <c r="I37" s="1244"/>
      <c r="J37" s="1244"/>
      <c r="K37" s="1245"/>
      <c r="L37" s="648"/>
      <c r="M37" s="1243"/>
      <c r="N37" s="1244"/>
      <c r="O37" s="1244"/>
      <c r="P37" s="1245"/>
      <c r="Q37" s="648"/>
      <c r="R37" s="1243"/>
      <c r="S37" s="1244"/>
      <c r="T37" s="1245"/>
      <c r="U37" s="1243"/>
      <c r="V37" s="1244"/>
      <c r="W37" s="1244"/>
      <c r="X37" s="1245"/>
      <c r="Y37" s="1243"/>
      <c r="Z37" s="1244"/>
      <c r="AA37" s="1244"/>
      <c r="AB37" s="1245"/>
      <c r="AC37" s="1243"/>
      <c r="AD37" s="1244"/>
      <c r="AE37" s="1244"/>
      <c r="AF37" s="1245"/>
    </row>
    <row r="38" spans="1:34" ht="74.25" customHeight="1">
      <c r="A38" s="655">
        <f>INDEX(MDReportingDates,1,33)</f>
        <v>42222</v>
      </c>
      <c r="B38" s="648"/>
      <c r="C38" s="1243"/>
      <c r="D38" s="1244"/>
      <c r="E38" s="1244"/>
      <c r="F38" s="1245"/>
      <c r="G38" s="648"/>
      <c r="H38" s="1243"/>
      <c r="I38" s="1244"/>
      <c r="J38" s="1244"/>
      <c r="K38" s="1245"/>
      <c r="L38" s="648"/>
      <c r="M38" s="1243"/>
      <c r="N38" s="1244"/>
      <c r="O38" s="1244"/>
      <c r="P38" s="1245"/>
      <c r="Q38" s="648"/>
      <c r="R38" s="1243"/>
      <c r="S38" s="1244"/>
      <c r="T38" s="1245"/>
      <c r="U38" s="1243"/>
      <c r="V38" s="1244"/>
      <c r="W38" s="1244"/>
      <c r="X38" s="1245"/>
      <c r="Y38" s="1243"/>
      <c r="Z38" s="1244"/>
      <c r="AA38" s="1244"/>
      <c r="AB38" s="1245"/>
      <c r="AC38" s="1243"/>
      <c r="AD38" s="1244"/>
      <c r="AE38" s="1244"/>
      <c r="AF38" s="1245"/>
    </row>
    <row r="39" spans="1:34" ht="74.25" customHeight="1">
      <c r="A39" s="655">
        <f>INDEX(MDReportingDates,1,34)</f>
        <v>42236</v>
      </c>
      <c r="B39" s="648"/>
      <c r="C39" s="1243"/>
      <c r="D39" s="1244"/>
      <c r="E39" s="1244"/>
      <c r="F39" s="1245"/>
      <c r="G39" s="648"/>
      <c r="H39" s="1243"/>
      <c r="I39" s="1244"/>
      <c r="J39" s="1244"/>
      <c r="K39" s="1245"/>
      <c r="L39" s="648"/>
      <c r="M39" s="1243"/>
      <c r="N39" s="1244"/>
      <c r="O39" s="1244"/>
      <c r="P39" s="1245"/>
      <c r="Q39" s="648"/>
      <c r="R39" s="1243"/>
      <c r="S39" s="1244"/>
      <c r="T39" s="1245"/>
      <c r="U39" s="1243"/>
      <c r="V39" s="1244"/>
      <c r="W39" s="1244"/>
      <c r="X39" s="1245"/>
      <c r="Y39" s="1243"/>
      <c r="Z39" s="1244"/>
      <c r="AA39" s="1244"/>
      <c r="AB39" s="1245"/>
      <c r="AC39" s="1243"/>
      <c r="AD39" s="1244"/>
      <c r="AE39" s="1244"/>
      <c r="AF39" s="1245"/>
    </row>
    <row r="40" spans="1:34" ht="74.25" customHeight="1">
      <c r="A40" s="655">
        <f>INDEX(MDReportingDates,1,35)</f>
        <v>42250</v>
      </c>
      <c r="B40" s="648"/>
      <c r="C40" s="1243"/>
      <c r="D40" s="1244"/>
      <c r="E40" s="1244"/>
      <c r="F40" s="1245"/>
      <c r="G40" s="648"/>
      <c r="H40" s="1243"/>
      <c r="I40" s="1244"/>
      <c r="J40" s="1244"/>
      <c r="K40" s="1245"/>
      <c r="L40" s="648"/>
      <c r="M40" s="1243"/>
      <c r="N40" s="1244"/>
      <c r="O40" s="1244"/>
      <c r="P40" s="1245"/>
      <c r="Q40" s="648"/>
      <c r="R40" s="1243"/>
      <c r="S40" s="1244"/>
      <c r="T40" s="1245"/>
      <c r="U40" s="1243"/>
      <c r="V40" s="1244"/>
      <c r="W40" s="1244"/>
      <c r="X40" s="1245"/>
      <c r="Y40" s="1243"/>
      <c r="Z40" s="1244"/>
      <c r="AA40" s="1244"/>
      <c r="AB40" s="1245"/>
      <c r="AC40" s="1243"/>
      <c r="AD40" s="1244"/>
      <c r="AE40" s="1244"/>
      <c r="AF40" s="1245"/>
    </row>
    <row r="41" spans="1:34" ht="74.25" customHeight="1">
      <c r="A41" s="655">
        <f>INDEX(MDReportingDates,1,36)</f>
        <v>42264</v>
      </c>
      <c r="B41" s="648"/>
      <c r="C41" s="1243"/>
      <c r="D41" s="1244"/>
      <c r="E41" s="1244"/>
      <c r="F41" s="1245"/>
      <c r="G41" s="648"/>
      <c r="H41" s="1243"/>
      <c r="I41" s="1244"/>
      <c r="J41" s="1244"/>
      <c r="K41" s="1245"/>
      <c r="L41" s="648"/>
      <c r="M41" s="1243"/>
      <c r="N41" s="1244"/>
      <c r="O41" s="1244"/>
      <c r="P41" s="1245"/>
      <c r="Q41" s="648"/>
      <c r="R41" s="1243"/>
      <c r="S41" s="1244"/>
      <c r="T41" s="1245"/>
      <c r="U41" s="1243"/>
      <c r="V41" s="1244"/>
      <c r="W41" s="1244"/>
      <c r="X41" s="1245"/>
      <c r="Y41" s="1243"/>
      <c r="Z41" s="1244"/>
      <c r="AA41" s="1244"/>
      <c r="AB41" s="1245"/>
      <c r="AC41" s="1243"/>
      <c r="AD41" s="1244"/>
      <c r="AE41" s="1244"/>
      <c r="AF41" s="1245"/>
    </row>
    <row r="42" spans="1:34" ht="74.25" customHeight="1">
      <c r="A42" s="655">
        <f>INDEX(MDReportingDates,1,37)</f>
        <v>42278</v>
      </c>
      <c r="B42" s="648"/>
      <c r="C42" s="1243"/>
      <c r="D42" s="1244"/>
      <c r="E42" s="1244"/>
      <c r="F42" s="1245"/>
      <c r="G42" s="648"/>
      <c r="H42" s="1243"/>
      <c r="I42" s="1244"/>
      <c r="J42" s="1244"/>
      <c r="K42" s="1245"/>
      <c r="L42" s="648"/>
      <c r="M42" s="1243"/>
      <c r="N42" s="1244"/>
      <c r="O42" s="1244"/>
      <c r="P42" s="1245"/>
      <c r="Q42" s="648"/>
      <c r="R42" s="1243"/>
      <c r="S42" s="1244"/>
      <c r="T42" s="1245"/>
      <c r="U42" s="1243"/>
      <c r="V42" s="1244"/>
      <c r="W42" s="1244"/>
      <c r="X42" s="1245"/>
      <c r="Y42" s="1243"/>
      <c r="Z42" s="1244"/>
      <c r="AA42" s="1244"/>
      <c r="AB42" s="1245"/>
      <c r="AC42" s="1243"/>
      <c r="AD42" s="1244"/>
      <c r="AE42" s="1244"/>
      <c r="AF42" s="1245"/>
    </row>
    <row r="43" spans="1:34" ht="74.25" customHeight="1">
      <c r="A43" s="655">
        <f>INDEX(MDReportingDates,1,38)</f>
        <v>42292</v>
      </c>
      <c r="B43" s="648"/>
      <c r="C43" s="1243"/>
      <c r="D43" s="1244"/>
      <c r="E43" s="1244"/>
      <c r="F43" s="1245"/>
      <c r="G43" s="648"/>
      <c r="H43" s="1243"/>
      <c r="I43" s="1244"/>
      <c r="J43" s="1244"/>
      <c r="K43" s="1245"/>
      <c r="L43" s="648"/>
      <c r="M43" s="1243"/>
      <c r="N43" s="1244"/>
      <c r="O43" s="1244"/>
      <c r="P43" s="1245"/>
      <c r="Q43" s="648"/>
      <c r="R43" s="1243"/>
      <c r="S43" s="1244"/>
      <c r="T43" s="1245"/>
      <c r="U43" s="1243"/>
      <c r="V43" s="1244"/>
      <c r="W43" s="1244"/>
      <c r="X43" s="1245"/>
      <c r="Y43" s="1243"/>
      <c r="Z43" s="1244"/>
      <c r="AA43" s="1244"/>
      <c r="AB43" s="1245"/>
      <c r="AC43" s="1243"/>
      <c r="AD43" s="1244"/>
      <c r="AE43" s="1244"/>
      <c r="AF43" s="1245"/>
    </row>
    <row r="44" spans="1:34">
      <c r="A44" s="141"/>
      <c r="B44" s="141"/>
      <c r="C44" s="141"/>
      <c r="D44" s="141"/>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row>
    <row r="45" spans="1:34" hidden="1">
      <c r="A45" s="141"/>
      <c r="B45" s="141"/>
      <c r="C45" s="141"/>
      <c r="D45" s="141"/>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row>
    <row r="46" spans="1:34" hidden="1">
      <c r="A46" s="497" t="s">
        <v>249</v>
      </c>
      <c r="B46" s="1254" t="str">
        <f>B5</f>
        <v>Functionality / Quality</v>
      </c>
      <c r="C46" s="1255"/>
      <c r="D46" s="1254" t="str">
        <f>G5</f>
        <v>Technik</v>
      </c>
      <c r="E46" s="1255"/>
      <c r="F46" s="1254" t="str">
        <f>L5</f>
        <v>Ressourcen</v>
      </c>
      <c r="G46" s="1255"/>
      <c r="H46" s="1254" t="str">
        <f>Q5</f>
        <v>Meilensteine</v>
      </c>
      <c r="I46" s="1255"/>
      <c r="J46" s="497" t="str">
        <f>U5</f>
        <v>Reached Goals</v>
      </c>
      <c r="K46" s="649" t="s">
        <v>250</v>
      </c>
      <c r="L46" s="650" t="s">
        <v>251</v>
      </c>
      <c r="M46" s="141"/>
      <c r="N46" s="141"/>
      <c r="O46" s="141"/>
      <c r="P46" s="141"/>
      <c r="Q46" s="141"/>
      <c r="R46" s="141"/>
      <c r="S46" s="141"/>
      <c r="T46" s="141"/>
      <c r="U46" s="141"/>
      <c r="V46" s="141"/>
      <c r="W46" s="141"/>
      <c r="X46" s="141"/>
      <c r="Y46" s="141"/>
      <c r="Z46" s="141"/>
      <c r="AA46" s="141"/>
      <c r="AB46" s="141"/>
      <c r="AC46" s="141"/>
      <c r="AD46" s="141"/>
      <c r="AE46" s="141"/>
      <c r="AF46" s="141"/>
      <c r="AG46" s="141"/>
      <c r="AH46" s="141"/>
    </row>
    <row r="47" spans="1:34" hidden="1">
      <c r="A47" s="651" t="str">
        <f>IF(COUNTA($B$6:$B$43)&gt;0,INDEX($A$6:$AF$43,COUNTA($B$6:$B$43),1),"")</f>
        <v/>
      </c>
      <c r="B47" s="652" t="str">
        <f>IF(COUNTA($B$6:$B$43)&gt;0,INDEX($A$6:$AF$43,COUNTA($B$6:$B$43),2),"")</f>
        <v/>
      </c>
      <c r="C47" s="652" t="str">
        <f>IF(COUNTA($B$6:$B$43)&gt;0,INDEX($A$6:$AF$43,COUNTA($B$6:$B$43),3),"")</f>
        <v/>
      </c>
      <c r="D47" s="652" t="str">
        <f>IF(COUNTA($B$6:$B$43)&gt;0,INDEX($A$6:$AF$43,COUNTA($B$6:$B$43),7),"")</f>
        <v/>
      </c>
      <c r="E47" s="652" t="str">
        <f>IF(COUNTA($B$6:$B$43)&gt;0,INDEX($A$6:$AF$43,COUNTA($B$6:$B$43),8),"")</f>
        <v/>
      </c>
      <c r="F47" s="652" t="str">
        <f>IF(COUNTA($B$6:$B$43)&gt;0,INDEX($A$6:$AF$43,COUNTA($B$6:$B$43),12),"")</f>
        <v/>
      </c>
      <c r="G47" s="652" t="str">
        <f>IF(COUNTA($B$6:$B$43)&gt;0,INDEX($A$6:$AF$43,COUNTA($B$6:$B$43),13),"")</f>
        <v/>
      </c>
      <c r="H47" s="652" t="str">
        <f>IF(COUNTA($B$6:$B$43)&gt;0,INDEX($A$6:$AF$43,COUNTA($B$6:$B$43),17),"")</f>
        <v/>
      </c>
      <c r="I47" s="652" t="str">
        <f>IF(COUNTA($B$6:$B$43)&gt;0,INDEX($A$6:$AF$43,COUNTA($B$6:$B$43),18),"")</f>
        <v/>
      </c>
      <c r="J47" s="652" t="str">
        <f>IF(COUNTA($B$6:$B$43)&gt;0,INDEX($A$6:$AF$43,COUNTA($B$6:$B$43),21),"")</f>
        <v/>
      </c>
      <c r="K47" s="652" t="str">
        <f>IF(COUNTA($B$6:$B$43)&gt;0,INDEX($A$6:$AF$43,COUNTA($B$6:$B$43),25),"")</f>
        <v/>
      </c>
      <c r="L47" s="653" t="str">
        <f>IF(COUNTA($B$6:$B$43)&gt;0,INDEX($A$6:$AF$43,COUNTA($B$6:$B$43),29),"")</f>
        <v/>
      </c>
      <c r="M47" s="141"/>
      <c r="N47" s="141"/>
      <c r="O47" s="141"/>
      <c r="P47" s="141"/>
      <c r="Q47" s="141"/>
      <c r="R47" s="141"/>
      <c r="S47" s="141"/>
      <c r="T47" s="141"/>
      <c r="U47" s="141"/>
      <c r="V47" s="141"/>
      <c r="W47" s="141"/>
      <c r="X47" s="141"/>
      <c r="Y47" s="141"/>
      <c r="Z47" s="141"/>
      <c r="AA47" s="141"/>
      <c r="AB47" s="141"/>
      <c r="AC47" s="141"/>
      <c r="AD47" s="141"/>
      <c r="AE47" s="141"/>
      <c r="AF47" s="141"/>
      <c r="AG47" s="141"/>
    </row>
    <row r="48" spans="1:34" hidden="1">
      <c r="A48" s="141"/>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row>
    <row r="49" spans="1:32">
      <c r="A49" s="141"/>
      <c r="B49" s="141"/>
      <c r="C49" s="141"/>
      <c r="D49" s="141"/>
      <c r="E49" s="141"/>
      <c r="F49" s="141"/>
      <c r="G49" s="141"/>
      <c r="H49" s="141"/>
      <c r="I49" s="141"/>
      <c r="J49" s="141"/>
      <c r="K49" s="141"/>
      <c r="L49" s="141"/>
      <c r="N49" s="141"/>
      <c r="O49" s="141"/>
      <c r="P49" s="141"/>
      <c r="Q49" s="141"/>
      <c r="R49" s="141"/>
      <c r="S49" s="141"/>
      <c r="T49" s="141"/>
      <c r="U49" s="141"/>
      <c r="V49" s="141"/>
      <c r="W49" s="141"/>
      <c r="X49" s="141"/>
      <c r="Y49" s="141"/>
      <c r="Z49" s="141"/>
      <c r="AA49" s="141"/>
      <c r="AB49" s="141"/>
      <c r="AC49" s="141"/>
      <c r="AD49" s="141"/>
      <c r="AE49" s="141"/>
      <c r="AF49" s="141"/>
    </row>
    <row r="52" spans="1:32">
      <c r="A52" s="654"/>
    </row>
  </sheetData>
  <sheetProtection algorithmName="SHA-512" hashValue="mbdjqLVQCxD3kjZWxqjr5wgyqX6QVpjoK2XkcIyCx4Z1qg6vtcoMdHhudkoXdJ/zxRnPR3ii2NTRPyRXfy9nfQ==" saltValue="Qy7qqMNcNoZR6HRJv3b5wA==" spinCount="100000" sheet="1" objects="1" scenarios="1" formatCells="0"/>
  <mergeCells count="279">
    <mergeCell ref="B46:C46"/>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1:T21"/>
    <mergeCell ref="R22:T22"/>
    <mergeCell ref="R23:T23"/>
    <mergeCell ref="R24:T24"/>
    <mergeCell ref="R25:T25"/>
    <mergeCell ref="R32:T32"/>
    <mergeCell ref="R33:T33"/>
    <mergeCell ref="R34:T34"/>
    <mergeCell ref="R35:T35"/>
    <mergeCell ref="R36:T36"/>
    <mergeCell ref="R37:T37"/>
    <mergeCell ref="R38:T38"/>
    <mergeCell ref="R39:T39"/>
    <mergeCell ref="D46:E46"/>
    <mergeCell ref="F46:G46"/>
    <mergeCell ref="H46:I46"/>
    <mergeCell ref="R27:T27"/>
    <mergeCell ref="R28:T28"/>
    <mergeCell ref="R29:T29"/>
    <mergeCell ref="R30:T30"/>
    <mergeCell ref="R31:T31"/>
    <mergeCell ref="C32:F32"/>
    <mergeCell ref="C33:F33"/>
    <mergeCell ref="C34:F34"/>
    <mergeCell ref="C35:F35"/>
    <mergeCell ref="C36:F36"/>
    <mergeCell ref="C37:F37"/>
    <mergeCell ref="C38:F38"/>
    <mergeCell ref="C39:F39"/>
    <mergeCell ref="C40:F40"/>
    <mergeCell ref="C41:F41"/>
    <mergeCell ref="C42:F42"/>
    <mergeCell ref="Q5:T5"/>
    <mergeCell ref="AC25:AF25"/>
    <mergeCell ref="AC26:AF26"/>
    <mergeCell ref="Y10:AB10"/>
    <mergeCell ref="Y11:AB11"/>
    <mergeCell ref="Y12:AB12"/>
    <mergeCell ref="Y13:AB13"/>
    <mergeCell ref="U10:X10"/>
    <mergeCell ref="U11:X11"/>
    <mergeCell ref="U12:X12"/>
    <mergeCell ref="U23:X23"/>
    <mergeCell ref="U24:X24"/>
    <mergeCell ref="AC5:AF5"/>
    <mergeCell ref="AC22:AF22"/>
    <mergeCell ref="AC23:AF23"/>
    <mergeCell ref="AC24:AF24"/>
    <mergeCell ref="U14:X14"/>
    <mergeCell ref="U15:X15"/>
    <mergeCell ref="U16:X16"/>
    <mergeCell ref="U17:X17"/>
    <mergeCell ref="U18:X18"/>
    <mergeCell ref="Y30:AB30"/>
    <mergeCell ref="Y31:AB31"/>
    <mergeCell ref="Y20:AB20"/>
    <mergeCell ref="Y21:AB21"/>
    <mergeCell ref="Y22:AB22"/>
    <mergeCell ref="Y23:AB23"/>
    <mergeCell ref="R26:T26"/>
    <mergeCell ref="B1:F1"/>
    <mergeCell ref="B2:F2"/>
    <mergeCell ref="U5:X5"/>
    <mergeCell ref="U6:X6"/>
    <mergeCell ref="Y5:AB5"/>
    <mergeCell ref="Y6:AB6"/>
    <mergeCell ref="Y7:AB7"/>
    <mergeCell ref="Y8:AB8"/>
    <mergeCell ref="Y9:AB9"/>
    <mergeCell ref="U7:X7"/>
    <mergeCell ref="U8:X8"/>
    <mergeCell ref="U9:X9"/>
    <mergeCell ref="C6:F6"/>
    <mergeCell ref="H6:K6"/>
    <mergeCell ref="M6:P6"/>
    <mergeCell ref="B5:F5"/>
    <mergeCell ref="G5:K5"/>
    <mergeCell ref="L5:P5"/>
    <mergeCell ref="C7:F7"/>
    <mergeCell ref="C8:F8"/>
    <mergeCell ref="C9:F9"/>
    <mergeCell ref="Y32:AB32"/>
    <mergeCell ref="Y33:AB33"/>
    <mergeCell ref="Y34:AB34"/>
    <mergeCell ref="Y35:AB35"/>
    <mergeCell ref="Y36:AB36"/>
    <mergeCell ref="U25:X25"/>
    <mergeCell ref="U26:X26"/>
    <mergeCell ref="U27:X27"/>
    <mergeCell ref="U28:X28"/>
    <mergeCell ref="U29:X29"/>
    <mergeCell ref="U30:X30"/>
    <mergeCell ref="U19:X19"/>
    <mergeCell ref="U20:X20"/>
    <mergeCell ref="U21:X21"/>
    <mergeCell ref="U22:X22"/>
    <mergeCell ref="U13:X13"/>
    <mergeCell ref="C10:F10"/>
    <mergeCell ref="C11:F11"/>
    <mergeCell ref="C12:F12"/>
    <mergeCell ref="C13:F13"/>
    <mergeCell ref="Y29:AB29"/>
    <mergeCell ref="Y17:AB17"/>
    <mergeCell ref="Y18:AB18"/>
    <mergeCell ref="Y19:AB19"/>
    <mergeCell ref="Y14:AB14"/>
    <mergeCell ref="Y15:AB15"/>
    <mergeCell ref="Y16:AB16"/>
    <mergeCell ref="Y24:AB24"/>
    <mergeCell ref="Y25:AB25"/>
    <mergeCell ref="Y26:AB26"/>
    <mergeCell ref="Y27:AB27"/>
    <mergeCell ref="Y28:AB28"/>
    <mergeCell ref="U31:X31"/>
    <mergeCell ref="U32:X32"/>
    <mergeCell ref="U33:X33"/>
    <mergeCell ref="U34:X34"/>
    <mergeCell ref="U35:X35"/>
    <mergeCell ref="U36:X36"/>
    <mergeCell ref="Y37:AB37"/>
    <mergeCell ref="Y38:AB38"/>
    <mergeCell ref="Y39:AB39"/>
    <mergeCell ref="U37:X37"/>
    <mergeCell ref="U38:X38"/>
    <mergeCell ref="U39:X39"/>
    <mergeCell ref="C14:F14"/>
    <mergeCell ref="C15:F15"/>
    <mergeCell ref="C16:F16"/>
    <mergeCell ref="C17:F17"/>
    <mergeCell ref="C18:F18"/>
    <mergeCell ref="C19:F19"/>
    <mergeCell ref="C20:F20"/>
    <mergeCell ref="C21:F21"/>
    <mergeCell ref="C22:F22"/>
    <mergeCell ref="C23:F23"/>
    <mergeCell ref="C24:F24"/>
    <mergeCell ref="C25:F25"/>
    <mergeCell ref="C26:F26"/>
    <mergeCell ref="C27:F27"/>
    <mergeCell ref="C28:F28"/>
    <mergeCell ref="C29:F29"/>
    <mergeCell ref="C30:F30"/>
    <mergeCell ref="C31:F31"/>
    <mergeCell ref="C43:F43"/>
    <mergeCell ref="H7:K7"/>
    <mergeCell ref="H8:K8"/>
    <mergeCell ref="H9:K9"/>
    <mergeCell ref="H10:K10"/>
    <mergeCell ref="H11:K11"/>
    <mergeCell ref="H12:K12"/>
    <mergeCell ref="H13:K13"/>
    <mergeCell ref="H14:K14"/>
    <mergeCell ref="H15:K15"/>
    <mergeCell ref="H16:K16"/>
    <mergeCell ref="H17:K17"/>
    <mergeCell ref="H18:K18"/>
    <mergeCell ref="H19:K19"/>
    <mergeCell ref="H20:K20"/>
    <mergeCell ref="H21:K21"/>
    <mergeCell ref="H22:K22"/>
    <mergeCell ref="H23:K23"/>
    <mergeCell ref="H24:K24"/>
    <mergeCell ref="H25:K25"/>
    <mergeCell ref="H26:K26"/>
    <mergeCell ref="H27:K27"/>
    <mergeCell ref="H28:K28"/>
    <mergeCell ref="H29:K29"/>
    <mergeCell ref="H30:K30"/>
    <mergeCell ref="H31:K31"/>
    <mergeCell ref="H32:K32"/>
    <mergeCell ref="H33:K33"/>
    <mergeCell ref="H34:K34"/>
    <mergeCell ref="H35:K35"/>
    <mergeCell ref="H36:K36"/>
    <mergeCell ref="H37:K37"/>
    <mergeCell ref="H38:K38"/>
    <mergeCell ref="H39:K39"/>
    <mergeCell ref="H40:K40"/>
    <mergeCell ref="H41:K41"/>
    <mergeCell ref="H42:K42"/>
    <mergeCell ref="H43:K43"/>
    <mergeCell ref="M7:P7"/>
    <mergeCell ref="M8:P8"/>
    <mergeCell ref="M9:P9"/>
    <mergeCell ref="M10:P10"/>
    <mergeCell ref="M11:P11"/>
    <mergeCell ref="M12:P12"/>
    <mergeCell ref="M13:P13"/>
    <mergeCell ref="M14:P14"/>
    <mergeCell ref="M15:P15"/>
    <mergeCell ref="M16:P16"/>
    <mergeCell ref="M17:P17"/>
    <mergeCell ref="M18:P18"/>
    <mergeCell ref="M19:P19"/>
    <mergeCell ref="M20:P20"/>
    <mergeCell ref="M21:P21"/>
    <mergeCell ref="M22:P22"/>
    <mergeCell ref="M23:P23"/>
    <mergeCell ref="M24:P24"/>
    <mergeCell ref="M25:P25"/>
    <mergeCell ref="M26:P26"/>
    <mergeCell ref="M27:P27"/>
    <mergeCell ref="M28:P28"/>
    <mergeCell ref="M29:P29"/>
    <mergeCell ref="M30:P30"/>
    <mergeCell ref="M31:P31"/>
    <mergeCell ref="M32:P32"/>
    <mergeCell ref="M33:P33"/>
    <mergeCell ref="M34:P34"/>
    <mergeCell ref="M35:P35"/>
    <mergeCell ref="M36:P36"/>
    <mergeCell ref="M37:P37"/>
    <mergeCell ref="AC36:AF36"/>
    <mergeCell ref="AC37:AF37"/>
    <mergeCell ref="AC38:AF38"/>
    <mergeCell ref="AC39:AF39"/>
    <mergeCell ref="AC40:AF40"/>
    <mergeCell ref="AC6:AF6"/>
    <mergeCell ref="AC7:AF7"/>
    <mergeCell ref="AC8:AF8"/>
    <mergeCell ref="AC9:AF9"/>
    <mergeCell ref="AC10:AF10"/>
    <mergeCell ref="AC11:AF11"/>
    <mergeCell ref="AC12:AF12"/>
    <mergeCell ref="AC13:AF13"/>
    <mergeCell ref="AC14:AF14"/>
    <mergeCell ref="AC15:AF15"/>
    <mergeCell ref="AC16:AF16"/>
    <mergeCell ref="AC17:AF17"/>
    <mergeCell ref="AC18:AF18"/>
    <mergeCell ref="AC19:AF19"/>
    <mergeCell ref="AC20:AF20"/>
    <mergeCell ref="AC21:AF21"/>
    <mergeCell ref="AC27:AF27"/>
    <mergeCell ref="AC28:AF28"/>
    <mergeCell ref="AC29:AF29"/>
    <mergeCell ref="AC30:AF30"/>
    <mergeCell ref="AC31:AF31"/>
    <mergeCell ref="AC32:AF32"/>
    <mergeCell ref="AC33:AF33"/>
    <mergeCell ref="AC34:AF34"/>
    <mergeCell ref="AC35:AF35"/>
    <mergeCell ref="M38:P38"/>
    <mergeCell ref="M39:P39"/>
    <mergeCell ref="M40:P40"/>
    <mergeCell ref="M41:P41"/>
    <mergeCell ref="M42:P42"/>
    <mergeCell ref="M43:P43"/>
    <mergeCell ref="AC41:AF41"/>
    <mergeCell ref="AC42:AF42"/>
    <mergeCell ref="AC43:AF43"/>
    <mergeCell ref="U43:X43"/>
    <mergeCell ref="Y42:AB42"/>
    <mergeCell ref="Y43:AB43"/>
    <mergeCell ref="R41:T41"/>
    <mergeCell ref="R42:T42"/>
    <mergeCell ref="R43:T43"/>
    <mergeCell ref="Y41:AB41"/>
    <mergeCell ref="R40:T40"/>
    <mergeCell ref="U40:X40"/>
    <mergeCell ref="U41:X41"/>
    <mergeCell ref="U42:X42"/>
    <mergeCell ref="Y40:AB40"/>
  </mergeCells>
  <conditionalFormatting sqref="B6:B43 G6:G43 L7:L43">
    <cfRule type="cellIs" dxfId="76" priority="10" operator="equal">
      <formula>"Green"</formula>
    </cfRule>
    <cfRule type="cellIs" dxfId="75" priority="11" operator="equal">
      <formula>"Yellow"</formula>
    </cfRule>
    <cfRule type="cellIs" dxfId="74" priority="12" operator="equal">
      <formula>"Red"</formula>
    </cfRule>
  </conditionalFormatting>
  <conditionalFormatting sqref="L6">
    <cfRule type="cellIs" dxfId="73" priority="7" operator="equal">
      <formula>"Green"</formula>
    </cfRule>
    <cfRule type="cellIs" dxfId="72" priority="8" operator="equal">
      <formula>"Yellow"</formula>
    </cfRule>
    <cfRule type="cellIs" dxfId="71" priority="9" operator="equal">
      <formula>"Red"</formula>
    </cfRule>
  </conditionalFormatting>
  <conditionalFormatting sqref="Q7:Q43">
    <cfRule type="cellIs" dxfId="70" priority="4" operator="equal">
      <formula>"Green"</formula>
    </cfRule>
    <cfRule type="cellIs" dxfId="69" priority="5" operator="equal">
      <formula>"Yellow"</formula>
    </cfRule>
    <cfRule type="cellIs" dxfId="68" priority="6" operator="equal">
      <formula>"Red"</formula>
    </cfRule>
  </conditionalFormatting>
  <conditionalFormatting sqref="Q6:R6 R7:R43">
    <cfRule type="cellIs" dxfId="67" priority="1" operator="equal">
      <formula>"Green"</formula>
    </cfRule>
    <cfRule type="cellIs" dxfId="66" priority="2" operator="equal">
      <formula>"Yellow"</formula>
    </cfRule>
    <cfRule type="cellIs" dxfId="65" priority="3" operator="equal">
      <formula>"Red"</formula>
    </cfRule>
  </conditionalFormatting>
  <dataValidations count="1">
    <dataValidation type="list" allowBlank="1" showInputMessage="1" showErrorMessage="1" sqref="B6:B43 G6:G43 L6:L43 Q6:Q43">
      <formula1>TMDTrafficLight</formula1>
    </dataValidation>
  </dataValidations>
  <pageMargins left="0.70866141732283472" right="0.70866141732283472" top="0.78740157480314965" bottom="0.78740157480314965" header="0.31496062992125984" footer="0.31496062992125984"/>
  <pageSetup paperSize="9" scale="38" fitToHeight="0" orientation="landscape" horizontalDpi="4294967293" verticalDpi="1200" r:id="rId1"/>
  <customProperties>
    <customPr name="Guid" r:id="rId2"/>
  </customProperties>
  <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4" tint="0.59999389629810485"/>
    <pageSetUpPr fitToPage="1"/>
  </sheetPr>
  <dimension ref="A1:T51"/>
  <sheetViews>
    <sheetView topLeftCell="A43" zoomScale="95" zoomScaleNormal="95" zoomScaleSheetLayoutView="70" workbookViewId="0">
      <selection activeCell="L48" sqref="L48:P48"/>
    </sheetView>
  </sheetViews>
  <sheetFormatPr defaultColWidth="11.44140625" defaultRowHeight="13.8"/>
  <cols>
    <col min="1" max="1" width="13.44140625" style="126" bestFit="1" customWidth="1"/>
    <col min="2" max="2" width="11.5546875" style="126" customWidth="1"/>
    <col min="3" max="5" width="11.44140625" style="126" customWidth="1"/>
    <col min="6" max="6" width="11.44140625" style="126"/>
    <col min="7" max="8" width="11.44140625" style="126" customWidth="1"/>
    <col min="9" max="9" width="11.44140625" style="126"/>
    <col min="10" max="10" width="13.109375" style="126" customWidth="1"/>
    <col min="11" max="16384" width="11.44140625" style="126"/>
  </cols>
  <sheetData>
    <row r="1" spans="1:20" s="153" customFormat="1" ht="21">
      <c r="A1" s="823" t="str">
        <f>MDProjektname</f>
        <v>Migration GEFI</v>
      </c>
      <c r="B1" s="824"/>
      <c r="C1" s="824"/>
      <c r="D1" s="824"/>
      <c r="E1" s="825"/>
      <c r="F1" s="126"/>
      <c r="G1" s="126"/>
      <c r="H1" s="126"/>
      <c r="I1" s="126"/>
      <c r="J1" s="126"/>
      <c r="K1" s="126"/>
      <c r="L1" s="126"/>
      <c r="M1" s="126"/>
      <c r="N1" s="126"/>
      <c r="O1" s="126"/>
      <c r="P1" s="126"/>
      <c r="Q1" s="126"/>
      <c r="R1" s="126"/>
      <c r="S1" s="126"/>
      <c r="T1" s="126"/>
    </row>
    <row r="2" spans="1:20" s="153" customFormat="1" ht="26.25" customHeight="1" thickBot="1">
      <c r="A2" s="826" t="str">
        <f>MDCustomer</f>
        <v>OFISA</v>
      </c>
      <c r="B2" s="827"/>
      <c r="C2" s="827"/>
      <c r="D2" s="827"/>
      <c r="E2" s="828"/>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54" t="s">
        <v>1517</v>
      </c>
      <c r="I3" s="126"/>
      <c r="J3" s="126"/>
      <c r="K3" s="126"/>
      <c r="L3" s="126"/>
      <c r="M3" s="126"/>
      <c r="N3" s="126"/>
      <c r="O3" s="126"/>
      <c r="P3" s="126"/>
      <c r="Q3" s="126"/>
      <c r="R3" s="126"/>
      <c r="S3" s="126"/>
      <c r="T3" s="126"/>
    </row>
    <row r="4" spans="1:20" s="153" customFormat="1" ht="15" customHeight="1" thickBot="1">
      <c r="A4" s="126"/>
      <c r="B4" s="126"/>
      <c r="C4" s="126"/>
      <c r="D4" s="126"/>
      <c r="E4" s="126"/>
      <c r="F4" s="126"/>
      <c r="G4" s="126"/>
      <c r="H4" s="126"/>
      <c r="I4" s="126"/>
      <c r="J4" s="126"/>
      <c r="K4" s="126"/>
      <c r="L4" s="126"/>
      <c r="M4" s="126"/>
      <c r="N4" s="126"/>
      <c r="O4" s="126"/>
      <c r="P4" s="126"/>
      <c r="Q4" s="126"/>
      <c r="R4" s="126"/>
      <c r="S4" s="126"/>
      <c r="T4" s="126"/>
    </row>
    <row r="5" spans="1:20" ht="16.2" thickBot="1">
      <c r="A5" s="1259" t="s">
        <v>713</v>
      </c>
      <c r="B5" s="1260"/>
      <c r="C5" s="1260"/>
      <c r="D5" s="1260"/>
      <c r="E5" s="1260"/>
      <c r="F5" s="1260"/>
      <c r="G5" s="1260"/>
      <c r="H5" s="1260"/>
      <c r="I5" s="1260"/>
      <c r="J5" s="1260"/>
      <c r="K5" s="1260"/>
      <c r="L5" s="1260"/>
      <c r="M5" s="1260"/>
      <c r="N5" s="1260"/>
      <c r="O5" s="1260"/>
      <c r="P5" s="1261"/>
    </row>
    <row r="6" spans="1:20">
      <c r="A6" s="181" t="s">
        <v>714</v>
      </c>
      <c r="B6" s="1282" t="str">
        <f>MDCustomerContact</f>
        <v>Stefan Mittermayr</v>
      </c>
      <c r="C6" s="1282"/>
      <c r="D6" s="1282"/>
      <c r="E6" s="662"/>
      <c r="F6" s="1258" t="s">
        <v>715</v>
      </c>
      <c r="G6" s="1258"/>
      <c r="H6" s="1258" t="str">
        <f>MDAccountManager</f>
        <v>Claude-Alain Glauser</v>
      </c>
      <c r="I6" s="1258"/>
      <c r="J6" s="1258"/>
      <c r="L6" s="1280" t="s">
        <v>716</v>
      </c>
      <c r="M6" s="1280"/>
      <c r="N6" s="1281" t="str">
        <f>MDProjectTerm</f>
        <v>01.05.2014 - 30.08.2014</v>
      </c>
      <c r="O6" s="1281"/>
      <c r="P6" s="1281"/>
    </row>
    <row r="7" spans="1:20">
      <c r="A7" s="663" t="s">
        <v>717</v>
      </c>
      <c r="B7" s="912" t="str">
        <f>MDProjectType</f>
        <v>AD</v>
      </c>
      <c r="C7" s="912"/>
      <c r="D7" s="912"/>
      <c r="E7" s="662"/>
      <c r="F7" s="912" t="s">
        <v>718</v>
      </c>
      <c r="G7" s="912"/>
      <c r="H7" s="912" t="str">
        <f>MDProjectOwner</f>
        <v>Claude-Alain Glauser</v>
      </c>
      <c r="I7" s="912"/>
      <c r="J7" s="912"/>
      <c r="L7" s="912" t="s">
        <v>446</v>
      </c>
      <c r="M7" s="912"/>
      <c r="N7" s="912">
        <f>MDSAPNumber</f>
        <v>2849</v>
      </c>
      <c r="O7" s="912"/>
      <c r="P7" s="912"/>
    </row>
    <row r="8" spans="1:20">
      <c r="A8" s="663" t="s">
        <v>719</v>
      </c>
      <c r="B8" s="912" t="str">
        <f>MDContractType</f>
        <v>Fixpreis</v>
      </c>
      <c r="C8" s="912"/>
      <c r="D8" s="912"/>
      <c r="E8" s="662"/>
      <c r="F8" s="912" t="s">
        <v>720</v>
      </c>
      <c r="G8" s="912"/>
      <c r="H8" s="912" t="str">
        <f>MDProjectManager</f>
        <v>Gille di Domenico</v>
      </c>
      <c r="I8" s="912"/>
      <c r="J8" s="912"/>
      <c r="L8" s="912" t="s">
        <v>721</v>
      </c>
      <c r="M8" s="912"/>
      <c r="N8" s="912" t="str">
        <f>MDContractCurrency</f>
        <v>CHF</v>
      </c>
      <c r="O8" s="912"/>
      <c r="P8" s="912"/>
    </row>
    <row r="9" spans="1:20" ht="14.4" thickBot="1">
      <c r="C9" s="664"/>
      <c r="D9" s="664"/>
      <c r="E9" s="662"/>
      <c r="I9" s="127"/>
    </row>
    <row r="10" spans="1:20" ht="16.2" thickBot="1">
      <c r="A10" s="1259" t="s">
        <v>722</v>
      </c>
      <c r="B10" s="1260"/>
      <c r="C10" s="1260"/>
      <c r="D10" s="1260"/>
      <c r="E10" s="1260"/>
      <c r="F10" s="1260"/>
      <c r="G10" s="1260"/>
      <c r="H10" s="1260"/>
      <c r="I10" s="1260"/>
      <c r="J10" s="1260"/>
      <c r="K10" s="1260"/>
      <c r="L10" s="1260"/>
      <c r="M10" s="1260"/>
      <c r="N10" s="1260"/>
      <c r="O10" s="1260"/>
      <c r="P10" s="1261"/>
    </row>
    <row r="11" spans="1:20">
      <c r="A11" s="1278" t="s">
        <v>837</v>
      </c>
      <c r="B11" s="1278"/>
      <c r="C11" s="1278" t="s">
        <v>839</v>
      </c>
      <c r="D11" s="1278"/>
      <c r="E11" s="1278" t="s">
        <v>723</v>
      </c>
      <c r="F11" s="1278"/>
      <c r="G11" s="1278" t="s">
        <v>724</v>
      </c>
      <c r="H11" s="1278"/>
      <c r="K11" s="1278" t="s">
        <v>725</v>
      </c>
      <c r="L11" s="1278"/>
      <c r="M11" s="1278" t="s">
        <v>1325</v>
      </c>
      <c r="N11" s="1278"/>
      <c r="O11" s="1276" t="s">
        <v>1518</v>
      </c>
      <c r="P11" s="1276"/>
    </row>
    <row r="12" spans="1:20">
      <c r="A12" s="1279" t="str">
        <f ca="1">IF(COUNTIF(H24:H25,"Red")&gt;0,"Red",IF(COUNTIF(H24:H25,"Yellow")&gt;0,"Yellow","Green"))</f>
        <v>Green</v>
      </c>
      <c r="B12" s="1279"/>
      <c r="C12" s="1279" t="str">
        <f>IF(COUNTIF(P19:P21,"Red")&gt;0,"Red",IF(COUNTIF(P19:P21,"Yellow")&gt;0,"Yellow","Green"))</f>
        <v>Green</v>
      </c>
      <c r="D12" s="1279"/>
      <c r="E12" s="1279" t="str">
        <f>IF(OR(COUNTIF(G32:G37,"Red")&gt;0,COUNTIF(P32:P37,"Red")&gt;0),"Red",IF(OR(COUNTIF(G32:G37,"Yellow")&gt;0,COUNTIF(P32:P37,"Yellow")&gt;0),"Yellow","Green"))</f>
        <v>Green</v>
      </c>
      <c r="F12" s="1279"/>
      <c r="G12" s="1279" t="str">
        <f>H21</f>
        <v>Green</v>
      </c>
      <c r="H12" s="1279"/>
      <c r="K12" s="1279" t="str">
        <f>B48</f>
        <v/>
      </c>
      <c r="L12" s="1279"/>
      <c r="M12" s="1279" t="str">
        <f>B49</f>
        <v/>
      </c>
      <c r="N12" s="1279"/>
      <c r="O12" s="1277" t="str">
        <f>B50</f>
        <v/>
      </c>
      <c r="P12" s="1277"/>
    </row>
    <row r="13" spans="1:20" ht="14.4" thickBot="1">
      <c r="A13" s="665"/>
      <c r="C13" s="664"/>
      <c r="D13" s="664"/>
      <c r="E13" s="662"/>
    </row>
    <row r="14" spans="1:20" ht="16.2" thickBot="1">
      <c r="A14" s="1259" t="s">
        <v>726</v>
      </c>
      <c r="B14" s="1260"/>
      <c r="C14" s="1260"/>
      <c r="D14" s="1260"/>
      <c r="E14" s="1260"/>
      <c r="F14" s="1260"/>
      <c r="G14" s="1260"/>
      <c r="H14" s="1260"/>
      <c r="I14" s="1260"/>
      <c r="J14" s="1260"/>
      <c r="K14" s="1260"/>
      <c r="L14" s="1260"/>
      <c r="M14" s="1260"/>
      <c r="N14" s="1260"/>
      <c r="O14" s="1260"/>
      <c r="P14" s="1261"/>
    </row>
    <row r="15" spans="1:20" ht="14.4" thickBot="1">
      <c r="A15" s="1262" t="s">
        <v>836</v>
      </c>
      <c r="B15" s="1263"/>
      <c r="C15" s="1263"/>
      <c r="D15" s="1263"/>
      <c r="E15" s="1263"/>
      <c r="F15" s="1263"/>
      <c r="G15" s="1263"/>
      <c r="H15" s="1264"/>
      <c r="I15" s="665"/>
      <c r="J15" s="1265" t="s">
        <v>838</v>
      </c>
      <c r="K15" s="1266"/>
      <c r="L15" s="1263"/>
      <c r="M15" s="1263"/>
      <c r="N15" s="1263"/>
      <c r="O15" s="1263"/>
      <c r="P15" s="1264"/>
    </row>
    <row r="16" spans="1:20">
      <c r="A16" s="1296"/>
      <c r="B16" s="1296"/>
      <c r="C16" s="666" t="s">
        <v>262</v>
      </c>
      <c r="D16" s="666" t="s">
        <v>727</v>
      </c>
      <c r="E16" s="666" t="s">
        <v>728</v>
      </c>
      <c r="F16" s="666" t="s">
        <v>729</v>
      </c>
      <c r="G16" s="666" t="s">
        <v>730</v>
      </c>
      <c r="H16" s="667" t="s">
        <v>731</v>
      </c>
      <c r="I16" s="668"/>
      <c r="J16" s="1267"/>
      <c r="K16" s="1268"/>
      <c r="L16" s="666" t="s">
        <v>732</v>
      </c>
      <c r="M16" s="666" t="s">
        <v>733</v>
      </c>
      <c r="N16" s="666" t="s">
        <v>734</v>
      </c>
      <c r="O16" s="666" t="s">
        <v>735</v>
      </c>
      <c r="P16" s="667" t="s">
        <v>736</v>
      </c>
    </row>
    <row r="17" spans="1:17">
      <c r="A17" s="1273" t="s">
        <v>737</v>
      </c>
      <c r="B17" s="1273"/>
      <c r="C17" s="669">
        <f>DCBudgetExpClTravel</f>
        <v>0</v>
      </c>
      <c r="D17" s="669">
        <f>AVReportedExpClTravel</f>
        <v>0</v>
      </c>
      <c r="E17" s="669">
        <f>AVForecastExpClTravel</f>
        <v>0</v>
      </c>
      <c r="F17" s="669">
        <f>C17-(D17+E17)</f>
        <v>0</v>
      </c>
      <c r="G17" s="670">
        <f>IF(C17&gt;0,F17/C17,IF(AND(C17=0,F17&lt;&gt;0),"#NV",0))</f>
        <v>0</v>
      </c>
      <c r="H17" s="671" t="str">
        <f>IF(OR(G17&lt;=RatingBudgetAFRed,G17="#NV"),"Red",IF(AND(G17&lt;=RatingBudgetAFYellow,SUM(C17:F17)&gt;0),"Yellow", "Green"))</f>
        <v>Green</v>
      </c>
      <c r="I17" s="668"/>
      <c r="J17" s="1074" t="s">
        <v>738</v>
      </c>
      <c r="K17" s="1076"/>
      <c r="L17" s="669">
        <f>AVReportedPlannedExpClTravel</f>
        <v>0</v>
      </c>
      <c r="M17" s="669">
        <f>AVReportedExpClTravel+AVReportedExpNClTravel</f>
        <v>0</v>
      </c>
      <c r="N17" s="669">
        <f>L17-M17</f>
        <v>0</v>
      </c>
      <c r="O17" s="670">
        <f>IF(L17&gt;0,N17/L17,IF(AND(L17=0,N17&lt;&gt;0),"#NV",0))</f>
        <v>0</v>
      </c>
      <c r="P17" s="671" t="str">
        <f>IF(OR(O17&lt;=RatingPlannedActualRed,O17="#NV"),"Red",IF(AND(O17&lt;=RatingPlannedActualYellow,SUM(L17:N17)&gt;0),"Yellow", "Green"))</f>
        <v>Green</v>
      </c>
    </row>
    <row r="18" spans="1:17">
      <c r="A18" s="1273" t="s">
        <v>739</v>
      </c>
      <c r="B18" s="1273"/>
      <c r="C18" s="669">
        <f ca="1">DCBudgetExpClPersonal</f>
        <v>93800</v>
      </c>
      <c r="D18" s="669">
        <f>AVReportedExpClPersonal</f>
        <v>0</v>
      </c>
      <c r="E18" s="669">
        <f ca="1">AVForecastExpClPersonal</f>
        <v>0</v>
      </c>
      <c r="F18" s="669">
        <f ca="1">C18-(D18+E18)</f>
        <v>93800</v>
      </c>
      <c r="G18" s="670">
        <f ca="1">IF(C18&gt;0,F18/C18,IF(AND(C18=0,F18&lt;&gt;0),"#NV",0))</f>
        <v>1</v>
      </c>
      <c r="H18" s="671" t="str">
        <f ca="1">IF(OR(G18&lt;=RatingBudgetAFRed,G18="#NV"),"Red",IF(AND(G18&lt;=RatingBudgetAFYellow,SUM(C18:F18)&gt;0),"Yellow", "Green"))</f>
        <v>Green</v>
      </c>
      <c r="I18" s="668"/>
      <c r="J18" s="1074" t="s">
        <v>740</v>
      </c>
      <c r="K18" s="1076"/>
      <c r="L18" s="669">
        <f>AVReportedPlannedExpClPersonal</f>
        <v>0</v>
      </c>
      <c r="M18" s="669">
        <f>AVReportedExpClPersonal+AVReportedExpNClPersonal</f>
        <v>0</v>
      </c>
      <c r="N18" s="669">
        <f>L18-M18</f>
        <v>0</v>
      </c>
      <c r="O18" s="670">
        <f>IF(L18&gt;0,N18/L18,IF(AND(L18=0,N18&lt;&gt;0),"#NV",0))</f>
        <v>0</v>
      </c>
      <c r="P18" s="671" t="str">
        <f>IF(OR(O18&lt;=RatingPlannedActualRed,O18="#NV"),"Red",IF(AND(O18&lt;=RatingPlannedActualYellow,SUM(L18:N18)&gt;0),"Yellow", "Green"))</f>
        <v>Green</v>
      </c>
    </row>
    <row r="19" spans="1:17">
      <c r="A19" s="1273" t="s">
        <v>741</v>
      </c>
      <c r="B19" s="1273"/>
      <c r="C19" s="669"/>
      <c r="D19" s="669">
        <f>AVReportedExpNClPersonal</f>
        <v>0</v>
      </c>
      <c r="E19" s="669">
        <f>AVForecastExpNClPersonal</f>
        <v>0</v>
      </c>
      <c r="F19" s="669">
        <f>C19-(D19+E19)</f>
        <v>0</v>
      </c>
      <c r="G19" s="670">
        <f>IF(C19&gt;0,F19/C19,IF(AND(C19=0,F19&lt;&gt;0),"#NV",0))</f>
        <v>0</v>
      </c>
      <c r="H19" s="671" t="str">
        <f>IF(OR(G19&lt;=RatingBudgetAFRed,G19="#NV"),"Red",IF(AND(G19&lt;=RatingBudgetAFYellow,SUM(C19:F19)&gt;0),"Yellow", "Green"))</f>
        <v>Green</v>
      </c>
      <c r="I19" s="668"/>
      <c r="J19" s="1274" t="s">
        <v>742</v>
      </c>
      <c r="K19" s="1275"/>
      <c r="L19" s="672">
        <f>SUM(L17:L18)</f>
        <v>0</v>
      </c>
      <c r="M19" s="672">
        <f>SUM(M17:M18)</f>
        <v>0</v>
      </c>
      <c r="N19" s="672">
        <f>L19-M19</f>
        <v>0</v>
      </c>
      <c r="O19" s="673">
        <f>IF(L19&gt;0,N19/L19,IF(AND(L19=0,N19&lt;&gt;0),"#NV",0))</f>
        <v>0</v>
      </c>
      <c r="P19" s="674" t="str">
        <f>IF(OR(O19&lt;=RatingPlannedActualRed,O19="#NV"),"Red",IF(AND(O19&lt;=RatingPlannedActualYellow,SUM(L19:N19)&gt;0),"Yellow", "Green"))</f>
        <v>Green</v>
      </c>
    </row>
    <row r="20" spans="1:17">
      <c r="A20" s="1273" t="s">
        <v>743</v>
      </c>
      <c r="B20" s="1273"/>
      <c r="C20" s="669"/>
      <c r="D20" s="669">
        <f>AVReportedExpNClTravel</f>
        <v>0</v>
      </c>
      <c r="E20" s="669">
        <f>AVForecastExpNClTravel</f>
        <v>0</v>
      </c>
      <c r="F20" s="669">
        <f>C20-(D20+E20)</f>
        <v>0</v>
      </c>
      <c r="G20" s="670">
        <f>IF(C20&gt;0,F20/C20,IF(AND(C20=0,F20&lt;&gt;0),"#NV",0))</f>
        <v>0</v>
      </c>
      <c r="H20" s="671" t="str">
        <f>IF(OR(G20&lt;=RatingBudgetAFRed,G20="#NV"),"Red",IF(AND(G20&lt;=RatingBudgetAFYellow,SUM(C20:F20)&gt;0),"Yellow", "Green"))</f>
        <v>Green</v>
      </c>
      <c r="I20" s="668"/>
      <c r="J20" s="1274" t="s">
        <v>744</v>
      </c>
      <c r="K20" s="1275"/>
      <c r="L20" s="672">
        <f>AVReportedPlannedEffort</f>
        <v>0</v>
      </c>
      <c r="M20" s="672">
        <f>AVReportedEffort</f>
        <v>0</v>
      </c>
      <c r="N20" s="672">
        <f>L20-M20</f>
        <v>0</v>
      </c>
      <c r="O20" s="673">
        <f>IF(L20&gt;0,N20/L20,IF(AND(L20=0,N20&lt;&gt;0),"#NV",0))</f>
        <v>0</v>
      </c>
      <c r="P20" s="674" t="str">
        <f>IF(OR(O20&lt;=RatingPlannedActualRed,O20="#NV"),"Red",IF(AND(O20&lt;=RatingPlannedActualYellow,SUM(L20:N20)&gt;0),"Yellow", "Green"))</f>
        <v>Green</v>
      </c>
    </row>
    <row r="21" spans="1:17">
      <c r="A21" s="1273" t="s">
        <v>745</v>
      </c>
      <c r="B21" s="1273"/>
      <c r="C21" s="669">
        <f>PCRiskCharge</f>
        <v>0</v>
      </c>
      <c r="D21" s="669"/>
      <c r="E21" s="669">
        <f>RLLossAmountWeighted</f>
        <v>0</v>
      </c>
      <c r="F21" s="669">
        <f>C21-E21</f>
        <v>0</v>
      </c>
      <c r="G21" s="670">
        <f>IF(C21&gt;0,F21/C21,IF(AND(C21=0,F21&lt;&gt;0),"#NV",0))</f>
        <v>0</v>
      </c>
      <c r="H21" s="671" t="str">
        <f>IF(OR(G21&lt;=RatingBudgetAFRed,G21="#NV"),"Red",IF(AND(G21&lt;=RatingBudgetAFYellow,SUM(C21:F21)&gt;0),"Yellow", "Green"))</f>
        <v>Green</v>
      </c>
      <c r="I21" s="668"/>
      <c r="J21" s="1274" t="s">
        <v>746</v>
      </c>
      <c r="K21" s="1275"/>
      <c r="L21" s="675">
        <f>AVReportedPlannedCompletion</f>
        <v>0</v>
      </c>
      <c r="M21" s="675">
        <f>AVReportedCompletion</f>
        <v>0</v>
      </c>
      <c r="N21" s="676"/>
      <c r="O21" s="675">
        <f>M21-L21</f>
        <v>0</v>
      </c>
      <c r="P21" s="674" t="str">
        <f>IF(OR(O21&lt;=RatingPlannedActualRed,O21="#NV"),"Red",IF(AND(O21&lt;=RatingPlannedActualYellow,SUM(L21:N21)&gt;0),"Yellow", "Green"))</f>
        <v>Green</v>
      </c>
    </row>
    <row r="22" spans="1:17">
      <c r="A22" s="1273" t="s">
        <v>977</v>
      </c>
      <c r="B22" s="1273"/>
      <c r="C22" s="669">
        <f>PCCostOfSales+PCWarranty+PCAdd1+PCAdd2</f>
        <v>0</v>
      </c>
      <c r="D22" s="669"/>
      <c r="E22" s="669"/>
      <c r="F22" s="669"/>
      <c r="G22" s="670"/>
      <c r="H22" s="671"/>
      <c r="I22" s="668"/>
      <c r="J22" s="668"/>
      <c r="K22" s="668"/>
      <c r="L22" s="677"/>
      <c r="M22" s="677"/>
      <c r="N22" s="678"/>
      <c r="O22" s="677"/>
      <c r="P22" s="679"/>
    </row>
    <row r="23" spans="1:17">
      <c r="A23" s="1273" t="s">
        <v>835</v>
      </c>
      <c r="B23" s="1273"/>
      <c r="C23" s="669">
        <f>PCAdditionalMargin</f>
        <v>0</v>
      </c>
      <c r="D23" s="669"/>
      <c r="E23" s="669"/>
      <c r="F23" s="669"/>
      <c r="G23" s="670"/>
      <c r="H23" s="670"/>
      <c r="I23" s="668"/>
      <c r="J23" s="668"/>
      <c r="K23" s="668"/>
      <c r="L23" s="677"/>
      <c r="M23" s="677"/>
      <c r="N23" s="678"/>
      <c r="O23" s="677"/>
      <c r="P23" s="679"/>
    </row>
    <row r="24" spans="1:17">
      <c r="A24" s="1297" t="s">
        <v>747</v>
      </c>
      <c r="B24" s="1297"/>
      <c r="C24" s="672">
        <f ca="1">SUM(C17:C23)</f>
        <v>93800</v>
      </c>
      <c r="D24" s="672">
        <f>SUM(D17:D23)</f>
        <v>0</v>
      </c>
      <c r="E24" s="672">
        <f ca="1">SUM(E17:E23)</f>
        <v>0</v>
      </c>
      <c r="F24" s="672">
        <f ca="1">C24-(D24+E24)</f>
        <v>93800</v>
      </c>
      <c r="G24" s="673">
        <f ca="1">IF(C24&gt;0,F24/C24,IF(AND(C24=0,F24&lt;&gt;0),"#NV",0))</f>
        <v>1</v>
      </c>
      <c r="H24" s="674" t="str">
        <f ca="1">IF(OR(G24&lt;=RatingBudgetAFRed,G24="#NV"),"Red",IF(AND(G24&lt;=RatingBudgetAFYellow,SUM(C24:F24)&gt;0),"Yellow", "Green"))</f>
        <v>Green</v>
      </c>
      <c r="I24" s="668"/>
      <c r="J24" s="668"/>
      <c r="K24" s="668"/>
      <c r="L24" s="680" t="s">
        <v>840</v>
      </c>
      <c r="M24" s="680" t="s">
        <v>841</v>
      </c>
      <c r="N24" s="680" t="s">
        <v>843</v>
      </c>
      <c r="O24" s="680" t="s">
        <v>842</v>
      </c>
    </row>
    <row r="25" spans="1:17">
      <c r="A25" s="1297" t="s">
        <v>748</v>
      </c>
      <c r="B25" s="1297"/>
      <c r="C25" s="672">
        <f>DCBudgetEffProjectTotal</f>
        <v>584</v>
      </c>
      <c r="D25" s="672">
        <f>AVReportedEffort</f>
        <v>0</v>
      </c>
      <c r="E25" s="672">
        <f>AVForecastEffort</f>
        <v>0</v>
      </c>
      <c r="F25" s="672">
        <f>C25-(D25+E25)</f>
        <v>584</v>
      </c>
      <c r="G25" s="673">
        <f>IF(C25&gt;0,F25/C25,IF(AND(C25=0,F25&lt;&gt;0),"#NV",0))</f>
        <v>1</v>
      </c>
      <c r="H25" s="674" t="str">
        <f>IF(OR(G25&lt;=RatingBudgetAFRed,G25="#NV"),"Red",IF(AND(G25&lt;=RatingBudgetAFYellow,SUM(C25:F25)&gt;0),"Yellow", "Green"))</f>
        <v>Green</v>
      </c>
      <c r="I25" s="668"/>
      <c r="J25" s="668"/>
      <c r="K25" s="668"/>
      <c r="L25" s="672">
        <f ca="1">DCBudgetExpProjectTotal*M21</f>
        <v>0</v>
      </c>
      <c r="M25" s="681">
        <f>IF(M19&lt;&gt;0,L25/M19,0)</f>
        <v>0</v>
      </c>
      <c r="N25" s="681">
        <f ca="1">IF(E24&lt;&gt;0,(C24-D24)/(E24-E21),0)</f>
        <v>0</v>
      </c>
      <c r="O25" s="681">
        <f>IF(L19&lt;&gt;0,L25/L19,0)</f>
        <v>0</v>
      </c>
      <c r="P25" s="668"/>
      <c r="Q25" s="668"/>
    </row>
    <row r="26" spans="1:17">
      <c r="A26" s="668"/>
      <c r="B26" s="668"/>
      <c r="C26" s="682"/>
      <c r="D26" s="682"/>
      <c r="E26" s="682"/>
      <c r="F26" s="682"/>
      <c r="G26" s="683"/>
      <c r="H26" s="679"/>
      <c r="I26" s="668"/>
      <c r="J26" s="668"/>
      <c r="K26" s="668"/>
      <c r="L26" s="682"/>
      <c r="M26" s="684"/>
      <c r="N26" s="684"/>
      <c r="O26" s="684"/>
      <c r="P26" s="668"/>
      <c r="Q26" s="668"/>
    </row>
    <row r="27" spans="1:17" ht="26.4">
      <c r="A27" s="668"/>
      <c r="B27" s="668"/>
      <c r="C27" s="682"/>
      <c r="D27" s="682"/>
      <c r="E27" s="682"/>
      <c r="F27" s="682"/>
      <c r="G27" s="683"/>
      <c r="H27" s="679"/>
      <c r="I27" s="668"/>
      <c r="J27" s="668"/>
      <c r="K27" s="668"/>
      <c r="L27" s="685" t="s">
        <v>1393</v>
      </c>
      <c r="M27" s="686" t="s">
        <v>1385</v>
      </c>
      <c r="N27" s="686" t="s">
        <v>1386</v>
      </c>
      <c r="O27" s="686" t="s">
        <v>1387</v>
      </c>
      <c r="P27" s="668"/>
      <c r="Q27" s="668"/>
    </row>
    <row r="28" spans="1:17">
      <c r="A28" s="668"/>
      <c r="B28" s="668"/>
      <c r="C28" s="682"/>
      <c r="D28" s="682"/>
      <c r="E28" s="682"/>
      <c r="F28" s="682"/>
      <c r="G28" s="683"/>
      <c r="H28" s="679"/>
      <c r="I28" s="668"/>
      <c r="J28" s="668"/>
      <c r="K28" s="668"/>
      <c r="L28" s="120">
        <f ca="1">OVRiskRatio</f>
        <v>0</v>
      </c>
      <c r="M28" s="120">
        <f>OVCostVariance</f>
        <v>-1</v>
      </c>
      <c r="N28" s="120">
        <f>OVVarianceAtCompletion</f>
        <v>-8.1607843137254896</v>
      </c>
      <c r="O28" s="120">
        <f>OVScheduleVariance</f>
        <v>0</v>
      </c>
      <c r="P28" s="668"/>
      <c r="Q28" s="668"/>
    </row>
    <row r="29" spans="1:17" ht="14.4" thickBot="1">
      <c r="A29" s="668"/>
      <c r="B29" s="668"/>
      <c r="C29" s="682"/>
      <c r="D29" s="682"/>
      <c r="E29" s="682"/>
      <c r="F29" s="682"/>
      <c r="G29" s="683"/>
      <c r="H29" s="679"/>
      <c r="I29" s="668"/>
      <c r="J29" s="668"/>
      <c r="K29" s="668"/>
      <c r="L29" s="682"/>
      <c r="M29" s="684"/>
      <c r="N29" s="684"/>
      <c r="O29" s="684"/>
      <c r="P29" s="668"/>
      <c r="Q29" s="668"/>
    </row>
    <row r="30" spans="1:17" ht="16.2" thickBot="1">
      <c r="A30" s="1269" t="s">
        <v>749</v>
      </c>
      <c r="B30" s="1270"/>
      <c r="C30" s="1270"/>
      <c r="D30" s="1260"/>
      <c r="E30" s="1260"/>
      <c r="F30" s="1260"/>
      <c r="G30" s="1260"/>
      <c r="H30" s="1260"/>
      <c r="I30" s="1260"/>
      <c r="J30" s="1260"/>
      <c r="K30" s="1260"/>
      <c r="L30" s="1260"/>
      <c r="M30" s="1260"/>
      <c r="N30" s="1260"/>
      <c r="O30" s="1260"/>
      <c r="P30" s="1261"/>
    </row>
    <row r="31" spans="1:17">
      <c r="A31" s="1271" t="str">
        <f>Milestones!A6</f>
        <v>Milestone</v>
      </c>
      <c r="B31" s="1271"/>
      <c r="C31" s="1271"/>
      <c r="D31" s="693" t="str">
        <f>Milestones!E6</f>
        <v>Approved</v>
      </c>
      <c r="E31" s="687" t="str">
        <f>Milestones!F6</f>
        <v>Planned</v>
      </c>
      <c r="F31" s="687" t="str">
        <f>Milestones!AS6</f>
        <v>Expected</v>
      </c>
      <c r="G31" s="687" t="s">
        <v>750</v>
      </c>
      <c r="J31" s="1271" t="str">
        <f>Milestones!A6</f>
        <v>Milestone</v>
      </c>
      <c r="K31" s="1271"/>
      <c r="L31" s="1271"/>
      <c r="M31" s="693" t="str">
        <f>Milestones!E6</f>
        <v>Approved</v>
      </c>
      <c r="N31" s="687" t="str">
        <f>Milestones!F6</f>
        <v>Planned</v>
      </c>
      <c r="O31" s="687" t="str">
        <f>Milestones!AS6</f>
        <v>Expected</v>
      </c>
      <c r="P31" s="687" t="s">
        <v>751</v>
      </c>
    </row>
    <row r="32" spans="1:17">
      <c r="A32" s="1272">
        <f>Milestones!A7</f>
        <v>0</v>
      </c>
      <c r="B32" s="1272"/>
      <c r="C32" s="1272"/>
      <c r="D32" s="694" t="str">
        <f>Milestones!E7</f>
        <v>no</v>
      </c>
      <c r="E32" s="688">
        <f>Milestones!F7</f>
        <v>0</v>
      </c>
      <c r="F32" s="688" t="str">
        <f>Milestones!AS7</f>
        <v/>
      </c>
      <c r="G32" s="671" t="str">
        <f t="shared" ref="G32:G37" si="0">IF(E32=0,"",IF(D32="yes","Green",IF(F32-E32&gt;=0,IF(F32&lt;=E32,"Green",IF(F32-E32&gt;=RatingTimeRed,"Red",IF(F32-E32&gt;=RatingTimeYellow,"Yellow","Green"))),IF(F32-E32&lt;=RatingTimeYellow,"Green",IF(F32-E32&lt;=RatingTimeRed,"Yellow","Red")))))</f>
        <v/>
      </c>
      <c r="J32" s="1272">
        <f>Milestones!A13</f>
        <v>0</v>
      </c>
      <c r="K32" s="1272"/>
      <c r="L32" s="1272"/>
      <c r="M32" s="694" t="str">
        <f>Milestones!E13</f>
        <v>no</v>
      </c>
      <c r="N32" s="688">
        <f>Milestones!F13</f>
        <v>0</v>
      </c>
      <c r="O32" s="688" t="str">
        <f>Milestones!AS13</f>
        <v/>
      </c>
      <c r="P32" s="671" t="str">
        <f t="shared" ref="P32:P37" si="1">IF(N32=0,"",IF(M32="yes","Green",IF(O32-N32&gt;=0,IF(O32&lt;=N32,"Green",IF(O32-N32&gt;=RatingTimeRed,"Red",IF(O32-N32&gt;=RatingTimeYellow,"Yellow","Green"))),IF(O32-N32&lt;=RatingTimeYellow,"Green",IF(O32-N32&lt;=RatingTimeRed,"Yellow","Red")))))</f>
        <v/>
      </c>
    </row>
    <row r="33" spans="1:16">
      <c r="A33" s="1272">
        <f>Milestones!A8</f>
        <v>0</v>
      </c>
      <c r="B33" s="1272"/>
      <c r="C33" s="1272"/>
      <c r="D33" s="694" t="str">
        <f>Milestones!E8</f>
        <v>no</v>
      </c>
      <c r="E33" s="688">
        <f>Milestones!F8</f>
        <v>0</v>
      </c>
      <c r="F33" s="688" t="str">
        <f>Milestones!AS8</f>
        <v/>
      </c>
      <c r="G33" s="671" t="str">
        <f t="shared" si="0"/>
        <v/>
      </c>
      <c r="J33" s="1272">
        <f>Milestones!A14</f>
        <v>0</v>
      </c>
      <c r="K33" s="1272"/>
      <c r="L33" s="1272"/>
      <c r="M33" s="694" t="str">
        <f>Milestones!E14</f>
        <v>no</v>
      </c>
      <c r="N33" s="688">
        <f>Milestones!F14</f>
        <v>0</v>
      </c>
      <c r="O33" s="688" t="str">
        <f>Milestones!AS14</f>
        <v/>
      </c>
      <c r="P33" s="671" t="str">
        <f t="shared" si="1"/>
        <v/>
      </c>
    </row>
    <row r="34" spans="1:16">
      <c r="A34" s="1272">
        <f>Milestones!A9</f>
        <v>0</v>
      </c>
      <c r="B34" s="1272"/>
      <c r="C34" s="1272"/>
      <c r="D34" s="694" t="str">
        <f>Milestones!E9</f>
        <v>no</v>
      </c>
      <c r="E34" s="688">
        <f>Milestones!F9</f>
        <v>0</v>
      </c>
      <c r="F34" s="688" t="str">
        <f>Milestones!AS9</f>
        <v/>
      </c>
      <c r="G34" s="671" t="str">
        <f t="shared" si="0"/>
        <v/>
      </c>
      <c r="J34" s="1272">
        <f>Milestones!A15</f>
        <v>0</v>
      </c>
      <c r="K34" s="1272"/>
      <c r="L34" s="1272"/>
      <c r="M34" s="694" t="str">
        <f>Milestones!E15</f>
        <v>no</v>
      </c>
      <c r="N34" s="688">
        <f>Milestones!F15</f>
        <v>0</v>
      </c>
      <c r="O34" s="688" t="str">
        <f>Milestones!AS15</f>
        <v/>
      </c>
      <c r="P34" s="671" t="str">
        <f t="shared" si="1"/>
        <v/>
      </c>
    </row>
    <row r="35" spans="1:16">
      <c r="A35" s="1272">
        <f>Milestones!A10</f>
        <v>0</v>
      </c>
      <c r="B35" s="1272"/>
      <c r="C35" s="1272"/>
      <c r="D35" s="694" t="str">
        <f>Milestones!E10</f>
        <v>no</v>
      </c>
      <c r="E35" s="688">
        <f>Milestones!F10</f>
        <v>0</v>
      </c>
      <c r="F35" s="688" t="str">
        <f>Milestones!AS10</f>
        <v/>
      </c>
      <c r="G35" s="671" t="str">
        <f t="shared" si="0"/>
        <v/>
      </c>
      <c r="J35" s="1272">
        <f>Milestones!A16</f>
        <v>0</v>
      </c>
      <c r="K35" s="1272"/>
      <c r="L35" s="1272"/>
      <c r="M35" s="694" t="str">
        <f>Milestones!E16</f>
        <v>no</v>
      </c>
      <c r="N35" s="688">
        <f>Milestones!F16</f>
        <v>0</v>
      </c>
      <c r="O35" s="688" t="str">
        <f>Milestones!AS16</f>
        <v/>
      </c>
      <c r="P35" s="671" t="str">
        <f t="shared" si="1"/>
        <v/>
      </c>
    </row>
    <row r="36" spans="1:16">
      <c r="A36" s="1272">
        <f>Milestones!A11</f>
        <v>0</v>
      </c>
      <c r="B36" s="1272"/>
      <c r="C36" s="1272"/>
      <c r="D36" s="694" t="str">
        <f>Milestones!E11</f>
        <v>no</v>
      </c>
      <c r="E36" s="688">
        <f>Milestones!F11</f>
        <v>0</v>
      </c>
      <c r="F36" s="688" t="str">
        <f>Milestones!AS11</f>
        <v/>
      </c>
      <c r="G36" s="671" t="str">
        <f t="shared" si="0"/>
        <v/>
      </c>
      <c r="J36" s="1272">
        <f>Milestones!A17</f>
        <v>0</v>
      </c>
      <c r="K36" s="1272"/>
      <c r="L36" s="1272"/>
      <c r="M36" s="694" t="str">
        <f>Milestones!E17</f>
        <v>no</v>
      </c>
      <c r="N36" s="688">
        <f>Milestones!F17</f>
        <v>0</v>
      </c>
      <c r="O36" s="688" t="str">
        <f>Milestones!AS17</f>
        <v/>
      </c>
      <c r="P36" s="671" t="str">
        <f t="shared" si="1"/>
        <v/>
      </c>
    </row>
    <row r="37" spans="1:16">
      <c r="A37" s="1272">
        <f>Milestones!A12</f>
        <v>0</v>
      </c>
      <c r="B37" s="1272"/>
      <c r="C37" s="1272"/>
      <c r="D37" s="694" t="str">
        <f>Milestones!E12</f>
        <v>no</v>
      </c>
      <c r="E37" s="688">
        <f>Milestones!F12</f>
        <v>0</v>
      </c>
      <c r="F37" s="688" t="str">
        <f>Milestones!AS12</f>
        <v/>
      </c>
      <c r="G37" s="671" t="str">
        <f t="shared" si="0"/>
        <v/>
      </c>
      <c r="J37" s="1272">
        <f>Milestones!A18</f>
        <v>0</v>
      </c>
      <c r="K37" s="1272"/>
      <c r="L37" s="1272"/>
      <c r="M37" s="694" t="str">
        <f>Milestones!E18</f>
        <v>no</v>
      </c>
      <c r="N37" s="688">
        <f>Milestones!F18</f>
        <v>0</v>
      </c>
      <c r="O37" s="688" t="str">
        <f>Milestones!AS18</f>
        <v/>
      </c>
      <c r="P37" s="671" t="str">
        <f t="shared" si="1"/>
        <v/>
      </c>
    </row>
    <row r="38" spans="1:16" ht="14.4" thickBot="1"/>
    <row r="39" spans="1:16" ht="16.2" thickBot="1">
      <c r="A39" s="1259" t="s">
        <v>752</v>
      </c>
      <c r="B39" s="1260"/>
      <c r="C39" s="1260"/>
      <c r="D39" s="1260"/>
      <c r="E39" s="1260"/>
      <c r="F39" s="1260"/>
      <c r="G39" s="1260"/>
      <c r="H39" s="1260"/>
      <c r="I39" s="1260"/>
      <c r="J39" s="1260"/>
      <c r="K39" s="1260"/>
      <c r="L39" s="1260"/>
      <c r="M39" s="1260"/>
      <c r="N39" s="1260"/>
      <c r="O39" s="1260"/>
      <c r="P39" s="1261"/>
    </row>
    <row r="40" spans="1:16" ht="14.4" thickBot="1">
      <c r="A40" s="180" t="s">
        <v>753</v>
      </c>
      <c r="B40" s="180" t="s">
        <v>754</v>
      </c>
      <c r="C40" s="1288" t="s">
        <v>755</v>
      </c>
      <c r="D40" s="1289"/>
      <c r="E40" s="1288" t="s">
        <v>756</v>
      </c>
      <c r="F40" s="1289"/>
      <c r="G40" s="1288" t="s">
        <v>757</v>
      </c>
      <c r="H40" s="1289"/>
      <c r="I40" s="666" t="s">
        <v>758</v>
      </c>
      <c r="J40" s="666" t="s">
        <v>759</v>
      </c>
      <c r="K40" s="667" t="s">
        <v>760</v>
      </c>
      <c r="L40" s="667" t="s">
        <v>761</v>
      </c>
      <c r="M40" s="913" t="s">
        <v>762</v>
      </c>
      <c r="N40" s="915"/>
      <c r="O40" s="1287" t="s">
        <v>763</v>
      </c>
      <c r="P40" s="1287"/>
    </row>
    <row r="41" spans="1:16" ht="111.75" customHeight="1" thickBot="1">
      <c r="A41" s="689" t="str">
        <f>"(" &amp; TEXT(Risklog!E52,"#") &amp; ") - " &amp; Risklog!F52</f>
        <v xml:space="preserve">() - </v>
      </c>
      <c r="B41" s="689" t="str">
        <f>Risklog!G52</f>
        <v/>
      </c>
      <c r="C41" s="1256" t="str">
        <f>Risklog!H52</f>
        <v/>
      </c>
      <c r="D41" s="1257"/>
      <c r="E41" s="1256" t="str">
        <f>Risklog!I52</f>
        <v/>
      </c>
      <c r="F41" s="1257"/>
      <c r="G41" s="1256" t="str">
        <f>Risklog!J52</f>
        <v/>
      </c>
      <c r="H41" s="1257"/>
      <c r="I41" s="695" t="str">
        <f>Risklog!K52</f>
        <v/>
      </c>
      <c r="J41" s="696" t="str">
        <f>Risklog!N52</f>
        <v/>
      </c>
      <c r="K41" s="690" t="str">
        <f>Risklog!O52</f>
        <v/>
      </c>
      <c r="L41" s="697" t="str">
        <f>Risklog!P52</f>
        <v/>
      </c>
      <c r="M41" s="1290" t="str">
        <f>Risklog!Q52</f>
        <v/>
      </c>
      <c r="N41" s="1291"/>
      <c r="O41" s="1292" t="str">
        <f>Risklog!R52</f>
        <v/>
      </c>
      <c r="P41" s="1292"/>
    </row>
    <row r="42" spans="1:16" ht="111.75" customHeight="1" thickBot="1">
      <c r="A42" s="689" t="str">
        <f ca="1">"(" &amp; TEXT(Risklog!E53,"#") &amp; ") - " &amp; Risklog!F53</f>
        <v xml:space="preserve">() - </v>
      </c>
      <c r="B42" s="689" t="str">
        <f ca="1">Risklog!G53</f>
        <v/>
      </c>
      <c r="C42" s="1256" t="str">
        <f ca="1">Risklog!H53</f>
        <v/>
      </c>
      <c r="D42" s="1257"/>
      <c r="E42" s="1256" t="str">
        <f ca="1">Risklog!I53</f>
        <v/>
      </c>
      <c r="F42" s="1257"/>
      <c r="G42" s="1256" t="str">
        <f ca="1">Risklog!J53</f>
        <v/>
      </c>
      <c r="H42" s="1257"/>
      <c r="I42" s="695" t="str">
        <f ca="1">Risklog!K53</f>
        <v/>
      </c>
      <c r="J42" s="696" t="str">
        <f ca="1">Risklog!N53</f>
        <v/>
      </c>
      <c r="K42" s="690" t="str">
        <f ca="1">Risklog!O53</f>
        <v/>
      </c>
      <c r="L42" s="697" t="str">
        <f ca="1">Risklog!P53</f>
        <v/>
      </c>
      <c r="M42" s="1290" t="str">
        <f ca="1">Risklog!Q53</f>
        <v/>
      </c>
      <c r="N42" s="1291"/>
      <c r="O42" s="1292" t="str">
        <f ca="1">Risklog!R53</f>
        <v/>
      </c>
      <c r="P42" s="1292"/>
    </row>
    <row r="43" spans="1:16" ht="111.75" customHeight="1" thickBot="1">
      <c r="A43" s="689" t="str">
        <f ca="1">"(" &amp; TEXT(Risklog!E54,"#") &amp; ") - " &amp; Risklog!F54</f>
        <v xml:space="preserve">() - </v>
      </c>
      <c r="B43" s="689" t="str">
        <f ca="1">Risklog!G54</f>
        <v/>
      </c>
      <c r="C43" s="1256" t="str">
        <f ca="1">Risklog!H54</f>
        <v/>
      </c>
      <c r="D43" s="1257"/>
      <c r="E43" s="1256" t="str">
        <f ca="1">Risklog!I54</f>
        <v/>
      </c>
      <c r="F43" s="1257"/>
      <c r="G43" s="1256" t="str">
        <f ca="1">Risklog!J54</f>
        <v/>
      </c>
      <c r="H43" s="1257"/>
      <c r="I43" s="695" t="str">
        <f ca="1">Risklog!K54</f>
        <v/>
      </c>
      <c r="J43" s="696" t="str">
        <f ca="1">Risklog!N54</f>
        <v/>
      </c>
      <c r="K43" s="690" t="str">
        <f ca="1">Risklog!O54</f>
        <v/>
      </c>
      <c r="L43" s="697" t="str">
        <f ca="1">Risklog!P54</f>
        <v/>
      </c>
      <c r="M43" s="1290" t="str">
        <f ca="1">Risklog!Q54</f>
        <v/>
      </c>
      <c r="N43" s="1291"/>
      <c r="O43" s="1292" t="str">
        <f ca="1">Risklog!R54</f>
        <v/>
      </c>
      <c r="P43" s="1292"/>
    </row>
    <row r="44" spans="1:16" ht="111.75" customHeight="1" thickBot="1">
      <c r="A44" s="689" t="str">
        <f ca="1">"(" &amp; TEXT(Risklog!E55,"#") &amp; ") - " &amp; Risklog!F55</f>
        <v xml:space="preserve">() - </v>
      </c>
      <c r="B44" s="689" t="str">
        <f ca="1">Risklog!G55</f>
        <v/>
      </c>
      <c r="C44" s="1256" t="str">
        <f ca="1">Risklog!H55</f>
        <v/>
      </c>
      <c r="D44" s="1257"/>
      <c r="E44" s="1256" t="str">
        <f ca="1">Risklog!I55</f>
        <v/>
      </c>
      <c r="F44" s="1257"/>
      <c r="G44" s="1256" t="str">
        <f ca="1">Risklog!J55</f>
        <v/>
      </c>
      <c r="H44" s="1257"/>
      <c r="I44" s="695" t="str">
        <f ca="1">Risklog!K55</f>
        <v/>
      </c>
      <c r="J44" s="696" t="str">
        <f ca="1">Risklog!N55</f>
        <v/>
      </c>
      <c r="K44" s="690" t="str">
        <f ca="1">Risklog!O55</f>
        <v/>
      </c>
      <c r="L44" s="697" t="str">
        <f ca="1">Risklog!P55</f>
        <v/>
      </c>
      <c r="M44" s="1290" t="str">
        <f ca="1">Risklog!Q55</f>
        <v/>
      </c>
      <c r="N44" s="1291"/>
      <c r="O44" s="1292" t="str">
        <f ca="1">Risklog!R55</f>
        <v/>
      </c>
      <c r="P44" s="1292"/>
    </row>
    <row r="45" spans="1:16" ht="111.75" customHeight="1" thickBot="1">
      <c r="A45" s="689" t="str">
        <f ca="1">"(" &amp; TEXT(Risklog!E56,"#") &amp; ") - " &amp; Risklog!F56</f>
        <v xml:space="preserve">() - </v>
      </c>
      <c r="B45" s="689" t="str">
        <f ca="1">Risklog!G56</f>
        <v/>
      </c>
      <c r="C45" s="1256" t="str">
        <f ca="1">Risklog!H56</f>
        <v/>
      </c>
      <c r="D45" s="1257"/>
      <c r="E45" s="1256" t="str">
        <f ca="1">Risklog!I56</f>
        <v/>
      </c>
      <c r="F45" s="1257"/>
      <c r="G45" s="1256" t="str">
        <f ca="1">Risklog!J56</f>
        <v/>
      </c>
      <c r="H45" s="1257"/>
      <c r="I45" s="695" t="str">
        <f ca="1">Risklog!K56</f>
        <v/>
      </c>
      <c r="J45" s="696" t="str">
        <f ca="1">Risklog!N56</f>
        <v/>
      </c>
      <c r="K45" s="690" t="str">
        <f ca="1">Risklog!O56</f>
        <v/>
      </c>
      <c r="L45" s="697" t="str">
        <f ca="1">Risklog!P56</f>
        <v/>
      </c>
      <c r="M45" s="1290" t="str">
        <f ca="1">Risklog!Q56</f>
        <v/>
      </c>
      <c r="N45" s="1291"/>
      <c r="O45" s="1292" t="str">
        <f ca="1">Risklog!R56</f>
        <v/>
      </c>
      <c r="P45" s="1292"/>
    </row>
    <row r="46" spans="1:16" ht="14.4" thickBot="1"/>
    <row r="47" spans="1:16" ht="16.2" thickBot="1">
      <c r="A47" s="1259" t="s">
        <v>764</v>
      </c>
      <c r="B47" s="1260"/>
      <c r="C47" s="1260"/>
      <c r="D47" s="1260"/>
      <c r="E47" s="1260"/>
      <c r="F47" s="1260"/>
      <c r="G47" s="1260"/>
      <c r="H47" s="1260"/>
      <c r="I47" s="1260"/>
      <c r="J47" s="1260"/>
      <c r="K47" s="1260"/>
      <c r="L47" s="1260"/>
      <c r="M47" s="1260"/>
      <c r="N47" s="1260"/>
      <c r="O47" s="1260"/>
      <c r="P47" s="1261"/>
    </row>
    <row r="48" spans="1:16" ht="60" customHeight="1">
      <c r="A48" s="657" t="str">
        <f>Descriptions!B5</f>
        <v>Functionality / Quality</v>
      </c>
      <c r="B48" s="691" t="str">
        <f>Descriptions!B47</f>
        <v/>
      </c>
      <c r="C48" s="1298" t="str">
        <f>Descriptions!C47</f>
        <v/>
      </c>
      <c r="D48" s="1299"/>
      <c r="E48" s="1299"/>
      <c r="F48" s="1299"/>
      <c r="G48" s="1299"/>
      <c r="H48" s="1300"/>
      <c r="I48" s="658"/>
      <c r="J48" s="659" t="str">
        <f>Descriptions!H46</f>
        <v>Meilensteine</v>
      </c>
      <c r="K48" s="691" t="str">
        <f>Descriptions!H47</f>
        <v/>
      </c>
      <c r="L48" s="1293" t="str">
        <f>Descriptions!I47</f>
        <v/>
      </c>
      <c r="M48" s="1294"/>
      <c r="N48" s="1294"/>
      <c r="O48" s="1294"/>
      <c r="P48" s="1295"/>
    </row>
    <row r="49" spans="1:16" ht="60" customHeight="1">
      <c r="A49" s="660" t="str">
        <f>Descriptions!D46</f>
        <v>Technik</v>
      </c>
      <c r="B49" s="692" t="str">
        <f>Descriptions!D47</f>
        <v/>
      </c>
      <c r="C49" s="1283" t="str">
        <f>Descriptions!E47</f>
        <v/>
      </c>
      <c r="D49" s="1284"/>
      <c r="E49" s="1284"/>
      <c r="F49" s="1284"/>
      <c r="G49" s="1284"/>
      <c r="H49" s="1285"/>
      <c r="I49" s="658"/>
      <c r="J49" s="661" t="str">
        <f>Descriptions!K46</f>
        <v>Open items</v>
      </c>
      <c r="K49" s="1286" t="str">
        <f>Descriptions!K47</f>
        <v/>
      </c>
      <c r="L49" s="1286"/>
      <c r="M49" s="1286"/>
      <c r="N49" s="1286"/>
      <c r="O49" s="1286"/>
      <c r="P49" s="1286"/>
    </row>
    <row r="50" spans="1:16" ht="60" customHeight="1">
      <c r="A50" s="660" t="str">
        <f>Descriptions!F46</f>
        <v>Ressourcen</v>
      </c>
      <c r="B50" s="692" t="str">
        <f>Descriptions!F47</f>
        <v/>
      </c>
      <c r="C50" s="1283" t="str">
        <f>Descriptions!G47</f>
        <v/>
      </c>
      <c r="D50" s="1284"/>
      <c r="E50" s="1284"/>
      <c r="F50" s="1284"/>
      <c r="G50" s="1284"/>
      <c r="H50" s="1285"/>
      <c r="I50" s="658"/>
      <c r="J50" s="661" t="str">
        <f>Descriptions!L46</f>
        <v>Next steps</v>
      </c>
      <c r="K50" s="1286" t="str">
        <f>Descriptions!L47</f>
        <v/>
      </c>
      <c r="L50" s="1286"/>
      <c r="M50" s="1286"/>
      <c r="N50" s="1286"/>
      <c r="O50" s="1286"/>
      <c r="P50" s="1286"/>
    </row>
    <row r="51" spans="1:16">
      <c r="A51" s="127"/>
      <c r="B51" s="127"/>
      <c r="C51" s="127"/>
      <c r="D51" s="127"/>
    </row>
  </sheetData>
  <sheetProtection algorithmName="SHA-512" hashValue="CFc1DXM2KorretKNvw6hUDgBAUCYujp+ETZNTa8AY+cx3muH5CgJi3IgKM4REUVZPG7qI9a4t2GsomVikoLRGA==" saltValue="R2nJvVLKDKdFQuuCuGnV0w==" spinCount="100000" sheet="1" objects="1" scenarios="1" formatCells="0"/>
  <mergeCells count="105">
    <mergeCell ref="L48:P48"/>
    <mergeCell ref="M40:N40"/>
    <mergeCell ref="A18:B18"/>
    <mergeCell ref="A16:B16"/>
    <mergeCell ref="A17:B17"/>
    <mergeCell ref="A20:B20"/>
    <mergeCell ref="A37:C37"/>
    <mergeCell ref="J32:L32"/>
    <mergeCell ref="A19:B19"/>
    <mergeCell ref="A24:B24"/>
    <mergeCell ref="A25:B25"/>
    <mergeCell ref="A21:B21"/>
    <mergeCell ref="J33:L33"/>
    <mergeCell ref="J34:L34"/>
    <mergeCell ref="J35:L35"/>
    <mergeCell ref="J36:L36"/>
    <mergeCell ref="J37:L37"/>
    <mergeCell ref="J31:L31"/>
    <mergeCell ref="C48:H48"/>
    <mergeCell ref="O43:P43"/>
    <mergeCell ref="O44:P44"/>
    <mergeCell ref="M43:N43"/>
    <mergeCell ref="C44:D44"/>
    <mergeCell ref="C45:D45"/>
    <mergeCell ref="C49:H49"/>
    <mergeCell ref="C50:H50"/>
    <mergeCell ref="K49:P49"/>
    <mergeCell ref="K50:P50"/>
    <mergeCell ref="A47:P47"/>
    <mergeCell ref="A39:P39"/>
    <mergeCell ref="O40:P40"/>
    <mergeCell ref="E40:F40"/>
    <mergeCell ref="M44:N44"/>
    <mergeCell ref="M45:N45"/>
    <mergeCell ref="C40:D40"/>
    <mergeCell ref="G40:H40"/>
    <mergeCell ref="O45:P45"/>
    <mergeCell ref="M41:N41"/>
    <mergeCell ref="G44:H44"/>
    <mergeCell ref="M42:N42"/>
    <mergeCell ref="C41:D41"/>
    <mergeCell ref="C42:D42"/>
    <mergeCell ref="C43:D43"/>
    <mergeCell ref="G45:H45"/>
    <mergeCell ref="E41:F41"/>
    <mergeCell ref="E42:F42"/>
    <mergeCell ref="O41:P41"/>
    <mergeCell ref="O42:P42"/>
    <mergeCell ref="A1:E1"/>
    <mergeCell ref="A2:E2"/>
    <mergeCell ref="O11:P11"/>
    <mergeCell ref="O12:P12"/>
    <mergeCell ref="M11:N11"/>
    <mergeCell ref="M12:N12"/>
    <mergeCell ref="G11:H11"/>
    <mergeCell ref="G12:H12"/>
    <mergeCell ref="C12:D12"/>
    <mergeCell ref="L6:M6"/>
    <mergeCell ref="C11:D11"/>
    <mergeCell ref="A11:B11"/>
    <mergeCell ref="A12:B12"/>
    <mergeCell ref="E11:F11"/>
    <mergeCell ref="E12:F12"/>
    <mergeCell ref="K11:L11"/>
    <mergeCell ref="K12:L12"/>
    <mergeCell ref="A5:P5"/>
    <mergeCell ref="N6:P6"/>
    <mergeCell ref="H7:J7"/>
    <mergeCell ref="H8:J8"/>
    <mergeCell ref="B6:D6"/>
    <mergeCell ref="B7:D7"/>
    <mergeCell ref="B8:D8"/>
    <mergeCell ref="F6:G6"/>
    <mergeCell ref="F7:G7"/>
    <mergeCell ref="F8:G8"/>
    <mergeCell ref="A36:C36"/>
    <mergeCell ref="G41:H41"/>
    <mergeCell ref="G42:H42"/>
    <mergeCell ref="G43:H43"/>
    <mergeCell ref="E43:F43"/>
    <mergeCell ref="E44:F44"/>
    <mergeCell ref="E45:F45"/>
    <mergeCell ref="H6:J6"/>
    <mergeCell ref="A10:P10"/>
    <mergeCell ref="L8:M8"/>
    <mergeCell ref="A14:P14"/>
    <mergeCell ref="A15:H15"/>
    <mergeCell ref="J15:P15"/>
    <mergeCell ref="J16:K16"/>
    <mergeCell ref="L7:M7"/>
    <mergeCell ref="J17:K17"/>
    <mergeCell ref="J18:K18"/>
    <mergeCell ref="A30:P30"/>
    <mergeCell ref="A31:C31"/>
    <mergeCell ref="A32:C32"/>
    <mergeCell ref="A33:C33"/>
    <mergeCell ref="A34:C34"/>
    <mergeCell ref="A35:C35"/>
    <mergeCell ref="A23:B23"/>
    <mergeCell ref="A22:B22"/>
    <mergeCell ref="N7:P7"/>
    <mergeCell ref="N8:P8"/>
    <mergeCell ref="J19:K19"/>
    <mergeCell ref="J20:K20"/>
    <mergeCell ref="J21:K21"/>
  </mergeCells>
  <conditionalFormatting sqref="B48:B50 H24:H29 O12 M12 G12 K12 A12 C12 P17:P23 E12 H17:H22 P32:P37 G32:G37">
    <cfRule type="cellIs" dxfId="64" priority="76" operator="equal">
      <formula>"Green"</formula>
    </cfRule>
    <cfRule type="cellIs" dxfId="63" priority="77" operator="equal">
      <formula>"Yellow"</formula>
    </cfRule>
    <cfRule type="cellIs" dxfId="62" priority="78" operator="equal">
      <formula>"Red"</formula>
    </cfRule>
  </conditionalFormatting>
  <conditionalFormatting sqref="J41:J45">
    <cfRule type="cellIs" dxfId="61" priority="55" stopIfTrue="1" operator="greaterThan">
      <formula>RRRed</formula>
    </cfRule>
    <cfRule type="cellIs" dxfId="60" priority="56" stopIfTrue="1" operator="between">
      <formula>RRYellowLow</formula>
      <formula>RRYellowHigh</formula>
    </cfRule>
    <cfRule type="cellIs" dxfId="59" priority="57" stopIfTrue="1" operator="lessThan">
      <formula>RRGray</formula>
    </cfRule>
  </conditionalFormatting>
  <conditionalFormatting sqref="L28">
    <cfRule type="cellIs" dxfId="58" priority="13" operator="greaterThan">
      <formula>0.08</formula>
    </cfRule>
    <cfRule type="cellIs" dxfId="57" priority="14" operator="between">
      <formula>0.04</formula>
      <formula>0.08</formula>
    </cfRule>
    <cfRule type="cellIs" dxfId="56" priority="15" operator="lessThan">
      <formula>0.04</formula>
    </cfRule>
  </conditionalFormatting>
  <conditionalFormatting sqref="M28">
    <cfRule type="cellIs" dxfId="55" priority="10" operator="lessThan">
      <formula>-0.1</formula>
    </cfRule>
    <cfRule type="cellIs" dxfId="54" priority="11" operator="between">
      <formula>-0.01</formula>
      <formula>-0.1</formula>
    </cfRule>
    <cfRule type="cellIs" dxfId="53" priority="12" operator="lessThan">
      <formula>0.01</formula>
    </cfRule>
  </conditionalFormatting>
  <conditionalFormatting sqref="N28">
    <cfRule type="cellIs" dxfId="52" priority="7" operator="lessThan">
      <formula>-0.1</formula>
    </cfRule>
    <cfRule type="cellIs" dxfId="51" priority="8" operator="between">
      <formula>-0.01</formula>
      <formula>-0.1</formula>
    </cfRule>
    <cfRule type="cellIs" dxfId="50" priority="9" operator="lessThan">
      <formula>0.01</formula>
    </cfRule>
  </conditionalFormatting>
  <conditionalFormatting sqref="O28">
    <cfRule type="cellIs" dxfId="49" priority="4" operator="lessThan">
      <formula>-0.1</formula>
    </cfRule>
    <cfRule type="cellIs" dxfId="48" priority="5" operator="between">
      <formula>-0.01</formula>
      <formula>-0.1</formula>
    </cfRule>
    <cfRule type="cellIs" dxfId="47" priority="6" operator="lessThan">
      <formula>0.01</formula>
    </cfRule>
  </conditionalFormatting>
  <conditionalFormatting sqref="K48">
    <cfRule type="cellIs" dxfId="46" priority="1" operator="equal">
      <formula>"Green"</formula>
    </cfRule>
    <cfRule type="cellIs" dxfId="45" priority="2" operator="equal">
      <formula>"Yellow"</formula>
    </cfRule>
    <cfRule type="cellIs" dxfId="44" priority="3" operator="equal">
      <formula>"Red"</formula>
    </cfRule>
  </conditionalFormatting>
  <printOptions horizontalCentered="1"/>
  <pageMargins left="0.23622047244094491" right="0.27559055118110237" top="0.78740157480314965" bottom="0.47244094488188981" header="0.31496062992125984" footer="0.31496062992125984"/>
  <pageSetup paperSize="9" scale="54" orientation="portrait" horizontalDpi="1200" verticalDpi="1200" r:id="rId1"/>
  <customProperties>
    <customPr name="Guid" r:id="rId2"/>
  </customProperties>
  <drawing r:id="rId3"/>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4" tint="0.39997558519241921"/>
    <pageSetUpPr fitToPage="1"/>
  </sheetPr>
  <dimension ref="A1:T4"/>
  <sheetViews>
    <sheetView zoomScale="85" zoomScaleNormal="85" workbookViewId="0">
      <selection activeCell="A3" sqref="A3"/>
    </sheetView>
  </sheetViews>
  <sheetFormatPr defaultColWidth="11.44140625" defaultRowHeight="13.8"/>
  <cols>
    <col min="1" max="1" width="25.6640625" style="126" customWidth="1"/>
    <col min="2" max="2" width="13" style="126" customWidth="1"/>
    <col min="3" max="5" width="16.44140625" style="126" customWidth="1"/>
    <col min="6" max="6" width="11.44140625" style="126"/>
    <col min="7" max="7" width="12.44140625" style="126" bestFit="1" customWidth="1"/>
    <col min="8" max="8" width="13.5546875" style="126" bestFit="1" customWidth="1"/>
    <col min="9" max="16384" width="11.44140625" style="126"/>
  </cols>
  <sheetData>
    <row r="1" spans="1:20"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0"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54" t="s">
        <v>1519</v>
      </c>
      <c r="I3" s="126"/>
      <c r="J3" s="126"/>
      <c r="K3" s="126"/>
      <c r="L3" s="126"/>
      <c r="M3" s="126"/>
      <c r="N3" s="126"/>
      <c r="O3" s="126"/>
      <c r="P3" s="126"/>
      <c r="Q3" s="126"/>
      <c r="R3" s="126"/>
      <c r="S3" s="126"/>
      <c r="T3" s="126"/>
    </row>
    <row r="4" spans="1:20" s="153" customFormat="1" ht="15" customHeight="1">
      <c r="A4" s="126"/>
      <c r="B4" s="126"/>
      <c r="C4" s="126"/>
      <c r="D4" s="126"/>
      <c r="E4" s="126"/>
      <c r="F4" s="126"/>
      <c r="G4" s="126"/>
      <c r="H4" s="126"/>
      <c r="I4" s="126"/>
      <c r="J4" s="126"/>
      <c r="K4" s="126"/>
      <c r="L4" s="126"/>
      <c r="M4" s="126"/>
      <c r="N4" s="126"/>
      <c r="O4" s="126"/>
      <c r="P4" s="126"/>
      <c r="Q4" s="126"/>
      <c r="R4" s="126"/>
      <c r="S4" s="126"/>
      <c r="T4" s="126"/>
    </row>
  </sheetData>
  <sheetProtection algorithmName="SHA-512" hashValue="HUQHuMhrtgIcFse9YKc+98QvrunHiJ6kCx1srYM+ir+05s6Th/c1mbMu4LCfzwkj0x8Ho6ZF7RBnMntpTFSyCQ==" saltValue="Jrr7g/5u+k/7+DiCQRgXDg==" spinCount="100000" sheet="1" objects="1" scenarios="1" formatCells="0"/>
  <mergeCells count="2">
    <mergeCell ref="A1:E1"/>
    <mergeCell ref="A2:E2"/>
  </mergeCells>
  <printOptions horizontalCentered="1"/>
  <pageMargins left="0.31496062992125984" right="0.31496062992125984" top="0.39370078740157483" bottom="0.39370078740157483" header="0.31496062992125984" footer="0.31496062992125984"/>
  <pageSetup paperSize="9" scale="59" orientation="landscape" horizontalDpi="1200" verticalDpi="1200" r:id="rId1"/>
  <customProperties>
    <customPr name="Gu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4" tint="0.39997558519241921"/>
    <pageSetUpPr fitToPage="1"/>
  </sheetPr>
  <dimension ref="A1:T45"/>
  <sheetViews>
    <sheetView zoomScale="95" zoomScaleNormal="95" workbookViewId="0">
      <selection activeCell="A3" sqref="A3"/>
    </sheetView>
  </sheetViews>
  <sheetFormatPr defaultColWidth="11.44140625" defaultRowHeight="13.8"/>
  <cols>
    <col min="1" max="5" width="11.44140625" style="126" customWidth="1"/>
    <col min="6" max="6" width="11.44140625" style="126"/>
    <col min="7" max="8" width="11.44140625" style="126" customWidth="1"/>
    <col min="9" max="16384" width="11.44140625" style="126"/>
  </cols>
  <sheetData>
    <row r="1" spans="1:20"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0"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54" t="s">
        <v>1520</v>
      </c>
      <c r="I3" s="126"/>
      <c r="J3" s="126"/>
      <c r="K3" s="126"/>
      <c r="L3" s="126"/>
      <c r="M3" s="126"/>
      <c r="N3" s="126"/>
      <c r="O3" s="126"/>
      <c r="P3" s="126"/>
      <c r="Q3" s="126"/>
      <c r="R3" s="126"/>
      <c r="S3" s="126"/>
      <c r="T3" s="126"/>
    </row>
    <row r="4" spans="1:20" s="153" customFormat="1" ht="15" customHeight="1" thickBot="1">
      <c r="A4" s="126"/>
      <c r="B4" s="126"/>
      <c r="C4" s="126"/>
      <c r="D4" s="126"/>
      <c r="E4" s="126"/>
      <c r="F4" s="126"/>
      <c r="G4" s="126"/>
      <c r="H4" s="126"/>
      <c r="I4" s="126"/>
      <c r="J4" s="126"/>
      <c r="K4" s="126"/>
      <c r="L4" s="126"/>
      <c r="M4" s="126"/>
      <c r="N4" s="126"/>
      <c r="O4" s="126"/>
      <c r="P4" s="126"/>
      <c r="Q4" s="126"/>
      <c r="R4" s="126"/>
      <c r="S4" s="126"/>
      <c r="T4" s="126"/>
    </row>
    <row r="5" spans="1:20" ht="16.2" thickBot="1">
      <c r="A5" s="1259" t="s">
        <v>252</v>
      </c>
      <c r="B5" s="1260"/>
      <c r="C5" s="1260"/>
      <c r="D5" s="1260"/>
      <c r="E5" s="1260"/>
      <c r="F5" s="1260"/>
      <c r="G5" s="1260"/>
      <c r="H5" s="1260"/>
      <c r="I5" s="1260"/>
      <c r="J5" s="1260"/>
      <c r="K5" s="1260"/>
      <c r="L5" s="1260"/>
      <c r="M5" s="1260"/>
      <c r="N5" s="1260"/>
      <c r="O5" s="1260"/>
      <c r="P5" s="1261"/>
    </row>
    <row r="6" spans="1:20">
      <c r="A6" s="703" t="s">
        <v>253</v>
      </c>
      <c r="B6" s="1282" t="str">
        <f>MDCustomerContact</f>
        <v>Stefan Mittermayr</v>
      </c>
      <c r="C6" s="1282"/>
      <c r="D6" s="1282"/>
      <c r="E6" s="662"/>
      <c r="F6" s="1258" t="s">
        <v>254</v>
      </c>
      <c r="G6" s="1258"/>
      <c r="H6" s="1258" t="str">
        <f>MDAccountManager</f>
        <v>Claude-Alain Glauser</v>
      </c>
      <c r="I6" s="1258"/>
      <c r="J6" s="1258"/>
      <c r="L6" s="1280" t="s">
        <v>255</v>
      </c>
      <c r="M6" s="1280"/>
      <c r="N6" s="1281" t="str">
        <f>MDProjectTerm</f>
        <v>01.05.2014 - 30.08.2014</v>
      </c>
      <c r="O6" s="1281"/>
      <c r="P6" s="1281"/>
    </row>
    <row r="7" spans="1:20">
      <c r="A7" s="663" t="s">
        <v>256</v>
      </c>
      <c r="B7" s="912" t="str">
        <f>MDProjectType</f>
        <v>AD</v>
      </c>
      <c r="C7" s="912"/>
      <c r="D7" s="912"/>
      <c r="E7" s="662"/>
      <c r="F7" s="912" t="s">
        <v>257</v>
      </c>
      <c r="G7" s="912"/>
      <c r="H7" s="912" t="str">
        <f>MDProjectOwner</f>
        <v>Claude-Alain Glauser</v>
      </c>
      <c r="I7" s="912"/>
      <c r="J7" s="912"/>
      <c r="L7" s="912" t="s">
        <v>258</v>
      </c>
      <c r="M7" s="912"/>
      <c r="N7" s="912">
        <f>MDSAPNumber</f>
        <v>2849</v>
      </c>
      <c r="O7" s="912"/>
      <c r="P7" s="912"/>
    </row>
    <row r="8" spans="1:20">
      <c r="A8" s="663" t="s">
        <v>259</v>
      </c>
      <c r="B8" s="912" t="str">
        <f>MDContractType</f>
        <v>Fixpreis</v>
      </c>
      <c r="C8" s="912"/>
      <c r="D8" s="912"/>
      <c r="E8" s="662"/>
      <c r="F8" s="912" t="s">
        <v>260</v>
      </c>
      <c r="G8" s="912"/>
      <c r="H8" s="912" t="str">
        <f>MDProjectManager</f>
        <v>Gille di Domenico</v>
      </c>
      <c r="I8" s="912"/>
      <c r="J8" s="912"/>
      <c r="L8" s="912" t="s">
        <v>261</v>
      </c>
      <c r="M8" s="912"/>
      <c r="N8" s="912" t="str">
        <f>MDContractCurrency</f>
        <v>CHF</v>
      </c>
      <c r="O8" s="912"/>
      <c r="P8" s="912"/>
    </row>
    <row r="9" spans="1:20" ht="14.4" thickBot="1">
      <c r="A9" s="668"/>
      <c r="B9" s="668"/>
      <c r="C9" s="704"/>
      <c r="D9" s="704"/>
      <c r="E9" s="704"/>
      <c r="F9" s="665"/>
      <c r="G9" s="665"/>
    </row>
    <row r="10" spans="1:20" ht="16.2" thickBot="1">
      <c r="A10" s="1259" t="s">
        <v>270</v>
      </c>
      <c r="B10" s="1260"/>
      <c r="C10" s="1270"/>
      <c r="D10" s="1270"/>
      <c r="E10" s="1270"/>
      <c r="F10" s="1270"/>
      <c r="G10" s="1270"/>
      <c r="H10" s="1270"/>
      <c r="I10" s="1270"/>
      <c r="J10" s="1270"/>
      <c r="K10" s="1270"/>
      <c r="L10" s="1270"/>
      <c r="M10" s="1270"/>
      <c r="N10" s="1270"/>
      <c r="O10" s="1270"/>
      <c r="P10" s="1307"/>
    </row>
    <row r="11" spans="1:20">
      <c r="A11" s="1303" t="s">
        <v>271</v>
      </c>
      <c r="B11" s="1304"/>
      <c r="C11" s="1267" t="s">
        <v>272</v>
      </c>
      <c r="D11" s="1301"/>
      <c r="E11" s="1301"/>
      <c r="F11" s="1301"/>
      <c r="G11" s="1268"/>
      <c r="H11" s="1267" t="s">
        <v>273</v>
      </c>
      <c r="I11" s="1301"/>
      <c r="J11" s="1301"/>
      <c r="K11" s="1301"/>
      <c r="L11" s="1268"/>
      <c r="M11" s="1302" t="s">
        <v>274</v>
      </c>
      <c r="N11" s="1302"/>
      <c r="O11" s="1302"/>
      <c r="P11" s="1302"/>
    </row>
    <row r="12" spans="1:20" ht="26.4">
      <c r="A12" s="1305"/>
      <c r="B12" s="1306"/>
      <c r="C12" s="705" t="s">
        <v>275</v>
      </c>
      <c r="D12" s="705" t="s">
        <v>276</v>
      </c>
      <c r="E12" s="705" t="s">
        <v>277</v>
      </c>
      <c r="F12" s="705" t="s">
        <v>278</v>
      </c>
      <c r="G12" s="705" t="s">
        <v>279</v>
      </c>
      <c r="H12" s="705" t="s">
        <v>280</v>
      </c>
      <c r="I12" s="705" t="s">
        <v>281</v>
      </c>
      <c r="J12" s="705" t="s">
        <v>282</v>
      </c>
      <c r="K12" s="705" t="s">
        <v>283</v>
      </c>
      <c r="L12" s="705" t="s">
        <v>284</v>
      </c>
      <c r="M12" s="705" t="s">
        <v>285</v>
      </c>
      <c r="N12" s="705" t="s">
        <v>286</v>
      </c>
      <c r="O12" s="705" t="s">
        <v>287</v>
      </c>
      <c r="P12" s="705" t="s">
        <v>288</v>
      </c>
    </row>
    <row r="13" spans="1:20">
      <c r="A13" s="1308" t="str">
        <f>'Delivery Calculation'!A7</f>
        <v xml:space="preserve">Travel </v>
      </c>
      <c r="B13" s="1308"/>
      <c r="C13" s="706">
        <f>'Actual Value'!AS19</f>
        <v>0</v>
      </c>
      <c r="D13" s="706">
        <f>'Actual Value'!AQ19+'Actual Value'!AQ20</f>
        <v>0</v>
      </c>
      <c r="E13" s="706">
        <f>'Actual Value'!AR19+'Actual Value'!AR20</f>
        <v>0</v>
      </c>
      <c r="F13" s="707">
        <f t="shared" ref="F13:F43" si="0">C13-(D13+E13)</f>
        <v>0</v>
      </c>
      <c r="G13" s="708" t="str">
        <f t="shared" ref="G13:G43" si="1">IF(C13&gt;0,IF(OR(F13/C13&lt;=RatingPlannedActualRed,AND(C13=0,F13&gt;0)),"Red",IF(AND(F13/C13&lt;=RatingPlannedActualYellow,SUM(C13:E13)&gt;0),"Yellow", "Green")),"")</f>
        <v/>
      </c>
      <c r="H13" s="706"/>
      <c r="I13" s="706"/>
      <c r="J13" s="706"/>
      <c r="K13" s="706"/>
      <c r="L13" s="706"/>
      <c r="M13" s="709"/>
      <c r="N13" s="709"/>
      <c r="O13" s="709"/>
      <c r="P13" s="709"/>
    </row>
    <row r="14" spans="1:20">
      <c r="A14" s="1308" t="str">
        <f>'Delivery Calculation'!B13</f>
        <v>GEFI Migration</v>
      </c>
      <c r="B14" s="1308"/>
      <c r="C14" s="706">
        <f ca="1">'Actual Value'!AS30</f>
        <v>93800</v>
      </c>
      <c r="D14" s="706">
        <f>'Actual Value'!AQ30+'Actual Value'!AQ31</f>
        <v>0</v>
      </c>
      <c r="E14" s="706">
        <f ca="1">'Actual Value'!AR30+'Actual Value'!AR31</f>
        <v>0</v>
      </c>
      <c r="F14" s="707">
        <f t="shared" ca="1" si="0"/>
        <v>93800</v>
      </c>
      <c r="G14" s="708" t="str">
        <f t="shared" ca="1" si="1"/>
        <v>Green</v>
      </c>
      <c r="H14" s="706">
        <f>'Actual Value'!AS29</f>
        <v>584</v>
      </c>
      <c r="I14" s="706">
        <f>'Actual Value'!AQ29</f>
        <v>0</v>
      </c>
      <c r="J14" s="706">
        <f>'Actual Value'!AR29</f>
        <v>0</v>
      </c>
      <c r="K14" s="707">
        <f t="shared" ref="K14:K43" si="2">H14-(I14+J14)</f>
        <v>584</v>
      </c>
      <c r="L14" s="708" t="str">
        <f t="shared" ref="L14:L43" si="3">IF(H14&gt;0,IF(OR(K14/H14&lt;=RatingPlannedActualRed,AND(H14=0,K14&gt;0)),"Red",IF(AND(K14/H14&lt;=RatingPlannedActualYellow,SUM(H14:J14)&gt;0),"Yellow", "Green")),"")</f>
        <v>Green</v>
      </c>
      <c r="M14" s="710">
        <f>'Actual Value'!AQ28</f>
        <v>0</v>
      </c>
      <c r="N14" s="710">
        <f ca="1">IF(C14&gt;0,D14/C14,0)</f>
        <v>0</v>
      </c>
      <c r="O14" s="710">
        <f>IF(H14&gt;0,I14/H14,0)</f>
        <v>0</v>
      </c>
      <c r="P14" s="710">
        <f ca="1">IF(C14&gt;0,(D14+E14)/C14,0)</f>
        <v>0</v>
      </c>
    </row>
    <row r="15" spans="1:20">
      <c r="A15" s="1308">
        <f>'Delivery Calculation'!B14</f>
        <v>0</v>
      </c>
      <c r="B15" s="1308"/>
      <c r="C15" s="706">
        <f>'Actual Value'!AS41</f>
        <v>0</v>
      </c>
      <c r="D15" s="706">
        <f>'Actual Value'!AQ41+'Actual Value'!AQ42</f>
        <v>0</v>
      </c>
      <c r="E15" s="706">
        <f>'Actual Value'!AR41+'Actual Value'!AR42</f>
        <v>0</v>
      </c>
      <c r="F15" s="707">
        <f t="shared" si="0"/>
        <v>0</v>
      </c>
      <c r="G15" s="708" t="str">
        <f t="shared" si="1"/>
        <v/>
      </c>
      <c r="H15" s="706">
        <f>'Actual Value'!AS40</f>
        <v>0</v>
      </c>
      <c r="I15" s="706">
        <f>'Actual Value'!AQ40</f>
        <v>0</v>
      </c>
      <c r="J15" s="706">
        <f>'Actual Value'!AR40</f>
        <v>0</v>
      </c>
      <c r="K15" s="707">
        <f t="shared" si="2"/>
        <v>0</v>
      </c>
      <c r="L15" s="708" t="str">
        <f t="shared" si="3"/>
        <v/>
      </c>
      <c r="M15" s="710">
        <f>'Actual Value'!AQ39</f>
        <v>0</v>
      </c>
      <c r="N15" s="710">
        <f t="shared" ref="N15:N43" si="4">IF(C15&gt;0,D15/C15,0)</f>
        <v>0</v>
      </c>
      <c r="O15" s="710">
        <f t="shared" ref="O15:O43" si="5">IF(H15&gt;0,I15/H15,0)</f>
        <v>0</v>
      </c>
      <c r="P15" s="710">
        <f t="shared" ref="P15:P43" si="6">IF(C15&gt;0,(D15+E15)/C15,0)</f>
        <v>0</v>
      </c>
    </row>
    <row r="16" spans="1:20">
      <c r="A16" s="1308">
        <f>'Delivery Calculation'!B15</f>
        <v>0</v>
      </c>
      <c r="B16" s="1308"/>
      <c r="C16" s="706">
        <f>'Actual Value'!AS52</f>
        <v>0</v>
      </c>
      <c r="D16" s="706">
        <f>'Actual Value'!AQ52+'Actual Value'!AQ53</f>
        <v>0</v>
      </c>
      <c r="E16" s="706">
        <f>'Actual Value'!AR52+'Actual Value'!AR53</f>
        <v>0</v>
      </c>
      <c r="F16" s="707">
        <f t="shared" si="0"/>
        <v>0</v>
      </c>
      <c r="G16" s="708" t="str">
        <f t="shared" si="1"/>
        <v/>
      </c>
      <c r="H16" s="706">
        <f>'Actual Value'!AS51</f>
        <v>0</v>
      </c>
      <c r="I16" s="706">
        <f>'Actual Value'!AQ51</f>
        <v>0</v>
      </c>
      <c r="J16" s="706">
        <f>'Actual Value'!AR51</f>
        <v>0</v>
      </c>
      <c r="K16" s="707">
        <f t="shared" si="2"/>
        <v>0</v>
      </c>
      <c r="L16" s="708" t="str">
        <f t="shared" si="3"/>
        <v/>
      </c>
      <c r="M16" s="710">
        <f>'Actual Value'!AQ50</f>
        <v>0</v>
      </c>
      <c r="N16" s="710">
        <f t="shared" si="4"/>
        <v>0</v>
      </c>
      <c r="O16" s="710">
        <f t="shared" si="5"/>
        <v>0</v>
      </c>
      <c r="P16" s="710">
        <f t="shared" si="6"/>
        <v>0</v>
      </c>
    </row>
    <row r="17" spans="1:16">
      <c r="A17" s="1308">
        <f>'Delivery Calculation'!B16</f>
        <v>0</v>
      </c>
      <c r="B17" s="1308"/>
      <c r="C17" s="706">
        <f>'Actual Value'!AS63</f>
        <v>0</v>
      </c>
      <c r="D17" s="706">
        <f>'Actual Value'!AQ63+'Actual Value'!AQ64</f>
        <v>0</v>
      </c>
      <c r="E17" s="706">
        <f>'Actual Value'!AR63+'Actual Value'!AR64</f>
        <v>0</v>
      </c>
      <c r="F17" s="707">
        <f t="shared" si="0"/>
        <v>0</v>
      </c>
      <c r="G17" s="708" t="str">
        <f t="shared" si="1"/>
        <v/>
      </c>
      <c r="H17" s="706">
        <f>'Actual Value'!AS62</f>
        <v>0</v>
      </c>
      <c r="I17" s="706">
        <f>'Actual Value'!AQ62</f>
        <v>0</v>
      </c>
      <c r="J17" s="706">
        <f>'Actual Value'!AR62</f>
        <v>0</v>
      </c>
      <c r="K17" s="707">
        <f t="shared" si="2"/>
        <v>0</v>
      </c>
      <c r="L17" s="708" t="str">
        <f t="shared" si="3"/>
        <v/>
      </c>
      <c r="M17" s="710">
        <f>'Actual Value'!AQ61</f>
        <v>0</v>
      </c>
      <c r="N17" s="710">
        <f t="shared" si="4"/>
        <v>0</v>
      </c>
      <c r="O17" s="710">
        <f t="shared" si="5"/>
        <v>0</v>
      </c>
      <c r="P17" s="710">
        <f t="shared" si="6"/>
        <v>0</v>
      </c>
    </row>
    <row r="18" spans="1:16">
      <c r="A18" s="1308">
        <f>'Delivery Calculation'!B17</f>
        <v>0</v>
      </c>
      <c r="B18" s="1308"/>
      <c r="C18" s="706">
        <f>'Actual Value'!AS74</f>
        <v>0</v>
      </c>
      <c r="D18" s="706">
        <f>'Actual Value'!AQ74+'Actual Value'!AQ75</f>
        <v>0</v>
      </c>
      <c r="E18" s="706">
        <f>'Actual Value'!AR74+'Actual Value'!AR75</f>
        <v>0</v>
      </c>
      <c r="F18" s="707">
        <f t="shared" si="0"/>
        <v>0</v>
      </c>
      <c r="G18" s="708" t="str">
        <f t="shared" si="1"/>
        <v/>
      </c>
      <c r="H18" s="706">
        <f>'Actual Value'!AS73</f>
        <v>0</v>
      </c>
      <c r="I18" s="706">
        <f>'Actual Value'!AQ73</f>
        <v>0</v>
      </c>
      <c r="J18" s="706">
        <f>'Actual Value'!AR73</f>
        <v>0</v>
      </c>
      <c r="K18" s="707">
        <f t="shared" si="2"/>
        <v>0</v>
      </c>
      <c r="L18" s="708" t="str">
        <f t="shared" si="3"/>
        <v/>
      </c>
      <c r="M18" s="710">
        <f>'Actual Value'!AQ72</f>
        <v>0</v>
      </c>
      <c r="N18" s="710">
        <f t="shared" si="4"/>
        <v>0</v>
      </c>
      <c r="O18" s="710">
        <f t="shared" si="5"/>
        <v>0</v>
      </c>
      <c r="P18" s="710">
        <f t="shared" si="6"/>
        <v>0</v>
      </c>
    </row>
    <row r="19" spans="1:16">
      <c r="A19" s="1308">
        <f>'Delivery Calculation'!B18</f>
        <v>0</v>
      </c>
      <c r="B19" s="1308"/>
      <c r="C19" s="706">
        <f>'Actual Value'!AS85</f>
        <v>0</v>
      </c>
      <c r="D19" s="706">
        <f>'Actual Value'!AQ85+'Actual Value'!AQ86</f>
        <v>0</v>
      </c>
      <c r="E19" s="706">
        <f>'Actual Value'!AR85+'Actual Value'!AR86</f>
        <v>0</v>
      </c>
      <c r="F19" s="707">
        <f t="shared" si="0"/>
        <v>0</v>
      </c>
      <c r="G19" s="708" t="str">
        <f t="shared" si="1"/>
        <v/>
      </c>
      <c r="H19" s="706">
        <f>'Actual Value'!AS84</f>
        <v>0</v>
      </c>
      <c r="I19" s="706">
        <f>'Actual Value'!AQ84</f>
        <v>0</v>
      </c>
      <c r="J19" s="706">
        <f>'Actual Value'!AR84</f>
        <v>0</v>
      </c>
      <c r="K19" s="707">
        <f t="shared" si="2"/>
        <v>0</v>
      </c>
      <c r="L19" s="708" t="str">
        <f t="shared" si="3"/>
        <v/>
      </c>
      <c r="M19" s="710">
        <f>'Actual Value'!AQ83</f>
        <v>0</v>
      </c>
      <c r="N19" s="710">
        <f t="shared" si="4"/>
        <v>0</v>
      </c>
      <c r="O19" s="710">
        <f t="shared" si="5"/>
        <v>0</v>
      </c>
      <c r="P19" s="710">
        <f t="shared" si="6"/>
        <v>0</v>
      </c>
    </row>
    <row r="20" spans="1:16">
      <c r="A20" s="1308">
        <f>'Delivery Calculation'!B19</f>
        <v>0</v>
      </c>
      <c r="B20" s="1308"/>
      <c r="C20" s="706">
        <f>'Actual Value'!AS96</f>
        <v>0</v>
      </c>
      <c r="D20" s="706">
        <f>'Actual Value'!AQ96+'Actual Value'!AQ97</f>
        <v>0</v>
      </c>
      <c r="E20" s="706">
        <f>'Actual Value'!AR96+'Actual Value'!AR97</f>
        <v>0</v>
      </c>
      <c r="F20" s="707">
        <f t="shared" si="0"/>
        <v>0</v>
      </c>
      <c r="G20" s="708" t="str">
        <f t="shared" si="1"/>
        <v/>
      </c>
      <c r="H20" s="706">
        <f>'Actual Value'!AS95</f>
        <v>0</v>
      </c>
      <c r="I20" s="706">
        <f>'Actual Value'!AQ95</f>
        <v>0</v>
      </c>
      <c r="J20" s="706">
        <f>'Actual Value'!AR95</f>
        <v>0</v>
      </c>
      <c r="K20" s="707">
        <f t="shared" si="2"/>
        <v>0</v>
      </c>
      <c r="L20" s="708" t="str">
        <f t="shared" si="3"/>
        <v/>
      </c>
      <c r="M20" s="710">
        <f>'Actual Value'!AQ94</f>
        <v>0</v>
      </c>
      <c r="N20" s="710">
        <f t="shared" si="4"/>
        <v>0</v>
      </c>
      <c r="O20" s="710">
        <f t="shared" si="5"/>
        <v>0</v>
      </c>
      <c r="P20" s="710">
        <f t="shared" si="6"/>
        <v>0</v>
      </c>
    </row>
    <row r="21" spans="1:16">
      <c r="A21" s="1308">
        <f>'Delivery Calculation'!B20</f>
        <v>0</v>
      </c>
      <c r="B21" s="1308"/>
      <c r="C21" s="706">
        <f>'Actual Value'!AS107</f>
        <v>0</v>
      </c>
      <c r="D21" s="706">
        <f>'Actual Value'!AQ107+'Actual Value'!AQ108</f>
        <v>0</v>
      </c>
      <c r="E21" s="706">
        <f>'Actual Value'!AR107+'Actual Value'!AR108</f>
        <v>0</v>
      </c>
      <c r="F21" s="707">
        <f t="shared" si="0"/>
        <v>0</v>
      </c>
      <c r="G21" s="708" t="str">
        <f t="shared" si="1"/>
        <v/>
      </c>
      <c r="H21" s="706">
        <f>'Actual Value'!AS106</f>
        <v>0</v>
      </c>
      <c r="I21" s="706">
        <f>'Actual Value'!AQ106</f>
        <v>0</v>
      </c>
      <c r="J21" s="706">
        <f>'Actual Value'!AR106</f>
        <v>0</v>
      </c>
      <c r="K21" s="707">
        <f t="shared" si="2"/>
        <v>0</v>
      </c>
      <c r="L21" s="708" t="str">
        <f t="shared" si="3"/>
        <v/>
      </c>
      <c r="M21" s="710">
        <f>'Actual Value'!AQ105</f>
        <v>0</v>
      </c>
      <c r="N21" s="710">
        <f t="shared" si="4"/>
        <v>0</v>
      </c>
      <c r="O21" s="710">
        <f t="shared" si="5"/>
        <v>0</v>
      </c>
      <c r="P21" s="710">
        <f t="shared" si="6"/>
        <v>0</v>
      </c>
    </row>
    <row r="22" spans="1:16">
      <c r="A22" s="1308">
        <f>'Delivery Calculation'!B21</f>
        <v>0</v>
      </c>
      <c r="B22" s="1308"/>
      <c r="C22" s="706">
        <f>'Actual Value'!AS118</f>
        <v>0</v>
      </c>
      <c r="D22" s="706">
        <f>'Actual Value'!AQ118+'Actual Value'!AQ119</f>
        <v>0</v>
      </c>
      <c r="E22" s="706">
        <f>'Actual Value'!AR118+'Actual Value'!AR119</f>
        <v>0</v>
      </c>
      <c r="F22" s="707">
        <f t="shared" si="0"/>
        <v>0</v>
      </c>
      <c r="G22" s="708" t="str">
        <f t="shared" si="1"/>
        <v/>
      </c>
      <c r="H22" s="706">
        <f>'Actual Value'!AS117</f>
        <v>0</v>
      </c>
      <c r="I22" s="706">
        <f>'Actual Value'!AQ117</f>
        <v>0</v>
      </c>
      <c r="J22" s="706">
        <f>'Actual Value'!AR117</f>
        <v>0</v>
      </c>
      <c r="K22" s="707">
        <f t="shared" si="2"/>
        <v>0</v>
      </c>
      <c r="L22" s="708" t="str">
        <f t="shared" si="3"/>
        <v/>
      </c>
      <c r="M22" s="710">
        <f>'Actual Value'!AQ116</f>
        <v>0</v>
      </c>
      <c r="N22" s="710">
        <f t="shared" si="4"/>
        <v>0</v>
      </c>
      <c r="O22" s="710">
        <f t="shared" si="5"/>
        <v>0</v>
      </c>
      <c r="P22" s="710">
        <f t="shared" si="6"/>
        <v>0</v>
      </c>
    </row>
    <row r="23" spans="1:16">
      <c r="A23" s="1308">
        <f>'Delivery Calculation'!B22</f>
        <v>0</v>
      </c>
      <c r="B23" s="1308"/>
      <c r="C23" s="706">
        <f>'Actual Value'!AS129</f>
        <v>0</v>
      </c>
      <c r="D23" s="706">
        <f>'Actual Value'!AQ129+'Actual Value'!AQ130</f>
        <v>0</v>
      </c>
      <c r="E23" s="706">
        <f>'Actual Value'!AR129+'Actual Value'!AR130</f>
        <v>0</v>
      </c>
      <c r="F23" s="707">
        <f t="shared" si="0"/>
        <v>0</v>
      </c>
      <c r="G23" s="708" t="str">
        <f t="shared" si="1"/>
        <v/>
      </c>
      <c r="H23" s="706">
        <f>'Actual Value'!AS128</f>
        <v>0</v>
      </c>
      <c r="I23" s="706">
        <f>'Actual Value'!AQ128</f>
        <v>0</v>
      </c>
      <c r="J23" s="706">
        <f>'Actual Value'!AR128</f>
        <v>0</v>
      </c>
      <c r="K23" s="707">
        <f t="shared" si="2"/>
        <v>0</v>
      </c>
      <c r="L23" s="708" t="str">
        <f t="shared" si="3"/>
        <v/>
      </c>
      <c r="M23" s="710">
        <f>'Actual Value'!AQ127</f>
        <v>0</v>
      </c>
      <c r="N23" s="710">
        <f t="shared" si="4"/>
        <v>0</v>
      </c>
      <c r="O23" s="710">
        <f t="shared" si="5"/>
        <v>0</v>
      </c>
      <c r="P23" s="710">
        <f t="shared" si="6"/>
        <v>0</v>
      </c>
    </row>
    <row r="24" spans="1:16">
      <c r="A24" s="1308">
        <f>'Delivery Calculation'!B23</f>
        <v>0</v>
      </c>
      <c r="B24" s="1308"/>
      <c r="C24" s="706">
        <f>'Actual Value'!AS140</f>
        <v>0</v>
      </c>
      <c r="D24" s="706">
        <f>'Actual Value'!AQ140+'Actual Value'!AQ141</f>
        <v>0</v>
      </c>
      <c r="E24" s="706">
        <f>'Actual Value'!AR140+'Actual Value'!AR141</f>
        <v>0</v>
      </c>
      <c r="F24" s="707">
        <f t="shared" si="0"/>
        <v>0</v>
      </c>
      <c r="G24" s="708" t="str">
        <f t="shared" si="1"/>
        <v/>
      </c>
      <c r="H24" s="706">
        <f>'Actual Value'!AS139</f>
        <v>0</v>
      </c>
      <c r="I24" s="706">
        <f>'Actual Value'!AQ139</f>
        <v>0</v>
      </c>
      <c r="J24" s="706">
        <f>'Actual Value'!AR139</f>
        <v>0</v>
      </c>
      <c r="K24" s="707">
        <f t="shared" si="2"/>
        <v>0</v>
      </c>
      <c r="L24" s="708" t="str">
        <f t="shared" si="3"/>
        <v/>
      </c>
      <c r="M24" s="710">
        <f>'Actual Value'!AQ138</f>
        <v>0</v>
      </c>
      <c r="N24" s="710">
        <f t="shared" si="4"/>
        <v>0</v>
      </c>
      <c r="O24" s="710">
        <f t="shared" si="5"/>
        <v>0</v>
      </c>
      <c r="P24" s="710">
        <f t="shared" si="6"/>
        <v>0</v>
      </c>
    </row>
    <row r="25" spans="1:16">
      <c r="A25" s="1308">
        <f>'Delivery Calculation'!B24</f>
        <v>0</v>
      </c>
      <c r="B25" s="1308"/>
      <c r="C25" s="706">
        <f>'Actual Value'!AS151</f>
        <v>0</v>
      </c>
      <c r="D25" s="706">
        <f>'Actual Value'!AQ151+'Actual Value'!AQ152</f>
        <v>0</v>
      </c>
      <c r="E25" s="706">
        <f>'Actual Value'!AR151+'Actual Value'!AR152</f>
        <v>0</v>
      </c>
      <c r="F25" s="707">
        <f t="shared" si="0"/>
        <v>0</v>
      </c>
      <c r="G25" s="708" t="str">
        <f t="shared" si="1"/>
        <v/>
      </c>
      <c r="H25" s="706">
        <f>'Actual Value'!AS150</f>
        <v>0</v>
      </c>
      <c r="I25" s="706">
        <f>'Actual Value'!AQ150</f>
        <v>0</v>
      </c>
      <c r="J25" s="706">
        <f>'Actual Value'!AR150</f>
        <v>0</v>
      </c>
      <c r="K25" s="707">
        <f t="shared" si="2"/>
        <v>0</v>
      </c>
      <c r="L25" s="708" t="str">
        <f t="shared" si="3"/>
        <v/>
      </c>
      <c r="M25" s="710">
        <f>'Actual Value'!AQ149</f>
        <v>0</v>
      </c>
      <c r="N25" s="710">
        <f t="shared" si="4"/>
        <v>0</v>
      </c>
      <c r="O25" s="710">
        <f t="shared" si="5"/>
        <v>0</v>
      </c>
      <c r="P25" s="710">
        <f t="shared" si="6"/>
        <v>0</v>
      </c>
    </row>
    <row r="26" spans="1:16">
      <c r="A26" s="1308">
        <f>'Delivery Calculation'!B25</f>
        <v>0</v>
      </c>
      <c r="B26" s="1308"/>
      <c r="C26" s="706">
        <f>'Actual Value'!AS162</f>
        <v>0</v>
      </c>
      <c r="D26" s="706">
        <f>'Actual Value'!AQ162+'Actual Value'!AQ163</f>
        <v>0</v>
      </c>
      <c r="E26" s="706">
        <f>'Actual Value'!AR162+'Actual Value'!AR163</f>
        <v>0</v>
      </c>
      <c r="F26" s="707">
        <f t="shared" si="0"/>
        <v>0</v>
      </c>
      <c r="G26" s="708" t="str">
        <f t="shared" si="1"/>
        <v/>
      </c>
      <c r="H26" s="706">
        <f>'Actual Value'!AS161</f>
        <v>0</v>
      </c>
      <c r="I26" s="706">
        <f>'Actual Value'!AQ161</f>
        <v>0</v>
      </c>
      <c r="J26" s="706">
        <f>'Actual Value'!AR161</f>
        <v>0</v>
      </c>
      <c r="K26" s="707">
        <f t="shared" si="2"/>
        <v>0</v>
      </c>
      <c r="L26" s="708" t="str">
        <f t="shared" si="3"/>
        <v/>
      </c>
      <c r="M26" s="710">
        <f>'Actual Value'!AQ160</f>
        <v>0</v>
      </c>
      <c r="N26" s="710">
        <f t="shared" si="4"/>
        <v>0</v>
      </c>
      <c r="O26" s="710">
        <f t="shared" si="5"/>
        <v>0</v>
      </c>
      <c r="P26" s="710">
        <f t="shared" si="6"/>
        <v>0</v>
      </c>
    </row>
    <row r="27" spans="1:16">
      <c r="A27" s="1308">
        <f>'Delivery Calculation'!B26</f>
        <v>0</v>
      </c>
      <c r="B27" s="1308"/>
      <c r="C27" s="706">
        <f>'Actual Value'!AS173</f>
        <v>0</v>
      </c>
      <c r="D27" s="706">
        <f>'Actual Value'!AQ173+'Actual Value'!AQ174</f>
        <v>0</v>
      </c>
      <c r="E27" s="706">
        <f>'Actual Value'!AR173+'Actual Value'!AR174</f>
        <v>0</v>
      </c>
      <c r="F27" s="707">
        <f t="shared" si="0"/>
        <v>0</v>
      </c>
      <c r="G27" s="708" t="str">
        <f t="shared" si="1"/>
        <v/>
      </c>
      <c r="H27" s="706">
        <f>'Actual Value'!AS172</f>
        <v>0</v>
      </c>
      <c r="I27" s="706">
        <f>'Actual Value'!AQ172</f>
        <v>0</v>
      </c>
      <c r="J27" s="706">
        <f>'Actual Value'!AR172</f>
        <v>0</v>
      </c>
      <c r="K27" s="707">
        <f t="shared" si="2"/>
        <v>0</v>
      </c>
      <c r="L27" s="708" t="str">
        <f t="shared" si="3"/>
        <v/>
      </c>
      <c r="M27" s="710">
        <f>'Actual Value'!AQ171</f>
        <v>0</v>
      </c>
      <c r="N27" s="710">
        <f t="shared" si="4"/>
        <v>0</v>
      </c>
      <c r="O27" s="710">
        <f t="shared" si="5"/>
        <v>0</v>
      </c>
      <c r="P27" s="710">
        <f t="shared" si="6"/>
        <v>0</v>
      </c>
    </row>
    <row r="28" spans="1:16">
      <c r="A28" s="1308">
        <f>'Delivery Calculation'!B27</f>
        <v>0</v>
      </c>
      <c r="B28" s="1308"/>
      <c r="C28" s="706">
        <f>'Actual Value'!AS184</f>
        <v>0</v>
      </c>
      <c r="D28" s="706">
        <f>'Actual Value'!AQ184+'Actual Value'!AQ185</f>
        <v>0</v>
      </c>
      <c r="E28" s="706">
        <f>'Actual Value'!AR184+'Actual Value'!AR185</f>
        <v>0</v>
      </c>
      <c r="F28" s="707">
        <f t="shared" si="0"/>
        <v>0</v>
      </c>
      <c r="G28" s="708" t="str">
        <f t="shared" si="1"/>
        <v/>
      </c>
      <c r="H28" s="706">
        <f>'Actual Value'!AS183</f>
        <v>0</v>
      </c>
      <c r="I28" s="706">
        <f>'Actual Value'!AQ183</f>
        <v>0</v>
      </c>
      <c r="J28" s="706">
        <f>'Actual Value'!AR183</f>
        <v>0</v>
      </c>
      <c r="K28" s="707">
        <f t="shared" si="2"/>
        <v>0</v>
      </c>
      <c r="L28" s="708" t="str">
        <f t="shared" si="3"/>
        <v/>
      </c>
      <c r="M28" s="710">
        <f>'Actual Value'!AQ182</f>
        <v>0</v>
      </c>
      <c r="N28" s="710">
        <f t="shared" si="4"/>
        <v>0</v>
      </c>
      <c r="O28" s="710">
        <f t="shared" si="5"/>
        <v>0</v>
      </c>
      <c r="P28" s="710">
        <f t="shared" si="6"/>
        <v>0</v>
      </c>
    </row>
    <row r="29" spans="1:16">
      <c r="A29" s="1308">
        <f>'Delivery Calculation'!B28</f>
        <v>0</v>
      </c>
      <c r="B29" s="1308"/>
      <c r="C29" s="706">
        <f>'Actual Value'!AS195</f>
        <v>0</v>
      </c>
      <c r="D29" s="706">
        <f>'Actual Value'!AQ195+'Actual Value'!AQ196</f>
        <v>0</v>
      </c>
      <c r="E29" s="706">
        <f>'Actual Value'!AR195+'Actual Value'!AR196</f>
        <v>0</v>
      </c>
      <c r="F29" s="707">
        <f t="shared" si="0"/>
        <v>0</v>
      </c>
      <c r="G29" s="708" t="str">
        <f t="shared" si="1"/>
        <v/>
      </c>
      <c r="H29" s="706">
        <f>'Actual Value'!AS194</f>
        <v>0</v>
      </c>
      <c r="I29" s="706">
        <f>'Actual Value'!AQ194</f>
        <v>0</v>
      </c>
      <c r="J29" s="706">
        <f>'Actual Value'!AR194</f>
        <v>0</v>
      </c>
      <c r="K29" s="707">
        <f t="shared" si="2"/>
        <v>0</v>
      </c>
      <c r="L29" s="708" t="str">
        <f t="shared" si="3"/>
        <v/>
      </c>
      <c r="M29" s="710">
        <f>'Actual Value'!AQ193</f>
        <v>0</v>
      </c>
      <c r="N29" s="710">
        <f t="shared" si="4"/>
        <v>0</v>
      </c>
      <c r="O29" s="710">
        <f t="shared" si="5"/>
        <v>0</v>
      </c>
      <c r="P29" s="710">
        <f t="shared" si="6"/>
        <v>0</v>
      </c>
    </row>
    <row r="30" spans="1:16">
      <c r="A30" s="1308">
        <f>'Delivery Calculation'!B29</f>
        <v>0</v>
      </c>
      <c r="B30" s="1308"/>
      <c r="C30" s="706">
        <f>'Actual Value'!AS206</f>
        <v>0</v>
      </c>
      <c r="D30" s="706">
        <f>'Actual Value'!AQ206+'Actual Value'!AQ207</f>
        <v>0</v>
      </c>
      <c r="E30" s="706">
        <f>'Actual Value'!AR206+'Actual Value'!AR207</f>
        <v>0</v>
      </c>
      <c r="F30" s="707">
        <f t="shared" si="0"/>
        <v>0</v>
      </c>
      <c r="G30" s="708" t="str">
        <f t="shared" si="1"/>
        <v/>
      </c>
      <c r="H30" s="706">
        <f>'Actual Value'!AS205</f>
        <v>0</v>
      </c>
      <c r="I30" s="706">
        <f>'Actual Value'!AQ205</f>
        <v>0</v>
      </c>
      <c r="J30" s="706">
        <f>'Actual Value'!AR205</f>
        <v>0</v>
      </c>
      <c r="K30" s="707">
        <f t="shared" si="2"/>
        <v>0</v>
      </c>
      <c r="L30" s="708" t="str">
        <f t="shared" si="3"/>
        <v/>
      </c>
      <c r="M30" s="710">
        <f>'Actual Value'!AQ204</f>
        <v>0</v>
      </c>
      <c r="N30" s="710">
        <f t="shared" si="4"/>
        <v>0</v>
      </c>
      <c r="O30" s="710">
        <f t="shared" si="5"/>
        <v>0</v>
      </c>
      <c r="P30" s="710">
        <f t="shared" si="6"/>
        <v>0</v>
      </c>
    </row>
    <row r="31" spans="1:16">
      <c r="A31" s="1308">
        <f>'Delivery Calculation'!B30</f>
        <v>0</v>
      </c>
      <c r="B31" s="1308"/>
      <c r="C31" s="706">
        <f>'Actual Value'!AS217</f>
        <v>0</v>
      </c>
      <c r="D31" s="706">
        <f>'Actual Value'!AQ217+'Actual Value'!AQ218</f>
        <v>0</v>
      </c>
      <c r="E31" s="706">
        <f>'Actual Value'!AR217+'Actual Value'!AR218</f>
        <v>0</v>
      </c>
      <c r="F31" s="707">
        <f t="shared" si="0"/>
        <v>0</v>
      </c>
      <c r="G31" s="708" t="str">
        <f t="shared" si="1"/>
        <v/>
      </c>
      <c r="H31" s="706">
        <f>'Actual Value'!AS216</f>
        <v>0</v>
      </c>
      <c r="I31" s="706">
        <f>'Actual Value'!AQ216</f>
        <v>0</v>
      </c>
      <c r="J31" s="706">
        <f>'Actual Value'!AR216</f>
        <v>0</v>
      </c>
      <c r="K31" s="707">
        <f t="shared" si="2"/>
        <v>0</v>
      </c>
      <c r="L31" s="708" t="str">
        <f t="shared" si="3"/>
        <v/>
      </c>
      <c r="M31" s="710">
        <f>'Actual Value'!AQ215</f>
        <v>0</v>
      </c>
      <c r="N31" s="710">
        <f t="shared" si="4"/>
        <v>0</v>
      </c>
      <c r="O31" s="710">
        <f t="shared" si="5"/>
        <v>0</v>
      </c>
      <c r="P31" s="710">
        <f t="shared" si="6"/>
        <v>0</v>
      </c>
    </row>
    <row r="32" spans="1:16">
      <c r="A32" s="1308">
        <f>'Delivery Calculation'!B31</f>
        <v>0</v>
      </c>
      <c r="B32" s="1308"/>
      <c r="C32" s="706">
        <f>'Actual Value'!AS228</f>
        <v>0</v>
      </c>
      <c r="D32" s="706">
        <f>'Actual Value'!AQ228+'Actual Value'!AQ229</f>
        <v>0</v>
      </c>
      <c r="E32" s="706">
        <f>'Actual Value'!AR228+'Actual Value'!AR229</f>
        <v>0</v>
      </c>
      <c r="F32" s="707">
        <f t="shared" si="0"/>
        <v>0</v>
      </c>
      <c r="G32" s="708" t="str">
        <f t="shared" si="1"/>
        <v/>
      </c>
      <c r="H32" s="706">
        <f>'Actual Value'!AS227</f>
        <v>0</v>
      </c>
      <c r="I32" s="706">
        <f>'Actual Value'!AQ227</f>
        <v>0</v>
      </c>
      <c r="J32" s="706">
        <f>'Actual Value'!AR227</f>
        <v>0</v>
      </c>
      <c r="K32" s="707">
        <f t="shared" si="2"/>
        <v>0</v>
      </c>
      <c r="L32" s="708" t="str">
        <f t="shared" si="3"/>
        <v/>
      </c>
      <c r="M32" s="710">
        <f>'Actual Value'!AQ226</f>
        <v>0</v>
      </c>
      <c r="N32" s="710">
        <f t="shared" si="4"/>
        <v>0</v>
      </c>
      <c r="O32" s="710">
        <f t="shared" si="5"/>
        <v>0</v>
      </c>
      <c r="P32" s="710">
        <f t="shared" si="6"/>
        <v>0</v>
      </c>
    </row>
    <row r="33" spans="1:16">
      <c r="A33" s="1308">
        <f>'Delivery Calculation'!B32</f>
        <v>0</v>
      </c>
      <c r="B33" s="1308"/>
      <c r="C33" s="706">
        <f>'Actual Value'!AS239</f>
        <v>0</v>
      </c>
      <c r="D33" s="706">
        <f>'Actual Value'!AQ239+'Actual Value'!AQ240</f>
        <v>0</v>
      </c>
      <c r="E33" s="706">
        <f>'Actual Value'!AR239+'Actual Value'!AR240</f>
        <v>0</v>
      </c>
      <c r="F33" s="707">
        <f t="shared" si="0"/>
        <v>0</v>
      </c>
      <c r="G33" s="708" t="str">
        <f t="shared" si="1"/>
        <v/>
      </c>
      <c r="H33" s="706">
        <f>'Actual Value'!AS238</f>
        <v>0</v>
      </c>
      <c r="I33" s="706">
        <f>'Actual Value'!AQ238</f>
        <v>0</v>
      </c>
      <c r="J33" s="706">
        <f>'Actual Value'!AR238</f>
        <v>0</v>
      </c>
      <c r="K33" s="707">
        <f t="shared" si="2"/>
        <v>0</v>
      </c>
      <c r="L33" s="708" t="str">
        <f t="shared" si="3"/>
        <v/>
      </c>
      <c r="M33" s="710">
        <f>'Actual Value'!AQ237</f>
        <v>0</v>
      </c>
      <c r="N33" s="710">
        <f t="shared" si="4"/>
        <v>0</v>
      </c>
      <c r="O33" s="710">
        <f t="shared" si="5"/>
        <v>0</v>
      </c>
      <c r="P33" s="710">
        <f t="shared" si="6"/>
        <v>0</v>
      </c>
    </row>
    <row r="34" spans="1:16">
      <c r="A34" s="1308">
        <f>'Delivery Calculation'!B33</f>
        <v>0</v>
      </c>
      <c r="B34" s="1308"/>
      <c r="C34" s="706">
        <f>'Actual Value'!AS250</f>
        <v>0</v>
      </c>
      <c r="D34" s="706">
        <f>'Actual Value'!AQ250+'Actual Value'!AQ251</f>
        <v>0</v>
      </c>
      <c r="E34" s="706">
        <f>'Actual Value'!AR250+'Actual Value'!AR251</f>
        <v>0</v>
      </c>
      <c r="F34" s="707">
        <f t="shared" si="0"/>
        <v>0</v>
      </c>
      <c r="G34" s="708" t="str">
        <f t="shared" si="1"/>
        <v/>
      </c>
      <c r="H34" s="706">
        <f>'Actual Value'!AS249</f>
        <v>0</v>
      </c>
      <c r="I34" s="706">
        <f>'Actual Value'!AQ249</f>
        <v>0</v>
      </c>
      <c r="J34" s="706">
        <f>'Actual Value'!AR249</f>
        <v>0</v>
      </c>
      <c r="K34" s="707">
        <f t="shared" si="2"/>
        <v>0</v>
      </c>
      <c r="L34" s="708" t="str">
        <f t="shared" si="3"/>
        <v/>
      </c>
      <c r="M34" s="710">
        <f>'Actual Value'!AQ248</f>
        <v>0</v>
      </c>
      <c r="N34" s="710">
        <f t="shared" si="4"/>
        <v>0</v>
      </c>
      <c r="O34" s="710">
        <f t="shared" si="5"/>
        <v>0</v>
      </c>
      <c r="P34" s="710">
        <f t="shared" si="6"/>
        <v>0</v>
      </c>
    </row>
    <row r="35" spans="1:16">
      <c r="A35" s="1308">
        <f>'Delivery Calculation'!B34</f>
        <v>0</v>
      </c>
      <c r="B35" s="1308"/>
      <c r="C35" s="706">
        <f>'Actual Value'!AS261</f>
        <v>0</v>
      </c>
      <c r="D35" s="706">
        <f>'Actual Value'!AQ261+'Actual Value'!AQ262</f>
        <v>0</v>
      </c>
      <c r="E35" s="706">
        <f>'Actual Value'!AR261+'Actual Value'!AR262</f>
        <v>0</v>
      </c>
      <c r="F35" s="707">
        <f t="shared" si="0"/>
        <v>0</v>
      </c>
      <c r="G35" s="708" t="str">
        <f t="shared" si="1"/>
        <v/>
      </c>
      <c r="H35" s="706">
        <f>'Actual Value'!AS260</f>
        <v>0</v>
      </c>
      <c r="I35" s="706">
        <f>'Actual Value'!AQ260</f>
        <v>0</v>
      </c>
      <c r="J35" s="706">
        <f>'Actual Value'!AR260</f>
        <v>0</v>
      </c>
      <c r="K35" s="707">
        <f t="shared" si="2"/>
        <v>0</v>
      </c>
      <c r="L35" s="708" t="str">
        <f t="shared" si="3"/>
        <v/>
      </c>
      <c r="M35" s="710">
        <f>'Actual Value'!AQ259</f>
        <v>0</v>
      </c>
      <c r="N35" s="710">
        <f t="shared" si="4"/>
        <v>0</v>
      </c>
      <c r="O35" s="710">
        <f t="shared" si="5"/>
        <v>0</v>
      </c>
      <c r="P35" s="710">
        <f t="shared" si="6"/>
        <v>0</v>
      </c>
    </row>
    <row r="36" spans="1:16">
      <c r="A36" s="1308">
        <f>'Delivery Calculation'!B35</f>
        <v>0</v>
      </c>
      <c r="B36" s="1308"/>
      <c r="C36" s="706">
        <f>'Actual Value'!AS272</f>
        <v>0</v>
      </c>
      <c r="D36" s="706">
        <f>'Actual Value'!AQ272+'Actual Value'!AQ273</f>
        <v>0</v>
      </c>
      <c r="E36" s="706">
        <f>'Actual Value'!AR272+'Actual Value'!AR273</f>
        <v>0</v>
      </c>
      <c r="F36" s="707">
        <f t="shared" si="0"/>
        <v>0</v>
      </c>
      <c r="G36" s="708" t="str">
        <f t="shared" si="1"/>
        <v/>
      </c>
      <c r="H36" s="706">
        <f>'Actual Value'!AS271</f>
        <v>0</v>
      </c>
      <c r="I36" s="706">
        <f>'Actual Value'!AQ271</f>
        <v>0</v>
      </c>
      <c r="J36" s="706">
        <f>'Actual Value'!AR271</f>
        <v>0</v>
      </c>
      <c r="K36" s="707">
        <f t="shared" si="2"/>
        <v>0</v>
      </c>
      <c r="L36" s="708" t="str">
        <f t="shared" si="3"/>
        <v/>
      </c>
      <c r="M36" s="710">
        <f>'Actual Value'!AQ270</f>
        <v>0</v>
      </c>
      <c r="N36" s="710">
        <f t="shared" si="4"/>
        <v>0</v>
      </c>
      <c r="O36" s="710">
        <f t="shared" si="5"/>
        <v>0</v>
      </c>
      <c r="P36" s="710">
        <f t="shared" si="6"/>
        <v>0</v>
      </c>
    </row>
    <row r="37" spans="1:16">
      <c r="A37" s="1308">
        <f>'Delivery Calculation'!B36</f>
        <v>0</v>
      </c>
      <c r="B37" s="1308"/>
      <c r="C37" s="706">
        <f>'Actual Value'!AS283</f>
        <v>0</v>
      </c>
      <c r="D37" s="706">
        <f>'Actual Value'!AQ283+'Actual Value'!AQ284</f>
        <v>0</v>
      </c>
      <c r="E37" s="706">
        <f>'Actual Value'!AR283+'Actual Value'!AR284</f>
        <v>0</v>
      </c>
      <c r="F37" s="707">
        <f t="shared" si="0"/>
        <v>0</v>
      </c>
      <c r="G37" s="708" t="str">
        <f t="shared" si="1"/>
        <v/>
      </c>
      <c r="H37" s="706">
        <f>'Actual Value'!AS282</f>
        <v>0</v>
      </c>
      <c r="I37" s="706">
        <f>'Actual Value'!AQ282</f>
        <v>0</v>
      </c>
      <c r="J37" s="706">
        <f>'Actual Value'!AR282</f>
        <v>0</v>
      </c>
      <c r="K37" s="707">
        <f t="shared" si="2"/>
        <v>0</v>
      </c>
      <c r="L37" s="708" t="str">
        <f t="shared" si="3"/>
        <v/>
      </c>
      <c r="M37" s="710">
        <f>'Actual Value'!AQ281</f>
        <v>0</v>
      </c>
      <c r="N37" s="710">
        <f t="shared" si="4"/>
        <v>0</v>
      </c>
      <c r="O37" s="710">
        <f t="shared" si="5"/>
        <v>0</v>
      </c>
      <c r="P37" s="710">
        <f t="shared" si="6"/>
        <v>0</v>
      </c>
    </row>
    <row r="38" spans="1:16">
      <c r="A38" s="1308">
        <f>'Delivery Calculation'!B37</f>
        <v>0</v>
      </c>
      <c r="B38" s="1308"/>
      <c r="C38" s="706">
        <f>'Actual Value'!AS294</f>
        <v>0</v>
      </c>
      <c r="D38" s="706">
        <f>'Actual Value'!AQ294+'Actual Value'!AQ295</f>
        <v>0</v>
      </c>
      <c r="E38" s="706">
        <f>'Actual Value'!AR294+'Actual Value'!AR295</f>
        <v>0</v>
      </c>
      <c r="F38" s="707">
        <f t="shared" si="0"/>
        <v>0</v>
      </c>
      <c r="G38" s="708" t="str">
        <f t="shared" si="1"/>
        <v/>
      </c>
      <c r="H38" s="706">
        <f>'Actual Value'!AS293</f>
        <v>0</v>
      </c>
      <c r="I38" s="706">
        <f>'Actual Value'!AQ293</f>
        <v>0</v>
      </c>
      <c r="J38" s="706">
        <f>'Actual Value'!AR293</f>
        <v>0</v>
      </c>
      <c r="K38" s="707">
        <f t="shared" si="2"/>
        <v>0</v>
      </c>
      <c r="L38" s="708" t="str">
        <f t="shared" si="3"/>
        <v/>
      </c>
      <c r="M38" s="710">
        <f>'Actual Value'!AQ292</f>
        <v>0</v>
      </c>
      <c r="N38" s="710">
        <f t="shared" si="4"/>
        <v>0</v>
      </c>
      <c r="O38" s="710">
        <f t="shared" si="5"/>
        <v>0</v>
      </c>
      <c r="P38" s="710">
        <f t="shared" si="6"/>
        <v>0</v>
      </c>
    </row>
    <row r="39" spans="1:16">
      <c r="A39" s="1308">
        <f>'Delivery Calculation'!B38</f>
        <v>0</v>
      </c>
      <c r="B39" s="1308"/>
      <c r="C39" s="706">
        <f>'Actual Value'!AS305</f>
        <v>0</v>
      </c>
      <c r="D39" s="706">
        <f>'Actual Value'!AQ305+'Actual Value'!AQ306</f>
        <v>0</v>
      </c>
      <c r="E39" s="706">
        <f>'Actual Value'!AR305+'Actual Value'!AR306</f>
        <v>0</v>
      </c>
      <c r="F39" s="707">
        <f t="shared" si="0"/>
        <v>0</v>
      </c>
      <c r="G39" s="708" t="str">
        <f t="shared" si="1"/>
        <v/>
      </c>
      <c r="H39" s="706">
        <f>'Actual Value'!AS304</f>
        <v>0</v>
      </c>
      <c r="I39" s="706">
        <f>'Actual Value'!AQ304</f>
        <v>0</v>
      </c>
      <c r="J39" s="706">
        <f>'Actual Value'!AR304</f>
        <v>0</v>
      </c>
      <c r="K39" s="707">
        <f t="shared" si="2"/>
        <v>0</v>
      </c>
      <c r="L39" s="708" t="str">
        <f t="shared" si="3"/>
        <v/>
      </c>
      <c r="M39" s="710">
        <f>'Actual Value'!AQ303</f>
        <v>0</v>
      </c>
      <c r="N39" s="710">
        <f t="shared" si="4"/>
        <v>0</v>
      </c>
      <c r="O39" s="710">
        <f t="shared" si="5"/>
        <v>0</v>
      </c>
      <c r="P39" s="710">
        <f t="shared" si="6"/>
        <v>0</v>
      </c>
    </row>
    <row r="40" spans="1:16">
      <c r="A40" s="1308">
        <f>'Delivery Calculation'!B39</f>
        <v>0</v>
      </c>
      <c r="B40" s="1308"/>
      <c r="C40" s="706">
        <f>'Actual Value'!AS316</f>
        <v>0</v>
      </c>
      <c r="D40" s="706">
        <f>'Actual Value'!AQ316+'Actual Value'!AQ317</f>
        <v>0</v>
      </c>
      <c r="E40" s="706">
        <f>'Actual Value'!AR316+'Actual Value'!AR317</f>
        <v>0</v>
      </c>
      <c r="F40" s="707">
        <f t="shared" si="0"/>
        <v>0</v>
      </c>
      <c r="G40" s="708" t="str">
        <f t="shared" si="1"/>
        <v/>
      </c>
      <c r="H40" s="706">
        <f>'Actual Value'!AS315</f>
        <v>0</v>
      </c>
      <c r="I40" s="706">
        <f>'Actual Value'!AQ315</f>
        <v>0</v>
      </c>
      <c r="J40" s="706">
        <f>'Actual Value'!AR315</f>
        <v>0</v>
      </c>
      <c r="K40" s="707">
        <f t="shared" si="2"/>
        <v>0</v>
      </c>
      <c r="L40" s="708" t="str">
        <f t="shared" si="3"/>
        <v/>
      </c>
      <c r="M40" s="710">
        <f>'Actual Value'!AQ314</f>
        <v>0</v>
      </c>
      <c r="N40" s="710">
        <f t="shared" si="4"/>
        <v>0</v>
      </c>
      <c r="O40" s="710">
        <f t="shared" si="5"/>
        <v>0</v>
      </c>
      <c r="P40" s="710">
        <f t="shared" si="6"/>
        <v>0</v>
      </c>
    </row>
    <row r="41" spans="1:16">
      <c r="A41" s="1308">
        <f>'Delivery Calculation'!B40</f>
        <v>0</v>
      </c>
      <c r="B41" s="1308"/>
      <c r="C41" s="706">
        <f>'Actual Value'!AS327</f>
        <v>0</v>
      </c>
      <c r="D41" s="706">
        <f>'Actual Value'!AQ327+'Actual Value'!AQ328</f>
        <v>0</v>
      </c>
      <c r="E41" s="706">
        <f>'Actual Value'!AR327+'Actual Value'!AR328</f>
        <v>0</v>
      </c>
      <c r="F41" s="707">
        <f t="shared" si="0"/>
        <v>0</v>
      </c>
      <c r="G41" s="708" t="str">
        <f t="shared" si="1"/>
        <v/>
      </c>
      <c r="H41" s="706">
        <f>'Actual Value'!AS326</f>
        <v>0</v>
      </c>
      <c r="I41" s="706">
        <f>'Actual Value'!AQ326</f>
        <v>0</v>
      </c>
      <c r="J41" s="706">
        <f>'Actual Value'!AR326</f>
        <v>0</v>
      </c>
      <c r="K41" s="707">
        <f t="shared" si="2"/>
        <v>0</v>
      </c>
      <c r="L41" s="708" t="str">
        <f t="shared" si="3"/>
        <v/>
      </c>
      <c r="M41" s="710">
        <f>'Actual Value'!AQ325</f>
        <v>0</v>
      </c>
      <c r="N41" s="710">
        <f t="shared" si="4"/>
        <v>0</v>
      </c>
      <c r="O41" s="710">
        <f t="shared" si="5"/>
        <v>0</v>
      </c>
      <c r="P41" s="710">
        <f t="shared" si="6"/>
        <v>0</v>
      </c>
    </row>
    <row r="42" spans="1:16">
      <c r="A42" s="1308">
        <f>'Delivery Calculation'!B41</f>
        <v>0</v>
      </c>
      <c r="B42" s="1308"/>
      <c r="C42" s="706">
        <f>'Actual Value'!AS338</f>
        <v>0</v>
      </c>
      <c r="D42" s="706">
        <f>'Actual Value'!AQ338+'Actual Value'!AQ339</f>
        <v>0</v>
      </c>
      <c r="E42" s="706">
        <f>'Actual Value'!AR338+'Actual Value'!AR339</f>
        <v>0</v>
      </c>
      <c r="F42" s="707">
        <f t="shared" si="0"/>
        <v>0</v>
      </c>
      <c r="G42" s="708" t="str">
        <f t="shared" si="1"/>
        <v/>
      </c>
      <c r="H42" s="706">
        <f>'Actual Value'!AS337</f>
        <v>0</v>
      </c>
      <c r="I42" s="706">
        <f>'Actual Value'!AQ337</f>
        <v>0</v>
      </c>
      <c r="J42" s="706">
        <f>'Actual Value'!AR337</f>
        <v>0</v>
      </c>
      <c r="K42" s="707">
        <f t="shared" si="2"/>
        <v>0</v>
      </c>
      <c r="L42" s="708" t="str">
        <f t="shared" si="3"/>
        <v/>
      </c>
      <c r="M42" s="710">
        <f>'Actual Value'!AQ336</f>
        <v>0</v>
      </c>
      <c r="N42" s="710">
        <f t="shared" si="4"/>
        <v>0</v>
      </c>
      <c r="O42" s="710">
        <f t="shared" si="5"/>
        <v>0</v>
      </c>
      <c r="P42" s="710">
        <f t="shared" si="6"/>
        <v>0</v>
      </c>
    </row>
    <row r="43" spans="1:16">
      <c r="A43" s="1308">
        <f>'Delivery Calculation'!B42</f>
        <v>0</v>
      </c>
      <c r="B43" s="1308"/>
      <c r="C43" s="706">
        <f>'Actual Value'!AS349</f>
        <v>0</v>
      </c>
      <c r="D43" s="706">
        <f>'Actual Value'!AQ349+'Actual Value'!AQ350</f>
        <v>0</v>
      </c>
      <c r="E43" s="706">
        <f>'Actual Value'!AR349+'Actual Value'!AR350</f>
        <v>0</v>
      </c>
      <c r="F43" s="707">
        <f t="shared" si="0"/>
        <v>0</v>
      </c>
      <c r="G43" s="708" t="str">
        <f t="shared" si="1"/>
        <v/>
      </c>
      <c r="H43" s="706">
        <f>'Actual Value'!AS348</f>
        <v>0</v>
      </c>
      <c r="I43" s="706">
        <f>'Actual Value'!AQ348</f>
        <v>0</v>
      </c>
      <c r="J43" s="706">
        <f>'Actual Value'!AR348</f>
        <v>0</v>
      </c>
      <c r="K43" s="707">
        <f t="shared" si="2"/>
        <v>0</v>
      </c>
      <c r="L43" s="708" t="str">
        <f t="shared" si="3"/>
        <v/>
      </c>
      <c r="M43" s="710">
        <f>'Actual Value'!AQ347</f>
        <v>0</v>
      </c>
      <c r="N43" s="710">
        <f t="shared" si="4"/>
        <v>0</v>
      </c>
      <c r="O43" s="710">
        <f t="shared" si="5"/>
        <v>0</v>
      </c>
      <c r="P43" s="710">
        <f t="shared" si="6"/>
        <v>0</v>
      </c>
    </row>
    <row r="44" spans="1:16">
      <c r="A44" s="668"/>
      <c r="B44" s="668"/>
      <c r="C44" s="704"/>
      <c r="D44" s="704"/>
      <c r="E44" s="704"/>
      <c r="F44" s="665"/>
      <c r="G44" s="665"/>
      <c r="H44" s="665"/>
      <c r="I44" s="665"/>
      <c r="J44" s="665"/>
      <c r="K44" s="665"/>
      <c r="L44" s="665"/>
      <c r="M44" s="665"/>
    </row>
    <row r="45" spans="1:16">
      <c r="A45" s="668"/>
      <c r="B45" s="668"/>
      <c r="C45" s="704"/>
      <c r="D45" s="704"/>
      <c r="E45" s="704"/>
      <c r="F45" s="704"/>
      <c r="G45" s="704"/>
      <c r="H45" s="704"/>
      <c r="I45" s="704"/>
      <c r="J45" s="704"/>
      <c r="K45" s="704"/>
      <c r="L45" s="665"/>
      <c r="M45" s="665"/>
    </row>
  </sheetData>
  <sheetProtection algorithmName="SHA-512" hashValue="2najdmwenGIjkG2PNcxO2EBWKeyZr50kg/uhJb+vBLPkUAQrbOP0BIwSG70rIJ045/MFvXlr6nCkMh1UyHxxgQ==" saltValue="1x3p3H4nHCIknCIAWC076w==" spinCount="100000" sheet="1" objects="1" scenarios="1" formatCells="0"/>
  <mergeCells count="54">
    <mergeCell ref="A19:B19"/>
    <mergeCell ref="A13:B13"/>
    <mergeCell ref="A15:B15"/>
    <mergeCell ref="A16:B16"/>
    <mergeCell ref="A17:B17"/>
    <mergeCell ref="A18:B18"/>
    <mergeCell ref="A14:B14"/>
    <mergeCell ref="A24:B24"/>
    <mergeCell ref="A25:B25"/>
    <mergeCell ref="A26:B26"/>
    <mergeCell ref="A27:B27"/>
    <mergeCell ref="A20:B20"/>
    <mergeCell ref="A21:B21"/>
    <mergeCell ref="A22:B22"/>
    <mergeCell ref="A23:B23"/>
    <mergeCell ref="A28:B28"/>
    <mergeCell ref="A29:B29"/>
    <mergeCell ref="A30:B30"/>
    <mergeCell ref="A31:B31"/>
    <mergeCell ref="A32:B32"/>
    <mergeCell ref="A33:B33"/>
    <mergeCell ref="A42:B42"/>
    <mergeCell ref="A43:B43"/>
    <mergeCell ref="A34:B34"/>
    <mergeCell ref="A35:B35"/>
    <mergeCell ref="A36:B36"/>
    <mergeCell ref="A37:B37"/>
    <mergeCell ref="A38:B38"/>
    <mergeCell ref="A39:B39"/>
    <mergeCell ref="A40:B40"/>
    <mergeCell ref="A41:B41"/>
    <mergeCell ref="A1:E1"/>
    <mergeCell ref="A2:E2"/>
    <mergeCell ref="A5:P5"/>
    <mergeCell ref="B6:D6"/>
    <mergeCell ref="F6:G6"/>
    <mergeCell ref="H6:J6"/>
    <mergeCell ref="L6:M6"/>
    <mergeCell ref="N6:P6"/>
    <mergeCell ref="B7:D7"/>
    <mergeCell ref="F7:G7"/>
    <mergeCell ref="H7:J7"/>
    <mergeCell ref="L7:M7"/>
    <mergeCell ref="N7:P7"/>
    <mergeCell ref="B8:D8"/>
    <mergeCell ref="F8:G8"/>
    <mergeCell ref="H8:J8"/>
    <mergeCell ref="L8:M8"/>
    <mergeCell ref="N8:P8"/>
    <mergeCell ref="C11:G11"/>
    <mergeCell ref="H11:L11"/>
    <mergeCell ref="M11:P11"/>
    <mergeCell ref="A11:B12"/>
    <mergeCell ref="A10:P10"/>
  </mergeCells>
  <conditionalFormatting sqref="L14:L43 G13:G43">
    <cfRule type="cellIs" dxfId="43" priority="28" operator="equal">
      <formula>"Green"</formula>
    </cfRule>
    <cfRule type="cellIs" dxfId="42" priority="29" operator="equal">
      <formula>"Yellow"</formula>
    </cfRule>
    <cfRule type="cellIs" dxfId="41" priority="30" operator="equal">
      <formula>"Red"</formula>
    </cfRule>
  </conditionalFormatting>
  <pageMargins left="0.31496062992125984" right="0.31496062992125984" top="0.39370078740157483" bottom="0.39370078740157483" header="0.31496062992125984" footer="0.31496062992125984"/>
  <pageSetup paperSize="9" scale="79" orientation="landscape" horizontalDpi="4294967292" verticalDpi="300" r:id="rId1"/>
  <customProperties>
    <customPr name="Guid" r:id="rId2"/>
  </customProperties>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theme="4" tint="0.39997558519241921"/>
  </sheetPr>
  <dimension ref="A1:T269"/>
  <sheetViews>
    <sheetView showWhiteSpace="0" zoomScaleNormal="100" zoomScaleSheetLayoutView="100" zoomScalePageLayoutView="55" workbookViewId="0">
      <selection activeCell="N3" sqref="N3:R11"/>
    </sheetView>
  </sheetViews>
  <sheetFormatPr defaultColWidth="11.44140625" defaultRowHeight="13.8"/>
  <cols>
    <col min="1" max="1" width="12.5546875" style="126" customWidth="1"/>
    <col min="2" max="5" width="11.44140625" style="126" customWidth="1"/>
    <col min="6" max="6" width="11.44140625" style="126"/>
    <col min="7" max="8" width="11.44140625" style="126" customWidth="1"/>
    <col min="9" max="13" width="11.44140625" style="126"/>
    <col min="14" max="16" width="11.44140625" style="126" customWidth="1"/>
    <col min="17" max="17" width="11.44140625" style="126" hidden="1" customWidth="1"/>
    <col min="18" max="16384" width="11.44140625" style="126"/>
  </cols>
  <sheetData>
    <row r="1" spans="1:20"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0"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29" t="s">
        <v>1521</v>
      </c>
      <c r="I3" s="126"/>
      <c r="J3" s="126"/>
      <c r="K3" s="126"/>
      <c r="L3" s="126"/>
      <c r="M3" s="126"/>
      <c r="N3" s="126"/>
      <c r="O3" s="126"/>
      <c r="P3" s="126"/>
      <c r="Q3" s="126"/>
      <c r="R3" s="126"/>
      <c r="S3" s="126"/>
      <c r="T3" s="126"/>
    </row>
    <row r="4" spans="1:20" s="153" customFormat="1" ht="15" customHeight="1" thickBot="1">
      <c r="A4" s="126"/>
      <c r="B4" s="126"/>
      <c r="C4" s="126"/>
      <c r="D4" s="126"/>
      <c r="E4" s="126"/>
      <c r="F4" s="126"/>
      <c r="G4" s="126"/>
      <c r="H4" s="126"/>
      <c r="I4" s="126"/>
      <c r="J4" s="126"/>
      <c r="K4" s="126"/>
      <c r="L4" s="126"/>
      <c r="M4" s="126"/>
      <c r="N4" s="126"/>
      <c r="O4" s="126"/>
      <c r="P4" s="126"/>
      <c r="Q4" s="126"/>
      <c r="R4" s="126"/>
      <c r="S4" s="126"/>
      <c r="T4" s="126"/>
    </row>
    <row r="5" spans="1:20" ht="21">
      <c r="A5" s="1328" t="str">
        <f>MDProjektname</f>
        <v>Migration GEFI</v>
      </c>
      <c r="B5" s="1328"/>
      <c r="C5" s="1328"/>
      <c r="D5" s="1328"/>
      <c r="E5" s="1328"/>
      <c r="F5" s="1329"/>
      <c r="G5" s="1329"/>
      <c r="H5" s="1329"/>
      <c r="J5" s="712"/>
      <c r="K5" s="713"/>
      <c r="L5" s="714"/>
    </row>
    <row r="6" spans="1:20" ht="21">
      <c r="A6" s="1328" t="str">
        <f>"Project Report from " &amp; AVLastReportedPeriodString</f>
        <v xml:space="preserve">Project Report from </v>
      </c>
      <c r="B6" s="1328"/>
      <c r="C6" s="1328"/>
      <c r="D6" s="1328"/>
      <c r="E6" s="1328"/>
      <c r="F6" s="1329"/>
      <c r="G6" s="1329"/>
      <c r="H6" s="1329"/>
      <c r="J6" s="715"/>
      <c r="K6" s="716"/>
      <c r="L6" s="717"/>
    </row>
    <row r="7" spans="1:20">
      <c r="A7" s="718"/>
      <c r="B7" s="718"/>
      <c r="C7" s="718"/>
      <c r="D7" s="718"/>
      <c r="E7" s="718"/>
      <c r="F7" s="718"/>
      <c r="G7" s="718"/>
      <c r="H7" s="718"/>
      <c r="J7" s="715"/>
      <c r="K7" s="716"/>
      <c r="L7" s="717"/>
    </row>
    <row r="8" spans="1:20" ht="17.399999999999999">
      <c r="A8" s="1314" t="s">
        <v>310</v>
      </c>
      <c r="B8" s="1314"/>
      <c r="C8" s="1314"/>
      <c r="D8" s="1314"/>
      <c r="E8" s="1314"/>
      <c r="F8" s="1314"/>
      <c r="G8" s="1314"/>
      <c r="H8" s="1314"/>
      <c r="J8" s="715"/>
      <c r="K8" s="716"/>
      <c r="L8" s="717"/>
    </row>
    <row r="9" spans="1:20" ht="15.6">
      <c r="A9" s="1316" t="s">
        <v>311</v>
      </c>
      <c r="B9" s="1316"/>
      <c r="C9" s="1317" t="str">
        <f>MDCustomer</f>
        <v>OFISA</v>
      </c>
      <c r="D9" s="1317"/>
      <c r="E9" s="1317"/>
      <c r="F9" s="1317"/>
      <c r="G9" s="1317"/>
      <c r="H9" s="1317"/>
      <c r="J9" s="715"/>
      <c r="K9" s="716"/>
      <c r="L9" s="717"/>
    </row>
    <row r="10" spans="1:20" ht="15.6">
      <c r="A10" s="1316" t="s">
        <v>312</v>
      </c>
      <c r="B10" s="1316"/>
      <c r="C10" s="1317" t="str">
        <f>MDCustomerContact</f>
        <v>Stefan Mittermayr</v>
      </c>
      <c r="D10" s="1317"/>
      <c r="E10" s="1317"/>
      <c r="F10" s="1317"/>
      <c r="G10" s="1317"/>
      <c r="H10" s="1317"/>
      <c r="J10" s="715"/>
      <c r="K10" s="716"/>
      <c r="L10" s="717"/>
    </row>
    <row r="11" spans="1:20" ht="15.6">
      <c r="A11" s="1316" t="s">
        <v>313</v>
      </c>
      <c r="B11" s="1316"/>
      <c r="C11" s="1317" t="str">
        <f>MDProjektname</f>
        <v>Migration GEFI</v>
      </c>
      <c r="D11" s="1317"/>
      <c r="E11" s="1317"/>
      <c r="F11" s="1317"/>
      <c r="G11" s="1317"/>
      <c r="H11" s="1317"/>
      <c r="J11" s="715"/>
      <c r="K11" s="716"/>
      <c r="L11" s="717"/>
    </row>
    <row r="12" spans="1:20">
      <c r="A12" s="1315" t="s">
        <v>314</v>
      </c>
      <c r="B12" s="1315"/>
      <c r="C12" s="1310" t="str">
        <f>MDProjectDescription</f>
        <v>Migration from Oracle Froms 6i to 11gR2</v>
      </c>
      <c r="D12" s="1310"/>
      <c r="E12" s="1310"/>
      <c r="F12" s="1310"/>
      <c r="G12" s="1310"/>
      <c r="H12" s="1310"/>
      <c r="J12" s="715"/>
      <c r="K12" s="716"/>
      <c r="L12" s="717"/>
    </row>
    <row r="13" spans="1:20">
      <c r="A13" s="1315"/>
      <c r="B13" s="1315"/>
      <c r="C13" s="1310"/>
      <c r="D13" s="1310"/>
      <c r="E13" s="1310"/>
      <c r="F13" s="1310"/>
      <c r="G13" s="1310"/>
      <c r="H13" s="1310"/>
      <c r="J13" s="715"/>
      <c r="K13" s="716"/>
      <c r="L13" s="717"/>
    </row>
    <row r="14" spans="1:20">
      <c r="A14" s="1315"/>
      <c r="B14" s="1315"/>
      <c r="C14" s="1310"/>
      <c r="D14" s="1310"/>
      <c r="E14" s="1310"/>
      <c r="F14" s="1310"/>
      <c r="G14" s="1310"/>
      <c r="H14" s="1310"/>
      <c r="J14" s="715"/>
      <c r="K14" s="716"/>
      <c r="L14" s="717"/>
    </row>
    <row r="15" spans="1:20" ht="14.4" thickBot="1">
      <c r="A15" s="1315"/>
      <c r="B15" s="1315"/>
      <c r="C15" s="1310"/>
      <c r="D15" s="1310"/>
      <c r="E15" s="1310"/>
      <c r="F15" s="1310"/>
      <c r="G15" s="1310"/>
      <c r="H15" s="1310"/>
      <c r="J15" s="719"/>
      <c r="K15" s="720"/>
      <c r="L15" s="721"/>
    </row>
    <row r="16" spans="1:20" ht="15.6">
      <c r="A16" s="1316" t="s">
        <v>315</v>
      </c>
      <c r="B16" s="1316"/>
      <c r="C16" s="1317" t="str">
        <f>MDProjectTerm</f>
        <v>01.05.2014 - 30.08.2014</v>
      </c>
      <c r="D16" s="1317"/>
      <c r="E16" s="1317"/>
      <c r="F16" s="1317"/>
      <c r="G16" s="1317"/>
      <c r="H16" s="1317"/>
    </row>
    <row r="17" spans="1:8" ht="15.6">
      <c r="A17" s="722"/>
      <c r="B17" s="718"/>
      <c r="C17" s="723"/>
      <c r="D17" s="723"/>
      <c r="E17" s="723"/>
      <c r="F17" s="723"/>
      <c r="G17" s="723"/>
      <c r="H17" s="723"/>
    </row>
    <row r="18" spans="1:8" ht="15.6">
      <c r="A18" s="1315" t="s">
        <v>316</v>
      </c>
      <c r="B18" s="1315"/>
      <c r="C18" s="1317" t="str">
        <f>MDAccountManager</f>
        <v>Claude-Alain Glauser</v>
      </c>
      <c r="D18" s="1317"/>
      <c r="E18" s="1317"/>
      <c r="F18" s="1317"/>
      <c r="G18" s="1317"/>
      <c r="H18" s="1317"/>
    </row>
    <row r="19" spans="1:8" ht="15.6">
      <c r="A19" s="1315" t="s">
        <v>317</v>
      </c>
      <c r="B19" s="1315"/>
      <c r="C19" s="1317" t="str">
        <f>MDProjectOwner</f>
        <v>Claude-Alain Glauser</v>
      </c>
      <c r="D19" s="1317"/>
      <c r="E19" s="1317"/>
      <c r="F19" s="1317"/>
      <c r="G19" s="1317"/>
      <c r="H19" s="1317"/>
    </row>
    <row r="20" spans="1:8" ht="15.6">
      <c r="A20" s="1315" t="s">
        <v>318</v>
      </c>
      <c r="B20" s="1315"/>
      <c r="C20" s="1317" t="str">
        <f>MDProjectManager</f>
        <v>Gille di Domenico</v>
      </c>
      <c r="D20" s="1317"/>
      <c r="E20" s="1317"/>
      <c r="F20" s="1317"/>
      <c r="G20" s="1317"/>
      <c r="H20" s="1317"/>
    </row>
    <row r="21" spans="1:8">
      <c r="A21" s="718"/>
      <c r="B21" s="718"/>
      <c r="C21" s="718"/>
      <c r="D21" s="718"/>
      <c r="E21" s="718"/>
      <c r="F21" s="718"/>
      <c r="G21" s="718"/>
      <c r="H21" s="718"/>
    </row>
    <row r="22" spans="1:8">
      <c r="A22" s="718"/>
      <c r="B22" s="718"/>
      <c r="C22" s="718"/>
      <c r="D22" s="718"/>
      <c r="E22" s="718"/>
      <c r="F22" s="718"/>
      <c r="G22" s="718"/>
      <c r="H22" s="718"/>
    </row>
    <row r="23" spans="1:8" ht="17.399999999999999">
      <c r="A23" s="1314" t="s">
        <v>319</v>
      </c>
      <c r="B23" s="1314"/>
      <c r="C23" s="1314"/>
      <c r="D23" s="1314"/>
      <c r="E23" s="1314"/>
      <c r="F23" s="1314"/>
      <c r="G23" s="1314"/>
      <c r="H23" s="1314"/>
    </row>
    <row r="24" spans="1:8">
      <c r="A24" s="718"/>
      <c r="B24" s="718"/>
      <c r="C24" s="718"/>
      <c r="D24" s="718"/>
      <c r="E24" s="718"/>
      <c r="F24" s="718"/>
      <c r="G24" s="718"/>
      <c r="H24" s="718"/>
    </row>
    <row r="25" spans="1:8">
      <c r="A25" s="1309" t="str">
        <f>Descriptions!J46</f>
        <v>Reached Goals</v>
      </c>
      <c r="B25" s="1310" t="str">
        <f>desReachedGoals</f>
        <v/>
      </c>
      <c r="C25" s="1310"/>
      <c r="D25" s="1310"/>
      <c r="E25" s="1310"/>
      <c r="F25" s="1310"/>
      <c r="G25" s="1310"/>
      <c r="H25" s="1310"/>
    </row>
    <row r="26" spans="1:8">
      <c r="A26" s="1309"/>
      <c r="B26" s="1310"/>
      <c r="C26" s="1310"/>
      <c r="D26" s="1310"/>
      <c r="E26" s="1310"/>
      <c r="F26" s="1310"/>
      <c r="G26" s="1310"/>
      <c r="H26" s="1310"/>
    </row>
    <row r="27" spans="1:8">
      <c r="A27" s="1309"/>
      <c r="B27" s="1310"/>
      <c r="C27" s="1310"/>
      <c r="D27" s="1310"/>
      <c r="E27" s="1310"/>
      <c r="F27" s="1310"/>
      <c r="G27" s="1310"/>
      <c r="H27" s="1310"/>
    </row>
    <row r="28" spans="1:8">
      <c r="A28" s="1309"/>
      <c r="B28" s="1310"/>
      <c r="C28" s="1310"/>
      <c r="D28" s="1310"/>
      <c r="E28" s="1310"/>
      <c r="F28" s="1310"/>
      <c r="G28" s="1310"/>
      <c r="H28" s="1310"/>
    </row>
    <row r="29" spans="1:8">
      <c r="A29" s="1309"/>
      <c r="B29" s="1310"/>
      <c r="C29" s="1310"/>
      <c r="D29" s="1310"/>
      <c r="E29" s="1310"/>
      <c r="F29" s="1310"/>
      <c r="G29" s="1310"/>
      <c r="H29" s="1310"/>
    </row>
    <row r="30" spans="1:8">
      <c r="A30" s="1309"/>
      <c r="B30" s="1310"/>
      <c r="C30" s="1310"/>
      <c r="D30" s="1310"/>
      <c r="E30" s="1310"/>
      <c r="F30" s="1310"/>
      <c r="G30" s="1310"/>
      <c r="H30" s="1310"/>
    </row>
    <row r="31" spans="1:8">
      <c r="A31" s="1309"/>
      <c r="B31" s="1310"/>
      <c r="C31" s="1310"/>
      <c r="D31" s="1310"/>
      <c r="E31" s="1310"/>
      <c r="F31" s="1310"/>
      <c r="G31" s="1310"/>
      <c r="H31" s="1310"/>
    </row>
    <row r="32" spans="1:8">
      <c r="A32" s="1309"/>
      <c r="B32" s="1310"/>
      <c r="C32" s="1310"/>
      <c r="D32" s="1310"/>
      <c r="E32" s="1310"/>
      <c r="F32" s="1310"/>
      <c r="G32" s="1310"/>
      <c r="H32" s="1310"/>
    </row>
    <row r="33" spans="1:8">
      <c r="A33" s="718"/>
      <c r="B33" s="718"/>
      <c r="C33" s="718"/>
      <c r="D33" s="718"/>
      <c r="E33" s="718"/>
      <c r="F33" s="718"/>
      <c r="G33" s="718"/>
      <c r="H33" s="718"/>
    </row>
    <row r="34" spans="1:8">
      <c r="A34" s="1309" t="str">
        <f>Descriptions!K46</f>
        <v>Open items</v>
      </c>
      <c r="B34" s="1310" t="str">
        <f>desOpenItems</f>
        <v/>
      </c>
      <c r="C34" s="1310"/>
      <c r="D34" s="1310"/>
      <c r="E34" s="1310"/>
      <c r="F34" s="1310"/>
      <c r="G34" s="1310"/>
      <c r="H34" s="1310"/>
    </row>
    <row r="35" spans="1:8">
      <c r="A35" s="1309"/>
      <c r="B35" s="1310"/>
      <c r="C35" s="1310"/>
      <c r="D35" s="1310"/>
      <c r="E35" s="1310"/>
      <c r="F35" s="1310"/>
      <c r="G35" s="1310"/>
      <c r="H35" s="1310"/>
    </row>
    <row r="36" spans="1:8">
      <c r="A36" s="1309"/>
      <c r="B36" s="1310"/>
      <c r="C36" s="1310"/>
      <c r="D36" s="1310"/>
      <c r="E36" s="1310"/>
      <c r="F36" s="1310"/>
      <c r="G36" s="1310"/>
      <c r="H36" s="1310"/>
    </row>
    <row r="37" spans="1:8">
      <c r="A37" s="1309"/>
      <c r="B37" s="1310"/>
      <c r="C37" s="1310"/>
      <c r="D37" s="1310"/>
      <c r="E37" s="1310"/>
      <c r="F37" s="1310"/>
      <c r="G37" s="1310"/>
      <c r="H37" s="1310"/>
    </row>
    <row r="38" spans="1:8">
      <c r="A38" s="1309"/>
      <c r="B38" s="1310"/>
      <c r="C38" s="1310"/>
      <c r="D38" s="1310"/>
      <c r="E38" s="1310"/>
      <c r="F38" s="1310"/>
      <c r="G38" s="1310"/>
      <c r="H38" s="1310"/>
    </row>
    <row r="39" spans="1:8">
      <c r="A39" s="1309"/>
      <c r="B39" s="1310"/>
      <c r="C39" s="1310"/>
      <c r="D39" s="1310"/>
      <c r="E39" s="1310"/>
      <c r="F39" s="1310"/>
      <c r="G39" s="1310"/>
      <c r="H39" s="1310"/>
    </row>
    <row r="40" spans="1:8">
      <c r="A40" s="1309"/>
      <c r="B40" s="1310"/>
      <c r="C40" s="1310"/>
      <c r="D40" s="1310"/>
      <c r="E40" s="1310"/>
      <c r="F40" s="1310"/>
      <c r="G40" s="1310"/>
      <c r="H40" s="1310"/>
    </row>
    <row r="41" spans="1:8">
      <c r="A41" s="1309"/>
      <c r="B41" s="1310"/>
      <c r="C41" s="1310"/>
      <c r="D41" s="1310"/>
      <c r="E41" s="1310"/>
      <c r="F41" s="1310"/>
      <c r="G41" s="1310"/>
      <c r="H41" s="1310"/>
    </row>
    <row r="42" spans="1:8">
      <c r="A42" s="718"/>
      <c r="B42" s="718"/>
      <c r="C42" s="718"/>
      <c r="D42" s="718"/>
      <c r="E42" s="718"/>
      <c r="F42" s="718"/>
      <c r="G42" s="718"/>
      <c r="H42" s="718"/>
    </row>
    <row r="43" spans="1:8">
      <c r="A43" s="1309" t="str">
        <f>Descriptions!L46</f>
        <v>Next steps</v>
      </c>
      <c r="B43" s="1310" t="str">
        <f>desNextSteps</f>
        <v/>
      </c>
      <c r="C43" s="1310"/>
      <c r="D43" s="1310"/>
      <c r="E43" s="1310"/>
      <c r="F43" s="1310"/>
      <c r="G43" s="1310"/>
      <c r="H43" s="1310"/>
    </row>
    <row r="44" spans="1:8">
      <c r="A44" s="1309"/>
      <c r="B44" s="1310"/>
      <c r="C44" s="1310"/>
      <c r="D44" s="1310"/>
      <c r="E44" s="1310"/>
      <c r="F44" s="1310"/>
      <c r="G44" s="1310"/>
      <c r="H44" s="1310"/>
    </row>
    <row r="45" spans="1:8">
      <c r="A45" s="1309"/>
      <c r="B45" s="1310"/>
      <c r="C45" s="1310"/>
      <c r="D45" s="1310"/>
      <c r="E45" s="1310"/>
      <c r="F45" s="1310"/>
      <c r="G45" s="1310"/>
      <c r="H45" s="1310"/>
    </row>
    <row r="46" spans="1:8">
      <c r="A46" s="1309"/>
      <c r="B46" s="1310"/>
      <c r="C46" s="1310"/>
      <c r="D46" s="1310"/>
      <c r="E46" s="1310"/>
      <c r="F46" s="1310"/>
      <c r="G46" s="1310"/>
      <c r="H46" s="1310"/>
    </row>
    <row r="47" spans="1:8">
      <c r="A47" s="1309"/>
      <c r="B47" s="1310"/>
      <c r="C47" s="1310"/>
      <c r="D47" s="1310"/>
      <c r="E47" s="1310"/>
      <c r="F47" s="1310"/>
      <c r="G47" s="1310"/>
      <c r="H47" s="1310"/>
    </row>
    <row r="48" spans="1:8">
      <c r="A48" s="1309"/>
      <c r="B48" s="1310"/>
      <c r="C48" s="1310"/>
      <c r="D48" s="1310"/>
      <c r="E48" s="1310"/>
      <c r="F48" s="1310"/>
      <c r="G48" s="1310"/>
      <c r="H48" s="1310"/>
    </row>
    <row r="49" spans="1:8">
      <c r="A49" s="1309"/>
      <c r="B49" s="1310"/>
      <c r="C49" s="1310"/>
      <c r="D49" s="1310"/>
      <c r="E49" s="1310"/>
      <c r="F49" s="1310"/>
      <c r="G49" s="1310"/>
      <c r="H49" s="1310"/>
    </row>
    <row r="50" spans="1:8">
      <c r="A50" s="1309"/>
      <c r="B50" s="1310"/>
      <c r="C50" s="1310"/>
      <c r="D50" s="1310"/>
      <c r="E50" s="1310"/>
      <c r="F50" s="1310"/>
      <c r="G50" s="1310"/>
      <c r="H50" s="1310"/>
    </row>
    <row r="51" spans="1:8">
      <c r="A51" s="718"/>
      <c r="B51" s="718"/>
      <c r="C51" s="718"/>
      <c r="D51" s="718"/>
      <c r="E51" s="718"/>
      <c r="F51" s="718"/>
      <c r="G51" s="718"/>
      <c r="H51" s="718"/>
    </row>
    <row r="52" spans="1:8">
      <c r="A52" s="718"/>
      <c r="B52" s="718"/>
      <c r="C52" s="718"/>
      <c r="D52" s="718"/>
      <c r="E52" s="718"/>
      <c r="F52" s="718"/>
      <c r="G52" s="718"/>
      <c r="H52" s="718"/>
    </row>
    <row r="53" spans="1:8">
      <c r="A53" s="718"/>
      <c r="B53" s="718"/>
      <c r="C53" s="718"/>
      <c r="D53" s="718"/>
      <c r="E53" s="718"/>
      <c r="F53" s="718"/>
      <c r="G53" s="718"/>
      <c r="H53" s="718"/>
    </row>
    <row r="54" spans="1:8">
      <c r="A54" s="718"/>
      <c r="B54" s="718"/>
      <c r="C54" s="718"/>
      <c r="D54" s="718"/>
      <c r="E54" s="718"/>
      <c r="F54" s="718"/>
      <c r="G54" s="718"/>
      <c r="H54" s="718"/>
    </row>
    <row r="55" spans="1:8">
      <c r="A55" s="718"/>
      <c r="B55" s="718"/>
      <c r="C55" s="718"/>
      <c r="D55" s="718"/>
      <c r="E55" s="718"/>
      <c r="F55" s="718"/>
      <c r="G55" s="718"/>
      <c r="H55" s="718"/>
    </row>
    <row r="56" spans="1:8" ht="17.399999999999999">
      <c r="A56" s="1314" t="s">
        <v>320</v>
      </c>
      <c r="B56" s="1314"/>
      <c r="C56" s="1314"/>
      <c r="D56" s="1314"/>
      <c r="E56" s="1314"/>
      <c r="F56" s="1314"/>
      <c r="G56" s="1314"/>
      <c r="H56" s="1314"/>
    </row>
    <row r="57" spans="1:8">
      <c r="A57" s="718"/>
      <c r="B57" s="718"/>
      <c r="C57" s="718"/>
      <c r="D57" s="718"/>
      <c r="E57" s="718"/>
      <c r="F57" s="718"/>
      <c r="G57" s="718"/>
      <c r="H57" s="718"/>
    </row>
    <row r="58" spans="1:8" ht="15.6">
      <c r="A58" s="1311" t="str">
        <f>Milestones!A6</f>
        <v>Milestone</v>
      </c>
      <c r="B58" s="1311"/>
      <c r="C58" s="1311"/>
      <c r="D58" s="1311"/>
      <c r="E58" s="742" t="str">
        <f>Milestones!E6</f>
        <v>Approved</v>
      </c>
      <c r="F58" s="724" t="str">
        <f>Milestones!F6</f>
        <v>Planned</v>
      </c>
      <c r="G58" s="724" t="str">
        <f>Milestones!AS6</f>
        <v>Expected</v>
      </c>
      <c r="H58" s="725" t="s">
        <v>321</v>
      </c>
    </row>
    <row r="59" spans="1:8" ht="15">
      <c r="A59" s="1312">
        <f>Milestones!A7</f>
        <v>0</v>
      </c>
      <c r="B59" s="1312"/>
      <c r="C59" s="1312"/>
      <c r="D59" s="1312"/>
      <c r="E59" s="743" t="str">
        <f>Milestones!E7</f>
        <v>no</v>
      </c>
      <c r="F59" s="726">
        <f>Milestones!F7</f>
        <v>0</v>
      </c>
      <c r="G59" s="728" t="str">
        <f>Milestones!AS7</f>
        <v/>
      </c>
      <c r="H59" s="727" t="str">
        <f t="shared" ref="H59:H70" si="0">IF(F59=0,"",IF(E59="yes","Green",IF(G59-F59&gt;=0,IF(G59&lt;=F59,"Green",IF(G59-F59&gt;=RatingTimeRed,"Red",IF(G59-F59&gt;=RatingTimeYellow,"Yellow","Green"))),IF(G59-F59&lt;=RatingTimeYellow,"Green",IF(G59-F59&lt;=RatingTimeRed,"Yellow","Red")))))</f>
        <v/>
      </c>
    </row>
    <row r="60" spans="1:8" ht="15">
      <c r="A60" s="1313">
        <f>Milestones!A8</f>
        <v>0</v>
      </c>
      <c r="B60" s="1313"/>
      <c r="C60" s="1313"/>
      <c r="D60" s="1313"/>
      <c r="E60" s="744" t="str">
        <f>Milestones!E8</f>
        <v>no</v>
      </c>
      <c r="F60" s="728">
        <f>Milestones!F8</f>
        <v>0</v>
      </c>
      <c r="G60" s="728" t="str">
        <f>Milestones!AS8</f>
        <v/>
      </c>
      <c r="H60" s="727" t="str">
        <f t="shared" si="0"/>
        <v/>
      </c>
    </row>
    <row r="61" spans="1:8" ht="15">
      <c r="A61" s="1313">
        <f>Milestones!A9</f>
        <v>0</v>
      </c>
      <c r="B61" s="1313"/>
      <c r="C61" s="1313"/>
      <c r="D61" s="1313"/>
      <c r="E61" s="744" t="str">
        <f>Milestones!E9</f>
        <v>no</v>
      </c>
      <c r="F61" s="728">
        <f>Milestones!F9</f>
        <v>0</v>
      </c>
      <c r="G61" s="728" t="str">
        <f>Milestones!AS9</f>
        <v/>
      </c>
      <c r="H61" s="727" t="str">
        <f t="shared" si="0"/>
        <v/>
      </c>
    </row>
    <row r="62" spans="1:8" ht="15">
      <c r="A62" s="1313">
        <f>Milestones!A10</f>
        <v>0</v>
      </c>
      <c r="B62" s="1313"/>
      <c r="C62" s="1313"/>
      <c r="D62" s="1313"/>
      <c r="E62" s="744" t="str">
        <f>Milestones!E10</f>
        <v>no</v>
      </c>
      <c r="F62" s="728">
        <f>Milestones!F10</f>
        <v>0</v>
      </c>
      <c r="G62" s="728" t="str">
        <f>Milestones!AS10</f>
        <v/>
      </c>
      <c r="H62" s="727" t="str">
        <f t="shared" si="0"/>
        <v/>
      </c>
    </row>
    <row r="63" spans="1:8" ht="15">
      <c r="A63" s="1313">
        <f>Milestones!A11</f>
        <v>0</v>
      </c>
      <c r="B63" s="1313"/>
      <c r="C63" s="1313"/>
      <c r="D63" s="1313"/>
      <c r="E63" s="744" t="str">
        <f>Milestones!E11</f>
        <v>no</v>
      </c>
      <c r="F63" s="728">
        <f>Milestones!F11</f>
        <v>0</v>
      </c>
      <c r="G63" s="728" t="str">
        <f>Milestones!AS11</f>
        <v/>
      </c>
      <c r="H63" s="727" t="str">
        <f t="shared" si="0"/>
        <v/>
      </c>
    </row>
    <row r="64" spans="1:8" ht="15">
      <c r="A64" s="1313">
        <f>Milestones!A12</f>
        <v>0</v>
      </c>
      <c r="B64" s="1313"/>
      <c r="C64" s="1313"/>
      <c r="D64" s="1313"/>
      <c r="E64" s="744" t="str">
        <f>Milestones!E12</f>
        <v>no</v>
      </c>
      <c r="F64" s="728">
        <f>Milestones!F12</f>
        <v>0</v>
      </c>
      <c r="G64" s="728" t="str">
        <f>Milestones!AS12</f>
        <v/>
      </c>
      <c r="H64" s="727" t="str">
        <f t="shared" si="0"/>
        <v/>
      </c>
    </row>
    <row r="65" spans="1:8" ht="15">
      <c r="A65" s="1313">
        <f>Milestones!A13</f>
        <v>0</v>
      </c>
      <c r="B65" s="1313"/>
      <c r="C65" s="1313"/>
      <c r="D65" s="1313"/>
      <c r="E65" s="744" t="str">
        <f>Milestones!E13</f>
        <v>no</v>
      </c>
      <c r="F65" s="728">
        <f>Milestones!F13</f>
        <v>0</v>
      </c>
      <c r="G65" s="728" t="str">
        <f>Milestones!AS13</f>
        <v/>
      </c>
      <c r="H65" s="727" t="str">
        <f t="shared" si="0"/>
        <v/>
      </c>
    </row>
    <row r="66" spans="1:8" ht="15">
      <c r="A66" s="1313">
        <f>Milestones!A14</f>
        <v>0</v>
      </c>
      <c r="B66" s="1313"/>
      <c r="C66" s="1313"/>
      <c r="D66" s="1313"/>
      <c r="E66" s="744" t="str">
        <f>Milestones!E14</f>
        <v>no</v>
      </c>
      <c r="F66" s="728">
        <f>Milestones!F14</f>
        <v>0</v>
      </c>
      <c r="G66" s="728" t="str">
        <f>Milestones!AS14</f>
        <v/>
      </c>
      <c r="H66" s="727" t="str">
        <f t="shared" si="0"/>
        <v/>
      </c>
    </row>
    <row r="67" spans="1:8" ht="15">
      <c r="A67" s="1313">
        <f>Milestones!A15</f>
        <v>0</v>
      </c>
      <c r="B67" s="1313"/>
      <c r="C67" s="1313"/>
      <c r="D67" s="1313"/>
      <c r="E67" s="744" t="str">
        <f>Milestones!E15</f>
        <v>no</v>
      </c>
      <c r="F67" s="728">
        <f>Milestones!F15</f>
        <v>0</v>
      </c>
      <c r="G67" s="728" t="str">
        <f>Milestones!AS15</f>
        <v/>
      </c>
      <c r="H67" s="727" t="str">
        <f t="shared" si="0"/>
        <v/>
      </c>
    </row>
    <row r="68" spans="1:8" ht="15">
      <c r="A68" s="1313">
        <f>Milestones!A16</f>
        <v>0</v>
      </c>
      <c r="B68" s="1313"/>
      <c r="C68" s="1313"/>
      <c r="D68" s="1313"/>
      <c r="E68" s="744" t="str">
        <f>Milestones!E16</f>
        <v>no</v>
      </c>
      <c r="F68" s="728">
        <f>Milestones!F16</f>
        <v>0</v>
      </c>
      <c r="G68" s="728" t="str">
        <f>Milestones!AS16</f>
        <v/>
      </c>
      <c r="H68" s="727" t="str">
        <f t="shared" si="0"/>
        <v/>
      </c>
    </row>
    <row r="69" spans="1:8" ht="15">
      <c r="A69" s="1313">
        <f>Milestones!A17</f>
        <v>0</v>
      </c>
      <c r="B69" s="1313"/>
      <c r="C69" s="1313"/>
      <c r="D69" s="1313"/>
      <c r="E69" s="744" t="str">
        <f>Milestones!E17</f>
        <v>no</v>
      </c>
      <c r="F69" s="728">
        <f>Milestones!F17</f>
        <v>0</v>
      </c>
      <c r="G69" s="728" t="str">
        <f>Milestones!AS17</f>
        <v/>
      </c>
      <c r="H69" s="727" t="str">
        <f t="shared" si="0"/>
        <v/>
      </c>
    </row>
    <row r="70" spans="1:8" ht="15">
      <c r="A70" s="1313">
        <f>Milestones!A18</f>
        <v>0</v>
      </c>
      <c r="B70" s="1313"/>
      <c r="C70" s="1313"/>
      <c r="D70" s="1313"/>
      <c r="E70" s="744" t="str">
        <f>Milestones!E18</f>
        <v>no</v>
      </c>
      <c r="F70" s="728">
        <f>Milestones!F18</f>
        <v>0</v>
      </c>
      <c r="G70" s="728" t="str">
        <f>Milestones!AS18</f>
        <v/>
      </c>
      <c r="H70" s="727" t="str">
        <f t="shared" si="0"/>
        <v/>
      </c>
    </row>
    <row r="71" spans="1:8">
      <c r="A71" s="718"/>
      <c r="B71" s="718"/>
      <c r="C71" s="718"/>
      <c r="D71" s="718"/>
      <c r="E71" s="718"/>
      <c r="F71" s="718"/>
      <c r="G71" s="718"/>
      <c r="H71" s="718"/>
    </row>
    <row r="72" spans="1:8">
      <c r="A72" s="718"/>
      <c r="B72" s="718"/>
      <c r="C72" s="718"/>
      <c r="D72" s="718"/>
      <c r="E72" s="718"/>
      <c r="F72" s="718"/>
      <c r="G72" s="718"/>
      <c r="H72" s="718"/>
    </row>
    <row r="73" spans="1:8" ht="17.399999999999999">
      <c r="A73" s="1314" t="s">
        <v>322</v>
      </c>
      <c r="B73" s="1314"/>
      <c r="C73" s="1314"/>
      <c r="D73" s="1314"/>
      <c r="E73" s="1314"/>
      <c r="F73" s="1314"/>
      <c r="G73" s="1314"/>
      <c r="H73" s="1314"/>
    </row>
    <row r="74" spans="1:8">
      <c r="A74" s="718"/>
      <c r="B74" s="718"/>
      <c r="C74" s="718"/>
      <c r="D74" s="718"/>
      <c r="E74" s="718"/>
      <c r="F74" s="718"/>
      <c r="G74" s="718"/>
      <c r="H74" s="718"/>
    </row>
    <row r="75" spans="1:8">
      <c r="A75" s="718"/>
      <c r="B75" s="718"/>
      <c r="C75" s="718"/>
      <c r="D75" s="718"/>
      <c r="E75" s="718"/>
      <c r="F75" s="718"/>
      <c r="G75" s="718"/>
      <c r="H75" s="718"/>
    </row>
    <row r="76" spans="1:8">
      <c r="A76" s="718"/>
      <c r="B76" s="718"/>
      <c r="C76" s="718"/>
      <c r="D76" s="718"/>
      <c r="E76" s="718"/>
      <c r="F76" s="718"/>
      <c r="G76" s="718"/>
      <c r="H76" s="718"/>
    </row>
    <row r="77" spans="1:8">
      <c r="A77" s="718"/>
      <c r="B77" s="718"/>
      <c r="C77" s="718"/>
      <c r="D77" s="718"/>
      <c r="E77" s="718"/>
      <c r="F77" s="718"/>
      <c r="G77" s="718"/>
      <c r="H77" s="718"/>
    </row>
    <row r="78" spans="1:8">
      <c r="A78" s="718"/>
      <c r="B78" s="718"/>
      <c r="C78" s="718"/>
      <c r="D78" s="718"/>
      <c r="E78" s="718"/>
      <c r="F78" s="718"/>
      <c r="G78" s="718"/>
      <c r="H78" s="718"/>
    </row>
    <row r="79" spans="1:8">
      <c r="A79" s="718"/>
      <c r="B79" s="718"/>
      <c r="C79" s="718"/>
      <c r="D79" s="718"/>
      <c r="E79" s="718"/>
      <c r="F79" s="718"/>
      <c r="G79" s="718"/>
      <c r="H79" s="718"/>
    </row>
    <row r="80" spans="1:8">
      <c r="A80" s="718"/>
      <c r="B80" s="718"/>
      <c r="C80" s="718"/>
      <c r="D80" s="718"/>
      <c r="E80" s="718"/>
      <c r="F80" s="718"/>
      <c r="G80" s="718"/>
      <c r="H80" s="718"/>
    </row>
    <row r="81" spans="1:8">
      <c r="A81" s="718"/>
      <c r="B81" s="718"/>
      <c r="C81" s="718"/>
      <c r="D81" s="718"/>
      <c r="E81" s="718"/>
      <c r="F81" s="718"/>
      <c r="G81" s="718"/>
      <c r="H81" s="718"/>
    </row>
    <row r="82" spans="1:8">
      <c r="A82" s="718"/>
      <c r="B82" s="718"/>
      <c r="C82" s="718"/>
      <c r="D82" s="718"/>
      <c r="E82" s="718"/>
      <c r="F82" s="718"/>
      <c r="G82" s="718"/>
      <c r="H82" s="718"/>
    </row>
    <row r="83" spans="1:8">
      <c r="A83" s="718"/>
      <c r="B83" s="718"/>
      <c r="C83" s="718"/>
      <c r="D83" s="718"/>
      <c r="E83" s="718"/>
      <c r="F83" s="718"/>
      <c r="G83" s="718"/>
      <c r="H83" s="718"/>
    </row>
    <row r="84" spans="1:8">
      <c r="A84" s="718"/>
      <c r="B84" s="718"/>
      <c r="C84" s="718"/>
      <c r="D84" s="718"/>
      <c r="E84" s="718"/>
      <c r="F84" s="718"/>
      <c r="G84" s="718"/>
      <c r="H84" s="718"/>
    </row>
    <row r="85" spans="1:8">
      <c r="A85" s="718"/>
      <c r="B85" s="718"/>
      <c r="C85" s="718"/>
      <c r="D85" s="718"/>
      <c r="E85" s="718"/>
      <c r="F85" s="718"/>
      <c r="G85" s="718"/>
      <c r="H85" s="718"/>
    </row>
    <row r="86" spans="1:8">
      <c r="A86" s="718"/>
      <c r="B86" s="718"/>
      <c r="C86" s="718"/>
      <c r="D86" s="718"/>
      <c r="E86" s="718"/>
      <c r="F86" s="718"/>
      <c r="G86" s="718"/>
      <c r="H86" s="718"/>
    </row>
    <row r="87" spans="1:8">
      <c r="A87" s="718"/>
      <c r="B87" s="718"/>
      <c r="C87" s="718"/>
      <c r="D87" s="718"/>
      <c r="E87" s="718"/>
      <c r="F87" s="718"/>
      <c r="G87" s="718"/>
      <c r="H87" s="718"/>
    </row>
    <row r="88" spans="1:8">
      <c r="A88" s="718"/>
      <c r="B88" s="718"/>
      <c r="C88" s="718"/>
      <c r="D88" s="718"/>
      <c r="E88" s="718"/>
      <c r="F88" s="718"/>
      <c r="G88" s="718"/>
      <c r="H88" s="718"/>
    </row>
    <row r="89" spans="1:8">
      <c r="A89" s="718"/>
      <c r="B89" s="718"/>
      <c r="C89" s="718"/>
      <c r="D89" s="718"/>
      <c r="E89" s="718"/>
      <c r="F89" s="718"/>
      <c r="G89" s="718"/>
      <c r="H89" s="718"/>
    </row>
    <row r="90" spans="1:8">
      <c r="A90" s="718"/>
      <c r="B90" s="718"/>
      <c r="C90" s="718"/>
      <c r="D90" s="718"/>
      <c r="E90" s="718"/>
      <c r="F90" s="718"/>
      <c r="G90" s="718"/>
      <c r="H90" s="718"/>
    </row>
    <row r="91" spans="1:8">
      <c r="A91" s="718"/>
      <c r="B91" s="718"/>
      <c r="C91" s="718"/>
      <c r="D91" s="718"/>
      <c r="E91" s="718"/>
      <c r="F91" s="718"/>
      <c r="G91" s="718"/>
      <c r="H91" s="718"/>
    </row>
    <row r="92" spans="1:8">
      <c r="A92" s="718"/>
      <c r="B92" s="718"/>
      <c r="C92" s="718"/>
      <c r="D92" s="718"/>
      <c r="E92" s="718"/>
      <c r="F92" s="718"/>
      <c r="G92" s="718"/>
      <c r="H92" s="718"/>
    </row>
    <row r="93" spans="1:8">
      <c r="A93" s="718"/>
      <c r="B93" s="718"/>
      <c r="C93" s="718"/>
      <c r="D93" s="718"/>
      <c r="E93" s="718"/>
      <c r="F93" s="718"/>
      <c r="G93" s="718"/>
      <c r="H93" s="718"/>
    </row>
    <row r="94" spans="1:8">
      <c r="A94" s="718"/>
      <c r="B94" s="718"/>
      <c r="C94" s="718"/>
      <c r="D94" s="718"/>
      <c r="E94" s="718"/>
      <c r="F94" s="718"/>
      <c r="G94" s="718"/>
      <c r="H94" s="718"/>
    </row>
    <row r="95" spans="1:8">
      <c r="A95" s="718"/>
      <c r="B95" s="718"/>
      <c r="C95" s="718"/>
      <c r="D95" s="718"/>
      <c r="E95" s="718"/>
      <c r="F95" s="718"/>
      <c r="G95" s="718"/>
      <c r="H95" s="718"/>
    </row>
    <row r="96" spans="1:8">
      <c r="A96" s="718"/>
      <c r="B96" s="718"/>
      <c r="C96" s="718"/>
      <c r="D96" s="718"/>
      <c r="E96" s="718"/>
      <c r="F96" s="718"/>
      <c r="G96" s="718"/>
      <c r="H96" s="718"/>
    </row>
    <row r="97" spans="1:8">
      <c r="A97" s="718"/>
      <c r="B97" s="718"/>
      <c r="C97" s="718"/>
      <c r="D97" s="718"/>
      <c r="E97" s="718"/>
      <c r="F97" s="718"/>
      <c r="G97" s="718"/>
      <c r="H97" s="718"/>
    </row>
    <row r="98" spans="1:8">
      <c r="A98" s="718"/>
      <c r="B98" s="718"/>
      <c r="C98" s="718"/>
      <c r="D98" s="718"/>
      <c r="E98" s="718"/>
      <c r="F98" s="718"/>
      <c r="G98" s="718"/>
      <c r="H98" s="718"/>
    </row>
    <row r="99" spans="1:8">
      <c r="A99" s="718"/>
      <c r="B99" s="718"/>
      <c r="C99" s="718"/>
      <c r="D99" s="718"/>
      <c r="E99" s="718"/>
      <c r="F99" s="718"/>
      <c r="G99" s="718"/>
      <c r="H99" s="718"/>
    </row>
    <row r="100" spans="1:8">
      <c r="A100" s="718"/>
      <c r="B100" s="718"/>
      <c r="C100" s="718"/>
      <c r="D100" s="718"/>
      <c r="E100" s="718"/>
      <c r="F100" s="718"/>
      <c r="G100" s="718"/>
      <c r="H100" s="718"/>
    </row>
    <row r="101" spans="1:8">
      <c r="A101" s="718"/>
      <c r="B101" s="718"/>
      <c r="C101" s="718"/>
      <c r="D101" s="718"/>
      <c r="E101" s="718"/>
      <c r="F101" s="718"/>
      <c r="G101" s="718"/>
      <c r="H101" s="718"/>
    </row>
    <row r="102" spans="1:8">
      <c r="A102" s="718"/>
      <c r="B102" s="718"/>
      <c r="C102" s="718"/>
      <c r="D102" s="718"/>
      <c r="E102" s="718"/>
      <c r="F102" s="718"/>
      <c r="G102" s="718"/>
      <c r="H102" s="718"/>
    </row>
    <row r="103" spans="1:8">
      <c r="A103" s="718"/>
      <c r="B103" s="718"/>
      <c r="C103" s="718"/>
      <c r="D103" s="718"/>
      <c r="E103" s="718"/>
      <c r="F103" s="718"/>
      <c r="G103" s="718"/>
      <c r="H103" s="718"/>
    </row>
    <row r="104" spans="1:8">
      <c r="A104" s="718"/>
      <c r="B104" s="718"/>
      <c r="C104" s="718"/>
      <c r="D104" s="718"/>
      <c r="E104" s="718"/>
      <c r="F104" s="718"/>
      <c r="G104" s="718"/>
      <c r="H104" s="718"/>
    </row>
    <row r="105" spans="1:8" ht="17.399999999999999">
      <c r="A105" s="1330" t="s">
        <v>323</v>
      </c>
      <c r="B105" s="1330"/>
      <c r="C105" s="1330"/>
      <c r="D105" s="1330"/>
      <c r="E105" s="1330"/>
      <c r="F105" s="1330"/>
      <c r="G105" s="1330"/>
      <c r="H105" s="1330"/>
    </row>
    <row r="106" spans="1:8" ht="15.6">
      <c r="A106" s="722"/>
      <c r="B106" s="722"/>
      <c r="C106" s="722"/>
      <c r="D106" s="722"/>
      <c r="E106" s="722"/>
      <c r="F106" s="722"/>
      <c r="G106" s="722"/>
      <c r="H106" s="722"/>
    </row>
    <row r="107" spans="1:8">
      <c r="A107" s="1321" t="s">
        <v>324</v>
      </c>
      <c r="B107" s="1321"/>
      <c r="C107" s="1321" t="s">
        <v>325</v>
      </c>
      <c r="D107" s="1321"/>
      <c r="E107" s="1321" t="s">
        <v>326</v>
      </c>
      <c r="F107" s="1321"/>
      <c r="G107" s="1321" t="s">
        <v>327</v>
      </c>
      <c r="H107" s="1321"/>
    </row>
    <row r="108" spans="1:8">
      <c r="A108" s="1322" t="str">
        <f ca="1">'Project Summary'!A12:B12</f>
        <v>Green</v>
      </c>
      <c r="B108" s="1323"/>
      <c r="C108" s="1322" t="str">
        <f>'Project Summary'!C12:D12</f>
        <v>Green</v>
      </c>
      <c r="D108" s="1323"/>
      <c r="E108" s="1322" t="str">
        <f>'Project Summary'!E12:F12</f>
        <v>Green</v>
      </c>
      <c r="F108" s="1323"/>
      <c r="G108" s="1322" t="str">
        <f>'Project Summary'!G12:H12</f>
        <v>Green</v>
      </c>
      <c r="H108" s="1323"/>
    </row>
    <row r="109" spans="1:8">
      <c r="A109" s="718"/>
      <c r="B109" s="718"/>
      <c r="C109" s="718"/>
      <c r="D109" s="718"/>
      <c r="E109" s="718"/>
      <c r="F109" s="718"/>
      <c r="G109" s="718"/>
      <c r="H109" s="718"/>
    </row>
    <row r="110" spans="1:8" ht="17.399999999999999">
      <c r="A110" s="1314" t="s">
        <v>328</v>
      </c>
      <c r="B110" s="1314"/>
      <c r="C110" s="1314"/>
      <c r="D110" s="1314"/>
      <c r="E110" s="1314"/>
      <c r="F110" s="1314"/>
      <c r="G110" s="1314"/>
      <c r="H110" s="1314"/>
    </row>
    <row r="111" spans="1:8">
      <c r="A111" s="718"/>
      <c r="B111" s="718"/>
      <c r="C111" s="718"/>
      <c r="D111" s="718"/>
      <c r="E111" s="718"/>
      <c r="F111" s="718"/>
      <c r="G111" s="718"/>
      <c r="H111" s="718"/>
    </row>
    <row r="112" spans="1:8">
      <c r="A112" s="1318" t="str">
        <f>'Project Summary'!A15:H15</f>
        <v>Overall estimate at completion</v>
      </c>
      <c r="B112" s="1318"/>
      <c r="C112" s="1318"/>
      <c r="D112" s="1318"/>
      <c r="E112" s="1318"/>
      <c r="F112" s="1318"/>
      <c r="G112" s="1318"/>
      <c r="H112" s="1318"/>
    </row>
    <row r="113" spans="1:8">
      <c r="A113" s="1331"/>
      <c r="B113" s="1331"/>
      <c r="C113" s="729" t="s">
        <v>329</v>
      </c>
      <c r="D113" s="729" t="s">
        <v>330</v>
      </c>
      <c r="E113" s="729" t="s">
        <v>331</v>
      </c>
      <c r="F113" s="729" t="s">
        <v>332</v>
      </c>
      <c r="G113" s="729" t="s">
        <v>333</v>
      </c>
      <c r="H113" s="730" t="s">
        <v>334</v>
      </c>
    </row>
    <row r="114" spans="1:8">
      <c r="A114" s="1332" t="str">
        <f>'Project Summary'!A17:B17</f>
        <v>Travel billable</v>
      </c>
      <c r="B114" s="1332"/>
      <c r="C114" s="731">
        <f>'Project Summary'!C17</f>
        <v>0</v>
      </c>
      <c r="D114" s="731">
        <f>'Project Summary'!D17</f>
        <v>0</v>
      </c>
      <c r="E114" s="731">
        <f>'Project Summary'!E17</f>
        <v>0</v>
      </c>
      <c r="F114" s="731">
        <f>'Project Summary'!F17</f>
        <v>0</v>
      </c>
      <c r="G114" s="732">
        <f>'Project Summary'!G17</f>
        <v>0</v>
      </c>
      <c r="H114" s="733" t="str">
        <f>'Project Summary'!H17</f>
        <v>Green</v>
      </c>
    </row>
    <row r="115" spans="1:8">
      <c r="A115" s="1332" t="str">
        <f>'Project Summary'!A18:B18</f>
        <v>Personal billable</v>
      </c>
      <c r="B115" s="1332"/>
      <c r="C115" s="731">
        <f ca="1">'Project Summary'!C18</f>
        <v>93800</v>
      </c>
      <c r="D115" s="731">
        <f>'Project Summary'!D18</f>
        <v>0</v>
      </c>
      <c r="E115" s="731">
        <f ca="1">'Project Summary'!E18</f>
        <v>0</v>
      </c>
      <c r="F115" s="731">
        <f ca="1">'Project Summary'!F18</f>
        <v>93800</v>
      </c>
      <c r="G115" s="732">
        <f ca="1">'Project Summary'!G18</f>
        <v>1</v>
      </c>
      <c r="H115" s="733" t="str">
        <f ca="1">'Project Summary'!H18</f>
        <v>Green</v>
      </c>
    </row>
    <row r="116" spans="1:8">
      <c r="A116" s="1332" t="str">
        <f>'Project Summary'!A19:B19</f>
        <v>Personal non billable</v>
      </c>
      <c r="B116" s="1332"/>
      <c r="C116" s="731">
        <f>'Project Summary'!C19</f>
        <v>0</v>
      </c>
      <c r="D116" s="731">
        <f>'Project Summary'!D19</f>
        <v>0</v>
      </c>
      <c r="E116" s="731">
        <f>'Project Summary'!E19</f>
        <v>0</v>
      </c>
      <c r="F116" s="731">
        <f>'Project Summary'!F19</f>
        <v>0</v>
      </c>
      <c r="G116" s="732">
        <f>'Project Summary'!G19</f>
        <v>0</v>
      </c>
      <c r="H116" s="733" t="str">
        <f>'Project Summary'!H19</f>
        <v>Green</v>
      </c>
    </row>
    <row r="117" spans="1:8">
      <c r="A117" s="1332" t="str">
        <f>'Project Summary'!A20:B20</f>
        <v>Travel non billable</v>
      </c>
      <c r="B117" s="1332"/>
      <c r="C117" s="731">
        <f>'Project Summary'!C20</f>
        <v>0</v>
      </c>
      <c r="D117" s="731">
        <f>'Project Summary'!D20</f>
        <v>0</v>
      </c>
      <c r="E117" s="731">
        <f>'Project Summary'!E20</f>
        <v>0</v>
      </c>
      <c r="F117" s="731">
        <f>'Project Summary'!F20</f>
        <v>0</v>
      </c>
      <c r="G117" s="732">
        <f>'Project Summary'!G20</f>
        <v>0</v>
      </c>
      <c r="H117" s="733" t="str">
        <f>'Project Summary'!H20</f>
        <v>Green</v>
      </c>
    </row>
    <row r="118" spans="1:8">
      <c r="A118" s="1332" t="str">
        <f>'Project Summary'!A21:B21</f>
        <v>Risk amount of loss</v>
      </c>
      <c r="B118" s="1332"/>
      <c r="C118" s="731">
        <f>'Project Summary'!C21</f>
        <v>0</v>
      </c>
      <c r="D118" s="731">
        <f>'Project Summary'!D21</f>
        <v>0</v>
      </c>
      <c r="E118" s="731">
        <f>'Project Summary'!E21</f>
        <v>0</v>
      </c>
      <c r="F118" s="731">
        <f>'Project Summary'!F21</f>
        <v>0</v>
      </c>
      <c r="G118" s="732">
        <f>'Project Summary'!G21</f>
        <v>0</v>
      </c>
      <c r="H118" s="733" t="str">
        <f>'Project Summary'!H21</f>
        <v>Green</v>
      </c>
    </row>
    <row r="119" spans="1:8">
      <c r="A119" s="1332" t="str">
        <f>'Project Summary'!A23:B23</f>
        <v>Additional Margin</v>
      </c>
      <c r="B119" s="1332"/>
      <c r="C119" s="731">
        <f>'Project Summary'!C23</f>
        <v>0</v>
      </c>
      <c r="D119" s="731">
        <f>'Project Summary'!D23</f>
        <v>0</v>
      </c>
      <c r="E119" s="731">
        <f>'Project Summary'!E23</f>
        <v>0</v>
      </c>
      <c r="F119" s="731">
        <f>'Project Summary'!F23</f>
        <v>0</v>
      </c>
      <c r="G119" s="732">
        <f>'Project Summary'!G23</f>
        <v>0</v>
      </c>
      <c r="H119" s="734">
        <f>'Project Summary'!H23</f>
        <v>0</v>
      </c>
    </row>
    <row r="120" spans="1:8">
      <c r="A120" s="1331" t="str">
        <f>'Project Summary'!A24:B24</f>
        <v>Project totals</v>
      </c>
      <c r="B120" s="1331"/>
      <c r="C120" s="735">
        <f ca="1">'Project Summary'!C24</f>
        <v>93800</v>
      </c>
      <c r="D120" s="735">
        <f>'Project Summary'!D24</f>
        <v>0</v>
      </c>
      <c r="E120" s="735">
        <f ca="1">'Project Summary'!E24</f>
        <v>0</v>
      </c>
      <c r="F120" s="735">
        <f ca="1">'Project Summary'!F24</f>
        <v>93800</v>
      </c>
      <c r="G120" s="736">
        <f ca="1">'Project Summary'!G24</f>
        <v>1</v>
      </c>
      <c r="H120" s="733" t="str">
        <f ca="1">'Project Summary'!H24</f>
        <v>Green</v>
      </c>
    </row>
    <row r="121" spans="1:8">
      <c r="A121" s="718"/>
      <c r="B121" s="718"/>
      <c r="C121" s="718"/>
      <c r="D121" s="718"/>
      <c r="E121" s="718"/>
      <c r="F121" s="718"/>
      <c r="G121" s="718"/>
      <c r="H121" s="718"/>
    </row>
    <row r="122" spans="1:8" ht="17.399999999999999">
      <c r="A122" s="1314" t="s">
        <v>335</v>
      </c>
      <c r="B122" s="1314"/>
      <c r="C122" s="1314"/>
      <c r="D122" s="1314"/>
      <c r="E122" s="1314"/>
      <c r="F122" s="1314"/>
      <c r="G122" s="1314"/>
      <c r="H122" s="1314"/>
    </row>
    <row r="123" spans="1:8">
      <c r="A123" s="718"/>
      <c r="B123" s="718"/>
      <c r="C123" s="718"/>
      <c r="D123" s="718"/>
      <c r="E123" s="718"/>
      <c r="F123" s="718"/>
      <c r="G123" s="718"/>
      <c r="H123" s="718"/>
    </row>
    <row r="124" spans="1:8">
      <c r="A124" s="718"/>
      <c r="B124" s="718"/>
      <c r="C124" s="718"/>
      <c r="D124" s="718"/>
      <c r="E124" s="718"/>
      <c r="F124" s="718"/>
      <c r="G124" s="718"/>
      <c r="H124" s="718"/>
    </row>
    <row r="125" spans="1:8">
      <c r="A125" s="718"/>
      <c r="B125" s="718"/>
      <c r="C125" s="718"/>
      <c r="D125" s="718"/>
      <c r="E125" s="718"/>
      <c r="F125" s="718"/>
      <c r="G125" s="718"/>
      <c r="H125" s="718"/>
    </row>
    <row r="126" spans="1:8">
      <c r="A126" s="718"/>
      <c r="B126" s="718"/>
      <c r="C126" s="718"/>
      <c r="D126" s="718"/>
      <c r="E126" s="718"/>
      <c r="F126" s="718"/>
      <c r="G126" s="718"/>
      <c r="H126" s="718"/>
    </row>
    <row r="127" spans="1:8">
      <c r="A127" s="718"/>
      <c r="B127" s="718"/>
      <c r="C127" s="718"/>
      <c r="D127" s="718"/>
      <c r="E127" s="718"/>
      <c r="F127" s="718"/>
      <c r="G127" s="718"/>
      <c r="H127" s="718"/>
    </row>
    <row r="128" spans="1:8">
      <c r="A128" s="718"/>
      <c r="B128" s="718"/>
      <c r="C128" s="718"/>
      <c r="D128" s="718"/>
      <c r="E128" s="718"/>
      <c r="F128" s="718"/>
      <c r="G128" s="718"/>
      <c r="H128" s="718"/>
    </row>
    <row r="129" spans="1:8">
      <c r="A129" s="718"/>
      <c r="B129" s="718"/>
      <c r="C129" s="718"/>
      <c r="D129" s="718"/>
      <c r="E129" s="718"/>
      <c r="F129" s="718"/>
      <c r="G129" s="718"/>
      <c r="H129" s="718"/>
    </row>
    <row r="130" spans="1:8">
      <c r="A130" s="718"/>
      <c r="B130" s="718"/>
      <c r="C130" s="718"/>
      <c r="D130" s="718"/>
      <c r="E130" s="718"/>
      <c r="F130" s="718"/>
      <c r="G130" s="718"/>
      <c r="H130" s="718"/>
    </row>
    <row r="131" spans="1:8">
      <c r="A131" s="718"/>
      <c r="B131" s="718"/>
      <c r="C131" s="718"/>
      <c r="D131" s="718"/>
      <c r="E131" s="718"/>
      <c r="F131" s="718"/>
      <c r="G131" s="718"/>
      <c r="H131" s="718"/>
    </row>
    <row r="132" spans="1:8">
      <c r="A132" s="718"/>
      <c r="B132" s="718"/>
      <c r="C132" s="718"/>
      <c r="D132" s="718"/>
      <c r="E132" s="718"/>
      <c r="F132" s="718"/>
      <c r="G132" s="718"/>
      <c r="H132" s="718"/>
    </row>
    <row r="133" spans="1:8">
      <c r="A133" s="718"/>
      <c r="B133" s="718"/>
      <c r="C133" s="718"/>
      <c r="D133" s="718"/>
      <c r="E133" s="718"/>
      <c r="F133" s="718"/>
      <c r="G133" s="718"/>
      <c r="H133" s="718"/>
    </row>
    <row r="134" spans="1:8">
      <c r="A134" s="718"/>
      <c r="B134" s="718"/>
      <c r="C134" s="718"/>
      <c r="D134" s="718"/>
      <c r="E134" s="718"/>
      <c r="F134" s="718"/>
      <c r="G134" s="718"/>
      <c r="H134" s="718"/>
    </row>
    <row r="135" spans="1:8">
      <c r="A135" s="718"/>
      <c r="B135" s="718"/>
      <c r="C135" s="718"/>
      <c r="D135" s="718"/>
      <c r="E135" s="718"/>
      <c r="F135" s="718"/>
      <c r="G135" s="718"/>
      <c r="H135" s="718"/>
    </row>
    <row r="136" spans="1:8">
      <c r="A136" s="718"/>
      <c r="B136" s="718"/>
      <c r="C136" s="718"/>
      <c r="D136" s="718"/>
      <c r="E136" s="718"/>
      <c r="F136" s="718"/>
      <c r="G136" s="718"/>
      <c r="H136" s="718"/>
    </row>
    <row r="137" spans="1:8">
      <c r="A137" s="718"/>
      <c r="B137" s="718"/>
      <c r="C137" s="718"/>
      <c r="D137" s="718"/>
      <c r="E137" s="718"/>
      <c r="F137" s="718"/>
      <c r="G137" s="718"/>
      <c r="H137" s="718"/>
    </row>
    <row r="138" spans="1:8">
      <c r="A138" s="718"/>
      <c r="B138" s="718"/>
      <c r="C138" s="718"/>
      <c r="D138" s="718"/>
      <c r="E138" s="718"/>
      <c r="F138" s="718"/>
      <c r="G138" s="718"/>
      <c r="H138" s="718"/>
    </row>
    <row r="139" spans="1:8">
      <c r="A139" s="718"/>
      <c r="B139" s="718"/>
      <c r="C139" s="718"/>
      <c r="D139" s="718"/>
      <c r="E139" s="718"/>
      <c r="F139" s="718"/>
      <c r="G139" s="718"/>
      <c r="H139" s="718"/>
    </row>
    <row r="140" spans="1:8">
      <c r="A140" s="718"/>
      <c r="B140" s="718"/>
      <c r="C140" s="718"/>
      <c r="D140" s="718"/>
      <c r="E140" s="718"/>
      <c r="F140" s="718"/>
      <c r="G140" s="718"/>
      <c r="H140" s="718"/>
    </row>
    <row r="141" spans="1:8">
      <c r="A141" s="718"/>
      <c r="B141" s="718"/>
      <c r="C141" s="718"/>
      <c r="D141" s="718"/>
      <c r="E141" s="718"/>
      <c r="F141" s="718"/>
      <c r="G141" s="718"/>
      <c r="H141" s="718"/>
    </row>
    <row r="142" spans="1:8">
      <c r="A142" s="718"/>
      <c r="B142" s="718"/>
      <c r="C142" s="718"/>
      <c r="D142" s="718"/>
      <c r="E142" s="718"/>
      <c r="F142" s="718"/>
      <c r="G142" s="718"/>
      <c r="H142" s="718"/>
    </row>
    <row r="143" spans="1:8">
      <c r="A143" s="718"/>
      <c r="B143" s="718"/>
      <c r="C143" s="718"/>
      <c r="D143" s="718"/>
      <c r="E143" s="718"/>
      <c r="F143" s="718"/>
      <c r="G143" s="718"/>
      <c r="H143" s="718"/>
    </row>
    <row r="144" spans="1:8">
      <c r="A144" s="718"/>
      <c r="B144" s="718"/>
      <c r="C144" s="718"/>
      <c r="D144" s="718"/>
      <c r="E144" s="718"/>
      <c r="F144" s="718"/>
      <c r="G144" s="718"/>
      <c r="H144" s="718"/>
    </row>
    <row r="145" spans="1:17">
      <c r="A145" s="718"/>
      <c r="B145" s="718"/>
      <c r="C145" s="718"/>
      <c r="D145" s="718"/>
      <c r="E145" s="718"/>
      <c r="F145" s="718"/>
      <c r="G145" s="718"/>
      <c r="H145" s="718"/>
    </row>
    <row r="146" spans="1:17">
      <c r="A146" s="718"/>
      <c r="B146" s="718"/>
      <c r="C146" s="718"/>
      <c r="D146" s="718"/>
      <c r="E146" s="718"/>
      <c r="F146" s="718"/>
      <c r="G146" s="718"/>
      <c r="H146" s="718"/>
    </row>
    <row r="147" spans="1:17">
      <c r="A147" s="718"/>
      <c r="B147" s="718"/>
      <c r="C147" s="718"/>
      <c r="D147" s="718"/>
      <c r="E147" s="718"/>
      <c r="F147" s="718"/>
      <c r="G147" s="718"/>
      <c r="H147" s="718"/>
    </row>
    <row r="148" spans="1:17">
      <c r="A148" s="718"/>
      <c r="B148" s="718"/>
      <c r="C148" s="718"/>
      <c r="D148" s="718"/>
      <c r="E148" s="718"/>
      <c r="F148" s="718"/>
      <c r="G148" s="718"/>
      <c r="H148" s="718"/>
    </row>
    <row r="149" spans="1:17">
      <c r="A149" s="718"/>
      <c r="B149" s="718"/>
      <c r="C149" s="718"/>
      <c r="D149" s="718"/>
      <c r="E149" s="718"/>
      <c r="F149" s="718"/>
      <c r="G149" s="718"/>
      <c r="H149" s="718"/>
    </row>
    <row r="150" spans="1:17">
      <c r="A150" s="718"/>
      <c r="B150" s="718"/>
      <c r="C150" s="718"/>
      <c r="D150" s="718"/>
      <c r="E150" s="718"/>
      <c r="F150" s="718"/>
      <c r="G150" s="718"/>
      <c r="H150" s="718"/>
    </row>
    <row r="151" spans="1:17">
      <c r="A151" s="718"/>
      <c r="B151" s="718"/>
      <c r="C151" s="718"/>
      <c r="D151" s="718"/>
      <c r="E151" s="718"/>
      <c r="F151" s="718"/>
      <c r="G151" s="718"/>
      <c r="H151" s="718"/>
    </row>
    <row r="152" spans="1:17">
      <c r="A152" s="718"/>
      <c r="B152" s="718"/>
      <c r="C152" s="718"/>
      <c r="D152" s="718"/>
      <c r="E152" s="718"/>
      <c r="F152" s="718"/>
      <c r="G152" s="718"/>
      <c r="H152" s="718"/>
    </row>
    <row r="153" spans="1:17">
      <c r="A153" s="718"/>
      <c r="B153" s="718"/>
      <c r="C153" s="718"/>
      <c r="D153" s="718"/>
      <c r="E153" s="718"/>
      <c r="F153" s="718"/>
      <c r="G153" s="718"/>
      <c r="H153" s="718"/>
    </row>
    <row r="154" spans="1:17" ht="17.399999999999999">
      <c r="A154" s="1314" t="s">
        <v>336</v>
      </c>
      <c r="B154" s="1314"/>
      <c r="C154" s="1314"/>
      <c r="D154" s="1314"/>
      <c r="E154" s="1314"/>
      <c r="F154" s="1314"/>
      <c r="G154" s="1314"/>
      <c r="H154" s="1314"/>
    </row>
    <row r="155" spans="1:17">
      <c r="A155" s="750"/>
      <c r="B155" s="750"/>
      <c r="C155" s="750"/>
      <c r="D155" s="750"/>
      <c r="E155" s="750"/>
      <c r="F155" s="750"/>
      <c r="G155" s="750"/>
      <c r="H155" s="750"/>
    </row>
    <row r="156" spans="1:17">
      <c r="A156" s="1319" t="s">
        <v>337</v>
      </c>
      <c r="B156" s="1319"/>
      <c r="C156" s="1319"/>
      <c r="D156" s="738" t="s">
        <v>338</v>
      </c>
      <c r="E156" s="745" t="s">
        <v>339</v>
      </c>
      <c r="F156" s="745" t="s">
        <v>340</v>
      </c>
      <c r="G156" s="748" t="s">
        <v>341</v>
      </c>
      <c r="H156" s="748" t="s">
        <v>342</v>
      </c>
    </row>
    <row r="157" spans="1:17" ht="15" customHeight="1">
      <c r="A157" s="1327" t="str">
        <f>"(" &amp; TEXT(risk1id,"#") &amp; ") - " &amp; risk1title</f>
        <v xml:space="preserve">() - </v>
      </c>
      <c r="B157" s="1327"/>
      <c r="C157" s="1327"/>
      <c r="D157" s="739" t="str">
        <f>Risklog!O52</f>
        <v/>
      </c>
      <c r="E157" s="746" t="str">
        <f>risk1amount</f>
        <v/>
      </c>
      <c r="F157" s="747" t="str">
        <f>risk1severity</f>
        <v/>
      </c>
      <c r="G157" s="749" t="str">
        <f>Risklog!P52</f>
        <v/>
      </c>
      <c r="H157" s="749" t="str">
        <f>Risklog!R52</f>
        <v/>
      </c>
      <c r="Q157" s="740" t="e">
        <f>A157 &amp; " (" &amp; E156 &amp; ": " &amp; E157 &amp; " - " &amp; F156 &amp; ": " &amp; F157 * 100 &amp; " %)"</f>
        <v>#VALUE!</v>
      </c>
    </row>
    <row r="158" spans="1:17">
      <c r="A158" s="1319" t="s">
        <v>343</v>
      </c>
      <c r="B158" s="1319"/>
      <c r="C158" s="1319" t="s">
        <v>344</v>
      </c>
      <c r="D158" s="1319"/>
      <c r="E158" s="1319" t="s">
        <v>345</v>
      </c>
      <c r="F158" s="1319"/>
      <c r="G158" s="1319" t="s">
        <v>346</v>
      </c>
      <c r="H158" s="1319"/>
    </row>
    <row r="159" spans="1:17" ht="30" customHeight="1">
      <c r="A159" s="1320" t="str">
        <f>risk1description</f>
        <v/>
      </c>
      <c r="B159" s="1320"/>
      <c r="C159" s="1320" t="str">
        <f>Risklog!I52</f>
        <v/>
      </c>
      <c r="D159" s="1320"/>
      <c r="E159" s="1320" t="str">
        <f>Risklog!J52</f>
        <v/>
      </c>
      <c r="F159" s="1320"/>
      <c r="G159" s="1320" t="str">
        <f>Risklog!Q52</f>
        <v/>
      </c>
      <c r="H159" s="1320"/>
    </row>
    <row r="160" spans="1:17" ht="30" customHeight="1">
      <c r="A160" s="1320"/>
      <c r="B160" s="1320"/>
      <c r="C160" s="1320"/>
      <c r="D160" s="1320"/>
      <c r="E160" s="1320"/>
      <c r="F160" s="1320"/>
      <c r="G160" s="1320"/>
      <c r="H160" s="1320"/>
    </row>
    <row r="161" spans="1:17" ht="30" customHeight="1">
      <c r="A161" s="1320"/>
      <c r="B161" s="1320"/>
      <c r="C161" s="1320"/>
      <c r="D161" s="1320"/>
      <c r="E161" s="1320"/>
      <c r="F161" s="1320"/>
      <c r="G161" s="1320"/>
      <c r="H161" s="1320"/>
    </row>
    <row r="162" spans="1:17" ht="30" customHeight="1">
      <c r="A162" s="1320"/>
      <c r="B162" s="1320"/>
      <c r="C162" s="1320"/>
      <c r="D162" s="1320"/>
      <c r="E162" s="1320"/>
      <c r="F162" s="1320"/>
      <c r="G162" s="1320"/>
      <c r="H162" s="1320"/>
      <c r="L162" s="741"/>
      <c r="N162" s="741"/>
      <c r="Q162" s="741"/>
    </row>
    <row r="163" spans="1:17" ht="30" customHeight="1">
      <c r="A163" s="1320"/>
      <c r="B163" s="1320"/>
      <c r="C163" s="1320"/>
      <c r="D163" s="1320"/>
      <c r="E163" s="1320"/>
      <c r="F163" s="1320"/>
      <c r="G163" s="1320"/>
      <c r="H163" s="1320"/>
      <c r="L163" s="741"/>
      <c r="N163" s="741"/>
      <c r="Q163" s="741"/>
    </row>
    <row r="164" spans="1:17">
      <c r="A164" s="750"/>
      <c r="B164" s="750"/>
      <c r="C164" s="750"/>
      <c r="D164" s="750"/>
      <c r="E164" s="750"/>
      <c r="F164" s="750"/>
      <c r="G164" s="750"/>
      <c r="H164" s="750"/>
      <c r="L164" s="741"/>
      <c r="N164" s="741"/>
      <c r="Q164" s="741"/>
    </row>
    <row r="165" spans="1:17">
      <c r="A165" s="1319" t="s">
        <v>347</v>
      </c>
      <c r="B165" s="1319"/>
      <c r="C165" s="1319"/>
      <c r="D165" s="738" t="s">
        <v>348</v>
      </c>
      <c r="E165" s="745" t="s">
        <v>349</v>
      </c>
      <c r="F165" s="745" t="s">
        <v>350</v>
      </c>
      <c r="G165" s="748" t="s">
        <v>351</v>
      </c>
      <c r="H165" s="748" t="s">
        <v>352</v>
      </c>
      <c r="L165" s="741"/>
      <c r="N165" s="741"/>
      <c r="Q165" s="740"/>
    </row>
    <row r="166" spans="1:17">
      <c r="A166" s="1327" t="str">
        <f ca="1">"(" &amp; TEXT(risk2id,"#") &amp; ") - " &amp; risk2title</f>
        <v xml:space="preserve">() - </v>
      </c>
      <c r="B166" s="1327"/>
      <c r="C166" s="1327"/>
      <c r="D166" s="739" t="str">
        <f ca="1">Risklog!O53</f>
        <v/>
      </c>
      <c r="E166" s="746" t="str">
        <f ca="1">risk2amount</f>
        <v/>
      </c>
      <c r="F166" s="747" t="str">
        <f ca="1">risk2severity</f>
        <v/>
      </c>
      <c r="G166" s="749" t="str">
        <f ca="1">Risklog!P53</f>
        <v/>
      </c>
      <c r="H166" s="749" t="str">
        <f ca="1">Risklog!R53</f>
        <v/>
      </c>
      <c r="Q166" s="740" t="e">
        <f ca="1">A166 &amp; " (" &amp; E165 &amp; ": " &amp; E166 &amp; " - " &amp; F165 &amp; ": " &amp; F166 * 100 &amp; " %)"</f>
        <v>#VALUE!</v>
      </c>
    </row>
    <row r="167" spans="1:17">
      <c r="A167" s="1319" t="s">
        <v>353</v>
      </c>
      <c r="B167" s="1319"/>
      <c r="C167" s="1319" t="s">
        <v>354</v>
      </c>
      <c r="D167" s="1319"/>
      <c r="E167" s="1319" t="s">
        <v>355</v>
      </c>
      <c r="F167" s="1319"/>
      <c r="G167" s="1319" t="s">
        <v>356</v>
      </c>
      <c r="H167" s="1319"/>
    </row>
    <row r="168" spans="1:17" ht="30" customHeight="1">
      <c r="A168" s="1320" t="str">
        <f ca="1">risk2description</f>
        <v/>
      </c>
      <c r="B168" s="1320"/>
      <c r="C168" s="1320" t="str">
        <f ca="1">Risklog!I53</f>
        <v/>
      </c>
      <c r="D168" s="1320"/>
      <c r="E168" s="1320" t="str">
        <f ca="1">Risklog!J53</f>
        <v/>
      </c>
      <c r="F168" s="1320"/>
      <c r="G168" s="1320" t="str">
        <f ca="1">Risklog!Q53</f>
        <v/>
      </c>
      <c r="H168" s="1320"/>
    </row>
    <row r="169" spans="1:17" ht="30" customHeight="1">
      <c r="A169" s="1320"/>
      <c r="B169" s="1320"/>
      <c r="C169" s="1320"/>
      <c r="D169" s="1320"/>
      <c r="E169" s="1320"/>
      <c r="F169" s="1320"/>
      <c r="G169" s="1320"/>
      <c r="H169" s="1320"/>
    </row>
    <row r="170" spans="1:17" ht="30" customHeight="1">
      <c r="A170" s="1320"/>
      <c r="B170" s="1320"/>
      <c r="C170" s="1320"/>
      <c r="D170" s="1320"/>
      <c r="E170" s="1320"/>
      <c r="F170" s="1320"/>
      <c r="G170" s="1320"/>
      <c r="H170" s="1320"/>
    </row>
    <row r="171" spans="1:17" ht="30" customHeight="1">
      <c r="A171" s="1320"/>
      <c r="B171" s="1320"/>
      <c r="C171" s="1320"/>
      <c r="D171" s="1320"/>
      <c r="E171" s="1320"/>
      <c r="F171" s="1320"/>
      <c r="G171" s="1320"/>
      <c r="H171" s="1320"/>
    </row>
    <row r="172" spans="1:17" ht="30" customHeight="1">
      <c r="A172" s="1320"/>
      <c r="B172" s="1320"/>
      <c r="C172" s="1320"/>
      <c r="D172" s="1320"/>
      <c r="E172" s="1320"/>
      <c r="F172" s="1320"/>
      <c r="G172" s="1320"/>
      <c r="H172" s="1320"/>
    </row>
    <row r="173" spans="1:17">
      <c r="A173" s="751"/>
      <c r="B173" s="751"/>
      <c r="C173" s="751"/>
      <c r="D173" s="751"/>
      <c r="E173" s="751"/>
      <c r="F173" s="751"/>
      <c r="G173" s="751"/>
      <c r="H173" s="751"/>
    </row>
    <row r="174" spans="1:17">
      <c r="A174" s="1319" t="s">
        <v>357</v>
      </c>
      <c r="B174" s="1319"/>
      <c r="C174" s="1319"/>
      <c r="D174" s="738" t="s">
        <v>358</v>
      </c>
      <c r="E174" s="745" t="s">
        <v>359</v>
      </c>
      <c r="F174" s="745" t="s">
        <v>360</v>
      </c>
      <c r="G174" s="748" t="s">
        <v>361</v>
      </c>
      <c r="H174" s="748" t="s">
        <v>362</v>
      </c>
    </row>
    <row r="175" spans="1:17">
      <c r="A175" s="1327" t="str">
        <f ca="1">"(" &amp; TEXT(risk3id,"#") &amp; ") - " &amp; risk3title</f>
        <v xml:space="preserve">() - </v>
      </c>
      <c r="B175" s="1327"/>
      <c r="C175" s="1327"/>
      <c r="D175" s="739" t="str">
        <f ca="1">Risklog!O54</f>
        <v/>
      </c>
      <c r="E175" s="746" t="str">
        <f ca="1">risk3amount</f>
        <v/>
      </c>
      <c r="F175" s="747" t="str">
        <f ca="1">risk3severity</f>
        <v/>
      </c>
      <c r="G175" s="749" t="str">
        <f ca="1">Risklog!P54</f>
        <v/>
      </c>
      <c r="H175" s="749" t="str">
        <f ca="1">Risklog!R54</f>
        <v/>
      </c>
      <c r="Q175" s="740" t="e">
        <f ca="1">A175 &amp; " (" &amp; E174 &amp; ": " &amp; E175 &amp; " - " &amp; F174 &amp; ": " &amp; F175 * 100 &amp; " %)"</f>
        <v>#VALUE!</v>
      </c>
    </row>
    <row r="176" spans="1:17">
      <c r="A176" s="1319" t="s">
        <v>363</v>
      </c>
      <c r="B176" s="1319"/>
      <c r="C176" s="1319" t="s">
        <v>364</v>
      </c>
      <c r="D176" s="1319"/>
      <c r="E176" s="1319" t="s">
        <v>365</v>
      </c>
      <c r="F176" s="1319"/>
      <c r="G176" s="1319" t="s">
        <v>366</v>
      </c>
      <c r="H176" s="1319"/>
    </row>
    <row r="177" spans="1:8" ht="30" customHeight="1">
      <c r="A177" s="1320" t="str">
        <f ca="1">risk3description</f>
        <v/>
      </c>
      <c r="B177" s="1320"/>
      <c r="C177" s="1320" t="str">
        <f ca="1">Risklog!I54</f>
        <v/>
      </c>
      <c r="D177" s="1320"/>
      <c r="E177" s="1320" t="str">
        <f ca="1">Risklog!J54</f>
        <v/>
      </c>
      <c r="F177" s="1320"/>
      <c r="G177" s="1320" t="str">
        <f ca="1">Risklog!Q54</f>
        <v/>
      </c>
      <c r="H177" s="1320"/>
    </row>
    <row r="178" spans="1:8" ht="30" customHeight="1">
      <c r="A178" s="1320"/>
      <c r="B178" s="1320"/>
      <c r="C178" s="1320"/>
      <c r="D178" s="1320"/>
      <c r="E178" s="1320"/>
      <c r="F178" s="1320"/>
      <c r="G178" s="1320"/>
      <c r="H178" s="1320"/>
    </row>
    <row r="179" spans="1:8" ht="30" customHeight="1">
      <c r="A179" s="1320"/>
      <c r="B179" s="1320"/>
      <c r="C179" s="1320"/>
      <c r="D179" s="1320"/>
      <c r="E179" s="1320"/>
      <c r="F179" s="1320"/>
      <c r="G179" s="1320"/>
      <c r="H179" s="1320"/>
    </row>
    <row r="180" spans="1:8" ht="30" customHeight="1">
      <c r="A180" s="1320"/>
      <c r="B180" s="1320"/>
      <c r="C180" s="1320"/>
      <c r="D180" s="1320"/>
      <c r="E180" s="1320"/>
      <c r="F180" s="1320"/>
      <c r="G180" s="1320"/>
      <c r="H180" s="1320"/>
    </row>
    <row r="181" spans="1:8" ht="30" customHeight="1">
      <c r="A181" s="1320"/>
      <c r="B181" s="1320"/>
      <c r="C181" s="1320"/>
      <c r="D181" s="1320"/>
      <c r="E181" s="1320"/>
      <c r="F181" s="1320"/>
      <c r="G181" s="1320"/>
      <c r="H181" s="1320"/>
    </row>
    <row r="182" spans="1:8">
      <c r="A182" s="711"/>
      <c r="B182" s="711"/>
      <c r="C182" s="711"/>
      <c r="D182" s="711"/>
      <c r="E182" s="711"/>
      <c r="F182" s="711"/>
      <c r="G182" s="711"/>
      <c r="H182" s="711"/>
    </row>
    <row r="183" spans="1:8">
      <c r="A183" s="711"/>
      <c r="B183" s="711"/>
      <c r="C183" s="711"/>
      <c r="D183" s="711"/>
      <c r="E183" s="711"/>
      <c r="F183" s="711"/>
      <c r="G183" s="711"/>
      <c r="H183" s="711"/>
    </row>
    <row r="184" spans="1:8">
      <c r="A184" s="711"/>
      <c r="B184" s="711"/>
      <c r="C184" s="711"/>
      <c r="D184" s="711"/>
      <c r="E184" s="711"/>
      <c r="F184" s="711"/>
      <c r="G184" s="711"/>
      <c r="H184" s="711"/>
    </row>
    <row r="185" spans="1:8">
      <c r="A185" s="711"/>
      <c r="B185" s="711"/>
      <c r="C185" s="711"/>
      <c r="D185" s="711"/>
      <c r="E185" s="711"/>
      <c r="F185" s="711"/>
      <c r="G185" s="711"/>
      <c r="H185" s="711"/>
    </row>
    <row r="186" spans="1:8">
      <c r="A186" s="711"/>
      <c r="B186" s="711"/>
      <c r="C186" s="711"/>
      <c r="D186" s="711"/>
      <c r="E186" s="711"/>
      <c r="F186" s="711"/>
      <c r="G186" s="711"/>
      <c r="H186" s="711"/>
    </row>
    <row r="187" spans="1:8">
      <c r="A187" s="711"/>
      <c r="B187" s="711"/>
      <c r="C187" s="711"/>
      <c r="D187" s="711"/>
      <c r="E187" s="711"/>
      <c r="F187" s="711"/>
      <c r="G187" s="711"/>
      <c r="H187" s="711"/>
    </row>
    <row r="188" spans="1:8">
      <c r="A188" s="711"/>
      <c r="B188" s="711"/>
      <c r="C188" s="711"/>
      <c r="D188" s="711"/>
      <c r="E188" s="711"/>
      <c r="F188" s="711"/>
      <c r="G188" s="711"/>
      <c r="H188" s="711"/>
    </row>
    <row r="189" spans="1:8">
      <c r="A189" s="711"/>
      <c r="B189" s="711"/>
      <c r="C189" s="711"/>
      <c r="D189" s="711"/>
      <c r="E189" s="711"/>
      <c r="F189" s="711"/>
      <c r="G189" s="711"/>
      <c r="H189" s="711"/>
    </row>
    <row r="190" spans="1:8">
      <c r="A190" s="711"/>
      <c r="B190" s="711"/>
      <c r="C190" s="711"/>
      <c r="D190" s="711"/>
      <c r="E190" s="711"/>
      <c r="F190" s="711"/>
      <c r="G190" s="711"/>
      <c r="H190" s="711"/>
    </row>
    <row r="191" spans="1:8">
      <c r="A191" s="751"/>
      <c r="B191" s="751"/>
      <c r="C191" s="751"/>
      <c r="D191" s="751"/>
      <c r="E191" s="751"/>
      <c r="F191" s="751"/>
      <c r="G191" s="751"/>
      <c r="H191" s="751"/>
    </row>
    <row r="192" spans="1:8">
      <c r="A192" s="1319" t="s">
        <v>367</v>
      </c>
      <c r="B192" s="1319"/>
      <c r="C192" s="1319"/>
      <c r="D192" s="738" t="s">
        <v>368</v>
      </c>
      <c r="E192" s="745" t="s">
        <v>369</v>
      </c>
      <c r="F192" s="745" t="s">
        <v>370</v>
      </c>
      <c r="G192" s="748" t="s">
        <v>371</v>
      </c>
      <c r="H192" s="748" t="s">
        <v>372</v>
      </c>
    </row>
    <row r="193" spans="1:17">
      <c r="A193" s="1327" t="str">
        <f ca="1">"(" &amp; TEXT(risk4id,"#") &amp; ") - " &amp; risk4title</f>
        <v xml:space="preserve">() - </v>
      </c>
      <c r="B193" s="1327"/>
      <c r="C193" s="1327"/>
      <c r="D193" s="739" t="str">
        <f ca="1">Risklog!O55</f>
        <v/>
      </c>
      <c r="E193" s="746" t="str">
        <f ca="1">risk4amount</f>
        <v/>
      </c>
      <c r="F193" s="747" t="str">
        <f ca="1">risk4severity</f>
        <v/>
      </c>
      <c r="G193" s="749" t="str">
        <f ca="1">Risklog!P55</f>
        <v/>
      </c>
      <c r="H193" s="749" t="str">
        <f ca="1">Risklog!R55</f>
        <v/>
      </c>
      <c r="Q193" s="740" t="e">
        <f ca="1">A193 &amp; " (" &amp; E192 &amp; ": " &amp; E193 &amp; " - " &amp; F192 &amp; ": " &amp; F193 * 100 &amp; " %)"</f>
        <v>#VALUE!</v>
      </c>
    </row>
    <row r="194" spans="1:17">
      <c r="A194" s="1319" t="s">
        <v>373</v>
      </c>
      <c r="B194" s="1319"/>
      <c r="C194" s="1319" t="s">
        <v>374</v>
      </c>
      <c r="D194" s="1319"/>
      <c r="E194" s="1319" t="s">
        <v>375</v>
      </c>
      <c r="F194" s="1319"/>
      <c r="G194" s="1319" t="s">
        <v>376</v>
      </c>
      <c r="H194" s="1319"/>
    </row>
    <row r="195" spans="1:17" ht="30" customHeight="1">
      <c r="A195" s="1320" t="str">
        <f ca="1">risk4description</f>
        <v/>
      </c>
      <c r="B195" s="1320"/>
      <c r="C195" s="1320" t="str">
        <f ca="1">Risklog!I55</f>
        <v/>
      </c>
      <c r="D195" s="1320"/>
      <c r="E195" s="1320" t="str">
        <f ca="1">Risklog!J55</f>
        <v/>
      </c>
      <c r="F195" s="1320"/>
      <c r="G195" s="1320" t="str">
        <f ca="1">Risklog!Q55</f>
        <v/>
      </c>
      <c r="H195" s="1320"/>
    </row>
    <row r="196" spans="1:17" ht="30" customHeight="1">
      <c r="A196" s="1320"/>
      <c r="B196" s="1320"/>
      <c r="C196" s="1320"/>
      <c r="D196" s="1320"/>
      <c r="E196" s="1320"/>
      <c r="F196" s="1320"/>
      <c r="G196" s="1320"/>
      <c r="H196" s="1320"/>
    </row>
    <row r="197" spans="1:17" ht="30" customHeight="1">
      <c r="A197" s="1320"/>
      <c r="B197" s="1320"/>
      <c r="C197" s="1320"/>
      <c r="D197" s="1320"/>
      <c r="E197" s="1320"/>
      <c r="F197" s="1320"/>
      <c r="G197" s="1320"/>
      <c r="H197" s="1320"/>
    </row>
    <row r="198" spans="1:17" ht="30" customHeight="1">
      <c r="A198" s="1320"/>
      <c r="B198" s="1320"/>
      <c r="C198" s="1320"/>
      <c r="D198" s="1320"/>
      <c r="E198" s="1320"/>
      <c r="F198" s="1320"/>
      <c r="G198" s="1320"/>
      <c r="H198" s="1320"/>
    </row>
    <row r="199" spans="1:17" ht="30" customHeight="1">
      <c r="A199" s="1320"/>
      <c r="B199" s="1320"/>
      <c r="C199" s="1320"/>
      <c r="D199" s="1320"/>
      <c r="E199" s="1320"/>
      <c r="F199" s="1320"/>
      <c r="G199" s="1320"/>
      <c r="H199" s="1320"/>
    </row>
    <row r="200" spans="1:17">
      <c r="A200" s="751"/>
      <c r="B200" s="751"/>
      <c r="C200" s="751"/>
      <c r="D200" s="751"/>
      <c r="E200" s="751"/>
      <c r="F200" s="751"/>
      <c r="G200" s="751"/>
      <c r="H200" s="751"/>
    </row>
    <row r="201" spans="1:17">
      <c r="A201" s="1319" t="s">
        <v>377</v>
      </c>
      <c r="B201" s="1319"/>
      <c r="C201" s="1319"/>
      <c r="D201" s="738" t="s">
        <v>378</v>
      </c>
      <c r="E201" s="745" t="s">
        <v>379</v>
      </c>
      <c r="F201" s="745" t="s">
        <v>380</v>
      </c>
      <c r="G201" s="748" t="s">
        <v>381</v>
      </c>
      <c r="H201" s="748" t="s">
        <v>382</v>
      </c>
    </row>
    <row r="202" spans="1:17" ht="15" customHeight="1">
      <c r="A202" s="1327" t="str">
        <f ca="1">"(" &amp; TEXT(risk5id,"#") &amp; ") - " &amp; risk5title</f>
        <v xml:space="preserve">() - </v>
      </c>
      <c r="B202" s="1327"/>
      <c r="C202" s="1327"/>
      <c r="D202" s="739" t="str">
        <f ca="1">Risklog!O56</f>
        <v/>
      </c>
      <c r="E202" s="746" t="str">
        <f ca="1">risk5amount</f>
        <v/>
      </c>
      <c r="F202" s="747" t="str">
        <f ca="1">risk5severity</f>
        <v/>
      </c>
      <c r="G202" s="749" t="str">
        <f ca="1">Risklog!P56</f>
        <v/>
      </c>
      <c r="H202" s="749" t="str">
        <f ca="1">Risklog!R56</f>
        <v/>
      </c>
      <c r="Q202" s="740" t="e">
        <f ca="1">A202 &amp; " (" &amp; E201 &amp; ": " &amp; E202 &amp; " - " &amp; F201 &amp; ": " &amp; F202 * 100 &amp; " %)"</f>
        <v>#VALUE!</v>
      </c>
    </row>
    <row r="203" spans="1:17">
      <c r="A203" s="1319" t="s">
        <v>383</v>
      </c>
      <c r="B203" s="1319"/>
      <c r="C203" s="1319" t="s">
        <v>384</v>
      </c>
      <c r="D203" s="1319"/>
      <c r="E203" s="1319" t="s">
        <v>385</v>
      </c>
      <c r="F203" s="1319"/>
      <c r="G203" s="1319" t="s">
        <v>386</v>
      </c>
      <c r="H203" s="1319"/>
    </row>
    <row r="204" spans="1:17" ht="30" customHeight="1">
      <c r="A204" s="1320" t="str">
        <f ca="1">risk5description</f>
        <v/>
      </c>
      <c r="B204" s="1320"/>
      <c r="C204" s="1320" t="str">
        <f ca="1">Risklog!I56</f>
        <v/>
      </c>
      <c r="D204" s="1320"/>
      <c r="E204" s="1320" t="str">
        <f ca="1">Risklog!J56</f>
        <v/>
      </c>
      <c r="F204" s="1320"/>
      <c r="G204" s="1320" t="str">
        <f ca="1">Risklog!Q56</f>
        <v/>
      </c>
      <c r="H204" s="1320"/>
    </row>
    <row r="205" spans="1:17" ht="30" customHeight="1">
      <c r="A205" s="1320"/>
      <c r="B205" s="1320"/>
      <c r="C205" s="1320"/>
      <c r="D205" s="1320"/>
      <c r="E205" s="1320"/>
      <c r="F205" s="1320"/>
      <c r="G205" s="1320"/>
      <c r="H205" s="1320"/>
    </row>
    <row r="206" spans="1:17" ht="30" customHeight="1">
      <c r="A206" s="1320"/>
      <c r="B206" s="1320"/>
      <c r="C206" s="1320"/>
      <c r="D206" s="1320"/>
      <c r="E206" s="1320"/>
      <c r="F206" s="1320"/>
      <c r="G206" s="1320"/>
      <c r="H206" s="1320"/>
    </row>
    <row r="207" spans="1:17" ht="30" customHeight="1">
      <c r="A207" s="1320"/>
      <c r="B207" s="1320"/>
      <c r="C207" s="1320"/>
      <c r="D207" s="1320"/>
      <c r="E207" s="1320"/>
      <c r="F207" s="1320"/>
      <c r="G207" s="1320"/>
      <c r="H207" s="1320"/>
    </row>
    <row r="208" spans="1:17" ht="30" customHeight="1">
      <c r="A208" s="1320"/>
      <c r="B208" s="1320"/>
      <c r="C208" s="1320"/>
      <c r="D208" s="1320"/>
      <c r="E208" s="1320"/>
      <c r="F208" s="1320"/>
      <c r="G208" s="1320"/>
      <c r="H208" s="1320"/>
    </row>
    <row r="209" spans="1:8" ht="15" customHeight="1">
      <c r="A209" s="711"/>
      <c r="B209" s="711"/>
      <c r="C209" s="711"/>
      <c r="D209" s="711"/>
      <c r="E209" s="711"/>
      <c r="F209" s="711"/>
      <c r="G209" s="711"/>
      <c r="H209" s="711"/>
    </row>
    <row r="210" spans="1:8" ht="18.75" customHeight="1">
      <c r="A210" s="1314" t="s">
        <v>387</v>
      </c>
      <c r="B210" s="1314"/>
      <c r="C210" s="1314"/>
      <c r="D210" s="1314"/>
      <c r="E210" s="1314"/>
      <c r="F210" s="1314"/>
      <c r="G210" s="1314"/>
      <c r="H210" s="1314"/>
    </row>
    <row r="211" spans="1:8" ht="15" customHeight="1">
      <c r="A211" s="711"/>
      <c r="B211" s="711"/>
      <c r="C211" s="711"/>
      <c r="D211" s="711"/>
      <c r="E211" s="711"/>
      <c r="F211" s="711"/>
      <c r="G211" s="711"/>
      <c r="H211" s="711"/>
    </row>
    <row r="212" spans="1:8" ht="15" customHeight="1">
      <c r="A212" s="711"/>
      <c r="B212" s="711"/>
      <c r="C212" s="711"/>
      <c r="D212" s="711"/>
      <c r="E212" s="711"/>
      <c r="F212" s="711"/>
      <c r="G212" s="711"/>
      <c r="H212" s="711"/>
    </row>
    <row r="213" spans="1:8" ht="15" customHeight="1">
      <c r="A213" s="711"/>
      <c r="B213" s="711"/>
      <c r="C213" s="711"/>
      <c r="D213" s="711"/>
      <c r="E213" s="711"/>
      <c r="F213" s="711"/>
      <c r="G213" s="711"/>
      <c r="H213" s="711"/>
    </row>
    <row r="214" spans="1:8" ht="15" customHeight="1">
      <c r="A214" s="711"/>
      <c r="B214" s="711"/>
      <c r="C214" s="711"/>
      <c r="D214" s="711"/>
      <c r="E214" s="711"/>
      <c r="F214" s="711"/>
      <c r="G214" s="711"/>
      <c r="H214" s="711"/>
    </row>
    <row r="215" spans="1:8" ht="15" customHeight="1">
      <c r="A215" s="711"/>
      <c r="B215" s="711"/>
      <c r="C215" s="711"/>
      <c r="D215" s="711"/>
      <c r="E215" s="711"/>
      <c r="F215" s="711"/>
      <c r="G215" s="711"/>
      <c r="H215" s="711"/>
    </row>
    <row r="216" spans="1:8" ht="15" customHeight="1">
      <c r="A216" s="711"/>
      <c r="B216" s="711"/>
      <c r="C216" s="711"/>
      <c r="D216" s="711"/>
      <c r="E216" s="711"/>
      <c r="F216" s="711"/>
      <c r="G216" s="711"/>
      <c r="H216" s="711"/>
    </row>
    <row r="217" spans="1:8" ht="15" customHeight="1">
      <c r="A217" s="711"/>
      <c r="B217" s="711"/>
      <c r="C217" s="711"/>
      <c r="D217" s="711"/>
      <c r="E217" s="711"/>
      <c r="F217" s="711"/>
      <c r="G217" s="711"/>
      <c r="H217" s="711"/>
    </row>
    <row r="218" spans="1:8" ht="15" customHeight="1">
      <c r="A218" s="711"/>
      <c r="B218" s="711"/>
      <c r="C218" s="711"/>
      <c r="D218" s="711"/>
      <c r="E218" s="711"/>
      <c r="F218" s="711"/>
      <c r="G218" s="711"/>
      <c r="H218" s="711"/>
    </row>
    <row r="219" spans="1:8" ht="15" customHeight="1">
      <c r="A219" s="711"/>
      <c r="B219" s="711"/>
      <c r="C219" s="711"/>
      <c r="D219" s="711"/>
      <c r="E219" s="711"/>
      <c r="F219" s="711"/>
      <c r="G219" s="711"/>
      <c r="H219" s="711"/>
    </row>
    <row r="220" spans="1:8" ht="15" customHeight="1">
      <c r="A220" s="711"/>
      <c r="B220" s="711"/>
      <c r="C220" s="711"/>
      <c r="D220" s="711"/>
      <c r="E220" s="711"/>
      <c r="F220" s="711"/>
      <c r="G220" s="711"/>
      <c r="H220" s="711"/>
    </row>
    <row r="221" spans="1:8" ht="15" customHeight="1">
      <c r="A221" s="711"/>
      <c r="B221" s="711"/>
      <c r="C221" s="711"/>
      <c r="D221" s="711"/>
      <c r="E221" s="711"/>
      <c r="F221" s="711"/>
      <c r="G221" s="711"/>
      <c r="H221" s="711"/>
    </row>
    <row r="222" spans="1:8" ht="15" customHeight="1">
      <c r="A222" s="711"/>
      <c r="B222" s="711"/>
      <c r="C222" s="711"/>
      <c r="D222" s="711"/>
      <c r="E222" s="711"/>
      <c r="F222" s="711"/>
      <c r="G222" s="711"/>
      <c r="H222" s="711"/>
    </row>
    <row r="223" spans="1:8" ht="15" customHeight="1">
      <c r="A223" s="711"/>
      <c r="B223" s="711"/>
      <c r="C223" s="711"/>
      <c r="D223" s="711"/>
      <c r="E223" s="711"/>
      <c r="F223" s="711"/>
      <c r="G223" s="711"/>
      <c r="H223" s="711"/>
    </row>
    <row r="224" spans="1:8" ht="15" customHeight="1">
      <c r="A224" s="711"/>
      <c r="B224" s="711"/>
      <c r="C224" s="711"/>
      <c r="D224" s="711"/>
      <c r="E224" s="711"/>
      <c r="F224" s="711"/>
      <c r="G224" s="711"/>
      <c r="H224" s="711"/>
    </row>
    <row r="225" spans="1:8" ht="15" customHeight="1">
      <c r="A225" s="711"/>
      <c r="B225" s="711"/>
      <c r="C225" s="711"/>
      <c r="D225" s="711"/>
      <c r="E225" s="711"/>
      <c r="F225" s="711"/>
      <c r="G225" s="711"/>
      <c r="H225" s="711"/>
    </row>
    <row r="226" spans="1:8" ht="15" customHeight="1">
      <c r="A226" s="711"/>
      <c r="B226" s="711"/>
      <c r="C226" s="711"/>
      <c r="D226" s="711"/>
      <c r="E226" s="711"/>
      <c r="F226" s="711"/>
      <c r="G226" s="711"/>
      <c r="H226" s="711"/>
    </row>
    <row r="227" spans="1:8" ht="15" customHeight="1">
      <c r="A227" s="711"/>
      <c r="B227" s="711"/>
      <c r="C227" s="711"/>
      <c r="D227" s="711"/>
      <c r="E227" s="711"/>
      <c r="F227" s="711"/>
      <c r="G227" s="711"/>
      <c r="H227" s="711"/>
    </row>
    <row r="228" spans="1:8" ht="15" customHeight="1">
      <c r="A228" s="711"/>
      <c r="B228" s="711"/>
      <c r="C228" s="711"/>
      <c r="D228" s="711"/>
      <c r="E228" s="711"/>
      <c r="F228" s="711"/>
      <c r="G228" s="711"/>
      <c r="H228" s="711"/>
    </row>
    <row r="229" spans="1:8" ht="15" customHeight="1">
      <c r="A229" s="711"/>
      <c r="B229" s="711"/>
      <c r="C229" s="711"/>
      <c r="D229" s="711"/>
      <c r="E229" s="711"/>
      <c r="F229" s="711"/>
      <c r="G229" s="711"/>
      <c r="H229" s="711"/>
    </row>
    <row r="230" spans="1:8" ht="15" customHeight="1">
      <c r="A230" s="711"/>
      <c r="B230" s="711"/>
      <c r="C230" s="711"/>
      <c r="D230" s="711"/>
      <c r="E230" s="711"/>
      <c r="F230" s="711"/>
      <c r="G230" s="711"/>
      <c r="H230" s="711"/>
    </row>
    <row r="231" spans="1:8" ht="15" customHeight="1">
      <c r="A231" s="711"/>
      <c r="B231" s="711"/>
      <c r="C231" s="711"/>
      <c r="D231" s="711"/>
      <c r="E231" s="711"/>
      <c r="F231" s="711"/>
      <c r="G231" s="711"/>
      <c r="H231" s="711"/>
    </row>
    <row r="232" spans="1:8" ht="15" customHeight="1">
      <c r="A232" s="711"/>
      <c r="B232" s="711"/>
      <c r="C232" s="711"/>
      <c r="D232" s="711"/>
      <c r="E232" s="711"/>
      <c r="F232" s="711"/>
      <c r="G232" s="711"/>
      <c r="H232" s="711"/>
    </row>
    <row r="233" spans="1:8" ht="15" customHeight="1">
      <c r="A233" s="711"/>
      <c r="B233" s="711"/>
      <c r="C233" s="711"/>
      <c r="D233" s="711"/>
      <c r="E233" s="711"/>
      <c r="F233" s="711"/>
      <c r="G233" s="711"/>
      <c r="H233" s="711"/>
    </row>
    <row r="234" spans="1:8" ht="15" customHeight="1">
      <c r="A234" s="711"/>
      <c r="B234" s="711"/>
      <c r="C234" s="711"/>
      <c r="D234" s="711"/>
      <c r="E234" s="711"/>
      <c r="F234" s="711"/>
      <c r="G234" s="711"/>
      <c r="H234" s="711"/>
    </row>
    <row r="235" spans="1:8" ht="15" customHeight="1">
      <c r="A235" s="711"/>
      <c r="B235" s="711"/>
      <c r="C235" s="711"/>
      <c r="D235" s="711"/>
      <c r="E235" s="711"/>
      <c r="F235" s="711"/>
      <c r="G235" s="711"/>
      <c r="H235" s="711"/>
    </row>
    <row r="236" spans="1:8" ht="15" customHeight="1">
      <c r="A236" s="711"/>
      <c r="B236" s="711"/>
      <c r="C236" s="711"/>
      <c r="D236" s="711"/>
      <c r="E236" s="711"/>
      <c r="F236" s="711"/>
      <c r="G236" s="711"/>
      <c r="H236" s="711"/>
    </row>
    <row r="237" spans="1:8" ht="18.75" customHeight="1">
      <c r="A237" s="1314" t="s">
        <v>388</v>
      </c>
      <c r="B237" s="1314"/>
      <c r="C237" s="1314"/>
      <c r="D237" s="1314"/>
      <c r="E237" s="1314"/>
      <c r="F237" s="1314"/>
      <c r="G237" s="1314"/>
      <c r="H237" s="1314"/>
    </row>
    <row r="238" spans="1:8" ht="15" customHeight="1">
      <c r="A238" s="737"/>
      <c r="B238" s="737"/>
      <c r="C238" s="737"/>
      <c r="D238" s="737"/>
      <c r="E238" s="737"/>
      <c r="F238" s="737"/>
      <c r="G238" s="737"/>
      <c r="H238" s="737"/>
    </row>
    <row r="239" spans="1:8" ht="15" customHeight="1">
      <c r="A239" s="1324" t="str">
        <f>Descriptions!B46</f>
        <v>Functionality / Quality</v>
      </c>
      <c r="B239" s="1325" t="str">
        <f>Descriptions!B47</f>
        <v/>
      </c>
      <c r="C239" s="1326" t="str">
        <f>desQualityStatus</f>
        <v/>
      </c>
      <c r="D239" s="1326"/>
      <c r="E239" s="1326"/>
      <c r="F239" s="1326"/>
      <c r="G239" s="1326"/>
      <c r="H239" s="1326"/>
    </row>
    <row r="240" spans="1:8" ht="15" customHeight="1">
      <c r="A240" s="1324"/>
      <c r="B240" s="1325"/>
      <c r="C240" s="1326"/>
      <c r="D240" s="1326"/>
      <c r="E240" s="1326"/>
      <c r="F240" s="1326"/>
      <c r="G240" s="1326"/>
      <c r="H240" s="1326"/>
    </row>
    <row r="241" spans="1:8" ht="15" customHeight="1">
      <c r="A241" s="1324"/>
      <c r="B241" s="1325"/>
      <c r="C241" s="1326"/>
      <c r="D241" s="1326"/>
      <c r="E241" s="1326"/>
      <c r="F241" s="1326"/>
      <c r="G241" s="1326"/>
      <c r="H241" s="1326"/>
    </row>
    <row r="242" spans="1:8" ht="15" customHeight="1">
      <c r="A242" s="1324"/>
      <c r="B242" s="1325"/>
      <c r="C242" s="1326"/>
      <c r="D242" s="1326"/>
      <c r="E242" s="1326"/>
      <c r="F242" s="1326"/>
      <c r="G242" s="1326"/>
      <c r="H242" s="1326"/>
    </row>
    <row r="243" spans="1:8" ht="15" customHeight="1">
      <c r="A243" s="1324"/>
      <c r="B243" s="1325"/>
      <c r="C243" s="1326"/>
      <c r="D243" s="1326"/>
      <c r="E243" s="1326"/>
      <c r="F243" s="1326"/>
      <c r="G243" s="1326"/>
      <c r="H243" s="1326"/>
    </row>
    <row r="244" spans="1:8" ht="15" customHeight="1">
      <c r="A244" s="1324"/>
      <c r="B244" s="1325"/>
      <c r="C244" s="1326"/>
      <c r="D244" s="1326"/>
      <c r="E244" s="1326"/>
      <c r="F244" s="1326"/>
      <c r="G244" s="1326"/>
      <c r="H244" s="1326"/>
    </row>
    <row r="245" spans="1:8" ht="15" customHeight="1">
      <c r="A245" s="718"/>
      <c r="B245" s="718"/>
      <c r="C245" s="718"/>
      <c r="D245" s="718"/>
      <c r="E245" s="718"/>
      <c r="F245" s="718"/>
      <c r="G245" s="718"/>
      <c r="H245" s="718"/>
    </row>
    <row r="246" spans="1:8" ht="15" customHeight="1">
      <c r="A246" s="1324" t="str">
        <f>Descriptions!D46</f>
        <v>Technik</v>
      </c>
      <c r="B246" s="1325" t="str">
        <f>Descriptions!D47</f>
        <v/>
      </c>
      <c r="C246" s="1326" t="str">
        <f>desTechnicalStatus</f>
        <v/>
      </c>
      <c r="D246" s="1326"/>
      <c r="E246" s="1326"/>
      <c r="F246" s="1326"/>
      <c r="G246" s="1326"/>
      <c r="H246" s="1326"/>
    </row>
    <row r="247" spans="1:8" ht="15" customHeight="1">
      <c r="A247" s="1324"/>
      <c r="B247" s="1325"/>
      <c r="C247" s="1326"/>
      <c r="D247" s="1326"/>
      <c r="E247" s="1326"/>
      <c r="F247" s="1326"/>
      <c r="G247" s="1326"/>
      <c r="H247" s="1326"/>
    </row>
    <row r="248" spans="1:8" ht="15" customHeight="1">
      <c r="A248" s="1324"/>
      <c r="B248" s="1325"/>
      <c r="C248" s="1326"/>
      <c r="D248" s="1326"/>
      <c r="E248" s="1326"/>
      <c r="F248" s="1326"/>
      <c r="G248" s="1326"/>
      <c r="H248" s="1326"/>
    </row>
    <row r="249" spans="1:8" ht="15" customHeight="1">
      <c r="A249" s="1324"/>
      <c r="B249" s="1325"/>
      <c r="C249" s="1326"/>
      <c r="D249" s="1326"/>
      <c r="E249" s="1326"/>
      <c r="F249" s="1326"/>
      <c r="G249" s="1326"/>
      <c r="H249" s="1326"/>
    </row>
    <row r="250" spans="1:8" ht="15" customHeight="1">
      <c r="A250" s="1324"/>
      <c r="B250" s="1325"/>
      <c r="C250" s="1326"/>
      <c r="D250" s="1326"/>
      <c r="E250" s="1326"/>
      <c r="F250" s="1326"/>
      <c r="G250" s="1326"/>
      <c r="H250" s="1326"/>
    </row>
    <row r="251" spans="1:8" ht="15" customHeight="1">
      <c r="A251" s="1324"/>
      <c r="B251" s="1325"/>
      <c r="C251" s="1326"/>
      <c r="D251" s="1326"/>
      <c r="E251" s="1326"/>
      <c r="F251" s="1326"/>
      <c r="G251" s="1326"/>
      <c r="H251" s="1326"/>
    </row>
    <row r="252" spans="1:8" ht="15" customHeight="1">
      <c r="A252" s="718"/>
      <c r="B252" s="718"/>
      <c r="C252" s="718"/>
      <c r="D252" s="718"/>
      <c r="E252" s="718"/>
      <c r="F252" s="718"/>
      <c r="G252" s="718"/>
      <c r="H252" s="718"/>
    </row>
    <row r="253" spans="1:8" ht="15" customHeight="1">
      <c r="A253" s="1324" t="str">
        <f>Descriptions!F46</f>
        <v>Ressourcen</v>
      </c>
      <c r="B253" s="1325" t="str">
        <f>Descriptions!F47</f>
        <v/>
      </c>
      <c r="C253" s="1326" t="str">
        <f>desRessourceStatus</f>
        <v/>
      </c>
      <c r="D253" s="1326"/>
      <c r="E253" s="1326"/>
      <c r="F253" s="1326"/>
      <c r="G253" s="1326"/>
      <c r="H253" s="1326"/>
    </row>
    <row r="254" spans="1:8" ht="15" customHeight="1">
      <c r="A254" s="1324"/>
      <c r="B254" s="1325"/>
      <c r="C254" s="1326"/>
      <c r="D254" s="1326"/>
      <c r="E254" s="1326"/>
      <c r="F254" s="1326"/>
      <c r="G254" s="1326"/>
      <c r="H254" s="1326"/>
    </row>
    <row r="255" spans="1:8" ht="15" customHeight="1">
      <c r="A255" s="1324"/>
      <c r="B255" s="1325"/>
      <c r="C255" s="1326"/>
      <c r="D255" s="1326"/>
      <c r="E255" s="1326"/>
      <c r="F255" s="1326"/>
      <c r="G255" s="1326"/>
      <c r="H255" s="1326"/>
    </row>
    <row r="256" spans="1:8" ht="15" customHeight="1">
      <c r="A256" s="1324"/>
      <c r="B256" s="1325"/>
      <c r="C256" s="1326"/>
      <c r="D256" s="1326"/>
      <c r="E256" s="1326"/>
      <c r="F256" s="1326"/>
      <c r="G256" s="1326"/>
      <c r="H256" s="1326"/>
    </row>
    <row r="257" spans="1:8" ht="15" customHeight="1">
      <c r="A257" s="1324"/>
      <c r="B257" s="1325"/>
      <c r="C257" s="1326"/>
      <c r="D257" s="1326"/>
      <c r="E257" s="1326"/>
      <c r="F257" s="1326"/>
      <c r="G257" s="1326"/>
      <c r="H257" s="1326"/>
    </row>
    <row r="258" spans="1:8" ht="15" customHeight="1">
      <c r="A258" s="1324"/>
      <c r="B258" s="1325"/>
      <c r="C258" s="1326"/>
      <c r="D258" s="1326"/>
      <c r="E258" s="1326"/>
      <c r="F258" s="1326"/>
      <c r="G258" s="1326"/>
      <c r="H258" s="1326"/>
    </row>
    <row r="259" spans="1:8" ht="15" customHeight="1">
      <c r="A259" s="718"/>
      <c r="B259" s="718"/>
      <c r="C259" s="718"/>
      <c r="D259" s="718"/>
      <c r="E259" s="718"/>
      <c r="F259" s="718"/>
      <c r="G259" s="718"/>
      <c r="H259" s="718"/>
    </row>
    <row r="260" spans="1:8" ht="15" customHeight="1">
      <c r="A260" s="1324" t="str">
        <f>Descriptions!H46</f>
        <v>Meilensteine</v>
      </c>
      <c r="B260" s="1325" t="str">
        <f>Descriptions!H47</f>
        <v/>
      </c>
      <c r="C260" s="1326" t="str">
        <f>desMilestoneStatus</f>
        <v/>
      </c>
      <c r="D260" s="1326"/>
      <c r="E260" s="1326"/>
      <c r="F260" s="1326"/>
      <c r="G260" s="1326"/>
      <c r="H260" s="1326"/>
    </row>
    <row r="261" spans="1:8" ht="15" customHeight="1">
      <c r="A261" s="1324"/>
      <c r="B261" s="1325"/>
      <c r="C261" s="1326"/>
      <c r="D261" s="1326"/>
      <c r="E261" s="1326"/>
      <c r="F261" s="1326"/>
      <c r="G261" s="1326"/>
      <c r="H261" s="1326"/>
    </row>
    <row r="262" spans="1:8" ht="15" customHeight="1">
      <c r="A262" s="1324"/>
      <c r="B262" s="1325"/>
      <c r="C262" s="1326"/>
      <c r="D262" s="1326"/>
      <c r="E262" s="1326"/>
      <c r="F262" s="1326"/>
      <c r="G262" s="1326"/>
      <c r="H262" s="1326"/>
    </row>
    <row r="263" spans="1:8" ht="15" customHeight="1">
      <c r="A263" s="1324"/>
      <c r="B263" s="1325"/>
      <c r="C263" s="1326"/>
      <c r="D263" s="1326"/>
      <c r="E263" s="1326"/>
      <c r="F263" s="1326"/>
      <c r="G263" s="1326"/>
      <c r="H263" s="1326"/>
    </row>
    <row r="264" spans="1:8" ht="15" customHeight="1">
      <c r="A264" s="1324"/>
      <c r="B264" s="1325"/>
      <c r="C264" s="1326"/>
      <c r="D264" s="1326"/>
      <c r="E264" s="1326"/>
      <c r="F264" s="1326"/>
      <c r="G264" s="1326"/>
      <c r="H264" s="1326"/>
    </row>
    <row r="265" spans="1:8" ht="15" customHeight="1">
      <c r="A265" s="1324"/>
      <c r="B265" s="1325"/>
      <c r="C265" s="1326"/>
      <c r="D265" s="1326"/>
      <c r="E265" s="1326"/>
      <c r="F265" s="1326"/>
      <c r="G265" s="1326"/>
      <c r="H265" s="1326"/>
    </row>
    <row r="266" spans="1:8" ht="15" customHeight="1">
      <c r="A266" s="711"/>
      <c r="B266" s="711"/>
      <c r="C266" s="711"/>
      <c r="D266" s="711"/>
      <c r="E266" s="711"/>
      <c r="F266" s="711"/>
      <c r="G266" s="711"/>
      <c r="H266" s="711"/>
    </row>
    <row r="267" spans="1:8">
      <c r="A267" s="718"/>
      <c r="B267" s="718"/>
      <c r="C267" s="718"/>
      <c r="D267" s="718"/>
      <c r="E267" s="718"/>
      <c r="F267" s="718"/>
      <c r="G267" s="718"/>
      <c r="H267" s="718"/>
    </row>
    <row r="268" spans="1:8" ht="15" customHeight="1"/>
    <row r="269" spans="1:8" ht="15" customHeight="1"/>
  </sheetData>
  <sheetProtection algorithmName="SHA-512" hashValue="oZq6LOHtS76t/yDkGAc0w0LzYvzrn9taR813tlFp0YQo+SA2/SOjPGsLv0QS7jarlPsHlnAHvbxDTWjtjdPg7Q==" saltValue="3AJ0F+qVXVg4SiSt40PiQg==" spinCount="100000" sheet="1" objects="1" scenarios="1" formatCells="0"/>
  <mergeCells count="128">
    <mergeCell ref="A1:E1"/>
    <mergeCell ref="A2:E2"/>
    <mergeCell ref="A5:H5"/>
    <mergeCell ref="A6:H6"/>
    <mergeCell ref="A260:A265"/>
    <mergeCell ref="B260:B265"/>
    <mergeCell ref="C260:H265"/>
    <mergeCell ref="G204:H208"/>
    <mergeCell ref="A105:H105"/>
    <mergeCell ref="A110:H110"/>
    <mergeCell ref="A176:B176"/>
    <mergeCell ref="A113:B113"/>
    <mergeCell ref="A114:B114"/>
    <mergeCell ref="A115:B115"/>
    <mergeCell ref="A116:B116"/>
    <mergeCell ref="A117:B117"/>
    <mergeCell ref="A118:B118"/>
    <mergeCell ref="A119:B119"/>
    <mergeCell ref="A120:B120"/>
    <mergeCell ref="A154:H154"/>
    <mergeCell ref="A156:C156"/>
    <mergeCell ref="A157:C157"/>
    <mergeCell ref="A166:C166"/>
    <mergeCell ref="A175:C175"/>
    <mergeCell ref="G203:H203"/>
    <mergeCell ref="A193:C193"/>
    <mergeCell ref="A202:C202"/>
    <mergeCell ref="A195:B199"/>
    <mergeCell ref="C195:D199"/>
    <mergeCell ref="E195:F199"/>
    <mergeCell ref="G195:H199"/>
    <mergeCell ref="G159:H163"/>
    <mergeCell ref="A165:C165"/>
    <mergeCell ref="A167:B167"/>
    <mergeCell ref="E167:F167"/>
    <mergeCell ref="G167:H167"/>
    <mergeCell ref="A253:A258"/>
    <mergeCell ref="B253:B258"/>
    <mergeCell ref="C253:H258"/>
    <mergeCell ref="A246:A251"/>
    <mergeCell ref="B246:B251"/>
    <mergeCell ref="C246:H251"/>
    <mergeCell ref="A210:H210"/>
    <mergeCell ref="A239:A244"/>
    <mergeCell ref="B239:B244"/>
    <mergeCell ref="C239:H244"/>
    <mergeCell ref="A237:H237"/>
    <mergeCell ref="A204:B208"/>
    <mergeCell ref="C204:D208"/>
    <mergeCell ref="E204:F208"/>
    <mergeCell ref="A201:C201"/>
    <mergeCell ref="C176:D176"/>
    <mergeCell ref="E176:F176"/>
    <mergeCell ref="G176:H176"/>
    <mergeCell ref="A168:B172"/>
    <mergeCell ref="C168:D172"/>
    <mergeCell ref="E168:F172"/>
    <mergeCell ref="G168:H172"/>
    <mergeCell ref="A192:C192"/>
    <mergeCell ref="A194:B194"/>
    <mergeCell ref="C194:D194"/>
    <mergeCell ref="E194:F194"/>
    <mergeCell ref="G194:H194"/>
    <mergeCell ref="A177:B181"/>
    <mergeCell ref="C177:D181"/>
    <mergeCell ref="E177:F181"/>
    <mergeCell ref="G177:H181"/>
    <mergeCell ref="A174:C174"/>
    <mergeCell ref="A203:B203"/>
    <mergeCell ref="C203:D203"/>
    <mergeCell ref="E203:F203"/>
    <mergeCell ref="A73:H73"/>
    <mergeCell ref="A107:B107"/>
    <mergeCell ref="C107:D107"/>
    <mergeCell ref="E107:F107"/>
    <mergeCell ref="G107:H107"/>
    <mergeCell ref="A108:B108"/>
    <mergeCell ref="C108:D108"/>
    <mergeCell ref="E108:F108"/>
    <mergeCell ref="G108:H108"/>
    <mergeCell ref="A122:H122"/>
    <mergeCell ref="A112:H112"/>
    <mergeCell ref="C167:D167"/>
    <mergeCell ref="G158:H158"/>
    <mergeCell ref="E158:F158"/>
    <mergeCell ref="C158:D158"/>
    <mergeCell ref="A158:B158"/>
    <mergeCell ref="A159:B163"/>
    <mergeCell ref="C159:D163"/>
    <mergeCell ref="E159:F163"/>
    <mergeCell ref="A25:A32"/>
    <mergeCell ref="B25:H32"/>
    <mergeCell ref="A34:A41"/>
    <mergeCell ref="B34:H41"/>
    <mergeCell ref="A20:B20"/>
    <mergeCell ref="A19:B19"/>
    <mergeCell ref="A18:B18"/>
    <mergeCell ref="A16:B16"/>
    <mergeCell ref="A8:H8"/>
    <mergeCell ref="A23:H23"/>
    <mergeCell ref="C20:H20"/>
    <mergeCell ref="C16:H16"/>
    <mergeCell ref="C12:H15"/>
    <mergeCell ref="C18:H18"/>
    <mergeCell ref="C19:H19"/>
    <mergeCell ref="A9:B9"/>
    <mergeCell ref="A11:B11"/>
    <mergeCell ref="A10:B10"/>
    <mergeCell ref="A12:B15"/>
    <mergeCell ref="C9:H9"/>
    <mergeCell ref="C10:H10"/>
    <mergeCell ref="C11:H11"/>
    <mergeCell ref="A43:A50"/>
    <mergeCell ref="B43:H50"/>
    <mergeCell ref="A58:D58"/>
    <mergeCell ref="A59:D59"/>
    <mergeCell ref="A70:D70"/>
    <mergeCell ref="A56:H56"/>
    <mergeCell ref="A65:D65"/>
    <mergeCell ref="A66:D66"/>
    <mergeCell ref="A67:D67"/>
    <mergeCell ref="A68:D68"/>
    <mergeCell ref="A69:D69"/>
    <mergeCell ref="A60:D60"/>
    <mergeCell ref="A61:D61"/>
    <mergeCell ref="A62:D62"/>
    <mergeCell ref="A63:D63"/>
    <mergeCell ref="A64:D64"/>
  </mergeCells>
  <conditionalFormatting sqref="B260:B265">
    <cfRule type="cellIs" dxfId="40" priority="25" operator="equal">
      <formula>"Green"</formula>
    </cfRule>
    <cfRule type="cellIs" dxfId="39" priority="26" operator="equal">
      <formula>"Yellow"</formula>
    </cfRule>
    <cfRule type="cellIs" dxfId="38" priority="27" operator="equal">
      <formula>"Red"</formula>
    </cfRule>
  </conditionalFormatting>
  <conditionalFormatting sqref="B253:B258">
    <cfRule type="cellIs" dxfId="37" priority="55" operator="equal">
      <formula>"Green"</formula>
    </cfRule>
    <cfRule type="cellIs" dxfId="36" priority="57" operator="equal">
      <formula>"Red"</formula>
    </cfRule>
  </conditionalFormatting>
  <conditionalFormatting sqref="B246:B250">
    <cfRule type="cellIs" dxfId="35" priority="23" operator="equal">
      <formula>"Yellow"</formula>
    </cfRule>
  </conditionalFormatting>
  <conditionalFormatting sqref="B246:B251">
    <cfRule type="cellIs" dxfId="34" priority="22" operator="equal">
      <formula>"Green"</formula>
    </cfRule>
    <cfRule type="cellIs" dxfId="33" priority="24" operator="equal">
      <formula>"Red"</formula>
    </cfRule>
  </conditionalFormatting>
  <conditionalFormatting sqref="B239:B243">
    <cfRule type="cellIs" dxfId="32" priority="20" operator="equal">
      <formula>"Yellow"</formula>
    </cfRule>
  </conditionalFormatting>
  <conditionalFormatting sqref="B239:B244">
    <cfRule type="cellIs" dxfId="31" priority="19" operator="equal">
      <formula>"Green"</formula>
    </cfRule>
    <cfRule type="cellIs" dxfId="30" priority="21" operator="equal">
      <formula>"Red"</formula>
    </cfRule>
  </conditionalFormatting>
  <conditionalFormatting sqref="H114:H120">
    <cfRule type="cellIs" dxfId="29" priority="28" operator="equal">
      <formula>"Green"</formula>
    </cfRule>
    <cfRule type="cellIs" dxfId="28" priority="32" operator="equal">
      <formula>"Yellow"</formula>
    </cfRule>
    <cfRule type="cellIs" dxfId="27" priority="33" operator="equal">
      <formula>"Red"</formula>
    </cfRule>
  </conditionalFormatting>
  <conditionalFormatting sqref="A108">
    <cfRule type="cellIs" dxfId="26" priority="16" operator="equal">
      <formula>"Green"</formula>
    </cfRule>
    <cfRule type="cellIs" dxfId="25" priority="17" operator="equal">
      <formula>"Yellow"</formula>
    </cfRule>
    <cfRule type="cellIs" dxfId="24" priority="18" operator="equal">
      <formula>"Red"</formula>
    </cfRule>
  </conditionalFormatting>
  <conditionalFormatting sqref="C108">
    <cfRule type="cellIs" dxfId="23" priority="13" operator="equal">
      <formula>"Green"</formula>
    </cfRule>
    <cfRule type="cellIs" dxfId="22" priority="14" operator="equal">
      <formula>"Yellow"</formula>
    </cfRule>
    <cfRule type="cellIs" dxfId="21" priority="15" operator="equal">
      <formula>"Red"</formula>
    </cfRule>
  </conditionalFormatting>
  <conditionalFormatting sqref="E108">
    <cfRule type="cellIs" dxfId="20" priority="10" operator="equal">
      <formula>"Green"</formula>
    </cfRule>
    <cfRule type="cellIs" dxfId="19" priority="11" operator="equal">
      <formula>"Yellow"</formula>
    </cfRule>
    <cfRule type="cellIs" dxfId="18" priority="12" operator="equal">
      <formula>"Red"</formula>
    </cfRule>
  </conditionalFormatting>
  <conditionalFormatting sqref="G108">
    <cfRule type="cellIs" dxfId="17" priority="7" operator="equal">
      <formula>"Green"</formula>
    </cfRule>
    <cfRule type="cellIs" dxfId="16" priority="8" operator="equal">
      <formula>"Yellow"</formula>
    </cfRule>
    <cfRule type="cellIs" dxfId="15" priority="9" operator="equal">
      <formula>"Red"</formula>
    </cfRule>
  </conditionalFormatting>
  <conditionalFormatting sqref="H59:H70">
    <cfRule type="cellIs" dxfId="14" priority="4" operator="equal">
      <formula>"Green"</formula>
    </cfRule>
    <cfRule type="cellIs" dxfId="13" priority="5" operator="equal">
      <formula>"Yellow"</formula>
    </cfRule>
    <cfRule type="cellIs" dxfId="12" priority="6" operator="equal">
      <formula>"Red"</formula>
    </cfRule>
  </conditionalFormatting>
  <pageMargins left="0.70866141732283472" right="0.70866141732283472" top="0.78740157480314965" bottom="0.78740157480314965" header="0.31496062992125984" footer="0.31496062992125984"/>
  <pageSetup paperSize="9" scale="93" orientation="portrait" horizontalDpi="1200" verticalDpi="1200" r:id="rId1"/>
  <headerFooter>
    <oddHeader>&amp;L&amp;"Regular"&amp;D&amp;R&amp;"Regular"&amp;G</oddHeader>
    <oddFooter>&amp;L&amp;"Regular"&amp;F&amp;R&amp;"Regular"Page &amp;P</oddFooter>
  </headerFooter>
  <rowBreaks count="4" manualBreakCount="4">
    <brk id="52" max="16383" man="1"/>
    <brk id="101" max="16383" man="1"/>
    <brk id="152" max="16383" man="1"/>
    <brk id="191" max="7" man="1"/>
  </rowBreaks>
  <customProperties>
    <customPr name="Guid" r:id="rId2"/>
  </customProperties>
  <drawing r:id="rId3"/>
  <legacyDrawing r:id="rId4"/>
  <legacyDrawingHF r:id="rId5"/>
  <oleObjects>
    <mc:AlternateContent xmlns:mc="http://schemas.openxmlformats.org/markup-compatibility/2006">
      <mc:Choice Requires="x14">
        <oleObject progId="Document" dvAspect="DVASPECT_ICON" shapeId="27656" r:id="rId6">
          <objectPr defaultSize="0" r:id="rId7">
            <anchor moveWithCells="1">
              <from>
                <xdr:col>14</xdr:col>
                <xdr:colOff>76200</xdr:colOff>
                <xdr:row>9</xdr:row>
                <xdr:rowOff>45720</xdr:rowOff>
              </from>
              <to>
                <xdr:col>15</xdr:col>
                <xdr:colOff>228600</xdr:colOff>
                <xdr:row>13</xdr:row>
                <xdr:rowOff>60960</xdr:rowOff>
              </to>
            </anchor>
          </objectPr>
        </oleObject>
      </mc:Choice>
      <mc:Fallback>
        <oleObject progId="Document" dvAspect="DVASPECT_ICON" shapeId="27656" r:id="rId6"/>
      </mc:Fallback>
    </mc:AlternateContent>
    <mc:AlternateContent xmlns:mc="http://schemas.openxmlformats.org/markup-compatibility/2006">
      <mc:Choice Requires="x14">
        <oleObject progId="Document" dvAspect="DVASPECT_ICON" shapeId="27657" r:id="rId8">
          <objectPr defaultSize="0" r:id="rId9">
            <anchor moveWithCells="1">
              <from>
                <xdr:col>14</xdr:col>
                <xdr:colOff>76200</xdr:colOff>
                <xdr:row>6</xdr:row>
                <xdr:rowOff>99060</xdr:rowOff>
              </from>
              <to>
                <xdr:col>15</xdr:col>
                <xdr:colOff>228600</xdr:colOff>
                <xdr:row>9</xdr:row>
                <xdr:rowOff>175260</xdr:rowOff>
              </to>
            </anchor>
          </objectPr>
        </oleObject>
      </mc:Choice>
      <mc:Fallback>
        <oleObject progId="Document" dvAspect="DVASPECT_ICON" shapeId="27657" r:id="rId8"/>
      </mc:Fallback>
    </mc:AlternateContent>
    <mc:AlternateContent xmlns:mc="http://schemas.openxmlformats.org/markup-compatibility/2006">
      <mc:Choice Requires="x14">
        <oleObject progId="Document" dvAspect="DVASPECT_ICON" shapeId="27658" r:id="rId10">
          <objectPr defaultSize="0" r:id="rId11">
            <anchor moveWithCells="1">
              <from>
                <xdr:col>14</xdr:col>
                <xdr:colOff>60960</xdr:colOff>
                <xdr:row>3</xdr:row>
                <xdr:rowOff>137160</xdr:rowOff>
              </from>
              <to>
                <xdr:col>15</xdr:col>
                <xdr:colOff>213360</xdr:colOff>
                <xdr:row>6</xdr:row>
                <xdr:rowOff>114300</xdr:rowOff>
              </to>
            </anchor>
          </objectPr>
        </oleObject>
      </mc:Choice>
      <mc:Fallback>
        <oleObject progId="Document" dvAspect="DVASPECT_ICON" shapeId="27658" r:id="rId10"/>
      </mc:Fallback>
    </mc:AlternateContent>
  </oleObjects>
  <mc:AlternateContent xmlns:mc="http://schemas.openxmlformats.org/markup-compatibility/2006">
    <mc:Choice Requires="x14">
      <controls>
        <mc:AlternateContent xmlns:mc="http://schemas.openxmlformats.org/markup-compatibility/2006">
          <mc:Choice Requires="x14">
            <control shapeId="27649" r:id="rId12" name="Button 1">
              <controlPr defaultSize="0" print="0" autoFill="0" autoPict="0" macro="[0]!btnEnglish_click">
                <anchor moveWithCells="1" sizeWithCells="1">
                  <from>
                    <xdr:col>9</xdr:col>
                    <xdr:colOff>121920</xdr:colOff>
                    <xdr:row>4</xdr:row>
                    <xdr:rowOff>68580</xdr:rowOff>
                  </from>
                  <to>
                    <xdr:col>11</xdr:col>
                    <xdr:colOff>647700</xdr:colOff>
                    <xdr:row>6</xdr:row>
                    <xdr:rowOff>68580</xdr:rowOff>
                  </to>
                </anchor>
              </controlPr>
            </control>
          </mc:Choice>
        </mc:AlternateContent>
        <mc:AlternateContent xmlns:mc="http://schemas.openxmlformats.org/markup-compatibility/2006">
          <mc:Choice Requires="x14">
            <control shapeId="27650" r:id="rId13" name="Button 2">
              <controlPr defaultSize="0" print="0" autoFill="0" autoPict="0" macro="[0]!btnGerman_click">
                <anchor moveWithCells="1" sizeWithCells="1">
                  <from>
                    <xdr:col>9</xdr:col>
                    <xdr:colOff>121920</xdr:colOff>
                    <xdr:row>9</xdr:row>
                    <xdr:rowOff>68580</xdr:rowOff>
                  </from>
                  <to>
                    <xdr:col>11</xdr:col>
                    <xdr:colOff>647700</xdr:colOff>
                    <xdr:row>11</xdr:row>
                    <xdr:rowOff>121920</xdr:rowOff>
                  </to>
                </anchor>
              </controlPr>
            </control>
          </mc:Choice>
        </mc:AlternateContent>
        <mc:AlternateContent xmlns:mc="http://schemas.openxmlformats.org/markup-compatibility/2006">
          <mc:Choice Requires="x14">
            <control shapeId="27651" r:id="rId14" name="Button 3">
              <controlPr defaultSize="0" print="0" autoFill="0" autoPict="0" macro="[0]!btnFrench_click">
                <anchor moveWithCells="1" sizeWithCells="1">
                  <from>
                    <xdr:col>9</xdr:col>
                    <xdr:colOff>121920</xdr:colOff>
                    <xdr:row>6</xdr:row>
                    <xdr:rowOff>144780</xdr:rowOff>
                  </from>
                  <to>
                    <xdr:col>11</xdr:col>
                    <xdr:colOff>647700</xdr:colOff>
                    <xdr:row>8</xdr:row>
                    <xdr:rowOff>182880</xdr:rowOff>
                  </to>
                </anchor>
              </controlPr>
            </control>
          </mc:Choice>
        </mc:AlternateContent>
        <mc:AlternateContent xmlns:mc="http://schemas.openxmlformats.org/markup-compatibility/2006">
          <mc:Choice Requires="x14">
            <control shapeId="27652" r:id="rId15" name="Button 4">
              <controlPr defaultSize="0" print="0" autoFill="0" autoPict="0" macro="[0]!btnPrint_click">
                <anchor moveWithCells="1" sizeWithCells="1">
                  <from>
                    <xdr:col>9</xdr:col>
                    <xdr:colOff>114300</xdr:colOff>
                    <xdr:row>12</xdr:row>
                    <xdr:rowOff>7620</xdr:rowOff>
                  </from>
                  <to>
                    <xdr:col>11</xdr:col>
                    <xdr:colOff>640080</xdr:colOff>
                    <xdr:row>14</xdr:row>
                    <xdr:rowOff>83820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theme="4" tint="0.39997558519241921"/>
  </sheetPr>
  <dimension ref="A1:T156"/>
  <sheetViews>
    <sheetView showWhiteSpace="0" zoomScaleNormal="100" zoomScaleSheetLayoutView="100" zoomScalePageLayoutView="55" workbookViewId="0">
      <selection activeCell="C11" sqref="C11:H11"/>
    </sheetView>
  </sheetViews>
  <sheetFormatPr defaultColWidth="11.44140625" defaultRowHeight="13.8"/>
  <cols>
    <col min="1" max="8" width="11.44140625" style="126" customWidth="1"/>
    <col min="9" max="16384" width="11.44140625" style="126"/>
  </cols>
  <sheetData>
    <row r="1" spans="1:20"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20"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29" t="s">
        <v>1522</v>
      </c>
      <c r="I3" s="126"/>
      <c r="J3" s="126"/>
      <c r="K3" s="126"/>
      <c r="L3" s="126"/>
      <c r="M3" s="126"/>
      <c r="N3" s="126"/>
      <c r="O3" s="126"/>
      <c r="P3" s="126"/>
      <c r="Q3" s="126"/>
      <c r="R3" s="126"/>
      <c r="S3" s="126"/>
      <c r="T3" s="126"/>
    </row>
    <row r="4" spans="1:20" s="153" customFormat="1" ht="15" customHeight="1">
      <c r="A4" s="126"/>
      <c r="B4" s="126"/>
      <c r="C4" s="126"/>
      <c r="D4" s="126"/>
      <c r="E4" s="126"/>
      <c r="F4" s="126"/>
      <c r="G4" s="126"/>
      <c r="H4" s="126"/>
      <c r="I4" s="126"/>
      <c r="J4" s="126"/>
      <c r="K4" s="126"/>
      <c r="L4" s="126"/>
      <c r="M4" s="126"/>
      <c r="N4" s="126"/>
      <c r="O4" s="126"/>
      <c r="P4" s="126"/>
      <c r="Q4" s="126"/>
      <c r="R4" s="126"/>
      <c r="S4" s="126"/>
      <c r="T4" s="126"/>
    </row>
    <row r="5" spans="1:20" ht="14.4" thickBot="1"/>
    <row r="6" spans="1:20" ht="20.25" customHeight="1">
      <c r="A6" s="1328" t="str">
        <f>MDProjektname</f>
        <v>Migration GEFI</v>
      </c>
      <c r="B6" s="1328"/>
      <c r="C6" s="1328"/>
      <c r="D6" s="1328"/>
      <c r="E6" s="1328"/>
      <c r="F6" s="1329"/>
      <c r="G6" s="1329"/>
      <c r="H6" s="1329"/>
      <c r="I6" s="1334"/>
      <c r="J6" s="712"/>
      <c r="K6" s="713"/>
      <c r="L6" s="714"/>
    </row>
    <row r="7" spans="1:20" ht="21">
      <c r="A7" s="1328" t="str">
        <f>"Project Report from " &amp; AVLastReportedPeriodString</f>
        <v xml:space="preserve">Project Report from </v>
      </c>
      <c r="B7" s="1328"/>
      <c r="C7" s="1328"/>
      <c r="D7" s="1328"/>
      <c r="E7" s="1328"/>
      <c r="F7" s="1329"/>
      <c r="G7" s="1329"/>
      <c r="H7" s="1329"/>
      <c r="I7" s="1334"/>
      <c r="J7" s="715"/>
      <c r="K7" s="716"/>
      <c r="L7" s="717"/>
    </row>
    <row r="8" spans="1:20" ht="15.6" thickBot="1">
      <c r="A8" s="752"/>
      <c r="B8" s="752"/>
      <c r="C8" s="752"/>
      <c r="D8" s="752"/>
      <c r="E8" s="752"/>
      <c r="F8" s="752"/>
      <c r="G8" s="752"/>
      <c r="H8" s="752"/>
      <c r="J8" s="719"/>
      <c r="K8" s="720"/>
      <c r="L8" s="721"/>
    </row>
    <row r="9" spans="1:20" ht="17.399999999999999">
      <c r="A9" s="1333" t="s">
        <v>289</v>
      </c>
      <c r="B9" s="1333"/>
      <c r="C9" s="1333"/>
      <c r="D9" s="1333"/>
      <c r="E9" s="1333"/>
      <c r="F9" s="1333"/>
      <c r="G9" s="1333"/>
      <c r="H9" s="1333"/>
    </row>
    <row r="10" spans="1:20" ht="15">
      <c r="A10" s="753"/>
      <c r="B10" s="753"/>
      <c r="C10" s="753"/>
      <c r="D10" s="753"/>
      <c r="E10" s="753"/>
      <c r="F10" s="753"/>
      <c r="G10" s="753"/>
      <c r="H10" s="753"/>
    </row>
    <row r="11" spans="1:20" ht="15.6">
      <c r="A11" s="1316" t="s">
        <v>290</v>
      </c>
      <c r="B11" s="1316"/>
      <c r="C11" s="1317" t="str">
        <f>MDCustomer</f>
        <v>OFISA</v>
      </c>
      <c r="D11" s="1317"/>
      <c r="E11" s="1317"/>
      <c r="F11" s="1317"/>
      <c r="G11" s="1317"/>
      <c r="H11" s="1317"/>
    </row>
    <row r="12" spans="1:20" ht="15.6">
      <c r="A12" s="1316" t="s">
        <v>291</v>
      </c>
      <c r="B12" s="1316"/>
      <c r="C12" s="1317" t="str">
        <f>MDCustomerContact</f>
        <v>Stefan Mittermayr</v>
      </c>
      <c r="D12" s="1317"/>
      <c r="E12" s="1317"/>
      <c r="F12" s="1317"/>
      <c r="G12" s="1317"/>
      <c r="H12" s="1317"/>
    </row>
    <row r="13" spans="1:20" ht="15.6">
      <c r="A13" s="1316" t="s">
        <v>292</v>
      </c>
      <c r="B13" s="1316"/>
      <c r="C13" s="1317" t="str">
        <f>MDProjektname</f>
        <v>Migration GEFI</v>
      </c>
      <c r="D13" s="1317"/>
      <c r="E13" s="1317"/>
      <c r="F13" s="1317"/>
      <c r="G13" s="1317"/>
      <c r="H13" s="1317"/>
    </row>
    <row r="14" spans="1:20">
      <c r="A14" s="1315" t="s">
        <v>293</v>
      </c>
      <c r="B14" s="1315"/>
      <c r="C14" s="1310" t="str">
        <f>MDProjectDescription</f>
        <v>Migration from Oracle Froms 6i to 11gR2</v>
      </c>
      <c r="D14" s="1310"/>
      <c r="E14" s="1310"/>
      <c r="F14" s="1310"/>
      <c r="G14" s="1310"/>
      <c r="H14" s="1310"/>
    </row>
    <row r="15" spans="1:20">
      <c r="A15" s="1315"/>
      <c r="B15" s="1315"/>
      <c r="C15" s="1310"/>
      <c r="D15" s="1310"/>
      <c r="E15" s="1310"/>
      <c r="F15" s="1310"/>
      <c r="G15" s="1310"/>
      <c r="H15" s="1310"/>
    </row>
    <row r="16" spans="1:20">
      <c r="A16" s="1315"/>
      <c r="B16" s="1315"/>
      <c r="C16" s="1310"/>
      <c r="D16" s="1310"/>
      <c r="E16" s="1310"/>
      <c r="F16" s="1310"/>
      <c r="G16" s="1310"/>
      <c r="H16" s="1310"/>
    </row>
    <row r="17" spans="1:8">
      <c r="A17" s="1315"/>
      <c r="B17" s="1315"/>
      <c r="C17" s="1310"/>
      <c r="D17" s="1310"/>
      <c r="E17" s="1310"/>
      <c r="F17" s="1310"/>
      <c r="G17" s="1310"/>
      <c r="H17" s="1310"/>
    </row>
    <row r="18" spans="1:8" ht="15.6">
      <c r="A18" s="1316" t="s">
        <v>294</v>
      </c>
      <c r="B18" s="1316"/>
      <c r="C18" s="1317" t="str">
        <f>MDProjectTerm</f>
        <v>01.05.2014 - 30.08.2014</v>
      </c>
      <c r="D18" s="1317"/>
      <c r="E18" s="1317"/>
      <c r="F18" s="1317"/>
      <c r="G18" s="1317"/>
      <c r="H18" s="1317"/>
    </row>
    <row r="19" spans="1:8" ht="15.6">
      <c r="A19" s="722"/>
      <c r="B19" s="718"/>
      <c r="C19" s="723"/>
      <c r="D19" s="723"/>
      <c r="E19" s="723"/>
      <c r="F19" s="723"/>
      <c r="G19" s="723"/>
      <c r="H19" s="723"/>
    </row>
    <row r="20" spans="1:8" ht="15.6">
      <c r="A20" s="1315" t="s">
        <v>295</v>
      </c>
      <c r="B20" s="1315"/>
      <c r="C20" s="1317" t="str">
        <f>MDAccountManager</f>
        <v>Claude-Alain Glauser</v>
      </c>
      <c r="D20" s="1317"/>
      <c r="E20" s="1317"/>
      <c r="F20" s="1317"/>
      <c r="G20" s="1317"/>
      <c r="H20" s="1317"/>
    </row>
    <row r="21" spans="1:8" ht="15.6">
      <c r="A21" s="1315" t="s">
        <v>296</v>
      </c>
      <c r="B21" s="1315"/>
      <c r="C21" s="1317" t="str">
        <f>MDProjectOwner</f>
        <v>Claude-Alain Glauser</v>
      </c>
      <c r="D21" s="1317"/>
      <c r="E21" s="1317"/>
      <c r="F21" s="1317"/>
      <c r="G21" s="1317"/>
      <c r="H21" s="1317"/>
    </row>
    <row r="22" spans="1:8" ht="15.6">
      <c r="A22" s="1315" t="s">
        <v>297</v>
      </c>
      <c r="B22" s="1315"/>
      <c r="C22" s="1317" t="str">
        <f>MDProjectManager</f>
        <v>Gille di Domenico</v>
      </c>
      <c r="D22" s="1317"/>
      <c r="E22" s="1317"/>
      <c r="F22" s="1317"/>
      <c r="G22" s="1317"/>
      <c r="H22" s="1317"/>
    </row>
    <row r="23" spans="1:8">
      <c r="A23" s="718"/>
      <c r="B23" s="718"/>
      <c r="C23" s="718"/>
      <c r="D23" s="718"/>
      <c r="E23" s="718"/>
      <c r="F23" s="718"/>
      <c r="G23" s="718"/>
      <c r="H23" s="718"/>
    </row>
    <row r="24" spans="1:8">
      <c r="A24" s="718"/>
      <c r="B24" s="718"/>
      <c r="C24" s="718"/>
      <c r="D24" s="718"/>
      <c r="E24" s="718"/>
      <c r="F24" s="718"/>
      <c r="G24" s="718"/>
      <c r="H24" s="718"/>
    </row>
    <row r="25" spans="1:8" ht="17.399999999999999">
      <c r="A25" s="1333" t="s">
        <v>298</v>
      </c>
      <c r="B25" s="1333"/>
      <c r="C25" s="1333"/>
      <c r="D25" s="1333"/>
      <c r="E25" s="1333"/>
      <c r="F25" s="1333"/>
      <c r="G25" s="1333"/>
      <c r="H25" s="1333"/>
    </row>
    <row r="26" spans="1:8">
      <c r="A26" s="718"/>
      <c r="B26" s="718"/>
      <c r="C26" s="718"/>
      <c r="D26" s="718"/>
      <c r="E26" s="718"/>
      <c r="F26" s="718"/>
      <c r="G26" s="718"/>
      <c r="H26" s="718"/>
    </row>
    <row r="27" spans="1:8">
      <c r="A27" s="1309" t="str">
        <f>Descriptions!J46</f>
        <v>Reached Goals</v>
      </c>
      <c r="B27" s="1310" t="str">
        <f>desReachedGoals</f>
        <v/>
      </c>
      <c r="C27" s="1310"/>
      <c r="D27" s="1310"/>
      <c r="E27" s="1310"/>
      <c r="F27" s="1310"/>
      <c r="G27" s="1310"/>
      <c r="H27" s="1310"/>
    </row>
    <row r="28" spans="1:8">
      <c r="A28" s="1309"/>
      <c r="B28" s="1310"/>
      <c r="C28" s="1310"/>
      <c r="D28" s="1310"/>
      <c r="E28" s="1310"/>
      <c r="F28" s="1310"/>
      <c r="G28" s="1310"/>
      <c r="H28" s="1310"/>
    </row>
    <row r="29" spans="1:8">
      <c r="A29" s="1309"/>
      <c r="B29" s="1310"/>
      <c r="C29" s="1310"/>
      <c r="D29" s="1310"/>
      <c r="E29" s="1310"/>
      <c r="F29" s="1310"/>
      <c r="G29" s="1310"/>
      <c r="H29" s="1310"/>
    </row>
    <row r="30" spans="1:8">
      <c r="A30" s="1309"/>
      <c r="B30" s="1310"/>
      <c r="C30" s="1310"/>
      <c r="D30" s="1310"/>
      <c r="E30" s="1310"/>
      <c r="F30" s="1310"/>
      <c r="G30" s="1310"/>
      <c r="H30" s="1310"/>
    </row>
    <row r="31" spans="1:8">
      <c r="A31" s="1309"/>
      <c r="B31" s="1310"/>
      <c r="C31" s="1310"/>
      <c r="D31" s="1310"/>
      <c r="E31" s="1310"/>
      <c r="F31" s="1310"/>
      <c r="G31" s="1310"/>
      <c r="H31" s="1310"/>
    </row>
    <row r="32" spans="1:8">
      <c r="A32" s="1309"/>
      <c r="B32" s="1310"/>
      <c r="C32" s="1310"/>
      <c r="D32" s="1310"/>
      <c r="E32" s="1310"/>
      <c r="F32" s="1310"/>
      <c r="G32" s="1310"/>
      <c r="H32" s="1310"/>
    </row>
    <row r="33" spans="1:8">
      <c r="A33" s="1309"/>
      <c r="B33" s="1310"/>
      <c r="C33" s="1310"/>
      <c r="D33" s="1310"/>
      <c r="E33" s="1310"/>
      <c r="F33" s="1310"/>
      <c r="G33" s="1310"/>
      <c r="H33" s="1310"/>
    </row>
    <row r="34" spans="1:8">
      <c r="A34" s="1309"/>
      <c r="B34" s="1310"/>
      <c r="C34" s="1310"/>
      <c r="D34" s="1310"/>
      <c r="E34" s="1310"/>
      <c r="F34" s="1310"/>
      <c r="G34" s="1310"/>
      <c r="H34" s="1310"/>
    </row>
    <row r="35" spans="1:8">
      <c r="A35" s="718"/>
      <c r="B35" s="718"/>
      <c r="C35" s="718"/>
      <c r="D35" s="718"/>
      <c r="E35" s="718"/>
      <c r="F35" s="718"/>
      <c r="G35" s="718"/>
      <c r="H35" s="718"/>
    </row>
    <row r="36" spans="1:8">
      <c r="A36" s="1309" t="str">
        <f>Descriptions!K46</f>
        <v>Open items</v>
      </c>
      <c r="B36" s="1310" t="str">
        <f>desOpenItems</f>
        <v/>
      </c>
      <c r="C36" s="1310"/>
      <c r="D36" s="1310"/>
      <c r="E36" s="1310"/>
      <c r="F36" s="1310"/>
      <c r="G36" s="1310"/>
      <c r="H36" s="1310"/>
    </row>
    <row r="37" spans="1:8">
      <c r="A37" s="1309"/>
      <c r="B37" s="1310"/>
      <c r="C37" s="1310"/>
      <c r="D37" s="1310"/>
      <c r="E37" s="1310"/>
      <c r="F37" s="1310"/>
      <c r="G37" s="1310"/>
      <c r="H37" s="1310"/>
    </row>
    <row r="38" spans="1:8">
      <c r="A38" s="1309"/>
      <c r="B38" s="1310"/>
      <c r="C38" s="1310"/>
      <c r="D38" s="1310"/>
      <c r="E38" s="1310"/>
      <c r="F38" s="1310"/>
      <c r="G38" s="1310"/>
      <c r="H38" s="1310"/>
    </row>
    <row r="39" spans="1:8">
      <c r="A39" s="1309"/>
      <c r="B39" s="1310"/>
      <c r="C39" s="1310"/>
      <c r="D39" s="1310"/>
      <c r="E39" s="1310"/>
      <c r="F39" s="1310"/>
      <c r="G39" s="1310"/>
      <c r="H39" s="1310"/>
    </row>
    <row r="40" spans="1:8">
      <c r="A40" s="1309"/>
      <c r="B40" s="1310"/>
      <c r="C40" s="1310"/>
      <c r="D40" s="1310"/>
      <c r="E40" s="1310"/>
      <c r="F40" s="1310"/>
      <c r="G40" s="1310"/>
      <c r="H40" s="1310"/>
    </row>
    <row r="41" spans="1:8">
      <c r="A41" s="1309"/>
      <c r="B41" s="1310"/>
      <c r="C41" s="1310"/>
      <c r="D41" s="1310"/>
      <c r="E41" s="1310"/>
      <c r="F41" s="1310"/>
      <c r="G41" s="1310"/>
      <c r="H41" s="1310"/>
    </row>
    <row r="42" spans="1:8">
      <c r="A42" s="1309"/>
      <c r="B42" s="1310"/>
      <c r="C42" s="1310"/>
      <c r="D42" s="1310"/>
      <c r="E42" s="1310"/>
      <c r="F42" s="1310"/>
      <c r="G42" s="1310"/>
      <c r="H42" s="1310"/>
    </row>
    <row r="43" spans="1:8">
      <c r="A43" s="1309"/>
      <c r="B43" s="1310"/>
      <c r="C43" s="1310"/>
      <c r="D43" s="1310"/>
      <c r="E43" s="1310"/>
      <c r="F43" s="1310"/>
      <c r="G43" s="1310"/>
      <c r="H43" s="1310"/>
    </row>
    <row r="44" spans="1:8">
      <c r="A44" s="718"/>
      <c r="B44" s="718"/>
      <c r="C44" s="718"/>
      <c r="D44" s="718"/>
      <c r="E44" s="718"/>
      <c r="F44" s="718"/>
      <c r="G44" s="718"/>
      <c r="H44" s="718"/>
    </row>
    <row r="45" spans="1:8">
      <c r="A45" s="1309" t="str">
        <f>Descriptions!L46</f>
        <v>Next steps</v>
      </c>
      <c r="B45" s="1310" t="str">
        <f>desNextSteps</f>
        <v/>
      </c>
      <c r="C45" s="1310"/>
      <c r="D45" s="1310"/>
      <c r="E45" s="1310"/>
      <c r="F45" s="1310"/>
      <c r="G45" s="1310"/>
      <c r="H45" s="1310"/>
    </row>
    <row r="46" spans="1:8">
      <c r="A46" s="1309"/>
      <c r="B46" s="1310"/>
      <c r="C46" s="1310"/>
      <c r="D46" s="1310"/>
      <c r="E46" s="1310"/>
      <c r="F46" s="1310"/>
      <c r="G46" s="1310"/>
      <c r="H46" s="1310"/>
    </row>
    <row r="47" spans="1:8">
      <c r="A47" s="1309"/>
      <c r="B47" s="1310"/>
      <c r="C47" s="1310"/>
      <c r="D47" s="1310"/>
      <c r="E47" s="1310"/>
      <c r="F47" s="1310"/>
      <c r="G47" s="1310"/>
      <c r="H47" s="1310"/>
    </row>
    <row r="48" spans="1:8">
      <c r="A48" s="1309"/>
      <c r="B48" s="1310"/>
      <c r="C48" s="1310"/>
      <c r="D48" s="1310"/>
      <c r="E48" s="1310"/>
      <c r="F48" s="1310"/>
      <c r="G48" s="1310"/>
      <c r="H48" s="1310"/>
    </row>
    <row r="49" spans="1:8">
      <c r="A49" s="1309"/>
      <c r="B49" s="1310"/>
      <c r="C49" s="1310"/>
      <c r="D49" s="1310"/>
      <c r="E49" s="1310"/>
      <c r="F49" s="1310"/>
      <c r="G49" s="1310"/>
      <c r="H49" s="1310"/>
    </row>
    <row r="50" spans="1:8">
      <c r="A50" s="1309"/>
      <c r="B50" s="1310"/>
      <c r="C50" s="1310"/>
      <c r="D50" s="1310"/>
      <c r="E50" s="1310"/>
      <c r="F50" s="1310"/>
      <c r="G50" s="1310"/>
      <c r="H50" s="1310"/>
    </row>
    <row r="51" spans="1:8">
      <c r="A51" s="1309"/>
      <c r="B51" s="1310"/>
      <c r="C51" s="1310"/>
      <c r="D51" s="1310"/>
      <c r="E51" s="1310"/>
      <c r="F51" s="1310"/>
      <c r="G51" s="1310"/>
      <c r="H51" s="1310"/>
    </row>
    <row r="52" spans="1:8">
      <c r="A52" s="1309"/>
      <c r="B52" s="1310"/>
      <c r="C52" s="1310"/>
      <c r="D52" s="1310"/>
      <c r="E52" s="1310"/>
      <c r="F52" s="1310"/>
      <c r="G52" s="1310"/>
      <c r="H52" s="1310"/>
    </row>
    <row r="53" spans="1:8">
      <c r="A53" s="718"/>
      <c r="B53" s="718"/>
      <c r="C53" s="718"/>
      <c r="D53" s="718"/>
      <c r="E53" s="718"/>
      <c r="F53" s="718"/>
      <c r="G53" s="718"/>
      <c r="H53" s="718"/>
    </row>
    <row r="54" spans="1:8">
      <c r="A54" s="718"/>
      <c r="B54" s="718"/>
      <c r="C54" s="718"/>
      <c r="D54" s="718"/>
      <c r="E54" s="718"/>
      <c r="F54" s="718"/>
      <c r="G54" s="718"/>
      <c r="H54" s="718"/>
    </row>
    <row r="55" spans="1:8">
      <c r="A55" s="718"/>
      <c r="B55" s="718"/>
      <c r="C55" s="718"/>
      <c r="D55" s="718"/>
      <c r="E55" s="718"/>
      <c r="F55" s="718"/>
      <c r="G55" s="718"/>
      <c r="H55" s="718"/>
    </row>
    <row r="56" spans="1:8">
      <c r="A56" s="718"/>
      <c r="B56" s="718"/>
      <c r="C56" s="718"/>
      <c r="D56" s="718"/>
      <c r="E56" s="718"/>
      <c r="F56" s="718"/>
      <c r="G56" s="718"/>
      <c r="H56" s="718"/>
    </row>
    <row r="57" spans="1:8">
      <c r="A57" s="718"/>
      <c r="B57" s="718"/>
      <c r="C57" s="718"/>
      <c r="D57" s="718"/>
      <c r="E57" s="718"/>
      <c r="F57" s="718"/>
      <c r="G57" s="718"/>
      <c r="H57" s="718"/>
    </row>
    <row r="58" spans="1:8" ht="17.399999999999999">
      <c r="A58" s="1333" t="s">
        <v>299</v>
      </c>
      <c r="B58" s="1333"/>
      <c r="C58" s="1333"/>
      <c r="D58" s="1333"/>
      <c r="E58" s="1333"/>
      <c r="F58" s="1333"/>
      <c r="G58" s="1333"/>
      <c r="H58" s="1333"/>
    </row>
    <row r="59" spans="1:8">
      <c r="A59" s="718"/>
      <c r="B59" s="718"/>
      <c r="C59" s="718"/>
      <c r="D59" s="718"/>
      <c r="E59" s="718"/>
      <c r="F59" s="718"/>
      <c r="G59" s="718"/>
      <c r="H59" s="718"/>
    </row>
    <row r="60" spans="1:8" ht="15.6">
      <c r="A60" s="1311" t="str">
        <f>Milestones!A6</f>
        <v>Milestone</v>
      </c>
      <c r="B60" s="1311"/>
      <c r="C60" s="1311"/>
      <c r="D60" s="1311"/>
      <c r="E60" s="742" t="str">
        <f>Milestones!E6</f>
        <v>Approved</v>
      </c>
      <c r="F60" s="724" t="str">
        <f>Milestones!F6</f>
        <v>Planned</v>
      </c>
      <c r="G60" s="724" t="str">
        <f>Milestones!AS6</f>
        <v>Expected</v>
      </c>
      <c r="H60" s="724" t="s">
        <v>300</v>
      </c>
    </row>
    <row r="61" spans="1:8" ht="15">
      <c r="A61" s="1312">
        <f>Milestones!A7</f>
        <v>0</v>
      </c>
      <c r="B61" s="1312"/>
      <c r="C61" s="1312"/>
      <c r="D61" s="1312"/>
      <c r="E61" s="743" t="str">
        <f>Milestones!E7</f>
        <v>no</v>
      </c>
      <c r="F61" s="726">
        <f>Milestones!F7</f>
        <v>0</v>
      </c>
      <c r="G61" s="726" t="str">
        <f>Milestones!AS7</f>
        <v/>
      </c>
      <c r="H61" s="754" t="str">
        <f t="shared" ref="H61:H72" si="0">IF(F61=0,"",IF(E61="yes","Green",IF(G61-F61&gt;=0,IF(G61&lt;=F61,"Green",IF(G61-F61&gt;=RatingTimeRed,"Red",IF(G61-F61&gt;=RatingTimeYellow,"Yellow","Green"))),IF(G61-F61&lt;=RatingTimeYellow,"Green",IF(G61-F61&lt;=RatingTimeRed,"Yellow","Red")))))</f>
        <v/>
      </c>
    </row>
    <row r="62" spans="1:8" ht="15">
      <c r="A62" s="1313">
        <f>Milestones!A8</f>
        <v>0</v>
      </c>
      <c r="B62" s="1313"/>
      <c r="C62" s="1313"/>
      <c r="D62" s="1313"/>
      <c r="E62" s="744" t="str">
        <f>Milestones!E8</f>
        <v>no</v>
      </c>
      <c r="F62" s="728">
        <f>Milestones!F8</f>
        <v>0</v>
      </c>
      <c r="G62" s="728" t="str">
        <f>Milestones!AS8</f>
        <v/>
      </c>
      <c r="H62" s="754" t="str">
        <f t="shared" si="0"/>
        <v/>
      </c>
    </row>
    <row r="63" spans="1:8" ht="15">
      <c r="A63" s="1313">
        <f>Milestones!A9</f>
        <v>0</v>
      </c>
      <c r="B63" s="1313"/>
      <c r="C63" s="1313"/>
      <c r="D63" s="1313"/>
      <c r="E63" s="744" t="str">
        <f>Milestones!E9</f>
        <v>no</v>
      </c>
      <c r="F63" s="728">
        <f>Milestones!F9</f>
        <v>0</v>
      </c>
      <c r="G63" s="728" t="str">
        <f>Milestones!AS9</f>
        <v/>
      </c>
      <c r="H63" s="754" t="str">
        <f t="shared" si="0"/>
        <v/>
      </c>
    </row>
    <row r="64" spans="1:8" ht="15">
      <c r="A64" s="1313">
        <f>Milestones!A10</f>
        <v>0</v>
      </c>
      <c r="B64" s="1313"/>
      <c r="C64" s="1313"/>
      <c r="D64" s="1313"/>
      <c r="E64" s="744" t="str">
        <f>Milestones!E10</f>
        <v>no</v>
      </c>
      <c r="F64" s="728">
        <f>Milestones!F10</f>
        <v>0</v>
      </c>
      <c r="G64" s="728" t="str">
        <f>Milestones!AS10</f>
        <v/>
      </c>
      <c r="H64" s="754" t="str">
        <f t="shared" si="0"/>
        <v/>
      </c>
    </row>
    <row r="65" spans="1:8" ht="15">
      <c r="A65" s="1313">
        <f>Milestones!A11</f>
        <v>0</v>
      </c>
      <c r="B65" s="1313"/>
      <c r="C65" s="1313"/>
      <c r="D65" s="1313"/>
      <c r="E65" s="744" t="str">
        <f>Milestones!E11</f>
        <v>no</v>
      </c>
      <c r="F65" s="728">
        <f>Milestones!F11</f>
        <v>0</v>
      </c>
      <c r="G65" s="728" t="str">
        <f>Milestones!AS11</f>
        <v/>
      </c>
      <c r="H65" s="754" t="str">
        <f t="shared" si="0"/>
        <v/>
      </c>
    </row>
    <row r="66" spans="1:8" ht="15">
      <c r="A66" s="1313">
        <f>Milestones!A12</f>
        <v>0</v>
      </c>
      <c r="B66" s="1313"/>
      <c r="C66" s="1313"/>
      <c r="D66" s="1313"/>
      <c r="E66" s="744" t="str">
        <f>Milestones!E12</f>
        <v>no</v>
      </c>
      <c r="F66" s="728">
        <f>Milestones!F12</f>
        <v>0</v>
      </c>
      <c r="G66" s="728" t="str">
        <f>Milestones!AS12</f>
        <v/>
      </c>
      <c r="H66" s="754" t="str">
        <f t="shared" si="0"/>
        <v/>
      </c>
    </row>
    <row r="67" spans="1:8" ht="15">
      <c r="A67" s="1313">
        <f>Milestones!A13</f>
        <v>0</v>
      </c>
      <c r="B67" s="1313"/>
      <c r="C67" s="1313"/>
      <c r="D67" s="1313"/>
      <c r="E67" s="744" t="str">
        <f>Milestones!E13</f>
        <v>no</v>
      </c>
      <c r="F67" s="728">
        <f>Milestones!F13</f>
        <v>0</v>
      </c>
      <c r="G67" s="728" t="str">
        <f>Milestones!AS13</f>
        <v/>
      </c>
      <c r="H67" s="754" t="str">
        <f t="shared" si="0"/>
        <v/>
      </c>
    </row>
    <row r="68" spans="1:8" ht="15">
      <c r="A68" s="1313">
        <f>Milestones!A14</f>
        <v>0</v>
      </c>
      <c r="B68" s="1313"/>
      <c r="C68" s="1313"/>
      <c r="D68" s="1313"/>
      <c r="E68" s="744" t="str">
        <f>Milestones!E14</f>
        <v>no</v>
      </c>
      <c r="F68" s="728">
        <f>Milestones!F14</f>
        <v>0</v>
      </c>
      <c r="G68" s="728" t="str">
        <f>Milestones!AS14</f>
        <v/>
      </c>
      <c r="H68" s="754" t="str">
        <f t="shared" si="0"/>
        <v/>
      </c>
    </row>
    <row r="69" spans="1:8" ht="15">
      <c r="A69" s="1313">
        <f>Milestones!A15</f>
        <v>0</v>
      </c>
      <c r="B69" s="1313"/>
      <c r="C69" s="1313"/>
      <c r="D69" s="1313"/>
      <c r="E69" s="744" t="str">
        <f>Milestones!E15</f>
        <v>no</v>
      </c>
      <c r="F69" s="728">
        <f>Milestones!F15</f>
        <v>0</v>
      </c>
      <c r="G69" s="728" t="str">
        <f>Milestones!AS15</f>
        <v/>
      </c>
      <c r="H69" s="754" t="str">
        <f t="shared" si="0"/>
        <v/>
      </c>
    </row>
    <row r="70" spans="1:8" ht="15">
      <c r="A70" s="1313">
        <f>Milestones!A16</f>
        <v>0</v>
      </c>
      <c r="B70" s="1313"/>
      <c r="C70" s="1313"/>
      <c r="D70" s="1313"/>
      <c r="E70" s="744" t="str">
        <f>Milestones!E16</f>
        <v>no</v>
      </c>
      <c r="F70" s="728">
        <f>Milestones!F16</f>
        <v>0</v>
      </c>
      <c r="G70" s="728" t="str">
        <f>Milestones!AS16</f>
        <v/>
      </c>
      <c r="H70" s="754" t="str">
        <f t="shared" si="0"/>
        <v/>
      </c>
    </row>
    <row r="71" spans="1:8" ht="15">
      <c r="A71" s="1313">
        <f>Milestones!A17</f>
        <v>0</v>
      </c>
      <c r="B71" s="1313"/>
      <c r="C71" s="1313"/>
      <c r="D71" s="1313"/>
      <c r="E71" s="744" t="str">
        <f>Milestones!E17</f>
        <v>no</v>
      </c>
      <c r="F71" s="728">
        <f>Milestones!F17</f>
        <v>0</v>
      </c>
      <c r="G71" s="728" t="str">
        <f>Milestones!AS17</f>
        <v/>
      </c>
      <c r="H71" s="754" t="str">
        <f t="shared" si="0"/>
        <v/>
      </c>
    </row>
    <row r="72" spans="1:8" ht="15">
      <c r="A72" s="1313">
        <f>Milestones!A18</f>
        <v>0</v>
      </c>
      <c r="B72" s="1313"/>
      <c r="C72" s="1313"/>
      <c r="D72" s="1313"/>
      <c r="E72" s="744" t="str">
        <f>Milestones!E18</f>
        <v>no</v>
      </c>
      <c r="F72" s="728">
        <f>Milestones!F18</f>
        <v>0</v>
      </c>
      <c r="G72" s="728" t="str">
        <f>Milestones!AS18</f>
        <v/>
      </c>
      <c r="H72" s="754" t="str">
        <f t="shared" si="0"/>
        <v/>
      </c>
    </row>
    <row r="73" spans="1:8">
      <c r="A73" s="718"/>
      <c r="B73" s="718"/>
      <c r="C73" s="718"/>
      <c r="D73" s="718"/>
      <c r="E73" s="718"/>
      <c r="F73" s="718"/>
      <c r="G73" s="718"/>
      <c r="H73" s="718"/>
    </row>
    <row r="74" spans="1:8">
      <c r="A74" s="718"/>
      <c r="B74" s="718"/>
      <c r="C74" s="718"/>
      <c r="D74" s="718"/>
      <c r="E74" s="718"/>
      <c r="F74" s="718"/>
      <c r="G74" s="718"/>
      <c r="H74" s="718"/>
    </row>
    <row r="75" spans="1:8" ht="17.399999999999999">
      <c r="A75" s="1333" t="s">
        <v>301</v>
      </c>
      <c r="B75" s="1333"/>
      <c r="C75" s="1333"/>
      <c r="D75" s="1333"/>
      <c r="E75" s="1333"/>
      <c r="F75" s="1333"/>
      <c r="G75" s="1333"/>
      <c r="H75" s="1333"/>
    </row>
    <row r="76" spans="1:8">
      <c r="A76" s="718"/>
      <c r="B76" s="718"/>
      <c r="C76" s="718"/>
      <c r="D76" s="718"/>
      <c r="E76" s="718"/>
      <c r="F76" s="718"/>
      <c r="G76" s="718"/>
      <c r="H76" s="718"/>
    </row>
    <row r="77" spans="1:8">
      <c r="A77" s="718"/>
      <c r="B77" s="718"/>
      <c r="C77" s="718"/>
      <c r="D77" s="718"/>
      <c r="E77" s="718"/>
      <c r="F77" s="718"/>
      <c r="G77" s="718"/>
      <c r="H77" s="718"/>
    </row>
    <row r="78" spans="1:8">
      <c r="A78" s="718"/>
      <c r="B78" s="718"/>
      <c r="C78" s="718"/>
      <c r="D78" s="718"/>
      <c r="E78" s="718"/>
      <c r="F78" s="718"/>
      <c r="G78" s="718"/>
      <c r="H78" s="718"/>
    </row>
    <row r="79" spans="1:8">
      <c r="A79" s="718"/>
      <c r="B79" s="718"/>
      <c r="C79" s="718"/>
      <c r="D79" s="718"/>
      <c r="E79" s="718"/>
      <c r="F79" s="718"/>
      <c r="G79" s="718"/>
      <c r="H79" s="718"/>
    </row>
    <row r="80" spans="1:8">
      <c r="A80" s="718"/>
      <c r="B80" s="718"/>
      <c r="C80" s="718"/>
      <c r="D80" s="718"/>
      <c r="E80" s="718"/>
      <c r="F80" s="718"/>
      <c r="G80" s="718"/>
      <c r="H80" s="718"/>
    </row>
    <row r="81" spans="1:8">
      <c r="A81" s="718"/>
      <c r="B81" s="718"/>
      <c r="C81" s="718"/>
      <c r="D81" s="718"/>
      <c r="E81" s="718"/>
      <c r="F81" s="718"/>
      <c r="G81" s="718"/>
      <c r="H81" s="718"/>
    </row>
    <row r="82" spans="1:8">
      <c r="A82" s="718"/>
      <c r="B82" s="718"/>
      <c r="C82" s="718"/>
      <c r="D82" s="718"/>
      <c r="E82" s="718"/>
      <c r="F82" s="718"/>
      <c r="G82" s="718"/>
      <c r="H82" s="718"/>
    </row>
    <row r="83" spans="1:8">
      <c r="A83" s="718"/>
      <c r="B83" s="718"/>
      <c r="C83" s="718"/>
      <c r="D83" s="718"/>
      <c r="E83" s="718"/>
      <c r="F83" s="718"/>
      <c r="G83" s="718"/>
      <c r="H83" s="718"/>
    </row>
    <row r="84" spans="1:8">
      <c r="A84" s="718"/>
      <c r="B84" s="718"/>
      <c r="C84" s="718"/>
      <c r="D84" s="718"/>
      <c r="E84" s="718"/>
      <c r="F84" s="718"/>
      <c r="G84" s="718"/>
      <c r="H84" s="718"/>
    </row>
    <row r="85" spans="1:8">
      <c r="A85" s="718"/>
      <c r="B85" s="718"/>
      <c r="C85" s="718"/>
      <c r="D85" s="718"/>
      <c r="E85" s="718"/>
      <c r="F85" s="718"/>
      <c r="G85" s="718"/>
      <c r="H85" s="718"/>
    </row>
    <row r="86" spans="1:8">
      <c r="A86" s="718"/>
      <c r="B86" s="718"/>
      <c r="C86" s="718"/>
      <c r="D86" s="718"/>
      <c r="E86" s="718"/>
      <c r="F86" s="718"/>
      <c r="G86" s="718"/>
      <c r="H86" s="718"/>
    </row>
    <row r="87" spans="1:8">
      <c r="A87" s="718"/>
      <c r="B87" s="718"/>
      <c r="C87" s="718"/>
      <c r="D87" s="718"/>
      <c r="E87" s="718"/>
      <c r="F87" s="718"/>
      <c r="G87" s="718"/>
      <c r="H87" s="718"/>
    </row>
    <row r="88" spans="1:8">
      <c r="A88" s="718"/>
      <c r="B88" s="718"/>
      <c r="C88" s="718"/>
      <c r="D88" s="718"/>
      <c r="E88" s="718"/>
      <c r="F88" s="718"/>
      <c r="G88" s="718"/>
      <c r="H88" s="718"/>
    </row>
    <row r="89" spans="1:8">
      <c r="A89" s="718"/>
      <c r="B89" s="718"/>
      <c r="C89" s="718"/>
      <c r="D89" s="718"/>
      <c r="E89" s="718"/>
      <c r="F89" s="718"/>
      <c r="G89" s="718"/>
      <c r="H89" s="718"/>
    </row>
    <row r="90" spans="1:8">
      <c r="A90" s="718"/>
      <c r="B90" s="718"/>
      <c r="C90" s="718"/>
      <c r="D90" s="718"/>
      <c r="E90" s="718"/>
      <c r="F90" s="718"/>
      <c r="G90" s="718"/>
      <c r="H90" s="718"/>
    </row>
    <row r="91" spans="1:8">
      <c r="A91" s="718"/>
      <c r="B91" s="718"/>
      <c r="C91" s="718"/>
      <c r="D91" s="718"/>
      <c r="E91" s="718"/>
      <c r="F91" s="718"/>
      <c r="G91" s="718"/>
      <c r="H91" s="718"/>
    </row>
    <row r="92" spans="1:8">
      <c r="A92" s="718"/>
      <c r="B92" s="718"/>
      <c r="C92" s="718"/>
      <c r="D92" s="718"/>
      <c r="E92" s="718"/>
      <c r="F92" s="718"/>
      <c r="G92" s="718"/>
      <c r="H92" s="718"/>
    </row>
    <row r="93" spans="1:8">
      <c r="A93" s="718"/>
      <c r="B93" s="718"/>
      <c r="C93" s="718"/>
      <c r="D93" s="718"/>
      <c r="E93" s="718"/>
      <c r="F93" s="718"/>
      <c r="G93" s="718"/>
      <c r="H93" s="718"/>
    </row>
    <row r="94" spans="1:8">
      <c r="A94" s="718"/>
      <c r="B94" s="718"/>
      <c r="C94" s="718"/>
      <c r="D94" s="718"/>
      <c r="E94" s="718"/>
      <c r="F94" s="718"/>
      <c r="G94" s="718"/>
      <c r="H94" s="718"/>
    </row>
    <row r="95" spans="1:8">
      <c r="A95" s="718"/>
      <c r="B95" s="718"/>
      <c r="C95" s="718"/>
      <c r="D95" s="718"/>
      <c r="E95" s="718"/>
      <c r="F95" s="718"/>
      <c r="G95" s="718"/>
      <c r="H95" s="718"/>
    </row>
    <row r="96" spans="1:8">
      <c r="A96" s="718"/>
      <c r="B96" s="718"/>
      <c r="C96" s="718"/>
      <c r="D96" s="718"/>
      <c r="E96" s="718"/>
      <c r="F96" s="718"/>
      <c r="G96" s="718"/>
      <c r="H96" s="718"/>
    </row>
    <row r="97" spans="1:8">
      <c r="A97" s="718"/>
      <c r="B97" s="718"/>
      <c r="C97" s="718"/>
      <c r="D97" s="718"/>
      <c r="E97" s="718"/>
      <c r="F97" s="718"/>
      <c r="G97" s="718"/>
      <c r="H97" s="718"/>
    </row>
    <row r="98" spans="1:8">
      <c r="A98" s="718"/>
      <c r="B98" s="718"/>
      <c r="C98" s="718"/>
      <c r="D98" s="718"/>
      <c r="E98" s="718"/>
      <c r="F98" s="718"/>
      <c r="G98" s="718"/>
      <c r="H98" s="718"/>
    </row>
    <row r="99" spans="1:8">
      <c r="A99" s="718"/>
      <c r="B99" s="718"/>
      <c r="C99" s="718"/>
      <c r="D99" s="718"/>
      <c r="E99" s="718"/>
      <c r="F99" s="718"/>
      <c r="G99" s="718"/>
      <c r="H99" s="718"/>
    </row>
    <row r="100" spans="1:8">
      <c r="A100" s="718"/>
      <c r="B100" s="718"/>
      <c r="C100" s="718"/>
      <c r="D100" s="718"/>
      <c r="E100" s="718"/>
      <c r="F100" s="718"/>
      <c r="G100" s="718"/>
      <c r="H100" s="718"/>
    </row>
    <row r="101" spans="1:8">
      <c r="A101" s="718"/>
      <c r="B101" s="718"/>
      <c r="C101" s="718"/>
      <c r="D101" s="718"/>
      <c r="E101" s="718"/>
      <c r="F101" s="718"/>
      <c r="G101" s="718"/>
      <c r="H101" s="718"/>
    </row>
    <row r="102" spans="1:8">
      <c r="A102" s="718"/>
      <c r="B102" s="718"/>
      <c r="C102" s="718"/>
      <c r="D102" s="718"/>
      <c r="E102" s="718"/>
      <c r="F102" s="718"/>
      <c r="G102" s="718"/>
      <c r="H102" s="718"/>
    </row>
    <row r="103" spans="1:8">
      <c r="A103" s="718"/>
      <c r="B103" s="718"/>
      <c r="C103" s="718"/>
      <c r="D103" s="718"/>
      <c r="E103" s="718"/>
      <c r="F103" s="718"/>
      <c r="G103" s="718"/>
      <c r="H103" s="718"/>
    </row>
    <row r="104" spans="1:8">
      <c r="A104" s="718"/>
      <c r="B104" s="718"/>
      <c r="C104" s="718"/>
      <c r="D104" s="718"/>
      <c r="E104" s="718"/>
      <c r="F104" s="718"/>
      <c r="G104" s="718"/>
      <c r="H104" s="718"/>
    </row>
    <row r="105" spans="1:8">
      <c r="A105" s="718"/>
      <c r="B105" s="718"/>
      <c r="C105" s="718"/>
      <c r="D105" s="718"/>
      <c r="E105" s="718"/>
      <c r="F105" s="718"/>
      <c r="G105" s="718"/>
      <c r="H105" s="718"/>
    </row>
    <row r="106" spans="1:8">
      <c r="A106" s="718"/>
      <c r="B106" s="718"/>
      <c r="C106" s="718"/>
      <c r="D106" s="718"/>
      <c r="E106" s="718"/>
      <c r="F106" s="718"/>
      <c r="G106" s="718"/>
      <c r="H106" s="718"/>
    </row>
    <row r="107" spans="1:8" ht="17.399999999999999">
      <c r="A107" s="1333" t="s">
        <v>302</v>
      </c>
      <c r="B107" s="1333"/>
      <c r="C107" s="1333"/>
      <c r="D107" s="1333"/>
      <c r="E107" s="1333"/>
      <c r="F107" s="1333"/>
      <c r="G107" s="1333"/>
      <c r="H107" s="1333"/>
    </row>
    <row r="108" spans="1:8">
      <c r="A108" s="737"/>
      <c r="B108" s="737"/>
      <c r="C108" s="737"/>
      <c r="D108" s="737"/>
      <c r="E108" s="737"/>
      <c r="F108" s="737"/>
      <c r="G108" s="737"/>
      <c r="H108" s="737"/>
    </row>
    <row r="109" spans="1:8">
      <c r="A109" s="1319" t="s">
        <v>5</v>
      </c>
      <c r="B109" s="1319"/>
      <c r="C109" s="1319"/>
      <c r="D109" s="738" t="s">
        <v>303</v>
      </c>
      <c r="E109" s="745" t="s">
        <v>339</v>
      </c>
      <c r="F109" s="745" t="s">
        <v>304</v>
      </c>
      <c r="G109" s="748" t="s">
        <v>305</v>
      </c>
      <c r="H109" s="748" t="s">
        <v>306</v>
      </c>
    </row>
    <row r="110" spans="1:8">
      <c r="A110" s="1327" t="str">
        <f>"(" &amp; TEXT(Risklog!E62,"#") &amp; ") - " &amp; risk1titleCust</f>
        <v xml:space="preserve">() - </v>
      </c>
      <c r="B110" s="1327"/>
      <c r="C110" s="1327"/>
      <c r="D110" s="739" t="str">
        <f>Risklog!O62</f>
        <v/>
      </c>
      <c r="E110" s="755" t="str">
        <f>Risklog!K62</f>
        <v/>
      </c>
      <c r="F110" s="747" t="str">
        <f>Risklog!N62</f>
        <v/>
      </c>
      <c r="G110" s="749" t="str">
        <f>Risklog!P62</f>
        <v/>
      </c>
      <c r="H110" s="749" t="str">
        <f>Risklog!R62</f>
        <v/>
      </c>
    </row>
    <row r="111" spans="1:8">
      <c r="A111" s="1319" t="s">
        <v>202</v>
      </c>
      <c r="B111" s="1319"/>
      <c r="C111" s="1319" t="s">
        <v>307</v>
      </c>
      <c r="D111" s="1319"/>
      <c r="E111" s="1319" t="s">
        <v>308</v>
      </c>
      <c r="F111" s="1319"/>
      <c r="G111" s="1319" t="s">
        <v>309</v>
      </c>
      <c r="H111" s="1319"/>
    </row>
    <row r="112" spans="1:8" ht="30" customHeight="1">
      <c r="A112" s="1320" t="str">
        <f>Risklog!H62</f>
        <v/>
      </c>
      <c r="B112" s="1320"/>
      <c r="C112" s="1320" t="str">
        <f>Risklog!I62</f>
        <v/>
      </c>
      <c r="D112" s="1320"/>
      <c r="E112" s="1320" t="str">
        <f>Risklog!J62</f>
        <v/>
      </c>
      <c r="F112" s="1320"/>
      <c r="G112" s="1320" t="str">
        <f>Risklog!Q62</f>
        <v/>
      </c>
      <c r="H112" s="1320"/>
    </row>
    <row r="113" spans="1:14" ht="30" customHeight="1">
      <c r="A113" s="1320"/>
      <c r="B113" s="1320"/>
      <c r="C113" s="1320"/>
      <c r="D113" s="1320"/>
      <c r="E113" s="1320"/>
      <c r="F113" s="1320"/>
      <c r="G113" s="1320"/>
      <c r="H113" s="1320"/>
    </row>
    <row r="114" spans="1:14" ht="30" customHeight="1">
      <c r="A114" s="1320"/>
      <c r="B114" s="1320"/>
      <c r="C114" s="1320"/>
      <c r="D114" s="1320"/>
      <c r="E114" s="1320"/>
      <c r="F114" s="1320"/>
      <c r="G114" s="1320"/>
      <c r="H114" s="1320"/>
    </row>
    <row r="115" spans="1:14" ht="30" customHeight="1">
      <c r="A115" s="1320"/>
      <c r="B115" s="1320"/>
      <c r="C115" s="1320"/>
      <c r="D115" s="1320"/>
      <c r="E115" s="1320"/>
      <c r="F115" s="1320"/>
      <c r="G115" s="1320"/>
      <c r="H115" s="1320"/>
    </row>
    <row r="116" spans="1:14" ht="30" customHeight="1">
      <c r="A116" s="1320"/>
      <c r="B116" s="1320"/>
      <c r="C116" s="1320"/>
      <c r="D116" s="1320"/>
      <c r="E116" s="1320"/>
      <c r="F116" s="1320"/>
      <c r="G116" s="1320"/>
      <c r="H116" s="1320"/>
    </row>
    <row r="117" spans="1:14">
      <c r="A117" s="750"/>
      <c r="B117" s="750"/>
      <c r="C117" s="750"/>
      <c r="D117" s="750"/>
      <c r="E117" s="750"/>
      <c r="F117" s="750"/>
      <c r="G117" s="750"/>
      <c r="H117" s="750"/>
      <c r="J117" s="741"/>
      <c r="L117" s="741"/>
      <c r="N117" s="741"/>
    </row>
    <row r="118" spans="1:14">
      <c r="A118" s="1319" t="s">
        <v>5</v>
      </c>
      <c r="B118" s="1319"/>
      <c r="C118" s="1319"/>
      <c r="D118" s="738" t="s">
        <v>303</v>
      </c>
      <c r="E118" s="745" t="s">
        <v>339</v>
      </c>
      <c r="F118" s="745" t="s">
        <v>304</v>
      </c>
      <c r="G118" s="748" t="s">
        <v>305</v>
      </c>
      <c r="H118" s="748" t="s">
        <v>306</v>
      </c>
      <c r="J118" s="741"/>
      <c r="L118" s="741"/>
      <c r="N118" s="741"/>
    </row>
    <row r="119" spans="1:14">
      <c r="A119" s="1327" t="str">
        <f ca="1">"(" &amp; TEXT(Risklog!E63,"#") &amp; ") - " &amp; risk2titleCust</f>
        <v xml:space="preserve">() - </v>
      </c>
      <c r="B119" s="1327"/>
      <c r="C119" s="1327"/>
      <c r="D119" s="739" t="str">
        <f ca="1">Risklog!O63</f>
        <v/>
      </c>
      <c r="E119" s="755" t="str">
        <f ca="1">Risklog!K63</f>
        <v/>
      </c>
      <c r="F119" s="747" t="str">
        <f ca="1">Risklog!N63</f>
        <v/>
      </c>
      <c r="G119" s="749" t="str">
        <f ca="1">Risklog!P63</f>
        <v/>
      </c>
      <c r="H119" s="749" t="str">
        <f ca="1">Risklog!R63</f>
        <v/>
      </c>
      <c r="J119" s="741"/>
      <c r="L119" s="741"/>
      <c r="N119" s="741"/>
    </row>
    <row r="120" spans="1:14">
      <c r="A120" s="1319" t="s">
        <v>202</v>
      </c>
      <c r="B120" s="1319"/>
      <c r="C120" s="1319" t="s">
        <v>307</v>
      </c>
      <c r="D120" s="1319"/>
      <c r="E120" s="1319" t="s">
        <v>308</v>
      </c>
      <c r="F120" s="1319"/>
      <c r="G120" s="1319" t="s">
        <v>309</v>
      </c>
      <c r="H120" s="1319"/>
      <c r="J120" s="741"/>
      <c r="L120" s="741"/>
      <c r="N120" s="741"/>
    </row>
    <row r="121" spans="1:14" ht="30" customHeight="1">
      <c r="A121" s="1320" t="str">
        <f ca="1">Risklog!H63</f>
        <v/>
      </c>
      <c r="B121" s="1320"/>
      <c r="C121" s="1320" t="str">
        <f ca="1">Risklog!I63</f>
        <v/>
      </c>
      <c r="D121" s="1320"/>
      <c r="E121" s="1320" t="str">
        <f ca="1">Risklog!J63</f>
        <v/>
      </c>
      <c r="F121" s="1320"/>
      <c r="G121" s="1320" t="str">
        <f ca="1">Risklog!Q63</f>
        <v/>
      </c>
      <c r="H121" s="1320"/>
    </row>
    <row r="122" spans="1:14" ht="30" customHeight="1">
      <c r="A122" s="1320"/>
      <c r="B122" s="1320"/>
      <c r="C122" s="1320"/>
      <c r="D122" s="1320"/>
      <c r="E122" s="1320"/>
      <c r="F122" s="1320"/>
      <c r="G122" s="1320"/>
      <c r="H122" s="1320"/>
    </row>
    <row r="123" spans="1:14" ht="30" customHeight="1">
      <c r="A123" s="1320"/>
      <c r="B123" s="1320"/>
      <c r="C123" s="1320"/>
      <c r="D123" s="1320"/>
      <c r="E123" s="1320"/>
      <c r="F123" s="1320"/>
      <c r="G123" s="1320"/>
      <c r="H123" s="1320"/>
    </row>
    <row r="124" spans="1:14" ht="30" customHeight="1">
      <c r="A124" s="1320"/>
      <c r="B124" s="1320"/>
      <c r="C124" s="1320"/>
      <c r="D124" s="1320"/>
      <c r="E124" s="1320"/>
      <c r="F124" s="1320"/>
      <c r="G124" s="1320"/>
      <c r="H124" s="1320"/>
    </row>
    <row r="125" spans="1:14" ht="30" customHeight="1">
      <c r="A125" s="1320"/>
      <c r="B125" s="1320"/>
      <c r="C125" s="1320"/>
      <c r="D125" s="1320"/>
      <c r="E125" s="1320"/>
      <c r="F125" s="1320"/>
      <c r="G125" s="1320"/>
      <c r="H125" s="1320"/>
    </row>
    <row r="126" spans="1:14">
      <c r="A126" s="751"/>
      <c r="B126" s="751"/>
      <c r="C126" s="751"/>
      <c r="D126" s="751"/>
      <c r="E126" s="751"/>
      <c r="F126" s="751"/>
      <c r="G126" s="751"/>
      <c r="H126" s="751"/>
    </row>
    <row r="127" spans="1:14">
      <c r="A127" s="1319" t="s">
        <v>5</v>
      </c>
      <c r="B127" s="1319"/>
      <c r="C127" s="1319"/>
      <c r="D127" s="738" t="s">
        <v>303</v>
      </c>
      <c r="E127" s="745" t="s">
        <v>339</v>
      </c>
      <c r="F127" s="745" t="s">
        <v>304</v>
      </c>
      <c r="G127" s="748" t="s">
        <v>305</v>
      </c>
      <c r="H127" s="748" t="s">
        <v>306</v>
      </c>
    </row>
    <row r="128" spans="1:14">
      <c r="A128" s="1327" t="str">
        <f ca="1">"(" &amp; TEXT(Risklog!E64,"#") &amp; ") - " &amp; risk3titleCust</f>
        <v xml:space="preserve">() - </v>
      </c>
      <c r="B128" s="1327"/>
      <c r="C128" s="1327"/>
      <c r="D128" s="739" t="str">
        <f ca="1">Risklog!O64</f>
        <v/>
      </c>
      <c r="E128" s="755" t="str">
        <f ca="1">Risklog!K64</f>
        <v/>
      </c>
      <c r="F128" s="747" t="str">
        <f ca="1">Risklog!N64</f>
        <v/>
      </c>
      <c r="G128" s="749" t="str">
        <f ca="1">Risklog!P64</f>
        <v/>
      </c>
      <c r="H128" s="749" t="str">
        <f ca="1">Risklog!R64</f>
        <v/>
      </c>
    </row>
    <row r="129" spans="1:8">
      <c r="A129" s="1319" t="s">
        <v>202</v>
      </c>
      <c r="B129" s="1319"/>
      <c r="C129" s="1319" t="s">
        <v>307</v>
      </c>
      <c r="D129" s="1319"/>
      <c r="E129" s="1319" t="s">
        <v>308</v>
      </c>
      <c r="F129" s="1319"/>
      <c r="G129" s="1319" t="s">
        <v>309</v>
      </c>
      <c r="H129" s="1319"/>
    </row>
    <row r="130" spans="1:8" ht="30" customHeight="1">
      <c r="A130" s="1320" t="str">
        <f ca="1">Risklog!H64</f>
        <v/>
      </c>
      <c r="B130" s="1320"/>
      <c r="C130" s="1320" t="str">
        <f ca="1">Risklog!I64</f>
        <v/>
      </c>
      <c r="D130" s="1320"/>
      <c r="E130" s="1320" t="str">
        <f ca="1">Risklog!J64</f>
        <v/>
      </c>
      <c r="F130" s="1320"/>
      <c r="G130" s="1320" t="str">
        <f ca="1">Risklog!Q64</f>
        <v/>
      </c>
      <c r="H130" s="1320"/>
    </row>
    <row r="131" spans="1:8" ht="30" customHeight="1">
      <c r="A131" s="1320"/>
      <c r="B131" s="1320"/>
      <c r="C131" s="1320"/>
      <c r="D131" s="1320"/>
      <c r="E131" s="1320"/>
      <c r="F131" s="1320"/>
      <c r="G131" s="1320"/>
      <c r="H131" s="1320"/>
    </row>
    <row r="132" spans="1:8" ht="30" customHeight="1">
      <c r="A132" s="1320"/>
      <c r="B132" s="1320"/>
      <c r="C132" s="1320"/>
      <c r="D132" s="1320"/>
      <c r="E132" s="1320"/>
      <c r="F132" s="1320"/>
      <c r="G132" s="1320"/>
      <c r="H132" s="1320"/>
    </row>
    <row r="133" spans="1:8" ht="30" customHeight="1">
      <c r="A133" s="1320"/>
      <c r="B133" s="1320"/>
      <c r="C133" s="1320"/>
      <c r="D133" s="1320"/>
      <c r="E133" s="1320"/>
      <c r="F133" s="1320"/>
      <c r="G133" s="1320"/>
      <c r="H133" s="1320"/>
    </row>
    <row r="134" spans="1:8" ht="30" customHeight="1">
      <c r="A134" s="1320"/>
      <c r="B134" s="1320"/>
      <c r="C134" s="1320"/>
      <c r="D134" s="1320"/>
      <c r="E134" s="1320"/>
      <c r="F134" s="1320"/>
      <c r="G134" s="1320"/>
      <c r="H134" s="1320"/>
    </row>
    <row r="135" spans="1:8" ht="15" customHeight="1">
      <c r="A135" s="711"/>
      <c r="B135" s="711"/>
      <c r="C135" s="711"/>
      <c r="D135" s="711"/>
      <c r="E135" s="711"/>
      <c r="F135" s="711"/>
      <c r="G135" s="711"/>
      <c r="H135" s="711"/>
    </row>
    <row r="136" spans="1:8">
      <c r="A136" s="1319" t="s">
        <v>5</v>
      </c>
      <c r="B136" s="1319"/>
      <c r="C136" s="1319"/>
      <c r="D136" s="738" t="s">
        <v>303</v>
      </c>
      <c r="E136" s="745" t="s">
        <v>339</v>
      </c>
      <c r="F136" s="745" t="s">
        <v>304</v>
      </c>
      <c r="G136" s="748" t="s">
        <v>305</v>
      </c>
      <c r="H136" s="748" t="s">
        <v>306</v>
      </c>
    </row>
    <row r="137" spans="1:8">
      <c r="A137" s="1327" t="str">
        <f ca="1">"(" &amp; TEXT(Risklog!E65,"#") &amp; ") - " &amp; risk4titleCust</f>
        <v xml:space="preserve">() - </v>
      </c>
      <c r="B137" s="1327"/>
      <c r="C137" s="1327"/>
      <c r="D137" s="739" t="str">
        <f ca="1">Risklog!O65</f>
        <v/>
      </c>
      <c r="E137" s="755" t="str">
        <f ca="1">Risklog!K65</f>
        <v/>
      </c>
      <c r="F137" s="747" t="str">
        <f ca="1">Risklog!N65</f>
        <v/>
      </c>
      <c r="G137" s="749" t="str">
        <f ca="1">Risklog!P65</f>
        <v/>
      </c>
      <c r="H137" s="749" t="str">
        <f ca="1">Risklog!R65</f>
        <v/>
      </c>
    </row>
    <row r="138" spans="1:8">
      <c r="A138" s="1319" t="s">
        <v>202</v>
      </c>
      <c r="B138" s="1319"/>
      <c r="C138" s="1319" t="s">
        <v>307</v>
      </c>
      <c r="D138" s="1319"/>
      <c r="E138" s="1319" t="s">
        <v>308</v>
      </c>
      <c r="F138" s="1319"/>
      <c r="G138" s="1319" t="s">
        <v>309</v>
      </c>
      <c r="H138" s="1319"/>
    </row>
    <row r="139" spans="1:8" ht="30" customHeight="1">
      <c r="A139" s="1320" t="str">
        <f ca="1">Risklog!H65</f>
        <v/>
      </c>
      <c r="B139" s="1320"/>
      <c r="C139" s="1320" t="str">
        <f ca="1">Risklog!I65</f>
        <v/>
      </c>
      <c r="D139" s="1320"/>
      <c r="E139" s="1320" t="str">
        <f ca="1">Risklog!J65</f>
        <v/>
      </c>
      <c r="F139" s="1320"/>
      <c r="G139" s="1320" t="str">
        <f ca="1">Risklog!Q65</f>
        <v/>
      </c>
      <c r="H139" s="1320"/>
    </row>
    <row r="140" spans="1:8" ht="30" customHeight="1">
      <c r="A140" s="1320"/>
      <c r="B140" s="1320"/>
      <c r="C140" s="1320"/>
      <c r="D140" s="1320"/>
      <c r="E140" s="1320"/>
      <c r="F140" s="1320"/>
      <c r="G140" s="1320"/>
      <c r="H140" s="1320"/>
    </row>
    <row r="141" spans="1:8" ht="30" customHeight="1">
      <c r="A141" s="1320"/>
      <c r="B141" s="1320"/>
      <c r="C141" s="1320"/>
      <c r="D141" s="1320"/>
      <c r="E141" s="1320"/>
      <c r="F141" s="1320"/>
      <c r="G141" s="1320"/>
      <c r="H141" s="1320"/>
    </row>
    <row r="142" spans="1:8" ht="30" customHeight="1">
      <c r="A142" s="1320"/>
      <c r="B142" s="1320"/>
      <c r="C142" s="1320"/>
      <c r="D142" s="1320"/>
      <c r="E142" s="1320"/>
      <c r="F142" s="1320"/>
      <c r="G142" s="1320"/>
      <c r="H142" s="1320"/>
    </row>
    <row r="143" spans="1:8" ht="30" customHeight="1">
      <c r="A143" s="1320"/>
      <c r="B143" s="1320"/>
      <c r="C143" s="1320"/>
      <c r="D143" s="1320"/>
      <c r="E143" s="1320"/>
      <c r="F143" s="1320"/>
      <c r="G143" s="1320"/>
      <c r="H143" s="1320"/>
    </row>
    <row r="144" spans="1:8">
      <c r="A144" s="751"/>
      <c r="B144" s="751"/>
      <c r="C144" s="751"/>
      <c r="D144" s="751"/>
      <c r="E144" s="751"/>
      <c r="F144" s="751"/>
      <c r="G144" s="751"/>
      <c r="H144" s="751"/>
    </row>
    <row r="145" spans="1:8">
      <c r="A145" s="1319" t="s">
        <v>5</v>
      </c>
      <c r="B145" s="1319"/>
      <c r="C145" s="1319"/>
      <c r="D145" s="738" t="s">
        <v>303</v>
      </c>
      <c r="E145" s="745" t="s">
        <v>339</v>
      </c>
      <c r="F145" s="745" t="s">
        <v>304</v>
      </c>
      <c r="G145" s="748" t="s">
        <v>305</v>
      </c>
      <c r="H145" s="748" t="s">
        <v>306</v>
      </c>
    </row>
    <row r="146" spans="1:8">
      <c r="A146" s="1327" t="str">
        <f ca="1">"(" &amp; TEXT(Risklog!E66,"#") &amp; ") - " &amp; risk5titleCust</f>
        <v xml:space="preserve">() - </v>
      </c>
      <c r="B146" s="1327"/>
      <c r="C146" s="1327"/>
      <c r="D146" s="739" t="str">
        <f ca="1">Risklog!O66</f>
        <v/>
      </c>
      <c r="E146" s="755" t="str">
        <f ca="1">Risklog!K66</f>
        <v/>
      </c>
      <c r="F146" s="747" t="str">
        <f ca="1">Risklog!N66</f>
        <v/>
      </c>
      <c r="G146" s="749" t="str">
        <f ca="1">Risklog!P66</f>
        <v/>
      </c>
      <c r="H146" s="749" t="str">
        <f ca="1">Risklog!R66</f>
        <v/>
      </c>
    </row>
    <row r="147" spans="1:8">
      <c r="A147" s="1319" t="s">
        <v>202</v>
      </c>
      <c r="B147" s="1319"/>
      <c r="C147" s="1319" t="s">
        <v>307</v>
      </c>
      <c r="D147" s="1319"/>
      <c r="E147" s="1319" t="s">
        <v>308</v>
      </c>
      <c r="F147" s="1319"/>
      <c r="G147" s="1319" t="s">
        <v>309</v>
      </c>
      <c r="H147" s="1319"/>
    </row>
    <row r="148" spans="1:8" ht="30" customHeight="1">
      <c r="A148" s="1320" t="str">
        <f ca="1">Risklog!H66</f>
        <v/>
      </c>
      <c r="B148" s="1320"/>
      <c r="C148" s="1320" t="str">
        <f ca="1">Risklog!I66</f>
        <v/>
      </c>
      <c r="D148" s="1320"/>
      <c r="E148" s="1320" t="str">
        <f ca="1">Risklog!J66</f>
        <v/>
      </c>
      <c r="F148" s="1320"/>
      <c r="G148" s="1320" t="str">
        <f ca="1">Risklog!Q66</f>
        <v/>
      </c>
      <c r="H148" s="1320"/>
    </row>
    <row r="149" spans="1:8" ht="30" customHeight="1">
      <c r="A149" s="1320"/>
      <c r="B149" s="1320"/>
      <c r="C149" s="1320"/>
      <c r="D149" s="1320"/>
      <c r="E149" s="1320"/>
      <c r="F149" s="1320"/>
      <c r="G149" s="1320"/>
      <c r="H149" s="1320"/>
    </row>
    <row r="150" spans="1:8" ht="30" customHeight="1">
      <c r="A150" s="1320"/>
      <c r="B150" s="1320"/>
      <c r="C150" s="1320"/>
      <c r="D150" s="1320"/>
      <c r="E150" s="1320"/>
      <c r="F150" s="1320"/>
      <c r="G150" s="1320"/>
      <c r="H150" s="1320"/>
    </row>
    <row r="151" spans="1:8" ht="30" customHeight="1">
      <c r="A151" s="1320"/>
      <c r="B151" s="1320"/>
      <c r="C151" s="1320"/>
      <c r="D151" s="1320"/>
      <c r="E151" s="1320"/>
      <c r="F151" s="1320"/>
      <c r="G151" s="1320"/>
      <c r="H151" s="1320"/>
    </row>
    <row r="152" spans="1:8" ht="30" customHeight="1">
      <c r="A152" s="1320"/>
      <c r="B152" s="1320"/>
      <c r="C152" s="1320"/>
      <c r="D152" s="1320"/>
      <c r="E152" s="1320"/>
      <c r="F152" s="1320"/>
      <c r="G152" s="1320"/>
      <c r="H152" s="1320"/>
    </row>
    <row r="153" spans="1:8">
      <c r="A153" s="718"/>
      <c r="B153" s="718"/>
      <c r="C153" s="718"/>
      <c r="D153" s="718"/>
      <c r="E153" s="718"/>
      <c r="F153" s="718"/>
      <c r="G153" s="718"/>
      <c r="H153" s="718"/>
    </row>
    <row r="154" spans="1:8">
      <c r="A154" s="718"/>
      <c r="B154" s="718"/>
      <c r="C154" s="718"/>
      <c r="D154" s="718"/>
      <c r="E154" s="718"/>
      <c r="F154" s="718"/>
      <c r="G154" s="718"/>
      <c r="H154" s="718"/>
    </row>
    <row r="155" spans="1:8">
      <c r="A155" s="718"/>
      <c r="B155" s="718"/>
      <c r="C155" s="718"/>
      <c r="D155" s="718"/>
      <c r="E155" s="718"/>
      <c r="F155" s="718"/>
      <c r="G155" s="718"/>
      <c r="H155" s="718"/>
    </row>
    <row r="156" spans="1:8" ht="15" customHeight="1"/>
  </sheetData>
  <sheetProtection algorithmName="SHA-512" hashValue="k8uA7C3qm5+MfPJo6eimMnPwJmwfGKxdXEadkATK4i2RZOy3YoU8T3mQm8iwyNt3XAQEY45WuQ8Td6wh637+4w==" saltValue="Mn2s6bkc+jJUcJ0uSIv2vw==" spinCount="100000" sheet="1" objects="1" scenarios="1" formatCells="0"/>
  <mergeCells count="95">
    <mergeCell ref="A1:E1"/>
    <mergeCell ref="A2:E2"/>
    <mergeCell ref="I6:I7"/>
    <mergeCell ref="A12:B12"/>
    <mergeCell ref="C12:H12"/>
    <mergeCell ref="A6:H6"/>
    <mergeCell ref="A7:H7"/>
    <mergeCell ref="A9:H9"/>
    <mergeCell ref="A11:B11"/>
    <mergeCell ref="C11:H11"/>
    <mergeCell ref="A13:B13"/>
    <mergeCell ref="C13:H13"/>
    <mergeCell ref="A14:B17"/>
    <mergeCell ref="C14:H17"/>
    <mergeCell ref="A18:B18"/>
    <mergeCell ref="C18:H18"/>
    <mergeCell ref="A45:A52"/>
    <mergeCell ref="B45:H52"/>
    <mergeCell ref="A20:B20"/>
    <mergeCell ref="C20:H20"/>
    <mergeCell ref="A21:B21"/>
    <mergeCell ref="C21:H21"/>
    <mergeCell ref="A22:B22"/>
    <mergeCell ref="C22:H22"/>
    <mergeCell ref="A25:H25"/>
    <mergeCell ref="A27:A34"/>
    <mergeCell ref="B27:H34"/>
    <mergeCell ref="A36:A43"/>
    <mergeCell ref="B36:H43"/>
    <mergeCell ref="A70:D70"/>
    <mergeCell ref="A58:H58"/>
    <mergeCell ref="A60:D60"/>
    <mergeCell ref="A61:D61"/>
    <mergeCell ref="A62:D62"/>
    <mergeCell ref="A63:D63"/>
    <mergeCell ref="A64:D64"/>
    <mergeCell ref="A65:D65"/>
    <mergeCell ref="A66:D66"/>
    <mergeCell ref="A67:D67"/>
    <mergeCell ref="A68:D68"/>
    <mergeCell ref="A69:D69"/>
    <mergeCell ref="A107:H107"/>
    <mergeCell ref="A109:C109"/>
    <mergeCell ref="A110:C110"/>
    <mergeCell ref="A71:D71"/>
    <mergeCell ref="A72:D72"/>
    <mergeCell ref="A75:H75"/>
    <mergeCell ref="E120:F120"/>
    <mergeCell ref="G120:H120"/>
    <mergeCell ref="A111:B111"/>
    <mergeCell ref="C111:D111"/>
    <mergeCell ref="E111:F111"/>
    <mergeCell ref="G111:H111"/>
    <mergeCell ref="A112:B116"/>
    <mergeCell ref="C112:D116"/>
    <mergeCell ref="E112:F116"/>
    <mergeCell ref="G112:H116"/>
    <mergeCell ref="A118:C118"/>
    <mergeCell ref="A119:C119"/>
    <mergeCell ref="A120:B120"/>
    <mergeCell ref="C120:D120"/>
    <mergeCell ref="A121:B125"/>
    <mergeCell ref="C121:D125"/>
    <mergeCell ref="E121:F125"/>
    <mergeCell ref="G121:H125"/>
    <mergeCell ref="A127:C127"/>
    <mergeCell ref="E138:F138"/>
    <mergeCell ref="G138:H138"/>
    <mergeCell ref="A129:B129"/>
    <mergeCell ref="C129:D129"/>
    <mergeCell ref="E129:F129"/>
    <mergeCell ref="G129:H129"/>
    <mergeCell ref="A130:B134"/>
    <mergeCell ref="C130:D134"/>
    <mergeCell ref="E130:F134"/>
    <mergeCell ref="G130:H134"/>
    <mergeCell ref="A128:C128"/>
    <mergeCell ref="A136:C136"/>
    <mergeCell ref="A137:C137"/>
    <mergeCell ref="A138:B138"/>
    <mergeCell ref="C138:D138"/>
    <mergeCell ref="G148:H152"/>
    <mergeCell ref="E139:F143"/>
    <mergeCell ref="G139:H143"/>
    <mergeCell ref="A145:C145"/>
    <mergeCell ref="A147:B147"/>
    <mergeCell ref="C147:D147"/>
    <mergeCell ref="E147:F147"/>
    <mergeCell ref="G147:H147"/>
    <mergeCell ref="A146:C146"/>
    <mergeCell ref="A139:B143"/>
    <mergeCell ref="C139:D143"/>
    <mergeCell ref="A148:B152"/>
    <mergeCell ref="C148:D152"/>
    <mergeCell ref="E148:F152"/>
  </mergeCells>
  <conditionalFormatting sqref="H61:H72">
    <cfRule type="cellIs" dxfId="11" priority="1" operator="equal">
      <formula>"Green"</formula>
    </cfRule>
    <cfRule type="cellIs" dxfId="10" priority="2" operator="equal">
      <formula>"Yellow"</formula>
    </cfRule>
    <cfRule type="cellIs" dxfId="9" priority="3" operator="equal">
      <formula>"Red"</formula>
    </cfRule>
  </conditionalFormatting>
  <pageMargins left="0.70866141732283472" right="0.70866141732283472" top="0.78740157480314965" bottom="0.78740157480314965" header="0.31496062992125984" footer="0.31496062992125984"/>
  <pageSetup paperSize="9" scale="93" orientation="portrait" horizontalDpi="1200" verticalDpi="1200" r:id="rId1"/>
  <headerFooter>
    <oddHeader>&amp;L&amp;"Regular"&amp;D&amp;R&amp;"Regular"&amp;G</oddHeader>
    <oddFooter>&amp;L&amp;"Regular"&amp;F&amp;R&amp;"Regular"Page &amp;P</oddFooter>
  </headerFooter>
  <rowBreaks count="3" manualBreakCount="3">
    <brk id="56" max="16383" man="1"/>
    <brk id="105" max="16383" man="1"/>
    <brk id="134" max="7" man="1"/>
  </rowBreaks>
  <customProperties>
    <customPr name="Guid" r:id="rId2"/>
  </customPropertie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Button 1">
              <controlPr defaultSize="0" print="0" autoFill="0" autoPict="0" macro="[0]!btnPrint_click">
                <anchor moveWithCells="1" sizeWithCells="1">
                  <from>
                    <xdr:col>9</xdr:col>
                    <xdr:colOff>114300</xdr:colOff>
                    <xdr:row>5</xdr:row>
                    <xdr:rowOff>76200</xdr:rowOff>
                  </from>
                  <to>
                    <xdr:col>11</xdr:col>
                    <xdr:colOff>640080</xdr:colOff>
                    <xdr:row>7</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0" tint="-0.249977111117893"/>
    <pageSetUpPr fitToPage="1"/>
  </sheetPr>
  <dimension ref="A1:T35"/>
  <sheetViews>
    <sheetView zoomScaleNormal="100" workbookViewId="0">
      <selection activeCell="A3" sqref="A3"/>
    </sheetView>
  </sheetViews>
  <sheetFormatPr defaultColWidth="9.109375" defaultRowHeight="14.4"/>
  <cols>
    <col min="1" max="1" width="4.109375" style="71" customWidth="1"/>
    <col min="2" max="2" width="1.6640625" style="71" customWidth="1"/>
    <col min="3" max="3" width="8.33203125" style="71" customWidth="1"/>
    <col min="4" max="4" width="1.6640625" style="71" customWidth="1"/>
    <col min="5" max="5" width="51.5546875" style="71" customWidth="1"/>
    <col min="6" max="6" width="1.6640625" style="71" customWidth="1"/>
    <col min="7" max="7" width="14.33203125" style="71" customWidth="1"/>
    <col min="8" max="8" width="1.6640625" style="71" customWidth="1"/>
    <col min="9" max="9" width="14.33203125" style="71" customWidth="1"/>
    <col min="10" max="16384" width="9.109375" style="71"/>
  </cols>
  <sheetData>
    <row r="1" spans="1:20" s="171" customFormat="1" ht="21">
      <c r="A1" s="1232" t="str">
        <f>MDProjektname</f>
        <v>Migration GEFI</v>
      </c>
      <c r="B1" s="1233"/>
      <c r="C1" s="1233"/>
      <c r="D1" s="1233"/>
      <c r="E1" s="1234"/>
      <c r="F1" s="71"/>
      <c r="G1" s="71"/>
      <c r="H1" s="71"/>
      <c r="I1" s="71"/>
      <c r="J1" s="71"/>
      <c r="K1" s="71"/>
      <c r="L1" s="71"/>
      <c r="M1" s="71"/>
      <c r="N1" s="71"/>
      <c r="O1" s="71"/>
      <c r="P1" s="71"/>
      <c r="Q1" s="71"/>
      <c r="R1" s="71"/>
      <c r="S1" s="71"/>
      <c r="T1" s="71"/>
    </row>
    <row r="2" spans="1:20" s="171" customFormat="1" ht="26.25" customHeight="1" thickBot="1">
      <c r="A2" s="1235" t="str">
        <f>MDCustomer</f>
        <v>OFISA</v>
      </c>
      <c r="B2" s="1236"/>
      <c r="C2" s="1236"/>
      <c r="D2" s="1236"/>
      <c r="E2" s="1237"/>
      <c r="F2" s="71"/>
      <c r="H2" s="172" t="s">
        <v>1088</v>
      </c>
      <c r="I2" s="71"/>
      <c r="J2" s="71"/>
      <c r="K2" s="71"/>
      <c r="L2" s="71"/>
      <c r="M2" s="71"/>
      <c r="N2" s="71"/>
      <c r="O2" s="71"/>
      <c r="P2" s="71"/>
      <c r="Q2" s="71"/>
      <c r="R2" s="71"/>
      <c r="S2" s="71"/>
      <c r="T2" s="71"/>
    </row>
    <row r="3" spans="1:20" s="171" customFormat="1" ht="26.25" customHeight="1">
      <c r="A3" s="71"/>
      <c r="B3" s="71"/>
      <c r="C3" s="71"/>
      <c r="D3" s="71"/>
      <c r="E3" s="71"/>
      <c r="F3" s="71"/>
      <c r="H3" s="249" t="s">
        <v>1096</v>
      </c>
      <c r="I3" s="71"/>
      <c r="J3" s="71"/>
      <c r="K3" s="71"/>
      <c r="L3" s="71"/>
      <c r="M3" s="71"/>
      <c r="N3" s="71"/>
      <c r="O3" s="71"/>
      <c r="P3" s="71"/>
      <c r="Q3" s="71"/>
      <c r="R3" s="71"/>
      <c r="S3" s="71"/>
      <c r="T3" s="71"/>
    </row>
    <row r="4" spans="1:20" s="171" customFormat="1" ht="15" customHeight="1">
      <c r="A4" s="71"/>
      <c r="B4" s="71"/>
      <c r="C4" s="71"/>
      <c r="D4" s="71"/>
      <c r="E4" s="71"/>
      <c r="F4" s="71"/>
      <c r="G4" s="71"/>
      <c r="H4" s="71"/>
      <c r="I4" s="71"/>
      <c r="J4" s="71"/>
      <c r="K4" s="71"/>
      <c r="L4" s="71"/>
      <c r="M4" s="71"/>
      <c r="N4" s="71"/>
      <c r="O4" s="71"/>
      <c r="P4" s="71"/>
      <c r="Q4" s="71"/>
      <c r="R4" s="71"/>
      <c r="S4" s="71"/>
      <c r="T4" s="71"/>
    </row>
    <row r="5" spans="1:20" ht="26.4">
      <c r="A5" s="250" t="s">
        <v>830</v>
      </c>
      <c r="B5" s="250"/>
      <c r="C5" s="251" t="s">
        <v>831</v>
      </c>
      <c r="D5" s="250"/>
      <c r="E5" s="251" t="s">
        <v>832</v>
      </c>
      <c r="F5" s="250"/>
      <c r="G5" s="250" t="s">
        <v>833</v>
      </c>
      <c r="H5" s="250"/>
      <c r="I5" s="250" t="s">
        <v>834</v>
      </c>
    </row>
    <row r="6" spans="1:20">
      <c r="A6" s="252">
        <v>1</v>
      </c>
      <c r="B6" s="252"/>
      <c r="C6" s="253">
        <f>OpeningTemplate!A44</f>
        <v>0</v>
      </c>
      <c r="D6" s="252"/>
      <c r="E6" s="254" t="str">
        <f>OpeningTemplate!B44</f>
        <v>GEFI Migration</v>
      </c>
      <c r="F6" s="252"/>
      <c r="G6" s="255">
        <f ca="1">OpeningTemplate!B46</f>
        <v>93800</v>
      </c>
      <c r="H6" s="252"/>
      <c r="I6" s="255">
        <f>OpeningTemplate!C46</f>
        <v>584</v>
      </c>
    </row>
    <row r="7" spans="1:20">
      <c r="A7" s="256">
        <v>2</v>
      </c>
      <c r="B7" s="256"/>
      <c r="C7" s="257">
        <f>OpeningTemplate!A54</f>
        <v>0</v>
      </c>
      <c r="D7" s="256"/>
      <c r="E7" s="258">
        <f>OpeningTemplate!B54</f>
        <v>0</v>
      </c>
      <c r="F7" s="256"/>
      <c r="G7" s="259">
        <f>OpeningTemplate!B56</f>
        <v>0</v>
      </c>
      <c r="H7" s="256"/>
      <c r="I7" s="259">
        <f>OpeningTemplate!C56</f>
        <v>0</v>
      </c>
    </row>
    <row r="8" spans="1:20">
      <c r="A8" s="256">
        <v>3</v>
      </c>
      <c r="B8" s="256"/>
      <c r="C8" s="257">
        <f>OpeningTemplate!A64</f>
        <v>0</v>
      </c>
      <c r="D8" s="256"/>
      <c r="E8" s="258">
        <f>OpeningTemplate!B64</f>
        <v>0</v>
      </c>
      <c r="F8" s="256"/>
      <c r="G8" s="259">
        <f>OpeningTemplate!B66</f>
        <v>0</v>
      </c>
      <c r="H8" s="256"/>
      <c r="I8" s="259">
        <f>OpeningTemplate!C66</f>
        <v>0</v>
      </c>
    </row>
    <row r="9" spans="1:20">
      <c r="A9" s="256">
        <v>4</v>
      </c>
      <c r="B9" s="256"/>
      <c r="C9" s="257">
        <f>OpeningTemplate!A74</f>
        <v>0</v>
      </c>
      <c r="D9" s="256"/>
      <c r="E9" s="258">
        <f>OpeningTemplate!B74</f>
        <v>0</v>
      </c>
      <c r="F9" s="256"/>
      <c r="G9" s="259">
        <f>OpeningTemplate!B76</f>
        <v>0</v>
      </c>
      <c r="H9" s="256"/>
      <c r="I9" s="259">
        <f>OpeningTemplate!C76</f>
        <v>0</v>
      </c>
    </row>
    <row r="10" spans="1:20">
      <c r="A10" s="256">
        <v>5</v>
      </c>
      <c r="B10" s="256"/>
      <c r="C10" s="257">
        <f>OpeningTemplate!A84</f>
        <v>0</v>
      </c>
      <c r="D10" s="256"/>
      <c r="E10" s="258">
        <f>OpeningTemplate!B84</f>
        <v>0</v>
      </c>
      <c r="F10" s="256"/>
      <c r="G10" s="259">
        <f>OpeningTemplate!B86</f>
        <v>0</v>
      </c>
      <c r="H10" s="256"/>
      <c r="I10" s="259">
        <f>OpeningTemplate!C86</f>
        <v>0</v>
      </c>
    </row>
    <row r="11" spans="1:20">
      <c r="A11" s="256">
        <v>6</v>
      </c>
      <c r="B11" s="256"/>
      <c r="C11" s="257">
        <f>OpeningTemplate!A94</f>
        <v>0</v>
      </c>
      <c r="D11" s="256"/>
      <c r="E11" s="258">
        <f>OpeningTemplate!B94</f>
        <v>0</v>
      </c>
      <c r="F11" s="256"/>
      <c r="G11" s="259">
        <f>OpeningTemplate!B96</f>
        <v>0</v>
      </c>
      <c r="H11" s="256"/>
      <c r="I11" s="259">
        <f>OpeningTemplate!C96</f>
        <v>0</v>
      </c>
    </row>
    <row r="12" spans="1:20">
      <c r="A12" s="256">
        <v>7</v>
      </c>
      <c r="B12" s="256"/>
      <c r="C12" s="257">
        <f>OpeningTemplate!A104</f>
        <v>0</v>
      </c>
      <c r="D12" s="256"/>
      <c r="E12" s="258">
        <f>OpeningTemplate!B104</f>
        <v>0</v>
      </c>
      <c r="F12" s="256"/>
      <c r="G12" s="259">
        <f>OpeningTemplate!B106</f>
        <v>0</v>
      </c>
      <c r="H12" s="256"/>
      <c r="I12" s="259">
        <f>OpeningTemplate!C106</f>
        <v>0</v>
      </c>
    </row>
    <row r="13" spans="1:20">
      <c r="A13" s="256">
        <v>8</v>
      </c>
      <c r="B13" s="256"/>
      <c r="C13" s="257">
        <f>OpeningTemplate!A114</f>
        <v>0</v>
      </c>
      <c r="D13" s="256"/>
      <c r="E13" s="258">
        <f>OpeningTemplate!B114</f>
        <v>0</v>
      </c>
      <c r="F13" s="256"/>
      <c r="G13" s="259">
        <f>OpeningTemplate!B116</f>
        <v>0</v>
      </c>
      <c r="H13" s="256"/>
      <c r="I13" s="259">
        <f>OpeningTemplate!C116</f>
        <v>0</v>
      </c>
    </row>
    <row r="14" spans="1:20">
      <c r="A14" s="256">
        <v>9</v>
      </c>
      <c r="B14" s="256"/>
      <c r="C14" s="257">
        <f>OpeningTemplate!A124</f>
        <v>0</v>
      </c>
      <c r="D14" s="256"/>
      <c r="E14" s="258">
        <f>OpeningTemplate!B124</f>
        <v>0</v>
      </c>
      <c r="F14" s="256"/>
      <c r="G14" s="259">
        <f>OpeningTemplate!B126</f>
        <v>0</v>
      </c>
      <c r="H14" s="256"/>
      <c r="I14" s="259">
        <f>OpeningTemplate!C126</f>
        <v>0</v>
      </c>
    </row>
    <row r="15" spans="1:20">
      <c r="A15" s="256">
        <v>10</v>
      </c>
      <c r="B15" s="256"/>
      <c r="C15" s="257">
        <f>OpeningTemplate!A134</f>
        <v>0</v>
      </c>
      <c r="D15" s="256"/>
      <c r="E15" s="258">
        <f>OpeningTemplate!B134</f>
        <v>0</v>
      </c>
      <c r="F15" s="256"/>
      <c r="G15" s="259">
        <f>OpeningTemplate!B136</f>
        <v>0</v>
      </c>
      <c r="H15" s="256"/>
      <c r="I15" s="259">
        <f>OpeningTemplate!C136</f>
        <v>0</v>
      </c>
    </row>
    <row r="16" spans="1:20">
      <c r="A16" s="256">
        <v>11</v>
      </c>
      <c r="B16" s="256"/>
      <c r="C16" s="257">
        <f>OpeningTemplate!A144</f>
        <v>0</v>
      </c>
      <c r="D16" s="256"/>
      <c r="E16" s="258">
        <f>OpeningTemplate!B144</f>
        <v>0</v>
      </c>
      <c r="F16" s="256"/>
      <c r="G16" s="259">
        <f>OpeningTemplate!B146</f>
        <v>0</v>
      </c>
      <c r="H16" s="256"/>
      <c r="I16" s="259">
        <f>OpeningTemplate!C146</f>
        <v>0</v>
      </c>
    </row>
    <row r="17" spans="1:9">
      <c r="A17" s="256">
        <v>12</v>
      </c>
      <c r="B17" s="256"/>
      <c r="C17" s="257">
        <f>OpeningTemplate!A154</f>
        <v>0</v>
      </c>
      <c r="D17" s="256"/>
      <c r="E17" s="258">
        <f>OpeningTemplate!B154</f>
        <v>0</v>
      </c>
      <c r="F17" s="256"/>
      <c r="G17" s="259">
        <f>OpeningTemplate!B156</f>
        <v>0</v>
      </c>
      <c r="H17" s="256"/>
      <c r="I17" s="259">
        <f>OpeningTemplate!C156</f>
        <v>0</v>
      </c>
    </row>
    <row r="18" spans="1:9">
      <c r="A18" s="256">
        <v>13</v>
      </c>
      <c r="B18" s="256"/>
      <c r="C18" s="257">
        <f>OpeningTemplate!A164</f>
        <v>0</v>
      </c>
      <c r="D18" s="256"/>
      <c r="E18" s="258">
        <f>OpeningTemplate!B164</f>
        <v>0</v>
      </c>
      <c r="F18" s="256"/>
      <c r="G18" s="259">
        <f>OpeningTemplate!B166</f>
        <v>0</v>
      </c>
      <c r="H18" s="256"/>
      <c r="I18" s="259">
        <f>OpeningTemplate!C166</f>
        <v>0</v>
      </c>
    </row>
    <row r="19" spans="1:9">
      <c r="A19" s="256">
        <v>14</v>
      </c>
      <c r="B19" s="256"/>
      <c r="C19" s="257">
        <f>OpeningTemplate!A174</f>
        <v>0</v>
      </c>
      <c r="D19" s="256"/>
      <c r="E19" s="258">
        <f>OpeningTemplate!B174</f>
        <v>0</v>
      </c>
      <c r="F19" s="256"/>
      <c r="G19" s="259">
        <f>OpeningTemplate!B176</f>
        <v>0</v>
      </c>
      <c r="H19" s="256"/>
      <c r="I19" s="259">
        <f>OpeningTemplate!C176</f>
        <v>0</v>
      </c>
    </row>
    <row r="20" spans="1:9">
      <c r="A20" s="256">
        <v>15</v>
      </c>
      <c r="B20" s="256"/>
      <c r="C20" s="257">
        <f>OpeningTemplate!A184</f>
        <v>0</v>
      </c>
      <c r="D20" s="256"/>
      <c r="E20" s="258">
        <f>OpeningTemplate!B184</f>
        <v>0</v>
      </c>
      <c r="F20" s="256"/>
      <c r="G20" s="259">
        <f>OpeningTemplate!B186</f>
        <v>0</v>
      </c>
      <c r="H20" s="256"/>
      <c r="I20" s="259">
        <f>OpeningTemplate!C186</f>
        <v>0</v>
      </c>
    </row>
    <row r="21" spans="1:9">
      <c r="A21" s="256">
        <v>16</v>
      </c>
      <c r="B21" s="256"/>
      <c r="C21" s="257">
        <f>OpeningTemplate!A194</f>
        <v>0</v>
      </c>
      <c r="D21" s="256"/>
      <c r="E21" s="258">
        <f>OpeningTemplate!B194</f>
        <v>0</v>
      </c>
      <c r="F21" s="256"/>
      <c r="G21" s="259">
        <f>OpeningTemplate!B196</f>
        <v>0</v>
      </c>
      <c r="H21" s="256"/>
      <c r="I21" s="259">
        <f>OpeningTemplate!C196</f>
        <v>0</v>
      </c>
    </row>
    <row r="22" spans="1:9">
      <c r="A22" s="256">
        <v>17</v>
      </c>
      <c r="B22" s="256"/>
      <c r="C22" s="257">
        <f>OpeningTemplate!A204</f>
        <v>0</v>
      </c>
      <c r="D22" s="256"/>
      <c r="E22" s="258">
        <f>OpeningTemplate!B204</f>
        <v>0</v>
      </c>
      <c r="F22" s="256"/>
      <c r="G22" s="259">
        <f>OpeningTemplate!B206</f>
        <v>0</v>
      </c>
      <c r="H22" s="256"/>
      <c r="I22" s="259">
        <f>OpeningTemplate!C206</f>
        <v>0</v>
      </c>
    </row>
    <row r="23" spans="1:9">
      <c r="A23" s="256">
        <v>18</v>
      </c>
      <c r="B23" s="256"/>
      <c r="C23" s="257">
        <f>OpeningTemplate!A214</f>
        <v>0</v>
      </c>
      <c r="D23" s="256"/>
      <c r="E23" s="258">
        <f>OpeningTemplate!B214</f>
        <v>0</v>
      </c>
      <c r="F23" s="256"/>
      <c r="G23" s="259">
        <f>OpeningTemplate!B216</f>
        <v>0</v>
      </c>
      <c r="H23" s="256"/>
      <c r="I23" s="259">
        <f>OpeningTemplate!C216</f>
        <v>0</v>
      </c>
    </row>
    <row r="24" spans="1:9">
      <c r="A24" s="256">
        <v>19</v>
      </c>
      <c r="B24" s="256"/>
      <c r="C24" s="257">
        <f>OpeningTemplate!A224</f>
        <v>0</v>
      </c>
      <c r="D24" s="256"/>
      <c r="E24" s="258">
        <f>OpeningTemplate!B224</f>
        <v>0</v>
      </c>
      <c r="F24" s="256"/>
      <c r="G24" s="259">
        <f>OpeningTemplate!B226</f>
        <v>0</v>
      </c>
      <c r="H24" s="256"/>
      <c r="I24" s="259">
        <f>OpeningTemplate!C226</f>
        <v>0</v>
      </c>
    </row>
    <row r="25" spans="1:9">
      <c r="A25" s="256">
        <v>20</v>
      </c>
      <c r="B25" s="256"/>
      <c r="C25" s="257">
        <f>OpeningTemplate!A234</f>
        <v>0</v>
      </c>
      <c r="D25" s="256"/>
      <c r="E25" s="258">
        <f>OpeningTemplate!B234</f>
        <v>0</v>
      </c>
      <c r="F25" s="256"/>
      <c r="G25" s="259">
        <f>OpeningTemplate!B236</f>
        <v>0</v>
      </c>
      <c r="H25" s="256"/>
      <c r="I25" s="259">
        <f>OpeningTemplate!C236</f>
        <v>0</v>
      </c>
    </row>
    <row r="26" spans="1:9">
      <c r="A26" s="256">
        <v>21</v>
      </c>
      <c r="B26" s="256"/>
      <c r="C26" s="257">
        <f>OpeningTemplate!A244</f>
        <v>0</v>
      </c>
      <c r="D26" s="256"/>
      <c r="E26" s="258">
        <f>OpeningTemplate!B244</f>
        <v>0</v>
      </c>
      <c r="F26" s="256"/>
      <c r="G26" s="259">
        <f>OpeningTemplate!B246</f>
        <v>0</v>
      </c>
      <c r="H26" s="256"/>
      <c r="I26" s="259">
        <f>OpeningTemplate!C246</f>
        <v>0</v>
      </c>
    </row>
    <row r="27" spans="1:9">
      <c r="A27" s="256">
        <v>22</v>
      </c>
      <c r="B27" s="256"/>
      <c r="C27" s="257">
        <f>OpeningTemplate!A254</f>
        <v>0</v>
      </c>
      <c r="D27" s="256"/>
      <c r="E27" s="258">
        <f>OpeningTemplate!B254</f>
        <v>0</v>
      </c>
      <c r="F27" s="256"/>
      <c r="G27" s="259">
        <f>OpeningTemplate!B256</f>
        <v>0</v>
      </c>
      <c r="H27" s="256"/>
      <c r="I27" s="259">
        <f>OpeningTemplate!C256</f>
        <v>0</v>
      </c>
    </row>
    <row r="28" spans="1:9">
      <c r="A28" s="256">
        <v>23</v>
      </c>
      <c r="B28" s="256"/>
      <c r="C28" s="257">
        <f>OpeningTemplate!A264</f>
        <v>0</v>
      </c>
      <c r="D28" s="256"/>
      <c r="E28" s="258">
        <f>OpeningTemplate!B264</f>
        <v>0</v>
      </c>
      <c r="F28" s="256"/>
      <c r="G28" s="259">
        <f>OpeningTemplate!B266</f>
        <v>0</v>
      </c>
      <c r="H28" s="256"/>
      <c r="I28" s="259">
        <f>OpeningTemplate!C266</f>
        <v>0</v>
      </c>
    </row>
    <row r="29" spans="1:9">
      <c r="A29" s="256">
        <v>24</v>
      </c>
      <c r="B29" s="256"/>
      <c r="C29" s="257">
        <f>OpeningTemplate!A274</f>
        <v>0</v>
      </c>
      <c r="D29" s="256"/>
      <c r="E29" s="258">
        <f>OpeningTemplate!B274</f>
        <v>0</v>
      </c>
      <c r="F29" s="256"/>
      <c r="G29" s="259">
        <f>OpeningTemplate!B276</f>
        <v>0</v>
      </c>
      <c r="H29" s="256"/>
      <c r="I29" s="259">
        <f>OpeningTemplate!C276</f>
        <v>0</v>
      </c>
    </row>
    <row r="30" spans="1:9">
      <c r="A30" s="256">
        <v>25</v>
      </c>
      <c r="B30" s="256"/>
      <c r="C30" s="257">
        <f>OpeningTemplate!A284</f>
        <v>0</v>
      </c>
      <c r="D30" s="256"/>
      <c r="E30" s="258">
        <f>OpeningTemplate!B284</f>
        <v>0</v>
      </c>
      <c r="F30" s="256"/>
      <c r="G30" s="259">
        <f>OpeningTemplate!B286</f>
        <v>0</v>
      </c>
      <c r="H30" s="256"/>
      <c r="I30" s="259">
        <f>OpeningTemplate!C286</f>
        <v>0</v>
      </c>
    </row>
    <row r="31" spans="1:9">
      <c r="A31" s="256">
        <v>26</v>
      </c>
      <c r="B31" s="256"/>
      <c r="C31" s="257">
        <f>OpeningTemplate!A294</f>
        <v>0</v>
      </c>
      <c r="D31" s="256"/>
      <c r="E31" s="258">
        <f>OpeningTemplate!B294</f>
        <v>0</v>
      </c>
      <c r="F31" s="256"/>
      <c r="G31" s="259">
        <f>OpeningTemplate!B296</f>
        <v>0</v>
      </c>
      <c r="H31" s="256"/>
      <c r="I31" s="259">
        <f>OpeningTemplate!C296</f>
        <v>0</v>
      </c>
    </row>
    <row r="32" spans="1:9">
      <c r="A32" s="256">
        <v>27</v>
      </c>
      <c r="B32" s="256"/>
      <c r="C32" s="257">
        <f>OpeningTemplate!A304</f>
        <v>0</v>
      </c>
      <c r="D32" s="256"/>
      <c r="E32" s="258">
        <f>OpeningTemplate!B304</f>
        <v>0</v>
      </c>
      <c r="F32" s="256"/>
      <c r="G32" s="259">
        <f>OpeningTemplate!B306</f>
        <v>0</v>
      </c>
      <c r="H32" s="256"/>
      <c r="I32" s="259">
        <f>OpeningTemplate!C306</f>
        <v>0</v>
      </c>
    </row>
    <row r="33" spans="1:9">
      <c r="A33" s="256">
        <v>28</v>
      </c>
      <c r="B33" s="256"/>
      <c r="C33" s="257">
        <f>OpeningTemplate!A314</f>
        <v>0</v>
      </c>
      <c r="D33" s="256"/>
      <c r="E33" s="258">
        <f>OpeningTemplate!B314</f>
        <v>0</v>
      </c>
      <c r="F33" s="256"/>
      <c r="G33" s="259">
        <f>OpeningTemplate!B316</f>
        <v>0</v>
      </c>
      <c r="H33" s="256"/>
      <c r="I33" s="259">
        <f>OpeningTemplate!C316</f>
        <v>0</v>
      </c>
    </row>
    <row r="34" spans="1:9">
      <c r="A34" s="256">
        <v>29</v>
      </c>
      <c r="B34" s="256"/>
      <c r="C34" s="257">
        <f>OpeningTemplate!A324</f>
        <v>0</v>
      </c>
      <c r="D34" s="256"/>
      <c r="E34" s="258">
        <f>OpeningTemplate!B324</f>
        <v>0</v>
      </c>
      <c r="F34" s="256"/>
      <c r="G34" s="259">
        <f>OpeningTemplate!B326</f>
        <v>0</v>
      </c>
      <c r="H34" s="256"/>
      <c r="I34" s="259">
        <f>OpeningTemplate!C326</f>
        <v>0</v>
      </c>
    </row>
    <row r="35" spans="1:9">
      <c r="A35" s="256">
        <v>30</v>
      </c>
      <c r="B35" s="256"/>
      <c r="C35" s="257">
        <f>OpeningTemplate!A334</f>
        <v>0</v>
      </c>
      <c r="D35" s="256"/>
      <c r="E35" s="258">
        <f>OpeningTemplate!B334</f>
        <v>0</v>
      </c>
      <c r="F35" s="256"/>
      <c r="G35" s="259">
        <f>OpeningTemplate!B336</f>
        <v>0</v>
      </c>
      <c r="H35" s="256"/>
      <c r="I35" s="259">
        <f>OpeningTemplate!C336</f>
        <v>0</v>
      </c>
    </row>
  </sheetData>
  <sheetProtection algorithmName="SHA-512" hashValue="kmUtqthgsKjE1NgR3u5bniSaTDuSxzz/rlNtGfvNw51T2n1UeCC+e3XxFlHMQ2RNYUy1LAJr8TDS6Bmh9xaL0w==" saltValue="T+uL4xuQDNBfmfaGj902QQ==" spinCount="100000" sheet="1" objects="1" scenarios="1" formatCells="0"/>
  <mergeCells count="2">
    <mergeCell ref="A1:E1"/>
    <mergeCell ref="A2:E2"/>
  </mergeCells>
  <pageMargins left="0.70866141732283472" right="0.70866141732283472" top="0.74803149606299213" bottom="0.74803149606299213" header="0.31496062992125984" footer="0.31496062992125984"/>
  <pageSetup paperSize="9" scale="90" orientation="landscape" horizontalDpi="300" verticalDpi="300" r:id="rId1"/>
  <customProperties>
    <customPr name="Guid" r:id="rId2"/>
  </customProperties>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0" tint="-0.249977111117893"/>
  </sheetPr>
  <dimension ref="A1:BB273"/>
  <sheetViews>
    <sheetView view="pageBreakPreview" zoomScale="60" zoomScaleNormal="100" workbookViewId="0">
      <selection activeCell="L240" sqref="L240"/>
    </sheetView>
  </sheetViews>
  <sheetFormatPr defaultColWidth="9.109375" defaultRowHeight="13.8"/>
  <cols>
    <col min="1" max="18" width="11.44140625" style="126" customWidth="1"/>
    <col min="19" max="52" width="9.109375" style="126" customWidth="1"/>
    <col min="53" max="16384" width="9.109375" style="126"/>
  </cols>
  <sheetData>
    <row r="1" spans="1:52" s="153" customFormat="1" ht="21">
      <c r="A1" s="874" t="str">
        <f>MDProjektname</f>
        <v>Migration GEFI</v>
      </c>
      <c r="B1" s="875"/>
      <c r="C1" s="875"/>
      <c r="D1" s="875"/>
      <c r="E1" s="876"/>
      <c r="F1" s="126"/>
      <c r="G1" s="126"/>
      <c r="H1" s="126"/>
      <c r="I1" s="126"/>
      <c r="J1" s="126"/>
      <c r="K1" s="126"/>
      <c r="L1" s="126"/>
      <c r="M1" s="126"/>
      <c r="N1" s="126"/>
      <c r="O1" s="126"/>
      <c r="P1" s="126"/>
      <c r="Q1" s="126"/>
      <c r="R1" s="126"/>
      <c r="S1" s="126"/>
      <c r="T1" s="126"/>
    </row>
    <row r="2" spans="1:52" s="153" customFormat="1" ht="26.25" customHeight="1" thickBot="1">
      <c r="A2" s="877" t="str">
        <f>MDCustomer</f>
        <v>OFISA</v>
      </c>
      <c r="B2" s="878"/>
      <c r="C2" s="878"/>
      <c r="D2" s="878"/>
      <c r="E2" s="879"/>
      <c r="F2" s="126"/>
      <c r="H2" s="193" t="s">
        <v>1494</v>
      </c>
      <c r="I2" s="126"/>
      <c r="J2" s="126"/>
      <c r="K2" s="126"/>
      <c r="L2" s="126"/>
      <c r="M2" s="126"/>
      <c r="N2" s="126"/>
      <c r="O2" s="126"/>
      <c r="P2" s="126"/>
      <c r="Q2" s="126"/>
      <c r="R2" s="126"/>
      <c r="S2" s="126"/>
      <c r="T2" s="126"/>
    </row>
    <row r="3" spans="1:52" s="153" customFormat="1" ht="26.25" customHeight="1">
      <c r="A3" s="126"/>
      <c r="B3" s="126"/>
      <c r="C3" s="126"/>
      <c r="D3" s="126"/>
      <c r="E3" s="126"/>
      <c r="F3" s="126"/>
      <c r="H3" s="154" t="s">
        <v>1505</v>
      </c>
      <c r="I3" s="126"/>
      <c r="J3" s="126"/>
      <c r="K3" s="126"/>
      <c r="L3" s="126"/>
      <c r="M3" s="126"/>
      <c r="N3" s="126"/>
      <c r="O3" s="126"/>
      <c r="P3" s="126"/>
      <c r="Q3" s="126"/>
      <c r="R3" s="126"/>
      <c r="S3" s="126"/>
      <c r="T3" s="126"/>
    </row>
    <row r="4" spans="1:52" s="153" customFormat="1" ht="15" customHeight="1">
      <c r="A4" s="126"/>
      <c r="B4" s="126"/>
      <c r="C4" s="126"/>
      <c r="D4" s="126"/>
      <c r="E4" s="126"/>
      <c r="F4" s="126"/>
      <c r="G4" s="126"/>
      <c r="H4" s="126"/>
      <c r="I4" s="126"/>
      <c r="J4" s="126"/>
      <c r="K4" s="126"/>
      <c r="L4" s="126"/>
      <c r="M4" s="126"/>
      <c r="N4" s="126"/>
      <c r="O4" s="126"/>
      <c r="P4" s="126"/>
      <c r="Q4" s="126"/>
      <c r="R4" s="126"/>
      <c r="S4" s="126"/>
      <c r="T4" s="126"/>
    </row>
    <row r="5" spans="1:52" ht="15.6">
      <c r="A5" s="436" t="s">
        <v>765</v>
      </c>
      <c r="B5" s="437"/>
      <c r="C5" s="437"/>
      <c r="D5" s="1346" t="s">
        <v>766</v>
      </c>
      <c r="E5" s="1346"/>
      <c r="F5" s="141"/>
      <c r="G5" s="141"/>
      <c r="H5" s="141"/>
      <c r="I5" s="141"/>
      <c r="J5" s="141"/>
      <c r="K5" s="141"/>
      <c r="L5" s="141"/>
      <c r="M5" s="141"/>
      <c r="N5" s="141"/>
      <c r="O5" s="141"/>
      <c r="P5" s="141"/>
      <c r="Q5" s="141"/>
      <c r="R5" s="141"/>
      <c r="S5" s="141"/>
      <c r="T5" s="141"/>
      <c r="U5" s="141"/>
      <c r="V5" s="141"/>
      <c r="W5" s="141"/>
      <c r="X5" s="141"/>
      <c r="Y5" s="141"/>
      <c r="Z5" s="141"/>
      <c r="AA5" s="141"/>
      <c r="AB5" s="141"/>
      <c r="AC5" s="141"/>
      <c r="AD5" s="141"/>
      <c r="AE5" s="141"/>
      <c r="AF5" s="141"/>
      <c r="AG5" s="141"/>
      <c r="AH5" s="141"/>
      <c r="AI5" s="141"/>
      <c r="AJ5" s="141"/>
      <c r="AK5" s="141"/>
      <c r="AL5" s="141"/>
      <c r="AM5" s="141"/>
      <c r="AN5" s="141"/>
      <c r="AO5" s="141"/>
      <c r="AP5" s="141"/>
      <c r="AQ5" s="141"/>
      <c r="AR5" s="141"/>
      <c r="AS5" s="141"/>
      <c r="AT5" s="141"/>
      <c r="AU5" s="141"/>
      <c r="AV5" s="141"/>
      <c r="AW5" s="141"/>
      <c r="AX5" s="141"/>
      <c r="AY5" s="141"/>
      <c r="AZ5" s="141"/>
    </row>
    <row r="6" spans="1:52">
      <c r="A6" s="438" t="s">
        <v>767</v>
      </c>
      <c r="B6" s="439"/>
      <c r="C6" s="440"/>
      <c r="D6" s="441" t="s">
        <v>768</v>
      </c>
      <c r="E6" s="441" t="s">
        <v>769</v>
      </c>
      <c r="F6" s="141"/>
      <c r="G6" s="141"/>
      <c r="H6" s="141"/>
      <c r="I6" s="141"/>
      <c r="J6" s="141"/>
      <c r="K6" s="141"/>
      <c r="L6" s="141"/>
      <c r="M6" s="141"/>
      <c r="N6" s="141"/>
      <c r="O6" s="141"/>
      <c r="P6" s="141"/>
      <c r="Q6" s="141"/>
      <c r="R6" s="141"/>
      <c r="S6" s="141"/>
      <c r="T6" s="141"/>
      <c r="U6" s="141"/>
      <c r="V6" s="141"/>
      <c r="W6" s="141"/>
      <c r="X6" s="141"/>
      <c r="Y6" s="141"/>
      <c r="Z6" s="141"/>
      <c r="AA6" s="141"/>
      <c r="AB6" s="141"/>
      <c r="AC6" s="141"/>
      <c r="AD6" s="141"/>
      <c r="AE6" s="141"/>
      <c r="AF6" s="141"/>
      <c r="AG6" s="141"/>
      <c r="AH6" s="141"/>
      <c r="AI6" s="141"/>
      <c r="AJ6" s="141"/>
      <c r="AK6" s="141"/>
      <c r="AL6" s="141"/>
      <c r="AM6" s="141"/>
      <c r="AN6" s="141"/>
      <c r="AO6" s="141"/>
      <c r="AP6" s="141"/>
      <c r="AQ6" s="141"/>
      <c r="AR6" s="141"/>
      <c r="AS6" s="141"/>
      <c r="AT6" s="141"/>
      <c r="AU6" s="141"/>
      <c r="AV6" s="141"/>
      <c r="AW6" s="141"/>
      <c r="AX6" s="141"/>
      <c r="AY6" s="141"/>
      <c r="AZ6" s="141"/>
    </row>
    <row r="7" spans="1:52">
      <c r="A7" s="442" t="s">
        <v>770</v>
      </c>
      <c r="B7" s="443"/>
      <c r="C7" s="444" t="s">
        <v>771</v>
      </c>
      <c r="D7" s="445">
        <f>SUM(K13:K42)</f>
        <v>0</v>
      </c>
      <c r="E7" s="445">
        <f>SUM(L13:L42)</f>
        <v>0</v>
      </c>
      <c r="F7" s="141"/>
      <c r="G7" s="141"/>
      <c r="H7" s="141"/>
      <c r="I7" s="141"/>
      <c r="J7" s="141"/>
      <c r="K7" s="141"/>
      <c r="L7" s="141"/>
      <c r="M7" s="141"/>
      <c r="N7" s="141"/>
      <c r="O7" s="141"/>
      <c r="P7" s="141"/>
      <c r="Q7" s="141"/>
      <c r="R7" s="141"/>
      <c r="S7" s="141"/>
      <c r="T7" s="141"/>
      <c r="U7" s="141"/>
      <c r="V7" s="141"/>
      <c r="W7" s="141"/>
      <c r="X7" s="141"/>
      <c r="Y7" s="141"/>
      <c r="Z7" s="141"/>
      <c r="AA7" s="141"/>
      <c r="AB7" s="141"/>
      <c r="AC7" s="141"/>
      <c r="AD7" s="141"/>
      <c r="AE7" s="141"/>
      <c r="AF7" s="141"/>
      <c r="AG7" s="141"/>
      <c r="AH7" s="141"/>
      <c r="AI7" s="141"/>
      <c r="AJ7" s="141"/>
      <c r="AK7" s="141"/>
      <c r="AL7" s="141"/>
      <c r="AM7" s="141"/>
      <c r="AN7" s="141"/>
      <c r="AO7" s="141"/>
      <c r="AP7" s="141"/>
      <c r="AQ7" s="141"/>
      <c r="AR7" s="141"/>
      <c r="AS7" s="141"/>
      <c r="AT7" s="141"/>
      <c r="AU7" s="141"/>
      <c r="AV7" s="141"/>
      <c r="AW7" s="141"/>
      <c r="AX7" s="141"/>
      <c r="AY7" s="141"/>
      <c r="AZ7" s="141"/>
    </row>
    <row r="8" spans="1:52" ht="15.6">
      <c r="A8" s="442" t="s">
        <v>772</v>
      </c>
      <c r="B8" s="443"/>
      <c r="C8" s="444" t="s">
        <v>773</v>
      </c>
      <c r="D8" s="446">
        <f ca="1">SUM(I13:I42)</f>
        <v>93800</v>
      </c>
      <c r="E8" s="446">
        <f>SUM(J13:J42)</f>
        <v>584</v>
      </c>
      <c r="F8" s="436"/>
      <c r="G8" s="436"/>
      <c r="H8" s="436"/>
      <c r="I8" s="141"/>
      <c r="J8" s="447"/>
      <c r="K8" s="447"/>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1"/>
      <c r="AW8" s="141"/>
      <c r="AX8" s="141"/>
      <c r="AY8" s="141"/>
      <c r="AZ8" s="141"/>
    </row>
    <row r="9" spans="1:52" ht="15.6">
      <c r="A9" s="1336" t="s">
        <v>774</v>
      </c>
      <c r="B9" s="1338"/>
      <c r="C9" s="440"/>
      <c r="D9" s="448">
        <f ca="1">SUM(D7:D8)</f>
        <v>93800</v>
      </c>
      <c r="E9" s="448">
        <f>SUM(E7:E8)</f>
        <v>584</v>
      </c>
      <c r="F9" s="436"/>
      <c r="G9" s="436"/>
      <c r="H9" s="436"/>
      <c r="I9" s="447"/>
      <c r="J9" s="447"/>
      <c r="K9" s="447"/>
      <c r="L9" s="141"/>
      <c r="M9" s="141"/>
      <c r="N9" s="141"/>
      <c r="O9" s="141"/>
      <c r="P9" s="141"/>
      <c r="Q9" s="141"/>
      <c r="R9" s="141"/>
      <c r="S9" s="141"/>
      <c r="T9" s="141"/>
      <c r="U9" s="141"/>
      <c r="V9" s="141"/>
      <c r="W9" s="141"/>
      <c r="X9" s="141"/>
      <c r="Y9" s="141"/>
      <c r="Z9" s="141"/>
      <c r="AA9" s="141"/>
      <c r="AB9" s="141"/>
      <c r="AC9" s="141"/>
      <c r="AD9" s="141"/>
      <c r="AE9" s="141"/>
      <c r="AF9" s="141"/>
      <c r="AG9" s="141"/>
      <c r="AH9" s="141"/>
      <c r="AI9" s="141"/>
      <c r="AJ9" s="141"/>
      <c r="AK9" s="141"/>
      <c r="AL9" s="141"/>
      <c r="AM9" s="141"/>
      <c r="AN9" s="141"/>
      <c r="AO9" s="141"/>
      <c r="AP9" s="141"/>
      <c r="AQ9" s="141"/>
      <c r="AR9" s="141"/>
      <c r="AS9" s="141"/>
      <c r="AT9" s="141"/>
      <c r="AU9" s="141"/>
      <c r="AV9" s="141"/>
      <c r="AW9" s="141"/>
      <c r="AX9" s="141"/>
      <c r="AY9" s="141"/>
      <c r="AZ9" s="141"/>
    </row>
    <row r="10" spans="1:52" ht="15.6">
      <c r="A10" s="449"/>
      <c r="B10" s="449"/>
      <c r="C10" s="449"/>
      <c r="D10" s="449"/>
      <c r="E10" s="449"/>
      <c r="F10" s="436"/>
      <c r="G10" s="436"/>
      <c r="H10" s="436"/>
      <c r="I10" s="436"/>
      <c r="J10" s="436"/>
      <c r="K10" s="436"/>
      <c r="L10" s="447"/>
      <c r="M10" s="447"/>
      <c r="N10" s="447"/>
      <c r="O10" s="141"/>
      <c r="P10" s="141"/>
      <c r="Q10" s="141"/>
      <c r="R10" s="141"/>
      <c r="S10" s="141"/>
      <c r="T10" s="141"/>
      <c r="U10" s="141"/>
      <c r="V10" s="141"/>
      <c r="W10" s="141"/>
      <c r="X10" s="141"/>
      <c r="Y10" s="141"/>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1"/>
      <c r="AW10" s="141"/>
      <c r="AX10" s="141"/>
      <c r="AY10" s="141"/>
      <c r="AZ10" s="141"/>
    </row>
    <row r="11" spans="1:52" ht="15.75" customHeight="1">
      <c r="A11" s="450" t="s">
        <v>775</v>
      </c>
      <c r="B11" s="141"/>
      <c r="C11" s="141"/>
      <c r="D11" s="141"/>
      <c r="E11" s="141"/>
      <c r="F11" s="141"/>
      <c r="G11" s="141"/>
      <c r="H11" s="141"/>
      <c r="I11" s="1254" t="s">
        <v>776</v>
      </c>
      <c r="J11" s="1347"/>
      <c r="K11" s="1347"/>
      <c r="L11" s="1255"/>
      <c r="M11" s="141"/>
      <c r="N11" s="451" t="s">
        <v>275</v>
      </c>
      <c r="O11" s="452"/>
      <c r="P11" s="452"/>
      <c r="Q11" s="452"/>
      <c r="R11" s="452"/>
      <c r="S11" s="141"/>
      <c r="T11" s="141"/>
      <c r="U11" s="141"/>
      <c r="V11" s="141"/>
      <c r="W11" s="141"/>
      <c r="X11" s="141"/>
      <c r="Y11" s="141"/>
      <c r="Z11" s="141"/>
      <c r="AA11" s="141"/>
      <c r="AB11" s="141"/>
      <c r="AC11" s="141"/>
      <c r="AD11" s="141"/>
      <c r="AE11" s="141"/>
      <c r="AF11" s="141"/>
      <c r="AG11" s="141"/>
      <c r="AH11" s="141"/>
      <c r="AI11" s="141"/>
      <c r="AJ11" s="141"/>
      <c r="AK11" s="141"/>
      <c r="AL11" s="141"/>
      <c r="AM11" s="141"/>
      <c r="AN11" s="141"/>
      <c r="AO11" s="141"/>
      <c r="AP11" s="141"/>
      <c r="AQ11" s="141"/>
      <c r="AR11" s="141"/>
      <c r="AS11" s="141"/>
      <c r="AT11" s="141"/>
      <c r="AU11" s="141"/>
      <c r="AV11" s="141"/>
    </row>
    <row r="12" spans="1:52" ht="27.6">
      <c r="A12" s="453" t="s">
        <v>777</v>
      </c>
      <c r="B12" s="1336" t="s">
        <v>778</v>
      </c>
      <c r="C12" s="1337"/>
      <c r="D12" s="1337"/>
      <c r="E12" s="1337"/>
      <c r="F12" s="441" t="s">
        <v>779</v>
      </c>
      <c r="G12" s="441" t="s">
        <v>780</v>
      </c>
      <c r="H12" s="453" t="s">
        <v>781</v>
      </c>
      <c r="I12" s="454" t="s">
        <v>782</v>
      </c>
      <c r="J12" s="454" t="s">
        <v>783</v>
      </c>
      <c r="K12" s="454" t="s">
        <v>784</v>
      </c>
      <c r="L12" s="454" t="s">
        <v>785</v>
      </c>
      <c r="M12" s="141"/>
      <c r="N12" s="455" t="s">
        <v>786</v>
      </c>
      <c r="O12" s="452"/>
      <c r="P12" s="456" t="s">
        <v>978</v>
      </c>
      <c r="Q12" s="456" t="s">
        <v>979</v>
      </c>
      <c r="R12" s="452"/>
      <c r="S12" s="141"/>
      <c r="T12" s="141"/>
      <c r="U12" s="141"/>
      <c r="V12" s="141"/>
      <c r="W12" s="141"/>
      <c r="X12" s="141"/>
      <c r="Y12" s="141"/>
      <c r="Z12" s="141"/>
      <c r="AA12" s="141"/>
      <c r="AB12" s="141"/>
      <c r="AC12" s="141"/>
      <c r="AD12" s="141"/>
      <c r="AE12" s="141"/>
      <c r="AF12" s="141"/>
      <c r="AG12" s="141"/>
      <c r="AH12" s="141"/>
      <c r="AI12" s="141"/>
      <c r="AJ12" s="141"/>
      <c r="AK12" s="141"/>
      <c r="AL12" s="141"/>
      <c r="AM12" s="141"/>
      <c r="AN12" s="141"/>
      <c r="AO12" s="141"/>
      <c r="AP12" s="141"/>
      <c r="AQ12" s="141"/>
      <c r="AR12" s="141"/>
      <c r="AS12" s="141"/>
      <c r="AT12" s="141"/>
      <c r="AU12" s="141"/>
      <c r="AV12" s="141"/>
    </row>
    <row r="13" spans="1:52">
      <c r="A13" s="457">
        <f>OpeningTemplate!A44</f>
        <v>0</v>
      </c>
      <c r="B13" s="1341" t="str">
        <f>OpeningTemplate!B44</f>
        <v>GEFI Migration</v>
      </c>
      <c r="C13" s="1342"/>
      <c r="D13" s="1342"/>
      <c r="E13" s="1343"/>
      <c r="F13" s="458">
        <f>OpeningTemplate!D46</f>
        <v>0</v>
      </c>
      <c r="G13" s="458">
        <f>OpeningTemplate!E46</f>
        <v>0</v>
      </c>
      <c r="H13" s="457" t="str">
        <f>OpeningTemplate!E44</f>
        <v>fix</v>
      </c>
      <c r="I13" s="459">
        <f ca="1">IF(H13=TMDAllocationTandM,'Actual Value'!AQ30,OpeningTemplate!B46)</f>
        <v>93800</v>
      </c>
      <c r="J13" s="459">
        <f>IF(H13=TMDAllocationTandM,'Actual Value'!AQ29,OpeningTemplate!C46)</f>
        <v>584</v>
      </c>
      <c r="K13" s="459">
        <f>OpeningTemplate!J44</f>
        <v>0</v>
      </c>
      <c r="L13" s="459">
        <f>OpeningTemplate!K44</f>
        <v>0</v>
      </c>
      <c r="M13" s="141"/>
      <c r="N13" s="460">
        <f t="shared" ref="N13:N42" si="0">IF($J$44&lt;&gt;0,J13/$J$44,0)</f>
        <v>1</v>
      </c>
      <c r="O13" s="452"/>
      <c r="P13" s="461" t="str">
        <f>IF(F13&gt;0,TEXT(DAY(F13),"00") &amp; "." &amp; TEXT(MONTH(F13),"00") &amp; "." &amp; TEXT(MOD(YEAR(F13), 1000),"00"),"")</f>
        <v/>
      </c>
      <c r="Q13" s="461" t="str">
        <f>IF(G13&gt;0,TEXT(DAY(G13),"00") &amp; "." &amp; TEXT(MONTH(G13),"00") &amp; "." &amp; TEXT(MOD(YEAR(G13), 1000),"00"),"")</f>
        <v/>
      </c>
      <c r="R13" s="452"/>
      <c r="S13" s="141"/>
      <c r="T13" s="141"/>
      <c r="U13" s="141"/>
      <c r="V13" s="141"/>
      <c r="W13" s="141"/>
      <c r="X13" s="141"/>
      <c r="Y13" s="141"/>
      <c r="Z13" s="141"/>
      <c r="AA13" s="141"/>
      <c r="AB13" s="141"/>
      <c r="AC13" s="141"/>
      <c r="AD13" s="141"/>
      <c r="AE13" s="141"/>
      <c r="AF13" s="141"/>
      <c r="AG13" s="141"/>
      <c r="AH13" s="141"/>
      <c r="AI13" s="141"/>
      <c r="AJ13" s="141"/>
      <c r="AK13" s="141"/>
      <c r="AL13" s="141"/>
      <c r="AM13" s="141"/>
      <c r="AN13" s="141"/>
      <c r="AO13" s="141"/>
      <c r="AP13" s="141"/>
      <c r="AQ13" s="141"/>
      <c r="AR13" s="141"/>
      <c r="AS13" s="141"/>
      <c r="AT13" s="141"/>
      <c r="AU13" s="141"/>
      <c r="AV13" s="141"/>
    </row>
    <row r="14" spans="1:52">
      <c r="A14" s="457">
        <f>OpeningTemplate!A54</f>
        <v>0</v>
      </c>
      <c r="B14" s="1341">
        <f>OpeningTemplate!B54</f>
        <v>0</v>
      </c>
      <c r="C14" s="1342"/>
      <c r="D14" s="1342"/>
      <c r="E14" s="1343"/>
      <c r="F14" s="458">
        <f>OpeningTemplate!D56</f>
        <v>0</v>
      </c>
      <c r="G14" s="458">
        <f>OpeningTemplate!E56</f>
        <v>0</v>
      </c>
      <c r="H14" s="457" t="str">
        <f>OpeningTemplate!E54</f>
        <v/>
      </c>
      <c r="I14" s="459">
        <f>IF(H14=TMDAllocationTandM,'Actual Value'!AQ41,OpeningTemplate!B56)</f>
        <v>0</v>
      </c>
      <c r="J14" s="459">
        <f>IF(H14=TMDAllocationTandM,'Actual Value'!AQ40,OpeningTemplate!C56)</f>
        <v>0</v>
      </c>
      <c r="K14" s="459">
        <f>OpeningTemplate!J54</f>
        <v>0</v>
      </c>
      <c r="L14" s="459">
        <f>OpeningTemplate!K54</f>
        <v>0</v>
      </c>
      <c r="M14" s="141"/>
      <c r="N14" s="460">
        <f t="shared" si="0"/>
        <v>0</v>
      </c>
      <c r="O14" s="452"/>
      <c r="P14" s="461" t="str">
        <f t="shared" ref="P14:P42" si="1">IF(F14&gt;0,TEXT(DAY(F14),"00") &amp; "." &amp; TEXT(MONTH(F14),"00") &amp; "." &amp; TEXT(MOD(YEAR(F14), 1000),"00"),"")</f>
        <v/>
      </c>
      <c r="Q14" s="461" t="str">
        <f t="shared" ref="Q14:Q42" si="2">IF(G14&gt;0,TEXT(DAY(G14),"00") &amp; "." &amp; TEXT(MONTH(G14),"00") &amp; "." &amp; TEXT(MOD(YEAR(G14), 1000),"00"),"")</f>
        <v/>
      </c>
      <c r="R14" s="452"/>
      <c r="S14" s="141"/>
      <c r="T14" s="141"/>
      <c r="U14" s="141"/>
      <c r="V14" s="141"/>
      <c r="W14" s="141"/>
      <c r="X14" s="141"/>
      <c r="Y14" s="141"/>
      <c r="Z14" s="141"/>
      <c r="AA14" s="141"/>
      <c r="AB14" s="141"/>
      <c r="AC14" s="141"/>
      <c r="AD14" s="141"/>
      <c r="AE14" s="141"/>
      <c r="AF14" s="141"/>
      <c r="AG14" s="141"/>
      <c r="AH14" s="141"/>
      <c r="AI14" s="141"/>
      <c r="AJ14" s="141"/>
      <c r="AK14" s="141"/>
      <c r="AL14" s="141"/>
      <c r="AM14" s="141"/>
      <c r="AN14" s="141"/>
      <c r="AO14" s="141"/>
      <c r="AP14" s="141"/>
      <c r="AQ14" s="141"/>
      <c r="AR14" s="141"/>
      <c r="AS14" s="141"/>
      <c r="AT14" s="141"/>
      <c r="AU14" s="141"/>
      <c r="AV14" s="141"/>
    </row>
    <row r="15" spans="1:52">
      <c r="A15" s="457">
        <f>OpeningTemplate!A64</f>
        <v>0</v>
      </c>
      <c r="B15" s="1341">
        <f>OpeningTemplate!B64</f>
        <v>0</v>
      </c>
      <c r="C15" s="1342"/>
      <c r="D15" s="1342"/>
      <c r="E15" s="1343"/>
      <c r="F15" s="458">
        <f>OpeningTemplate!D66</f>
        <v>0</v>
      </c>
      <c r="G15" s="458">
        <f>OpeningTemplate!E66</f>
        <v>0</v>
      </c>
      <c r="H15" s="457" t="str">
        <f>OpeningTemplate!E64</f>
        <v/>
      </c>
      <c r="I15" s="459">
        <f>IF(H15=TMDAllocationTandM,'Actual Value'!AQ52,OpeningTemplate!B66)</f>
        <v>0</v>
      </c>
      <c r="J15" s="459">
        <f>IF(H15=TMDAllocationTandM,'Actual Value'!AQ51,OpeningTemplate!C66)</f>
        <v>0</v>
      </c>
      <c r="K15" s="459">
        <f>OpeningTemplate!J64</f>
        <v>0</v>
      </c>
      <c r="L15" s="459">
        <f>OpeningTemplate!K64</f>
        <v>0</v>
      </c>
      <c r="M15" s="141"/>
      <c r="N15" s="460">
        <f t="shared" si="0"/>
        <v>0</v>
      </c>
      <c r="O15" s="452"/>
      <c r="P15" s="461" t="str">
        <f t="shared" si="1"/>
        <v/>
      </c>
      <c r="Q15" s="461" t="str">
        <f t="shared" si="2"/>
        <v/>
      </c>
      <c r="R15" s="452"/>
      <c r="S15" s="141"/>
      <c r="T15" s="141"/>
      <c r="U15" s="141"/>
      <c r="V15" s="141"/>
      <c r="W15" s="141"/>
      <c r="X15" s="141"/>
      <c r="Y15" s="141"/>
      <c r="Z15" s="141"/>
      <c r="AA15" s="141"/>
      <c r="AB15" s="141"/>
      <c r="AC15" s="141"/>
      <c r="AD15" s="141"/>
      <c r="AE15" s="141"/>
      <c r="AF15" s="141"/>
      <c r="AG15" s="141"/>
      <c r="AH15" s="141"/>
      <c r="AI15" s="141"/>
      <c r="AJ15" s="141"/>
      <c r="AK15" s="141"/>
      <c r="AL15" s="141"/>
      <c r="AM15" s="141"/>
      <c r="AN15" s="141"/>
      <c r="AO15" s="141"/>
      <c r="AP15" s="141"/>
      <c r="AQ15" s="141"/>
      <c r="AR15" s="141"/>
      <c r="AS15" s="141"/>
      <c r="AT15" s="141"/>
      <c r="AU15" s="141"/>
      <c r="AV15" s="141"/>
    </row>
    <row r="16" spans="1:52">
      <c r="A16" s="457">
        <f>OpeningTemplate!A74</f>
        <v>0</v>
      </c>
      <c r="B16" s="1341">
        <f>OpeningTemplate!B74</f>
        <v>0</v>
      </c>
      <c r="C16" s="1342"/>
      <c r="D16" s="1342"/>
      <c r="E16" s="1343"/>
      <c r="F16" s="458">
        <f>OpeningTemplate!D76</f>
        <v>0</v>
      </c>
      <c r="G16" s="458">
        <f>OpeningTemplate!E76</f>
        <v>0</v>
      </c>
      <c r="H16" s="457" t="str">
        <f>OpeningTemplate!E74</f>
        <v/>
      </c>
      <c r="I16" s="459">
        <f>IF(H16=TMDAllocationTandM,'Actual Value'!AQ63,OpeningTemplate!B76)</f>
        <v>0</v>
      </c>
      <c r="J16" s="459">
        <f>IF(H16=TMDAllocationTandM,'Actual Value'!AQ62,OpeningTemplate!C76)</f>
        <v>0</v>
      </c>
      <c r="K16" s="459">
        <f>OpeningTemplate!J74</f>
        <v>0</v>
      </c>
      <c r="L16" s="459">
        <f>OpeningTemplate!K74</f>
        <v>0</v>
      </c>
      <c r="M16" s="141"/>
      <c r="N16" s="460">
        <f t="shared" si="0"/>
        <v>0</v>
      </c>
      <c r="O16" s="452"/>
      <c r="P16" s="461" t="str">
        <f t="shared" si="1"/>
        <v/>
      </c>
      <c r="Q16" s="461" t="str">
        <f t="shared" si="2"/>
        <v/>
      </c>
      <c r="R16" s="452"/>
      <c r="S16" s="141"/>
      <c r="T16" s="141"/>
      <c r="U16" s="141"/>
      <c r="V16" s="141"/>
      <c r="W16" s="141"/>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row>
    <row r="17" spans="1:48">
      <c r="A17" s="457">
        <f>OpeningTemplate!A84</f>
        <v>0</v>
      </c>
      <c r="B17" s="1341">
        <f>OpeningTemplate!B84</f>
        <v>0</v>
      </c>
      <c r="C17" s="1342"/>
      <c r="D17" s="1342"/>
      <c r="E17" s="1343"/>
      <c r="F17" s="458">
        <f>OpeningTemplate!D86</f>
        <v>0</v>
      </c>
      <c r="G17" s="458">
        <f>OpeningTemplate!E86</f>
        <v>0</v>
      </c>
      <c r="H17" s="457" t="str">
        <f>OpeningTemplate!E84</f>
        <v/>
      </c>
      <c r="I17" s="459">
        <f>IF(H17=TMDAllocationTandM,'Actual Value'!AQ74,OpeningTemplate!B86)</f>
        <v>0</v>
      </c>
      <c r="J17" s="459">
        <f>IF(H17=TMDAllocationTandM,'Actual Value'!AQ73,OpeningTemplate!C86)</f>
        <v>0</v>
      </c>
      <c r="K17" s="459">
        <f>OpeningTemplate!J84</f>
        <v>0</v>
      </c>
      <c r="L17" s="459">
        <f>OpeningTemplate!K84</f>
        <v>0</v>
      </c>
      <c r="M17" s="141"/>
      <c r="N17" s="460">
        <f t="shared" si="0"/>
        <v>0</v>
      </c>
      <c r="O17" s="452"/>
      <c r="P17" s="461" t="str">
        <f t="shared" si="1"/>
        <v/>
      </c>
      <c r="Q17" s="461" t="str">
        <f t="shared" si="2"/>
        <v/>
      </c>
      <c r="R17" s="452"/>
      <c r="S17" s="141"/>
      <c r="T17" s="141"/>
      <c r="U17" s="141"/>
      <c r="V17" s="141"/>
      <c r="W17" s="141"/>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row>
    <row r="18" spans="1:48">
      <c r="A18" s="457">
        <f>OpeningTemplate!A94</f>
        <v>0</v>
      </c>
      <c r="B18" s="1341">
        <f>OpeningTemplate!B94</f>
        <v>0</v>
      </c>
      <c r="C18" s="1342"/>
      <c r="D18" s="1342"/>
      <c r="E18" s="1343"/>
      <c r="F18" s="458">
        <f>OpeningTemplate!D96</f>
        <v>0</v>
      </c>
      <c r="G18" s="458">
        <f>OpeningTemplate!E96</f>
        <v>0</v>
      </c>
      <c r="H18" s="457" t="str">
        <f>OpeningTemplate!E94</f>
        <v/>
      </c>
      <c r="I18" s="459">
        <f>IF(H18=TMDAllocationTandM,'Actual Value'!AQ85,OpeningTemplate!B96)</f>
        <v>0</v>
      </c>
      <c r="J18" s="459">
        <f>IF(H18=TMDAllocationTandM,'Actual Value'!AQ84,OpeningTemplate!C96)</f>
        <v>0</v>
      </c>
      <c r="K18" s="459">
        <f>OpeningTemplate!J94</f>
        <v>0</v>
      </c>
      <c r="L18" s="459">
        <f>OpeningTemplate!K94</f>
        <v>0</v>
      </c>
      <c r="M18" s="141"/>
      <c r="N18" s="460">
        <f t="shared" si="0"/>
        <v>0</v>
      </c>
      <c r="O18" s="452"/>
      <c r="P18" s="461" t="str">
        <f t="shared" si="1"/>
        <v/>
      </c>
      <c r="Q18" s="461" t="str">
        <f t="shared" si="2"/>
        <v/>
      </c>
      <c r="R18" s="452"/>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row>
    <row r="19" spans="1:48">
      <c r="A19" s="457">
        <f>OpeningTemplate!A104</f>
        <v>0</v>
      </c>
      <c r="B19" s="1341">
        <f>OpeningTemplate!B104</f>
        <v>0</v>
      </c>
      <c r="C19" s="1342"/>
      <c r="D19" s="1342"/>
      <c r="E19" s="1343"/>
      <c r="F19" s="458">
        <f>OpeningTemplate!D106</f>
        <v>0</v>
      </c>
      <c r="G19" s="458">
        <f>OpeningTemplate!E106</f>
        <v>0</v>
      </c>
      <c r="H19" s="457" t="str">
        <f>OpeningTemplate!E104</f>
        <v/>
      </c>
      <c r="I19" s="459">
        <f>IF(H19=TMDAllocationTandM,'Actual Value'!AQ96,OpeningTemplate!B106)</f>
        <v>0</v>
      </c>
      <c r="J19" s="459">
        <f>IF(H19=TMDAllocationTandM,'Actual Value'!AQ95,OpeningTemplate!C106)</f>
        <v>0</v>
      </c>
      <c r="K19" s="459">
        <f>OpeningTemplate!J104</f>
        <v>0</v>
      </c>
      <c r="L19" s="459">
        <f>OpeningTemplate!K104</f>
        <v>0</v>
      </c>
      <c r="M19" s="141"/>
      <c r="N19" s="460">
        <f t="shared" si="0"/>
        <v>0</v>
      </c>
      <c r="O19" s="452"/>
      <c r="P19" s="461" t="str">
        <f t="shared" si="1"/>
        <v/>
      </c>
      <c r="Q19" s="461" t="str">
        <f t="shared" si="2"/>
        <v/>
      </c>
      <c r="R19" s="452"/>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row>
    <row r="20" spans="1:48">
      <c r="A20" s="457">
        <f>OpeningTemplate!A114</f>
        <v>0</v>
      </c>
      <c r="B20" s="1341">
        <f>OpeningTemplate!B114</f>
        <v>0</v>
      </c>
      <c r="C20" s="1342"/>
      <c r="D20" s="1342"/>
      <c r="E20" s="1343"/>
      <c r="F20" s="458">
        <f>OpeningTemplate!D116</f>
        <v>0</v>
      </c>
      <c r="G20" s="458">
        <f>OpeningTemplate!E116</f>
        <v>0</v>
      </c>
      <c r="H20" s="457" t="str">
        <f>OpeningTemplate!E114</f>
        <v/>
      </c>
      <c r="I20" s="459">
        <f>IF(H20=TMDAllocationTandM,'Actual Value'!AQ107,OpeningTemplate!B116)</f>
        <v>0</v>
      </c>
      <c r="J20" s="459">
        <f>IF(H20=TMDAllocationTandM,'Actual Value'!AQ106,OpeningTemplate!C116)</f>
        <v>0</v>
      </c>
      <c r="K20" s="459">
        <f>OpeningTemplate!J114</f>
        <v>0</v>
      </c>
      <c r="L20" s="459">
        <f>OpeningTemplate!K114</f>
        <v>0</v>
      </c>
      <c r="M20" s="141"/>
      <c r="N20" s="460">
        <f t="shared" si="0"/>
        <v>0</v>
      </c>
      <c r="O20" s="452"/>
      <c r="P20" s="461" t="str">
        <f t="shared" si="1"/>
        <v/>
      </c>
      <c r="Q20" s="461" t="str">
        <f t="shared" si="2"/>
        <v/>
      </c>
      <c r="R20" s="452"/>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row>
    <row r="21" spans="1:48">
      <c r="A21" s="457">
        <f>OpeningTemplate!A124</f>
        <v>0</v>
      </c>
      <c r="B21" s="1341">
        <f>OpeningTemplate!B124</f>
        <v>0</v>
      </c>
      <c r="C21" s="1342"/>
      <c r="D21" s="1342"/>
      <c r="E21" s="1343"/>
      <c r="F21" s="458">
        <f>OpeningTemplate!D126</f>
        <v>0</v>
      </c>
      <c r="G21" s="458">
        <f>OpeningTemplate!E126</f>
        <v>0</v>
      </c>
      <c r="H21" s="457" t="str">
        <f>OpeningTemplate!E124</f>
        <v/>
      </c>
      <c r="I21" s="459">
        <f>IF(H21=TMDAllocationTandM,'Actual Value'!AQ118,OpeningTemplate!B126)</f>
        <v>0</v>
      </c>
      <c r="J21" s="459">
        <f>IF(H21=TMDAllocationTandM,'Actual Value'!AQ117,OpeningTemplate!C126)</f>
        <v>0</v>
      </c>
      <c r="K21" s="459">
        <f>OpeningTemplate!J124</f>
        <v>0</v>
      </c>
      <c r="L21" s="459">
        <f>OpeningTemplate!K124</f>
        <v>0</v>
      </c>
      <c r="M21" s="141"/>
      <c r="N21" s="460">
        <f t="shared" si="0"/>
        <v>0</v>
      </c>
      <c r="O21" s="452"/>
      <c r="P21" s="461" t="str">
        <f t="shared" si="1"/>
        <v/>
      </c>
      <c r="Q21" s="461" t="str">
        <f t="shared" si="2"/>
        <v/>
      </c>
      <c r="R21" s="452"/>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row>
    <row r="22" spans="1:48">
      <c r="A22" s="457">
        <f>OpeningTemplate!A134</f>
        <v>0</v>
      </c>
      <c r="B22" s="1341">
        <f>OpeningTemplate!B134</f>
        <v>0</v>
      </c>
      <c r="C22" s="1342"/>
      <c r="D22" s="1342"/>
      <c r="E22" s="1343"/>
      <c r="F22" s="458">
        <f>OpeningTemplate!D136</f>
        <v>0</v>
      </c>
      <c r="G22" s="458">
        <f>OpeningTemplate!E136</f>
        <v>0</v>
      </c>
      <c r="H22" s="457" t="str">
        <f>OpeningTemplate!E134</f>
        <v/>
      </c>
      <c r="I22" s="459">
        <f>IF(H22=TMDAllocationTandM,'Actual Value'!AQ129,OpeningTemplate!B136)</f>
        <v>0</v>
      </c>
      <c r="J22" s="459">
        <f>IF(H22=TMDAllocationTandM,'Actual Value'!AQ128,OpeningTemplate!C136)</f>
        <v>0</v>
      </c>
      <c r="K22" s="459">
        <f>OpeningTemplate!J134</f>
        <v>0</v>
      </c>
      <c r="L22" s="459">
        <f>OpeningTemplate!K134</f>
        <v>0</v>
      </c>
      <c r="M22" s="141"/>
      <c r="N22" s="460">
        <f t="shared" si="0"/>
        <v>0</v>
      </c>
      <c r="O22" s="452"/>
      <c r="P22" s="461" t="str">
        <f t="shared" si="1"/>
        <v/>
      </c>
      <c r="Q22" s="461" t="str">
        <f t="shared" si="2"/>
        <v/>
      </c>
      <c r="R22" s="452"/>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row>
    <row r="23" spans="1:48">
      <c r="A23" s="457">
        <f>OpeningTemplate!A144</f>
        <v>0</v>
      </c>
      <c r="B23" s="1341">
        <f>OpeningTemplate!B144</f>
        <v>0</v>
      </c>
      <c r="C23" s="1342"/>
      <c r="D23" s="1342"/>
      <c r="E23" s="1343"/>
      <c r="F23" s="458">
        <f>OpeningTemplate!D146</f>
        <v>0</v>
      </c>
      <c r="G23" s="458">
        <f>OpeningTemplate!E146</f>
        <v>0</v>
      </c>
      <c r="H23" s="457" t="str">
        <f>OpeningTemplate!E144</f>
        <v/>
      </c>
      <c r="I23" s="459">
        <f>IF(H23=TMDAllocationTandM,'Actual Value'!AQ140,OpeningTemplate!B146)</f>
        <v>0</v>
      </c>
      <c r="J23" s="459">
        <f>IF(H23=TMDAllocationTandM,'Actual Value'!AQ139,OpeningTemplate!C146)</f>
        <v>0</v>
      </c>
      <c r="K23" s="459">
        <f>OpeningTemplate!J144</f>
        <v>0</v>
      </c>
      <c r="L23" s="459">
        <f>OpeningTemplate!K144</f>
        <v>0</v>
      </c>
      <c r="M23" s="141"/>
      <c r="N23" s="460">
        <f t="shared" si="0"/>
        <v>0</v>
      </c>
      <c r="O23" s="452"/>
      <c r="P23" s="461" t="str">
        <f t="shared" si="1"/>
        <v/>
      </c>
      <c r="Q23" s="461" t="str">
        <f t="shared" si="2"/>
        <v/>
      </c>
      <c r="R23" s="452"/>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row>
    <row r="24" spans="1:48">
      <c r="A24" s="457">
        <f>OpeningTemplate!A154</f>
        <v>0</v>
      </c>
      <c r="B24" s="1341">
        <f>OpeningTemplate!B154</f>
        <v>0</v>
      </c>
      <c r="C24" s="1342"/>
      <c r="D24" s="1342"/>
      <c r="E24" s="1343"/>
      <c r="F24" s="458">
        <f>OpeningTemplate!D156</f>
        <v>0</v>
      </c>
      <c r="G24" s="458">
        <f>OpeningTemplate!E156</f>
        <v>0</v>
      </c>
      <c r="H24" s="457" t="str">
        <f>OpeningTemplate!E154</f>
        <v/>
      </c>
      <c r="I24" s="459">
        <f>IF(H24=TMDAllocationTandM,'Actual Value'!AQ151,OpeningTemplate!B156)</f>
        <v>0</v>
      </c>
      <c r="J24" s="459">
        <f>IF(H24=TMDAllocationTandM,'Actual Value'!AQ150,OpeningTemplate!C156)</f>
        <v>0</v>
      </c>
      <c r="K24" s="459">
        <f>OpeningTemplate!J154</f>
        <v>0</v>
      </c>
      <c r="L24" s="459">
        <f>OpeningTemplate!K154</f>
        <v>0</v>
      </c>
      <c r="M24" s="141"/>
      <c r="N24" s="460">
        <f t="shared" si="0"/>
        <v>0</v>
      </c>
      <c r="O24" s="452"/>
      <c r="P24" s="461" t="str">
        <f t="shared" si="1"/>
        <v/>
      </c>
      <c r="Q24" s="461" t="str">
        <f t="shared" si="2"/>
        <v/>
      </c>
      <c r="R24" s="452"/>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row>
    <row r="25" spans="1:48">
      <c r="A25" s="457">
        <f>OpeningTemplate!A164</f>
        <v>0</v>
      </c>
      <c r="B25" s="1341">
        <f>OpeningTemplate!B164</f>
        <v>0</v>
      </c>
      <c r="C25" s="1342"/>
      <c r="D25" s="1342"/>
      <c r="E25" s="1343"/>
      <c r="F25" s="458">
        <f>OpeningTemplate!D166</f>
        <v>0</v>
      </c>
      <c r="G25" s="458">
        <f>OpeningTemplate!E166</f>
        <v>0</v>
      </c>
      <c r="H25" s="457" t="str">
        <f>OpeningTemplate!E164</f>
        <v/>
      </c>
      <c r="I25" s="459">
        <f>IF(H25=TMDAllocationTandM,'Actual Value'!AQ162,OpeningTemplate!B166)</f>
        <v>0</v>
      </c>
      <c r="J25" s="459">
        <f>IF(H25=TMDAllocationTandM,'Actual Value'!AQ161,OpeningTemplate!C166)</f>
        <v>0</v>
      </c>
      <c r="K25" s="459">
        <f>OpeningTemplate!J164</f>
        <v>0</v>
      </c>
      <c r="L25" s="459">
        <f>OpeningTemplate!K164</f>
        <v>0</v>
      </c>
      <c r="M25" s="141"/>
      <c r="N25" s="460">
        <f t="shared" si="0"/>
        <v>0</v>
      </c>
      <c r="O25" s="452"/>
      <c r="P25" s="461" t="str">
        <f t="shared" si="1"/>
        <v/>
      </c>
      <c r="Q25" s="461" t="str">
        <f t="shared" si="2"/>
        <v/>
      </c>
      <c r="R25" s="452"/>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row>
    <row r="26" spans="1:48">
      <c r="A26" s="457">
        <f>OpeningTemplate!A174</f>
        <v>0</v>
      </c>
      <c r="B26" s="1341">
        <f>OpeningTemplate!B174</f>
        <v>0</v>
      </c>
      <c r="C26" s="1342"/>
      <c r="D26" s="1342"/>
      <c r="E26" s="1343"/>
      <c r="F26" s="458">
        <f>OpeningTemplate!D176</f>
        <v>0</v>
      </c>
      <c r="G26" s="458">
        <f>OpeningTemplate!E176</f>
        <v>0</v>
      </c>
      <c r="H26" s="457" t="str">
        <f>OpeningTemplate!E174</f>
        <v/>
      </c>
      <c r="I26" s="459">
        <f>IF(H26=TMDAllocationTandM,'Actual Value'!AQ173,OpeningTemplate!B176)</f>
        <v>0</v>
      </c>
      <c r="J26" s="459">
        <f>IF(H26=TMDAllocationTandM,'Actual Value'!AQ172,OpeningTemplate!C176)</f>
        <v>0</v>
      </c>
      <c r="K26" s="459">
        <f>OpeningTemplate!J174</f>
        <v>0</v>
      </c>
      <c r="L26" s="459">
        <f>OpeningTemplate!K174</f>
        <v>0</v>
      </c>
      <c r="M26" s="141"/>
      <c r="N26" s="460">
        <f t="shared" si="0"/>
        <v>0</v>
      </c>
      <c r="O26" s="452"/>
      <c r="P26" s="461" t="str">
        <f t="shared" si="1"/>
        <v/>
      </c>
      <c r="Q26" s="461" t="str">
        <f t="shared" si="2"/>
        <v/>
      </c>
      <c r="R26" s="452"/>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row>
    <row r="27" spans="1:48">
      <c r="A27" s="457">
        <f>OpeningTemplate!A184</f>
        <v>0</v>
      </c>
      <c r="B27" s="1341">
        <f>OpeningTemplate!B184</f>
        <v>0</v>
      </c>
      <c r="C27" s="1342"/>
      <c r="D27" s="1342"/>
      <c r="E27" s="1343"/>
      <c r="F27" s="458">
        <f>OpeningTemplate!D186</f>
        <v>0</v>
      </c>
      <c r="G27" s="458">
        <f>OpeningTemplate!E186</f>
        <v>0</v>
      </c>
      <c r="H27" s="457" t="str">
        <f>OpeningTemplate!E184</f>
        <v/>
      </c>
      <c r="I27" s="459">
        <f>IF(H27=TMDAllocationTandM,'Actual Value'!AQ184,OpeningTemplate!B186)</f>
        <v>0</v>
      </c>
      <c r="J27" s="459">
        <f>IF(H27=TMDAllocationTandM,'Actual Value'!AQ183,OpeningTemplate!C186)</f>
        <v>0</v>
      </c>
      <c r="K27" s="459">
        <f>OpeningTemplate!J184</f>
        <v>0</v>
      </c>
      <c r="L27" s="459">
        <f>OpeningTemplate!K184</f>
        <v>0</v>
      </c>
      <c r="M27" s="141"/>
      <c r="N27" s="460">
        <f t="shared" si="0"/>
        <v>0</v>
      </c>
      <c r="O27" s="452"/>
      <c r="P27" s="461" t="str">
        <f t="shared" si="1"/>
        <v/>
      </c>
      <c r="Q27" s="461" t="str">
        <f t="shared" si="2"/>
        <v/>
      </c>
      <c r="R27" s="452"/>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row>
    <row r="28" spans="1:48">
      <c r="A28" s="457">
        <f>OpeningTemplate!A194</f>
        <v>0</v>
      </c>
      <c r="B28" s="1341">
        <f>OpeningTemplate!B194</f>
        <v>0</v>
      </c>
      <c r="C28" s="1342"/>
      <c r="D28" s="1342"/>
      <c r="E28" s="1343"/>
      <c r="F28" s="458">
        <f>OpeningTemplate!D196</f>
        <v>0</v>
      </c>
      <c r="G28" s="458">
        <f>OpeningTemplate!E196</f>
        <v>0</v>
      </c>
      <c r="H28" s="457" t="str">
        <f>OpeningTemplate!E194</f>
        <v/>
      </c>
      <c r="I28" s="459">
        <f>IF(H28=TMDAllocationTandM,'Actual Value'!AQ195,OpeningTemplate!B196)</f>
        <v>0</v>
      </c>
      <c r="J28" s="459">
        <f>IF(H28=TMDAllocationTandM,'Actual Value'!AQ194,OpeningTemplate!C196)</f>
        <v>0</v>
      </c>
      <c r="K28" s="459">
        <f>OpeningTemplate!J194</f>
        <v>0</v>
      </c>
      <c r="L28" s="459">
        <f>OpeningTemplate!K194</f>
        <v>0</v>
      </c>
      <c r="M28" s="141"/>
      <c r="N28" s="460">
        <f t="shared" si="0"/>
        <v>0</v>
      </c>
      <c r="O28" s="452"/>
      <c r="P28" s="461" t="str">
        <f t="shared" si="1"/>
        <v/>
      </c>
      <c r="Q28" s="461" t="str">
        <f t="shared" si="2"/>
        <v/>
      </c>
      <c r="R28" s="452"/>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row>
    <row r="29" spans="1:48">
      <c r="A29" s="457">
        <f>OpeningTemplate!A204</f>
        <v>0</v>
      </c>
      <c r="B29" s="1341">
        <f>OpeningTemplate!B204</f>
        <v>0</v>
      </c>
      <c r="C29" s="1342"/>
      <c r="D29" s="1342"/>
      <c r="E29" s="1343"/>
      <c r="F29" s="458">
        <f>OpeningTemplate!D206</f>
        <v>0</v>
      </c>
      <c r="G29" s="458">
        <f>OpeningTemplate!E206</f>
        <v>0</v>
      </c>
      <c r="H29" s="457" t="str">
        <f>OpeningTemplate!E204</f>
        <v/>
      </c>
      <c r="I29" s="459">
        <f>IF(H29=TMDAllocationTandM,'Actual Value'!AQ206,OpeningTemplate!B206)</f>
        <v>0</v>
      </c>
      <c r="J29" s="459">
        <f>IF(H29=TMDAllocationTandM,'Actual Value'!AQ205,OpeningTemplate!C206)</f>
        <v>0</v>
      </c>
      <c r="K29" s="459">
        <f>OpeningTemplate!J204</f>
        <v>0</v>
      </c>
      <c r="L29" s="459">
        <f>OpeningTemplate!K204</f>
        <v>0</v>
      </c>
      <c r="M29" s="141"/>
      <c r="N29" s="460">
        <f t="shared" si="0"/>
        <v>0</v>
      </c>
      <c r="O29" s="452"/>
      <c r="P29" s="461" t="str">
        <f t="shared" si="1"/>
        <v/>
      </c>
      <c r="Q29" s="461" t="str">
        <f t="shared" si="2"/>
        <v/>
      </c>
      <c r="R29" s="452"/>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row>
    <row r="30" spans="1:48">
      <c r="A30" s="457">
        <f>OpeningTemplate!A214</f>
        <v>0</v>
      </c>
      <c r="B30" s="1341">
        <f>OpeningTemplate!B214</f>
        <v>0</v>
      </c>
      <c r="C30" s="1342"/>
      <c r="D30" s="1342"/>
      <c r="E30" s="1343"/>
      <c r="F30" s="458">
        <f>OpeningTemplate!D216</f>
        <v>0</v>
      </c>
      <c r="G30" s="458">
        <f>OpeningTemplate!E216</f>
        <v>0</v>
      </c>
      <c r="H30" s="457" t="str">
        <f>OpeningTemplate!E214</f>
        <v/>
      </c>
      <c r="I30" s="459">
        <f>IF(H30=TMDAllocationTandM,'Actual Value'!AQ217,OpeningTemplate!B216)</f>
        <v>0</v>
      </c>
      <c r="J30" s="459">
        <f>IF(H30=TMDAllocationTandM,'Actual Value'!AQ216,OpeningTemplate!C216)</f>
        <v>0</v>
      </c>
      <c r="K30" s="459">
        <f>OpeningTemplate!J214</f>
        <v>0</v>
      </c>
      <c r="L30" s="459">
        <f>OpeningTemplate!K214</f>
        <v>0</v>
      </c>
      <c r="M30" s="141"/>
      <c r="N30" s="460">
        <f t="shared" si="0"/>
        <v>0</v>
      </c>
      <c r="O30" s="452"/>
      <c r="P30" s="461" t="str">
        <f t="shared" si="1"/>
        <v/>
      </c>
      <c r="Q30" s="461" t="str">
        <f t="shared" si="2"/>
        <v/>
      </c>
      <c r="R30" s="452"/>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row>
    <row r="31" spans="1:48">
      <c r="A31" s="457">
        <f>OpeningTemplate!A224</f>
        <v>0</v>
      </c>
      <c r="B31" s="1341">
        <f>OpeningTemplate!B224</f>
        <v>0</v>
      </c>
      <c r="C31" s="1342"/>
      <c r="D31" s="1342"/>
      <c r="E31" s="1343"/>
      <c r="F31" s="458">
        <f>OpeningTemplate!D226</f>
        <v>0</v>
      </c>
      <c r="G31" s="458">
        <f>OpeningTemplate!E226</f>
        <v>0</v>
      </c>
      <c r="H31" s="457" t="str">
        <f>OpeningTemplate!E224</f>
        <v/>
      </c>
      <c r="I31" s="459">
        <f>IF(H31=TMDAllocationTandM,'Actual Value'!AQ228,OpeningTemplate!B226)</f>
        <v>0</v>
      </c>
      <c r="J31" s="459">
        <f>IF(H31=TMDAllocationTandM,'Actual Value'!AQ227,OpeningTemplate!C226)</f>
        <v>0</v>
      </c>
      <c r="K31" s="459">
        <f>OpeningTemplate!J224</f>
        <v>0</v>
      </c>
      <c r="L31" s="459">
        <f>OpeningTemplate!K224</f>
        <v>0</v>
      </c>
      <c r="M31" s="141"/>
      <c r="N31" s="460">
        <f t="shared" si="0"/>
        <v>0</v>
      </c>
      <c r="O31" s="452"/>
      <c r="P31" s="461" t="str">
        <f t="shared" si="1"/>
        <v/>
      </c>
      <c r="Q31" s="461" t="str">
        <f t="shared" si="2"/>
        <v/>
      </c>
      <c r="R31" s="452"/>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row>
    <row r="32" spans="1:48">
      <c r="A32" s="457">
        <f>OpeningTemplate!A234</f>
        <v>0</v>
      </c>
      <c r="B32" s="1341">
        <f>OpeningTemplate!B234</f>
        <v>0</v>
      </c>
      <c r="C32" s="1342"/>
      <c r="D32" s="1342"/>
      <c r="E32" s="1343"/>
      <c r="F32" s="458">
        <f>OpeningTemplate!D236</f>
        <v>0</v>
      </c>
      <c r="G32" s="458">
        <f>OpeningTemplate!E236</f>
        <v>0</v>
      </c>
      <c r="H32" s="457" t="str">
        <f>OpeningTemplate!E234</f>
        <v/>
      </c>
      <c r="I32" s="459">
        <f>IF(H32=TMDAllocationTandM,'Actual Value'!AQ239,OpeningTemplate!B236)</f>
        <v>0</v>
      </c>
      <c r="J32" s="459">
        <f>IF(H32=TMDAllocationTandM,'Actual Value'!AQ238,OpeningTemplate!C236)</f>
        <v>0</v>
      </c>
      <c r="K32" s="459">
        <f>OpeningTemplate!J234</f>
        <v>0</v>
      </c>
      <c r="L32" s="459">
        <f>OpeningTemplate!K234</f>
        <v>0</v>
      </c>
      <c r="M32" s="141"/>
      <c r="N32" s="460">
        <f t="shared" si="0"/>
        <v>0</v>
      </c>
      <c r="O32" s="452"/>
      <c r="P32" s="461" t="str">
        <f t="shared" si="1"/>
        <v/>
      </c>
      <c r="Q32" s="461" t="str">
        <f t="shared" si="2"/>
        <v/>
      </c>
      <c r="R32" s="452"/>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row>
    <row r="33" spans="1:52">
      <c r="A33" s="457">
        <f>OpeningTemplate!A244</f>
        <v>0</v>
      </c>
      <c r="B33" s="1341">
        <f>OpeningTemplate!B244</f>
        <v>0</v>
      </c>
      <c r="C33" s="1342"/>
      <c r="D33" s="1342"/>
      <c r="E33" s="1343"/>
      <c r="F33" s="458">
        <f>OpeningTemplate!D246</f>
        <v>0</v>
      </c>
      <c r="G33" s="458">
        <f>OpeningTemplate!E246</f>
        <v>0</v>
      </c>
      <c r="H33" s="457" t="str">
        <f>OpeningTemplate!E244</f>
        <v/>
      </c>
      <c r="I33" s="459">
        <f>IF(H33=TMDAllocationTandM,'Actual Value'!AQ250,OpeningTemplate!B246)</f>
        <v>0</v>
      </c>
      <c r="J33" s="459">
        <f>IF(H33=TMDAllocationTandM,'Actual Value'!AQ249,OpeningTemplate!C246)</f>
        <v>0</v>
      </c>
      <c r="K33" s="459">
        <f>OpeningTemplate!J244</f>
        <v>0</v>
      </c>
      <c r="L33" s="459">
        <f>OpeningTemplate!K244</f>
        <v>0</v>
      </c>
      <c r="M33" s="141"/>
      <c r="N33" s="460">
        <f t="shared" si="0"/>
        <v>0</v>
      </c>
      <c r="O33" s="452"/>
      <c r="P33" s="461" t="str">
        <f t="shared" si="1"/>
        <v/>
      </c>
      <c r="Q33" s="461" t="str">
        <f t="shared" si="2"/>
        <v/>
      </c>
      <c r="R33" s="452"/>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row>
    <row r="34" spans="1:52">
      <c r="A34" s="457">
        <f>OpeningTemplate!A254</f>
        <v>0</v>
      </c>
      <c r="B34" s="1341">
        <f>OpeningTemplate!B254</f>
        <v>0</v>
      </c>
      <c r="C34" s="1342"/>
      <c r="D34" s="1342"/>
      <c r="E34" s="1343"/>
      <c r="F34" s="458">
        <f>OpeningTemplate!D256</f>
        <v>0</v>
      </c>
      <c r="G34" s="458">
        <f>OpeningTemplate!E256</f>
        <v>0</v>
      </c>
      <c r="H34" s="457" t="str">
        <f>OpeningTemplate!E254</f>
        <v/>
      </c>
      <c r="I34" s="459">
        <f>IF(H34=TMDAllocationTandM,'Actual Value'!AQ261,OpeningTemplate!B256)</f>
        <v>0</v>
      </c>
      <c r="J34" s="459">
        <f>IF(H34=TMDAllocationTandM,'Actual Value'!AQ260,OpeningTemplate!C256)</f>
        <v>0</v>
      </c>
      <c r="K34" s="459">
        <f>OpeningTemplate!J254</f>
        <v>0</v>
      </c>
      <c r="L34" s="459">
        <f>OpeningTemplate!K254</f>
        <v>0</v>
      </c>
      <c r="M34" s="141"/>
      <c r="N34" s="460">
        <f t="shared" si="0"/>
        <v>0</v>
      </c>
      <c r="O34" s="452"/>
      <c r="P34" s="461" t="str">
        <f t="shared" si="1"/>
        <v/>
      </c>
      <c r="Q34" s="461" t="str">
        <f t="shared" si="2"/>
        <v/>
      </c>
      <c r="R34" s="452"/>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row>
    <row r="35" spans="1:52">
      <c r="A35" s="457">
        <f>OpeningTemplate!A264</f>
        <v>0</v>
      </c>
      <c r="B35" s="1341">
        <f>OpeningTemplate!B264</f>
        <v>0</v>
      </c>
      <c r="C35" s="1342"/>
      <c r="D35" s="1342"/>
      <c r="E35" s="1343"/>
      <c r="F35" s="458">
        <f>OpeningTemplate!D266</f>
        <v>0</v>
      </c>
      <c r="G35" s="458">
        <f>OpeningTemplate!E266</f>
        <v>0</v>
      </c>
      <c r="H35" s="457" t="str">
        <f>OpeningTemplate!E264</f>
        <v/>
      </c>
      <c r="I35" s="459">
        <f>IF(H35=TMDAllocationTandM,'Actual Value'!AQ272,OpeningTemplate!B266)</f>
        <v>0</v>
      </c>
      <c r="J35" s="459">
        <f>IF(H35=TMDAllocationTandM,'Actual Value'!AQ271,OpeningTemplate!C266)</f>
        <v>0</v>
      </c>
      <c r="K35" s="459">
        <f>OpeningTemplate!J264</f>
        <v>0</v>
      </c>
      <c r="L35" s="459">
        <f>OpeningTemplate!K264</f>
        <v>0</v>
      </c>
      <c r="M35" s="141"/>
      <c r="N35" s="460">
        <f t="shared" si="0"/>
        <v>0</v>
      </c>
      <c r="O35" s="452"/>
      <c r="P35" s="461" t="str">
        <f t="shared" si="1"/>
        <v/>
      </c>
      <c r="Q35" s="461" t="str">
        <f t="shared" si="2"/>
        <v/>
      </c>
      <c r="R35" s="452"/>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row>
    <row r="36" spans="1:52">
      <c r="A36" s="457">
        <f>OpeningTemplate!A274</f>
        <v>0</v>
      </c>
      <c r="B36" s="1341">
        <f>OpeningTemplate!B274</f>
        <v>0</v>
      </c>
      <c r="C36" s="1342"/>
      <c r="D36" s="1342"/>
      <c r="E36" s="1343"/>
      <c r="F36" s="458">
        <f>OpeningTemplate!D276</f>
        <v>0</v>
      </c>
      <c r="G36" s="458">
        <f>OpeningTemplate!E276</f>
        <v>0</v>
      </c>
      <c r="H36" s="457" t="str">
        <f>OpeningTemplate!E274</f>
        <v/>
      </c>
      <c r="I36" s="459">
        <f>IF(H36=TMDAllocationTandM,'Actual Value'!AQ283,OpeningTemplate!B276)</f>
        <v>0</v>
      </c>
      <c r="J36" s="459">
        <f>IF(H36=TMDAllocationTandM,'Actual Value'!AQ282,OpeningTemplate!C276)</f>
        <v>0</v>
      </c>
      <c r="K36" s="459">
        <f>OpeningTemplate!J274</f>
        <v>0</v>
      </c>
      <c r="L36" s="459">
        <f>OpeningTemplate!K274</f>
        <v>0</v>
      </c>
      <c r="M36" s="141"/>
      <c r="N36" s="460">
        <f t="shared" si="0"/>
        <v>0</v>
      </c>
      <c r="O36" s="452"/>
      <c r="P36" s="461" t="str">
        <f t="shared" si="1"/>
        <v/>
      </c>
      <c r="Q36" s="461" t="str">
        <f t="shared" si="2"/>
        <v/>
      </c>
      <c r="R36" s="452"/>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row>
    <row r="37" spans="1:52">
      <c r="A37" s="457">
        <f>OpeningTemplate!A284</f>
        <v>0</v>
      </c>
      <c r="B37" s="1341">
        <f>OpeningTemplate!B284</f>
        <v>0</v>
      </c>
      <c r="C37" s="1342"/>
      <c r="D37" s="1342"/>
      <c r="E37" s="1343"/>
      <c r="F37" s="458">
        <f>OpeningTemplate!D286</f>
        <v>0</v>
      </c>
      <c r="G37" s="458">
        <f>OpeningTemplate!E286</f>
        <v>0</v>
      </c>
      <c r="H37" s="457" t="str">
        <f>OpeningTemplate!E284</f>
        <v/>
      </c>
      <c r="I37" s="459">
        <f>IF(H37=TMDAllocationTandM,'Actual Value'!AQ294,OpeningTemplate!B286)</f>
        <v>0</v>
      </c>
      <c r="J37" s="459">
        <f>IF(H37=TMDAllocationTandM,'Actual Value'!AQ293,OpeningTemplate!C286)</f>
        <v>0</v>
      </c>
      <c r="K37" s="459">
        <f>OpeningTemplate!J284</f>
        <v>0</v>
      </c>
      <c r="L37" s="459">
        <f>OpeningTemplate!K284</f>
        <v>0</v>
      </c>
      <c r="M37" s="141"/>
      <c r="N37" s="460">
        <f t="shared" si="0"/>
        <v>0</v>
      </c>
      <c r="O37" s="452"/>
      <c r="P37" s="461" t="str">
        <f t="shared" si="1"/>
        <v/>
      </c>
      <c r="Q37" s="461" t="str">
        <f t="shared" si="2"/>
        <v/>
      </c>
      <c r="R37" s="452"/>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row>
    <row r="38" spans="1:52">
      <c r="A38" s="457">
        <f>OpeningTemplate!A294</f>
        <v>0</v>
      </c>
      <c r="B38" s="1341">
        <f>OpeningTemplate!B294</f>
        <v>0</v>
      </c>
      <c r="C38" s="1342"/>
      <c r="D38" s="1342"/>
      <c r="E38" s="1343"/>
      <c r="F38" s="458">
        <f>OpeningTemplate!D296</f>
        <v>0</v>
      </c>
      <c r="G38" s="458">
        <f>OpeningTemplate!E296</f>
        <v>0</v>
      </c>
      <c r="H38" s="457" t="str">
        <f>OpeningTemplate!E294</f>
        <v/>
      </c>
      <c r="I38" s="459">
        <f>IF(H38=TMDAllocationTandM,'Actual Value'!AQ305,OpeningTemplate!B296)</f>
        <v>0</v>
      </c>
      <c r="J38" s="459">
        <f>IF(H38=TMDAllocationTandM,'Actual Value'!AQ304,OpeningTemplate!C296)</f>
        <v>0</v>
      </c>
      <c r="K38" s="459">
        <f>OpeningTemplate!J294</f>
        <v>0</v>
      </c>
      <c r="L38" s="459">
        <f>OpeningTemplate!K294</f>
        <v>0</v>
      </c>
      <c r="M38" s="141"/>
      <c r="N38" s="460">
        <f t="shared" si="0"/>
        <v>0</v>
      </c>
      <c r="O38" s="452"/>
      <c r="P38" s="461" t="str">
        <f t="shared" si="1"/>
        <v/>
      </c>
      <c r="Q38" s="461" t="str">
        <f t="shared" si="2"/>
        <v/>
      </c>
      <c r="R38" s="452"/>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row>
    <row r="39" spans="1:52">
      <c r="A39" s="457">
        <f>OpeningTemplate!A304</f>
        <v>0</v>
      </c>
      <c r="B39" s="1341">
        <f>OpeningTemplate!B304</f>
        <v>0</v>
      </c>
      <c r="C39" s="1342"/>
      <c r="D39" s="1342"/>
      <c r="E39" s="1343"/>
      <c r="F39" s="458">
        <f>OpeningTemplate!D306</f>
        <v>0</v>
      </c>
      <c r="G39" s="458">
        <f>OpeningTemplate!E306</f>
        <v>0</v>
      </c>
      <c r="H39" s="457" t="str">
        <f>OpeningTemplate!E304</f>
        <v/>
      </c>
      <c r="I39" s="459">
        <f>IF(H39=TMDAllocationTandM,'Actual Value'!AQ316,OpeningTemplate!B306)</f>
        <v>0</v>
      </c>
      <c r="J39" s="459">
        <f>IF(H39=TMDAllocationTandM,'Actual Value'!AQ315,OpeningTemplate!C306)</f>
        <v>0</v>
      </c>
      <c r="K39" s="459">
        <f>OpeningTemplate!J304</f>
        <v>0</v>
      </c>
      <c r="L39" s="459">
        <f>OpeningTemplate!K304</f>
        <v>0</v>
      </c>
      <c r="M39" s="141"/>
      <c r="N39" s="460">
        <f t="shared" si="0"/>
        <v>0</v>
      </c>
      <c r="O39" s="452"/>
      <c r="P39" s="461" t="str">
        <f t="shared" si="1"/>
        <v/>
      </c>
      <c r="Q39" s="461" t="str">
        <f t="shared" si="2"/>
        <v/>
      </c>
      <c r="R39" s="452"/>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row>
    <row r="40" spans="1:52">
      <c r="A40" s="457">
        <f>OpeningTemplate!A314</f>
        <v>0</v>
      </c>
      <c r="B40" s="1341">
        <f>OpeningTemplate!B314</f>
        <v>0</v>
      </c>
      <c r="C40" s="1342"/>
      <c r="D40" s="1342"/>
      <c r="E40" s="1343"/>
      <c r="F40" s="458">
        <f>OpeningTemplate!D316</f>
        <v>0</v>
      </c>
      <c r="G40" s="458">
        <f>OpeningTemplate!E316</f>
        <v>0</v>
      </c>
      <c r="H40" s="457" t="str">
        <f>OpeningTemplate!E314</f>
        <v/>
      </c>
      <c r="I40" s="459">
        <f>IF(H40=TMDAllocationTandM,'Actual Value'!AQ327,OpeningTemplate!B316)</f>
        <v>0</v>
      </c>
      <c r="J40" s="459">
        <f>IF(H40=TMDAllocationTandM,'Actual Value'!AQ326,OpeningTemplate!C316)</f>
        <v>0</v>
      </c>
      <c r="K40" s="459">
        <f>OpeningTemplate!J314</f>
        <v>0</v>
      </c>
      <c r="L40" s="459">
        <f>OpeningTemplate!K314</f>
        <v>0</v>
      </c>
      <c r="M40" s="141"/>
      <c r="N40" s="460">
        <f t="shared" si="0"/>
        <v>0</v>
      </c>
      <c r="O40" s="452"/>
      <c r="P40" s="461" t="str">
        <f t="shared" si="1"/>
        <v/>
      </c>
      <c r="Q40" s="461" t="str">
        <f t="shared" si="2"/>
        <v/>
      </c>
      <c r="R40" s="452"/>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row>
    <row r="41" spans="1:52">
      <c r="A41" s="457">
        <f>OpeningTemplate!A324</f>
        <v>0</v>
      </c>
      <c r="B41" s="1341">
        <f>OpeningTemplate!B324</f>
        <v>0</v>
      </c>
      <c r="C41" s="1342"/>
      <c r="D41" s="1342"/>
      <c r="E41" s="1343"/>
      <c r="F41" s="458">
        <f>OpeningTemplate!D326</f>
        <v>0</v>
      </c>
      <c r="G41" s="458">
        <f>OpeningTemplate!E326</f>
        <v>0</v>
      </c>
      <c r="H41" s="457" t="str">
        <f>OpeningTemplate!E324</f>
        <v/>
      </c>
      <c r="I41" s="459">
        <f>IF(H41=TMDAllocationTandM,'Actual Value'!AQ338,OpeningTemplate!B326)</f>
        <v>0</v>
      </c>
      <c r="J41" s="459">
        <f>IF(H41=TMDAllocationTandM,'Actual Value'!AQ337,OpeningTemplate!C326)</f>
        <v>0</v>
      </c>
      <c r="K41" s="459">
        <f>OpeningTemplate!J324</f>
        <v>0</v>
      </c>
      <c r="L41" s="459">
        <f>OpeningTemplate!K324</f>
        <v>0</v>
      </c>
      <c r="M41" s="141"/>
      <c r="N41" s="460">
        <f t="shared" si="0"/>
        <v>0</v>
      </c>
      <c r="O41" s="452"/>
      <c r="P41" s="461" t="str">
        <f t="shared" si="1"/>
        <v/>
      </c>
      <c r="Q41" s="461" t="str">
        <f t="shared" si="2"/>
        <v/>
      </c>
      <c r="R41" s="452"/>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row>
    <row r="42" spans="1:52">
      <c r="A42" s="457">
        <f>OpeningTemplate!A334</f>
        <v>0</v>
      </c>
      <c r="B42" s="1341">
        <f>OpeningTemplate!B334</f>
        <v>0</v>
      </c>
      <c r="C42" s="1342"/>
      <c r="D42" s="1342"/>
      <c r="E42" s="1343"/>
      <c r="F42" s="458">
        <f>OpeningTemplate!D336</f>
        <v>0</v>
      </c>
      <c r="G42" s="458">
        <f>OpeningTemplate!E336</f>
        <v>0</v>
      </c>
      <c r="H42" s="457" t="str">
        <f>OpeningTemplate!E334</f>
        <v/>
      </c>
      <c r="I42" s="459">
        <f>IF(H42=TMDAllocationTandM,'Actual Value'!AQ349,OpeningTemplate!B336)</f>
        <v>0</v>
      </c>
      <c r="J42" s="459">
        <f>IF(H42=TMDAllocationTandM,'Actual Value'!AQ348,OpeningTemplate!C336)</f>
        <v>0</v>
      </c>
      <c r="K42" s="459">
        <f>OpeningTemplate!J334</f>
        <v>0</v>
      </c>
      <c r="L42" s="459">
        <f>OpeningTemplate!K334</f>
        <v>0</v>
      </c>
      <c r="M42" s="141"/>
      <c r="N42" s="460">
        <f t="shared" si="0"/>
        <v>0</v>
      </c>
      <c r="O42" s="452"/>
      <c r="P42" s="461" t="str">
        <f t="shared" si="1"/>
        <v/>
      </c>
      <c r="Q42" s="461" t="str">
        <f t="shared" si="2"/>
        <v/>
      </c>
      <c r="R42" s="452"/>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row>
    <row r="43" spans="1:52">
      <c r="A43" s="141"/>
      <c r="B43" s="141"/>
      <c r="C43" s="141"/>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row>
    <row r="44" spans="1:52">
      <c r="A44" s="1344" t="s">
        <v>787</v>
      </c>
      <c r="B44" s="1345"/>
      <c r="C44" s="1345"/>
      <c r="D44" s="1345"/>
      <c r="E44" s="462"/>
      <c r="F44" s="462"/>
      <c r="G44" s="462"/>
      <c r="H44" s="463"/>
      <c r="I44" s="464">
        <f ca="1">SUM(I13:I42)</f>
        <v>93800</v>
      </c>
      <c r="J44" s="465">
        <f>SUM(J13:J42)</f>
        <v>584</v>
      </c>
      <c r="K44" s="465">
        <f>SUM(K13:K42)</f>
        <v>0</v>
      </c>
      <c r="L44" s="465">
        <f>SUM(L13:L42)</f>
        <v>0</v>
      </c>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row>
    <row r="45" spans="1:52">
      <c r="A45" s="141"/>
      <c r="B45" s="141"/>
      <c r="C45" s="141"/>
      <c r="D45" s="141"/>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c r="AX45" s="141"/>
      <c r="AY45" s="141"/>
      <c r="AZ45" s="141"/>
    </row>
    <row r="46" spans="1:52">
      <c r="A46" s="141"/>
      <c r="B46" s="141"/>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c r="AX46" s="141"/>
      <c r="AY46" s="141"/>
      <c r="AZ46" s="141"/>
    </row>
    <row r="47" spans="1:52">
      <c r="A47" s="141"/>
      <c r="B47" s="141"/>
      <c r="C47" s="141"/>
      <c r="D47" s="141"/>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c r="AX47" s="141"/>
      <c r="AY47" s="141"/>
      <c r="AZ47" s="141"/>
    </row>
    <row r="48" spans="1:52">
      <c r="A48" s="141"/>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c r="AX48" s="141"/>
      <c r="AY48" s="141"/>
      <c r="AZ48" s="141"/>
    </row>
    <row r="49" spans="1:52" ht="15.6">
      <c r="A49" s="1340" t="s">
        <v>788</v>
      </c>
      <c r="B49" s="1340"/>
      <c r="C49" s="1340"/>
      <c r="D49" s="1340"/>
      <c r="E49" s="1340"/>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c r="AX49" s="141"/>
      <c r="AY49" s="141"/>
      <c r="AZ49" s="141"/>
    </row>
    <row r="50" spans="1:52">
      <c r="A50" s="1339" t="s">
        <v>789</v>
      </c>
      <c r="B50" s="1339"/>
      <c r="C50" s="1339"/>
      <c r="D50" s="1339"/>
      <c r="E50" s="1339"/>
      <c r="F50" s="441" t="s">
        <v>790</v>
      </c>
      <c r="G50" s="441" t="s">
        <v>791</v>
      </c>
      <c r="H50" s="448" t="s">
        <v>792</v>
      </c>
      <c r="I50" s="448" t="s">
        <v>986</v>
      </c>
      <c r="J50" s="448" t="s">
        <v>989</v>
      </c>
      <c r="K50" s="441" t="s">
        <v>793</v>
      </c>
      <c r="L50" s="441" t="s">
        <v>794</v>
      </c>
      <c r="M50" s="466">
        <f t="array" ref="M50:AX50">MDReportingDates</f>
        <v>41774</v>
      </c>
      <c r="N50" s="466">
        <v>41788</v>
      </c>
      <c r="O50" s="466">
        <v>41802</v>
      </c>
      <c r="P50" s="466">
        <v>41816</v>
      </c>
      <c r="Q50" s="466">
        <v>41830</v>
      </c>
      <c r="R50" s="466">
        <v>41844</v>
      </c>
      <c r="S50" s="466">
        <v>41858</v>
      </c>
      <c r="T50" s="466">
        <v>41872</v>
      </c>
      <c r="U50" s="466">
        <v>41886</v>
      </c>
      <c r="V50" s="466">
        <v>41900</v>
      </c>
      <c r="W50" s="466">
        <v>41914</v>
      </c>
      <c r="X50" s="466">
        <v>41928</v>
      </c>
      <c r="Y50" s="466">
        <v>41942</v>
      </c>
      <c r="Z50" s="466">
        <v>41956</v>
      </c>
      <c r="AA50" s="466">
        <v>41970</v>
      </c>
      <c r="AB50" s="466">
        <v>41984</v>
      </c>
      <c r="AC50" s="466">
        <v>41998</v>
      </c>
      <c r="AD50" s="466">
        <v>42012</v>
      </c>
      <c r="AE50" s="466">
        <v>42026</v>
      </c>
      <c r="AF50" s="466">
        <v>42040</v>
      </c>
      <c r="AG50" s="466">
        <v>42054</v>
      </c>
      <c r="AH50" s="466">
        <v>42068</v>
      </c>
      <c r="AI50" s="466">
        <v>42082</v>
      </c>
      <c r="AJ50" s="466">
        <v>42096</v>
      </c>
      <c r="AK50" s="466">
        <v>42110</v>
      </c>
      <c r="AL50" s="466">
        <v>42124</v>
      </c>
      <c r="AM50" s="466">
        <v>42138</v>
      </c>
      <c r="AN50" s="466">
        <v>42152</v>
      </c>
      <c r="AO50" s="466">
        <v>42166</v>
      </c>
      <c r="AP50" s="466">
        <v>42180</v>
      </c>
      <c r="AQ50" s="466">
        <v>42194</v>
      </c>
      <c r="AR50" s="466">
        <v>42208</v>
      </c>
      <c r="AS50" s="466">
        <v>42222</v>
      </c>
      <c r="AT50" s="466">
        <v>42236</v>
      </c>
      <c r="AU50" s="466">
        <v>42250</v>
      </c>
      <c r="AV50" s="466">
        <v>42264</v>
      </c>
      <c r="AW50" s="466">
        <v>42278</v>
      </c>
      <c r="AX50" s="466">
        <v>42292</v>
      </c>
      <c r="AY50" s="440" t="s">
        <v>797</v>
      </c>
      <c r="AZ50" s="141"/>
    </row>
    <row r="51" spans="1:52">
      <c r="A51" s="1335" t="str">
        <f>$B$13</f>
        <v>GEFI Migration</v>
      </c>
      <c r="B51" s="1335"/>
      <c r="C51" s="1335"/>
      <c r="D51" s="1335"/>
      <c r="E51" s="1335"/>
      <c r="F51" s="467">
        <f>OpeningTemplate!$D$46</f>
        <v>0</v>
      </c>
      <c r="G51" s="467">
        <f>OpeningTemplate!$E$46</f>
        <v>0</v>
      </c>
      <c r="H51" s="446">
        <f>K13</f>
        <v>0</v>
      </c>
      <c r="I51" s="446">
        <f>IF(G51-F51&gt;0,G51-F51+1,0)</f>
        <v>0</v>
      </c>
      <c r="J51" s="468">
        <f>IF(I51&lt;&gt;0,H51/I51,0)</f>
        <v>0</v>
      </c>
      <c r="K51" s="467">
        <f t="shared" ref="K51:K80" si="3">IF(H51&gt;0,INDEX(MDReportingDates,1,COUNTIF(MDReportingDates,"&lt;"&amp;F51)+1),0)</f>
        <v>0</v>
      </c>
      <c r="L51" s="467">
        <f t="shared" ref="L51:L80" si="4">IF(H51&gt;0,IF(ISERROR(MATCH(G51,MDReportingDates,1)),INDEX(MDReportingDates,1,1),INDEX(MDReportingDates,1,MATCH(G51,MDReportingDates,1)+1)),0)</f>
        <v>0</v>
      </c>
      <c r="M51" s="469">
        <f t="shared" ref="M51:M80" si="5">IF(AND($M$122&gt;=$K51,$M$122&lt;=$L51),IF(O51&gt;0,($M$122-$F51+1)*$J51,($M$122-$F51)*$J51),0)</f>
        <v>0</v>
      </c>
      <c r="N51" s="469">
        <f t="shared" ref="N51:N80" si="6">IF(AND(N$122&gt;=$K51,N$122&lt;=$L51),IF(M$122&lt;$F51,IF(N$122&lt;=$G51,(N$122-$F51+1)*$J51,$H51),IF(N$122&gt;=$G51,($G51-M$122)*$J51,(N$122-M$122)*$J51)),0)</f>
        <v>0</v>
      </c>
      <c r="O51" s="469">
        <f t="shared" ref="O51:O80" si="7">IF(AND(O$122&gt;=$K51,O$122&lt;=$L51),IF(N$122&lt;$F51,IF(O$122&lt;=$G51,(O$122-$F51+1)*$J51,$H51),IF(O$122&gt;=$G51,($G51-N$122)*$J51,(O$122-N$122)*$J51)),0)</f>
        <v>0</v>
      </c>
      <c r="P51" s="469">
        <f t="shared" ref="P51:P80" si="8">IF(AND(P$122&gt;=$K51,P$122&lt;=$L51),IF(O$122&lt;$F51,IF(P$122&lt;=$G51,(P$122-$F51+1)*$J51,$H51),IF(P$122&gt;=$G51,($G51-O$122)*$J51,(P$122-O$122)*$J51)),0)</f>
        <v>0</v>
      </c>
      <c r="Q51" s="469">
        <f t="shared" ref="Q51:Q80" si="9">IF(AND(Q$122&gt;=$K51,Q$122&lt;=$L51),IF(P$122&lt;$F51,IF(Q$122&lt;=$G51,(Q$122-$F51+1)*$J51,$H51),IF(Q$122&gt;=$G51,($G51-P$122)*$J51,(Q$122-P$122)*$J51)),0)</f>
        <v>0</v>
      </c>
      <c r="R51" s="469">
        <f t="shared" ref="R51:R80" si="10">IF(AND(R$122&gt;=$K51,R$122&lt;=$L51),IF(Q$122&lt;$F51,IF(R$122&lt;=$G51,(R$122-$F51+1)*$J51,$H51),IF(R$122&gt;=$G51,($G51-Q$122)*$J51,(R$122-Q$122)*$J51)),0)</f>
        <v>0</v>
      </c>
      <c r="S51" s="469">
        <f t="shared" ref="S51:S80" si="11">IF(AND(S$122&gt;=$K51,S$122&lt;=$L51),IF(R$122&lt;$F51,IF(S$122&lt;=$G51,(S$122-$F51+1)*$J51,$H51),IF(S$122&gt;=$G51,($G51-R$122)*$J51,(S$122-R$122)*$J51)),0)</f>
        <v>0</v>
      </c>
      <c r="T51" s="469">
        <f t="shared" ref="T51:T80" si="12">IF(AND(T$122&gt;=$K51,T$122&lt;=$L51),IF(S$122&lt;$F51,IF(T$122&lt;=$G51,(T$122-$F51+1)*$J51,$H51),IF(T$122&gt;=$G51,($G51-S$122)*$J51,(T$122-S$122)*$J51)),0)</f>
        <v>0</v>
      </c>
      <c r="U51" s="469">
        <f t="shared" ref="U51:U80" si="13">IF(AND(U$122&gt;=$K51,U$122&lt;=$L51),IF(T$122&lt;$F51,IF(U$122&lt;=$G51,(U$122-$F51+1)*$J51,$H51),IF(U$122&gt;=$G51,($G51-T$122)*$J51,(U$122-T$122)*$J51)),0)</f>
        <v>0</v>
      </c>
      <c r="V51" s="469">
        <f t="shared" ref="V51:V80" si="14">IF(AND(V$122&gt;=$K51,V$122&lt;=$L51),IF(U$122&lt;$F51,IF(V$122&lt;=$G51,(V$122-$F51+1)*$J51,$H51),IF(V$122&gt;=$G51,($G51-U$122)*$J51,(V$122-U$122)*$J51)),0)</f>
        <v>0</v>
      </c>
      <c r="W51" s="469">
        <f t="shared" ref="W51:W80" si="15">IF(AND(W$122&gt;=$K51,W$122&lt;=$L51),IF(V$122&lt;$F51,IF(W$122&lt;=$G51,(W$122-$F51+1)*$J51,$H51),IF(W$122&gt;=$G51,($G51-V$122)*$J51,(W$122-V$122)*$J51)),0)</f>
        <v>0</v>
      </c>
      <c r="X51" s="469">
        <f t="shared" ref="X51:X80" si="16">IF(AND(X$122&gt;=$K51,X$122&lt;=$L51),IF(W$122&lt;$F51,IF(X$122&lt;=$G51,(X$122-$F51+1)*$J51,$H51),IF(X$122&gt;=$G51,($G51-W$122)*$J51,(X$122-W$122)*$J51)),0)</f>
        <v>0</v>
      </c>
      <c r="Y51" s="469">
        <f t="shared" ref="Y51:Y80" si="17">IF(AND(Y$122&gt;=$K51,Y$122&lt;=$L51),IF(X$122&lt;$F51,IF(Y$122&lt;=$G51,(Y$122-$F51+1)*$J51,$H51),IF(Y$122&gt;=$G51,($G51-X$122)*$J51,(Y$122-X$122)*$J51)),0)</f>
        <v>0</v>
      </c>
      <c r="Z51" s="469">
        <f t="shared" ref="Z51:Z80" si="18">IF(AND(Z$122&gt;=$K51,Z$122&lt;=$L51),IF(Y$122&lt;$F51,IF(Z$122&lt;=$G51,(Z$122-$F51+1)*$J51,$H51),IF(Z$122&gt;=$G51,($G51-Y$122)*$J51,(Z$122-Y$122)*$J51)),0)</f>
        <v>0</v>
      </c>
      <c r="AA51" s="469">
        <f t="shared" ref="AA51:AA80" si="19">IF(AND(AA$122&gt;=$K51,AA$122&lt;=$L51),IF(Z$122&lt;$F51,IF(AA$122&lt;=$G51,(AA$122-$F51+1)*$J51,$H51),IF(AA$122&gt;=$G51,($G51-Z$122)*$J51,(AA$122-Z$122)*$J51)),0)</f>
        <v>0</v>
      </c>
      <c r="AB51" s="469">
        <f t="shared" ref="AB51:AB80" si="20">IF(AND(AB$122&gt;=$K51,AB$122&lt;=$L51),IF(AA$122&lt;$F51,IF(AB$122&lt;=$G51,(AB$122-$F51+1)*$J51,$H51),IF(AB$122&gt;=$G51,($G51-AA$122)*$J51,(AB$122-AA$122)*$J51)),0)</f>
        <v>0</v>
      </c>
      <c r="AC51" s="469">
        <f t="shared" ref="AC51:AC80" si="21">IF(AND(AC$122&gt;=$K51,AC$122&lt;=$L51),IF(AB$122&lt;$F51,IF(AC$122&lt;=$G51,(AC$122-$F51+1)*$J51,$H51),IF(AC$122&gt;=$G51,($G51-AB$122)*$J51,(AC$122-AB$122)*$J51)),0)</f>
        <v>0</v>
      </c>
      <c r="AD51" s="469">
        <f t="shared" ref="AD51:AD80" si="22">IF(AND(AD$122&gt;=$K51,AD$122&lt;=$L51),IF(AC$122&lt;$F51,IF(AD$122&lt;=$G51,(AD$122-$F51+1)*$J51,$H51),IF(AD$122&gt;=$G51,($G51-AC$122)*$J51,(AD$122-AC$122)*$J51)),0)</f>
        <v>0</v>
      </c>
      <c r="AE51" s="469">
        <f t="shared" ref="AE51:AE80" si="23">IF(AND(AE$122&gt;=$K51,AE$122&lt;=$L51),IF(AD$122&lt;$F51,IF(AE$122&lt;=$G51,(AE$122-$F51+1)*$J51,$H51),IF(AE$122&gt;=$G51,($G51-AD$122)*$J51,(AE$122-AD$122)*$J51)),0)</f>
        <v>0</v>
      </c>
      <c r="AF51" s="469">
        <f t="shared" ref="AF51:AF80" si="24">IF(AND(AF$122&gt;=$K51,AF$122&lt;=$L51),IF(AE$122&lt;$F51,IF(AF$122&lt;=$G51,(AF$122-$F51+1)*$J51,$H51),IF(AF$122&gt;=$G51,($G51-AE$122)*$J51,(AF$122-AE$122)*$J51)),0)</f>
        <v>0</v>
      </c>
      <c r="AG51" s="469">
        <f t="shared" ref="AG51:AG80" si="25">IF(AND(AG$122&gt;=$K51,AG$122&lt;=$L51),IF(AF$122&lt;$F51,IF(AG$122&lt;=$G51,(AG$122-$F51+1)*$J51,$H51),IF(AG$122&gt;=$G51,($G51-AF$122)*$J51,(AG$122-AF$122)*$J51)),0)</f>
        <v>0</v>
      </c>
      <c r="AH51" s="469">
        <f t="shared" ref="AH51:AH80" si="26">IF(AND(AH$122&gt;=$K51,AH$122&lt;=$L51),IF(AG$122&lt;$F51,IF(AH$122&lt;=$G51,(AH$122-$F51+1)*$J51,$H51),IF(AH$122&gt;=$G51,($G51-AG$122)*$J51,(AH$122-AG$122)*$J51)),0)</f>
        <v>0</v>
      </c>
      <c r="AI51" s="469">
        <f t="shared" ref="AI51:AI80" si="27">IF(AND(AI$122&gt;=$K51,AI$122&lt;=$L51),IF(AH$122&lt;$F51,IF(AI$122&lt;=$G51,(AI$122-$F51+1)*$J51,$H51),IF(AI$122&gt;=$G51,($G51-AH$122)*$J51,(AI$122-AH$122)*$J51)),0)</f>
        <v>0</v>
      </c>
      <c r="AJ51" s="469">
        <f t="shared" ref="AJ51:AJ80" si="28">IF(AND(AJ$122&gt;=$K51,AJ$122&lt;=$L51),IF(AI$122&lt;$F51,IF(AJ$122&lt;=$G51,(AJ$122-$F51+1)*$J51,$H51),IF(AJ$122&gt;=$G51,($G51-AI$122)*$J51,(AJ$122-AI$122)*$J51)),0)</f>
        <v>0</v>
      </c>
      <c r="AK51" s="469">
        <f t="shared" ref="AK51:AK80" si="29">IF(AND(AK$122&gt;=$K51,AK$122&lt;=$L51),IF(AJ$122&lt;$F51,IF(AK$122&lt;=$G51,(AK$122-$F51+1)*$J51,$H51),IF(AK$122&gt;=$G51,($G51-AJ$122)*$J51,(AK$122-AJ$122)*$J51)),0)</f>
        <v>0</v>
      </c>
      <c r="AL51" s="469">
        <f t="shared" ref="AL51:AL80" si="30">IF(AND(AL$122&gt;=$K51,AL$122&lt;=$L51),IF(AK$122&lt;$F51,IF(AL$122&lt;=$G51,(AL$122-$F51+1)*$J51,$H51),IF(AL$122&gt;=$G51,($G51-AK$122)*$J51,(AL$122-AK$122)*$J51)),0)</f>
        <v>0</v>
      </c>
      <c r="AM51" s="469">
        <f t="shared" ref="AM51:AM80" si="31">IF(AND(AM$122&gt;=$K51,AM$122&lt;=$L51),IF(AL$122&lt;$F51,IF(AM$122&lt;=$G51,(AM$122-$F51+1)*$J51,$H51),IF(AM$122&gt;=$G51,($G51-AL$122)*$J51,(AM$122-AL$122)*$J51)),0)</f>
        <v>0</v>
      </c>
      <c r="AN51" s="469">
        <f t="shared" ref="AN51:AN80" si="32">IF(AND(AN$122&gt;=$K51,AN$122&lt;=$L51),IF(AM$122&lt;$F51,IF(AN$122&lt;=$G51,(AN$122-$F51+1)*$J51,$H51),IF(AN$122&gt;=$G51,($G51-AM$122)*$J51,(AN$122-AM$122)*$J51)),0)</f>
        <v>0</v>
      </c>
      <c r="AO51" s="469">
        <f t="shared" ref="AO51:AO80" si="33">IF(AND(AO$122&gt;=$K51,AO$122&lt;=$L51),IF(AN$122&lt;$F51,IF(AO$122&lt;=$G51,(AO$122-$F51+1)*$J51,$H51),IF(AO$122&gt;=$G51,($G51-AN$122)*$J51,(AO$122-AN$122)*$J51)),0)</f>
        <v>0</v>
      </c>
      <c r="AP51" s="469">
        <f t="shared" ref="AP51:AP80" si="34">IF(AND(AP$122&gt;=$K51,AP$122&lt;=$L51),IF(AO$122&lt;$F51,IF(AP$122&lt;=$G51,(AP$122-$F51+1)*$J51,$H51),IF(AP$122&gt;=$G51,($G51-AO$122)*$J51,(AP$122-AO$122)*$J51)),0)</f>
        <v>0</v>
      </c>
      <c r="AQ51" s="469">
        <f t="shared" ref="AQ51:AQ80" si="35">IF(AND(AQ$122&gt;=$K51,AQ$122&lt;=$L51),IF(AP$122&lt;$F51,IF(AQ$122&lt;=$G51,(AQ$122-$F51+1)*$J51,$H51),IF(AQ$122&gt;=$G51,($G51-AP$122)*$J51,(AQ$122-AP$122)*$J51)),0)</f>
        <v>0</v>
      </c>
      <c r="AR51" s="469">
        <f t="shared" ref="AR51:AR80" si="36">IF(AND(AR$122&gt;=$K51,AR$122&lt;=$L51),IF(AQ$122&lt;$F51,IF(AR$122&lt;=$G51,(AR$122-$F51+1)*$J51,$H51),IF(AR$122&gt;=$G51,($G51-AQ$122)*$J51,(AR$122-AQ$122)*$J51)),0)</f>
        <v>0</v>
      </c>
      <c r="AS51" s="469">
        <f t="shared" ref="AS51:AS80" si="37">IF(AND(AS$122&gt;=$K51,AS$122&lt;=$L51),IF(AR$122&lt;$F51,IF(AS$122&lt;=$G51,(AS$122-$F51+1)*$J51,$H51),IF(AS$122&gt;=$G51,($G51-AR$122)*$J51,(AS$122-AR$122)*$J51)),0)</f>
        <v>0</v>
      </c>
      <c r="AT51" s="469">
        <f t="shared" ref="AT51:AT80" si="38">IF(AND(AT$122&gt;=$K51,AT$122&lt;=$L51),IF(AS$122&lt;$F51,IF(AT$122&lt;=$G51,(AT$122-$F51+1)*$J51,$H51),IF(AT$122&gt;=$G51,($G51-AS$122)*$J51,(AT$122-AS$122)*$J51)),0)</f>
        <v>0</v>
      </c>
      <c r="AU51" s="469">
        <f t="shared" ref="AU51:AU80" si="39">IF(AND(AU$122&gt;=$K51,AU$122&lt;=$L51),IF(AT$122&lt;$F51,IF(AU$122&lt;=$G51,(AU$122-$F51+1)*$J51,$H51),IF(AU$122&gt;=$G51,($G51-AT$122)*$J51,(AU$122-AT$122)*$J51)),0)</f>
        <v>0</v>
      </c>
      <c r="AV51" s="469">
        <f t="shared" ref="AV51:AV80" si="40">IF(AND(AV$122&gt;=$K51,AV$122&lt;=$L51),IF(AU$122&lt;$F51,IF(AV$122&lt;=$G51,(AV$122-$F51+1)*$J51,$H51),IF(AV$122&gt;=$G51,($G51-AU$122)*$J51,(AV$122-AU$122)*$J51)),0)</f>
        <v>0</v>
      </c>
      <c r="AW51" s="469">
        <f t="shared" ref="AW51:AW80" si="41">IF(AND(AW$122&gt;=$K51,AW$122&lt;=$L51),IF(AV$122&lt;$F51,IF(AW$122&lt;=$G51,(AW$122-$F51+1)*$J51,$H51),IF(AW$122&gt;=$G51,($G51-AV$122)*$J51,(AW$122-AV$122)*$J51)),0)</f>
        <v>0</v>
      </c>
      <c r="AX51" s="469">
        <f t="shared" ref="AX51:AX80" si="42">IF(AND(AX$122&gt;=$K51,AX$122&lt;=$L51),IF(AW$122&lt;$F51,IF(AX$122&lt;=$G51,(AX$122-$F51+1)*$J51,$H51),IF(AX$122&gt;=$G51,($G51-AW$122)*$J51,(AX$122-AW$122)*$J51)),0)</f>
        <v>0</v>
      </c>
      <c r="AY51" s="444">
        <f t="shared" ref="AY51:AY65" si="43">SUM(M51:AX51)</f>
        <v>0</v>
      </c>
      <c r="AZ51" s="141"/>
    </row>
    <row r="52" spans="1:52">
      <c r="A52" s="1335">
        <f>$B$14</f>
        <v>0</v>
      </c>
      <c r="B52" s="1335"/>
      <c r="C52" s="1335"/>
      <c r="D52" s="1335"/>
      <c r="E52" s="1335"/>
      <c r="F52" s="467">
        <f>OpeningTemplate!$D$56</f>
        <v>0</v>
      </c>
      <c r="G52" s="467">
        <f>OpeningTemplate!$E$56</f>
        <v>0</v>
      </c>
      <c r="H52" s="446">
        <f t="shared" ref="H52:H80" si="44">K14</f>
        <v>0</v>
      </c>
      <c r="I52" s="446">
        <f t="shared" ref="I52:I80" si="45">IF(G52-F52&gt;0,G52-F52+1,0)</f>
        <v>0</v>
      </c>
      <c r="J52" s="468">
        <f t="shared" ref="J52:J80" si="46">IF(I52&lt;&gt;0,H52/I52,0)</f>
        <v>0</v>
      </c>
      <c r="K52" s="467">
        <f t="shared" si="3"/>
        <v>0</v>
      </c>
      <c r="L52" s="467">
        <f t="shared" si="4"/>
        <v>0</v>
      </c>
      <c r="M52" s="469">
        <f t="shared" si="5"/>
        <v>0</v>
      </c>
      <c r="N52" s="469">
        <f t="shared" si="6"/>
        <v>0</v>
      </c>
      <c r="O52" s="469">
        <f t="shared" si="7"/>
        <v>0</v>
      </c>
      <c r="P52" s="469">
        <f t="shared" si="8"/>
        <v>0</v>
      </c>
      <c r="Q52" s="469">
        <f t="shared" si="9"/>
        <v>0</v>
      </c>
      <c r="R52" s="469">
        <f t="shared" si="10"/>
        <v>0</v>
      </c>
      <c r="S52" s="469">
        <f t="shared" si="11"/>
        <v>0</v>
      </c>
      <c r="T52" s="469">
        <f t="shared" si="12"/>
        <v>0</v>
      </c>
      <c r="U52" s="469">
        <f t="shared" si="13"/>
        <v>0</v>
      </c>
      <c r="V52" s="469">
        <f t="shared" si="14"/>
        <v>0</v>
      </c>
      <c r="W52" s="469">
        <f t="shared" si="15"/>
        <v>0</v>
      </c>
      <c r="X52" s="469">
        <f t="shared" si="16"/>
        <v>0</v>
      </c>
      <c r="Y52" s="469">
        <f t="shared" si="17"/>
        <v>0</v>
      </c>
      <c r="Z52" s="469">
        <f t="shared" si="18"/>
        <v>0</v>
      </c>
      <c r="AA52" s="469">
        <f t="shared" si="19"/>
        <v>0</v>
      </c>
      <c r="AB52" s="469">
        <f t="shared" si="20"/>
        <v>0</v>
      </c>
      <c r="AC52" s="469">
        <f t="shared" si="21"/>
        <v>0</v>
      </c>
      <c r="AD52" s="469">
        <f t="shared" si="22"/>
        <v>0</v>
      </c>
      <c r="AE52" s="469">
        <f t="shared" si="23"/>
        <v>0</v>
      </c>
      <c r="AF52" s="469">
        <f t="shared" si="24"/>
        <v>0</v>
      </c>
      <c r="AG52" s="469">
        <f t="shared" si="25"/>
        <v>0</v>
      </c>
      <c r="AH52" s="469">
        <f t="shared" si="26"/>
        <v>0</v>
      </c>
      <c r="AI52" s="469">
        <f t="shared" si="27"/>
        <v>0</v>
      </c>
      <c r="AJ52" s="469">
        <f t="shared" si="28"/>
        <v>0</v>
      </c>
      <c r="AK52" s="469">
        <f t="shared" si="29"/>
        <v>0</v>
      </c>
      <c r="AL52" s="469">
        <f t="shared" si="30"/>
        <v>0</v>
      </c>
      <c r="AM52" s="469">
        <f t="shared" si="31"/>
        <v>0</v>
      </c>
      <c r="AN52" s="469">
        <f t="shared" si="32"/>
        <v>0</v>
      </c>
      <c r="AO52" s="469">
        <f t="shared" si="33"/>
        <v>0</v>
      </c>
      <c r="AP52" s="469">
        <f t="shared" si="34"/>
        <v>0</v>
      </c>
      <c r="AQ52" s="469">
        <f t="shared" si="35"/>
        <v>0</v>
      </c>
      <c r="AR52" s="469">
        <f t="shared" si="36"/>
        <v>0</v>
      </c>
      <c r="AS52" s="469">
        <f t="shared" si="37"/>
        <v>0</v>
      </c>
      <c r="AT52" s="469">
        <f t="shared" si="38"/>
        <v>0</v>
      </c>
      <c r="AU52" s="469">
        <f t="shared" si="39"/>
        <v>0</v>
      </c>
      <c r="AV52" s="469">
        <f t="shared" si="40"/>
        <v>0</v>
      </c>
      <c r="AW52" s="469">
        <f t="shared" si="41"/>
        <v>0</v>
      </c>
      <c r="AX52" s="469">
        <f t="shared" si="42"/>
        <v>0</v>
      </c>
      <c r="AY52" s="444">
        <f t="shared" si="43"/>
        <v>0</v>
      </c>
      <c r="AZ52" s="141"/>
    </row>
    <row r="53" spans="1:52">
      <c r="A53" s="1335">
        <f>$B$15</f>
        <v>0</v>
      </c>
      <c r="B53" s="1335"/>
      <c r="C53" s="1335"/>
      <c r="D53" s="1335"/>
      <c r="E53" s="1335"/>
      <c r="F53" s="467">
        <f>OpeningTemplate!$D$66</f>
        <v>0</v>
      </c>
      <c r="G53" s="467">
        <f>OpeningTemplate!$E$66</f>
        <v>0</v>
      </c>
      <c r="H53" s="446">
        <f t="shared" si="44"/>
        <v>0</v>
      </c>
      <c r="I53" s="446">
        <f t="shared" si="45"/>
        <v>0</v>
      </c>
      <c r="J53" s="468">
        <f t="shared" si="46"/>
        <v>0</v>
      </c>
      <c r="K53" s="467">
        <f t="shared" si="3"/>
        <v>0</v>
      </c>
      <c r="L53" s="467">
        <f t="shared" si="4"/>
        <v>0</v>
      </c>
      <c r="M53" s="469">
        <f t="shared" si="5"/>
        <v>0</v>
      </c>
      <c r="N53" s="469">
        <f t="shared" si="6"/>
        <v>0</v>
      </c>
      <c r="O53" s="469">
        <f t="shared" si="7"/>
        <v>0</v>
      </c>
      <c r="P53" s="469">
        <f t="shared" si="8"/>
        <v>0</v>
      </c>
      <c r="Q53" s="469">
        <f t="shared" si="9"/>
        <v>0</v>
      </c>
      <c r="R53" s="469">
        <f t="shared" si="10"/>
        <v>0</v>
      </c>
      <c r="S53" s="469">
        <f t="shared" si="11"/>
        <v>0</v>
      </c>
      <c r="T53" s="469">
        <f t="shared" si="12"/>
        <v>0</v>
      </c>
      <c r="U53" s="469">
        <f t="shared" si="13"/>
        <v>0</v>
      </c>
      <c r="V53" s="469">
        <f t="shared" si="14"/>
        <v>0</v>
      </c>
      <c r="W53" s="469">
        <f t="shared" si="15"/>
        <v>0</v>
      </c>
      <c r="X53" s="469">
        <f t="shared" si="16"/>
        <v>0</v>
      </c>
      <c r="Y53" s="469">
        <f t="shared" si="17"/>
        <v>0</v>
      </c>
      <c r="Z53" s="469">
        <f t="shared" si="18"/>
        <v>0</v>
      </c>
      <c r="AA53" s="469">
        <f t="shared" si="19"/>
        <v>0</v>
      </c>
      <c r="AB53" s="469">
        <f t="shared" si="20"/>
        <v>0</v>
      </c>
      <c r="AC53" s="469">
        <f t="shared" si="21"/>
        <v>0</v>
      </c>
      <c r="AD53" s="469">
        <f t="shared" si="22"/>
        <v>0</v>
      </c>
      <c r="AE53" s="469">
        <f t="shared" si="23"/>
        <v>0</v>
      </c>
      <c r="AF53" s="469">
        <f t="shared" si="24"/>
        <v>0</v>
      </c>
      <c r="AG53" s="469">
        <f t="shared" si="25"/>
        <v>0</v>
      </c>
      <c r="AH53" s="469">
        <f t="shared" si="26"/>
        <v>0</v>
      </c>
      <c r="AI53" s="469">
        <f t="shared" si="27"/>
        <v>0</v>
      </c>
      <c r="AJ53" s="469">
        <f t="shared" si="28"/>
        <v>0</v>
      </c>
      <c r="AK53" s="469">
        <f t="shared" si="29"/>
        <v>0</v>
      </c>
      <c r="AL53" s="469">
        <f t="shared" si="30"/>
        <v>0</v>
      </c>
      <c r="AM53" s="469">
        <f t="shared" si="31"/>
        <v>0</v>
      </c>
      <c r="AN53" s="469">
        <f t="shared" si="32"/>
        <v>0</v>
      </c>
      <c r="AO53" s="469">
        <f t="shared" si="33"/>
        <v>0</v>
      </c>
      <c r="AP53" s="469">
        <f t="shared" si="34"/>
        <v>0</v>
      </c>
      <c r="AQ53" s="469">
        <f t="shared" si="35"/>
        <v>0</v>
      </c>
      <c r="AR53" s="469">
        <f t="shared" si="36"/>
        <v>0</v>
      </c>
      <c r="AS53" s="469">
        <f t="shared" si="37"/>
        <v>0</v>
      </c>
      <c r="AT53" s="469">
        <f t="shared" si="38"/>
        <v>0</v>
      </c>
      <c r="AU53" s="469">
        <f t="shared" si="39"/>
        <v>0</v>
      </c>
      <c r="AV53" s="469">
        <f t="shared" si="40"/>
        <v>0</v>
      </c>
      <c r="AW53" s="469">
        <f t="shared" si="41"/>
        <v>0</v>
      </c>
      <c r="AX53" s="469">
        <f t="shared" si="42"/>
        <v>0</v>
      </c>
      <c r="AY53" s="444">
        <f t="shared" si="43"/>
        <v>0</v>
      </c>
      <c r="AZ53" s="141"/>
    </row>
    <row r="54" spans="1:52">
      <c r="A54" s="1335">
        <f>$B$16</f>
        <v>0</v>
      </c>
      <c r="B54" s="1335"/>
      <c r="C54" s="1335"/>
      <c r="D54" s="1335"/>
      <c r="E54" s="1335"/>
      <c r="F54" s="467">
        <f>OpeningTemplate!$D$76</f>
        <v>0</v>
      </c>
      <c r="G54" s="467">
        <f>OpeningTemplate!$E$76</f>
        <v>0</v>
      </c>
      <c r="H54" s="446">
        <f t="shared" si="44"/>
        <v>0</v>
      </c>
      <c r="I54" s="446">
        <f t="shared" si="45"/>
        <v>0</v>
      </c>
      <c r="J54" s="468">
        <f t="shared" si="46"/>
        <v>0</v>
      </c>
      <c r="K54" s="467">
        <f t="shared" si="3"/>
        <v>0</v>
      </c>
      <c r="L54" s="467">
        <f t="shared" si="4"/>
        <v>0</v>
      </c>
      <c r="M54" s="469">
        <f t="shared" si="5"/>
        <v>0</v>
      </c>
      <c r="N54" s="469">
        <f t="shared" si="6"/>
        <v>0</v>
      </c>
      <c r="O54" s="469">
        <f t="shared" si="7"/>
        <v>0</v>
      </c>
      <c r="P54" s="469">
        <f t="shared" si="8"/>
        <v>0</v>
      </c>
      <c r="Q54" s="469">
        <f t="shared" si="9"/>
        <v>0</v>
      </c>
      <c r="R54" s="469">
        <f t="shared" si="10"/>
        <v>0</v>
      </c>
      <c r="S54" s="469">
        <f t="shared" si="11"/>
        <v>0</v>
      </c>
      <c r="T54" s="469">
        <f t="shared" si="12"/>
        <v>0</v>
      </c>
      <c r="U54" s="469">
        <f t="shared" si="13"/>
        <v>0</v>
      </c>
      <c r="V54" s="469">
        <f t="shared" si="14"/>
        <v>0</v>
      </c>
      <c r="W54" s="469">
        <f t="shared" si="15"/>
        <v>0</v>
      </c>
      <c r="X54" s="469">
        <f t="shared" si="16"/>
        <v>0</v>
      </c>
      <c r="Y54" s="469">
        <f t="shared" si="17"/>
        <v>0</v>
      </c>
      <c r="Z54" s="469">
        <f t="shared" si="18"/>
        <v>0</v>
      </c>
      <c r="AA54" s="469">
        <f t="shared" si="19"/>
        <v>0</v>
      </c>
      <c r="AB54" s="469">
        <f t="shared" si="20"/>
        <v>0</v>
      </c>
      <c r="AC54" s="469">
        <f t="shared" si="21"/>
        <v>0</v>
      </c>
      <c r="AD54" s="469">
        <f t="shared" si="22"/>
        <v>0</v>
      </c>
      <c r="AE54" s="469">
        <f t="shared" si="23"/>
        <v>0</v>
      </c>
      <c r="AF54" s="469">
        <f t="shared" si="24"/>
        <v>0</v>
      </c>
      <c r="AG54" s="469">
        <f t="shared" si="25"/>
        <v>0</v>
      </c>
      <c r="AH54" s="469">
        <f t="shared" si="26"/>
        <v>0</v>
      </c>
      <c r="AI54" s="469">
        <f t="shared" si="27"/>
        <v>0</v>
      </c>
      <c r="AJ54" s="469">
        <f t="shared" si="28"/>
        <v>0</v>
      </c>
      <c r="AK54" s="469">
        <f t="shared" si="29"/>
        <v>0</v>
      </c>
      <c r="AL54" s="469">
        <f t="shared" si="30"/>
        <v>0</v>
      </c>
      <c r="AM54" s="469">
        <f t="shared" si="31"/>
        <v>0</v>
      </c>
      <c r="AN54" s="469">
        <f t="shared" si="32"/>
        <v>0</v>
      </c>
      <c r="AO54" s="469">
        <f t="shared" si="33"/>
        <v>0</v>
      </c>
      <c r="AP54" s="469">
        <f t="shared" si="34"/>
        <v>0</v>
      </c>
      <c r="AQ54" s="469">
        <f t="shared" si="35"/>
        <v>0</v>
      </c>
      <c r="AR54" s="469">
        <f t="shared" si="36"/>
        <v>0</v>
      </c>
      <c r="AS54" s="469">
        <f t="shared" si="37"/>
        <v>0</v>
      </c>
      <c r="AT54" s="469">
        <f t="shared" si="38"/>
        <v>0</v>
      </c>
      <c r="AU54" s="469">
        <f t="shared" si="39"/>
        <v>0</v>
      </c>
      <c r="AV54" s="469">
        <f t="shared" si="40"/>
        <v>0</v>
      </c>
      <c r="AW54" s="469">
        <f t="shared" si="41"/>
        <v>0</v>
      </c>
      <c r="AX54" s="469">
        <f t="shared" si="42"/>
        <v>0</v>
      </c>
      <c r="AY54" s="444">
        <f t="shared" si="43"/>
        <v>0</v>
      </c>
      <c r="AZ54" s="141"/>
    </row>
    <row r="55" spans="1:52">
      <c r="A55" s="1335">
        <f>$B$17</f>
        <v>0</v>
      </c>
      <c r="B55" s="1335"/>
      <c r="C55" s="1335"/>
      <c r="D55" s="1335"/>
      <c r="E55" s="1335"/>
      <c r="F55" s="467">
        <f>OpeningTemplate!$D$86</f>
        <v>0</v>
      </c>
      <c r="G55" s="467">
        <f>OpeningTemplate!$E$86</f>
        <v>0</v>
      </c>
      <c r="H55" s="446">
        <f t="shared" si="44"/>
        <v>0</v>
      </c>
      <c r="I55" s="446">
        <f t="shared" si="45"/>
        <v>0</v>
      </c>
      <c r="J55" s="468">
        <f t="shared" si="46"/>
        <v>0</v>
      </c>
      <c r="K55" s="467">
        <f t="shared" si="3"/>
        <v>0</v>
      </c>
      <c r="L55" s="467">
        <f t="shared" si="4"/>
        <v>0</v>
      </c>
      <c r="M55" s="469">
        <f t="shared" si="5"/>
        <v>0</v>
      </c>
      <c r="N55" s="469">
        <f t="shared" si="6"/>
        <v>0</v>
      </c>
      <c r="O55" s="469">
        <f t="shared" si="7"/>
        <v>0</v>
      </c>
      <c r="P55" s="469">
        <f t="shared" si="8"/>
        <v>0</v>
      </c>
      <c r="Q55" s="469">
        <f t="shared" si="9"/>
        <v>0</v>
      </c>
      <c r="R55" s="469">
        <f t="shared" si="10"/>
        <v>0</v>
      </c>
      <c r="S55" s="469">
        <f t="shared" si="11"/>
        <v>0</v>
      </c>
      <c r="T55" s="469">
        <f t="shared" si="12"/>
        <v>0</v>
      </c>
      <c r="U55" s="469">
        <f t="shared" si="13"/>
        <v>0</v>
      </c>
      <c r="V55" s="469">
        <f t="shared" si="14"/>
        <v>0</v>
      </c>
      <c r="W55" s="469">
        <f t="shared" si="15"/>
        <v>0</v>
      </c>
      <c r="X55" s="469">
        <f t="shared" si="16"/>
        <v>0</v>
      </c>
      <c r="Y55" s="469">
        <f t="shared" si="17"/>
        <v>0</v>
      </c>
      <c r="Z55" s="469">
        <f t="shared" si="18"/>
        <v>0</v>
      </c>
      <c r="AA55" s="469">
        <f t="shared" si="19"/>
        <v>0</v>
      </c>
      <c r="AB55" s="469">
        <f t="shared" si="20"/>
        <v>0</v>
      </c>
      <c r="AC55" s="469">
        <f t="shared" si="21"/>
        <v>0</v>
      </c>
      <c r="AD55" s="469">
        <f t="shared" si="22"/>
        <v>0</v>
      </c>
      <c r="AE55" s="469">
        <f t="shared" si="23"/>
        <v>0</v>
      </c>
      <c r="AF55" s="469">
        <f t="shared" si="24"/>
        <v>0</v>
      </c>
      <c r="AG55" s="469">
        <f t="shared" si="25"/>
        <v>0</v>
      </c>
      <c r="AH55" s="469">
        <f t="shared" si="26"/>
        <v>0</v>
      </c>
      <c r="AI55" s="469">
        <f t="shared" si="27"/>
        <v>0</v>
      </c>
      <c r="AJ55" s="469">
        <f t="shared" si="28"/>
        <v>0</v>
      </c>
      <c r="AK55" s="469">
        <f t="shared" si="29"/>
        <v>0</v>
      </c>
      <c r="AL55" s="469">
        <f t="shared" si="30"/>
        <v>0</v>
      </c>
      <c r="AM55" s="469">
        <f t="shared" si="31"/>
        <v>0</v>
      </c>
      <c r="AN55" s="469">
        <f t="shared" si="32"/>
        <v>0</v>
      </c>
      <c r="AO55" s="469">
        <f t="shared" si="33"/>
        <v>0</v>
      </c>
      <c r="AP55" s="469">
        <f t="shared" si="34"/>
        <v>0</v>
      </c>
      <c r="AQ55" s="469">
        <f t="shared" si="35"/>
        <v>0</v>
      </c>
      <c r="AR55" s="469">
        <f t="shared" si="36"/>
        <v>0</v>
      </c>
      <c r="AS55" s="469">
        <f t="shared" si="37"/>
        <v>0</v>
      </c>
      <c r="AT55" s="469">
        <f t="shared" si="38"/>
        <v>0</v>
      </c>
      <c r="AU55" s="469">
        <f t="shared" si="39"/>
        <v>0</v>
      </c>
      <c r="AV55" s="469">
        <f t="shared" si="40"/>
        <v>0</v>
      </c>
      <c r="AW55" s="469">
        <f t="shared" si="41"/>
        <v>0</v>
      </c>
      <c r="AX55" s="469">
        <f t="shared" si="42"/>
        <v>0</v>
      </c>
      <c r="AY55" s="444">
        <f t="shared" si="43"/>
        <v>0</v>
      </c>
      <c r="AZ55" s="141"/>
    </row>
    <row r="56" spans="1:52">
      <c r="A56" s="1335">
        <f>$B$18</f>
        <v>0</v>
      </c>
      <c r="B56" s="1335"/>
      <c r="C56" s="1335"/>
      <c r="D56" s="1335"/>
      <c r="E56" s="1335"/>
      <c r="F56" s="467">
        <f>OpeningTemplate!$D$96</f>
        <v>0</v>
      </c>
      <c r="G56" s="467">
        <f>OpeningTemplate!$E$96</f>
        <v>0</v>
      </c>
      <c r="H56" s="446">
        <f t="shared" si="44"/>
        <v>0</v>
      </c>
      <c r="I56" s="446">
        <f t="shared" si="45"/>
        <v>0</v>
      </c>
      <c r="J56" s="468">
        <f t="shared" si="46"/>
        <v>0</v>
      </c>
      <c r="K56" s="467">
        <f t="shared" si="3"/>
        <v>0</v>
      </c>
      <c r="L56" s="467">
        <f t="shared" si="4"/>
        <v>0</v>
      </c>
      <c r="M56" s="469">
        <f t="shared" si="5"/>
        <v>0</v>
      </c>
      <c r="N56" s="469">
        <f t="shared" si="6"/>
        <v>0</v>
      </c>
      <c r="O56" s="469">
        <f t="shared" si="7"/>
        <v>0</v>
      </c>
      <c r="P56" s="469">
        <f t="shared" si="8"/>
        <v>0</v>
      </c>
      <c r="Q56" s="469">
        <f t="shared" si="9"/>
        <v>0</v>
      </c>
      <c r="R56" s="469">
        <f t="shared" si="10"/>
        <v>0</v>
      </c>
      <c r="S56" s="469">
        <f t="shared" si="11"/>
        <v>0</v>
      </c>
      <c r="T56" s="469">
        <f t="shared" si="12"/>
        <v>0</v>
      </c>
      <c r="U56" s="469">
        <f t="shared" si="13"/>
        <v>0</v>
      </c>
      <c r="V56" s="469">
        <f t="shared" si="14"/>
        <v>0</v>
      </c>
      <c r="W56" s="469">
        <f t="shared" si="15"/>
        <v>0</v>
      </c>
      <c r="X56" s="469">
        <f t="shared" si="16"/>
        <v>0</v>
      </c>
      <c r="Y56" s="469">
        <f t="shared" si="17"/>
        <v>0</v>
      </c>
      <c r="Z56" s="469">
        <f t="shared" si="18"/>
        <v>0</v>
      </c>
      <c r="AA56" s="469">
        <f t="shared" si="19"/>
        <v>0</v>
      </c>
      <c r="AB56" s="469">
        <f t="shared" si="20"/>
        <v>0</v>
      </c>
      <c r="AC56" s="469">
        <f t="shared" si="21"/>
        <v>0</v>
      </c>
      <c r="AD56" s="469">
        <f t="shared" si="22"/>
        <v>0</v>
      </c>
      <c r="AE56" s="469">
        <f t="shared" si="23"/>
        <v>0</v>
      </c>
      <c r="AF56" s="469">
        <f t="shared" si="24"/>
        <v>0</v>
      </c>
      <c r="AG56" s="469">
        <f t="shared" si="25"/>
        <v>0</v>
      </c>
      <c r="AH56" s="469">
        <f t="shared" si="26"/>
        <v>0</v>
      </c>
      <c r="AI56" s="469">
        <f t="shared" si="27"/>
        <v>0</v>
      </c>
      <c r="AJ56" s="469">
        <f t="shared" si="28"/>
        <v>0</v>
      </c>
      <c r="AK56" s="469">
        <f t="shared" si="29"/>
        <v>0</v>
      </c>
      <c r="AL56" s="469">
        <f t="shared" si="30"/>
        <v>0</v>
      </c>
      <c r="AM56" s="469">
        <f t="shared" si="31"/>
        <v>0</v>
      </c>
      <c r="AN56" s="469">
        <f t="shared" si="32"/>
        <v>0</v>
      </c>
      <c r="AO56" s="469">
        <f t="shared" si="33"/>
        <v>0</v>
      </c>
      <c r="AP56" s="469">
        <f t="shared" si="34"/>
        <v>0</v>
      </c>
      <c r="AQ56" s="469">
        <f t="shared" si="35"/>
        <v>0</v>
      </c>
      <c r="AR56" s="469">
        <f t="shared" si="36"/>
        <v>0</v>
      </c>
      <c r="AS56" s="469">
        <f t="shared" si="37"/>
        <v>0</v>
      </c>
      <c r="AT56" s="469">
        <f t="shared" si="38"/>
        <v>0</v>
      </c>
      <c r="AU56" s="469">
        <f t="shared" si="39"/>
        <v>0</v>
      </c>
      <c r="AV56" s="469">
        <f t="shared" si="40"/>
        <v>0</v>
      </c>
      <c r="AW56" s="469">
        <f t="shared" si="41"/>
        <v>0</v>
      </c>
      <c r="AX56" s="469">
        <f t="shared" si="42"/>
        <v>0</v>
      </c>
      <c r="AY56" s="444">
        <f t="shared" si="43"/>
        <v>0</v>
      </c>
      <c r="AZ56" s="141"/>
    </row>
    <row r="57" spans="1:52">
      <c r="A57" s="1335">
        <f>$B$19</f>
        <v>0</v>
      </c>
      <c r="B57" s="1335"/>
      <c r="C57" s="1335"/>
      <c r="D57" s="1335"/>
      <c r="E57" s="1335"/>
      <c r="F57" s="467">
        <f>OpeningTemplate!$D$106</f>
        <v>0</v>
      </c>
      <c r="G57" s="467">
        <f>OpeningTemplate!$E$106</f>
        <v>0</v>
      </c>
      <c r="H57" s="446">
        <f t="shared" si="44"/>
        <v>0</v>
      </c>
      <c r="I57" s="446">
        <f t="shared" si="45"/>
        <v>0</v>
      </c>
      <c r="J57" s="468">
        <f t="shared" si="46"/>
        <v>0</v>
      </c>
      <c r="K57" s="467">
        <f t="shared" si="3"/>
        <v>0</v>
      </c>
      <c r="L57" s="467">
        <f t="shared" si="4"/>
        <v>0</v>
      </c>
      <c r="M57" s="469">
        <f t="shared" si="5"/>
        <v>0</v>
      </c>
      <c r="N57" s="469">
        <f t="shared" si="6"/>
        <v>0</v>
      </c>
      <c r="O57" s="469">
        <f t="shared" si="7"/>
        <v>0</v>
      </c>
      <c r="P57" s="469">
        <f t="shared" si="8"/>
        <v>0</v>
      </c>
      <c r="Q57" s="469">
        <f t="shared" si="9"/>
        <v>0</v>
      </c>
      <c r="R57" s="469">
        <f t="shared" si="10"/>
        <v>0</v>
      </c>
      <c r="S57" s="469">
        <f t="shared" si="11"/>
        <v>0</v>
      </c>
      <c r="T57" s="469">
        <f t="shared" si="12"/>
        <v>0</v>
      </c>
      <c r="U57" s="469">
        <f t="shared" si="13"/>
        <v>0</v>
      </c>
      <c r="V57" s="469">
        <f t="shared" si="14"/>
        <v>0</v>
      </c>
      <c r="W57" s="469">
        <f t="shared" si="15"/>
        <v>0</v>
      </c>
      <c r="X57" s="469">
        <f t="shared" si="16"/>
        <v>0</v>
      </c>
      <c r="Y57" s="469">
        <f t="shared" si="17"/>
        <v>0</v>
      </c>
      <c r="Z57" s="469">
        <f t="shared" si="18"/>
        <v>0</v>
      </c>
      <c r="AA57" s="469">
        <f t="shared" si="19"/>
        <v>0</v>
      </c>
      <c r="AB57" s="469">
        <f t="shared" si="20"/>
        <v>0</v>
      </c>
      <c r="AC57" s="469">
        <f t="shared" si="21"/>
        <v>0</v>
      </c>
      <c r="AD57" s="469">
        <f t="shared" si="22"/>
        <v>0</v>
      </c>
      <c r="AE57" s="469">
        <f t="shared" si="23"/>
        <v>0</v>
      </c>
      <c r="AF57" s="469">
        <f t="shared" si="24"/>
        <v>0</v>
      </c>
      <c r="AG57" s="469">
        <f t="shared" si="25"/>
        <v>0</v>
      </c>
      <c r="AH57" s="469">
        <f t="shared" si="26"/>
        <v>0</v>
      </c>
      <c r="AI57" s="469">
        <f t="shared" si="27"/>
        <v>0</v>
      </c>
      <c r="AJ57" s="469">
        <f t="shared" si="28"/>
        <v>0</v>
      </c>
      <c r="AK57" s="469">
        <f t="shared" si="29"/>
        <v>0</v>
      </c>
      <c r="AL57" s="469">
        <f t="shared" si="30"/>
        <v>0</v>
      </c>
      <c r="AM57" s="469">
        <f t="shared" si="31"/>
        <v>0</v>
      </c>
      <c r="AN57" s="469">
        <f t="shared" si="32"/>
        <v>0</v>
      </c>
      <c r="AO57" s="469">
        <f t="shared" si="33"/>
        <v>0</v>
      </c>
      <c r="AP57" s="469">
        <f t="shared" si="34"/>
        <v>0</v>
      </c>
      <c r="AQ57" s="469">
        <f t="shared" si="35"/>
        <v>0</v>
      </c>
      <c r="AR57" s="469">
        <f t="shared" si="36"/>
        <v>0</v>
      </c>
      <c r="AS57" s="469">
        <f t="shared" si="37"/>
        <v>0</v>
      </c>
      <c r="AT57" s="469">
        <f t="shared" si="38"/>
        <v>0</v>
      </c>
      <c r="AU57" s="469">
        <f t="shared" si="39"/>
        <v>0</v>
      </c>
      <c r="AV57" s="469">
        <f t="shared" si="40"/>
        <v>0</v>
      </c>
      <c r="AW57" s="469">
        <f t="shared" si="41"/>
        <v>0</v>
      </c>
      <c r="AX57" s="469">
        <f t="shared" si="42"/>
        <v>0</v>
      </c>
      <c r="AY57" s="444">
        <f t="shared" si="43"/>
        <v>0</v>
      </c>
      <c r="AZ57" s="141"/>
    </row>
    <row r="58" spans="1:52">
      <c r="A58" s="1335">
        <f>$B$20</f>
        <v>0</v>
      </c>
      <c r="B58" s="1335"/>
      <c r="C58" s="1335"/>
      <c r="D58" s="1335"/>
      <c r="E58" s="1335"/>
      <c r="F58" s="467">
        <f>OpeningTemplate!$D$116</f>
        <v>0</v>
      </c>
      <c r="G58" s="467">
        <f>OpeningTemplate!$E$116</f>
        <v>0</v>
      </c>
      <c r="H58" s="446">
        <f t="shared" si="44"/>
        <v>0</v>
      </c>
      <c r="I58" s="446">
        <f t="shared" si="45"/>
        <v>0</v>
      </c>
      <c r="J58" s="468">
        <f t="shared" si="46"/>
        <v>0</v>
      </c>
      <c r="K58" s="467">
        <f t="shared" si="3"/>
        <v>0</v>
      </c>
      <c r="L58" s="467">
        <f t="shared" si="4"/>
        <v>0</v>
      </c>
      <c r="M58" s="469">
        <f t="shared" si="5"/>
        <v>0</v>
      </c>
      <c r="N58" s="469">
        <f t="shared" si="6"/>
        <v>0</v>
      </c>
      <c r="O58" s="469">
        <f t="shared" si="7"/>
        <v>0</v>
      </c>
      <c r="P58" s="469">
        <f t="shared" si="8"/>
        <v>0</v>
      </c>
      <c r="Q58" s="469">
        <f t="shared" si="9"/>
        <v>0</v>
      </c>
      <c r="R58" s="469">
        <f t="shared" si="10"/>
        <v>0</v>
      </c>
      <c r="S58" s="469">
        <f t="shared" si="11"/>
        <v>0</v>
      </c>
      <c r="T58" s="469">
        <f t="shared" si="12"/>
        <v>0</v>
      </c>
      <c r="U58" s="469">
        <f t="shared" si="13"/>
        <v>0</v>
      </c>
      <c r="V58" s="469">
        <f t="shared" si="14"/>
        <v>0</v>
      </c>
      <c r="W58" s="469">
        <f t="shared" si="15"/>
        <v>0</v>
      </c>
      <c r="X58" s="469">
        <f t="shared" si="16"/>
        <v>0</v>
      </c>
      <c r="Y58" s="469">
        <f t="shared" si="17"/>
        <v>0</v>
      </c>
      <c r="Z58" s="469">
        <f t="shared" si="18"/>
        <v>0</v>
      </c>
      <c r="AA58" s="469">
        <f t="shared" si="19"/>
        <v>0</v>
      </c>
      <c r="AB58" s="469">
        <f t="shared" si="20"/>
        <v>0</v>
      </c>
      <c r="AC58" s="469">
        <f t="shared" si="21"/>
        <v>0</v>
      </c>
      <c r="AD58" s="469">
        <f t="shared" si="22"/>
        <v>0</v>
      </c>
      <c r="AE58" s="469">
        <f t="shared" si="23"/>
        <v>0</v>
      </c>
      <c r="AF58" s="469">
        <f t="shared" si="24"/>
        <v>0</v>
      </c>
      <c r="AG58" s="469">
        <f t="shared" si="25"/>
        <v>0</v>
      </c>
      <c r="AH58" s="469">
        <f t="shared" si="26"/>
        <v>0</v>
      </c>
      <c r="AI58" s="469">
        <f t="shared" si="27"/>
        <v>0</v>
      </c>
      <c r="AJ58" s="469">
        <f t="shared" si="28"/>
        <v>0</v>
      </c>
      <c r="AK58" s="469">
        <f t="shared" si="29"/>
        <v>0</v>
      </c>
      <c r="AL58" s="469">
        <f t="shared" si="30"/>
        <v>0</v>
      </c>
      <c r="AM58" s="469">
        <f t="shared" si="31"/>
        <v>0</v>
      </c>
      <c r="AN58" s="469">
        <f t="shared" si="32"/>
        <v>0</v>
      </c>
      <c r="AO58" s="469">
        <f t="shared" si="33"/>
        <v>0</v>
      </c>
      <c r="AP58" s="469">
        <f t="shared" si="34"/>
        <v>0</v>
      </c>
      <c r="AQ58" s="469">
        <f t="shared" si="35"/>
        <v>0</v>
      </c>
      <c r="AR58" s="469">
        <f t="shared" si="36"/>
        <v>0</v>
      </c>
      <c r="AS58" s="469">
        <f t="shared" si="37"/>
        <v>0</v>
      </c>
      <c r="AT58" s="469">
        <f t="shared" si="38"/>
        <v>0</v>
      </c>
      <c r="AU58" s="469">
        <f t="shared" si="39"/>
        <v>0</v>
      </c>
      <c r="AV58" s="469">
        <f t="shared" si="40"/>
        <v>0</v>
      </c>
      <c r="AW58" s="469">
        <f t="shared" si="41"/>
        <v>0</v>
      </c>
      <c r="AX58" s="469">
        <f t="shared" si="42"/>
        <v>0</v>
      </c>
      <c r="AY58" s="444">
        <f t="shared" si="43"/>
        <v>0</v>
      </c>
      <c r="AZ58" s="141"/>
    </row>
    <row r="59" spans="1:52">
      <c r="A59" s="1335">
        <f>$B$21</f>
        <v>0</v>
      </c>
      <c r="B59" s="1335"/>
      <c r="C59" s="1335"/>
      <c r="D59" s="1335"/>
      <c r="E59" s="1335"/>
      <c r="F59" s="467">
        <f>OpeningTemplate!$D$126</f>
        <v>0</v>
      </c>
      <c r="G59" s="467">
        <f>OpeningTemplate!$E$126</f>
        <v>0</v>
      </c>
      <c r="H59" s="446">
        <f t="shared" si="44"/>
        <v>0</v>
      </c>
      <c r="I59" s="446">
        <f t="shared" si="45"/>
        <v>0</v>
      </c>
      <c r="J59" s="468">
        <f t="shared" si="46"/>
        <v>0</v>
      </c>
      <c r="K59" s="467">
        <f t="shared" si="3"/>
        <v>0</v>
      </c>
      <c r="L59" s="467">
        <f t="shared" si="4"/>
        <v>0</v>
      </c>
      <c r="M59" s="469">
        <f t="shared" si="5"/>
        <v>0</v>
      </c>
      <c r="N59" s="469">
        <f t="shared" si="6"/>
        <v>0</v>
      </c>
      <c r="O59" s="469">
        <f t="shared" si="7"/>
        <v>0</v>
      </c>
      <c r="P59" s="469">
        <f t="shared" si="8"/>
        <v>0</v>
      </c>
      <c r="Q59" s="469">
        <f t="shared" si="9"/>
        <v>0</v>
      </c>
      <c r="R59" s="469">
        <f t="shared" si="10"/>
        <v>0</v>
      </c>
      <c r="S59" s="469">
        <f t="shared" si="11"/>
        <v>0</v>
      </c>
      <c r="T59" s="469">
        <f t="shared" si="12"/>
        <v>0</v>
      </c>
      <c r="U59" s="469">
        <f t="shared" si="13"/>
        <v>0</v>
      </c>
      <c r="V59" s="469">
        <f t="shared" si="14"/>
        <v>0</v>
      </c>
      <c r="W59" s="469">
        <f t="shared" si="15"/>
        <v>0</v>
      </c>
      <c r="X59" s="469">
        <f t="shared" si="16"/>
        <v>0</v>
      </c>
      <c r="Y59" s="469">
        <f t="shared" si="17"/>
        <v>0</v>
      </c>
      <c r="Z59" s="469">
        <f t="shared" si="18"/>
        <v>0</v>
      </c>
      <c r="AA59" s="469">
        <f t="shared" si="19"/>
        <v>0</v>
      </c>
      <c r="AB59" s="469">
        <f t="shared" si="20"/>
        <v>0</v>
      </c>
      <c r="AC59" s="469">
        <f t="shared" si="21"/>
        <v>0</v>
      </c>
      <c r="AD59" s="469">
        <f t="shared" si="22"/>
        <v>0</v>
      </c>
      <c r="AE59" s="469">
        <f t="shared" si="23"/>
        <v>0</v>
      </c>
      <c r="AF59" s="469">
        <f t="shared" si="24"/>
        <v>0</v>
      </c>
      <c r="AG59" s="469">
        <f t="shared" si="25"/>
        <v>0</v>
      </c>
      <c r="AH59" s="469">
        <f t="shared" si="26"/>
        <v>0</v>
      </c>
      <c r="AI59" s="469">
        <f t="shared" si="27"/>
        <v>0</v>
      </c>
      <c r="AJ59" s="469">
        <f t="shared" si="28"/>
        <v>0</v>
      </c>
      <c r="AK59" s="469">
        <f t="shared" si="29"/>
        <v>0</v>
      </c>
      <c r="AL59" s="469">
        <f t="shared" si="30"/>
        <v>0</v>
      </c>
      <c r="AM59" s="469">
        <f t="shared" si="31"/>
        <v>0</v>
      </c>
      <c r="AN59" s="469">
        <f t="shared" si="32"/>
        <v>0</v>
      </c>
      <c r="AO59" s="469">
        <f t="shared" si="33"/>
        <v>0</v>
      </c>
      <c r="AP59" s="469">
        <f t="shared" si="34"/>
        <v>0</v>
      </c>
      <c r="AQ59" s="469">
        <f t="shared" si="35"/>
        <v>0</v>
      </c>
      <c r="AR59" s="469">
        <f t="shared" si="36"/>
        <v>0</v>
      </c>
      <c r="AS59" s="469">
        <f t="shared" si="37"/>
        <v>0</v>
      </c>
      <c r="AT59" s="469">
        <f t="shared" si="38"/>
        <v>0</v>
      </c>
      <c r="AU59" s="469">
        <f t="shared" si="39"/>
        <v>0</v>
      </c>
      <c r="AV59" s="469">
        <f t="shared" si="40"/>
        <v>0</v>
      </c>
      <c r="AW59" s="469">
        <f t="shared" si="41"/>
        <v>0</v>
      </c>
      <c r="AX59" s="469">
        <f t="shared" si="42"/>
        <v>0</v>
      </c>
      <c r="AY59" s="444">
        <f t="shared" si="43"/>
        <v>0</v>
      </c>
      <c r="AZ59" s="141"/>
    </row>
    <row r="60" spans="1:52">
      <c r="A60" s="1335">
        <f>$B$22</f>
        <v>0</v>
      </c>
      <c r="B60" s="1335"/>
      <c r="C60" s="1335"/>
      <c r="D60" s="1335"/>
      <c r="E60" s="1335"/>
      <c r="F60" s="467">
        <f>OpeningTemplate!$D$136</f>
        <v>0</v>
      </c>
      <c r="G60" s="467">
        <f>OpeningTemplate!$E$136</f>
        <v>0</v>
      </c>
      <c r="H60" s="446">
        <f t="shared" si="44"/>
        <v>0</v>
      </c>
      <c r="I60" s="446">
        <f t="shared" si="45"/>
        <v>0</v>
      </c>
      <c r="J60" s="468">
        <f t="shared" si="46"/>
        <v>0</v>
      </c>
      <c r="K60" s="467">
        <f t="shared" si="3"/>
        <v>0</v>
      </c>
      <c r="L60" s="467">
        <f t="shared" si="4"/>
        <v>0</v>
      </c>
      <c r="M60" s="469">
        <f t="shared" si="5"/>
        <v>0</v>
      </c>
      <c r="N60" s="469">
        <f t="shared" si="6"/>
        <v>0</v>
      </c>
      <c r="O60" s="469">
        <f t="shared" si="7"/>
        <v>0</v>
      </c>
      <c r="P60" s="469">
        <f t="shared" si="8"/>
        <v>0</v>
      </c>
      <c r="Q60" s="469">
        <f t="shared" si="9"/>
        <v>0</v>
      </c>
      <c r="R60" s="469">
        <f t="shared" si="10"/>
        <v>0</v>
      </c>
      <c r="S60" s="469">
        <f t="shared" si="11"/>
        <v>0</v>
      </c>
      <c r="T60" s="469">
        <f t="shared" si="12"/>
        <v>0</v>
      </c>
      <c r="U60" s="469">
        <f t="shared" si="13"/>
        <v>0</v>
      </c>
      <c r="V60" s="469">
        <f t="shared" si="14"/>
        <v>0</v>
      </c>
      <c r="W60" s="469">
        <f t="shared" si="15"/>
        <v>0</v>
      </c>
      <c r="X60" s="469">
        <f t="shared" si="16"/>
        <v>0</v>
      </c>
      <c r="Y60" s="469">
        <f t="shared" si="17"/>
        <v>0</v>
      </c>
      <c r="Z60" s="469">
        <f t="shared" si="18"/>
        <v>0</v>
      </c>
      <c r="AA60" s="469">
        <f t="shared" si="19"/>
        <v>0</v>
      </c>
      <c r="AB60" s="469">
        <f t="shared" si="20"/>
        <v>0</v>
      </c>
      <c r="AC60" s="469">
        <f t="shared" si="21"/>
        <v>0</v>
      </c>
      <c r="AD60" s="469">
        <f t="shared" si="22"/>
        <v>0</v>
      </c>
      <c r="AE60" s="469">
        <f t="shared" si="23"/>
        <v>0</v>
      </c>
      <c r="AF60" s="469">
        <f t="shared" si="24"/>
        <v>0</v>
      </c>
      <c r="AG60" s="469">
        <f t="shared" si="25"/>
        <v>0</v>
      </c>
      <c r="AH60" s="469">
        <f t="shared" si="26"/>
        <v>0</v>
      </c>
      <c r="AI60" s="469">
        <f t="shared" si="27"/>
        <v>0</v>
      </c>
      <c r="AJ60" s="469">
        <f t="shared" si="28"/>
        <v>0</v>
      </c>
      <c r="AK60" s="469">
        <f t="shared" si="29"/>
        <v>0</v>
      </c>
      <c r="AL60" s="469">
        <f t="shared" si="30"/>
        <v>0</v>
      </c>
      <c r="AM60" s="469">
        <f t="shared" si="31"/>
        <v>0</v>
      </c>
      <c r="AN60" s="469">
        <f t="shared" si="32"/>
        <v>0</v>
      </c>
      <c r="AO60" s="469">
        <f t="shared" si="33"/>
        <v>0</v>
      </c>
      <c r="AP60" s="469">
        <f t="shared" si="34"/>
        <v>0</v>
      </c>
      <c r="AQ60" s="469">
        <f t="shared" si="35"/>
        <v>0</v>
      </c>
      <c r="AR60" s="469">
        <f t="shared" si="36"/>
        <v>0</v>
      </c>
      <c r="AS60" s="469">
        <f t="shared" si="37"/>
        <v>0</v>
      </c>
      <c r="AT60" s="469">
        <f t="shared" si="38"/>
        <v>0</v>
      </c>
      <c r="AU60" s="469">
        <f t="shared" si="39"/>
        <v>0</v>
      </c>
      <c r="AV60" s="469">
        <f t="shared" si="40"/>
        <v>0</v>
      </c>
      <c r="AW60" s="469">
        <f t="shared" si="41"/>
        <v>0</v>
      </c>
      <c r="AX60" s="469">
        <f t="shared" si="42"/>
        <v>0</v>
      </c>
      <c r="AY60" s="444">
        <f t="shared" si="43"/>
        <v>0</v>
      </c>
      <c r="AZ60" s="141"/>
    </row>
    <row r="61" spans="1:52">
      <c r="A61" s="1335">
        <f>$B$23</f>
        <v>0</v>
      </c>
      <c r="B61" s="1335"/>
      <c r="C61" s="1335"/>
      <c r="D61" s="1335"/>
      <c r="E61" s="1335"/>
      <c r="F61" s="467">
        <f>OpeningTemplate!$D$146</f>
        <v>0</v>
      </c>
      <c r="G61" s="467">
        <f>OpeningTemplate!$E$146</f>
        <v>0</v>
      </c>
      <c r="H61" s="446">
        <f t="shared" si="44"/>
        <v>0</v>
      </c>
      <c r="I61" s="446">
        <f t="shared" si="45"/>
        <v>0</v>
      </c>
      <c r="J61" s="468">
        <f t="shared" si="46"/>
        <v>0</v>
      </c>
      <c r="K61" s="467">
        <f t="shared" si="3"/>
        <v>0</v>
      </c>
      <c r="L61" s="467">
        <f t="shared" si="4"/>
        <v>0</v>
      </c>
      <c r="M61" s="469">
        <f t="shared" si="5"/>
        <v>0</v>
      </c>
      <c r="N61" s="469">
        <f t="shared" si="6"/>
        <v>0</v>
      </c>
      <c r="O61" s="469">
        <f t="shared" si="7"/>
        <v>0</v>
      </c>
      <c r="P61" s="469">
        <f t="shared" si="8"/>
        <v>0</v>
      </c>
      <c r="Q61" s="469">
        <f t="shared" si="9"/>
        <v>0</v>
      </c>
      <c r="R61" s="469">
        <f t="shared" si="10"/>
        <v>0</v>
      </c>
      <c r="S61" s="469">
        <f t="shared" si="11"/>
        <v>0</v>
      </c>
      <c r="T61" s="469">
        <f t="shared" si="12"/>
        <v>0</v>
      </c>
      <c r="U61" s="469">
        <f t="shared" si="13"/>
        <v>0</v>
      </c>
      <c r="V61" s="469">
        <f t="shared" si="14"/>
        <v>0</v>
      </c>
      <c r="W61" s="469">
        <f t="shared" si="15"/>
        <v>0</v>
      </c>
      <c r="X61" s="469">
        <f t="shared" si="16"/>
        <v>0</v>
      </c>
      <c r="Y61" s="469">
        <f t="shared" si="17"/>
        <v>0</v>
      </c>
      <c r="Z61" s="469">
        <f t="shared" si="18"/>
        <v>0</v>
      </c>
      <c r="AA61" s="469">
        <f t="shared" si="19"/>
        <v>0</v>
      </c>
      <c r="AB61" s="469">
        <f t="shared" si="20"/>
        <v>0</v>
      </c>
      <c r="AC61" s="469">
        <f t="shared" si="21"/>
        <v>0</v>
      </c>
      <c r="AD61" s="469">
        <f t="shared" si="22"/>
        <v>0</v>
      </c>
      <c r="AE61" s="469">
        <f t="shared" si="23"/>
        <v>0</v>
      </c>
      <c r="AF61" s="469">
        <f t="shared" si="24"/>
        <v>0</v>
      </c>
      <c r="AG61" s="469">
        <f t="shared" si="25"/>
        <v>0</v>
      </c>
      <c r="AH61" s="469">
        <f t="shared" si="26"/>
        <v>0</v>
      </c>
      <c r="AI61" s="469">
        <f t="shared" si="27"/>
        <v>0</v>
      </c>
      <c r="AJ61" s="469">
        <f t="shared" si="28"/>
        <v>0</v>
      </c>
      <c r="AK61" s="469">
        <f t="shared" si="29"/>
        <v>0</v>
      </c>
      <c r="AL61" s="469">
        <f t="shared" si="30"/>
        <v>0</v>
      </c>
      <c r="AM61" s="469">
        <f t="shared" si="31"/>
        <v>0</v>
      </c>
      <c r="AN61" s="469">
        <f t="shared" si="32"/>
        <v>0</v>
      </c>
      <c r="AO61" s="469">
        <f t="shared" si="33"/>
        <v>0</v>
      </c>
      <c r="AP61" s="469">
        <f t="shared" si="34"/>
        <v>0</v>
      </c>
      <c r="AQ61" s="469">
        <f t="shared" si="35"/>
        <v>0</v>
      </c>
      <c r="AR61" s="469">
        <f t="shared" si="36"/>
        <v>0</v>
      </c>
      <c r="AS61" s="469">
        <f t="shared" si="37"/>
        <v>0</v>
      </c>
      <c r="AT61" s="469">
        <f t="shared" si="38"/>
        <v>0</v>
      </c>
      <c r="AU61" s="469">
        <f t="shared" si="39"/>
        <v>0</v>
      </c>
      <c r="AV61" s="469">
        <f t="shared" si="40"/>
        <v>0</v>
      </c>
      <c r="AW61" s="469">
        <f t="shared" si="41"/>
        <v>0</v>
      </c>
      <c r="AX61" s="469">
        <f t="shared" si="42"/>
        <v>0</v>
      </c>
      <c r="AY61" s="444">
        <f t="shared" si="43"/>
        <v>0</v>
      </c>
      <c r="AZ61" s="141"/>
    </row>
    <row r="62" spans="1:52">
      <c r="A62" s="1335">
        <f>$B$24</f>
        <v>0</v>
      </c>
      <c r="B62" s="1335"/>
      <c r="C62" s="1335"/>
      <c r="D62" s="1335"/>
      <c r="E62" s="1335"/>
      <c r="F62" s="467">
        <f>OpeningTemplate!$D$156</f>
        <v>0</v>
      </c>
      <c r="G62" s="467">
        <f>OpeningTemplate!$E$156</f>
        <v>0</v>
      </c>
      <c r="H62" s="446">
        <f t="shared" si="44"/>
        <v>0</v>
      </c>
      <c r="I62" s="446">
        <f t="shared" si="45"/>
        <v>0</v>
      </c>
      <c r="J62" s="468">
        <f t="shared" si="46"/>
        <v>0</v>
      </c>
      <c r="K62" s="467">
        <f t="shared" si="3"/>
        <v>0</v>
      </c>
      <c r="L62" s="467">
        <f t="shared" si="4"/>
        <v>0</v>
      </c>
      <c r="M62" s="469">
        <f t="shared" si="5"/>
        <v>0</v>
      </c>
      <c r="N62" s="469">
        <f t="shared" si="6"/>
        <v>0</v>
      </c>
      <c r="O62" s="469">
        <f t="shared" si="7"/>
        <v>0</v>
      </c>
      <c r="P62" s="469">
        <f t="shared" si="8"/>
        <v>0</v>
      </c>
      <c r="Q62" s="469">
        <f t="shared" si="9"/>
        <v>0</v>
      </c>
      <c r="R62" s="469">
        <f t="shared" si="10"/>
        <v>0</v>
      </c>
      <c r="S62" s="469">
        <f t="shared" si="11"/>
        <v>0</v>
      </c>
      <c r="T62" s="469">
        <f t="shared" si="12"/>
        <v>0</v>
      </c>
      <c r="U62" s="469">
        <f t="shared" si="13"/>
        <v>0</v>
      </c>
      <c r="V62" s="469">
        <f t="shared" si="14"/>
        <v>0</v>
      </c>
      <c r="W62" s="469">
        <f t="shared" si="15"/>
        <v>0</v>
      </c>
      <c r="X62" s="469">
        <f t="shared" si="16"/>
        <v>0</v>
      </c>
      <c r="Y62" s="469">
        <f t="shared" si="17"/>
        <v>0</v>
      </c>
      <c r="Z62" s="469">
        <f t="shared" si="18"/>
        <v>0</v>
      </c>
      <c r="AA62" s="469">
        <f t="shared" si="19"/>
        <v>0</v>
      </c>
      <c r="AB62" s="469">
        <f t="shared" si="20"/>
        <v>0</v>
      </c>
      <c r="AC62" s="469">
        <f t="shared" si="21"/>
        <v>0</v>
      </c>
      <c r="AD62" s="469">
        <f t="shared" si="22"/>
        <v>0</v>
      </c>
      <c r="AE62" s="469">
        <f t="shared" si="23"/>
        <v>0</v>
      </c>
      <c r="AF62" s="469">
        <f t="shared" si="24"/>
        <v>0</v>
      </c>
      <c r="AG62" s="469">
        <f t="shared" si="25"/>
        <v>0</v>
      </c>
      <c r="AH62" s="469">
        <f t="shared" si="26"/>
        <v>0</v>
      </c>
      <c r="AI62" s="469">
        <f t="shared" si="27"/>
        <v>0</v>
      </c>
      <c r="AJ62" s="469">
        <f t="shared" si="28"/>
        <v>0</v>
      </c>
      <c r="AK62" s="469">
        <f t="shared" si="29"/>
        <v>0</v>
      </c>
      <c r="AL62" s="469">
        <f t="shared" si="30"/>
        <v>0</v>
      </c>
      <c r="AM62" s="469">
        <f t="shared" si="31"/>
        <v>0</v>
      </c>
      <c r="AN62" s="469">
        <f t="shared" si="32"/>
        <v>0</v>
      </c>
      <c r="AO62" s="469">
        <f t="shared" si="33"/>
        <v>0</v>
      </c>
      <c r="AP62" s="469">
        <f t="shared" si="34"/>
        <v>0</v>
      </c>
      <c r="AQ62" s="469">
        <f t="shared" si="35"/>
        <v>0</v>
      </c>
      <c r="AR62" s="469">
        <f t="shared" si="36"/>
        <v>0</v>
      </c>
      <c r="AS62" s="469">
        <f t="shared" si="37"/>
        <v>0</v>
      </c>
      <c r="AT62" s="469">
        <f t="shared" si="38"/>
        <v>0</v>
      </c>
      <c r="AU62" s="469">
        <f t="shared" si="39"/>
        <v>0</v>
      </c>
      <c r="AV62" s="469">
        <f t="shared" si="40"/>
        <v>0</v>
      </c>
      <c r="AW62" s="469">
        <f t="shared" si="41"/>
        <v>0</v>
      </c>
      <c r="AX62" s="469">
        <f t="shared" si="42"/>
        <v>0</v>
      </c>
      <c r="AY62" s="444">
        <f t="shared" si="43"/>
        <v>0</v>
      </c>
      <c r="AZ62" s="141"/>
    </row>
    <row r="63" spans="1:52">
      <c r="A63" s="1335">
        <f>$B$25</f>
        <v>0</v>
      </c>
      <c r="B63" s="1335"/>
      <c r="C63" s="1335"/>
      <c r="D63" s="1335"/>
      <c r="E63" s="1335"/>
      <c r="F63" s="467">
        <f>OpeningTemplate!$D$166</f>
        <v>0</v>
      </c>
      <c r="G63" s="467">
        <f>OpeningTemplate!$E$166</f>
        <v>0</v>
      </c>
      <c r="H63" s="446">
        <f t="shared" si="44"/>
        <v>0</v>
      </c>
      <c r="I63" s="446">
        <f t="shared" si="45"/>
        <v>0</v>
      </c>
      <c r="J63" s="468">
        <f t="shared" si="46"/>
        <v>0</v>
      </c>
      <c r="K63" s="467">
        <f t="shared" si="3"/>
        <v>0</v>
      </c>
      <c r="L63" s="467">
        <f t="shared" si="4"/>
        <v>0</v>
      </c>
      <c r="M63" s="469">
        <f t="shared" si="5"/>
        <v>0</v>
      </c>
      <c r="N63" s="469">
        <f t="shared" si="6"/>
        <v>0</v>
      </c>
      <c r="O63" s="469">
        <f t="shared" si="7"/>
        <v>0</v>
      </c>
      <c r="P63" s="469">
        <f t="shared" si="8"/>
        <v>0</v>
      </c>
      <c r="Q63" s="469">
        <f t="shared" si="9"/>
        <v>0</v>
      </c>
      <c r="R63" s="469">
        <f t="shared" si="10"/>
        <v>0</v>
      </c>
      <c r="S63" s="469">
        <f t="shared" si="11"/>
        <v>0</v>
      </c>
      <c r="T63" s="469">
        <f t="shared" si="12"/>
        <v>0</v>
      </c>
      <c r="U63" s="469">
        <f t="shared" si="13"/>
        <v>0</v>
      </c>
      <c r="V63" s="469">
        <f t="shared" si="14"/>
        <v>0</v>
      </c>
      <c r="W63" s="469">
        <f t="shared" si="15"/>
        <v>0</v>
      </c>
      <c r="X63" s="469">
        <f t="shared" si="16"/>
        <v>0</v>
      </c>
      <c r="Y63" s="469">
        <f t="shared" si="17"/>
        <v>0</v>
      </c>
      <c r="Z63" s="469">
        <f t="shared" si="18"/>
        <v>0</v>
      </c>
      <c r="AA63" s="469">
        <f t="shared" si="19"/>
        <v>0</v>
      </c>
      <c r="AB63" s="469">
        <f t="shared" si="20"/>
        <v>0</v>
      </c>
      <c r="AC63" s="469">
        <f t="shared" si="21"/>
        <v>0</v>
      </c>
      <c r="AD63" s="469">
        <f t="shared" si="22"/>
        <v>0</v>
      </c>
      <c r="AE63" s="469">
        <f t="shared" si="23"/>
        <v>0</v>
      </c>
      <c r="AF63" s="469">
        <f t="shared" si="24"/>
        <v>0</v>
      </c>
      <c r="AG63" s="469">
        <f t="shared" si="25"/>
        <v>0</v>
      </c>
      <c r="AH63" s="469">
        <f t="shared" si="26"/>
        <v>0</v>
      </c>
      <c r="AI63" s="469">
        <f t="shared" si="27"/>
        <v>0</v>
      </c>
      <c r="AJ63" s="469">
        <f t="shared" si="28"/>
        <v>0</v>
      </c>
      <c r="AK63" s="469">
        <f t="shared" si="29"/>
        <v>0</v>
      </c>
      <c r="AL63" s="469">
        <f t="shared" si="30"/>
        <v>0</v>
      </c>
      <c r="AM63" s="469">
        <f t="shared" si="31"/>
        <v>0</v>
      </c>
      <c r="AN63" s="469">
        <f t="shared" si="32"/>
        <v>0</v>
      </c>
      <c r="AO63" s="469">
        <f t="shared" si="33"/>
        <v>0</v>
      </c>
      <c r="AP63" s="469">
        <f t="shared" si="34"/>
        <v>0</v>
      </c>
      <c r="AQ63" s="469">
        <f t="shared" si="35"/>
        <v>0</v>
      </c>
      <c r="AR63" s="469">
        <f t="shared" si="36"/>
        <v>0</v>
      </c>
      <c r="AS63" s="469">
        <f t="shared" si="37"/>
        <v>0</v>
      </c>
      <c r="AT63" s="469">
        <f t="shared" si="38"/>
        <v>0</v>
      </c>
      <c r="AU63" s="469">
        <f t="shared" si="39"/>
        <v>0</v>
      </c>
      <c r="AV63" s="469">
        <f t="shared" si="40"/>
        <v>0</v>
      </c>
      <c r="AW63" s="469">
        <f t="shared" si="41"/>
        <v>0</v>
      </c>
      <c r="AX63" s="469">
        <f t="shared" si="42"/>
        <v>0</v>
      </c>
      <c r="AY63" s="444">
        <f t="shared" si="43"/>
        <v>0</v>
      </c>
      <c r="AZ63" s="141"/>
    </row>
    <row r="64" spans="1:52">
      <c r="A64" s="1335">
        <f>$B$26</f>
        <v>0</v>
      </c>
      <c r="B64" s="1335"/>
      <c r="C64" s="1335"/>
      <c r="D64" s="1335"/>
      <c r="E64" s="1335"/>
      <c r="F64" s="467">
        <f>OpeningTemplate!$D$176</f>
        <v>0</v>
      </c>
      <c r="G64" s="467">
        <f>OpeningTemplate!$E$176</f>
        <v>0</v>
      </c>
      <c r="H64" s="446">
        <f t="shared" si="44"/>
        <v>0</v>
      </c>
      <c r="I64" s="446">
        <f t="shared" si="45"/>
        <v>0</v>
      </c>
      <c r="J64" s="468">
        <f t="shared" si="46"/>
        <v>0</v>
      </c>
      <c r="K64" s="467">
        <f t="shared" si="3"/>
        <v>0</v>
      </c>
      <c r="L64" s="467">
        <f t="shared" si="4"/>
        <v>0</v>
      </c>
      <c r="M64" s="469">
        <f t="shared" si="5"/>
        <v>0</v>
      </c>
      <c r="N64" s="469">
        <f t="shared" si="6"/>
        <v>0</v>
      </c>
      <c r="O64" s="469">
        <f t="shared" si="7"/>
        <v>0</v>
      </c>
      <c r="P64" s="469">
        <f t="shared" si="8"/>
        <v>0</v>
      </c>
      <c r="Q64" s="469">
        <f t="shared" si="9"/>
        <v>0</v>
      </c>
      <c r="R64" s="469">
        <f t="shared" si="10"/>
        <v>0</v>
      </c>
      <c r="S64" s="469">
        <f t="shared" si="11"/>
        <v>0</v>
      </c>
      <c r="T64" s="469">
        <f t="shared" si="12"/>
        <v>0</v>
      </c>
      <c r="U64" s="469">
        <f t="shared" si="13"/>
        <v>0</v>
      </c>
      <c r="V64" s="469">
        <f t="shared" si="14"/>
        <v>0</v>
      </c>
      <c r="W64" s="469">
        <f t="shared" si="15"/>
        <v>0</v>
      </c>
      <c r="X64" s="469">
        <f t="shared" si="16"/>
        <v>0</v>
      </c>
      <c r="Y64" s="469">
        <f t="shared" si="17"/>
        <v>0</v>
      </c>
      <c r="Z64" s="469">
        <f t="shared" si="18"/>
        <v>0</v>
      </c>
      <c r="AA64" s="469">
        <f t="shared" si="19"/>
        <v>0</v>
      </c>
      <c r="AB64" s="469">
        <f t="shared" si="20"/>
        <v>0</v>
      </c>
      <c r="AC64" s="469">
        <f t="shared" si="21"/>
        <v>0</v>
      </c>
      <c r="AD64" s="469">
        <f t="shared" si="22"/>
        <v>0</v>
      </c>
      <c r="AE64" s="469">
        <f t="shared" si="23"/>
        <v>0</v>
      </c>
      <c r="AF64" s="469">
        <f t="shared" si="24"/>
        <v>0</v>
      </c>
      <c r="AG64" s="469">
        <f t="shared" si="25"/>
        <v>0</v>
      </c>
      <c r="AH64" s="469">
        <f t="shared" si="26"/>
        <v>0</v>
      </c>
      <c r="AI64" s="469">
        <f t="shared" si="27"/>
        <v>0</v>
      </c>
      <c r="AJ64" s="469">
        <f t="shared" si="28"/>
        <v>0</v>
      </c>
      <c r="AK64" s="469">
        <f t="shared" si="29"/>
        <v>0</v>
      </c>
      <c r="AL64" s="469">
        <f t="shared" si="30"/>
        <v>0</v>
      </c>
      <c r="AM64" s="469">
        <f t="shared" si="31"/>
        <v>0</v>
      </c>
      <c r="AN64" s="469">
        <f t="shared" si="32"/>
        <v>0</v>
      </c>
      <c r="AO64" s="469">
        <f t="shared" si="33"/>
        <v>0</v>
      </c>
      <c r="AP64" s="469">
        <f t="shared" si="34"/>
        <v>0</v>
      </c>
      <c r="AQ64" s="469">
        <f t="shared" si="35"/>
        <v>0</v>
      </c>
      <c r="AR64" s="469">
        <f t="shared" si="36"/>
        <v>0</v>
      </c>
      <c r="AS64" s="469">
        <f t="shared" si="37"/>
        <v>0</v>
      </c>
      <c r="AT64" s="469">
        <f t="shared" si="38"/>
        <v>0</v>
      </c>
      <c r="AU64" s="469">
        <f t="shared" si="39"/>
        <v>0</v>
      </c>
      <c r="AV64" s="469">
        <f t="shared" si="40"/>
        <v>0</v>
      </c>
      <c r="AW64" s="469">
        <f t="shared" si="41"/>
        <v>0</v>
      </c>
      <c r="AX64" s="469">
        <f t="shared" si="42"/>
        <v>0</v>
      </c>
      <c r="AY64" s="444">
        <f t="shared" si="43"/>
        <v>0</v>
      </c>
      <c r="AZ64" s="141"/>
    </row>
    <row r="65" spans="1:52">
      <c r="A65" s="1335">
        <f>$B$27</f>
        <v>0</v>
      </c>
      <c r="B65" s="1335"/>
      <c r="C65" s="1335"/>
      <c r="D65" s="1335"/>
      <c r="E65" s="1335"/>
      <c r="F65" s="467">
        <f>OpeningTemplate!$D$186</f>
        <v>0</v>
      </c>
      <c r="G65" s="467">
        <f>OpeningTemplate!$E$186</f>
        <v>0</v>
      </c>
      <c r="H65" s="446">
        <f t="shared" si="44"/>
        <v>0</v>
      </c>
      <c r="I65" s="446">
        <f t="shared" si="45"/>
        <v>0</v>
      </c>
      <c r="J65" s="468">
        <f t="shared" si="46"/>
        <v>0</v>
      </c>
      <c r="K65" s="467">
        <f t="shared" si="3"/>
        <v>0</v>
      </c>
      <c r="L65" s="467">
        <f t="shared" si="4"/>
        <v>0</v>
      </c>
      <c r="M65" s="469">
        <f t="shared" si="5"/>
        <v>0</v>
      </c>
      <c r="N65" s="469">
        <f t="shared" si="6"/>
        <v>0</v>
      </c>
      <c r="O65" s="469">
        <f t="shared" si="7"/>
        <v>0</v>
      </c>
      <c r="P65" s="469">
        <f t="shared" si="8"/>
        <v>0</v>
      </c>
      <c r="Q65" s="469">
        <f t="shared" si="9"/>
        <v>0</v>
      </c>
      <c r="R65" s="469">
        <f t="shared" si="10"/>
        <v>0</v>
      </c>
      <c r="S65" s="469">
        <f t="shared" si="11"/>
        <v>0</v>
      </c>
      <c r="T65" s="469">
        <f t="shared" si="12"/>
        <v>0</v>
      </c>
      <c r="U65" s="469">
        <f t="shared" si="13"/>
        <v>0</v>
      </c>
      <c r="V65" s="469">
        <f t="shared" si="14"/>
        <v>0</v>
      </c>
      <c r="W65" s="469">
        <f t="shared" si="15"/>
        <v>0</v>
      </c>
      <c r="X65" s="469">
        <f t="shared" si="16"/>
        <v>0</v>
      </c>
      <c r="Y65" s="469">
        <f t="shared" si="17"/>
        <v>0</v>
      </c>
      <c r="Z65" s="469">
        <f t="shared" si="18"/>
        <v>0</v>
      </c>
      <c r="AA65" s="469">
        <f t="shared" si="19"/>
        <v>0</v>
      </c>
      <c r="AB65" s="469">
        <f t="shared" si="20"/>
        <v>0</v>
      </c>
      <c r="AC65" s="469">
        <f t="shared" si="21"/>
        <v>0</v>
      </c>
      <c r="AD65" s="469">
        <f t="shared" si="22"/>
        <v>0</v>
      </c>
      <c r="AE65" s="469">
        <f t="shared" si="23"/>
        <v>0</v>
      </c>
      <c r="AF65" s="469">
        <f t="shared" si="24"/>
        <v>0</v>
      </c>
      <c r="AG65" s="469">
        <f t="shared" si="25"/>
        <v>0</v>
      </c>
      <c r="AH65" s="469">
        <f t="shared" si="26"/>
        <v>0</v>
      </c>
      <c r="AI65" s="469">
        <f t="shared" si="27"/>
        <v>0</v>
      </c>
      <c r="AJ65" s="469">
        <f t="shared" si="28"/>
        <v>0</v>
      </c>
      <c r="AK65" s="469">
        <f t="shared" si="29"/>
        <v>0</v>
      </c>
      <c r="AL65" s="469">
        <f t="shared" si="30"/>
        <v>0</v>
      </c>
      <c r="AM65" s="469">
        <f t="shared" si="31"/>
        <v>0</v>
      </c>
      <c r="AN65" s="469">
        <f t="shared" si="32"/>
        <v>0</v>
      </c>
      <c r="AO65" s="469">
        <f t="shared" si="33"/>
        <v>0</v>
      </c>
      <c r="AP65" s="469">
        <f t="shared" si="34"/>
        <v>0</v>
      </c>
      <c r="AQ65" s="469">
        <f t="shared" si="35"/>
        <v>0</v>
      </c>
      <c r="AR65" s="469">
        <f t="shared" si="36"/>
        <v>0</v>
      </c>
      <c r="AS65" s="469">
        <f t="shared" si="37"/>
        <v>0</v>
      </c>
      <c r="AT65" s="469">
        <f t="shared" si="38"/>
        <v>0</v>
      </c>
      <c r="AU65" s="469">
        <f t="shared" si="39"/>
        <v>0</v>
      </c>
      <c r="AV65" s="469">
        <f t="shared" si="40"/>
        <v>0</v>
      </c>
      <c r="AW65" s="469">
        <f t="shared" si="41"/>
        <v>0</v>
      </c>
      <c r="AX65" s="469">
        <f t="shared" si="42"/>
        <v>0</v>
      </c>
      <c r="AY65" s="444">
        <f t="shared" si="43"/>
        <v>0</v>
      </c>
      <c r="AZ65" s="141"/>
    </row>
    <row r="66" spans="1:52">
      <c r="A66" s="1335">
        <f>$B$28</f>
        <v>0</v>
      </c>
      <c r="B66" s="1335"/>
      <c r="C66" s="1335"/>
      <c r="D66" s="1335"/>
      <c r="E66" s="1335"/>
      <c r="F66" s="467">
        <f>OpeningTemplate!$D$196</f>
        <v>0</v>
      </c>
      <c r="G66" s="467">
        <f>OpeningTemplate!$E$196</f>
        <v>0</v>
      </c>
      <c r="H66" s="446">
        <f t="shared" si="44"/>
        <v>0</v>
      </c>
      <c r="I66" s="446">
        <f t="shared" si="45"/>
        <v>0</v>
      </c>
      <c r="J66" s="468">
        <f t="shared" si="46"/>
        <v>0</v>
      </c>
      <c r="K66" s="467">
        <f t="shared" si="3"/>
        <v>0</v>
      </c>
      <c r="L66" s="467">
        <f t="shared" si="4"/>
        <v>0</v>
      </c>
      <c r="M66" s="469">
        <f t="shared" si="5"/>
        <v>0</v>
      </c>
      <c r="N66" s="469">
        <f t="shared" si="6"/>
        <v>0</v>
      </c>
      <c r="O66" s="469">
        <f t="shared" si="7"/>
        <v>0</v>
      </c>
      <c r="P66" s="469">
        <f t="shared" si="8"/>
        <v>0</v>
      </c>
      <c r="Q66" s="469">
        <f t="shared" si="9"/>
        <v>0</v>
      </c>
      <c r="R66" s="469">
        <f t="shared" si="10"/>
        <v>0</v>
      </c>
      <c r="S66" s="469">
        <f t="shared" si="11"/>
        <v>0</v>
      </c>
      <c r="T66" s="469">
        <f t="shared" si="12"/>
        <v>0</v>
      </c>
      <c r="U66" s="469">
        <f t="shared" si="13"/>
        <v>0</v>
      </c>
      <c r="V66" s="469">
        <f t="shared" si="14"/>
        <v>0</v>
      </c>
      <c r="W66" s="469">
        <f t="shared" si="15"/>
        <v>0</v>
      </c>
      <c r="X66" s="469">
        <f t="shared" si="16"/>
        <v>0</v>
      </c>
      <c r="Y66" s="469">
        <f t="shared" si="17"/>
        <v>0</v>
      </c>
      <c r="Z66" s="469">
        <f t="shared" si="18"/>
        <v>0</v>
      </c>
      <c r="AA66" s="469">
        <f t="shared" si="19"/>
        <v>0</v>
      </c>
      <c r="AB66" s="469">
        <f t="shared" si="20"/>
        <v>0</v>
      </c>
      <c r="AC66" s="469">
        <f t="shared" si="21"/>
        <v>0</v>
      </c>
      <c r="AD66" s="469">
        <f t="shared" si="22"/>
        <v>0</v>
      </c>
      <c r="AE66" s="469">
        <f t="shared" si="23"/>
        <v>0</v>
      </c>
      <c r="AF66" s="469">
        <f t="shared" si="24"/>
        <v>0</v>
      </c>
      <c r="AG66" s="469">
        <f t="shared" si="25"/>
        <v>0</v>
      </c>
      <c r="AH66" s="469">
        <f t="shared" si="26"/>
        <v>0</v>
      </c>
      <c r="AI66" s="469">
        <f t="shared" si="27"/>
        <v>0</v>
      </c>
      <c r="AJ66" s="469">
        <f t="shared" si="28"/>
        <v>0</v>
      </c>
      <c r="AK66" s="469">
        <f t="shared" si="29"/>
        <v>0</v>
      </c>
      <c r="AL66" s="469">
        <f t="shared" si="30"/>
        <v>0</v>
      </c>
      <c r="AM66" s="469">
        <f t="shared" si="31"/>
        <v>0</v>
      </c>
      <c r="AN66" s="469">
        <f t="shared" si="32"/>
        <v>0</v>
      </c>
      <c r="AO66" s="469">
        <f t="shared" si="33"/>
        <v>0</v>
      </c>
      <c r="AP66" s="469">
        <f t="shared" si="34"/>
        <v>0</v>
      </c>
      <c r="AQ66" s="469">
        <f t="shared" si="35"/>
        <v>0</v>
      </c>
      <c r="AR66" s="469">
        <f t="shared" si="36"/>
        <v>0</v>
      </c>
      <c r="AS66" s="469">
        <f t="shared" si="37"/>
        <v>0</v>
      </c>
      <c r="AT66" s="469">
        <f t="shared" si="38"/>
        <v>0</v>
      </c>
      <c r="AU66" s="469">
        <f t="shared" si="39"/>
        <v>0</v>
      </c>
      <c r="AV66" s="469">
        <f t="shared" si="40"/>
        <v>0</v>
      </c>
      <c r="AW66" s="469">
        <f t="shared" si="41"/>
        <v>0</v>
      </c>
      <c r="AX66" s="469">
        <f t="shared" si="42"/>
        <v>0</v>
      </c>
      <c r="AY66" s="444">
        <f>IF(AND($AY50&gt;=$K$66,AY50&lt;=$L$66),#REF!,0)</f>
        <v>0</v>
      </c>
      <c r="AZ66" s="141"/>
    </row>
    <row r="67" spans="1:52">
      <c r="A67" s="1335">
        <f>$B$29</f>
        <v>0</v>
      </c>
      <c r="B67" s="1335"/>
      <c r="C67" s="1335"/>
      <c r="D67" s="1335"/>
      <c r="E67" s="1335"/>
      <c r="F67" s="467">
        <f>OpeningTemplate!$D$206</f>
        <v>0</v>
      </c>
      <c r="G67" s="467">
        <f>OpeningTemplate!$E$206</f>
        <v>0</v>
      </c>
      <c r="H67" s="446">
        <f t="shared" si="44"/>
        <v>0</v>
      </c>
      <c r="I67" s="446">
        <f t="shared" si="45"/>
        <v>0</v>
      </c>
      <c r="J67" s="468">
        <f t="shared" si="46"/>
        <v>0</v>
      </c>
      <c r="K67" s="467">
        <f t="shared" si="3"/>
        <v>0</v>
      </c>
      <c r="L67" s="467">
        <f t="shared" si="4"/>
        <v>0</v>
      </c>
      <c r="M67" s="469">
        <f t="shared" si="5"/>
        <v>0</v>
      </c>
      <c r="N67" s="469">
        <f t="shared" si="6"/>
        <v>0</v>
      </c>
      <c r="O67" s="469">
        <f t="shared" si="7"/>
        <v>0</v>
      </c>
      <c r="P67" s="469">
        <f t="shared" si="8"/>
        <v>0</v>
      </c>
      <c r="Q67" s="469">
        <f t="shared" si="9"/>
        <v>0</v>
      </c>
      <c r="R67" s="469">
        <f t="shared" si="10"/>
        <v>0</v>
      </c>
      <c r="S67" s="469">
        <f t="shared" si="11"/>
        <v>0</v>
      </c>
      <c r="T67" s="469">
        <f t="shared" si="12"/>
        <v>0</v>
      </c>
      <c r="U67" s="469">
        <f t="shared" si="13"/>
        <v>0</v>
      </c>
      <c r="V67" s="469">
        <f t="shared" si="14"/>
        <v>0</v>
      </c>
      <c r="W67" s="469">
        <f t="shared" si="15"/>
        <v>0</v>
      </c>
      <c r="X67" s="469">
        <f t="shared" si="16"/>
        <v>0</v>
      </c>
      <c r="Y67" s="469">
        <f t="shared" si="17"/>
        <v>0</v>
      </c>
      <c r="Z67" s="469">
        <f t="shared" si="18"/>
        <v>0</v>
      </c>
      <c r="AA67" s="469">
        <f t="shared" si="19"/>
        <v>0</v>
      </c>
      <c r="AB67" s="469">
        <f t="shared" si="20"/>
        <v>0</v>
      </c>
      <c r="AC67" s="469">
        <f t="shared" si="21"/>
        <v>0</v>
      </c>
      <c r="AD67" s="469">
        <f t="shared" si="22"/>
        <v>0</v>
      </c>
      <c r="AE67" s="469">
        <f t="shared" si="23"/>
        <v>0</v>
      </c>
      <c r="AF67" s="469">
        <f t="shared" si="24"/>
        <v>0</v>
      </c>
      <c r="AG67" s="469">
        <f t="shared" si="25"/>
        <v>0</v>
      </c>
      <c r="AH67" s="469">
        <f t="shared" si="26"/>
        <v>0</v>
      </c>
      <c r="AI67" s="469">
        <f t="shared" si="27"/>
        <v>0</v>
      </c>
      <c r="AJ67" s="469">
        <f t="shared" si="28"/>
        <v>0</v>
      </c>
      <c r="AK67" s="469">
        <f t="shared" si="29"/>
        <v>0</v>
      </c>
      <c r="AL67" s="469">
        <f t="shared" si="30"/>
        <v>0</v>
      </c>
      <c r="AM67" s="469">
        <f t="shared" si="31"/>
        <v>0</v>
      </c>
      <c r="AN67" s="469">
        <f t="shared" si="32"/>
        <v>0</v>
      </c>
      <c r="AO67" s="469">
        <f t="shared" si="33"/>
        <v>0</v>
      </c>
      <c r="AP67" s="469">
        <f t="shared" si="34"/>
        <v>0</v>
      </c>
      <c r="AQ67" s="469">
        <f t="shared" si="35"/>
        <v>0</v>
      </c>
      <c r="AR67" s="469">
        <f t="shared" si="36"/>
        <v>0</v>
      </c>
      <c r="AS67" s="469">
        <f t="shared" si="37"/>
        <v>0</v>
      </c>
      <c r="AT67" s="469">
        <f t="shared" si="38"/>
        <v>0</v>
      </c>
      <c r="AU67" s="469">
        <f t="shared" si="39"/>
        <v>0</v>
      </c>
      <c r="AV67" s="469">
        <f t="shared" si="40"/>
        <v>0</v>
      </c>
      <c r="AW67" s="469">
        <f t="shared" si="41"/>
        <v>0</v>
      </c>
      <c r="AX67" s="469">
        <f t="shared" si="42"/>
        <v>0</v>
      </c>
      <c r="AY67" s="444">
        <f>IF(AND($AY50&gt;=$K$67,AY50&lt;=$L$67),#REF!,0)</f>
        <v>0</v>
      </c>
      <c r="AZ67" s="141"/>
    </row>
    <row r="68" spans="1:52">
      <c r="A68" s="1335">
        <f>$B$30</f>
        <v>0</v>
      </c>
      <c r="B68" s="1335"/>
      <c r="C68" s="1335"/>
      <c r="D68" s="1335"/>
      <c r="E68" s="1335"/>
      <c r="F68" s="467">
        <f>OpeningTemplate!$D$216</f>
        <v>0</v>
      </c>
      <c r="G68" s="467">
        <f>OpeningTemplate!$E$216</f>
        <v>0</v>
      </c>
      <c r="H68" s="446">
        <f t="shared" si="44"/>
        <v>0</v>
      </c>
      <c r="I68" s="446">
        <f t="shared" si="45"/>
        <v>0</v>
      </c>
      <c r="J68" s="468">
        <f t="shared" si="46"/>
        <v>0</v>
      </c>
      <c r="K68" s="467">
        <f t="shared" si="3"/>
        <v>0</v>
      </c>
      <c r="L68" s="467">
        <f t="shared" si="4"/>
        <v>0</v>
      </c>
      <c r="M68" s="469">
        <f t="shared" si="5"/>
        <v>0</v>
      </c>
      <c r="N68" s="469">
        <f t="shared" si="6"/>
        <v>0</v>
      </c>
      <c r="O68" s="469">
        <f t="shared" si="7"/>
        <v>0</v>
      </c>
      <c r="P68" s="469">
        <f t="shared" si="8"/>
        <v>0</v>
      </c>
      <c r="Q68" s="469">
        <f t="shared" si="9"/>
        <v>0</v>
      </c>
      <c r="R68" s="469">
        <f t="shared" si="10"/>
        <v>0</v>
      </c>
      <c r="S68" s="469">
        <f t="shared" si="11"/>
        <v>0</v>
      </c>
      <c r="T68" s="469">
        <f t="shared" si="12"/>
        <v>0</v>
      </c>
      <c r="U68" s="469">
        <f t="shared" si="13"/>
        <v>0</v>
      </c>
      <c r="V68" s="469">
        <f t="shared" si="14"/>
        <v>0</v>
      </c>
      <c r="W68" s="469">
        <f t="shared" si="15"/>
        <v>0</v>
      </c>
      <c r="X68" s="469">
        <f t="shared" si="16"/>
        <v>0</v>
      </c>
      <c r="Y68" s="469">
        <f t="shared" si="17"/>
        <v>0</v>
      </c>
      <c r="Z68" s="469">
        <f t="shared" si="18"/>
        <v>0</v>
      </c>
      <c r="AA68" s="469">
        <f t="shared" si="19"/>
        <v>0</v>
      </c>
      <c r="AB68" s="469">
        <f t="shared" si="20"/>
        <v>0</v>
      </c>
      <c r="AC68" s="469">
        <f t="shared" si="21"/>
        <v>0</v>
      </c>
      <c r="AD68" s="469">
        <f t="shared" si="22"/>
        <v>0</v>
      </c>
      <c r="AE68" s="469">
        <f t="shared" si="23"/>
        <v>0</v>
      </c>
      <c r="AF68" s="469">
        <f t="shared" si="24"/>
        <v>0</v>
      </c>
      <c r="AG68" s="469">
        <f t="shared" si="25"/>
        <v>0</v>
      </c>
      <c r="AH68" s="469">
        <f t="shared" si="26"/>
        <v>0</v>
      </c>
      <c r="AI68" s="469">
        <f t="shared" si="27"/>
        <v>0</v>
      </c>
      <c r="AJ68" s="469">
        <f t="shared" si="28"/>
        <v>0</v>
      </c>
      <c r="AK68" s="469">
        <f t="shared" si="29"/>
        <v>0</v>
      </c>
      <c r="AL68" s="469">
        <f t="shared" si="30"/>
        <v>0</v>
      </c>
      <c r="AM68" s="469">
        <f t="shared" si="31"/>
        <v>0</v>
      </c>
      <c r="AN68" s="469">
        <f t="shared" si="32"/>
        <v>0</v>
      </c>
      <c r="AO68" s="469">
        <f t="shared" si="33"/>
        <v>0</v>
      </c>
      <c r="AP68" s="469">
        <f t="shared" si="34"/>
        <v>0</v>
      </c>
      <c r="AQ68" s="469">
        <f t="shared" si="35"/>
        <v>0</v>
      </c>
      <c r="AR68" s="469">
        <f t="shared" si="36"/>
        <v>0</v>
      </c>
      <c r="AS68" s="469">
        <f t="shared" si="37"/>
        <v>0</v>
      </c>
      <c r="AT68" s="469">
        <f t="shared" si="38"/>
        <v>0</v>
      </c>
      <c r="AU68" s="469">
        <f t="shared" si="39"/>
        <v>0</v>
      </c>
      <c r="AV68" s="469">
        <f t="shared" si="40"/>
        <v>0</v>
      </c>
      <c r="AW68" s="469">
        <f t="shared" si="41"/>
        <v>0</v>
      </c>
      <c r="AX68" s="469">
        <f t="shared" si="42"/>
        <v>0</v>
      </c>
      <c r="AY68" s="444">
        <f>IF(AND($AY50&gt;=$K$68,AY50&lt;=$L$68),#REF!,0)</f>
        <v>0</v>
      </c>
      <c r="AZ68" s="141"/>
    </row>
    <row r="69" spans="1:52">
      <c r="A69" s="1335">
        <f>$B$31</f>
        <v>0</v>
      </c>
      <c r="B69" s="1335"/>
      <c r="C69" s="1335"/>
      <c r="D69" s="1335"/>
      <c r="E69" s="1335"/>
      <c r="F69" s="467">
        <f>OpeningTemplate!$D$226</f>
        <v>0</v>
      </c>
      <c r="G69" s="467">
        <f>OpeningTemplate!$E$226</f>
        <v>0</v>
      </c>
      <c r="H69" s="446">
        <f t="shared" si="44"/>
        <v>0</v>
      </c>
      <c r="I69" s="446">
        <f t="shared" si="45"/>
        <v>0</v>
      </c>
      <c r="J69" s="468">
        <f t="shared" si="46"/>
        <v>0</v>
      </c>
      <c r="K69" s="467">
        <f t="shared" si="3"/>
        <v>0</v>
      </c>
      <c r="L69" s="467">
        <f t="shared" si="4"/>
        <v>0</v>
      </c>
      <c r="M69" s="469">
        <f t="shared" si="5"/>
        <v>0</v>
      </c>
      <c r="N69" s="469">
        <f t="shared" si="6"/>
        <v>0</v>
      </c>
      <c r="O69" s="469">
        <f t="shared" si="7"/>
        <v>0</v>
      </c>
      <c r="P69" s="469">
        <f t="shared" si="8"/>
        <v>0</v>
      </c>
      <c r="Q69" s="469">
        <f t="shared" si="9"/>
        <v>0</v>
      </c>
      <c r="R69" s="469">
        <f t="shared" si="10"/>
        <v>0</v>
      </c>
      <c r="S69" s="469">
        <f t="shared" si="11"/>
        <v>0</v>
      </c>
      <c r="T69" s="469">
        <f t="shared" si="12"/>
        <v>0</v>
      </c>
      <c r="U69" s="469">
        <f t="shared" si="13"/>
        <v>0</v>
      </c>
      <c r="V69" s="469">
        <f t="shared" si="14"/>
        <v>0</v>
      </c>
      <c r="W69" s="469">
        <f t="shared" si="15"/>
        <v>0</v>
      </c>
      <c r="X69" s="469">
        <f t="shared" si="16"/>
        <v>0</v>
      </c>
      <c r="Y69" s="469">
        <f t="shared" si="17"/>
        <v>0</v>
      </c>
      <c r="Z69" s="469">
        <f t="shared" si="18"/>
        <v>0</v>
      </c>
      <c r="AA69" s="469">
        <f t="shared" si="19"/>
        <v>0</v>
      </c>
      <c r="AB69" s="469">
        <f t="shared" si="20"/>
        <v>0</v>
      </c>
      <c r="AC69" s="469">
        <f t="shared" si="21"/>
        <v>0</v>
      </c>
      <c r="AD69" s="469">
        <f t="shared" si="22"/>
        <v>0</v>
      </c>
      <c r="AE69" s="469">
        <f t="shared" si="23"/>
        <v>0</v>
      </c>
      <c r="AF69" s="469">
        <f t="shared" si="24"/>
        <v>0</v>
      </c>
      <c r="AG69" s="469">
        <f t="shared" si="25"/>
        <v>0</v>
      </c>
      <c r="AH69" s="469">
        <f t="shared" si="26"/>
        <v>0</v>
      </c>
      <c r="AI69" s="469">
        <f t="shared" si="27"/>
        <v>0</v>
      </c>
      <c r="AJ69" s="469">
        <f t="shared" si="28"/>
        <v>0</v>
      </c>
      <c r="AK69" s="469">
        <f t="shared" si="29"/>
        <v>0</v>
      </c>
      <c r="AL69" s="469">
        <f t="shared" si="30"/>
        <v>0</v>
      </c>
      <c r="AM69" s="469">
        <f t="shared" si="31"/>
        <v>0</v>
      </c>
      <c r="AN69" s="469">
        <f t="shared" si="32"/>
        <v>0</v>
      </c>
      <c r="AO69" s="469">
        <f t="shared" si="33"/>
        <v>0</v>
      </c>
      <c r="AP69" s="469">
        <f t="shared" si="34"/>
        <v>0</v>
      </c>
      <c r="AQ69" s="469">
        <f t="shared" si="35"/>
        <v>0</v>
      </c>
      <c r="AR69" s="469">
        <f t="shared" si="36"/>
        <v>0</v>
      </c>
      <c r="AS69" s="469">
        <f t="shared" si="37"/>
        <v>0</v>
      </c>
      <c r="AT69" s="469">
        <f t="shared" si="38"/>
        <v>0</v>
      </c>
      <c r="AU69" s="469">
        <f t="shared" si="39"/>
        <v>0</v>
      </c>
      <c r="AV69" s="469">
        <f t="shared" si="40"/>
        <v>0</v>
      </c>
      <c r="AW69" s="469">
        <f t="shared" si="41"/>
        <v>0</v>
      </c>
      <c r="AX69" s="469">
        <f t="shared" si="42"/>
        <v>0</v>
      </c>
      <c r="AY69" s="444">
        <f>IF(AND($AY50&gt;=$K$69,AY50&lt;=$L$69),#REF!,0)</f>
        <v>0</v>
      </c>
      <c r="AZ69" s="141"/>
    </row>
    <row r="70" spans="1:52">
      <c r="A70" s="1335">
        <f>$B$32</f>
        <v>0</v>
      </c>
      <c r="B70" s="1335"/>
      <c r="C70" s="1335"/>
      <c r="D70" s="1335"/>
      <c r="E70" s="1335"/>
      <c r="F70" s="467">
        <f>OpeningTemplate!$D$236</f>
        <v>0</v>
      </c>
      <c r="G70" s="467">
        <f>OpeningTemplate!$E$236</f>
        <v>0</v>
      </c>
      <c r="H70" s="446">
        <f t="shared" si="44"/>
        <v>0</v>
      </c>
      <c r="I70" s="446">
        <f t="shared" si="45"/>
        <v>0</v>
      </c>
      <c r="J70" s="468">
        <f t="shared" si="46"/>
        <v>0</v>
      </c>
      <c r="K70" s="467">
        <f t="shared" si="3"/>
        <v>0</v>
      </c>
      <c r="L70" s="467">
        <f t="shared" si="4"/>
        <v>0</v>
      </c>
      <c r="M70" s="469">
        <f t="shared" si="5"/>
        <v>0</v>
      </c>
      <c r="N70" s="469">
        <f t="shared" si="6"/>
        <v>0</v>
      </c>
      <c r="O70" s="469">
        <f t="shared" si="7"/>
        <v>0</v>
      </c>
      <c r="P70" s="469">
        <f t="shared" si="8"/>
        <v>0</v>
      </c>
      <c r="Q70" s="469">
        <f t="shared" si="9"/>
        <v>0</v>
      </c>
      <c r="R70" s="469">
        <f t="shared" si="10"/>
        <v>0</v>
      </c>
      <c r="S70" s="469">
        <f t="shared" si="11"/>
        <v>0</v>
      </c>
      <c r="T70" s="469">
        <f t="shared" si="12"/>
        <v>0</v>
      </c>
      <c r="U70" s="469">
        <f t="shared" si="13"/>
        <v>0</v>
      </c>
      <c r="V70" s="469">
        <f t="shared" si="14"/>
        <v>0</v>
      </c>
      <c r="W70" s="469">
        <f t="shared" si="15"/>
        <v>0</v>
      </c>
      <c r="X70" s="469">
        <f t="shared" si="16"/>
        <v>0</v>
      </c>
      <c r="Y70" s="469">
        <f t="shared" si="17"/>
        <v>0</v>
      </c>
      <c r="Z70" s="469">
        <f t="shared" si="18"/>
        <v>0</v>
      </c>
      <c r="AA70" s="469">
        <f t="shared" si="19"/>
        <v>0</v>
      </c>
      <c r="AB70" s="469">
        <f t="shared" si="20"/>
        <v>0</v>
      </c>
      <c r="AC70" s="469">
        <f t="shared" si="21"/>
        <v>0</v>
      </c>
      <c r="AD70" s="469">
        <f t="shared" si="22"/>
        <v>0</v>
      </c>
      <c r="AE70" s="469">
        <f t="shared" si="23"/>
        <v>0</v>
      </c>
      <c r="AF70" s="469">
        <f t="shared" si="24"/>
        <v>0</v>
      </c>
      <c r="AG70" s="469">
        <f t="shared" si="25"/>
        <v>0</v>
      </c>
      <c r="AH70" s="469">
        <f t="shared" si="26"/>
        <v>0</v>
      </c>
      <c r="AI70" s="469">
        <f t="shared" si="27"/>
        <v>0</v>
      </c>
      <c r="AJ70" s="469">
        <f t="shared" si="28"/>
        <v>0</v>
      </c>
      <c r="AK70" s="469">
        <f t="shared" si="29"/>
        <v>0</v>
      </c>
      <c r="AL70" s="469">
        <f t="shared" si="30"/>
        <v>0</v>
      </c>
      <c r="AM70" s="469">
        <f t="shared" si="31"/>
        <v>0</v>
      </c>
      <c r="AN70" s="469">
        <f t="shared" si="32"/>
        <v>0</v>
      </c>
      <c r="AO70" s="469">
        <f t="shared" si="33"/>
        <v>0</v>
      </c>
      <c r="AP70" s="469">
        <f t="shared" si="34"/>
        <v>0</v>
      </c>
      <c r="AQ70" s="469">
        <f t="shared" si="35"/>
        <v>0</v>
      </c>
      <c r="AR70" s="469">
        <f t="shared" si="36"/>
        <v>0</v>
      </c>
      <c r="AS70" s="469">
        <f t="shared" si="37"/>
        <v>0</v>
      </c>
      <c r="AT70" s="469">
        <f t="shared" si="38"/>
        <v>0</v>
      </c>
      <c r="AU70" s="469">
        <f t="shared" si="39"/>
        <v>0</v>
      </c>
      <c r="AV70" s="469">
        <f t="shared" si="40"/>
        <v>0</v>
      </c>
      <c r="AW70" s="469">
        <f t="shared" si="41"/>
        <v>0</v>
      </c>
      <c r="AX70" s="469">
        <f t="shared" si="42"/>
        <v>0</v>
      </c>
      <c r="AY70" s="444">
        <f>IF(AND($AY50&gt;=$K$70,AY50&lt;=$L$70),#REF!,0)</f>
        <v>0</v>
      </c>
      <c r="AZ70" s="141"/>
    </row>
    <row r="71" spans="1:52">
      <c r="A71" s="1335">
        <f>$B$33</f>
        <v>0</v>
      </c>
      <c r="B71" s="1335"/>
      <c r="C71" s="1335"/>
      <c r="D71" s="1335"/>
      <c r="E71" s="1335"/>
      <c r="F71" s="467">
        <f>OpeningTemplate!$D$246</f>
        <v>0</v>
      </c>
      <c r="G71" s="467">
        <f>OpeningTemplate!$E$246</f>
        <v>0</v>
      </c>
      <c r="H71" s="446">
        <f t="shared" si="44"/>
        <v>0</v>
      </c>
      <c r="I71" s="446">
        <f t="shared" si="45"/>
        <v>0</v>
      </c>
      <c r="J71" s="468">
        <f t="shared" si="46"/>
        <v>0</v>
      </c>
      <c r="K71" s="467">
        <f t="shared" si="3"/>
        <v>0</v>
      </c>
      <c r="L71" s="467">
        <f t="shared" si="4"/>
        <v>0</v>
      </c>
      <c r="M71" s="469">
        <f t="shared" si="5"/>
        <v>0</v>
      </c>
      <c r="N71" s="469">
        <f t="shared" si="6"/>
        <v>0</v>
      </c>
      <c r="O71" s="469">
        <f t="shared" si="7"/>
        <v>0</v>
      </c>
      <c r="P71" s="469">
        <f t="shared" si="8"/>
        <v>0</v>
      </c>
      <c r="Q71" s="469">
        <f t="shared" si="9"/>
        <v>0</v>
      </c>
      <c r="R71" s="469">
        <f t="shared" si="10"/>
        <v>0</v>
      </c>
      <c r="S71" s="469">
        <f t="shared" si="11"/>
        <v>0</v>
      </c>
      <c r="T71" s="469">
        <f t="shared" si="12"/>
        <v>0</v>
      </c>
      <c r="U71" s="469">
        <f t="shared" si="13"/>
        <v>0</v>
      </c>
      <c r="V71" s="469">
        <f t="shared" si="14"/>
        <v>0</v>
      </c>
      <c r="W71" s="469">
        <f t="shared" si="15"/>
        <v>0</v>
      </c>
      <c r="X71" s="469">
        <f t="shared" si="16"/>
        <v>0</v>
      </c>
      <c r="Y71" s="469">
        <f t="shared" si="17"/>
        <v>0</v>
      </c>
      <c r="Z71" s="469">
        <f t="shared" si="18"/>
        <v>0</v>
      </c>
      <c r="AA71" s="469">
        <f t="shared" si="19"/>
        <v>0</v>
      </c>
      <c r="AB71" s="469">
        <f t="shared" si="20"/>
        <v>0</v>
      </c>
      <c r="AC71" s="469">
        <f t="shared" si="21"/>
        <v>0</v>
      </c>
      <c r="AD71" s="469">
        <f t="shared" si="22"/>
        <v>0</v>
      </c>
      <c r="AE71" s="469">
        <f t="shared" si="23"/>
        <v>0</v>
      </c>
      <c r="AF71" s="469">
        <f t="shared" si="24"/>
        <v>0</v>
      </c>
      <c r="AG71" s="469">
        <f t="shared" si="25"/>
        <v>0</v>
      </c>
      <c r="AH71" s="469">
        <f t="shared" si="26"/>
        <v>0</v>
      </c>
      <c r="AI71" s="469">
        <f t="shared" si="27"/>
        <v>0</v>
      </c>
      <c r="AJ71" s="469">
        <f t="shared" si="28"/>
        <v>0</v>
      </c>
      <c r="AK71" s="469">
        <f t="shared" si="29"/>
        <v>0</v>
      </c>
      <c r="AL71" s="469">
        <f t="shared" si="30"/>
        <v>0</v>
      </c>
      <c r="AM71" s="469">
        <f t="shared" si="31"/>
        <v>0</v>
      </c>
      <c r="AN71" s="469">
        <f t="shared" si="32"/>
        <v>0</v>
      </c>
      <c r="AO71" s="469">
        <f t="shared" si="33"/>
        <v>0</v>
      </c>
      <c r="AP71" s="469">
        <f t="shared" si="34"/>
        <v>0</v>
      </c>
      <c r="AQ71" s="469">
        <f t="shared" si="35"/>
        <v>0</v>
      </c>
      <c r="AR71" s="469">
        <f t="shared" si="36"/>
        <v>0</v>
      </c>
      <c r="AS71" s="469">
        <f t="shared" si="37"/>
        <v>0</v>
      </c>
      <c r="AT71" s="469">
        <f t="shared" si="38"/>
        <v>0</v>
      </c>
      <c r="AU71" s="469">
        <f t="shared" si="39"/>
        <v>0</v>
      </c>
      <c r="AV71" s="469">
        <f t="shared" si="40"/>
        <v>0</v>
      </c>
      <c r="AW71" s="469">
        <f t="shared" si="41"/>
        <v>0</v>
      </c>
      <c r="AX71" s="469">
        <f t="shared" si="42"/>
        <v>0</v>
      </c>
      <c r="AY71" s="444">
        <f>IF(AND($AY50&gt;=$K$71,AY50&lt;=$L$71),#REF!,0)</f>
        <v>0</v>
      </c>
      <c r="AZ71" s="141"/>
    </row>
    <row r="72" spans="1:52">
      <c r="A72" s="1335">
        <f>$B$34</f>
        <v>0</v>
      </c>
      <c r="B72" s="1335"/>
      <c r="C72" s="1335"/>
      <c r="D72" s="1335"/>
      <c r="E72" s="1335"/>
      <c r="F72" s="467">
        <f>OpeningTemplate!$D$256</f>
        <v>0</v>
      </c>
      <c r="G72" s="467">
        <f>OpeningTemplate!$E$256</f>
        <v>0</v>
      </c>
      <c r="H72" s="446">
        <f t="shared" si="44"/>
        <v>0</v>
      </c>
      <c r="I72" s="446">
        <f t="shared" si="45"/>
        <v>0</v>
      </c>
      <c r="J72" s="468">
        <f t="shared" si="46"/>
        <v>0</v>
      </c>
      <c r="K72" s="467">
        <f t="shared" si="3"/>
        <v>0</v>
      </c>
      <c r="L72" s="467">
        <f t="shared" si="4"/>
        <v>0</v>
      </c>
      <c r="M72" s="469">
        <f t="shared" si="5"/>
        <v>0</v>
      </c>
      <c r="N72" s="469">
        <f t="shared" si="6"/>
        <v>0</v>
      </c>
      <c r="O72" s="469">
        <f t="shared" si="7"/>
        <v>0</v>
      </c>
      <c r="P72" s="469">
        <f t="shared" si="8"/>
        <v>0</v>
      </c>
      <c r="Q72" s="469">
        <f t="shared" si="9"/>
        <v>0</v>
      </c>
      <c r="R72" s="469">
        <f t="shared" si="10"/>
        <v>0</v>
      </c>
      <c r="S72" s="469">
        <f t="shared" si="11"/>
        <v>0</v>
      </c>
      <c r="T72" s="469">
        <f t="shared" si="12"/>
        <v>0</v>
      </c>
      <c r="U72" s="469">
        <f t="shared" si="13"/>
        <v>0</v>
      </c>
      <c r="V72" s="469">
        <f t="shared" si="14"/>
        <v>0</v>
      </c>
      <c r="W72" s="469">
        <f t="shared" si="15"/>
        <v>0</v>
      </c>
      <c r="X72" s="469">
        <f t="shared" si="16"/>
        <v>0</v>
      </c>
      <c r="Y72" s="469">
        <f t="shared" si="17"/>
        <v>0</v>
      </c>
      <c r="Z72" s="469">
        <f t="shared" si="18"/>
        <v>0</v>
      </c>
      <c r="AA72" s="469">
        <f t="shared" si="19"/>
        <v>0</v>
      </c>
      <c r="AB72" s="469">
        <f t="shared" si="20"/>
        <v>0</v>
      </c>
      <c r="AC72" s="469">
        <f t="shared" si="21"/>
        <v>0</v>
      </c>
      <c r="AD72" s="469">
        <f t="shared" si="22"/>
        <v>0</v>
      </c>
      <c r="AE72" s="469">
        <f t="shared" si="23"/>
        <v>0</v>
      </c>
      <c r="AF72" s="469">
        <f t="shared" si="24"/>
        <v>0</v>
      </c>
      <c r="AG72" s="469">
        <f t="shared" si="25"/>
        <v>0</v>
      </c>
      <c r="AH72" s="469">
        <f t="shared" si="26"/>
        <v>0</v>
      </c>
      <c r="AI72" s="469">
        <f t="shared" si="27"/>
        <v>0</v>
      </c>
      <c r="AJ72" s="469">
        <f t="shared" si="28"/>
        <v>0</v>
      </c>
      <c r="AK72" s="469">
        <f t="shared" si="29"/>
        <v>0</v>
      </c>
      <c r="AL72" s="469">
        <f t="shared" si="30"/>
        <v>0</v>
      </c>
      <c r="AM72" s="469">
        <f t="shared" si="31"/>
        <v>0</v>
      </c>
      <c r="AN72" s="469">
        <f t="shared" si="32"/>
        <v>0</v>
      </c>
      <c r="AO72" s="469">
        <f t="shared" si="33"/>
        <v>0</v>
      </c>
      <c r="AP72" s="469">
        <f t="shared" si="34"/>
        <v>0</v>
      </c>
      <c r="AQ72" s="469">
        <f t="shared" si="35"/>
        <v>0</v>
      </c>
      <c r="AR72" s="469">
        <f t="shared" si="36"/>
        <v>0</v>
      </c>
      <c r="AS72" s="469">
        <f t="shared" si="37"/>
        <v>0</v>
      </c>
      <c r="AT72" s="469">
        <f t="shared" si="38"/>
        <v>0</v>
      </c>
      <c r="AU72" s="469">
        <f t="shared" si="39"/>
        <v>0</v>
      </c>
      <c r="AV72" s="469">
        <f t="shared" si="40"/>
        <v>0</v>
      </c>
      <c r="AW72" s="469">
        <f t="shared" si="41"/>
        <v>0</v>
      </c>
      <c r="AX72" s="469">
        <f t="shared" si="42"/>
        <v>0</v>
      </c>
      <c r="AY72" s="444">
        <f>IF(AND($AY50&gt;=$K$72,AY50&lt;=$L$72),#REF!,0)</f>
        <v>0</v>
      </c>
      <c r="AZ72" s="141"/>
    </row>
    <row r="73" spans="1:52">
      <c r="A73" s="1335">
        <f>$B$35</f>
        <v>0</v>
      </c>
      <c r="B73" s="1335"/>
      <c r="C73" s="1335"/>
      <c r="D73" s="1335"/>
      <c r="E73" s="1335"/>
      <c r="F73" s="467">
        <f>OpeningTemplate!$D$266</f>
        <v>0</v>
      </c>
      <c r="G73" s="467">
        <f>OpeningTemplate!$E$266</f>
        <v>0</v>
      </c>
      <c r="H73" s="446">
        <f t="shared" si="44"/>
        <v>0</v>
      </c>
      <c r="I73" s="446">
        <f t="shared" si="45"/>
        <v>0</v>
      </c>
      <c r="J73" s="468">
        <f t="shared" si="46"/>
        <v>0</v>
      </c>
      <c r="K73" s="467">
        <f t="shared" si="3"/>
        <v>0</v>
      </c>
      <c r="L73" s="467">
        <f t="shared" si="4"/>
        <v>0</v>
      </c>
      <c r="M73" s="469">
        <f t="shared" si="5"/>
        <v>0</v>
      </c>
      <c r="N73" s="469">
        <f t="shared" si="6"/>
        <v>0</v>
      </c>
      <c r="O73" s="469">
        <f t="shared" si="7"/>
        <v>0</v>
      </c>
      <c r="P73" s="469">
        <f t="shared" si="8"/>
        <v>0</v>
      </c>
      <c r="Q73" s="469">
        <f t="shared" si="9"/>
        <v>0</v>
      </c>
      <c r="R73" s="469">
        <f t="shared" si="10"/>
        <v>0</v>
      </c>
      <c r="S73" s="469">
        <f t="shared" si="11"/>
        <v>0</v>
      </c>
      <c r="T73" s="469">
        <f t="shared" si="12"/>
        <v>0</v>
      </c>
      <c r="U73" s="469">
        <f t="shared" si="13"/>
        <v>0</v>
      </c>
      <c r="V73" s="469">
        <f t="shared" si="14"/>
        <v>0</v>
      </c>
      <c r="W73" s="469">
        <f t="shared" si="15"/>
        <v>0</v>
      </c>
      <c r="X73" s="469">
        <f t="shared" si="16"/>
        <v>0</v>
      </c>
      <c r="Y73" s="469">
        <f t="shared" si="17"/>
        <v>0</v>
      </c>
      <c r="Z73" s="469">
        <f t="shared" si="18"/>
        <v>0</v>
      </c>
      <c r="AA73" s="469">
        <f t="shared" si="19"/>
        <v>0</v>
      </c>
      <c r="AB73" s="469">
        <f t="shared" si="20"/>
        <v>0</v>
      </c>
      <c r="AC73" s="469">
        <f t="shared" si="21"/>
        <v>0</v>
      </c>
      <c r="AD73" s="469">
        <f t="shared" si="22"/>
        <v>0</v>
      </c>
      <c r="AE73" s="469">
        <f t="shared" si="23"/>
        <v>0</v>
      </c>
      <c r="AF73" s="469">
        <f t="shared" si="24"/>
        <v>0</v>
      </c>
      <c r="AG73" s="469">
        <f t="shared" si="25"/>
        <v>0</v>
      </c>
      <c r="AH73" s="469">
        <f t="shared" si="26"/>
        <v>0</v>
      </c>
      <c r="AI73" s="469">
        <f t="shared" si="27"/>
        <v>0</v>
      </c>
      <c r="AJ73" s="469">
        <f t="shared" si="28"/>
        <v>0</v>
      </c>
      <c r="AK73" s="469">
        <f t="shared" si="29"/>
        <v>0</v>
      </c>
      <c r="AL73" s="469">
        <f t="shared" si="30"/>
        <v>0</v>
      </c>
      <c r="AM73" s="469">
        <f t="shared" si="31"/>
        <v>0</v>
      </c>
      <c r="AN73" s="469">
        <f t="shared" si="32"/>
        <v>0</v>
      </c>
      <c r="AO73" s="469">
        <f t="shared" si="33"/>
        <v>0</v>
      </c>
      <c r="AP73" s="469">
        <f t="shared" si="34"/>
        <v>0</v>
      </c>
      <c r="AQ73" s="469">
        <f t="shared" si="35"/>
        <v>0</v>
      </c>
      <c r="AR73" s="469">
        <f t="shared" si="36"/>
        <v>0</v>
      </c>
      <c r="AS73" s="469">
        <f t="shared" si="37"/>
        <v>0</v>
      </c>
      <c r="AT73" s="469">
        <f t="shared" si="38"/>
        <v>0</v>
      </c>
      <c r="AU73" s="469">
        <f t="shared" si="39"/>
        <v>0</v>
      </c>
      <c r="AV73" s="469">
        <f t="shared" si="40"/>
        <v>0</v>
      </c>
      <c r="AW73" s="469">
        <f t="shared" si="41"/>
        <v>0</v>
      </c>
      <c r="AX73" s="469">
        <f t="shared" si="42"/>
        <v>0</v>
      </c>
      <c r="AY73" s="444">
        <f>IF(AND($AY50&gt;=$K$73,AY50&lt;=$L$73),#REF!,0)</f>
        <v>0</v>
      </c>
      <c r="AZ73" s="141"/>
    </row>
    <row r="74" spans="1:52">
      <c r="A74" s="1335">
        <f>$B$36</f>
        <v>0</v>
      </c>
      <c r="B74" s="1335"/>
      <c r="C74" s="1335"/>
      <c r="D74" s="1335"/>
      <c r="E74" s="1335"/>
      <c r="F74" s="467">
        <f>OpeningTemplate!$D$276</f>
        <v>0</v>
      </c>
      <c r="G74" s="467">
        <f>OpeningTemplate!$E$276</f>
        <v>0</v>
      </c>
      <c r="H74" s="446">
        <f t="shared" si="44"/>
        <v>0</v>
      </c>
      <c r="I74" s="446">
        <f t="shared" si="45"/>
        <v>0</v>
      </c>
      <c r="J74" s="468">
        <f t="shared" si="46"/>
        <v>0</v>
      </c>
      <c r="K74" s="467">
        <f t="shared" si="3"/>
        <v>0</v>
      </c>
      <c r="L74" s="467">
        <f t="shared" si="4"/>
        <v>0</v>
      </c>
      <c r="M74" s="469">
        <f t="shared" si="5"/>
        <v>0</v>
      </c>
      <c r="N74" s="469">
        <f t="shared" si="6"/>
        <v>0</v>
      </c>
      <c r="O74" s="469">
        <f t="shared" si="7"/>
        <v>0</v>
      </c>
      <c r="P74" s="469">
        <f t="shared" si="8"/>
        <v>0</v>
      </c>
      <c r="Q74" s="469">
        <f t="shared" si="9"/>
        <v>0</v>
      </c>
      <c r="R74" s="469">
        <f t="shared" si="10"/>
        <v>0</v>
      </c>
      <c r="S74" s="469">
        <f t="shared" si="11"/>
        <v>0</v>
      </c>
      <c r="T74" s="469">
        <f t="shared" si="12"/>
        <v>0</v>
      </c>
      <c r="U74" s="469">
        <f t="shared" si="13"/>
        <v>0</v>
      </c>
      <c r="V74" s="469">
        <f t="shared" si="14"/>
        <v>0</v>
      </c>
      <c r="W74" s="469">
        <f t="shared" si="15"/>
        <v>0</v>
      </c>
      <c r="X74" s="469">
        <f t="shared" si="16"/>
        <v>0</v>
      </c>
      <c r="Y74" s="469">
        <f t="shared" si="17"/>
        <v>0</v>
      </c>
      <c r="Z74" s="469">
        <f t="shared" si="18"/>
        <v>0</v>
      </c>
      <c r="AA74" s="469">
        <f t="shared" si="19"/>
        <v>0</v>
      </c>
      <c r="AB74" s="469">
        <f t="shared" si="20"/>
        <v>0</v>
      </c>
      <c r="AC74" s="469">
        <f t="shared" si="21"/>
        <v>0</v>
      </c>
      <c r="AD74" s="469">
        <f t="shared" si="22"/>
        <v>0</v>
      </c>
      <c r="AE74" s="469">
        <f t="shared" si="23"/>
        <v>0</v>
      </c>
      <c r="AF74" s="469">
        <f t="shared" si="24"/>
        <v>0</v>
      </c>
      <c r="AG74" s="469">
        <f t="shared" si="25"/>
        <v>0</v>
      </c>
      <c r="AH74" s="469">
        <f t="shared" si="26"/>
        <v>0</v>
      </c>
      <c r="AI74" s="469">
        <f t="shared" si="27"/>
        <v>0</v>
      </c>
      <c r="AJ74" s="469">
        <f t="shared" si="28"/>
        <v>0</v>
      </c>
      <c r="AK74" s="469">
        <f t="shared" si="29"/>
        <v>0</v>
      </c>
      <c r="AL74" s="469">
        <f t="shared" si="30"/>
        <v>0</v>
      </c>
      <c r="AM74" s="469">
        <f t="shared" si="31"/>
        <v>0</v>
      </c>
      <c r="AN74" s="469">
        <f t="shared" si="32"/>
        <v>0</v>
      </c>
      <c r="AO74" s="469">
        <f t="shared" si="33"/>
        <v>0</v>
      </c>
      <c r="AP74" s="469">
        <f t="shared" si="34"/>
        <v>0</v>
      </c>
      <c r="AQ74" s="469">
        <f t="shared" si="35"/>
        <v>0</v>
      </c>
      <c r="AR74" s="469">
        <f t="shared" si="36"/>
        <v>0</v>
      </c>
      <c r="AS74" s="469">
        <f t="shared" si="37"/>
        <v>0</v>
      </c>
      <c r="AT74" s="469">
        <f t="shared" si="38"/>
        <v>0</v>
      </c>
      <c r="AU74" s="469">
        <f t="shared" si="39"/>
        <v>0</v>
      </c>
      <c r="AV74" s="469">
        <f t="shared" si="40"/>
        <v>0</v>
      </c>
      <c r="AW74" s="469">
        <f t="shared" si="41"/>
        <v>0</v>
      </c>
      <c r="AX74" s="469">
        <f t="shared" si="42"/>
        <v>0</v>
      </c>
      <c r="AY74" s="444">
        <f>IF(AND($AY50&gt;=$K$74,AY50&lt;=$L$74),#REF!,0)</f>
        <v>0</v>
      </c>
      <c r="AZ74" s="141"/>
    </row>
    <row r="75" spans="1:52">
      <c r="A75" s="1335">
        <f>$B$37</f>
        <v>0</v>
      </c>
      <c r="B75" s="1335"/>
      <c r="C75" s="1335"/>
      <c r="D75" s="1335"/>
      <c r="E75" s="1335"/>
      <c r="F75" s="467">
        <f>OpeningTemplate!$D$286</f>
        <v>0</v>
      </c>
      <c r="G75" s="467">
        <f>OpeningTemplate!$E$286</f>
        <v>0</v>
      </c>
      <c r="H75" s="446">
        <f t="shared" si="44"/>
        <v>0</v>
      </c>
      <c r="I75" s="446">
        <f t="shared" si="45"/>
        <v>0</v>
      </c>
      <c r="J75" s="468">
        <f t="shared" si="46"/>
        <v>0</v>
      </c>
      <c r="K75" s="467">
        <f t="shared" si="3"/>
        <v>0</v>
      </c>
      <c r="L75" s="467">
        <f t="shared" si="4"/>
        <v>0</v>
      </c>
      <c r="M75" s="469">
        <f t="shared" si="5"/>
        <v>0</v>
      </c>
      <c r="N75" s="469">
        <f t="shared" si="6"/>
        <v>0</v>
      </c>
      <c r="O75" s="469">
        <f t="shared" si="7"/>
        <v>0</v>
      </c>
      <c r="P75" s="469">
        <f t="shared" si="8"/>
        <v>0</v>
      </c>
      <c r="Q75" s="469">
        <f t="shared" si="9"/>
        <v>0</v>
      </c>
      <c r="R75" s="469">
        <f t="shared" si="10"/>
        <v>0</v>
      </c>
      <c r="S75" s="469">
        <f t="shared" si="11"/>
        <v>0</v>
      </c>
      <c r="T75" s="469">
        <f t="shared" si="12"/>
        <v>0</v>
      </c>
      <c r="U75" s="469">
        <f t="shared" si="13"/>
        <v>0</v>
      </c>
      <c r="V75" s="469">
        <f t="shared" si="14"/>
        <v>0</v>
      </c>
      <c r="W75" s="469">
        <f t="shared" si="15"/>
        <v>0</v>
      </c>
      <c r="X75" s="469">
        <f t="shared" si="16"/>
        <v>0</v>
      </c>
      <c r="Y75" s="469">
        <f t="shared" si="17"/>
        <v>0</v>
      </c>
      <c r="Z75" s="469">
        <f t="shared" si="18"/>
        <v>0</v>
      </c>
      <c r="AA75" s="469">
        <f t="shared" si="19"/>
        <v>0</v>
      </c>
      <c r="AB75" s="469">
        <f t="shared" si="20"/>
        <v>0</v>
      </c>
      <c r="AC75" s="469">
        <f t="shared" si="21"/>
        <v>0</v>
      </c>
      <c r="AD75" s="469">
        <f t="shared" si="22"/>
        <v>0</v>
      </c>
      <c r="AE75" s="469">
        <f t="shared" si="23"/>
        <v>0</v>
      </c>
      <c r="AF75" s="469">
        <f t="shared" si="24"/>
        <v>0</v>
      </c>
      <c r="AG75" s="469">
        <f t="shared" si="25"/>
        <v>0</v>
      </c>
      <c r="AH75" s="469">
        <f t="shared" si="26"/>
        <v>0</v>
      </c>
      <c r="AI75" s="469">
        <f t="shared" si="27"/>
        <v>0</v>
      </c>
      <c r="AJ75" s="469">
        <f t="shared" si="28"/>
        <v>0</v>
      </c>
      <c r="AK75" s="469">
        <f t="shared" si="29"/>
        <v>0</v>
      </c>
      <c r="AL75" s="469">
        <f t="shared" si="30"/>
        <v>0</v>
      </c>
      <c r="AM75" s="469">
        <f t="shared" si="31"/>
        <v>0</v>
      </c>
      <c r="AN75" s="469">
        <f t="shared" si="32"/>
        <v>0</v>
      </c>
      <c r="AO75" s="469">
        <f t="shared" si="33"/>
        <v>0</v>
      </c>
      <c r="AP75" s="469">
        <f t="shared" si="34"/>
        <v>0</v>
      </c>
      <c r="AQ75" s="469">
        <f t="shared" si="35"/>
        <v>0</v>
      </c>
      <c r="AR75" s="469">
        <f t="shared" si="36"/>
        <v>0</v>
      </c>
      <c r="AS75" s="469">
        <f t="shared" si="37"/>
        <v>0</v>
      </c>
      <c r="AT75" s="469">
        <f t="shared" si="38"/>
        <v>0</v>
      </c>
      <c r="AU75" s="469">
        <f t="shared" si="39"/>
        <v>0</v>
      </c>
      <c r="AV75" s="469">
        <f t="shared" si="40"/>
        <v>0</v>
      </c>
      <c r="AW75" s="469">
        <f t="shared" si="41"/>
        <v>0</v>
      </c>
      <c r="AX75" s="469">
        <f t="shared" si="42"/>
        <v>0</v>
      </c>
      <c r="AY75" s="444">
        <f>IF(AND($AY50&gt;=$K$75,AY50&lt;=$L$75),#REF!,0)</f>
        <v>0</v>
      </c>
      <c r="AZ75" s="141"/>
    </row>
    <row r="76" spans="1:52">
      <c r="A76" s="1335">
        <f>$B$38</f>
        <v>0</v>
      </c>
      <c r="B76" s="1335"/>
      <c r="C76" s="1335"/>
      <c r="D76" s="1335"/>
      <c r="E76" s="1335"/>
      <c r="F76" s="467">
        <f>OpeningTemplate!$D$296</f>
        <v>0</v>
      </c>
      <c r="G76" s="467">
        <f>OpeningTemplate!$E$296</f>
        <v>0</v>
      </c>
      <c r="H76" s="446">
        <f t="shared" si="44"/>
        <v>0</v>
      </c>
      <c r="I76" s="446">
        <f t="shared" si="45"/>
        <v>0</v>
      </c>
      <c r="J76" s="468">
        <f t="shared" si="46"/>
        <v>0</v>
      </c>
      <c r="K76" s="467">
        <f t="shared" si="3"/>
        <v>0</v>
      </c>
      <c r="L76" s="467">
        <f t="shared" si="4"/>
        <v>0</v>
      </c>
      <c r="M76" s="469">
        <f t="shared" si="5"/>
        <v>0</v>
      </c>
      <c r="N76" s="469">
        <f t="shared" si="6"/>
        <v>0</v>
      </c>
      <c r="O76" s="469">
        <f t="shared" si="7"/>
        <v>0</v>
      </c>
      <c r="P76" s="469">
        <f t="shared" si="8"/>
        <v>0</v>
      </c>
      <c r="Q76" s="469">
        <f t="shared" si="9"/>
        <v>0</v>
      </c>
      <c r="R76" s="469">
        <f t="shared" si="10"/>
        <v>0</v>
      </c>
      <c r="S76" s="469">
        <f t="shared" si="11"/>
        <v>0</v>
      </c>
      <c r="T76" s="469">
        <f t="shared" si="12"/>
        <v>0</v>
      </c>
      <c r="U76" s="469">
        <f t="shared" si="13"/>
        <v>0</v>
      </c>
      <c r="V76" s="469">
        <f t="shared" si="14"/>
        <v>0</v>
      </c>
      <c r="W76" s="469">
        <f t="shared" si="15"/>
        <v>0</v>
      </c>
      <c r="X76" s="469">
        <f t="shared" si="16"/>
        <v>0</v>
      </c>
      <c r="Y76" s="469">
        <f t="shared" si="17"/>
        <v>0</v>
      </c>
      <c r="Z76" s="469">
        <f t="shared" si="18"/>
        <v>0</v>
      </c>
      <c r="AA76" s="469">
        <f t="shared" si="19"/>
        <v>0</v>
      </c>
      <c r="AB76" s="469">
        <f t="shared" si="20"/>
        <v>0</v>
      </c>
      <c r="AC76" s="469">
        <f t="shared" si="21"/>
        <v>0</v>
      </c>
      <c r="AD76" s="469">
        <f t="shared" si="22"/>
        <v>0</v>
      </c>
      <c r="AE76" s="469">
        <f t="shared" si="23"/>
        <v>0</v>
      </c>
      <c r="AF76" s="469">
        <f t="shared" si="24"/>
        <v>0</v>
      </c>
      <c r="AG76" s="469">
        <f t="shared" si="25"/>
        <v>0</v>
      </c>
      <c r="AH76" s="469">
        <f t="shared" si="26"/>
        <v>0</v>
      </c>
      <c r="AI76" s="469">
        <f t="shared" si="27"/>
        <v>0</v>
      </c>
      <c r="AJ76" s="469">
        <f t="shared" si="28"/>
        <v>0</v>
      </c>
      <c r="AK76" s="469">
        <f t="shared" si="29"/>
        <v>0</v>
      </c>
      <c r="AL76" s="469">
        <f t="shared" si="30"/>
        <v>0</v>
      </c>
      <c r="AM76" s="469">
        <f t="shared" si="31"/>
        <v>0</v>
      </c>
      <c r="AN76" s="469">
        <f t="shared" si="32"/>
        <v>0</v>
      </c>
      <c r="AO76" s="469">
        <f t="shared" si="33"/>
        <v>0</v>
      </c>
      <c r="AP76" s="469">
        <f t="shared" si="34"/>
        <v>0</v>
      </c>
      <c r="AQ76" s="469">
        <f t="shared" si="35"/>
        <v>0</v>
      </c>
      <c r="AR76" s="469">
        <f t="shared" si="36"/>
        <v>0</v>
      </c>
      <c r="AS76" s="469">
        <f t="shared" si="37"/>
        <v>0</v>
      </c>
      <c r="AT76" s="469">
        <f t="shared" si="38"/>
        <v>0</v>
      </c>
      <c r="AU76" s="469">
        <f t="shared" si="39"/>
        <v>0</v>
      </c>
      <c r="AV76" s="469">
        <f t="shared" si="40"/>
        <v>0</v>
      </c>
      <c r="AW76" s="469">
        <f t="shared" si="41"/>
        <v>0</v>
      </c>
      <c r="AX76" s="469">
        <f t="shared" si="42"/>
        <v>0</v>
      </c>
      <c r="AY76" s="444">
        <f>IF(AND($AY50&gt;=$K$76,AY50&lt;=$L$76),#REF!,0)</f>
        <v>0</v>
      </c>
      <c r="AZ76" s="141"/>
    </row>
    <row r="77" spans="1:52">
      <c r="A77" s="1335">
        <f>$B$39</f>
        <v>0</v>
      </c>
      <c r="B77" s="1335"/>
      <c r="C77" s="1335"/>
      <c r="D77" s="1335"/>
      <c r="E77" s="1335"/>
      <c r="F77" s="467">
        <f>OpeningTemplate!$D$306</f>
        <v>0</v>
      </c>
      <c r="G77" s="467">
        <f>OpeningTemplate!$E$306</f>
        <v>0</v>
      </c>
      <c r="H77" s="446">
        <f t="shared" si="44"/>
        <v>0</v>
      </c>
      <c r="I77" s="446">
        <f t="shared" si="45"/>
        <v>0</v>
      </c>
      <c r="J77" s="468">
        <f t="shared" si="46"/>
        <v>0</v>
      </c>
      <c r="K77" s="467">
        <f t="shared" si="3"/>
        <v>0</v>
      </c>
      <c r="L77" s="467">
        <f t="shared" si="4"/>
        <v>0</v>
      </c>
      <c r="M77" s="469">
        <f t="shared" si="5"/>
        <v>0</v>
      </c>
      <c r="N77" s="469">
        <f t="shared" si="6"/>
        <v>0</v>
      </c>
      <c r="O77" s="469">
        <f t="shared" si="7"/>
        <v>0</v>
      </c>
      <c r="P77" s="469">
        <f t="shared" si="8"/>
        <v>0</v>
      </c>
      <c r="Q77" s="469">
        <f t="shared" si="9"/>
        <v>0</v>
      </c>
      <c r="R77" s="469">
        <f t="shared" si="10"/>
        <v>0</v>
      </c>
      <c r="S77" s="469">
        <f t="shared" si="11"/>
        <v>0</v>
      </c>
      <c r="T77" s="469">
        <f t="shared" si="12"/>
        <v>0</v>
      </c>
      <c r="U77" s="469">
        <f t="shared" si="13"/>
        <v>0</v>
      </c>
      <c r="V77" s="469">
        <f t="shared" si="14"/>
        <v>0</v>
      </c>
      <c r="W77" s="469">
        <f t="shared" si="15"/>
        <v>0</v>
      </c>
      <c r="X77" s="469">
        <f t="shared" si="16"/>
        <v>0</v>
      </c>
      <c r="Y77" s="469">
        <f t="shared" si="17"/>
        <v>0</v>
      </c>
      <c r="Z77" s="469">
        <f t="shared" si="18"/>
        <v>0</v>
      </c>
      <c r="AA77" s="469">
        <f t="shared" si="19"/>
        <v>0</v>
      </c>
      <c r="AB77" s="469">
        <f t="shared" si="20"/>
        <v>0</v>
      </c>
      <c r="AC77" s="469">
        <f t="shared" si="21"/>
        <v>0</v>
      </c>
      <c r="AD77" s="469">
        <f t="shared" si="22"/>
        <v>0</v>
      </c>
      <c r="AE77" s="469">
        <f t="shared" si="23"/>
        <v>0</v>
      </c>
      <c r="AF77" s="469">
        <f t="shared" si="24"/>
        <v>0</v>
      </c>
      <c r="AG77" s="469">
        <f t="shared" si="25"/>
        <v>0</v>
      </c>
      <c r="AH77" s="469">
        <f t="shared" si="26"/>
        <v>0</v>
      </c>
      <c r="AI77" s="469">
        <f t="shared" si="27"/>
        <v>0</v>
      </c>
      <c r="AJ77" s="469">
        <f t="shared" si="28"/>
        <v>0</v>
      </c>
      <c r="AK77" s="469">
        <f t="shared" si="29"/>
        <v>0</v>
      </c>
      <c r="AL77" s="469">
        <f t="shared" si="30"/>
        <v>0</v>
      </c>
      <c r="AM77" s="469">
        <f t="shared" si="31"/>
        <v>0</v>
      </c>
      <c r="AN77" s="469">
        <f t="shared" si="32"/>
        <v>0</v>
      </c>
      <c r="AO77" s="469">
        <f t="shared" si="33"/>
        <v>0</v>
      </c>
      <c r="AP77" s="469">
        <f t="shared" si="34"/>
        <v>0</v>
      </c>
      <c r="AQ77" s="469">
        <f t="shared" si="35"/>
        <v>0</v>
      </c>
      <c r="AR77" s="469">
        <f t="shared" si="36"/>
        <v>0</v>
      </c>
      <c r="AS77" s="469">
        <f t="shared" si="37"/>
        <v>0</v>
      </c>
      <c r="AT77" s="469">
        <f t="shared" si="38"/>
        <v>0</v>
      </c>
      <c r="AU77" s="469">
        <f t="shared" si="39"/>
        <v>0</v>
      </c>
      <c r="AV77" s="469">
        <f t="shared" si="40"/>
        <v>0</v>
      </c>
      <c r="AW77" s="469">
        <f t="shared" si="41"/>
        <v>0</v>
      </c>
      <c r="AX77" s="469">
        <f t="shared" si="42"/>
        <v>0</v>
      </c>
      <c r="AY77" s="444">
        <f>IF(AND($AY50&gt;=$K$77,AY50&lt;=$L$77),#REF!,0)</f>
        <v>0</v>
      </c>
      <c r="AZ77" s="141"/>
    </row>
    <row r="78" spans="1:52">
      <c r="A78" s="1335">
        <f>$B$40</f>
        <v>0</v>
      </c>
      <c r="B78" s="1335"/>
      <c r="C78" s="1335"/>
      <c r="D78" s="1335"/>
      <c r="E78" s="1335"/>
      <c r="F78" s="467">
        <f>OpeningTemplate!$D$316</f>
        <v>0</v>
      </c>
      <c r="G78" s="467">
        <f>OpeningTemplate!$E$316</f>
        <v>0</v>
      </c>
      <c r="H78" s="446">
        <f t="shared" si="44"/>
        <v>0</v>
      </c>
      <c r="I78" s="446">
        <f t="shared" si="45"/>
        <v>0</v>
      </c>
      <c r="J78" s="468">
        <f t="shared" si="46"/>
        <v>0</v>
      </c>
      <c r="K78" s="467">
        <f t="shared" si="3"/>
        <v>0</v>
      </c>
      <c r="L78" s="467">
        <f t="shared" si="4"/>
        <v>0</v>
      </c>
      <c r="M78" s="469">
        <f t="shared" si="5"/>
        <v>0</v>
      </c>
      <c r="N78" s="469">
        <f t="shared" si="6"/>
        <v>0</v>
      </c>
      <c r="O78" s="469">
        <f t="shared" si="7"/>
        <v>0</v>
      </c>
      <c r="P78" s="469">
        <f t="shared" si="8"/>
        <v>0</v>
      </c>
      <c r="Q78" s="469">
        <f t="shared" si="9"/>
        <v>0</v>
      </c>
      <c r="R78" s="469">
        <f t="shared" si="10"/>
        <v>0</v>
      </c>
      <c r="S78" s="469">
        <f t="shared" si="11"/>
        <v>0</v>
      </c>
      <c r="T78" s="469">
        <f t="shared" si="12"/>
        <v>0</v>
      </c>
      <c r="U78" s="469">
        <f t="shared" si="13"/>
        <v>0</v>
      </c>
      <c r="V78" s="469">
        <f t="shared" si="14"/>
        <v>0</v>
      </c>
      <c r="W78" s="469">
        <f t="shared" si="15"/>
        <v>0</v>
      </c>
      <c r="X78" s="469">
        <f t="shared" si="16"/>
        <v>0</v>
      </c>
      <c r="Y78" s="469">
        <f t="shared" si="17"/>
        <v>0</v>
      </c>
      <c r="Z78" s="469">
        <f t="shared" si="18"/>
        <v>0</v>
      </c>
      <c r="AA78" s="469">
        <f t="shared" si="19"/>
        <v>0</v>
      </c>
      <c r="AB78" s="469">
        <f t="shared" si="20"/>
        <v>0</v>
      </c>
      <c r="AC78" s="469">
        <f t="shared" si="21"/>
        <v>0</v>
      </c>
      <c r="AD78" s="469">
        <f t="shared" si="22"/>
        <v>0</v>
      </c>
      <c r="AE78" s="469">
        <f t="shared" si="23"/>
        <v>0</v>
      </c>
      <c r="AF78" s="469">
        <f t="shared" si="24"/>
        <v>0</v>
      </c>
      <c r="AG78" s="469">
        <f t="shared" si="25"/>
        <v>0</v>
      </c>
      <c r="AH78" s="469">
        <f t="shared" si="26"/>
        <v>0</v>
      </c>
      <c r="AI78" s="469">
        <f t="shared" si="27"/>
        <v>0</v>
      </c>
      <c r="AJ78" s="469">
        <f t="shared" si="28"/>
        <v>0</v>
      </c>
      <c r="AK78" s="469">
        <f t="shared" si="29"/>
        <v>0</v>
      </c>
      <c r="AL78" s="469">
        <f t="shared" si="30"/>
        <v>0</v>
      </c>
      <c r="AM78" s="469">
        <f t="shared" si="31"/>
        <v>0</v>
      </c>
      <c r="AN78" s="469">
        <f t="shared" si="32"/>
        <v>0</v>
      </c>
      <c r="AO78" s="469">
        <f t="shared" si="33"/>
        <v>0</v>
      </c>
      <c r="AP78" s="469">
        <f t="shared" si="34"/>
        <v>0</v>
      </c>
      <c r="AQ78" s="469">
        <f t="shared" si="35"/>
        <v>0</v>
      </c>
      <c r="AR78" s="469">
        <f t="shared" si="36"/>
        <v>0</v>
      </c>
      <c r="AS78" s="469">
        <f t="shared" si="37"/>
        <v>0</v>
      </c>
      <c r="AT78" s="469">
        <f t="shared" si="38"/>
        <v>0</v>
      </c>
      <c r="AU78" s="469">
        <f t="shared" si="39"/>
        <v>0</v>
      </c>
      <c r="AV78" s="469">
        <f t="shared" si="40"/>
        <v>0</v>
      </c>
      <c r="AW78" s="469">
        <f t="shared" si="41"/>
        <v>0</v>
      </c>
      <c r="AX78" s="469">
        <f t="shared" si="42"/>
        <v>0</v>
      </c>
      <c r="AY78" s="444">
        <f>IF(AND($AY50&gt;=$K$78,AY50&lt;=$L$78),#REF!,0)</f>
        <v>0</v>
      </c>
      <c r="AZ78" s="141"/>
    </row>
    <row r="79" spans="1:52">
      <c r="A79" s="1335">
        <f>$B$41</f>
        <v>0</v>
      </c>
      <c r="B79" s="1335"/>
      <c r="C79" s="1335"/>
      <c r="D79" s="1335"/>
      <c r="E79" s="1335"/>
      <c r="F79" s="467">
        <f>OpeningTemplate!$D$326</f>
        <v>0</v>
      </c>
      <c r="G79" s="467">
        <f>OpeningTemplate!$E$326</f>
        <v>0</v>
      </c>
      <c r="H79" s="446">
        <f t="shared" si="44"/>
        <v>0</v>
      </c>
      <c r="I79" s="446">
        <f t="shared" si="45"/>
        <v>0</v>
      </c>
      <c r="J79" s="468">
        <f t="shared" si="46"/>
        <v>0</v>
      </c>
      <c r="K79" s="467">
        <f t="shared" si="3"/>
        <v>0</v>
      </c>
      <c r="L79" s="467">
        <f t="shared" si="4"/>
        <v>0</v>
      </c>
      <c r="M79" s="469">
        <f t="shared" si="5"/>
        <v>0</v>
      </c>
      <c r="N79" s="469">
        <f t="shared" si="6"/>
        <v>0</v>
      </c>
      <c r="O79" s="469">
        <f t="shared" si="7"/>
        <v>0</v>
      </c>
      <c r="P79" s="469">
        <f t="shared" si="8"/>
        <v>0</v>
      </c>
      <c r="Q79" s="469">
        <f t="shared" si="9"/>
        <v>0</v>
      </c>
      <c r="R79" s="469">
        <f t="shared" si="10"/>
        <v>0</v>
      </c>
      <c r="S79" s="469">
        <f t="shared" si="11"/>
        <v>0</v>
      </c>
      <c r="T79" s="469">
        <f t="shared" si="12"/>
        <v>0</v>
      </c>
      <c r="U79" s="469">
        <f t="shared" si="13"/>
        <v>0</v>
      </c>
      <c r="V79" s="469">
        <f t="shared" si="14"/>
        <v>0</v>
      </c>
      <c r="W79" s="469">
        <f t="shared" si="15"/>
        <v>0</v>
      </c>
      <c r="X79" s="469">
        <f t="shared" si="16"/>
        <v>0</v>
      </c>
      <c r="Y79" s="469">
        <f t="shared" si="17"/>
        <v>0</v>
      </c>
      <c r="Z79" s="469">
        <f t="shared" si="18"/>
        <v>0</v>
      </c>
      <c r="AA79" s="469">
        <f t="shared" si="19"/>
        <v>0</v>
      </c>
      <c r="AB79" s="469">
        <f t="shared" si="20"/>
        <v>0</v>
      </c>
      <c r="AC79" s="469">
        <f t="shared" si="21"/>
        <v>0</v>
      </c>
      <c r="AD79" s="469">
        <f t="shared" si="22"/>
        <v>0</v>
      </c>
      <c r="AE79" s="469">
        <f t="shared" si="23"/>
        <v>0</v>
      </c>
      <c r="AF79" s="469">
        <f t="shared" si="24"/>
        <v>0</v>
      </c>
      <c r="AG79" s="469">
        <f t="shared" si="25"/>
        <v>0</v>
      </c>
      <c r="AH79" s="469">
        <f t="shared" si="26"/>
        <v>0</v>
      </c>
      <c r="AI79" s="469">
        <f t="shared" si="27"/>
        <v>0</v>
      </c>
      <c r="AJ79" s="469">
        <f t="shared" si="28"/>
        <v>0</v>
      </c>
      <c r="AK79" s="469">
        <f t="shared" si="29"/>
        <v>0</v>
      </c>
      <c r="AL79" s="469">
        <f t="shared" si="30"/>
        <v>0</v>
      </c>
      <c r="AM79" s="469">
        <f t="shared" si="31"/>
        <v>0</v>
      </c>
      <c r="AN79" s="469">
        <f t="shared" si="32"/>
        <v>0</v>
      </c>
      <c r="AO79" s="469">
        <f t="shared" si="33"/>
        <v>0</v>
      </c>
      <c r="AP79" s="469">
        <f t="shared" si="34"/>
        <v>0</v>
      </c>
      <c r="AQ79" s="469">
        <f t="shared" si="35"/>
        <v>0</v>
      </c>
      <c r="AR79" s="469">
        <f t="shared" si="36"/>
        <v>0</v>
      </c>
      <c r="AS79" s="469">
        <f t="shared" si="37"/>
        <v>0</v>
      </c>
      <c r="AT79" s="469">
        <f t="shared" si="38"/>
        <v>0</v>
      </c>
      <c r="AU79" s="469">
        <f t="shared" si="39"/>
        <v>0</v>
      </c>
      <c r="AV79" s="469">
        <f t="shared" si="40"/>
        <v>0</v>
      </c>
      <c r="AW79" s="469">
        <f t="shared" si="41"/>
        <v>0</v>
      </c>
      <c r="AX79" s="469">
        <f t="shared" si="42"/>
        <v>0</v>
      </c>
      <c r="AY79" s="444">
        <f>IF(AND($AY50&gt;=$K$79,AY50&lt;=$L$79),#REF!,0)</f>
        <v>0</v>
      </c>
      <c r="AZ79" s="141"/>
    </row>
    <row r="80" spans="1:52">
      <c r="A80" s="1335">
        <f>$B$42</f>
        <v>0</v>
      </c>
      <c r="B80" s="1335"/>
      <c r="C80" s="1335"/>
      <c r="D80" s="1335"/>
      <c r="E80" s="1335"/>
      <c r="F80" s="467">
        <f>OpeningTemplate!$D$336</f>
        <v>0</v>
      </c>
      <c r="G80" s="467">
        <f>OpeningTemplate!$E$336</f>
        <v>0</v>
      </c>
      <c r="H80" s="446">
        <f t="shared" si="44"/>
        <v>0</v>
      </c>
      <c r="I80" s="446">
        <f t="shared" si="45"/>
        <v>0</v>
      </c>
      <c r="J80" s="468">
        <f t="shared" si="46"/>
        <v>0</v>
      </c>
      <c r="K80" s="467">
        <f t="shared" si="3"/>
        <v>0</v>
      </c>
      <c r="L80" s="467">
        <f t="shared" si="4"/>
        <v>0</v>
      </c>
      <c r="M80" s="469">
        <f t="shared" si="5"/>
        <v>0</v>
      </c>
      <c r="N80" s="469">
        <f t="shared" si="6"/>
        <v>0</v>
      </c>
      <c r="O80" s="469">
        <f t="shared" si="7"/>
        <v>0</v>
      </c>
      <c r="P80" s="469">
        <f t="shared" si="8"/>
        <v>0</v>
      </c>
      <c r="Q80" s="469">
        <f t="shared" si="9"/>
        <v>0</v>
      </c>
      <c r="R80" s="469">
        <f t="shared" si="10"/>
        <v>0</v>
      </c>
      <c r="S80" s="469">
        <f t="shared" si="11"/>
        <v>0</v>
      </c>
      <c r="T80" s="469">
        <f t="shared" si="12"/>
        <v>0</v>
      </c>
      <c r="U80" s="469">
        <f t="shared" si="13"/>
        <v>0</v>
      </c>
      <c r="V80" s="469">
        <f t="shared" si="14"/>
        <v>0</v>
      </c>
      <c r="W80" s="469">
        <f t="shared" si="15"/>
        <v>0</v>
      </c>
      <c r="X80" s="469">
        <f t="shared" si="16"/>
        <v>0</v>
      </c>
      <c r="Y80" s="469">
        <f t="shared" si="17"/>
        <v>0</v>
      </c>
      <c r="Z80" s="469">
        <f t="shared" si="18"/>
        <v>0</v>
      </c>
      <c r="AA80" s="469">
        <f t="shared" si="19"/>
        <v>0</v>
      </c>
      <c r="AB80" s="469">
        <f t="shared" si="20"/>
        <v>0</v>
      </c>
      <c r="AC80" s="469">
        <f t="shared" si="21"/>
        <v>0</v>
      </c>
      <c r="AD80" s="469">
        <f t="shared" si="22"/>
        <v>0</v>
      </c>
      <c r="AE80" s="469">
        <f t="shared" si="23"/>
        <v>0</v>
      </c>
      <c r="AF80" s="469">
        <f t="shared" si="24"/>
        <v>0</v>
      </c>
      <c r="AG80" s="469">
        <f t="shared" si="25"/>
        <v>0</v>
      </c>
      <c r="AH80" s="469">
        <f t="shared" si="26"/>
        <v>0</v>
      </c>
      <c r="AI80" s="469">
        <f t="shared" si="27"/>
        <v>0</v>
      </c>
      <c r="AJ80" s="469">
        <f t="shared" si="28"/>
        <v>0</v>
      </c>
      <c r="AK80" s="469">
        <f t="shared" si="29"/>
        <v>0</v>
      </c>
      <c r="AL80" s="469">
        <f t="shared" si="30"/>
        <v>0</v>
      </c>
      <c r="AM80" s="469">
        <f t="shared" si="31"/>
        <v>0</v>
      </c>
      <c r="AN80" s="469">
        <f t="shared" si="32"/>
        <v>0</v>
      </c>
      <c r="AO80" s="469">
        <f t="shared" si="33"/>
        <v>0</v>
      </c>
      <c r="AP80" s="469">
        <f t="shared" si="34"/>
        <v>0</v>
      </c>
      <c r="AQ80" s="469">
        <f t="shared" si="35"/>
        <v>0</v>
      </c>
      <c r="AR80" s="469">
        <f t="shared" si="36"/>
        <v>0</v>
      </c>
      <c r="AS80" s="469">
        <f t="shared" si="37"/>
        <v>0</v>
      </c>
      <c r="AT80" s="469">
        <f t="shared" si="38"/>
        <v>0</v>
      </c>
      <c r="AU80" s="469">
        <f t="shared" si="39"/>
        <v>0</v>
      </c>
      <c r="AV80" s="469">
        <f t="shared" si="40"/>
        <v>0</v>
      </c>
      <c r="AW80" s="469">
        <f t="shared" si="41"/>
        <v>0</v>
      </c>
      <c r="AX80" s="469">
        <f t="shared" si="42"/>
        <v>0</v>
      </c>
      <c r="AY80" s="444">
        <f>IF(AND($AY50&gt;=$K$80,AY50&lt;=$L$80),#REF!,0)</f>
        <v>0</v>
      </c>
      <c r="AZ80" s="141"/>
    </row>
    <row r="81" spans="1:52">
      <c r="A81" s="1336" t="s">
        <v>798</v>
      </c>
      <c r="B81" s="1337"/>
      <c r="C81" s="1337"/>
      <c r="D81" s="1337"/>
      <c r="E81" s="1338"/>
      <c r="F81" s="440"/>
      <c r="G81" s="440"/>
      <c r="H81" s="440"/>
      <c r="I81" s="440"/>
      <c r="J81" s="440"/>
      <c r="K81" s="440"/>
      <c r="L81" s="440"/>
      <c r="M81" s="440">
        <f t="shared" ref="M81:AX81" si="47">SUM(M51:M80)</f>
        <v>0</v>
      </c>
      <c r="N81" s="440">
        <f t="shared" si="47"/>
        <v>0</v>
      </c>
      <c r="O81" s="440">
        <f t="shared" si="47"/>
        <v>0</v>
      </c>
      <c r="P81" s="440">
        <f t="shared" si="47"/>
        <v>0</v>
      </c>
      <c r="Q81" s="440">
        <f t="shared" si="47"/>
        <v>0</v>
      </c>
      <c r="R81" s="440">
        <f t="shared" si="47"/>
        <v>0</v>
      </c>
      <c r="S81" s="440">
        <f t="shared" si="47"/>
        <v>0</v>
      </c>
      <c r="T81" s="440">
        <f t="shared" si="47"/>
        <v>0</v>
      </c>
      <c r="U81" s="440">
        <f t="shared" si="47"/>
        <v>0</v>
      </c>
      <c r="V81" s="440">
        <f t="shared" si="47"/>
        <v>0</v>
      </c>
      <c r="W81" s="440">
        <f t="shared" si="47"/>
        <v>0</v>
      </c>
      <c r="X81" s="440">
        <f t="shared" si="47"/>
        <v>0</v>
      </c>
      <c r="Y81" s="440">
        <f t="shared" si="47"/>
        <v>0</v>
      </c>
      <c r="Z81" s="440">
        <f t="shared" si="47"/>
        <v>0</v>
      </c>
      <c r="AA81" s="440">
        <f t="shared" si="47"/>
        <v>0</v>
      </c>
      <c r="AB81" s="440">
        <f t="shared" si="47"/>
        <v>0</v>
      </c>
      <c r="AC81" s="440">
        <f t="shared" si="47"/>
        <v>0</v>
      </c>
      <c r="AD81" s="440">
        <f t="shared" si="47"/>
        <v>0</v>
      </c>
      <c r="AE81" s="440">
        <f t="shared" si="47"/>
        <v>0</v>
      </c>
      <c r="AF81" s="440">
        <f t="shared" si="47"/>
        <v>0</v>
      </c>
      <c r="AG81" s="440">
        <f t="shared" si="47"/>
        <v>0</v>
      </c>
      <c r="AH81" s="440">
        <f t="shared" si="47"/>
        <v>0</v>
      </c>
      <c r="AI81" s="440">
        <f t="shared" si="47"/>
        <v>0</v>
      </c>
      <c r="AJ81" s="440">
        <f t="shared" si="47"/>
        <v>0</v>
      </c>
      <c r="AK81" s="440">
        <f t="shared" si="47"/>
        <v>0</v>
      </c>
      <c r="AL81" s="440">
        <f t="shared" si="47"/>
        <v>0</v>
      </c>
      <c r="AM81" s="440">
        <f t="shared" si="47"/>
        <v>0</v>
      </c>
      <c r="AN81" s="440">
        <f t="shared" si="47"/>
        <v>0</v>
      </c>
      <c r="AO81" s="440">
        <f t="shared" si="47"/>
        <v>0</v>
      </c>
      <c r="AP81" s="440">
        <f t="shared" si="47"/>
        <v>0</v>
      </c>
      <c r="AQ81" s="440">
        <f t="shared" si="47"/>
        <v>0</v>
      </c>
      <c r="AR81" s="440">
        <f t="shared" si="47"/>
        <v>0</v>
      </c>
      <c r="AS81" s="440">
        <f t="shared" si="47"/>
        <v>0</v>
      </c>
      <c r="AT81" s="440">
        <f t="shared" si="47"/>
        <v>0</v>
      </c>
      <c r="AU81" s="440">
        <f t="shared" si="47"/>
        <v>0</v>
      </c>
      <c r="AV81" s="440">
        <f t="shared" si="47"/>
        <v>0</v>
      </c>
      <c r="AW81" s="440">
        <f t="shared" si="47"/>
        <v>0</v>
      </c>
      <c r="AX81" s="440">
        <f t="shared" si="47"/>
        <v>0</v>
      </c>
      <c r="AY81" s="440">
        <f>SUM(M81:AX81)</f>
        <v>0</v>
      </c>
      <c r="AZ81" s="141"/>
    </row>
    <row r="82" spans="1:52">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c r="AA82" s="141"/>
      <c r="AB82" s="141"/>
      <c r="AC82" s="141"/>
      <c r="AD82" s="141"/>
      <c r="AE82" s="141"/>
      <c r="AF82" s="141"/>
      <c r="AG82" s="141"/>
      <c r="AH82" s="141"/>
      <c r="AI82" s="141"/>
      <c r="AJ82" s="141"/>
      <c r="AK82" s="141"/>
      <c r="AL82" s="141"/>
      <c r="AM82" s="141"/>
      <c r="AN82" s="141"/>
      <c r="AO82" s="141"/>
      <c r="AP82" s="141"/>
      <c r="AQ82" s="141"/>
      <c r="AR82" s="141"/>
      <c r="AS82" s="141"/>
      <c r="AT82" s="141"/>
      <c r="AU82" s="141"/>
      <c r="AV82" s="141"/>
      <c r="AW82" s="141"/>
      <c r="AX82" s="141"/>
      <c r="AY82" s="141"/>
      <c r="AZ82" s="141"/>
    </row>
    <row r="83" spans="1:52">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c r="AB83" s="141"/>
      <c r="AC83" s="141"/>
      <c r="AD83" s="141"/>
      <c r="AE83" s="141"/>
      <c r="AF83" s="141"/>
      <c r="AG83" s="141"/>
      <c r="AH83" s="141"/>
      <c r="AI83" s="141"/>
      <c r="AJ83" s="141"/>
      <c r="AK83" s="141"/>
      <c r="AL83" s="141"/>
      <c r="AM83" s="141"/>
      <c r="AN83" s="141"/>
      <c r="AO83" s="141"/>
      <c r="AP83" s="141"/>
      <c r="AQ83" s="141"/>
      <c r="AR83" s="141"/>
      <c r="AS83" s="141"/>
      <c r="AT83" s="141"/>
      <c r="AU83" s="141"/>
      <c r="AV83" s="141"/>
      <c r="AW83" s="141"/>
      <c r="AX83" s="141"/>
      <c r="AY83" s="141"/>
      <c r="AZ83" s="141"/>
    </row>
    <row r="84" spans="1:52">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c r="AB84" s="141"/>
      <c r="AC84" s="141"/>
      <c r="AD84" s="141"/>
      <c r="AE84" s="141"/>
      <c r="AF84" s="141"/>
      <c r="AG84" s="141"/>
      <c r="AH84" s="141"/>
      <c r="AI84" s="141"/>
      <c r="AJ84" s="141"/>
      <c r="AK84" s="141"/>
      <c r="AL84" s="141"/>
      <c r="AM84" s="141"/>
      <c r="AN84" s="141"/>
      <c r="AO84" s="141"/>
      <c r="AP84" s="141"/>
      <c r="AQ84" s="141"/>
      <c r="AR84" s="141"/>
      <c r="AS84" s="141"/>
      <c r="AT84" s="141"/>
      <c r="AU84" s="141"/>
      <c r="AV84" s="141"/>
      <c r="AW84" s="141"/>
      <c r="AX84" s="141"/>
      <c r="AY84" s="141"/>
      <c r="AZ84" s="141"/>
    </row>
    <row r="85" spans="1:52" ht="15.6">
      <c r="A85" s="1340" t="s">
        <v>799</v>
      </c>
      <c r="B85" s="1340"/>
      <c r="C85" s="1340"/>
      <c r="D85" s="1340"/>
      <c r="E85" s="1340"/>
      <c r="F85" s="141"/>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141"/>
      <c r="AK85" s="141"/>
      <c r="AL85" s="141"/>
      <c r="AM85" s="141"/>
      <c r="AN85" s="141"/>
      <c r="AO85" s="141"/>
      <c r="AP85" s="141"/>
      <c r="AQ85" s="141"/>
      <c r="AR85" s="141"/>
      <c r="AS85" s="141"/>
      <c r="AT85" s="141"/>
      <c r="AU85" s="141"/>
      <c r="AV85" s="141"/>
      <c r="AW85" s="141"/>
      <c r="AX85" s="141"/>
      <c r="AY85" s="141"/>
      <c r="AZ85" s="141"/>
    </row>
    <row r="86" spans="1:52">
      <c r="A86" s="1339" t="s">
        <v>800</v>
      </c>
      <c r="B86" s="1339"/>
      <c r="C86" s="1339"/>
      <c r="D86" s="1339"/>
      <c r="E86" s="1339"/>
      <c r="F86" s="441" t="s">
        <v>801</v>
      </c>
      <c r="G86" s="441" t="s">
        <v>802</v>
      </c>
      <c r="H86" s="448" t="s">
        <v>803</v>
      </c>
      <c r="I86" s="448" t="s">
        <v>986</v>
      </c>
      <c r="J86" s="448" t="s">
        <v>988</v>
      </c>
      <c r="K86" s="441" t="s">
        <v>804</v>
      </c>
      <c r="L86" s="441" t="s">
        <v>805</v>
      </c>
      <c r="M86" s="466">
        <f t="array" ref="M86:AX86">MDReportingDates</f>
        <v>41774</v>
      </c>
      <c r="N86" s="466">
        <v>41788</v>
      </c>
      <c r="O86" s="466">
        <v>41802</v>
      </c>
      <c r="P86" s="466">
        <v>41816</v>
      </c>
      <c r="Q86" s="466">
        <v>41830</v>
      </c>
      <c r="R86" s="466">
        <v>41844</v>
      </c>
      <c r="S86" s="466">
        <v>41858</v>
      </c>
      <c r="T86" s="466">
        <v>41872</v>
      </c>
      <c r="U86" s="466">
        <v>41886</v>
      </c>
      <c r="V86" s="466">
        <v>41900</v>
      </c>
      <c r="W86" s="466">
        <v>41914</v>
      </c>
      <c r="X86" s="466">
        <v>41928</v>
      </c>
      <c r="Y86" s="466">
        <v>41942</v>
      </c>
      <c r="Z86" s="466">
        <v>41956</v>
      </c>
      <c r="AA86" s="466">
        <v>41970</v>
      </c>
      <c r="AB86" s="466">
        <v>41984</v>
      </c>
      <c r="AC86" s="466">
        <v>41998</v>
      </c>
      <c r="AD86" s="466">
        <v>42012</v>
      </c>
      <c r="AE86" s="466">
        <v>42026</v>
      </c>
      <c r="AF86" s="466">
        <v>42040</v>
      </c>
      <c r="AG86" s="466">
        <v>42054</v>
      </c>
      <c r="AH86" s="466">
        <v>42068</v>
      </c>
      <c r="AI86" s="466">
        <v>42082</v>
      </c>
      <c r="AJ86" s="466">
        <v>42096</v>
      </c>
      <c r="AK86" s="466">
        <v>42110</v>
      </c>
      <c r="AL86" s="466">
        <v>42124</v>
      </c>
      <c r="AM86" s="466">
        <v>42138</v>
      </c>
      <c r="AN86" s="466">
        <v>42152</v>
      </c>
      <c r="AO86" s="466">
        <v>42166</v>
      </c>
      <c r="AP86" s="466">
        <v>42180</v>
      </c>
      <c r="AQ86" s="466">
        <v>42194</v>
      </c>
      <c r="AR86" s="466">
        <v>42208</v>
      </c>
      <c r="AS86" s="466">
        <v>42222</v>
      </c>
      <c r="AT86" s="466">
        <v>42236</v>
      </c>
      <c r="AU86" s="466">
        <v>42250</v>
      </c>
      <c r="AV86" s="466">
        <v>42264</v>
      </c>
      <c r="AW86" s="466">
        <v>42278</v>
      </c>
      <c r="AX86" s="466">
        <v>42292</v>
      </c>
      <c r="AY86" s="440" t="s">
        <v>806</v>
      </c>
      <c r="AZ86" s="141"/>
    </row>
    <row r="87" spans="1:52">
      <c r="A87" s="1335" t="str">
        <f>$B$13</f>
        <v>GEFI Migration</v>
      </c>
      <c r="B87" s="1335"/>
      <c r="C87" s="1335"/>
      <c r="D87" s="1335"/>
      <c r="E87" s="1335"/>
      <c r="F87" s="467">
        <f>OpeningTemplate!$D$46</f>
        <v>0</v>
      </c>
      <c r="G87" s="467">
        <f>OpeningTemplate!$E$46</f>
        <v>0</v>
      </c>
      <c r="H87" s="446">
        <f ca="1">I13</f>
        <v>93800</v>
      </c>
      <c r="I87" s="446">
        <f>IF(G87-F87&gt;0,G87-F87+1,0)</f>
        <v>0</v>
      </c>
      <c r="J87" s="468">
        <f>IF(I87&lt;&gt;0,H87/I87,0)</f>
        <v>0</v>
      </c>
      <c r="K87" s="467">
        <f t="shared" ref="K87:K116" ca="1" si="48">IF(H87&gt;0,INDEX(MDReportingDates,1,COUNTIF(MDReportingDates,"&lt;"&amp;F87)+1),0)</f>
        <v>41774</v>
      </c>
      <c r="L87" s="467">
        <f t="shared" ref="L87:L116" ca="1" si="49">IF(H87&gt;0,IF(ISERROR(MATCH(G87,MDReportingDates,1)),INDEX(MDReportingDates,1,1),INDEX(MDReportingDates,1,MATCH(G87,MDReportingDates,1)+1)),0)</f>
        <v>41774</v>
      </c>
      <c r="M87" s="469">
        <f t="shared" ref="M87:M116" ca="1" si="50">IF(AND($M$122&gt;=$K87,$M$122&lt;=$L87),IF(O87&gt;0,($M$122-$F87+1)*$J87,($M$122-$F87)*$J87),0)</f>
        <v>0</v>
      </c>
      <c r="N87" s="469">
        <f t="shared" ref="N87:AX87" ca="1" si="51">IF(AND(N$122&gt;=$K87,N$122&lt;=$L87),IF(M$122&lt;$F87,IF(N$122&lt;=$G87,(N$122-$F87+1)*$J87,$H87),IF(N$122&gt;=$G87,($G87-M$122)*$J87,(N$122-M$122)*$J87)),0)</f>
        <v>0</v>
      </c>
      <c r="O87" s="469">
        <f t="shared" ca="1" si="51"/>
        <v>0</v>
      </c>
      <c r="P87" s="469">
        <f t="shared" ca="1" si="51"/>
        <v>0</v>
      </c>
      <c r="Q87" s="469">
        <f t="shared" ca="1" si="51"/>
        <v>0</v>
      </c>
      <c r="R87" s="469">
        <f t="shared" ca="1" si="51"/>
        <v>0</v>
      </c>
      <c r="S87" s="469">
        <f t="shared" ca="1" si="51"/>
        <v>0</v>
      </c>
      <c r="T87" s="469">
        <f t="shared" ca="1" si="51"/>
        <v>0</v>
      </c>
      <c r="U87" s="469">
        <f t="shared" ca="1" si="51"/>
        <v>0</v>
      </c>
      <c r="V87" s="469">
        <f t="shared" ca="1" si="51"/>
        <v>0</v>
      </c>
      <c r="W87" s="469">
        <f t="shared" ca="1" si="51"/>
        <v>0</v>
      </c>
      <c r="X87" s="469">
        <f t="shared" ca="1" si="51"/>
        <v>0</v>
      </c>
      <c r="Y87" s="469">
        <f t="shared" ca="1" si="51"/>
        <v>0</v>
      </c>
      <c r="Z87" s="469">
        <f t="shared" ca="1" si="51"/>
        <v>0</v>
      </c>
      <c r="AA87" s="469">
        <f t="shared" ca="1" si="51"/>
        <v>0</v>
      </c>
      <c r="AB87" s="469">
        <f t="shared" ca="1" si="51"/>
        <v>0</v>
      </c>
      <c r="AC87" s="469">
        <f t="shared" ca="1" si="51"/>
        <v>0</v>
      </c>
      <c r="AD87" s="469">
        <f t="shared" ca="1" si="51"/>
        <v>0</v>
      </c>
      <c r="AE87" s="469">
        <f t="shared" ca="1" si="51"/>
        <v>0</v>
      </c>
      <c r="AF87" s="469">
        <f t="shared" ca="1" si="51"/>
        <v>0</v>
      </c>
      <c r="AG87" s="469">
        <f t="shared" ca="1" si="51"/>
        <v>0</v>
      </c>
      <c r="AH87" s="469">
        <f t="shared" ca="1" si="51"/>
        <v>0</v>
      </c>
      <c r="AI87" s="469">
        <f t="shared" ca="1" si="51"/>
        <v>0</v>
      </c>
      <c r="AJ87" s="469">
        <f t="shared" ca="1" si="51"/>
        <v>0</v>
      </c>
      <c r="AK87" s="469">
        <f t="shared" ca="1" si="51"/>
        <v>0</v>
      </c>
      <c r="AL87" s="469">
        <f t="shared" ca="1" si="51"/>
        <v>0</v>
      </c>
      <c r="AM87" s="469">
        <f t="shared" ca="1" si="51"/>
        <v>0</v>
      </c>
      <c r="AN87" s="469">
        <f t="shared" ca="1" si="51"/>
        <v>0</v>
      </c>
      <c r="AO87" s="469">
        <f t="shared" ca="1" si="51"/>
        <v>0</v>
      </c>
      <c r="AP87" s="469">
        <f t="shared" ca="1" si="51"/>
        <v>0</v>
      </c>
      <c r="AQ87" s="469">
        <f t="shared" ca="1" si="51"/>
        <v>0</v>
      </c>
      <c r="AR87" s="469">
        <f t="shared" ca="1" si="51"/>
        <v>0</v>
      </c>
      <c r="AS87" s="469">
        <f t="shared" ca="1" si="51"/>
        <v>0</v>
      </c>
      <c r="AT87" s="469">
        <f t="shared" ca="1" si="51"/>
        <v>0</v>
      </c>
      <c r="AU87" s="469">
        <f t="shared" ca="1" si="51"/>
        <v>0</v>
      </c>
      <c r="AV87" s="469">
        <f t="shared" ca="1" si="51"/>
        <v>0</v>
      </c>
      <c r="AW87" s="469">
        <f t="shared" ca="1" si="51"/>
        <v>0</v>
      </c>
      <c r="AX87" s="469">
        <f t="shared" ca="1" si="51"/>
        <v>0</v>
      </c>
      <c r="AY87" s="444">
        <f t="shared" ref="AY87:AY116" ca="1" si="52">SUM(M87:AX87)</f>
        <v>0</v>
      </c>
      <c r="AZ87" s="141"/>
    </row>
    <row r="88" spans="1:52">
      <c r="A88" s="1335">
        <f>$B$14</f>
        <v>0</v>
      </c>
      <c r="B88" s="1335"/>
      <c r="C88" s="1335"/>
      <c r="D88" s="1335"/>
      <c r="E88" s="1335"/>
      <c r="F88" s="467">
        <f>OpeningTemplate!$D$56</f>
        <v>0</v>
      </c>
      <c r="G88" s="467">
        <f>OpeningTemplate!$E$56</f>
        <v>0</v>
      </c>
      <c r="H88" s="446">
        <f t="shared" ref="H88:H116" si="53">I14</f>
        <v>0</v>
      </c>
      <c r="I88" s="446">
        <f t="shared" ref="I88:I116" si="54">IF(G88-F88&gt;0,G88-F88+1,0)</f>
        <v>0</v>
      </c>
      <c r="J88" s="468">
        <f t="shared" ref="J88:J116" si="55">IF(I88&lt;&gt;0,H88/I88,0)</f>
        <v>0</v>
      </c>
      <c r="K88" s="467">
        <f t="shared" si="48"/>
        <v>0</v>
      </c>
      <c r="L88" s="467">
        <f t="shared" si="49"/>
        <v>0</v>
      </c>
      <c r="M88" s="469">
        <f t="shared" si="50"/>
        <v>0</v>
      </c>
      <c r="N88" s="469">
        <f t="shared" ref="N88:AX88" si="56">IF(AND(N$122&gt;=$K88,N$122&lt;=$L88),IF(M$122&lt;$F88,IF(N$122&lt;=$G88,(N$122-$F88+1)*$J88,$H88),IF(N$122&gt;=$G88,($G88-M$122)*$J88,(N$122-M$122)*$J88)),0)</f>
        <v>0</v>
      </c>
      <c r="O88" s="469">
        <f t="shared" si="56"/>
        <v>0</v>
      </c>
      <c r="P88" s="469">
        <f t="shared" si="56"/>
        <v>0</v>
      </c>
      <c r="Q88" s="469">
        <f t="shared" si="56"/>
        <v>0</v>
      </c>
      <c r="R88" s="469">
        <f t="shared" si="56"/>
        <v>0</v>
      </c>
      <c r="S88" s="469">
        <f t="shared" si="56"/>
        <v>0</v>
      </c>
      <c r="T88" s="469">
        <f t="shared" si="56"/>
        <v>0</v>
      </c>
      <c r="U88" s="469">
        <f t="shared" si="56"/>
        <v>0</v>
      </c>
      <c r="V88" s="469">
        <f t="shared" si="56"/>
        <v>0</v>
      </c>
      <c r="W88" s="469">
        <f t="shared" si="56"/>
        <v>0</v>
      </c>
      <c r="X88" s="469">
        <f t="shared" si="56"/>
        <v>0</v>
      </c>
      <c r="Y88" s="469">
        <f t="shared" si="56"/>
        <v>0</v>
      </c>
      <c r="Z88" s="469">
        <f t="shared" si="56"/>
        <v>0</v>
      </c>
      <c r="AA88" s="469">
        <f t="shared" si="56"/>
        <v>0</v>
      </c>
      <c r="AB88" s="469">
        <f t="shared" si="56"/>
        <v>0</v>
      </c>
      <c r="AC88" s="469">
        <f t="shared" si="56"/>
        <v>0</v>
      </c>
      <c r="AD88" s="469">
        <f t="shared" si="56"/>
        <v>0</v>
      </c>
      <c r="AE88" s="469">
        <f t="shared" si="56"/>
        <v>0</v>
      </c>
      <c r="AF88" s="469">
        <f t="shared" si="56"/>
        <v>0</v>
      </c>
      <c r="AG88" s="469">
        <f t="shared" si="56"/>
        <v>0</v>
      </c>
      <c r="AH88" s="469">
        <f t="shared" si="56"/>
        <v>0</v>
      </c>
      <c r="AI88" s="469">
        <f t="shared" si="56"/>
        <v>0</v>
      </c>
      <c r="AJ88" s="469">
        <f t="shared" si="56"/>
        <v>0</v>
      </c>
      <c r="AK88" s="469">
        <f t="shared" si="56"/>
        <v>0</v>
      </c>
      <c r="AL88" s="469">
        <f t="shared" si="56"/>
        <v>0</v>
      </c>
      <c r="AM88" s="469">
        <f t="shared" si="56"/>
        <v>0</v>
      </c>
      <c r="AN88" s="469">
        <f t="shared" si="56"/>
        <v>0</v>
      </c>
      <c r="AO88" s="469">
        <f t="shared" si="56"/>
        <v>0</v>
      </c>
      <c r="AP88" s="469">
        <f t="shared" si="56"/>
        <v>0</v>
      </c>
      <c r="AQ88" s="469">
        <f t="shared" si="56"/>
        <v>0</v>
      </c>
      <c r="AR88" s="469">
        <f t="shared" si="56"/>
        <v>0</v>
      </c>
      <c r="AS88" s="469">
        <f t="shared" si="56"/>
        <v>0</v>
      </c>
      <c r="AT88" s="469">
        <f t="shared" si="56"/>
        <v>0</v>
      </c>
      <c r="AU88" s="469">
        <f t="shared" si="56"/>
        <v>0</v>
      </c>
      <c r="AV88" s="469">
        <f t="shared" si="56"/>
        <v>0</v>
      </c>
      <c r="AW88" s="469">
        <f t="shared" si="56"/>
        <v>0</v>
      </c>
      <c r="AX88" s="469">
        <f t="shared" si="56"/>
        <v>0</v>
      </c>
      <c r="AY88" s="444">
        <f t="shared" si="52"/>
        <v>0</v>
      </c>
      <c r="AZ88" s="141"/>
    </row>
    <row r="89" spans="1:52">
      <c r="A89" s="1335">
        <f>$B$15</f>
        <v>0</v>
      </c>
      <c r="B89" s="1335"/>
      <c r="C89" s="1335"/>
      <c r="D89" s="1335"/>
      <c r="E89" s="1335"/>
      <c r="F89" s="467">
        <f>OpeningTemplate!$D$66</f>
        <v>0</v>
      </c>
      <c r="G89" s="467">
        <f>OpeningTemplate!$E$66</f>
        <v>0</v>
      </c>
      <c r="H89" s="446">
        <f t="shared" si="53"/>
        <v>0</v>
      </c>
      <c r="I89" s="446">
        <f t="shared" si="54"/>
        <v>0</v>
      </c>
      <c r="J89" s="468">
        <f t="shared" si="55"/>
        <v>0</v>
      </c>
      <c r="K89" s="467">
        <f t="shared" si="48"/>
        <v>0</v>
      </c>
      <c r="L89" s="467">
        <f t="shared" si="49"/>
        <v>0</v>
      </c>
      <c r="M89" s="469">
        <f t="shared" si="50"/>
        <v>0</v>
      </c>
      <c r="N89" s="469">
        <f t="shared" ref="N89:AX89" si="57">IF(AND(N$122&gt;=$K89,N$122&lt;=$L89),IF(M$122&lt;$F89,IF(N$122&lt;=$G89,(N$122-$F89+1)*$J89,$H89),IF(N$122&gt;=$G89,($G89-M$122)*$J89,(N$122-M$122)*$J89)),0)</f>
        <v>0</v>
      </c>
      <c r="O89" s="469">
        <f t="shared" si="57"/>
        <v>0</v>
      </c>
      <c r="P89" s="469">
        <f t="shared" si="57"/>
        <v>0</v>
      </c>
      <c r="Q89" s="469">
        <f t="shared" si="57"/>
        <v>0</v>
      </c>
      <c r="R89" s="469">
        <f t="shared" si="57"/>
        <v>0</v>
      </c>
      <c r="S89" s="469">
        <f t="shared" si="57"/>
        <v>0</v>
      </c>
      <c r="T89" s="469">
        <f t="shared" si="57"/>
        <v>0</v>
      </c>
      <c r="U89" s="469">
        <f t="shared" si="57"/>
        <v>0</v>
      </c>
      <c r="V89" s="469">
        <f t="shared" si="57"/>
        <v>0</v>
      </c>
      <c r="W89" s="469">
        <f t="shared" si="57"/>
        <v>0</v>
      </c>
      <c r="X89" s="469">
        <f t="shared" si="57"/>
        <v>0</v>
      </c>
      <c r="Y89" s="469">
        <f t="shared" si="57"/>
        <v>0</v>
      </c>
      <c r="Z89" s="469">
        <f t="shared" si="57"/>
        <v>0</v>
      </c>
      <c r="AA89" s="469">
        <f t="shared" si="57"/>
        <v>0</v>
      </c>
      <c r="AB89" s="469">
        <f t="shared" si="57"/>
        <v>0</v>
      </c>
      <c r="AC89" s="469">
        <f t="shared" si="57"/>
        <v>0</v>
      </c>
      <c r="AD89" s="469">
        <f t="shared" si="57"/>
        <v>0</v>
      </c>
      <c r="AE89" s="469">
        <f t="shared" si="57"/>
        <v>0</v>
      </c>
      <c r="AF89" s="469">
        <f t="shared" si="57"/>
        <v>0</v>
      </c>
      <c r="AG89" s="469">
        <f t="shared" si="57"/>
        <v>0</v>
      </c>
      <c r="AH89" s="469">
        <f t="shared" si="57"/>
        <v>0</v>
      </c>
      <c r="AI89" s="469">
        <f t="shared" si="57"/>
        <v>0</v>
      </c>
      <c r="AJ89" s="469">
        <f t="shared" si="57"/>
        <v>0</v>
      </c>
      <c r="AK89" s="469">
        <f t="shared" si="57"/>
        <v>0</v>
      </c>
      <c r="AL89" s="469">
        <f t="shared" si="57"/>
        <v>0</v>
      </c>
      <c r="AM89" s="469">
        <f t="shared" si="57"/>
        <v>0</v>
      </c>
      <c r="AN89" s="469">
        <f t="shared" si="57"/>
        <v>0</v>
      </c>
      <c r="AO89" s="469">
        <f t="shared" si="57"/>
        <v>0</v>
      </c>
      <c r="AP89" s="469">
        <f t="shared" si="57"/>
        <v>0</v>
      </c>
      <c r="AQ89" s="469">
        <f t="shared" si="57"/>
        <v>0</v>
      </c>
      <c r="AR89" s="469">
        <f t="shared" si="57"/>
        <v>0</v>
      </c>
      <c r="AS89" s="469">
        <f t="shared" si="57"/>
        <v>0</v>
      </c>
      <c r="AT89" s="469">
        <f t="shared" si="57"/>
        <v>0</v>
      </c>
      <c r="AU89" s="469">
        <f t="shared" si="57"/>
        <v>0</v>
      </c>
      <c r="AV89" s="469">
        <f t="shared" si="57"/>
        <v>0</v>
      </c>
      <c r="AW89" s="469">
        <f t="shared" si="57"/>
        <v>0</v>
      </c>
      <c r="AX89" s="469">
        <f t="shared" si="57"/>
        <v>0</v>
      </c>
      <c r="AY89" s="444">
        <f t="shared" si="52"/>
        <v>0</v>
      </c>
      <c r="AZ89" s="141"/>
    </row>
    <row r="90" spans="1:52">
      <c r="A90" s="1335">
        <f>$B$16</f>
        <v>0</v>
      </c>
      <c r="B90" s="1335"/>
      <c r="C90" s="1335"/>
      <c r="D90" s="1335"/>
      <c r="E90" s="1335"/>
      <c r="F90" s="467">
        <f>OpeningTemplate!$D$76</f>
        <v>0</v>
      </c>
      <c r="G90" s="467">
        <f>OpeningTemplate!$E$76</f>
        <v>0</v>
      </c>
      <c r="H90" s="446">
        <f t="shared" si="53"/>
        <v>0</v>
      </c>
      <c r="I90" s="446">
        <f t="shared" si="54"/>
        <v>0</v>
      </c>
      <c r="J90" s="468">
        <f t="shared" si="55"/>
        <v>0</v>
      </c>
      <c r="K90" s="467">
        <f t="shared" si="48"/>
        <v>0</v>
      </c>
      <c r="L90" s="467">
        <f t="shared" si="49"/>
        <v>0</v>
      </c>
      <c r="M90" s="469">
        <f t="shared" si="50"/>
        <v>0</v>
      </c>
      <c r="N90" s="469">
        <f t="shared" ref="N90:AX90" si="58">IF(AND(N$122&gt;=$K90,N$122&lt;=$L90),IF(M$122&lt;$F90,IF(N$122&lt;=$G90,(N$122-$F90+1)*$J90,$H90),IF(N$122&gt;=$G90,($G90-M$122)*$J90,(N$122-M$122)*$J90)),0)</f>
        <v>0</v>
      </c>
      <c r="O90" s="469">
        <f t="shared" si="58"/>
        <v>0</v>
      </c>
      <c r="P90" s="469">
        <f t="shared" si="58"/>
        <v>0</v>
      </c>
      <c r="Q90" s="469">
        <f t="shared" si="58"/>
        <v>0</v>
      </c>
      <c r="R90" s="469">
        <f t="shared" si="58"/>
        <v>0</v>
      </c>
      <c r="S90" s="469">
        <f t="shared" si="58"/>
        <v>0</v>
      </c>
      <c r="T90" s="469">
        <f t="shared" si="58"/>
        <v>0</v>
      </c>
      <c r="U90" s="469">
        <f t="shared" si="58"/>
        <v>0</v>
      </c>
      <c r="V90" s="469">
        <f t="shared" si="58"/>
        <v>0</v>
      </c>
      <c r="W90" s="469">
        <f t="shared" si="58"/>
        <v>0</v>
      </c>
      <c r="X90" s="469">
        <f t="shared" si="58"/>
        <v>0</v>
      </c>
      <c r="Y90" s="469">
        <f t="shared" si="58"/>
        <v>0</v>
      </c>
      <c r="Z90" s="469">
        <f t="shared" si="58"/>
        <v>0</v>
      </c>
      <c r="AA90" s="469">
        <f t="shared" si="58"/>
        <v>0</v>
      </c>
      <c r="AB90" s="469">
        <f t="shared" si="58"/>
        <v>0</v>
      </c>
      <c r="AC90" s="469">
        <f t="shared" si="58"/>
        <v>0</v>
      </c>
      <c r="AD90" s="469">
        <f t="shared" si="58"/>
        <v>0</v>
      </c>
      <c r="AE90" s="469">
        <f t="shared" si="58"/>
        <v>0</v>
      </c>
      <c r="AF90" s="469">
        <f t="shared" si="58"/>
        <v>0</v>
      </c>
      <c r="AG90" s="469">
        <f t="shared" si="58"/>
        <v>0</v>
      </c>
      <c r="AH90" s="469">
        <f t="shared" si="58"/>
        <v>0</v>
      </c>
      <c r="AI90" s="469">
        <f t="shared" si="58"/>
        <v>0</v>
      </c>
      <c r="AJ90" s="469">
        <f t="shared" si="58"/>
        <v>0</v>
      </c>
      <c r="AK90" s="469">
        <f t="shared" si="58"/>
        <v>0</v>
      </c>
      <c r="AL90" s="469">
        <f t="shared" si="58"/>
        <v>0</v>
      </c>
      <c r="AM90" s="469">
        <f t="shared" si="58"/>
        <v>0</v>
      </c>
      <c r="AN90" s="469">
        <f t="shared" si="58"/>
        <v>0</v>
      </c>
      <c r="AO90" s="469">
        <f t="shared" si="58"/>
        <v>0</v>
      </c>
      <c r="AP90" s="469">
        <f t="shared" si="58"/>
        <v>0</v>
      </c>
      <c r="AQ90" s="469">
        <f t="shared" si="58"/>
        <v>0</v>
      </c>
      <c r="AR90" s="469">
        <f t="shared" si="58"/>
        <v>0</v>
      </c>
      <c r="AS90" s="469">
        <f t="shared" si="58"/>
        <v>0</v>
      </c>
      <c r="AT90" s="469">
        <f t="shared" si="58"/>
        <v>0</v>
      </c>
      <c r="AU90" s="469">
        <f t="shared" si="58"/>
        <v>0</v>
      </c>
      <c r="AV90" s="469">
        <f t="shared" si="58"/>
        <v>0</v>
      </c>
      <c r="AW90" s="469">
        <f t="shared" si="58"/>
        <v>0</v>
      </c>
      <c r="AX90" s="469">
        <f t="shared" si="58"/>
        <v>0</v>
      </c>
      <c r="AY90" s="444">
        <f t="shared" si="52"/>
        <v>0</v>
      </c>
      <c r="AZ90" s="141"/>
    </row>
    <row r="91" spans="1:52">
      <c r="A91" s="1335">
        <f>$B$17</f>
        <v>0</v>
      </c>
      <c r="B91" s="1335"/>
      <c r="C91" s="1335"/>
      <c r="D91" s="1335"/>
      <c r="E91" s="1335"/>
      <c r="F91" s="467">
        <f>OpeningTemplate!$D$86</f>
        <v>0</v>
      </c>
      <c r="G91" s="467">
        <f>OpeningTemplate!$E$86</f>
        <v>0</v>
      </c>
      <c r="H91" s="446">
        <f t="shared" si="53"/>
        <v>0</v>
      </c>
      <c r="I91" s="446">
        <f t="shared" si="54"/>
        <v>0</v>
      </c>
      <c r="J91" s="468">
        <f t="shared" si="55"/>
        <v>0</v>
      </c>
      <c r="K91" s="467">
        <f t="shared" si="48"/>
        <v>0</v>
      </c>
      <c r="L91" s="467">
        <f t="shared" si="49"/>
        <v>0</v>
      </c>
      <c r="M91" s="469">
        <f t="shared" si="50"/>
        <v>0</v>
      </c>
      <c r="N91" s="469">
        <f t="shared" ref="N91:AX99" si="59">IF(AND(N$122&gt;=$K91,N$122&lt;=$L91),IF(M$122&lt;$F91,IF(N$122&lt;=$G91,(N$122-$F91+1)*$J91,$H91),IF(N$122&gt;=$G91,($G91-M$122)*$J91,(N$122-M$122)*$J91)),0)</f>
        <v>0</v>
      </c>
      <c r="O91" s="469">
        <f t="shared" si="59"/>
        <v>0</v>
      </c>
      <c r="P91" s="469">
        <f t="shared" si="59"/>
        <v>0</v>
      </c>
      <c r="Q91" s="469">
        <f t="shared" si="59"/>
        <v>0</v>
      </c>
      <c r="R91" s="469">
        <f t="shared" si="59"/>
        <v>0</v>
      </c>
      <c r="S91" s="469">
        <f t="shared" si="59"/>
        <v>0</v>
      </c>
      <c r="T91" s="469">
        <f t="shared" si="59"/>
        <v>0</v>
      </c>
      <c r="U91" s="469">
        <f t="shared" si="59"/>
        <v>0</v>
      </c>
      <c r="V91" s="469">
        <f t="shared" si="59"/>
        <v>0</v>
      </c>
      <c r="W91" s="469">
        <f t="shared" si="59"/>
        <v>0</v>
      </c>
      <c r="X91" s="469">
        <f t="shared" si="59"/>
        <v>0</v>
      </c>
      <c r="Y91" s="469">
        <f t="shared" si="59"/>
        <v>0</v>
      </c>
      <c r="Z91" s="469">
        <f t="shared" si="59"/>
        <v>0</v>
      </c>
      <c r="AA91" s="469">
        <f t="shared" si="59"/>
        <v>0</v>
      </c>
      <c r="AB91" s="469">
        <f t="shared" si="59"/>
        <v>0</v>
      </c>
      <c r="AC91" s="469">
        <f t="shared" si="59"/>
        <v>0</v>
      </c>
      <c r="AD91" s="469">
        <f t="shared" si="59"/>
        <v>0</v>
      </c>
      <c r="AE91" s="469">
        <f t="shared" si="59"/>
        <v>0</v>
      </c>
      <c r="AF91" s="469">
        <f t="shared" si="59"/>
        <v>0</v>
      </c>
      <c r="AG91" s="469">
        <f t="shared" si="59"/>
        <v>0</v>
      </c>
      <c r="AH91" s="469">
        <f t="shared" si="59"/>
        <v>0</v>
      </c>
      <c r="AI91" s="469">
        <f t="shared" si="59"/>
        <v>0</v>
      </c>
      <c r="AJ91" s="469">
        <f t="shared" si="59"/>
        <v>0</v>
      </c>
      <c r="AK91" s="469">
        <f t="shared" si="59"/>
        <v>0</v>
      </c>
      <c r="AL91" s="469">
        <f t="shared" si="59"/>
        <v>0</v>
      </c>
      <c r="AM91" s="469">
        <f t="shared" si="59"/>
        <v>0</v>
      </c>
      <c r="AN91" s="469">
        <f t="shared" si="59"/>
        <v>0</v>
      </c>
      <c r="AO91" s="469">
        <f t="shared" si="59"/>
        <v>0</v>
      </c>
      <c r="AP91" s="469">
        <f t="shared" si="59"/>
        <v>0</v>
      </c>
      <c r="AQ91" s="469">
        <f t="shared" si="59"/>
        <v>0</v>
      </c>
      <c r="AR91" s="469">
        <f t="shared" si="59"/>
        <v>0</v>
      </c>
      <c r="AS91" s="469">
        <f t="shared" si="59"/>
        <v>0</v>
      </c>
      <c r="AT91" s="469">
        <f t="shared" si="59"/>
        <v>0</v>
      </c>
      <c r="AU91" s="469">
        <f t="shared" si="59"/>
        <v>0</v>
      </c>
      <c r="AV91" s="469">
        <f t="shared" si="59"/>
        <v>0</v>
      </c>
      <c r="AW91" s="469">
        <f t="shared" si="59"/>
        <v>0</v>
      </c>
      <c r="AX91" s="469">
        <f t="shared" si="59"/>
        <v>0</v>
      </c>
      <c r="AY91" s="444">
        <f t="shared" si="52"/>
        <v>0</v>
      </c>
      <c r="AZ91" s="141"/>
    </row>
    <row r="92" spans="1:52">
      <c r="A92" s="1335">
        <f>$B$18</f>
        <v>0</v>
      </c>
      <c r="B92" s="1335"/>
      <c r="C92" s="1335"/>
      <c r="D92" s="1335"/>
      <c r="E92" s="1335"/>
      <c r="F92" s="467">
        <f>OpeningTemplate!$D$96</f>
        <v>0</v>
      </c>
      <c r="G92" s="467">
        <f>OpeningTemplate!$E$96</f>
        <v>0</v>
      </c>
      <c r="H92" s="446">
        <f t="shared" si="53"/>
        <v>0</v>
      </c>
      <c r="I92" s="446">
        <f t="shared" si="54"/>
        <v>0</v>
      </c>
      <c r="J92" s="468">
        <f t="shared" si="55"/>
        <v>0</v>
      </c>
      <c r="K92" s="467">
        <f t="shared" si="48"/>
        <v>0</v>
      </c>
      <c r="L92" s="467">
        <f t="shared" si="49"/>
        <v>0</v>
      </c>
      <c r="M92" s="469">
        <f t="shared" si="50"/>
        <v>0</v>
      </c>
      <c r="N92" s="469">
        <f>IF(AND(N$122&gt;=$K92,N$122&lt;=$L92),IF(M$122&lt;$F92,IF(N$122&lt;=$G92,(N$122-$F92+1)*$J92,$H92),IF(N$122&gt;=$G92,($G92-M$122)*$J92,(N$122-M$122)*$J92)),0)</f>
        <v>0</v>
      </c>
      <c r="O92" s="469">
        <f>IF(AND(O$122&gt;=$K92,O$122&lt;=$L92),IF(N$122&lt;$F92,IF(O$122&lt;=$G92,(O$122-$F92+1)*$J92,$H92),IF(O$122&gt;=$G92,($G92-N$122)*$J92,(O$122-N$122)*$J92)),0)</f>
        <v>0</v>
      </c>
      <c r="P92" s="469">
        <f>IF(AND(P$122&gt;=$K92,P$122&lt;=$L92),IF(O$122&lt;$F92,IF(P$122&lt;=$G92,(P$122-$F92+1)*$J92,$H92),IF(P$122&gt;=$G92,($G92-O$122)*$J92,(P$122-O$122)*$J92)),0)</f>
        <v>0</v>
      </c>
      <c r="Q92" s="469">
        <f>IF(AND(Q$122&gt;=$K92,Q$122&lt;=$L92),IF(P$122&lt;$F92,IF(Q$122&lt;=$G92,(Q$122-$F92+1)*$J92,$H92),IF(Q$122&gt;=$G92,($G92-P$122)*$J92,(Q$122-P$122)*$J92)),0)</f>
        <v>0</v>
      </c>
      <c r="R92" s="469">
        <f t="shared" si="59"/>
        <v>0</v>
      </c>
      <c r="S92" s="469">
        <f t="shared" si="59"/>
        <v>0</v>
      </c>
      <c r="T92" s="469">
        <f t="shared" si="59"/>
        <v>0</v>
      </c>
      <c r="U92" s="469">
        <f t="shared" si="59"/>
        <v>0</v>
      </c>
      <c r="V92" s="469">
        <f t="shared" si="59"/>
        <v>0</v>
      </c>
      <c r="W92" s="469">
        <f t="shared" si="59"/>
        <v>0</v>
      </c>
      <c r="X92" s="469">
        <f t="shared" si="59"/>
        <v>0</v>
      </c>
      <c r="Y92" s="469">
        <f t="shared" si="59"/>
        <v>0</v>
      </c>
      <c r="Z92" s="469">
        <f t="shared" si="59"/>
        <v>0</v>
      </c>
      <c r="AA92" s="469">
        <f t="shared" si="59"/>
        <v>0</v>
      </c>
      <c r="AB92" s="469">
        <f t="shared" si="59"/>
        <v>0</v>
      </c>
      <c r="AC92" s="469">
        <f t="shared" si="59"/>
        <v>0</v>
      </c>
      <c r="AD92" s="469">
        <f t="shared" si="59"/>
        <v>0</v>
      </c>
      <c r="AE92" s="469">
        <f t="shared" si="59"/>
        <v>0</v>
      </c>
      <c r="AF92" s="469">
        <f t="shared" si="59"/>
        <v>0</v>
      </c>
      <c r="AG92" s="469">
        <f t="shared" si="59"/>
        <v>0</v>
      </c>
      <c r="AH92" s="469">
        <f t="shared" si="59"/>
        <v>0</v>
      </c>
      <c r="AI92" s="469">
        <f t="shared" si="59"/>
        <v>0</v>
      </c>
      <c r="AJ92" s="469">
        <f t="shared" si="59"/>
        <v>0</v>
      </c>
      <c r="AK92" s="469">
        <f t="shared" si="59"/>
        <v>0</v>
      </c>
      <c r="AL92" s="469">
        <f t="shared" si="59"/>
        <v>0</v>
      </c>
      <c r="AM92" s="469">
        <f t="shared" si="59"/>
        <v>0</v>
      </c>
      <c r="AN92" s="469">
        <f t="shared" si="59"/>
        <v>0</v>
      </c>
      <c r="AO92" s="469">
        <f t="shared" si="59"/>
        <v>0</v>
      </c>
      <c r="AP92" s="469">
        <f t="shared" si="59"/>
        <v>0</v>
      </c>
      <c r="AQ92" s="469">
        <f t="shared" si="59"/>
        <v>0</v>
      </c>
      <c r="AR92" s="469">
        <f t="shared" si="59"/>
        <v>0</v>
      </c>
      <c r="AS92" s="469">
        <f t="shared" si="59"/>
        <v>0</v>
      </c>
      <c r="AT92" s="469">
        <f t="shared" si="59"/>
        <v>0</v>
      </c>
      <c r="AU92" s="469">
        <f t="shared" si="59"/>
        <v>0</v>
      </c>
      <c r="AV92" s="469">
        <f t="shared" si="59"/>
        <v>0</v>
      </c>
      <c r="AW92" s="469">
        <f t="shared" si="59"/>
        <v>0</v>
      </c>
      <c r="AX92" s="469">
        <f t="shared" si="59"/>
        <v>0</v>
      </c>
      <c r="AY92" s="444">
        <f t="shared" si="52"/>
        <v>0</v>
      </c>
      <c r="AZ92" s="141"/>
    </row>
    <row r="93" spans="1:52">
      <c r="A93" s="1335">
        <f>$B$19</f>
        <v>0</v>
      </c>
      <c r="B93" s="1335"/>
      <c r="C93" s="1335"/>
      <c r="D93" s="1335"/>
      <c r="E93" s="1335"/>
      <c r="F93" s="467">
        <f>OpeningTemplate!$D$106</f>
        <v>0</v>
      </c>
      <c r="G93" s="467">
        <f>OpeningTemplate!$E$106</f>
        <v>0</v>
      </c>
      <c r="H93" s="446">
        <f t="shared" si="53"/>
        <v>0</v>
      </c>
      <c r="I93" s="446">
        <f t="shared" si="54"/>
        <v>0</v>
      </c>
      <c r="J93" s="468">
        <f t="shared" si="55"/>
        <v>0</v>
      </c>
      <c r="K93" s="467">
        <f t="shared" si="48"/>
        <v>0</v>
      </c>
      <c r="L93" s="467">
        <f t="shared" si="49"/>
        <v>0</v>
      </c>
      <c r="M93" s="469">
        <f t="shared" si="50"/>
        <v>0</v>
      </c>
      <c r="N93" s="469">
        <f t="shared" ref="N93:AF93" si="60">IF(AND(N$122&gt;=$K93,N$122&lt;=$L93),IF(M$122&lt;$F93,IF(N$122&lt;=$G93,(N$122-$F93+1)*$J93,$H93),IF(N$122&gt;=$G93,($G93-M$122)*$J93,(N$122-M$122)*$J93)),0)</f>
        <v>0</v>
      </c>
      <c r="O93" s="469">
        <f t="shared" si="60"/>
        <v>0</v>
      </c>
      <c r="P93" s="469">
        <f t="shared" si="60"/>
        <v>0</v>
      </c>
      <c r="Q93" s="469">
        <f t="shared" si="60"/>
        <v>0</v>
      </c>
      <c r="R93" s="469">
        <f t="shared" si="60"/>
        <v>0</v>
      </c>
      <c r="S93" s="469">
        <f t="shared" si="60"/>
        <v>0</v>
      </c>
      <c r="T93" s="469">
        <f t="shared" si="60"/>
        <v>0</v>
      </c>
      <c r="U93" s="469">
        <f t="shared" si="60"/>
        <v>0</v>
      </c>
      <c r="V93" s="469">
        <f t="shared" si="60"/>
        <v>0</v>
      </c>
      <c r="W93" s="469">
        <f t="shared" si="60"/>
        <v>0</v>
      </c>
      <c r="X93" s="469">
        <f t="shared" si="60"/>
        <v>0</v>
      </c>
      <c r="Y93" s="469">
        <f t="shared" si="60"/>
        <v>0</v>
      </c>
      <c r="Z93" s="469">
        <f t="shared" si="60"/>
        <v>0</v>
      </c>
      <c r="AA93" s="469">
        <f t="shared" si="60"/>
        <v>0</v>
      </c>
      <c r="AB93" s="469">
        <f t="shared" si="60"/>
        <v>0</v>
      </c>
      <c r="AC93" s="469">
        <f t="shared" si="60"/>
        <v>0</v>
      </c>
      <c r="AD93" s="469">
        <f t="shared" si="60"/>
        <v>0</v>
      </c>
      <c r="AE93" s="469">
        <f t="shared" si="60"/>
        <v>0</v>
      </c>
      <c r="AF93" s="469">
        <f t="shared" si="60"/>
        <v>0</v>
      </c>
      <c r="AG93" s="469">
        <f t="shared" si="59"/>
        <v>0</v>
      </c>
      <c r="AH93" s="469">
        <f t="shared" si="59"/>
        <v>0</v>
      </c>
      <c r="AI93" s="469">
        <f t="shared" si="59"/>
        <v>0</v>
      </c>
      <c r="AJ93" s="469">
        <f t="shared" si="59"/>
        <v>0</v>
      </c>
      <c r="AK93" s="469">
        <f t="shared" si="59"/>
        <v>0</v>
      </c>
      <c r="AL93" s="469">
        <f t="shared" si="59"/>
        <v>0</v>
      </c>
      <c r="AM93" s="469">
        <f t="shared" si="59"/>
        <v>0</v>
      </c>
      <c r="AN93" s="469">
        <f t="shared" si="59"/>
        <v>0</v>
      </c>
      <c r="AO93" s="469">
        <f t="shared" si="59"/>
        <v>0</v>
      </c>
      <c r="AP93" s="469">
        <f t="shared" si="59"/>
        <v>0</v>
      </c>
      <c r="AQ93" s="469">
        <f t="shared" si="59"/>
        <v>0</v>
      </c>
      <c r="AR93" s="469">
        <f t="shared" si="59"/>
        <v>0</v>
      </c>
      <c r="AS93" s="469">
        <f t="shared" si="59"/>
        <v>0</v>
      </c>
      <c r="AT93" s="469">
        <f t="shared" si="59"/>
        <v>0</v>
      </c>
      <c r="AU93" s="469">
        <f t="shared" si="59"/>
        <v>0</v>
      </c>
      <c r="AV93" s="469">
        <f t="shared" si="59"/>
        <v>0</v>
      </c>
      <c r="AW93" s="469">
        <f t="shared" si="59"/>
        <v>0</v>
      </c>
      <c r="AX93" s="469">
        <f t="shared" si="59"/>
        <v>0</v>
      </c>
      <c r="AY93" s="444">
        <f t="shared" si="52"/>
        <v>0</v>
      </c>
      <c r="AZ93" s="141"/>
    </row>
    <row r="94" spans="1:52">
      <c r="A94" s="1335">
        <f>$B$20</f>
        <v>0</v>
      </c>
      <c r="B94" s="1335"/>
      <c r="C94" s="1335"/>
      <c r="D94" s="1335"/>
      <c r="E94" s="1335"/>
      <c r="F94" s="467">
        <f>OpeningTemplate!$D$116</f>
        <v>0</v>
      </c>
      <c r="G94" s="467">
        <f>OpeningTemplate!$E$116</f>
        <v>0</v>
      </c>
      <c r="H94" s="446">
        <f t="shared" si="53"/>
        <v>0</v>
      </c>
      <c r="I94" s="446">
        <f t="shared" si="54"/>
        <v>0</v>
      </c>
      <c r="J94" s="468">
        <f t="shared" si="55"/>
        <v>0</v>
      </c>
      <c r="K94" s="467">
        <f t="shared" si="48"/>
        <v>0</v>
      </c>
      <c r="L94" s="467">
        <f t="shared" si="49"/>
        <v>0</v>
      </c>
      <c r="M94" s="469">
        <f t="shared" si="50"/>
        <v>0</v>
      </c>
      <c r="N94" s="469">
        <f t="shared" ref="N94:Q115" si="61">IF(AND(N$122&gt;=$K94,N$122&lt;=$L94),IF(M$122&lt;$F94,IF(N$122&lt;=$G94,(N$122-$F94+1)*$J94,$H94),IF(N$122&gt;=$G94,($G94-M$122)*$J94,(N$122-M$122)*$J94)),0)</f>
        <v>0</v>
      </c>
      <c r="O94" s="469">
        <f t="shared" si="61"/>
        <v>0</v>
      </c>
      <c r="P94" s="469">
        <f t="shared" si="61"/>
        <v>0</v>
      </c>
      <c r="Q94" s="469">
        <f t="shared" si="61"/>
        <v>0</v>
      </c>
      <c r="R94" s="469">
        <f t="shared" si="59"/>
        <v>0</v>
      </c>
      <c r="S94" s="469">
        <f t="shared" si="59"/>
        <v>0</v>
      </c>
      <c r="T94" s="469">
        <f t="shared" si="59"/>
        <v>0</v>
      </c>
      <c r="U94" s="469">
        <f t="shared" si="59"/>
        <v>0</v>
      </c>
      <c r="V94" s="469">
        <f t="shared" si="59"/>
        <v>0</v>
      </c>
      <c r="W94" s="469">
        <f t="shared" si="59"/>
        <v>0</v>
      </c>
      <c r="X94" s="469">
        <f t="shared" si="59"/>
        <v>0</v>
      </c>
      <c r="Y94" s="469">
        <f t="shared" si="59"/>
        <v>0</v>
      </c>
      <c r="Z94" s="469">
        <f t="shared" si="59"/>
        <v>0</v>
      </c>
      <c r="AA94" s="469">
        <f t="shared" si="59"/>
        <v>0</v>
      </c>
      <c r="AB94" s="469">
        <f t="shared" si="59"/>
        <v>0</v>
      </c>
      <c r="AC94" s="469">
        <f t="shared" si="59"/>
        <v>0</v>
      </c>
      <c r="AD94" s="469">
        <f t="shared" si="59"/>
        <v>0</v>
      </c>
      <c r="AE94" s="469">
        <f t="shared" si="59"/>
        <v>0</v>
      </c>
      <c r="AF94" s="469">
        <f t="shared" si="59"/>
        <v>0</v>
      </c>
      <c r="AG94" s="469">
        <f t="shared" si="59"/>
        <v>0</v>
      </c>
      <c r="AH94" s="469">
        <f t="shared" si="59"/>
        <v>0</v>
      </c>
      <c r="AI94" s="469">
        <f t="shared" si="59"/>
        <v>0</v>
      </c>
      <c r="AJ94" s="469">
        <f t="shared" si="59"/>
        <v>0</v>
      </c>
      <c r="AK94" s="469">
        <f t="shared" si="59"/>
        <v>0</v>
      </c>
      <c r="AL94" s="469">
        <f t="shared" si="59"/>
        <v>0</v>
      </c>
      <c r="AM94" s="469">
        <f t="shared" si="59"/>
        <v>0</v>
      </c>
      <c r="AN94" s="469">
        <f t="shared" si="59"/>
        <v>0</v>
      </c>
      <c r="AO94" s="469">
        <f t="shared" si="59"/>
        <v>0</v>
      </c>
      <c r="AP94" s="469">
        <f t="shared" si="59"/>
        <v>0</v>
      </c>
      <c r="AQ94" s="469">
        <f t="shared" si="59"/>
        <v>0</v>
      </c>
      <c r="AR94" s="469">
        <f t="shared" si="59"/>
        <v>0</v>
      </c>
      <c r="AS94" s="469">
        <f t="shared" si="59"/>
        <v>0</v>
      </c>
      <c r="AT94" s="469">
        <f t="shared" si="59"/>
        <v>0</v>
      </c>
      <c r="AU94" s="469">
        <f t="shared" si="59"/>
        <v>0</v>
      </c>
      <c r="AV94" s="469">
        <f t="shared" si="59"/>
        <v>0</v>
      </c>
      <c r="AW94" s="469">
        <f t="shared" si="59"/>
        <v>0</v>
      </c>
      <c r="AX94" s="469">
        <f t="shared" si="59"/>
        <v>0</v>
      </c>
      <c r="AY94" s="444">
        <f t="shared" si="52"/>
        <v>0</v>
      </c>
      <c r="AZ94" s="141"/>
    </row>
    <row r="95" spans="1:52">
      <c r="A95" s="1335">
        <f>$B$21</f>
        <v>0</v>
      </c>
      <c r="B95" s="1335"/>
      <c r="C95" s="1335"/>
      <c r="D95" s="1335"/>
      <c r="E95" s="1335"/>
      <c r="F95" s="467">
        <f>OpeningTemplate!$D$126</f>
        <v>0</v>
      </c>
      <c r="G95" s="467">
        <f>OpeningTemplate!$E$126</f>
        <v>0</v>
      </c>
      <c r="H95" s="446">
        <f t="shared" si="53"/>
        <v>0</v>
      </c>
      <c r="I95" s="446">
        <f t="shared" si="54"/>
        <v>0</v>
      </c>
      <c r="J95" s="468">
        <f t="shared" si="55"/>
        <v>0</v>
      </c>
      <c r="K95" s="467">
        <f t="shared" si="48"/>
        <v>0</v>
      </c>
      <c r="L95" s="467">
        <f t="shared" si="49"/>
        <v>0</v>
      </c>
      <c r="M95" s="469">
        <f t="shared" si="50"/>
        <v>0</v>
      </c>
      <c r="N95" s="469">
        <f t="shared" si="61"/>
        <v>0</v>
      </c>
      <c r="O95" s="469">
        <f t="shared" si="61"/>
        <v>0</v>
      </c>
      <c r="P95" s="469">
        <f t="shared" si="61"/>
        <v>0</v>
      </c>
      <c r="Q95" s="469">
        <f t="shared" si="61"/>
        <v>0</v>
      </c>
      <c r="R95" s="469">
        <f t="shared" si="59"/>
        <v>0</v>
      </c>
      <c r="S95" s="469">
        <f t="shared" si="59"/>
        <v>0</v>
      </c>
      <c r="T95" s="469">
        <f t="shared" si="59"/>
        <v>0</v>
      </c>
      <c r="U95" s="469">
        <f t="shared" si="59"/>
        <v>0</v>
      </c>
      <c r="V95" s="469">
        <f t="shared" si="59"/>
        <v>0</v>
      </c>
      <c r="W95" s="469">
        <f t="shared" si="59"/>
        <v>0</v>
      </c>
      <c r="X95" s="469">
        <f t="shared" si="59"/>
        <v>0</v>
      </c>
      <c r="Y95" s="469">
        <f t="shared" si="59"/>
        <v>0</v>
      </c>
      <c r="Z95" s="469">
        <f t="shared" si="59"/>
        <v>0</v>
      </c>
      <c r="AA95" s="469">
        <f t="shared" si="59"/>
        <v>0</v>
      </c>
      <c r="AB95" s="469">
        <f t="shared" si="59"/>
        <v>0</v>
      </c>
      <c r="AC95" s="469">
        <f t="shared" si="59"/>
        <v>0</v>
      </c>
      <c r="AD95" s="469">
        <f t="shared" si="59"/>
        <v>0</v>
      </c>
      <c r="AE95" s="469">
        <f t="shared" si="59"/>
        <v>0</v>
      </c>
      <c r="AF95" s="469">
        <f t="shared" si="59"/>
        <v>0</v>
      </c>
      <c r="AG95" s="469">
        <f t="shared" si="59"/>
        <v>0</v>
      </c>
      <c r="AH95" s="469">
        <f t="shared" si="59"/>
        <v>0</v>
      </c>
      <c r="AI95" s="469">
        <f t="shared" si="59"/>
        <v>0</v>
      </c>
      <c r="AJ95" s="469">
        <f t="shared" si="59"/>
        <v>0</v>
      </c>
      <c r="AK95" s="469">
        <f t="shared" si="59"/>
        <v>0</v>
      </c>
      <c r="AL95" s="469">
        <f t="shared" si="59"/>
        <v>0</v>
      </c>
      <c r="AM95" s="469">
        <f t="shared" si="59"/>
        <v>0</v>
      </c>
      <c r="AN95" s="469">
        <f t="shared" si="59"/>
        <v>0</v>
      </c>
      <c r="AO95" s="469">
        <f t="shared" si="59"/>
        <v>0</v>
      </c>
      <c r="AP95" s="469">
        <f t="shared" si="59"/>
        <v>0</v>
      </c>
      <c r="AQ95" s="469">
        <f t="shared" si="59"/>
        <v>0</v>
      </c>
      <c r="AR95" s="469">
        <f t="shared" si="59"/>
        <v>0</v>
      </c>
      <c r="AS95" s="469">
        <f t="shared" si="59"/>
        <v>0</v>
      </c>
      <c r="AT95" s="469">
        <f t="shared" si="59"/>
        <v>0</v>
      </c>
      <c r="AU95" s="469">
        <f t="shared" si="59"/>
        <v>0</v>
      </c>
      <c r="AV95" s="469">
        <f t="shared" si="59"/>
        <v>0</v>
      </c>
      <c r="AW95" s="469">
        <f t="shared" si="59"/>
        <v>0</v>
      </c>
      <c r="AX95" s="469">
        <f t="shared" si="59"/>
        <v>0</v>
      </c>
      <c r="AY95" s="444">
        <f t="shared" si="52"/>
        <v>0</v>
      </c>
      <c r="AZ95" s="141"/>
    </row>
    <row r="96" spans="1:52">
      <c r="A96" s="1335">
        <f>$B$22</f>
        <v>0</v>
      </c>
      <c r="B96" s="1335"/>
      <c r="C96" s="1335"/>
      <c r="D96" s="1335"/>
      <c r="E96" s="1335"/>
      <c r="F96" s="467">
        <f>OpeningTemplate!$D$136</f>
        <v>0</v>
      </c>
      <c r="G96" s="467">
        <f>OpeningTemplate!$E$136</f>
        <v>0</v>
      </c>
      <c r="H96" s="446">
        <f t="shared" si="53"/>
        <v>0</v>
      </c>
      <c r="I96" s="446">
        <f t="shared" si="54"/>
        <v>0</v>
      </c>
      <c r="J96" s="468">
        <f t="shared" si="55"/>
        <v>0</v>
      </c>
      <c r="K96" s="467">
        <f t="shared" si="48"/>
        <v>0</v>
      </c>
      <c r="L96" s="467">
        <f t="shared" si="49"/>
        <v>0</v>
      </c>
      <c r="M96" s="469">
        <f t="shared" si="50"/>
        <v>0</v>
      </c>
      <c r="N96" s="469">
        <f t="shared" si="61"/>
        <v>0</v>
      </c>
      <c r="O96" s="469">
        <f t="shared" si="61"/>
        <v>0</v>
      </c>
      <c r="P96" s="469">
        <f t="shared" si="61"/>
        <v>0</v>
      </c>
      <c r="Q96" s="469">
        <f t="shared" si="61"/>
        <v>0</v>
      </c>
      <c r="R96" s="469">
        <f t="shared" si="59"/>
        <v>0</v>
      </c>
      <c r="S96" s="469">
        <f t="shared" si="59"/>
        <v>0</v>
      </c>
      <c r="T96" s="469">
        <f t="shared" si="59"/>
        <v>0</v>
      </c>
      <c r="U96" s="469">
        <f t="shared" si="59"/>
        <v>0</v>
      </c>
      <c r="V96" s="469">
        <f t="shared" si="59"/>
        <v>0</v>
      </c>
      <c r="W96" s="469">
        <f t="shared" si="59"/>
        <v>0</v>
      </c>
      <c r="X96" s="469">
        <f t="shared" si="59"/>
        <v>0</v>
      </c>
      <c r="Y96" s="469">
        <f t="shared" si="59"/>
        <v>0</v>
      </c>
      <c r="Z96" s="469">
        <f t="shared" si="59"/>
        <v>0</v>
      </c>
      <c r="AA96" s="469">
        <f t="shared" si="59"/>
        <v>0</v>
      </c>
      <c r="AB96" s="469">
        <f t="shared" si="59"/>
        <v>0</v>
      </c>
      <c r="AC96" s="469">
        <f t="shared" si="59"/>
        <v>0</v>
      </c>
      <c r="AD96" s="469">
        <f t="shared" si="59"/>
        <v>0</v>
      </c>
      <c r="AE96" s="469">
        <f t="shared" si="59"/>
        <v>0</v>
      </c>
      <c r="AF96" s="469">
        <f t="shared" si="59"/>
        <v>0</v>
      </c>
      <c r="AG96" s="469">
        <f t="shared" si="59"/>
        <v>0</v>
      </c>
      <c r="AH96" s="469">
        <f t="shared" si="59"/>
        <v>0</v>
      </c>
      <c r="AI96" s="469">
        <f t="shared" si="59"/>
        <v>0</v>
      </c>
      <c r="AJ96" s="469">
        <f t="shared" si="59"/>
        <v>0</v>
      </c>
      <c r="AK96" s="469">
        <f t="shared" si="59"/>
        <v>0</v>
      </c>
      <c r="AL96" s="469">
        <f t="shared" si="59"/>
        <v>0</v>
      </c>
      <c r="AM96" s="469">
        <f t="shared" si="59"/>
        <v>0</v>
      </c>
      <c r="AN96" s="469">
        <f t="shared" si="59"/>
        <v>0</v>
      </c>
      <c r="AO96" s="469">
        <f t="shared" si="59"/>
        <v>0</v>
      </c>
      <c r="AP96" s="469">
        <f t="shared" si="59"/>
        <v>0</v>
      </c>
      <c r="AQ96" s="469">
        <f t="shared" si="59"/>
        <v>0</v>
      </c>
      <c r="AR96" s="469">
        <f t="shared" si="59"/>
        <v>0</v>
      </c>
      <c r="AS96" s="469">
        <f t="shared" si="59"/>
        <v>0</v>
      </c>
      <c r="AT96" s="469">
        <f t="shared" si="59"/>
        <v>0</v>
      </c>
      <c r="AU96" s="469">
        <f t="shared" si="59"/>
        <v>0</v>
      </c>
      <c r="AV96" s="469">
        <f t="shared" si="59"/>
        <v>0</v>
      </c>
      <c r="AW96" s="469">
        <f t="shared" si="59"/>
        <v>0</v>
      </c>
      <c r="AX96" s="469">
        <f t="shared" si="59"/>
        <v>0</v>
      </c>
      <c r="AY96" s="444">
        <f t="shared" si="52"/>
        <v>0</v>
      </c>
      <c r="AZ96" s="141"/>
    </row>
    <row r="97" spans="1:52">
      <c r="A97" s="1335">
        <f>$B$23</f>
        <v>0</v>
      </c>
      <c r="B97" s="1335"/>
      <c r="C97" s="1335"/>
      <c r="D97" s="1335"/>
      <c r="E97" s="1335"/>
      <c r="F97" s="467">
        <f>OpeningTemplate!$D$146</f>
        <v>0</v>
      </c>
      <c r="G97" s="467">
        <f>OpeningTemplate!$E$146</f>
        <v>0</v>
      </c>
      <c r="H97" s="446">
        <f t="shared" si="53"/>
        <v>0</v>
      </c>
      <c r="I97" s="446">
        <f t="shared" si="54"/>
        <v>0</v>
      </c>
      <c r="J97" s="468">
        <f t="shared" si="55"/>
        <v>0</v>
      </c>
      <c r="K97" s="467">
        <f t="shared" si="48"/>
        <v>0</v>
      </c>
      <c r="L97" s="467">
        <f t="shared" si="49"/>
        <v>0</v>
      </c>
      <c r="M97" s="469">
        <f t="shared" si="50"/>
        <v>0</v>
      </c>
      <c r="N97" s="469">
        <f t="shared" si="61"/>
        <v>0</v>
      </c>
      <c r="O97" s="469">
        <f t="shared" si="61"/>
        <v>0</v>
      </c>
      <c r="P97" s="469">
        <f t="shared" si="61"/>
        <v>0</v>
      </c>
      <c r="Q97" s="469">
        <f t="shared" si="61"/>
        <v>0</v>
      </c>
      <c r="R97" s="469">
        <f t="shared" si="59"/>
        <v>0</v>
      </c>
      <c r="S97" s="469">
        <f t="shared" si="59"/>
        <v>0</v>
      </c>
      <c r="T97" s="469">
        <f t="shared" si="59"/>
        <v>0</v>
      </c>
      <c r="U97" s="469">
        <f t="shared" si="59"/>
        <v>0</v>
      </c>
      <c r="V97" s="469">
        <f t="shared" si="59"/>
        <v>0</v>
      </c>
      <c r="W97" s="469">
        <f t="shared" si="59"/>
        <v>0</v>
      </c>
      <c r="X97" s="469">
        <f t="shared" si="59"/>
        <v>0</v>
      </c>
      <c r="Y97" s="469">
        <f t="shared" si="59"/>
        <v>0</v>
      </c>
      <c r="Z97" s="469">
        <f t="shared" si="59"/>
        <v>0</v>
      </c>
      <c r="AA97" s="469">
        <f t="shared" si="59"/>
        <v>0</v>
      </c>
      <c r="AB97" s="469">
        <f t="shared" si="59"/>
        <v>0</v>
      </c>
      <c r="AC97" s="469">
        <f t="shared" si="59"/>
        <v>0</v>
      </c>
      <c r="AD97" s="469">
        <f t="shared" si="59"/>
        <v>0</v>
      </c>
      <c r="AE97" s="469">
        <f t="shared" si="59"/>
        <v>0</v>
      </c>
      <c r="AF97" s="469">
        <f t="shared" si="59"/>
        <v>0</v>
      </c>
      <c r="AG97" s="469">
        <f t="shared" si="59"/>
        <v>0</v>
      </c>
      <c r="AH97" s="469">
        <f t="shared" si="59"/>
        <v>0</v>
      </c>
      <c r="AI97" s="469">
        <f t="shared" si="59"/>
        <v>0</v>
      </c>
      <c r="AJ97" s="469">
        <f t="shared" si="59"/>
        <v>0</v>
      </c>
      <c r="AK97" s="469">
        <f t="shared" si="59"/>
        <v>0</v>
      </c>
      <c r="AL97" s="469">
        <f t="shared" si="59"/>
        <v>0</v>
      </c>
      <c r="AM97" s="469">
        <f t="shared" si="59"/>
        <v>0</v>
      </c>
      <c r="AN97" s="469">
        <f t="shared" si="59"/>
        <v>0</v>
      </c>
      <c r="AO97" s="469">
        <f t="shared" si="59"/>
        <v>0</v>
      </c>
      <c r="AP97" s="469">
        <f t="shared" si="59"/>
        <v>0</v>
      </c>
      <c r="AQ97" s="469">
        <f t="shared" si="59"/>
        <v>0</v>
      </c>
      <c r="AR97" s="469">
        <f t="shared" si="59"/>
        <v>0</v>
      </c>
      <c r="AS97" s="469">
        <f t="shared" si="59"/>
        <v>0</v>
      </c>
      <c r="AT97" s="469">
        <f t="shared" si="59"/>
        <v>0</v>
      </c>
      <c r="AU97" s="469">
        <f t="shared" si="59"/>
        <v>0</v>
      </c>
      <c r="AV97" s="469">
        <f t="shared" si="59"/>
        <v>0</v>
      </c>
      <c r="AW97" s="469">
        <f t="shared" si="59"/>
        <v>0</v>
      </c>
      <c r="AX97" s="469">
        <f t="shared" si="59"/>
        <v>0</v>
      </c>
      <c r="AY97" s="444">
        <f t="shared" si="52"/>
        <v>0</v>
      </c>
      <c r="AZ97" s="141"/>
    </row>
    <row r="98" spans="1:52">
      <c r="A98" s="1335">
        <f>$B$24</f>
        <v>0</v>
      </c>
      <c r="B98" s="1335"/>
      <c r="C98" s="1335"/>
      <c r="D98" s="1335"/>
      <c r="E98" s="1335"/>
      <c r="F98" s="467">
        <f>OpeningTemplate!$D$156</f>
        <v>0</v>
      </c>
      <c r="G98" s="467">
        <f>OpeningTemplate!$E$156</f>
        <v>0</v>
      </c>
      <c r="H98" s="446">
        <f t="shared" si="53"/>
        <v>0</v>
      </c>
      <c r="I98" s="446">
        <f t="shared" si="54"/>
        <v>0</v>
      </c>
      <c r="J98" s="468">
        <f t="shared" si="55"/>
        <v>0</v>
      </c>
      <c r="K98" s="467">
        <f t="shared" si="48"/>
        <v>0</v>
      </c>
      <c r="L98" s="467">
        <f t="shared" si="49"/>
        <v>0</v>
      </c>
      <c r="M98" s="469">
        <f t="shared" si="50"/>
        <v>0</v>
      </c>
      <c r="N98" s="469">
        <f t="shared" si="61"/>
        <v>0</v>
      </c>
      <c r="O98" s="469">
        <f t="shared" si="61"/>
        <v>0</v>
      </c>
      <c r="P98" s="469">
        <f t="shared" si="61"/>
        <v>0</v>
      </c>
      <c r="Q98" s="469">
        <f t="shared" si="61"/>
        <v>0</v>
      </c>
      <c r="R98" s="469">
        <f t="shared" si="59"/>
        <v>0</v>
      </c>
      <c r="S98" s="469">
        <f t="shared" si="59"/>
        <v>0</v>
      </c>
      <c r="T98" s="469">
        <f t="shared" si="59"/>
        <v>0</v>
      </c>
      <c r="U98" s="469">
        <f t="shared" si="59"/>
        <v>0</v>
      </c>
      <c r="V98" s="469">
        <f t="shared" si="59"/>
        <v>0</v>
      </c>
      <c r="W98" s="469">
        <f t="shared" si="59"/>
        <v>0</v>
      </c>
      <c r="X98" s="469">
        <f t="shared" si="59"/>
        <v>0</v>
      </c>
      <c r="Y98" s="469">
        <f t="shared" si="59"/>
        <v>0</v>
      </c>
      <c r="Z98" s="469">
        <f t="shared" si="59"/>
        <v>0</v>
      </c>
      <c r="AA98" s="469">
        <f t="shared" si="59"/>
        <v>0</v>
      </c>
      <c r="AB98" s="469">
        <f t="shared" si="59"/>
        <v>0</v>
      </c>
      <c r="AC98" s="469">
        <f t="shared" si="59"/>
        <v>0</v>
      </c>
      <c r="AD98" s="469">
        <f t="shared" si="59"/>
        <v>0</v>
      </c>
      <c r="AE98" s="469">
        <f t="shared" si="59"/>
        <v>0</v>
      </c>
      <c r="AF98" s="469">
        <f t="shared" si="59"/>
        <v>0</v>
      </c>
      <c r="AG98" s="469">
        <f t="shared" si="59"/>
        <v>0</v>
      </c>
      <c r="AH98" s="469">
        <f t="shared" si="59"/>
        <v>0</v>
      </c>
      <c r="AI98" s="469">
        <f t="shared" si="59"/>
        <v>0</v>
      </c>
      <c r="AJ98" s="469">
        <f t="shared" si="59"/>
        <v>0</v>
      </c>
      <c r="AK98" s="469">
        <f t="shared" si="59"/>
        <v>0</v>
      </c>
      <c r="AL98" s="469">
        <f t="shared" si="59"/>
        <v>0</v>
      </c>
      <c r="AM98" s="469">
        <f t="shared" si="59"/>
        <v>0</v>
      </c>
      <c r="AN98" s="469">
        <f t="shared" si="59"/>
        <v>0</v>
      </c>
      <c r="AO98" s="469">
        <f t="shared" si="59"/>
        <v>0</v>
      </c>
      <c r="AP98" s="469">
        <f t="shared" si="59"/>
        <v>0</v>
      </c>
      <c r="AQ98" s="469">
        <f t="shared" si="59"/>
        <v>0</v>
      </c>
      <c r="AR98" s="469">
        <f t="shared" si="59"/>
        <v>0</v>
      </c>
      <c r="AS98" s="469">
        <f t="shared" si="59"/>
        <v>0</v>
      </c>
      <c r="AT98" s="469">
        <f t="shared" si="59"/>
        <v>0</v>
      </c>
      <c r="AU98" s="469">
        <f t="shared" si="59"/>
        <v>0</v>
      </c>
      <c r="AV98" s="469">
        <f t="shared" si="59"/>
        <v>0</v>
      </c>
      <c r="AW98" s="469">
        <f t="shared" si="59"/>
        <v>0</v>
      </c>
      <c r="AX98" s="469">
        <f t="shared" si="59"/>
        <v>0</v>
      </c>
      <c r="AY98" s="444">
        <f t="shared" si="52"/>
        <v>0</v>
      </c>
      <c r="AZ98" s="141"/>
    </row>
    <row r="99" spans="1:52">
      <c r="A99" s="1335">
        <f>$B$25</f>
        <v>0</v>
      </c>
      <c r="B99" s="1335"/>
      <c r="C99" s="1335"/>
      <c r="D99" s="1335"/>
      <c r="E99" s="1335"/>
      <c r="F99" s="467">
        <f>OpeningTemplate!$D$166</f>
        <v>0</v>
      </c>
      <c r="G99" s="467">
        <f>OpeningTemplate!$E$166</f>
        <v>0</v>
      </c>
      <c r="H99" s="446">
        <f t="shared" si="53"/>
        <v>0</v>
      </c>
      <c r="I99" s="446">
        <f t="shared" si="54"/>
        <v>0</v>
      </c>
      <c r="J99" s="468">
        <f t="shared" si="55"/>
        <v>0</v>
      </c>
      <c r="K99" s="467">
        <f t="shared" si="48"/>
        <v>0</v>
      </c>
      <c r="L99" s="467">
        <f t="shared" si="49"/>
        <v>0</v>
      </c>
      <c r="M99" s="469">
        <f t="shared" si="50"/>
        <v>0</v>
      </c>
      <c r="N99" s="469">
        <f t="shared" si="61"/>
        <v>0</v>
      </c>
      <c r="O99" s="469">
        <f t="shared" si="61"/>
        <v>0</v>
      </c>
      <c r="P99" s="469">
        <f t="shared" si="61"/>
        <v>0</v>
      </c>
      <c r="Q99" s="469">
        <f t="shared" si="61"/>
        <v>0</v>
      </c>
      <c r="R99" s="469">
        <f t="shared" si="59"/>
        <v>0</v>
      </c>
      <c r="S99" s="469">
        <f t="shared" si="59"/>
        <v>0</v>
      </c>
      <c r="T99" s="469">
        <f t="shared" ref="R99:AX106" si="62">IF(AND(T$122&gt;=$K99,T$122&lt;=$L99),IF(S$122&lt;$F99,IF(T$122&lt;=$G99,(T$122-$F99+1)*$J99,$H99),IF(T$122&gt;=$G99,($G99-S$122)*$J99,(T$122-S$122)*$J99)),0)</f>
        <v>0</v>
      </c>
      <c r="U99" s="469">
        <f t="shared" si="62"/>
        <v>0</v>
      </c>
      <c r="V99" s="469">
        <f t="shared" si="62"/>
        <v>0</v>
      </c>
      <c r="W99" s="469">
        <f t="shared" si="62"/>
        <v>0</v>
      </c>
      <c r="X99" s="469">
        <f t="shared" si="62"/>
        <v>0</v>
      </c>
      <c r="Y99" s="469">
        <f t="shared" si="62"/>
        <v>0</v>
      </c>
      <c r="Z99" s="469">
        <f t="shared" si="62"/>
        <v>0</v>
      </c>
      <c r="AA99" s="469">
        <f t="shared" si="62"/>
        <v>0</v>
      </c>
      <c r="AB99" s="469">
        <f t="shared" si="62"/>
        <v>0</v>
      </c>
      <c r="AC99" s="469">
        <f t="shared" si="62"/>
        <v>0</v>
      </c>
      <c r="AD99" s="469">
        <f t="shared" si="62"/>
        <v>0</v>
      </c>
      <c r="AE99" s="469">
        <f t="shared" si="62"/>
        <v>0</v>
      </c>
      <c r="AF99" s="469">
        <f t="shared" si="62"/>
        <v>0</v>
      </c>
      <c r="AG99" s="469">
        <f t="shared" si="62"/>
        <v>0</v>
      </c>
      <c r="AH99" s="469">
        <f t="shared" si="62"/>
        <v>0</v>
      </c>
      <c r="AI99" s="469">
        <f t="shared" si="62"/>
        <v>0</v>
      </c>
      <c r="AJ99" s="469">
        <f t="shared" si="62"/>
        <v>0</v>
      </c>
      <c r="AK99" s="469">
        <f t="shared" si="62"/>
        <v>0</v>
      </c>
      <c r="AL99" s="469">
        <f t="shared" si="62"/>
        <v>0</v>
      </c>
      <c r="AM99" s="469">
        <f t="shared" si="62"/>
        <v>0</v>
      </c>
      <c r="AN99" s="469">
        <f t="shared" si="62"/>
        <v>0</v>
      </c>
      <c r="AO99" s="469">
        <f t="shared" si="62"/>
        <v>0</v>
      </c>
      <c r="AP99" s="469">
        <f t="shared" si="62"/>
        <v>0</v>
      </c>
      <c r="AQ99" s="469">
        <f t="shared" si="62"/>
        <v>0</v>
      </c>
      <c r="AR99" s="469">
        <f t="shared" si="62"/>
        <v>0</v>
      </c>
      <c r="AS99" s="469">
        <f t="shared" si="62"/>
        <v>0</v>
      </c>
      <c r="AT99" s="469">
        <f t="shared" si="62"/>
        <v>0</v>
      </c>
      <c r="AU99" s="469">
        <f t="shared" si="62"/>
        <v>0</v>
      </c>
      <c r="AV99" s="469">
        <f t="shared" si="62"/>
        <v>0</v>
      </c>
      <c r="AW99" s="469">
        <f t="shared" si="62"/>
        <v>0</v>
      </c>
      <c r="AX99" s="469">
        <f t="shared" si="62"/>
        <v>0</v>
      </c>
      <c r="AY99" s="444">
        <f t="shared" si="52"/>
        <v>0</v>
      </c>
      <c r="AZ99" s="141"/>
    </row>
    <row r="100" spans="1:52">
      <c r="A100" s="1335">
        <f>$B$26</f>
        <v>0</v>
      </c>
      <c r="B100" s="1335"/>
      <c r="C100" s="1335"/>
      <c r="D100" s="1335"/>
      <c r="E100" s="1335"/>
      <c r="F100" s="467">
        <f>OpeningTemplate!$D$176</f>
        <v>0</v>
      </c>
      <c r="G100" s="467">
        <f>OpeningTemplate!$E$176</f>
        <v>0</v>
      </c>
      <c r="H100" s="446">
        <f t="shared" si="53"/>
        <v>0</v>
      </c>
      <c r="I100" s="446">
        <f t="shared" si="54"/>
        <v>0</v>
      </c>
      <c r="J100" s="468">
        <f t="shared" si="55"/>
        <v>0</v>
      </c>
      <c r="K100" s="467">
        <f t="shared" si="48"/>
        <v>0</v>
      </c>
      <c r="L100" s="467">
        <f t="shared" si="49"/>
        <v>0</v>
      </c>
      <c r="M100" s="469">
        <f t="shared" si="50"/>
        <v>0</v>
      </c>
      <c r="N100" s="469">
        <f t="shared" si="61"/>
        <v>0</v>
      </c>
      <c r="O100" s="469">
        <f t="shared" si="61"/>
        <v>0</v>
      </c>
      <c r="P100" s="469">
        <f t="shared" si="61"/>
        <v>0</v>
      </c>
      <c r="Q100" s="469">
        <f t="shared" si="61"/>
        <v>0</v>
      </c>
      <c r="R100" s="469">
        <f t="shared" si="62"/>
        <v>0</v>
      </c>
      <c r="S100" s="469">
        <f t="shared" si="62"/>
        <v>0</v>
      </c>
      <c r="T100" s="469">
        <f t="shared" si="62"/>
        <v>0</v>
      </c>
      <c r="U100" s="469">
        <f t="shared" si="62"/>
        <v>0</v>
      </c>
      <c r="V100" s="469">
        <f t="shared" si="62"/>
        <v>0</v>
      </c>
      <c r="W100" s="469">
        <f t="shared" si="62"/>
        <v>0</v>
      </c>
      <c r="X100" s="469">
        <f t="shared" si="62"/>
        <v>0</v>
      </c>
      <c r="Y100" s="469">
        <f t="shared" si="62"/>
        <v>0</v>
      </c>
      <c r="Z100" s="469">
        <f t="shared" si="62"/>
        <v>0</v>
      </c>
      <c r="AA100" s="469">
        <f t="shared" si="62"/>
        <v>0</v>
      </c>
      <c r="AB100" s="469">
        <f t="shared" si="62"/>
        <v>0</v>
      </c>
      <c r="AC100" s="469">
        <f t="shared" si="62"/>
        <v>0</v>
      </c>
      <c r="AD100" s="469">
        <f t="shared" si="62"/>
        <v>0</v>
      </c>
      <c r="AE100" s="469">
        <f t="shared" si="62"/>
        <v>0</v>
      </c>
      <c r="AF100" s="469">
        <f t="shared" si="62"/>
        <v>0</v>
      </c>
      <c r="AG100" s="469">
        <f t="shared" si="62"/>
        <v>0</v>
      </c>
      <c r="AH100" s="469">
        <f t="shared" si="62"/>
        <v>0</v>
      </c>
      <c r="AI100" s="469">
        <f t="shared" si="62"/>
        <v>0</v>
      </c>
      <c r="AJ100" s="469">
        <f t="shared" si="62"/>
        <v>0</v>
      </c>
      <c r="AK100" s="469">
        <f t="shared" si="62"/>
        <v>0</v>
      </c>
      <c r="AL100" s="469">
        <f t="shared" si="62"/>
        <v>0</v>
      </c>
      <c r="AM100" s="469">
        <f t="shared" si="62"/>
        <v>0</v>
      </c>
      <c r="AN100" s="469">
        <f t="shared" si="62"/>
        <v>0</v>
      </c>
      <c r="AO100" s="469">
        <f t="shared" si="62"/>
        <v>0</v>
      </c>
      <c r="AP100" s="469">
        <f t="shared" si="62"/>
        <v>0</v>
      </c>
      <c r="AQ100" s="469">
        <f t="shared" si="62"/>
        <v>0</v>
      </c>
      <c r="AR100" s="469">
        <f t="shared" si="62"/>
        <v>0</v>
      </c>
      <c r="AS100" s="469">
        <f t="shared" si="62"/>
        <v>0</v>
      </c>
      <c r="AT100" s="469">
        <f t="shared" si="62"/>
        <v>0</v>
      </c>
      <c r="AU100" s="469">
        <f t="shared" si="62"/>
        <v>0</v>
      </c>
      <c r="AV100" s="469">
        <f t="shared" si="62"/>
        <v>0</v>
      </c>
      <c r="AW100" s="469">
        <f t="shared" si="62"/>
        <v>0</v>
      </c>
      <c r="AX100" s="469">
        <f t="shared" si="62"/>
        <v>0</v>
      </c>
      <c r="AY100" s="444">
        <f t="shared" si="52"/>
        <v>0</v>
      </c>
      <c r="AZ100" s="141"/>
    </row>
    <row r="101" spans="1:52">
      <c r="A101" s="1335">
        <f>$B$27</f>
        <v>0</v>
      </c>
      <c r="B101" s="1335"/>
      <c r="C101" s="1335"/>
      <c r="D101" s="1335"/>
      <c r="E101" s="1335"/>
      <c r="F101" s="467">
        <f>OpeningTemplate!$D$186</f>
        <v>0</v>
      </c>
      <c r="G101" s="467">
        <f>OpeningTemplate!$E$186</f>
        <v>0</v>
      </c>
      <c r="H101" s="446">
        <f t="shared" si="53"/>
        <v>0</v>
      </c>
      <c r="I101" s="446">
        <f t="shared" si="54"/>
        <v>0</v>
      </c>
      <c r="J101" s="468">
        <f t="shared" si="55"/>
        <v>0</v>
      </c>
      <c r="K101" s="467">
        <f t="shared" si="48"/>
        <v>0</v>
      </c>
      <c r="L101" s="467">
        <f t="shared" si="49"/>
        <v>0</v>
      </c>
      <c r="M101" s="469">
        <f t="shared" si="50"/>
        <v>0</v>
      </c>
      <c r="N101" s="469">
        <f t="shared" si="61"/>
        <v>0</v>
      </c>
      <c r="O101" s="469">
        <f t="shared" si="61"/>
        <v>0</v>
      </c>
      <c r="P101" s="469">
        <f t="shared" si="61"/>
        <v>0</v>
      </c>
      <c r="Q101" s="469">
        <f t="shared" si="61"/>
        <v>0</v>
      </c>
      <c r="R101" s="469">
        <f t="shared" si="62"/>
        <v>0</v>
      </c>
      <c r="S101" s="469">
        <f t="shared" si="62"/>
        <v>0</v>
      </c>
      <c r="T101" s="469">
        <f t="shared" si="62"/>
        <v>0</v>
      </c>
      <c r="U101" s="469">
        <f t="shared" si="62"/>
        <v>0</v>
      </c>
      <c r="V101" s="469">
        <f t="shared" si="62"/>
        <v>0</v>
      </c>
      <c r="W101" s="469">
        <f t="shared" si="62"/>
        <v>0</v>
      </c>
      <c r="X101" s="469">
        <f t="shared" si="62"/>
        <v>0</v>
      </c>
      <c r="Y101" s="469">
        <f t="shared" si="62"/>
        <v>0</v>
      </c>
      <c r="Z101" s="469">
        <f t="shared" si="62"/>
        <v>0</v>
      </c>
      <c r="AA101" s="469">
        <f t="shared" si="62"/>
        <v>0</v>
      </c>
      <c r="AB101" s="469">
        <f t="shared" si="62"/>
        <v>0</v>
      </c>
      <c r="AC101" s="469">
        <f t="shared" si="62"/>
        <v>0</v>
      </c>
      <c r="AD101" s="469">
        <f t="shared" si="62"/>
        <v>0</v>
      </c>
      <c r="AE101" s="469">
        <f t="shared" si="62"/>
        <v>0</v>
      </c>
      <c r="AF101" s="469">
        <f t="shared" si="62"/>
        <v>0</v>
      </c>
      <c r="AG101" s="469">
        <f t="shared" si="62"/>
        <v>0</v>
      </c>
      <c r="AH101" s="469">
        <f t="shared" si="62"/>
        <v>0</v>
      </c>
      <c r="AI101" s="469">
        <f t="shared" si="62"/>
        <v>0</v>
      </c>
      <c r="AJ101" s="469">
        <f t="shared" si="62"/>
        <v>0</v>
      </c>
      <c r="AK101" s="469">
        <f t="shared" si="62"/>
        <v>0</v>
      </c>
      <c r="AL101" s="469">
        <f t="shared" si="62"/>
        <v>0</v>
      </c>
      <c r="AM101" s="469">
        <f t="shared" si="62"/>
        <v>0</v>
      </c>
      <c r="AN101" s="469">
        <f t="shared" si="62"/>
        <v>0</v>
      </c>
      <c r="AO101" s="469">
        <f t="shared" si="62"/>
        <v>0</v>
      </c>
      <c r="AP101" s="469">
        <f t="shared" si="62"/>
        <v>0</v>
      </c>
      <c r="AQ101" s="469">
        <f t="shared" si="62"/>
        <v>0</v>
      </c>
      <c r="AR101" s="469">
        <f t="shared" si="62"/>
        <v>0</v>
      </c>
      <c r="AS101" s="469">
        <f t="shared" si="62"/>
        <v>0</v>
      </c>
      <c r="AT101" s="469">
        <f t="shared" si="62"/>
        <v>0</v>
      </c>
      <c r="AU101" s="469">
        <f t="shared" si="62"/>
        <v>0</v>
      </c>
      <c r="AV101" s="469">
        <f t="shared" si="62"/>
        <v>0</v>
      </c>
      <c r="AW101" s="469">
        <f t="shared" si="62"/>
        <v>0</v>
      </c>
      <c r="AX101" s="469">
        <f t="shared" si="62"/>
        <v>0</v>
      </c>
      <c r="AY101" s="444">
        <f t="shared" si="52"/>
        <v>0</v>
      </c>
      <c r="AZ101" s="141"/>
    </row>
    <row r="102" spans="1:52">
      <c r="A102" s="1335">
        <f>$B$28</f>
        <v>0</v>
      </c>
      <c r="B102" s="1335"/>
      <c r="C102" s="1335"/>
      <c r="D102" s="1335"/>
      <c r="E102" s="1335"/>
      <c r="F102" s="467">
        <f>OpeningTemplate!$D$196</f>
        <v>0</v>
      </c>
      <c r="G102" s="467">
        <f>OpeningTemplate!$E$196</f>
        <v>0</v>
      </c>
      <c r="H102" s="446">
        <f t="shared" si="53"/>
        <v>0</v>
      </c>
      <c r="I102" s="446">
        <f t="shared" si="54"/>
        <v>0</v>
      </c>
      <c r="J102" s="468">
        <f t="shared" si="55"/>
        <v>0</v>
      </c>
      <c r="K102" s="467">
        <f t="shared" si="48"/>
        <v>0</v>
      </c>
      <c r="L102" s="467">
        <f t="shared" si="49"/>
        <v>0</v>
      </c>
      <c r="M102" s="469">
        <f t="shared" si="50"/>
        <v>0</v>
      </c>
      <c r="N102" s="469">
        <f t="shared" si="61"/>
        <v>0</v>
      </c>
      <c r="O102" s="469">
        <f t="shared" si="61"/>
        <v>0</v>
      </c>
      <c r="P102" s="469">
        <f t="shared" si="61"/>
        <v>0</v>
      </c>
      <c r="Q102" s="469">
        <f t="shared" si="61"/>
        <v>0</v>
      </c>
      <c r="R102" s="469">
        <f t="shared" si="62"/>
        <v>0</v>
      </c>
      <c r="S102" s="469">
        <f t="shared" si="62"/>
        <v>0</v>
      </c>
      <c r="T102" s="469">
        <f t="shared" si="62"/>
        <v>0</v>
      </c>
      <c r="U102" s="469">
        <f t="shared" si="62"/>
        <v>0</v>
      </c>
      <c r="V102" s="469">
        <f t="shared" si="62"/>
        <v>0</v>
      </c>
      <c r="W102" s="469">
        <f t="shared" si="62"/>
        <v>0</v>
      </c>
      <c r="X102" s="469">
        <f t="shared" si="62"/>
        <v>0</v>
      </c>
      <c r="Y102" s="469">
        <f t="shared" si="62"/>
        <v>0</v>
      </c>
      <c r="Z102" s="469">
        <f t="shared" si="62"/>
        <v>0</v>
      </c>
      <c r="AA102" s="469">
        <f t="shared" si="62"/>
        <v>0</v>
      </c>
      <c r="AB102" s="469">
        <f t="shared" si="62"/>
        <v>0</v>
      </c>
      <c r="AC102" s="469">
        <f t="shared" si="62"/>
        <v>0</v>
      </c>
      <c r="AD102" s="469">
        <f t="shared" si="62"/>
        <v>0</v>
      </c>
      <c r="AE102" s="469">
        <f t="shared" si="62"/>
        <v>0</v>
      </c>
      <c r="AF102" s="469">
        <f t="shared" si="62"/>
        <v>0</v>
      </c>
      <c r="AG102" s="469">
        <f t="shared" si="62"/>
        <v>0</v>
      </c>
      <c r="AH102" s="469">
        <f t="shared" si="62"/>
        <v>0</v>
      </c>
      <c r="AI102" s="469">
        <f t="shared" si="62"/>
        <v>0</v>
      </c>
      <c r="AJ102" s="469">
        <f t="shared" si="62"/>
        <v>0</v>
      </c>
      <c r="AK102" s="469">
        <f t="shared" si="62"/>
        <v>0</v>
      </c>
      <c r="AL102" s="469">
        <f t="shared" si="62"/>
        <v>0</v>
      </c>
      <c r="AM102" s="469">
        <f t="shared" si="62"/>
        <v>0</v>
      </c>
      <c r="AN102" s="469">
        <f t="shared" si="62"/>
        <v>0</v>
      </c>
      <c r="AO102" s="469">
        <f t="shared" si="62"/>
        <v>0</v>
      </c>
      <c r="AP102" s="469">
        <f t="shared" si="62"/>
        <v>0</v>
      </c>
      <c r="AQ102" s="469">
        <f t="shared" si="62"/>
        <v>0</v>
      </c>
      <c r="AR102" s="469">
        <f t="shared" si="62"/>
        <v>0</v>
      </c>
      <c r="AS102" s="469">
        <f t="shared" si="62"/>
        <v>0</v>
      </c>
      <c r="AT102" s="469">
        <f t="shared" si="62"/>
        <v>0</v>
      </c>
      <c r="AU102" s="469">
        <f t="shared" si="62"/>
        <v>0</v>
      </c>
      <c r="AV102" s="469">
        <f t="shared" si="62"/>
        <v>0</v>
      </c>
      <c r="AW102" s="469">
        <f t="shared" si="62"/>
        <v>0</v>
      </c>
      <c r="AX102" s="469">
        <f t="shared" si="62"/>
        <v>0</v>
      </c>
      <c r="AY102" s="444">
        <f t="shared" si="52"/>
        <v>0</v>
      </c>
      <c r="AZ102" s="141"/>
    </row>
    <row r="103" spans="1:52">
      <c r="A103" s="1335">
        <f>$B$29</f>
        <v>0</v>
      </c>
      <c r="B103" s="1335"/>
      <c r="C103" s="1335"/>
      <c r="D103" s="1335"/>
      <c r="E103" s="1335"/>
      <c r="F103" s="467">
        <f>OpeningTemplate!$D$206</f>
        <v>0</v>
      </c>
      <c r="G103" s="467">
        <f>OpeningTemplate!$E$206</f>
        <v>0</v>
      </c>
      <c r="H103" s="446">
        <f t="shared" si="53"/>
        <v>0</v>
      </c>
      <c r="I103" s="446">
        <f t="shared" si="54"/>
        <v>0</v>
      </c>
      <c r="J103" s="468">
        <f t="shared" si="55"/>
        <v>0</v>
      </c>
      <c r="K103" s="467">
        <f t="shared" si="48"/>
        <v>0</v>
      </c>
      <c r="L103" s="467">
        <f t="shared" si="49"/>
        <v>0</v>
      </c>
      <c r="M103" s="469">
        <f t="shared" si="50"/>
        <v>0</v>
      </c>
      <c r="N103" s="469">
        <f t="shared" si="61"/>
        <v>0</v>
      </c>
      <c r="O103" s="469">
        <f t="shared" si="61"/>
        <v>0</v>
      </c>
      <c r="P103" s="469">
        <f t="shared" si="61"/>
        <v>0</v>
      </c>
      <c r="Q103" s="469">
        <f t="shared" si="61"/>
        <v>0</v>
      </c>
      <c r="R103" s="469">
        <f t="shared" si="62"/>
        <v>0</v>
      </c>
      <c r="S103" s="469">
        <f t="shared" si="62"/>
        <v>0</v>
      </c>
      <c r="T103" s="469">
        <f t="shared" si="62"/>
        <v>0</v>
      </c>
      <c r="U103" s="469">
        <f t="shared" si="62"/>
        <v>0</v>
      </c>
      <c r="V103" s="469">
        <f t="shared" si="62"/>
        <v>0</v>
      </c>
      <c r="W103" s="469">
        <f t="shared" si="62"/>
        <v>0</v>
      </c>
      <c r="X103" s="469">
        <f t="shared" si="62"/>
        <v>0</v>
      </c>
      <c r="Y103" s="469">
        <f t="shared" si="62"/>
        <v>0</v>
      </c>
      <c r="Z103" s="469">
        <f t="shared" si="62"/>
        <v>0</v>
      </c>
      <c r="AA103" s="469">
        <f t="shared" si="62"/>
        <v>0</v>
      </c>
      <c r="AB103" s="469">
        <f t="shared" si="62"/>
        <v>0</v>
      </c>
      <c r="AC103" s="469">
        <f t="shared" si="62"/>
        <v>0</v>
      </c>
      <c r="AD103" s="469">
        <f t="shared" si="62"/>
        <v>0</v>
      </c>
      <c r="AE103" s="469">
        <f t="shared" si="62"/>
        <v>0</v>
      </c>
      <c r="AF103" s="469">
        <f t="shared" si="62"/>
        <v>0</v>
      </c>
      <c r="AG103" s="469">
        <f t="shared" si="62"/>
        <v>0</v>
      </c>
      <c r="AH103" s="469">
        <f t="shared" si="62"/>
        <v>0</v>
      </c>
      <c r="AI103" s="469">
        <f t="shared" si="62"/>
        <v>0</v>
      </c>
      <c r="AJ103" s="469">
        <f t="shared" si="62"/>
        <v>0</v>
      </c>
      <c r="AK103" s="469">
        <f t="shared" si="62"/>
        <v>0</v>
      </c>
      <c r="AL103" s="469">
        <f t="shared" si="62"/>
        <v>0</v>
      </c>
      <c r="AM103" s="469">
        <f t="shared" si="62"/>
        <v>0</v>
      </c>
      <c r="AN103" s="469">
        <f t="shared" si="62"/>
        <v>0</v>
      </c>
      <c r="AO103" s="469">
        <f t="shared" si="62"/>
        <v>0</v>
      </c>
      <c r="AP103" s="469">
        <f t="shared" si="62"/>
        <v>0</v>
      </c>
      <c r="AQ103" s="469">
        <f t="shared" si="62"/>
        <v>0</v>
      </c>
      <c r="AR103" s="469">
        <f t="shared" si="62"/>
        <v>0</v>
      </c>
      <c r="AS103" s="469">
        <f t="shared" si="62"/>
        <v>0</v>
      </c>
      <c r="AT103" s="469">
        <f t="shared" si="62"/>
        <v>0</v>
      </c>
      <c r="AU103" s="469">
        <f t="shared" si="62"/>
        <v>0</v>
      </c>
      <c r="AV103" s="469">
        <f t="shared" si="62"/>
        <v>0</v>
      </c>
      <c r="AW103" s="469">
        <f t="shared" si="62"/>
        <v>0</v>
      </c>
      <c r="AX103" s="469">
        <f t="shared" si="62"/>
        <v>0</v>
      </c>
      <c r="AY103" s="444">
        <f t="shared" si="52"/>
        <v>0</v>
      </c>
      <c r="AZ103" s="141"/>
    </row>
    <row r="104" spans="1:52">
      <c r="A104" s="1335">
        <f>$B$30</f>
        <v>0</v>
      </c>
      <c r="B104" s="1335"/>
      <c r="C104" s="1335"/>
      <c r="D104" s="1335"/>
      <c r="E104" s="1335"/>
      <c r="F104" s="467">
        <f>OpeningTemplate!$D$216</f>
        <v>0</v>
      </c>
      <c r="G104" s="467">
        <f>OpeningTemplate!$E$216</f>
        <v>0</v>
      </c>
      <c r="H104" s="446">
        <f t="shared" si="53"/>
        <v>0</v>
      </c>
      <c r="I104" s="446">
        <f t="shared" si="54"/>
        <v>0</v>
      </c>
      <c r="J104" s="468">
        <f t="shared" si="55"/>
        <v>0</v>
      </c>
      <c r="K104" s="467">
        <f t="shared" si="48"/>
        <v>0</v>
      </c>
      <c r="L104" s="467">
        <f t="shared" si="49"/>
        <v>0</v>
      </c>
      <c r="M104" s="469">
        <f t="shared" si="50"/>
        <v>0</v>
      </c>
      <c r="N104" s="469">
        <f t="shared" si="61"/>
        <v>0</v>
      </c>
      <c r="O104" s="469">
        <f t="shared" si="61"/>
        <v>0</v>
      </c>
      <c r="P104" s="469">
        <f t="shared" si="61"/>
        <v>0</v>
      </c>
      <c r="Q104" s="469">
        <f t="shared" si="61"/>
        <v>0</v>
      </c>
      <c r="R104" s="469">
        <f t="shared" si="62"/>
        <v>0</v>
      </c>
      <c r="S104" s="469">
        <f t="shared" si="62"/>
        <v>0</v>
      </c>
      <c r="T104" s="469">
        <f t="shared" si="62"/>
        <v>0</v>
      </c>
      <c r="U104" s="469">
        <f t="shared" si="62"/>
        <v>0</v>
      </c>
      <c r="V104" s="469">
        <f t="shared" si="62"/>
        <v>0</v>
      </c>
      <c r="W104" s="469">
        <f t="shared" si="62"/>
        <v>0</v>
      </c>
      <c r="X104" s="469">
        <f t="shared" si="62"/>
        <v>0</v>
      </c>
      <c r="Y104" s="469">
        <f t="shared" si="62"/>
        <v>0</v>
      </c>
      <c r="Z104" s="469">
        <f t="shared" si="62"/>
        <v>0</v>
      </c>
      <c r="AA104" s="469">
        <f t="shared" si="62"/>
        <v>0</v>
      </c>
      <c r="AB104" s="469">
        <f t="shared" si="62"/>
        <v>0</v>
      </c>
      <c r="AC104" s="469">
        <f t="shared" si="62"/>
        <v>0</v>
      </c>
      <c r="AD104" s="469">
        <f t="shared" si="62"/>
        <v>0</v>
      </c>
      <c r="AE104" s="469">
        <f t="shared" si="62"/>
        <v>0</v>
      </c>
      <c r="AF104" s="469">
        <f t="shared" si="62"/>
        <v>0</v>
      </c>
      <c r="AG104" s="469">
        <f t="shared" si="62"/>
        <v>0</v>
      </c>
      <c r="AH104" s="469">
        <f t="shared" si="62"/>
        <v>0</v>
      </c>
      <c r="AI104" s="469">
        <f t="shared" si="62"/>
        <v>0</v>
      </c>
      <c r="AJ104" s="469">
        <f t="shared" si="62"/>
        <v>0</v>
      </c>
      <c r="AK104" s="469">
        <f t="shared" si="62"/>
        <v>0</v>
      </c>
      <c r="AL104" s="469">
        <f t="shared" si="62"/>
        <v>0</v>
      </c>
      <c r="AM104" s="469">
        <f t="shared" si="62"/>
        <v>0</v>
      </c>
      <c r="AN104" s="469">
        <f t="shared" si="62"/>
        <v>0</v>
      </c>
      <c r="AO104" s="469">
        <f t="shared" si="62"/>
        <v>0</v>
      </c>
      <c r="AP104" s="469">
        <f t="shared" si="62"/>
        <v>0</v>
      </c>
      <c r="AQ104" s="469">
        <f t="shared" si="62"/>
        <v>0</v>
      </c>
      <c r="AR104" s="469">
        <f t="shared" si="62"/>
        <v>0</v>
      </c>
      <c r="AS104" s="469">
        <f t="shared" si="62"/>
        <v>0</v>
      </c>
      <c r="AT104" s="469">
        <f t="shared" si="62"/>
        <v>0</v>
      </c>
      <c r="AU104" s="469">
        <f t="shared" si="62"/>
        <v>0</v>
      </c>
      <c r="AV104" s="469">
        <f t="shared" si="62"/>
        <v>0</v>
      </c>
      <c r="AW104" s="469">
        <f t="shared" si="62"/>
        <v>0</v>
      </c>
      <c r="AX104" s="469">
        <f t="shared" si="62"/>
        <v>0</v>
      </c>
      <c r="AY104" s="444">
        <f t="shared" si="52"/>
        <v>0</v>
      </c>
      <c r="AZ104" s="141"/>
    </row>
    <row r="105" spans="1:52">
      <c r="A105" s="1335">
        <f>$B$31</f>
        <v>0</v>
      </c>
      <c r="B105" s="1335"/>
      <c r="C105" s="1335"/>
      <c r="D105" s="1335"/>
      <c r="E105" s="1335"/>
      <c r="F105" s="467">
        <f>OpeningTemplate!$D$226</f>
        <v>0</v>
      </c>
      <c r="G105" s="467">
        <f>OpeningTemplate!$E$226</f>
        <v>0</v>
      </c>
      <c r="H105" s="446">
        <f t="shared" si="53"/>
        <v>0</v>
      </c>
      <c r="I105" s="446">
        <f t="shared" si="54"/>
        <v>0</v>
      </c>
      <c r="J105" s="468">
        <f t="shared" si="55"/>
        <v>0</v>
      </c>
      <c r="K105" s="467">
        <f t="shared" si="48"/>
        <v>0</v>
      </c>
      <c r="L105" s="467">
        <f t="shared" si="49"/>
        <v>0</v>
      </c>
      <c r="M105" s="469">
        <f t="shared" si="50"/>
        <v>0</v>
      </c>
      <c r="N105" s="469">
        <f t="shared" si="61"/>
        <v>0</v>
      </c>
      <c r="O105" s="469">
        <f t="shared" si="61"/>
        <v>0</v>
      </c>
      <c r="P105" s="469">
        <f t="shared" si="61"/>
        <v>0</v>
      </c>
      <c r="Q105" s="469">
        <f t="shared" si="61"/>
        <v>0</v>
      </c>
      <c r="R105" s="469">
        <f t="shared" si="62"/>
        <v>0</v>
      </c>
      <c r="S105" s="469">
        <f t="shared" si="62"/>
        <v>0</v>
      </c>
      <c r="T105" s="469">
        <f t="shared" si="62"/>
        <v>0</v>
      </c>
      <c r="U105" s="469">
        <f t="shared" si="62"/>
        <v>0</v>
      </c>
      <c r="V105" s="469">
        <f t="shared" si="62"/>
        <v>0</v>
      </c>
      <c r="W105" s="469">
        <f t="shared" si="62"/>
        <v>0</v>
      </c>
      <c r="X105" s="469">
        <f t="shared" si="62"/>
        <v>0</v>
      </c>
      <c r="Y105" s="469">
        <f t="shared" si="62"/>
        <v>0</v>
      </c>
      <c r="Z105" s="469">
        <f t="shared" si="62"/>
        <v>0</v>
      </c>
      <c r="AA105" s="469">
        <f t="shared" si="62"/>
        <v>0</v>
      </c>
      <c r="AB105" s="469">
        <f t="shared" si="62"/>
        <v>0</v>
      </c>
      <c r="AC105" s="469">
        <f t="shared" si="62"/>
        <v>0</v>
      </c>
      <c r="AD105" s="469">
        <f t="shared" si="62"/>
        <v>0</v>
      </c>
      <c r="AE105" s="469">
        <f t="shared" si="62"/>
        <v>0</v>
      </c>
      <c r="AF105" s="469">
        <f t="shared" si="62"/>
        <v>0</v>
      </c>
      <c r="AG105" s="469">
        <f t="shared" si="62"/>
        <v>0</v>
      </c>
      <c r="AH105" s="469">
        <f t="shared" si="62"/>
        <v>0</v>
      </c>
      <c r="AI105" s="469">
        <f t="shared" si="62"/>
        <v>0</v>
      </c>
      <c r="AJ105" s="469">
        <f t="shared" si="62"/>
        <v>0</v>
      </c>
      <c r="AK105" s="469">
        <f t="shared" si="62"/>
        <v>0</v>
      </c>
      <c r="AL105" s="469">
        <f t="shared" si="62"/>
        <v>0</v>
      </c>
      <c r="AM105" s="469">
        <f t="shared" si="62"/>
        <v>0</v>
      </c>
      <c r="AN105" s="469">
        <f t="shared" si="62"/>
        <v>0</v>
      </c>
      <c r="AO105" s="469">
        <f t="shared" si="62"/>
        <v>0</v>
      </c>
      <c r="AP105" s="469">
        <f t="shared" si="62"/>
        <v>0</v>
      </c>
      <c r="AQ105" s="469">
        <f t="shared" si="62"/>
        <v>0</v>
      </c>
      <c r="AR105" s="469">
        <f t="shared" si="62"/>
        <v>0</v>
      </c>
      <c r="AS105" s="469">
        <f t="shared" si="62"/>
        <v>0</v>
      </c>
      <c r="AT105" s="469">
        <f t="shared" si="62"/>
        <v>0</v>
      </c>
      <c r="AU105" s="469">
        <f t="shared" si="62"/>
        <v>0</v>
      </c>
      <c r="AV105" s="469">
        <f t="shared" si="62"/>
        <v>0</v>
      </c>
      <c r="AW105" s="469">
        <f t="shared" si="62"/>
        <v>0</v>
      </c>
      <c r="AX105" s="469">
        <f t="shared" si="62"/>
        <v>0</v>
      </c>
      <c r="AY105" s="444">
        <f t="shared" si="52"/>
        <v>0</v>
      </c>
      <c r="AZ105" s="141"/>
    </row>
    <row r="106" spans="1:52">
      <c r="A106" s="1335">
        <f>$B$32</f>
        <v>0</v>
      </c>
      <c r="B106" s="1335"/>
      <c r="C106" s="1335"/>
      <c r="D106" s="1335"/>
      <c r="E106" s="1335"/>
      <c r="F106" s="467">
        <f>OpeningTemplate!$D$236</f>
        <v>0</v>
      </c>
      <c r="G106" s="467">
        <f>OpeningTemplate!$E$236</f>
        <v>0</v>
      </c>
      <c r="H106" s="446">
        <f t="shared" si="53"/>
        <v>0</v>
      </c>
      <c r="I106" s="446">
        <f t="shared" si="54"/>
        <v>0</v>
      </c>
      <c r="J106" s="468">
        <f t="shared" si="55"/>
        <v>0</v>
      </c>
      <c r="K106" s="467">
        <f t="shared" si="48"/>
        <v>0</v>
      </c>
      <c r="L106" s="467">
        <f t="shared" si="49"/>
        <v>0</v>
      </c>
      <c r="M106" s="469">
        <f t="shared" si="50"/>
        <v>0</v>
      </c>
      <c r="N106" s="469">
        <f t="shared" si="61"/>
        <v>0</v>
      </c>
      <c r="O106" s="469">
        <f t="shared" si="61"/>
        <v>0</v>
      </c>
      <c r="P106" s="469">
        <f t="shared" si="61"/>
        <v>0</v>
      </c>
      <c r="Q106" s="469">
        <f t="shared" si="61"/>
        <v>0</v>
      </c>
      <c r="R106" s="469">
        <f t="shared" si="62"/>
        <v>0</v>
      </c>
      <c r="S106" s="469">
        <f t="shared" si="62"/>
        <v>0</v>
      </c>
      <c r="T106" s="469">
        <f t="shared" si="62"/>
        <v>0</v>
      </c>
      <c r="U106" s="469">
        <f t="shared" si="62"/>
        <v>0</v>
      </c>
      <c r="V106" s="469">
        <f t="shared" si="62"/>
        <v>0</v>
      </c>
      <c r="W106" s="469">
        <f t="shared" si="62"/>
        <v>0</v>
      </c>
      <c r="X106" s="469">
        <f t="shared" si="62"/>
        <v>0</v>
      </c>
      <c r="Y106" s="469">
        <f t="shared" si="62"/>
        <v>0</v>
      </c>
      <c r="Z106" s="469">
        <f t="shared" si="62"/>
        <v>0</v>
      </c>
      <c r="AA106" s="469">
        <f t="shared" si="62"/>
        <v>0</v>
      </c>
      <c r="AB106" s="469">
        <f t="shared" si="62"/>
        <v>0</v>
      </c>
      <c r="AC106" s="469">
        <f t="shared" si="62"/>
        <v>0</v>
      </c>
      <c r="AD106" s="469">
        <f t="shared" si="62"/>
        <v>0</v>
      </c>
      <c r="AE106" s="469">
        <f t="shared" si="62"/>
        <v>0</v>
      </c>
      <c r="AF106" s="469">
        <f t="shared" si="62"/>
        <v>0</v>
      </c>
      <c r="AG106" s="469">
        <f t="shared" si="62"/>
        <v>0</v>
      </c>
      <c r="AH106" s="469">
        <f t="shared" si="62"/>
        <v>0</v>
      </c>
      <c r="AI106" s="469">
        <f t="shared" si="62"/>
        <v>0</v>
      </c>
      <c r="AJ106" s="469">
        <f t="shared" si="62"/>
        <v>0</v>
      </c>
      <c r="AK106" s="469">
        <f t="shared" si="62"/>
        <v>0</v>
      </c>
      <c r="AL106" s="469">
        <f t="shared" si="62"/>
        <v>0</v>
      </c>
      <c r="AM106" s="469">
        <f t="shared" si="62"/>
        <v>0</v>
      </c>
      <c r="AN106" s="469">
        <f t="shared" si="62"/>
        <v>0</v>
      </c>
      <c r="AO106" s="469">
        <f t="shared" si="62"/>
        <v>0</v>
      </c>
      <c r="AP106" s="469">
        <f t="shared" si="62"/>
        <v>0</v>
      </c>
      <c r="AQ106" s="469">
        <f t="shared" si="62"/>
        <v>0</v>
      </c>
      <c r="AR106" s="469">
        <f t="shared" ref="R106:AX114" si="63">IF(AND(AR$122&gt;=$K106,AR$122&lt;=$L106),IF(AQ$122&lt;$F106,IF(AR$122&lt;=$G106,(AR$122-$F106+1)*$J106,$H106),IF(AR$122&gt;=$G106,($G106-AQ$122)*$J106,(AR$122-AQ$122)*$J106)),0)</f>
        <v>0</v>
      </c>
      <c r="AS106" s="469">
        <f t="shared" si="63"/>
        <v>0</v>
      </c>
      <c r="AT106" s="469">
        <f t="shared" si="63"/>
        <v>0</v>
      </c>
      <c r="AU106" s="469">
        <f t="shared" si="63"/>
        <v>0</v>
      </c>
      <c r="AV106" s="469">
        <f t="shared" si="63"/>
        <v>0</v>
      </c>
      <c r="AW106" s="469">
        <f t="shared" si="63"/>
        <v>0</v>
      </c>
      <c r="AX106" s="469">
        <f t="shared" si="63"/>
        <v>0</v>
      </c>
      <c r="AY106" s="444">
        <f t="shared" si="52"/>
        <v>0</v>
      </c>
      <c r="AZ106" s="141"/>
    </row>
    <row r="107" spans="1:52">
      <c r="A107" s="1335">
        <f>$B$33</f>
        <v>0</v>
      </c>
      <c r="B107" s="1335"/>
      <c r="C107" s="1335"/>
      <c r="D107" s="1335"/>
      <c r="E107" s="1335"/>
      <c r="F107" s="467">
        <f>OpeningTemplate!$D$246</f>
        <v>0</v>
      </c>
      <c r="G107" s="467">
        <f>OpeningTemplate!$E$246</f>
        <v>0</v>
      </c>
      <c r="H107" s="446">
        <f t="shared" si="53"/>
        <v>0</v>
      </c>
      <c r="I107" s="446">
        <f t="shared" si="54"/>
        <v>0</v>
      </c>
      <c r="J107" s="468">
        <f t="shared" si="55"/>
        <v>0</v>
      </c>
      <c r="K107" s="467">
        <f t="shared" si="48"/>
        <v>0</v>
      </c>
      <c r="L107" s="467">
        <f t="shared" si="49"/>
        <v>0</v>
      </c>
      <c r="M107" s="469">
        <f t="shared" si="50"/>
        <v>0</v>
      </c>
      <c r="N107" s="469">
        <f t="shared" si="61"/>
        <v>0</v>
      </c>
      <c r="O107" s="469">
        <f t="shared" si="61"/>
        <v>0</v>
      </c>
      <c r="P107" s="469">
        <f t="shared" si="61"/>
        <v>0</v>
      </c>
      <c r="Q107" s="469">
        <f t="shared" si="61"/>
        <v>0</v>
      </c>
      <c r="R107" s="469">
        <f t="shared" si="63"/>
        <v>0</v>
      </c>
      <c r="S107" s="469">
        <f t="shared" si="63"/>
        <v>0</v>
      </c>
      <c r="T107" s="469">
        <f t="shared" si="63"/>
        <v>0</v>
      </c>
      <c r="U107" s="469">
        <f t="shared" si="63"/>
        <v>0</v>
      </c>
      <c r="V107" s="469">
        <f t="shared" si="63"/>
        <v>0</v>
      </c>
      <c r="W107" s="469">
        <f t="shared" si="63"/>
        <v>0</v>
      </c>
      <c r="X107" s="469">
        <f t="shared" si="63"/>
        <v>0</v>
      </c>
      <c r="Y107" s="469">
        <f t="shared" si="63"/>
        <v>0</v>
      </c>
      <c r="Z107" s="469">
        <f t="shared" si="63"/>
        <v>0</v>
      </c>
      <c r="AA107" s="469">
        <f t="shared" si="63"/>
        <v>0</v>
      </c>
      <c r="AB107" s="469">
        <f t="shared" si="63"/>
        <v>0</v>
      </c>
      <c r="AC107" s="469">
        <f t="shared" si="63"/>
        <v>0</v>
      </c>
      <c r="AD107" s="469">
        <f t="shared" si="63"/>
        <v>0</v>
      </c>
      <c r="AE107" s="469">
        <f t="shared" si="63"/>
        <v>0</v>
      </c>
      <c r="AF107" s="469">
        <f t="shared" si="63"/>
        <v>0</v>
      </c>
      <c r="AG107" s="469">
        <f t="shared" si="63"/>
        <v>0</v>
      </c>
      <c r="AH107" s="469">
        <f t="shared" si="63"/>
        <v>0</v>
      </c>
      <c r="AI107" s="469">
        <f t="shared" si="63"/>
        <v>0</v>
      </c>
      <c r="AJ107" s="469">
        <f t="shared" si="63"/>
        <v>0</v>
      </c>
      <c r="AK107" s="469">
        <f t="shared" si="63"/>
        <v>0</v>
      </c>
      <c r="AL107" s="469">
        <f t="shared" si="63"/>
        <v>0</v>
      </c>
      <c r="AM107" s="469">
        <f t="shared" si="63"/>
        <v>0</v>
      </c>
      <c r="AN107" s="469">
        <f t="shared" si="63"/>
        <v>0</v>
      </c>
      <c r="AO107" s="469">
        <f t="shared" si="63"/>
        <v>0</v>
      </c>
      <c r="AP107" s="469">
        <f t="shared" si="63"/>
        <v>0</v>
      </c>
      <c r="AQ107" s="469">
        <f t="shared" si="63"/>
        <v>0</v>
      </c>
      <c r="AR107" s="469">
        <f t="shared" si="63"/>
        <v>0</v>
      </c>
      <c r="AS107" s="469">
        <f t="shared" si="63"/>
        <v>0</v>
      </c>
      <c r="AT107" s="469">
        <f t="shared" si="63"/>
        <v>0</v>
      </c>
      <c r="AU107" s="469">
        <f t="shared" si="63"/>
        <v>0</v>
      </c>
      <c r="AV107" s="469">
        <f t="shared" si="63"/>
        <v>0</v>
      </c>
      <c r="AW107" s="469">
        <f t="shared" si="63"/>
        <v>0</v>
      </c>
      <c r="AX107" s="469">
        <f t="shared" si="63"/>
        <v>0</v>
      </c>
      <c r="AY107" s="444">
        <f t="shared" si="52"/>
        <v>0</v>
      </c>
      <c r="AZ107" s="141"/>
    </row>
    <row r="108" spans="1:52">
      <c r="A108" s="1335">
        <f>$B$34</f>
        <v>0</v>
      </c>
      <c r="B108" s="1335"/>
      <c r="C108" s="1335"/>
      <c r="D108" s="1335"/>
      <c r="E108" s="1335"/>
      <c r="F108" s="467">
        <f>OpeningTemplate!$D$256</f>
        <v>0</v>
      </c>
      <c r="G108" s="467">
        <f>OpeningTemplate!$E$256</f>
        <v>0</v>
      </c>
      <c r="H108" s="446">
        <f t="shared" si="53"/>
        <v>0</v>
      </c>
      <c r="I108" s="446">
        <f t="shared" si="54"/>
        <v>0</v>
      </c>
      <c r="J108" s="468">
        <f t="shared" si="55"/>
        <v>0</v>
      </c>
      <c r="K108" s="467">
        <f t="shared" si="48"/>
        <v>0</v>
      </c>
      <c r="L108" s="467">
        <f t="shared" si="49"/>
        <v>0</v>
      </c>
      <c r="M108" s="469">
        <f t="shared" si="50"/>
        <v>0</v>
      </c>
      <c r="N108" s="469">
        <f t="shared" si="61"/>
        <v>0</v>
      </c>
      <c r="O108" s="469">
        <f t="shared" si="61"/>
        <v>0</v>
      </c>
      <c r="P108" s="469">
        <f t="shared" si="61"/>
        <v>0</v>
      </c>
      <c r="Q108" s="469">
        <f t="shared" si="61"/>
        <v>0</v>
      </c>
      <c r="R108" s="469">
        <f t="shared" si="63"/>
        <v>0</v>
      </c>
      <c r="S108" s="469">
        <f t="shared" si="63"/>
        <v>0</v>
      </c>
      <c r="T108" s="469">
        <f t="shared" si="63"/>
        <v>0</v>
      </c>
      <c r="U108" s="469">
        <f t="shared" si="63"/>
        <v>0</v>
      </c>
      <c r="V108" s="469">
        <f t="shared" si="63"/>
        <v>0</v>
      </c>
      <c r="W108" s="469">
        <f t="shared" si="63"/>
        <v>0</v>
      </c>
      <c r="X108" s="469">
        <f t="shared" si="63"/>
        <v>0</v>
      </c>
      <c r="Y108" s="469">
        <f t="shared" si="63"/>
        <v>0</v>
      </c>
      <c r="Z108" s="469">
        <f t="shared" si="63"/>
        <v>0</v>
      </c>
      <c r="AA108" s="469">
        <f t="shared" si="63"/>
        <v>0</v>
      </c>
      <c r="AB108" s="469">
        <f t="shared" si="63"/>
        <v>0</v>
      </c>
      <c r="AC108" s="469">
        <f t="shared" si="63"/>
        <v>0</v>
      </c>
      <c r="AD108" s="469">
        <f t="shared" si="63"/>
        <v>0</v>
      </c>
      <c r="AE108" s="469">
        <f t="shared" si="63"/>
        <v>0</v>
      </c>
      <c r="AF108" s="469">
        <f t="shared" si="63"/>
        <v>0</v>
      </c>
      <c r="AG108" s="469">
        <f t="shared" si="63"/>
        <v>0</v>
      </c>
      <c r="AH108" s="469">
        <f t="shared" si="63"/>
        <v>0</v>
      </c>
      <c r="AI108" s="469">
        <f t="shared" si="63"/>
        <v>0</v>
      </c>
      <c r="AJ108" s="469">
        <f t="shared" si="63"/>
        <v>0</v>
      </c>
      <c r="AK108" s="469">
        <f t="shared" si="63"/>
        <v>0</v>
      </c>
      <c r="AL108" s="469">
        <f t="shared" si="63"/>
        <v>0</v>
      </c>
      <c r="AM108" s="469">
        <f t="shared" si="63"/>
        <v>0</v>
      </c>
      <c r="AN108" s="469">
        <f t="shared" si="63"/>
        <v>0</v>
      </c>
      <c r="AO108" s="469">
        <f t="shared" si="63"/>
        <v>0</v>
      </c>
      <c r="AP108" s="469">
        <f t="shared" si="63"/>
        <v>0</v>
      </c>
      <c r="AQ108" s="469">
        <f t="shared" si="63"/>
        <v>0</v>
      </c>
      <c r="AR108" s="469">
        <f t="shared" si="63"/>
        <v>0</v>
      </c>
      <c r="AS108" s="469">
        <f t="shared" si="63"/>
        <v>0</v>
      </c>
      <c r="AT108" s="469">
        <f t="shared" si="63"/>
        <v>0</v>
      </c>
      <c r="AU108" s="469">
        <f t="shared" si="63"/>
        <v>0</v>
      </c>
      <c r="AV108" s="469">
        <f t="shared" si="63"/>
        <v>0</v>
      </c>
      <c r="AW108" s="469">
        <f t="shared" si="63"/>
        <v>0</v>
      </c>
      <c r="AX108" s="469">
        <f t="shared" si="63"/>
        <v>0</v>
      </c>
      <c r="AY108" s="444">
        <f t="shared" si="52"/>
        <v>0</v>
      </c>
      <c r="AZ108" s="141"/>
    </row>
    <row r="109" spans="1:52">
      <c r="A109" s="1335">
        <f>$B$35</f>
        <v>0</v>
      </c>
      <c r="B109" s="1335"/>
      <c r="C109" s="1335"/>
      <c r="D109" s="1335"/>
      <c r="E109" s="1335"/>
      <c r="F109" s="467">
        <f>OpeningTemplate!$D$266</f>
        <v>0</v>
      </c>
      <c r="G109" s="467">
        <f>OpeningTemplate!$E$266</f>
        <v>0</v>
      </c>
      <c r="H109" s="446">
        <f t="shared" si="53"/>
        <v>0</v>
      </c>
      <c r="I109" s="446">
        <f t="shared" si="54"/>
        <v>0</v>
      </c>
      <c r="J109" s="468">
        <f t="shared" si="55"/>
        <v>0</v>
      </c>
      <c r="K109" s="467">
        <f t="shared" si="48"/>
        <v>0</v>
      </c>
      <c r="L109" s="467">
        <f t="shared" si="49"/>
        <v>0</v>
      </c>
      <c r="M109" s="469">
        <f t="shared" si="50"/>
        <v>0</v>
      </c>
      <c r="N109" s="469">
        <f t="shared" si="61"/>
        <v>0</v>
      </c>
      <c r="O109" s="469">
        <f t="shared" si="61"/>
        <v>0</v>
      </c>
      <c r="P109" s="469">
        <f t="shared" si="61"/>
        <v>0</v>
      </c>
      <c r="Q109" s="469">
        <f t="shared" si="61"/>
        <v>0</v>
      </c>
      <c r="R109" s="469">
        <f t="shared" si="63"/>
        <v>0</v>
      </c>
      <c r="S109" s="469">
        <f t="shared" si="63"/>
        <v>0</v>
      </c>
      <c r="T109" s="469">
        <f t="shared" si="63"/>
        <v>0</v>
      </c>
      <c r="U109" s="469">
        <f t="shared" si="63"/>
        <v>0</v>
      </c>
      <c r="V109" s="469">
        <f t="shared" si="63"/>
        <v>0</v>
      </c>
      <c r="W109" s="469">
        <f t="shared" si="63"/>
        <v>0</v>
      </c>
      <c r="X109" s="469">
        <f t="shared" si="63"/>
        <v>0</v>
      </c>
      <c r="Y109" s="469">
        <f t="shared" si="63"/>
        <v>0</v>
      </c>
      <c r="Z109" s="469">
        <f t="shared" si="63"/>
        <v>0</v>
      </c>
      <c r="AA109" s="469">
        <f t="shared" si="63"/>
        <v>0</v>
      </c>
      <c r="AB109" s="469">
        <f t="shared" si="63"/>
        <v>0</v>
      </c>
      <c r="AC109" s="469">
        <f t="shared" si="63"/>
        <v>0</v>
      </c>
      <c r="AD109" s="469">
        <f t="shared" si="63"/>
        <v>0</v>
      </c>
      <c r="AE109" s="469">
        <f t="shared" si="63"/>
        <v>0</v>
      </c>
      <c r="AF109" s="469">
        <f t="shared" si="63"/>
        <v>0</v>
      </c>
      <c r="AG109" s="469">
        <f t="shared" si="63"/>
        <v>0</v>
      </c>
      <c r="AH109" s="469">
        <f t="shared" si="63"/>
        <v>0</v>
      </c>
      <c r="AI109" s="469">
        <f t="shared" si="63"/>
        <v>0</v>
      </c>
      <c r="AJ109" s="469">
        <f t="shared" si="63"/>
        <v>0</v>
      </c>
      <c r="AK109" s="469">
        <f t="shared" si="63"/>
        <v>0</v>
      </c>
      <c r="AL109" s="469">
        <f t="shared" si="63"/>
        <v>0</v>
      </c>
      <c r="AM109" s="469">
        <f t="shared" si="63"/>
        <v>0</v>
      </c>
      <c r="AN109" s="469">
        <f t="shared" si="63"/>
        <v>0</v>
      </c>
      <c r="AO109" s="469">
        <f t="shared" si="63"/>
        <v>0</v>
      </c>
      <c r="AP109" s="469">
        <f t="shared" si="63"/>
        <v>0</v>
      </c>
      <c r="AQ109" s="469">
        <f t="shared" si="63"/>
        <v>0</v>
      </c>
      <c r="AR109" s="469">
        <f t="shared" si="63"/>
        <v>0</v>
      </c>
      <c r="AS109" s="469">
        <f t="shared" si="63"/>
        <v>0</v>
      </c>
      <c r="AT109" s="469">
        <f t="shared" si="63"/>
        <v>0</v>
      </c>
      <c r="AU109" s="469">
        <f t="shared" si="63"/>
        <v>0</v>
      </c>
      <c r="AV109" s="469">
        <f t="shared" si="63"/>
        <v>0</v>
      </c>
      <c r="AW109" s="469">
        <f t="shared" si="63"/>
        <v>0</v>
      </c>
      <c r="AX109" s="469">
        <f t="shared" si="63"/>
        <v>0</v>
      </c>
      <c r="AY109" s="444">
        <f t="shared" si="52"/>
        <v>0</v>
      </c>
      <c r="AZ109" s="141"/>
    </row>
    <row r="110" spans="1:52">
      <c r="A110" s="1335">
        <f>$B$36</f>
        <v>0</v>
      </c>
      <c r="B110" s="1335"/>
      <c r="C110" s="1335"/>
      <c r="D110" s="1335"/>
      <c r="E110" s="1335"/>
      <c r="F110" s="467">
        <f>OpeningTemplate!$D$276</f>
        <v>0</v>
      </c>
      <c r="G110" s="467">
        <f>OpeningTemplate!$E$276</f>
        <v>0</v>
      </c>
      <c r="H110" s="446">
        <f t="shared" si="53"/>
        <v>0</v>
      </c>
      <c r="I110" s="446">
        <f t="shared" si="54"/>
        <v>0</v>
      </c>
      <c r="J110" s="468">
        <f t="shared" si="55"/>
        <v>0</v>
      </c>
      <c r="K110" s="467">
        <f t="shared" si="48"/>
        <v>0</v>
      </c>
      <c r="L110" s="467">
        <f t="shared" si="49"/>
        <v>0</v>
      </c>
      <c r="M110" s="469">
        <f t="shared" si="50"/>
        <v>0</v>
      </c>
      <c r="N110" s="469">
        <f t="shared" si="61"/>
        <v>0</v>
      </c>
      <c r="O110" s="469">
        <f t="shared" si="61"/>
        <v>0</v>
      </c>
      <c r="P110" s="469">
        <f t="shared" si="61"/>
        <v>0</v>
      </c>
      <c r="Q110" s="469">
        <f t="shared" si="61"/>
        <v>0</v>
      </c>
      <c r="R110" s="469">
        <f t="shared" si="63"/>
        <v>0</v>
      </c>
      <c r="S110" s="469">
        <f t="shared" si="63"/>
        <v>0</v>
      </c>
      <c r="T110" s="469">
        <f t="shared" si="63"/>
        <v>0</v>
      </c>
      <c r="U110" s="469">
        <f t="shared" si="63"/>
        <v>0</v>
      </c>
      <c r="V110" s="469">
        <f t="shared" si="63"/>
        <v>0</v>
      </c>
      <c r="W110" s="469">
        <f t="shared" si="63"/>
        <v>0</v>
      </c>
      <c r="X110" s="469">
        <f t="shared" si="63"/>
        <v>0</v>
      </c>
      <c r="Y110" s="469">
        <f t="shared" si="63"/>
        <v>0</v>
      </c>
      <c r="Z110" s="469">
        <f t="shared" si="63"/>
        <v>0</v>
      </c>
      <c r="AA110" s="469">
        <f t="shared" si="63"/>
        <v>0</v>
      </c>
      <c r="AB110" s="469">
        <f t="shared" si="63"/>
        <v>0</v>
      </c>
      <c r="AC110" s="469">
        <f t="shared" si="63"/>
        <v>0</v>
      </c>
      <c r="AD110" s="469">
        <f t="shared" si="63"/>
        <v>0</v>
      </c>
      <c r="AE110" s="469">
        <f t="shared" si="63"/>
        <v>0</v>
      </c>
      <c r="AF110" s="469">
        <f t="shared" si="63"/>
        <v>0</v>
      </c>
      <c r="AG110" s="469">
        <f t="shared" si="63"/>
        <v>0</v>
      </c>
      <c r="AH110" s="469">
        <f t="shared" si="63"/>
        <v>0</v>
      </c>
      <c r="AI110" s="469">
        <f t="shared" si="63"/>
        <v>0</v>
      </c>
      <c r="AJ110" s="469">
        <f t="shared" si="63"/>
        <v>0</v>
      </c>
      <c r="AK110" s="469">
        <f t="shared" si="63"/>
        <v>0</v>
      </c>
      <c r="AL110" s="469">
        <f t="shared" si="63"/>
        <v>0</v>
      </c>
      <c r="AM110" s="469">
        <f t="shared" si="63"/>
        <v>0</v>
      </c>
      <c r="AN110" s="469">
        <f t="shared" si="63"/>
        <v>0</v>
      </c>
      <c r="AO110" s="469">
        <f t="shared" si="63"/>
        <v>0</v>
      </c>
      <c r="AP110" s="469">
        <f t="shared" si="63"/>
        <v>0</v>
      </c>
      <c r="AQ110" s="469">
        <f t="shared" si="63"/>
        <v>0</v>
      </c>
      <c r="AR110" s="469">
        <f t="shared" si="63"/>
        <v>0</v>
      </c>
      <c r="AS110" s="469">
        <f t="shared" si="63"/>
        <v>0</v>
      </c>
      <c r="AT110" s="469">
        <f t="shared" si="63"/>
        <v>0</v>
      </c>
      <c r="AU110" s="469">
        <f t="shared" si="63"/>
        <v>0</v>
      </c>
      <c r="AV110" s="469">
        <f t="shared" si="63"/>
        <v>0</v>
      </c>
      <c r="AW110" s="469">
        <f t="shared" si="63"/>
        <v>0</v>
      </c>
      <c r="AX110" s="469">
        <f t="shared" si="63"/>
        <v>0</v>
      </c>
      <c r="AY110" s="444">
        <f t="shared" si="52"/>
        <v>0</v>
      </c>
      <c r="AZ110" s="141"/>
    </row>
    <row r="111" spans="1:52">
      <c r="A111" s="1335">
        <f>$B$37</f>
        <v>0</v>
      </c>
      <c r="B111" s="1335"/>
      <c r="C111" s="1335"/>
      <c r="D111" s="1335"/>
      <c r="E111" s="1335"/>
      <c r="F111" s="467">
        <f>OpeningTemplate!$D$286</f>
        <v>0</v>
      </c>
      <c r="G111" s="467">
        <f>OpeningTemplate!$E$286</f>
        <v>0</v>
      </c>
      <c r="H111" s="446">
        <f t="shared" si="53"/>
        <v>0</v>
      </c>
      <c r="I111" s="446">
        <f t="shared" si="54"/>
        <v>0</v>
      </c>
      <c r="J111" s="468">
        <f t="shared" si="55"/>
        <v>0</v>
      </c>
      <c r="K111" s="467">
        <f t="shared" si="48"/>
        <v>0</v>
      </c>
      <c r="L111" s="467">
        <f t="shared" si="49"/>
        <v>0</v>
      </c>
      <c r="M111" s="469">
        <f t="shared" si="50"/>
        <v>0</v>
      </c>
      <c r="N111" s="469">
        <f t="shared" si="61"/>
        <v>0</v>
      </c>
      <c r="O111" s="469">
        <f t="shared" si="61"/>
        <v>0</v>
      </c>
      <c r="P111" s="469">
        <f t="shared" si="61"/>
        <v>0</v>
      </c>
      <c r="Q111" s="469">
        <f t="shared" si="61"/>
        <v>0</v>
      </c>
      <c r="R111" s="469">
        <f t="shared" si="63"/>
        <v>0</v>
      </c>
      <c r="S111" s="469">
        <f t="shared" si="63"/>
        <v>0</v>
      </c>
      <c r="T111" s="469">
        <f t="shared" si="63"/>
        <v>0</v>
      </c>
      <c r="U111" s="469">
        <f t="shared" si="63"/>
        <v>0</v>
      </c>
      <c r="V111" s="469">
        <f t="shared" si="63"/>
        <v>0</v>
      </c>
      <c r="W111" s="469">
        <f t="shared" si="63"/>
        <v>0</v>
      </c>
      <c r="X111" s="469">
        <f t="shared" si="63"/>
        <v>0</v>
      </c>
      <c r="Y111" s="469">
        <f t="shared" si="63"/>
        <v>0</v>
      </c>
      <c r="Z111" s="469">
        <f t="shared" si="63"/>
        <v>0</v>
      </c>
      <c r="AA111" s="469">
        <f t="shared" si="63"/>
        <v>0</v>
      </c>
      <c r="AB111" s="469">
        <f t="shared" si="63"/>
        <v>0</v>
      </c>
      <c r="AC111" s="469">
        <f t="shared" si="63"/>
        <v>0</v>
      </c>
      <c r="AD111" s="469">
        <f t="shared" si="63"/>
        <v>0</v>
      </c>
      <c r="AE111" s="469">
        <f t="shared" si="63"/>
        <v>0</v>
      </c>
      <c r="AF111" s="469">
        <f t="shared" si="63"/>
        <v>0</v>
      </c>
      <c r="AG111" s="469">
        <f t="shared" si="63"/>
        <v>0</v>
      </c>
      <c r="AH111" s="469">
        <f t="shared" si="63"/>
        <v>0</v>
      </c>
      <c r="AI111" s="469">
        <f t="shared" si="63"/>
        <v>0</v>
      </c>
      <c r="AJ111" s="469">
        <f t="shared" si="63"/>
        <v>0</v>
      </c>
      <c r="AK111" s="469">
        <f t="shared" si="63"/>
        <v>0</v>
      </c>
      <c r="AL111" s="469">
        <f t="shared" si="63"/>
        <v>0</v>
      </c>
      <c r="AM111" s="469">
        <f t="shared" si="63"/>
        <v>0</v>
      </c>
      <c r="AN111" s="469">
        <f t="shared" si="63"/>
        <v>0</v>
      </c>
      <c r="AO111" s="469">
        <f t="shared" si="63"/>
        <v>0</v>
      </c>
      <c r="AP111" s="469">
        <f t="shared" si="63"/>
        <v>0</v>
      </c>
      <c r="AQ111" s="469">
        <f t="shared" si="63"/>
        <v>0</v>
      </c>
      <c r="AR111" s="469">
        <f t="shared" si="63"/>
        <v>0</v>
      </c>
      <c r="AS111" s="469">
        <f t="shared" si="63"/>
        <v>0</v>
      </c>
      <c r="AT111" s="469">
        <f t="shared" si="63"/>
        <v>0</v>
      </c>
      <c r="AU111" s="469">
        <f t="shared" si="63"/>
        <v>0</v>
      </c>
      <c r="AV111" s="469">
        <f t="shared" si="63"/>
        <v>0</v>
      </c>
      <c r="AW111" s="469">
        <f t="shared" si="63"/>
        <v>0</v>
      </c>
      <c r="AX111" s="469">
        <f t="shared" si="63"/>
        <v>0</v>
      </c>
      <c r="AY111" s="444">
        <f t="shared" si="52"/>
        <v>0</v>
      </c>
      <c r="AZ111" s="141"/>
    </row>
    <row r="112" spans="1:52">
      <c r="A112" s="1335">
        <f>$B$38</f>
        <v>0</v>
      </c>
      <c r="B112" s="1335"/>
      <c r="C112" s="1335"/>
      <c r="D112" s="1335"/>
      <c r="E112" s="1335"/>
      <c r="F112" s="467">
        <f>OpeningTemplate!$D$296</f>
        <v>0</v>
      </c>
      <c r="G112" s="467">
        <f>OpeningTemplate!$E$296</f>
        <v>0</v>
      </c>
      <c r="H112" s="446">
        <f t="shared" si="53"/>
        <v>0</v>
      </c>
      <c r="I112" s="446">
        <f t="shared" si="54"/>
        <v>0</v>
      </c>
      <c r="J112" s="468">
        <f t="shared" si="55"/>
        <v>0</v>
      </c>
      <c r="K112" s="467">
        <f t="shared" si="48"/>
        <v>0</v>
      </c>
      <c r="L112" s="467">
        <f t="shared" si="49"/>
        <v>0</v>
      </c>
      <c r="M112" s="469">
        <f t="shared" si="50"/>
        <v>0</v>
      </c>
      <c r="N112" s="469">
        <f t="shared" si="61"/>
        <v>0</v>
      </c>
      <c r="O112" s="469">
        <f t="shared" si="61"/>
        <v>0</v>
      </c>
      <c r="P112" s="469">
        <f t="shared" si="61"/>
        <v>0</v>
      </c>
      <c r="Q112" s="469">
        <f t="shared" si="61"/>
        <v>0</v>
      </c>
      <c r="R112" s="469">
        <f t="shared" si="63"/>
        <v>0</v>
      </c>
      <c r="S112" s="469">
        <f t="shared" si="63"/>
        <v>0</v>
      </c>
      <c r="T112" s="469">
        <f t="shared" si="63"/>
        <v>0</v>
      </c>
      <c r="U112" s="469">
        <f t="shared" si="63"/>
        <v>0</v>
      </c>
      <c r="V112" s="469">
        <f t="shared" si="63"/>
        <v>0</v>
      </c>
      <c r="W112" s="469">
        <f t="shared" si="63"/>
        <v>0</v>
      </c>
      <c r="X112" s="469">
        <f t="shared" si="63"/>
        <v>0</v>
      </c>
      <c r="Y112" s="469">
        <f t="shared" si="63"/>
        <v>0</v>
      </c>
      <c r="Z112" s="469">
        <f t="shared" si="63"/>
        <v>0</v>
      </c>
      <c r="AA112" s="469">
        <f t="shared" si="63"/>
        <v>0</v>
      </c>
      <c r="AB112" s="469">
        <f t="shared" si="63"/>
        <v>0</v>
      </c>
      <c r="AC112" s="469">
        <f t="shared" si="63"/>
        <v>0</v>
      </c>
      <c r="AD112" s="469">
        <f t="shared" si="63"/>
        <v>0</v>
      </c>
      <c r="AE112" s="469">
        <f t="shared" si="63"/>
        <v>0</v>
      </c>
      <c r="AF112" s="469">
        <f t="shared" si="63"/>
        <v>0</v>
      </c>
      <c r="AG112" s="469">
        <f t="shared" si="63"/>
        <v>0</v>
      </c>
      <c r="AH112" s="469">
        <f t="shared" si="63"/>
        <v>0</v>
      </c>
      <c r="AI112" s="469">
        <f t="shared" si="63"/>
        <v>0</v>
      </c>
      <c r="AJ112" s="469">
        <f t="shared" si="63"/>
        <v>0</v>
      </c>
      <c r="AK112" s="469">
        <f t="shared" si="63"/>
        <v>0</v>
      </c>
      <c r="AL112" s="469">
        <f t="shared" si="63"/>
        <v>0</v>
      </c>
      <c r="AM112" s="469">
        <f t="shared" si="63"/>
        <v>0</v>
      </c>
      <c r="AN112" s="469">
        <f t="shared" si="63"/>
        <v>0</v>
      </c>
      <c r="AO112" s="469">
        <f t="shared" si="63"/>
        <v>0</v>
      </c>
      <c r="AP112" s="469">
        <f t="shared" si="63"/>
        <v>0</v>
      </c>
      <c r="AQ112" s="469">
        <f t="shared" si="63"/>
        <v>0</v>
      </c>
      <c r="AR112" s="469">
        <f t="shared" si="63"/>
        <v>0</v>
      </c>
      <c r="AS112" s="469">
        <f t="shared" si="63"/>
        <v>0</v>
      </c>
      <c r="AT112" s="469">
        <f t="shared" si="63"/>
        <v>0</v>
      </c>
      <c r="AU112" s="469">
        <f t="shared" si="63"/>
        <v>0</v>
      </c>
      <c r="AV112" s="469">
        <f t="shared" si="63"/>
        <v>0</v>
      </c>
      <c r="AW112" s="469">
        <f t="shared" si="63"/>
        <v>0</v>
      </c>
      <c r="AX112" s="469">
        <f t="shared" si="63"/>
        <v>0</v>
      </c>
      <c r="AY112" s="444">
        <f t="shared" si="52"/>
        <v>0</v>
      </c>
      <c r="AZ112" s="141"/>
    </row>
    <row r="113" spans="1:52">
      <c r="A113" s="1335">
        <f>$B$39</f>
        <v>0</v>
      </c>
      <c r="B113" s="1335"/>
      <c r="C113" s="1335"/>
      <c r="D113" s="1335"/>
      <c r="E113" s="1335"/>
      <c r="F113" s="467">
        <f>OpeningTemplate!$D$306</f>
        <v>0</v>
      </c>
      <c r="G113" s="467">
        <f>OpeningTemplate!$E$306</f>
        <v>0</v>
      </c>
      <c r="H113" s="446">
        <f t="shared" si="53"/>
        <v>0</v>
      </c>
      <c r="I113" s="446">
        <f t="shared" si="54"/>
        <v>0</v>
      </c>
      <c r="J113" s="468">
        <f t="shared" si="55"/>
        <v>0</v>
      </c>
      <c r="K113" s="467">
        <f t="shared" si="48"/>
        <v>0</v>
      </c>
      <c r="L113" s="467">
        <f t="shared" si="49"/>
        <v>0</v>
      </c>
      <c r="M113" s="469">
        <f t="shared" si="50"/>
        <v>0</v>
      </c>
      <c r="N113" s="469">
        <f t="shared" si="61"/>
        <v>0</v>
      </c>
      <c r="O113" s="469">
        <f t="shared" si="61"/>
        <v>0</v>
      </c>
      <c r="P113" s="469">
        <f t="shared" si="61"/>
        <v>0</v>
      </c>
      <c r="Q113" s="469">
        <f t="shared" si="61"/>
        <v>0</v>
      </c>
      <c r="R113" s="469">
        <f t="shared" si="63"/>
        <v>0</v>
      </c>
      <c r="S113" s="469">
        <f t="shared" si="63"/>
        <v>0</v>
      </c>
      <c r="T113" s="469">
        <f t="shared" si="63"/>
        <v>0</v>
      </c>
      <c r="U113" s="469">
        <f t="shared" si="63"/>
        <v>0</v>
      </c>
      <c r="V113" s="469">
        <f t="shared" si="63"/>
        <v>0</v>
      </c>
      <c r="W113" s="469">
        <f t="shared" si="63"/>
        <v>0</v>
      </c>
      <c r="X113" s="469">
        <f t="shared" si="63"/>
        <v>0</v>
      </c>
      <c r="Y113" s="469">
        <f t="shared" si="63"/>
        <v>0</v>
      </c>
      <c r="Z113" s="469">
        <f t="shared" si="63"/>
        <v>0</v>
      </c>
      <c r="AA113" s="469">
        <f t="shared" si="63"/>
        <v>0</v>
      </c>
      <c r="AB113" s="469">
        <f t="shared" si="63"/>
        <v>0</v>
      </c>
      <c r="AC113" s="469">
        <f t="shared" si="63"/>
        <v>0</v>
      </c>
      <c r="AD113" s="469">
        <f t="shared" si="63"/>
        <v>0</v>
      </c>
      <c r="AE113" s="469">
        <f t="shared" si="63"/>
        <v>0</v>
      </c>
      <c r="AF113" s="469">
        <f t="shared" si="63"/>
        <v>0</v>
      </c>
      <c r="AG113" s="469">
        <f t="shared" si="63"/>
        <v>0</v>
      </c>
      <c r="AH113" s="469">
        <f t="shared" si="63"/>
        <v>0</v>
      </c>
      <c r="AI113" s="469">
        <f t="shared" si="63"/>
        <v>0</v>
      </c>
      <c r="AJ113" s="469">
        <f t="shared" si="63"/>
        <v>0</v>
      </c>
      <c r="AK113" s="469">
        <f t="shared" si="63"/>
        <v>0</v>
      </c>
      <c r="AL113" s="469">
        <f t="shared" si="63"/>
        <v>0</v>
      </c>
      <c r="AM113" s="469">
        <f t="shared" si="63"/>
        <v>0</v>
      </c>
      <c r="AN113" s="469">
        <f t="shared" si="63"/>
        <v>0</v>
      </c>
      <c r="AO113" s="469">
        <f t="shared" si="63"/>
        <v>0</v>
      </c>
      <c r="AP113" s="469">
        <f t="shared" si="63"/>
        <v>0</v>
      </c>
      <c r="AQ113" s="469">
        <f t="shared" si="63"/>
        <v>0</v>
      </c>
      <c r="AR113" s="469">
        <f t="shared" si="63"/>
        <v>0</v>
      </c>
      <c r="AS113" s="469">
        <f t="shared" si="63"/>
        <v>0</v>
      </c>
      <c r="AT113" s="469">
        <f t="shared" si="63"/>
        <v>0</v>
      </c>
      <c r="AU113" s="469">
        <f t="shared" si="63"/>
        <v>0</v>
      </c>
      <c r="AV113" s="469">
        <f t="shared" si="63"/>
        <v>0</v>
      </c>
      <c r="AW113" s="469">
        <f t="shared" si="63"/>
        <v>0</v>
      </c>
      <c r="AX113" s="469">
        <f t="shared" si="63"/>
        <v>0</v>
      </c>
      <c r="AY113" s="444">
        <f t="shared" si="52"/>
        <v>0</v>
      </c>
      <c r="AZ113" s="141"/>
    </row>
    <row r="114" spans="1:52">
      <c r="A114" s="1335">
        <f>$B$40</f>
        <v>0</v>
      </c>
      <c r="B114" s="1335"/>
      <c r="C114" s="1335"/>
      <c r="D114" s="1335"/>
      <c r="E114" s="1335"/>
      <c r="F114" s="467">
        <f>OpeningTemplate!$D$316</f>
        <v>0</v>
      </c>
      <c r="G114" s="467">
        <f>OpeningTemplate!$E$316</f>
        <v>0</v>
      </c>
      <c r="H114" s="446">
        <f t="shared" si="53"/>
        <v>0</v>
      </c>
      <c r="I114" s="446">
        <f t="shared" si="54"/>
        <v>0</v>
      </c>
      <c r="J114" s="468">
        <f t="shared" si="55"/>
        <v>0</v>
      </c>
      <c r="K114" s="467">
        <f t="shared" si="48"/>
        <v>0</v>
      </c>
      <c r="L114" s="467">
        <f t="shared" si="49"/>
        <v>0</v>
      </c>
      <c r="M114" s="469">
        <f t="shared" si="50"/>
        <v>0</v>
      </c>
      <c r="N114" s="469">
        <f t="shared" si="61"/>
        <v>0</v>
      </c>
      <c r="O114" s="469">
        <f t="shared" si="61"/>
        <v>0</v>
      </c>
      <c r="P114" s="469">
        <f t="shared" si="61"/>
        <v>0</v>
      </c>
      <c r="Q114" s="469">
        <f t="shared" si="61"/>
        <v>0</v>
      </c>
      <c r="R114" s="469">
        <f t="shared" si="63"/>
        <v>0</v>
      </c>
      <c r="S114" s="469">
        <f t="shared" si="63"/>
        <v>0</v>
      </c>
      <c r="T114" s="469">
        <f t="shared" si="63"/>
        <v>0</v>
      </c>
      <c r="U114" s="469">
        <f t="shared" si="63"/>
        <v>0</v>
      </c>
      <c r="V114" s="469">
        <f t="shared" si="63"/>
        <v>0</v>
      </c>
      <c r="W114" s="469">
        <f t="shared" si="63"/>
        <v>0</v>
      </c>
      <c r="X114" s="469">
        <f t="shared" si="63"/>
        <v>0</v>
      </c>
      <c r="Y114" s="469">
        <f t="shared" si="63"/>
        <v>0</v>
      </c>
      <c r="Z114" s="469">
        <f t="shared" si="63"/>
        <v>0</v>
      </c>
      <c r="AA114" s="469">
        <f t="shared" si="63"/>
        <v>0</v>
      </c>
      <c r="AB114" s="469">
        <f t="shared" si="63"/>
        <v>0</v>
      </c>
      <c r="AC114" s="469">
        <f t="shared" si="63"/>
        <v>0</v>
      </c>
      <c r="AD114" s="469">
        <f t="shared" si="63"/>
        <v>0</v>
      </c>
      <c r="AE114" s="469">
        <f t="shared" si="63"/>
        <v>0</v>
      </c>
      <c r="AF114" s="469">
        <f t="shared" si="63"/>
        <v>0</v>
      </c>
      <c r="AG114" s="469">
        <f t="shared" si="63"/>
        <v>0</v>
      </c>
      <c r="AH114" s="469">
        <f t="shared" si="63"/>
        <v>0</v>
      </c>
      <c r="AI114" s="469">
        <f t="shared" ref="R114:AX115" si="64">IF(AND(AI$122&gt;=$K114,AI$122&lt;=$L114),IF(AH$122&lt;$F114,IF(AI$122&lt;=$G114,(AI$122-$F114+1)*$J114,$H114),IF(AI$122&gt;=$G114,($G114-AH$122)*$J114,(AI$122-AH$122)*$J114)),0)</f>
        <v>0</v>
      </c>
      <c r="AJ114" s="469">
        <f t="shared" si="64"/>
        <v>0</v>
      </c>
      <c r="AK114" s="469">
        <f t="shared" si="64"/>
        <v>0</v>
      </c>
      <c r="AL114" s="469">
        <f t="shared" si="64"/>
        <v>0</v>
      </c>
      <c r="AM114" s="469">
        <f t="shared" si="64"/>
        <v>0</v>
      </c>
      <c r="AN114" s="469">
        <f t="shared" si="64"/>
        <v>0</v>
      </c>
      <c r="AO114" s="469">
        <f t="shared" si="64"/>
        <v>0</v>
      </c>
      <c r="AP114" s="469">
        <f t="shared" si="64"/>
        <v>0</v>
      </c>
      <c r="AQ114" s="469">
        <f t="shared" si="64"/>
        <v>0</v>
      </c>
      <c r="AR114" s="469">
        <f t="shared" si="64"/>
        <v>0</v>
      </c>
      <c r="AS114" s="469">
        <f t="shared" si="64"/>
        <v>0</v>
      </c>
      <c r="AT114" s="469">
        <f t="shared" si="64"/>
        <v>0</v>
      </c>
      <c r="AU114" s="469">
        <f t="shared" si="64"/>
        <v>0</v>
      </c>
      <c r="AV114" s="469">
        <f t="shared" si="64"/>
        <v>0</v>
      </c>
      <c r="AW114" s="469">
        <f t="shared" si="64"/>
        <v>0</v>
      </c>
      <c r="AX114" s="469">
        <f t="shared" si="64"/>
        <v>0</v>
      </c>
      <c r="AY114" s="444">
        <f t="shared" si="52"/>
        <v>0</v>
      </c>
      <c r="AZ114" s="141"/>
    </row>
    <row r="115" spans="1:52">
      <c r="A115" s="1335">
        <f>$B$41</f>
        <v>0</v>
      </c>
      <c r="B115" s="1335"/>
      <c r="C115" s="1335"/>
      <c r="D115" s="1335"/>
      <c r="E115" s="1335"/>
      <c r="F115" s="467">
        <f>OpeningTemplate!$D$326</f>
        <v>0</v>
      </c>
      <c r="G115" s="467">
        <f>OpeningTemplate!$E$326</f>
        <v>0</v>
      </c>
      <c r="H115" s="446">
        <f t="shared" si="53"/>
        <v>0</v>
      </c>
      <c r="I115" s="446">
        <f t="shared" si="54"/>
        <v>0</v>
      </c>
      <c r="J115" s="468">
        <f t="shared" si="55"/>
        <v>0</v>
      </c>
      <c r="K115" s="467">
        <f t="shared" si="48"/>
        <v>0</v>
      </c>
      <c r="L115" s="467">
        <f t="shared" si="49"/>
        <v>0</v>
      </c>
      <c r="M115" s="469">
        <f t="shared" si="50"/>
        <v>0</v>
      </c>
      <c r="N115" s="469">
        <f t="shared" si="61"/>
        <v>0</v>
      </c>
      <c r="O115" s="469">
        <f t="shared" si="61"/>
        <v>0</v>
      </c>
      <c r="P115" s="469">
        <f t="shared" si="61"/>
        <v>0</v>
      </c>
      <c r="Q115" s="469">
        <f t="shared" si="61"/>
        <v>0</v>
      </c>
      <c r="R115" s="469">
        <f t="shared" si="64"/>
        <v>0</v>
      </c>
      <c r="S115" s="469">
        <f t="shared" si="64"/>
        <v>0</v>
      </c>
      <c r="T115" s="469">
        <f t="shared" si="64"/>
        <v>0</v>
      </c>
      <c r="U115" s="469">
        <f t="shared" si="64"/>
        <v>0</v>
      </c>
      <c r="V115" s="469">
        <f t="shared" si="64"/>
        <v>0</v>
      </c>
      <c r="W115" s="469">
        <f t="shared" si="64"/>
        <v>0</v>
      </c>
      <c r="X115" s="469">
        <f t="shared" si="64"/>
        <v>0</v>
      </c>
      <c r="Y115" s="469">
        <f t="shared" si="64"/>
        <v>0</v>
      </c>
      <c r="Z115" s="469">
        <f t="shared" si="64"/>
        <v>0</v>
      </c>
      <c r="AA115" s="469">
        <f t="shared" si="64"/>
        <v>0</v>
      </c>
      <c r="AB115" s="469">
        <f t="shared" si="64"/>
        <v>0</v>
      </c>
      <c r="AC115" s="469">
        <f t="shared" si="64"/>
        <v>0</v>
      </c>
      <c r="AD115" s="469">
        <f t="shared" si="64"/>
        <v>0</v>
      </c>
      <c r="AE115" s="469">
        <f t="shared" si="64"/>
        <v>0</v>
      </c>
      <c r="AF115" s="469">
        <f t="shared" si="64"/>
        <v>0</v>
      </c>
      <c r="AG115" s="469">
        <f t="shared" si="64"/>
        <v>0</v>
      </c>
      <c r="AH115" s="469">
        <f t="shared" si="64"/>
        <v>0</v>
      </c>
      <c r="AI115" s="469">
        <f t="shared" si="64"/>
        <v>0</v>
      </c>
      <c r="AJ115" s="469">
        <f t="shared" si="64"/>
        <v>0</v>
      </c>
      <c r="AK115" s="469">
        <f t="shared" si="64"/>
        <v>0</v>
      </c>
      <c r="AL115" s="469">
        <f t="shared" si="64"/>
        <v>0</v>
      </c>
      <c r="AM115" s="469">
        <f t="shared" si="64"/>
        <v>0</v>
      </c>
      <c r="AN115" s="469">
        <f t="shared" si="64"/>
        <v>0</v>
      </c>
      <c r="AO115" s="469">
        <f t="shared" si="64"/>
        <v>0</v>
      </c>
      <c r="AP115" s="469">
        <f t="shared" si="64"/>
        <v>0</v>
      </c>
      <c r="AQ115" s="469">
        <f t="shared" si="64"/>
        <v>0</v>
      </c>
      <c r="AR115" s="469">
        <f t="shared" si="64"/>
        <v>0</v>
      </c>
      <c r="AS115" s="469">
        <f t="shared" si="64"/>
        <v>0</v>
      </c>
      <c r="AT115" s="469">
        <f t="shared" si="64"/>
        <v>0</v>
      </c>
      <c r="AU115" s="469">
        <f t="shared" si="64"/>
        <v>0</v>
      </c>
      <c r="AV115" s="469">
        <f t="shared" si="64"/>
        <v>0</v>
      </c>
      <c r="AW115" s="469">
        <f t="shared" si="64"/>
        <v>0</v>
      </c>
      <c r="AX115" s="469">
        <f t="shared" si="64"/>
        <v>0</v>
      </c>
      <c r="AY115" s="444">
        <f t="shared" si="52"/>
        <v>0</v>
      </c>
      <c r="AZ115" s="141"/>
    </row>
    <row r="116" spans="1:52">
      <c r="A116" s="1335">
        <f>$B$42</f>
        <v>0</v>
      </c>
      <c r="B116" s="1335"/>
      <c r="C116" s="1335"/>
      <c r="D116" s="1335"/>
      <c r="E116" s="1335"/>
      <c r="F116" s="467">
        <f>OpeningTemplate!$D$336</f>
        <v>0</v>
      </c>
      <c r="G116" s="467">
        <f>OpeningTemplate!$E$336</f>
        <v>0</v>
      </c>
      <c r="H116" s="446">
        <f t="shared" si="53"/>
        <v>0</v>
      </c>
      <c r="I116" s="446">
        <f t="shared" si="54"/>
        <v>0</v>
      </c>
      <c r="J116" s="468">
        <f t="shared" si="55"/>
        <v>0</v>
      </c>
      <c r="K116" s="467">
        <f t="shared" si="48"/>
        <v>0</v>
      </c>
      <c r="L116" s="467">
        <f t="shared" si="49"/>
        <v>0</v>
      </c>
      <c r="M116" s="469">
        <f t="shared" si="50"/>
        <v>0</v>
      </c>
      <c r="N116" s="469">
        <f t="shared" ref="N116:AX116" si="65">IF(AND(N$122&gt;=$K116,N$122&lt;=$L116),IF(M$122&lt;$F116,IF(N$122&lt;=$G116,(N$122-$F116+1)*$J116,$H116),IF(N$122&gt;=$G116,($G116-M$122)*$J116,(N$122-M$122)*$J116)),0)</f>
        <v>0</v>
      </c>
      <c r="O116" s="469">
        <f t="shared" si="65"/>
        <v>0</v>
      </c>
      <c r="P116" s="469">
        <f t="shared" si="65"/>
        <v>0</v>
      </c>
      <c r="Q116" s="469">
        <f t="shared" si="65"/>
        <v>0</v>
      </c>
      <c r="R116" s="469">
        <f t="shared" si="65"/>
        <v>0</v>
      </c>
      <c r="S116" s="469">
        <f t="shared" si="65"/>
        <v>0</v>
      </c>
      <c r="T116" s="469">
        <f t="shared" si="65"/>
        <v>0</v>
      </c>
      <c r="U116" s="469">
        <f t="shared" si="65"/>
        <v>0</v>
      </c>
      <c r="V116" s="469">
        <f t="shared" si="65"/>
        <v>0</v>
      </c>
      <c r="W116" s="469">
        <f t="shared" si="65"/>
        <v>0</v>
      </c>
      <c r="X116" s="469">
        <f t="shared" si="65"/>
        <v>0</v>
      </c>
      <c r="Y116" s="469">
        <f t="shared" si="65"/>
        <v>0</v>
      </c>
      <c r="Z116" s="469">
        <f t="shared" si="65"/>
        <v>0</v>
      </c>
      <c r="AA116" s="469">
        <f t="shared" si="65"/>
        <v>0</v>
      </c>
      <c r="AB116" s="469">
        <f t="shared" si="65"/>
        <v>0</v>
      </c>
      <c r="AC116" s="469">
        <f t="shared" si="65"/>
        <v>0</v>
      </c>
      <c r="AD116" s="469">
        <f t="shared" si="65"/>
        <v>0</v>
      </c>
      <c r="AE116" s="469">
        <f t="shared" si="65"/>
        <v>0</v>
      </c>
      <c r="AF116" s="469">
        <f t="shared" si="65"/>
        <v>0</v>
      </c>
      <c r="AG116" s="469">
        <f t="shared" si="65"/>
        <v>0</v>
      </c>
      <c r="AH116" s="469">
        <f t="shared" si="65"/>
        <v>0</v>
      </c>
      <c r="AI116" s="469">
        <f t="shared" si="65"/>
        <v>0</v>
      </c>
      <c r="AJ116" s="469">
        <f t="shared" si="65"/>
        <v>0</v>
      </c>
      <c r="AK116" s="469">
        <f t="shared" si="65"/>
        <v>0</v>
      </c>
      <c r="AL116" s="469">
        <f t="shared" si="65"/>
        <v>0</v>
      </c>
      <c r="AM116" s="469">
        <f t="shared" si="65"/>
        <v>0</v>
      </c>
      <c r="AN116" s="469">
        <f t="shared" si="65"/>
        <v>0</v>
      </c>
      <c r="AO116" s="469">
        <f t="shared" si="65"/>
        <v>0</v>
      </c>
      <c r="AP116" s="469">
        <f t="shared" si="65"/>
        <v>0</v>
      </c>
      <c r="AQ116" s="469">
        <f t="shared" si="65"/>
        <v>0</v>
      </c>
      <c r="AR116" s="469">
        <f t="shared" si="65"/>
        <v>0</v>
      </c>
      <c r="AS116" s="469">
        <f t="shared" si="65"/>
        <v>0</v>
      </c>
      <c r="AT116" s="469">
        <f t="shared" si="65"/>
        <v>0</v>
      </c>
      <c r="AU116" s="469">
        <f t="shared" si="65"/>
        <v>0</v>
      </c>
      <c r="AV116" s="469">
        <f t="shared" si="65"/>
        <v>0</v>
      </c>
      <c r="AW116" s="469">
        <f t="shared" si="65"/>
        <v>0</v>
      </c>
      <c r="AX116" s="469">
        <f t="shared" si="65"/>
        <v>0</v>
      </c>
      <c r="AY116" s="444">
        <f t="shared" si="52"/>
        <v>0</v>
      </c>
      <c r="AZ116" s="141"/>
    </row>
    <row r="117" spans="1:52">
      <c r="A117" s="1336" t="s">
        <v>807</v>
      </c>
      <c r="B117" s="1337"/>
      <c r="C117" s="1337"/>
      <c r="D117" s="1337"/>
      <c r="E117" s="1338"/>
      <c r="F117" s="440"/>
      <c r="G117" s="440"/>
      <c r="H117" s="440"/>
      <c r="I117" s="440"/>
      <c r="J117" s="440"/>
      <c r="K117" s="440"/>
      <c r="L117" s="440"/>
      <c r="M117" s="440">
        <f t="shared" ref="M117:AX117" ca="1" si="66">SUM(M87:M116)</f>
        <v>0</v>
      </c>
      <c r="N117" s="440">
        <f t="shared" ca="1" si="66"/>
        <v>0</v>
      </c>
      <c r="O117" s="440">
        <f t="shared" ca="1" si="66"/>
        <v>0</v>
      </c>
      <c r="P117" s="440">
        <f t="shared" ca="1" si="66"/>
        <v>0</v>
      </c>
      <c r="Q117" s="440">
        <f t="shared" ca="1" si="66"/>
        <v>0</v>
      </c>
      <c r="R117" s="440">
        <f t="shared" ca="1" si="66"/>
        <v>0</v>
      </c>
      <c r="S117" s="440">
        <f t="shared" ca="1" si="66"/>
        <v>0</v>
      </c>
      <c r="T117" s="440">
        <f t="shared" ca="1" si="66"/>
        <v>0</v>
      </c>
      <c r="U117" s="440">
        <f t="shared" ca="1" si="66"/>
        <v>0</v>
      </c>
      <c r="V117" s="440">
        <f t="shared" ca="1" si="66"/>
        <v>0</v>
      </c>
      <c r="W117" s="440">
        <f t="shared" ca="1" si="66"/>
        <v>0</v>
      </c>
      <c r="X117" s="440">
        <f t="shared" ca="1" si="66"/>
        <v>0</v>
      </c>
      <c r="Y117" s="440">
        <f t="shared" ca="1" si="66"/>
        <v>0</v>
      </c>
      <c r="Z117" s="440">
        <f t="shared" ca="1" si="66"/>
        <v>0</v>
      </c>
      <c r="AA117" s="440">
        <f t="shared" ca="1" si="66"/>
        <v>0</v>
      </c>
      <c r="AB117" s="440">
        <f t="shared" ca="1" si="66"/>
        <v>0</v>
      </c>
      <c r="AC117" s="440">
        <f t="shared" ca="1" si="66"/>
        <v>0</v>
      </c>
      <c r="AD117" s="440">
        <f t="shared" ca="1" si="66"/>
        <v>0</v>
      </c>
      <c r="AE117" s="440">
        <f t="shared" ca="1" si="66"/>
        <v>0</v>
      </c>
      <c r="AF117" s="440">
        <f t="shared" ca="1" si="66"/>
        <v>0</v>
      </c>
      <c r="AG117" s="440">
        <f t="shared" ca="1" si="66"/>
        <v>0</v>
      </c>
      <c r="AH117" s="440">
        <f t="shared" ca="1" si="66"/>
        <v>0</v>
      </c>
      <c r="AI117" s="440">
        <f t="shared" ca="1" si="66"/>
        <v>0</v>
      </c>
      <c r="AJ117" s="440">
        <f t="shared" ca="1" si="66"/>
        <v>0</v>
      </c>
      <c r="AK117" s="440">
        <f t="shared" ca="1" si="66"/>
        <v>0</v>
      </c>
      <c r="AL117" s="440">
        <f t="shared" ca="1" si="66"/>
        <v>0</v>
      </c>
      <c r="AM117" s="440">
        <f t="shared" ca="1" si="66"/>
        <v>0</v>
      </c>
      <c r="AN117" s="440">
        <f t="shared" ca="1" si="66"/>
        <v>0</v>
      </c>
      <c r="AO117" s="440">
        <f t="shared" ca="1" si="66"/>
        <v>0</v>
      </c>
      <c r="AP117" s="440">
        <f t="shared" ca="1" si="66"/>
        <v>0</v>
      </c>
      <c r="AQ117" s="440">
        <f t="shared" ca="1" si="66"/>
        <v>0</v>
      </c>
      <c r="AR117" s="440">
        <f t="shared" ca="1" si="66"/>
        <v>0</v>
      </c>
      <c r="AS117" s="440">
        <f t="shared" ca="1" si="66"/>
        <v>0</v>
      </c>
      <c r="AT117" s="440">
        <f t="shared" ca="1" si="66"/>
        <v>0</v>
      </c>
      <c r="AU117" s="440">
        <f t="shared" ca="1" si="66"/>
        <v>0</v>
      </c>
      <c r="AV117" s="440">
        <f t="shared" ca="1" si="66"/>
        <v>0</v>
      </c>
      <c r="AW117" s="440">
        <f t="shared" ca="1" si="66"/>
        <v>0</v>
      </c>
      <c r="AX117" s="440">
        <f t="shared" ca="1" si="66"/>
        <v>0</v>
      </c>
      <c r="AY117" s="440">
        <f ca="1">SUM(M117:AX117)</f>
        <v>0</v>
      </c>
      <c r="AZ117" s="141"/>
    </row>
    <row r="118" spans="1:52">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1"/>
      <c r="AB118" s="141"/>
      <c r="AC118" s="141"/>
      <c r="AD118" s="141"/>
      <c r="AE118" s="141"/>
      <c r="AF118" s="141"/>
      <c r="AG118" s="141"/>
      <c r="AH118" s="141"/>
      <c r="AI118" s="141"/>
      <c r="AJ118" s="141"/>
      <c r="AK118" s="141"/>
      <c r="AL118" s="141"/>
      <c r="AM118" s="141"/>
      <c r="AN118" s="141"/>
      <c r="AO118" s="141"/>
      <c r="AP118" s="141"/>
      <c r="AQ118" s="141"/>
      <c r="AR118" s="141"/>
      <c r="AS118" s="141"/>
      <c r="AT118" s="141"/>
      <c r="AU118" s="141"/>
      <c r="AV118" s="141"/>
      <c r="AW118" s="141"/>
      <c r="AX118" s="141"/>
      <c r="AY118" s="141"/>
      <c r="AZ118" s="141"/>
    </row>
    <row r="119" spans="1:52">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141"/>
      <c r="AB119" s="141"/>
      <c r="AC119" s="141"/>
      <c r="AD119" s="141"/>
      <c r="AE119" s="141"/>
      <c r="AF119" s="141"/>
      <c r="AG119" s="141"/>
      <c r="AH119" s="141"/>
      <c r="AI119" s="141"/>
      <c r="AJ119" s="141"/>
      <c r="AK119" s="141"/>
      <c r="AL119" s="141"/>
      <c r="AM119" s="141"/>
      <c r="AN119" s="141"/>
      <c r="AO119" s="141"/>
      <c r="AP119" s="141"/>
      <c r="AQ119" s="141"/>
      <c r="AR119" s="141"/>
      <c r="AS119" s="141"/>
      <c r="AT119" s="141"/>
      <c r="AU119" s="141"/>
      <c r="AV119" s="141"/>
      <c r="AW119" s="141"/>
      <c r="AX119" s="141"/>
      <c r="AY119" s="141"/>
      <c r="AZ119" s="141"/>
    </row>
    <row r="120" spans="1:52">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141"/>
      <c r="AB120" s="141"/>
      <c r="AC120" s="141"/>
      <c r="AD120" s="141"/>
      <c r="AE120" s="141"/>
      <c r="AF120" s="141"/>
      <c r="AG120" s="141"/>
      <c r="AH120" s="141"/>
      <c r="AI120" s="141"/>
      <c r="AJ120" s="141"/>
      <c r="AK120" s="141"/>
      <c r="AL120" s="141"/>
      <c r="AM120" s="141"/>
      <c r="AN120" s="141"/>
      <c r="AO120" s="141"/>
      <c r="AP120" s="141"/>
      <c r="AQ120" s="141"/>
      <c r="AR120" s="141"/>
      <c r="AS120" s="141"/>
      <c r="AT120" s="141"/>
      <c r="AU120" s="141"/>
      <c r="AV120" s="141"/>
      <c r="AW120" s="141"/>
      <c r="AX120" s="141"/>
      <c r="AY120" s="141"/>
      <c r="AZ120" s="141"/>
    </row>
    <row r="121" spans="1:52" ht="15.6">
      <c r="A121" s="1340" t="s">
        <v>808</v>
      </c>
      <c r="B121" s="1340"/>
      <c r="C121" s="1340"/>
      <c r="D121" s="1340"/>
      <c r="E121" s="1340"/>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141"/>
      <c r="AB121" s="141"/>
      <c r="AC121" s="141"/>
      <c r="AD121" s="141"/>
      <c r="AE121" s="141"/>
      <c r="AF121" s="141"/>
      <c r="AG121" s="141"/>
      <c r="AH121" s="141"/>
      <c r="AI121" s="141"/>
      <c r="AJ121" s="141"/>
      <c r="AK121" s="141"/>
      <c r="AL121" s="141"/>
      <c r="AM121" s="141"/>
      <c r="AN121" s="141"/>
      <c r="AO121" s="141"/>
      <c r="AP121" s="141"/>
      <c r="AQ121" s="141"/>
      <c r="AR121" s="141"/>
      <c r="AS121" s="141"/>
      <c r="AT121" s="141"/>
      <c r="AU121" s="141"/>
      <c r="AV121" s="141"/>
      <c r="AW121" s="141"/>
      <c r="AX121" s="141"/>
      <c r="AY121" s="141"/>
      <c r="AZ121" s="141"/>
    </row>
    <row r="122" spans="1:52">
      <c r="A122" s="1339" t="s">
        <v>809</v>
      </c>
      <c r="B122" s="1339"/>
      <c r="C122" s="1339"/>
      <c r="D122" s="1339"/>
      <c r="E122" s="1339"/>
      <c r="F122" s="441" t="s">
        <v>810</v>
      </c>
      <c r="G122" s="441" t="s">
        <v>811</v>
      </c>
      <c r="H122" s="448" t="s">
        <v>812</v>
      </c>
      <c r="I122" s="448" t="s">
        <v>986</v>
      </c>
      <c r="J122" s="448" t="s">
        <v>987</v>
      </c>
      <c r="K122" s="441" t="s">
        <v>813</v>
      </c>
      <c r="L122" s="441" t="s">
        <v>814</v>
      </c>
      <c r="M122" s="466">
        <f t="array" ref="M122:AX122">MDReportingDates</f>
        <v>41774</v>
      </c>
      <c r="N122" s="466">
        <v>41788</v>
      </c>
      <c r="O122" s="466">
        <v>41802</v>
      </c>
      <c r="P122" s="466">
        <v>41816</v>
      </c>
      <c r="Q122" s="466">
        <v>41830</v>
      </c>
      <c r="R122" s="466">
        <v>41844</v>
      </c>
      <c r="S122" s="466">
        <v>41858</v>
      </c>
      <c r="T122" s="466">
        <v>41872</v>
      </c>
      <c r="U122" s="466">
        <v>41886</v>
      </c>
      <c r="V122" s="466">
        <v>41900</v>
      </c>
      <c r="W122" s="466">
        <v>41914</v>
      </c>
      <c r="X122" s="466">
        <v>41928</v>
      </c>
      <c r="Y122" s="466">
        <v>41942</v>
      </c>
      <c r="Z122" s="466">
        <v>41956</v>
      </c>
      <c r="AA122" s="466">
        <v>41970</v>
      </c>
      <c r="AB122" s="466">
        <v>41984</v>
      </c>
      <c r="AC122" s="466">
        <v>41998</v>
      </c>
      <c r="AD122" s="466">
        <v>42012</v>
      </c>
      <c r="AE122" s="466">
        <v>42026</v>
      </c>
      <c r="AF122" s="466">
        <v>42040</v>
      </c>
      <c r="AG122" s="466">
        <v>42054</v>
      </c>
      <c r="AH122" s="466">
        <v>42068</v>
      </c>
      <c r="AI122" s="466">
        <v>42082</v>
      </c>
      <c r="AJ122" s="466">
        <v>42096</v>
      </c>
      <c r="AK122" s="466">
        <v>42110</v>
      </c>
      <c r="AL122" s="466">
        <v>42124</v>
      </c>
      <c r="AM122" s="466">
        <v>42138</v>
      </c>
      <c r="AN122" s="466">
        <v>42152</v>
      </c>
      <c r="AO122" s="466">
        <v>42166</v>
      </c>
      <c r="AP122" s="466">
        <v>42180</v>
      </c>
      <c r="AQ122" s="466">
        <v>42194</v>
      </c>
      <c r="AR122" s="466">
        <v>42208</v>
      </c>
      <c r="AS122" s="466">
        <v>42222</v>
      </c>
      <c r="AT122" s="466">
        <v>42236</v>
      </c>
      <c r="AU122" s="466">
        <v>42250</v>
      </c>
      <c r="AV122" s="466">
        <v>42264</v>
      </c>
      <c r="AW122" s="466">
        <v>42278</v>
      </c>
      <c r="AX122" s="466">
        <v>42292</v>
      </c>
      <c r="AY122" s="440" t="s">
        <v>815</v>
      </c>
      <c r="AZ122" s="141"/>
    </row>
    <row r="123" spans="1:52">
      <c r="A123" s="1335" t="str">
        <f>$B$13</f>
        <v>GEFI Migration</v>
      </c>
      <c r="B123" s="1335"/>
      <c r="C123" s="1335"/>
      <c r="D123" s="1335"/>
      <c r="E123" s="1335"/>
      <c r="F123" s="467">
        <f>OpeningTemplate!$D$46</f>
        <v>0</v>
      </c>
      <c r="G123" s="467">
        <f>OpeningTemplate!$E$46</f>
        <v>0</v>
      </c>
      <c r="H123" s="446">
        <f>J13</f>
        <v>584</v>
      </c>
      <c r="I123" s="446">
        <f>IF(G123-F123&gt;0,G123-F123+1,0)</f>
        <v>0</v>
      </c>
      <c r="J123" s="468">
        <f>IF(I123&lt;&gt;0,H123/I123,0)</f>
        <v>0</v>
      </c>
      <c r="K123" s="467">
        <f t="shared" ref="K123:K152" si="67">IF(H123&gt;0,INDEX(MDReportingDates,1,COUNTIF(MDReportingDates,"&lt;"&amp;F123)+1),0)</f>
        <v>41774</v>
      </c>
      <c r="L123" s="467">
        <f t="shared" ref="L123:L152" si="68">IF(H123&gt;0,IF(ISERROR(MATCH(G123,MDReportingDates,1)),INDEX(MDReportingDates,1,1),INDEX(MDReportingDates,1,MATCH(G123,MDReportingDates,1)+1)),0)</f>
        <v>41774</v>
      </c>
      <c r="M123" s="469">
        <f t="shared" ref="M123:M152" si="69">IF(AND($M$122&gt;=$K123,$M$122&lt;=$L123),IF(O123&gt;0,($M$122-$F123+1)*$J123,($M$122-$F123)*$J123),0)</f>
        <v>0</v>
      </c>
      <c r="N123" s="469">
        <f t="shared" ref="N123:P127" si="70">IF(AND(N$122&gt;=$K123,N$122&lt;=$L123),IF(M$122&lt;$F123,IF(N$122&lt;=$G123,(N$122-$F123+1)*$J123,$H123),IF(N$122&gt;=$G123,($G123-M$122)*$J123,(N$122-M$122)*$J123)),0)</f>
        <v>0</v>
      </c>
      <c r="O123" s="469">
        <f t="shared" si="70"/>
        <v>0</v>
      </c>
      <c r="P123" s="469">
        <f t="shared" si="70"/>
        <v>0</v>
      </c>
      <c r="Q123" s="469">
        <f t="shared" ref="Q123:AF123" si="71">IF(AND(Q$122&gt;=$K123,Q$122&lt;=$L123),IF(P$122&lt;$F123,IF(Q$122&lt;=$G123,(Q$122-$F123+1)*$J123,$H123),IF(Q$122&gt;=$G123,($G123-P$122)*$J123,(Q$122-P$122)*$J123)),0)</f>
        <v>0</v>
      </c>
      <c r="R123" s="469">
        <f t="shared" si="71"/>
        <v>0</v>
      </c>
      <c r="S123" s="469">
        <f t="shared" si="71"/>
        <v>0</v>
      </c>
      <c r="T123" s="469">
        <f t="shared" si="71"/>
        <v>0</v>
      </c>
      <c r="U123" s="469">
        <f t="shared" si="71"/>
        <v>0</v>
      </c>
      <c r="V123" s="469">
        <f t="shared" si="71"/>
        <v>0</v>
      </c>
      <c r="W123" s="469">
        <f t="shared" si="71"/>
        <v>0</v>
      </c>
      <c r="X123" s="469">
        <f t="shared" si="71"/>
        <v>0</v>
      </c>
      <c r="Y123" s="469">
        <f t="shared" si="71"/>
        <v>0</v>
      </c>
      <c r="Z123" s="469">
        <f t="shared" si="71"/>
        <v>0</v>
      </c>
      <c r="AA123" s="469">
        <f t="shared" si="71"/>
        <v>0</v>
      </c>
      <c r="AB123" s="469">
        <f t="shared" si="71"/>
        <v>0</v>
      </c>
      <c r="AC123" s="469">
        <f t="shared" si="71"/>
        <v>0</v>
      </c>
      <c r="AD123" s="469">
        <f t="shared" si="71"/>
        <v>0</v>
      </c>
      <c r="AE123" s="469">
        <f t="shared" si="71"/>
        <v>0</v>
      </c>
      <c r="AF123" s="469">
        <f t="shared" si="71"/>
        <v>0</v>
      </c>
      <c r="AG123" s="469">
        <f t="shared" ref="R123:AX127" si="72">IF(AND(AG$122&gt;=$K123,AG$122&lt;=$L123),IF(AF$122&lt;$F123,IF(AG$122&lt;=$G123,(AG$122-$F123+1)*$J123,$H123),IF(AG$122&gt;=$G123,($G123-AF$122)*$J123,(AG$122-AF$122)*$J123)),0)</f>
        <v>0</v>
      </c>
      <c r="AH123" s="469">
        <f t="shared" si="72"/>
        <v>0</v>
      </c>
      <c r="AI123" s="469">
        <f t="shared" si="72"/>
        <v>0</v>
      </c>
      <c r="AJ123" s="469">
        <f t="shared" si="72"/>
        <v>0</v>
      </c>
      <c r="AK123" s="469">
        <f t="shared" si="72"/>
        <v>0</v>
      </c>
      <c r="AL123" s="469">
        <f t="shared" si="72"/>
        <v>0</v>
      </c>
      <c r="AM123" s="469">
        <f t="shared" si="72"/>
        <v>0</v>
      </c>
      <c r="AN123" s="469">
        <f t="shared" si="72"/>
        <v>0</v>
      </c>
      <c r="AO123" s="469">
        <f t="shared" si="72"/>
        <v>0</v>
      </c>
      <c r="AP123" s="469">
        <f t="shared" si="72"/>
        <v>0</v>
      </c>
      <c r="AQ123" s="469">
        <f t="shared" si="72"/>
        <v>0</v>
      </c>
      <c r="AR123" s="469">
        <f t="shared" si="72"/>
        <v>0</v>
      </c>
      <c r="AS123" s="469">
        <f t="shared" si="72"/>
        <v>0</v>
      </c>
      <c r="AT123" s="469">
        <f t="shared" si="72"/>
        <v>0</v>
      </c>
      <c r="AU123" s="469">
        <f t="shared" si="72"/>
        <v>0</v>
      </c>
      <c r="AV123" s="469">
        <f t="shared" si="72"/>
        <v>0</v>
      </c>
      <c r="AW123" s="469">
        <f t="shared" si="72"/>
        <v>0</v>
      </c>
      <c r="AX123" s="469">
        <f t="shared" si="72"/>
        <v>0</v>
      </c>
      <c r="AY123" s="470">
        <f t="shared" ref="AY123:AY152" si="73">SUM(M123:AX123)</f>
        <v>0</v>
      </c>
      <c r="AZ123" s="141"/>
    </row>
    <row r="124" spans="1:52">
      <c r="A124" s="1335">
        <f>$B$14</f>
        <v>0</v>
      </c>
      <c r="B124" s="1335"/>
      <c r="C124" s="1335"/>
      <c r="D124" s="1335"/>
      <c r="E124" s="1335"/>
      <c r="F124" s="467">
        <f>OpeningTemplate!$D$56</f>
        <v>0</v>
      </c>
      <c r="G124" s="467">
        <f>OpeningTemplate!$E$56</f>
        <v>0</v>
      </c>
      <c r="H124" s="446">
        <f t="shared" ref="H124:H152" si="74">J14</f>
        <v>0</v>
      </c>
      <c r="I124" s="446">
        <f t="shared" ref="I124:I152" si="75">IF(G124-F124&gt;0,G124-F124+1,0)</f>
        <v>0</v>
      </c>
      <c r="J124" s="468">
        <f t="shared" ref="J124:J152" si="76">IF(I124&lt;&gt;0,H124/I124,0)</f>
        <v>0</v>
      </c>
      <c r="K124" s="467">
        <f t="shared" si="67"/>
        <v>0</v>
      </c>
      <c r="L124" s="467">
        <f t="shared" si="68"/>
        <v>0</v>
      </c>
      <c r="M124" s="469">
        <f t="shared" si="69"/>
        <v>0</v>
      </c>
      <c r="N124" s="469">
        <f t="shared" si="70"/>
        <v>0</v>
      </c>
      <c r="O124" s="469">
        <f t="shared" si="70"/>
        <v>0</v>
      </c>
      <c r="P124" s="469">
        <f t="shared" si="70"/>
        <v>0</v>
      </c>
      <c r="Q124" s="469">
        <f t="shared" ref="Q124:Q152" si="77">IF(AND(Q$122&gt;=$K124,Q$122&lt;=$L124),IF(P$122&lt;$F124,IF(Q$122&lt;=$G124,(Q$122-$F124+1)*$J124,$H124),IF(Q$122&gt;=$G124,($G124-P$122)*$J124,(Q$122-P$122)*$J124)),0)</f>
        <v>0</v>
      </c>
      <c r="R124" s="469">
        <f t="shared" si="72"/>
        <v>0</v>
      </c>
      <c r="S124" s="469">
        <f t="shared" si="72"/>
        <v>0</v>
      </c>
      <c r="T124" s="469">
        <f t="shared" si="72"/>
        <v>0</v>
      </c>
      <c r="U124" s="469">
        <f t="shared" si="72"/>
        <v>0</v>
      </c>
      <c r="V124" s="469">
        <f t="shared" si="72"/>
        <v>0</v>
      </c>
      <c r="W124" s="469">
        <f t="shared" si="72"/>
        <v>0</v>
      </c>
      <c r="X124" s="469">
        <f t="shared" si="72"/>
        <v>0</v>
      </c>
      <c r="Y124" s="469">
        <f t="shared" si="72"/>
        <v>0</v>
      </c>
      <c r="Z124" s="469">
        <f t="shared" si="72"/>
        <v>0</v>
      </c>
      <c r="AA124" s="469">
        <f t="shared" si="72"/>
        <v>0</v>
      </c>
      <c r="AB124" s="469">
        <f t="shared" si="72"/>
        <v>0</v>
      </c>
      <c r="AC124" s="469">
        <f t="shared" si="72"/>
        <v>0</v>
      </c>
      <c r="AD124" s="469">
        <f t="shared" si="72"/>
        <v>0</v>
      </c>
      <c r="AE124" s="469">
        <f t="shared" si="72"/>
        <v>0</v>
      </c>
      <c r="AF124" s="469">
        <f t="shared" si="72"/>
        <v>0</v>
      </c>
      <c r="AG124" s="469">
        <f t="shared" si="72"/>
        <v>0</v>
      </c>
      <c r="AH124" s="469">
        <f t="shared" si="72"/>
        <v>0</v>
      </c>
      <c r="AI124" s="469">
        <f t="shared" si="72"/>
        <v>0</v>
      </c>
      <c r="AJ124" s="469">
        <f t="shared" si="72"/>
        <v>0</v>
      </c>
      <c r="AK124" s="469">
        <f t="shared" si="72"/>
        <v>0</v>
      </c>
      <c r="AL124" s="469">
        <f t="shared" si="72"/>
        <v>0</v>
      </c>
      <c r="AM124" s="469">
        <f t="shared" si="72"/>
        <v>0</v>
      </c>
      <c r="AN124" s="469">
        <f t="shared" si="72"/>
        <v>0</v>
      </c>
      <c r="AO124" s="469">
        <f t="shared" si="72"/>
        <v>0</v>
      </c>
      <c r="AP124" s="469">
        <f t="shared" si="72"/>
        <v>0</v>
      </c>
      <c r="AQ124" s="469">
        <f t="shared" si="72"/>
        <v>0</v>
      </c>
      <c r="AR124" s="469">
        <f t="shared" si="72"/>
        <v>0</v>
      </c>
      <c r="AS124" s="469">
        <f t="shared" si="72"/>
        <v>0</v>
      </c>
      <c r="AT124" s="469">
        <f t="shared" si="72"/>
        <v>0</v>
      </c>
      <c r="AU124" s="469">
        <f t="shared" si="72"/>
        <v>0</v>
      </c>
      <c r="AV124" s="469">
        <f t="shared" si="72"/>
        <v>0</v>
      </c>
      <c r="AW124" s="469">
        <f t="shared" si="72"/>
        <v>0</v>
      </c>
      <c r="AX124" s="469">
        <f t="shared" si="72"/>
        <v>0</v>
      </c>
      <c r="AY124" s="470">
        <f t="shared" si="73"/>
        <v>0</v>
      </c>
      <c r="AZ124" s="141"/>
    </row>
    <row r="125" spans="1:52">
      <c r="A125" s="1335">
        <f>$B$15</f>
        <v>0</v>
      </c>
      <c r="B125" s="1335"/>
      <c r="C125" s="1335"/>
      <c r="D125" s="1335"/>
      <c r="E125" s="1335"/>
      <c r="F125" s="467">
        <f>OpeningTemplate!$D$66</f>
        <v>0</v>
      </c>
      <c r="G125" s="467">
        <f>OpeningTemplate!$E$66</f>
        <v>0</v>
      </c>
      <c r="H125" s="446">
        <f t="shared" si="74"/>
        <v>0</v>
      </c>
      <c r="I125" s="446">
        <f t="shared" si="75"/>
        <v>0</v>
      </c>
      <c r="J125" s="468">
        <f t="shared" si="76"/>
        <v>0</v>
      </c>
      <c r="K125" s="467">
        <f t="shared" si="67"/>
        <v>0</v>
      </c>
      <c r="L125" s="467">
        <f t="shared" si="68"/>
        <v>0</v>
      </c>
      <c r="M125" s="469">
        <f t="shared" si="69"/>
        <v>0</v>
      </c>
      <c r="N125" s="469">
        <f t="shared" si="70"/>
        <v>0</v>
      </c>
      <c r="O125" s="469">
        <f t="shared" si="70"/>
        <v>0</v>
      </c>
      <c r="P125" s="469">
        <f t="shared" si="70"/>
        <v>0</v>
      </c>
      <c r="Q125" s="469">
        <f t="shared" si="77"/>
        <v>0</v>
      </c>
      <c r="R125" s="469">
        <f t="shared" si="72"/>
        <v>0</v>
      </c>
      <c r="S125" s="469">
        <f t="shared" si="72"/>
        <v>0</v>
      </c>
      <c r="T125" s="469">
        <f t="shared" si="72"/>
        <v>0</v>
      </c>
      <c r="U125" s="469">
        <f t="shared" si="72"/>
        <v>0</v>
      </c>
      <c r="V125" s="469">
        <f t="shared" si="72"/>
        <v>0</v>
      </c>
      <c r="W125" s="469">
        <f t="shared" si="72"/>
        <v>0</v>
      </c>
      <c r="X125" s="469">
        <f t="shared" si="72"/>
        <v>0</v>
      </c>
      <c r="Y125" s="469">
        <f t="shared" si="72"/>
        <v>0</v>
      </c>
      <c r="Z125" s="469">
        <f t="shared" si="72"/>
        <v>0</v>
      </c>
      <c r="AA125" s="469">
        <f t="shared" si="72"/>
        <v>0</v>
      </c>
      <c r="AB125" s="469">
        <f t="shared" si="72"/>
        <v>0</v>
      </c>
      <c r="AC125" s="469">
        <f t="shared" si="72"/>
        <v>0</v>
      </c>
      <c r="AD125" s="469">
        <f t="shared" si="72"/>
        <v>0</v>
      </c>
      <c r="AE125" s="469">
        <f t="shared" si="72"/>
        <v>0</v>
      </c>
      <c r="AF125" s="469">
        <f t="shared" si="72"/>
        <v>0</v>
      </c>
      <c r="AG125" s="469">
        <f t="shared" si="72"/>
        <v>0</v>
      </c>
      <c r="AH125" s="469">
        <f t="shared" si="72"/>
        <v>0</v>
      </c>
      <c r="AI125" s="469">
        <f t="shared" si="72"/>
        <v>0</v>
      </c>
      <c r="AJ125" s="469">
        <f t="shared" si="72"/>
        <v>0</v>
      </c>
      <c r="AK125" s="469">
        <f t="shared" si="72"/>
        <v>0</v>
      </c>
      <c r="AL125" s="469">
        <f t="shared" si="72"/>
        <v>0</v>
      </c>
      <c r="AM125" s="469">
        <f t="shared" si="72"/>
        <v>0</v>
      </c>
      <c r="AN125" s="469">
        <f t="shared" si="72"/>
        <v>0</v>
      </c>
      <c r="AO125" s="469">
        <f t="shared" si="72"/>
        <v>0</v>
      </c>
      <c r="AP125" s="469">
        <f t="shared" si="72"/>
        <v>0</v>
      </c>
      <c r="AQ125" s="469">
        <f t="shared" si="72"/>
        <v>0</v>
      </c>
      <c r="AR125" s="469">
        <f t="shared" si="72"/>
        <v>0</v>
      </c>
      <c r="AS125" s="469">
        <f t="shared" si="72"/>
        <v>0</v>
      </c>
      <c r="AT125" s="469">
        <f t="shared" si="72"/>
        <v>0</v>
      </c>
      <c r="AU125" s="469">
        <f t="shared" si="72"/>
        <v>0</v>
      </c>
      <c r="AV125" s="469">
        <f t="shared" si="72"/>
        <v>0</v>
      </c>
      <c r="AW125" s="469">
        <f t="shared" si="72"/>
        <v>0</v>
      </c>
      <c r="AX125" s="469">
        <f t="shared" si="72"/>
        <v>0</v>
      </c>
      <c r="AY125" s="470">
        <f t="shared" si="73"/>
        <v>0</v>
      </c>
      <c r="AZ125" s="141"/>
    </row>
    <row r="126" spans="1:52">
      <c r="A126" s="1335">
        <f>$B$16</f>
        <v>0</v>
      </c>
      <c r="B126" s="1335"/>
      <c r="C126" s="1335"/>
      <c r="D126" s="1335"/>
      <c r="E126" s="1335"/>
      <c r="F126" s="467">
        <f>OpeningTemplate!$D$76</f>
        <v>0</v>
      </c>
      <c r="G126" s="467">
        <f>OpeningTemplate!$E$76</f>
        <v>0</v>
      </c>
      <c r="H126" s="446">
        <f t="shared" si="74"/>
        <v>0</v>
      </c>
      <c r="I126" s="446">
        <f t="shared" si="75"/>
        <v>0</v>
      </c>
      <c r="J126" s="468">
        <f t="shared" si="76"/>
        <v>0</v>
      </c>
      <c r="K126" s="467">
        <f t="shared" si="67"/>
        <v>0</v>
      </c>
      <c r="L126" s="467">
        <f t="shared" si="68"/>
        <v>0</v>
      </c>
      <c r="M126" s="469">
        <f t="shared" si="69"/>
        <v>0</v>
      </c>
      <c r="N126" s="469">
        <f t="shared" si="70"/>
        <v>0</v>
      </c>
      <c r="O126" s="469">
        <f t="shared" si="70"/>
        <v>0</v>
      </c>
      <c r="P126" s="469">
        <f t="shared" si="70"/>
        <v>0</v>
      </c>
      <c r="Q126" s="469">
        <f t="shared" si="77"/>
        <v>0</v>
      </c>
      <c r="R126" s="469">
        <f t="shared" si="72"/>
        <v>0</v>
      </c>
      <c r="S126" s="469">
        <f t="shared" si="72"/>
        <v>0</v>
      </c>
      <c r="T126" s="469">
        <f t="shared" si="72"/>
        <v>0</v>
      </c>
      <c r="U126" s="469">
        <f t="shared" si="72"/>
        <v>0</v>
      </c>
      <c r="V126" s="469">
        <f t="shared" si="72"/>
        <v>0</v>
      </c>
      <c r="W126" s="469">
        <f t="shared" si="72"/>
        <v>0</v>
      </c>
      <c r="X126" s="469">
        <f t="shared" si="72"/>
        <v>0</v>
      </c>
      <c r="Y126" s="469">
        <f t="shared" si="72"/>
        <v>0</v>
      </c>
      <c r="Z126" s="469">
        <f t="shared" si="72"/>
        <v>0</v>
      </c>
      <c r="AA126" s="469">
        <f t="shared" si="72"/>
        <v>0</v>
      </c>
      <c r="AB126" s="469">
        <f t="shared" si="72"/>
        <v>0</v>
      </c>
      <c r="AC126" s="469">
        <f t="shared" si="72"/>
        <v>0</v>
      </c>
      <c r="AD126" s="469">
        <f t="shared" si="72"/>
        <v>0</v>
      </c>
      <c r="AE126" s="469">
        <f t="shared" si="72"/>
        <v>0</v>
      </c>
      <c r="AF126" s="469">
        <f t="shared" si="72"/>
        <v>0</v>
      </c>
      <c r="AG126" s="469">
        <f t="shared" si="72"/>
        <v>0</v>
      </c>
      <c r="AH126" s="469">
        <f t="shared" si="72"/>
        <v>0</v>
      </c>
      <c r="AI126" s="469">
        <f t="shared" si="72"/>
        <v>0</v>
      </c>
      <c r="AJ126" s="469">
        <f t="shared" si="72"/>
        <v>0</v>
      </c>
      <c r="AK126" s="469">
        <f t="shared" si="72"/>
        <v>0</v>
      </c>
      <c r="AL126" s="469">
        <f t="shared" si="72"/>
        <v>0</v>
      </c>
      <c r="AM126" s="469">
        <f t="shared" si="72"/>
        <v>0</v>
      </c>
      <c r="AN126" s="469">
        <f t="shared" si="72"/>
        <v>0</v>
      </c>
      <c r="AO126" s="469">
        <f t="shared" si="72"/>
        <v>0</v>
      </c>
      <c r="AP126" s="469">
        <f t="shared" si="72"/>
        <v>0</v>
      </c>
      <c r="AQ126" s="469">
        <f t="shared" si="72"/>
        <v>0</v>
      </c>
      <c r="AR126" s="469">
        <f t="shared" si="72"/>
        <v>0</v>
      </c>
      <c r="AS126" s="469">
        <f t="shared" si="72"/>
        <v>0</v>
      </c>
      <c r="AT126" s="469">
        <f t="shared" si="72"/>
        <v>0</v>
      </c>
      <c r="AU126" s="469">
        <f t="shared" si="72"/>
        <v>0</v>
      </c>
      <c r="AV126" s="469">
        <f t="shared" si="72"/>
        <v>0</v>
      </c>
      <c r="AW126" s="469">
        <f t="shared" si="72"/>
        <v>0</v>
      </c>
      <c r="AX126" s="469">
        <f t="shared" si="72"/>
        <v>0</v>
      </c>
      <c r="AY126" s="470">
        <f t="shared" si="73"/>
        <v>0</v>
      </c>
      <c r="AZ126" s="141"/>
    </row>
    <row r="127" spans="1:52">
      <c r="A127" s="1335">
        <f>$B$17</f>
        <v>0</v>
      </c>
      <c r="B127" s="1335"/>
      <c r="C127" s="1335"/>
      <c r="D127" s="1335"/>
      <c r="E127" s="1335"/>
      <c r="F127" s="467">
        <f>OpeningTemplate!$D$86</f>
        <v>0</v>
      </c>
      <c r="G127" s="467">
        <f>OpeningTemplate!$E$86</f>
        <v>0</v>
      </c>
      <c r="H127" s="446">
        <f t="shared" si="74"/>
        <v>0</v>
      </c>
      <c r="I127" s="446">
        <f t="shared" si="75"/>
        <v>0</v>
      </c>
      <c r="J127" s="468">
        <f t="shared" si="76"/>
        <v>0</v>
      </c>
      <c r="K127" s="467">
        <f t="shared" si="67"/>
        <v>0</v>
      </c>
      <c r="L127" s="467">
        <f t="shared" si="68"/>
        <v>0</v>
      </c>
      <c r="M127" s="469">
        <f t="shared" si="69"/>
        <v>0</v>
      </c>
      <c r="N127" s="469">
        <f t="shared" si="70"/>
        <v>0</v>
      </c>
      <c r="O127" s="469">
        <f t="shared" si="70"/>
        <v>0</v>
      </c>
      <c r="P127" s="469">
        <f t="shared" si="70"/>
        <v>0</v>
      </c>
      <c r="Q127" s="469">
        <f t="shared" si="77"/>
        <v>0</v>
      </c>
      <c r="R127" s="469">
        <f t="shared" si="72"/>
        <v>0</v>
      </c>
      <c r="S127" s="469">
        <f t="shared" si="72"/>
        <v>0</v>
      </c>
      <c r="T127" s="469">
        <f t="shared" si="72"/>
        <v>0</v>
      </c>
      <c r="U127" s="469">
        <f t="shared" si="72"/>
        <v>0</v>
      </c>
      <c r="V127" s="469">
        <f t="shared" si="72"/>
        <v>0</v>
      </c>
      <c r="W127" s="469">
        <f t="shared" si="72"/>
        <v>0</v>
      </c>
      <c r="X127" s="469">
        <f t="shared" si="72"/>
        <v>0</v>
      </c>
      <c r="Y127" s="469">
        <f t="shared" si="72"/>
        <v>0</v>
      </c>
      <c r="Z127" s="469">
        <f t="shared" si="72"/>
        <v>0</v>
      </c>
      <c r="AA127" s="469">
        <f t="shared" si="72"/>
        <v>0</v>
      </c>
      <c r="AB127" s="469">
        <f t="shared" si="72"/>
        <v>0</v>
      </c>
      <c r="AC127" s="469">
        <f t="shared" si="72"/>
        <v>0</v>
      </c>
      <c r="AD127" s="469">
        <f t="shared" si="72"/>
        <v>0</v>
      </c>
      <c r="AE127" s="469">
        <f t="shared" si="72"/>
        <v>0</v>
      </c>
      <c r="AF127" s="469">
        <f t="shared" si="72"/>
        <v>0</v>
      </c>
      <c r="AG127" s="469">
        <f t="shared" si="72"/>
        <v>0</v>
      </c>
      <c r="AH127" s="469">
        <f t="shared" si="72"/>
        <v>0</v>
      </c>
      <c r="AI127" s="469">
        <f t="shared" si="72"/>
        <v>0</v>
      </c>
      <c r="AJ127" s="469">
        <f t="shared" si="72"/>
        <v>0</v>
      </c>
      <c r="AK127" s="469">
        <f t="shared" si="72"/>
        <v>0</v>
      </c>
      <c r="AL127" s="469">
        <f t="shared" si="72"/>
        <v>0</v>
      </c>
      <c r="AM127" s="469">
        <f t="shared" si="72"/>
        <v>0</v>
      </c>
      <c r="AN127" s="469">
        <f t="shared" si="72"/>
        <v>0</v>
      </c>
      <c r="AO127" s="469">
        <f t="shared" si="72"/>
        <v>0</v>
      </c>
      <c r="AP127" s="469">
        <f t="shared" si="72"/>
        <v>0</v>
      </c>
      <c r="AQ127" s="469">
        <f t="shared" si="72"/>
        <v>0</v>
      </c>
      <c r="AR127" s="469">
        <f t="shared" si="72"/>
        <v>0</v>
      </c>
      <c r="AS127" s="469">
        <f t="shared" si="72"/>
        <v>0</v>
      </c>
      <c r="AT127" s="469">
        <f t="shared" si="72"/>
        <v>0</v>
      </c>
      <c r="AU127" s="469">
        <f t="shared" si="72"/>
        <v>0</v>
      </c>
      <c r="AV127" s="469">
        <f t="shared" si="72"/>
        <v>0</v>
      </c>
      <c r="AW127" s="469">
        <f t="shared" si="72"/>
        <v>0</v>
      </c>
      <c r="AX127" s="469">
        <f t="shared" si="72"/>
        <v>0</v>
      </c>
      <c r="AY127" s="470">
        <f t="shared" si="73"/>
        <v>0</v>
      </c>
      <c r="AZ127" s="141"/>
    </row>
    <row r="128" spans="1:52">
      <c r="A128" s="1335">
        <f>$B$18</f>
        <v>0</v>
      </c>
      <c r="B128" s="1335"/>
      <c r="C128" s="1335"/>
      <c r="D128" s="1335"/>
      <c r="E128" s="1335"/>
      <c r="F128" s="467">
        <f>OpeningTemplate!$D$96</f>
        <v>0</v>
      </c>
      <c r="G128" s="467">
        <f>OpeningTemplate!$E$96</f>
        <v>0</v>
      </c>
      <c r="H128" s="446">
        <f t="shared" si="74"/>
        <v>0</v>
      </c>
      <c r="I128" s="446">
        <f t="shared" si="75"/>
        <v>0</v>
      </c>
      <c r="J128" s="468">
        <f t="shared" si="76"/>
        <v>0</v>
      </c>
      <c r="K128" s="467">
        <f t="shared" si="67"/>
        <v>0</v>
      </c>
      <c r="L128" s="467">
        <f t="shared" si="68"/>
        <v>0</v>
      </c>
      <c r="M128" s="469">
        <f t="shared" si="69"/>
        <v>0</v>
      </c>
      <c r="N128" s="469">
        <f t="shared" ref="N128:P143" si="78">IF(AND(N$122&gt;=$K128,N$122&lt;=$L128),IF(M$122&lt;$F128,IF(N$122&lt;=$G128,(N$122-$F128+1)*$J128,$H128),IF(N$122&gt;=$G128,($G128-M$122)*$J128,(N$122-M$122)*$J128)),0)</f>
        <v>0</v>
      </c>
      <c r="O128" s="469">
        <f t="shared" si="78"/>
        <v>0</v>
      </c>
      <c r="P128" s="469">
        <f t="shared" si="78"/>
        <v>0</v>
      </c>
      <c r="Q128" s="469">
        <f t="shared" si="77"/>
        <v>0</v>
      </c>
      <c r="R128" s="469">
        <f t="shared" ref="R128:AX136" si="79">IF(AND(R$122&gt;=$K128,R$122&lt;=$L128),IF(Q$122&lt;$F128,IF(R$122&lt;=$G128,(R$122-$F128+1)*$J128,$H128),IF(R$122&gt;=$G128,($G128-Q$122)*$J128,(R$122-Q$122)*$J128)),0)</f>
        <v>0</v>
      </c>
      <c r="S128" s="469">
        <f t="shared" si="79"/>
        <v>0</v>
      </c>
      <c r="T128" s="469">
        <f t="shared" si="79"/>
        <v>0</v>
      </c>
      <c r="U128" s="469">
        <f t="shared" si="79"/>
        <v>0</v>
      </c>
      <c r="V128" s="469">
        <f t="shared" si="79"/>
        <v>0</v>
      </c>
      <c r="W128" s="469">
        <f t="shared" si="79"/>
        <v>0</v>
      </c>
      <c r="X128" s="469">
        <f t="shared" si="79"/>
        <v>0</v>
      </c>
      <c r="Y128" s="469">
        <f t="shared" si="79"/>
        <v>0</v>
      </c>
      <c r="Z128" s="469">
        <f t="shared" si="79"/>
        <v>0</v>
      </c>
      <c r="AA128" s="469">
        <f t="shared" si="79"/>
        <v>0</v>
      </c>
      <c r="AB128" s="469">
        <f t="shared" si="79"/>
        <v>0</v>
      </c>
      <c r="AC128" s="469">
        <f t="shared" si="79"/>
        <v>0</v>
      </c>
      <c r="AD128" s="469">
        <f t="shared" si="79"/>
        <v>0</v>
      </c>
      <c r="AE128" s="469">
        <f t="shared" si="79"/>
        <v>0</v>
      </c>
      <c r="AF128" s="469">
        <f t="shared" si="79"/>
        <v>0</v>
      </c>
      <c r="AG128" s="469">
        <f t="shared" si="79"/>
        <v>0</v>
      </c>
      <c r="AH128" s="469">
        <f t="shared" si="79"/>
        <v>0</v>
      </c>
      <c r="AI128" s="469">
        <f t="shared" si="79"/>
        <v>0</v>
      </c>
      <c r="AJ128" s="469">
        <f t="shared" si="79"/>
        <v>0</v>
      </c>
      <c r="AK128" s="469">
        <f t="shared" si="79"/>
        <v>0</v>
      </c>
      <c r="AL128" s="469">
        <f t="shared" si="79"/>
        <v>0</v>
      </c>
      <c r="AM128" s="469">
        <f t="shared" si="79"/>
        <v>0</v>
      </c>
      <c r="AN128" s="469">
        <f t="shared" si="79"/>
        <v>0</v>
      </c>
      <c r="AO128" s="469">
        <f t="shared" si="79"/>
        <v>0</v>
      </c>
      <c r="AP128" s="469">
        <f t="shared" si="79"/>
        <v>0</v>
      </c>
      <c r="AQ128" s="469">
        <f t="shared" si="79"/>
        <v>0</v>
      </c>
      <c r="AR128" s="469">
        <f t="shared" si="79"/>
        <v>0</v>
      </c>
      <c r="AS128" s="469">
        <f t="shared" si="79"/>
        <v>0</v>
      </c>
      <c r="AT128" s="469">
        <f t="shared" si="79"/>
        <v>0</v>
      </c>
      <c r="AU128" s="469">
        <f t="shared" si="79"/>
        <v>0</v>
      </c>
      <c r="AV128" s="469">
        <f t="shared" si="79"/>
        <v>0</v>
      </c>
      <c r="AW128" s="469">
        <f t="shared" si="79"/>
        <v>0</v>
      </c>
      <c r="AX128" s="469">
        <f t="shared" si="79"/>
        <v>0</v>
      </c>
      <c r="AY128" s="470">
        <f t="shared" si="73"/>
        <v>0</v>
      </c>
      <c r="AZ128" s="141"/>
    </row>
    <row r="129" spans="1:52">
      <c r="A129" s="1335">
        <f>$B$19</f>
        <v>0</v>
      </c>
      <c r="B129" s="1335"/>
      <c r="C129" s="1335"/>
      <c r="D129" s="1335"/>
      <c r="E129" s="1335"/>
      <c r="F129" s="467">
        <f>OpeningTemplate!$D$106</f>
        <v>0</v>
      </c>
      <c r="G129" s="467">
        <f>OpeningTemplate!$E$106</f>
        <v>0</v>
      </c>
      <c r="H129" s="446">
        <f t="shared" si="74"/>
        <v>0</v>
      </c>
      <c r="I129" s="446">
        <f t="shared" si="75"/>
        <v>0</v>
      </c>
      <c r="J129" s="468">
        <f t="shared" si="76"/>
        <v>0</v>
      </c>
      <c r="K129" s="467">
        <f t="shared" si="67"/>
        <v>0</v>
      </c>
      <c r="L129" s="467">
        <f t="shared" si="68"/>
        <v>0</v>
      </c>
      <c r="M129" s="469">
        <f t="shared" si="69"/>
        <v>0</v>
      </c>
      <c r="N129" s="469">
        <f t="shared" si="78"/>
        <v>0</v>
      </c>
      <c r="O129" s="469">
        <f t="shared" si="78"/>
        <v>0</v>
      </c>
      <c r="P129" s="469">
        <f t="shared" si="78"/>
        <v>0</v>
      </c>
      <c r="Q129" s="469">
        <f t="shared" si="77"/>
        <v>0</v>
      </c>
      <c r="R129" s="469">
        <f t="shared" ref="R129:AF129" si="80">IF(AND(R$122&gt;=$K129,R$122&lt;=$L129),IF(Q$122&lt;$F129,IF(R$122&lt;=$G129,(R$122-$F129+1)*$J129,$H129),IF(R$122&gt;=$G129,($G129-Q$122)*$J129,(R$122-Q$122)*$J129)),0)</f>
        <v>0</v>
      </c>
      <c r="S129" s="469">
        <f t="shared" si="80"/>
        <v>0</v>
      </c>
      <c r="T129" s="469">
        <f t="shared" si="80"/>
        <v>0</v>
      </c>
      <c r="U129" s="469">
        <f t="shared" si="80"/>
        <v>0</v>
      </c>
      <c r="V129" s="469">
        <f t="shared" si="80"/>
        <v>0</v>
      </c>
      <c r="W129" s="469">
        <f t="shared" si="80"/>
        <v>0</v>
      </c>
      <c r="X129" s="469">
        <f t="shared" si="80"/>
        <v>0</v>
      </c>
      <c r="Y129" s="469">
        <f t="shared" si="80"/>
        <v>0</v>
      </c>
      <c r="Z129" s="469">
        <f t="shared" si="80"/>
        <v>0</v>
      </c>
      <c r="AA129" s="469">
        <f t="shared" si="80"/>
        <v>0</v>
      </c>
      <c r="AB129" s="469">
        <f t="shared" si="80"/>
        <v>0</v>
      </c>
      <c r="AC129" s="469">
        <f t="shared" si="80"/>
        <v>0</v>
      </c>
      <c r="AD129" s="469">
        <f t="shared" si="80"/>
        <v>0</v>
      </c>
      <c r="AE129" s="469">
        <f t="shared" si="80"/>
        <v>0</v>
      </c>
      <c r="AF129" s="469">
        <f t="shared" si="80"/>
        <v>0</v>
      </c>
      <c r="AG129" s="469">
        <f t="shared" si="79"/>
        <v>0</v>
      </c>
      <c r="AH129" s="469">
        <f t="shared" si="79"/>
        <v>0</v>
      </c>
      <c r="AI129" s="469">
        <f t="shared" si="79"/>
        <v>0</v>
      </c>
      <c r="AJ129" s="469">
        <f t="shared" si="79"/>
        <v>0</v>
      </c>
      <c r="AK129" s="469">
        <f t="shared" si="79"/>
        <v>0</v>
      </c>
      <c r="AL129" s="469">
        <f t="shared" si="79"/>
        <v>0</v>
      </c>
      <c r="AM129" s="469">
        <f t="shared" si="79"/>
        <v>0</v>
      </c>
      <c r="AN129" s="469">
        <f t="shared" si="79"/>
        <v>0</v>
      </c>
      <c r="AO129" s="469">
        <f t="shared" si="79"/>
        <v>0</v>
      </c>
      <c r="AP129" s="469">
        <f t="shared" si="79"/>
        <v>0</v>
      </c>
      <c r="AQ129" s="469">
        <f t="shared" si="79"/>
        <v>0</v>
      </c>
      <c r="AR129" s="469">
        <f t="shared" si="79"/>
        <v>0</v>
      </c>
      <c r="AS129" s="469">
        <f t="shared" si="79"/>
        <v>0</v>
      </c>
      <c r="AT129" s="469">
        <f t="shared" si="79"/>
        <v>0</v>
      </c>
      <c r="AU129" s="469">
        <f t="shared" si="79"/>
        <v>0</v>
      </c>
      <c r="AV129" s="469">
        <f t="shared" si="79"/>
        <v>0</v>
      </c>
      <c r="AW129" s="469">
        <f t="shared" si="79"/>
        <v>0</v>
      </c>
      <c r="AX129" s="469">
        <f t="shared" si="79"/>
        <v>0</v>
      </c>
      <c r="AY129" s="470">
        <f t="shared" si="73"/>
        <v>0</v>
      </c>
      <c r="AZ129" s="141"/>
    </row>
    <row r="130" spans="1:52">
      <c r="A130" s="1335">
        <f>$B$20</f>
        <v>0</v>
      </c>
      <c r="B130" s="1335"/>
      <c r="C130" s="1335"/>
      <c r="D130" s="1335"/>
      <c r="E130" s="1335"/>
      <c r="F130" s="467">
        <f>OpeningTemplate!$D$116</f>
        <v>0</v>
      </c>
      <c r="G130" s="467">
        <f>OpeningTemplate!$E$116</f>
        <v>0</v>
      </c>
      <c r="H130" s="446">
        <f t="shared" si="74"/>
        <v>0</v>
      </c>
      <c r="I130" s="446">
        <f t="shared" si="75"/>
        <v>0</v>
      </c>
      <c r="J130" s="468">
        <f t="shared" si="76"/>
        <v>0</v>
      </c>
      <c r="K130" s="467">
        <f t="shared" si="67"/>
        <v>0</v>
      </c>
      <c r="L130" s="467">
        <f t="shared" si="68"/>
        <v>0</v>
      </c>
      <c r="M130" s="469">
        <f t="shared" si="69"/>
        <v>0</v>
      </c>
      <c r="N130" s="469">
        <f t="shared" si="78"/>
        <v>0</v>
      </c>
      <c r="O130" s="469">
        <f t="shared" si="78"/>
        <v>0</v>
      </c>
      <c r="P130" s="469">
        <f t="shared" si="78"/>
        <v>0</v>
      </c>
      <c r="Q130" s="469">
        <f t="shared" si="77"/>
        <v>0</v>
      </c>
      <c r="R130" s="469">
        <f t="shared" si="79"/>
        <v>0</v>
      </c>
      <c r="S130" s="469">
        <f t="shared" si="79"/>
        <v>0</v>
      </c>
      <c r="T130" s="469">
        <f t="shared" si="79"/>
        <v>0</v>
      </c>
      <c r="U130" s="469">
        <f t="shared" si="79"/>
        <v>0</v>
      </c>
      <c r="V130" s="469">
        <f t="shared" si="79"/>
        <v>0</v>
      </c>
      <c r="W130" s="469">
        <f t="shared" si="79"/>
        <v>0</v>
      </c>
      <c r="X130" s="469">
        <f t="shared" si="79"/>
        <v>0</v>
      </c>
      <c r="Y130" s="469">
        <f t="shared" si="79"/>
        <v>0</v>
      </c>
      <c r="Z130" s="469">
        <f t="shared" si="79"/>
        <v>0</v>
      </c>
      <c r="AA130" s="469">
        <f t="shared" si="79"/>
        <v>0</v>
      </c>
      <c r="AB130" s="469">
        <f t="shared" si="79"/>
        <v>0</v>
      </c>
      <c r="AC130" s="469">
        <f t="shared" si="79"/>
        <v>0</v>
      </c>
      <c r="AD130" s="469">
        <f t="shared" si="79"/>
        <v>0</v>
      </c>
      <c r="AE130" s="469">
        <f t="shared" si="79"/>
        <v>0</v>
      </c>
      <c r="AF130" s="469">
        <f t="shared" si="79"/>
        <v>0</v>
      </c>
      <c r="AG130" s="469">
        <f t="shared" si="79"/>
        <v>0</v>
      </c>
      <c r="AH130" s="469">
        <f t="shared" si="79"/>
        <v>0</v>
      </c>
      <c r="AI130" s="469">
        <f t="shared" si="79"/>
        <v>0</v>
      </c>
      <c r="AJ130" s="469">
        <f t="shared" si="79"/>
        <v>0</v>
      </c>
      <c r="AK130" s="469">
        <f t="shared" si="79"/>
        <v>0</v>
      </c>
      <c r="AL130" s="469">
        <f t="shared" si="79"/>
        <v>0</v>
      </c>
      <c r="AM130" s="469">
        <f t="shared" si="79"/>
        <v>0</v>
      </c>
      <c r="AN130" s="469">
        <f t="shared" si="79"/>
        <v>0</v>
      </c>
      <c r="AO130" s="469">
        <f t="shared" si="79"/>
        <v>0</v>
      </c>
      <c r="AP130" s="469">
        <f t="shared" si="79"/>
        <v>0</v>
      </c>
      <c r="AQ130" s="469">
        <f t="shared" si="79"/>
        <v>0</v>
      </c>
      <c r="AR130" s="469">
        <f t="shared" si="79"/>
        <v>0</v>
      </c>
      <c r="AS130" s="469">
        <f t="shared" si="79"/>
        <v>0</v>
      </c>
      <c r="AT130" s="469">
        <f t="shared" si="79"/>
        <v>0</v>
      </c>
      <c r="AU130" s="469">
        <f t="shared" si="79"/>
        <v>0</v>
      </c>
      <c r="AV130" s="469">
        <f t="shared" si="79"/>
        <v>0</v>
      </c>
      <c r="AW130" s="469">
        <f t="shared" si="79"/>
        <v>0</v>
      </c>
      <c r="AX130" s="469">
        <f t="shared" si="79"/>
        <v>0</v>
      </c>
      <c r="AY130" s="470">
        <f t="shared" si="73"/>
        <v>0</v>
      </c>
      <c r="AZ130" s="141"/>
    </row>
    <row r="131" spans="1:52">
      <c r="A131" s="1335">
        <f>$B$21</f>
        <v>0</v>
      </c>
      <c r="B131" s="1335"/>
      <c r="C131" s="1335"/>
      <c r="D131" s="1335"/>
      <c r="E131" s="1335"/>
      <c r="F131" s="467">
        <f>OpeningTemplate!$D$126</f>
        <v>0</v>
      </c>
      <c r="G131" s="467">
        <f>OpeningTemplate!$E$126</f>
        <v>0</v>
      </c>
      <c r="H131" s="446">
        <f t="shared" si="74"/>
        <v>0</v>
      </c>
      <c r="I131" s="446">
        <f t="shared" si="75"/>
        <v>0</v>
      </c>
      <c r="J131" s="468">
        <f t="shared" si="76"/>
        <v>0</v>
      </c>
      <c r="K131" s="467">
        <f t="shared" si="67"/>
        <v>0</v>
      </c>
      <c r="L131" s="467">
        <f t="shared" si="68"/>
        <v>0</v>
      </c>
      <c r="M131" s="469">
        <f t="shared" si="69"/>
        <v>0</v>
      </c>
      <c r="N131" s="469">
        <f t="shared" si="78"/>
        <v>0</v>
      </c>
      <c r="O131" s="469">
        <f t="shared" si="78"/>
        <v>0</v>
      </c>
      <c r="P131" s="469">
        <f t="shared" si="78"/>
        <v>0</v>
      </c>
      <c r="Q131" s="469">
        <f t="shared" si="77"/>
        <v>0</v>
      </c>
      <c r="R131" s="469">
        <f t="shared" si="79"/>
        <v>0</v>
      </c>
      <c r="S131" s="469">
        <f t="shared" si="79"/>
        <v>0</v>
      </c>
      <c r="T131" s="469">
        <f t="shared" si="79"/>
        <v>0</v>
      </c>
      <c r="U131" s="469">
        <f t="shared" si="79"/>
        <v>0</v>
      </c>
      <c r="V131" s="469">
        <f t="shared" si="79"/>
        <v>0</v>
      </c>
      <c r="W131" s="469">
        <f t="shared" si="79"/>
        <v>0</v>
      </c>
      <c r="X131" s="469">
        <f t="shared" si="79"/>
        <v>0</v>
      </c>
      <c r="Y131" s="469">
        <f t="shared" si="79"/>
        <v>0</v>
      </c>
      <c r="Z131" s="469">
        <f t="shared" si="79"/>
        <v>0</v>
      </c>
      <c r="AA131" s="469">
        <f t="shared" si="79"/>
        <v>0</v>
      </c>
      <c r="AB131" s="469">
        <f t="shared" si="79"/>
        <v>0</v>
      </c>
      <c r="AC131" s="469">
        <f t="shared" si="79"/>
        <v>0</v>
      </c>
      <c r="AD131" s="469">
        <f t="shared" si="79"/>
        <v>0</v>
      </c>
      <c r="AE131" s="469">
        <f t="shared" si="79"/>
        <v>0</v>
      </c>
      <c r="AF131" s="469">
        <f t="shared" si="79"/>
        <v>0</v>
      </c>
      <c r="AG131" s="469">
        <f t="shared" si="79"/>
        <v>0</v>
      </c>
      <c r="AH131" s="469">
        <f t="shared" si="79"/>
        <v>0</v>
      </c>
      <c r="AI131" s="469">
        <f t="shared" si="79"/>
        <v>0</v>
      </c>
      <c r="AJ131" s="469">
        <f t="shared" si="79"/>
        <v>0</v>
      </c>
      <c r="AK131" s="469">
        <f t="shared" si="79"/>
        <v>0</v>
      </c>
      <c r="AL131" s="469">
        <f t="shared" si="79"/>
        <v>0</v>
      </c>
      <c r="AM131" s="469">
        <f t="shared" si="79"/>
        <v>0</v>
      </c>
      <c r="AN131" s="469">
        <f t="shared" si="79"/>
        <v>0</v>
      </c>
      <c r="AO131" s="469">
        <f t="shared" si="79"/>
        <v>0</v>
      </c>
      <c r="AP131" s="469">
        <f t="shared" si="79"/>
        <v>0</v>
      </c>
      <c r="AQ131" s="469">
        <f t="shared" si="79"/>
        <v>0</v>
      </c>
      <c r="AR131" s="469">
        <f t="shared" si="79"/>
        <v>0</v>
      </c>
      <c r="AS131" s="469">
        <f t="shared" si="79"/>
        <v>0</v>
      </c>
      <c r="AT131" s="469">
        <f t="shared" si="79"/>
        <v>0</v>
      </c>
      <c r="AU131" s="469">
        <f t="shared" si="79"/>
        <v>0</v>
      </c>
      <c r="AV131" s="469">
        <f t="shared" si="79"/>
        <v>0</v>
      </c>
      <c r="AW131" s="469">
        <f t="shared" si="79"/>
        <v>0</v>
      </c>
      <c r="AX131" s="469">
        <f t="shared" si="79"/>
        <v>0</v>
      </c>
      <c r="AY131" s="470">
        <f t="shared" si="73"/>
        <v>0</v>
      </c>
      <c r="AZ131" s="141"/>
    </row>
    <row r="132" spans="1:52">
      <c r="A132" s="1335">
        <f>$B$22</f>
        <v>0</v>
      </c>
      <c r="B132" s="1335"/>
      <c r="C132" s="1335"/>
      <c r="D132" s="1335"/>
      <c r="E132" s="1335"/>
      <c r="F132" s="467">
        <f>OpeningTemplate!$D$136</f>
        <v>0</v>
      </c>
      <c r="G132" s="467">
        <f>OpeningTemplate!$E$136</f>
        <v>0</v>
      </c>
      <c r="H132" s="446">
        <f t="shared" si="74"/>
        <v>0</v>
      </c>
      <c r="I132" s="446">
        <f t="shared" si="75"/>
        <v>0</v>
      </c>
      <c r="J132" s="468">
        <f t="shared" si="76"/>
        <v>0</v>
      </c>
      <c r="K132" s="467">
        <f t="shared" si="67"/>
        <v>0</v>
      </c>
      <c r="L132" s="467">
        <f t="shared" si="68"/>
        <v>0</v>
      </c>
      <c r="M132" s="469">
        <f t="shared" si="69"/>
        <v>0</v>
      </c>
      <c r="N132" s="469">
        <f t="shared" si="78"/>
        <v>0</v>
      </c>
      <c r="O132" s="469">
        <f t="shared" si="78"/>
        <v>0</v>
      </c>
      <c r="P132" s="469">
        <f t="shared" si="78"/>
        <v>0</v>
      </c>
      <c r="Q132" s="469">
        <f t="shared" si="77"/>
        <v>0</v>
      </c>
      <c r="R132" s="469">
        <f t="shared" si="79"/>
        <v>0</v>
      </c>
      <c r="S132" s="469">
        <f t="shared" si="79"/>
        <v>0</v>
      </c>
      <c r="T132" s="469">
        <f t="shared" si="79"/>
        <v>0</v>
      </c>
      <c r="U132" s="469">
        <f t="shared" si="79"/>
        <v>0</v>
      </c>
      <c r="V132" s="469">
        <f t="shared" si="79"/>
        <v>0</v>
      </c>
      <c r="W132" s="469">
        <f t="shared" si="79"/>
        <v>0</v>
      </c>
      <c r="X132" s="469">
        <f t="shared" si="79"/>
        <v>0</v>
      </c>
      <c r="Y132" s="469">
        <f t="shared" si="79"/>
        <v>0</v>
      </c>
      <c r="Z132" s="469">
        <f t="shared" si="79"/>
        <v>0</v>
      </c>
      <c r="AA132" s="469">
        <f t="shared" si="79"/>
        <v>0</v>
      </c>
      <c r="AB132" s="469">
        <f t="shared" si="79"/>
        <v>0</v>
      </c>
      <c r="AC132" s="469">
        <f t="shared" si="79"/>
        <v>0</v>
      </c>
      <c r="AD132" s="469">
        <f t="shared" si="79"/>
        <v>0</v>
      </c>
      <c r="AE132" s="469">
        <f t="shared" si="79"/>
        <v>0</v>
      </c>
      <c r="AF132" s="469">
        <f t="shared" si="79"/>
        <v>0</v>
      </c>
      <c r="AG132" s="469">
        <f t="shared" si="79"/>
        <v>0</v>
      </c>
      <c r="AH132" s="469">
        <f t="shared" si="79"/>
        <v>0</v>
      </c>
      <c r="AI132" s="469">
        <f t="shared" si="79"/>
        <v>0</v>
      </c>
      <c r="AJ132" s="469">
        <f t="shared" si="79"/>
        <v>0</v>
      </c>
      <c r="AK132" s="469">
        <f t="shared" si="79"/>
        <v>0</v>
      </c>
      <c r="AL132" s="469">
        <f t="shared" si="79"/>
        <v>0</v>
      </c>
      <c r="AM132" s="469">
        <f t="shared" si="79"/>
        <v>0</v>
      </c>
      <c r="AN132" s="469">
        <f t="shared" si="79"/>
        <v>0</v>
      </c>
      <c r="AO132" s="469">
        <f t="shared" si="79"/>
        <v>0</v>
      </c>
      <c r="AP132" s="469">
        <f t="shared" si="79"/>
        <v>0</v>
      </c>
      <c r="AQ132" s="469">
        <f t="shared" si="79"/>
        <v>0</v>
      </c>
      <c r="AR132" s="469">
        <f t="shared" si="79"/>
        <v>0</v>
      </c>
      <c r="AS132" s="469">
        <f t="shared" si="79"/>
        <v>0</v>
      </c>
      <c r="AT132" s="469">
        <f t="shared" si="79"/>
        <v>0</v>
      </c>
      <c r="AU132" s="469">
        <f t="shared" si="79"/>
        <v>0</v>
      </c>
      <c r="AV132" s="469">
        <f t="shared" si="79"/>
        <v>0</v>
      </c>
      <c r="AW132" s="469">
        <f t="shared" si="79"/>
        <v>0</v>
      </c>
      <c r="AX132" s="469">
        <f t="shared" si="79"/>
        <v>0</v>
      </c>
      <c r="AY132" s="470">
        <f t="shared" si="73"/>
        <v>0</v>
      </c>
      <c r="AZ132" s="141"/>
    </row>
    <row r="133" spans="1:52">
      <c r="A133" s="1335">
        <f>$B$23</f>
        <v>0</v>
      </c>
      <c r="B133" s="1335"/>
      <c r="C133" s="1335"/>
      <c r="D133" s="1335"/>
      <c r="E133" s="1335"/>
      <c r="F133" s="467">
        <f>OpeningTemplate!$D$146</f>
        <v>0</v>
      </c>
      <c r="G133" s="467">
        <f>OpeningTemplate!$E$146</f>
        <v>0</v>
      </c>
      <c r="H133" s="446">
        <f t="shared" si="74"/>
        <v>0</v>
      </c>
      <c r="I133" s="446">
        <f t="shared" si="75"/>
        <v>0</v>
      </c>
      <c r="J133" s="468">
        <f t="shared" si="76"/>
        <v>0</v>
      </c>
      <c r="K133" s="467">
        <f t="shared" si="67"/>
        <v>0</v>
      </c>
      <c r="L133" s="467">
        <f t="shared" si="68"/>
        <v>0</v>
      </c>
      <c r="M133" s="469">
        <f t="shared" si="69"/>
        <v>0</v>
      </c>
      <c r="N133" s="469">
        <f t="shared" si="78"/>
        <v>0</v>
      </c>
      <c r="O133" s="469">
        <f t="shared" si="78"/>
        <v>0</v>
      </c>
      <c r="P133" s="469">
        <f t="shared" si="78"/>
        <v>0</v>
      </c>
      <c r="Q133" s="469">
        <f t="shared" si="77"/>
        <v>0</v>
      </c>
      <c r="R133" s="469">
        <f t="shared" si="79"/>
        <v>0</v>
      </c>
      <c r="S133" s="469">
        <f t="shared" si="79"/>
        <v>0</v>
      </c>
      <c r="T133" s="469">
        <f t="shared" si="79"/>
        <v>0</v>
      </c>
      <c r="U133" s="469">
        <f t="shared" si="79"/>
        <v>0</v>
      </c>
      <c r="V133" s="469">
        <f t="shared" si="79"/>
        <v>0</v>
      </c>
      <c r="W133" s="469">
        <f t="shared" si="79"/>
        <v>0</v>
      </c>
      <c r="X133" s="469">
        <f t="shared" si="79"/>
        <v>0</v>
      </c>
      <c r="Y133" s="469">
        <f t="shared" si="79"/>
        <v>0</v>
      </c>
      <c r="Z133" s="469">
        <f t="shared" si="79"/>
        <v>0</v>
      </c>
      <c r="AA133" s="469">
        <f t="shared" si="79"/>
        <v>0</v>
      </c>
      <c r="AB133" s="469">
        <f t="shared" si="79"/>
        <v>0</v>
      </c>
      <c r="AC133" s="469">
        <f t="shared" si="79"/>
        <v>0</v>
      </c>
      <c r="AD133" s="469">
        <f t="shared" si="79"/>
        <v>0</v>
      </c>
      <c r="AE133" s="469">
        <f t="shared" si="79"/>
        <v>0</v>
      </c>
      <c r="AF133" s="469">
        <f t="shared" si="79"/>
        <v>0</v>
      </c>
      <c r="AG133" s="469">
        <f t="shared" si="79"/>
        <v>0</v>
      </c>
      <c r="AH133" s="469">
        <f t="shared" si="79"/>
        <v>0</v>
      </c>
      <c r="AI133" s="469">
        <f t="shared" si="79"/>
        <v>0</v>
      </c>
      <c r="AJ133" s="469">
        <f t="shared" si="79"/>
        <v>0</v>
      </c>
      <c r="AK133" s="469">
        <f t="shared" si="79"/>
        <v>0</v>
      </c>
      <c r="AL133" s="469">
        <f t="shared" si="79"/>
        <v>0</v>
      </c>
      <c r="AM133" s="469">
        <f t="shared" si="79"/>
        <v>0</v>
      </c>
      <c r="AN133" s="469">
        <f t="shared" si="79"/>
        <v>0</v>
      </c>
      <c r="AO133" s="469">
        <f t="shared" si="79"/>
        <v>0</v>
      </c>
      <c r="AP133" s="469">
        <f t="shared" si="79"/>
        <v>0</v>
      </c>
      <c r="AQ133" s="469">
        <f t="shared" si="79"/>
        <v>0</v>
      </c>
      <c r="AR133" s="469">
        <f t="shared" si="79"/>
        <v>0</v>
      </c>
      <c r="AS133" s="469">
        <f t="shared" si="79"/>
        <v>0</v>
      </c>
      <c r="AT133" s="469">
        <f t="shared" si="79"/>
        <v>0</v>
      </c>
      <c r="AU133" s="469">
        <f t="shared" si="79"/>
        <v>0</v>
      </c>
      <c r="AV133" s="469">
        <f t="shared" si="79"/>
        <v>0</v>
      </c>
      <c r="AW133" s="469">
        <f t="shared" si="79"/>
        <v>0</v>
      </c>
      <c r="AX133" s="469">
        <f t="shared" si="79"/>
        <v>0</v>
      </c>
      <c r="AY133" s="470">
        <f t="shared" si="73"/>
        <v>0</v>
      </c>
      <c r="AZ133" s="141"/>
    </row>
    <row r="134" spans="1:52">
      <c r="A134" s="1335">
        <f>$B$24</f>
        <v>0</v>
      </c>
      <c r="B134" s="1335"/>
      <c r="C134" s="1335"/>
      <c r="D134" s="1335"/>
      <c r="E134" s="1335"/>
      <c r="F134" s="467">
        <f>OpeningTemplate!$D$156</f>
        <v>0</v>
      </c>
      <c r="G134" s="467">
        <f>OpeningTemplate!$E$156</f>
        <v>0</v>
      </c>
      <c r="H134" s="446">
        <f t="shared" si="74"/>
        <v>0</v>
      </c>
      <c r="I134" s="446">
        <f t="shared" si="75"/>
        <v>0</v>
      </c>
      <c r="J134" s="468">
        <f t="shared" si="76"/>
        <v>0</v>
      </c>
      <c r="K134" s="467">
        <f t="shared" si="67"/>
        <v>0</v>
      </c>
      <c r="L134" s="467">
        <f t="shared" si="68"/>
        <v>0</v>
      </c>
      <c r="M134" s="469">
        <f t="shared" si="69"/>
        <v>0</v>
      </c>
      <c r="N134" s="469">
        <f t="shared" si="78"/>
        <v>0</v>
      </c>
      <c r="O134" s="469">
        <f t="shared" si="78"/>
        <v>0</v>
      </c>
      <c r="P134" s="469">
        <f t="shared" si="78"/>
        <v>0</v>
      </c>
      <c r="Q134" s="469">
        <f t="shared" si="77"/>
        <v>0</v>
      </c>
      <c r="R134" s="469">
        <f t="shared" si="79"/>
        <v>0</v>
      </c>
      <c r="S134" s="469">
        <f t="shared" si="79"/>
        <v>0</v>
      </c>
      <c r="T134" s="469">
        <f t="shared" si="79"/>
        <v>0</v>
      </c>
      <c r="U134" s="469">
        <f t="shared" si="79"/>
        <v>0</v>
      </c>
      <c r="V134" s="469">
        <f t="shared" si="79"/>
        <v>0</v>
      </c>
      <c r="W134" s="469">
        <f t="shared" si="79"/>
        <v>0</v>
      </c>
      <c r="X134" s="469">
        <f t="shared" si="79"/>
        <v>0</v>
      </c>
      <c r="Y134" s="469">
        <f t="shared" si="79"/>
        <v>0</v>
      </c>
      <c r="Z134" s="469">
        <f t="shared" si="79"/>
        <v>0</v>
      </c>
      <c r="AA134" s="469">
        <f t="shared" si="79"/>
        <v>0</v>
      </c>
      <c r="AB134" s="469">
        <f t="shared" si="79"/>
        <v>0</v>
      </c>
      <c r="AC134" s="469">
        <f t="shared" si="79"/>
        <v>0</v>
      </c>
      <c r="AD134" s="469">
        <f t="shared" si="79"/>
        <v>0</v>
      </c>
      <c r="AE134" s="469">
        <f t="shared" si="79"/>
        <v>0</v>
      </c>
      <c r="AF134" s="469">
        <f t="shared" si="79"/>
        <v>0</v>
      </c>
      <c r="AG134" s="469">
        <f t="shared" si="79"/>
        <v>0</v>
      </c>
      <c r="AH134" s="469">
        <f t="shared" si="79"/>
        <v>0</v>
      </c>
      <c r="AI134" s="469">
        <f t="shared" si="79"/>
        <v>0</v>
      </c>
      <c r="AJ134" s="469">
        <f t="shared" si="79"/>
        <v>0</v>
      </c>
      <c r="AK134" s="469">
        <f t="shared" si="79"/>
        <v>0</v>
      </c>
      <c r="AL134" s="469">
        <f t="shared" si="79"/>
        <v>0</v>
      </c>
      <c r="AM134" s="469">
        <f t="shared" si="79"/>
        <v>0</v>
      </c>
      <c r="AN134" s="469">
        <f t="shared" si="79"/>
        <v>0</v>
      </c>
      <c r="AO134" s="469">
        <f t="shared" si="79"/>
        <v>0</v>
      </c>
      <c r="AP134" s="469">
        <f t="shared" si="79"/>
        <v>0</v>
      </c>
      <c r="AQ134" s="469">
        <f t="shared" si="79"/>
        <v>0</v>
      </c>
      <c r="AR134" s="469">
        <f t="shared" si="79"/>
        <v>0</v>
      </c>
      <c r="AS134" s="469">
        <f t="shared" si="79"/>
        <v>0</v>
      </c>
      <c r="AT134" s="469">
        <f t="shared" si="79"/>
        <v>0</v>
      </c>
      <c r="AU134" s="469">
        <f t="shared" si="79"/>
        <v>0</v>
      </c>
      <c r="AV134" s="469">
        <f t="shared" si="79"/>
        <v>0</v>
      </c>
      <c r="AW134" s="469">
        <f t="shared" si="79"/>
        <v>0</v>
      </c>
      <c r="AX134" s="469">
        <f t="shared" si="79"/>
        <v>0</v>
      </c>
      <c r="AY134" s="470">
        <f t="shared" si="73"/>
        <v>0</v>
      </c>
      <c r="AZ134" s="141"/>
    </row>
    <row r="135" spans="1:52">
      <c r="A135" s="1335">
        <f>$B$25</f>
        <v>0</v>
      </c>
      <c r="B135" s="1335"/>
      <c r="C135" s="1335"/>
      <c r="D135" s="1335"/>
      <c r="E135" s="1335"/>
      <c r="F135" s="467">
        <f>OpeningTemplate!$D$166</f>
        <v>0</v>
      </c>
      <c r="G135" s="467">
        <f>OpeningTemplate!$E$166</f>
        <v>0</v>
      </c>
      <c r="H135" s="446">
        <f t="shared" si="74"/>
        <v>0</v>
      </c>
      <c r="I135" s="446">
        <f t="shared" si="75"/>
        <v>0</v>
      </c>
      <c r="J135" s="468">
        <f t="shared" si="76"/>
        <v>0</v>
      </c>
      <c r="K135" s="467">
        <f t="shared" si="67"/>
        <v>0</v>
      </c>
      <c r="L135" s="467">
        <f t="shared" si="68"/>
        <v>0</v>
      </c>
      <c r="M135" s="469">
        <f t="shared" si="69"/>
        <v>0</v>
      </c>
      <c r="N135" s="469">
        <f t="shared" si="78"/>
        <v>0</v>
      </c>
      <c r="O135" s="469">
        <f t="shared" si="78"/>
        <v>0</v>
      </c>
      <c r="P135" s="469">
        <f t="shared" si="78"/>
        <v>0</v>
      </c>
      <c r="Q135" s="469">
        <f t="shared" si="77"/>
        <v>0</v>
      </c>
      <c r="R135" s="469">
        <f t="shared" si="79"/>
        <v>0</v>
      </c>
      <c r="S135" s="469">
        <f t="shared" si="79"/>
        <v>0</v>
      </c>
      <c r="T135" s="469">
        <f t="shared" si="79"/>
        <v>0</v>
      </c>
      <c r="U135" s="469">
        <f t="shared" si="79"/>
        <v>0</v>
      </c>
      <c r="V135" s="469">
        <f t="shared" si="79"/>
        <v>0</v>
      </c>
      <c r="W135" s="469">
        <f t="shared" si="79"/>
        <v>0</v>
      </c>
      <c r="X135" s="469">
        <f t="shared" si="79"/>
        <v>0</v>
      </c>
      <c r="Y135" s="469">
        <f t="shared" si="79"/>
        <v>0</v>
      </c>
      <c r="Z135" s="469">
        <f t="shared" si="79"/>
        <v>0</v>
      </c>
      <c r="AA135" s="469">
        <f t="shared" si="79"/>
        <v>0</v>
      </c>
      <c r="AB135" s="469">
        <f t="shared" si="79"/>
        <v>0</v>
      </c>
      <c r="AC135" s="469">
        <f t="shared" si="79"/>
        <v>0</v>
      </c>
      <c r="AD135" s="469">
        <f t="shared" si="79"/>
        <v>0</v>
      </c>
      <c r="AE135" s="469">
        <f t="shared" si="79"/>
        <v>0</v>
      </c>
      <c r="AF135" s="469">
        <f t="shared" si="79"/>
        <v>0</v>
      </c>
      <c r="AG135" s="469">
        <f t="shared" si="79"/>
        <v>0</v>
      </c>
      <c r="AH135" s="469">
        <f t="shared" si="79"/>
        <v>0</v>
      </c>
      <c r="AI135" s="469">
        <f t="shared" si="79"/>
        <v>0</v>
      </c>
      <c r="AJ135" s="469">
        <f t="shared" si="79"/>
        <v>0</v>
      </c>
      <c r="AK135" s="469">
        <f t="shared" si="79"/>
        <v>0</v>
      </c>
      <c r="AL135" s="469">
        <f t="shared" si="79"/>
        <v>0</v>
      </c>
      <c r="AM135" s="469">
        <f t="shared" si="79"/>
        <v>0</v>
      </c>
      <c r="AN135" s="469">
        <f t="shared" si="79"/>
        <v>0</v>
      </c>
      <c r="AO135" s="469">
        <f t="shared" si="79"/>
        <v>0</v>
      </c>
      <c r="AP135" s="469">
        <f t="shared" si="79"/>
        <v>0</v>
      </c>
      <c r="AQ135" s="469">
        <f t="shared" si="79"/>
        <v>0</v>
      </c>
      <c r="AR135" s="469">
        <f t="shared" si="79"/>
        <v>0</v>
      </c>
      <c r="AS135" s="469">
        <f t="shared" si="79"/>
        <v>0</v>
      </c>
      <c r="AT135" s="469">
        <f t="shared" si="79"/>
        <v>0</v>
      </c>
      <c r="AU135" s="469">
        <f t="shared" si="79"/>
        <v>0</v>
      </c>
      <c r="AV135" s="469">
        <f t="shared" si="79"/>
        <v>0</v>
      </c>
      <c r="AW135" s="469">
        <f t="shared" si="79"/>
        <v>0</v>
      </c>
      <c r="AX135" s="469">
        <f t="shared" si="79"/>
        <v>0</v>
      </c>
      <c r="AY135" s="470">
        <f t="shared" si="73"/>
        <v>0</v>
      </c>
      <c r="AZ135" s="141"/>
    </row>
    <row r="136" spans="1:52">
      <c r="A136" s="1335">
        <f>$B$26</f>
        <v>0</v>
      </c>
      <c r="B136" s="1335"/>
      <c r="C136" s="1335"/>
      <c r="D136" s="1335"/>
      <c r="E136" s="1335"/>
      <c r="F136" s="467">
        <f>OpeningTemplate!$D$176</f>
        <v>0</v>
      </c>
      <c r="G136" s="467">
        <f>OpeningTemplate!$E$176</f>
        <v>0</v>
      </c>
      <c r="H136" s="446">
        <f t="shared" si="74"/>
        <v>0</v>
      </c>
      <c r="I136" s="446">
        <f t="shared" si="75"/>
        <v>0</v>
      </c>
      <c r="J136" s="468">
        <f t="shared" si="76"/>
        <v>0</v>
      </c>
      <c r="K136" s="467">
        <f t="shared" si="67"/>
        <v>0</v>
      </c>
      <c r="L136" s="467">
        <f t="shared" si="68"/>
        <v>0</v>
      </c>
      <c r="M136" s="469">
        <f t="shared" si="69"/>
        <v>0</v>
      </c>
      <c r="N136" s="469">
        <f t="shared" si="78"/>
        <v>0</v>
      </c>
      <c r="O136" s="469">
        <f t="shared" si="78"/>
        <v>0</v>
      </c>
      <c r="P136" s="469">
        <f t="shared" si="78"/>
        <v>0</v>
      </c>
      <c r="Q136" s="469">
        <f t="shared" si="77"/>
        <v>0</v>
      </c>
      <c r="R136" s="469">
        <f t="shared" si="79"/>
        <v>0</v>
      </c>
      <c r="S136" s="469">
        <f t="shared" si="79"/>
        <v>0</v>
      </c>
      <c r="T136" s="469">
        <f t="shared" si="79"/>
        <v>0</v>
      </c>
      <c r="U136" s="469">
        <f t="shared" si="79"/>
        <v>0</v>
      </c>
      <c r="V136" s="469">
        <f t="shared" si="79"/>
        <v>0</v>
      </c>
      <c r="W136" s="469">
        <f t="shared" si="79"/>
        <v>0</v>
      </c>
      <c r="X136" s="469">
        <f t="shared" ref="R136:AX143" si="81">IF(AND(X$122&gt;=$K136,X$122&lt;=$L136),IF(W$122&lt;$F136,IF(X$122&lt;=$G136,(X$122-$F136+1)*$J136,$H136),IF(X$122&gt;=$G136,($G136-W$122)*$J136,(X$122-W$122)*$J136)),0)</f>
        <v>0</v>
      </c>
      <c r="Y136" s="469">
        <f t="shared" si="81"/>
        <v>0</v>
      </c>
      <c r="Z136" s="469">
        <f t="shared" si="81"/>
        <v>0</v>
      </c>
      <c r="AA136" s="469">
        <f t="shared" si="81"/>
        <v>0</v>
      </c>
      <c r="AB136" s="469">
        <f t="shared" si="81"/>
        <v>0</v>
      </c>
      <c r="AC136" s="469">
        <f t="shared" si="81"/>
        <v>0</v>
      </c>
      <c r="AD136" s="469">
        <f t="shared" si="81"/>
        <v>0</v>
      </c>
      <c r="AE136" s="469">
        <f t="shared" si="81"/>
        <v>0</v>
      </c>
      <c r="AF136" s="469">
        <f t="shared" si="81"/>
        <v>0</v>
      </c>
      <c r="AG136" s="469">
        <f t="shared" si="81"/>
        <v>0</v>
      </c>
      <c r="AH136" s="469">
        <f t="shared" si="81"/>
        <v>0</v>
      </c>
      <c r="AI136" s="469">
        <f t="shared" si="81"/>
        <v>0</v>
      </c>
      <c r="AJ136" s="469">
        <f t="shared" si="81"/>
        <v>0</v>
      </c>
      <c r="AK136" s="469">
        <f t="shared" si="81"/>
        <v>0</v>
      </c>
      <c r="AL136" s="469">
        <f t="shared" si="81"/>
        <v>0</v>
      </c>
      <c r="AM136" s="469">
        <f t="shared" si="81"/>
        <v>0</v>
      </c>
      <c r="AN136" s="469">
        <f t="shared" si="81"/>
        <v>0</v>
      </c>
      <c r="AO136" s="469">
        <f t="shared" si="81"/>
        <v>0</v>
      </c>
      <c r="AP136" s="469">
        <f t="shared" si="81"/>
        <v>0</v>
      </c>
      <c r="AQ136" s="469">
        <f t="shared" si="81"/>
        <v>0</v>
      </c>
      <c r="AR136" s="469">
        <f t="shared" si="81"/>
        <v>0</v>
      </c>
      <c r="AS136" s="469">
        <f t="shared" si="81"/>
        <v>0</v>
      </c>
      <c r="AT136" s="469">
        <f t="shared" si="81"/>
        <v>0</v>
      </c>
      <c r="AU136" s="469">
        <f t="shared" si="81"/>
        <v>0</v>
      </c>
      <c r="AV136" s="469">
        <f t="shared" si="81"/>
        <v>0</v>
      </c>
      <c r="AW136" s="469">
        <f t="shared" si="81"/>
        <v>0</v>
      </c>
      <c r="AX136" s="469">
        <f t="shared" si="81"/>
        <v>0</v>
      </c>
      <c r="AY136" s="470">
        <f t="shared" si="73"/>
        <v>0</v>
      </c>
      <c r="AZ136" s="141"/>
    </row>
    <row r="137" spans="1:52">
      <c r="A137" s="1335">
        <f>$B$27</f>
        <v>0</v>
      </c>
      <c r="B137" s="1335"/>
      <c r="C137" s="1335"/>
      <c r="D137" s="1335"/>
      <c r="E137" s="1335"/>
      <c r="F137" s="467">
        <f>OpeningTemplate!$D$186</f>
        <v>0</v>
      </c>
      <c r="G137" s="467">
        <f>OpeningTemplate!$E$186</f>
        <v>0</v>
      </c>
      <c r="H137" s="446">
        <f t="shared" si="74"/>
        <v>0</v>
      </c>
      <c r="I137" s="446">
        <f t="shared" si="75"/>
        <v>0</v>
      </c>
      <c r="J137" s="468">
        <f t="shared" si="76"/>
        <v>0</v>
      </c>
      <c r="K137" s="467">
        <f t="shared" si="67"/>
        <v>0</v>
      </c>
      <c r="L137" s="467">
        <f t="shared" si="68"/>
        <v>0</v>
      </c>
      <c r="M137" s="469">
        <f t="shared" si="69"/>
        <v>0</v>
      </c>
      <c r="N137" s="469">
        <f t="shared" si="78"/>
        <v>0</v>
      </c>
      <c r="O137" s="469">
        <f t="shared" si="78"/>
        <v>0</v>
      </c>
      <c r="P137" s="469">
        <f t="shared" si="78"/>
        <v>0</v>
      </c>
      <c r="Q137" s="469">
        <f t="shared" si="77"/>
        <v>0</v>
      </c>
      <c r="R137" s="469">
        <f t="shared" si="81"/>
        <v>0</v>
      </c>
      <c r="S137" s="469">
        <f t="shared" si="81"/>
        <v>0</v>
      </c>
      <c r="T137" s="469">
        <f t="shared" si="81"/>
        <v>0</v>
      </c>
      <c r="U137" s="469">
        <f t="shared" si="81"/>
        <v>0</v>
      </c>
      <c r="V137" s="469">
        <f t="shared" si="81"/>
        <v>0</v>
      </c>
      <c r="W137" s="469">
        <f t="shared" si="81"/>
        <v>0</v>
      </c>
      <c r="X137" s="469">
        <f t="shared" si="81"/>
        <v>0</v>
      </c>
      <c r="Y137" s="469">
        <f t="shared" si="81"/>
        <v>0</v>
      </c>
      <c r="Z137" s="469">
        <f t="shared" si="81"/>
        <v>0</v>
      </c>
      <c r="AA137" s="469">
        <f t="shared" si="81"/>
        <v>0</v>
      </c>
      <c r="AB137" s="469">
        <f t="shared" si="81"/>
        <v>0</v>
      </c>
      <c r="AC137" s="469">
        <f t="shared" si="81"/>
        <v>0</v>
      </c>
      <c r="AD137" s="469">
        <f t="shared" si="81"/>
        <v>0</v>
      </c>
      <c r="AE137" s="469">
        <f t="shared" si="81"/>
        <v>0</v>
      </c>
      <c r="AF137" s="469">
        <f t="shared" si="81"/>
        <v>0</v>
      </c>
      <c r="AG137" s="469">
        <f t="shared" si="81"/>
        <v>0</v>
      </c>
      <c r="AH137" s="469">
        <f t="shared" si="81"/>
        <v>0</v>
      </c>
      <c r="AI137" s="469">
        <f t="shared" si="81"/>
        <v>0</v>
      </c>
      <c r="AJ137" s="469">
        <f t="shared" si="81"/>
        <v>0</v>
      </c>
      <c r="AK137" s="469">
        <f t="shared" si="81"/>
        <v>0</v>
      </c>
      <c r="AL137" s="469">
        <f t="shared" si="81"/>
        <v>0</v>
      </c>
      <c r="AM137" s="469">
        <f t="shared" si="81"/>
        <v>0</v>
      </c>
      <c r="AN137" s="469">
        <f t="shared" si="81"/>
        <v>0</v>
      </c>
      <c r="AO137" s="469">
        <f t="shared" si="81"/>
        <v>0</v>
      </c>
      <c r="AP137" s="469">
        <f t="shared" si="81"/>
        <v>0</v>
      </c>
      <c r="AQ137" s="469">
        <f t="shared" si="81"/>
        <v>0</v>
      </c>
      <c r="AR137" s="469">
        <f t="shared" si="81"/>
        <v>0</v>
      </c>
      <c r="AS137" s="469">
        <f t="shared" si="81"/>
        <v>0</v>
      </c>
      <c r="AT137" s="469">
        <f t="shared" si="81"/>
        <v>0</v>
      </c>
      <c r="AU137" s="469">
        <f t="shared" si="81"/>
        <v>0</v>
      </c>
      <c r="AV137" s="469">
        <f t="shared" si="81"/>
        <v>0</v>
      </c>
      <c r="AW137" s="469">
        <f t="shared" si="81"/>
        <v>0</v>
      </c>
      <c r="AX137" s="469">
        <f t="shared" si="81"/>
        <v>0</v>
      </c>
      <c r="AY137" s="470">
        <f t="shared" si="73"/>
        <v>0</v>
      </c>
      <c r="AZ137" s="141"/>
    </row>
    <row r="138" spans="1:52">
      <c r="A138" s="1335">
        <f>$B$28</f>
        <v>0</v>
      </c>
      <c r="B138" s="1335"/>
      <c r="C138" s="1335"/>
      <c r="D138" s="1335"/>
      <c r="E138" s="1335"/>
      <c r="F138" s="467">
        <f>OpeningTemplate!$D$196</f>
        <v>0</v>
      </c>
      <c r="G138" s="467">
        <f>OpeningTemplate!$E$196</f>
        <v>0</v>
      </c>
      <c r="H138" s="446">
        <f t="shared" si="74"/>
        <v>0</v>
      </c>
      <c r="I138" s="446">
        <f t="shared" si="75"/>
        <v>0</v>
      </c>
      <c r="J138" s="468">
        <f t="shared" si="76"/>
        <v>0</v>
      </c>
      <c r="K138" s="467">
        <f t="shared" si="67"/>
        <v>0</v>
      </c>
      <c r="L138" s="467">
        <f t="shared" si="68"/>
        <v>0</v>
      </c>
      <c r="M138" s="469">
        <f t="shared" si="69"/>
        <v>0</v>
      </c>
      <c r="N138" s="469">
        <f t="shared" si="78"/>
        <v>0</v>
      </c>
      <c r="O138" s="469">
        <f t="shared" si="78"/>
        <v>0</v>
      </c>
      <c r="P138" s="469">
        <f t="shared" si="78"/>
        <v>0</v>
      </c>
      <c r="Q138" s="469">
        <f t="shared" si="77"/>
        <v>0</v>
      </c>
      <c r="R138" s="469">
        <f t="shared" si="81"/>
        <v>0</v>
      </c>
      <c r="S138" s="469">
        <f t="shared" si="81"/>
        <v>0</v>
      </c>
      <c r="T138" s="469">
        <f t="shared" si="81"/>
        <v>0</v>
      </c>
      <c r="U138" s="469">
        <f t="shared" si="81"/>
        <v>0</v>
      </c>
      <c r="V138" s="469">
        <f t="shared" si="81"/>
        <v>0</v>
      </c>
      <c r="W138" s="469">
        <f t="shared" si="81"/>
        <v>0</v>
      </c>
      <c r="X138" s="469">
        <f t="shared" si="81"/>
        <v>0</v>
      </c>
      <c r="Y138" s="469">
        <f t="shared" si="81"/>
        <v>0</v>
      </c>
      <c r="Z138" s="469">
        <f t="shared" si="81"/>
        <v>0</v>
      </c>
      <c r="AA138" s="469">
        <f t="shared" si="81"/>
        <v>0</v>
      </c>
      <c r="AB138" s="469">
        <f t="shared" si="81"/>
        <v>0</v>
      </c>
      <c r="AC138" s="469">
        <f t="shared" si="81"/>
        <v>0</v>
      </c>
      <c r="AD138" s="469">
        <f t="shared" si="81"/>
        <v>0</v>
      </c>
      <c r="AE138" s="469">
        <f t="shared" si="81"/>
        <v>0</v>
      </c>
      <c r="AF138" s="469">
        <f t="shared" si="81"/>
        <v>0</v>
      </c>
      <c r="AG138" s="469">
        <f t="shared" si="81"/>
        <v>0</v>
      </c>
      <c r="AH138" s="469">
        <f t="shared" si="81"/>
        <v>0</v>
      </c>
      <c r="AI138" s="469">
        <f t="shared" si="81"/>
        <v>0</v>
      </c>
      <c r="AJ138" s="469">
        <f t="shared" si="81"/>
        <v>0</v>
      </c>
      <c r="AK138" s="469">
        <f t="shared" si="81"/>
        <v>0</v>
      </c>
      <c r="AL138" s="469">
        <f t="shared" si="81"/>
        <v>0</v>
      </c>
      <c r="AM138" s="469">
        <f t="shared" si="81"/>
        <v>0</v>
      </c>
      <c r="AN138" s="469">
        <f t="shared" si="81"/>
        <v>0</v>
      </c>
      <c r="AO138" s="469">
        <f t="shared" si="81"/>
        <v>0</v>
      </c>
      <c r="AP138" s="469">
        <f t="shared" si="81"/>
        <v>0</v>
      </c>
      <c r="AQ138" s="469">
        <f t="shared" si="81"/>
        <v>0</v>
      </c>
      <c r="AR138" s="469">
        <f t="shared" si="81"/>
        <v>0</v>
      </c>
      <c r="AS138" s="469">
        <f t="shared" si="81"/>
        <v>0</v>
      </c>
      <c r="AT138" s="469">
        <f t="shared" si="81"/>
        <v>0</v>
      </c>
      <c r="AU138" s="469">
        <f t="shared" si="81"/>
        <v>0</v>
      </c>
      <c r="AV138" s="469">
        <f t="shared" si="81"/>
        <v>0</v>
      </c>
      <c r="AW138" s="469">
        <f t="shared" si="81"/>
        <v>0</v>
      </c>
      <c r="AX138" s="469">
        <f t="shared" si="81"/>
        <v>0</v>
      </c>
      <c r="AY138" s="470">
        <f t="shared" si="73"/>
        <v>0</v>
      </c>
      <c r="AZ138" s="141"/>
    </row>
    <row r="139" spans="1:52">
      <c r="A139" s="1335">
        <f>$B$29</f>
        <v>0</v>
      </c>
      <c r="B139" s="1335"/>
      <c r="C139" s="1335"/>
      <c r="D139" s="1335"/>
      <c r="E139" s="1335"/>
      <c r="F139" s="467">
        <f>OpeningTemplate!$D$206</f>
        <v>0</v>
      </c>
      <c r="G139" s="467">
        <f>OpeningTemplate!$E$206</f>
        <v>0</v>
      </c>
      <c r="H139" s="446">
        <f t="shared" si="74"/>
        <v>0</v>
      </c>
      <c r="I139" s="446">
        <f t="shared" si="75"/>
        <v>0</v>
      </c>
      <c r="J139" s="468">
        <f t="shared" si="76"/>
        <v>0</v>
      </c>
      <c r="K139" s="467">
        <f t="shared" si="67"/>
        <v>0</v>
      </c>
      <c r="L139" s="467">
        <f t="shared" si="68"/>
        <v>0</v>
      </c>
      <c r="M139" s="469">
        <f t="shared" si="69"/>
        <v>0</v>
      </c>
      <c r="N139" s="469">
        <f t="shared" si="78"/>
        <v>0</v>
      </c>
      <c r="O139" s="469">
        <f t="shared" si="78"/>
        <v>0</v>
      </c>
      <c r="P139" s="469">
        <f t="shared" si="78"/>
        <v>0</v>
      </c>
      <c r="Q139" s="469">
        <f t="shared" si="77"/>
        <v>0</v>
      </c>
      <c r="R139" s="469">
        <f t="shared" si="81"/>
        <v>0</v>
      </c>
      <c r="S139" s="469">
        <f t="shared" si="81"/>
        <v>0</v>
      </c>
      <c r="T139" s="469">
        <f t="shared" si="81"/>
        <v>0</v>
      </c>
      <c r="U139" s="469">
        <f t="shared" si="81"/>
        <v>0</v>
      </c>
      <c r="V139" s="469">
        <f t="shared" si="81"/>
        <v>0</v>
      </c>
      <c r="W139" s="469">
        <f t="shared" si="81"/>
        <v>0</v>
      </c>
      <c r="X139" s="469">
        <f t="shared" si="81"/>
        <v>0</v>
      </c>
      <c r="Y139" s="469">
        <f t="shared" si="81"/>
        <v>0</v>
      </c>
      <c r="Z139" s="469">
        <f t="shared" si="81"/>
        <v>0</v>
      </c>
      <c r="AA139" s="469">
        <f t="shared" si="81"/>
        <v>0</v>
      </c>
      <c r="AB139" s="469">
        <f t="shared" si="81"/>
        <v>0</v>
      </c>
      <c r="AC139" s="469">
        <f t="shared" si="81"/>
        <v>0</v>
      </c>
      <c r="AD139" s="469">
        <f t="shared" si="81"/>
        <v>0</v>
      </c>
      <c r="AE139" s="469">
        <f t="shared" si="81"/>
        <v>0</v>
      </c>
      <c r="AF139" s="469">
        <f t="shared" si="81"/>
        <v>0</v>
      </c>
      <c r="AG139" s="469">
        <f t="shared" si="81"/>
        <v>0</v>
      </c>
      <c r="AH139" s="469">
        <f t="shared" si="81"/>
        <v>0</v>
      </c>
      <c r="AI139" s="469">
        <f t="shared" si="81"/>
        <v>0</v>
      </c>
      <c r="AJ139" s="469">
        <f t="shared" si="81"/>
        <v>0</v>
      </c>
      <c r="AK139" s="469">
        <f t="shared" si="81"/>
        <v>0</v>
      </c>
      <c r="AL139" s="469">
        <f t="shared" si="81"/>
        <v>0</v>
      </c>
      <c r="AM139" s="469">
        <f t="shared" si="81"/>
        <v>0</v>
      </c>
      <c r="AN139" s="469">
        <f t="shared" si="81"/>
        <v>0</v>
      </c>
      <c r="AO139" s="469">
        <f t="shared" si="81"/>
        <v>0</v>
      </c>
      <c r="AP139" s="469">
        <f t="shared" si="81"/>
        <v>0</v>
      </c>
      <c r="AQ139" s="469">
        <f t="shared" si="81"/>
        <v>0</v>
      </c>
      <c r="AR139" s="469">
        <f t="shared" si="81"/>
        <v>0</v>
      </c>
      <c r="AS139" s="469">
        <f t="shared" si="81"/>
        <v>0</v>
      </c>
      <c r="AT139" s="469">
        <f t="shared" si="81"/>
        <v>0</v>
      </c>
      <c r="AU139" s="469">
        <f t="shared" si="81"/>
        <v>0</v>
      </c>
      <c r="AV139" s="469">
        <f t="shared" si="81"/>
        <v>0</v>
      </c>
      <c r="AW139" s="469">
        <f t="shared" si="81"/>
        <v>0</v>
      </c>
      <c r="AX139" s="469">
        <f t="shared" si="81"/>
        <v>0</v>
      </c>
      <c r="AY139" s="470">
        <f t="shared" si="73"/>
        <v>0</v>
      </c>
      <c r="AZ139" s="141"/>
    </row>
    <row r="140" spans="1:52">
      <c r="A140" s="1335">
        <f>$B$30</f>
        <v>0</v>
      </c>
      <c r="B140" s="1335"/>
      <c r="C140" s="1335"/>
      <c r="D140" s="1335"/>
      <c r="E140" s="1335"/>
      <c r="F140" s="467">
        <f>OpeningTemplate!$D$216</f>
        <v>0</v>
      </c>
      <c r="G140" s="467">
        <f>OpeningTemplate!$E$216</f>
        <v>0</v>
      </c>
      <c r="H140" s="446">
        <f t="shared" si="74"/>
        <v>0</v>
      </c>
      <c r="I140" s="446">
        <f t="shared" si="75"/>
        <v>0</v>
      </c>
      <c r="J140" s="468">
        <f t="shared" si="76"/>
        <v>0</v>
      </c>
      <c r="K140" s="467">
        <f t="shared" si="67"/>
        <v>0</v>
      </c>
      <c r="L140" s="467">
        <f t="shared" si="68"/>
        <v>0</v>
      </c>
      <c r="M140" s="469">
        <f t="shared" si="69"/>
        <v>0</v>
      </c>
      <c r="N140" s="469">
        <f t="shared" si="78"/>
        <v>0</v>
      </c>
      <c r="O140" s="469">
        <f t="shared" si="78"/>
        <v>0</v>
      </c>
      <c r="P140" s="469">
        <f t="shared" si="78"/>
        <v>0</v>
      </c>
      <c r="Q140" s="469">
        <f t="shared" si="77"/>
        <v>0</v>
      </c>
      <c r="R140" s="469">
        <f t="shared" si="81"/>
        <v>0</v>
      </c>
      <c r="S140" s="469">
        <f t="shared" si="81"/>
        <v>0</v>
      </c>
      <c r="T140" s="469">
        <f t="shared" si="81"/>
        <v>0</v>
      </c>
      <c r="U140" s="469">
        <f t="shared" si="81"/>
        <v>0</v>
      </c>
      <c r="V140" s="469">
        <f t="shared" si="81"/>
        <v>0</v>
      </c>
      <c r="W140" s="469">
        <f t="shared" si="81"/>
        <v>0</v>
      </c>
      <c r="X140" s="469">
        <f t="shared" si="81"/>
        <v>0</v>
      </c>
      <c r="Y140" s="469">
        <f t="shared" si="81"/>
        <v>0</v>
      </c>
      <c r="Z140" s="469">
        <f t="shared" si="81"/>
        <v>0</v>
      </c>
      <c r="AA140" s="469">
        <f t="shared" si="81"/>
        <v>0</v>
      </c>
      <c r="AB140" s="469">
        <f t="shared" si="81"/>
        <v>0</v>
      </c>
      <c r="AC140" s="469">
        <f t="shared" si="81"/>
        <v>0</v>
      </c>
      <c r="AD140" s="469">
        <f t="shared" si="81"/>
        <v>0</v>
      </c>
      <c r="AE140" s="469">
        <f t="shared" si="81"/>
        <v>0</v>
      </c>
      <c r="AF140" s="469">
        <f t="shared" si="81"/>
        <v>0</v>
      </c>
      <c r="AG140" s="469">
        <f t="shared" si="81"/>
        <v>0</v>
      </c>
      <c r="AH140" s="469">
        <f t="shared" si="81"/>
        <v>0</v>
      </c>
      <c r="AI140" s="469">
        <f t="shared" si="81"/>
        <v>0</v>
      </c>
      <c r="AJ140" s="469">
        <f t="shared" si="81"/>
        <v>0</v>
      </c>
      <c r="AK140" s="469">
        <f t="shared" si="81"/>
        <v>0</v>
      </c>
      <c r="AL140" s="469">
        <f t="shared" si="81"/>
        <v>0</v>
      </c>
      <c r="AM140" s="469">
        <f t="shared" si="81"/>
        <v>0</v>
      </c>
      <c r="AN140" s="469">
        <f t="shared" si="81"/>
        <v>0</v>
      </c>
      <c r="AO140" s="469">
        <f t="shared" si="81"/>
        <v>0</v>
      </c>
      <c r="AP140" s="469">
        <f t="shared" si="81"/>
        <v>0</v>
      </c>
      <c r="AQ140" s="469">
        <f t="shared" si="81"/>
        <v>0</v>
      </c>
      <c r="AR140" s="469">
        <f t="shared" si="81"/>
        <v>0</v>
      </c>
      <c r="AS140" s="469">
        <f t="shared" si="81"/>
        <v>0</v>
      </c>
      <c r="AT140" s="469">
        <f t="shared" si="81"/>
        <v>0</v>
      </c>
      <c r="AU140" s="469">
        <f t="shared" si="81"/>
        <v>0</v>
      </c>
      <c r="AV140" s="469">
        <f t="shared" si="81"/>
        <v>0</v>
      </c>
      <c r="AW140" s="469">
        <f t="shared" si="81"/>
        <v>0</v>
      </c>
      <c r="AX140" s="469">
        <f t="shared" si="81"/>
        <v>0</v>
      </c>
      <c r="AY140" s="470">
        <f t="shared" si="73"/>
        <v>0</v>
      </c>
      <c r="AZ140" s="141"/>
    </row>
    <row r="141" spans="1:52">
      <c r="A141" s="1335">
        <f>$B$31</f>
        <v>0</v>
      </c>
      <c r="B141" s="1335"/>
      <c r="C141" s="1335"/>
      <c r="D141" s="1335"/>
      <c r="E141" s="1335"/>
      <c r="F141" s="467">
        <f>OpeningTemplate!$D$226</f>
        <v>0</v>
      </c>
      <c r="G141" s="467">
        <f>OpeningTemplate!$E$226</f>
        <v>0</v>
      </c>
      <c r="H141" s="446">
        <f t="shared" si="74"/>
        <v>0</v>
      </c>
      <c r="I141" s="446">
        <f t="shared" si="75"/>
        <v>0</v>
      </c>
      <c r="J141" s="468">
        <f t="shared" si="76"/>
        <v>0</v>
      </c>
      <c r="K141" s="467">
        <f t="shared" si="67"/>
        <v>0</v>
      </c>
      <c r="L141" s="467">
        <f t="shared" si="68"/>
        <v>0</v>
      </c>
      <c r="M141" s="469">
        <f t="shared" si="69"/>
        <v>0</v>
      </c>
      <c r="N141" s="469">
        <f t="shared" si="78"/>
        <v>0</v>
      </c>
      <c r="O141" s="469">
        <f t="shared" si="78"/>
        <v>0</v>
      </c>
      <c r="P141" s="469">
        <f t="shared" si="78"/>
        <v>0</v>
      </c>
      <c r="Q141" s="469">
        <f t="shared" si="77"/>
        <v>0</v>
      </c>
      <c r="R141" s="469">
        <f t="shared" si="81"/>
        <v>0</v>
      </c>
      <c r="S141" s="469">
        <f t="shared" si="81"/>
        <v>0</v>
      </c>
      <c r="T141" s="469">
        <f t="shared" si="81"/>
        <v>0</v>
      </c>
      <c r="U141" s="469">
        <f t="shared" si="81"/>
        <v>0</v>
      </c>
      <c r="V141" s="469">
        <f t="shared" si="81"/>
        <v>0</v>
      </c>
      <c r="W141" s="469">
        <f t="shared" si="81"/>
        <v>0</v>
      </c>
      <c r="X141" s="469">
        <f t="shared" si="81"/>
        <v>0</v>
      </c>
      <c r="Y141" s="469">
        <f t="shared" si="81"/>
        <v>0</v>
      </c>
      <c r="Z141" s="469">
        <f t="shared" si="81"/>
        <v>0</v>
      </c>
      <c r="AA141" s="469">
        <f t="shared" si="81"/>
        <v>0</v>
      </c>
      <c r="AB141" s="469">
        <f t="shared" si="81"/>
        <v>0</v>
      </c>
      <c r="AC141" s="469">
        <f t="shared" si="81"/>
        <v>0</v>
      </c>
      <c r="AD141" s="469">
        <f t="shared" si="81"/>
        <v>0</v>
      </c>
      <c r="AE141" s="469">
        <f t="shared" si="81"/>
        <v>0</v>
      </c>
      <c r="AF141" s="469">
        <f t="shared" si="81"/>
        <v>0</v>
      </c>
      <c r="AG141" s="469">
        <f t="shared" si="81"/>
        <v>0</v>
      </c>
      <c r="AH141" s="469">
        <f t="shared" si="81"/>
        <v>0</v>
      </c>
      <c r="AI141" s="469">
        <f t="shared" si="81"/>
        <v>0</v>
      </c>
      <c r="AJ141" s="469">
        <f t="shared" si="81"/>
        <v>0</v>
      </c>
      <c r="AK141" s="469">
        <f t="shared" si="81"/>
        <v>0</v>
      </c>
      <c r="AL141" s="469">
        <f t="shared" si="81"/>
        <v>0</v>
      </c>
      <c r="AM141" s="469">
        <f t="shared" si="81"/>
        <v>0</v>
      </c>
      <c r="AN141" s="469">
        <f t="shared" si="81"/>
        <v>0</v>
      </c>
      <c r="AO141" s="469">
        <f t="shared" si="81"/>
        <v>0</v>
      </c>
      <c r="AP141" s="469">
        <f t="shared" si="81"/>
        <v>0</v>
      </c>
      <c r="AQ141" s="469">
        <f t="shared" si="81"/>
        <v>0</v>
      </c>
      <c r="AR141" s="469">
        <f t="shared" si="81"/>
        <v>0</v>
      </c>
      <c r="AS141" s="469">
        <f t="shared" si="81"/>
        <v>0</v>
      </c>
      <c r="AT141" s="469">
        <f t="shared" si="81"/>
        <v>0</v>
      </c>
      <c r="AU141" s="469">
        <f t="shared" si="81"/>
        <v>0</v>
      </c>
      <c r="AV141" s="469">
        <f t="shared" si="81"/>
        <v>0</v>
      </c>
      <c r="AW141" s="469">
        <f t="shared" si="81"/>
        <v>0</v>
      </c>
      <c r="AX141" s="469">
        <f t="shared" si="81"/>
        <v>0</v>
      </c>
      <c r="AY141" s="470">
        <f t="shared" si="73"/>
        <v>0</v>
      </c>
      <c r="AZ141" s="141"/>
    </row>
    <row r="142" spans="1:52">
      <c r="A142" s="1335">
        <f>$B$32</f>
        <v>0</v>
      </c>
      <c r="B142" s="1335"/>
      <c r="C142" s="1335"/>
      <c r="D142" s="1335"/>
      <c r="E142" s="1335"/>
      <c r="F142" s="467">
        <f>OpeningTemplate!$D$236</f>
        <v>0</v>
      </c>
      <c r="G142" s="467">
        <f>OpeningTemplate!$E$236</f>
        <v>0</v>
      </c>
      <c r="H142" s="446">
        <f t="shared" si="74"/>
        <v>0</v>
      </c>
      <c r="I142" s="446">
        <f t="shared" si="75"/>
        <v>0</v>
      </c>
      <c r="J142" s="468">
        <f t="shared" si="76"/>
        <v>0</v>
      </c>
      <c r="K142" s="467">
        <f t="shared" si="67"/>
        <v>0</v>
      </c>
      <c r="L142" s="467">
        <f t="shared" si="68"/>
        <v>0</v>
      </c>
      <c r="M142" s="469">
        <f t="shared" si="69"/>
        <v>0</v>
      </c>
      <c r="N142" s="469">
        <f t="shared" si="78"/>
        <v>0</v>
      </c>
      <c r="O142" s="469">
        <f t="shared" si="78"/>
        <v>0</v>
      </c>
      <c r="P142" s="469">
        <f t="shared" si="78"/>
        <v>0</v>
      </c>
      <c r="Q142" s="469">
        <f t="shared" si="77"/>
        <v>0</v>
      </c>
      <c r="R142" s="469">
        <f t="shared" si="81"/>
        <v>0</v>
      </c>
      <c r="S142" s="469">
        <f t="shared" si="81"/>
        <v>0</v>
      </c>
      <c r="T142" s="469">
        <f t="shared" si="81"/>
        <v>0</v>
      </c>
      <c r="U142" s="469">
        <f t="shared" si="81"/>
        <v>0</v>
      </c>
      <c r="V142" s="469">
        <f t="shared" si="81"/>
        <v>0</v>
      </c>
      <c r="W142" s="469">
        <f t="shared" si="81"/>
        <v>0</v>
      </c>
      <c r="X142" s="469">
        <f t="shared" si="81"/>
        <v>0</v>
      </c>
      <c r="Y142" s="469">
        <f t="shared" si="81"/>
        <v>0</v>
      </c>
      <c r="Z142" s="469">
        <f t="shared" si="81"/>
        <v>0</v>
      </c>
      <c r="AA142" s="469">
        <f t="shared" si="81"/>
        <v>0</v>
      </c>
      <c r="AB142" s="469">
        <f t="shared" si="81"/>
        <v>0</v>
      </c>
      <c r="AC142" s="469">
        <f t="shared" si="81"/>
        <v>0</v>
      </c>
      <c r="AD142" s="469">
        <f t="shared" si="81"/>
        <v>0</v>
      </c>
      <c r="AE142" s="469">
        <f t="shared" si="81"/>
        <v>0</v>
      </c>
      <c r="AF142" s="469">
        <f t="shared" si="81"/>
        <v>0</v>
      </c>
      <c r="AG142" s="469">
        <f t="shared" si="81"/>
        <v>0</v>
      </c>
      <c r="AH142" s="469">
        <f t="shared" si="81"/>
        <v>0</v>
      </c>
      <c r="AI142" s="469">
        <f t="shared" si="81"/>
        <v>0</v>
      </c>
      <c r="AJ142" s="469">
        <f t="shared" si="81"/>
        <v>0</v>
      </c>
      <c r="AK142" s="469">
        <f t="shared" si="81"/>
        <v>0</v>
      </c>
      <c r="AL142" s="469">
        <f t="shared" si="81"/>
        <v>0</v>
      </c>
      <c r="AM142" s="469">
        <f t="shared" si="81"/>
        <v>0</v>
      </c>
      <c r="AN142" s="469">
        <f t="shared" si="81"/>
        <v>0</v>
      </c>
      <c r="AO142" s="469">
        <f t="shared" si="81"/>
        <v>0</v>
      </c>
      <c r="AP142" s="469">
        <f t="shared" si="81"/>
        <v>0</v>
      </c>
      <c r="AQ142" s="469">
        <f t="shared" si="81"/>
        <v>0</v>
      </c>
      <c r="AR142" s="469">
        <f t="shared" si="81"/>
        <v>0</v>
      </c>
      <c r="AS142" s="469">
        <f t="shared" si="81"/>
        <v>0</v>
      </c>
      <c r="AT142" s="469">
        <f t="shared" si="81"/>
        <v>0</v>
      </c>
      <c r="AU142" s="469">
        <f t="shared" si="81"/>
        <v>0</v>
      </c>
      <c r="AV142" s="469">
        <f t="shared" si="81"/>
        <v>0</v>
      </c>
      <c r="AW142" s="469">
        <f t="shared" si="81"/>
        <v>0</v>
      </c>
      <c r="AX142" s="469">
        <f t="shared" si="81"/>
        <v>0</v>
      </c>
      <c r="AY142" s="470">
        <f t="shared" si="73"/>
        <v>0</v>
      </c>
      <c r="AZ142" s="141"/>
    </row>
    <row r="143" spans="1:52">
      <c r="A143" s="1335">
        <f>$B$33</f>
        <v>0</v>
      </c>
      <c r="B143" s="1335"/>
      <c r="C143" s="1335"/>
      <c r="D143" s="1335"/>
      <c r="E143" s="1335"/>
      <c r="F143" s="467">
        <f>OpeningTemplate!$D$246</f>
        <v>0</v>
      </c>
      <c r="G143" s="467">
        <f>OpeningTemplate!$E$246</f>
        <v>0</v>
      </c>
      <c r="H143" s="446">
        <f t="shared" si="74"/>
        <v>0</v>
      </c>
      <c r="I143" s="446">
        <f t="shared" si="75"/>
        <v>0</v>
      </c>
      <c r="J143" s="468">
        <f t="shared" si="76"/>
        <v>0</v>
      </c>
      <c r="K143" s="467">
        <f t="shared" si="67"/>
        <v>0</v>
      </c>
      <c r="L143" s="467">
        <f t="shared" si="68"/>
        <v>0</v>
      </c>
      <c r="M143" s="469">
        <f t="shared" si="69"/>
        <v>0</v>
      </c>
      <c r="N143" s="469">
        <f t="shared" si="78"/>
        <v>0</v>
      </c>
      <c r="O143" s="469">
        <f t="shared" si="78"/>
        <v>0</v>
      </c>
      <c r="P143" s="469">
        <f t="shared" si="78"/>
        <v>0</v>
      </c>
      <c r="Q143" s="469">
        <f t="shared" si="77"/>
        <v>0</v>
      </c>
      <c r="R143" s="469">
        <f t="shared" si="81"/>
        <v>0</v>
      </c>
      <c r="S143" s="469">
        <f t="shared" si="81"/>
        <v>0</v>
      </c>
      <c r="T143" s="469">
        <f t="shared" si="81"/>
        <v>0</v>
      </c>
      <c r="U143" s="469">
        <f t="shared" si="81"/>
        <v>0</v>
      </c>
      <c r="V143" s="469">
        <f t="shared" si="81"/>
        <v>0</v>
      </c>
      <c r="W143" s="469">
        <f t="shared" si="81"/>
        <v>0</v>
      </c>
      <c r="X143" s="469">
        <f t="shared" si="81"/>
        <v>0</v>
      </c>
      <c r="Y143" s="469">
        <f t="shared" si="81"/>
        <v>0</v>
      </c>
      <c r="Z143" s="469">
        <f t="shared" si="81"/>
        <v>0</v>
      </c>
      <c r="AA143" s="469">
        <f t="shared" si="81"/>
        <v>0</v>
      </c>
      <c r="AB143" s="469">
        <f t="shared" si="81"/>
        <v>0</v>
      </c>
      <c r="AC143" s="469">
        <f t="shared" si="81"/>
        <v>0</v>
      </c>
      <c r="AD143" s="469">
        <f t="shared" si="81"/>
        <v>0</v>
      </c>
      <c r="AE143" s="469">
        <f t="shared" si="81"/>
        <v>0</v>
      </c>
      <c r="AF143" s="469">
        <f t="shared" si="81"/>
        <v>0</v>
      </c>
      <c r="AG143" s="469">
        <f t="shared" si="81"/>
        <v>0</v>
      </c>
      <c r="AH143" s="469">
        <f t="shared" si="81"/>
        <v>0</v>
      </c>
      <c r="AI143" s="469">
        <f t="shared" si="81"/>
        <v>0</v>
      </c>
      <c r="AJ143" s="469">
        <f t="shared" si="81"/>
        <v>0</v>
      </c>
      <c r="AK143" s="469">
        <f t="shared" si="81"/>
        <v>0</v>
      </c>
      <c r="AL143" s="469">
        <f t="shared" si="81"/>
        <v>0</v>
      </c>
      <c r="AM143" s="469">
        <f t="shared" si="81"/>
        <v>0</v>
      </c>
      <c r="AN143" s="469">
        <f t="shared" si="81"/>
        <v>0</v>
      </c>
      <c r="AO143" s="469">
        <f t="shared" si="81"/>
        <v>0</v>
      </c>
      <c r="AP143" s="469">
        <f t="shared" si="81"/>
        <v>0</v>
      </c>
      <c r="AQ143" s="469">
        <f t="shared" si="81"/>
        <v>0</v>
      </c>
      <c r="AR143" s="469">
        <f t="shared" si="81"/>
        <v>0</v>
      </c>
      <c r="AS143" s="469">
        <f t="shared" si="81"/>
        <v>0</v>
      </c>
      <c r="AT143" s="469">
        <f t="shared" si="81"/>
        <v>0</v>
      </c>
      <c r="AU143" s="469">
        <f t="shared" si="81"/>
        <v>0</v>
      </c>
      <c r="AV143" s="469">
        <f t="shared" ref="R143:AX151" si="82">IF(AND(AV$122&gt;=$K143,AV$122&lt;=$L143),IF(AU$122&lt;$F143,IF(AV$122&lt;=$G143,(AV$122-$F143+1)*$J143,$H143),IF(AV$122&gt;=$G143,($G143-AU$122)*$J143,(AV$122-AU$122)*$J143)),0)</f>
        <v>0</v>
      </c>
      <c r="AW143" s="469">
        <f t="shared" si="82"/>
        <v>0</v>
      </c>
      <c r="AX143" s="469">
        <f t="shared" si="82"/>
        <v>0</v>
      </c>
      <c r="AY143" s="470">
        <f t="shared" si="73"/>
        <v>0</v>
      </c>
      <c r="AZ143" s="141"/>
    </row>
    <row r="144" spans="1:52">
      <c r="A144" s="1335">
        <f>$B$34</f>
        <v>0</v>
      </c>
      <c r="B144" s="1335"/>
      <c r="C144" s="1335"/>
      <c r="D144" s="1335"/>
      <c r="E144" s="1335"/>
      <c r="F144" s="467">
        <f>OpeningTemplate!$D$256</f>
        <v>0</v>
      </c>
      <c r="G144" s="467">
        <f>OpeningTemplate!$E$256</f>
        <v>0</v>
      </c>
      <c r="H144" s="446">
        <f t="shared" si="74"/>
        <v>0</v>
      </c>
      <c r="I144" s="446">
        <f t="shared" si="75"/>
        <v>0</v>
      </c>
      <c r="J144" s="468">
        <f t="shared" si="76"/>
        <v>0</v>
      </c>
      <c r="K144" s="467">
        <f t="shared" si="67"/>
        <v>0</v>
      </c>
      <c r="L144" s="467">
        <f t="shared" si="68"/>
        <v>0</v>
      </c>
      <c r="M144" s="469">
        <f t="shared" si="69"/>
        <v>0</v>
      </c>
      <c r="N144" s="469">
        <f t="shared" ref="N144:P152" si="83">IF(AND(N$122&gt;=$K144,N$122&lt;=$L144),IF(M$122&lt;$F144,IF(N$122&lt;=$G144,(N$122-$F144+1)*$J144,$H144),IF(N$122&gt;=$G144,($G144-M$122)*$J144,(N$122-M$122)*$J144)),0)</f>
        <v>0</v>
      </c>
      <c r="O144" s="469">
        <f t="shared" si="83"/>
        <v>0</v>
      </c>
      <c r="P144" s="469">
        <f t="shared" si="83"/>
        <v>0</v>
      </c>
      <c r="Q144" s="469">
        <f t="shared" si="77"/>
        <v>0</v>
      </c>
      <c r="R144" s="469">
        <f t="shared" si="82"/>
        <v>0</v>
      </c>
      <c r="S144" s="469">
        <f t="shared" si="82"/>
        <v>0</v>
      </c>
      <c r="T144" s="469">
        <f t="shared" si="82"/>
        <v>0</v>
      </c>
      <c r="U144" s="469">
        <f t="shared" si="82"/>
        <v>0</v>
      </c>
      <c r="V144" s="469">
        <f t="shared" si="82"/>
        <v>0</v>
      </c>
      <c r="W144" s="469">
        <f t="shared" si="82"/>
        <v>0</v>
      </c>
      <c r="X144" s="469">
        <f t="shared" si="82"/>
        <v>0</v>
      </c>
      <c r="Y144" s="469">
        <f t="shared" si="82"/>
        <v>0</v>
      </c>
      <c r="Z144" s="469">
        <f t="shared" si="82"/>
        <v>0</v>
      </c>
      <c r="AA144" s="469">
        <f t="shared" si="82"/>
        <v>0</v>
      </c>
      <c r="AB144" s="469">
        <f t="shared" si="82"/>
        <v>0</v>
      </c>
      <c r="AC144" s="469">
        <f t="shared" si="82"/>
        <v>0</v>
      </c>
      <c r="AD144" s="469">
        <f t="shared" si="82"/>
        <v>0</v>
      </c>
      <c r="AE144" s="469">
        <f t="shared" si="82"/>
        <v>0</v>
      </c>
      <c r="AF144" s="469">
        <f t="shared" si="82"/>
        <v>0</v>
      </c>
      <c r="AG144" s="469">
        <f t="shared" si="82"/>
        <v>0</v>
      </c>
      <c r="AH144" s="469">
        <f t="shared" si="82"/>
        <v>0</v>
      </c>
      <c r="AI144" s="469">
        <f t="shared" si="82"/>
        <v>0</v>
      </c>
      <c r="AJ144" s="469">
        <f t="shared" si="82"/>
        <v>0</v>
      </c>
      <c r="AK144" s="469">
        <f t="shared" si="82"/>
        <v>0</v>
      </c>
      <c r="AL144" s="469">
        <f t="shared" si="82"/>
        <v>0</v>
      </c>
      <c r="AM144" s="469">
        <f t="shared" si="82"/>
        <v>0</v>
      </c>
      <c r="AN144" s="469">
        <f t="shared" si="82"/>
        <v>0</v>
      </c>
      <c r="AO144" s="469">
        <f t="shared" si="82"/>
        <v>0</v>
      </c>
      <c r="AP144" s="469">
        <f t="shared" si="82"/>
        <v>0</v>
      </c>
      <c r="AQ144" s="469">
        <f t="shared" si="82"/>
        <v>0</v>
      </c>
      <c r="AR144" s="469">
        <f t="shared" si="82"/>
        <v>0</v>
      </c>
      <c r="AS144" s="469">
        <f t="shared" si="82"/>
        <v>0</v>
      </c>
      <c r="AT144" s="469">
        <f t="shared" si="82"/>
        <v>0</v>
      </c>
      <c r="AU144" s="469">
        <f t="shared" si="82"/>
        <v>0</v>
      </c>
      <c r="AV144" s="469">
        <f t="shared" si="82"/>
        <v>0</v>
      </c>
      <c r="AW144" s="469">
        <f t="shared" si="82"/>
        <v>0</v>
      </c>
      <c r="AX144" s="469">
        <f t="shared" si="82"/>
        <v>0</v>
      </c>
      <c r="AY144" s="470">
        <f t="shared" si="73"/>
        <v>0</v>
      </c>
      <c r="AZ144" s="141"/>
    </row>
    <row r="145" spans="1:52">
      <c r="A145" s="1335">
        <f>$B$35</f>
        <v>0</v>
      </c>
      <c r="B145" s="1335"/>
      <c r="C145" s="1335"/>
      <c r="D145" s="1335"/>
      <c r="E145" s="1335"/>
      <c r="F145" s="467">
        <f>OpeningTemplate!$D$266</f>
        <v>0</v>
      </c>
      <c r="G145" s="467">
        <f>OpeningTemplate!$E$266</f>
        <v>0</v>
      </c>
      <c r="H145" s="446">
        <f t="shared" si="74"/>
        <v>0</v>
      </c>
      <c r="I145" s="446">
        <f t="shared" si="75"/>
        <v>0</v>
      </c>
      <c r="J145" s="468">
        <f t="shared" si="76"/>
        <v>0</v>
      </c>
      <c r="K145" s="467">
        <f t="shared" si="67"/>
        <v>0</v>
      </c>
      <c r="L145" s="467">
        <f t="shared" si="68"/>
        <v>0</v>
      </c>
      <c r="M145" s="469">
        <f t="shared" si="69"/>
        <v>0</v>
      </c>
      <c r="N145" s="469">
        <f t="shared" si="83"/>
        <v>0</v>
      </c>
      <c r="O145" s="469">
        <f t="shared" si="83"/>
        <v>0</v>
      </c>
      <c r="P145" s="469">
        <f t="shared" si="83"/>
        <v>0</v>
      </c>
      <c r="Q145" s="469">
        <f t="shared" si="77"/>
        <v>0</v>
      </c>
      <c r="R145" s="469">
        <f t="shared" si="82"/>
        <v>0</v>
      </c>
      <c r="S145" s="469">
        <f t="shared" si="82"/>
        <v>0</v>
      </c>
      <c r="T145" s="469">
        <f t="shared" si="82"/>
        <v>0</v>
      </c>
      <c r="U145" s="469">
        <f t="shared" si="82"/>
        <v>0</v>
      </c>
      <c r="V145" s="469">
        <f t="shared" si="82"/>
        <v>0</v>
      </c>
      <c r="W145" s="469">
        <f t="shared" si="82"/>
        <v>0</v>
      </c>
      <c r="X145" s="469">
        <f t="shared" si="82"/>
        <v>0</v>
      </c>
      <c r="Y145" s="469">
        <f t="shared" si="82"/>
        <v>0</v>
      </c>
      <c r="Z145" s="469">
        <f t="shared" si="82"/>
        <v>0</v>
      </c>
      <c r="AA145" s="469">
        <f t="shared" si="82"/>
        <v>0</v>
      </c>
      <c r="AB145" s="469">
        <f t="shared" si="82"/>
        <v>0</v>
      </c>
      <c r="AC145" s="469">
        <f t="shared" si="82"/>
        <v>0</v>
      </c>
      <c r="AD145" s="469">
        <f t="shared" si="82"/>
        <v>0</v>
      </c>
      <c r="AE145" s="469">
        <f t="shared" si="82"/>
        <v>0</v>
      </c>
      <c r="AF145" s="469">
        <f t="shared" si="82"/>
        <v>0</v>
      </c>
      <c r="AG145" s="469">
        <f t="shared" si="82"/>
        <v>0</v>
      </c>
      <c r="AH145" s="469">
        <f t="shared" si="82"/>
        <v>0</v>
      </c>
      <c r="AI145" s="469">
        <f t="shared" si="82"/>
        <v>0</v>
      </c>
      <c r="AJ145" s="469">
        <f t="shared" si="82"/>
        <v>0</v>
      </c>
      <c r="AK145" s="469">
        <f t="shared" si="82"/>
        <v>0</v>
      </c>
      <c r="AL145" s="469">
        <f t="shared" si="82"/>
        <v>0</v>
      </c>
      <c r="AM145" s="469">
        <f t="shared" si="82"/>
        <v>0</v>
      </c>
      <c r="AN145" s="469">
        <f t="shared" si="82"/>
        <v>0</v>
      </c>
      <c r="AO145" s="469">
        <f t="shared" si="82"/>
        <v>0</v>
      </c>
      <c r="AP145" s="469">
        <f t="shared" si="82"/>
        <v>0</v>
      </c>
      <c r="AQ145" s="469">
        <f t="shared" si="82"/>
        <v>0</v>
      </c>
      <c r="AR145" s="469">
        <f t="shared" si="82"/>
        <v>0</v>
      </c>
      <c r="AS145" s="469">
        <f t="shared" si="82"/>
        <v>0</v>
      </c>
      <c r="AT145" s="469">
        <f t="shared" si="82"/>
        <v>0</v>
      </c>
      <c r="AU145" s="469">
        <f t="shared" si="82"/>
        <v>0</v>
      </c>
      <c r="AV145" s="469">
        <f t="shared" si="82"/>
        <v>0</v>
      </c>
      <c r="AW145" s="469">
        <f t="shared" si="82"/>
        <v>0</v>
      </c>
      <c r="AX145" s="469">
        <f t="shared" si="82"/>
        <v>0</v>
      </c>
      <c r="AY145" s="470">
        <f t="shared" si="73"/>
        <v>0</v>
      </c>
      <c r="AZ145" s="141"/>
    </row>
    <row r="146" spans="1:52">
      <c r="A146" s="1335">
        <f>$B$36</f>
        <v>0</v>
      </c>
      <c r="B146" s="1335"/>
      <c r="C146" s="1335"/>
      <c r="D146" s="1335"/>
      <c r="E146" s="1335"/>
      <c r="F146" s="467">
        <f>OpeningTemplate!$D$276</f>
        <v>0</v>
      </c>
      <c r="G146" s="467">
        <f>OpeningTemplate!$E$276</f>
        <v>0</v>
      </c>
      <c r="H146" s="446">
        <f t="shared" si="74"/>
        <v>0</v>
      </c>
      <c r="I146" s="446">
        <f t="shared" si="75"/>
        <v>0</v>
      </c>
      <c r="J146" s="468">
        <f t="shared" si="76"/>
        <v>0</v>
      </c>
      <c r="K146" s="467">
        <f t="shared" si="67"/>
        <v>0</v>
      </c>
      <c r="L146" s="467">
        <f t="shared" si="68"/>
        <v>0</v>
      </c>
      <c r="M146" s="469">
        <f t="shared" si="69"/>
        <v>0</v>
      </c>
      <c r="N146" s="469">
        <f t="shared" si="83"/>
        <v>0</v>
      </c>
      <c r="O146" s="469">
        <f t="shared" si="83"/>
        <v>0</v>
      </c>
      <c r="P146" s="469">
        <f t="shared" si="83"/>
        <v>0</v>
      </c>
      <c r="Q146" s="469">
        <f t="shared" si="77"/>
        <v>0</v>
      </c>
      <c r="R146" s="469">
        <f t="shared" si="82"/>
        <v>0</v>
      </c>
      <c r="S146" s="469">
        <f t="shared" si="82"/>
        <v>0</v>
      </c>
      <c r="T146" s="469">
        <f t="shared" si="82"/>
        <v>0</v>
      </c>
      <c r="U146" s="469">
        <f t="shared" si="82"/>
        <v>0</v>
      </c>
      <c r="V146" s="469">
        <f t="shared" si="82"/>
        <v>0</v>
      </c>
      <c r="W146" s="469">
        <f t="shared" si="82"/>
        <v>0</v>
      </c>
      <c r="X146" s="469">
        <f t="shared" si="82"/>
        <v>0</v>
      </c>
      <c r="Y146" s="469">
        <f t="shared" si="82"/>
        <v>0</v>
      </c>
      <c r="Z146" s="469">
        <f t="shared" si="82"/>
        <v>0</v>
      </c>
      <c r="AA146" s="469">
        <f t="shared" si="82"/>
        <v>0</v>
      </c>
      <c r="AB146" s="469">
        <f t="shared" si="82"/>
        <v>0</v>
      </c>
      <c r="AC146" s="469">
        <f t="shared" si="82"/>
        <v>0</v>
      </c>
      <c r="AD146" s="469">
        <f t="shared" si="82"/>
        <v>0</v>
      </c>
      <c r="AE146" s="469">
        <f t="shared" si="82"/>
        <v>0</v>
      </c>
      <c r="AF146" s="469">
        <f t="shared" si="82"/>
        <v>0</v>
      </c>
      <c r="AG146" s="469">
        <f t="shared" si="82"/>
        <v>0</v>
      </c>
      <c r="AH146" s="469">
        <f t="shared" si="82"/>
        <v>0</v>
      </c>
      <c r="AI146" s="469">
        <f t="shared" si="82"/>
        <v>0</v>
      </c>
      <c r="AJ146" s="469">
        <f t="shared" si="82"/>
        <v>0</v>
      </c>
      <c r="AK146" s="469">
        <f t="shared" si="82"/>
        <v>0</v>
      </c>
      <c r="AL146" s="469">
        <f t="shared" si="82"/>
        <v>0</v>
      </c>
      <c r="AM146" s="469">
        <f t="shared" si="82"/>
        <v>0</v>
      </c>
      <c r="AN146" s="469">
        <f t="shared" si="82"/>
        <v>0</v>
      </c>
      <c r="AO146" s="469">
        <f t="shared" si="82"/>
        <v>0</v>
      </c>
      <c r="AP146" s="469">
        <f t="shared" si="82"/>
        <v>0</v>
      </c>
      <c r="AQ146" s="469">
        <f t="shared" si="82"/>
        <v>0</v>
      </c>
      <c r="AR146" s="469">
        <f t="shared" si="82"/>
        <v>0</v>
      </c>
      <c r="AS146" s="469">
        <f t="shared" si="82"/>
        <v>0</v>
      </c>
      <c r="AT146" s="469">
        <f t="shared" si="82"/>
        <v>0</v>
      </c>
      <c r="AU146" s="469">
        <f t="shared" si="82"/>
        <v>0</v>
      </c>
      <c r="AV146" s="469">
        <f t="shared" si="82"/>
        <v>0</v>
      </c>
      <c r="AW146" s="469">
        <f t="shared" si="82"/>
        <v>0</v>
      </c>
      <c r="AX146" s="469">
        <f t="shared" si="82"/>
        <v>0</v>
      </c>
      <c r="AY146" s="470">
        <f t="shared" si="73"/>
        <v>0</v>
      </c>
      <c r="AZ146" s="141"/>
    </row>
    <row r="147" spans="1:52">
      <c r="A147" s="1335">
        <f>$B$37</f>
        <v>0</v>
      </c>
      <c r="B147" s="1335"/>
      <c r="C147" s="1335"/>
      <c r="D147" s="1335"/>
      <c r="E147" s="1335"/>
      <c r="F147" s="467">
        <f>OpeningTemplate!$D$286</f>
        <v>0</v>
      </c>
      <c r="G147" s="467">
        <f>OpeningTemplate!$E$286</f>
        <v>0</v>
      </c>
      <c r="H147" s="446">
        <f t="shared" si="74"/>
        <v>0</v>
      </c>
      <c r="I147" s="446">
        <f t="shared" si="75"/>
        <v>0</v>
      </c>
      <c r="J147" s="468">
        <f t="shared" si="76"/>
        <v>0</v>
      </c>
      <c r="K147" s="467">
        <f t="shared" si="67"/>
        <v>0</v>
      </c>
      <c r="L147" s="467">
        <f t="shared" si="68"/>
        <v>0</v>
      </c>
      <c r="M147" s="469">
        <f t="shared" si="69"/>
        <v>0</v>
      </c>
      <c r="N147" s="469">
        <f t="shared" si="83"/>
        <v>0</v>
      </c>
      <c r="O147" s="469">
        <f t="shared" si="83"/>
        <v>0</v>
      </c>
      <c r="P147" s="469">
        <f t="shared" si="83"/>
        <v>0</v>
      </c>
      <c r="Q147" s="469">
        <f t="shared" si="77"/>
        <v>0</v>
      </c>
      <c r="R147" s="469">
        <f t="shared" si="82"/>
        <v>0</v>
      </c>
      <c r="S147" s="469">
        <f t="shared" si="82"/>
        <v>0</v>
      </c>
      <c r="T147" s="469">
        <f t="shared" si="82"/>
        <v>0</v>
      </c>
      <c r="U147" s="469">
        <f t="shared" si="82"/>
        <v>0</v>
      </c>
      <c r="V147" s="469">
        <f t="shared" si="82"/>
        <v>0</v>
      </c>
      <c r="W147" s="469">
        <f t="shared" si="82"/>
        <v>0</v>
      </c>
      <c r="X147" s="469">
        <f t="shared" si="82"/>
        <v>0</v>
      </c>
      <c r="Y147" s="469">
        <f t="shared" si="82"/>
        <v>0</v>
      </c>
      <c r="Z147" s="469">
        <f t="shared" si="82"/>
        <v>0</v>
      </c>
      <c r="AA147" s="469">
        <f t="shared" si="82"/>
        <v>0</v>
      </c>
      <c r="AB147" s="469">
        <f t="shared" si="82"/>
        <v>0</v>
      </c>
      <c r="AC147" s="469">
        <f t="shared" si="82"/>
        <v>0</v>
      </c>
      <c r="AD147" s="469">
        <f t="shared" si="82"/>
        <v>0</v>
      </c>
      <c r="AE147" s="469">
        <f t="shared" si="82"/>
        <v>0</v>
      </c>
      <c r="AF147" s="469">
        <f t="shared" si="82"/>
        <v>0</v>
      </c>
      <c r="AG147" s="469">
        <f t="shared" si="82"/>
        <v>0</v>
      </c>
      <c r="AH147" s="469">
        <f t="shared" si="82"/>
        <v>0</v>
      </c>
      <c r="AI147" s="469">
        <f t="shared" si="82"/>
        <v>0</v>
      </c>
      <c r="AJ147" s="469">
        <f t="shared" si="82"/>
        <v>0</v>
      </c>
      <c r="AK147" s="469">
        <f t="shared" si="82"/>
        <v>0</v>
      </c>
      <c r="AL147" s="469">
        <f t="shared" si="82"/>
        <v>0</v>
      </c>
      <c r="AM147" s="469">
        <f t="shared" si="82"/>
        <v>0</v>
      </c>
      <c r="AN147" s="469">
        <f t="shared" si="82"/>
        <v>0</v>
      </c>
      <c r="AO147" s="469">
        <f t="shared" si="82"/>
        <v>0</v>
      </c>
      <c r="AP147" s="469">
        <f t="shared" si="82"/>
        <v>0</v>
      </c>
      <c r="AQ147" s="469">
        <f t="shared" si="82"/>
        <v>0</v>
      </c>
      <c r="AR147" s="469">
        <f t="shared" si="82"/>
        <v>0</v>
      </c>
      <c r="AS147" s="469">
        <f t="shared" si="82"/>
        <v>0</v>
      </c>
      <c r="AT147" s="469">
        <f t="shared" si="82"/>
        <v>0</v>
      </c>
      <c r="AU147" s="469">
        <f t="shared" si="82"/>
        <v>0</v>
      </c>
      <c r="AV147" s="469">
        <f t="shared" si="82"/>
        <v>0</v>
      </c>
      <c r="AW147" s="469">
        <f t="shared" si="82"/>
        <v>0</v>
      </c>
      <c r="AX147" s="469">
        <f t="shared" si="82"/>
        <v>0</v>
      </c>
      <c r="AY147" s="470">
        <f t="shared" si="73"/>
        <v>0</v>
      </c>
      <c r="AZ147" s="141"/>
    </row>
    <row r="148" spans="1:52">
      <c r="A148" s="1335">
        <f>$B$38</f>
        <v>0</v>
      </c>
      <c r="B148" s="1335"/>
      <c r="C148" s="1335"/>
      <c r="D148" s="1335"/>
      <c r="E148" s="1335"/>
      <c r="F148" s="467">
        <f>OpeningTemplate!$D$296</f>
        <v>0</v>
      </c>
      <c r="G148" s="467">
        <f>OpeningTemplate!$E$296</f>
        <v>0</v>
      </c>
      <c r="H148" s="446">
        <f t="shared" si="74"/>
        <v>0</v>
      </c>
      <c r="I148" s="446">
        <f t="shared" si="75"/>
        <v>0</v>
      </c>
      <c r="J148" s="468">
        <f t="shared" si="76"/>
        <v>0</v>
      </c>
      <c r="K148" s="467">
        <f t="shared" si="67"/>
        <v>0</v>
      </c>
      <c r="L148" s="467">
        <f t="shared" si="68"/>
        <v>0</v>
      </c>
      <c r="M148" s="469">
        <f t="shared" si="69"/>
        <v>0</v>
      </c>
      <c r="N148" s="469">
        <f t="shared" si="83"/>
        <v>0</v>
      </c>
      <c r="O148" s="469">
        <f t="shared" si="83"/>
        <v>0</v>
      </c>
      <c r="P148" s="469">
        <f t="shared" si="83"/>
        <v>0</v>
      </c>
      <c r="Q148" s="469">
        <f t="shared" si="77"/>
        <v>0</v>
      </c>
      <c r="R148" s="469">
        <f t="shared" si="82"/>
        <v>0</v>
      </c>
      <c r="S148" s="469">
        <f t="shared" si="82"/>
        <v>0</v>
      </c>
      <c r="T148" s="469">
        <f t="shared" si="82"/>
        <v>0</v>
      </c>
      <c r="U148" s="469">
        <f t="shared" si="82"/>
        <v>0</v>
      </c>
      <c r="V148" s="469">
        <f t="shared" si="82"/>
        <v>0</v>
      </c>
      <c r="W148" s="469">
        <f t="shared" si="82"/>
        <v>0</v>
      </c>
      <c r="X148" s="469">
        <f t="shared" si="82"/>
        <v>0</v>
      </c>
      <c r="Y148" s="469">
        <f t="shared" si="82"/>
        <v>0</v>
      </c>
      <c r="Z148" s="469">
        <f t="shared" si="82"/>
        <v>0</v>
      </c>
      <c r="AA148" s="469">
        <f t="shared" si="82"/>
        <v>0</v>
      </c>
      <c r="AB148" s="469">
        <f t="shared" si="82"/>
        <v>0</v>
      </c>
      <c r="AC148" s="469">
        <f t="shared" si="82"/>
        <v>0</v>
      </c>
      <c r="AD148" s="469">
        <f t="shared" si="82"/>
        <v>0</v>
      </c>
      <c r="AE148" s="469">
        <f t="shared" si="82"/>
        <v>0</v>
      </c>
      <c r="AF148" s="469">
        <f t="shared" si="82"/>
        <v>0</v>
      </c>
      <c r="AG148" s="469">
        <f t="shared" si="82"/>
        <v>0</v>
      </c>
      <c r="AH148" s="469">
        <f t="shared" si="82"/>
        <v>0</v>
      </c>
      <c r="AI148" s="469">
        <f t="shared" si="82"/>
        <v>0</v>
      </c>
      <c r="AJ148" s="469">
        <f t="shared" si="82"/>
        <v>0</v>
      </c>
      <c r="AK148" s="469">
        <f t="shared" si="82"/>
        <v>0</v>
      </c>
      <c r="AL148" s="469">
        <f t="shared" si="82"/>
        <v>0</v>
      </c>
      <c r="AM148" s="469">
        <f t="shared" si="82"/>
        <v>0</v>
      </c>
      <c r="AN148" s="469">
        <f t="shared" si="82"/>
        <v>0</v>
      </c>
      <c r="AO148" s="469">
        <f t="shared" si="82"/>
        <v>0</v>
      </c>
      <c r="AP148" s="469">
        <f t="shared" si="82"/>
        <v>0</v>
      </c>
      <c r="AQ148" s="469">
        <f t="shared" si="82"/>
        <v>0</v>
      </c>
      <c r="AR148" s="469">
        <f t="shared" si="82"/>
        <v>0</v>
      </c>
      <c r="AS148" s="469">
        <f t="shared" si="82"/>
        <v>0</v>
      </c>
      <c r="AT148" s="469">
        <f t="shared" si="82"/>
        <v>0</v>
      </c>
      <c r="AU148" s="469">
        <f t="shared" si="82"/>
        <v>0</v>
      </c>
      <c r="AV148" s="469">
        <f t="shared" si="82"/>
        <v>0</v>
      </c>
      <c r="AW148" s="469">
        <f t="shared" si="82"/>
        <v>0</v>
      </c>
      <c r="AX148" s="469">
        <f t="shared" si="82"/>
        <v>0</v>
      </c>
      <c r="AY148" s="470">
        <f t="shared" si="73"/>
        <v>0</v>
      </c>
      <c r="AZ148" s="141"/>
    </row>
    <row r="149" spans="1:52">
      <c r="A149" s="1335">
        <f>$B$39</f>
        <v>0</v>
      </c>
      <c r="B149" s="1335"/>
      <c r="C149" s="1335"/>
      <c r="D149" s="1335"/>
      <c r="E149" s="1335"/>
      <c r="F149" s="467">
        <f>OpeningTemplate!$D$306</f>
        <v>0</v>
      </c>
      <c r="G149" s="467">
        <f>OpeningTemplate!$E$306</f>
        <v>0</v>
      </c>
      <c r="H149" s="446">
        <f t="shared" si="74"/>
        <v>0</v>
      </c>
      <c r="I149" s="446">
        <f t="shared" si="75"/>
        <v>0</v>
      </c>
      <c r="J149" s="468">
        <f t="shared" si="76"/>
        <v>0</v>
      </c>
      <c r="K149" s="467">
        <f t="shared" si="67"/>
        <v>0</v>
      </c>
      <c r="L149" s="467">
        <f t="shared" si="68"/>
        <v>0</v>
      </c>
      <c r="M149" s="469">
        <f t="shared" si="69"/>
        <v>0</v>
      </c>
      <c r="N149" s="469">
        <f t="shared" si="83"/>
        <v>0</v>
      </c>
      <c r="O149" s="469">
        <f t="shared" si="83"/>
        <v>0</v>
      </c>
      <c r="P149" s="469">
        <f t="shared" si="83"/>
        <v>0</v>
      </c>
      <c r="Q149" s="469">
        <f t="shared" si="77"/>
        <v>0</v>
      </c>
      <c r="R149" s="469">
        <f t="shared" si="82"/>
        <v>0</v>
      </c>
      <c r="S149" s="469">
        <f t="shared" si="82"/>
        <v>0</v>
      </c>
      <c r="T149" s="469">
        <f t="shared" si="82"/>
        <v>0</v>
      </c>
      <c r="U149" s="469">
        <f t="shared" si="82"/>
        <v>0</v>
      </c>
      <c r="V149" s="469">
        <f t="shared" si="82"/>
        <v>0</v>
      </c>
      <c r="W149" s="469">
        <f t="shared" si="82"/>
        <v>0</v>
      </c>
      <c r="X149" s="469">
        <f t="shared" si="82"/>
        <v>0</v>
      </c>
      <c r="Y149" s="469">
        <f t="shared" si="82"/>
        <v>0</v>
      </c>
      <c r="Z149" s="469">
        <f t="shared" si="82"/>
        <v>0</v>
      </c>
      <c r="AA149" s="469">
        <f t="shared" si="82"/>
        <v>0</v>
      </c>
      <c r="AB149" s="469">
        <f t="shared" si="82"/>
        <v>0</v>
      </c>
      <c r="AC149" s="469">
        <f t="shared" si="82"/>
        <v>0</v>
      </c>
      <c r="AD149" s="469">
        <f t="shared" si="82"/>
        <v>0</v>
      </c>
      <c r="AE149" s="469">
        <f t="shared" si="82"/>
        <v>0</v>
      </c>
      <c r="AF149" s="469">
        <f t="shared" si="82"/>
        <v>0</v>
      </c>
      <c r="AG149" s="469">
        <f t="shared" si="82"/>
        <v>0</v>
      </c>
      <c r="AH149" s="469">
        <f t="shared" si="82"/>
        <v>0</v>
      </c>
      <c r="AI149" s="469">
        <f t="shared" si="82"/>
        <v>0</v>
      </c>
      <c r="AJ149" s="469">
        <f t="shared" si="82"/>
        <v>0</v>
      </c>
      <c r="AK149" s="469">
        <f t="shared" si="82"/>
        <v>0</v>
      </c>
      <c r="AL149" s="469">
        <f t="shared" si="82"/>
        <v>0</v>
      </c>
      <c r="AM149" s="469">
        <f t="shared" si="82"/>
        <v>0</v>
      </c>
      <c r="AN149" s="469">
        <f t="shared" si="82"/>
        <v>0</v>
      </c>
      <c r="AO149" s="469">
        <f t="shared" si="82"/>
        <v>0</v>
      </c>
      <c r="AP149" s="469">
        <f t="shared" si="82"/>
        <v>0</v>
      </c>
      <c r="AQ149" s="469">
        <f t="shared" si="82"/>
        <v>0</v>
      </c>
      <c r="AR149" s="469">
        <f t="shared" si="82"/>
        <v>0</v>
      </c>
      <c r="AS149" s="469">
        <f t="shared" si="82"/>
        <v>0</v>
      </c>
      <c r="AT149" s="469">
        <f t="shared" si="82"/>
        <v>0</v>
      </c>
      <c r="AU149" s="469">
        <f t="shared" si="82"/>
        <v>0</v>
      </c>
      <c r="AV149" s="469">
        <f t="shared" si="82"/>
        <v>0</v>
      </c>
      <c r="AW149" s="469">
        <f t="shared" si="82"/>
        <v>0</v>
      </c>
      <c r="AX149" s="469">
        <f t="shared" si="82"/>
        <v>0</v>
      </c>
      <c r="AY149" s="470">
        <f t="shared" si="73"/>
        <v>0</v>
      </c>
      <c r="AZ149" s="141"/>
    </row>
    <row r="150" spans="1:52">
      <c r="A150" s="1335">
        <f>$B$40</f>
        <v>0</v>
      </c>
      <c r="B150" s="1335"/>
      <c r="C150" s="1335"/>
      <c r="D150" s="1335"/>
      <c r="E150" s="1335"/>
      <c r="F150" s="467">
        <f>OpeningTemplate!$D$316</f>
        <v>0</v>
      </c>
      <c r="G150" s="467">
        <f>OpeningTemplate!$E$316</f>
        <v>0</v>
      </c>
      <c r="H150" s="446">
        <f t="shared" si="74"/>
        <v>0</v>
      </c>
      <c r="I150" s="446">
        <f t="shared" si="75"/>
        <v>0</v>
      </c>
      <c r="J150" s="468">
        <f t="shared" si="76"/>
        <v>0</v>
      </c>
      <c r="K150" s="467">
        <f t="shared" si="67"/>
        <v>0</v>
      </c>
      <c r="L150" s="467">
        <f t="shared" si="68"/>
        <v>0</v>
      </c>
      <c r="M150" s="469">
        <f t="shared" si="69"/>
        <v>0</v>
      </c>
      <c r="N150" s="469">
        <f t="shared" si="83"/>
        <v>0</v>
      </c>
      <c r="O150" s="469">
        <f t="shared" si="83"/>
        <v>0</v>
      </c>
      <c r="P150" s="469">
        <f t="shared" si="83"/>
        <v>0</v>
      </c>
      <c r="Q150" s="469">
        <f t="shared" si="77"/>
        <v>0</v>
      </c>
      <c r="R150" s="469">
        <f t="shared" si="82"/>
        <v>0</v>
      </c>
      <c r="S150" s="469">
        <f t="shared" si="82"/>
        <v>0</v>
      </c>
      <c r="T150" s="469">
        <f t="shared" si="82"/>
        <v>0</v>
      </c>
      <c r="U150" s="469">
        <f t="shared" si="82"/>
        <v>0</v>
      </c>
      <c r="V150" s="469">
        <f t="shared" si="82"/>
        <v>0</v>
      </c>
      <c r="W150" s="469">
        <f t="shared" si="82"/>
        <v>0</v>
      </c>
      <c r="X150" s="469">
        <f t="shared" si="82"/>
        <v>0</v>
      </c>
      <c r="Y150" s="469">
        <f t="shared" si="82"/>
        <v>0</v>
      </c>
      <c r="Z150" s="469">
        <f t="shared" si="82"/>
        <v>0</v>
      </c>
      <c r="AA150" s="469">
        <f t="shared" si="82"/>
        <v>0</v>
      </c>
      <c r="AB150" s="469">
        <f t="shared" si="82"/>
        <v>0</v>
      </c>
      <c r="AC150" s="469">
        <f t="shared" si="82"/>
        <v>0</v>
      </c>
      <c r="AD150" s="469">
        <f t="shared" si="82"/>
        <v>0</v>
      </c>
      <c r="AE150" s="469">
        <f t="shared" si="82"/>
        <v>0</v>
      </c>
      <c r="AF150" s="469">
        <f t="shared" si="82"/>
        <v>0</v>
      </c>
      <c r="AG150" s="469">
        <f t="shared" si="82"/>
        <v>0</v>
      </c>
      <c r="AH150" s="469">
        <f t="shared" si="82"/>
        <v>0</v>
      </c>
      <c r="AI150" s="469">
        <f t="shared" si="82"/>
        <v>0</v>
      </c>
      <c r="AJ150" s="469">
        <f t="shared" si="82"/>
        <v>0</v>
      </c>
      <c r="AK150" s="469">
        <f t="shared" si="82"/>
        <v>0</v>
      </c>
      <c r="AL150" s="469">
        <f t="shared" si="82"/>
        <v>0</v>
      </c>
      <c r="AM150" s="469">
        <f t="shared" si="82"/>
        <v>0</v>
      </c>
      <c r="AN150" s="469">
        <f t="shared" si="82"/>
        <v>0</v>
      </c>
      <c r="AO150" s="469">
        <f t="shared" si="82"/>
        <v>0</v>
      </c>
      <c r="AP150" s="469">
        <f t="shared" si="82"/>
        <v>0</v>
      </c>
      <c r="AQ150" s="469">
        <f t="shared" si="82"/>
        <v>0</v>
      </c>
      <c r="AR150" s="469">
        <f t="shared" si="82"/>
        <v>0</v>
      </c>
      <c r="AS150" s="469">
        <f t="shared" si="82"/>
        <v>0</v>
      </c>
      <c r="AT150" s="469">
        <f t="shared" si="82"/>
        <v>0</v>
      </c>
      <c r="AU150" s="469">
        <f t="shared" si="82"/>
        <v>0</v>
      </c>
      <c r="AV150" s="469">
        <f t="shared" si="82"/>
        <v>0</v>
      </c>
      <c r="AW150" s="469">
        <f t="shared" si="82"/>
        <v>0</v>
      </c>
      <c r="AX150" s="469">
        <f t="shared" si="82"/>
        <v>0</v>
      </c>
      <c r="AY150" s="470">
        <f t="shared" si="73"/>
        <v>0</v>
      </c>
      <c r="AZ150" s="141"/>
    </row>
    <row r="151" spans="1:52">
      <c r="A151" s="1335">
        <f>$B$41</f>
        <v>0</v>
      </c>
      <c r="B151" s="1335"/>
      <c r="C151" s="1335"/>
      <c r="D151" s="1335"/>
      <c r="E151" s="1335"/>
      <c r="F151" s="467">
        <f>OpeningTemplate!$D$326</f>
        <v>0</v>
      </c>
      <c r="G151" s="467">
        <f>OpeningTemplate!$E$326</f>
        <v>0</v>
      </c>
      <c r="H151" s="446">
        <f t="shared" si="74"/>
        <v>0</v>
      </c>
      <c r="I151" s="446">
        <f t="shared" si="75"/>
        <v>0</v>
      </c>
      <c r="J151" s="468">
        <f t="shared" si="76"/>
        <v>0</v>
      </c>
      <c r="K151" s="467">
        <f t="shared" si="67"/>
        <v>0</v>
      </c>
      <c r="L151" s="467">
        <f t="shared" si="68"/>
        <v>0</v>
      </c>
      <c r="M151" s="469">
        <f t="shared" si="69"/>
        <v>0</v>
      </c>
      <c r="N151" s="469">
        <f t="shared" si="83"/>
        <v>0</v>
      </c>
      <c r="O151" s="469">
        <f t="shared" si="83"/>
        <v>0</v>
      </c>
      <c r="P151" s="469">
        <f t="shared" si="83"/>
        <v>0</v>
      </c>
      <c r="Q151" s="469">
        <f t="shared" si="77"/>
        <v>0</v>
      </c>
      <c r="R151" s="469">
        <f t="shared" si="82"/>
        <v>0</v>
      </c>
      <c r="S151" s="469">
        <f t="shared" si="82"/>
        <v>0</v>
      </c>
      <c r="T151" s="469">
        <f t="shared" si="82"/>
        <v>0</v>
      </c>
      <c r="U151" s="469">
        <f t="shared" si="82"/>
        <v>0</v>
      </c>
      <c r="V151" s="469">
        <f t="shared" si="82"/>
        <v>0</v>
      </c>
      <c r="W151" s="469">
        <f t="shared" si="82"/>
        <v>0</v>
      </c>
      <c r="X151" s="469">
        <f t="shared" si="82"/>
        <v>0</v>
      </c>
      <c r="Y151" s="469">
        <f t="shared" si="82"/>
        <v>0</v>
      </c>
      <c r="Z151" s="469">
        <f t="shared" si="82"/>
        <v>0</v>
      </c>
      <c r="AA151" s="469">
        <f t="shared" si="82"/>
        <v>0</v>
      </c>
      <c r="AB151" s="469">
        <f t="shared" si="82"/>
        <v>0</v>
      </c>
      <c r="AC151" s="469">
        <f t="shared" si="82"/>
        <v>0</v>
      </c>
      <c r="AD151" s="469">
        <f t="shared" si="82"/>
        <v>0</v>
      </c>
      <c r="AE151" s="469">
        <f t="shared" si="82"/>
        <v>0</v>
      </c>
      <c r="AF151" s="469">
        <f t="shared" si="82"/>
        <v>0</v>
      </c>
      <c r="AG151" s="469">
        <f t="shared" si="82"/>
        <v>0</v>
      </c>
      <c r="AH151" s="469">
        <f t="shared" si="82"/>
        <v>0</v>
      </c>
      <c r="AI151" s="469">
        <f t="shared" si="82"/>
        <v>0</v>
      </c>
      <c r="AJ151" s="469">
        <f t="shared" si="82"/>
        <v>0</v>
      </c>
      <c r="AK151" s="469">
        <f t="shared" si="82"/>
        <v>0</v>
      </c>
      <c r="AL151" s="469">
        <f t="shared" si="82"/>
        <v>0</v>
      </c>
      <c r="AM151" s="469">
        <f t="shared" ref="R151:AX152" si="84">IF(AND(AM$122&gt;=$K151,AM$122&lt;=$L151),IF(AL$122&lt;$F151,IF(AM$122&lt;=$G151,(AM$122-$F151+1)*$J151,$H151),IF(AM$122&gt;=$G151,($G151-AL$122)*$J151,(AM$122-AL$122)*$J151)),0)</f>
        <v>0</v>
      </c>
      <c r="AN151" s="469">
        <f t="shared" si="84"/>
        <v>0</v>
      </c>
      <c r="AO151" s="469">
        <f t="shared" si="84"/>
        <v>0</v>
      </c>
      <c r="AP151" s="469">
        <f t="shared" si="84"/>
        <v>0</v>
      </c>
      <c r="AQ151" s="469">
        <f t="shared" si="84"/>
        <v>0</v>
      </c>
      <c r="AR151" s="469">
        <f t="shared" si="84"/>
        <v>0</v>
      </c>
      <c r="AS151" s="469">
        <f t="shared" si="84"/>
        <v>0</v>
      </c>
      <c r="AT151" s="469">
        <f t="shared" si="84"/>
        <v>0</v>
      </c>
      <c r="AU151" s="469">
        <f t="shared" si="84"/>
        <v>0</v>
      </c>
      <c r="AV151" s="469">
        <f t="shared" si="84"/>
        <v>0</v>
      </c>
      <c r="AW151" s="469">
        <f t="shared" si="84"/>
        <v>0</v>
      </c>
      <c r="AX151" s="469">
        <f t="shared" si="84"/>
        <v>0</v>
      </c>
      <c r="AY151" s="470">
        <f t="shared" si="73"/>
        <v>0</v>
      </c>
      <c r="AZ151" s="141"/>
    </row>
    <row r="152" spans="1:52">
      <c r="A152" s="1335">
        <f>$B$42</f>
        <v>0</v>
      </c>
      <c r="B152" s="1335"/>
      <c r="C152" s="1335"/>
      <c r="D152" s="1335"/>
      <c r="E152" s="1335"/>
      <c r="F152" s="467">
        <f>OpeningTemplate!$D$336</f>
        <v>0</v>
      </c>
      <c r="G152" s="467">
        <f>OpeningTemplate!$E$336</f>
        <v>0</v>
      </c>
      <c r="H152" s="446">
        <f t="shared" si="74"/>
        <v>0</v>
      </c>
      <c r="I152" s="446">
        <f t="shared" si="75"/>
        <v>0</v>
      </c>
      <c r="J152" s="468">
        <f t="shared" si="76"/>
        <v>0</v>
      </c>
      <c r="K152" s="467">
        <f t="shared" si="67"/>
        <v>0</v>
      </c>
      <c r="L152" s="467">
        <f t="shared" si="68"/>
        <v>0</v>
      </c>
      <c r="M152" s="469">
        <f t="shared" si="69"/>
        <v>0</v>
      </c>
      <c r="N152" s="469">
        <f t="shared" si="83"/>
        <v>0</v>
      </c>
      <c r="O152" s="469">
        <f t="shared" si="83"/>
        <v>0</v>
      </c>
      <c r="P152" s="469">
        <f t="shared" si="83"/>
        <v>0</v>
      </c>
      <c r="Q152" s="469">
        <f t="shared" si="77"/>
        <v>0</v>
      </c>
      <c r="R152" s="469">
        <f t="shared" si="84"/>
        <v>0</v>
      </c>
      <c r="S152" s="469">
        <f t="shared" si="84"/>
        <v>0</v>
      </c>
      <c r="T152" s="469">
        <f t="shared" si="84"/>
        <v>0</v>
      </c>
      <c r="U152" s="469">
        <f t="shared" si="84"/>
        <v>0</v>
      </c>
      <c r="V152" s="469">
        <f t="shared" si="84"/>
        <v>0</v>
      </c>
      <c r="W152" s="469">
        <f t="shared" si="84"/>
        <v>0</v>
      </c>
      <c r="X152" s="469">
        <f t="shared" si="84"/>
        <v>0</v>
      </c>
      <c r="Y152" s="469">
        <f t="shared" si="84"/>
        <v>0</v>
      </c>
      <c r="Z152" s="469">
        <f t="shared" si="84"/>
        <v>0</v>
      </c>
      <c r="AA152" s="469">
        <f t="shared" si="84"/>
        <v>0</v>
      </c>
      <c r="AB152" s="469">
        <f t="shared" si="84"/>
        <v>0</v>
      </c>
      <c r="AC152" s="469">
        <f t="shared" si="84"/>
        <v>0</v>
      </c>
      <c r="AD152" s="469">
        <f t="shared" si="84"/>
        <v>0</v>
      </c>
      <c r="AE152" s="469">
        <f t="shared" si="84"/>
        <v>0</v>
      </c>
      <c r="AF152" s="469">
        <f t="shared" si="84"/>
        <v>0</v>
      </c>
      <c r="AG152" s="469">
        <f t="shared" si="84"/>
        <v>0</v>
      </c>
      <c r="AH152" s="469">
        <f t="shared" si="84"/>
        <v>0</v>
      </c>
      <c r="AI152" s="469">
        <f t="shared" si="84"/>
        <v>0</v>
      </c>
      <c r="AJ152" s="469">
        <f t="shared" si="84"/>
        <v>0</v>
      </c>
      <c r="AK152" s="469">
        <f t="shared" si="84"/>
        <v>0</v>
      </c>
      <c r="AL152" s="469">
        <f t="shared" si="84"/>
        <v>0</v>
      </c>
      <c r="AM152" s="469">
        <f t="shared" si="84"/>
        <v>0</v>
      </c>
      <c r="AN152" s="469">
        <f t="shared" si="84"/>
        <v>0</v>
      </c>
      <c r="AO152" s="469">
        <f t="shared" si="84"/>
        <v>0</v>
      </c>
      <c r="AP152" s="469">
        <f t="shared" si="84"/>
        <v>0</v>
      </c>
      <c r="AQ152" s="469">
        <f t="shared" si="84"/>
        <v>0</v>
      </c>
      <c r="AR152" s="469">
        <f t="shared" si="84"/>
        <v>0</v>
      </c>
      <c r="AS152" s="469">
        <f t="shared" si="84"/>
        <v>0</v>
      </c>
      <c r="AT152" s="469">
        <f t="shared" si="84"/>
        <v>0</v>
      </c>
      <c r="AU152" s="469">
        <f t="shared" si="84"/>
        <v>0</v>
      </c>
      <c r="AV152" s="469">
        <f t="shared" si="84"/>
        <v>0</v>
      </c>
      <c r="AW152" s="469">
        <f t="shared" si="84"/>
        <v>0</v>
      </c>
      <c r="AX152" s="469">
        <f t="shared" si="84"/>
        <v>0</v>
      </c>
      <c r="AY152" s="470">
        <f t="shared" si="73"/>
        <v>0</v>
      </c>
      <c r="AZ152" s="141"/>
    </row>
    <row r="153" spans="1:52">
      <c r="A153" s="1336" t="s">
        <v>816</v>
      </c>
      <c r="B153" s="1337"/>
      <c r="C153" s="1337"/>
      <c r="D153" s="1337"/>
      <c r="E153" s="1338"/>
      <c r="F153" s="440"/>
      <c r="G153" s="440"/>
      <c r="H153" s="440"/>
      <c r="I153" s="440"/>
      <c r="J153" s="440"/>
      <c r="K153" s="440"/>
      <c r="L153" s="440"/>
      <c r="M153" s="440">
        <f t="shared" ref="M153:AX153" si="85">SUM(M123:M152)</f>
        <v>0</v>
      </c>
      <c r="N153" s="440">
        <f t="shared" si="85"/>
        <v>0</v>
      </c>
      <c r="O153" s="440">
        <f t="shared" si="85"/>
        <v>0</v>
      </c>
      <c r="P153" s="440">
        <f t="shared" si="85"/>
        <v>0</v>
      </c>
      <c r="Q153" s="440">
        <f t="shared" si="85"/>
        <v>0</v>
      </c>
      <c r="R153" s="440">
        <f t="shared" si="85"/>
        <v>0</v>
      </c>
      <c r="S153" s="440">
        <f t="shared" si="85"/>
        <v>0</v>
      </c>
      <c r="T153" s="440">
        <f t="shared" si="85"/>
        <v>0</v>
      </c>
      <c r="U153" s="440">
        <f t="shared" si="85"/>
        <v>0</v>
      </c>
      <c r="V153" s="440">
        <f t="shared" si="85"/>
        <v>0</v>
      </c>
      <c r="W153" s="440">
        <f t="shared" si="85"/>
        <v>0</v>
      </c>
      <c r="X153" s="440">
        <f t="shared" si="85"/>
        <v>0</v>
      </c>
      <c r="Y153" s="440">
        <f t="shared" si="85"/>
        <v>0</v>
      </c>
      <c r="Z153" s="440">
        <f t="shared" si="85"/>
        <v>0</v>
      </c>
      <c r="AA153" s="440">
        <f t="shared" si="85"/>
        <v>0</v>
      </c>
      <c r="AB153" s="440">
        <f t="shared" si="85"/>
        <v>0</v>
      </c>
      <c r="AC153" s="440">
        <f t="shared" si="85"/>
        <v>0</v>
      </c>
      <c r="AD153" s="440">
        <f t="shared" si="85"/>
        <v>0</v>
      </c>
      <c r="AE153" s="440">
        <f t="shared" si="85"/>
        <v>0</v>
      </c>
      <c r="AF153" s="440">
        <f t="shared" si="85"/>
        <v>0</v>
      </c>
      <c r="AG153" s="440">
        <f t="shared" si="85"/>
        <v>0</v>
      </c>
      <c r="AH153" s="440">
        <f t="shared" si="85"/>
        <v>0</v>
      </c>
      <c r="AI153" s="440">
        <f t="shared" si="85"/>
        <v>0</v>
      </c>
      <c r="AJ153" s="440">
        <f t="shared" si="85"/>
        <v>0</v>
      </c>
      <c r="AK153" s="440">
        <f t="shared" si="85"/>
        <v>0</v>
      </c>
      <c r="AL153" s="440">
        <f t="shared" si="85"/>
        <v>0</v>
      </c>
      <c r="AM153" s="440">
        <f t="shared" si="85"/>
        <v>0</v>
      </c>
      <c r="AN153" s="440">
        <f t="shared" si="85"/>
        <v>0</v>
      </c>
      <c r="AO153" s="440">
        <f t="shared" si="85"/>
        <v>0</v>
      </c>
      <c r="AP153" s="440">
        <f t="shared" si="85"/>
        <v>0</v>
      </c>
      <c r="AQ153" s="440">
        <f t="shared" si="85"/>
        <v>0</v>
      </c>
      <c r="AR153" s="440">
        <f t="shared" si="85"/>
        <v>0</v>
      </c>
      <c r="AS153" s="440">
        <f t="shared" si="85"/>
        <v>0</v>
      </c>
      <c r="AT153" s="440">
        <f t="shared" si="85"/>
        <v>0</v>
      </c>
      <c r="AU153" s="440">
        <f t="shared" si="85"/>
        <v>0</v>
      </c>
      <c r="AV153" s="440">
        <f t="shared" si="85"/>
        <v>0</v>
      </c>
      <c r="AW153" s="440">
        <f t="shared" si="85"/>
        <v>0</v>
      </c>
      <c r="AX153" s="440">
        <f t="shared" si="85"/>
        <v>0</v>
      </c>
      <c r="AY153" s="440">
        <f>SUM(M153:AX153)</f>
        <v>0</v>
      </c>
      <c r="AZ153" s="141"/>
    </row>
    <row r="154" spans="1:52">
      <c r="A154" s="141"/>
      <c r="B154" s="141"/>
      <c r="C154" s="141"/>
      <c r="D154" s="141"/>
      <c r="E154" s="141"/>
      <c r="F154" s="141"/>
      <c r="G154" s="141"/>
      <c r="H154" s="141"/>
      <c r="I154" s="141"/>
      <c r="J154" s="47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s="141"/>
      <c r="AO154" s="141"/>
      <c r="AP154" s="141"/>
      <c r="AQ154" s="141"/>
      <c r="AR154" s="141"/>
      <c r="AS154" s="141"/>
      <c r="AT154" s="141"/>
      <c r="AU154" s="141"/>
      <c r="AV154" s="141"/>
      <c r="AW154" s="141"/>
      <c r="AX154" s="141"/>
      <c r="AY154" s="141"/>
      <c r="AZ154" s="141"/>
    </row>
    <row r="155" spans="1:52">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c r="AB155" s="141"/>
      <c r="AC155" s="141"/>
      <c r="AD155" s="141"/>
      <c r="AE155" s="141"/>
      <c r="AF155" s="141"/>
      <c r="AG155" s="141"/>
      <c r="AH155" s="141"/>
      <c r="AI155" s="141"/>
      <c r="AJ155" s="141"/>
      <c r="AK155" s="141"/>
      <c r="AL155" s="141"/>
      <c r="AM155" s="141"/>
      <c r="AN155" s="141"/>
      <c r="AO155" s="141"/>
      <c r="AP155" s="141"/>
      <c r="AQ155" s="141"/>
      <c r="AR155" s="141"/>
      <c r="AS155" s="141"/>
      <c r="AT155" s="141"/>
      <c r="AU155" s="141"/>
      <c r="AV155" s="141"/>
      <c r="AW155" s="141"/>
      <c r="AX155" s="141"/>
      <c r="AY155" s="141"/>
      <c r="AZ155" s="141"/>
    </row>
    <row r="156" spans="1:52">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c r="AN156" s="141"/>
      <c r="AO156" s="141"/>
      <c r="AP156" s="141"/>
      <c r="AQ156" s="141"/>
      <c r="AR156" s="141"/>
      <c r="AS156" s="141"/>
      <c r="AT156" s="141"/>
      <c r="AU156" s="141"/>
      <c r="AV156" s="141"/>
      <c r="AW156" s="141"/>
      <c r="AX156" s="141"/>
      <c r="AY156" s="141"/>
      <c r="AZ156" s="141"/>
    </row>
    <row r="157" spans="1:52" ht="15.6">
      <c r="A157" s="1340" t="s">
        <v>817</v>
      </c>
      <c r="B157" s="1340"/>
      <c r="C157" s="1340"/>
      <c r="D157" s="1340"/>
      <c r="E157" s="1340"/>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141"/>
      <c r="AK157" s="141"/>
      <c r="AL157" s="141"/>
      <c r="AM157" s="141"/>
      <c r="AN157" s="141"/>
      <c r="AO157" s="141"/>
      <c r="AP157" s="141"/>
      <c r="AQ157" s="141"/>
      <c r="AR157" s="141"/>
      <c r="AS157" s="141"/>
      <c r="AT157" s="141"/>
      <c r="AU157" s="141"/>
      <c r="AV157" s="141"/>
      <c r="AW157" s="141"/>
      <c r="AX157" s="141"/>
      <c r="AY157" s="141"/>
      <c r="AZ157" s="141"/>
    </row>
    <row r="158" spans="1:52">
      <c r="A158" s="1339" t="s">
        <v>818</v>
      </c>
      <c r="B158" s="1339"/>
      <c r="C158" s="1339"/>
      <c r="D158" s="1339"/>
      <c r="E158" s="1339"/>
      <c r="F158" s="441" t="s">
        <v>819</v>
      </c>
      <c r="G158" s="441" t="s">
        <v>820</v>
      </c>
      <c r="H158" s="472" t="s">
        <v>821</v>
      </c>
      <c r="I158" s="448" t="s">
        <v>822</v>
      </c>
      <c r="J158" s="448"/>
      <c r="K158" s="448"/>
      <c r="L158" s="448"/>
      <c r="M158" s="466">
        <f t="array" ref="M158:AX158">MDReportingDates</f>
        <v>41774</v>
      </c>
      <c r="N158" s="466">
        <v>41788</v>
      </c>
      <c r="O158" s="466">
        <v>41802</v>
      </c>
      <c r="P158" s="466">
        <v>41816</v>
      </c>
      <c r="Q158" s="466">
        <v>41830</v>
      </c>
      <c r="R158" s="466">
        <v>41844</v>
      </c>
      <c r="S158" s="466">
        <v>41858</v>
      </c>
      <c r="T158" s="466">
        <v>41872</v>
      </c>
      <c r="U158" s="466">
        <v>41886</v>
      </c>
      <c r="V158" s="466">
        <v>41900</v>
      </c>
      <c r="W158" s="466">
        <v>41914</v>
      </c>
      <c r="X158" s="466">
        <v>41928</v>
      </c>
      <c r="Y158" s="466">
        <v>41942</v>
      </c>
      <c r="Z158" s="466">
        <v>41956</v>
      </c>
      <c r="AA158" s="466">
        <v>41970</v>
      </c>
      <c r="AB158" s="466">
        <v>41984</v>
      </c>
      <c r="AC158" s="466">
        <v>41998</v>
      </c>
      <c r="AD158" s="466">
        <v>42012</v>
      </c>
      <c r="AE158" s="466">
        <v>42026</v>
      </c>
      <c r="AF158" s="466">
        <v>42040</v>
      </c>
      <c r="AG158" s="466">
        <v>42054</v>
      </c>
      <c r="AH158" s="466">
        <v>42068</v>
      </c>
      <c r="AI158" s="466">
        <v>42082</v>
      </c>
      <c r="AJ158" s="466">
        <v>42096</v>
      </c>
      <c r="AK158" s="466">
        <v>42110</v>
      </c>
      <c r="AL158" s="466">
        <v>42124</v>
      </c>
      <c r="AM158" s="466">
        <v>42138</v>
      </c>
      <c r="AN158" s="466">
        <v>42152</v>
      </c>
      <c r="AO158" s="466">
        <v>42166</v>
      </c>
      <c r="AP158" s="466">
        <v>42180</v>
      </c>
      <c r="AQ158" s="466">
        <v>42194</v>
      </c>
      <c r="AR158" s="466">
        <v>42208</v>
      </c>
      <c r="AS158" s="466">
        <v>42222</v>
      </c>
      <c r="AT158" s="466">
        <v>42236</v>
      </c>
      <c r="AU158" s="466">
        <v>42250</v>
      </c>
      <c r="AV158" s="466">
        <v>42264</v>
      </c>
      <c r="AW158" s="466">
        <v>42278</v>
      </c>
      <c r="AX158" s="466">
        <v>42292</v>
      </c>
      <c r="AY158" s="141"/>
    </row>
    <row r="159" spans="1:52">
      <c r="A159" s="1335" t="str">
        <f>$B$13</f>
        <v>GEFI Migration</v>
      </c>
      <c r="B159" s="1335"/>
      <c r="C159" s="1335"/>
      <c r="D159" s="1335"/>
      <c r="E159" s="1335"/>
      <c r="F159" s="467">
        <f>OpeningTemplate!$D$46</f>
        <v>0</v>
      </c>
      <c r="G159" s="467">
        <f>OpeningTemplate!$E$46</f>
        <v>0</v>
      </c>
      <c r="H159" s="467" t="str">
        <f>OpeningTemplate!$E$44</f>
        <v>fix</v>
      </c>
      <c r="I159" s="473">
        <f t="shared" ref="I159:I173" si="86">N13</f>
        <v>1</v>
      </c>
      <c r="J159" s="473"/>
      <c r="K159" s="473"/>
      <c r="L159" s="473"/>
      <c r="M159" s="474">
        <f t="shared" ref="M159:AX159" si="87">M194*$I159</f>
        <v>0</v>
      </c>
      <c r="N159" s="474">
        <f t="shared" si="87"/>
        <v>0</v>
      </c>
      <c r="O159" s="474">
        <f t="shared" si="87"/>
        <v>0</v>
      </c>
      <c r="P159" s="474">
        <f t="shared" si="87"/>
        <v>0</v>
      </c>
      <c r="Q159" s="474">
        <f t="shared" si="87"/>
        <v>0</v>
      </c>
      <c r="R159" s="474">
        <f t="shared" si="87"/>
        <v>0</v>
      </c>
      <c r="S159" s="474">
        <f t="shared" si="87"/>
        <v>0</v>
      </c>
      <c r="T159" s="474">
        <f t="shared" si="87"/>
        <v>0</v>
      </c>
      <c r="U159" s="474">
        <f t="shared" si="87"/>
        <v>0</v>
      </c>
      <c r="V159" s="474">
        <f t="shared" si="87"/>
        <v>0</v>
      </c>
      <c r="W159" s="474">
        <f t="shared" si="87"/>
        <v>0</v>
      </c>
      <c r="X159" s="474">
        <f t="shared" si="87"/>
        <v>0</v>
      </c>
      <c r="Y159" s="474">
        <f t="shared" si="87"/>
        <v>0</v>
      </c>
      <c r="Z159" s="474">
        <f t="shared" si="87"/>
        <v>0</v>
      </c>
      <c r="AA159" s="474">
        <f t="shared" si="87"/>
        <v>0</v>
      </c>
      <c r="AB159" s="474">
        <f t="shared" si="87"/>
        <v>0</v>
      </c>
      <c r="AC159" s="474">
        <f t="shared" si="87"/>
        <v>0</v>
      </c>
      <c r="AD159" s="474">
        <f t="shared" si="87"/>
        <v>0</v>
      </c>
      <c r="AE159" s="474">
        <f t="shared" si="87"/>
        <v>0</v>
      </c>
      <c r="AF159" s="474">
        <f t="shared" si="87"/>
        <v>0</v>
      </c>
      <c r="AG159" s="474">
        <f t="shared" si="87"/>
        <v>0</v>
      </c>
      <c r="AH159" s="474">
        <f t="shared" si="87"/>
        <v>0</v>
      </c>
      <c r="AI159" s="474">
        <f t="shared" si="87"/>
        <v>0</v>
      </c>
      <c r="AJ159" s="474">
        <f t="shared" si="87"/>
        <v>0</v>
      </c>
      <c r="AK159" s="474">
        <f t="shared" si="87"/>
        <v>0</v>
      </c>
      <c r="AL159" s="474">
        <f t="shared" si="87"/>
        <v>0</v>
      </c>
      <c r="AM159" s="474">
        <f t="shared" si="87"/>
        <v>0</v>
      </c>
      <c r="AN159" s="474">
        <f t="shared" si="87"/>
        <v>0</v>
      </c>
      <c r="AO159" s="474">
        <f t="shared" si="87"/>
        <v>0</v>
      </c>
      <c r="AP159" s="474">
        <f t="shared" si="87"/>
        <v>0</v>
      </c>
      <c r="AQ159" s="474">
        <f t="shared" si="87"/>
        <v>0</v>
      </c>
      <c r="AR159" s="474">
        <f t="shared" si="87"/>
        <v>0</v>
      </c>
      <c r="AS159" s="474">
        <f t="shared" si="87"/>
        <v>0</v>
      </c>
      <c r="AT159" s="474">
        <f t="shared" si="87"/>
        <v>0</v>
      </c>
      <c r="AU159" s="474">
        <f t="shared" si="87"/>
        <v>0</v>
      </c>
      <c r="AV159" s="474">
        <f t="shared" si="87"/>
        <v>0</v>
      </c>
      <c r="AW159" s="474">
        <f t="shared" si="87"/>
        <v>0</v>
      </c>
      <c r="AX159" s="474">
        <f t="shared" si="87"/>
        <v>0</v>
      </c>
      <c r="AY159" s="141"/>
    </row>
    <row r="160" spans="1:52">
      <c r="A160" s="1335">
        <f>$B$14</f>
        <v>0</v>
      </c>
      <c r="B160" s="1335"/>
      <c r="C160" s="1335"/>
      <c r="D160" s="1335"/>
      <c r="E160" s="1335"/>
      <c r="F160" s="467">
        <f>OpeningTemplate!$D$56</f>
        <v>0</v>
      </c>
      <c r="G160" s="467">
        <f>OpeningTemplate!$E$56</f>
        <v>0</v>
      </c>
      <c r="H160" s="467" t="str">
        <f>OpeningTemplate!$E$54</f>
        <v/>
      </c>
      <c r="I160" s="473">
        <f t="shared" si="86"/>
        <v>0</v>
      </c>
      <c r="J160" s="473"/>
      <c r="K160" s="473"/>
      <c r="L160" s="473"/>
      <c r="M160" s="474">
        <f t="shared" ref="M160:AX160" si="88">M195*$I160</f>
        <v>0</v>
      </c>
      <c r="N160" s="474">
        <f t="shared" si="88"/>
        <v>0</v>
      </c>
      <c r="O160" s="474">
        <f t="shared" si="88"/>
        <v>0</v>
      </c>
      <c r="P160" s="474">
        <f t="shared" si="88"/>
        <v>0</v>
      </c>
      <c r="Q160" s="474">
        <f t="shared" si="88"/>
        <v>0</v>
      </c>
      <c r="R160" s="474">
        <f t="shared" si="88"/>
        <v>0</v>
      </c>
      <c r="S160" s="474">
        <f t="shared" si="88"/>
        <v>0</v>
      </c>
      <c r="T160" s="474">
        <f t="shared" si="88"/>
        <v>0</v>
      </c>
      <c r="U160" s="474">
        <f t="shared" si="88"/>
        <v>0</v>
      </c>
      <c r="V160" s="474">
        <f t="shared" si="88"/>
        <v>0</v>
      </c>
      <c r="W160" s="474">
        <f t="shared" si="88"/>
        <v>0</v>
      </c>
      <c r="X160" s="474">
        <f t="shared" si="88"/>
        <v>0</v>
      </c>
      <c r="Y160" s="474">
        <f t="shared" si="88"/>
        <v>0</v>
      </c>
      <c r="Z160" s="474">
        <f t="shared" si="88"/>
        <v>0</v>
      </c>
      <c r="AA160" s="474">
        <f t="shared" si="88"/>
        <v>0</v>
      </c>
      <c r="AB160" s="474">
        <f t="shared" si="88"/>
        <v>0</v>
      </c>
      <c r="AC160" s="474">
        <f t="shared" si="88"/>
        <v>0</v>
      </c>
      <c r="AD160" s="474">
        <f t="shared" si="88"/>
        <v>0</v>
      </c>
      <c r="AE160" s="474">
        <f t="shared" si="88"/>
        <v>0</v>
      </c>
      <c r="AF160" s="474">
        <f t="shared" si="88"/>
        <v>0</v>
      </c>
      <c r="AG160" s="474">
        <f t="shared" si="88"/>
        <v>0</v>
      </c>
      <c r="AH160" s="474">
        <f t="shared" si="88"/>
        <v>0</v>
      </c>
      <c r="AI160" s="474">
        <f t="shared" si="88"/>
        <v>0</v>
      </c>
      <c r="AJ160" s="474">
        <f t="shared" si="88"/>
        <v>0</v>
      </c>
      <c r="AK160" s="474">
        <f t="shared" si="88"/>
        <v>0</v>
      </c>
      <c r="AL160" s="474">
        <f t="shared" si="88"/>
        <v>0</v>
      </c>
      <c r="AM160" s="474">
        <f t="shared" si="88"/>
        <v>0</v>
      </c>
      <c r="AN160" s="474">
        <f t="shared" si="88"/>
        <v>0</v>
      </c>
      <c r="AO160" s="474">
        <f t="shared" si="88"/>
        <v>0</v>
      </c>
      <c r="AP160" s="474">
        <f t="shared" si="88"/>
        <v>0</v>
      </c>
      <c r="AQ160" s="474">
        <f t="shared" si="88"/>
        <v>0</v>
      </c>
      <c r="AR160" s="474">
        <f t="shared" si="88"/>
        <v>0</v>
      </c>
      <c r="AS160" s="474">
        <f t="shared" si="88"/>
        <v>0</v>
      </c>
      <c r="AT160" s="474">
        <f t="shared" si="88"/>
        <v>0</v>
      </c>
      <c r="AU160" s="474">
        <f t="shared" si="88"/>
        <v>0</v>
      </c>
      <c r="AV160" s="474">
        <f t="shared" si="88"/>
        <v>0</v>
      </c>
      <c r="AW160" s="474">
        <f t="shared" si="88"/>
        <v>0</v>
      </c>
      <c r="AX160" s="474">
        <f t="shared" si="88"/>
        <v>0</v>
      </c>
      <c r="AY160" s="141"/>
    </row>
    <row r="161" spans="1:51">
      <c r="A161" s="1335">
        <f>$B$15</f>
        <v>0</v>
      </c>
      <c r="B161" s="1335"/>
      <c r="C161" s="1335"/>
      <c r="D161" s="1335"/>
      <c r="E161" s="1335"/>
      <c r="F161" s="467">
        <f>OpeningTemplate!$D$66</f>
        <v>0</v>
      </c>
      <c r="G161" s="467">
        <f>OpeningTemplate!$E$66</f>
        <v>0</v>
      </c>
      <c r="H161" s="467" t="str">
        <f>OpeningTemplate!$E$64</f>
        <v/>
      </c>
      <c r="I161" s="473">
        <f t="shared" si="86"/>
        <v>0</v>
      </c>
      <c r="J161" s="473"/>
      <c r="K161" s="473"/>
      <c r="L161" s="473"/>
      <c r="M161" s="474">
        <f t="shared" ref="M161:AX161" si="89">M196*$I161</f>
        <v>0</v>
      </c>
      <c r="N161" s="474">
        <f t="shared" si="89"/>
        <v>0</v>
      </c>
      <c r="O161" s="474">
        <f t="shared" si="89"/>
        <v>0</v>
      </c>
      <c r="P161" s="474">
        <f t="shared" si="89"/>
        <v>0</v>
      </c>
      <c r="Q161" s="474">
        <f t="shared" si="89"/>
        <v>0</v>
      </c>
      <c r="R161" s="474">
        <f t="shared" si="89"/>
        <v>0</v>
      </c>
      <c r="S161" s="474">
        <f t="shared" si="89"/>
        <v>0</v>
      </c>
      <c r="T161" s="474">
        <f t="shared" si="89"/>
        <v>0</v>
      </c>
      <c r="U161" s="474">
        <f t="shared" si="89"/>
        <v>0</v>
      </c>
      <c r="V161" s="474">
        <f t="shared" si="89"/>
        <v>0</v>
      </c>
      <c r="W161" s="474">
        <f t="shared" si="89"/>
        <v>0</v>
      </c>
      <c r="X161" s="474">
        <f t="shared" si="89"/>
        <v>0</v>
      </c>
      <c r="Y161" s="474">
        <f t="shared" si="89"/>
        <v>0</v>
      </c>
      <c r="Z161" s="474">
        <f t="shared" si="89"/>
        <v>0</v>
      </c>
      <c r="AA161" s="474">
        <f t="shared" si="89"/>
        <v>0</v>
      </c>
      <c r="AB161" s="474">
        <f t="shared" si="89"/>
        <v>0</v>
      </c>
      <c r="AC161" s="474">
        <f t="shared" si="89"/>
        <v>0</v>
      </c>
      <c r="AD161" s="474">
        <f t="shared" si="89"/>
        <v>0</v>
      </c>
      <c r="AE161" s="474">
        <f t="shared" si="89"/>
        <v>0</v>
      </c>
      <c r="AF161" s="474">
        <f t="shared" si="89"/>
        <v>0</v>
      </c>
      <c r="AG161" s="474">
        <f t="shared" si="89"/>
        <v>0</v>
      </c>
      <c r="AH161" s="474">
        <f t="shared" si="89"/>
        <v>0</v>
      </c>
      <c r="AI161" s="474">
        <f t="shared" si="89"/>
        <v>0</v>
      </c>
      <c r="AJ161" s="474">
        <f t="shared" si="89"/>
        <v>0</v>
      </c>
      <c r="AK161" s="474">
        <f t="shared" si="89"/>
        <v>0</v>
      </c>
      <c r="AL161" s="474">
        <f t="shared" si="89"/>
        <v>0</v>
      </c>
      <c r="AM161" s="474">
        <f t="shared" si="89"/>
        <v>0</v>
      </c>
      <c r="AN161" s="474">
        <f t="shared" si="89"/>
        <v>0</v>
      </c>
      <c r="AO161" s="474">
        <f t="shared" si="89"/>
        <v>0</v>
      </c>
      <c r="AP161" s="474">
        <f t="shared" si="89"/>
        <v>0</v>
      </c>
      <c r="AQ161" s="474">
        <f t="shared" si="89"/>
        <v>0</v>
      </c>
      <c r="AR161" s="474">
        <f t="shared" si="89"/>
        <v>0</v>
      </c>
      <c r="AS161" s="474">
        <f t="shared" si="89"/>
        <v>0</v>
      </c>
      <c r="AT161" s="474">
        <f t="shared" si="89"/>
        <v>0</v>
      </c>
      <c r="AU161" s="474">
        <f t="shared" si="89"/>
        <v>0</v>
      </c>
      <c r="AV161" s="474">
        <f t="shared" si="89"/>
        <v>0</v>
      </c>
      <c r="AW161" s="474">
        <f t="shared" si="89"/>
        <v>0</v>
      </c>
      <c r="AX161" s="474">
        <f t="shared" si="89"/>
        <v>0</v>
      </c>
      <c r="AY161" s="141"/>
    </row>
    <row r="162" spans="1:51">
      <c r="A162" s="1335">
        <f>$B$16</f>
        <v>0</v>
      </c>
      <c r="B162" s="1335"/>
      <c r="C162" s="1335"/>
      <c r="D162" s="1335"/>
      <c r="E162" s="1335"/>
      <c r="F162" s="467">
        <f>OpeningTemplate!$D$76</f>
        <v>0</v>
      </c>
      <c r="G162" s="467">
        <f>OpeningTemplate!$E$76</f>
        <v>0</v>
      </c>
      <c r="H162" s="467" t="str">
        <f>OpeningTemplate!$E$74</f>
        <v/>
      </c>
      <c r="I162" s="473">
        <f t="shared" si="86"/>
        <v>0</v>
      </c>
      <c r="J162" s="473"/>
      <c r="K162" s="473"/>
      <c r="L162" s="473"/>
      <c r="M162" s="474">
        <f t="shared" ref="M162:AX162" si="90">M197*$I162</f>
        <v>0</v>
      </c>
      <c r="N162" s="474">
        <f t="shared" si="90"/>
        <v>0</v>
      </c>
      <c r="O162" s="474">
        <f t="shared" si="90"/>
        <v>0</v>
      </c>
      <c r="P162" s="474">
        <f t="shared" si="90"/>
        <v>0</v>
      </c>
      <c r="Q162" s="474">
        <f t="shared" si="90"/>
        <v>0</v>
      </c>
      <c r="R162" s="474">
        <f t="shared" si="90"/>
        <v>0</v>
      </c>
      <c r="S162" s="474">
        <f t="shared" si="90"/>
        <v>0</v>
      </c>
      <c r="T162" s="474">
        <f t="shared" si="90"/>
        <v>0</v>
      </c>
      <c r="U162" s="474">
        <f t="shared" si="90"/>
        <v>0</v>
      </c>
      <c r="V162" s="474">
        <f t="shared" si="90"/>
        <v>0</v>
      </c>
      <c r="W162" s="474">
        <f t="shared" si="90"/>
        <v>0</v>
      </c>
      <c r="X162" s="474">
        <f t="shared" si="90"/>
        <v>0</v>
      </c>
      <c r="Y162" s="474">
        <f t="shared" si="90"/>
        <v>0</v>
      </c>
      <c r="Z162" s="474">
        <f t="shared" si="90"/>
        <v>0</v>
      </c>
      <c r="AA162" s="474">
        <f t="shared" si="90"/>
        <v>0</v>
      </c>
      <c r="AB162" s="474">
        <f t="shared" si="90"/>
        <v>0</v>
      </c>
      <c r="AC162" s="474">
        <f t="shared" si="90"/>
        <v>0</v>
      </c>
      <c r="AD162" s="474">
        <f t="shared" si="90"/>
        <v>0</v>
      </c>
      <c r="AE162" s="474">
        <f t="shared" si="90"/>
        <v>0</v>
      </c>
      <c r="AF162" s="474">
        <f t="shared" si="90"/>
        <v>0</v>
      </c>
      <c r="AG162" s="474">
        <f t="shared" si="90"/>
        <v>0</v>
      </c>
      <c r="AH162" s="474">
        <f t="shared" si="90"/>
        <v>0</v>
      </c>
      <c r="AI162" s="474">
        <f t="shared" si="90"/>
        <v>0</v>
      </c>
      <c r="AJ162" s="474">
        <f t="shared" si="90"/>
        <v>0</v>
      </c>
      <c r="AK162" s="474">
        <f t="shared" si="90"/>
        <v>0</v>
      </c>
      <c r="AL162" s="474">
        <f t="shared" si="90"/>
        <v>0</v>
      </c>
      <c r="AM162" s="474">
        <f t="shared" si="90"/>
        <v>0</v>
      </c>
      <c r="AN162" s="474">
        <f t="shared" si="90"/>
        <v>0</v>
      </c>
      <c r="AO162" s="474">
        <f t="shared" si="90"/>
        <v>0</v>
      </c>
      <c r="AP162" s="474">
        <f t="shared" si="90"/>
        <v>0</v>
      </c>
      <c r="AQ162" s="474">
        <f t="shared" si="90"/>
        <v>0</v>
      </c>
      <c r="AR162" s="474">
        <f t="shared" si="90"/>
        <v>0</v>
      </c>
      <c r="AS162" s="474">
        <f t="shared" si="90"/>
        <v>0</v>
      </c>
      <c r="AT162" s="474">
        <f t="shared" si="90"/>
        <v>0</v>
      </c>
      <c r="AU162" s="474">
        <f t="shared" si="90"/>
        <v>0</v>
      </c>
      <c r="AV162" s="474">
        <f t="shared" si="90"/>
        <v>0</v>
      </c>
      <c r="AW162" s="474">
        <f t="shared" si="90"/>
        <v>0</v>
      </c>
      <c r="AX162" s="474">
        <f t="shared" si="90"/>
        <v>0</v>
      </c>
      <c r="AY162" s="141"/>
    </row>
    <row r="163" spans="1:51">
      <c r="A163" s="1335">
        <f>$B$17</f>
        <v>0</v>
      </c>
      <c r="B163" s="1335"/>
      <c r="C163" s="1335"/>
      <c r="D163" s="1335"/>
      <c r="E163" s="1335"/>
      <c r="F163" s="467">
        <f>OpeningTemplate!$D$86</f>
        <v>0</v>
      </c>
      <c r="G163" s="467">
        <f>OpeningTemplate!$E$86</f>
        <v>0</v>
      </c>
      <c r="H163" s="467" t="str">
        <f>OpeningTemplate!$E$84</f>
        <v/>
      </c>
      <c r="I163" s="473">
        <f t="shared" si="86"/>
        <v>0</v>
      </c>
      <c r="J163" s="473"/>
      <c r="K163" s="473"/>
      <c r="L163" s="473"/>
      <c r="M163" s="474">
        <f t="shared" ref="M163:AX163" si="91">M198*$I163</f>
        <v>0</v>
      </c>
      <c r="N163" s="474">
        <f t="shared" si="91"/>
        <v>0</v>
      </c>
      <c r="O163" s="474">
        <f t="shared" si="91"/>
        <v>0</v>
      </c>
      <c r="P163" s="474">
        <f t="shared" si="91"/>
        <v>0</v>
      </c>
      <c r="Q163" s="474">
        <f t="shared" si="91"/>
        <v>0</v>
      </c>
      <c r="R163" s="474">
        <f t="shared" si="91"/>
        <v>0</v>
      </c>
      <c r="S163" s="474">
        <f t="shared" si="91"/>
        <v>0</v>
      </c>
      <c r="T163" s="474">
        <f t="shared" si="91"/>
        <v>0</v>
      </c>
      <c r="U163" s="474">
        <f t="shared" si="91"/>
        <v>0</v>
      </c>
      <c r="V163" s="474">
        <f t="shared" si="91"/>
        <v>0</v>
      </c>
      <c r="W163" s="474">
        <f t="shared" si="91"/>
        <v>0</v>
      </c>
      <c r="X163" s="474">
        <f t="shared" si="91"/>
        <v>0</v>
      </c>
      <c r="Y163" s="474">
        <f t="shared" si="91"/>
        <v>0</v>
      </c>
      <c r="Z163" s="474">
        <f t="shared" si="91"/>
        <v>0</v>
      </c>
      <c r="AA163" s="474">
        <f t="shared" si="91"/>
        <v>0</v>
      </c>
      <c r="AB163" s="474">
        <f t="shared" si="91"/>
        <v>0</v>
      </c>
      <c r="AC163" s="474">
        <f t="shared" si="91"/>
        <v>0</v>
      </c>
      <c r="AD163" s="474">
        <f t="shared" si="91"/>
        <v>0</v>
      </c>
      <c r="AE163" s="474">
        <f t="shared" si="91"/>
        <v>0</v>
      </c>
      <c r="AF163" s="474">
        <f t="shared" si="91"/>
        <v>0</v>
      </c>
      <c r="AG163" s="474">
        <f t="shared" si="91"/>
        <v>0</v>
      </c>
      <c r="AH163" s="474">
        <f t="shared" si="91"/>
        <v>0</v>
      </c>
      <c r="AI163" s="474">
        <f t="shared" si="91"/>
        <v>0</v>
      </c>
      <c r="AJ163" s="474">
        <f t="shared" si="91"/>
        <v>0</v>
      </c>
      <c r="AK163" s="474">
        <f t="shared" si="91"/>
        <v>0</v>
      </c>
      <c r="AL163" s="474">
        <f t="shared" si="91"/>
        <v>0</v>
      </c>
      <c r="AM163" s="474">
        <f t="shared" si="91"/>
        <v>0</v>
      </c>
      <c r="AN163" s="474">
        <f t="shared" si="91"/>
        <v>0</v>
      </c>
      <c r="AO163" s="474">
        <f t="shared" si="91"/>
        <v>0</v>
      </c>
      <c r="AP163" s="474">
        <f t="shared" si="91"/>
        <v>0</v>
      </c>
      <c r="AQ163" s="474">
        <f t="shared" si="91"/>
        <v>0</v>
      </c>
      <c r="AR163" s="474">
        <f t="shared" si="91"/>
        <v>0</v>
      </c>
      <c r="AS163" s="474">
        <f t="shared" si="91"/>
        <v>0</v>
      </c>
      <c r="AT163" s="474">
        <f t="shared" si="91"/>
        <v>0</v>
      </c>
      <c r="AU163" s="474">
        <f t="shared" si="91"/>
        <v>0</v>
      </c>
      <c r="AV163" s="474">
        <f t="shared" si="91"/>
        <v>0</v>
      </c>
      <c r="AW163" s="474">
        <f t="shared" si="91"/>
        <v>0</v>
      </c>
      <c r="AX163" s="474">
        <f t="shared" si="91"/>
        <v>0</v>
      </c>
      <c r="AY163" s="141"/>
    </row>
    <row r="164" spans="1:51">
      <c r="A164" s="1335">
        <f>$B$18</f>
        <v>0</v>
      </c>
      <c r="B164" s="1335"/>
      <c r="C164" s="1335"/>
      <c r="D164" s="1335"/>
      <c r="E164" s="1335"/>
      <c r="F164" s="467">
        <f>OpeningTemplate!$D$96</f>
        <v>0</v>
      </c>
      <c r="G164" s="467">
        <f>OpeningTemplate!$E$96</f>
        <v>0</v>
      </c>
      <c r="H164" s="467" t="str">
        <f>OpeningTemplate!$E$94</f>
        <v/>
      </c>
      <c r="I164" s="473">
        <f t="shared" si="86"/>
        <v>0</v>
      </c>
      <c r="J164" s="473"/>
      <c r="K164" s="473"/>
      <c r="L164" s="473"/>
      <c r="M164" s="474">
        <f t="shared" ref="M164:AX164" si="92">M199*$I164</f>
        <v>0</v>
      </c>
      <c r="N164" s="474">
        <f t="shared" si="92"/>
        <v>0</v>
      </c>
      <c r="O164" s="474">
        <f t="shared" si="92"/>
        <v>0</v>
      </c>
      <c r="P164" s="474">
        <f t="shared" si="92"/>
        <v>0</v>
      </c>
      <c r="Q164" s="474">
        <f t="shared" si="92"/>
        <v>0</v>
      </c>
      <c r="R164" s="474">
        <f t="shared" si="92"/>
        <v>0</v>
      </c>
      <c r="S164" s="474">
        <f t="shared" si="92"/>
        <v>0</v>
      </c>
      <c r="T164" s="474">
        <f t="shared" si="92"/>
        <v>0</v>
      </c>
      <c r="U164" s="474">
        <f t="shared" si="92"/>
        <v>0</v>
      </c>
      <c r="V164" s="474">
        <f t="shared" si="92"/>
        <v>0</v>
      </c>
      <c r="W164" s="474">
        <f t="shared" si="92"/>
        <v>0</v>
      </c>
      <c r="X164" s="474">
        <f t="shared" si="92"/>
        <v>0</v>
      </c>
      <c r="Y164" s="474">
        <f t="shared" si="92"/>
        <v>0</v>
      </c>
      <c r="Z164" s="474">
        <f t="shared" si="92"/>
        <v>0</v>
      </c>
      <c r="AA164" s="474">
        <f t="shared" si="92"/>
        <v>0</v>
      </c>
      <c r="AB164" s="474">
        <f t="shared" si="92"/>
        <v>0</v>
      </c>
      <c r="AC164" s="474">
        <f t="shared" si="92"/>
        <v>0</v>
      </c>
      <c r="AD164" s="474">
        <f t="shared" si="92"/>
        <v>0</v>
      </c>
      <c r="AE164" s="474">
        <f t="shared" si="92"/>
        <v>0</v>
      </c>
      <c r="AF164" s="474">
        <f t="shared" si="92"/>
        <v>0</v>
      </c>
      <c r="AG164" s="474">
        <f t="shared" si="92"/>
        <v>0</v>
      </c>
      <c r="AH164" s="474">
        <f t="shared" si="92"/>
        <v>0</v>
      </c>
      <c r="AI164" s="474">
        <f t="shared" si="92"/>
        <v>0</v>
      </c>
      <c r="AJ164" s="474">
        <f t="shared" si="92"/>
        <v>0</v>
      </c>
      <c r="AK164" s="474">
        <f t="shared" si="92"/>
        <v>0</v>
      </c>
      <c r="AL164" s="474">
        <f t="shared" si="92"/>
        <v>0</v>
      </c>
      <c r="AM164" s="474">
        <f t="shared" si="92"/>
        <v>0</v>
      </c>
      <c r="AN164" s="474">
        <f t="shared" si="92"/>
        <v>0</v>
      </c>
      <c r="AO164" s="474">
        <f t="shared" si="92"/>
        <v>0</v>
      </c>
      <c r="AP164" s="474">
        <f t="shared" si="92"/>
        <v>0</v>
      </c>
      <c r="AQ164" s="474">
        <f t="shared" si="92"/>
        <v>0</v>
      </c>
      <c r="AR164" s="474">
        <f t="shared" si="92"/>
        <v>0</v>
      </c>
      <c r="AS164" s="474">
        <f t="shared" si="92"/>
        <v>0</v>
      </c>
      <c r="AT164" s="474">
        <f t="shared" si="92"/>
        <v>0</v>
      </c>
      <c r="AU164" s="474">
        <f t="shared" si="92"/>
        <v>0</v>
      </c>
      <c r="AV164" s="474">
        <f t="shared" si="92"/>
        <v>0</v>
      </c>
      <c r="AW164" s="474">
        <f t="shared" si="92"/>
        <v>0</v>
      </c>
      <c r="AX164" s="474">
        <f t="shared" si="92"/>
        <v>0</v>
      </c>
      <c r="AY164" s="141"/>
    </row>
    <row r="165" spans="1:51">
      <c r="A165" s="1335">
        <f>$B$19</f>
        <v>0</v>
      </c>
      <c r="B165" s="1335"/>
      <c r="C165" s="1335"/>
      <c r="D165" s="1335"/>
      <c r="E165" s="1335"/>
      <c r="F165" s="467">
        <f>OpeningTemplate!$D$106</f>
        <v>0</v>
      </c>
      <c r="G165" s="467">
        <f>OpeningTemplate!$E$106</f>
        <v>0</v>
      </c>
      <c r="H165" s="467" t="str">
        <f>OpeningTemplate!$E$104</f>
        <v/>
      </c>
      <c r="I165" s="473">
        <f t="shared" si="86"/>
        <v>0</v>
      </c>
      <c r="J165" s="473"/>
      <c r="K165" s="473"/>
      <c r="L165" s="473"/>
      <c r="M165" s="474">
        <f t="shared" ref="M165:AX165" si="93">M200*$I165</f>
        <v>0</v>
      </c>
      <c r="N165" s="474">
        <f t="shared" si="93"/>
        <v>0</v>
      </c>
      <c r="O165" s="474">
        <f t="shared" si="93"/>
        <v>0</v>
      </c>
      <c r="P165" s="474">
        <f t="shared" si="93"/>
        <v>0</v>
      </c>
      <c r="Q165" s="474">
        <f t="shared" si="93"/>
        <v>0</v>
      </c>
      <c r="R165" s="474">
        <f t="shared" si="93"/>
        <v>0</v>
      </c>
      <c r="S165" s="474">
        <f t="shared" si="93"/>
        <v>0</v>
      </c>
      <c r="T165" s="474">
        <f t="shared" si="93"/>
        <v>0</v>
      </c>
      <c r="U165" s="474">
        <f t="shared" si="93"/>
        <v>0</v>
      </c>
      <c r="V165" s="474">
        <f t="shared" si="93"/>
        <v>0</v>
      </c>
      <c r="W165" s="474">
        <f t="shared" si="93"/>
        <v>0</v>
      </c>
      <c r="X165" s="474">
        <f t="shared" si="93"/>
        <v>0</v>
      </c>
      <c r="Y165" s="474">
        <f t="shared" si="93"/>
        <v>0</v>
      </c>
      <c r="Z165" s="474">
        <f t="shared" si="93"/>
        <v>0</v>
      </c>
      <c r="AA165" s="474">
        <f t="shared" si="93"/>
        <v>0</v>
      </c>
      <c r="AB165" s="474">
        <f t="shared" si="93"/>
        <v>0</v>
      </c>
      <c r="AC165" s="474">
        <f t="shared" si="93"/>
        <v>0</v>
      </c>
      <c r="AD165" s="474">
        <f t="shared" si="93"/>
        <v>0</v>
      </c>
      <c r="AE165" s="474">
        <f t="shared" si="93"/>
        <v>0</v>
      </c>
      <c r="AF165" s="474">
        <f t="shared" si="93"/>
        <v>0</v>
      </c>
      <c r="AG165" s="474">
        <f t="shared" si="93"/>
        <v>0</v>
      </c>
      <c r="AH165" s="474">
        <f t="shared" si="93"/>
        <v>0</v>
      </c>
      <c r="AI165" s="474">
        <f t="shared" si="93"/>
        <v>0</v>
      </c>
      <c r="AJ165" s="474">
        <f t="shared" si="93"/>
        <v>0</v>
      </c>
      <c r="AK165" s="474">
        <f t="shared" si="93"/>
        <v>0</v>
      </c>
      <c r="AL165" s="474">
        <f t="shared" si="93"/>
        <v>0</v>
      </c>
      <c r="AM165" s="474">
        <f t="shared" si="93"/>
        <v>0</v>
      </c>
      <c r="AN165" s="474">
        <f t="shared" si="93"/>
        <v>0</v>
      </c>
      <c r="AO165" s="474">
        <f t="shared" si="93"/>
        <v>0</v>
      </c>
      <c r="AP165" s="474">
        <f t="shared" si="93"/>
        <v>0</v>
      </c>
      <c r="AQ165" s="474">
        <f t="shared" si="93"/>
        <v>0</v>
      </c>
      <c r="AR165" s="474">
        <f t="shared" si="93"/>
        <v>0</v>
      </c>
      <c r="AS165" s="474">
        <f t="shared" si="93"/>
        <v>0</v>
      </c>
      <c r="AT165" s="474">
        <f t="shared" si="93"/>
        <v>0</v>
      </c>
      <c r="AU165" s="474">
        <f t="shared" si="93"/>
        <v>0</v>
      </c>
      <c r="AV165" s="474">
        <f t="shared" si="93"/>
        <v>0</v>
      </c>
      <c r="AW165" s="474">
        <f t="shared" si="93"/>
        <v>0</v>
      </c>
      <c r="AX165" s="474">
        <f t="shared" si="93"/>
        <v>0</v>
      </c>
      <c r="AY165" s="141"/>
    </row>
    <row r="166" spans="1:51">
      <c r="A166" s="1335">
        <f>$B$20</f>
        <v>0</v>
      </c>
      <c r="B166" s="1335"/>
      <c r="C166" s="1335"/>
      <c r="D166" s="1335"/>
      <c r="E166" s="1335"/>
      <c r="F166" s="467">
        <f>OpeningTemplate!$D$116</f>
        <v>0</v>
      </c>
      <c r="G166" s="467">
        <f>OpeningTemplate!$E$116</f>
        <v>0</v>
      </c>
      <c r="H166" s="467" t="str">
        <f>OpeningTemplate!$E$114</f>
        <v/>
      </c>
      <c r="I166" s="473">
        <f t="shared" si="86"/>
        <v>0</v>
      </c>
      <c r="J166" s="473"/>
      <c r="K166" s="473"/>
      <c r="L166" s="473"/>
      <c r="M166" s="474">
        <f t="shared" ref="M166:AX166" si="94">M201*$I166</f>
        <v>0</v>
      </c>
      <c r="N166" s="474">
        <f t="shared" si="94"/>
        <v>0</v>
      </c>
      <c r="O166" s="474">
        <f t="shared" si="94"/>
        <v>0</v>
      </c>
      <c r="P166" s="474">
        <f t="shared" si="94"/>
        <v>0</v>
      </c>
      <c r="Q166" s="474">
        <f t="shared" si="94"/>
        <v>0</v>
      </c>
      <c r="R166" s="474">
        <f t="shared" si="94"/>
        <v>0</v>
      </c>
      <c r="S166" s="474">
        <f t="shared" si="94"/>
        <v>0</v>
      </c>
      <c r="T166" s="474">
        <f t="shared" si="94"/>
        <v>0</v>
      </c>
      <c r="U166" s="474">
        <f t="shared" si="94"/>
        <v>0</v>
      </c>
      <c r="V166" s="474">
        <f t="shared" si="94"/>
        <v>0</v>
      </c>
      <c r="W166" s="474">
        <f t="shared" si="94"/>
        <v>0</v>
      </c>
      <c r="X166" s="474">
        <f t="shared" si="94"/>
        <v>0</v>
      </c>
      <c r="Y166" s="474">
        <f t="shared" si="94"/>
        <v>0</v>
      </c>
      <c r="Z166" s="474">
        <f t="shared" si="94"/>
        <v>0</v>
      </c>
      <c r="AA166" s="474">
        <f t="shared" si="94"/>
        <v>0</v>
      </c>
      <c r="AB166" s="474">
        <f t="shared" si="94"/>
        <v>0</v>
      </c>
      <c r="AC166" s="474">
        <f t="shared" si="94"/>
        <v>0</v>
      </c>
      <c r="AD166" s="474">
        <f t="shared" si="94"/>
        <v>0</v>
      </c>
      <c r="AE166" s="474">
        <f t="shared" si="94"/>
        <v>0</v>
      </c>
      <c r="AF166" s="474">
        <f t="shared" si="94"/>
        <v>0</v>
      </c>
      <c r="AG166" s="474">
        <f t="shared" si="94"/>
        <v>0</v>
      </c>
      <c r="AH166" s="474">
        <f t="shared" si="94"/>
        <v>0</v>
      </c>
      <c r="AI166" s="474">
        <f t="shared" si="94"/>
        <v>0</v>
      </c>
      <c r="AJ166" s="474">
        <f t="shared" si="94"/>
        <v>0</v>
      </c>
      <c r="AK166" s="474">
        <f t="shared" si="94"/>
        <v>0</v>
      </c>
      <c r="AL166" s="474">
        <f t="shared" si="94"/>
        <v>0</v>
      </c>
      <c r="AM166" s="474">
        <f t="shared" si="94"/>
        <v>0</v>
      </c>
      <c r="AN166" s="474">
        <f t="shared" si="94"/>
        <v>0</v>
      </c>
      <c r="AO166" s="474">
        <f t="shared" si="94"/>
        <v>0</v>
      </c>
      <c r="AP166" s="474">
        <f t="shared" si="94"/>
        <v>0</v>
      </c>
      <c r="AQ166" s="474">
        <f t="shared" si="94"/>
        <v>0</v>
      </c>
      <c r="AR166" s="474">
        <f t="shared" si="94"/>
        <v>0</v>
      </c>
      <c r="AS166" s="474">
        <f t="shared" si="94"/>
        <v>0</v>
      </c>
      <c r="AT166" s="474">
        <f t="shared" si="94"/>
        <v>0</v>
      </c>
      <c r="AU166" s="474">
        <f t="shared" si="94"/>
        <v>0</v>
      </c>
      <c r="AV166" s="474">
        <f t="shared" si="94"/>
        <v>0</v>
      </c>
      <c r="AW166" s="474">
        <f t="shared" si="94"/>
        <v>0</v>
      </c>
      <c r="AX166" s="474">
        <f t="shared" si="94"/>
        <v>0</v>
      </c>
      <c r="AY166" s="141"/>
    </row>
    <row r="167" spans="1:51">
      <c r="A167" s="1335">
        <f>$B$21</f>
        <v>0</v>
      </c>
      <c r="B167" s="1335"/>
      <c r="C167" s="1335"/>
      <c r="D167" s="1335"/>
      <c r="E167" s="1335"/>
      <c r="F167" s="467">
        <f>OpeningTemplate!$D$126</f>
        <v>0</v>
      </c>
      <c r="G167" s="467">
        <f>OpeningTemplate!$E$126</f>
        <v>0</v>
      </c>
      <c r="H167" s="467" t="str">
        <f>OpeningTemplate!$E$124</f>
        <v/>
      </c>
      <c r="I167" s="473">
        <f t="shared" si="86"/>
        <v>0</v>
      </c>
      <c r="J167" s="473"/>
      <c r="K167" s="473"/>
      <c r="L167" s="473"/>
      <c r="M167" s="474">
        <f t="shared" ref="M167:AX167" si="95">M202*$I167</f>
        <v>0</v>
      </c>
      <c r="N167" s="474">
        <f t="shared" si="95"/>
        <v>0</v>
      </c>
      <c r="O167" s="474">
        <f t="shared" si="95"/>
        <v>0</v>
      </c>
      <c r="P167" s="474">
        <f t="shared" si="95"/>
        <v>0</v>
      </c>
      <c r="Q167" s="474">
        <f t="shared" si="95"/>
        <v>0</v>
      </c>
      <c r="R167" s="474">
        <f t="shared" si="95"/>
        <v>0</v>
      </c>
      <c r="S167" s="474">
        <f t="shared" si="95"/>
        <v>0</v>
      </c>
      <c r="T167" s="474">
        <f t="shared" si="95"/>
        <v>0</v>
      </c>
      <c r="U167" s="474">
        <f t="shared" si="95"/>
        <v>0</v>
      </c>
      <c r="V167" s="474">
        <f t="shared" si="95"/>
        <v>0</v>
      </c>
      <c r="W167" s="474">
        <f t="shared" si="95"/>
        <v>0</v>
      </c>
      <c r="X167" s="474">
        <f t="shared" si="95"/>
        <v>0</v>
      </c>
      <c r="Y167" s="474">
        <f t="shared" si="95"/>
        <v>0</v>
      </c>
      <c r="Z167" s="474">
        <f t="shared" si="95"/>
        <v>0</v>
      </c>
      <c r="AA167" s="474">
        <f t="shared" si="95"/>
        <v>0</v>
      </c>
      <c r="AB167" s="474">
        <f t="shared" si="95"/>
        <v>0</v>
      </c>
      <c r="AC167" s="474">
        <f t="shared" si="95"/>
        <v>0</v>
      </c>
      <c r="AD167" s="474">
        <f t="shared" si="95"/>
        <v>0</v>
      </c>
      <c r="AE167" s="474">
        <f t="shared" si="95"/>
        <v>0</v>
      </c>
      <c r="AF167" s="474">
        <f t="shared" si="95"/>
        <v>0</v>
      </c>
      <c r="AG167" s="474">
        <f t="shared" si="95"/>
        <v>0</v>
      </c>
      <c r="AH167" s="474">
        <f t="shared" si="95"/>
        <v>0</v>
      </c>
      <c r="AI167" s="474">
        <f t="shared" si="95"/>
        <v>0</v>
      </c>
      <c r="AJ167" s="474">
        <f t="shared" si="95"/>
        <v>0</v>
      </c>
      <c r="AK167" s="474">
        <f t="shared" si="95"/>
        <v>0</v>
      </c>
      <c r="AL167" s="474">
        <f t="shared" si="95"/>
        <v>0</v>
      </c>
      <c r="AM167" s="474">
        <f t="shared" si="95"/>
        <v>0</v>
      </c>
      <c r="AN167" s="474">
        <f t="shared" si="95"/>
        <v>0</v>
      </c>
      <c r="AO167" s="474">
        <f t="shared" si="95"/>
        <v>0</v>
      </c>
      <c r="AP167" s="474">
        <f t="shared" si="95"/>
        <v>0</v>
      </c>
      <c r="AQ167" s="474">
        <f t="shared" si="95"/>
        <v>0</v>
      </c>
      <c r="AR167" s="474">
        <f t="shared" si="95"/>
        <v>0</v>
      </c>
      <c r="AS167" s="474">
        <f t="shared" si="95"/>
        <v>0</v>
      </c>
      <c r="AT167" s="474">
        <f t="shared" si="95"/>
        <v>0</v>
      </c>
      <c r="AU167" s="474">
        <f t="shared" si="95"/>
        <v>0</v>
      </c>
      <c r="AV167" s="474">
        <f t="shared" si="95"/>
        <v>0</v>
      </c>
      <c r="AW167" s="474">
        <f t="shared" si="95"/>
        <v>0</v>
      </c>
      <c r="AX167" s="474">
        <f t="shared" si="95"/>
        <v>0</v>
      </c>
      <c r="AY167" s="141"/>
    </row>
    <row r="168" spans="1:51">
      <c r="A168" s="1335">
        <f>$B$22</f>
        <v>0</v>
      </c>
      <c r="B168" s="1335"/>
      <c r="C168" s="1335"/>
      <c r="D168" s="1335"/>
      <c r="E168" s="1335"/>
      <c r="F168" s="467">
        <f>OpeningTemplate!$D$136</f>
        <v>0</v>
      </c>
      <c r="G168" s="467">
        <f>OpeningTemplate!$E$136</f>
        <v>0</v>
      </c>
      <c r="H168" s="467" t="str">
        <f>OpeningTemplate!$E$134</f>
        <v/>
      </c>
      <c r="I168" s="473">
        <f t="shared" si="86"/>
        <v>0</v>
      </c>
      <c r="J168" s="473"/>
      <c r="K168" s="473"/>
      <c r="L168" s="473"/>
      <c r="M168" s="474">
        <f t="shared" ref="M168:AX168" si="96">M203*$I168</f>
        <v>0</v>
      </c>
      <c r="N168" s="474">
        <f t="shared" si="96"/>
        <v>0</v>
      </c>
      <c r="O168" s="474">
        <f t="shared" si="96"/>
        <v>0</v>
      </c>
      <c r="P168" s="474">
        <f t="shared" si="96"/>
        <v>0</v>
      </c>
      <c r="Q168" s="474">
        <f t="shared" si="96"/>
        <v>0</v>
      </c>
      <c r="R168" s="474">
        <f t="shared" si="96"/>
        <v>0</v>
      </c>
      <c r="S168" s="474">
        <f t="shared" si="96"/>
        <v>0</v>
      </c>
      <c r="T168" s="474">
        <f t="shared" si="96"/>
        <v>0</v>
      </c>
      <c r="U168" s="474">
        <f t="shared" si="96"/>
        <v>0</v>
      </c>
      <c r="V168" s="474">
        <f t="shared" si="96"/>
        <v>0</v>
      </c>
      <c r="W168" s="474">
        <f t="shared" si="96"/>
        <v>0</v>
      </c>
      <c r="X168" s="474">
        <f t="shared" si="96"/>
        <v>0</v>
      </c>
      <c r="Y168" s="474">
        <f t="shared" si="96"/>
        <v>0</v>
      </c>
      <c r="Z168" s="474">
        <f t="shared" si="96"/>
        <v>0</v>
      </c>
      <c r="AA168" s="474">
        <f t="shared" si="96"/>
        <v>0</v>
      </c>
      <c r="AB168" s="474">
        <f t="shared" si="96"/>
        <v>0</v>
      </c>
      <c r="AC168" s="474">
        <f t="shared" si="96"/>
        <v>0</v>
      </c>
      <c r="AD168" s="474">
        <f t="shared" si="96"/>
        <v>0</v>
      </c>
      <c r="AE168" s="474">
        <f t="shared" si="96"/>
        <v>0</v>
      </c>
      <c r="AF168" s="474">
        <f t="shared" si="96"/>
        <v>0</v>
      </c>
      <c r="AG168" s="474">
        <f t="shared" si="96"/>
        <v>0</v>
      </c>
      <c r="AH168" s="474">
        <f t="shared" si="96"/>
        <v>0</v>
      </c>
      <c r="AI168" s="474">
        <f t="shared" si="96"/>
        <v>0</v>
      </c>
      <c r="AJ168" s="474">
        <f t="shared" si="96"/>
        <v>0</v>
      </c>
      <c r="AK168" s="474">
        <f t="shared" si="96"/>
        <v>0</v>
      </c>
      <c r="AL168" s="474">
        <f t="shared" si="96"/>
        <v>0</v>
      </c>
      <c r="AM168" s="474">
        <f t="shared" si="96"/>
        <v>0</v>
      </c>
      <c r="AN168" s="474">
        <f t="shared" si="96"/>
        <v>0</v>
      </c>
      <c r="AO168" s="474">
        <f t="shared" si="96"/>
        <v>0</v>
      </c>
      <c r="AP168" s="474">
        <f t="shared" si="96"/>
        <v>0</v>
      </c>
      <c r="AQ168" s="474">
        <f t="shared" si="96"/>
        <v>0</v>
      </c>
      <c r="AR168" s="474">
        <f t="shared" si="96"/>
        <v>0</v>
      </c>
      <c r="AS168" s="474">
        <f t="shared" si="96"/>
        <v>0</v>
      </c>
      <c r="AT168" s="474">
        <f t="shared" si="96"/>
        <v>0</v>
      </c>
      <c r="AU168" s="474">
        <f t="shared" si="96"/>
        <v>0</v>
      </c>
      <c r="AV168" s="474">
        <f t="shared" si="96"/>
        <v>0</v>
      </c>
      <c r="AW168" s="474">
        <f t="shared" si="96"/>
        <v>0</v>
      </c>
      <c r="AX168" s="474">
        <f t="shared" si="96"/>
        <v>0</v>
      </c>
      <c r="AY168" s="141"/>
    </row>
    <row r="169" spans="1:51">
      <c r="A169" s="1335">
        <f>$B$23</f>
        <v>0</v>
      </c>
      <c r="B169" s="1335"/>
      <c r="C169" s="1335"/>
      <c r="D169" s="1335"/>
      <c r="E169" s="1335"/>
      <c r="F169" s="467">
        <f>OpeningTemplate!$D$146</f>
        <v>0</v>
      </c>
      <c r="G169" s="467">
        <f>OpeningTemplate!$E$146</f>
        <v>0</v>
      </c>
      <c r="H169" s="467" t="str">
        <f>OpeningTemplate!$E$144</f>
        <v/>
      </c>
      <c r="I169" s="473">
        <f t="shared" si="86"/>
        <v>0</v>
      </c>
      <c r="J169" s="473"/>
      <c r="K169" s="473"/>
      <c r="L169" s="473"/>
      <c r="M169" s="474">
        <f t="shared" ref="M169:AX169" si="97">M204*$I169</f>
        <v>0</v>
      </c>
      <c r="N169" s="474">
        <f t="shared" si="97"/>
        <v>0</v>
      </c>
      <c r="O169" s="474">
        <f t="shared" si="97"/>
        <v>0</v>
      </c>
      <c r="P169" s="474">
        <f t="shared" si="97"/>
        <v>0</v>
      </c>
      <c r="Q169" s="474">
        <f t="shared" si="97"/>
        <v>0</v>
      </c>
      <c r="R169" s="474">
        <f t="shared" si="97"/>
        <v>0</v>
      </c>
      <c r="S169" s="474">
        <f t="shared" si="97"/>
        <v>0</v>
      </c>
      <c r="T169" s="474">
        <f t="shared" si="97"/>
        <v>0</v>
      </c>
      <c r="U169" s="474">
        <f t="shared" si="97"/>
        <v>0</v>
      </c>
      <c r="V169" s="474">
        <f t="shared" si="97"/>
        <v>0</v>
      </c>
      <c r="W169" s="474">
        <f t="shared" si="97"/>
        <v>0</v>
      </c>
      <c r="X169" s="474">
        <f t="shared" si="97"/>
        <v>0</v>
      </c>
      <c r="Y169" s="474">
        <f t="shared" si="97"/>
        <v>0</v>
      </c>
      <c r="Z169" s="474">
        <f t="shared" si="97"/>
        <v>0</v>
      </c>
      <c r="AA169" s="474">
        <f t="shared" si="97"/>
        <v>0</v>
      </c>
      <c r="AB169" s="474">
        <f t="shared" si="97"/>
        <v>0</v>
      </c>
      <c r="AC169" s="474">
        <f t="shared" si="97"/>
        <v>0</v>
      </c>
      <c r="AD169" s="474">
        <f t="shared" si="97"/>
        <v>0</v>
      </c>
      <c r="AE169" s="474">
        <f t="shared" si="97"/>
        <v>0</v>
      </c>
      <c r="AF169" s="474">
        <f t="shared" si="97"/>
        <v>0</v>
      </c>
      <c r="AG169" s="474">
        <f t="shared" si="97"/>
        <v>0</v>
      </c>
      <c r="AH169" s="474">
        <f t="shared" si="97"/>
        <v>0</v>
      </c>
      <c r="AI169" s="474">
        <f t="shared" si="97"/>
        <v>0</v>
      </c>
      <c r="AJ169" s="474">
        <f t="shared" si="97"/>
        <v>0</v>
      </c>
      <c r="AK169" s="474">
        <f t="shared" si="97"/>
        <v>0</v>
      </c>
      <c r="AL169" s="474">
        <f t="shared" si="97"/>
        <v>0</v>
      </c>
      <c r="AM169" s="474">
        <f t="shared" si="97"/>
        <v>0</v>
      </c>
      <c r="AN169" s="474">
        <f t="shared" si="97"/>
        <v>0</v>
      </c>
      <c r="AO169" s="474">
        <f t="shared" si="97"/>
        <v>0</v>
      </c>
      <c r="AP169" s="474">
        <f t="shared" si="97"/>
        <v>0</v>
      </c>
      <c r="AQ169" s="474">
        <f t="shared" si="97"/>
        <v>0</v>
      </c>
      <c r="AR169" s="474">
        <f t="shared" si="97"/>
        <v>0</v>
      </c>
      <c r="AS169" s="474">
        <f t="shared" si="97"/>
        <v>0</v>
      </c>
      <c r="AT169" s="474">
        <f t="shared" si="97"/>
        <v>0</v>
      </c>
      <c r="AU169" s="474">
        <f t="shared" si="97"/>
        <v>0</v>
      </c>
      <c r="AV169" s="474">
        <f t="shared" si="97"/>
        <v>0</v>
      </c>
      <c r="AW169" s="474">
        <f t="shared" si="97"/>
        <v>0</v>
      </c>
      <c r="AX169" s="474">
        <f t="shared" si="97"/>
        <v>0</v>
      </c>
      <c r="AY169" s="141"/>
    </row>
    <row r="170" spans="1:51">
      <c r="A170" s="1335">
        <f>$B$24</f>
        <v>0</v>
      </c>
      <c r="B170" s="1335"/>
      <c r="C170" s="1335"/>
      <c r="D170" s="1335"/>
      <c r="E170" s="1335"/>
      <c r="F170" s="467">
        <f>OpeningTemplate!$D$156</f>
        <v>0</v>
      </c>
      <c r="G170" s="467">
        <f>OpeningTemplate!$E$156</f>
        <v>0</v>
      </c>
      <c r="H170" s="467" t="str">
        <f>OpeningTemplate!$E$154</f>
        <v/>
      </c>
      <c r="I170" s="473">
        <f t="shared" si="86"/>
        <v>0</v>
      </c>
      <c r="J170" s="473"/>
      <c r="K170" s="473"/>
      <c r="L170" s="473"/>
      <c r="M170" s="474">
        <f t="shared" ref="M170:AX170" si="98">M205*$I170</f>
        <v>0</v>
      </c>
      <c r="N170" s="474">
        <f t="shared" si="98"/>
        <v>0</v>
      </c>
      <c r="O170" s="474">
        <f t="shared" si="98"/>
        <v>0</v>
      </c>
      <c r="P170" s="474">
        <f t="shared" si="98"/>
        <v>0</v>
      </c>
      <c r="Q170" s="474">
        <f t="shared" si="98"/>
        <v>0</v>
      </c>
      <c r="R170" s="474">
        <f t="shared" si="98"/>
        <v>0</v>
      </c>
      <c r="S170" s="474">
        <f t="shared" si="98"/>
        <v>0</v>
      </c>
      <c r="T170" s="474">
        <f t="shared" si="98"/>
        <v>0</v>
      </c>
      <c r="U170" s="474">
        <f t="shared" si="98"/>
        <v>0</v>
      </c>
      <c r="V170" s="474">
        <f t="shared" si="98"/>
        <v>0</v>
      </c>
      <c r="W170" s="474">
        <f t="shared" si="98"/>
        <v>0</v>
      </c>
      <c r="X170" s="474">
        <f t="shared" si="98"/>
        <v>0</v>
      </c>
      <c r="Y170" s="474">
        <f t="shared" si="98"/>
        <v>0</v>
      </c>
      <c r="Z170" s="474">
        <f t="shared" si="98"/>
        <v>0</v>
      </c>
      <c r="AA170" s="474">
        <f t="shared" si="98"/>
        <v>0</v>
      </c>
      <c r="AB170" s="474">
        <f t="shared" si="98"/>
        <v>0</v>
      </c>
      <c r="AC170" s="474">
        <f t="shared" si="98"/>
        <v>0</v>
      </c>
      <c r="AD170" s="474">
        <f t="shared" si="98"/>
        <v>0</v>
      </c>
      <c r="AE170" s="474">
        <f t="shared" si="98"/>
        <v>0</v>
      </c>
      <c r="AF170" s="474">
        <f t="shared" si="98"/>
        <v>0</v>
      </c>
      <c r="AG170" s="474">
        <f t="shared" si="98"/>
        <v>0</v>
      </c>
      <c r="AH170" s="474">
        <f t="shared" si="98"/>
        <v>0</v>
      </c>
      <c r="AI170" s="474">
        <f t="shared" si="98"/>
        <v>0</v>
      </c>
      <c r="AJ170" s="474">
        <f t="shared" si="98"/>
        <v>0</v>
      </c>
      <c r="AK170" s="474">
        <f t="shared" si="98"/>
        <v>0</v>
      </c>
      <c r="AL170" s="474">
        <f t="shared" si="98"/>
        <v>0</v>
      </c>
      <c r="AM170" s="474">
        <f t="shared" si="98"/>
        <v>0</v>
      </c>
      <c r="AN170" s="474">
        <f t="shared" si="98"/>
        <v>0</v>
      </c>
      <c r="AO170" s="474">
        <f t="shared" si="98"/>
        <v>0</v>
      </c>
      <c r="AP170" s="474">
        <f t="shared" si="98"/>
        <v>0</v>
      </c>
      <c r="AQ170" s="474">
        <f t="shared" si="98"/>
        <v>0</v>
      </c>
      <c r="AR170" s="474">
        <f t="shared" si="98"/>
        <v>0</v>
      </c>
      <c r="AS170" s="474">
        <f t="shared" si="98"/>
        <v>0</v>
      </c>
      <c r="AT170" s="474">
        <f t="shared" si="98"/>
        <v>0</v>
      </c>
      <c r="AU170" s="474">
        <f t="shared" si="98"/>
        <v>0</v>
      </c>
      <c r="AV170" s="474">
        <f t="shared" si="98"/>
        <v>0</v>
      </c>
      <c r="AW170" s="474">
        <f t="shared" si="98"/>
        <v>0</v>
      </c>
      <c r="AX170" s="474">
        <f t="shared" si="98"/>
        <v>0</v>
      </c>
      <c r="AY170" s="141"/>
    </row>
    <row r="171" spans="1:51">
      <c r="A171" s="1335">
        <f>$B$25</f>
        <v>0</v>
      </c>
      <c r="B171" s="1335"/>
      <c r="C171" s="1335"/>
      <c r="D171" s="1335"/>
      <c r="E171" s="1335"/>
      <c r="F171" s="467">
        <f>OpeningTemplate!$D$166</f>
        <v>0</v>
      </c>
      <c r="G171" s="467">
        <f>OpeningTemplate!$E$166</f>
        <v>0</v>
      </c>
      <c r="H171" s="467" t="str">
        <f>OpeningTemplate!$E$164</f>
        <v/>
      </c>
      <c r="I171" s="473">
        <f t="shared" si="86"/>
        <v>0</v>
      </c>
      <c r="J171" s="473"/>
      <c r="K171" s="473"/>
      <c r="L171" s="473"/>
      <c r="M171" s="474">
        <f t="shared" ref="M171:AX171" si="99">M206*$I171</f>
        <v>0</v>
      </c>
      <c r="N171" s="474">
        <f t="shared" si="99"/>
        <v>0</v>
      </c>
      <c r="O171" s="474">
        <f t="shared" si="99"/>
        <v>0</v>
      </c>
      <c r="P171" s="474">
        <f t="shared" si="99"/>
        <v>0</v>
      </c>
      <c r="Q171" s="474">
        <f t="shared" si="99"/>
        <v>0</v>
      </c>
      <c r="R171" s="474">
        <f t="shared" si="99"/>
        <v>0</v>
      </c>
      <c r="S171" s="474">
        <f t="shared" si="99"/>
        <v>0</v>
      </c>
      <c r="T171" s="474">
        <f t="shared" si="99"/>
        <v>0</v>
      </c>
      <c r="U171" s="474">
        <f t="shared" si="99"/>
        <v>0</v>
      </c>
      <c r="V171" s="474">
        <f t="shared" si="99"/>
        <v>0</v>
      </c>
      <c r="W171" s="474">
        <f t="shared" si="99"/>
        <v>0</v>
      </c>
      <c r="X171" s="474">
        <f t="shared" si="99"/>
        <v>0</v>
      </c>
      <c r="Y171" s="474">
        <f t="shared" si="99"/>
        <v>0</v>
      </c>
      <c r="Z171" s="474">
        <f t="shared" si="99"/>
        <v>0</v>
      </c>
      <c r="AA171" s="474">
        <f t="shared" si="99"/>
        <v>0</v>
      </c>
      <c r="AB171" s="474">
        <f t="shared" si="99"/>
        <v>0</v>
      </c>
      <c r="AC171" s="474">
        <f t="shared" si="99"/>
        <v>0</v>
      </c>
      <c r="AD171" s="474">
        <f t="shared" si="99"/>
        <v>0</v>
      </c>
      <c r="AE171" s="474">
        <f t="shared" si="99"/>
        <v>0</v>
      </c>
      <c r="AF171" s="474">
        <f t="shared" si="99"/>
        <v>0</v>
      </c>
      <c r="AG171" s="474">
        <f t="shared" si="99"/>
        <v>0</v>
      </c>
      <c r="AH171" s="474">
        <f t="shared" si="99"/>
        <v>0</v>
      </c>
      <c r="AI171" s="474">
        <f t="shared" si="99"/>
        <v>0</v>
      </c>
      <c r="AJ171" s="474">
        <f t="shared" si="99"/>
        <v>0</v>
      </c>
      <c r="AK171" s="474">
        <f t="shared" si="99"/>
        <v>0</v>
      </c>
      <c r="AL171" s="474">
        <f t="shared" si="99"/>
        <v>0</v>
      </c>
      <c r="AM171" s="474">
        <f t="shared" si="99"/>
        <v>0</v>
      </c>
      <c r="AN171" s="474">
        <f t="shared" si="99"/>
        <v>0</v>
      </c>
      <c r="AO171" s="474">
        <f t="shared" si="99"/>
        <v>0</v>
      </c>
      <c r="AP171" s="474">
        <f t="shared" si="99"/>
        <v>0</v>
      </c>
      <c r="AQ171" s="474">
        <f t="shared" si="99"/>
        <v>0</v>
      </c>
      <c r="AR171" s="474">
        <f t="shared" si="99"/>
        <v>0</v>
      </c>
      <c r="AS171" s="474">
        <f t="shared" si="99"/>
        <v>0</v>
      </c>
      <c r="AT171" s="474">
        <f t="shared" si="99"/>
        <v>0</v>
      </c>
      <c r="AU171" s="474">
        <f t="shared" si="99"/>
        <v>0</v>
      </c>
      <c r="AV171" s="474">
        <f t="shared" si="99"/>
        <v>0</v>
      </c>
      <c r="AW171" s="474">
        <f t="shared" si="99"/>
        <v>0</v>
      </c>
      <c r="AX171" s="474">
        <f t="shared" si="99"/>
        <v>0</v>
      </c>
      <c r="AY171" s="141"/>
    </row>
    <row r="172" spans="1:51">
      <c r="A172" s="1335">
        <f>$B$26</f>
        <v>0</v>
      </c>
      <c r="B172" s="1335"/>
      <c r="C172" s="1335"/>
      <c r="D172" s="1335"/>
      <c r="E172" s="1335"/>
      <c r="F172" s="467">
        <f>OpeningTemplate!$D$176</f>
        <v>0</v>
      </c>
      <c r="G172" s="467">
        <f>OpeningTemplate!$E$176</f>
        <v>0</v>
      </c>
      <c r="H172" s="467" t="str">
        <f>OpeningTemplate!$E$174</f>
        <v/>
      </c>
      <c r="I172" s="473">
        <f t="shared" si="86"/>
        <v>0</v>
      </c>
      <c r="J172" s="473"/>
      <c r="K172" s="473"/>
      <c r="L172" s="473"/>
      <c r="M172" s="474">
        <f t="shared" ref="M172:AX172" si="100">M207*$I172</f>
        <v>0</v>
      </c>
      <c r="N172" s="474">
        <f t="shared" si="100"/>
        <v>0</v>
      </c>
      <c r="O172" s="474">
        <f t="shared" si="100"/>
        <v>0</v>
      </c>
      <c r="P172" s="474">
        <f t="shared" si="100"/>
        <v>0</v>
      </c>
      <c r="Q172" s="474">
        <f t="shared" si="100"/>
        <v>0</v>
      </c>
      <c r="R172" s="474">
        <f t="shared" si="100"/>
        <v>0</v>
      </c>
      <c r="S172" s="474">
        <f t="shared" si="100"/>
        <v>0</v>
      </c>
      <c r="T172" s="474">
        <f t="shared" si="100"/>
        <v>0</v>
      </c>
      <c r="U172" s="474">
        <f t="shared" si="100"/>
        <v>0</v>
      </c>
      <c r="V172" s="474">
        <f t="shared" si="100"/>
        <v>0</v>
      </c>
      <c r="W172" s="474">
        <f t="shared" si="100"/>
        <v>0</v>
      </c>
      <c r="X172" s="474">
        <f t="shared" si="100"/>
        <v>0</v>
      </c>
      <c r="Y172" s="474">
        <f t="shared" si="100"/>
        <v>0</v>
      </c>
      <c r="Z172" s="474">
        <f t="shared" si="100"/>
        <v>0</v>
      </c>
      <c r="AA172" s="474">
        <f t="shared" si="100"/>
        <v>0</v>
      </c>
      <c r="AB172" s="474">
        <f t="shared" si="100"/>
        <v>0</v>
      </c>
      <c r="AC172" s="474">
        <f t="shared" si="100"/>
        <v>0</v>
      </c>
      <c r="AD172" s="474">
        <f t="shared" si="100"/>
        <v>0</v>
      </c>
      <c r="AE172" s="474">
        <f t="shared" si="100"/>
        <v>0</v>
      </c>
      <c r="AF172" s="474">
        <f t="shared" si="100"/>
        <v>0</v>
      </c>
      <c r="AG172" s="474">
        <f t="shared" si="100"/>
        <v>0</v>
      </c>
      <c r="AH172" s="474">
        <f t="shared" si="100"/>
        <v>0</v>
      </c>
      <c r="AI172" s="474">
        <f t="shared" si="100"/>
        <v>0</v>
      </c>
      <c r="AJ172" s="474">
        <f t="shared" si="100"/>
        <v>0</v>
      </c>
      <c r="AK172" s="474">
        <f t="shared" si="100"/>
        <v>0</v>
      </c>
      <c r="AL172" s="474">
        <f t="shared" si="100"/>
        <v>0</v>
      </c>
      <c r="AM172" s="474">
        <f t="shared" si="100"/>
        <v>0</v>
      </c>
      <c r="AN172" s="474">
        <f t="shared" si="100"/>
        <v>0</v>
      </c>
      <c r="AO172" s="474">
        <f t="shared" si="100"/>
        <v>0</v>
      </c>
      <c r="AP172" s="474">
        <f t="shared" si="100"/>
        <v>0</v>
      </c>
      <c r="AQ172" s="474">
        <f t="shared" si="100"/>
        <v>0</v>
      </c>
      <c r="AR172" s="474">
        <f t="shared" si="100"/>
        <v>0</v>
      </c>
      <c r="AS172" s="474">
        <f t="shared" si="100"/>
        <v>0</v>
      </c>
      <c r="AT172" s="474">
        <f t="shared" si="100"/>
        <v>0</v>
      </c>
      <c r="AU172" s="474">
        <f t="shared" si="100"/>
        <v>0</v>
      </c>
      <c r="AV172" s="474">
        <f t="shared" si="100"/>
        <v>0</v>
      </c>
      <c r="AW172" s="474">
        <f t="shared" si="100"/>
        <v>0</v>
      </c>
      <c r="AX172" s="474">
        <f t="shared" si="100"/>
        <v>0</v>
      </c>
      <c r="AY172" s="141"/>
    </row>
    <row r="173" spans="1:51">
      <c r="A173" s="1335">
        <f>$B$27</f>
        <v>0</v>
      </c>
      <c r="B173" s="1335"/>
      <c r="C173" s="1335"/>
      <c r="D173" s="1335"/>
      <c r="E173" s="1335"/>
      <c r="F173" s="467">
        <f>OpeningTemplate!$D$186</f>
        <v>0</v>
      </c>
      <c r="G173" s="467">
        <f>OpeningTemplate!$E$186</f>
        <v>0</v>
      </c>
      <c r="H173" s="467" t="str">
        <f>OpeningTemplate!$E$184</f>
        <v/>
      </c>
      <c r="I173" s="473">
        <f t="shared" si="86"/>
        <v>0</v>
      </c>
      <c r="J173" s="473"/>
      <c r="K173" s="473"/>
      <c r="L173" s="473"/>
      <c r="M173" s="474">
        <f t="shared" ref="M173:AX173" si="101">M208*$I173</f>
        <v>0</v>
      </c>
      <c r="N173" s="474">
        <f t="shared" si="101"/>
        <v>0</v>
      </c>
      <c r="O173" s="474">
        <f t="shared" si="101"/>
        <v>0</v>
      </c>
      <c r="P173" s="474">
        <f t="shared" si="101"/>
        <v>0</v>
      </c>
      <c r="Q173" s="474">
        <f t="shared" si="101"/>
        <v>0</v>
      </c>
      <c r="R173" s="474">
        <f t="shared" si="101"/>
        <v>0</v>
      </c>
      <c r="S173" s="474">
        <f t="shared" si="101"/>
        <v>0</v>
      </c>
      <c r="T173" s="474">
        <f t="shared" si="101"/>
        <v>0</v>
      </c>
      <c r="U173" s="474">
        <f t="shared" si="101"/>
        <v>0</v>
      </c>
      <c r="V173" s="474">
        <f t="shared" si="101"/>
        <v>0</v>
      </c>
      <c r="W173" s="474">
        <f t="shared" si="101"/>
        <v>0</v>
      </c>
      <c r="X173" s="474">
        <f t="shared" si="101"/>
        <v>0</v>
      </c>
      <c r="Y173" s="474">
        <f t="shared" si="101"/>
        <v>0</v>
      </c>
      <c r="Z173" s="474">
        <f t="shared" si="101"/>
        <v>0</v>
      </c>
      <c r="AA173" s="474">
        <f t="shared" si="101"/>
        <v>0</v>
      </c>
      <c r="AB173" s="474">
        <f t="shared" si="101"/>
        <v>0</v>
      </c>
      <c r="AC173" s="474">
        <f t="shared" si="101"/>
        <v>0</v>
      </c>
      <c r="AD173" s="474">
        <f t="shared" si="101"/>
        <v>0</v>
      </c>
      <c r="AE173" s="474">
        <f t="shared" si="101"/>
        <v>0</v>
      </c>
      <c r="AF173" s="474">
        <f t="shared" si="101"/>
        <v>0</v>
      </c>
      <c r="AG173" s="474">
        <f t="shared" si="101"/>
        <v>0</v>
      </c>
      <c r="AH173" s="474">
        <f t="shared" si="101"/>
        <v>0</v>
      </c>
      <c r="AI173" s="474">
        <f t="shared" si="101"/>
        <v>0</v>
      </c>
      <c r="AJ173" s="474">
        <f t="shared" si="101"/>
        <v>0</v>
      </c>
      <c r="AK173" s="474">
        <f t="shared" si="101"/>
        <v>0</v>
      </c>
      <c r="AL173" s="474">
        <f t="shared" si="101"/>
        <v>0</v>
      </c>
      <c r="AM173" s="474">
        <f t="shared" si="101"/>
        <v>0</v>
      </c>
      <c r="AN173" s="474">
        <f t="shared" si="101"/>
        <v>0</v>
      </c>
      <c r="AO173" s="474">
        <f t="shared" si="101"/>
        <v>0</v>
      </c>
      <c r="AP173" s="474">
        <f t="shared" si="101"/>
        <v>0</v>
      </c>
      <c r="AQ173" s="474">
        <f t="shared" si="101"/>
        <v>0</v>
      </c>
      <c r="AR173" s="474">
        <f t="shared" si="101"/>
        <v>0</v>
      </c>
      <c r="AS173" s="474">
        <f t="shared" si="101"/>
        <v>0</v>
      </c>
      <c r="AT173" s="474">
        <f t="shared" si="101"/>
        <v>0</v>
      </c>
      <c r="AU173" s="474">
        <f t="shared" si="101"/>
        <v>0</v>
      </c>
      <c r="AV173" s="474">
        <f t="shared" si="101"/>
        <v>0</v>
      </c>
      <c r="AW173" s="474">
        <f t="shared" si="101"/>
        <v>0</v>
      </c>
      <c r="AX173" s="474">
        <f t="shared" si="101"/>
        <v>0</v>
      </c>
      <c r="AY173" s="141"/>
    </row>
    <row r="174" spans="1:51">
      <c r="A174" s="1335">
        <f>$B$28</f>
        <v>0</v>
      </c>
      <c r="B174" s="1335"/>
      <c r="C174" s="1335"/>
      <c r="D174" s="1335"/>
      <c r="E174" s="1335"/>
      <c r="F174" s="467">
        <f>OpeningTemplate!$D$196</f>
        <v>0</v>
      </c>
      <c r="G174" s="467">
        <f>OpeningTemplate!$E$196</f>
        <v>0</v>
      </c>
      <c r="H174" s="467" t="str">
        <f>OpeningTemplate!$E$194</f>
        <v/>
      </c>
      <c r="I174" s="473">
        <f t="shared" ref="I174:I188" si="102">N28</f>
        <v>0</v>
      </c>
      <c r="J174" s="473"/>
      <c r="K174" s="473"/>
      <c r="L174" s="473"/>
      <c r="M174" s="474">
        <f t="shared" ref="M174:AX174" si="103">M209*$I174</f>
        <v>0</v>
      </c>
      <c r="N174" s="474">
        <f t="shared" si="103"/>
        <v>0</v>
      </c>
      <c r="O174" s="474">
        <f t="shared" si="103"/>
        <v>0</v>
      </c>
      <c r="P174" s="474">
        <f t="shared" si="103"/>
        <v>0</v>
      </c>
      <c r="Q174" s="474">
        <f t="shared" si="103"/>
        <v>0</v>
      </c>
      <c r="R174" s="474">
        <f t="shared" si="103"/>
        <v>0</v>
      </c>
      <c r="S174" s="474">
        <f t="shared" si="103"/>
        <v>0</v>
      </c>
      <c r="T174" s="474">
        <f t="shared" si="103"/>
        <v>0</v>
      </c>
      <c r="U174" s="474">
        <f t="shared" si="103"/>
        <v>0</v>
      </c>
      <c r="V174" s="474">
        <f t="shared" si="103"/>
        <v>0</v>
      </c>
      <c r="W174" s="474">
        <f t="shared" si="103"/>
        <v>0</v>
      </c>
      <c r="X174" s="474">
        <f t="shared" si="103"/>
        <v>0</v>
      </c>
      <c r="Y174" s="474">
        <f t="shared" si="103"/>
        <v>0</v>
      </c>
      <c r="Z174" s="474">
        <f t="shared" si="103"/>
        <v>0</v>
      </c>
      <c r="AA174" s="474">
        <f t="shared" si="103"/>
        <v>0</v>
      </c>
      <c r="AB174" s="474">
        <f t="shared" si="103"/>
        <v>0</v>
      </c>
      <c r="AC174" s="474">
        <f t="shared" si="103"/>
        <v>0</v>
      </c>
      <c r="AD174" s="474">
        <f t="shared" si="103"/>
        <v>0</v>
      </c>
      <c r="AE174" s="474">
        <f t="shared" si="103"/>
        <v>0</v>
      </c>
      <c r="AF174" s="474">
        <f t="shared" si="103"/>
        <v>0</v>
      </c>
      <c r="AG174" s="474">
        <f t="shared" si="103"/>
        <v>0</v>
      </c>
      <c r="AH174" s="474">
        <f t="shared" si="103"/>
        <v>0</v>
      </c>
      <c r="AI174" s="474">
        <f t="shared" si="103"/>
        <v>0</v>
      </c>
      <c r="AJ174" s="474">
        <f t="shared" si="103"/>
        <v>0</v>
      </c>
      <c r="AK174" s="474">
        <f t="shared" si="103"/>
        <v>0</v>
      </c>
      <c r="AL174" s="474">
        <f t="shared" si="103"/>
        <v>0</v>
      </c>
      <c r="AM174" s="474">
        <f t="shared" si="103"/>
        <v>0</v>
      </c>
      <c r="AN174" s="474">
        <f t="shared" si="103"/>
        <v>0</v>
      </c>
      <c r="AO174" s="474">
        <f t="shared" si="103"/>
        <v>0</v>
      </c>
      <c r="AP174" s="474">
        <f t="shared" si="103"/>
        <v>0</v>
      </c>
      <c r="AQ174" s="474">
        <f t="shared" si="103"/>
        <v>0</v>
      </c>
      <c r="AR174" s="474">
        <f t="shared" si="103"/>
        <v>0</v>
      </c>
      <c r="AS174" s="474">
        <f t="shared" si="103"/>
        <v>0</v>
      </c>
      <c r="AT174" s="474">
        <f t="shared" si="103"/>
        <v>0</v>
      </c>
      <c r="AU174" s="474">
        <f t="shared" si="103"/>
        <v>0</v>
      </c>
      <c r="AV174" s="474">
        <f t="shared" si="103"/>
        <v>0</v>
      </c>
      <c r="AW174" s="474">
        <f t="shared" si="103"/>
        <v>0</v>
      </c>
      <c r="AX174" s="474">
        <f t="shared" si="103"/>
        <v>0</v>
      </c>
      <c r="AY174" s="141"/>
    </row>
    <row r="175" spans="1:51">
      <c r="A175" s="1335">
        <f>$B$29</f>
        <v>0</v>
      </c>
      <c r="B175" s="1335"/>
      <c r="C175" s="1335"/>
      <c r="D175" s="1335"/>
      <c r="E175" s="1335"/>
      <c r="F175" s="467">
        <f>OpeningTemplate!$D$206</f>
        <v>0</v>
      </c>
      <c r="G175" s="467">
        <f>OpeningTemplate!$E$206</f>
        <v>0</v>
      </c>
      <c r="H175" s="467" t="str">
        <f>OpeningTemplate!$E$204</f>
        <v/>
      </c>
      <c r="I175" s="473">
        <f t="shared" si="102"/>
        <v>0</v>
      </c>
      <c r="J175" s="473"/>
      <c r="K175" s="473"/>
      <c r="L175" s="473"/>
      <c r="M175" s="474">
        <f t="shared" ref="M175:AX175" si="104">M210*$I175</f>
        <v>0</v>
      </c>
      <c r="N175" s="474">
        <f t="shared" si="104"/>
        <v>0</v>
      </c>
      <c r="O175" s="474">
        <f t="shared" si="104"/>
        <v>0</v>
      </c>
      <c r="P175" s="474">
        <f t="shared" si="104"/>
        <v>0</v>
      </c>
      <c r="Q175" s="474">
        <f t="shared" si="104"/>
        <v>0</v>
      </c>
      <c r="R175" s="474">
        <f t="shared" si="104"/>
        <v>0</v>
      </c>
      <c r="S175" s="474">
        <f t="shared" si="104"/>
        <v>0</v>
      </c>
      <c r="T175" s="474">
        <f t="shared" si="104"/>
        <v>0</v>
      </c>
      <c r="U175" s="474">
        <f t="shared" si="104"/>
        <v>0</v>
      </c>
      <c r="V175" s="474">
        <f t="shared" si="104"/>
        <v>0</v>
      </c>
      <c r="W175" s="474">
        <f t="shared" si="104"/>
        <v>0</v>
      </c>
      <c r="X175" s="474">
        <f t="shared" si="104"/>
        <v>0</v>
      </c>
      <c r="Y175" s="474">
        <f t="shared" si="104"/>
        <v>0</v>
      </c>
      <c r="Z175" s="474">
        <f t="shared" si="104"/>
        <v>0</v>
      </c>
      <c r="AA175" s="474">
        <f t="shared" si="104"/>
        <v>0</v>
      </c>
      <c r="AB175" s="474">
        <f t="shared" si="104"/>
        <v>0</v>
      </c>
      <c r="AC175" s="474">
        <f t="shared" si="104"/>
        <v>0</v>
      </c>
      <c r="AD175" s="474">
        <f t="shared" si="104"/>
        <v>0</v>
      </c>
      <c r="AE175" s="474">
        <f t="shared" si="104"/>
        <v>0</v>
      </c>
      <c r="AF175" s="474">
        <f t="shared" si="104"/>
        <v>0</v>
      </c>
      <c r="AG175" s="474">
        <f t="shared" si="104"/>
        <v>0</v>
      </c>
      <c r="AH175" s="474">
        <f t="shared" si="104"/>
        <v>0</v>
      </c>
      <c r="AI175" s="474">
        <f t="shared" si="104"/>
        <v>0</v>
      </c>
      <c r="AJ175" s="474">
        <f t="shared" si="104"/>
        <v>0</v>
      </c>
      <c r="AK175" s="474">
        <f t="shared" si="104"/>
        <v>0</v>
      </c>
      <c r="AL175" s="474">
        <f t="shared" si="104"/>
        <v>0</v>
      </c>
      <c r="AM175" s="474">
        <f t="shared" si="104"/>
        <v>0</v>
      </c>
      <c r="AN175" s="474">
        <f t="shared" si="104"/>
        <v>0</v>
      </c>
      <c r="AO175" s="474">
        <f t="shared" si="104"/>
        <v>0</v>
      </c>
      <c r="AP175" s="474">
        <f t="shared" si="104"/>
        <v>0</v>
      </c>
      <c r="AQ175" s="474">
        <f t="shared" si="104"/>
        <v>0</v>
      </c>
      <c r="AR175" s="474">
        <f t="shared" si="104"/>
        <v>0</v>
      </c>
      <c r="AS175" s="474">
        <f t="shared" si="104"/>
        <v>0</v>
      </c>
      <c r="AT175" s="474">
        <f t="shared" si="104"/>
        <v>0</v>
      </c>
      <c r="AU175" s="474">
        <f t="shared" si="104"/>
        <v>0</v>
      </c>
      <c r="AV175" s="474">
        <f t="shared" si="104"/>
        <v>0</v>
      </c>
      <c r="AW175" s="474">
        <f t="shared" si="104"/>
        <v>0</v>
      </c>
      <c r="AX175" s="474">
        <f t="shared" si="104"/>
        <v>0</v>
      </c>
      <c r="AY175" s="141"/>
    </row>
    <row r="176" spans="1:51">
      <c r="A176" s="1335">
        <f>$B$30</f>
        <v>0</v>
      </c>
      <c r="B176" s="1335"/>
      <c r="C176" s="1335"/>
      <c r="D176" s="1335"/>
      <c r="E176" s="1335"/>
      <c r="F176" s="467">
        <f>OpeningTemplate!$D$216</f>
        <v>0</v>
      </c>
      <c r="G176" s="467">
        <f>OpeningTemplate!$E$216</f>
        <v>0</v>
      </c>
      <c r="H176" s="467" t="str">
        <f>OpeningTemplate!$E$214</f>
        <v/>
      </c>
      <c r="I176" s="473">
        <f t="shared" si="102"/>
        <v>0</v>
      </c>
      <c r="J176" s="473"/>
      <c r="K176" s="473"/>
      <c r="L176" s="473"/>
      <c r="M176" s="474">
        <f t="shared" ref="M176:AX176" si="105">M211*$I176</f>
        <v>0</v>
      </c>
      <c r="N176" s="474">
        <f t="shared" si="105"/>
        <v>0</v>
      </c>
      <c r="O176" s="474">
        <f t="shared" si="105"/>
        <v>0</v>
      </c>
      <c r="P176" s="474">
        <f t="shared" si="105"/>
        <v>0</v>
      </c>
      <c r="Q176" s="474">
        <f t="shared" si="105"/>
        <v>0</v>
      </c>
      <c r="R176" s="474">
        <f t="shared" si="105"/>
        <v>0</v>
      </c>
      <c r="S176" s="474">
        <f t="shared" si="105"/>
        <v>0</v>
      </c>
      <c r="T176" s="474">
        <f t="shared" si="105"/>
        <v>0</v>
      </c>
      <c r="U176" s="474">
        <f t="shared" si="105"/>
        <v>0</v>
      </c>
      <c r="V176" s="474">
        <f t="shared" si="105"/>
        <v>0</v>
      </c>
      <c r="W176" s="474">
        <f t="shared" si="105"/>
        <v>0</v>
      </c>
      <c r="X176" s="474">
        <f t="shared" si="105"/>
        <v>0</v>
      </c>
      <c r="Y176" s="474">
        <f t="shared" si="105"/>
        <v>0</v>
      </c>
      <c r="Z176" s="474">
        <f t="shared" si="105"/>
        <v>0</v>
      </c>
      <c r="AA176" s="474">
        <f t="shared" si="105"/>
        <v>0</v>
      </c>
      <c r="AB176" s="474">
        <f t="shared" si="105"/>
        <v>0</v>
      </c>
      <c r="AC176" s="474">
        <f t="shared" si="105"/>
        <v>0</v>
      </c>
      <c r="AD176" s="474">
        <f t="shared" si="105"/>
        <v>0</v>
      </c>
      <c r="AE176" s="474">
        <f t="shared" si="105"/>
        <v>0</v>
      </c>
      <c r="AF176" s="474">
        <f t="shared" si="105"/>
        <v>0</v>
      </c>
      <c r="AG176" s="474">
        <f t="shared" si="105"/>
        <v>0</v>
      </c>
      <c r="AH176" s="474">
        <f t="shared" si="105"/>
        <v>0</v>
      </c>
      <c r="AI176" s="474">
        <f t="shared" si="105"/>
        <v>0</v>
      </c>
      <c r="AJ176" s="474">
        <f t="shared" si="105"/>
        <v>0</v>
      </c>
      <c r="AK176" s="474">
        <f t="shared" si="105"/>
        <v>0</v>
      </c>
      <c r="AL176" s="474">
        <f t="shared" si="105"/>
        <v>0</v>
      </c>
      <c r="AM176" s="474">
        <f t="shared" si="105"/>
        <v>0</v>
      </c>
      <c r="AN176" s="474">
        <f t="shared" si="105"/>
        <v>0</v>
      </c>
      <c r="AO176" s="474">
        <f t="shared" si="105"/>
        <v>0</v>
      </c>
      <c r="AP176" s="474">
        <f t="shared" si="105"/>
        <v>0</v>
      </c>
      <c r="AQ176" s="474">
        <f t="shared" si="105"/>
        <v>0</v>
      </c>
      <c r="AR176" s="474">
        <f t="shared" si="105"/>
        <v>0</v>
      </c>
      <c r="AS176" s="474">
        <f t="shared" si="105"/>
        <v>0</v>
      </c>
      <c r="AT176" s="474">
        <f t="shared" si="105"/>
        <v>0</v>
      </c>
      <c r="AU176" s="474">
        <f t="shared" si="105"/>
        <v>0</v>
      </c>
      <c r="AV176" s="474">
        <f t="shared" si="105"/>
        <v>0</v>
      </c>
      <c r="AW176" s="474">
        <f t="shared" si="105"/>
        <v>0</v>
      </c>
      <c r="AX176" s="474">
        <f t="shared" si="105"/>
        <v>0</v>
      </c>
      <c r="AY176" s="141"/>
    </row>
    <row r="177" spans="1:52">
      <c r="A177" s="1335">
        <f>$B$31</f>
        <v>0</v>
      </c>
      <c r="B177" s="1335"/>
      <c r="C177" s="1335"/>
      <c r="D177" s="1335"/>
      <c r="E177" s="1335"/>
      <c r="F177" s="467">
        <f>OpeningTemplate!$D$226</f>
        <v>0</v>
      </c>
      <c r="G177" s="467">
        <f>OpeningTemplate!$E$226</f>
        <v>0</v>
      </c>
      <c r="H177" s="467" t="str">
        <f>OpeningTemplate!$E$224</f>
        <v/>
      </c>
      <c r="I177" s="473">
        <f t="shared" si="102"/>
        <v>0</v>
      </c>
      <c r="J177" s="473"/>
      <c r="K177" s="473"/>
      <c r="L177" s="473"/>
      <c r="M177" s="474">
        <f t="shared" ref="M177:AX177" si="106">M212*$I177</f>
        <v>0</v>
      </c>
      <c r="N177" s="474">
        <f t="shared" si="106"/>
        <v>0</v>
      </c>
      <c r="O177" s="474">
        <f t="shared" si="106"/>
        <v>0</v>
      </c>
      <c r="P177" s="474">
        <f t="shared" si="106"/>
        <v>0</v>
      </c>
      <c r="Q177" s="474">
        <f t="shared" si="106"/>
        <v>0</v>
      </c>
      <c r="R177" s="474">
        <f t="shared" si="106"/>
        <v>0</v>
      </c>
      <c r="S177" s="474">
        <f t="shared" si="106"/>
        <v>0</v>
      </c>
      <c r="T177" s="474">
        <f t="shared" si="106"/>
        <v>0</v>
      </c>
      <c r="U177" s="474">
        <f t="shared" si="106"/>
        <v>0</v>
      </c>
      <c r="V177" s="474">
        <f t="shared" si="106"/>
        <v>0</v>
      </c>
      <c r="W177" s="474">
        <f t="shared" si="106"/>
        <v>0</v>
      </c>
      <c r="X177" s="474">
        <f t="shared" si="106"/>
        <v>0</v>
      </c>
      <c r="Y177" s="474">
        <f t="shared" si="106"/>
        <v>0</v>
      </c>
      <c r="Z177" s="474">
        <f t="shared" si="106"/>
        <v>0</v>
      </c>
      <c r="AA177" s="474">
        <f t="shared" si="106"/>
        <v>0</v>
      </c>
      <c r="AB177" s="474">
        <f t="shared" si="106"/>
        <v>0</v>
      </c>
      <c r="AC177" s="474">
        <f t="shared" si="106"/>
        <v>0</v>
      </c>
      <c r="AD177" s="474">
        <f t="shared" si="106"/>
        <v>0</v>
      </c>
      <c r="AE177" s="474">
        <f t="shared" si="106"/>
        <v>0</v>
      </c>
      <c r="AF177" s="474">
        <f t="shared" si="106"/>
        <v>0</v>
      </c>
      <c r="AG177" s="474">
        <f t="shared" si="106"/>
        <v>0</v>
      </c>
      <c r="AH177" s="474">
        <f t="shared" si="106"/>
        <v>0</v>
      </c>
      <c r="AI177" s="474">
        <f t="shared" si="106"/>
        <v>0</v>
      </c>
      <c r="AJ177" s="474">
        <f t="shared" si="106"/>
        <v>0</v>
      </c>
      <c r="AK177" s="474">
        <f t="shared" si="106"/>
        <v>0</v>
      </c>
      <c r="AL177" s="474">
        <f t="shared" si="106"/>
        <v>0</v>
      </c>
      <c r="AM177" s="474">
        <f t="shared" si="106"/>
        <v>0</v>
      </c>
      <c r="AN177" s="474">
        <f t="shared" si="106"/>
        <v>0</v>
      </c>
      <c r="AO177" s="474">
        <f t="shared" si="106"/>
        <v>0</v>
      </c>
      <c r="AP177" s="474">
        <f t="shared" si="106"/>
        <v>0</v>
      </c>
      <c r="AQ177" s="474">
        <f t="shared" si="106"/>
        <v>0</v>
      </c>
      <c r="AR177" s="474">
        <f t="shared" si="106"/>
        <v>0</v>
      </c>
      <c r="AS177" s="474">
        <f t="shared" si="106"/>
        <v>0</v>
      </c>
      <c r="AT177" s="474">
        <f t="shared" si="106"/>
        <v>0</v>
      </c>
      <c r="AU177" s="474">
        <f t="shared" si="106"/>
        <v>0</v>
      </c>
      <c r="AV177" s="474">
        <f t="shared" si="106"/>
        <v>0</v>
      </c>
      <c r="AW177" s="474">
        <f t="shared" si="106"/>
        <v>0</v>
      </c>
      <c r="AX177" s="474">
        <f t="shared" si="106"/>
        <v>0</v>
      </c>
      <c r="AY177" s="141"/>
    </row>
    <row r="178" spans="1:52">
      <c r="A178" s="1335">
        <f>$B$32</f>
        <v>0</v>
      </c>
      <c r="B178" s="1335"/>
      <c r="C178" s="1335"/>
      <c r="D178" s="1335"/>
      <c r="E178" s="1335"/>
      <c r="F178" s="467">
        <f>OpeningTemplate!$D$236</f>
        <v>0</v>
      </c>
      <c r="G178" s="467">
        <f>OpeningTemplate!$E$236</f>
        <v>0</v>
      </c>
      <c r="H178" s="467" t="str">
        <f>OpeningTemplate!$E$234</f>
        <v/>
      </c>
      <c r="I178" s="473">
        <f t="shared" si="102"/>
        <v>0</v>
      </c>
      <c r="J178" s="473"/>
      <c r="K178" s="473"/>
      <c r="L178" s="473"/>
      <c r="M178" s="474">
        <f t="shared" ref="M178:AX178" si="107">M213*$I178</f>
        <v>0</v>
      </c>
      <c r="N178" s="474">
        <f t="shared" si="107"/>
        <v>0</v>
      </c>
      <c r="O178" s="474">
        <f t="shared" si="107"/>
        <v>0</v>
      </c>
      <c r="P178" s="474">
        <f t="shared" si="107"/>
        <v>0</v>
      </c>
      <c r="Q178" s="474">
        <f t="shared" si="107"/>
        <v>0</v>
      </c>
      <c r="R178" s="474">
        <f t="shared" si="107"/>
        <v>0</v>
      </c>
      <c r="S178" s="474">
        <f t="shared" si="107"/>
        <v>0</v>
      </c>
      <c r="T178" s="474">
        <f t="shared" si="107"/>
        <v>0</v>
      </c>
      <c r="U178" s="474">
        <f t="shared" si="107"/>
        <v>0</v>
      </c>
      <c r="V178" s="474">
        <f t="shared" si="107"/>
        <v>0</v>
      </c>
      <c r="W178" s="474">
        <f t="shared" si="107"/>
        <v>0</v>
      </c>
      <c r="X178" s="474">
        <f t="shared" si="107"/>
        <v>0</v>
      </c>
      <c r="Y178" s="474">
        <f t="shared" si="107"/>
        <v>0</v>
      </c>
      <c r="Z178" s="474">
        <f t="shared" si="107"/>
        <v>0</v>
      </c>
      <c r="AA178" s="474">
        <f t="shared" si="107"/>
        <v>0</v>
      </c>
      <c r="AB178" s="474">
        <f t="shared" si="107"/>
        <v>0</v>
      </c>
      <c r="AC178" s="474">
        <f t="shared" si="107"/>
        <v>0</v>
      </c>
      <c r="AD178" s="474">
        <f t="shared" si="107"/>
        <v>0</v>
      </c>
      <c r="AE178" s="474">
        <f t="shared" si="107"/>
        <v>0</v>
      </c>
      <c r="AF178" s="474">
        <f t="shared" si="107"/>
        <v>0</v>
      </c>
      <c r="AG178" s="474">
        <f t="shared" si="107"/>
        <v>0</v>
      </c>
      <c r="AH178" s="474">
        <f t="shared" si="107"/>
        <v>0</v>
      </c>
      <c r="AI178" s="474">
        <f t="shared" si="107"/>
        <v>0</v>
      </c>
      <c r="AJ178" s="474">
        <f t="shared" si="107"/>
        <v>0</v>
      </c>
      <c r="AK178" s="474">
        <f t="shared" si="107"/>
        <v>0</v>
      </c>
      <c r="AL178" s="474">
        <f t="shared" si="107"/>
        <v>0</v>
      </c>
      <c r="AM178" s="474">
        <f t="shared" si="107"/>
        <v>0</v>
      </c>
      <c r="AN178" s="474">
        <f t="shared" si="107"/>
        <v>0</v>
      </c>
      <c r="AO178" s="474">
        <f t="shared" si="107"/>
        <v>0</v>
      </c>
      <c r="AP178" s="474">
        <f t="shared" si="107"/>
        <v>0</v>
      </c>
      <c r="AQ178" s="474">
        <f t="shared" si="107"/>
        <v>0</v>
      </c>
      <c r="AR178" s="474">
        <f t="shared" si="107"/>
        <v>0</v>
      </c>
      <c r="AS178" s="474">
        <f t="shared" si="107"/>
        <v>0</v>
      </c>
      <c r="AT178" s="474">
        <f t="shared" si="107"/>
        <v>0</v>
      </c>
      <c r="AU178" s="474">
        <f t="shared" si="107"/>
        <v>0</v>
      </c>
      <c r="AV178" s="474">
        <f t="shared" si="107"/>
        <v>0</v>
      </c>
      <c r="AW178" s="474">
        <f t="shared" si="107"/>
        <v>0</v>
      </c>
      <c r="AX178" s="474">
        <f t="shared" si="107"/>
        <v>0</v>
      </c>
      <c r="AY178" s="141"/>
    </row>
    <row r="179" spans="1:52">
      <c r="A179" s="1335">
        <f>$B$33</f>
        <v>0</v>
      </c>
      <c r="B179" s="1335"/>
      <c r="C179" s="1335"/>
      <c r="D179" s="1335"/>
      <c r="E179" s="1335"/>
      <c r="F179" s="467">
        <f>OpeningTemplate!$D$246</f>
        <v>0</v>
      </c>
      <c r="G179" s="467">
        <f>OpeningTemplate!$E$246</f>
        <v>0</v>
      </c>
      <c r="H179" s="467" t="str">
        <f>OpeningTemplate!$E$244</f>
        <v/>
      </c>
      <c r="I179" s="473">
        <f t="shared" si="102"/>
        <v>0</v>
      </c>
      <c r="J179" s="473"/>
      <c r="K179" s="473"/>
      <c r="L179" s="473"/>
      <c r="M179" s="474">
        <f t="shared" ref="M179:AX179" si="108">M214*$I179</f>
        <v>0</v>
      </c>
      <c r="N179" s="474">
        <f t="shared" si="108"/>
        <v>0</v>
      </c>
      <c r="O179" s="474">
        <f t="shared" si="108"/>
        <v>0</v>
      </c>
      <c r="P179" s="474">
        <f t="shared" si="108"/>
        <v>0</v>
      </c>
      <c r="Q179" s="474">
        <f t="shared" si="108"/>
        <v>0</v>
      </c>
      <c r="R179" s="474">
        <f t="shared" si="108"/>
        <v>0</v>
      </c>
      <c r="S179" s="474">
        <f t="shared" si="108"/>
        <v>0</v>
      </c>
      <c r="T179" s="474">
        <f t="shared" si="108"/>
        <v>0</v>
      </c>
      <c r="U179" s="474">
        <f t="shared" si="108"/>
        <v>0</v>
      </c>
      <c r="V179" s="474">
        <f t="shared" si="108"/>
        <v>0</v>
      </c>
      <c r="W179" s="474">
        <f t="shared" si="108"/>
        <v>0</v>
      </c>
      <c r="X179" s="474">
        <f t="shared" si="108"/>
        <v>0</v>
      </c>
      <c r="Y179" s="474">
        <f t="shared" si="108"/>
        <v>0</v>
      </c>
      <c r="Z179" s="474">
        <f t="shared" si="108"/>
        <v>0</v>
      </c>
      <c r="AA179" s="474">
        <f t="shared" si="108"/>
        <v>0</v>
      </c>
      <c r="AB179" s="474">
        <f t="shared" si="108"/>
        <v>0</v>
      </c>
      <c r="AC179" s="474">
        <f t="shared" si="108"/>
        <v>0</v>
      </c>
      <c r="AD179" s="474">
        <f t="shared" si="108"/>
        <v>0</v>
      </c>
      <c r="AE179" s="474">
        <f t="shared" si="108"/>
        <v>0</v>
      </c>
      <c r="AF179" s="474">
        <f t="shared" si="108"/>
        <v>0</v>
      </c>
      <c r="AG179" s="474">
        <f t="shared" si="108"/>
        <v>0</v>
      </c>
      <c r="AH179" s="474">
        <f t="shared" si="108"/>
        <v>0</v>
      </c>
      <c r="AI179" s="474">
        <f t="shared" si="108"/>
        <v>0</v>
      </c>
      <c r="AJ179" s="474">
        <f t="shared" si="108"/>
        <v>0</v>
      </c>
      <c r="AK179" s="474">
        <f t="shared" si="108"/>
        <v>0</v>
      </c>
      <c r="AL179" s="474">
        <f t="shared" si="108"/>
        <v>0</v>
      </c>
      <c r="AM179" s="474">
        <f t="shared" si="108"/>
        <v>0</v>
      </c>
      <c r="AN179" s="474">
        <f t="shared" si="108"/>
        <v>0</v>
      </c>
      <c r="AO179" s="474">
        <f t="shared" si="108"/>
        <v>0</v>
      </c>
      <c r="AP179" s="474">
        <f t="shared" si="108"/>
        <v>0</v>
      </c>
      <c r="AQ179" s="474">
        <f t="shared" si="108"/>
        <v>0</v>
      </c>
      <c r="AR179" s="474">
        <f t="shared" si="108"/>
        <v>0</v>
      </c>
      <c r="AS179" s="474">
        <f t="shared" si="108"/>
        <v>0</v>
      </c>
      <c r="AT179" s="474">
        <f t="shared" si="108"/>
        <v>0</v>
      </c>
      <c r="AU179" s="474">
        <f t="shared" si="108"/>
        <v>0</v>
      </c>
      <c r="AV179" s="474">
        <f t="shared" si="108"/>
        <v>0</v>
      </c>
      <c r="AW179" s="474">
        <f t="shared" si="108"/>
        <v>0</v>
      </c>
      <c r="AX179" s="474">
        <f t="shared" si="108"/>
        <v>0</v>
      </c>
      <c r="AY179" s="141"/>
    </row>
    <row r="180" spans="1:52">
      <c r="A180" s="1335">
        <f>$B$34</f>
        <v>0</v>
      </c>
      <c r="B180" s="1335"/>
      <c r="C180" s="1335"/>
      <c r="D180" s="1335"/>
      <c r="E180" s="1335"/>
      <c r="F180" s="467">
        <f>OpeningTemplate!$D$256</f>
        <v>0</v>
      </c>
      <c r="G180" s="467">
        <f>OpeningTemplate!$E$256</f>
        <v>0</v>
      </c>
      <c r="H180" s="467" t="str">
        <f>OpeningTemplate!$E$254</f>
        <v/>
      </c>
      <c r="I180" s="473">
        <f t="shared" si="102"/>
        <v>0</v>
      </c>
      <c r="J180" s="473"/>
      <c r="K180" s="473"/>
      <c r="L180" s="473"/>
      <c r="M180" s="474">
        <f t="shared" ref="M180:AX180" si="109">M215*$I180</f>
        <v>0</v>
      </c>
      <c r="N180" s="474">
        <f t="shared" si="109"/>
        <v>0</v>
      </c>
      <c r="O180" s="474">
        <f t="shared" si="109"/>
        <v>0</v>
      </c>
      <c r="P180" s="474">
        <f t="shared" si="109"/>
        <v>0</v>
      </c>
      <c r="Q180" s="474">
        <f t="shared" si="109"/>
        <v>0</v>
      </c>
      <c r="R180" s="474">
        <f t="shared" si="109"/>
        <v>0</v>
      </c>
      <c r="S180" s="474">
        <f t="shared" si="109"/>
        <v>0</v>
      </c>
      <c r="T180" s="474">
        <f t="shared" si="109"/>
        <v>0</v>
      </c>
      <c r="U180" s="474">
        <f t="shared" si="109"/>
        <v>0</v>
      </c>
      <c r="V180" s="474">
        <f t="shared" si="109"/>
        <v>0</v>
      </c>
      <c r="W180" s="474">
        <f t="shared" si="109"/>
        <v>0</v>
      </c>
      <c r="X180" s="474">
        <f t="shared" si="109"/>
        <v>0</v>
      </c>
      <c r="Y180" s="474">
        <f t="shared" si="109"/>
        <v>0</v>
      </c>
      <c r="Z180" s="474">
        <f t="shared" si="109"/>
        <v>0</v>
      </c>
      <c r="AA180" s="474">
        <f t="shared" si="109"/>
        <v>0</v>
      </c>
      <c r="AB180" s="474">
        <f t="shared" si="109"/>
        <v>0</v>
      </c>
      <c r="AC180" s="474">
        <f t="shared" si="109"/>
        <v>0</v>
      </c>
      <c r="AD180" s="474">
        <f t="shared" si="109"/>
        <v>0</v>
      </c>
      <c r="AE180" s="474">
        <f t="shared" si="109"/>
        <v>0</v>
      </c>
      <c r="AF180" s="474">
        <f t="shared" si="109"/>
        <v>0</v>
      </c>
      <c r="AG180" s="474">
        <f t="shared" si="109"/>
        <v>0</v>
      </c>
      <c r="AH180" s="474">
        <f t="shared" si="109"/>
        <v>0</v>
      </c>
      <c r="AI180" s="474">
        <f t="shared" si="109"/>
        <v>0</v>
      </c>
      <c r="AJ180" s="474">
        <f t="shared" si="109"/>
        <v>0</v>
      </c>
      <c r="AK180" s="474">
        <f t="shared" si="109"/>
        <v>0</v>
      </c>
      <c r="AL180" s="474">
        <f t="shared" si="109"/>
        <v>0</v>
      </c>
      <c r="AM180" s="474">
        <f t="shared" si="109"/>
        <v>0</v>
      </c>
      <c r="AN180" s="474">
        <f t="shared" si="109"/>
        <v>0</v>
      </c>
      <c r="AO180" s="474">
        <f t="shared" si="109"/>
        <v>0</v>
      </c>
      <c r="AP180" s="474">
        <f t="shared" si="109"/>
        <v>0</v>
      </c>
      <c r="AQ180" s="474">
        <f t="shared" si="109"/>
        <v>0</v>
      </c>
      <c r="AR180" s="474">
        <f t="shared" si="109"/>
        <v>0</v>
      </c>
      <c r="AS180" s="474">
        <f t="shared" si="109"/>
        <v>0</v>
      </c>
      <c r="AT180" s="474">
        <f t="shared" si="109"/>
        <v>0</v>
      </c>
      <c r="AU180" s="474">
        <f t="shared" si="109"/>
        <v>0</v>
      </c>
      <c r="AV180" s="474">
        <f t="shared" si="109"/>
        <v>0</v>
      </c>
      <c r="AW180" s="474">
        <f t="shared" si="109"/>
        <v>0</v>
      </c>
      <c r="AX180" s="474">
        <f t="shared" si="109"/>
        <v>0</v>
      </c>
      <c r="AY180" s="141"/>
    </row>
    <row r="181" spans="1:52">
      <c r="A181" s="1335">
        <f>$B$35</f>
        <v>0</v>
      </c>
      <c r="B181" s="1335"/>
      <c r="C181" s="1335"/>
      <c r="D181" s="1335"/>
      <c r="E181" s="1335"/>
      <c r="F181" s="467">
        <f>OpeningTemplate!$D$266</f>
        <v>0</v>
      </c>
      <c r="G181" s="467">
        <f>OpeningTemplate!$E$266</f>
        <v>0</v>
      </c>
      <c r="H181" s="467" t="str">
        <f>OpeningTemplate!$E$264</f>
        <v/>
      </c>
      <c r="I181" s="473">
        <f t="shared" si="102"/>
        <v>0</v>
      </c>
      <c r="J181" s="473"/>
      <c r="K181" s="473"/>
      <c r="L181" s="473"/>
      <c r="M181" s="474">
        <f t="shared" ref="M181:AX181" si="110">M216*$I181</f>
        <v>0</v>
      </c>
      <c r="N181" s="474">
        <f t="shared" si="110"/>
        <v>0</v>
      </c>
      <c r="O181" s="474">
        <f t="shared" si="110"/>
        <v>0</v>
      </c>
      <c r="P181" s="474">
        <f t="shared" si="110"/>
        <v>0</v>
      </c>
      <c r="Q181" s="474">
        <f t="shared" si="110"/>
        <v>0</v>
      </c>
      <c r="R181" s="474">
        <f t="shared" si="110"/>
        <v>0</v>
      </c>
      <c r="S181" s="474">
        <f t="shared" si="110"/>
        <v>0</v>
      </c>
      <c r="T181" s="474">
        <f t="shared" si="110"/>
        <v>0</v>
      </c>
      <c r="U181" s="474">
        <f t="shared" si="110"/>
        <v>0</v>
      </c>
      <c r="V181" s="474">
        <f t="shared" si="110"/>
        <v>0</v>
      </c>
      <c r="W181" s="474">
        <f t="shared" si="110"/>
        <v>0</v>
      </c>
      <c r="X181" s="474">
        <f t="shared" si="110"/>
        <v>0</v>
      </c>
      <c r="Y181" s="474">
        <f t="shared" si="110"/>
        <v>0</v>
      </c>
      <c r="Z181" s="474">
        <f t="shared" si="110"/>
        <v>0</v>
      </c>
      <c r="AA181" s="474">
        <f t="shared" si="110"/>
        <v>0</v>
      </c>
      <c r="AB181" s="474">
        <f t="shared" si="110"/>
        <v>0</v>
      </c>
      <c r="AC181" s="474">
        <f t="shared" si="110"/>
        <v>0</v>
      </c>
      <c r="AD181" s="474">
        <f t="shared" si="110"/>
        <v>0</v>
      </c>
      <c r="AE181" s="474">
        <f t="shared" si="110"/>
        <v>0</v>
      </c>
      <c r="AF181" s="474">
        <f t="shared" si="110"/>
        <v>0</v>
      </c>
      <c r="AG181" s="474">
        <f t="shared" si="110"/>
        <v>0</v>
      </c>
      <c r="AH181" s="474">
        <f t="shared" si="110"/>
        <v>0</v>
      </c>
      <c r="AI181" s="474">
        <f t="shared" si="110"/>
        <v>0</v>
      </c>
      <c r="AJ181" s="474">
        <f t="shared" si="110"/>
        <v>0</v>
      </c>
      <c r="AK181" s="474">
        <f t="shared" si="110"/>
        <v>0</v>
      </c>
      <c r="AL181" s="474">
        <f t="shared" si="110"/>
        <v>0</v>
      </c>
      <c r="AM181" s="474">
        <f t="shared" si="110"/>
        <v>0</v>
      </c>
      <c r="AN181" s="474">
        <f t="shared" si="110"/>
        <v>0</v>
      </c>
      <c r="AO181" s="474">
        <f t="shared" si="110"/>
        <v>0</v>
      </c>
      <c r="AP181" s="474">
        <f t="shared" si="110"/>
        <v>0</v>
      </c>
      <c r="AQ181" s="474">
        <f t="shared" si="110"/>
        <v>0</v>
      </c>
      <c r="AR181" s="474">
        <f t="shared" si="110"/>
        <v>0</v>
      </c>
      <c r="AS181" s="474">
        <f t="shared" si="110"/>
        <v>0</v>
      </c>
      <c r="AT181" s="474">
        <f t="shared" si="110"/>
        <v>0</v>
      </c>
      <c r="AU181" s="474">
        <f t="shared" si="110"/>
        <v>0</v>
      </c>
      <c r="AV181" s="474">
        <f t="shared" si="110"/>
        <v>0</v>
      </c>
      <c r="AW181" s="474">
        <f t="shared" si="110"/>
        <v>0</v>
      </c>
      <c r="AX181" s="474">
        <f t="shared" si="110"/>
        <v>0</v>
      </c>
      <c r="AY181" s="141"/>
    </row>
    <row r="182" spans="1:52">
      <c r="A182" s="1335">
        <f>$B$36</f>
        <v>0</v>
      </c>
      <c r="B182" s="1335"/>
      <c r="C182" s="1335"/>
      <c r="D182" s="1335"/>
      <c r="E182" s="1335"/>
      <c r="F182" s="467">
        <f>OpeningTemplate!$D$276</f>
        <v>0</v>
      </c>
      <c r="G182" s="467">
        <f>OpeningTemplate!$E$276</f>
        <v>0</v>
      </c>
      <c r="H182" s="467" t="str">
        <f>OpeningTemplate!$E$274</f>
        <v/>
      </c>
      <c r="I182" s="473">
        <f t="shared" si="102"/>
        <v>0</v>
      </c>
      <c r="J182" s="473"/>
      <c r="K182" s="473"/>
      <c r="L182" s="473"/>
      <c r="M182" s="474">
        <f t="shared" ref="M182:AX182" si="111">M217*$I182</f>
        <v>0</v>
      </c>
      <c r="N182" s="474">
        <f t="shared" si="111"/>
        <v>0</v>
      </c>
      <c r="O182" s="474">
        <f t="shared" si="111"/>
        <v>0</v>
      </c>
      <c r="P182" s="474">
        <f t="shared" si="111"/>
        <v>0</v>
      </c>
      <c r="Q182" s="474">
        <f t="shared" si="111"/>
        <v>0</v>
      </c>
      <c r="R182" s="474">
        <f t="shared" si="111"/>
        <v>0</v>
      </c>
      <c r="S182" s="474">
        <f t="shared" si="111"/>
        <v>0</v>
      </c>
      <c r="T182" s="474">
        <f t="shared" si="111"/>
        <v>0</v>
      </c>
      <c r="U182" s="474">
        <f t="shared" si="111"/>
        <v>0</v>
      </c>
      <c r="V182" s="474">
        <f t="shared" si="111"/>
        <v>0</v>
      </c>
      <c r="W182" s="474">
        <f t="shared" si="111"/>
        <v>0</v>
      </c>
      <c r="X182" s="474">
        <f t="shared" si="111"/>
        <v>0</v>
      </c>
      <c r="Y182" s="474">
        <f t="shared" si="111"/>
        <v>0</v>
      </c>
      <c r="Z182" s="474">
        <f t="shared" si="111"/>
        <v>0</v>
      </c>
      <c r="AA182" s="474">
        <f t="shared" si="111"/>
        <v>0</v>
      </c>
      <c r="AB182" s="474">
        <f t="shared" si="111"/>
        <v>0</v>
      </c>
      <c r="AC182" s="474">
        <f t="shared" si="111"/>
        <v>0</v>
      </c>
      <c r="AD182" s="474">
        <f t="shared" si="111"/>
        <v>0</v>
      </c>
      <c r="AE182" s="474">
        <f t="shared" si="111"/>
        <v>0</v>
      </c>
      <c r="AF182" s="474">
        <f t="shared" si="111"/>
        <v>0</v>
      </c>
      <c r="AG182" s="474">
        <f t="shared" si="111"/>
        <v>0</v>
      </c>
      <c r="AH182" s="474">
        <f t="shared" si="111"/>
        <v>0</v>
      </c>
      <c r="AI182" s="474">
        <f t="shared" si="111"/>
        <v>0</v>
      </c>
      <c r="AJ182" s="474">
        <f t="shared" si="111"/>
        <v>0</v>
      </c>
      <c r="AK182" s="474">
        <f t="shared" si="111"/>
        <v>0</v>
      </c>
      <c r="AL182" s="474">
        <f t="shared" si="111"/>
        <v>0</v>
      </c>
      <c r="AM182" s="474">
        <f t="shared" si="111"/>
        <v>0</v>
      </c>
      <c r="AN182" s="474">
        <f t="shared" si="111"/>
        <v>0</v>
      </c>
      <c r="AO182" s="474">
        <f t="shared" si="111"/>
        <v>0</v>
      </c>
      <c r="AP182" s="474">
        <f t="shared" si="111"/>
        <v>0</v>
      </c>
      <c r="AQ182" s="474">
        <f t="shared" si="111"/>
        <v>0</v>
      </c>
      <c r="AR182" s="474">
        <f t="shared" si="111"/>
        <v>0</v>
      </c>
      <c r="AS182" s="474">
        <f t="shared" si="111"/>
        <v>0</v>
      </c>
      <c r="AT182" s="474">
        <f t="shared" si="111"/>
        <v>0</v>
      </c>
      <c r="AU182" s="474">
        <f t="shared" si="111"/>
        <v>0</v>
      </c>
      <c r="AV182" s="474">
        <f t="shared" si="111"/>
        <v>0</v>
      </c>
      <c r="AW182" s="474">
        <f t="shared" si="111"/>
        <v>0</v>
      </c>
      <c r="AX182" s="474">
        <f t="shared" si="111"/>
        <v>0</v>
      </c>
      <c r="AY182" s="141"/>
    </row>
    <row r="183" spans="1:52">
      <c r="A183" s="1335">
        <f>$B$37</f>
        <v>0</v>
      </c>
      <c r="B183" s="1335"/>
      <c r="C183" s="1335"/>
      <c r="D183" s="1335"/>
      <c r="E183" s="1335"/>
      <c r="F183" s="467">
        <f>OpeningTemplate!$D$286</f>
        <v>0</v>
      </c>
      <c r="G183" s="467">
        <f>OpeningTemplate!$E$286</f>
        <v>0</v>
      </c>
      <c r="H183" s="467" t="str">
        <f>OpeningTemplate!$E$284</f>
        <v/>
      </c>
      <c r="I183" s="473">
        <f t="shared" si="102"/>
        <v>0</v>
      </c>
      <c r="J183" s="473"/>
      <c r="K183" s="473"/>
      <c r="L183" s="473"/>
      <c r="M183" s="474">
        <f t="shared" ref="M183:AX183" si="112">M218*$I183</f>
        <v>0</v>
      </c>
      <c r="N183" s="474">
        <f t="shared" si="112"/>
        <v>0</v>
      </c>
      <c r="O183" s="474">
        <f t="shared" si="112"/>
        <v>0</v>
      </c>
      <c r="P183" s="474">
        <f t="shared" si="112"/>
        <v>0</v>
      </c>
      <c r="Q183" s="474">
        <f t="shared" si="112"/>
        <v>0</v>
      </c>
      <c r="R183" s="474">
        <f t="shared" si="112"/>
        <v>0</v>
      </c>
      <c r="S183" s="474">
        <f t="shared" si="112"/>
        <v>0</v>
      </c>
      <c r="T183" s="474">
        <f t="shared" si="112"/>
        <v>0</v>
      </c>
      <c r="U183" s="474">
        <f t="shared" si="112"/>
        <v>0</v>
      </c>
      <c r="V183" s="474">
        <f t="shared" si="112"/>
        <v>0</v>
      </c>
      <c r="W183" s="474">
        <f t="shared" si="112"/>
        <v>0</v>
      </c>
      <c r="X183" s="474">
        <f t="shared" si="112"/>
        <v>0</v>
      </c>
      <c r="Y183" s="474">
        <f t="shared" si="112"/>
        <v>0</v>
      </c>
      <c r="Z183" s="474">
        <f t="shared" si="112"/>
        <v>0</v>
      </c>
      <c r="AA183" s="474">
        <f t="shared" si="112"/>
        <v>0</v>
      </c>
      <c r="AB183" s="474">
        <f t="shared" si="112"/>
        <v>0</v>
      </c>
      <c r="AC183" s="474">
        <f t="shared" si="112"/>
        <v>0</v>
      </c>
      <c r="AD183" s="474">
        <f t="shared" si="112"/>
        <v>0</v>
      </c>
      <c r="AE183" s="474">
        <f t="shared" si="112"/>
        <v>0</v>
      </c>
      <c r="AF183" s="474">
        <f t="shared" si="112"/>
        <v>0</v>
      </c>
      <c r="AG183" s="474">
        <f t="shared" si="112"/>
        <v>0</v>
      </c>
      <c r="AH183" s="474">
        <f t="shared" si="112"/>
        <v>0</v>
      </c>
      <c r="AI183" s="474">
        <f t="shared" si="112"/>
        <v>0</v>
      </c>
      <c r="AJ183" s="474">
        <f t="shared" si="112"/>
        <v>0</v>
      </c>
      <c r="AK183" s="474">
        <f t="shared" si="112"/>
        <v>0</v>
      </c>
      <c r="AL183" s="474">
        <f t="shared" si="112"/>
        <v>0</v>
      </c>
      <c r="AM183" s="474">
        <f t="shared" si="112"/>
        <v>0</v>
      </c>
      <c r="AN183" s="474">
        <f t="shared" si="112"/>
        <v>0</v>
      </c>
      <c r="AO183" s="474">
        <f t="shared" si="112"/>
        <v>0</v>
      </c>
      <c r="AP183" s="474">
        <f t="shared" si="112"/>
        <v>0</v>
      </c>
      <c r="AQ183" s="474">
        <f t="shared" si="112"/>
        <v>0</v>
      </c>
      <c r="AR183" s="474">
        <f t="shared" si="112"/>
        <v>0</v>
      </c>
      <c r="AS183" s="474">
        <f t="shared" si="112"/>
        <v>0</v>
      </c>
      <c r="AT183" s="474">
        <f t="shared" si="112"/>
        <v>0</v>
      </c>
      <c r="AU183" s="474">
        <f t="shared" si="112"/>
        <v>0</v>
      </c>
      <c r="AV183" s="474">
        <f t="shared" si="112"/>
        <v>0</v>
      </c>
      <c r="AW183" s="474">
        <f t="shared" si="112"/>
        <v>0</v>
      </c>
      <c r="AX183" s="474">
        <f t="shared" si="112"/>
        <v>0</v>
      </c>
      <c r="AY183" s="141"/>
    </row>
    <row r="184" spans="1:52">
      <c r="A184" s="1335">
        <f>$B$38</f>
        <v>0</v>
      </c>
      <c r="B184" s="1335"/>
      <c r="C184" s="1335"/>
      <c r="D184" s="1335"/>
      <c r="E184" s="1335"/>
      <c r="F184" s="467">
        <f>OpeningTemplate!$D$296</f>
        <v>0</v>
      </c>
      <c r="G184" s="467">
        <f>OpeningTemplate!$E$296</f>
        <v>0</v>
      </c>
      <c r="H184" s="467" t="str">
        <f>OpeningTemplate!$E$294</f>
        <v/>
      </c>
      <c r="I184" s="473">
        <f t="shared" si="102"/>
        <v>0</v>
      </c>
      <c r="J184" s="473"/>
      <c r="K184" s="473"/>
      <c r="L184" s="473"/>
      <c r="M184" s="474">
        <f t="shared" ref="M184:AX184" si="113">M219*$I184</f>
        <v>0</v>
      </c>
      <c r="N184" s="474">
        <f t="shared" si="113"/>
        <v>0</v>
      </c>
      <c r="O184" s="474">
        <f t="shared" si="113"/>
        <v>0</v>
      </c>
      <c r="P184" s="474">
        <f t="shared" si="113"/>
        <v>0</v>
      </c>
      <c r="Q184" s="474">
        <f t="shared" si="113"/>
        <v>0</v>
      </c>
      <c r="R184" s="474">
        <f t="shared" si="113"/>
        <v>0</v>
      </c>
      <c r="S184" s="474">
        <f t="shared" si="113"/>
        <v>0</v>
      </c>
      <c r="T184" s="474">
        <f t="shared" si="113"/>
        <v>0</v>
      </c>
      <c r="U184" s="474">
        <f t="shared" si="113"/>
        <v>0</v>
      </c>
      <c r="V184" s="474">
        <f t="shared" si="113"/>
        <v>0</v>
      </c>
      <c r="W184" s="474">
        <f t="shared" si="113"/>
        <v>0</v>
      </c>
      <c r="X184" s="474">
        <f t="shared" si="113"/>
        <v>0</v>
      </c>
      <c r="Y184" s="474">
        <f t="shared" si="113"/>
        <v>0</v>
      </c>
      <c r="Z184" s="474">
        <f t="shared" si="113"/>
        <v>0</v>
      </c>
      <c r="AA184" s="474">
        <f t="shared" si="113"/>
        <v>0</v>
      </c>
      <c r="AB184" s="474">
        <f t="shared" si="113"/>
        <v>0</v>
      </c>
      <c r="AC184" s="474">
        <f t="shared" si="113"/>
        <v>0</v>
      </c>
      <c r="AD184" s="474">
        <f t="shared" si="113"/>
        <v>0</v>
      </c>
      <c r="AE184" s="474">
        <f t="shared" si="113"/>
        <v>0</v>
      </c>
      <c r="AF184" s="474">
        <f t="shared" si="113"/>
        <v>0</v>
      </c>
      <c r="AG184" s="474">
        <f t="shared" si="113"/>
        <v>0</v>
      </c>
      <c r="AH184" s="474">
        <f t="shared" si="113"/>
        <v>0</v>
      </c>
      <c r="AI184" s="474">
        <f t="shared" si="113"/>
        <v>0</v>
      </c>
      <c r="AJ184" s="474">
        <f t="shared" si="113"/>
        <v>0</v>
      </c>
      <c r="AK184" s="474">
        <f t="shared" si="113"/>
        <v>0</v>
      </c>
      <c r="AL184" s="474">
        <f t="shared" si="113"/>
        <v>0</v>
      </c>
      <c r="AM184" s="474">
        <f t="shared" si="113"/>
        <v>0</v>
      </c>
      <c r="AN184" s="474">
        <f t="shared" si="113"/>
        <v>0</v>
      </c>
      <c r="AO184" s="474">
        <f t="shared" si="113"/>
        <v>0</v>
      </c>
      <c r="AP184" s="474">
        <f t="shared" si="113"/>
        <v>0</v>
      </c>
      <c r="AQ184" s="474">
        <f t="shared" si="113"/>
        <v>0</v>
      </c>
      <c r="AR184" s="474">
        <f t="shared" si="113"/>
        <v>0</v>
      </c>
      <c r="AS184" s="474">
        <f t="shared" si="113"/>
        <v>0</v>
      </c>
      <c r="AT184" s="474">
        <f t="shared" si="113"/>
        <v>0</v>
      </c>
      <c r="AU184" s="474">
        <f t="shared" si="113"/>
        <v>0</v>
      </c>
      <c r="AV184" s="474">
        <f t="shared" si="113"/>
        <v>0</v>
      </c>
      <c r="AW184" s="474">
        <f t="shared" si="113"/>
        <v>0</v>
      </c>
      <c r="AX184" s="474">
        <f t="shared" si="113"/>
        <v>0</v>
      </c>
      <c r="AY184" s="141"/>
    </row>
    <row r="185" spans="1:52">
      <c r="A185" s="1335">
        <f>$B$39</f>
        <v>0</v>
      </c>
      <c r="B185" s="1335"/>
      <c r="C185" s="1335"/>
      <c r="D185" s="1335"/>
      <c r="E185" s="1335"/>
      <c r="F185" s="467">
        <f>OpeningTemplate!$D$306</f>
        <v>0</v>
      </c>
      <c r="G185" s="467">
        <f>OpeningTemplate!$E$306</f>
        <v>0</v>
      </c>
      <c r="H185" s="467" t="str">
        <f>OpeningTemplate!$E$304</f>
        <v/>
      </c>
      <c r="I185" s="473">
        <f t="shared" si="102"/>
        <v>0</v>
      </c>
      <c r="J185" s="473"/>
      <c r="K185" s="473"/>
      <c r="L185" s="473"/>
      <c r="M185" s="474">
        <f t="shared" ref="M185:AX185" si="114">M220*$I185</f>
        <v>0</v>
      </c>
      <c r="N185" s="474">
        <f t="shared" si="114"/>
        <v>0</v>
      </c>
      <c r="O185" s="474">
        <f t="shared" si="114"/>
        <v>0</v>
      </c>
      <c r="P185" s="474">
        <f t="shared" si="114"/>
        <v>0</v>
      </c>
      <c r="Q185" s="474">
        <f t="shared" si="114"/>
        <v>0</v>
      </c>
      <c r="R185" s="474">
        <f t="shared" si="114"/>
        <v>0</v>
      </c>
      <c r="S185" s="474">
        <f t="shared" si="114"/>
        <v>0</v>
      </c>
      <c r="T185" s="474">
        <f t="shared" si="114"/>
        <v>0</v>
      </c>
      <c r="U185" s="474">
        <f t="shared" si="114"/>
        <v>0</v>
      </c>
      <c r="V185" s="474">
        <f t="shared" si="114"/>
        <v>0</v>
      </c>
      <c r="W185" s="474">
        <f t="shared" si="114"/>
        <v>0</v>
      </c>
      <c r="X185" s="474">
        <f t="shared" si="114"/>
        <v>0</v>
      </c>
      <c r="Y185" s="474">
        <f t="shared" si="114"/>
        <v>0</v>
      </c>
      <c r="Z185" s="474">
        <f t="shared" si="114"/>
        <v>0</v>
      </c>
      <c r="AA185" s="474">
        <f t="shared" si="114"/>
        <v>0</v>
      </c>
      <c r="AB185" s="474">
        <f t="shared" si="114"/>
        <v>0</v>
      </c>
      <c r="AC185" s="474">
        <f t="shared" si="114"/>
        <v>0</v>
      </c>
      <c r="AD185" s="474">
        <f t="shared" si="114"/>
        <v>0</v>
      </c>
      <c r="AE185" s="474">
        <f t="shared" si="114"/>
        <v>0</v>
      </c>
      <c r="AF185" s="474">
        <f t="shared" si="114"/>
        <v>0</v>
      </c>
      <c r="AG185" s="474">
        <f t="shared" si="114"/>
        <v>0</v>
      </c>
      <c r="AH185" s="474">
        <f t="shared" si="114"/>
        <v>0</v>
      </c>
      <c r="AI185" s="474">
        <f t="shared" si="114"/>
        <v>0</v>
      </c>
      <c r="AJ185" s="474">
        <f t="shared" si="114"/>
        <v>0</v>
      </c>
      <c r="AK185" s="474">
        <f t="shared" si="114"/>
        <v>0</v>
      </c>
      <c r="AL185" s="474">
        <f t="shared" si="114"/>
        <v>0</v>
      </c>
      <c r="AM185" s="474">
        <f t="shared" si="114"/>
        <v>0</v>
      </c>
      <c r="AN185" s="474">
        <f t="shared" si="114"/>
        <v>0</v>
      </c>
      <c r="AO185" s="474">
        <f t="shared" si="114"/>
        <v>0</v>
      </c>
      <c r="AP185" s="474">
        <f t="shared" si="114"/>
        <v>0</v>
      </c>
      <c r="AQ185" s="474">
        <f t="shared" si="114"/>
        <v>0</v>
      </c>
      <c r="AR185" s="474">
        <f t="shared" si="114"/>
        <v>0</v>
      </c>
      <c r="AS185" s="474">
        <f t="shared" si="114"/>
        <v>0</v>
      </c>
      <c r="AT185" s="474">
        <f t="shared" si="114"/>
        <v>0</v>
      </c>
      <c r="AU185" s="474">
        <f t="shared" si="114"/>
        <v>0</v>
      </c>
      <c r="AV185" s="474">
        <f t="shared" si="114"/>
        <v>0</v>
      </c>
      <c r="AW185" s="474">
        <f t="shared" si="114"/>
        <v>0</v>
      </c>
      <c r="AX185" s="474">
        <f t="shared" si="114"/>
        <v>0</v>
      </c>
      <c r="AY185" s="141"/>
    </row>
    <row r="186" spans="1:52">
      <c r="A186" s="1335">
        <f>$B$40</f>
        <v>0</v>
      </c>
      <c r="B186" s="1335"/>
      <c r="C186" s="1335"/>
      <c r="D186" s="1335"/>
      <c r="E186" s="1335"/>
      <c r="F186" s="467">
        <f>OpeningTemplate!$D$316</f>
        <v>0</v>
      </c>
      <c r="G186" s="467">
        <f>OpeningTemplate!$E$316</f>
        <v>0</v>
      </c>
      <c r="H186" s="467" t="str">
        <f>OpeningTemplate!$E$314</f>
        <v/>
      </c>
      <c r="I186" s="473">
        <f t="shared" si="102"/>
        <v>0</v>
      </c>
      <c r="J186" s="473"/>
      <c r="K186" s="473"/>
      <c r="L186" s="473"/>
      <c r="M186" s="474">
        <f t="shared" ref="M186:AX186" si="115">M221*$I186</f>
        <v>0</v>
      </c>
      <c r="N186" s="474">
        <f t="shared" si="115"/>
        <v>0</v>
      </c>
      <c r="O186" s="474">
        <f t="shared" si="115"/>
        <v>0</v>
      </c>
      <c r="P186" s="474">
        <f t="shared" si="115"/>
        <v>0</v>
      </c>
      <c r="Q186" s="474">
        <f t="shared" si="115"/>
        <v>0</v>
      </c>
      <c r="R186" s="474">
        <f t="shared" si="115"/>
        <v>0</v>
      </c>
      <c r="S186" s="474">
        <f t="shared" si="115"/>
        <v>0</v>
      </c>
      <c r="T186" s="474">
        <f t="shared" si="115"/>
        <v>0</v>
      </c>
      <c r="U186" s="474">
        <f t="shared" si="115"/>
        <v>0</v>
      </c>
      <c r="V186" s="474">
        <f t="shared" si="115"/>
        <v>0</v>
      </c>
      <c r="W186" s="474">
        <f t="shared" si="115"/>
        <v>0</v>
      </c>
      <c r="X186" s="474">
        <f t="shared" si="115"/>
        <v>0</v>
      </c>
      <c r="Y186" s="474">
        <f t="shared" si="115"/>
        <v>0</v>
      </c>
      <c r="Z186" s="474">
        <f t="shared" si="115"/>
        <v>0</v>
      </c>
      <c r="AA186" s="474">
        <f t="shared" si="115"/>
        <v>0</v>
      </c>
      <c r="AB186" s="474">
        <f t="shared" si="115"/>
        <v>0</v>
      </c>
      <c r="AC186" s="474">
        <f t="shared" si="115"/>
        <v>0</v>
      </c>
      <c r="AD186" s="474">
        <f t="shared" si="115"/>
        <v>0</v>
      </c>
      <c r="AE186" s="474">
        <f t="shared" si="115"/>
        <v>0</v>
      </c>
      <c r="AF186" s="474">
        <f t="shared" si="115"/>
        <v>0</v>
      </c>
      <c r="AG186" s="474">
        <f t="shared" si="115"/>
        <v>0</v>
      </c>
      <c r="AH186" s="474">
        <f t="shared" si="115"/>
        <v>0</v>
      </c>
      <c r="AI186" s="474">
        <f t="shared" si="115"/>
        <v>0</v>
      </c>
      <c r="AJ186" s="474">
        <f t="shared" si="115"/>
        <v>0</v>
      </c>
      <c r="AK186" s="474">
        <f t="shared" si="115"/>
        <v>0</v>
      </c>
      <c r="AL186" s="474">
        <f t="shared" si="115"/>
        <v>0</v>
      </c>
      <c r="AM186" s="474">
        <f t="shared" si="115"/>
        <v>0</v>
      </c>
      <c r="AN186" s="474">
        <f t="shared" si="115"/>
        <v>0</v>
      </c>
      <c r="AO186" s="474">
        <f t="shared" si="115"/>
        <v>0</v>
      </c>
      <c r="AP186" s="474">
        <f t="shared" si="115"/>
        <v>0</v>
      </c>
      <c r="AQ186" s="474">
        <f t="shared" si="115"/>
        <v>0</v>
      </c>
      <c r="AR186" s="474">
        <f t="shared" si="115"/>
        <v>0</v>
      </c>
      <c r="AS186" s="474">
        <f t="shared" si="115"/>
        <v>0</v>
      </c>
      <c r="AT186" s="474">
        <f t="shared" si="115"/>
        <v>0</v>
      </c>
      <c r="AU186" s="474">
        <f t="shared" si="115"/>
        <v>0</v>
      </c>
      <c r="AV186" s="474">
        <f t="shared" si="115"/>
        <v>0</v>
      </c>
      <c r="AW186" s="474">
        <f t="shared" si="115"/>
        <v>0</v>
      </c>
      <c r="AX186" s="474">
        <f t="shared" si="115"/>
        <v>0</v>
      </c>
      <c r="AY186" s="141"/>
    </row>
    <row r="187" spans="1:52">
      <c r="A187" s="1335">
        <f>$B$41</f>
        <v>0</v>
      </c>
      <c r="B187" s="1335"/>
      <c r="C187" s="1335"/>
      <c r="D187" s="1335"/>
      <c r="E187" s="1335"/>
      <c r="F187" s="467">
        <f>OpeningTemplate!$D$326</f>
        <v>0</v>
      </c>
      <c r="G187" s="467">
        <f>OpeningTemplate!$E$326</f>
        <v>0</v>
      </c>
      <c r="H187" s="467" t="str">
        <f>OpeningTemplate!$E$324</f>
        <v/>
      </c>
      <c r="I187" s="473">
        <f t="shared" si="102"/>
        <v>0</v>
      </c>
      <c r="J187" s="473"/>
      <c r="K187" s="473"/>
      <c r="L187" s="473"/>
      <c r="M187" s="474">
        <f t="shared" ref="M187:AX187" si="116">M222*$I187</f>
        <v>0</v>
      </c>
      <c r="N187" s="474">
        <f t="shared" si="116"/>
        <v>0</v>
      </c>
      <c r="O187" s="474">
        <f t="shared" si="116"/>
        <v>0</v>
      </c>
      <c r="P187" s="474">
        <f t="shared" si="116"/>
        <v>0</v>
      </c>
      <c r="Q187" s="474">
        <f t="shared" si="116"/>
        <v>0</v>
      </c>
      <c r="R187" s="474">
        <f t="shared" si="116"/>
        <v>0</v>
      </c>
      <c r="S187" s="474">
        <f t="shared" si="116"/>
        <v>0</v>
      </c>
      <c r="T187" s="474">
        <f t="shared" si="116"/>
        <v>0</v>
      </c>
      <c r="U187" s="474">
        <f t="shared" si="116"/>
        <v>0</v>
      </c>
      <c r="V187" s="474">
        <f t="shared" si="116"/>
        <v>0</v>
      </c>
      <c r="W187" s="474">
        <f t="shared" si="116"/>
        <v>0</v>
      </c>
      <c r="X187" s="474">
        <f t="shared" si="116"/>
        <v>0</v>
      </c>
      <c r="Y187" s="474">
        <f t="shared" si="116"/>
        <v>0</v>
      </c>
      <c r="Z187" s="474">
        <f t="shared" si="116"/>
        <v>0</v>
      </c>
      <c r="AA187" s="474">
        <f t="shared" si="116"/>
        <v>0</v>
      </c>
      <c r="AB187" s="474">
        <f t="shared" si="116"/>
        <v>0</v>
      </c>
      <c r="AC187" s="474">
        <f t="shared" si="116"/>
        <v>0</v>
      </c>
      <c r="AD187" s="474">
        <f t="shared" si="116"/>
        <v>0</v>
      </c>
      <c r="AE187" s="474">
        <f t="shared" si="116"/>
        <v>0</v>
      </c>
      <c r="AF187" s="474">
        <f t="shared" si="116"/>
        <v>0</v>
      </c>
      <c r="AG187" s="474">
        <f t="shared" si="116"/>
        <v>0</v>
      </c>
      <c r="AH187" s="474">
        <f t="shared" si="116"/>
        <v>0</v>
      </c>
      <c r="AI187" s="474">
        <f t="shared" si="116"/>
        <v>0</v>
      </c>
      <c r="AJ187" s="474">
        <f t="shared" si="116"/>
        <v>0</v>
      </c>
      <c r="AK187" s="474">
        <f t="shared" si="116"/>
        <v>0</v>
      </c>
      <c r="AL187" s="474">
        <f t="shared" si="116"/>
        <v>0</v>
      </c>
      <c r="AM187" s="474">
        <f t="shared" si="116"/>
        <v>0</v>
      </c>
      <c r="AN187" s="474">
        <f t="shared" si="116"/>
        <v>0</v>
      </c>
      <c r="AO187" s="474">
        <f t="shared" si="116"/>
        <v>0</v>
      </c>
      <c r="AP187" s="474">
        <f t="shared" si="116"/>
        <v>0</v>
      </c>
      <c r="AQ187" s="474">
        <f t="shared" si="116"/>
        <v>0</v>
      </c>
      <c r="AR187" s="474">
        <f t="shared" si="116"/>
        <v>0</v>
      </c>
      <c r="AS187" s="474">
        <f t="shared" si="116"/>
        <v>0</v>
      </c>
      <c r="AT187" s="474">
        <f t="shared" si="116"/>
        <v>0</v>
      </c>
      <c r="AU187" s="474">
        <f t="shared" si="116"/>
        <v>0</v>
      </c>
      <c r="AV187" s="474">
        <f t="shared" si="116"/>
        <v>0</v>
      </c>
      <c r="AW187" s="474">
        <f t="shared" si="116"/>
        <v>0</v>
      </c>
      <c r="AX187" s="474">
        <f t="shared" si="116"/>
        <v>0</v>
      </c>
      <c r="AY187" s="141"/>
    </row>
    <row r="188" spans="1:52">
      <c r="A188" s="1335">
        <f>$B$42</f>
        <v>0</v>
      </c>
      <c r="B188" s="1335"/>
      <c r="C188" s="1335"/>
      <c r="D188" s="1335"/>
      <c r="E188" s="1335"/>
      <c r="F188" s="467">
        <f>OpeningTemplate!$D$336</f>
        <v>0</v>
      </c>
      <c r="G188" s="467">
        <f>OpeningTemplate!$E$336</f>
        <v>0</v>
      </c>
      <c r="H188" s="467" t="str">
        <f>OpeningTemplate!$E$334</f>
        <v/>
      </c>
      <c r="I188" s="473">
        <f t="shared" si="102"/>
        <v>0</v>
      </c>
      <c r="J188" s="473"/>
      <c r="K188" s="473"/>
      <c r="L188" s="473"/>
      <c r="M188" s="474">
        <f t="shared" ref="M188:AX188" si="117">M223*$I188</f>
        <v>0</v>
      </c>
      <c r="N188" s="474">
        <f t="shared" si="117"/>
        <v>0</v>
      </c>
      <c r="O188" s="474">
        <f t="shared" si="117"/>
        <v>0</v>
      </c>
      <c r="P188" s="474">
        <f t="shared" si="117"/>
        <v>0</v>
      </c>
      <c r="Q188" s="474">
        <f t="shared" si="117"/>
        <v>0</v>
      </c>
      <c r="R188" s="474">
        <f t="shared" si="117"/>
        <v>0</v>
      </c>
      <c r="S188" s="474">
        <f t="shared" si="117"/>
        <v>0</v>
      </c>
      <c r="T188" s="474">
        <f t="shared" si="117"/>
        <v>0</v>
      </c>
      <c r="U188" s="474">
        <f t="shared" si="117"/>
        <v>0</v>
      </c>
      <c r="V188" s="474">
        <f t="shared" si="117"/>
        <v>0</v>
      </c>
      <c r="W188" s="474">
        <f t="shared" si="117"/>
        <v>0</v>
      </c>
      <c r="X188" s="474">
        <f t="shared" si="117"/>
        <v>0</v>
      </c>
      <c r="Y188" s="474">
        <f t="shared" si="117"/>
        <v>0</v>
      </c>
      <c r="Z188" s="474">
        <f t="shared" si="117"/>
        <v>0</v>
      </c>
      <c r="AA188" s="474">
        <f t="shared" si="117"/>
        <v>0</v>
      </c>
      <c r="AB188" s="474">
        <f t="shared" si="117"/>
        <v>0</v>
      </c>
      <c r="AC188" s="474">
        <f t="shared" si="117"/>
        <v>0</v>
      </c>
      <c r="AD188" s="474">
        <f t="shared" si="117"/>
        <v>0</v>
      </c>
      <c r="AE188" s="474">
        <f t="shared" si="117"/>
        <v>0</v>
      </c>
      <c r="AF188" s="474">
        <f t="shared" si="117"/>
        <v>0</v>
      </c>
      <c r="AG188" s="474">
        <f t="shared" si="117"/>
        <v>0</v>
      </c>
      <c r="AH188" s="474">
        <f t="shared" si="117"/>
        <v>0</v>
      </c>
      <c r="AI188" s="474">
        <f t="shared" si="117"/>
        <v>0</v>
      </c>
      <c r="AJ188" s="474">
        <f t="shared" si="117"/>
        <v>0</v>
      </c>
      <c r="AK188" s="474">
        <f t="shared" si="117"/>
        <v>0</v>
      </c>
      <c r="AL188" s="474">
        <f t="shared" si="117"/>
        <v>0</v>
      </c>
      <c r="AM188" s="474">
        <f t="shared" si="117"/>
        <v>0</v>
      </c>
      <c r="AN188" s="474">
        <f t="shared" si="117"/>
        <v>0</v>
      </c>
      <c r="AO188" s="474">
        <f t="shared" si="117"/>
        <v>0</v>
      </c>
      <c r="AP188" s="474">
        <f t="shared" si="117"/>
        <v>0</v>
      </c>
      <c r="AQ188" s="474">
        <f t="shared" si="117"/>
        <v>0</v>
      </c>
      <c r="AR188" s="474">
        <f t="shared" si="117"/>
        <v>0</v>
      </c>
      <c r="AS188" s="474">
        <f t="shared" si="117"/>
        <v>0</v>
      </c>
      <c r="AT188" s="474">
        <f t="shared" si="117"/>
        <v>0</v>
      </c>
      <c r="AU188" s="474">
        <f t="shared" si="117"/>
        <v>0</v>
      </c>
      <c r="AV188" s="474">
        <f t="shared" si="117"/>
        <v>0</v>
      </c>
      <c r="AW188" s="474">
        <f t="shared" si="117"/>
        <v>0</v>
      </c>
      <c r="AX188" s="474">
        <f t="shared" si="117"/>
        <v>0</v>
      </c>
      <c r="AY188" s="141"/>
    </row>
    <row r="189" spans="1:52">
      <c r="A189" s="1336" t="s">
        <v>823</v>
      </c>
      <c r="B189" s="1337"/>
      <c r="C189" s="1337"/>
      <c r="D189" s="1337"/>
      <c r="E189" s="1338"/>
      <c r="F189" s="440"/>
      <c r="G189" s="440"/>
      <c r="H189" s="440"/>
      <c r="I189" s="440"/>
      <c r="J189" s="440"/>
      <c r="K189" s="440"/>
      <c r="L189" s="440"/>
      <c r="M189" s="475">
        <f t="shared" ref="M189:AX189" si="118">SUM(M159:M188)</f>
        <v>0</v>
      </c>
      <c r="N189" s="475">
        <f t="shared" si="118"/>
        <v>0</v>
      </c>
      <c r="O189" s="475">
        <f t="shared" si="118"/>
        <v>0</v>
      </c>
      <c r="P189" s="475">
        <f t="shared" si="118"/>
        <v>0</v>
      </c>
      <c r="Q189" s="475">
        <f t="shared" si="118"/>
        <v>0</v>
      </c>
      <c r="R189" s="475">
        <f t="shared" si="118"/>
        <v>0</v>
      </c>
      <c r="S189" s="475">
        <f t="shared" si="118"/>
        <v>0</v>
      </c>
      <c r="T189" s="475">
        <f t="shared" si="118"/>
        <v>0</v>
      </c>
      <c r="U189" s="475">
        <f t="shared" si="118"/>
        <v>0</v>
      </c>
      <c r="V189" s="475">
        <f t="shared" si="118"/>
        <v>0</v>
      </c>
      <c r="W189" s="475">
        <f t="shared" si="118"/>
        <v>0</v>
      </c>
      <c r="X189" s="475">
        <f t="shared" si="118"/>
        <v>0</v>
      </c>
      <c r="Y189" s="475">
        <f t="shared" si="118"/>
        <v>0</v>
      </c>
      <c r="Z189" s="475">
        <f t="shared" si="118"/>
        <v>0</v>
      </c>
      <c r="AA189" s="475">
        <f t="shared" si="118"/>
        <v>0</v>
      </c>
      <c r="AB189" s="475">
        <f t="shared" si="118"/>
        <v>0</v>
      </c>
      <c r="AC189" s="475">
        <f t="shared" si="118"/>
        <v>0</v>
      </c>
      <c r="AD189" s="475">
        <f t="shared" si="118"/>
        <v>0</v>
      </c>
      <c r="AE189" s="475">
        <f t="shared" si="118"/>
        <v>0</v>
      </c>
      <c r="AF189" s="475">
        <f t="shared" si="118"/>
        <v>0</v>
      </c>
      <c r="AG189" s="475">
        <f t="shared" si="118"/>
        <v>0</v>
      </c>
      <c r="AH189" s="475">
        <f t="shared" si="118"/>
        <v>0</v>
      </c>
      <c r="AI189" s="475">
        <f t="shared" si="118"/>
        <v>0</v>
      </c>
      <c r="AJ189" s="475">
        <f t="shared" si="118"/>
        <v>0</v>
      </c>
      <c r="AK189" s="475">
        <f t="shared" si="118"/>
        <v>0</v>
      </c>
      <c r="AL189" s="475">
        <f t="shared" si="118"/>
        <v>0</v>
      </c>
      <c r="AM189" s="475">
        <f t="shared" si="118"/>
        <v>0</v>
      </c>
      <c r="AN189" s="475">
        <f t="shared" si="118"/>
        <v>0</v>
      </c>
      <c r="AO189" s="475">
        <f t="shared" si="118"/>
        <v>0</v>
      </c>
      <c r="AP189" s="475">
        <f t="shared" si="118"/>
        <v>0</v>
      </c>
      <c r="AQ189" s="475">
        <f t="shared" si="118"/>
        <v>0</v>
      </c>
      <c r="AR189" s="475">
        <f t="shared" si="118"/>
        <v>0</v>
      </c>
      <c r="AS189" s="475">
        <f t="shared" si="118"/>
        <v>0</v>
      </c>
      <c r="AT189" s="475">
        <f t="shared" si="118"/>
        <v>0</v>
      </c>
      <c r="AU189" s="475">
        <f t="shared" si="118"/>
        <v>0</v>
      </c>
      <c r="AV189" s="475">
        <f t="shared" si="118"/>
        <v>0</v>
      </c>
      <c r="AW189" s="475">
        <f t="shared" si="118"/>
        <v>0</v>
      </c>
      <c r="AX189" s="475">
        <f t="shared" si="118"/>
        <v>0</v>
      </c>
      <c r="AY189" s="141"/>
    </row>
    <row r="190" spans="1:52">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c r="AQ190" s="141"/>
      <c r="AR190" s="141"/>
      <c r="AS190" s="141"/>
      <c r="AT190" s="141"/>
      <c r="AU190" s="141"/>
      <c r="AV190" s="141"/>
      <c r="AW190" s="141"/>
      <c r="AX190" s="141"/>
      <c r="AY190" s="141"/>
      <c r="AZ190" s="141"/>
    </row>
    <row r="191" spans="1:52">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141"/>
      <c r="AK191" s="141"/>
      <c r="AL191" s="141"/>
      <c r="AM191" s="141"/>
      <c r="AN191" s="141"/>
      <c r="AO191" s="141"/>
      <c r="AP191" s="141"/>
      <c r="AQ191" s="141"/>
      <c r="AR191" s="141"/>
      <c r="AS191" s="141"/>
      <c r="AT191" s="141"/>
      <c r="AU191" s="141"/>
      <c r="AV191" s="141"/>
      <c r="AW191" s="141"/>
      <c r="AX191" s="141"/>
      <c r="AY191" s="141"/>
      <c r="AZ191" s="141"/>
    </row>
    <row r="192" spans="1:52" ht="15.6">
      <c r="A192" s="1340" t="s">
        <v>824</v>
      </c>
      <c r="B192" s="1340"/>
      <c r="C192" s="1340"/>
      <c r="D192" s="1340"/>
      <c r="E192" s="1340"/>
      <c r="F192" s="141"/>
      <c r="G192" s="141"/>
      <c r="H192" s="141"/>
      <c r="I192" s="141"/>
      <c r="J192" s="141"/>
      <c r="K192" s="141"/>
      <c r="L192" s="141"/>
      <c r="M192" s="141"/>
      <c r="N192" s="141"/>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141"/>
      <c r="AK192" s="141"/>
      <c r="AL192" s="141"/>
      <c r="AM192" s="141"/>
      <c r="AN192" s="141"/>
      <c r="AO192" s="141"/>
      <c r="AP192" s="141"/>
      <c r="AQ192" s="141"/>
      <c r="AR192" s="141"/>
      <c r="AS192" s="141"/>
      <c r="AT192" s="141"/>
      <c r="AU192" s="141"/>
      <c r="AV192" s="141"/>
      <c r="AW192" s="141"/>
      <c r="AX192" s="141"/>
      <c r="AY192" s="141"/>
      <c r="AZ192" s="141"/>
    </row>
    <row r="193" spans="1:51">
      <c r="A193" s="1339" t="s">
        <v>825</v>
      </c>
      <c r="B193" s="1339"/>
      <c r="C193" s="1339"/>
      <c r="D193" s="1339"/>
      <c r="E193" s="1339"/>
      <c r="F193" s="441" t="s">
        <v>826</v>
      </c>
      <c r="G193" s="441" t="s">
        <v>827</v>
      </c>
      <c r="H193" s="472" t="s">
        <v>828</v>
      </c>
      <c r="I193" s="472"/>
      <c r="J193" s="472"/>
      <c r="K193" s="472"/>
      <c r="L193" s="472"/>
      <c r="M193" s="466">
        <f t="array" ref="M193:AX193">MDReportingDates</f>
        <v>41774</v>
      </c>
      <c r="N193" s="466">
        <v>41788</v>
      </c>
      <c r="O193" s="466">
        <v>41802</v>
      </c>
      <c r="P193" s="466">
        <v>41816</v>
      </c>
      <c r="Q193" s="466">
        <v>41830</v>
      </c>
      <c r="R193" s="466">
        <v>41844</v>
      </c>
      <c r="S193" s="466">
        <v>41858</v>
      </c>
      <c r="T193" s="466">
        <v>41872</v>
      </c>
      <c r="U193" s="466">
        <v>41886</v>
      </c>
      <c r="V193" s="466">
        <v>41900</v>
      </c>
      <c r="W193" s="466">
        <v>41914</v>
      </c>
      <c r="X193" s="466">
        <v>41928</v>
      </c>
      <c r="Y193" s="466">
        <v>41942</v>
      </c>
      <c r="Z193" s="466">
        <v>41956</v>
      </c>
      <c r="AA193" s="466">
        <v>41970</v>
      </c>
      <c r="AB193" s="466">
        <v>41984</v>
      </c>
      <c r="AC193" s="466">
        <v>41998</v>
      </c>
      <c r="AD193" s="466">
        <v>42012</v>
      </c>
      <c r="AE193" s="466">
        <v>42026</v>
      </c>
      <c r="AF193" s="466">
        <v>42040</v>
      </c>
      <c r="AG193" s="466">
        <v>42054</v>
      </c>
      <c r="AH193" s="466">
        <v>42068</v>
      </c>
      <c r="AI193" s="466">
        <v>42082</v>
      </c>
      <c r="AJ193" s="466">
        <v>42096</v>
      </c>
      <c r="AK193" s="466">
        <v>42110</v>
      </c>
      <c r="AL193" s="466">
        <v>42124</v>
      </c>
      <c r="AM193" s="466">
        <v>42138</v>
      </c>
      <c r="AN193" s="466">
        <v>42152</v>
      </c>
      <c r="AO193" s="466">
        <v>42166</v>
      </c>
      <c r="AP193" s="466">
        <v>42180</v>
      </c>
      <c r="AQ193" s="466">
        <v>42194</v>
      </c>
      <c r="AR193" s="466">
        <v>42208</v>
      </c>
      <c r="AS193" s="466">
        <v>42222</v>
      </c>
      <c r="AT193" s="466">
        <v>42236</v>
      </c>
      <c r="AU193" s="466">
        <v>42250</v>
      </c>
      <c r="AV193" s="466">
        <v>42264</v>
      </c>
      <c r="AW193" s="466">
        <v>42278</v>
      </c>
      <c r="AX193" s="466">
        <v>42292</v>
      </c>
      <c r="AY193" s="141"/>
    </row>
    <row r="194" spans="1:51">
      <c r="A194" s="1335" t="str">
        <f>A159</f>
        <v>GEFI Migration</v>
      </c>
      <c r="B194" s="1335"/>
      <c r="C194" s="1335"/>
      <c r="D194" s="1335"/>
      <c r="E194" s="1335"/>
      <c r="F194" s="467">
        <f t="shared" ref="F194:H223" si="119">F159</f>
        <v>0</v>
      </c>
      <c r="G194" s="467">
        <f t="shared" si="119"/>
        <v>0</v>
      </c>
      <c r="H194" s="467" t="str">
        <f t="shared" si="119"/>
        <v>fix</v>
      </c>
      <c r="I194" s="467"/>
      <c r="J194" s="467"/>
      <c r="K194" s="467"/>
      <c r="L194" s="467"/>
      <c r="M194" s="474">
        <f t="shared" ref="M194:M223" si="120">IF($H194=TMDAllocationTandM,1,IF($H123&gt;0,M123/$H123,0))</f>
        <v>0</v>
      </c>
      <c r="N194" s="474">
        <f t="shared" ref="N194:AX194" si="121">IF($H194=TMDAllocationTandM,1,IF($H123&gt;0,N123/$H123+M194,0))</f>
        <v>0</v>
      </c>
      <c r="O194" s="474">
        <f t="shared" si="121"/>
        <v>0</v>
      </c>
      <c r="P194" s="474">
        <f t="shared" si="121"/>
        <v>0</v>
      </c>
      <c r="Q194" s="474">
        <f t="shared" si="121"/>
        <v>0</v>
      </c>
      <c r="R194" s="474">
        <f t="shared" si="121"/>
        <v>0</v>
      </c>
      <c r="S194" s="474">
        <f t="shared" si="121"/>
        <v>0</v>
      </c>
      <c r="T194" s="474">
        <f t="shared" si="121"/>
        <v>0</v>
      </c>
      <c r="U194" s="474">
        <f t="shared" si="121"/>
        <v>0</v>
      </c>
      <c r="V194" s="474">
        <f t="shared" si="121"/>
        <v>0</v>
      </c>
      <c r="W194" s="474">
        <f t="shared" si="121"/>
        <v>0</v>
      </c>
      <c r="X194" s="474">
        <f t="shared" si="121"/>
        <v>0</v>
      </c>
      <c r="Y194" s="474">
        <f t="shared" si="121"/>
        <v>0</v>
      </c>
      <c r="Z194" s="474">
        <f t="shared" si="121"/>
        <v>0</v>
      </c>
      <c r="AA194" s="474">
        <f t="shared" si="121"/>
        <v>0</v>
      </c>
      <c r="AB194" s="474">
        <f t="shared" si="121"/>
        <v>0</v>
      </c>
      <c r="AC194" s="474">
        <f t="shared" si="121"/>
        <v>0</v>
      </c>
      <c r="AD194" s="474">
        <f t="shared" si="121"/>
        <v>0</v>
      </c>
      <c r="AE194" s="474">
        <f t="shared" si="121"/>
        <v>0</v>
      </c>
      <c r="AF194" s="474">
        <f t="shared" si="121"/>
        <v>0</v>
      </c>
      <c r="AG194" s="474">
        <f t="shared" si="121"/>
        <v>0</v>
      </c>
      <c r="AH194" s="474">
        <f t="shared" si="121"/>
        <v>0</v>
      </c>
      <c r="AI194" s="474">
        <f t="shared" si="121"/>
        <v>0</v>
      </c>
      <c r="AJ194" s="474">
        <f t="shared" si="121"/>
        <v>0</v>
      </c>
      <c r="AK194" s="474">
        <f t="shared" si="121"/>
        <v>0</v>
      </c>
      <c r="AL194" s="474">
        <f t="shared" si="121"/>
        <v>0</v>
      </c>
      <c r="AM194" s="474">
        <f t="shared" si="121"/>
        <v>0</v>
      </c>
      <c r="AN194" s="474">
        <f t="shared" si="121"/>
        <v>0</v>
      </c>
      <c r="AO194" s="474">
        <f t="shared" si="121"/>
        <v>0</v>
      </c>
      <c r="AP194" s="474">
        <f t="shared" si="121"/>
        <v>0</v>
      </c>
      <c r="AQ194" s="474">
        <f t="shared" si="121"/>
        <v>0</v>
      </c>
      <c r="AR194" s="474">
        <f t="shared" si="121"/>
        <v>0</v>
      </c>
      <c r="AS194" s="474">
        <f t="shared" si="121"/>
        <v>0</v>
      </c>
      <c r="AT194" s="474">
        <f t="shared" si="121"/>
        <v>0</v>
      </c>
      <c r="AU194" s="474">
        <f t="shared" si="121"/>
        <v>0</v>
      </c>
      <c r="AV194" s="474">
        <f t="shared" si="121"/>
        <v>0</v>
      </c>
      <c r="AW194" s="474">
        <f t="shared" si="121"/>
        <v>0</v>
      </c>
      <c r="AX194" s="474">
        <f t="shared" si="121"/>
        <v>0</v>
      </c>
      <c r="AY194" s="141"/>
    </row>
    <row r="195" spans="1:51">
      <c r="A195" s="1335">
        <f t="shared" ref="A195:A223" si="122">A160</f>
        <v>0</v>
      </c>
      <c r="B195" s="1335"/>
      <c r="C195" s="1335"/>
      <c r="D195" s="1335"/>
      <c r="E195" s="1335"/>
      <c r="F195" s="467">
        <f t="shared" si="119"/>
        <v>0</v>
      </c>
      <c r="G195" s="467">
        <f t="shared" si="119"/>
        <v>0</v>
      </c>
      <c r="H195" s="467" t="str">
        <f t="shared" si="119"/>
        <v/>
      </c>
      <c r="I195" s="467"/>
      <c r="J195" s="467"/>
      <c r="K195" s="467"/>
      <c r="L195" s="467"/>
      <c r="M195" s="474">
        <f t="shared" si="120"/>
        <v>0</v>
      </c>
      <c r="N195" s="474">
        <f t="shared" ref="N195:AX195" si="123">IF($H195=TMDAllocationTandM,1,IF($H124&gt;0,N124/$H124+M195,0))</f>
        <v>0</v>
      </c>
      <c r="O195" s="474">
        <f t="shared" si="123"/>
        <v>0</v>
      </c>
      <c r="P195" s="474">
        <f t="shared" si="123"/>
        <v>0</v>
      </c>
      <c r="Q195" s="474">
        <f t="shared" si="123"/>
        <v>0</v>
      </c>
      <c r="R195" s="474">
        <f t="shared" si="123"/>
        <v>0</v>
      </c>
      <c r="S195" s="474">
        <f t="shared" si="123"/>
        <v>0</v>
      </c>
      <c r="T195" s="474">
        <f t="shared" si="123"/>
        <v>0</v>
      </c>
      <c r="U195" s="474">
        <f t="shared" si="123"/>
        <v>0</v>
      </c>
      <c r="V195" s="474">
        <f t="shared" si="123"/>
        <v>0</v>
      </c>
      <c r="W195" s="474">
        <f t="shared" si="123"/>
        <v>0</v>
      </c>
      <c r="X195" s="474">
        <f t="shared" si="123"/>
        <v>0</v>
      </c>
      <c r="Y195" s="474">
        <f t="shared" si="123"/>
        <v>0</v>
      </c>
      <c r="Z195" s="474">
        <f t="shared" si="123"/>
        <v>0</v>
      </c>
      <c r="AA195" s="474">
        <f t="shared" si="123"/>
        <v>0</v>
      </c>
      <c r="AB195" s="474">
        <f t="shared" si="123"/>
        <v>0</v>
      </c>
      <c r="AC195" s="474">
        <f t="shared" si="123"/>
        <v>0</v>
      </c>
      <c r="AD195" s="474">
        <f t="shared" si="123"/>
        <v>0</v>
      </c>
      <c r="AE195" s="474">
        <f t="shared" si="123"/>
        <v>0</v>
      </c>
      <c r="AF195" s="474">
        <f t="shared" si="123"/>
        <v>0</v>
      </c>
      <c r="AG195" s="474">
        <f t="shared" si="123"/>
        <v>0</v>
      </c>
      <c r="AH195" s="474">
        <f t="shared" si="123"/>
        <v>0</v>
      </c>
      <c r="AI195" s="474">
        <f t="shared" si="123"/>
        <v>0</v>
      </c>
      <c r="AJ195" s="474">
        <f t="shared" si="123"/>
        <v>0</v>
      </c>
      <c r="AK195" s="474">
        <f t="shared" si="123"/>
        <v>0</v>
      </c>
      <c r="AL195" s="474">
        <f t="shared" si="123"/>
        <v>0</v>
      </c>
      <c r="AM195" s="474">
        <f t="shared" si="123"/>
        <v>0</v>
      </c>
      <c r="AN195" s="474">
        <f t="shared" si="123"/>
        <v>0</v>
      </c>
      <c r="AO195" s="474">
        <f t="shared" si="123"/>
        <v>0</v>
      </c>
      <c r="AP195" s="474">
        <f t="shared" si="123"/>
        <v>0</v>
      </c>
      <c r="AQ195" s="474">
        <f t="shared" si="123"/>
        <v>0</v>
      </c>
      <c r="AR195" s="474">
        <f t="shared" si="123"/>
        <v>0</v>
      </c>
      <c r="AS195" s="474">
        <f t="shared" si="123"/>
        <v>0</v>
      </c>
      <c r="AT195" s="474">
        <f t="shared" si="123"/>
        <v>0</v>
      </c>
      <c r="AU195" s="474">
        <f t="shared" si="123"/>
        <v>0</v>
      </c>
      <c r="AV195" s="474">
        <f t="shared" si="123"/>
        <v>0</v>
      </c>
      <c r="AW195" s="474">
        <f t="shared" si="123"/>
        <v>0</v>
      </c>
      <c r="AX195" s="474">
        <f t="shared" si="123"/>
        <v>0</v>
      </c>
      <c r="AY195" s="141"/>
    </row>
    <row r="196" spans="1:51">
      <c r="A196" s="1335">
        <f t="shared" si="122"/>
        <v>0</v>
      </c>
      <c r="B196" s="1335"/>
      <c r="C196" s="1335"/>
      <c r="D196" s="1335"/>
      <c r="E196" s="1335"/>
      <c r="F196" s="467">
        <f t="shared" si="119"/>
        <v>0</v>
      </c>
      <c r="G196" s="467">
        <f t="shared" si="119"/>
        <v>0</v>
      </c>
      <c r="H196" s="467" t="str">
        <f t="shared" si="119"/>
        <v/>
      </c>
      <c r="I196" s="467"/>
      <c r="J196" s="467"/>
      <c r="K196" s="467"/>
      <c r="L196" s="467"/>
      <c r="M196" s="474">
        <f t="shared" si="120"/>
        <v>0</v>
      </c>
      <c r="N196" s="474">
        <f t="shared" ref="N196:AX196" si="124">IF($H196=TMDAllocationTandM,1,IF($H125&gt;0,N125/$H125+M196,0))</f>
        <v>0</v>
      </c>
      <c r="O196" s="474">
        <f t="shared" si="124"/>
        <v>0</v>
      </c>
      <c r="P196" s="474">
        <f t="shared" si="124"/>
        <v>0</v>
      </c>
      <c r="Q196" s="474">
        <f t="shared" si="124"/>
        <v>0</v>
      </c>
      <c r="R196" s="474">
        <f t="shared" si="124"/>
        <v>0</v>
      </c>
      <c r="S196" s="474">
        <f t="shared" si="124"/>
        <v>0</v>
      </c>
      <c r="T196" s="474">
        <f t="shared" si="124"/>
        <v>0</v>
      </c>
      <c r="U196" s="474">
        <f t="shared" si="124"/>
        <v>0</v>
      </c>
      <c r="V196" s="474">
        <f t="shared" si="124"/>
        <v>0</v>
      </c>
      <c r="W196" s="474">
        <f t="shared" si="124"/>
        <v>0</v>
      </c>
      <c r="X196" s="474">
        <f t="shared" si="124"/>
        <v>0</v>
      </c>
      <c r="Y196" s="474">
        <f t="shared" si="124"/>
        <v>0</v>
      </c>
      <c r="Z196" s="474">
        <f t="shared" si="124"/>
        <v>0</v>
      </c>
      <c r="AA196" s="474">
        <f t="shared" si="124"/>
        <v>0</v>
      </c>
      <c r="AB196" s="474">
        <f t="shared" si="124"/>
        <v>0</v>
      </c>
      <c r="AC196" s="474">
        <f t="shared" si="124"/>
        <v>0</v>
      </c>
      <c r="AD196" s="474">
        <f t="shared" si="124"/>
        <v>0</v>
      </c>
      <c r="AE196" s="474">
        <f t="shared" si="124"/>
        <v>0</v>
      </c>
      <c r="AF196" s="474">
        <f t="shared" si="124"/>
        <v>0</v>
      </c>
      <c r="AG196" s="474">
        <f t="shared" si="124"/>
        <v>0</v>
      </c>
      <c r="AH196" s="474">
        <f t="shared" si="124"/>
        <v>0</v>
      </c>
      <c r="AI196" s="474">
        <f t="shared" si="124"/>
        <v>0</v>
      </c>
      <c r="AJ196" s="474">
        <f t="shared" si="124"/>
        <v>0</v>
      </c>
      <c r="AK196" s="474">
        <f t="shared" si="124"/>
        <v>0</v>
      </c>
      <c r="AL196" s="474">
        <f t="shared" si="124"/>
        <v>0</v>
      </c>
      <c r="AM196" s="474">
        <f t="shared" si="124"/>
        <v>0</v>
      </c>
      <c r="AN196" s="474">
        <f t="shared" si="124"/>
        <v>0</v>
      </c>
      <c r="AO196" s="474">
        <f t="shared" si="124"/>
        <v>0</v>
      </c>
      <c r="AP196" s="474">
        <f t="shared" si="124"/>
        <v>0</v>
      </c>
      <c r="AQ196" s="474">
        <f t="shared" si="124"/>
        <v>0</v>
      </c>
      <c r="AR196" s="474">
        <f t="shared" si="124"/>
        <v>0</v>
      </c>
      <c r="AS196" s="474">
        <f t="shared" si="124"/>
        <v>0</v>
      </c>
      <c r="AT196" s="474">
        <f t="shared" si="124"/>
        <v>0</v>
      </c>
      <c r="AU196" s="474">
        <f t="shared" si="124"/>
        <v>0</v>
      </c>
      <c r="AV196" s="474">
        <f t="shared" si="124"/>
        <v>0</v>
      </c>
      <c r="AW196" s="474">
        <f t="shared" si="124"/>
        <v>0</v>
      </c>
      <c r="AX196" s="474">
        <f t="shared" si="124"/>
        <v>0</v>
      </c>
      <c r="AY196" s="141"/>
    </row>
    <row r="197" spans="1:51">
      <c r="A197" s="1335">
        <f t="shared" si="122"/>
        <v>0</v>
      </c>
      <c r="B197" s="1335"/>
      <c r="C197" s="1335"/>
      <c r="D197" s="1335"/>
      <c r="E197" s="1335"/>
      <c r="F197" s="467">
        <f t="shared" si="119"/>
        <v>0</v>
      </c>
      <c r="G197" s="467">
        <f t="shared" si="119"/>
        <v>0</v>
      </c>
      <c r="H197" s="467" t="str">
        <f t="shared" si="119"/>
        <v/>
      </c>
      <c r="I197" s="467"/>
      <c r="J197" s="467"/>
      <c r="K197" s="467"/>
      <c r="L197" s="467"/>
      <c r="M197" s="474">
        <f t="shared" si="120"/>
        <v>0</v>
      </c>
      <c r="N197" s="474">
        <f t="shared" ref="N197:AX197" si="125">IF($H197=TMDAllocationTandM,1,IF($H126&gt;0,N126/$H126+M197,0))</f>
        <v>0</v>
      </c>
      <c r="O197" s="474">
        <f t="shared" si="125"/>
        <v>0</v>
      </c>
      <c r="P197" s="474">
        <f t="shared" si="125"/>
        <v>0</v>
      </c>
      <c r="Q197" s="474">
        <f t="shared" si="125"/>
        <v>0</v>
      </c>
      <c r="R197" s="474">
        <f t="shared" si="125"/>
        <v>0</v>
      </c>
      <c r="S197" s="474">
        <f t="shared" si="125"/>
        <v>0</v>
      </c>
      <c r="T197" s="474">
        <f t="shared" si="125"/>
        <v>0</v>
      </c>
      <c r="U197" s="474">
        <f t="shared" si="125"/>
        <v>0</v>
      </c>
      <c r="V197" s="474">
        <f t="shared" si="125"/>
        <v>0</v>
      </c>
      <c r="W197" s="474">
        <f t="shared" si="125"/>
        <v>0</v>
      </c>
      <c r="X197" s="474">
        <f t="shared" si="125"/>
        <v>0</v>
      </c>
      <c r="Y197" s="474">
        <f t="shared" si="125"/>
        <v>0</v>
      </c>
      <c r="Z197" s="474">
        <f t="shared" si="125"/>
        <v>0</v>
      </c>
      <c r="AA197" s="474">
        <f t="shared" si="125"/>
        <v>0</v>
      </c>
      <c r="AB197" s="474">
        <f t="shared" si="125"/>
        <v>0</v>
      </c>
      <c r="AC197" s="474">
        <f t="shared" si="125"/>
        <v>0</v>
      </c>
      <c r="AD197" s="474">
        <f t="shared" si="125"/>
        <v>0</v>
      </c>
      <c r="AE197" s="474">
        <f t="shared" si="125"/>
        <v>0</v>
      </c>
      <c r="AF197" s="474">
        <f t="shared" si="125"/>
        <v>0</v>
      </c>
      <c r="AG197" s="474">
        <f t="shared" si="125"/>
        <v>0</v>
      </c>
      <c r="AH197" s="474">
        <f t="shared" si="125"/>
        <v>0</v>
      </c>
      <c r="AI197" s="474">
        <f t="shared" si="125"/>
        <v>0</v>
      </c>
      <c r="AJ197" s="474">
        <f t="shared" si="125"/>
        <v>0</v>
      </c>
      <c r="AK197" s="474">
        <f t="shared" si="125"/>
        <v>0</v>
      </c>
      <c r="AL197" s="474">
        <f t="shared" si="125"/>
        <v>0</v>
      </c>
      <c r="AM197" s="474">
        <f t="shared" si="125"/>
        <v>0</v>
      </c>
      <c r="AN197" s="474">
        <f t="shared" si="125"/>
        <v>0</v>
      </c>
      <c r="AO197" s="474">
        <f t="shared" si="125"/>
        <v>0</v>
      </c>
      <c r="AP197" s="474">
        <f t="shared" si="125"/>
        <v>0</v>
      </c>
      <c r="AQ197" s="474">
        <f t="shared" si="125"/>
        <v>0</v>
      </c>
      <c r="AR197" s="474">
        <f t="shared" si="125"/>
        <v>0</v>
      </c>
      <c r="AS197" s="474">
        <f t="shared" si="125"/>
        <v>0</v>
      </c>
      <c r="AT197" s="474">
        <f t="shared" si="125"/>
        <v>0</v>
      </c>
      <c r="AU197" s="474">
        <f t="shared" si="125"/>
        <v>0</v>
      </c>
      <c r="AV197" s="474">
        <f t="shared" si="125"/>
        <v>0</v>
      </c>
      <c r="AW197" s="474">
        <f t="shared" si="125"/>
        <v>0</v>
      </c>
      <c r="AX197" s="474">
        <f t="shared" si="125"/>
        <v>0</v>
      </c>
      <c r="AY197" s="141"/>
    </row>
    <row r="198" spans="1:51">
      <c r="A198" s="1335">
        <f t="shared" si="122"/>
        <v>0</v>
      </c>
      <c r="B198" s="1335"/>
      <c r="C198" s="1335"/>
      <c r="D198" s="1335"/>
      <c r="E198" s="1335"/>
      <c r="F198" s="467">
        <f t="shared" si="119"/>
        <v>0</v>
      </c>
      <c r="G198" s="467">
        <f t="shared" si="119"/>
        <v>0</v>
      </c>
      <c r="H198" s="467" t="str">
        <f t="shared" si="119"/>
        <v/>
      </c>
      <c r="I198" s="467"/>
      <c r="J198" s="467"/>
      <c r="K198" s="467"/>
      <c r="L198" s="467"/>
      <c r="M198" s="474">
        <f t="shared" si="120"/>
        <v>0</v>
      </c>
      <c r="N198" s="474">
        <f t="shared" ref="N198:AX198" si="126">IF($H198=TMDAllocationTandM,1,IF($H127&gt;0,N127/$H127+M198,0))</f>
        <v>0</v>
      </c>
      <c r="O198" s="474">
        <f t="shared" si="126"/>
        <v>0</v>
      </c>
      <c r="P198" s="474">
        <f t="shared" si="126"/>
        <v>0</v>
      </c>
      <c r="Q198" s="474">
        <f t="shared" si="126"/>
        <v>0</v>
      </c>
      <c r="R198" s="474">
        <f t="shared" si="126"/>
        <v>0</v>
      </c>
      <c r="S198" s="474">
        <f t="shared" si="126"/>
        <v>0</v>
      </c>
      <c r="T198" s="474">
        <f t="shared" si="126"/>
        <v>0</v>
      </c>
      <c r="U198" s="474">
        <f t="shared" si="126"/>
        <v>0</v>
      </c>
      <c r="V198" s="474">
        <f t="shared" si="126"/>
        <v>0</v>
      </c>
      <c r="W198" s="474">
        <f t="shared" si="126"/>
        <v>0</v>
      </c>
      <c r="X198" s="474">
        <f t="shared" si="126"/>
        <v>0</v>
      </c>
      <c r="Y198" s="474">
        <f t="shared" si="126"/>
        <v>0</v>
      </c>
      <c r="Z198" s="474">
        <f t="shared" si="126"/>
        <v>0</v>
      </c>
      <c r="AA198" s="474">
        <f t="shared" si="126"/>
        <v>0</v>
      </c>
      <c r="AB198" s="474">
        <f t="shared" si="126"/>
        <v>0</v>
      </c>
      <c r="AC198" s="474">
        <f t="shared" si="126"/>
        <v>0</v>
      </c>
      <c r="AD198" s="474">
        <f t="shared" si="126"/>
        <v>0</v>
      </c>
      <c r="AE198" s="474">
        <f t="shared" si="126"/>
        <v>0</v>
      </c>
      <c r="AF198" s="474">
        <f t="shared" si="126"/>
        <v>0</v>
      </c>
      <c r="AG198" s="474">
        <f t="shared" si="126"/>
        <v>0</v>
      </c>
      <c r="AH198" s="474">
        <f t="shared" si="126"/>
        <v>0</v>
      </c>
      <c r="AI198" s="474">
        <f t="shared" si="126"/>
        <v>0</v>
      </c>
      <c r="AJ198" s="474">
        <f t="shared" si="126"/>
        <v>0</v>
      </c>
      <c r="AK198" s="474">
        <f t="shared" si="126"/>
        <v>0</v>
      </c>
      <c r="AL198" s="474">
        <f t="shared" si="126"/>
        <v>0</v>
      </c>
      <c r="AM198" s="474">
        <f t="shared" si="126"/>
        <v>0</v>
      </c>
      <c r="AN198" s="474">
        <f t="shared" si="126"/>
        <v>0</v>
      </c>
      <c r="AO198" s="474">
        <f t="shared" si="126"/>
        <v>0</v>
      </c>
      <c r="AP198" s="474">
        <f t="shared" si="126"/>
        <v>0</v>
      </c>
      <c r="AQ198" s="474">
        <f t="shared" si="126"/>
        <v>0</v>
      </c>
      <c r="AR198" s="474">
        <f t="shared" si="126"/>
        <v>0</v>
      </c>
      <c r="AS198" s="474">
        <f t="shared" si="126"/>
        <v>0</v>
      </c>
      <c r="AT198" s="474">
        <f t="shared" si="126"/>
        <v>0</v>
      </c>
      <c r="AU198" s="474">
        <f t="shared" si="126"/>
        <v>0</v>
      </c>
      <c r="AV198" s="474">
        <f t="shared" si="126"/>
        <v>0</v>
      </c>
      <c r="AW198" s="474">
        <f t="shared" si="126"/>
        <v>0</v>
      </c>
      <c r="AX198" s="474">
        <f t="shared" si="126"/>
        <v>0</v>
      </c>
      <c r="AY198" s="141"/>
    </row>
    <row r="199" spans="1:51">
      <c r="A199" s="1335">
        <f t="shared" si="122"/>
        <v>0</v>
      </c>
      <c r="B199" s="1335"/>
      <c r="C199" s="1335"/>
      <c r="D199" s="1335"/>
      <c r="E199" s="1335"/>
      <c r="F199" s="467">
        <f t="shared" si="119"/>
        <v>0</v>
      </c>
      <c r="G199" s="467">
        <f t="shared" si="119"/>
        <v>0</v>
      </c>
      <c r="H199" s="467" t="str">
        <f t="shared" si="119"/>
        <v/>
      </c>
      <c r="I199" s="467"/>
      <c r="J199" s="467"/>
      <c r="K199" s="467"/>
      <c r="L199" s="467"/>
      <c r="M199" s="474">
        <f t="shared" si="120"/>
        <v>0</v>
      </c>
      <c r="N199" s="474">
        <f t="shared" ref="N199:AX199" si="127">IF($H199=TMDAllocationTandM,1,IF($H128&gt;0,N128/$H128+M199,0))</f>
        <v>0</v>
      </c>
      <c r="O199" s="474">
        <f t="shared" si="127"/>
        <v>0</v>
      </c>
      <c r="P199" s="474">
        <f t="shared" si="127"/>
        <v>0</v>
      </c>
      <c r="Q199" s="474">
        <f t="shared" si="127"/>
        <v>0</v>
      </c>
      <c r="R199" s="474">
        <f t="shared" si="127"/>
        <v>0</v>
      </c>
      <c r="S199" s="474">
        <f t="shared" si="127"/>
        <v>0</v>
      </c>
      <c r="T199" s="474">
        <f t="shared" si="127"/>
        <v>0</v>
      </c>
      <c r="U199" s="474">
        <f t="shared" si="127"/>
        <v>0</v>
      </c>
      <c r="V199" s="474">
        <f t="shared" si="127"/>
        <v>0</v>
      </c>
      <c r="W199" s="474">
        <f t="shared" si="127"/>
        <v>0</v>
      </c>
      <c r="X199" s="474">
        <f t="shared" si="127"/>
        <v>0</v>
      </c>
      <c r="Y199" s="474">
        <f t="shared" si="127"/>
        <v>0</v>
      </c>
      <c r="Z199" s="474">
        <f t="shared" si="127"/>
        <v>0</v>
      </c>
      <c r="AA199" s="474">
        <f t="shared" si="127"/>
        <v>0</v>
      </c>
      <c r="AB199" s="474">
        <f t="shared" si="127"/>
        <v>0</v>
      </c>
      <c r="AC199" s="474">
        <f t="shared" si="127"/>
        <v>0</v>
      </c>
      <c r="AD199" s="474">
        <f t="shared" si="127"/>
        <v>0</v>
      </c>
      <c r="AE199" s="474">
        <f t="shared" si="127"/>
        <v>0</v>
      </c>
      <c r="AF199" s="474">
        <f t="shared" si="127"/>
        <v>0</v>
      </c>
      <c r="AG199" s="474">
        <f t="shared" si="127"/>
        <v>0</v>
      </c>
      <c r="AH199" s="474">
        <f t="shared" si="127"/>
        <v>0</v>
      </c>
      <c r="AI199" s="474">
        <f t="shared" si="127"/>
        <v>0</v>
      </c>
      <c r="AJ199" s="474">
        <f t="shared" si="127"/>
        <v>0</v>
      </c>
      <c r="AK199" s="474">
        <f t="shared" si="127"/>
        <v>0</v>
      </c>
      <c r="AL199" s="474">
        <f t="shared" si="127"/>
        <v>0</v>
      </c>
      <c r="AM199" s="474">
        <f t="shared" si="127"/>
        <v>0</v>
      </c>
      <c r="AN199" s="474">
        <f t="shared" si="127"/>
        <v>0</v>
      </c>
      <c r="AO199" s="474">
        <f t="shared" si="127"/>
        <v>0</v>
      </c>
      <c r="AP199" s="474">
        <f t="shared" si="127"/>
        <v>0</v>
      </c>
      <c r="AQ199" s="474">
        <f t="shared" si="127"/>
        <v>0</v>
      </c>
      <c r="AR199" s="474">
        <f t="shared" si="127"/>
        <v>0</v>
      </c>
      <c r="AS199" s="474">
        <f t="shared" si="127"/>
        <v>0</v>
      </c>
      <c r="AT199" s="474">
        <f t="shared" si="127"/>
        <v>0</v>
      </c>
      <c r="AU199" s="474">
        <f t="shared" si="127"/>
        <v>0</v>
      </c>
      <c r="AV199" s="474">
        <f t="shared" si="127"/>
        <v>0</v>
      </c>
      <c r="AW199" s="474">
        <f t="shared" si="127"/>
        <v>0</v>
      </c>
      <c r="AX199" s="474">
        <f t="shared" si="127"/>
        <v>0</v>
      </c>
      <c r="AY199" s="141"/>
    </row>
    <row r="200" spans="1:51">
      <c r="A200" s="1335">
        <f t="shared" si="122"/>
        <v>0</v>
      </c>
      <c r="B200" s="1335"/>
      <c r="C200" s="1335"/>
      <c r="D200" s="1335"/>
      <c r="E200" s="1335"/>
      <c r="F200" s="467">
        <f t="shared" si="119"/>
        <v>0</v>
      </c>
      <c r="G200" s="467">
        <f t="shared" si="119"/>
        <v>0</v>
      </c>
      <c r="H200" s="467" t="str">
        <f t="shared" si="119"/>
        <v/>
      </c>
      <c r="I200" s="467"/>
      <c r="J200" s="467"/>
      <c r="K200" s="467"/>
      <c r="L200" s="467"/>
      <c r="M200" s="474">
        <f t="shared" si="120"/>
        <v>0</v>
      </c>
      <c r="N200" s="474">
        <f t="shared" ref="N200:AX200" si="128">IF($H200=TMDAllocationTandM,1,IF($H129&gt;0,N129/$H129+M200,0))</f>
        <v>0</v>
      </c>
      <c r="O200" s="474">
        <f t="shared" si="128"/>
        <v>0</v>
      </c>
      <c r="P200" s="474">
        <f t="shared" si="128"/>
        <v>0</v>
      </c>
      <c r="Q200" s="474">
        <f t="shared" si="128"/>
        <v>0</v>
      </c>
      <c r="R200" s="474">
        <f t="shared" si="128"/>
        <v>0</v>
      </c>
      <c r="S200" s="474">
        <f t="shared" si="128"/>
        <v>0</v>
      </c>
      <c r="T200" s="474">
        <f t="shared" si="128"/>
        <v>0</v>
      </c>
      <c r="U200" s="474">
        <f t="shared" si="128"/>
        <v>0</v>
      </c>
      <c r="V200" s="474">
        <f t="shared" si="128"/>
        <v>0</v>
      </c>
      <c r="W200" s="474">
        <f t="shared" si="128"/>
        <v>0</v>
      </c>
      <c r="X200" s="474">
        <f t="shared" si="128"/>
        <v>0</v>
      </c>
      <c r="Y200" s="474">
        <f t="shared" si="128"/>
        <v>0</v>
      </c>
      <c r="Z200" s="474">
        <f t="shared" si="128"/>
        <v>0</v>
      </c>
      <c r="AA200" s="474">
        <f t="shared" si="128"/>
        <v>0</v>
      </c>
      <c r="AB200" s="474">
        <f t="shared" si="128"/>
        <v>0</v>
      </c>
      <c r="AC200" s="474">
        <f t="shared" si="128"/>
        <v>0</v>
      </c>
      <c r="AD200" s="474">
        <f t="shared" si="128"/>
        <v>0</v>
      </c>
      <c r="AE200" s="474">
        <f t="shared" si="128"/>
        <v>0</v>
      </c>
      <c r="AF200" s="474">
        <f t="shared" si="128"/>
        <v>0</v>
      </c>
      <c r="AG200" s="474">
        <f t="shared" si="128"/>
        <v>0</v>
      </c>
      <c r="AH200" s="474">
        <f t="shared" si="128"/>
        <v>0</v>
      </c>
      <c r="AI200" s="474">
        <f t="shared" si="128"/>
        <v>0</v>
      </c>
      <c r="AJ200" s="474">
        <f t="shared" si="128"/>
        <v>0</v>
      </c>
      <c r="AK200" s="474">
        <f t="shared" si="128"/>
        <v>0</v>
      </c>
      <c r="AL200" s="474">
        <f t="shared" si="128"/>
        <v>0</v>
      </c>
      <c r="AM200" s="474">
        <f t="shared" si="128"/>
        <v>0</v>
      </c>
      <c r="AN200" s="474">
        <f t="shared" si="128"/>
        <v>0</v>
      </c>
      <c r="AO200" s="474">
        <f t="shared" si="128"/>
        <v>0</v>
      </c>
      <c r="AP200" s="474">
        <f t="shared" si="128"/>
        <v>0</v>
      </c>
      <c r="AQ200" s="474">
        <f t="shared" si="128"/>
        <v>0</v>
      </c>
      <c r="AR200" s="474">
        <f t="shared" si="128"/>
        <v>0</v>
      </c>
      <c r="AS200" s="474">
        <f t="shared" si="128"/>
        <v>0</v>
      </c>
      <c r="AT200" s="474">
        <f t="shared" si="128"/>
        <v>0</v>
      </c>
      <c r="AU200" s="474">
        <f t="shared" si="128"/>
        <v>0</v>
      </c>
      <c r="AV200" s="474">
        <f t="shared" si="128"/>
        <v>0</v>
      </c>
      <c r="AW200" s="474">
        <f t="shared" si="128"/>
        <v>0</v>
      </c>
      <c r="AX200" s="474">
        <f t="shared" si="128"/>
        <v>0</v>
      </c>
      <c r="AY200" s="141"/>
    </row>
    <row r="201" spans="1:51">
      <c r="A201" s="1335">
        <f t="shared" si="122"/>
        <v>0</v>
      </c>
      <c r="B201" s="1335"/>
      <c r="C201" s="1335"/>
      <c r="D201" s="1335"/>
      <c r="E201" s="1335"/>
      <c r="F201" s="467">
        <f t="shared" si="119"/>
        <v>0</v>
      </c>
      <c r="G201" s="467">
        <f t="shared" si="119"/>
        <v>0</v>
      </c>
      <c r="H201" s="467" t="str">
        <f t="shared" si="119"/>
        <v/>
      </c>
      <c r="I201" s="467"/>
      <c r="J201" s="467"/>
      <c r="K201" s="467"/>
      <c r="L201" s="467"/>
      <c r="M201" s="474">
        <f t="shared" si="120"/>
        <v>0</v>
      </c>
      <c r="N201" s="474">
        <f t="shared" ref="N201:AX201" si="129">IF($H201=TMDAllocationTandM,1,IF($H130&gt;0,N130/$H130+M201,0))</f>
        <v>0</v>
      </c>
      <c r="O201" s="474">
        <f t="shared" si="129"/>
        <v>0</v>
      </c>
      <c r="P201" s="474">
        <f t="shared" si="129"/>
        <v>0</v>
      </c>
      <c r="Q201" s="474">
        <f t="shared" si="129"/>
        <v>0</v>
      </c>
      <c r="R201" s="474">
        <f t="shared" si="129"/>
        <v>0</v>
      </c>
      <c r="S201" s="474">
        <f t="shared" si="129"/>
        <v>0</v>
      </c>
      <c r="T201" s="474">
        <f t="shared" si="129"/>
        <v>0</v>
      </c>
      <c r="U201" s="474">
        <f t="shared" si="129"/>
        <v>0</v>
      </c>
      <c r="V201" s="474">
        <f t="shared" si="129"/>
        <v>0</v>
      </c>
      <c r="W201" s="474">
        <f t="shared" si="129"/>
        <v>0</v>
      </c>
      <c r="X201" s="474">
        <f t="shared" si="129"/>
        <v>0</v>
      </c>
      <c r="Y201" s="474">
        <f t="shared" si="129"/>
        <v>0</v>
      </c>
      <c r="Z201" s="474">
        <f t="shared" si="129"/>
        <v>0</v>
      </c>
      <c r="AA201" s="474">
        <f t="shared" si="129"/>
        <v>0</v>
      </c>
      <c r="AB201" s="474">
        <f t="shared" si="129"/>
        <v>0</v>
      </c>
      <c r="AC201" s="474">
        <f t="shared" si="129"/>
        <v>0</v>
      </c>
      <c r="AD201" s="474">
        <f t="shared" si="129"/>
        <v>0</v>
      </c>
      <c r="AE201" s="474">
        <f t="shared" si="129"/>
        <v>0</v>
      </c>
      <c r="AF201" s="474">
        <f t="shared" si="129"/>
        <v>0</v>
      </c>
      <c r="AG201" s="474">
        <f t="shared" si="129"/>
        <v>0</v>
      </c>
      <c r="AH201" s="474">
        <f t="shared" si="129"/>
        <v>0</v>
      </c>
      <c r="AI201" s="474">
        <f t="shared" si="129"/>
        <v>0</v>
      </c>
      <c r="AJ201" s="474">
        <f t="shared" si="129"/>
        <v>0</v>
      </c>
      <c r="AK201" s="474">
        <f t="shared" si="129"/>
        <v>0</v>
      </c>
      <c r="AL201" s="474">
        <f t="shared" si="129"/>
        <v>0</v>
      </c>
      <c r="AM201" s="474">
        <f t="shared" si="129"/>
        <v>0</v>
      </c>
      <c r="AN201" s="474">
        <f t="shared" si="129"/>
        <v>0</v>
      </c>
      <c r="AO201" s="474">
        <f t="shared" si="129"/>
        <v>0</v>
      </c>
      <c r="AP201" s="474">
        <f t="shared" si="129"/>
        <v>0</v>
      </c>
      <c r="AQ201" s="474">
        <f t="shared" si="129"/>
        <v>0</v>
      </c>
      <c r="AR201" s="474">
        <f t="shared" si="129"/>
        <v>0</v>
      </c>
      <c r="AS201" s="474">
        <f t="shared" si="129"/>
        <v>0</v>
      </c>
      <c r="AT201" s="474">
        <f t="shared" si="129"/>
        <v>0</v>
      </c>
      <c r="AU201" s="474">
        <f t="shared" si="129"/>
        <v>0</v>
      </c>
      <c r="AV201" s="474">
        <f t="shared" si="129"/>
        <v>0</v>
      </c>
      <c r="AW201" s="474">
        <f t="shared" si="129"/>
        <v>0</v>
      </c>
      <c r="AX201" s="474">
        <f t="shared" si="129"/>
        <v>0</v>
      </c>
      <c r="AY201" s="141"/>
    </row>
    <row r="202" spans="1:51">
      <c r="A202" s="1335">
        <f t="shared" si="122"/>
        <v>0</v>
      </c>
      <c r="B202" s="1335"/>
      <c r="C202" s="1335"/>
      <c r="D202" s="1335"/>
      <c r="E202" s="1335"/>
      <c r="F202" s="467">
        <f t="shared" si="119"/>
        <v>0</v>
      </c>
      <c r="G202" s="467">
        <f t="shared" si="119"/>
        <v>0</v>
      </c>
      <c r="H202" s="467" t="str">
        <f t="shared" si="119"/>
        <v/>
      </c>
      <c r="I202" s="467"/>
      <c r="J202" s="467"/>
      <c r="K202" s="467"/>
      <c r="L202" s="467"/>
      <c r="M202" s="474">
        <f t="shared" si="120"/>
        <v>0</v>
      </c>
      <c r="N202" s="474">
        <f t="shared" ref="N202:AX202" si="130">IF($H202=TMDAllocationTandM,1,IF($H131&gt;0,N131/$H131+M202,0))</f>
        <v>0</v>
      </c>
      <c r="O202" s="474">
        <f t="shared" si="130"/>
        <v>0</v>
      </c>
      <c r="P202" s="474">
        <f t="shared" si="130"/>
        <v>0</v>
      </c>
      <c r="Q202" s="474">
        <f t="shared" si="130"/>
        <v>0</v>
      </c>
      <c r="R202" s="474">
        <f t="shared" si="130"/>
        <v>0</v>
      </c>
      <c r="S202" s="474">
        <f t="shared" si="130"/>
        <v>0</v>
      </c>
      <c r="T202" s="474">
        <f t="shared" si="130"/>
        <v>0</v>
      </c>
      <c r="U202" s="474">
        <f t="shared" si="130"/>
        <v>0</v>
      </c>
      <c r="V202" s="474">
        <f t="shared" si="130"/>
        <v>0</v>
      </c>
      <c r="W202" s="474">
        <f t="shared" si="130"/>
        <v>0</v>
      </c>
      <c r="X202" s="474">
        <f t="shared" si="130"/>
        <v>0</v>
      </c>
      <c r="Y202" s="474">
        <f t="shared" si="130"/>
        <v>0</v>
      </c>
      <c r="Z202" s="474">
        <f t="shared" si="130"/>
        <v>0</v>
      </c>
      <c r="AA202" s="474">
        <f t="shared" si="130"/>
        <v>0</v>
      </c>
      <c r="AB202" s="474">
        <f t="shared" si="130"/>
        <v>0</v>
      </c>
      <c r="AC202" s="474">
        <f t="shared" si="130"/>
        <v>0</v>
      </c>
      <c r="AD202" s="474">
        <f t="shared" si="130"/>
        <v>0</v>
      </c>
      <c r="AE202" s="474">
        <f t="shared" si="130"/>
        <v>0</v>
      </c>
      <c r="AF202" s="474">
        <f t="shared" si="130"/>
        <v>0</v>
      </c>
      <c r="AG202" s="474">
        <f t="shared" si="130"/>
        <v>0</v>
      </c>
      <c r="AH202" s="474">
        <f t="shared" si="130"/>
        <v>0</v>
      </c>
      <c r="AI202" s="474">
        <f t="shared" si="130"/>
        <v>0</v>
      </c>
      <c r="AJ202" s="474">
        <f t="shared" si="130"/>
        <v>0</v>
      </c>
      <c r="AK202" s="474">
        <f t="shared" si="130"/>
        <v>0</v>
      </c>
      <c r="AL202" s="474">
        <f t="shared" si="130"/>
        <v>0</v>
      </c>
      <c r="AM202" s="474">
        <f t="shared" si="130"/>
        <v>0</v>
      </c>
      <c r="AN202" s="474">
        <f t="shared" si="130"/>
        <v>0</v>
      </c>
      <c r="AO202" s="474">
        <f t="shared" si="130"/>
        <v>0</v>
      </c>
      <c r="AP202" s="474">
        <f t="shared" si="130"/>
        <v>0</v>
      </c>
      <c r="AQ202" s="474">
        <f t="shared" si="130"/>
        <v>0</v>
      </c>
      <c r="AR202" s="474">
        <f t="shared" si="130"/>
        <v>0</v>
      </c>
      <c r="AS202" s="474">
        <f t="shared" si="130"/>
        <v>0</v>
      </c>
      <c r="AT202" s="474">
        <f t="shared" si="130"/>
        <v>0</v>
      </c>
      <c r="AU202" s="474">
        <f t="shared" si="130"/>
        <v>0</v>
      </c>
      <c r="AV202" s="474">
        <f t="shared" si="130"/>
        <v>0</v>
      </c>
      <c r="AW202" s="474">
        <f t="shared" si="130"/>
        <v>0</v>
      </c>
      <c r="AX202" s="474">
        <f t="shared" si="130"/>
        <v>0</v>
      </c>
      <c r="AY202" s="141"/>
    </row>
    <row r="203" spans="1:51">
      <c r="A203" s="1335">
        <f t="shared" si="122"/>
        <v>0</v>
      </c>
      <c r="B203" s="1335"/>
      <c r="C203" s="1335"/>
      <c r="D203" s="1335"/>
      <c r="E203" s="1335"/>
      <c r="F203" s="467">
        <f t="shared" si="119"/>
        <v>0</v>
      </c>
      <c r="G203" s="467">
        <f t="shared" si="119"/>
        <v>0</v>
      </c>
      <c r="H203" s="467" t="str">
        <f t="shared" si="119"/>
        <v/>
      </c>
      <c r="I203" s="467"/>
      <c r="J203" s="467"/>
      <c r="K203" s="467"/>
      <c r="L203" s="467"/>
      <c r="M203" s="474">
        <f t="shared" si="120"/>
        <v>0</v>
      </c>
      <c r="N203" s="474">
        <f t="shared" ref="N203:AX203" si="131">IF($H203=TMDAllocationTandM,1,IF($H132&gt;0,N132/$H132+M203,0))</f>
        <v>0</v>
      </c>
      <c r="O203" s="474">
        <f t="shared" si="131"/>
        <v>0</v>
      </c>
      <c r="P203" s="474">
        <f t="shared" si="131"/>
        <v>0</v>
      </c>
      <c r="Q203" s="474">
        <f t="shared" si="131"/>
        <v>0</v>
      </c>
      <c r="R203" s="474">
        <f t="shared" si="131"/>
        <v>0</v>
      </c>
      <c r="S203" s="474">
        <f t="shared" si="131"/>
        <v>0</v>
      </c>
      <c r="T203" s="474">
        <f t="shared" si="131"/>
        <v>0</v>
      </c>
      <c r="U203" s="474">
        <f t="shared" si="131"/>
        <v>0</v>
      </c>
      <c r="V203" s="474">
        <f t="shared" si="131"/>
        <v>0</v>
      </c>
      <c r="W203" s="474">
        <f t="shared" si="131"/>
        <v>0</v>
      </c>
      <c r="X203" s="474">
        <f t="shared" si="131"/>
        <v>0</v>
      </c>
      <c r="Y203" s="474">
        <f t="shared" si="131"/>
        <v>0</v>
      </c>
      <c r="Z203" s="474">
        <f t="shared" si="131"/>
        <v>0</v>
      </c>
      <c r="AA203" s="474">
        <f t="shared" si="131"/>
        <v>0</v>
      </c>
      <c r="AB203" s="474">
        <f t="shared" si="131"/>
        <v>0</v>
      </c>
      <c r="AC203" s="474">
        <f t="shared" si="131"/>
        <v>0</v>
      </c>
      <c r="AD203" s="474">
        <f t="shared" si="131"/>
        <v>0</v>
      </c>
      <c r="AE203" s="474">
        <f t="shared" si="131"/>
        <v>0</v>
      </c>
      <c r="AF203" s="474">
        <f t="shared" si="131"/>
        <v>0</v>
      </c>
      <c r="AG203" s="474">
        <f t="shared" si="131"/>
        <v>0</v>
      </c>
      <c r="AH203" s="474">
        <f t="shared" si="131"/>
        <v>0</v>
      </c>
      <c r="AI203" s="474">
        <f t="shared" si="131"/>
        <v>0</v>
      </c>
      <c r="AJ203" s="474">
        <f t="shared" si="131"/>
        <v>0</v>
      </c>
      <c r="AK203" s="474">
        <f t="shared" si="131"/>
        <v>0</v>
      </c>
      <c r="AL203" s="474">
        <f t="shared" si="131"/>
        <v>0</v>
      </c>
      <c r="AM203" s="474">
        <f t="shared" si="131"/>
        <v>0</v>
      </c>
      <c r="AN203" s="474">
        <f t="shared" si="131"/>
        <v>0</v>
      </c>
      <c r="AO203" s="474">
        <f t="shared" si="131"/>
        <v>0</v>
      </c>
      <c r="AP203" s="474">
        <f t="shared" si="131"/>
        <v>0</v>
      </c>
      <c r="AQ203" s="474">
        <f t="shared" si="131"/>
        <v>0</v>
      </c>
      <c r="AR203" s="474">
        <f t="shared" si="131"/>
        <v>0</v>
      </c>
      <c r="AS203" s="474">
        <f t="shared" si="131"/>
        <v>0</v>
      </c>
      <c r="AT203" s="474">
        <f t="shared" si="131"/>
        <v>0</v>
      </c>
      <c r="AU203" s="474">
        <f t="shared" si="131"/>
        <v>0</v>
      </c>
      <c r="AV203" s="474">
        <f t="shared" si="131"/>
        <v>0</v>
      </c>
      <c r="AW203" s="474">
        <f t="shared" si="131"/>
        <v>0</v>
      </c>
      <c r="AX203" s="474">
        <f t="shared" si="131"/>
        <v>0</v>
      </c>
      <c r="AY203" s="141"/>
    </row>
    <row r="204" spans="1:51">
      <c r="A204" s="1335">
        <f t="shared" si="122"/>
        <v>0</v>
      </c>
      <c r="B204" s="1335"/>
      <c r="C204" s="1335"/>
      <c r="D204" s="1335"/>
      <c r="E204" s="1335"/>
      <c r="F204" s="467">
        <f t="shared" si="119"/>
        <v>0</v>
      </c>
      <c r="G204" s="467">
        <f t="shared" si="119"/>
        <v>0</v>
      </c>
      <c r="H204" s="467" t="str">
        <f t="shared" si="119"/>
        <v/>
      </c>
      <c r="I204" s="467"/>
      <c r="J204" s="467"/>
      <c r="K204" s="467"/>
      <c r="L204" s="467"/>
      <c r="M204" s="474">
        <f t="shared" si="120"/>
        <v>0</v>
      </c>
      <c r="N204" s="474">
        <f t="shared" ref="N204:AX204" si="132">IF($H204=TMDAllocationTandM,1,IF($H133&gt;0,N133/$H133+M204,0))</f>
        <v>0</v>
      </c>
      <c r="O204" s="474">
        <f t="shared" si="132"/>
        <v>0</v>
      </c>
      <c r="P204" s="474">
        <f t="shared" si="132"/>
        <v>0</v>
      </c>
      <c r="Q204" s="474">
        <f t="shared" si="132"/>
        <v>0</v>
      </c>
      <c r="R204" s="474">
        <f t="shared" si="132"/>
        <v>0</v>
      </c>
      <c r="S204" s="474">
        <f t="shared" si="132"/>
        <v>0</v>
      </c>
      <c r="T204" s="474">
        <f t="shared" si="132"/>
        <v>0</v>
      </c>
      <c r="U204" s="474">
        <f t="shared" si="132"/>
        <v>0</v>
      </c>
      <c r="V204" s="474">
        <f t="shared" si="132"/>
        <v>0</v>
      </c>
      <c r="W204" s="474">
        <f t="shared" si="132"/>
        <v>0</v>
      </c>
      <c r="X204" s="474">
        <f t="shared" si="132"/>
        <v>0</v>
      </c>
      <c r="Y204" s="474">
        <f t="shared" si="132"/>
        <v>0</v>
      </c>
      <c r="Z204" s="474">
        <f t="shared" si="132"/>
        <v>0</v>
      </c>
      <c r="AA204" s="474">
        <f t="shared" si="132"/>
        <v>0</v>
      </c>
      <c r="AB204" s="474">
        <f t="shared" si="132"/>
        <v>0</v>
      </c>
      <c r="AC204" s="474">
        <f t="shared" si="132"/>
        <v>0</v>
      </c>
      <c r="AD204" s="474">
        <f t="shared" si="132"/>
        <v>0</v>
      </c>
      <c r="AE204" s="474">
        <f t="shared" si="132"/>
        <v>0</v>
      </c>
      <c r="AF204" s="474">
        <f t="shared" si="132"/>
        <v>0</v>
      </c>
      <c r="AG204" s="474">
        <f t="shared" si="132"/>
        <v>0</v>
      </c>
      <c r="AH204" s="474">
        <f t="shared" si="132"/>
        <v>0</v>
      </c>
      <c r="AI204" s="474">
        <f t="shared" si="132"/>
        <v>0</v>
      </c>
      <c r="AJ204" s="474">
        <f t="shared" si="132"/>
        <v>0</v>
      </c>
      <c r="AK204" s="474">
        <f t="shared" si="132"/>
        <v>0</v>
      </c>
      <c r="AL204" s="474">
        <f t="shared" si="132"/>
        <v>0</v>
      </c>
      <c r="AM204" s="474">
        <f t="shared" si="132"/>
        <v>0</v>
      </c>
      <c r="AN204" s="474">
        <f t="shared" si="132"/>
        <v>0</v>
      </c>
      <c r="AO204" s="474">
        <f t="shared" si="132"/>
        <v>0</v>
      </c>
      <c r="AP204" s="474">
        <f t="shared" si="132"/>
        <v>0</v>
      </c>
      <c r="AQ204" s="474">
        <f t="shared" si="132"/>
        <v>0</v>
      </c>
      <c r="AR204" s="474">
        <f t="shared" si="132"/>
        <v>0</v>
      </c>
      <c r="AS204" s="474">
        <f t="shared" si="132"/>
        <v>0</v>
      </c>
      <c r="AT204" s="474">
        <f t="shared" si="132"/>
        <v>0</v>
      </c>
      <c r="AU204" s="474">
        <f t="shared" si="132"/>
        <v>0</v>
      </c>
      <c r="AV204" s="474">
        <f t="shared" si="132"/>
        <v>0</v>
      </c>
      <c r="AW204" s="474">
        <f t="shared" si="132"/>
        <v>0</v>
      </c>
      <c r="AX204" s="474">
        <f t="shared" si="132"/>
        <v>0</v>
      </c>
      <c r="AY204" s="141"/>
    </row>
    <row r="205" spans="1:51">
      <c r="A205" s="1335">
        <f t="shared" si="122"/>
        <v>0</v>
      </c>
      <c r="B205" s="1335"/>
      <c r="C205" s="1335"/>
      <c r="D205" s="1335"/>
      <c r="E205" s="1335"/>
      <c r="F205" s="467">
        <f t="shared" si="119"/>
        <v>0</v>
      </c>
      <c r="G205" s="467">
        <f t="shared" si="119"/>
        <v>0</v>
      </c>
      <c r="H205" s="467" t="str">
        <f t="shared" si="119"/>
        <v/>
      </c>
      <c r="I205" s="467"/>
      <c r="J205" s="467"/>
      <c r="K205" s="467"/>
      <c r="L205" s="467"/>
      <c r="M205" s="474">
        <f t="shared" si="120"/>
        <v>0</v>
      </c>
      <c r="N205" s="474">
        <f t="shared" ref="N205:AX205" si="133">IF($H205=TMDAllocationTandM,1,IF($H134&gt;0,N134/$H134+M205,0))</f>
        <v>0</v>
      </c>
      <c r="O205" s="474">
        <f t="shared" si="133"/>
        <v>0</v>
      </c>
      <c r="P205" s="474">
        <f t="shared" si="133"/>
        <v>0</v>
      </c>
      <c r="Q205" s="474">
        <f t="shared" si="133"/>
        <v>0</v>
      </c>
      <c r="R205" s="474">
        <f t="shared" si="133"/>
        <v>0</v>
      </c>
      <c r="S205" s="474">
        <f t="shared" si="133"/>
        <v>0</v>
      </c>
      <c r="T205" s="474">
        <f t="shared" si="133"/>
        <v>0</v>
      </c>
      <c r="U205" s="474">
        <f t="shared" si="133"/>
        <v>0</v>
      </c>
      <c r="V205" s="474">
        <f t="shared" si="133"/>
        <v>0</v>
      </c>
      <c r="W205" s="474">
        <f t="shared" si="133"/>
        <v>0</v>
      </c>
      <c r="X205" s="474">
        <f t="shared" si="133"/>
        <v>0</v>
      </c>
      <c r="Y205" s="474">
        <f t="shared" si="133"/>
        <v>0</v>
      </c>
      <c r="Z205" s="474">
        <f t="shared" si="133"/>
        <v>0</v>
      </c>
      <c r="AA205" s="474">
        <f t="shared" si="133"/>
        <v>0</v>
      </c>
      <c r="AB205" s="474">
        <f t="shared" si="133"/>
        <v>0</v>
      </c>
      <c r="AC205" s="474">
        <f t="shared" si="133"/>
        <v>0</v>
      </c>
      <c r="AD205" s="474">
        <f t="shared" si="133"/>
        <v>0</v>
      </c>
      <c r="AE205" s="474">
        <f t="shared" si="133"/>
        <v>0</v>
      </c>
      <c r="AF205" s="474">
        <f t="shared" si="133"/>
        <v>0</v>
      </c>
      <c r="AG205" s="474">
        <f t="shared" si="133"/>
        <v>0</v>
      </c>
      <c r="AH205" s="474">
        <f t="shared" si="133"/>
        <v>0</v>
      </c>
      <c r="AI205" s="474">
        <f t="shared" si="133"/>
        <v>0</v>
      </c>
      <c r="AJ205" s="474">
        <f t="shared" si="133"/>
        <v>0</v>
      </c>
      <c r="AK205" s="474">
        <f t="shared" si="133"/>
        <v>0</v>
      </c>
      <c r="AL205" s="474">
        <f t="shared" si="133"/>
        <v>0</v>
      </c>
      <c r="AM205" s="474">
        <f t="shared" si="133"/>
        <v>0</v>
      </c>
      <c r="AN205" s="474">
        <f t="shared" si="133"/>
        <v>0</v>
      </c>
      <c r="AO205" s="474">
        <f t="shared" si="133"/>
        <v>0</v>
      </c>
      <c r="AP205" s="474">
        <f t="shared" si="133"/>
        <v>0</v>
      </c>
      <c r="AQ205" s="474">
        <f t="shared" si="133"/>
        <v>0</v>
      </c>
      <c r="AR205" s="474">
        <f t="shared" si="133"/>
        <v>0</v>
      </c>
      <c r="AS205" s="474">
        <f t="shared" si="133"/>
        <v>0</v>
      </c>
      <c r="AT205" s="474">
        <f t="shared" si="133"/>
        <v>0</v>
      </c>
      <c r="AU205" s="474">
        <f t="shared" si="133"/>
        <v>0</v>
      </c>
      <c r="AV205" s="474">
        <f t="shared" si="133"/>
        <v>0</v>
      </c>
      <c r="AW205" s="474">
        <f t="shared" si="133"/>
        <v>0</v>
      </c>
      <c r="AX205" s="474">
        <f t="shared" si="133"/>
        <v>0</v>
      </c>
      <c r="AY205" s="141"/>
    </row>
    <row r="206" spans="1:51">
      <c r="A206" s="1335">
        <f t="shared" si="122"/>
        <v>0</v>
      </c>
      <c r="B206" s="1335"/>
      <c r="C206" s="1335"/>
      <c r="D206" s="1335"/>
      <c r="E206" s="1335"/>
      <c r="F206" s="467">
        <f t="shared" si="119"/>
        <v>0</v>
      </c>
      <c r="G206" s="467">
        <f t="shared" si="119"/>
        <v>0</v>
      </c>
      <c r="H206" s="467" t="str">
        <f t="shared" si="119"/>
        <v/>
      </c>
      <c r="I206" s="467"/>
      <c r="J206" s="467"/>
      <c r="K206" s="467"/>
      <c r="L206" s="467"/>
      <c r="M206" s="474">
        <f t="shared" si="120"/>
        <v>0</v>
      </c>
      <c r="N206" s="474">
        <f t="shared" ref="N206:AX206" si="134">IF($H206=TMDAllocationTandM,1,IF($H135&gt;0,N135/$H135+M206,0))</f>
        <v>0</v>
      </c>
      <c r="O206" s="474">
        <f t="shared" si="134"/>
        <v>0</v>
      </c>
      <c r="P206" s="474">
        <f t="shared" si="134"/>
        <v>0</v>
      </c>
      <c r="Q206" s="474">
        <f t="shared" si="134"/>
        <v>0</v>
      </c>
      <c r="R206" s="474">
        <f t="shared" si="134"/>
        <v>0</v>
      </c>
      <c r="S206" s="474">
        <f t="shared" si="134"/>
        <v>0</v>
      </c>
      <c r="T206" s="474">
        <f t="shared" si="134"/>
        <v>0</v>
      </c>
      <c r="U206" s="474">
        <f t="shared" si="134"/>
        <v>0</v>
      </c>
      <c r="V206" s="474">
        <f t="shared" si="134"/>
        <v>0</v>
      </c>
      <c r="W206" s="474">
        <f t="shared" si="134"/>
        <v>0</v>
      </c>
      <c r="X206" s="474">
        <f t="shared" si="134"/>
        <v>0</v>
      </c>
      <c r="Y206" s="474">
        <f t="shared" si="134"/>
        <v>0</v>
      </c>
      <c r="Z206" s="474">
        <f t="shared" si="134"/>
        <v>0</v>
      </c>
      <c r="AA206" s="474">
        <f t="shared" si="134"/>
        <v>0</v>
      </c>
      <c r="AB206" s="474">
        <f t="shared" si="134"/>
        <v>0</v>
      </c>
      <c r="AC206" s="474">
        <f t="shared" si="134"/>
        <v>0</v>
      </c>
      <c r="AD206" s="474">
        <f t="shared" si="134"/>
        <v>0</v>
      </c>
      <c r="AE206" s="474">
        <f t="shared" si="134"/>
        <v>0</v>
      </c>
      <c r="AF206" s="474">
        <f t="shared" si="134"/>
        <v>0</v>
      </c>
      <c r="AG206" s="474">
        <f t="shared" si="134"/>
        <v>0</v>
      </c>
      <c r="AH206" s="474">
        <f t="shared" si="134"/>
        <v>0</v>
      </c>
      <c r="AI206" s="474">
        <f t="shared" si="134"/>
        <v>0</v>
      </c>
      <c r="AJ206" s="474">
        <f t="shared" si="134"/>
        <v>0</v>
      </c>
      <c r="AK206" s="474">
        <f t="shared" si="134"/>
        <v>0</v>
      </c>
      <c r="AL206" s="474">
        <f t="shared" si="134"/>
        <v>0</v>
      </c>
      <c r="AM206" s="474">
        <f t="shared" si="134"/>
        <v>0</v>
      </c>
      <c r="AN206" s="474">
        <f t="shared" si="134"/>
        <v>0</v>
      </c>
      <c r="AO206" s="474">
        <f t="shared" si="134"/>
        <v>0</v>
      </c>
      <c r="AP206" s="474">
        <f t="shared" si="134"/>
        <v>0</v>
      </c>
      <c r="AQ206" s="474">
        <f t="shared" si="134"/>
        <v>0</v>
      </c>
      <c r="AR206" s="474">
        <f t="shared" si="134"/>
        <v>0</v>
      </c>
      <c r="AS206" s="474">
        <f t="shared" si="134"/>
        <v>0</v>
      </c>
      <c r="AT206" s="474">
        <f t="shared" si="134"/>
        <v>0</v>
      </c>
      <c r="AU206" s="474">
        <f t="shared" si="134"/>
        <v>0</v>
      </c>
      <c r="AV206" s="474">
        <f t="shared" si="134"/>
        <v>0</v>
      </c>
      <c r="AW206" s="474">
        <f t="shared" si="134"/>
        <v>0</v>
      </c>
      <c r="AX206" s="474">
        <f t="shared" si="134"/>
        <v>0</v>
      </c>
      <c r="AY206" s="141"/>
    </row>
    <row r="207" spans="1:51">
      <c r="A207" s="1335">
        <f t="shared" si="122"/>
        <v>0</v>
      </c>
      <c r="B207" s="1335"/>
      <c r="C207" s="1335"/>
      <c r="D207" s="1335"/>
      <c r="E207" s="1335"/>
      <c r="F207" s="467">
        <f t="shared" si="119"/>
        <v>0</v>
      </c>
      <c r="G207" s="467">
        <f t="shared" si="119"/>
        <v>0</v>
      </c>
      <c r="H207" s="467" t="str">
        <f t="shared" si="119"/>
        <v/>
      </c>
      <c r="I207" s="467"/>
      <c r="J207" s="467"/>
      <c r="K207" s="467"/>
      <c r="L207" s="467"/>
      <c r="M207" s="474">
        <f t="shared" si="120"/>
        <v>0</v>
      </c>
      <c r="N207" s="474">
        <f t="shared" ref="N207:AX207" si="135">IF($H207=TMDAllocationTandM,1,IF($H136&gt;0,N136/$H136+M207,0))</f>
        <v>0</v>
      </c>
      <c r="O207" s="474">
        <f t="shared" si="135"/>
        <v>0</v>
      </c>
      <c r="P207" s="474">
        <f t="shared" si="135"/>
        <v>0</v>
      </c>
      <c r="Q207" s="474">
        <f t="shared" si="135"/>
        <v>0</v>
      </c>
      <c r="R207" s="474">
        <f t="shared" si="135"/>
        <v>0</v>
      </c>
      <c r="S207" s="474">
        <f t="shared" si="135"/>
        <v>0</v>
      </c>
      <c r="T207" s="474">
        <f t="shared" si="135"/>
        <v>0</v>
      </c>
      <c r="U207" s="474">
        <f t="shared" si="135"/>
        <v>0</v>
      </c>
      <c r="V207" s="474">
        <f t="shared" si="135"/>
        <v>0</v>
      </c>
      <c r="W207" s="474">
        <f t="shared" si="135"/>
        <v>0</v>
      </c>
      <c r="X207" s="474">
        <f t="shared" si="135"/>
        <v>0</v>
      </c>
      <c r="Y207" s="474">
        <f t="shared" si="135"/>
        <v>0</v>
      </c>
      <c r="Z207" s="474">
        <f t="shared" si="135"/>
        <v>0</v>
      </c>
      <c r="AA207" s="474">
        <f t="shared" si="135"/>
        <v>0</v>
      </c>
      <c r="AB207" s="474">
        <f t="shared" si="135"/>
        <v>0</v>
      </c>
      <c r="AC207" s="474">
        <f t="shared" si="135"/>
        <v>0</v>
      </c>
      <c r="AD207" s="474">
        <f t="shared" si="135"/>
        <v>0</v>
      </c>
      <c r="AE207" s="474">
        <f t="shared" si="135"/>
        <v>0</v>
      </c>
      <c r="AF207" s="474">
        <f t="shared" si="135"/>
        <v>0</v>
      </c>
      <c r="AG207" s="474">
        <f t="shared" si="135"/>
        <v>0</v>
      </c>
      <c r="AH207" s="474">
        <f t="shared" si="135"/>
        <v>0</v>
      </c>
      <c r="AI207" s="474">
        <f t="shared" si="135"/>
        <v>0</v>
      </c>
      <c r="AJ207" s="474">
        <f t="shared" si="135"/>
        <v>0</v>
      </c>
      <c r="AK207" s="474">
        <f t="shared" si="135"/>
        <v>0</v>
      </c>
      <c r="AL207" s="474">
        <f t="shared" si="135"/>
        <v>0</v>
      </c>
      <c r="AM207" s="474">
        <f t="shared" si="135"/>
        <v>0</v>
      </c>
      <c r="AN207" s="474">
        <f t="shared" si="135"/>
        <v>0</v>
      </c>
      <c r="AO207" s="474">
        <f t="shared" si="135"/>
        <v>0</v>
      </c>
      <c r="AP207" s="474">
        <f t="shared" si="135"/>
        <v>0</v>
      </c>
      <c r="AQ207" s="474">
        <f t="shared" si="135"/>
        <v>0</v>
      </c>
      <c r="AR207" s="474">
        <f t="shared" si="135"/>
        <v>0</v>
      </c>
      <c r="AS207" s="474">
        <f t="shared" si="135"/>
        <v>0</v>
      </c>
      <c r="AT207" s="474">
        <f t="shared" si="135"/>
        <v>0</v>
      </c>
      <c r="AU207" s="474">
        <f t="shared" si="135"/>
        <v>0</v>
      </c>
      <c r="AV207" s="474">
        <f t="shared" si="135"/>
        <v>0</v>
      </c>
      <c r="AW207" s="474">
        <f t="shared" si="135"/>
        <v>0</v>
      </c>
      <c r="AX207" s="474">
        <f t="shared" si="135"/>
        <v>0</v>
      </c>
      <c r="AY207" s="141"/>
    </row>
    <row r="208" spans="1:51">
      <c r="A208" s="1335">
        <f t="shared" si="122"/>
        <v>0</v>
      </c>
      <c r="B208" s="1335"/>
      <c r="C208" s="1335"/>
      <c r="D208" s="1335"/>
      <c r="E208" s="1335"/>
      <c r="F208" s="467">
        <f t="shared" si="119"/>
        <v>0</v>
      </c>
      <c r="G208" s="467">
        <f t="shared" si="119"/>
        <v>0</v>
      </c>
      <c r="H208" s="467" t="str">
        <f t="shared" si="119"/>
        <v/>
      </c>
      <c r="I208" s="467"/>
      <c r="J208" s="467"/>
      <c r="K208" s="467"/>
      <c r="L208" s="467"/>
      <c r="M208" s="474">
        <f t="shared" si="120"/>
        <v>0</v>
      </c>
      <c r="N208" s="474">
        <f t="shared" ref="N208:AX208" si="136">IF($H208=TMDAllocationTandM,1,IF($H137&gt;0,N137/$H137+M208,0))</f>
        <v>0</v>
      </c>
      <c r="O208" s="474">
        <f t="shared" si="136"/>
        <v>0</v>
      </c>
      <c r="P208" s="474">
        <f t="shared" si="136"/>
        <v>0</v>
      </c>
      <c r="Q208" s="474">
        <f t="shared" si="136"/>
        <v>0</v>
      </c>
      <c r="R208" s="474">
        <f t="shared" si="136"/>
        <v>0</v>
      </c>
      <c r="S208" s="474">
        <f t="shared" si="136"/>
        <v>0</v>
      </c>
      <c r="T208" s="474">
        <f t="shared" si="136"/>
        <v>0</v>
      </c>
      <c r="U208" s="474">
        <f t="shared" si="136"/>
        <v>0</v>
      </c>
      <c r="V208" s="474">
        <f t="shared" si="136"/>
        <v>0</v>
      </c>
      <c r="W208" s="474">
        <f t="shared" si="136"/>
        <v>0</v>
      </c>
      <c r="X208" s="474">
        <f t="shared" si="136"/>
        <v>0</v>
      </c>
      <c r="Y208" s="474">
        <f t="shared" si="136"/>
        <v>0</v>
      </c>
      <c r="Z208" s="474">
        <f t="shared" si="136"/>
        <v>0</v>
      </c>
      <c r="AA208" s="474">
        <f t="shared" si="136"/>
        <v>0</v>
      </c>
      <c r="AB208" s="474">
        <f t="shared" si="136"/>
        <v>0</v>
      </c>
      <c r="AC208" s="474">
        <f t="shared" si="136"/>
        <v>0</v>
      </c>
      <c r="AD208" s="474">
        <f t="shared" si="136"/>
        <v>0</v>
      </c>
      <c r="AE208" s="474">
        <f t="shared" si="136"/>
        <v>0</v>
      </c>
      <c r="AF208" s="474">
        <f t="shared" si="136"/>
        <v>0</v>
      </c>
      <c r="AG208" s="474">
        <f t="shared" si="136"/>
        <v>0</v>
      </c>
      <c r="AH208" s="474">
        <f t="shared" si="136"/>
        <v>0</v>
      </c>
      <c r="AI208" s="474">
        <f t="shared" si="136"/>
        <v>0</v>
      </c>
      <c r="AJ208" s="474">
        <f t="shared" si="136"/>
        <v>0</v>
      </c>
      <c r="AK208" s="474">
        <f t="shared" si="136"/>
        <v>0</v>
      </c>
      <c r="AL208" s="474">
        <f t="shared" si="136"/>
        <v>0</v>
      </c>
      <c r="AM208" s="474">
        <f t="shared" si="136"/>
        <v>0</v>
      </c>
      <c r="AN208" s="474">
        <f t="shared" si="136"/>
        <v>0</v>
      </c>
      <c r="AO208" s="474">
        <f t="shared" si="136"/>
        <v>0</v>
      </c>
      <c r="AP208" s="474">
        <f t="shared" si="136"/>
        <v>0</v>
      </c>
      <c r="AQ208" s="474">
        <f t="shared" si="136"/>
        <v>0</v>
      </c>
      <c r="AR208" s="474">
        <f t="shared" si="136"/>
        <v>0</v>
      </c>
      <c r="AS208" s="474">
        <f t="shared" si="136"/>
        <v>0</v>
      </c>
      <c r="AT208" s="474">
        <f t="shared" si="136"/>
        <v>0</v>
      </c>
      <c r="AU208" s="474">
        <f t="shared" si="136"/>
        <v>0</v>
      </c>
      <c r="AV208" s="474">
        <f t="shared" si="136"/>
        <v>0</v>
      </c>
      <c r="AW208" s="474">
        <f t="shared" si="136"/>
        <v>0</v>
      </c>
      <c r="AX208" s="474">
        <f t="shared" si="136"/>
        <v>0</v>
      </c>
      <c r="AY208" s="141"/>
    </row>
    <row r="209" spans="1:51">
      <c r="A209" s="1335">
        <f t="shared" si="122"/>
        <v>0</v>
      </c>
      <c r="B209" s="1335"/>
      <c r="C209" s="1335"/>
      <c r="D209" s="1335"/>
      <c r="E209" s="1335"/>
      <c r="F209" s="467">
        <f t="shared" si="119"/>
        <v>0</v>
      </c>
      <c r="G209" s="467">
        <f t="shared" si="119"/>
        <v>0</v>
      </c>
      <c r="H209" s="467" t="str">
        <f t="shared" si="119"/>
        <v/>
      </c>
      <c r="I209" s="467"/>
      <c r="J209" s="467"/>
      <c r="K209" s="467"/>
      <c r="L209" s="467"/>
      <c r="M209" s="474">
        <f t="shared" si="120"/>
        <v>0</v>
      </c>
      <c r="N209" s="474">
        <f t="shared" ref="N209:AX209" si="137">IF($H209=TMDAllocationTandM,1,IF($H138&gt;0,N138/$H138+M209,0))</f>
        <v>0</v>
      </c>
      <c r="O209" s="474">
        <f t="shared" si="137"/>
        <v>0</v>
      </c>
      <c r="P209" s="474">
        <f t="shared" si="137"/>
        <v>0</v>
      </c>
      <c r="Q209" s="474">
        <f t="shared" si="137"/>
        <v>0</v>
      </c>
      <c r="R209" s="474">
        <f t="shared" si="137"/>
        <v>0</v>
      </c>
      <c r="S209" s="474">
        <f t="shared" si="137"/>
        <v>0</v>
      </c>
      <c r="T209" s="474">
        <f t="shared" si="137"/>
        <v>0</v>
      </c>
      <c r="U209" s="474">
        <f t="shared" si="137"/>
        <v>0</v>
      </c>
      <c r="V209" s="474">
        <f t="shared" si="137"/>
        <v>0</v>
      </c>
      <c r="W209" s="474">
        <f t="shared" si="137"/>
        <v>0</v>
      </c>
      <c r="X209" s="474">
        <f t="shared" si="137"/>
        <v>0</v>
      </c>
      <c r="Y209" s="474">
        <f t="shared" si="137"/>
        <v>0</v>
      </c>
      <c r="Z209" s="474">
        <f t="shared" si="137"/>
        <v>0</v>
      </c>
      <c r="AA209" s="474">
        <f t="shared" si="137"/>
        <v>0</v>
      </c>
      <c r="AB209" s="474">
        <f t="shared" si="137"/>
        <v>0</v>
      </c>
      <c r="AC209" s="474">
        <f t="shared" si="137"/>
        <v>0</v>
      </c>
      <c r="AD209" s="474">
        <f t="shared" si="137"/>
        <v>0</v>
      </c>
      <c r="AE209" s="474">
        <f t="shared" si="137"/>
        <v>0</v>
      </c>
      <c r="AF209" s="474">
        <f t="shared" si="137"/>
        <v>0</v>
      </c>
      <c r="AG209" s="474">
        <f t="shared" si="137"/>
        <v>0</v>
      </c>
      <c r="AH209" s="474">
        <f t="shared" si="137"/>
        <v>0</v>
      </c>
      <c r="AI209" s="474">
        <f t="shared" si="137"/>
        <v>0</v>
      </c>
      <c r="AJ209" s="474">
        <f t="shared" si="137"/>
        <v>0</v>
      </c>
      <c r="AK209" s="474">
        <f t="shared" si="137"/>
        <v>0</v>
      </c>
      <c r="AL209" s="474">
        <f t="shared" si="137"/>
        <v>0</v>
      </c>
      <c r="AM209" s="474">
        <f t="shared" si="137"/>
        <v>0</v>
      </c>
      <c r="AN209" s="474">
        <f t="shared" si="137"/>
        <v>0</v>
      </c>
      <c r="AO209" s="474">
        <f t="shared" si="137"/>
        <v>0</v>
      </c>
      <c r="AP209" s="474">
        <f t="shared" si="137"/>
        <v>0</v>
      </c>
      <c r="AQ209" s="474">
        <f t="shared" si="137"/>
        <v>0</v>
      </c>
      <c r="AR209" s="474">
        <f t="shared" si="137"/>
        <v>0</v>
      </c>
      <c r="AS209" s="474">
        <f t="shared" si="137"/>
        <v>0</v>
      </c>
      <c r="AT209" s="474">
        <f t="shared" si="137"/>
        <v>0</v>
      </c>
      <c r="AU209" s="474">
        <f t="shared" si="137"/>
        <v>0</v>
      </c>
      <c r="AV209" s="474">
        <f t="shared" si="137"/>
        <v>0</v>
      </c>
      <c r="AW209" s="474">
        <f t="shared" si="137"/>
        <v>0</v>
      </c>
      <c r="AX209" s="474">
        <f t="shared" si="137"/>
        <v>0</v>
      </c>
      <c r="AY209" s="141"/>
    </row>
    <row r="210" spans="1:51">
      <c r="A210" s="1335">
        <f t="shared" si="122"/>
        <v>0</v>
      </c>
      <c r="B210" s="1335"/>
      <c r="C210" s="1335"/>
      <c r="D210" s="1335"/>
      <c r="E210" s="1335"/>
      <c r="F210" s="467">
        <f t="shared" si="119"/>
        <v>0</v>
      </c>
      <c r="G210" s="467">
        <f t="shared" si="119"/>
        <v>0</v>
      </c>
      <c r="H210" s="467" t="str">
        <f t="shared" si="119"/>
        <v/>
      </c>
      <c r="I210" s="467"/>
      <c r="J210" s="467"/>
      <c r="K210" s="467"/>
      <c r="L210" s="467"/>
      <c r="M210" s="474">
        <f t="shared" si="120"/>
        <v>0</v>
      </c>
      <c r="N210" s="474">
        <f t="shared" ref="N210:AX210" si="138">IF($H210=TMDAllocationTandM,1,IF($H139&gt;0,N139/$H139+M210,0))</f>
        <v>0</v>
      </c>
      <c r="O210" s="474">
        <f t="shared" si="138"/>
        <v>0</v>
      </c>
      <c r="P210" s="474">
        <f t="shared" si="138"/>
        <v>0</v>
      </c>
      <c r="Q210" s="474">
        <f t="shared" si="138"/>
        <v>0</v>
      </c>
      <c r="R210" s="474">
        <f t="shared" si="138"/>
        <v>0</v>
      </c>
      <c r="S210" s="474">
        <f t="shared" si="138"/>
        <v>0</v>
      </c>
      <c r="T210" s="474">
        <f t="shared" si="138"/>
        <v>0</v>
      </c>
      <c r="U210" s="474">
        <f t="shared" si="138"/>
        <v>0</v>
      </c>
      <c r="V210" s="474">
        <f t="shared" si="138"/>
        <v>0</v>
      </c>
      <c r="W210" s="474">
        <f t="shared" si="138"/>
        <v>0</v>
      </c>
      <c r="X210" s="474">
        <f t="shared" si="138"/>
        <v>0</v>
      </c>
      <c r="Y210" s="474">
        <f t="shared" si="138"/>
        <v>0</v>
      </c>
      <c r="Z210" s="474">
        <f t="shared" si="138"/>
        <v>0</v>
      </c>
      <c r="AA210" s="474">
        <f t="shared" si="138"/>
        <v>0</v>
      </c>
      <c r="AB210" s="474">
        <f t="shared" si="138"/>
        <v>0</v>
      </c>
      <c r="AC210" s="474">
        <f t="shared" si="138"/>
        <v>0</v>
      </c>
      <c r="AD210" s="474">
        <f t="shared" si="138"/>
        <v>0</v>
      </c>
      <c r="AE210" s="474">
        <f t="shared" si="138"/>
        <v>0</v>
      </c>
      <c r="AF210" s="474">
        <f t="shared" si="138"/>
        <v>0</v>
      </c>
      <c r="AG210" s="474">
        <f t="shared" si="138"/>
        <v>0</v>
      </c>
      <c r="AH210" s="474">
        <f t="shared" si="138"/>
        <v>0</v>
      </c>
      <c r="AI210" s="474">
        <f t="shared" si="138"/>
        <v>0</v>
      </c>
      <c r="AJ210" s="474">
        <f t="shared" si="138"/>
        <v>0</v>
      </c>
      <c r="AK210" s="474">
        <f t="shared" si="138"/>
        <v>0</v>
      </c>
      <c r="AL210" s="474">
        <f t="shared" si="138"/>
        <v>0</v>
      </c>
      <c r="AM210" s="474">
        <f t="shared" si="138"/>
        <v>0</v>
      </c>
      <c r="AN210" s="474">
        <f t="shared" si="138"/>
        <v>0</v>
      </c>
      <c r="AO210" s="474">
        <f t="shared" si="138"/>
        <v>0</v>
      </c>
      <c r="AP210" s="474">
        <f t="shared" si="138"/>
        <v>0</v>
      </c>
      <c r="AQ210" s="474">
        <f t="shared" si="138"/>
        <v>0</v>
      </c>
      <c r="AR210" s="474">
        <f t="shared" si="138"/>
        <v>0</v>
      </c>
      <c r="AS210" s="474">
        <f t="shared" si="138"/>
        <v>0</v>
      </c>
      <c r="AT210" s="474">
        <f t="shared" si="138"/>
        <v>0</v>
      </c>
      <c r="AU210" s="474">
        <f t="shared" si="138"/>
        <v>0</v>
      </c>
      <c r="AV210" s="474">
        <f t="shared" si="138"/>
        <v>0</v>
      </c>
      <c r="AW210" s="474">
        <f t="shared" si="138"/>
        <v>0</v>
      </c>
      <c r="AX210" s="474">
        <f t="shared" si="138"/>
        <v>0</v>
      </c>
      <c r="AY210" s="141"/>
    </row>
    <row r="211" spans="1:51">
      <c r="A211" s="1335">
        <f t="shared" si="122"/>
        <v>0</v>
      </c>
      <c r="B211" s="1335"/>
      <c r="C211" s="1335"/>
      <c r="D211" s="1335"/>
      <c r="E211" s="1335"/>
      <c r="F211" s="467">
        <f t="shared" si="119"/>
        <v>0</v>
      </c>
      <c r="G211" s="467">
        <f t="shared" si="119"/>
        <v>0</v>
      </c>
      <c r="H211" s="467" t="str">
        <f t="shared" si="119"/>
        <v/>
      </c>
      <c r="I211" s="467"/>
      <c r="J211" s="467"/>
      <c r="K211" s="467"/>
      <c r="L211" s="467"/>
      <c r="M211" s="474">
        <f t="shared" si="120"/>
        <v>0</v>
      </c>
      <c r="N211" s="474">
        <f t="shared" ref="N211:AX211" si="139">IF($H211=TMDAllocationTandM,1,IF($H140&gt;0,N140/$H140+M211,0))</f>
        <v>0</v>
      </c>
      <c r="O211" s="474">
        <f t="shared" si="139"/>
        <v>0</v>
      </c>
      <c r="P211" s="474">
        <f t="shared" si="139"/>
        <v>0</v>
      </c>
      <c r="Q211" s="474">
        <f t="shared" si="139"/>
        <v>0</v>
      </c>
      <c r="R211" s="474">
        <f t="shared" si="139"/>
        <v>0</v>
      </c>
      <c r="S211" s="474">
        <f t="shared" si="139"/>
        <v>0</v>
      </c>
      <c r="T211" s="474">
        <f t="shared" si="139"/>
        <v>0</v>
      </c>
      <c r="U211" s="474">
        <f t="shared" si="139"/>
        <v>0</v>
      </c>
      <c r="V211" s="474">
        <f t="shared" si="139"/>
        <v>0</v>
      </c>
      <c r="W211" s="474">
        <f t="shared" si="139"/>
        <v>0</v>
      </c>
      <c r="X211" s="474">
        <f t="shared" si="139"/>
        <v>0</v>
      </c>
      <c r="Y211" s="474">
        <f t="shared" si="139"/>
        <v>0</v>
      </c>
      <c r="Z211" s="474">
        <f t="shared" si="139"/>
        <v>0</v>
      </c>
      <c r="AA211" s="474">
        <f t="shared" si="139"/>
        <v>0</v>
      </c>
      <c r="AB211" s="474">
        <f t="shared" si="139"/>
        <v>0</v>
      </c>
      <c r="AC211" s="474">
        <f t="shared" si="139"/>
        <v>0</v>
      </c>
      <c r="AD211" s="474">
        <f t="shared" si="139"/>
        <v>0</v>
      </c>
      <c r="AE211" s="474">
        <f t="shared" si="139"/>
        <v>0</v>
      </c>
      <c r="AF211" s="474">
        <f t="shared" si="139"/>
        <v>0</v>
      </c>
      <c r="AG211" s="474">
        <f t="shared" si="139"/>
        <v>0</v>
      </c>
      <c r="AH211" s="474">
        <f t="shared" si="139"/>
        <v>0</v>
      </c>
      <c r="AI211" s="474">
        <f t="shared" si="139"/>
        <v>0</v>
      </c>
      <c r="AJ211" s="474">
        <f t="shared" si="139"/>
        <v>0</v>
      </c>
      <c r="AK211" s="474">
        <f t="shared" si="139"/>
        <v>0</v>
      </c>
      <c r="AL211" s="474">
        <f t="shared" si="139"/>
        <v>0</v>
      </c>
      <c r="AM211" s="474">
        <f t="shared" si="139"/>
        <v>0</v>
      </c>
      <c r="AN211" s="474">
        <f t="shared" si="139"/>
        <v>0</v>
      </c>
      <c r="AO211" s="474">
        <f t="shared" si="139"/>
        <v>0</v>
      </c>
      <c r="AP211" s="474">
        <f t="shared" si="139"/>
        <v>0</v>
      </c>
      <c r="AQ211" s="474">
        <f t="shared" si="139"/>
        <v>0</v>
      </c>
      <c r="AR211" s="474">
        <f t="shared" si="139"/>
        <v>0</v>
      </c>
      <c r="AS211" s="474">
        <f t="shared" si="139"/>
        <v>0</v>
      </c>
      <c r="AT211" s="474">
        <f t="shared" si="139"/>
        <v>0</v>
      </c>
      <c r="AU211" s="474">
        <f t="shared" si="139"/>
        <v>0</v>
      </c>
      <c r="AV211" s="474">
        <f t="shared" si="139"/>
        <v>0</v>
      </c>
      <c r="AW211" s="474">
        <f t="shared" si="139"/>
        <v>0</v>
      </c>
      <c r="AX211" s="474">
        <f t="shared" si="139"/>
        <v>0</v>
      </c>
      <c r="AY211" s="141"/>
    </row>
    <row r="212" spans="1:51">
      <c r="A212" s="1335">
        <f t="shared" si="122"/>
        <v>0</v>
      </c>
      <c r="B212" s="1335"/>
      <c r="C212" s="1335"/>
      <c r="D212" s="1335"/>
      <c r="E212" s="1335"/>
      <c r="F212" s="467">
        <f t="shared" si="119"/>
        <v>0</v>
      </c>
      <c r="G212" s="467">
        <f t="shared" si="119"/>
        <v>0</v>
      </c>
      <c r="H212" s="467" t="str">
        <f t="shared" si="119"/>
        <v/>
      </c>
      <c r="I212" s="467"/>
      <c r="J212" s="467"/>
      <c r="K212" s="467"/>
      <c r="L212" s="467"/>
      <c r="M212" s="474">
        <f t="shared" si="120"/>
        <v>0</v>
      </c>
      <c r="N212" s="474">
        <f t="shared" ref="N212:AX212" si="140">IF($H212=TMDAllocationTandM,1,IF($H141&gt;0,N141/$H141+M212,0))</f>
        <v>0</v>
      </c>
      <c r="O212" s="474">
        <f t="shared" si="140"/>
        <v>0</v>
      </c>
      <c r="P212" s="474">
        <f t="shared" si="140"/>
        <v>0</v>
      </c>
      <c r="Q212" s="474">
        <f t="shared" si="140"/>
        <v>0</v>
      </c>
      <c r="R212" s="474">
        <f t="shared" si="140"/>
        <v>0</v>
      </c>
      <c r="S212" s="474">
        <f t="shared" si="140"/>
        <v>0</v>
      </c>
      <c r="T212" s="474">
        <f t="shared" si="140"/>
        <v>0</v>
      </c>
      <c r="U212" s="474">
        <f t="shared" si="140"/>
        <v>0</v>
      </c>
      <c r="V212" s="474">
        <f t="shared" si="140"/>
        <v>0</v>
      </c>
      <c r="W212" s="474">
        <f t="shared" si="140"/>
        <v>0</v>
      </c>
      <c r="X212" s="474">
        <f t="shared" si="140"/>
        <v>0</v>
      </c>
      <c r="Y212" s="474">
        <f t="shared" si="140"/>
        <v>0</v>
      </c>
      <c r="Z212" s="474">
        <f t="shared" si="140"/>
        <v>0</v>
      </c>
      <c r="AA212" s="474">
        <f t="shared" si="140"/>
        <v>0</v>
      </c>
      <c r="AB212" s="474">
        <f t="shared" si="140"/>
        <v>0</v>
      </c>
      <c r="AC212" s="474">
        <f t="shared" si="140"/>
        <v>0</v>
      </c>
      <c r="AD212" s="474">
        <f t="shared" si="140"/>
        <v>0</v>
      </c>
      <c r="AE212" s="474">
        <f t="shared" si="140"/>
        <v>0</v>
      </c>
      <c r="AF212" s="474">
        <f t="shared" si="140"/>
        <v>0</v>
      </c>
      <c r="AG212" s="474">
        <f t="shared" si="140"/>
        <v>0</v>
      </c>
      <c r="AH212" s="474">
        <f t="shared" si="140"/>
        <v>0</v>
      </c>
      <c r="AI212" s="474">
        <f t="shared" si="140"/>
        <v>0</v>
      </c>
      <c r="AJ212" s="474">
        <f t="shared" si="140"/>
        <v>0</v>
      </c>
      <c r="AK212" s="474">
        <f t="shared" si="140"/>
        <v>0</v>
      </c>
      <c r="AL212" s="474">
        <f t="shared" si="140"/>
        <v>0</v>
      </c>
      <c r="AM212" s="474">
        <f t="shared" si="140"/>
        <v>0</v>
      </c>
      <c r="AN212" s="474">
        <f t="shared" si="140"/>
        <v>0</v>
      </c>
      <c r="AO212" s="474">
        <f t="shared" si="140"/>
        <v>0</v>
      </c>
      <c r="AP212" s="474">
        <f t="shared" si="140"/>
        <v>0</v>
      </c>
      <c r="AQ212" s="474">
        <f t="shared" si="140"/>
        <v>0</v>
      </c>
      <c r="AR212" s="474">
        <f t="shared" si="140"/>
        <v>0</v>
      </c>
      <c r="AS212" s="474">
        <f t="shared" si="140"/>
        <v>0</v>
      </c>
      <c r="AT212" s="474">
        <f t="shared" si="140"/>
        <v>0</v>
      </c>
      <c r="AU212" s="474">
        <f t="shared" si="140"/>
        <v>0</v>
      </c>
      <c r="AV212" s="474">
        <f t="shared" si="140"/>
        <v>0</v>
      </c>
      <c r="AW212" s="474">
        <f t="shared" si="140"/>
        <v>0</v>
      </c>
      <c r="AX212" s="474">
        <f t="shared" si="140"/>
        <v>0</v>
      </c>
      <c r="AY212" s="141"/>
    </row>
    <row r="213" spans="1:51">
      <c r="A213" s="1335">
        <f t="shared" si="122"/>
        <v>0</v>
      </c>
      <c r="B213" s="1335"/>
      <c r="C213" s="1335"/>
      <c r="D213" s="1335"/>
      <c r="E213" s="1335"/>
      <c r="F213" s="467">
        <f t="shared" si="119"/>
        <v>0</v>
      </c>
      <c r="G213" s="467">
        <f t="shared" si="119"/>
        <v>0</v>
      </c>
      <c r="H213" s="467" t="str">
        <f t="shared" si="119"/>
        <v/>
      </c>
      <c r="I213" s="467"/>
      <c r="J213" s="467"/>
      <c r="K213" s="467"/>
      <c r="L213" s="467"/>
      <c r="M213" s="474">
        <f t="shared" si="120"/>
        <v>0</v>
      </c>
      <c r="N213" s="474">
        <f t="shared" ref="N213:AX213" si="141">IF($H213=TMDAllocationTandM,1,IF($H142&gt;0,N142/$H142+M213,0))</f>
        <v>0</v>
      </c>
      <c r="O213" s="474">
        <f t="shared" si="141"/>
        <v>0</v>
      </c>
      <c r="P213" s="474">
        <f t="shared" si="141"/>
        <v>0</v>
      </c>
      <c r="Q213" s="474">
        <f t="shared" si="141"/>
        <v>0</v>
      </c>
      <c r="R213" s="474">
        <f t="shared" si="141"/>
        <v>0</v>
      </c>
      <c r="S213" s="474">
        <f t="shared" si="141"/>
        <v>0</v>
      </c>
      <c r="T213" s="474">
        <f t="shared" si="141"/>
        <v>0</v>
      </c>
      <c r="U213" s="474">
        <f t="shared" si="141"/>
        <v>0</v>
      </c>
      <c r="V213" s="474">
        <f t="shared" si="141"/>
        <v>0</v>
      </c>
      <c r="W213" s="474">
        <f t="shared" si="141"/>
        <v>0</v>
      </c>
      <c r="X213" s="474">
        <f t="shared" si="141"/>
        <v>0</v>
      </c>
      <c r="Y213" s="474">
        <f t="shared" si="141"/>
        <v>0</v>
      </c>
      <c r="Z213" s="474">
        <f t="shared" si="141"/>
        <v>0</v>
      </c>
      <c r="AA213" s="474">
        <f t="shared" si="141"/>
        <v>0</v>
      </c>
      <c r="AB213" s="474">
        <f t="shared" si="141"/>
        <v>0</v>
      </c>
      <c r="AC213" s="474">
        <f t="shared" si="141"/>
        <v>0</v>
      </c>
      <c r="AD213" s="474">
        <f t="shared" si="141"/>
        <v>0</v>
      </c>
      <c r="AE213" s="474">
        <f t="shared" si="141"/>
        <v>0</v>
      </c>
      <c r="AF213" s="474">
        <f t="shared" si="141"/>
        <v>0</v>
      </c>
      <c r="AG213" s="474">
        <f t="shared" si="141"/>
        <v>0</v>
      </c>
      <c r="AH213" s="474">
        <f t="shared" si="141"/>
        <v>0</v>
      </c>
      <c r="AI213" s="474">
        <f t="shared" si="141"/>
        <v>0</v>
      </c>
      <c r="AJ213" s="474">
        <f t="shared" si="141"/>
        <v>0</v>
      </c>
      <c r="AK213" s="474">
        <f t="shared" si="141"/>
        <v>0</v>
      </c>
      <c r="AL213" s="474">
        <f t="shared" si="141"/>
        <v>0</v>
      </c>
      <c r="AM213" s="474">
        <f t="shared" si="141"/>
        <v>0</v>
      </c>
      <c r="AN213" s="474">
        <f t="shared" si="141"/>
        <v>0</v>
      </c>
      <c r="AO213" s="474">
        <f t="shared" si="141"/>
        <v>0</v>
      </c>
      <c r="AP213" s="474">
        <f t="shared" si="141"/>
        <v>0</v>
      </c>
      <c r="AQ213" s="474">
        <f t="shared" si="141"/>
        <v>0</v>
      </c>
      <c r="AR213" s="474">
        <f t="shared" si="141"/>
        <v>0</v>
      </c>
      <c r="AS213" s="474">
        <f t="shared" si="141"/>
        <v>0</v>
      </c>
      <c r="AT213" s="474">
        <f t="shared" si="141"/>
        <v>0</v>
      </c>
      <c r="AU213" s="474">
        <f t="shared" si="141"/>
        <v>0</v>
      </c>
      <c r="AV213" s="474">
        <f t="shared" si="141"/>
        <v>0</v>
      </c>
      <c r="AW213" s="474">
        <f t="shared" si="141"/>
        <v>0</v>
      </c>
      <c r="AX213" s="474">
        <f t="shared" si="141"/>
        <v>0</v>
      </c>
      <c r="AY213" s="141"/>
    </row>
    <row r="214" spans="1:51">
      <c r="A214" s="1335">
        <f t="shared" si="122"/>
        <v>0</v>
      </c>
      <c r="B214" s="1335"/>
      <c r="C214" s="1335"/>
      <c r="D214" s="1335"/>
      <c r="E214" s="1335"/>
      <c r="F214" s="467">
        <f t="shared" si="119"/>
        <v>0</v>
      </c>
      <c r="G214" s="467">
        <f t="shared" si="119"/>
        <v>0</v>
      </c>
      <c r="H214" s="467" t="str">
        <f t="shared" si="119"/>
        <v/>
      </c>
      <c r="I214" s="467"/>
      <c r="J214" s="467"/>
      <c r="K214" s="467"/>
      <c r="L214" s="467"/>
      <c r="M214" s="474">
        <f t="shared" si="120"/>
        <v>0</v>
      </c>
      <c r="N214" s="474">
        <f t="shared" ref="N214:AX214" si="142">IF($H214=TMDAllocationTandM,1,IF($H143&gt;0,N143/$H143+M214,0))</f>
        <v>0</v>
      </c>
      <c r="O214" s="474">
        <f t="shared" si="142"/>
        <v>0</v>
      </c>
      <c r="P214" s="474">
        <f t="shared" si="142"/>
        <v>0</v>
      </c>
      <c r="Q214" s="474">
        <f t="shared" si="142"/>
        <v>0</v>
      </c>
      <c r="R214" s="474">
        <f t="shared" si="142"/>
        <v>0</v>
      </c>
      <c r="S214" s="474">
        <f t="shared" si="142"/>
        <v>0</v>
      </c>
      <c r="T214" s="474">
        <f t="shared" si="142"/>
        <v>0</v>
      </c>
      <c r="U214" s="474">
        <f t="shared" si="142"/>
        <v>0</v>
      </c>
      <c r="V214" s="474">
        <f t="shared" si="142"/>
        <v>0</v>
      </c>
      <c r="W214" s="474">
        <f t="shared" si="142"/>
        <v>0</v>
      </c>
      <c r="X214" s="474">
        <f t="shared" si="142"/>
        <v>0</v>
      </c>
      <c r="Y214" s="474">
        <f t="shared" si="142"/>
        <v>0</v>
      </c>
      <c r="Z214" s="474">
        <f t="shared" si="142"/>
        <v>0</v>
      </c>
      <c r="AA214" s="474">
        <f t="shared" si="142"/>
        <v>0</v>
      </c>
      <c r="AB214" s="474">
        <f t="shared" si="142"/>
        <v>0</v>
      </c>
      <c r="AC214" s="474">
        <f t="shared" si="142"/>
        <v>0</v>
      </c>
      <c r="AD214" s="474">
        <f t="shared" si="142"/>
        <v>0</v>
      </c>
      <c r="AE214" s="474">
        <f t="shared" si="142"/>
        <v>0</v>
      </c>
      <c r="AF214" s="474">
        <f t="shared" si="142"/>
        <v>0</v>
      </c>
      <c r="AG214" s="474">
        <f t="shared" si="142"/>
        <v>0</v>
      </c>
      <c r="AH214" s="474">
        <f t="shared" si="142"/>
        <v>0</v>
      </c>
      <c r="AI214" s="474">
        <f t="shared" si="142"/>
        <v>0</v>
      </c>
      <c r="AJ214" s="474">
        <f t="shared" si="142"/>
        <v>0</v>
      </c>
      <c r="AK214" s="474">
        <f t="shared" si="142"/>
        <v>0</v>
      </c>
      <c r="AL214" s="474">
        <f t="shared" si="142"/>
        <v>0</v>
      </c>
      <c r="AM214" s="474">
        <f t="shared" si="142"/>
        <v>0</v>
      </c>
      <c r="AN214" s="474">
        <f t="shared" si="142"/>
        <v>0</v>
      </c>
      <c r="AO214" s="474">
        <f t="shared" si="142"/>
        <v>0</v>
      </c>
      <c r="AP214" s="474">
        <f t="shared" si="142"/>
        <v>0</v>
      </c>
      <c r="AQ214" s="474">
        <f t="shared" si="142"/>
        <v>0</v>
      </c>
      <c r="AR214" s="474">
        <f t="shared" si="142"/>
        <v>0</v>
      </c>
      <c r="AS214" s="474">
        <f t="shared" si="142"/>
        <v>0</v>
      </c>
      <c r="AT214" s="474">
        <f t="shared" si="142"/>
        <v>0</v>
      </c>
      <c r="AU214" s="474">
        <f t="shared" si="142"/>
        <v>0</v>
      </c>
      <c r="AV214" s="474">
        <f t="shared" si="142"/>
        <v>0</v>
      </c>
      <c r="AW214" s="474">
        <f t="shared" si="142"/>
        <v>0</v>
      </c>
      <c r="AX214" s="474">
        <f t="shared" si="142"/>
        <v>0</v>
      </c>
      <c r="AY214" s="141"/>
    </row>
    <row r="215" spans="1:51">
      <c r="A215" s="1335">
        <f t="shared" si="122"/>
        <v>0</v>
      </c>
      <c r="B215" s="1335"/>
      <c r="C215" s="1335"/>
      <c r="D215" s="1335"/>
      <c r="E215" s="1335"/>
      <c r="F215" s="467">
        <f t="shared" si="119"/>
        <v>0</v>
      </c>
      <c r="G215" s="467">
        <f t="shared" si="119"/>
        <v>0</v>
      </c>
      <c r="H215" s="467" t="str">
        <f t="shared" si="119"/>
        <v/>
      </c>
      <c r="I215" s="467"/>
      <c r="J215" s="467"/>
      <c r="K215" s="467"/>
      <c r="L215" s="467"/>
      <c r="M215" s="474">
        <f t="shared" si="120"/>
        <v>0</v>
      </c>
      <c r="N215" s="474">
        <f t="shared" ref="N215:AX215" si="143">IF($H215=TMDAllocationTandM,1,IF($H144&gt;0,N144/$H144+M215,0))</f>
        <v>0</v>
      </c>
      <c r="O215" s="474">
        <f t="shared" si="143"/>
        <v>0</v>
      </c>
      <c r="P215" s="474">
        <f t="shared" si="143"/>
        <v>0</v>
      </c>
      <c r="Q215" s="474">
        <f t="shared" si="143"/>
        <v>0</v>
      </c>
      <c r="R215" s="474">
        <f t="shared" si="143"/>
        <v>0</v>
      </c>
      <c r="S215" s="474">
        <f t="shared" si="143"/>
        <v>0</v>
      </c>
      <c r="T215" s="474">
        <f t="shared" si="143"/>
        <v>0</v>
      </c>
      <c r="U215" s="474">
        <f t="shared" si="143"/>
        <v>0</v>
      </c>
      <c r="V215" s="474">
        <f t="shared" si="143"/>
        <v>0</v>
      </c>
      <c r="W215" s="474">
        <f t="shared" si="143"/>
        <v>0</v>
      </c>
      <c r="X215" s="474">
        <f t="shared" si="143"/>
        <v>0</v>
      </c>
      <c r="Y215" s="474">
        <f t="shared" si="143"/>
        <v>0</v>
      </c>
      <c r="Z215" s="474">
        <f t="shared" si="143"/>
        <v>0</v>
      </c>
      <c r="AA215" s="474">
        <f t="shared" si="143"/>
        <v>0</v>
      </c>
      <c r="AB215" s="474">
        <f t="shared" si="143"/>
        <v>0</v>
      </c>
      <c r="AC215" s="474">
        <f t="shared" si="143"/>
        <v>0</v>
      </c>
      <c r="AD215" s="474">
        <f t="shared" si="143"/>
        <v>0</v>
      </c>
      <c r="AE215" s="474">
        <f t="shared" si="143"/>
        <v>0</v>
      </c>
      <c r="AF215" s="474">
        <f t="shared" si="143"/>
        <v>0</v>
      </c>
      <c r="AG215" s="474">
        <f t="shared" si="143"/>
        <v>0</v>
      </c>
      <c r="AH215" s="474">
        <f t="shared" si="143"/>
        <v>0</v>
      </c>
      <c r="AI215" s="474">
        <f t="shared" si="143"/>
        <v>0</v>
      </c>
      <c r="AJ215" s="474">
        <f t="shared" si="143"/>
        <v>0</v>
      </c>
      <c r="AK215" s="474">
        <f t="shared" si="143"/>
        <v>0</v>
      </c>
      <c r="AL215" s="474">
        <f t="shared" si="143"/>
        <v>0</v>
      </c>
      <c r="AM215" s="474">
        <f t="shared" si="143"/>
        <v>0</v>
      </c>
      <c r="AN215" s="474">
        <f t="shared" si="143"/>
        <v>0</v>
      </c>
      <c r="AO215" s="474">
        <f t="shared" si="143"/>
        <v>0</v>
      </c>
      <c r="AP215" s="474">
        <f t="shared" si="143"/>
        <v>0</v>
      </c>
      <c r="AQ215" s="474">
        <f t="shared" si="143"/>
        <v>0</v>
      </c>
      <c r="AR215" s="474">
        <f t="shared" si="143"/>
        <v>0</v>
      </c>
      <c r="AS215" s="474">
        <f t="shared" si="143"/>
        <v>0</v>
      </c>
      <c r="AT215" s="474">
        <f t="shared" si="143"/>
        <v>0</v>
      </c>
      <c r="AU215" s="474">
        <f t="shared" si="143"/>
        <v>0</v>
      </c>
      <c r="AV215" s="474">
        <f t="shared" si="143"/>
        <v>0</v>
      </c>
      <c r="AW215" s="474">
        <f t="shared" si="143"/>
        <v>0</v>
      </c>
      <c r="AX215" s="474">
        <f t="shared" si="143"/>
        <v>0</v>
      </c>
      <c r="AY215" s="141"/>
    </row>
    <row r="216" spans="1:51">
      <c r="A216" s="1335">
        <f t="shared" si="122"/>
        <v>0</v>
      </c>
      <c r="B216" s="1335"/>
      <c r="C216" s="1335"/>
      <c r="D216" s="1335"/>
      <c r="E216" s="1335"/>
      <c r="F216" s="467">
        <f t="shared" si="119"/>
        <v>0</v>
      </c>
      <c r="G216" s="467">
        <f t="shared" si="119"/>
        <v>0</v>
      </c>
      <c r="H216" s="467" t="str">
        <f t="shared" si="119"/>
        <v/>
      </c>
      <c r="I216" s="467"/>
      <c r="J216" s="467"/>
      <c r="K216" s="467"/>
      <c r="L216" s="467"/>
      <c r="M216" s="474">
        <f t="shared" si="120"/>
        <v>0</v>
      </c>
      <c r="N216" s="474">
        <f t="shared" ref="N216:AX216" si="144">IF($H216=TMDAllocationTandM,1,IF($H145&gt;0,N145/$H145+M216,0))</f>
        <v>0</v>
      </c>
      <c r="O216" s="474">
        <f t="shared" si="144"/>
        <v>0</v>
      </c>
      <c r="P216" s="474">
        <f t="shared" si="144"/>
        <v>0</v>
      </c>
      <c r="Q216" s="474">
        <f t="shared" si="144"/>
        <v>0</v>
      </c>
      <c r="R216" s="474">
        <f t="shared" si="144"/>
        <v>0</v>
      </c>
      <c r="S216" s="474">
        <f t="shared" si="144"/>
        <v>0</v>
      </c>
      <c r="T216" s="474">
        <f t="shared" si="144"/>
        <v>0</v>
      </c>
      <c r="U216" s="474">
        <f t="shared" si="144"/>
        <v>0</v>
      </c>
      <c r="V216" s="474">
        <f t="shared" si="144"/>
        <v>0</v>
      </c>
      <c r="W216" s="474">
        <f t="shared" si="144"/>
        <v>0</v>
      </c>
      <c r="X216" s="474">
        <f t="shared" si="144"/>
        <v>0</v>
      </c>
      <c r="Y216" s="474">
        <f t="shared" si="144"/>
        <v>0</v>
      </c>
      <c r="Z216" s="474">
        <f t="shared" si="144"/>
        <v>0</v>
      </c>
      <c r="AA216" s="474">
        <f t="shared" si="144"/>
        <v>0</v>
      </c>
      <c r="AB216" s="474">
        <f t="shared" si="144"/>
        <v>0</v>
      </c>
      <c r="AC216" s="474">
        <f t="shared" si="144"/>
        <v>0</v>
      </c>
      <c r="AD216" s="474">
        <f t="shared" si="144"/>
        <v>0</v>
      </c>
      <c r="AE216" s="474">
        <f t="shared" si="144"/>
        <v>0</v>
      </c>
      <c r="AF216" s="474">
        <f t="shared" si="144"/>
        <v>0</v>
      </c>
      <c r="AG216" s="474">
        <f t="shared" si="144"/>
        <v>0</v>
      </c>
      <c r="AH216" s="474">
        <f t="shared" si="144"/>
        <v>0</v>
      </c>
      <c r="AI216" s="474">
        <f t="shared" si="144"/>
        <v>0</v>
      </c>
      <c r="AJ216" s="474">
        <f t="shared" si="144"/>
        <v>0</v>
      </c>
      <c r="AK216" s="474">
        <f t="shared" si="144"/>
        <v>0</v>
      </c>
      <c r="AL216" s="474">
        <f t="shared" si="144"/>
        <v>0</v>
      </c>
      <c r="AM216" s="474">
        <f t="shared" si="144"/>
        <v>0</v>
      </c>
      <c r="AN216" s="474">
        <f t="shared" si="144"/>
        <v>0</v>
      </c>
      <c r="AO216" s="474">
        <f t="shared" si="144"/>
        <v>0</v>
      </c>
      <c r="AP216" s="474">
        <f t="shared" si="144"/>
        <v>0</v>
      </c>
      <c r="AQ216" s="474">
        <f t="shared" si="144"/>
        <v>0</v>
      </c>
      <c r="AR216" s="474">
        <f t="shared" si="144"/>
        <v>0</v>
      </c>
      <c r="AS216" s="474">
        <f t="shared" si="144"/>
        <v>0</v>
      </c>
      <c r="AT216" s="474">
        <f t="shared" si="144"/>
        <v>0</v>
      </c>
      <c r="AU216" s="474">
        <f t="shared" si="144"/>
        <v>0</v>
      </c>
      <c r="AV216" s="474">
        <f t="shared" si="144"/>
        <v>0</v>
      </c>
      <c r="AW216" s="474">
        <f t="shared" si="144"/>
        <v>0</v>
      </c>
      <c r="AX216" s="474">
        <f t="shared" si="144"/>
        <v>0</v>
      </c>
      <c r="AY216" s="141"/>
    </row>
    <row r="217" spans="1:51">
      <c r="A217" s="1335">
        <f t="shared" si="122"/>
        <v>0</v>
      </c>
      <c r="B217" s="1335"/>
      <c r="C217" s="1335"/>
      <c r="D217" s="1335"/>
      <c r="E217" s="1335"/>
      <c r="F217" s="467">
        <f t="shared" si="119"/>
        <v>0</v>
      </c>
      <c r="G217" s="467">
        <f t="shared" si="119"/>
        <v>0</v>
      </c>
      <c r="H217" s="467" t="str">
        <f t="shared" si="119"/>
        <v/>
      </c>
      <c r="I217" s="467"/>
      <c r="J217" s="467"/>
      <c r="K217" s="467"/>
      <c r="L217" s="467"/>
      <c r="M217" s="474">
        <f t="shared" si="120"/>
        <v>0</v>
      </c>
      <c r="N217" s="474">
        <f t="shared" ref="N217:AX217" si="145">IF($H217=TMDAllocationTandM,1,IF($H146&gt;0,N146/$H146+M217,0))</f>
        <v>0</v>
      </c>
      <c r="O217" s="474">
        <f t="shared" si="145"/>
        <v>0</v>
      </c>
      <c r="P217" s="474">
        <f t="shared" si="145"/>
        <v>0</v>
      </c>
      <c r="Q217" s="474">
        <f t="shared" si="145"/>
        <v>0</v>
      </c>
      <c r="R217" s="474">
        <f t="shared" si="145"/>
        <v>0</v>
      </c>
      <c r="S217" s="474">
        <f t="shared" si="145"/>
        <v>0</v>
      </c>
      <c r="T217" s="474">
        <f t="shared" si="145"/>
        <v>0</v>
      </c>
      <c r="U217" s="474">
        <f t="shared" si="145"/>
        <v>0</v>
      </c>
      <c r="V217" s="474">
        <f t="shared" si="145"/>
        <v>0</v>
      </c>
      <c r="W217" s="474">
        <f t="shared" si="145"/>
        <v>0</v>
      </c>
      <c r="X217" s="474">
        <f t="shared" si="145"/>
        <v>0</v>
      </c>
      <c r="Y217" s="474">
        <f t="shared" si="145"/>
        <v>0</v>
      </c>
      <c r="Z217" s="474">
        <f t="shared" si="145"/>
        <v>0</v>
      </c>
      <c r="AA217" s="474">
        <f t="shared" si="145"/>
        <v>0</v>
      </c>
      <c r="AB217" s="474">
        <f t="shared" si="145"/>
        <v>0</v>
      </c>
      <c r="AC217" s="474">
        <f t="shared" si="145"/>
        <v>0</v>
      </c>
      <c r="AD217" s="474">
        <f t="shared" si="145"/>
        <v>0</v>
      </c>
      <c r="AE217" s="474">
        <f t="shared" si="145"/>
        <v>0</v>
      </c>
      <c r="AF217" s="474">
        <f t="shared" si="145"/>
        <v>0</v>
      </c>
      <c r="AG217" s="474">
        <f t="shared" si="145"/>
        <v>0</v>
      </c>
      <c r="AH217" s="474">
        <f t="shared" si="145"/>
        <v>0</v>
      </c>
      <c r="AI217" s="474">
        <f t="shared" si="145"/>
        <v>0</v>
      </c>
      <c r="AJ217" s="474">
        <f t="shared" si="145"/>
        <v>0</v>
      </c>
      <c r="AK217" s="474">
        <f t="shared" si="145"/>
        <v>0</v>
      </c>
      <c r="AL217" s="474">
        <f t="shared" si="145"/>
        <v>0</v>
      </c>
      <c r="AM217" s="474">
        <f t="shared" si="145"/>
        <v>0</v>
      </c>
      <c r="AN217" s="474">
        <f t="shared" si="145"/>
        <v>0</v>
      </c>
      <c r="AO217" s="474">
        <f t="shared" si="145"/>
        <v>0</v>
      </c>
      <c r="AP217" s="474">
        <f t="shared" si="145"/>
        <v>0</v>
      </c>
      <c r="AQ217" s="474">
        <f t="shared" si="145"/>
        <v>0</v>
      </c>
      <c r="AR217" s="474">
        <f t="shared" si="145"/>
        <v>0</v>
      </c>
      <c r="AS217" s="474">
        <f t="shared" si="145"/>
        <v>0</v>
      </c>
      <c r="AT217" s="474">
        <f t="shared" si="145"/>
        <v>0</v>
      </c>
      <c r="AU217" s="474">
        <f t="shared" si="145"/>
        <v>0</v>
      </c>
      <c r="AV217" s="474">
        <f t="shared" si="145"/>
        <v>0</v>
      </c>
      <c r="AW217" s="474">
        <f t="shared" si="145"/>
        <v>0</v>
      </c>
      <c r="AX217" s="474">
        <f t="shared" si="145"/>
        <v>0</v>
      </c>
      <c r="AY217" s="141"/>
    </row>
    <row r="218" spans="1:51">
      <c r="A218" s="1335">
        <f t="shared" si="122"/>
        <v>0</v>
      </c>
      <c r="B218" s="1335"/>
      <c r="C218" s="1335"/>
      <c r="D218" s="1335"/>
      <c r="E218" s="1335"/>
      <c r="F218" s="467">
        <f t="shared" si="119"/>
        <v>0</v>
      </c>
      <c r="G218" s="467">
        <f t="shared" si="119"/>
        <v>0</v>
      </c>
      <c r="H218" s="467" t="str">
        <f t="shared" si="119"/>
        <v/>
      </c>
      <c r="I218" s="467"/>
      <c r="J218" s="467"/>
      <c r="K218" s="467"/>
      <c r="L218" s="467"/>
      <c r="M218" s="474">
        <f t="shared" si="120"/>
        <v>0</v>
      </c>
      <c r="N218" s="474">
        <f t="shared" ref="N218:AX218" si="146">IF($H218=TMDAllocationTandM,1,IF($H147&gt;0,N147/$H147+M218,0))</f>
        <v>0</v>
      </c>
      <c r="O218" s="474">
        <f t="shared" si="146"/>
        <v>0</v>
      </c>
      <c r="P218" s="474">
        <f t="shared" si="146"/>
        <v>0</v>
      </c>
      <c r="Q218" s="474">
        <f t="shared" si="146"/>
        <v>0</v>
      </c>
      <c r="R218" s="474">
        <f t="shared" si="146"/>
        <v>0</v>
      </c>
      <c r="S218" s="474">
        <f t="shared" si="146"/>
        <v>0</v>
      </c>
      <c r="T218" s="474">
        <f t="shared" si="146"/>
        <v>0</v>
      </c>
      <c r="U218" s="474">
        <f t="shared" si="146"/>
        <v>0</v>
      </c>
      <c r="V218" s="474">
        <f t="shared" si="146"/>
        <v>0</v>
      </c>
      <c r="W218" s="474">
        <f t="shared" si="146"/>
        <v>0</v>
      </c>
      <c r="X218" s="474">
        <f t="shared" si="146"/>
        <v>0</v>
      </c>
      <c r="Y218" s="474">
        <f t="shared" si="146"/>
        <v>0</v>
      </c>
      <c r="Z218" s="474">
        <f t="shared" si="146"/>
        <v>0</v>
      </c>
      <c r="AA218" s="474">
        <f t="shared" si="146"/>
        <v>0</v>
      </c>
      <c r="AB218" s="474">
        <f t="shared" si="146"/>
        <v>0</v>
      </c>
      <c r="AC218" s="474">
        <f t="shared" si="146"/>
        <v>0</v>
      </c>
      <c r="AD218" s="474">
        <f t="shared" si="146"/>
        <v>0</v>
      </c>
      <c r="AE218" s="474">
        <f t="shared" si="146"/>
        <v>0</v>
      </c>
      <c r="AF218" s="474">
        <f t="shared" si="146"/>
        <v>0</v>
      </c>
      <c r="AG218" s="474">
        <f t="shared" si="146"/>
        <v>0</v>
      </c>
      <c r="AH218" s="474">
        <f t="shared" si="146"/>
        <v>0</v>
      </c>
      <c r="AI218" s="474">
        <f t="shared" si="146"/>
        <v>0</v>
      </c>
      <c r="AJ218" s="474">
        <f t="shared" si="146"/>
        <v>0</v>
      </c>
      <c r="AK218" s="474">
        <f t="shared" si="146"/>
        <v>0</v>
      </c>
      <c r="AL218" s="474">
        <f t="shared" si="146"/>
        <v>0</v>
      </c>
      <c r="AM218" s="474">
        <f t="shared" si="146"/>
        <v>0</v>
      </c>
      <c r="AN218" s="474">
        <f t="shared" si="146"/>
        <v>0</v>
      </c>
      <c r="AO218" s="474">
        <f t="shared" si="146"/>
        <v>0</v>
      </c>
      <c r="AP218" s="474">
        <f t="shared" si="146"/>
        <v>0</v>
      </c>
      <c r="AQ218" s="474">
        <f t="shared" si="146"/>
        <v>0</v>
      </c>
      <c r="AR218" s="474">
        <f t="shared" si="146"/>
        <v>0</v>
      </c>
      <c r="AS218" s="474">
        <f t="shared" si="146"/>
        <v>0</v>
      </c>
      <c r="AT218" s="474">
        <f t="shared" si="146"/>
        <v>0</v>
      </c>
      <c r="AU218" s="474">
        <f t="shared" si="146"/>
        <v>0</v>
      </c>
      <c r="AV218" s="474">
        <f t="shared" si="146"/>
        <v>0</v>
      </c>
      <c r="AW218" s="474">
        <f t="shared" si="146"/>
        <v>0</v>
      </c>
      <c r="AX218" s="474">
        <f t="shared" si="146"/>
        <v>0</v>
      </c>
      <c r="AY218" s="141"/>
    </row>
    <row r="219" spans="1:51">
      <c r="A219" s="1335">
        <f t="shared" si="122"/>
        <v>0</v>
      </c>
      <c r="B219" s="1335"/>
      <c r="C219" s="1335"/>
      <c r="D219" s="1335"/>
      <c r="E219" s="1335"/>
      <c r="F219" s="467">
        <f t="shared" si="119"/>
        <v>0</v>
      </c>
      <c r="G219" s="467">
        <f t="shared" si="119"/>
        <v>0</v>
      </c>
      <c r="H219" s="467" t="str">
        <f t="shared" si="119"/>
        <v/>
      </c>
      <c r="I219" s="467"/>
      <c r="J219" s="467"/>
      <c r="K219" s="467"/>
      <c r="L219" s="467"/>
      <c r="M219" s="474">
        <f t="shared" si="120"/>
        <v>0</v>
      </c>
      <c r="N219" s="474">
        <f t="shared" ref="N219:AX219" si="147">IF($H219=TMDAllocationTandM,1,IF($H148&gt;0,N148/$H148+M219,0))</f>
        <v>0</v>
      </c>
      <c r="O219" s="474">
        <f t="shared" si="147"/>
        <v>0</v>
      </c>
      <c r="P219" s="474">
        <f t="shared" si="147"/>
        <v>0</v>
      </c>
      <c r="Q219" s="474">
        <f t="shared" si="147"/>
        <v>0</v>
      </c>
      <c r="R219" s="474">
        <f t="shared" si="147"/>
        <v>0</v>
      </c>
      <c r="S219" s="474">
        <f t="shared" si="147"/>
        <v>0</v>
      </c>
      <c r="T219" s="474">
        <f t="shared" si="147"/>
        <v>0</v>
      </c>
      <c r="U219" s="474">
        <f t="shared" si="147"/>
        <v>0</v>
      </c>
      <c r="V219" s="474">
        <f t="shared" si="147"/>
        <v>0</v>
      </c>
      <c r="W219" s="474">
        <f t="shared" si="147"/>
        <v>0</v>
      </c>
      <c r="X219" s="474">
        <f t="shared" si="147"/>
        <v>0</v>
      </c>
      <c r="Y219" s="474">
        <f t="shared" si="147"/>
        <v>0</v>
      </c>
      <c r="Z219" s="474">
        <f t="shared" si="147"/>
        <v>0</v>
      </c>
      <c r="AA219" s="474">
        <f t="shared" si="147"/>
        <v>0</v>
      </c>
      <c r="AB219" s="474">
        <f t="shared" si="147"/>
        <v>0</v>
      </c>
      <c r="AC219" s="474">
        <f t="shared" si="147"/>
        <v>0</v>
      </c>
      <c r="AD219" s="474">
        <f t="shared" si="147"/>
        <v>0</v>
      </c>
      <c r="AE219" s="474">
        <f t="shared" si="147"/>
        <v>0</v>
      </c>
      <c r="AF219" s="474">
        <f t="shared" si="147"/>
        <v>0</v>
      </c>
      <c r="AG219" s="474">
        <f t="shared" si="147"/>
        <v>0</v>
      </c>
      <c r="AH219" s="474">
        <f t="shared" si="147"/>
        <v>0</v>
      </c>
      <c r="AI219" s="474">
        <f t="shared" si="147"/>
        <v>0</v>
      </c>
      <c r="AJ219" s="474">
        <f t="shared" si="147"/>
        <v>0</v>
      </c>
      <c r="AK219" s="474">
        <f t="shared" si="147"/>
        <v>0</v>
      </c>
      <c r="AL219" s="474">
        <f t="shared" si="147"/>
        <v>0</v>
      </c>
      <c r="AM219" s="474">
        <f t="shared" si="147"/>
        <v>0</v>
      </c>
      <c r="AN219" s="474">
        <f t="shared" si="147"/>
        <v>0</v>
      </c>
      <c r="AO219" s="474">
        <f t="shared" si="147"/>
        <v>0</v>
      </c>
      <c r="AP219" s="474">
        <f t="shared" si="147"/>
        <v>0</v>
      </c>
      <c r="AQ219" s="474">
        <f t="shared" si="147"/>
        <v>0</v>
      </c>
      <c r="AR219" s="474">
        <f t="shared" si="147"/>
        <v>0</v>
      </c>
      <c r="AS219" s="474">
        <f t="shared" si="147"/>
        <v>0</v>
      </c>
      <c r="AT219" s="474">
        <f t="shared" si="147"/>
        <v>0</v>
      </c>
      <c r="AU219" s="474">
        <f t="shared" si="147"/>
        <v>0</v>
      </c>
      <c r="AV219" s="474">
        <f t="shared" si="147"/>
        <v>0</v>
      </c>
      <c r="AW219" s="474">
        <f t="shared" si="147"/>
        <v>0</v>
      </c>
      <c r="AX219" s="474">
        <f t="shared" si="147"/>
        <v>0</v>
      </c>
      <c r="AY219" s="141"/>
    </row>
    <row r="220" spans="1:51">
      <c r="A220" s="1335">
        <f t="shared" si="122"/>
        <v>0</v>
      </c>
      <c r="B220" s="1335"/>
      <c r="C220" s="1335"/>
      <c r="D220" s="1335"/>
      <c r="E220" s="1335"/>
      <c r="F220" s="467">
        <f t="shared" si="119"/>
        <v>0</v>
      </c>
      <c r="G220" s="467">
        <f t="shared" si="119"/>
        <v>0</v>
      </c>
      <c r="H220" s="467" t="str">
        <f t="shared" si="119"/>
        <v/>
      </c>
      <c r="I220" s="467"/>
      <c r="J220" s="467"/>
      <c r="K220" s="467"/>
      <c r="L220" s="467"/>
      <c r="M220" s="474">
        <f t="shared" si="120"/>
        <v>0</v>
      </c>
      <c r="N220" s="474">
        <f t="shared" ref="N220:AX220" si="148">IF($H220=TMDAllocationTandM,1,IF($H149&gt;0,N149/$H149+M220,0))</f>
        <v>0</v>
      </c>
      <c r="O220" s="474">
        <f t="shared" si="148"/>
        <v>0</v>
      </c>
      <c r="P220" s="474">
        <f t="shared" si="148"/>
        <v>0</v>
      </c>
      <c r="Q220" s="474">
        <f t="shared" si="148"/>
        <v>0</v>
      </c>
      <c r="R220" s="474">
        <f t="shared" si="148"/>
        <v>0</v>
      </c>
      <c r="S220" s="474">
        <f t="shared" si="148"/>
        <v>0</v>
      </c>
      <c r="T220" s="474">
        <f t="shared" si="148"/>
        <v>0</v>
      </c>
      <c r="U220" s="474">
        <f t="shared" si="148"/>
        <v>0</v>
      </c>
      <c r="V220" s="474">
        <f t="shared" si="148"/>
        <v>0</v>
      </c>
      <c r="W220" s="474">
        <f t="shared" si="148"/>
        <v>0</v>
      </c>
      <c r="X220" s="474">
        <f t="shared" si="148"/>
        <v>0</v>
      </c>
      <c r="Y220" s="474">
        <f t="shared" si="148"/>
        <v>0</v>
      </c>
      <c r="Z220" s="474">
        <f t="shared" si="148"/>
        <v>0</v>
      </c>
      <c r="AA220" s="474">
        <f t="shared" si="148"/>
        <v>0</v>
      </c>
      <c r="AB220" s="474">
        <f t="shared" si="148"/>
        <v>0</v>
      </c>
      <c r="AC220" s="474">
        <f t="shared" si="148"/>
        <v>0</v>
      </c>
      <c r="AD220" s="474">
        <f t="shared" si="148"/>
        <v>0</v>
      </c>
      <c r="AE220" s="474">
        <f t="shared" si="148"/>
        <v>0</v>
      </c>
      <c r="AF220" s="474">
        <f t="shared" si="148"/>
        <v>0</v>
      </c>
      <c r="AG220" s="474">
        <f t="shared" si="148"/>
        <v>0</v>
      </c>
      <c r="AH220" s="474">
        <f t="shared" si="148"/>
        <v>0</v>
      </c>
      <c r="AI220" s="474">
        <f t="shared" si="148"/>
        <v>0</v>
      </c>
      <c r="AJ220" s="474">
        <f t="shared" si="148"/>
        <v>0</v>
      </c>
      <c r="AK220" s="474">
        <f t="shared" si="148"/>
        <v>0</v>
      </c>
      <c r="AL220" s="474">
        <f t="shared" si="148"/>
        <v>0</v>
      </c>
      <c r="AM220" s="474">
        <f t="shared" si="148"/>
        <v>0</v>
      </c>
      <c r="AN220" s="474">
        <f t="shared" si="148"/>
        <v>0</v>
      </c>
      <c r="AO220" s="474">
        <f t="shared" si="148"/>
        <v>0</v>
      </c>
      <c r="AP220" s="474">
        <f t="shared" si="148"/>
        <v>0</v>
      </c>
      <c r="AQ220" s="474">
        <f t="shared" si="148"/>
        <v>0</v>
      </c>
      <c r="AR220" s="474">
        <f t="shared" si="148"/>
        <v>0</v>
      </c>
      <c r="AS220" s="474">
        <f t="shared" si="148"/>
        <v>0</v>
      </c>
      <c r="AT220" s="474">
        <f t="shared" si="148"/>
        <v>0</v>
      </c>
      <c r="AU220" s="474">
        <f t="shared" si="148"/>
        <v>0</v>
      </c>
      <c r="AV220" s="474">
        <f t="shared" si="148"/>
        <v>0</v>
      </c>
      <c r="AW220" s="474">
        <f t="shared" si="148"/>
        <v>0</v>
      </c>
      <c r="AX220" s="474">
        <f t="shared" si="148"/>
        <v>0</v>
      </c>
      <c r="AY220" s="141"/>
    </row>
    <row r="221" spans="1:51">
      <c r="A221" s="1335">
        <f t="shared" si="122"/>
        <v>0</v>
      </c>
      <c r="B221" s="1335"/>
      <c r="C221" s="1335"/>
      <c r="D221" s="1335"/>
      <c r="E221" s="1335"/>
      <c r="F221" s="467">
        <f t="shared" si="119"/>
        <v>0</v>
      </c>
      <c r="G221" s="467">
        <f t="shared" si="119"/>
        <v>0</v>
      </c>
      <c r="H221" s="467" t="str">
        <f t="shared" si="119"/>
        <v/>
      </c>
      <c r="I221" s="467"/>
      <c r="J221" s="467"/>
      <c r="K221" s="467"/>
      <c r="L221" s="467"/>
      <c r="M221" s="474">
        <f t="shared" si="120"/>
        <v>0</v>
      </c>
      <c r="N221" s="474">
        <f t="shared" ref="N221:AX221" si="149">IF($H221=TMDAllocationTandM,1,IF($H150&gt;0,N150/$H150+M221,0))</f>
        <v>0</v>
      </c>
      <c r="O221" s="474">
        <f t="shared" si="149"/>
        <v>0</v>
      </c>
      <c r="P221" s="474">
        <f t="shared" si="149"/>
        <v>0</v>
      </c>
      <c r="Q221" s="474">
        <f t="shared" si="149"/>
        <v>0</v>
      </c>
      <c r="R221" s="474">
        <f t="shared" si="149"/>
        <v>0</v>
      </c>
      <c r="S221" s="474">
        <f t="shared" si="149"/>
        <v>0</v>
      </c>
      <c r="T221" s="474">
        <f t="shared" si="149"/>
        <v>0</v>
      </c>
      <c r="U221" s="474">
        <f t="shared" si="149"/>
        <v>0</v>
      </c>
      <c r="V221" s="474">
        <f t="shared" si="149"/>
        <v>0</v>
      </c>
      <c r="W221" s="474">
        <f t="shared" si="149"/>
        <v>0</v>
      </c>
      <c r="X221" s="474">
        <f t="shared" si="149"/>
        <v>0</v>
      </c>
      <c r="Y221" s="474">
        <f t="shared" si="149"/>
        <v>0</v>
      </c>
      <c r="Z221" s="474">
        <f t="shared" si="149"/>
        <v>0</v>
      </c>
      <c r="AA221" s="474">
        <f t="shared" si="149"/>
        <v>0</v>
      </c>
      <c r="AB221" s="474">
        <f t="shared" si="149"/>
        <v>0</v>
      </c>
      <c r="AC221" s="474">
        <f t="shared" si="149"/>
        <v>0</v>
      </c>
      <c r="AD221" s="474">
        <f t="shared" si="149"/>
        <v>0</v>
      </c>
      <c r="AE221" s="474">
        <f t="shared" si="149"/>
        <v>0</v>
      </c>
      <c r="AF221" s="474">
        <f t="shared" si="149"/>
        <v>0</v>
      </c>
      <c r="AG221" s="474">
        <f t="shared" si="149"/>
        <v>0</v>
      </c>
      <c r="AH221" s="474">
        <f t="shared" si="149"/>
        <v>0</v>
      </c>
      <c r="AI221" s="474">
        <f t="shared" si="149"/>
        <v>0</v>
      </c>
      <c r="AJ221" s="474">
        <f t="shared" si="149"/>
        <v>0</v>
      </c>
      <c r="AK221" s="474">
        <f t="shared" si="149"/>
        <v>0</v>
      </c>
      <c r="AL221" s="474">
        <f t="shared" si="149"/>
        <v>0</v>
      </c>
      <c r="AM221" s="474">
        <f t="shared" si="149"/>
        <v>0</v>
      </c>
      <c r="AN221" s="474">
        <f t="shared" si="149"/>
        <v>0</v>
      </c>
      <c r="AO221" s="474">
        <f t="shared" si="149"/>
        <v>0</v>
      </c>
      <c r="AP221" s="474">
        <f t="shared" si="149"/>
        <v>0</v>
      </c>
      <c r="AQ221" s="474">
        <f t="shared" si="149"/>
        <v>0</v>
      </c>
      <c r="AR221" s="474">
        <f t="shared" si="149"/>
        <v>0</v>
      </c>
      <c r="AS221" s="474">
        <f t="shared" si="149"/>
        <v>0</v>
      </c>
      <c r="AT221" s="474">
        <f t="shared" si="149"/>
        <v>0</v>
      </c>
      <c r="AU221" s="474">
        <f t="shared" si="149"/>
        <v>0</v>
      </c>
      <c r="AV221" s="474">
        <f t="shared" si="149"/>
        <v>0</v>
      </c>
      <c r="AW221" s="474">
        <f t="shared" si="149"/>
        <v>0</v>
      </c>
      <c r="AX221" s="474">
        <f t="shared" si="149"/>
        <v>0</v>
      </c>
      <c r="AY221" s="141"/>
    </row>
    <row r="222" spans="1:51">
      <c r="A222" s="1335">
        <f t="shared" si="122"/>
        <v>0</v>
      </c>
      <c r="B222" s="1335"/>
      <c r="C222" s="1335"/>
      <c r="D222" s="1335"/>
      <c r="E222" s="1335"/>
      <c r="F222" s="467">
        <f t="shared" si="119"/>
        <v>0</v>
      </c>
      <c r="G222" s="467">
        <f t="shared" si="119"/>
        <v>0</v>
      </c>
      <c r="H222" s="467" t="str">
        <f t="shared" si="119"/>
        <v/>
      </c>
      <c r="I222" s="467"/>
      <c r="J222" s="467"/>
      <c r="K222" s="467"/>
      <c r="L222" s="467"/>
      <c r="M222" s="474">
        <f t="shared" si="120"/>
        <v>0</v>
      </c>
      <c r="N222" s="474">
        <f t="shared" ref="N222:AX222" si="150">IF($H222=TMDAllocationTandM,1,IF($H151&gt;0,N151/$H151+M222,0))</f>
        <v>0</v>
      </c>
      <c r="O222" s="474">
        <f t="shared" si="150"/>
        <v>0</v>
      </c>
      <c r="P222" s="474">
        <f t="shared" si="150"/>
        <v>0</v>
      </c>
      <c r="Q222" s="474">
        <f t="shared" si="150"/>
        <v>0</v>
      </c>
      <c r="R222" s="474">
        <f t="shared" si="150"/>
        <v>0</v>
      </c>
      <c r="S222" s="474">
        <f t="shared" si="150"/>
        <v>0</v>
      </c>
      <c r="T222" s="474">
        <f t="shared" si="150"/>
        <v>0</v>
      </c>
      <c r="U222" s="474">
        <f t="shared" si="150"/>
        <v>0</v>
      </c>
      <c r="V222" s="474">
        <f t="shared" si="150"/>
        <v>0</v>
      </c>
      <c r="W222" s="474">
        <f t="shared" si="150"/>
        <v>0</v>
      </c>
      <c r="X222" s="474">
        <f t="shared" si="150"/>
        <v>0</v>
      </c>
      <c r="Y222" s="474">
        <f t="shared" si="150"/>
        <v>0</v>
      </c>
      <c r="Z222" s="474">
        <f t="shared" si="150"/>
        <v>0</v>
      </c>
      <c r="AA222" s="474">
        <f t="shared" si="150"/>
        <v>0</v>
      </c>
      <c r="AB222" s="474">
        <f t="shared" si="150"/>
        <v>0</v>
      </c>
      <c r="AC222" s="474">
        <f t="shared" si="150"/>
        <v>0</v>
      </c>
      <c r="AD222" s="474">
        <f t="shared" si="150"/>
        <v>0</v>
      </c>
      <c r="AE222" s="474">
        <f t="shared" si="150"/>
        <v>0</v>
      </c>
      <c r="AF222" s="474">
        <f t="shared" si="150"/>
        <v>0</v>
      </c>
      <c r="AG222" s="474">
        <f t="shared" si="150"/>
        <v>0</v>
      </c>
      <c r="AH222" s="474">
        <f t="shared" si="150"/>
        <v>0</v>
      </c>
      <c r="AI222" s="474">
        <f t="shared" si="150"/>
        <v>0</v>
      </c>
      <c r="AJ222" s="474">
        <f t="shared" si="150"/>
        <v>0</v>
      </c>
      <c r="AK222" s="474">
        <f t="shared" si="150"/>
        <v>0</v>
      </c>
      <c r="AL222" s="474">
        <f t="shared" si="150"/>
        <v>0</v>
      </c>
      <c r="AM222" s="474">
        <f t="shared" si="150"/>
        <v>0</v>
      </c>
      <c r="AN222" s="474">
        <f t="shared" si="150"/>
        <v>0</v>
      </c>
      <c r="AO222" s="474">
        <f t="shared" si="150"/>
        <v>0</v>
      </c>
      <c r="AP222" s="474">
        <f t="shared" si="150"/>
        <v>0</v>
      </c>
      <c r="AQ222" s="474">
        <f t="shared" si="150"/>
        <v>0</v>
      </c>
      <c r="AR222" s="474">
        <f t="shared" si="150"/>
        <v>0</v>
      </c>
      <c r="AS222" s="474">
        <f t="shared" si="150"/>
        <v>0</v>
      </c>
      <c r="AT222" s="474">
        <f t="shared" si="150"/>
        <v>0</v>
      </c>
      <c r="AU222" s="474">
        <f t="shared" si="150"/>
        <v>0</v>
      </c>
      <c r="AV222" s="474">
        <f t="shared" si="150"/>
        <v>0</v>
      </c>
      <c r="AW222" s="474">
        <f t="shared" si="150"/>
        <v>0</v>
      </c>
      <c r="AX222" s="474">
        <f t="shared" si="150"/>
        <v>0</v>
      </c>
      <c r="AY222" s="141"/>
    </row>
    <row r="223" spans="1:51">
      <c r="A223" s="1335">
        <f t="shared" si="122"/>
        <v>0</v>
      </c>
      <c r="B223" s="1335"/>
      <c r="C223" s="1335"/>
      <c r="D223" s="1335"/>
      <c r="E223" s="1335"/>
      <c r="F223" s="467">
        <f t="shared" si="119"/>
        <v>0</v>
      </c>
      <c r="G223" s="467">
        <f t="shared" si="119"/>
        <v>0</v>
      </c>
      <c r="H223" s="467" t="str">
        <f t="shared" si="119"/>
        <v/>
      </c>
      <c r="I223" s="467"/>
      <c r="J223" s="467"/>
      <c r="K223" s="467"/>
      <c r="L223" s="467"/>
      <c r="M223" s="474">
        <f t="shared" si="120"/>
        <v>0</v>
      </c>
      <c r="N223" s="474">
        <f t="shared" ref="N223:AX223" si="151">IF($H223=TMDAllocationTandM,1,IF($H152&gt;0,N152/$H152+M223,0))</f>
        <v>0</v>
      </c>
      <c r="O223" s="474">
        <f t="shared" si="151"/>
        <v>0</v>
      </c>
      <c r="P223" s="474">
        <f t="shared" si="151"/>
        <v>0</v>
      </c>
      <c r="Q223" s="474">
        <f t="shared" si="151"/>
        <v>0</v>
      </c>
      <c r="R223" s="474">
        <f t="shared" si="151"/>
        <v>0</v>
      </c>
      <c r="S223" s="474">
        <f t="shared" si="151"/>
        <v>0</v>
      </c>
      <c r="T223" s="474">
        <f t="shared" si="151"/>
        <v>0</v>
      </c>
      <c r="U223" s="474">
        <f t="shared" si="151"/>
        <v>0</v>
      </c>
      <c r="V223" s="474">
        <f t="shared" si="151"/>
        <v>0</v>
      </c>
      <c r="W223" s="474">
        <f t="shared" si="151"/>
        <v>0</v>
      </c>
      <c r="X223" s="474">
        <f t="shared" si="151"/>
        <v>0</v>
      </c>
      <c r="Y223" s="474">
        <f t="shared" si="151"/>
        <v>0</v>
      </c>
      <c r="Z223" s="474">
        <f t="shared" si="151"/>
        <v>0</v>
      </c>
      <c r="AA223" s="474">
        <f t="shared" si="151"/>
        <v>0</v>
      </c>
      <c r="AB223" s="474">
        <f t="shared" si="151"/>
        <v>0</v>
      </c>
      <c r="AC223" s="474">
        <f t="shared" si="151"/>
        <v>0</v>
      </c>
      <c r="AD223" s="474">
        <f t="shared" si="151"/>
        <v>0</v>
      </c>
      <c r="AE223" s="474">
        <f t="shared" si="151"/>
        <v>0</v>
      </c>
      <c r="AF223" s="474">
        <f t="shared" si="151"/>
        <v>0</v>
      </c>
      <c r="AG223" s="474">
        <f t="shared" si="151"/>
        <v>0</v>
      </c>
      <c r="AH223" s="474">
        <f t="shared" si="151"/>
        <v>0</v>
      </c>
      <c r="AI223" s="474">
        <f t="shared" si="151"/>
        <v>0</v>
      </c>
      <c r="AJ223" s="474">
        <f t="shared" si="151"/>
        <v>0</v>
      </c>
      <c r="AK223" s="474">
        <f t="shared" si="151"/>
        <v>0</v>
      </c>
      <c r="AL223" s="474">
        <f t="shared" si="151"/>
        <v>0</v>
      </c>
      <c r="AM223" s="474">
        <f t="shared" si="151"/>
        <v>0</v>
      </c>
      <c r="AN223" s="474">
        <f t="shared" si="151"/>
        <v>0</v>
      </c>
      <c r="AO223" s="474">
        <f t="shared" si="151"/>
        <v>0</v>
      </c>
      <c r="AP223" s="474">
        <f t="shared" si="151"/>
        <v>0</v>
      </c>
      <c r="AQ223" s="474">
        <f t="shared" si="151"/>
        <v>0</v>
      </c>
      <c r="AR223" s="474">
        <f t="shared" si="151"/>
        <v>0</v>
      </c>
      <c r="AS223" s="474">
        <f t="shared" si="151"/>
        <v>0</v>
      </c>
      <c r="AT223" s="474">
        <f t="shared" si="151"/>
        <v>0</v>
      </c>
      <c r="AU223" s="474">
        <f t="shared" si="151"/>
        <v>0</v>
      </c>
      <c r="AV223" s="474">
        <f t="shared" si="151"/>
        <v>0</v>
      </c>
      <c r="AW223" s="474">
        <f t="shared" si="151"/>
        <v>0</v>
      </c>
      <c r="AX223" s="474">
        <f t="shared" si="151"/>
        <v>0</v>
      </c>
      <c r="AY223" s="141"/>
    </row>
    <row r="224" spans="1:51">
      <c r="A224" s="1336" t="s">
        <v>829</v>
      </c>
      <c r="B224" s="1337"/>
      <c r="C224" s="1337"/>
      <c r="D224" s="1337"/>
      <c r="E224" s="1338"/>
      <c r="F224" s="440"/>
      <c r="G224" s="440"/>
      <c r="H224" s="440"/>
      <c r="I224" s="440"/>
      <c r="J224" s="440"/>
      <c r="K224" s="440"/>
      <c r="L224" s="440"/>
      <c r="M224" s="475"/>
      <c r="N224" s="475"/>
      <c r="O224" s="475"/>
      <c r="P224" s="475"/>
      <c r="Q224" s="475"/>
      <c r="R224" s="475"/>
      <c r="S224" s="475"/>
      <c r="T224" s="475"/>
      <c r="U224" s="475"/>
      <c r="V224" s="475"/>
      <c r="W224" s="475"/>
      <c r="X224" s="475"/>
      <c r="Y224" s="475"/>
      <c r="Z224" s="475"/>
      <c r="AA224" s="475"/>
      <c r="AB224" s="475"/>
      <c r="AC224" s="475"/>
      <c r="AD224" s="475"/>
      <c r="AE224" s="475"/>
      <c r="AF224" s="475"/>
      <c r="AG224" s="475"/>
      <c r="AH224" s="475"/>
      <c r="AI224" s="475"/>
      <c r="AJ224" s="475"/>
      <c r="AK224" s="475"/>
      <c r="AL224" s="475"/>
      <c r="AM224" s="475"/>
      <c r="AN224" s="475"/>
      <c r="AO224" s="475"/>
      <c r="AP224" s="475"/>
      <c r="AQ224" s="475"/>
      <c r="AR224" s="475"/>
      <c r="AS224" s="475"/>
      <c r="AT224" s="475"/>
      <c r="AU224" s="475"/>
      <c r="AV224" s="475"/>
      <c r="AW224" s="475"/>
      <c r="AX224" s="475"/>
      <c r="AY224" s="141"/>
    </row>
    <row r="225" spans="1:52">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41"/>
      <c r="AM225" s="141"/>
      <c r="AN225" s="141"/>
      <c r="AO225" s="141"/>
      <c r="AP225" s="141"/>
      <c r="AQ225" s="141"/>
      <c r="AR225" s="141"/>
      <c r="AS225" s="141"/>
      <c r="AT225" s="141"/>
      <c r="AU225" s="141"/>
      <c r="AV225" s="141"/>
      <c r="AW225" s="141"/>
      <c r="AX225" s="141"/>
      <c r="AY225" s="141"/>
      <c r="AZ225" s="141"/>
    </row>
    <row r="226" spans="1:52">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41"/>
      <c r="AM226" s="141"/>
      <c r="AN226" s="141"/>
      <c r="AO226" s="141"/>
      <c r="AP226" s="141"/>
      <c r="AQ226" s="141"/>
      <c r="AR226" s="141"/>
      <c r="AS226" s="141"/>
      <c r="AT226" s="141"/>
      <c r="AU226" s="141"/>
      <c r="AV226" s="141"/>
      <c r="AW226" s="141"/>
      <c r="AX226" s="141"/>
      <c r="AY226" s="141"/>
      <c r="AZ226" s="141"/>
    </row>
    <row r="239" spans="1:52">
      <c r="A239" s="141"/>
      <c r="B239" s="141"/>
      <c r="C239" s="141"/>
      <c r="D239" s="141"/>
      <c r="E239" s="141"/>
      <c r="F239" s="141"/>
      <c r="G239" s="141"/>
      <c r="H239" s="141"/>
      <c r="I239" s="141"/>
      <c r="J239" s="141"/>
      <c r="K239" s="141"/>
      <c r="L239" s="141"/>
      <c r="M239" s="141" t="e">
        <f>$H$123/$L$121*M240</f>
        <v>#DIV/0!</v>
      </c>
      <c r="N239" s="141" t="e">
        <f>$H$123/$L$121*N240</f>
        <v>#DIV/0!</v>
      </c>
      <c r="O239" s="141" t="e">
        <f>$H$123/$L$121*O240</f>
        <v>#DIV/0!</v>
      </c>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41"/>
      <c r="AM239" s="141"/>
      <c r="AN239" s="141"/>
      <c r="AO239" s="141"/>
      <c r="AP239" s="141"/>
      <c r="AQ239" s="141"/>
      <c r="AR239" s="141"/>
      <c r="AS239" s="141"/>
      <c r="AT239" s="141"/>
      <c r="AU239" s="141"/>
      <c r="AV239" s="141"/>
      <c r="AW239" s="141"/>
      <c r="AX239" s="141"/>
      <c r="AY239" s="141"/>
      <c r="AZ239" s="141"/>
    </row>
    <row r="240" spans="1:52" ht="15.6">
      <c r="A240" s="1340" t="s">
        <v>808</v>
      </c>
      <c r="B240" s="1340"/>
      <c r="C240" s="1340"/>
      <c r="D240" s="1340"/>
      <c r="E240" s="1340"/>
      <c r="F240" s="141"/>
      <c r="G240" s="141"/>
      <c r="H240" s="141"/>
      <c r="I240" s="141"/>
      <c r="J240" s="141"/>
      <c r="K240" s="141"/>
      <c r="L240" s="141">
        <f>G242-F242</f>
        <v>0</v>
      </c>
      <c r="M240" s="141">
        <f>O241-F242</f>
        <v>41774</v>
      </c>
      <c r="N240" s="141">
        <f>P241-O241</f>
        <v>14</v>
      </c>
      <c r="O240" s="141">
        <f>Q241-G242</f>
        <v>41802</v>
      </c>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41"/>
      <c r="AM240" s="141"/>
      <c r="AN240" s="141"/>
      <c r="AO240" s="141"/>
      <c r="AP240" s="141"/>
      <c r="AQ240" s="141"/>
      <c r="AR240" s="141"/>
      <c r="AS240" s="141"/>
      <c r="AT240" s="141"/>
      <c r="AU240" s="141"/>
      <c r="AV240" s="141"/>
      <c r="AW240" s="141"/>
      <c r="AX240" s="141"/>
      <c r="AY240" s="141"/>
      <c r="AZ240" s="141"/>
    </row>
    <row r="241" spans="1:54">
      <c r="A241" s="1339" t="s">
        <v>767</v>
      </c>
      <c r="B241" s="1339"/>
      <c r="C241" s="1339"/>
      <c r="D241" s="1339"/>
      <c r="E241" s="1339"/>
      <c r="F241" s="441" t="s">
        <v>779</v>
      </c>
      <c r="G241" s="441" t="s">
        <v>780</v>
      </c>
      <c r="H241" s="441" t="s">
        <v>984</v>
      </c>
      <c r="I241" s="448" t="s">
        <v>204</v>
      </c>
      <c r="J241" s="448" t="s">
        <v>985</v>
      </c>
      <c r="K241" s="441" t="s">
        <v>793</v>
      </c>
      <c r="L241" s="441" t="s">
        <v>794</v>
      </c>
      <c r="M241" s="441" t="s">
        <v>795</v>
      </c>
      <c r="N241" s="441" t="s">
        <v>796</v>
      </c>
      <c r="O241" s="466">
        <f t="array" ref="O241:AZ241">MDReportingDates</f>
        <v>41774</v>
      </c>
      <c r="P241" s="466">
        <v>41788</v>
      </c>
      <c r="Q241" s="466">
        <v>41802</v>
      </c>
      <c r="R241" s="466">
        <v>41816</v>
      </c>
      <c r="S241" s="466">
        <v>41830</v>
      </c>
      <c r="T241" s="466">
        <v>41844</v>
      </c>
      <c r="U241" s="466">
        <v>41858</v>
      </c>
      <c r="V241" s="466">
        <v>41872</v>
      </c>
      <c r="W241" s="466">
        <v>41886</v>
      </c>
      <c r="X241" s="466">
        <v>41900</v>
      </c>
      <c r="Y241" s="466">
        <v>41914</v>
      </c>
      <c r="Z241" s="466">
        <v>41928</v>
      </c>
      <c r="AA241" s="466">
        <v>41942</v>
      </c>
      <c r="AB241" s="466">
        <v>41956</v>
      </c>
      <c r="AC241" s="466">
        <v>41970</v>
      </c>
      <c r="AD241" s="466">
        <v>41984</v>
      </c>
      <c r="AE241" s="466">
        <v>41998</v>
      </c>
      <c r="AF241" s="466">
        <v>42012</v>
      </c>
      <c r="AG241" s="466">
        <v>42026</v>
      </c>
      <c r="AH241" s="466">
        <v>42040</v>
      </c>
      <c r="AI241" s="466">
        <v>42054</v>
      </c>
      <c r="AJ241" s="466">
        <v>42068</v>
      </c>
      <c r="AK241" s="466">
        <v>42082</v>
      </c>
      <c r="AL241" s="466">
        <v>42096</v>
      </c>
      <c r="AM241" s="466">
        <v>42110</v>
      </c>
      <c r="AN241" s="466">
        <v>42124</v>
      </c>
      <c r="AO241" s="466">
        <v>42138</v>
      </c>
      <c r="AP241" s="466">
        <v>42152</v>
      </c>
      <c r="AQ241" s="466">
        <v>42166</v>
      </c>
      <c r="AR241" s="466">
        <v>42180</v>
      </c>
      <c r="AS241" s="466">
        <v>42194</v>
      </c>
      <c r="AT241" s="466">
        <v>42208</v>
      </c>
      <c r="AU241" s="466">
        <v>42222</v>
      </c>
      <c r="AV241" s="466">
        <v>42236</v>
      </c>
      <c r="AW241" s="466">
        <v>42250</v>
      </c>
      <c r="AX241" s="466">
        <v>42264</v>
      </c>
      <c r="AY241" s="466">
        <v>42278</v>
      </c>
      <c r="AZ241" s="466">
        <v>42292</v>
      </c>
      <c r="BA241" s="440" t="s">
        <v>205</v>
      </c>
      <c r="BB241" s="141"/>
    </row>
    <row r="242" spans="1:54">
      <c r="A242" s="1335" t="str">
        <f>$B$13</f>
        <v>GEFI Migration</v>
      </c>
      <c r="B242" s="1335"/>
      <c r="C242" s="1335"/>
      <c r="D242" s="1335"/>
      <c r="E242" s="1335"/>
      <c r="F242" s="467">
        <f>OpeningTemplate!$D$46</f>
        <v>0</v>
      </c>
      <c r="G242" s="467">
        <f>OpeningTemplate!$E$46</f>
        <v>0</v>
      </c>
      <c r="H242" s="476">
        <f>G242-F242</f>
        <v>0</v>
      </c>
      <c r="I242" s="446">
        <f>J13</f>
        <v>584</v>
      </c>
      <c r="J242" s="468">
        <f>IF(H242&lt;&gt;0,I242/H242,0)</f>
        <v>0</v>
      </c>
      <c r="K242" s="467">
        <f t="shared" ref="K242:K271" si="152">IF(I242&gt;0,INDEX(MDReportingDates,1,COUNTIF(MDReportingDates,"&lt;"&amp;F242)+1),0)</f>
        <v>41774</v>
      </c>
      <c r="L242" s="467">
        <f t="shared" ref="L242:L271" si="153">IF(I242&gt;0,IF(ISERROR(MATCH(G242,MDReportingDates,1)),INDEX(MDReportingDates,1,1),INDEX(MDReportingDates,1,MATCH(G242,MDReportingDates,1)+1)),0)</f>
        <v>41774</v>
      </c>
      <c r="M242" s="469">
        <f t="shared" ref="M242:M271" si="154">IF(I242&gt;0,IF(MDReportingPeriod=TMDMonthly,ROUND(DAYS360(K242,L242)/30+0.5,0),IF(MDReportingPeriod=TMDTwoweekly,ROUND((L242-K242)/14+0.5,0),IF(MDReportingPeriod=TMDWeekly,ROUND((L242-K242)/7+0.5,0),0))),0)</f>
        <v>1</v>
      </c>
      <c r="N242" s="469">
        <f t="shared" ref="N242:N271" si="155">IF(M242&gt;0,I242/M242,0)</f>
        <v>584</v>
      </c>
      <c r="O242" s="469">
        <f>IF(AND(O241&gt;=$K242,O241&lt;=$L242),IF(P242&gt;0,(O241-F242)*J242,(O241-G242)*J242),0)</f>
        <v>0</v>
      </c>
      <c r="P242" s="469">
        <f>IF(AND(P241&gt;=$K242,P241&lt;=$L242),IF(Q242&gt;0,(P241-O241)*J242,(P241-H242)*J242),0)</f>
        <v>0</v>
      </c>
      <c r="Q242" s="469">
        <f>IF(AND(Q241&gt;=$K242,Q241&lt;=$L242),IF(R242&gt;0,(Q241-P241)*J242,(Q241-G242)*J242),0)</f>
        <v>0</v>
      </c>
      <c r="R242" s="470">
        <f t="shared" ref="R242:R271" si="156">IF(AND(P$122&gt;=$K242,P$122&lt;=$L242),$N242,0)</f>
        <v>0</v>
      </c>
      <c r="S242" s="470">
        <f t="shared" ref="S242:S271" si="157">IF(AND(Q$122&gt;=$K242,Q$122&lt;=$L242),$N242,0)</f>
        <v>0</v>
      </c>
      <c r="T242" s="470">
        <f t="shared" ref="T242:T271" si="158">IF(AND(R$122&gt;=$K242,R$122&lt;=$L242),$N242,0)</f>
        <v>0</v>
      </c>
      <c r="U242" s="470">
        <f t="shared" ref="U242:U271" si="159">IF(AND(S$122&gt;=$K242,S$122&lt;=$L242),$N242,0)</f>
        <v>0</v>
      </c>
      <c r="V242" s="470">
        <f t="shared" ref="V242:V271" si="160">IF(AND(T$122&gt;=$K242,T$122&lt;=$L242),$N242,0)</f>
        <v>0</v>
      </c>
      <c r="W242" s="470">
        <f t="shared" ref="W242:W271" si="161">IF(AND(U$122&gt;=$K242,U$122&lt;=$L242),$N242,0)</f>
        <v>0</v>
      </c>
      <c r="X242" s="470">
        <f t="shared" ref="X242:X271" si="162">IF(AND(V$122&gt;=$K242,V$122&lt;=$L242),$N242,0)</f>
        <v>0</v>
      </c>
      <c r="Y242" s="470">
        <f t="shared" ref="Y242:Y271" si="163">IF(AND(W$122&gt;=$K242,W$122&lt;=$L242),$N242,0)</f>
        <v>0</v>
      </c>
      <c r="Z242" s="470">
        <f t="shared" ref="Z242:Z271" si="164">IF(AND(X$122&gt;=$K242,X$122&lt;=$L242),$N242,0)</f>
        <v>0</v>
      </c>
      <c r="AA242" s="470">
        <f t="shared" ref="AA242:AA271" si="165">IF(AND(Y$122&gt;=$K242,Y$122&lt;=$L242),$N242,0)</f>
        <v>0</v>
      </c>
      <c r="AB242" s="470">
        <f t="shared" ref="AB242:AB271" si="166">IF(AND(Z$122&gt;=$K242,Z$122&lt;=$L242),$N242,0)</f>
        <v>0</v>
      </c>
      <c r="AC242" s="470">
        <f t="shared" ref="AC242:AC271" si="167">IF(AND(AA$122&gt;=$K242,AA$122&lt;=$L242),$N242,0)</f>
        <v>0</v>
      </c>
      <c r="AD242" s="470">
        <f t="shared" ref="AD242:AD271" si="168">IF(AND(AB$122&gt;=$K242,AB$122&lt;=$L242),$N242,0)</f>
        <v>0</v>
      </c>
      <c r="AE242" s="470">
        <f t="shared" ref="AE242:AE271" si="169">IF(AND(AC$122&gt;=$K242,AC$122&lt;=$L242),$N242,0)</f>
        <v>0</v>
      </c>
      <c r="AF242" s="470">
        <f t="shared" ref="AF242:AF271" si="170">IF(AND(AD$122&gt;=$K242,AD$122&lt;=$L242),$N242,0)</f>
        <v>0</v>
      </c>
      <c r="AG242" s="470">
        <f t="shared" ref="AG242:AG271" si="171">IF(AND(AE$122&gt;=$K242,AE$122&lt;=$L242),$N242,0)</f>
        <v>0</v>
      </c>
      <c r="AH242" s="470">
        <f t="shared" ref="AH242:AH271" si="172">IF(AND(AF$122&gt;=$K242,AF$122&lt;=$L242),$N242,0)</f>
        <v>0</v>
      </c>
      <c r="AI242" s="470">
        <f t="shared" ref="AI242:AI271" si="173">IF(AND(AG$122&gt;=$K242,AG$122&lt;=$L242),$N242,0)</f>
        <v>0</v>
      </c>
      <c r="AJ242" s="470">
        <f t="shared" ref="AJ242:AJ271" si="174">IF(AND(AH$122&gt;=$K242,AH$122&lt;=$L242),$N242,0)</f>
        <v>0</v>
      </c>
      <c r="AK242" s="470">
        <f t="shared" ref="AK242:AK271" si="175">IF(AND(AI$122&gt;=$K242,AI$122&lt;=$L242),$N242,0)</f>
        <v>0</v>
      </c>
      <c r="AL242" s="470">
        <f t="shared" ref="AL242:AL271" si="176">IF(AND(AJ$122&gt;=$K242,AJ$122&lt;=$L242),$N242,0)</f>
        <v>0</v>
      </c>
      <c r="AM242" s="470">
        <f t="shared" ref="AM242:AM271" si="177">IF(AND(AK$122&gt;=$K242,AK$122&lt;=$L242),$N242,0)</f>
        <v>0</v>
      </c>
      <c r="AN242" s="470">
        <f t="shared" ref="AN242:AN271" si="178">IF(AND(AL$122&gt;=$K242,AL$122&lt;=$L242),$N242,0)</f>
        <v>0</v>
      </c>
      <c r="AO242" s="470">
        <f t="shared" ref="AO242:AO271" si="179">IF(AND(AM$122&gt;=$K242,AM$122&lt;=$L242),$N242,0)</f>
        <v>0</v>
      </c>
      <c r="AP242" s="470">
        <f t="shared" ref="AP242:AP271" si="180">IF(AND(AN$122&gt;=$K242,AN$122&lt;=$L242),$N242,0)</f>
        <v>0</v>
      </c>
      <c r="AQ242" s="470">
        <f t="shared" ref="AQ242:AQ271" si="181">IF(AND(AO$122&gt;=$K242,AO$122&lt;=$L242),$N242,0)</f>
        <v>0</v>
      </c>
      <c r="AR242" s="470">
        <f t="shared" ref="AR242:AR271" si="182">IF(AND(AP$122&gt;=$K242,AP$122&lt;=$L242),$N242,0)</f>
        <v>0</v>
      </c>
      <c r="AS242" s="470">
        <f t="shared" ref="AS242:AS271" si="183">IF(AND(AQ$122&gt;=$K242,AQ$122&lt;=$L242),$N242,0)</f>
        <v>0</v>
      </c>
      <c r="AT242" s="470">
        <f t="shared" ref="AT242:AT271" si="184">IF(AND(AR$122&gt;=$K242,AR$122&lt;=$L242),$N242,0)</f>
        <v>0</v>
      </c>
      <c r="AU242" s="470">
        <f t="shared" ref="AU242:AU271" si="185">IF(AND(AS$122&gt;=$K242,AS$122&lt;=$L242),$N242,0)</f>
        <v>0</v>
      </c>
      <c r="AV242" s="470">
        <f t="shared" ref="AV242:AV271" si="186">IF(AND(AT$122&gt;=$K242,AT$122&lt;=$L242),$N242,0)</f>
        <v>0</v>
      </c>
      <c r="AW242" s="470">
        <f t="shared" ref="AW242:AW271" si="187">IF(AND(AU$122&gt;=$K242,AU$122&lt;=$L242),$N242,0)</f>
        <v>0</v>
      </c>
      <c r="AX242" s="470">
        <f t="shared" ref="AX242:AX271" si="188">IF(AND(AV$122&gt;=$K242,AV$122&lt;=$L242),$N242,0)</f>
        <v>0</v>
      </c>
      <c r="AY242" s="470">
        <f t="shared" ref="AY242:AY271" si="189">IF(AND(AW$122&gt;=$K242,AW$122&lt;=$L242),$N242,0)</f>
        <v>0</v>
      </c>
      <c r="AZ242" s="470">
        <f t="shared" ref="AZ242:AZ271" si="190">IF(AND(AX$122&gt;=$K242,AX$122&lt;=$L242),$N242,0)</f>
        <v>0</v>
      </c>
      <c r="BA242" s="470">
        <f t="shared" ref="BA242:BA271" si="191">SUM(O242:AZ242)</f>
        <v>0</v>
      </c>
      <c r="BB242" s="141"/>
    </row>
    <row r="243" spans="1:54">
      <c r="A243" s="1335">
        <f>$B$14</f>
        <v>0</v>
      </c>
      <c r="B243" s="1335"/>
      <c r="C243" s="1335"/>
      <c r="D243" s="1335"/>
      <c r="E243" s="1335"/>
      <c r="F243" s="467">
        <f>OpeningTemplate!$D$56</f>
        <v>0</v>
      </c>
      <c r="G243" s="467">
        <f>OpeningTemplate!$E$56</f>
        <v>0</v>
      </c>
      <c r="H243" s="476">
        <f t="shared" ref="H243:H271" si="192">G243-F243</f>
        <v>0</v>
      </c>
      <c r="I243" s="446">
        <f t="shared" ref="I243:I271" si="193">J14</f>
        <v>0</v>
      </c>
      <c r="J243" s="468">
        <f t="shared" ref="J243:J271" si="194">IF(H243&lt;&gt;0,I243/H243,0)</f>
        <v>0</v>
      </c>
      <c r="K243" s="467">
        <f t="shared" si="152"/>
        <v>0</v>
      </c>
      <c r="L243" s="467">
        <f t="shared" si="153"/>
        <v>0</v>
      </c>
      <c r="M243" s="469">
        <f t="shared" si="154"/>
        <v>0</v>
      </c>
      <c r="N243" s="469">
        <f t="shared" si="155"/>
        <v>0</v>
      </c>
      <c r="O243" s="470">
        <f t="shared" ref="O243:O271" si="195">IF(AND(M$122&gt;=$K243,M$122&lt;=$L243),$N243,0)</f>
        <v>0</v>
      </c>
      <c r="P243" s="470">
        <f t="shared" ref="P243:P271" si="196">IF(AND(N$122&gt;=$K243,N$122&lt;=$L243),$N243,0)</f>
        <v>0</v>
      </c>
      <c r="Q243" s="470">
        <f t="shared" ref="Q243:Q271" si="197">IF(AND(O$122&gt;=$K243,O$122&lt;=$L243),$N243,0)</f>
        <v>0</v>
      </c>
      <c r="R243" s="470">
        <f t="shared" si="156"/>
        <v>0</v>
      </c>
      <c r="S243" s="470">
        <f t="shared" si="157"/>
        <v>0</v>
      </c>
      <c r="T243" s="470">
        <f t="shared" si="158"/>
        <v>0</v>
      </c>
      <c r="U243" s="470">
        <f t="shared" si="159"/>
        <v>0</v>
      </c>
      <c r="V243" s="470">
        <f t="shared" si="160"/>
        <v>0</v>
      </c>
      <c r="W243" s="470">
        <f t="shared" si="161"/>
        <v>0</v>
      </c>
      <c r="X243" s="470">
        <f t="shared" si="162"/>
        <v>0</v>
      </c>
      <c r="Y243" s="470">
        <f t="shared" si="163"/>
        <v>0</v>
      </c>
      <c r="Z243" s="470">
        <f t="shared" si="164"/>
        <v>0</v>
      </c>
      <c r="AA243" s="470">
        <f t="shared" si="165"/>
        <v>0</v>
      </c>
      <c r="AB243" s="470">
        <f t="shared" si="166"/>
        <v>0</v>
      </c>
      <c r="AC243" s="470">
        <f t="shared" si="167"/>
        <v>0</v>
      </c>
      <c r="AD243" s="470">
        <f t="shared" si="168"/>
        <v>0</v>
      </c>
      <c r="AE243" s="470">
        <f t="shared" si="169"/>
        <v>0</v>
      </c>
      <c r="AF243" s="470">
        <f t="shared" si="170"/>
        <v>0</v>
      </c>
      <c r="AG243" s="470">
        <f t="shared" si="171"/>
        <v>0</v>
      </c>
      <c r="AH243" s="470">
        <f t="shared" si="172"/>
        <v>0</v>
      </c>
      <c r="AI243" s="470">
        <f t="shared" si="173"/>
        <v>0</v>
      </c>
      <c r="AJ243" s="470">
        <f t="shared" si="174"/>
        <v>0</v>
      </c>
      <c r="AK243" s="470">
        <f t="shared" si="175"/>
        <v>0</v>
      </c>
      <c r="AL243" s="470">
        <f t="shared" si="176"/>
        <v>0</v>
      </c>
      <c r="AM243" s="470">
        <f t="shared" si="177"/>
        <v>0</v>
      </c>
      <c r="AN243" s="470">
        <f t="shared" si="178"/>
        <v>0</v>
      </c>
      <c r="AO243" s="470">
        <f t="shared" si="179"/>
        <v>0</v>
      </c>
      <c r="AP243" s="470">
        <f t="shared" si="180"/>
        <v>0</v>
      </c>
      <c r="AQ243" s="470">
        <f t="shared" si="181"/>
        <v>0</v>
      </c>
      <c r="AR243" s="470">
        <f t="shared" si="182"/>
        <v>0</v>
      </c>
      <c r="AS243" s="470">
        <f t="shared" si="183"/>
        <v>0</v>
      </c>
      <c r="AT243" s="470">
        <f t="shared" si="184"/>
        <v>0</v>
      </c>
      <c r="AU243" s="470">
        <f t="shared" si="185"/>
        <v>0</v>
      </c>
      <c r="AV243" s="470">
        <f t="shared" si="186"/>
        <v>0</v>
      </c>
      <c r="AW243" s="470">
        <f t="shared" si="187"/>
        <v>0</v>
      </c>
      <c r="AX243" s="470">
        <f t="shared" si="188"/>
        <v>0</v>
      </c>
      <c r="AY243" s="470">
        <f t="shared" si="189"/>
        <v>0</v>
      </c>
      <c r="AZ243" s="470">
        <f t="shared" si="190"/>
        <v>0</v>
      </c>
      <c r="BA243" s="470">
        <f t="shared" si="191"/>
        <v>0</v>
      </c>
      <c r="BB243" s="141"/>
    </row>
    <row r="244" spans="1:54">
      <c r="A244" s="1335">
        <f>$B$15</f>
        <v>0</v>
      </c>
      <c r="B244" s="1335"/>
      <c r="C244" s="1335"/>
      <c r="D244" s="1335"/>
      <c r="E244" s="1335"/>
      <c r="F244" s="467">
        <f>OpeningTemplate!$D$66</f>
        <v>0</v>
      </c>
      <c r="G244" s="467">
        <f>OpeningTemplate!$E$66</f>
        <v>0</v>
      </c>
      <c r="H244" s="476">
        <f t="shared" si="192"/>
        <v>0</v>
      </c>
      <c r="I244" s="446">
        <f t="shared" si="193"/>
        <v>0</v>
      </c>
      <c r="J244" s="468">
        <f t="shared" si="194"/>
        <v>0</v>
      </c>
      <c r="K244" s="467">
        <f t="shared" si="152"/>
        <v>0</v>
      </c>
      <c r="L244" s="467">
        <f t="shared" si="153"/>
        <v>0</v>
      </c>
      <c r="M244" s="469">
        <f t="shared" si="154"/>
        <v>0</v>
      </c>
      <c r="N244" s="469">
        <f t="shared" si="155"/>
        <v>0</v>
      </c>
      <c r="O244" s="470">
        <f t="shared" si="195"/>
        <v>0</v>
      </c>
      <c r="P244" s="470">
        <f t="shared" si="196"/>
        <v>0</v>
      </c>
      <c r="Q244" s="470">
        <f t="shared" si="197"/>
        <v>0</v>
      </c>
      <c r="R244" s="470">
        <f t="shared" si="156"/>
        <v>0</v>
      </c>
      <c r="S244" s="470">
        <f t="shared" si="157"/>
        <v>0</v>
      </c>
      <c r="T244" s="470">
        <f t="shared" si="158"/>
        <v>0</v>
      </c>
      <c r="U244" s="470">
        <f t="shared" si="159"/>
        <v>0</v>
      </c>
      <c r="V244" s="470">
        <f t="shared" si="160"/>
        <v>0</v>
      </c>
      <c r="W244" s="470">
        <f t="shared" si="161"/>
        <v>0</v>
      </c>
      <c r="X244" s="470">
        <f t="shared" si="162"/>
        <v>0</v>
      </c>
      <c r="Y244" s="470">
        <f t="shared" si="163"/>
        <v>0</v>
      </c>
      <c r="Z244" s="470">
        <f t="shared" si="164"/>
        <v>0</v>
      </c>
      <c r="AA244" s="470">
        <f t="shared" si="165"/>
        <v>0</v>
      </c>
      <c r="AB244" s="470">
        <f t="shared" si="166"/>
        <v>0</v>
      </c>
      <c r="AC244" s="470">
        <f t="shared" si="167"/>
        <v>0</v>
      </c>
      <c r="AD244" s="470">
        <f t="shared" si="168"/>
        <v>0</v>
      </c>
      <c r="AE244" s="470">
        <f t="shared" si="169"/>
        <v>0</v>
      </c>
      <c r="AF244" s="470">
        <f t="shared" si="170"/>
        <v>0</v>
      </c>
      <c r="AG244" s="470">
        <f t="shared" si="171"/>
        <v>0</v>
      </c>
      <c r="AH244" s="470">
        <f t="shared" si="172"/>
        <v>0</v>
      </c>
      <c r="AI244" s="470">
        <f t="shared" si="173"/>
        <v>0</v>
      </c>
      <c r="AJ244" s="470">
        <f t="shared" si="174"/>
        <v>0</v>
      </c>
      <c r="AK244" s="470">
        <f t="shared" si="175"/>
        <v>0</v>
      </c>
      <c r="AL244" s="470">
        <f t="shared" si="176"/>
        <v>0</v>
      </c>
      <c r="AM244" s="470">
        <f t="shared" si="177"/>
        <v>0</v>
      </c>
      <c r="AN244" s="470">
        <f t="shared" si="178"/>
        <v>0</v>
      </c>
      <c r="AO244" s="470">
        <f t="shared" si="179"/>
        <v>0</v>
      </c>
      <c r="AP244" s="470">
        <f t="shared" si="180"/>
        <v>0</v>
      </c>
      <c r="AQ244" s="470">
        <f t="shared" si="181"/>
        <v>0</v>
      </c>
      <c r="AR244" s="470">
        <f t="shared" si="182"/>
        <v>0</v>
      </c>
      <c r="AS244" s="470">
        <f t="shared" si="183"/>
        <v>0</v>
      </c>
      <c r="AT244" s="470">
        <f t="shared" si="184"/>
        <v>0</v>
      </c>
      <c r="AU244" s="470">
        <f t="shared" si="185"/>
        <v>0</v>
      </c>
      <c r="AV244" s="470">
        <f t="shared" si="186"/>
        <v>0</v>
      </c>
      <c r="AW244" s="470">
        <f t="shared" si="187"/>
        <v>0</v>
      </c>
      <c r="AX244" s="470">
        <f t="shared" si="188"/>
        <v>0</v>
      </c>
      <c r="AY244" s="470">
        <f t="shared" si="189"/>
        <v>0</v>
      </c>
      <c r="AZ244" s="470">
        <f t="shared" si="190"/>
        <v>0</v>
      </c>
      <c r="BA244" s="470">
        <f t="shared" si="191"/>
        <v>0</v>
      </c>
      <c r="BB244" s="141"/>
    </row>
    <row r="245" spans="1:54">
      <c r="A245" s="1335">
        <f>$B$16</f>
        <v>0</v>
      </c>
      <c r="B245" s="1335"/>
      <c r="C245" s="1335"/>
      <c r="D245" s="1335"/>
      <c r="E245" s="1335"/>
      <c r="F245" s="467">
        <f>OpeningTemplate!$D$76</f>
        <v>0</v>
      </c>
      <c r="G245" s="467">
        <f>OpeningTemplate!$E$76</f>
        <v>0</v>
      </c>
      <c r="H245" s="476">
        <f t="shared" si="192"/>
        <v>0</v>
      </c>
      <c r="I245" s="446">
        <f t="shared" si="193"/>
        <v>0</v>
      </c>
      <c r="J245" s="468">
        <f t="shared" si="194"/>
        <v>0</v>
      </c>
      <c r="K245" s="467">
        <f t="shared" si="152"/>
        <v>0</v>
      </c>
      <c r="L245" s="467">
        <f t="shared" si="153"/>
        <v>0</v>
      </c>
      <c r="M245" s="469">
        <f t="shared" si="154"/>
        <v>0</v>
      </c>
      <c r="N245" s="469">
        <f t="shared" si="155"/>
        <v>0</v>
      </c>
      <c r="O245" s="470">
        <f t="shared" si="195"/>
        <v>0</v>
      </c>
      <c r="P245" s="470">
        <f t="shared" si="196"/>
        <v>0</v>
      </c>
      <c r="Q245" s="470">
        <f t="shared" si="197"/>
        <v>0</v>
      </c>
      <c r="R245" s="470">
        <f t="shared" si="156"/>
        <v>0</v>
      </c>
      <c r="S245" s="470">
        <f t="shared" si="157"/>
        <v>0</v>
      </c>
      <c r="T245" s="470">
        <f t="shared" si="158"/>
        <v>0</v>
      </c>
      <c r="U245" s="470">
        <f t="shared" si="159"/>
        <v>0</v>
      </c>
      <c r="V245" s="470">
        <f t="shared" si="160"/>
        <v>0</v>
      </c>
      <c r="W245" s="470">
        <f t="shared" si="161"/>
        <v>0</v>
      </c>
      <c r="X245" s="470">
        <f t="shared" si="162"/>
        <v>0</v>
      </c>
      <c r="Y245" s="470">
        <f t="shared" si="163"/>
        <v>0</v>
      </c>
      <c r="Z245" s="470">
        <f t="shared" si="164"/>
        <v>0</v>
      </c>
      <c r="AA245" s="470">
        <f t="shared" si="165"/>
        <v>0</v>
      </c>
      <c r="AB245" s="470">
        <f t="shared" si="166"/>
        <v>0</v>
      </c>
      <c r="AC245" s="470">
        <f t="shared" si="167"/>
        <v>0</v>
      </c>
      <c r="AD245" s="470">
        <f t="shared" si="168"/>
        <v>0</v>
      </c>
      <c r="AE245" s="470">
        <f t="shared" si="169"/>
        <v>0</v>
      </c>
      <c r="AF245" s="470">
        <f t="shared" si="170"/>
        <v>0</v>
      </c>
      <c r="AG245" s="470">
        <f t="shared" si="171"/>
        <v>0</v>
      </c>
      <c r="AH245" s="470">
        <f t="shared" si="172"/>
        <v>0</v>
      </c>
      <c r="AI245" s="470">
        <f t="shared" si="173"/>
        <v>0</v>
      </c>
      <c r="AJ245" s="470">
        <f t="shared" si="174"/>
        <v>0</v>
      </c>
      <c r="AK245" s="470">
        <f t="shared" si="175"/>
        <v>0</v>
      </c>
      <c r="AL245" s="470">
        <f t="shared" si="176"/>
        <v>0</v>
      </c>
      <c r="AM245" s="470">
        <f t="shared" si="177"/>
        <v>0</v>
      </c>
      <c r="AN245" s="470">
        <f t="shared" si="178"/>
        <v>0</v>
      </c>
      <c r="AO245" s="470">
        <f t="shared" si="179"/>
        <v>0</v>
      </c>
      <c r="AP245" s="470">
        <f t="shared" si="180"/>
        <v>0</v>
      </c>
      <c r="AQ245" s="470">
        <f t="shared" si="181"/>
        <v>0</v>
      </c>
      <c r="AR245" s="470">
        <f t="shared" si="182"/>
        <v>0</v>
      </c>
      <c r="AS245" s="470">
        <f t="shared" si="183"/>
        <v>0</v>
      </c>
      <c r="AT245" s="470">
        <f t="shared" si="184"/>
        <v>0</v>
      </c>
      <c r="AU245" s="470">
        <f t="shared" si="185"/>
        <v>0</v>
      </c>
      <c r="AV245" s="470">
        <f t="shared" si="186"/>
        <v>0</v>
      </c>
      <c r="AW245" s="470">
        <f t="shared" si="187"/>
        <v>0</v>
      </c>
      <c r="AX245" s="470">
        <f t="shared" si="188"/>
        <v>0</v>
      </c>
      <c r="AY245" s="470">
        <f t="shared" si="189"/>
        <v>0</v>
      </c>
      <c r="AZ245" s="470">
        <f t="shared" si="190"/>
        <v>0</v>
      </c>
      <c r="BA245" s="470">
        <f t="shared" si="191"/>
        <v>0</v>
      </c>
      <c r="BB245" s="141"/>
    </row>
    <row r="246" spans="1:54">
      <c r="A246" s="1335">
        <f>$B$17</f>
        <v>0</v>
      </c>
      <c r="B246" s="1335"/>
      <c r="C246" s="1335"/>
      <c r="D246" s="1335"/>
      <c r="E246" s="1335"/>
      <c r="F246" s="467">
        <f>OpeningTemplate!$D$86</f>
        <v>0</v>
      </c>
      <c r="G246" s="467">
        <f>OpeningTemplate!$E$86</f>
        <v>0</v>
      </c>
      <c r="H246" s="476">
        <f t="shared" si="192"/>
        <v>0</v>
      </c>
      <c r="I246" s="446">
        <f t="shared" si="193"/>
        <v>0</v>
      </c>
      <c r="J246" s="468">
        <f t="shared" si="194"/>
        <v>0</v>
      </c>
      <c r="K246" s="467">
        <f t="shared" si="152"/>
        <v>0</v>
      </c>
      <c r="L246" s="467">
        <f t="shared" si="153"/>
        <v>0</v>
      </c>
      <c r="M246" s="469">
        <f t="shared" si="154"/>
        <v>0</v>
      </c>
      <c r="N246" s="469">
        <f t="shared" si="155"/>
        <v>0</v>
      </c>
      <c r="O246" s="470">
        <f t="shared" si="195"/>
        <v>0</v>
      </c>
      <c r="P246" s="470">
        <f t="shared" si="196"/>
        <v>0</v>
      </c>
      <c r="Q246" s="470">
        <f t="shared" si="197"/>
        <v>0</v>
      </c>
      <c r="R246" s="470">
        <f t="shared" si="156"/>
        <v>0</v>
      </c>
      <c r="S246" s="470">
        <f t="shared" si="157"/>
        <v>0</v>
      </c>
      <c r="T246" s="470">
        <f t="shared" si="158"/>
        <v>0</v>
      </c>
      <c r="U246" s="470">
        <f t="shared" si="159"/>
        <v>0</v>
      </c>
      <c r="V246" s="470">
        <f t="shared" si="160"/>
        <v>0</v>
      </c>
      <c r="W246" s="470">
        <f t="shared" si="161"/>
        <v>0</v>
      </c>
      <c r="X246" s="470">
        <f t="shared" si="162"/>
        <v>0</v>
      </c>
      <c r="Y246" s="470">
        <f t="shared" si="163"/>
        <v>0</v>
      </c>
      <c r="Z246" s="470">
        <f t="shared" si="164"/>
        <v>0</v>
      </c>
      <c r="AA246" s="470">
        <f t="shared" si="165"/>
        <v>0</v>
      </c>
      <c r="AB246" s="470">
        <f t="shared" si="166"/>
        <v>0</v>
      </c>
      <c r="AC246" s="470">
        <f t="shared" si="167"/>
        <v>0</v>
      </c>
      <c r="AD246" s="470">
        <f t="shared" si="168"/>
        <v>0</v>
      </c>
      <c r="AE246" s="470">
        <f t="shared" si="169"/>
        <v>0</v>
      </c>
      <c r="AF246" s="470">
        <f t="shared" si="170"/>
        <v>0</v>
      </c>
      <c r="AG246" s="470">
        <f t="shared" si="171"/>
        <v>0</v>
      </c>
      <c r="AH246" s="470">
        <f t="shared" si="172"/>
        <v>0</v>
      </c>
      <c r="AI246" s="470">
        <f t="shared" si="173"/>
        <v>0</v>
      </c>
      <c r="AJ246" s="470">
        <f t="shared" si="174"/>
        <v>0</v>
      </c>
      <c r="AK246" s="470">
        <f t="shared" si="175"/>
        <v>0</v>
      </c>
      <c r="AL246" s="470">
        <f t="shared" si="176"/>
        <v>0</v>
      </c>
      <c r="AM246" s="470">
        <f t="shared" si="177"/>
        <v>0</v>
      </c>
      <c r="AN246" s="470">
        <f t="shared" si="178"/>
        <v>0</v>
      </c>
      <c r="AO246" s="470">
        <f t="shared" si="179"/>
        <v>0</v>
      </c>
      <c r="AP246" s="470">
        <f t="shared" si="180"/>
        <v>0</v>
      </c>
      <c r="AQ246" s="470">
        <f t="shared" si="181"/>
        <v>0</v>
      </c>
      <c r="AR246" s="470">
        <f t="shared" si="182"/>
        <v>0</v>
      </c>
      <c r="AS246" s="470">
        <f t="shared" si="183"/>
        <v>0</v>
      </c>
      <c r="AT246" s="470">
        <f t="shared" si="184"/>
        <v>0</v>
      </c>
      <c r="AU246" s="470">
        <f t="shared" si="185"/>
        <v>0</v>
      </c>
      <c r="AV246" s="470">
        <f t="shared" si="186"/>
        <v>0</v>
      </c>
      <c r="AW246" s="470">
        <f t="shared" si="187"/>
        <v>0</v>
      </c>
      <c r="AX246" s="470">
        <f t="shared" si="188"/>
        <v>0</v>
      </c>
      <c r="AY246" s="470">
        <f t="shared" si="189"/>
        <v>0</v>
      </c>
      <c r="AZ246" s="470">
        <f t="shared" si="190"/>
        <v>0</v>
      </c>
      <c r="BA246" s="470">
        <f t="shared" si="191"/>
        <v>0</v>
      </c>
      <c r="BB246" s="141"/>
    </row>
    <row r="247" spans="1:54">
      <c r="A247" s="1335">
        <f>$B$18</f>
        <v>0</v>
      </c>
      <c r="B247" s="1335"/>
      <c r="C247" s="1335"/>
      <c r="D247" s="1335"/>
      <c r="E247" s="1335"/>
      <c r="F247" s="467">
        <f>OpeningTemplate!$D$96</f>
        <v>0</v>
      </c>
      <c r="G247" s="467">
        <f>OpeningTemplate!$E$96</f>
        <v>0</v>
      </c>
      <c r="H247" s="476">
        <f t="shared" si="192"/>
        <v>0</v>
      </c>
      <c r="I247" s="446">
        <f t="shared" si="193"/>
        <v>0</v>
      </c>
      <c r="J247" s="468">
        <f t="shared" si="194"/>
        <v>0</v>
      </c>
      <c r="K247" s="467">
        <f t="shared" si="152"/>
        <v>0</v>
      </c>
      <c r="L247" s="467">
        <f t="shared" si="153"/>
        <v>0</v>
      </c>
      <c r="M247" s="469">
        <f t="shared" si="154"/>
        <v>0</v>
      </c>
      <c r="N247" s="469">
        <f t="shared" si="155"/>
        <v>0</v>
      </c>
      <c r="O247" s="470">
        <f t="shared" si="195"/>
        <v>0</v>
      </c>
      <c r="P247" s="470">
        <f t="shared" si="196"/>
        <v>0</v>
      </c>
      <c r="Q247" s="470">
        <f t="shared" si="197"/>
        <v>0</v>
      </c>
      <c r="R247" s="470">
        <f t="shared" si="156"/>
        <v>0</v>
      </c>
      <c r="S247" s="470">
        <f t="shared" si="157"/>
        <v>0</v>
      </c>
      <c r="T247" s="470">
        <f t="shared" si="158"/>
        <v>0</v>
      </c>
      <c r="U247" s="470">
        <f t="shared" si="159"/>
        <v>0</v>
      </c>
      <c r="V247" s="470">
        <f t="shared" si="160"/>
        <v>0</v>
      </c>
      <c r="W247" s="470">
        <f t="shared" si="161"/>
        <v>0</v>
      </c>
      <c r="X247" s="470">
        <f t="shared" si="162"/>
        <v>0</v>
      </c>
      <c r="Y247" s="470">
        <f t="shared" si="163"/>
        <v>0</v>
      </c>
      <c r="Z247" s="470">
        <f t="shared" si="164"/>
        <v>0</v>
      </c>
      <c r="AA247" s="470">
        <f t="shared" si="165"/>
        <v>0</v>
      </c>
      <c r="AB247" s="470">
        <f t="shared" si="166"/>
        <v>0</v>
      </c>
      <c r="AC247" s="470">
        <f t="shared" si="167"/>
        <v>0</v>
      </c>
      <c r="AD247" s="470">
        <f t="shared" si="168"/>
        <v>0</v>
      </c>
      <c r="AE247" s="470">
        <f t="shared" si="169"/>
        <v>0</v>
      </c>
      <c r="AF247" s="470">
        <f t="shared" si="170"/>
        <v>0</v>
      </c>
      <c r="AG247" s="470">
        <f t="shared" si="171"/>
        <v>0</v>
      </c>
      <c r="AH247" s="470">
        <f t="shared" si="172"/>
        <v>0</v>
      </c>
      <c r="AI247" s="470">
        <f t="shared" si="173"/>
        <v>0</v>
      </c>
      <c r="AJ247" s="470">
        <f t="shared" si="174"/>
        <v>0</v>
      </c>
      <c r="AK247" s="470">
        <f t="shared" si="175"/>
        <v>0</v>
      </c>
      <c r="AL247" s="470">
        <f t="shared" si="176"/>
        <v>0</v>
      </c>
      <c r="AM247" s="470">
        <f t="shared" si="177"/>
        <v>0</v>
      </c>
      <c r="AN247" s="470">
        <f t="shared" si="178"/>
        <v>0</v>
      </c>
      <c r="AO247" s="470">
        <f t="shared" si="179"/>
        <v>0</v>
      </c>
      <c r="AP247" s="470">
        <f t="shared" si="180"/>
        <v>0</v>
      </c>
      <c r="AQ247" s="470">
        <f t="shared" si="181"/>
        <v>0</v>
      </c>
      <c r="AR247" s="470">
        <f t="shared" si="182"/>
        <v>0</v>
      </c>
      <c r="AS247" s="470">
        <f t="shared" si="183"/>
        <v>0</v>
      </c>
      <c r="AT247" s="470">
        <f t="shared" si="184"/>
        <v>0</v>
      </c>
      <c r="AU247" s="470">
        <f t="shared" si="185"/>
        <v>0</v>
      </c>
      <c r="AV247" s="470">
        <f t="shared" si="186"/>
        <v>0</v>
      </c>
      <c r="AW247" s="470">
        <f t="shared" si="187"/>
        <v>0</v>
      </c>
      <c r="AX247" s="470">
        <f t="shared" si="188"/>
        <v>0</v>
      </c>
      <c r="AY247" s="470">
        <f t="shared" si="189"/>
        <v>0</v>
      </c>
      <c r="AZ247" s="470">
        <f t="shared" si="190"/>
        <v>0</v>
      </c>
      <c r="BA247" s="470">
        <f t="shared" si="191"/>
        <v>0</v>
      </c>
      <c r="BB247" s="141"/>
    </row>
    <row r="248" spans="1:54">
      <c r="A248" s="1335">
        <f>$B$19</f>
        <v>0</v>
      </c>
      <c r="B248" s="1335"/>
      <c r="C248" s="1335"/>
      <c r="D248" s="1335"/>
      <c r="E248" s="1335"/>
      <c r="F248" s="467">
        <f>OpeningTemplate!$D$106</f>
        <v>0</v>
      </c>
      <c r="G248" s="467">
        <f>OpeningTemplate!$E$106</f>
        <v>0</v>
      </c>
      <c r="H248" s="476">
        <f t="shared" si="192"/>
        <v>0</v>
      </c>
      <c r="I248" s="446">
        <f t="shared" si="193"/>
        <v>0</v>
      </c>
      <c r="J248" s="468">
        <f t="shared" si="194"/>
        <v>0</v>
      </c>
      <c r="K248" s="467">
        <f t="shared" si="152"/>
        <v>0</v>
      </c>
      <c r="L248" s="467">
        <f t="shared" si="153"/>
        <v>0</v>
      </c>
      <c r="M248" s="469">
        <f t="shared" si="154"/>
        <v>0</v>
      </c>
      <c r="N248" s="469">
        <f t="shared" si="155"/>
        <v>0</v>
      </c>
      <c r="O248" s="470">
        <f t="shared" si="195"/>
        <v>0</v>
      </c>
      <c r="P248" s="470">
        <f t="shared" si="196"/>
        <v>0</v>
      </c>
      <c r="Q248" s="470">
        <f t="shared" si="197"/>
        <v>0</v>
      </c>
      <c r="R248" s="470">
        <f t="shared" si="156"/>
        <v>0</v>
      </c>
      <c r="S248" s="470">
        <f t="shared" si="157"/>
        <v>0</v>
      </c>
      <c r="T248" s="470">
        <f t="shared" si="158"/>
        <v>0</v>
      </c>
      <c r="U248" s="470">
        <f t="shared" si="159"/>
        <v>0</v>
      </c>
      <c r="V248" s="470">
        <f t="shared" si="160"/>
        <v>0</v>
      </c>
      <c r="W248" s="470">
        <f t="shared" si="161"/>
        <v>0</v>
      </c>
      <c r="X248" s="470">
        <f t="shared" si="162"/>
        <v>0</v>
      </c>
      <c r="Y248" s="470">
        <f t="shared" si="163"/>
        <v>0</v>
      </c>
      <c r="Z248" s="470">
        <f t="shared" si="164"/>
        <v>0</v>
      </c>
      <c r="AA248" s="470">
        <f t="shared" si="165"/>
        <v>0</v>
      </c>
      <c r="AB248" s="470">
        <f t="shared" si="166"/>
        <v>0</v>
      </c>
      <c r="AC248" s="470">
        <f t="shared" si="167"/>
        <v>0</v>
      </c>
      <c r="AD248" s="470">
        <f t="shared" si="168"/>
        <v>0</v>
      </c>
      <c r="AE248" s="470">
        <f t="shared" si="169"/>
        <v>0</v>
      </c>
      <c r="AF248" s="470">
        <f t="shared" si="170"/>
        <v>0</v>
      </c>
      <c r="AG248" s="470">
        <f t="shared" si="171"/>
        <v>0</v>
      </c>
      <c r="AH248" s="470">
        <f t="shared" si="172"/>
        <v>0</v>
      </c>
      <c r="AI248" s="470">
        <f t="shared" si="173"/>
        <v>0</v>
      </c>
      <c r="AJ248" s="470">
        <f t="shared" si="174"/>
        <v>0</v>
      </c>
      <c r="AK248" s="470">
        <f t="shared" si="175"/>
        <v>0</v>
      </c>
      <c r="AL248" s="470">
        <f t="shared" si="176"/>
        <v>0</v>
      </c>
      <c r="AM248" s="470">
        <f t="shared" si="177"/>
        <v>0</v>
      </c>
      <c r="AN248" s="470">
        <f t="shared" si="178"/>
        <v>0</v>
      </c>
      <c r="AO248" s="470">
        <f t="shared" si="179"/>
        <v>0</v>
      </c>
      <c r="AP248" s="470">
        <f t="shared" si="180"/>
        <v>0</v>
      </c>
      <c r="AQ248" s="470">
        <f t="shared" si="181"/>
        <v>0</v>
      </c>
      <c r="AR248" s="470">
        <f t="shared" si="182"/>
        <v>0</v>
      </c>
      <c r="AS248" s="470">
        <f t="shared" si="183"/>
        <v>0</v>
      </c>
      <c r="AT248" s="470">
        <f t="shared" si="184"/>
        <v>0</v>
      </c>
      <c r="AU248" s="470">
        <f t="shared" si="185"/>
        <v>0</v>
      </c>
      <c r="AV248" s="470">
        <f t="shared" si="186"/>
        <v>0</v>
      </c>
      <c r="AW248" s="470">
        <f t="shared" si="187"/>
        <v>0</v>
      </c>
      <c r="AX248" s="470">
        <f t="shared" si="188"/>
        <v>0</v>
      </c>
      <c r="AY248" s="470">
        <f t="shared" si="189"/>
        <v>0</v>
      </c>
      <c r="AZ248" s="470">
        <f t="shared" si="190"/>
        <v>0</v>
      </c>
      <c r="BA248" s="470">
        <f t="shared" si="191"/>
        <v>0</v>
      </c>
      <c r="BB248" s="141"/>
    </row>
    <row r="249" spans="1:54">
      <c r="A249" s="1335">
        <f>$B$20</f>
        <v>0</v>
      </c>
      <c r="B249" s="1335"/>
      <c r="C249" s="1335"/>
      <c r="D249" s="1335"/>
      <c r="E249" s="1335"/>
      <c r="F249" s="467">
        <f>OpeningTemplate!$D$116</f>
        <v>0</v>
      </c>
      <c r="G249" s="467">
        <f>OpeningTemplate!$E$116</f>
        <v>0</v>
      </c>
      <c r="H249" s="476">
        <f t="shared" si="192"/>
        <v>0</v>
      </c>
      <c r="I249" s="446">
        <f t="shared" si="193"/>
        <v>0</v>
      </c>
      <c r="J249" s="468">
        <f t="shared" si="194"/>
        <v>0</v>
      </c>
      <c r="K249" s="467">
        <f t="shared" si="152"/>
        <v>0</v>
      </c>
      <c r="L249" s="467">
        <f t="shared" si="153"/>
        <v>0</v>
      </c>
      <c r="M249" s="469">
        <f t="shared" si="154"/>
        <v>0</v>
      </c>
      <c r="N249" s="469">
        <f t="shared" si="155"/>
        <v>0</v>
      </c>
      <c r="O249" s="470">
        <f t="shared" si="195"/>
        <v>0</v>
      </c>
      <c r="P249" s="470">
        <f t="shared" si="196"/>
        <v>0</v>
      </c>
      <c r="Q249" s="470">
        <f t="shared" si="197"/>
        <v>0</v>
      </c>
      <c r="R249" s="470">
        <f t="shared" si="156"/>
        <v>0</v>
      </c>
      <c r="S249" s="470">
        <f t="shared" si="157"/>
        <v>0</v>
      </c>
      <c r="T249" s="470">
        <f t="shared" si="158"/>
        <v>0</v>
      </c>
      <c r="U249" s="470">
        <f t="shared" si="159"/>
        <v>0</v>
      </c>
      <c r="V249" s="470">
        <f t="shared" si="160"/>
        <v>0</v>
      </c>
      <c r="W249" s="470">
        <f t="shared" si="161"/>
        <v>0</v>
      </c>
      <c r="X249" s="470">
        <f t="shared" si="162"/>
        <v>0</v>
      </c>
      <c r="Y249" s="470">
        <f t="shared" si="163"/>
        <v>0</v>
      </c>
      <c r="Z249" s="470">
        <f t="shared" si="164"/>
        <v>0</v>
      </c>
      <c r="AA249" s="470">
        <f t="shared" si="165"/>
        <v>0</v>
      </c>
      <c r="AB249" s="470">
        <f t="shared" si="166"/>
        <v>0</v>
      </c>
      <c r="AC249" s="470">
        <f t="shared" si="167"/>
        <v>0</v>
      </c>
      <c r="AD249" s="470">
        <f t="shared" si="168"/>
        <v>0</v>
      </c>
      <c r="AE249" s="470">
        <f t="shared" si="169"/>
        <v>0</v>
      </c>
      <c r="AF249" s="470">
        <f t="shared" si="170"/>
        <v>0</v>
      </c>
      <c r="AG249" s="470">
        <f t="shared" si="171"/>
        <v>0</v>
      </c>
      <c r="AH249" s="470">
        <f t="shared" si="172"/>
        <v>0</v>
      </c>
      <c r="AI249" s="470">
        <f t="shared" si="173"/>
        <v>0</v>
      </c>
      <c r="AJ249" s="470">
        <f t="shared" si="174"/>
        <v>0</v>
      </c>
      <c r="AK249" s="470">
        <f t="shared" si="175"/>
        <v>0</v>
      </c>
      <c r="AL249" s="470">
        <f t="shared" si="176"/>
        <v>0</v>
      </c>
      <c r="AM249" s="470">
        <f t="shared" si="177"/>
        <v>0</v>
      </c>
      <c r="AN249" s="470">
        <f t="shared" si="178"/>
        <v>0</v>
      </c>
      <c r="AO249" s="470">
        <f t="shared" si="179"/>
        <v>0</v>
      </c>
      <c r="AP249" s="470">
        <f t="shared" si="180"/>
        <v>0</v>
      </c>
      <c r="AQ249" s="470">
        <f t="shared" si="181"/>
        <v>0</v>
      </c>
      <c r="AR249" s="470">
        <f t="shared" si="182"/>
        <v>0</v>
      </c>
      <c r="AS249" s="470">
        <f t="shared" si="183"/>
        <v>0</v>
      </c>
      <c r="AT249" s="470">
        <f t="shared" si="184"/>
        <v>0</v>
      </c>
      <c r="AU249" s="470">
        <f t="shared" si="185"/>
        <v>0</v>
      </c>
      <c r="AV249" s="470">
        <f t="shared" si="186"/>
        <v>0</v>
      </c>
      <c r="AW249" s="470">
        <f t="shared" si="187"/>
        <v>0</v>
      </c>
      <c r="AX249" s="470">
        <f t="shared" si="188"/>
        <v>0</v>
      </c>
      <c r="AY249" s="470">
        <f t="shared" si="189"/>
        <v>0</v>
      </c>
      <c r="AZ249" s="470">
        <f t="shared" si="190"/>
        <v>0</v>
      </c>
      <c r="BA249" s="470">
        <f t="shared" si="191"/>
        <v>0</v>
      </c>
      <c r="BB249" s="141"/>
    </row>
    <row r="250" spans="1:54">
      <c r="A250" s="1335">
        <f>$B$21</f>
        <v>0</v>
      </c>
      <c r="B250" s="1335"/>
      <c r="C250" s="1335"/>
      <c r="D250" s="1335"/>
      <c r="E250" s="1335"/>
      <c r="F250" s="467">
        <f>OpeningTemplate!$D$126</f>
        <v>0</v>
      </c>
      <c r="G250" s="467">
        <f>OpeningTemplate!$E$126</f>
        <v>0</v>
      </c>
      <c r="H250" s="476">
        <f t="shared" si="192"/>
        <v>0</v>
      </c>
      <c r="I250" s="446">
        <f t="shared" si="193"/>
        <v>0</v>
      </c>
      <c r="J250" s="468">
        <f t="shared" si="194"/>
        <v>0</v>
      </c>
      <c r="K250" s="467">
        <f t="shared" si="152"/>
        <v>0</v>
      </c>
      <c r="L250" s="467">
        <f t="shared" si="153"/>
        <v>0</v>
      </c>
      <c r="M250" s="469">
        <f t="shared" si="154"/>
        <v>0</v>
      </c>
      <c r="N250" s="469">
        <f t="shared" si="155"/>
        <v>0</v>
      </c>
      <c r="O250" s="470">
        <f t="shared" si="195"/>
        <v>0</v>
      </c>
      <c r="P250" s="470">
        <f t="shared" si="196"/>
        <v>0</v>
      </c>
      <c r="Q250" s="470">
        <f t="shared" si="197"/>
        <v>0</v>
      </c>
      <c r="R250" s="470">
        <f t="shared" si="156"/>
        <v>0</v>
      </c>
      <c r="S250" s="470">
        <f t="shared" si="157"/>
        <v>0</v>
      </c>
      <c r="T250" s="470">
        <f t="shared" si="158"/>
        <v>0</v>
      </c>
      <c r="U250" s="470">
        <f t="shared" si="159"/>
        <v>0</v>
      </c>
      <c r="V250" s="470">
        <f t="shared" si="160"/>
        <v>0</v>
      </c>
      <c r="W250" s="470">
        <f t="shared" si="161"/>
        <v>0</v>
      </c>
      <c r="X250" s="470">
        <f t="shared" si="162"/>
        <v>0</v>
      </c>
      <c r="Y250" s="470">
        <f t="shared" si="163"/>
        <v>0</v>
      </c>
      <c r="Z250" s="470">
        <f t="shared" si="164"/>
        <v>0</v>
      </c>
      <c r="AA250" s="470">
        <f t="shared" si="165"/>
        <v>0</v>
      </c>
      <c r="AB250" s="470">
        <f t="shared" si="166"/>
        <v>0</v>
      </c>
      <c r="AC250" s="470">
        <f t="shared" si="167"/>
        <v>0</v>
      </c>
      <c r="AD250" s="470">
        <f t="shared" si="168"/>
        <v>0</v>
      </c>
      <c r="AE250" s="470">
        <f t="shared" si="169"/>
        <v>0</v>
      </c>
      <c r="AF250" s="470">
        <f t="shared" si="170"/>
        <v>0</v>
      </c>
      <c r="AG250" s="470">
        <f t="shared" si="171"/>
        <v>0</v>
      </c>
      <c r="AH250" s="470">
        <f t="shared" si="172"/>
        <v>0</v>
      </c>
      <c r="AI250" s="470">
        <f t="shared" si="173"/>
        <v>0</v>
      </c>
      <c r="AJ250" s="470">
        <f t="shared" si="174"/>
        <v>0</v>
      </c>
      <c r="AK250" s="470">
        <f t="shared" si="175"/>
        <v>0</v>
      </c>
      <c r="AL250" s="470">
        <f t="shared" si="176"/>
        <v>0</v>
      </c>
      <c r="AM250" s="470">
        <f t="shared" si="177"/>
        <v>0</v>
      </c>
      <c r="AN250" s="470">
        <f t="shared" si="178"/>
        <v>0</v>
      </c>
      <c r="AO250" s="470">
        <f t="shared" si="179"/>
        <v>0</v>
      </c>
      <c r="AP250" s="470">
        <f t="shared" si="180"/>
        <v>0</v>
      </c>
      <c r="AQ250" s="470">
        <f t="shared" si="181"/>
        <v>0</v>
      </c>
      <c r="AR250" s="470">
        <f t="shared" si="182"/>
        <v>0</v>
      </c>
      <c r="AS250" s="470">
        <f t="shared" si="183"/>
        <v>0</v>
      </c>
      <c r="AT250" s="470">
        <f t="shared" si="184"/>
        <v>0</v>
      </c>
      <c r="AU250" s="470">
        <f t="shared" si="185"/>
        <v>0</v>
      </c>
      <c r="AV250" s="470">
        <f t="shared" si="186"/>
        <v>0</v>
      </c>
      <c r="AW250" s="470">
        <f t="shared" si="187"/>
        <v>0</v>
      </c>
      <c r="AX250" s="470">
        <f t="shared" si="188"/>
        <v>0</v>
      </c>
      <c r="AY250" s="470">
        <f t="shared" si="189"/>
        <v>0</v>
      </c>
      <c r="AZ250" s="470">
        <f t="shared" si="190"/>
        <v>0</v>
      </c>
      <c r="BA250" s="470">
        <f t="shared" si="191"/>
        <v>0</v>
      </c>
      <c r="BB250" s="141"/>
    </row>
    <row r="251" spans="1:54">
      <c r="A251" s="1335">
        <f>$B$22</f>
        <v>0</v>
      </c>
      <c r="B251" s="1335"/>
      <c r="C251" s="1335"/>
      <c r="D251" s="1335"/>
      <c r="E251" s="1335"/>
      <c r="F251" s="467">
        <f>OpeningTemplate!$D$136</f>
        <v>0</v>
      </c>
      <c r="G251" s="467">
        <f>OpeningTemplate!$E$136</f>
        <v>0</v>
      </c>
      <c r="H251" s="476">
        <f t="shared" si="192"/>
        <v>0</v>
      </c>
      <c r="I251" s="446">
        <f t="shared" si="193"/>
        <v>0</v>
      </c>
      <c r="J251" s="468">
        <f t="shared" si="194"/>
        <v>0</v>
      </c>
      <c r="K251" s="467">
        <f t="shared" si="152"/>
        <v>0</v>
      </c>
      <c r="L251" s="467">
        <f t="shared" si="153"/>
        <v>0</v>
      </c>
      <c r="M251" s="469">
        <f t="shared" si="154"/>
        <v>0</v>
      </c>
      <c r="N251" s="469">
        <f t="shared" si="155"/>
        <v>0</v>
      </c>
      <c r="O251" s="470">
        <f t="shared" si="195"/>
        <v>0</v>
      </c>
      <c r="P251" s="470">
        <f t="shared" si="196"/>
        <v>0</v>
      </c>
      <c r="Q251" s="470">
        <f t="shared" si="197"/>
        <v>0</v>
      </c>
      <c r="R251" s="470">
        <f t="shared" si="156"/>
        <v>0</v>
      </c>
      <c r="S251" s="470">
        <f t="shared" si="157"/>
        <v>0</v>
      </c>
      <c r="T251" s="470">
        <f t="shared" si="158"/>
        <v>0</v>
      </c>
      <c r="U251" s="470">
        <f t="shared" si="159"/>
        <v>0</v>
      </c>
      <c r="V251" s="470">
        <f t="shared" si="160"/>
        <v>0</v>
      </c>
      <c r="W251" s="470">
        <f t="shared" si="161"/>
        <v>0</v>
      </c>
      <c r="X251" s="470">
        <f t="shared" si="162"/>
        <v>0</v>
      </c>
      <c r="Y251" s="470">
        <f t="shared" si="163"/>
        <v>0</v>
      </c>
      <c r="Z251" s="470">
        <f t="shared" si="164"/>
        <v>0</v>
      </c>
      <c r="AA251" s="470">
        <f t="shared" si="165"/>
        <v>0</v>
      </c>
      <c r="AB251" s="470">
        <f t="shared" si="166"/>
        <v>0</v>
      </c>
      <c r="AC251" s="470">
        <f t="shared" si="167"/>
        <v>0</v>
      </c>
      <c r="AD251" s="470">
        <f t="shared" si="168"/>
        <v>0</v>
      </c>
      <c r="AE251" s="470">
        <f t="shared" si="169"/>
        <v>0</v>
      </c>
      <c r="AF251" s="470">
        <f t="shared" si="170"/>
        <v>0</v>
      </c>
      <c r="AG251" s="470">
        <f t="shared" si="171"/>
        <v>0</v>
      </c>
      <c r="AH251" s="470">
        <f t="shared" si="172"/>
        <v>0</v>
      </c>
      <c r="AI251" s="470">
        <f t="shared" si="173"/>
        <v>0</v>
      </c>
      <c r="AJ251" s="470">
        <f t="shared" si="174"/>
        <v>0</v>
      </c>
      <c r="AK251" s="470">
        <f t="shared" si="175"/>
        <v>0</v>
      </c>
      <c r="AL251" s="470">
        <f t="shared" si="176"/>
        <v>0</v>
      </c>
      <c r="AM251" s="470">
        <f t="shared" si="177"/>
        <v>0</v>
      </c>
      <c r="AN251" s="470">
        <f t="shared" si="178"/>
        <v>0</v>
      </c>
      <c r="AO251" s="470">
        <f t="shared" si="179"/>
        <v>0</v>
      </c>
      <c r="AP251" s="470">
        <f t="shared" si="180"/>
        <v>0</v>
      </c>
      <c r="AQ251" s="470">
        <f t="shared" si="181"/>
        <v>0</v>
      </c>
      <c r="AR251" s="470">
        <f t="shared" si="182"/>
        <v>0</v>
      </c>
      <c r="AS251" s="470">
        <f t="shared" si="183"/>
        <v>0</v>
      </c>
      <c r="AT251" s="470">
        <f t="shared" si="184"/>
        <v>0</v>
      </c>
      <c r="AU251" s="470">
        <f t="shared" si="185"/>
        <v>0</v>
      </c>
      <c r="AV251" s="470">
        <f t="shared" si="186"/>
        <v>0</v>
      </c>
      <c r="AW251" s="470">
        <f t="shared" si="187"/>
        <v>0</v>
      </c>
      <c r="AX251" s="470">
        <f t="shared" si="188"/>
        <v>0</v>
      </c>
      <c r="AY251" s="470">
        <f t="shared" si="189"/>
        <v>0</v>
      </c>
      <c r="AZ251" s="470">
        <f t="shared" si="190"/>
        <v>0</v>
      </c>
      <c r="BA251" s="470">
        <f t="shared" si="191"/>
        <v>0</v>
      </c>
      <c r="BB251" s="141"/>
    </row>
    <row r="252" spans="1:54">
      <c r="A252" s="1335">
        <f>$B$23</f>
        <v>0</v>
      </c>
      <c r="B252" s="1335"/>
      <c r="C252" s="1335"/>
      <c r="D252" s="1335"/>
      <c r="E252" s="1335"/>
      <c r="F252" s="467">
        <f>OpeningTemplate!$D$146</f>
        <v>0</v>
      </c>
      <c r="G252" s="467">
        <f>OpeningTemplate!$E$146</f>
        <v>0</v>
      </c>
      <c r="H252" s="476">
        <f t="shared" si="192"/>
        <v>0</v>
      </c>
      <c r="I252" s="446">
        <f t="shared" si="193"/>
        <v>0</v>
      </c>
      <c r="J252" s="468">
        <f t="shared" si="194"/>
        <v>0</v>
      </c>
      <c r="K252" s="467">
        <f t="shared" si="152"/>
        <v>0</v>
      </c>
      <c r="L252" s="467">
        <f t="shared" si="153"/>
        <v>0</v>
      </c>
      <c r="M252" s="469">
        <f t="shared" si="154"/>
        <v>0</v>
      </c>
      <c r="N252" s="469">
        <f t="shared" si="155"/>
        <v>0</v>
      </c>
      <c r="O252" s="470">
        <f t="shared" si="195"/>
        <v>0</v>
      </c>
      <c r="P252" s="470">
        <f t="shared" si="196"/>
        <v>0</v>
      </c>
      <c r="Q252" s="470">
        <f t="shared" si="197"/>
        <v>0</v>
      </c>
      <c r="R252" s="470">
        <f t="shared" si="156"/>
        <v>0</v>
      </c>
      <c r="S252" s="470">
        <f t="shared" si="157"/>
        <v>0</v>
      </c>
      <c r="T252" s="470">
        <f t="shared" si="158"/>
        <v>0</v>
      </c>
      <c r="U252" s="470">
        <f t="shared" si="159"/>
        <v>0</v>
      </c>
      <c r="V252" s="470">
        <f t="shared" si="160"/>
        <v>0</v>
      </c>
      <c r="W252" s="470">
        <f t="shared" si="161"/>
        <v>0</v>
      </c>
      <c r="X252" s="470">
        <f t="shared" si="162"/>
        <v>0</v>
      </c>
      <c r="Y252" s="470">
        <f t="shared" si="163"/>
        <v>0</v>
      </c>
      <c r="Z252" s="470">
        <f t="shared" si="164"/>
        <v>0</v>
      </c>
      <c r="AA252" s="470">
        <f t="shared" si="165"/>
        <v>0</v>
      </c>
      <c r="AB252" s="470">
        <f t="shared" si="166"/>
        <v>0</v>
      </c>
      <c r="AC252" s="470">
        <f t="shared" si="167"/>
        <v>0</v>
      </c>
      <c r="AD252" s="470">
        <f t="shared" si="168"/>
        <v>0</v>
      </c>
      <c r="AE252" s="470">
        <f t="shared" si="169"/>
        <v>0</v>
      </c>
      <c r="AF252" s="470">
        <f t="shared" si="170"/>
        <v>0</v>
      </c>
      <c r="AG252" s="470">
        <f t="shared" si="171"/>
        <v>0</v>
      </c>
      <c r="AH252" s="470">
        <f t="shared" si="172"/>
        <v>0</v>
      </c>
      <c r="AI252" s="470">
        <f t="shared" si="173"/>
        <v>0</v>
      </c>
      <c r="AJ252" s="470">
        <f t="shared" si="174"/>
        <v>0</v>
      </c>
      <c r="AK252" s="470">
        <f t="shared" si="175"/>
        <v>0</v>
      </c>
      <c r="AL252" s="470">
        <f t="shared" si="176"/>
        <v>0</v>
      </c>
      <c r="AM252" s="470">
        <f t="shared" si="177"/>
        <v>0</v>
      </c>
      <c r="AN252" s="470">
        <f t="shared" si="178"/>
        <v>0</v>
      </c>
      <c r="AO252" s="470">
        <f t="shared" si="179"/>
        <v>0</v>
      </c>
      <c r="AP252" s="470">
        <f t="shared" si="180"/>
        <v>0</v>
      </c>
      <c r="AQ252" s="470">
        <f t="shared" si="181"/>
        <v>0</v>
      </c>
      <c r="AR252" s="470">
        <f t="shared" si="182"/>
        <v>0</v>
      </c>
      <c r="AS252" s="470">
        <f t="shared" si="183"/>
        <v>0</v>
      </c>
      <c r="AT252" s="470">
        <f t="shared" si="184"/>
        <v>0</v>
      </c>
      <c r="AU252" s="470">
        <f t="shared" si="185"/>
        <v>0</v>
      </c>
      <c r="AV252" s="470">
        <f t="shared" si="186"/>
        <v>0</v>
      </c>
      <c r="AW252" s="470">
        <f t="shared" si="187"/>
        <v>0</v>
      </c>
      <c r="AX252" s="470">
        <f t="shared" si="188"/>
        <v>0</v>
      </c>
      <c r="AY252" s="470">
        <f t="shared" si="189"/>
        <v>0</v>
      </c>
      <c r="AZ252" s="470">
        <f t="shared" si="190"/>
        <v>0</v>
      </c>
      <c r="BA252" s="470">
        <f t="shared" si="191"/>
        <v>0</v>
      </c>
      <c r="BB252" s="141"/>
    </row>
    <row r="253" spans="1:54">
      <c r="A253" s="1335">
        <f>$B$24</f>
        <v>0</v>
      </c>
      <c r="B253" s="1335"/>
      <c r="C253" s="1335"/>
      <c r="D253" s="1335"/>
      <c r="E253" s="1335"/>
      <c r="F253" s="467">
        <f>OpeningTemplate!$D$156</f>
        <v>0</v>
      </c>
      <c r="G253" s="467">
        <f>OpeningTemplate!$E$156</f>
        <v>0</v>
      </c>
      <c r="H253" s="476">
        <f t="shared" si="192"/>
        <v>0</v>
      </c>
      <c r="I253" s="446">
        <f t="shared" si="193"/>
        <v>0</v>
      </c>
      <c r="J253" s="468">
        <f t="shared" si="194"/>
        <v>0</v>
      </c>
      <c r="K253" s="467">
        <f t="shared" si="152"/>
        <v>0</v>
      </c>
      <c r="L253" s="467">
        <f t="shared" si="153"/>
        <v>0</v>
      </c>
      <c r="M253" s="469">
        <f t="shared" si="154"/>
        <v>0</v>
      </c>
      <c r="N253" s="469">
        <f t="shared" si="155"/>
        <v>0</v>
      </c>
      <c r="O253" s="470">
        <f t="shared" si="195"/>
        <v>0</v>
      </c>
      <c r="P253" s="470">
        <f t="shared" si="196"/>
        <v>0</v>
      </c>
      <c r="Q253" s="470">
        <f t="shared" si="197"/>
        <v>0</v>
      </c>
      <c r="R253" s="470">
        <f t="shared" si="156"/>
        <v>0</v>
      </c>
      <c r="S253" s="470">
        <f t="shared" si="157"/>
        <v>0</v>
      </c>
      <c r="T253" s="470">
        <f t="shared" si="158"/>
        <v>0</v>
      </c>
      <c r="U253" s="470">
        <f t="shared" si="159"/>
        <v>0</v>
      </c>
      <c r="V253" s="470">
        <f t="shared" si="160"/>
        <v>0</v>
      </c>
      <c r="W253" s="470">
        <f t="shared" si="161"/>
        <v>0</v>
      </c>
      <c r="X253" s="470">
        <f t="shared" si="162"/>
        <v>0</v>
      </c>
      <c r="Y253" s="470">
        <f t="shared" si="163"/>
        <v>0</v>
      </c>
      <c r="Z253" s="470">
        <f t="shared" si="164"/>
        <v>0</v>
      </c>
      <c r="AA253" s="470">
        <f t="shared" si="165"/>
        <v>0</v>
      </c>
      <c r="AB253" s="470">
        <f t="shared" si="166"/>
        <v>0</v>
      </c>
      <c r="AC253" s="470">
        <f t="shared" si="167"/>
        <v>0</v>
      </c>
      <c r="AD253" s="470">
        <f t="shared" si="168"/>
        <v>0</v>
      </c>
      <c r="AE253" s="470">
        <f t="shared" si="169"/>
        <v>0</v>
      </c>
      <c r="AF253" s="470">
        <f t="shared" si="170"/>
        <v>0</v>
      </c>
      <c r="AG253" s="470">
        <f t="shared" si="171"/>
        <v>0</v>
      </c>
      <c r="AH253" s="470">
        <f t="shared" si="172"/>
        <v>0</v>
      </c>
      <c r="AI253" s="470">
        <f t="shared" si="173"/>
        <v>0</v>
      </c>
      <c r="AJ253" s="470">
        <f t="shared" si="174"/>
        <v>0</v>
      </c>
      <c r="AK253" s="470">
        <f t="shared" si="175"/>
        <v>0</v>
      </c>
      <c r="AL253" s="470">
        <f t="shared" si="176"/>
        <v>0</v>
      </c>
      <c r="AM253" s="470">
        <f t="shared" si="177"/>
        <v>0</v>
      </c>
      <c r="AN253" s="470">
        <f t="shared" si="178"/>
        <v>0</v>
      </c>
      <c r="AO253" s="470">
        <f t="shared" si="179"/>
        <v>0</v>
      </c>
      <c r="AP253" s="470">
        <f t="shared" si="180"/>
        <v>0</v>
      </c>
      <c r="AQ253" s="470">
        <f t="shared" si="181"/>
        <v>0</v>
      </c>
      <c r="AR253" s="470">
        <f t="shared" si="182"/>
        <v>0</v>
      </c>
      <c r="AS253" s="470">
        <f t="shared" si="183"/>
        <v>0</v>
      </c>
      <c r="AT253" s="470">
        <f t="shared" si="184"/>
        <v>0</v>
      </c>
      <c r="AU253" s="470">
        <f t="shared" si="185"/>
        <v>0</v>
      </c>
      <c r="AV253" s="470">
        <f t="shared" si="186"/>
        <v>0</v>
      </c>
      <c r="AW253" s="470">
        <f t="shared" si="187"/>
        <v>0</v>
      </c>
      <c r="AX253" s="470">
        <f t="shared" si="188"/>
        <v>0</v>
      </c>
      <c r="AY253" s="470">
        <f t="shared" si="189"/>
        <v>0</v>
      </c>
      <c r="AZ253" s="470">
        <f t="shared" si="190"/>
        <v>0</v>
      </c>
      <c r="BA253" s="470">
        <f t="shared" si="191"/>
        <v>0</v>
      </c>
      <c r="BB253" s="141"/>
    </row>
    <row r="254" spans="1:54">
      <c r="A254" s="1335">
        <f>$B$25</f>
        <v>0</v>
      </c>
      <c r="B254" s="1335"/>
      <c r="C254" s="1335"/>
      <c r="D254" s="1335"/>
      <c r="E254" s="1335"/>
      <c r="F254" s="467">
        <f>OpeningTemplate!$D$166</f>
        <v>0</v>
      </c>
      <c r="G254" s="467">
        <f>OpeningTemplate!$E$166</f>
        <v>0</v>
      </c>
      <c r="H254" s="476">
        <f t="shared" si="192"/>
        <v>0</v>
      </c>
      <c r="I254" s="446">
        <f t="shared" si="193"/>
        <v>0</v>
      </c>
      <c r="J254" s="468">
        <f t="shared" si="194"/>
        <v>0</v>
      </c>
      <c r="K254" s="467">
        <f t="shared" si="152"/>
        <v>0</v>
      </c>
      <c r="L254" s="467">
        <f t="shared" si="153"/>
        <v>0</v>
      </c>
      <c r="M254" s="469">
        <f t="shared" si="154"/>
        <v>0</v>
      </c>
      <c r="N254" s="469">
        <f t="shared" si="155"/>
        <v>0</v>
      </c>
      <c r="O254" s="470">
        <f t="shared" si="195"/>
        <v>0</v>
      </c>
      <c r="P254" s="470">
        <f t="shared" si="196"/>
        <v>0</v>
      </c>
      <c r="Q254" s="470">
        <f t="shared" si="197"/>
        <v>0</v>
      </c>
      <c r="R254" s="470">
        <f t="shared" si="156"/>
        <v>0</v>
      </c>
      <c r="S254" s="470">
        <f t="shared" si="157"/>
        <v>0</v>
      </c>
      <c r="T254" s="470">
        <f t="shared" si="158"/>
        <v>0</v>
      </c>
      <c r="U254" s="470">
        <f t="shared" si="159"/>
        <v>0</v>
      </c>
      <c r="V254" s="470">
        <f t="shared" si="160"/>
        <v>0</v>
      </c>
      <c r="W254" s="470">
        <f t="shared" si="161"/>
        <v>0</v>
      </c>
      <c r="X254" s="470">
        <f t="shared" si="162"/>
        <v>0</v>
      </c>
      <c r="Y254" s="470">
        <f t="shared" si="163"/>
        <v>0</v>
      </c>
      <c r="Z254" s="470">
        <f t="shared" si="164"/>
        <v>0</v>
      </c>
      <c r="AA254" s="470">
        <f t="shared" si="165"/>
        <v>0</v>
      </c>
      <c r="AB254" s="470">
        <f t="shared" si="166"/>
        <v>0</v>
      </c>
      <c r="AC254" s="470">
        <f t="shared" si="167"/>
        <v>0</v>
      </c>
      <c r="AD254" s="470">
        <f t="shared" si="168"/>
        <v>0</v>
      </c>
      <c r="AE254" s="470">
        <f t="shared" si="169"/>
        <v>0</v>
      </c>
      <c r="AF254" s="470">
        <f t="shared" si="170"/>
        <v>0</v>
      </c>
      <c r="AG254" s="470">
        <f t="shared" si="171"/>
        <v>0</v>
      </c>
      <c r="AH254" s="470">
        <f t="shared" si="172"/>
        <v>0</v>
      </c>
      <c r="AI254" s="470">
        <f t="shared" si="173"/>
        <v>0</v>
      </c>
      <c r="AJ254" s="470">
        <f t="shared" si="174"/>
        <v>0</v>
      </c>
      <c r="AK254" s="470">
        <f t="shared" si="175"/>
        <v>0</v>
      </c>
      <c r="AL254" s="470">
        <f t="shared" si="176"/>
        <v>0</v>
      </c>
      <c r="AM254" s="470">
        <f t="shared" si="177"/>
        <v>0</v>
      </c>
      <c r="AN254" s="470">
        <f t="shared" si="178"/>
        <v>0</v>
      </c>
      <c r="AO254" s="470">
        <f t="shared" si="179"/>
        <v>0</v>
      </c>
      <c r="AP254" s="470">
        <f t="shared" si="180"/>
        <v>0</v>
      </c>
      <c r="AQ254" s="470">
        <f t="shared" si="181"/>
        <v>0</v>
      </c>
      <c r="AR254" s="470">
        <f t="shared" si="182"/>
        <v>0</v>
      </c>
      <c r="AS254" s="470">
        <f t="shared" si="183"/>
        <v>0</v>
      </c>
      <c r="AT254" s="470">
        <f t="shared" si="184"/>
        <v>0</v>
      </c>
      <c r="AU254" s="470">
        <f t="shared" si="185"/>
        <v>0</v>
      </c>
      <c r="AV254" s="470">
        <f t="shared" si="186"/>
        <v>0</v>
      </c>
      <c r="AW254" s="470">
        <f t="shared" si="187"/>
        <v>0</v>
      </c>
      <c r="AX254" s="470">
        <f t="shared" si="188"/>
        <v>0</v>
      </c>
      <c r="AY254" s="470">
        <f t="shared" si="189"/>
        <v>0</v>
      </c>
      <c r="AZ254" s="470">
        <f t="shared" si="190"/>
        <v>0</v>
      </c>
      <c r="BA254" s="470">
        <f t="shared" si="191"/>
        <v>0</v>
      </c>
      <c r="BB254" s="141"/>
    </row>
    <row r="255" spans="1:54">
      <c r="A255" s="1335">
        <f>$B$26</f>
        <v>0</v>
      </c>
      <c r="B255" s="1335"/>
      <c r="C255" s="1335"/>
      <c r="D255" s="1335"/>
      <c r="E255" s="1335"/>
      <c r="F255" s="467">
        <f>OpeningTemplate!$D$176</f>
        <v>0</v>
      </c>
      <c r="G255" s="467">
        <f>OpeningTemplate!$E$176</f>
        <v>0</v>
      </c>
      <c r="H255" s="476">
        <f t="shared" si="192"/>
        <v>0</v>
      </c>
      <c r="I255" s="446">
        <f t="shared" si="193"/>
        <v>0</v>
      </c>
      <c r="J255" s="468">
        <f t="shared" si="194"/>
        <v>0</v>
      </c>
      <c r="K255" s="467">
        <f t="shared" si="152"/>
        <v>0</v>
      </c>
      <c r="L255" s="467">
        <f t="shared" si="153"/>
        <v>0</v>
      </c>
      <c r="M255" s="469">
        <f t="shared" si="154"/>
        <v>0</v>
      </c>
      <c r="N255" s="469">
        <f t="shared" si="155"/>
        <v>0</v>
      </c>
      <c r="O255" s="470">
        <f t="shared" si="195"/>
        <v>0</v>
      </c>
      <c r="P255" s="470">
        <f t="shared" si="196"/>
        <v>0</v>
      </c>
      <c r="Q255" s="470">
        <f t="shared" si="197"/>
        <v>0</v>
      </c>
      <c r="R255" s="470">
        <f t="shared" si="156"/>
        <v>0</v>
      </c>
      <c r="S255" s="470">
        <f t="shared" si="157"/>
        <v>0</v>
      </c>
      <c r="T255" s="470">
        <f t="shared" si="158"/>
        <v>0</v>
      </c>
      <c r="U255" s="470">
        <f t="shared" si="159"/>
        <v>0</v>
      </c>
      <c r="V255" s="470">
        <f t="shared" si="160"/>
        <v>0</v>
      </c>
      <c r="W255" s="470">
        <f t="shared" si="161"/>
        <v>0</v>
      </c>
      <c r="X255" s="470">
        <f t="shared" si="162"/>
        <v>0</v>
      </c>
      <c r="Y255" s="470">
        <f t="shared" si="163"/>
        <v>0</v>
      </c>
      <c r="Z255" s="470">
        <f t="shared" si="164"/>
        <v>0</v>
      </c>
      <c r="AA255" s="470">
        <f t="shared" si="165"/>
        <v>0</v>
      </c>
      <c r="AB255" s="470">
        <f t="shared" si="166"/>
        <v>0</v>
      </c>
      <c r="AC255" s="470">
        <f t="shared" si="167"/>
        <v>0</v>
      </c>
      <c r="AD255" s="470">
        <f t="shared" si="168"/>
        <v>0</v>
      </c>
      <c r="AE255" s="470">
        <f t="shared" si="169"/>
        <v>0</v>
      </c>
      <c r="AF255" s="470">
        <f t="shared" si="170"/>
        <v>0</v>
      </c>
      <c r="AG255" s="470">
        <f t="shared" si="171"/>
        <v>0</v>
      </c>
      <c r="AH255" s="470">
        <f t="shared" si="172"/>
        <v>0</v>
      </c>
      <c r="AI255" s="470">
        <f t="shared" si="173"/>
        <v>0</v>
      </c>
      <c r="AJ255" s="470">
        <f t="shared" si="174"/>
        <v>0</v>
      </c>
      <c r="AK255" s="470">
        <f t="shared" si="175"/>
        <v>0</v>
      </c>
      <c r="AL255" s="470">
        <f t="shared" si="176"/>
        <v>0</v>
      </c>
      <c r="AM255" s="470">
        <f t="shared" si="177"/>
        <v>0</v>
      </c>
      <c r="AN255" s="470">
        <f t="shared" si="178"/>
        <v>0</v>
      </c>
      <c r="AO255" s="470">
        <f t="shared" si="179"/>
        <v>0</v>
      </c>
      <c r="AP255" s="470">
        <f t="shared" si="180"/>
        <v>0</v>
      </c>
      <c r="AQ255" s="470">
        <f t="shared" si="181"/>
        <v>0</v>
      </c>
      <c r="AR255" s="470">
        <f t="shared" si="182"/>
        <v>0</v>
      </c>
      <c r="AS255" s="470">
        <f t="shared" si="183"/>
        <v>0</v>
      </c>
      <c r="AT255" s="470">
        <f t="shared" si="184"/>
        <v>0</v>
      </c>
      <c r="AU255" s="470">
        <f t="shared" si="185"/>
        <v>0</v>
      </c>
      <c r="AV255" s="470">
        <f t="shared" si="186"/>
        <v>0</v>
      </c>
      <c r="AW255" s="470">
        <f t="shared" si="187"/>
        <v>0</v>
      </c>
      <c r="AX255" s="470">
        <f t="shared" si="188"/>
        <v>0</v>
      </c>
      <c r="AY255" s="470">
        <f t="shared" si="189"/>
        <v>0</v>
      </c>
      <c r="AZ255" s="470">
        <f t="shared" si="190"/>
        <v>0</v>
      </c>
      <c r="BA255" s="470">
        <f t="shared" si="191"/>
        <v>0</v>
      </c>
      <c r="BB255" s="141"/>
    </row>
    <row r="256" spans="1:54">
      <c r="A256" s="1335">
        <f>$B$27</f>
        <v>0</v>
      </c>
      <c r="B256" s="1335"/>
      <c r="C256" s="1335"/>
      <c r="D256" s="1335"/>
      <c r="E256" s="1335"/>
      <c r="F256" s="467">
        <f>OpeningTemplate!$D$186</f>
        <v>0</v>
      </c>
      <c r="G256" s="467">
        <f>OpeningTemplate!$E$186</f>
        <v>0</v>
      </c>
      <c r="H256" s="476">
        <f t="shared" si="192"/>
        <v>0</v>
      </c>
      <c r="I256" s="446">
        <f t="shared" si="193"/>
        <v>0</v>
      </c>
      <c r="J256" s="468">
        <f t="shared" si="194"/>
        <v>0</v>
      </c>
      <c r="K256" s="467">
        <f t="shared" si="152"/>
        <v>0</v>
      </c>
      <c r="L256" s="467">
        <f t="shared" si="153"/>
        <v>0</v>
      </c>
      <c r="M256" s="469">
        <f t="shared" si="154"/>
        <v>0</v>
      </c>
      <c r="N256" s="469">
        <f t="shared" si="155"/>
        <v>0</v>
      </c>
      <c r="O256" s="470">
        <f t="shared" si="195"/>
        <v>0</v>
      </c>
      <c r="P256" s="470">
        <f t="shared" si="196"/>
        <v>0</v>
      </c>
      <c r="Q256" s="470">
        <f t="shared" si="197"/>
        <v>0</v>
      </c>
      <c r="R256" s="470">
        <f t="shared" si="156"/>
        <v>0</v>
      </c>
      <c r="S256" s="470">
        <f t="shared" si="157"/>
        <v>0</v>
      </c>
      <c r="T256" s="470">
        <f t="shared" si="158"/>
        <v>0</v>
      </c>
      <c r="U256" s="470">
        <f t="shared" si="159"/>
        <v>0</v>
      </c>
      <c r="V256" s="470">
        <f t="shared" si="160"/>
        <v>0</v>
      </c>
      <c r="W256" s="470">
        <f t="shared" si="161"/>
        <v>0</v>
      </c>
      <c r="X256" s="470">
        <f t="shared" si="162"/>
        <v>0</v>
      </c>
      <c r="Y256" s="470">
        <f t="shared" si="163"/>
        <v>0</v>
      </c>
      <c r="Z256" s="470">
        <f t="shared" si="164"/>
        <v>0</v>
      </c>
      <c r="AA256" s="470">
        <f t="shared" si="165"/>
        <v>0</v>
      </c>
      <c r="AB256" s="470">
        <f t="shared" si="166"/>
        <v>0</v>
      </c>
      <c r="AC256" s="470">
        <f t="shared" si="167"/>
        <v>0</v>
      </c>
      <c r="AD256" s="470">
        <f t="shared" si="168"/>
        <v>0</v>
      </c>
      <c r="AE256" s="470">
        <f t="shared" si="169"/>
        <v>0</v>
      </c>
      <c r="AF256" s="470">
        <f t="shared" si="170"/>
        <v>0</v>
      </c>
      <c r="AG256" s="470">
        <f t="shared" si="171"/>
        <v>0</v>
      </c>
      <c r="AH256" s="470">
        <f t="shared" si="172"/>
        <v>0</v>
      </c>
      <c r="AI256" s="470">
        <f t="shared" si="173"/>
        <v>0</v>
      </c>
      <c r="AJ256" s="470">
        <f t="shared" si="174"/>
        <v>0</v>
      </c>
      <c r="AK256" s="470">
        <f t="shared" si="175"/>
        <v>0</v>
      </c>
      <c r="AL256" s="470">
        <f t="shared" si="176"/>
        <v>0</v>
      </c>
      <c r="AM256" s="470">
        <f t="shared" si="177"/>
        <v>0</v>
      </c>
      <c r="AN256" s="470">
        <f t="shared" si="178"/>
        <v>0</v>
      </c>
      <c r="AO256" s="470">
        <f t="shared" si="179"/>
        <v>0</v>
      </c>
      <c r="AP256" s="470">
        <f t="shared" si="180"/>
        <v>0</v>
      </c>
      <c r="AQ256" s="470">
        <f t="shared" si="181"/>
        <v>0</v>
      </c>
      <c r="AR256" s="470">
        <f t="shared" si="182"/>
        <v>0</v>
      </c>
      <c r="AS256" s="470">
        <f t="shared" si="183"/>
        <v>0</v>
      </c>
      <c r="AT256" s="470">
        <f t="shared" si="184"/>
        <v>0</v>
      </c>
      <c r="AU256" s="470">
        <f t="shared" si="185"/>
        <v>0</v>
      </c>
      <c r="AV256" s="470">
        <f t="shared" si="186"/>
        <v>0</v>
      </c>
      <c r="AW256" s="470">
        <f t="shared" si="187"/>
        <v>0</v>
      </c>
      <c r="AX256" s="470">
        <f t="shared" si="188"/>
        <v>0</v>
      </c>
      <c r="AY256" s="470">
        <f t="shared" si="189"/>
        <v>0</v>
      </c>
      <c r="AZ256" s="470">
        <f t="shared" si="190"/>
        <v>0</v>
      </c>
      <c r="BA256" s="470">
        <f t="shared" si="191"/>
        <v>0</v>
      </c>
      <c r="BB256" s="141"/>
    </row>
    <row r="257" spans="1:54">
      <c r="A257" s="1335">
        <f>$B$28</f>
        <v>0</v>
      </c>
      <c r="B257" s="1335"/>
      <c r="C257" s="1335"/>
      <c r="D257" s="1335"/>
      <c r="E257" s="1335"/>
      <c r="F257" s="467">
        <f>OpeningTemplate!$D$196</f>
        <v>0</v>
      </c>
      <c r="G257" s="467">
        <f>OpeningTemplate!$E$196</f>
        <v>0</v>
      </c>
      <c r="H257" s="476">
        <f t="shared" si="192"/>
        <v>0</v>
      </c>
      <c r="I257" s="446">
        <f t="shared" si="193"/>
        <v>0</v>
      </c>
      <c r="J257" s="468">
        <f t="shared" si="194"/>
        <v>0</v>
      </c>
      <c r="K257" s="467">
        <f t="shared" si="152"/>
        <v>0</v>
      </c>
      <c r="L257" s="467">
        <f t="shared" si="153"/>
        <v>0</v>
      </c>
      <c r="M257" s="469">
        <f t="shared" si="154"/>
        <v>0</v>
      </c>
      <c r="N257" s="469">
        <f t="shared" si="155"/>
        <v>0</v>
      </c>
      <c r="O257" s="470">
        <f t="shared" si="195"/>
        <v>0</v>
      </c>
      <c r="P257" s="470">
        <f t="shared" si="196"/>
        <v>0</v>
      </c>
      <c r="Q257" s="470">
        <f t="shared" si="197"/>
        <v>0</v>
      </c>
      <c r="R257" s="470">
        <f t="shared" si="156"/>
        <v>0</v>
      </c>
      <c r="S257" s="470">
        <f t="shared" si="157"/>
        <v>0</v>
      </c>
      <c r="T257" s="470">
        <f t="shared" si="158"/>
        <v>0</v>
      </c>
      <c r="U257" s="470">
        <f t="shared" si="159"/>
        <v>0</v>
      </c>
      <c r="V257" s="470">
        <f t="shared" si="160"/>
        <v>0</v>
      </c>
      <c r="W257" s="470">
        <f t="shared" si="161"/>
        <v>0</v>
      </c>
      <c r="X257" s="470">
        <f t="shared" si="162"/>
        <v>0</v>
      </c>
      <c r="Y257" s="470">
        <f t="shared" si="163"/>
        <v>0</v>
      </c>
      <c r="Z257" s="470">
        <f t="shared" si="164"/>
        <v>0</v>
      </c>
      <c r="AA257" s="470">
        <f t="shared" si="165"/>
        <v>0</v>
      </c>
      <c r="AB257" s="470">
        <f t="shared" si="166"/>
        <v>0</v>
      </c>
      <c r="AC257" s="470">
        <f t="shared" si="167"/>
        <v>0</v>
      </c>
      <c r="AD257" s="470">
        <f t="shared" si="168"/>
        <v>0</v>
      </c>
      <c r="AE257" s="470">
        <f t="shared" si="169"/>
        <v>0</v>
      </c>
      <c r="AF257" s="470">
        <f t="shared" si="170"/>
        <v>0</v>
      </c>
      <c r="AG257" s="470">
        <f t="shared" si="171"/>
        <v>0</v>
      </c>
      <c r="AH257" s="470">
        <f t="shared" si="172"/>
        <v>0</v>
      </c>
      <c r="AI257" s="470">
        <f t="shared" si="173"/>
        <v>0</v>
      </c>
      <c r="AJ257" s="470">
        <f t="shared" si="174"/>
        <v>0</v>
      </c>
      <c r="AK257" s="470">
        <f t="shared" si="175"/>
        <v>0</v>
      </c>
      <c r="AL257" s="470">
        <f t="shared" si="176"/>
        <v>0</v>
      </c>
      <c r="AM257" s="470">
        <f t="shared" si="177"/>
        <v>0</v>
      </c>
      <c r="AN257" s="470">
        <f t="shared" si="178"/>
        <v>0</v>
      </c>
      <c r="AO257" s="470">
        <f t="shared" si="179"/>
        <v>0</v>
      </c>
      <c r="AP257" s="470">
        <f t="shared" si="180"/>
        <v>0</v>
      </c>
      <c r="AQ257" s="470">
        <f t="shared" si="181"/>
        <v>0</v>
      </c>
      <c r="AR257" s="470">
        <f t="shared" si="182"/>
        <v>0</v>
      </c>
      <c r="AS257" s="470">
        <f t="shared" si="183"/>
        <v>0</v>
      </c>
      <c r="AT257" s="470">
        <f t="shared" si="184"/>
        <v>0</v>
      </c>
      <c r="AU257" s="470">
        <f t="shared" si="185"/>
        <v>0</v>
      </c>
      <c r="AV257" s="470">
        <f t="shared" si="186"/>
        <v>0</v>
      </c>
      <c r="AW257" s="470">
        <f t="shared" si="187"/>
        <v>0</v>
      </c>
      <c r="AX257" s="470">
        <f t="shared" si="188"/>
        <v>0</v>
      </c>
      <c r="AY257" s="470">
        <f t="shared" si="189"/>
        <v>0</v>
      </c>
      <c r="AZ257" s="470">
        <f t="shared" si="190"/>
        <v>0</v>
      </c>
      <c r="BA257" s="470">
        <f t="shared" si="191"/>
        <v>0</v>
      </c>
      <c r="BB257" s="141"/>
    </row>
    <row r="258" spans="1:54">
      <c r="A258" s="1335">
        <f>$B$29</f>
        <v>0</v>
      </c>
      <c r="B258" s="1335"/>
      <c r="C258" s="1335"/>
      <c r="D258" s="1335"/>
      <c r="E258" s="1335"/>
      <c r="F258" s="467">
        <f>OpeningTemplate!$D$206</f>
        <v>0</v>
      </c>
      <c r="G258" s="467">
        <f>OpeningTemplate!$E$206</f>
        <v>0</v>
      </c>
      <c r="H258" s="476">
        <f t="shared" si="192"/>
        <v>0</v>
      </c>
      <c r="I258" s="446">
        <f t="shared" si="193"/>
        <v>0</v>
      </c>
      <c r="J258" s="468">
        <f t="shared" si="194"/>
        <v>0</v>
      </c>
      <c r="K258" s="467">
        <f t="shared" si="152"/>
        <v>0</v>
      </c>
      <c r="L258" s="467">
        <f t="shared" si="153"/>
        <v>0</v>
      </c>
      <c r="M258" s="469">
        <f t="shared" si="154"/>
        <v>0</v>
      </c>
      <c r="N258" s="469">
        <f t="shared" si="155"/>
        <v>0</v>
      </c>
      <c r="O258" s="470">
        <f t="shared" si="195"/>
        <v>0</v>
      </c>
      <c r="P258" s="470">
        <f t="shared" si="196"/>
        <v>0</v>
      </c>
      <c r="Q258" s="470">
        <f t="shared" si="197"/>
        <v>0</v>
      </c>
      <c r="R258" s="470">
        <f t="shared" si="156"/>
        <v>0</v>
      </c>
      <c r="S258" s="470">
        <f t="shared" si="157"/>
        <v>0</v>
      </c>
      <c r="T258" s="470">
        <f t="shared" si="158"/>
        <v>0</v>
      </c>
      <c r="U258" s="470">
        <f t="shared" si="159"/>
        <v>0</v>
      </c>
      <c r="V258" s="470">
        <f t="shared" si="160"/>
        <v>0</v>
      </c>
      <c r="W258" s="470">
        <f t="shared" si="161"/>
        <v>0</v>
      </c>
      <c r="X258" s="470">
        <f t="shared" si="162"/>
        <v>0</v>
      </c>
      <c r="Y258" s="470">
        <f t="shared" si="163"/>
        <v>0</v>
      </c>
      <c r="Z258" s="470">
        <f t="shared" si="164"/>
        <v>0</v>
      </c>
      <c r="AA258" s="470">
        <f t="shared" si="165"/>
        <v>0</v>
      </c>
      <c r="AB258" s="470">
        <f t="shared" si="166"/>
        <v>0</v>
      </c>
      <c r="AC258" s="470">
        <f t="shared" si="167"/>
        <v>0</v>
      </c>
      <c r="AD258" s="470">
        <f t="shared" si="168"/>
        <v>0</v>
      </c>
      <c r="AE258" s="470">
        <f t="shared" si="169"/>
        <v>0</v>
      </c>
      <c r="AF258" s="470">
        <f t="shared" si="170"/>
        <v>0</v>
      </c>
      <c r="AG258" s="470">
        <f t="shared" si="171"/>
        <v>0</v>
      </c>
      <c r="AH258" s="470">
        <f t="shared" si="172"/>
        <v>0</v>
      </c>
      <c r="AI258" s="470">
        <f t="shared" si="173"/>
        <v>0</v>
      </c>
      <c r="AJ258" s="470">
        <f t="shared" si="174"/>
        <v>0</v>
      </c>
      <c r="AK258" s="470">
        <f t="shared" si="175"/>
        <v>0</v>
      </c>
      <c r="AL258" s="470">
        <f t="shared" si="176"/>
        <v>0</v>
      </c>
      <c r="AM258" s="470">
        <f t="shared" si="177"/>
        <v>0</v>
      </c>
      <c r="AN258" s="470">
        <f t="shared" si="178"/>
        <v>0</v>
      </c>
      <c r="AO258" s="470">
        <f t="shared" si="179"/>
        <v>0</v>
      </c>
      <c r="AP258" s="470">
        <f t="shared" si="180"/>
        <v>0</v>
      </c>
      <c r="AQ258" s="470">
        <f t="shared" si="181"/>
        <v>0</v>
      </c>
      <c r="AR258" s="470">
        <f t="shared" si="182"/>
        <v>0</v>
      </c>
      <c r="AS258" s="470">
        <f t="shared" si="183"/>
        <v>0</v>
      </c>
      <c r="AT258" s="470">
        <f t="shared" si="184"/>
        <v>0</v>
      </c>
      <c r="AU258" s="470">
        <f t="shared" si="185"/>
        <v>0</v>
      </c>
      <c r="AV258" s="470">
        <f t="shared" si="186"/>
        <v>0</v>
      </c>
      <c r="AW258" s="470">
        <f t="shared" si="187"/>
        <v>0</v>
      </c>
      <c r="AX258" s="470">
        <f t="shared" si="188"/>
        <v>0</v>
      </c>
      <c r="AY258" s="470">
        <f t="shared" si="189"/>
        <v>0</v>
      </c>
      <c r="AZ258" s="470">
        <f t="shared" si="190"/>
        <v>0</v>
      </c>
      <c r="BA258" s="470">
        <f t="shared" si="191"/>
        <v>0</v>
      </c>
      <c r="BB258" s="141"/>
    </row>
    <row r="259" spans="1:54">
      <c r="A259" s="1335">
        <f>$B$30</f>
        <v>0</v>
      </c>
      <c r="B259" s="1335"/>
      <c r="C259" s="1335"/>
      <c r="D259" s="1335"/>
      <c r="E259" s="1335"/>
      <c r="F259" s="467">
        <f>OpeningTemplate!$D$216</f>
        <v>0</v>
      </c>
      <c r="G259" s="467">
        <f>OpeningTemplate!$E$216</f>
        <v>0</v>
      </c>
      <c r="H259" s="476">
        <f t="shared" si="192"/>
        <v>0</v>
      </c>
      <c r="I259" s="446">
        <f t="shared" si="193"/>
        <v>0</v>
      </c>
      <c r="J259" s="468">
        <f t="shared" si="194"/>
        <v>0</v>
      </c>
      <c r="K259" s="467">
        <f t="shared" si="152"/>
        <v>0</v>
      </c>
      <c r="L259" s="467">
        <f t="shared" si="153"/>
        <v>0</v>
      </c>
      <c r="M259" s="469">
        <f t="shared" si="154"/>
        <v>0</v>
      </c>
      <c r="N259" s="469">
        <f t="shared" si="155"/>
        <v>0</v>
      </c>
      <c r="O259" s="470">
        <f t="shared" si="195"/>
        <v>0</v>
      </c>
      <c r="P259" s="470">
        <f t="shared" si="196"/>
        <v>0</v>
      </c>
      <c r="Q259" s="470">
        <f t="shared" si="197"/>
        <v>0</v>
      </c>
      <c r="R259" s="470">
        <f t="shared" si="156"/>
        <v>0</v>
      </c>
      <c r="S259" s="470">
        <f t="shared" si="157"/>
        <v>0</v>
      </c>
      <c r="T259" s="470">
        <f t="shared" si="158"/>
        <v>0</v>
      </c>
      <c r="U259" s="470">
        <f t="shared" si="159"/>
        <v>0</v>
      </c>
      <c r="V259" s="470">
        <f t="shared" si="160"/>
        <v>0</v>
      </c>
      <c r="W259" s="470">
        <f t="shared" si="161"/>
        <v>0</v>
      </c>
      <c r="X259" s="470">
        <f t="shared" si="162"/>
        <v>0</v>
      </c>
      <c r="Y259" s="470">
        <f t="shared" si="163"/>
        <v>0</v>
      </c>
      <c r="Z259" s="470">
        <f t="shared" si="164"/>
        <v>0</v>
      </c>
      <c r="AA259" s="470">
        <f t="shared" si="165"/>
        <v>0</v>
      </c>
      <c r="AB259" s="470">
        <f t="shared" si="166"/>
        <v>0</v>
      </c>
      <c r="AC259" s="470">
        <f t="shared" si="167"/>
        <v>0</v>
      </c>
      <c r="AD259" s="470">
        <f t="shared" si="168"/>
        <v>0</v>
      </c>
      <c r="AE259" s="470">
        <f t="shared" si="169"/>
        <v>0</v>
      </c>
      <c r="AF259" s="470">
        <f t="shared" si="170"/>
        <v>0</v>
      </c>
      <c r="AG259" s="470">
        <f t="shared" si="171"/>
        <v>0</v>
      </c>
      <c r="AH259" s="470">
        <f t="shared" si="172"/>
        <v>0</v>
      </c>
      <c r="AI259" s="470">
        <f t="shared" si="173"/>
        <v>0</v>
      </c>
      <c r="AJ259" s="470">
        <f t="shared" si="174"/>
        <v>0</v>
      </c>
      <c r="AK259" s="470">
        <f t="shared" si="175"/>
        <v>0</v>
      </c>
      <c r="AL259" s="470">
        <f t="shared" si="176"/>
        <v>0</v>
      </c>
      <c r="AM259" s="470">
        <f t="shared" si="177"/>
        <v>0</v>
      </c>
      <c r="AN259" s="470">
        <f t="shared" si="178"/>
        <v>0</v>
      </c>
      <c r="AO259" s="470">
        <f t="shared" si="179"/>
        <v>0</v>
      </c>
      <c r="AP259" s="470">
        <f t="shared" si="180"/>
        <v>0</v>
      </c>
      <c r="AQ259" s="470">
        <f t="shared" si="181"/>
        <v>0</v>
      </c>
      <c r="AR259" s="470">
        <f t="shared" si="182"/>
        <v>0</v>
      </c>
      <c r="AS259" s="470">
        <f t="shared" si="183"/>
        <v>0</v>
      </c>
      <c r="AT259" s="470">
        <f t="shared" si="184"/>
        <v>0</v>
      </c>
      <c r="AU259" s="470">
        <f t="shared" si="185"/>
        <v>0</v>
      </c>
      <c r="AV259" s="470">
        <f t="shared" si="186"/>
        <v>0</v>
      </c>
      <c r="AW259" s="470">
        <f t="shared" si="187"/>
        <v>0</v>
      </c>
      <c r="AX259" s="470">
        <f t="shared" si="188"/>
        <v>0</v>
      </c>
      <c r="AY259" s="470">
        <f t="shared" si="189"/>
        <v>0</v>
      </c>
      <c r="AZ259" s="470">
        <f t="shared" si="190"/>
        <v>0</v>
      </c>
      <c r="BA259" s="470">
        <f t="shared" si="191"/>
        <v>0</v>
      </c>
      <c r="BB259" s="141"/>
    </row>
    <row r="260" spans="1:54">
      <c r="A260" s="1335">
        <f>$B$31</f>
        <v>0</v>
      </c>
      <c r="B260" s="1335"/>
      <c r="C260" s="1335"/>
      <c r="D260" s="1335"/>
      <c r="E260" s="1335"/>
      <c r="F260" s="467">
        <f>OpeningTemplate!$D$226</f>
        <v>0</v>
      </c>
      <c r="G260" s="467">
        <f>OpeningTemplate!$E$226</f>
        <v>0</v>
      </c>
      <c r="H260" s="476">
        <f t="shared" si="192"/>
        <v>0</v>
      </c>
      <c r="I260" s="446">
        <f t="shared" si="193"/>
        <v>0</v>
      </c>
      <c r="J260" s="468">
        <f t="shared" si="194"/>
        <v>0</v>
      </c>
      <c r="K260" s="467">
        <f t="shared" si="152"/>
        <v>0</v>
      </c>
      <c r="L260" s="467">
        <f t="shared" si="153"/>
        <v>0</v>
      </c>
      <c r="M260" s="469">
        <f t="shared" si="154"/>
        <v>0</v>
      </c>
      <c r="N260" s="469">
        <f t="shared" si="155"/>
        <v>0</v>
      </c>
      <c r="O260" s="470">
        <f t="shared" si="195"/>
        <v>0</v>
      </c>
      <c r="P260" s="470">
        <f t="shared" si="196"/>
        <v>0</v>
      </c>
      <c r="Q260" s="470">
        <f t="shared" si="197"/>
        <v>0</v>
      </c>
      <c r="R260" s="470">
        <f t="shared" si="156"/>
        <v>0</v>
      </c>
      <c r="S260" s="470">
        <f t="shared" si="157"/>
        <v>0</v>
      </c>
      <c r="T260" s="470">
        <f t="shared" si="158"/>
        <v>0</v>
      </c>
      <c r="U260" s="470">
        <f t="shared" si="159"/>
        <v>0</v>
      </c>
      <c r="V260" s="470">
        <f t="shared" si="160"/>
        <v>0</v>
      </c>
      <c r="W260" s="470">
        <f t="shared" si="161"/>
        <v>0</v>
      </c>
      <c r="X260" s="470">
        <f t="shared" si="162"/>
        <v>0</v>
      </c>
      <c r="Y260" s="470">
        <f t="shared" si="163"/>
        <v>0</v>
      </c>
      <c r="Z260" s="470">
        <f t="shared" si="164"/>
        <v>0</v>
      </c>
      <c r="AA260" s="470">
        <f t="shared" si="165"/>
        <v>0</v>
      </c>
      <c r="AB260" s="470">
        <f t="shared" si="166"/>
        <v>0</v>
      </c>
      <c r="AC260" s="470">
        <f t="shared" si="167"/>
        <v>0</v>
      </c>
      <c r="AD260" s="470">
        <f t="shared" si="168"/>
        <v>0</v>
      </c>
      <c r="AE260" s="470">
        <f t="shared" si="169"/>
        <v>0</v>
      </c>
      <c r="AF260" s="470">
        <f t="shared" si="170"/>
        <v>0</v>
      </c>
      <c r="AG260" s="470">
        <f t="shared" si="171"/>
        <v>0</v>
      </c>
      <c r="AH260" s="470">
        <f t="shared" si="172"/>
        <v>0</v>
      </c>
      <c r="AI260" s="470">
        <f t="shared" si="173"/>
        <v>0</v>
      </c>
      <c r="AJ260" s="470">
        <f t="shared" si="174"/>
        <v>0</v>
      </c>
      <c r="AK260" s="470">
        <f t="shared" si="175"/>
        <v>0</v>
      </c>
      <c r="AL260" s="470">
        <f t="shared" si="176"/>
        <v>0</v>
      </c>
      <c r="AM260" s="470">
        <f t="shared" si="177"/>
        <v>0</v>
      </c>
      <c r="AN260" s="470">
        <f t="shared" si="178"/>
        <v>0</v>
      </c>
      <c r="AO260" s="470">
        <f t="shared" si="179"/>
        <v>0</v>
      </c>
      <c r="AP260" s="470">
        <f t="shared" si="180"/>
        <v>0</v>
      </c>
      <c r="AQ260" s="470">
        <f t="shared" si="181"/>
        <v>0</v>
      </c>
      <c r="AR260" s="470">
        <f t="shared" si="182"/>
        <v>0</v>
      </c>
      <c r="AS260" s="470">
        <f t="shared" si="183"/>
        <v>0</v>
      </c>
      <c r="AT260" s="470">
        <f t="shared" si="184"/>
        <v>0</v>
      </c>
      <c r="AU260" s="470">
        <f t="shared" si="185"/>
        <v>0</v>
      </c>
      <c r="AV260" s="470">
        <f t="shared" si="186"/>
        <v>0</v>
      </c>
      <c r="AW260" s="470">
        <f t="shared" si="187"/>
        <v>0</v>
      </c>
      <c r="AX260" s="470">
        <f t="shared" si="188"/>
        <v>0</v>
      </c>
      <c r="AY260" s="470">
        <f t="shared" si="189"/>
        <v>0</v>
      </c>
      <c r="AZ260" s="470">
        <f t="shared" si="190"/>
        <v>0</v>
      </c>
      <c r="BA260" s="470">
        <f t="shared" si="191"/>
        <v>0</v>
      </c>
      <c r="BB260" s="141"/>
    </row>
    <row r="261" spans="1:54">
      <c r="A261" s="1335">
        <f>$B$32</f>
        <v>0</v>
      </c>
      <c r="B261" s="1335"/>
      <c r="C261" s="1335"/>
      <c r="D261" s="1335"/>
      <c r="E261" s="1335"/>
      <c r="F261" s="467">
        <f>OpeningTemplate!$D$236</f>
        <v>0</v>
      </c>
      <c r="G261" s="467">
        <f>OpeningTemplate!$E$236</f>
        <v>0</v>
      </c>
      <c r="H261" s="476">
        <f t="shared" si="192"/>
        <v>0</v>
      </c>
      <c r="I261" s="446">
        <f t="shared" si="193"/>
        <v>0</v>
      </c>
      <c r="J261" s="468">
        <f t="shared" si="194"/>
        <v>0</v>
      </c>
      <c r="K261" s="467">
        <f t="shared" si="152"/>
        <v>0</v>
      </c>
      <c r="L261" s="467">
        <f t="shared" si="153"/>
        <v>0</v>
      </c>
      <c r="M261" s="469">
        <f t="shared" si="154"/>
        <v>0</v>
      </c>
      <c r="N261" s="469">
        <f t="shared" si="155"/>
        <v>0</v>
      </c>
      <c r="O261" s="470">
        <f t="shared" si="195"/>
        <v>0</v>
      </c>
      <c r="P261" s="470">
        <f t="shared" si="196"/>
        <v>0</v>
      </c>
      <c r="Q261" s="470">
        <f t="shared" si="197"/>
        <v>0</v>
      </c>
      <c r="R261" s="470">
        <f t="shared" si="156"/>
        <v>0</v>
      </c>
      <c r="S261" s="470">
        <f t="shared" si="157"/>
        <v>0</v>
      </c>
      <c r="T261" s="470">
        <f t="shared" si="158"/>
        <v>0</v>
      </c>
      <c r="U261" s="470">
        <f t="shared" si="159"/>
        <v>0</v>
      </c>
      <c r="V261" s="470">
        <f t="shared" si="160"/>
        <v>0</v>
      </c>
      <c r="W261" s="470">
        <f t="shared" si="161"/>
        <v>0</v>
      </c>
      <c r="X261" s="470">
        <f t="shared" si="162"/>
        <v>0</v>
      </c>
      <c r="Y261" s="470">
        <f t="shared" si="163"/>
        <v>0</v>
      </c>
      <c r="Z261" s="470">
        <f t="shared" si="164"/>
        <v>0</v>
      </c>
      <c r="AA261" s="470">
        <f t="shared" si="165"/>
        <v>0</v>
      </c>
      <c r="AB261" s="470">
        <f t="shared" si="166"/>
        <v>0</v>
      </c>
      <c r="AC261" s="470">
        <f t="shared" si="167"/>
        <v>0</v>
      </c>
      <c r="AD261" s="470">
        <f t="shared" si="168"/>
        <v>0</v>
      </c>
      <c r="AE261" s="470">
        <f t="shared" si="169"/>
        <v>0</v>
      </c>
      <c r="AF261" s="470">
        <f t="shared" si="170"/>
        <v>0</v>
      </c>
      <c r="AG261" s="470">
        <f t="shared" si="171"/>
        <v>0</v>
      </c>
      <c r="AH261" s="470">
        <f t="shared" si="172"/>
        <v>0</v>
      </c>
      <c r="AI261" s="470">
        <f t="shared" si="173"/>
        <v>0</v>
      </c>
      <c r="AJ261" s="470">
        <f t="shared" si="174"/>
        <v>0</v>
      </c>
      <c r="AK261" s="470">
        <f t="shared" si="175"/>
        <v>0</v>
      </c>
      <c r="AL261" s="470">
        <f t="shared" si="176"/>
        <v>0</v>
      </c>
      <c r="AM261" s="470">
        <f t="shared" si="177"/>
        <v>0</v>
      </c>
      <c r="AN261" s="470">
        <f t="shared" si="178"/>
        <v>0</v>
      </c>
      <c r="AO261" s="470">
        <f t="shared" si="179"/>
        <v>0</v>
      </c>
      <c r="AP261" s="470">
        <f t="shared" si="180"/>
        <v>0</v>
      </c>
      <c r="AQ261" s="470">
        <f t="shared" si="181"/>
        <v>0</v>
      </c>
      <c r="AR261" s="470">
        <f t="shared" si="182"/>
        <v>0</v>
      </c>
      <c r="AS261" s="470">
        <f t="shared" si="183"/>
        <v>0</v>
      </c>
      <c r="AT261" s="470">
        <f t="shared" si="184"/>
        <v>0</v>
      </c>
      <c r="AU261" s="470">
        <f t="shared" si="185"/>
        <v>0</v>
      </c>
      <c r="AV261" s="470">
        <f t="shared" si="186"/>
        <v>0</v>
      </c>
      <c r="AW261" s="470">
        <f t="shared" si="187"/>
        <v>0</v>
      </c>
      <c r="AX261" s="470">
        <f t="shared" si="188"/>
        <v>0</v>
      </c>
      <c r="AY261" s="470">
        <f t="shared" si="189"/>
        <v>0</v>
      </c>
      <c r="AZ261" s="470">
        <f t="shared" si="190"/>
        <v>0</v>
      </c>
      <c r="BA261" s="470">
        <f t="shared" si="191"/>
        <v>0</v>
      </c>
      <c r="BB261" s="141"/>
    </row>
    <row r="262" spans="1:54">
      <c r="A262" s="1335">
        <f>$B$33</f>
        <v>0</v>
      </c>
      <c r="B262" s="1335"/>
      <c r="C262" s="1335"/>
      <c r="D262" s="1335"/>
      <c r="E262" s="1335"/>
      <c r="F262" s="467">
        <f>OpeningTemplate!$D$246</f>
        <v>0</v>
      </c>
      <c r="G262" s="467">
        <f>OpeningTemplate!$E$246</f>
        <v>0</v>
      </c>
      <c r="H262" s="476">
        <f t="shared" si="192"/>
        <v>0</v>
      </c>
      <c r="I262" s="446">
        <f t="shared" si="193"/>
        <v>0</v>
      </c>
      <c r="J262" s="468">
        <f t="shared" si="194"/>
        <v>0</v>
      </c>
      <c r="K262" s="467">
        <f t="shared" si="152"/>
        <v>0</v>
      </c>
      <c r="L262" s="467">
        <f t="shared" si="153"/>
        <v>0</v>
      </c>
      <c r="M262" s="469">
        <f t="shared" si="154"/>
        <v>0</v>
      </c>
      <c r="N262" s="469">
        <f t="shared" si="155"/>
        <v>0</v>
      </c>
      <c r="O262" s="470">
        <f t="shared" si="195"/>
        <v>0</v>
      </c>
      <c r="P262" s="470">
        <f t="shared" si="196"/>
        <v>0</v>
      </c>
      <c r="Q262" s="470">
        <f t="shared" si="197"/>
        <v>0</v>
      </c>
      <c r="R262" s="470">
        <f t="shared" si="156"/>
        <v>0</v>
      </c>
      <c r="S262" s="470">
        <f t="shared" si="157"/>
        <v>0</v>
      </c>
      <c r="T262" s="470">
        <f t="shared" si="158"/>
        <v>0</v>
      </c>
      <c r="U262" s="470">
        <f t="shared" si="159"/>
        <v>0</v>
      </c>
      <c r="V262" s="470">
        <f t="shared" si="160"/>
        <v>0</v>
      </c>
      <c r="W262" s="470">
        <f t="shared" si="161"/>
        <v>0</v>
      </c>
      <c r="X262" s="470">
        <f t="shared" si="162"/>
        <v>0</v>
      </c>
      <c r="Y262" s="470">
        <f t="shared" si="163"/>
        <v>0</v>
      </c>
      <c r="Z262" s="470">
        <f t="shared" si="164"/>
        <v>0</v>
      </c>
      <c r="AA262" s="470">
        <f t="shared" si="165"/>
        <v>0</v>
      </c>
      <c r="AB262" s="470">
        <f t="shared" si="166"/>
        <v>0</v>
      </c>
      <c r="AC262" s="470">
        <f t="shared" si="167"/>
        <v>0</v>
      </c>
      <c r="AD262" s="470">
        <f t="shared" si="168"/>
        <v>0</v>
      </c>
      <c r="AE262" s="470">
        <f t="shared" si="169"/>
        <v>0</v>
      </c>
      <c r="AF262" s="470">
        <f t="shared" si="170"/>
        <v>0</v>
      </c>
      <c r="AG262" s="470">
        <f t="shared" si="171"/>
        <v>0</v>
      </c>
      <c r="AH262" s="470">
        <f t="shared" si="172"/>
        <v>0</v>
      </c>
      <c r="AI262" s="470">
        <f t="shared" si="173"/>
        <v>0</v>
      </c>
      <c r="AJ262" s="470">
        <f t="shared" si="174"/>
        <v>0</v>
      </c>
      <c r="AK262" s="470">
        <f t="shared" si="175"/>
        <v>0</v>
      </c>
      <c r="AL262" s="470">
        <f t="shared" si="176"/>
        <v>0</v>
      </c>
      <c r="AM262" s="470">
        <f t="shared" si="177"/>
        <v>0</v>
      </c>
      <c r="AN262" s="470">
        <f t="shared" si="178"/>
        <v>0</v>
      </c>
      <c r="AO262" s="470">
        <f t="shared" si="179"/>
        <v>0</v>
      </c>
      <c r="AP262" s="470">
        <f t="shared" si="180"/>
        <v>0</v>
      </c>
      <c r="AQ262" s="470">
        <f t="shared" si="181"/>
        <v>0</v>
      </c>
      <c r="AR262" s="470">
        <f t="shared" si="182"/>
        <v>0</v>
      </c>
      <c r="AS262" s="470">
        <f t="shared" si="183"/>
        <v>0</v>
      </c>
      <c r="AT262" s="470">
        <f t="shared" si="184"/>
        <v>0</v>
      </c>
      <c r="AU262" s="470">
        <f t="shared" si="185"/>
        <v>0</v>
      </c>
      <c r="AV262" s="470">
        <f t="shared" si="186"/>
        <v>0</v>
      </c>
      <c r="AW262" s="470">
        <f t="shared" si="187"/>
        <v>0</v>
      </c>
      <c r="AX262" s="470">
        <f t="shared" si="188"/>
        <v>0</v>
      </c>
      <c r="AY262" s="470">
        <f t="shared" si="189"/>
        <v>0</v>
      </c>
      <c r="AZ262" s="470">
        <f t="shared" si="190"/>
        <v>0</v>
      </c>
      <c r="BA262" s="470">
        <f t="shared" si="191"/>
        <v>0</v>
      </c>
      <c r="BB262" s="141"/>
    </row>
    <row r="263" spans="1:54">
      <c r="A263" s="1335">
        <f>$B$34</f>
        <v>0</v>
      </c>
      <c r="B263" s="1335"/>
      <c r="C263" s="1335"/>
      <c r="D263" s="1335"/>
      <c r="E263" s="1335"/>
      <c r="F263" s="467">
        <f>OpeningTemplate!$D$256</f>
        <v>0</v>
      </c>
      <c r="G263" s="467">
        <f>OpeningTemplate!$E$256</f>
        <v>0</v>
      </c>
      <c r="H263" s="476">
        <f t="shared" si="192"/>
        <v>0</v>
      </c>
      <c r="I263" s="446">
        <f t="shared" si="193"/>
        <v>0</v>
      </c>
      <c r="J263" s="468">
        <f t="shared" si="194"/>
        <v>0</v>
      </c>
      <c r="K263" s="467">
        <f t="shared" si="152"/>
        <v>0</v>
      </c>
      <c r="L263" s="467">
        <f t="shared" si="153"/>
        <v>0</v>
      </c>
      <c r="M263" s="469">
        <f t="shared" si="154"/>
        <v>0</v>
      </c>
      <c r="N263" s="469">
        <f t="shared" si="155"/>
        <v>0</v>
      </c>
      <c r="O263" s="470">
        <f t="shared" si="195"/>
        <v>0</v>
      </c>
      <c r="P263" s="470">
        <f t="shared" si="196"/>
        <v>0</v>
      </c>
      <c r="Q263" s="470">
        <f t="shared" si="197"/>
        <v>0</v>
      </c>
      <c r="R263" s="470">
        <f t="shared" si="156"/>
        <v>0</v>
      </c>
      <c r="S263" s="470">
        <f t="shared" si="157"/>
        <v>0</v>
      </c>
      <c r="T263" s="470">
        <f t="shared" si="158"/>
        <v>0</v>
      </c>
      <c r="U263" s="470">
        <f t="shared" si="159"/>
        <v>0</v>
      </c>
      <c r="V263" s="470">
        <f t="shared" si="160"/>
        <v>0</v>
      </c>
      <c r="W263" s="470">
        <f t="shared" si="161"/>
        <v>0</v>
      </c>
      <c r="X263" s="470">
        <f t="shared" si="162"/>
        <v>0</v>
      </c>
      <c r="Y263" s="470">
        <f t="shared" si="163"/>
        <v>0</v>
      </c>
      <c r="Z263" s="470">
        <f t="shared" si="164"/>
        <v>0</v>
      </c>
      <c r="AA263" s="470">
        <f t="shared" si="165"/>
        <v>0</v>
      </c>
      <c r="AB263" s="470">
        <f t="shared" si="166"/>
        <v>0</v>
      </c>
      <c r="AC263" s="470">
        <f t="shared" si="167"/>
        <v>0</v>
      </c>
      <c r="AD263" s="470">
        <f t="shared" si="168"/>
        <v>0</v>
      </c>
      <c r="AE263" s="470">
        <f t="shared" si="169"/>
        <v>0</v>
      </c>
      <c r="AF263" s="470">
        <f t="shared" si="170"/>
        <v>0</v>
      </c>
      <c r="AG263" s="470">
        <f t="shared" si="171"/>
        <v>0</v>
      </c>
      <c r="AH263" s="470">
        <f t="shared" si="172"/>
        <v>0</v>
      </c>
      <c r="AI263" s="470">
        <f t="shared" si="173"/>
        <v>0</v>
      </c>
      <c r="AJ263" s="470">
        <f t="shared" si="174"/>
        <v>0</v>
      </c>
      <c r="AK263" s="470">
        <f t="shared" si="175"/>
        <v>0</v>
      </c>
      <c r="AL263" s="470">
        <f t="shared" si="176"/>
        <v>0</v>
      </c>
      <c r="AM263" s="470">
        <f t="shared" si="177"/>
        <v>0</v>
      </c>
      <c r="AN263" s="470">
        <f t="shared" si="178"/>
        <v>0</v>
      </c>
      <c r="AO263" s="470">
        <f t="shared" si="179"/>
        <v>0</v>
      </c>
      <c r="AP263" s="470">
        <f t="shared" si="180"/>
        <v>0</v>
      </c>
      <c r="AQ263" s="470">
        <f t="shared" si="181"/>
        <v>0</v>
      </c>
      <c r="AR263" s="470">
        <f t="shared" si="182"/>
        <v>0</v>
      </c>
      <c r="AS263" s="470">
        <f t="shared" si="183"/>
        <v>0</v>
      </c>
      <c r="AT263" s="470">
        <f t="shared" si="184"/>
        <v>0</v>
      </c>
      <c r="AU263" s="470">
        <f t="shared" si="185"/>
        <v>0</v>
      </c>
      <c r="AV263" s="470">
        <f t="shared" si="186"/>
        <v>0</v>
      </c>
      <c r="AW263" s="470">
        <f t="shared" si="187"/>
        <v>0</v>
      </c>
      <c r="AX263" s="470">
        <f t="shared" si="188"/>
        <v>0</v>
      </c>
      <c r="AY263" s="470">
        <f t="shared" si="189"/>
        <v>0</v>
      </c>
      <c r="AZ263" s="470">
        <f t="shared" si="190"/>
        <v>0</v>
      </c>
      <c r="BA263" s="470">
        <f t="shared" si="191"/>
        <v>0</v>
      </c>
      <c r="BB263" s="141"/>
    </row>
    <row r="264" spans="1:54">
      <c r="A264" s="1335">
        <f>$B$35</f>
        <v>0</v>
      </c>
      <c r="B264" s="1335"/>
      <c r="C264" s="1335"/>
      <c r="D264" s="1335"/>
      <c r="E264" s="1335"/>
      <c r="F264" s="467">
        <f>OpeningTemplate!$D$266</f>
        <v>0</v>
      </c>
      <c r="G264" s="467">
        <f>OpeningTemplate!$E$266</f>
        <v>0</v>
      </c>
      <c r="H264" s="476">
        <f t="shared" si="192"/>
        <v>0</v>
      </c>
      <c r="I264" s="446">
        <f t="shared" si="193"/>
        <v>0</v>
      </c>
      <c r="J264" s="468">
        <f t="shared" si="194"/>
        <v>0</v>
      </c>
      <c r="K264" s="467">
        <f t="shared" si="152"/>
        <v>0</v>
      </c>
      <c r="L264" s="467">
        <f t="shared" si="153"/>
        <v>0</v>
      </c>
      <c r="M264" s="469">
        <f t="shared" si="154"/>
        <v>0</v>
      </c>
      <c r="N264" s="469">
        <f t="shared" si="155"/>
        <v>0</v>
      </c>
      <c r="O264" s="470">
        <f t="shared" si="195"/>
        <v>0</v>
      </c>
      <c r="P264" s="470">
        <f t="shared" si="196"/>
        <v>0</v>
      </c>
      <c r="Q264" s="470">
        <f t="shared" si="197"/>
        <v>0</v>
      </c>
      <c r="R264" s="470">
        <f t="shared" si="156"/>
        <v>0</v>
      </c>
      <c r="S264" s="470">
        <f t="shared" si="157"/>
        <v>0</v>
      </c>
      <c r="T264" s="470">
        <f t="shared" si="158"/>
        <v>0</v>
      </c>
      <c r="U264" s="470">
        <f t="shared" si="159"/>
        <v>0</v>
      </c>
      <c r="V264" s="470">
        <f t="shared" si="160"/>
        <v>0</v>
      </c>
      <c r="W264" s="470">
        <f t="shared" si="161"/>
        <v>0</v>
      </c>
      <c r="X264" s="470">
        <f t="shared" si="162"/>
        <v>0</v>
      </c>
      <c r="Y264" s="470">
        <f t="shared" si="163"/>
        <v>0</v>
      </c>
      <c r="Z264" s="470">
        <f t="shared" si="164"/>
        <v>0</v>
      </c>
      <c r="AA264" s="470">
        <f t="shared" si="165"/>
        <v>0</v>
      </c>
      <c r="AB264" s="470">
        <f t="shared" si="166"/>
        <v>0</v>
      </c>
      <c r="AC264" s="470">
        <f t="shared" si="167"/>
        <v>0</v>
      </c>
      <c r="AD264" s="470">
        <f t="shared" si="168"/>
        <v>0</v>
      </c>
      <c r="AE264" s="470">
        <f t="shared" si="169"/>
        <v>0</v>
      </c>
      <c r="AF264" s="470">
        <f t="shared" si="170"/>
        <v>0</v>
      </c>
      <c r="AG264" s="470">
        <f t="shared" si="171"/>
        <v>0</v>
      </c>
      <c r="AH264" s="470">
        <f t="shared" si="172"/>
        <v>0</v>
      </c>
      <c r="AI264" s="470">
        <f t="shared" si="173"/>
        <v>0</v>
      </c>
      <c r="AJ264" s="470">
        <f t="shared" si="174"/>
        <v>0</v>
      </c>
      <c r="AK264" s="470">
        <f t="shared" si="175"/>
        <v>0</v>
      </c>
      <c r="AL264" s="470">
        <f t="shared" si="176"/>
        <v>0</v>
      </c>
      <c r="AM264" s="470">
        <f t="shared" si="177"/>
        <v>0</v>
      </c>
      <c r="AN264" s="470">
        <f t="shared" si="178"/>
        <v>0</v>
      </c>
      <c r="AO264" s="470">
        <f t="shared" si="179"/>
        <v>0</v>
      </c>
      <c r="AP264" s="470">
        <f t="shared" si="180"/>
        <v>0</v>
      </c>
      <c r="AQ264" s="470">
        <f t="shared" si="181"/>
        <v>0</v>
      </c>
      <c r="AR264" s="470">
        <f t="shared" si="182"/>
        <v>0</v>
      </c>
      <c r="AS264" s="470">
        <f t="shared" si="183"/>
        <v>0</v>
      </c>
      <c r="AT264" s="470">
        <f t="shared" si="184"/>
        <v>0</v>
      </c>
      <c r="AU264" s="470">
        <f t="shared" si="185"/>
        <v>0</v>
      </c>
      <c r="AV264" s="470">
        <f t="shared" si="186"/>
        <v>0</v>
      </c>
      <c r="AW264" s="470">
        <f t="shared" si="187"/>
        <v>0</v>
      </c>
      <c r="AX264" s="470">
        <f t="shared" si="188"/>
        <v>0</v>
      </c>
      <c r="AY264" s="470">
        <f t="shared" si="189"/>
        <v>0</v>
      </c>
      <c r="AZ264" s="470">
        <f t="shared" si="190"/>
        <v>0</v>
      </c>
      <c r="BA264" s="470">
        <f t="shared" si="191"/>
        <v>0</v>
      </c>
      <c r="BB264" s="141"/>
    </row>
    <row r="265" spans="1:54">
      <c r="A265" s="1335">
        <f>$B$36</f>
        <v>0</v>
      </c>
      <c r="B265" s="1335"/>
      <c r="C265" s="1335"/>
      <c r="D265" s="1335"/>
      <c r="E265" s="1335"/>
      <c r="F265" s="467">
        <f>OpeningTemplate!$D$276</f>
        <v>0</v>
      </c>
      <c r="G265" s="467">
        <f>OpeningTemplate!$E$276</f>
        <v>0</v>
      </c>
      <c r="H265" s="476">
        <f t="shared" si="192"/>
        <v>0</v>
      </c>
      <c r="I265" s="446">
        <f t="shared" si="193"/>
        <v>0</v>
      </c>
      <c r="J265" s="468">
        <f t="shared" si="194"/>
        <v>0</v>
      </c>
      <c r="K265" s="467">
        <f t="shared" si="152"/>
        <v>0</v>
      </c>
      <c r="L265" s="467">
        <f t="shared" si="153"/>
        <v>0</v>
      </c>
      <c r="M265" s="469">
        <f t="shared" si="154"/>
        <v>0</v>
      </c>
      <c r="N265" s="469">
        <f t="shared" si="155"/>
        <v>0</v>
      </c>
      <c r="O265" s="470">
        <f t="shared" si="195"/>
        <v>0</v>
      </c>
      <c r="P265" s="470">
        <f t="shared" si="196"/>
        <v>0</v>
      </c>
      <c r="Q265" s="470">
        <f t="shared" si="197"/>
        <v>0</v>
      </c>
      <c r="R265" s="470">
        <f t="shared" si="156"/>
        <v>0</v>
      </c>
      <c r="S265" s="470">
        <f t="shared" si="157"/>
        <v>0</v>
      </c>
      <c r="T265" s="470">
        <f t="shared" si="158"/>
        <v>0</v>
      </c>
      <c r="U265" s="470">
        <f t="shared" si="159"/>
        <v>0</v>
      </c>
      <c r="V265" s="470">
        <f t="shared" si="160"/>
        <v>0</v>
      </c>
      <c r="W265" s="470">
        <f t="shared" si="161"/>
        <v>0</v>
      </c>
      <c r="X265" s="470">
        <f t="shared" si="162"/>
        <v>0</v>
      </c>
      <c r="Y265" s="470">
        <f t="shared" si="163"/>
        <v>0</v>
      </c>
      <c r="Z265" s="470">
        <f t="shared" si="164"/>
        <v>0</v>
      </c>
      <c r="AA265" s="470">
        <f t="shared" si="165"/>
        <v>0</v>
      </c>
      <c r="AB265" s="470">
        <f t="shared" si="166"/>
        <v>0</v>
      </c>
      <c r="AC265" s="470">
        <f t="shared" si="167"/>
        <v>0</v>
      </c>
      <c r="AD265" s="470">
        <f t="shared" si="168"/>
        <v>0</v>
      </c>
      <c r="AE265" s="470">
        <f t="shared" si="169"/>
        <v>0</v>
      </c>
      <c r="AF265" s="470">
        <f t="shared" si="170"/>
        <v>0</v>
      </c>
      <c r="AG265" s="470">
        <f t="shared" si="171"/>
        <v>0</v>
      </c>
      <c r="AH265" s="470">
        <f t="shared" si="172"/>
        <v>0</v>
      </c>
      <c r="AI265" s="470">
        <f t="shared" si="173"/>
        <v>0</v>
      </c>
      <c r="AJ265" s="470">
        <f t="shared" si="174"/>
        <v>0</v>
      </c>
      <c r="AK265" s="470">
        <f t="shared" si="175"/>
        <v>0</v>
      </c>
      <c r="AL265" s="470">
        <f t="shared" si="176"/>
        <v>0</v>
      </c>
      <c r="AM265" s="470">
        <f t="shared" si="177"/>
        <v>0</v>
      </c>
      <c r="AN265" s="470">
        <f t="shared" si="178"/>
        <v>0</v>
      </c>
      <c r="AO265" s="470">
        <f t="shared" si="179"/>
        <v>0</v>
      </c>
      <c r="AP265" s="470">
        <f t="shared" si="180"/>
        <v>0</v>
      </c>
      <c r="AQ265" s="470">
        <f t="shared" si="181"/>
        <v>0</v>
      </c>
      <c r="AR265" s="470">
        <f t="shared" si="182"/>
        <v>0</v>
      </c>
      <c r="AS265" s="470">
        <f t="shared" si="183"/>
        <v>0</v>
      </c>
      <c r="AT265" s="470">
        <f t="shared" si="184"/>
        <v>0</v>
      </c>
      <c r="AU265" s="470">
        <f t="shared" si="185"/>
        <v>0</v>
      </c>
      <c r="AV265" s="470">
        <f t="shared" si="186"/>
        <v>0</v>
      </c>
      <c r="AW265" s="470">
        <f t="shared" si="187"/>
        <v>0</v>
      </c>
      <c r="AX265" s="470">
        <f t="shared" si="188"/>
        <v>0</v>
      </c>
      <c r="AY265" s="470">
        <f t="shared" si="189"/>
        <v>0</v>
      </c>
      <c r="AZ265" s="470">
        <f t="shared" si="190"/>
        <v>0</v>
      </c>
      <c r="BA265" s="470">
        <f t="shared" si="191"/>
        <v>0</v>
      </c>
      <c r="BB265" s="141"/>
    </row>
    <row r="266" spans="1:54">
      <c r="A266" s="1335">
        <f>$B$37</f>
        <v>0</v>
      </c>
      <c r="B266" s="1335"/>
      <c r="C266" s="1335"/>
      <c r="D266" s="1335"/>
      <c r="E266" s="1335"/>
      <c r="F266" s="467">
        <f>OpeningTemplate!$D$286</f>
        <v>0</v>
      </c>
      <c r="G266" s="467">
        <f>OpeningTemplate!$E$286</f>
        <v>0</v>
      </c>
      <c r="H266" s="476">
        <f t="shared" si="192"/>
        <v>0</v>
      </c>
      <c r="I266" s="446">
        <f t="shared" si="193"/>
        <v>0</v>
      </c>
      <c r="J266" s="468">
        <f t="shared" si="194"/>
        <v>0</v>
      </c>
      <c r="K266" s="467">
        <f t="shared" si="152"/>
        <v>0</v>
      </c>
      <c r="L266" s="467">
        <f t="shared" si="153"/>
        <v>0</v>
      </c>
      <c r="M266" s="469">
        <f t="shared" si="154"/>
        <v>0</v>
      </c>
      <c r="N266" s="469">
        <f t="shared" si="155"/>
        <v>0</v>
      </c>
      <c r="O266" s="470">
        <f t="shared" si="195"/>
        <v>0</v>
      </c>
      <c r="P266" s="470">
        <f t="shared" si="196"/>
        <v>0</v>
      </c>
      <c r="Q266" s="470">
        <f t="shared" si="197"/>
        <v>0</v>
      </c>
      <c r="R266" s="470">
        <f t="shared" si="156"/>
        <v>0</v>
      </c>
      <c r="S266" s="470">
        <f t="shared" si="157"/>
        <v>0</v>
      </c>
      <c r="T266" s="470">
        <f t="shared" si="158"/>
        <v>0</v>
      </c>
      <c r="U266" s="470">
        <f t="shared" si="159"/>
        <v>0</v>
      </c>
      <c r="V266" s="470">
        <f t="shared" si="160"/>
        <v>0</v>
      </c>
      <c r="W266" s="470">
        <f t="shared" si="161"/>
        <v>0</v>
      </c>
      <c r="X266" s="470">
        <f t="shared" si="162"/>
        <v>0</v>
      </c>
      <c r="Y266" s="470">
        <f t="shared" si="163"/>
        <v>0</v>
      </c>
      <c r="Z266" s="470">
        <f t="shared" si="164"/>
        <v>0</v>
      </c>
      <c r="AA266" s="470">
        <f t="shared" si="165"/>
        <v>0</v>
      </c>
      <c r="AB266" s="470">
        <f t="shared" si="166"/>
        <v>0</v>
      </c>
      <c r="AC266" s="470">
        <f t="shared" si="167"/>
        <v>0</v>
      </c>
      <c r="AD266" s="470">
        <f t="shared" si="168"/>
        <v>0</v>
      </c>
      <c r="AE266" s="470">
        <f t="shared" si="169"/>
        <v>0</v>
      </c>
      <c r="AF266" s="470">
        <f t="shared" si="170"/>
        <v>0</v>
      </c>
      <c r="AG266" s="470">
        <f t="shared" si="171"/>
        <v>0</v>
      </c>
      <c r="AH266" s="470">
        <f t="shared" si="172"/>
        <v>0</v>
      </c>
      <c r="AI266" s="470">
        <f t="shared" si="173"/>
        <v>0</v>
      </c>
      <c r="AJ266" s="470">
        <f t="shared" si="174"/>
        <v>0</v>
      </c>
      <c r="AK266" s="470">
        <f t="shared" si="175"/>
        <v>0</v>
      </c>
      <c r="AL266" s="470">
        <f t="shared" si="176"/>
        <v>0</v>
      </c>
      <c r="AM266" s="470">
        <f t="shared" si="177"/>
        <v>0</v>
      </c>
      <c r="AN266" s="470">
        <f t="shared" si="178"/>
        <v>0</v>
      </c>
      <c r="AO266" s="470">
        <f t="shared" si="179"/>
        <v>0</v>
      </c>
      <c r="AP266" s="470">
        <f t="shared" si="180"/>
        <v>0</v>
      </c>
      <c r="AQ266" s="470">
        <f t="shared" si="181"/>
        <v>0</v>
      </c>
      <c r="AR266" s="470">
        <f t="shared" si="182"/>
        <v>0</v>
      </c>
      <c r="AS266" s="470">
        <f t="shared" si="183"/>
        <v>0</v>
      </c>
      <c r="AT266" s="470">
        <f t="shared" si="184"/>
        <v>0</v>
      </c>
      <c r="AU266" s="470">
        <f t="shared" si="185"/>
        <v>0</v>
      </c>
      <c r="AV266" s="470">
        <f t="shared" si="186"/>
        <v>0</v>
      </c>
      <c r="AW266" s="470">
        <f t="shared" si="187"/>
        <v>0</v>
      </c>
      <c r="AX266" s="470">
        <f t="shared" si="188"/>
        <v>0</v>
      </c>
      <c r="AY266" s="470">
        <f t="shared" si="189"/>
        <v>0</v>
      </c>
      <c r="AZ266" s="470">
        <f t="shared" si="190"/>
        <v>0</v>
      </c>
      <c r="BA266" s="470">
        <f t="shared" si="191"/>
        <v>0</v>
      </c>
      <c r="BB266" s="141"/>
    </row>
    <row r="267" spans="1:54">
      <c r="A267" s="1335">
        <f>$B$38</f>
        <v>0</v>
      </c>
      <c r="B267" s="1335"/>
      <c r="C267" s="1335"/>
      <c r="D267" s="1335"/>
      <c r="E267" s="1335"/>
      <c r="F267" s="467">
        <f>OpeningTemplate!$D$296</f>
        <v>0</v>
      </c>
      <c r="G267" s="467">
        <f>OpeningTemplate!$E$296</f>
        <v>0</v>
      </c>
      <c r="H267" s="476">
        <f t="shared" si="192"/>
        <v>0</v>
      </c>
      <c r="I267" s="446">
        <f t="shared" si="193"/>
        <v>0</v>
      </c>
      <c r="J267" s="468">
        <f t="shared" si="194"/>
        <v>0</v>
      </c>
      <c r="K267" s="467">
        <f t="shared" si="152"/>
        <v>0</v>
      </c>
      <c r="L267" s="467">
        <f t="shared" si="153"/>
        <v>0</v>
      </c>
      <c r="M267" s="469">
        <f t="shared" si="154"/>
        <v>0</v>
      </c>
      <c r="N267" s="469">
        <f t="shared" si="155"/>
        <v>0</v>
      </c>
      <c r="O267" s="470">
        <f t="shared" si="195"/>
        <v>0</v>
      </c>
      <c r="P267" s="470">
        <f t="shared" si="196"/>
        <v>0</v>
      </c>
      <c r="Q267" s="470">
        <f t="shared" si="197"/>
        <v>0</v>
      </c>
      <c r="R267" s="470">
        <f t="shared" si="156"/>
        <v>0</v>
      </c>
      <c r="S267" s="470">
        <f t="shared" si="157"/>
        <v>0</v>
      </c>
      <c r="T267" s="470">
        <f t="shared" si="158"/>
        <v>0</v>
      </c>
      <c r="U267" s="470">
        <f t="shared" si="159"/>
        <v>0</v>
      </c>
      <c r="V267" s="470">
        <f t="shared" si="160"/>
        <v>0</v>
      </c>
      <c r="W267" s="470">
        <f t="shared" si="161"/>
        <v>0</v>
      </c>
      <c r="X267" s="470">
        <f t="shared" si="162"/>
        <v>0</v>
      </c>
      <c r="Y267" s="470">
        <f t="shared" si="163"/>
        <v>0</v>
      </c>
      <c r="Z267" s="470">
        <f t="shared" si="164"/>
        <v>0</v>
      </c>
      <c r="AA267" s="470">
        <f t="shared" si="165"/>
        <v>0</v>
      </c>
      <c r="AB267" s="470">
        <f t="shared" si="166"/>
        <v>0</v>
      </c>
      <c r="AC267" s="470">
        <f t="shared" si="167"/>
        <v>0</v>
      </c>
      <c r="AD267" s="470">
        <f t="shared" si="168"/>
        <v>0</v>
      </c>
      <c r="AE267" s="470">
        <f t="shared" si="169"/>
        <v>0</v>
      </c>
      <c r="AF267" s="470">
        <f t="shared" si="170"/>
        <v>0</v>
      </c>
      <c r="AG267" s="470">
        <f t="shared" si="171"/>
        <v>0</v>
      </c>
      <c r="AH267" s="470">
        <f t="shared" si="172"/>
        <v>0</v>
      </c>
      <c r="AI267" s="470">
        <f t="shared" si="173"/>
        <v>0</v>
      </c>
      <c r="AJ267" s="470">
        <f t="shared" si="174"/>
        <v>0</v>
      </c>
      <c r="AK267" s="470">
        <f t="shared" si="175"/>
        <v>0</v>
      </c>
      <c r="AL267" s="470">
        <f t="shared" si="176"/>
        <v>0</v>
      </c>
      <c r="AM267" s="470">
        <f t="shared" si="177"/>
        <v>0</v>
      </c>
      <c r="AN267" s="470">
        <f t="shared" si="178"/>
        <v>0</v>
      </c>
      <c r="AO267" s="470">
        <f t="shared" si="179"/>
        <v>0</v>
      </c>
      <c r="AP267" s="470">
        <f t="shared" si="180"/>
        <v>0</v>
      </c>
      <c r="AQ267" s="470">
        <f t="shared" si="181"/>
        <v>0</v>
      </c>
      <c r="AR267" s="470">
        <f t="shared" si="182"/>
        <v>0</v>
      </c>
      <c r="AS267" s="470">
        <f t="shared" si="183"/>
        <v>0</v>
      </c>
      <c r="AT267" s="470">
        <f t="shared" si="184"/>
        <v>0</v>
      </c>
      <c r="AU267" s="470">
        <f t="shared" si="185"/>
        <v>0</v>
      </c>
      <c r="AV267" s="470">
        <f t="shared" si="186"/>
        <v>0</v>
      </c>
      <c r="AW267" s="470">
        <f t="shared" si="187"/>
        <v>0</v>
      </c>
      <c r="AX267" s="470">
        <f t="shared" si="188"/>
        <v>0</v>
      </c>
      <c r="AY267" s="470">
        <f t="shared" si="189"/>
        <v>0</v>
      </c>
      <c r="AZ267" s="470">
        <f t="shared" si="190"/>
        <v>0</v>
      </c>
      <c r="BA267" s="470">
        <f t="shared" si="191"/>
        <v>0</v>
      </c>
      <c r="BB267" s="141"/>
    </row>
    <row r="268" spans="1:54">
      <c r="A268" s="1335">
        <f>$B$39</f>
        <v>0</v>
      </c>
      <c r="B268" s="1335"/>
      <c r="C268" s="1335"/>
      <c r="D268" s="1335"/>
      <c r="E268" s="1335"/>
      <c r="F268" s="467">
        <f>OpeningTemplate!$D$306</f>
        <v>0</v>
      </c>
      <c r="G268" s="467">
        <f>OpeningTemplate!$E$306</f>
        <v>0</v>
      </c>
      <c r="H268" s="476">
        <f t="shared" si="192"/>
        <v>0</v>
      </c>
      <c r="I268" s="446">
        <f t="shared" si="193"/>
        <v>0</v>
      </c>
      <c r="J268" s="468">
        <f t="shared" si="194"/>
        <v>0</v>
      </c>
      <c r="K268" s="467">
        <f t="shared" si="152"/>
        <v>0</v>
      </c>
      <c r="L268" s="467">
        <f t="shared" si="153"/>
        <v>0</v>
      </c>
      <c r="M268" s="469">
        <f t="shared" si="154"/>
        <v>0</v>
      </c>
      <c r="N268" s="469">
        <f t="shared" si="155"/>
        <v>0</v>
      </c>
      <c r="O268" s="470">
        <f t="shared" si="195"/>
        <v>0</v>
      </c>
      <c r="P268" s="470">
        <f t="shared" si="196"/>
        <v>0</v>
      </c>
      <c r="Q268" s="470">
        <f t="shared" si="197"/>
        <v>0</v>
      </c>
      <c r="R268" s="470">
        <f t="shared" si="156"/>
        <v>0</v>
      </c>
      <c r="S268" s="470">
        <f t="shared" si="157"/>
        <v>0</v>
      </c>
      <c r="T268" s="470">
        <f t="shared" si="158"/>
        <v>0</v>
      </c>
      <c r="U268" s="470">
        <f t="shared" si="159"/>
        <v>0</v>
      </c>
      <c r="V268" s="470">
        <f t="shared" si="160"/>
        <v>0</v>
      </c>
      <c r="W268" s="470">
        <f t="shared" si="161"/>
        <v>0</v>
      </c>
      <c r="X268" s="470">
        <f t="shared" si="162"/>
        <v>0</v>
      </c>
      <c r="Y268" s="470">
        <f t="shared" si="163"/>
        <v>0</v>
      </c>
      <c r="Z268" s="470">
        <f t="shared" si="164"/>
        <v>0</v>
      </c>
      <c r="AA268" s="470">
        <f t="shared" si="165"/>
        <v>0</v>
      </c>
      <c r="AB268" s="470">
        <f t="shared" si="166"/>
        <v>0</v>
      </c>
      <c r="AC268" s="470">
        <f t="shared" si="167"/>
        <v>0</v>
      </c>
      <c r="AD268" s="470">
        <f t="shared" si="168"/>
        <v>0</v>
      </c>
      <c r="AE268" s="470">
        <f t="shared" si="169"/>
        <v>0</v>
      </c>
      <c r="AF268" s="470">
        <f t="shared" si="170"/>
        <v>0</v>
      </c>
      <c r="AG268" s="470">
        <f t="shared" si="171"/>
        <v>0</v>
      </c>
      <c r="AH268" s="470">
        <f t="shared" si="172"/>
        <v>0</v>
      </c>
      <c r="AI268" s="470">
        <f t="shared" si="173"/>
        <v>0</v>
      </c>
      <c r="AJ268" s="470">
        <f t="shared" si="174"/>
        <v>0</v>
      </c>
      <c r="AK268" s="470">
        <f t="shared" si="175"/>
        <v>0</v>
      </c>
      <c r="AL268" s="470">
        <f t="shared" si="176"/>
        <v>0</v>
      </c>
      <c r="AM268" s="470">
        <f t="shared" si="177"/>
        <v>0</v>
      </c>
      <c r="AN268" s="470">
        <f t="shared" si="178"/>
        <v>0</v>
      </c>
      <c r="AO268" s="470">
        <f t="shared" si="179"/>
        <v>0</v>
      </c>
      <c r="AP268" s="470">
        <f t="shared" si="180"/>
        <v>0</v>
      </c>
      <c r="AQ268" s="470">
        <f t="shared" si="181"/>
        <v>0</v>
      </c>
      <c r="AR268" s="470">
        <f t="shared" si="182"/>
        <v>0</v>
      </c>
      <c r="AS268" s="470">
        <f t="shared" si="183"/>
        <v>0</v>
      </c>
      <c r="AT268" s="470">
        <f t="shared" si="184"/>
        <v>0</v>
      </c>
      <c r="AU268" s="470">
        <f t="shared" si="185"/>
        <v>0</v>
      </c>
      <c r="AV268" s="470">
        <f t="shared" si="186"/>
        <v>0</v>
      </c>
      <c r="AW268" s="470">
        <f t="shared" si="187"/>
        <v>0</v>
      </c>
      <c r="AX268" s="470">
        <f t="shared" si="188"/>
        <v>0</v>
      </c>
      <c r="AY268" s="470">
        <f t="shared" si="189"/>
        <v>0</v>
      </c>
      <c r="AZ268" s="470">
        <f t="shared" si="190"/>
        <v>0</v>
      </c>
      <c r="BA268" s="470">
        <f t="shared" si="191"/>
        <v>0</v>
      </c>
      <c r="BB268" s="141"/>
    </row>
    <row r="269" spans="1:54">
      <c r="A269" s="1335">
        <f>$B$40</f>
        <v>0</v>
      </c>
      <c r="B269" s="1335"/>
      <c r="C269" s="1335"/>
      <c r="D269" s="1335"/>
      <c r="E269" s="1335"/>
      <c r="F269" s="467">
        <f>OpeningTemplate!$D$316</f>
        <v>0</v>
      </c>
      <c r="G269" s="467">
        <f>OpeningTemplate!$E$316</f>
        <v>0</v>
      </c>
      <c r="H269" s="476">
        <f t="shared" si="192"/>
        <v>0</v>
      </c>
      <c r="I269" s="446">
        <f t="shared" si="193"/>
        <v>0</v>
      </c>
      <c r="J269" s="468">
        <f t="shared" si="194"/>
        <v>0</v>
      </c>
      <c r="K269" s="467">
        <f t="shared" si="152"/>
        <v>0</v>
      </c>
      <c r="L269" s="467">
        <f t="shared" si="153"/>
        <v>0</v>
      </c>
      <c r="M269" s="469">
        <f t="shared" si="154"/>
        <v>0</v>
      </c>
      <c r="N269" s="469">
        <f t="shared" si="155"/>
        <v>0</v>
      </c>
      <c r="O269" s="470">
        <f t="shared" si="195"/>
        <v>0</v>
      </c>
      <c r="P269" s="470">
        <f t="shared" si="196"/>
        <v>0</v>
      </c>
      <c r="Q269" s="470">
        <f t="shared" si="197"/>
        <v>0</v>
      </c>
      <c r="R269" s="470">
        <f t="shared" si="156"/>
        <v>0</v>
      </c>
      <c r="S269" s="470">
        <f t="shared" si="157"/>
        <v>0</v>
      </c>
      <c r="T269" s="470">
        <f t="shared" si="158"/>
        <v>0</v>
      </c>
      <c r="U269" s="470">
        <f t="shared" si="159"/>
        <v>0</v>
      </c>
      <c r="V269" s="470">
        <f t="shared" si="160"/>
        <v>0</v>
      </c>
      <c r="W269" s="470">
        <f t="shared" si="161"/>
        <v>0</v>
      </c>
      <c r="X269" s="470">
        <f t="shared" si="162"/>
        <v>0</v>
      </c>
      <c r="Y269" s="470">
        <f t="shared" si="163"/>
        <v>0</v>
      </c>
      <c r="Z269" s="470">
        <f t="shared" si="164"/>
        <v>0</v>
      </c>
      <c r="AA269" s="470">
        <f t="shared" si="165"/>
        <v>0</v>
      </c>
      <c r="AB269" s="470">
        <f t="shared" si="166"/>
        <v>0</v>
      </c>
      <c r="AC269" s="470">
        <f t="shared" si="167"/>
        <v>0</v>
      </c>
      <c r="AD269" s="470">
        <f t="shared" si="168"/>
        <v>0</v>
      </c>
      <c r="AE269" s="470">
        <f t="shared" si="169"/>
        <v>0</v>
      </c>
      <c r="AF269" s="470">
        <f t="shared" si="170"/>
        <v>0</v>
      </c>
      <c r="AG269" s="470">
        <f t="shared" si="171"/>
        <v>0</v>
      </c>
      <c r="AH269" s="470">
        <f t="shared" si="172"/>
        <v>0</v>
      </c>
      <c r="AI269" s="470">
        <f t="shared" si="173"/>
        <v>0</v>
      </c>
      <c r="AJ269" s="470">
        <f t="shared" si="174"/>
        <v>0</v>
      </c>
      <c r="AK269" s="470">
        <f t="shared" si="175"/>
        <v>0</v>
      </c>
      <c r="AL269" s="470">
        <f t="shared" si="176"/>
        <v>0</v>
      </c>
      <c r="AM269" s="470">
        <f t="shared" si="177"/>
        <v>0</v>
      </c>
      <c r="AN269" s="470">
        <f t="shared" si="178"/>
        <v>0</v>
      </c>
      <c r="AO269" s="470">
        <f t="shared" si="179"/>
        <v>0</v>
      </c>
      <c r="AP269" s="470">
        <f t="shared" si="180"/>
        <v>0</v>
      </c>
      <c r="AQ269" s="470">
        <f t="shared" si="181"/>
        <v>0</v>
      </c>
      <c r="AR269" s="470">
        <f t="shared" si="182"/>
        <v>0</v>
      </c>
      <c r="AS269" s="470">
        <f t="shared" si="183"/>
        <v>0</v>
      </c>
      <c r="AT269" s="470">
        <f t="shared" si="184"/>
        <v>0</v>
      </c>
      <c r="AU269" s="470">
        <f t="shared" si="185"/>
        <v>0</v>
      </c>
      <c r="AV269" s="470">
        <f t="shared" si="186"/>
        <v>0</v>
      </c>
      <c r="AW269" s="470">
        <f t="shared" si="187"/>
        <v>0</v>
      </c>
      <c r="AX269" s="470">
        <f t="shared" si="188"/>
        <v>0</v>
      </c>
      <c r="AY269" s="470">
        <f t="shared" si="189"/>
        <v>0</v>
      </c>
      <c r="AZ269" s="470">
        <f t="shared" si="190"/>
        <v>0</v>
      </c>
      <c r="BA269" s="470">
        <f t="shared" si="191"/>
        <v>0</v>
      </c>
      <c r="BB269" s="141"/>
    </row>
    <row r="270" spans="1:54">
      <c r="A270" s="1335">
        <f>$B$41</f>
        <v>0</v>
      </c>
      <c r="B270" s="1335"/>
      <c r="C270" s="1335"/>
      <c r="D270" s="1335"/>
      <c r="E270" s="1335"/>
      <c r="F270" s="467">
        <f>OpeningTemplate!$D$326</f>
        <v>0</v>
      </c>
      <c r="G270" s="467">
        <f>OpeningTemplate!$E$326</f>
        <v>0</v>
      </c>
      <c r="H270" s="476">
        <f t="shared" si="192"/>
        <v>0</v>
      </c>
      <c r="I270" s="446">
        <f t="shared" si="193"/>
        <v>0</v>
      </c>
      <c r="J270" s="468">
        <f t="shared" si="194"/>
        <v>0</v>
      </c>
      <c r="K270" s="467">
        <f t="shared" si="152"/>
        <v>0</v>
      </c>
      <c r="L270" s="467">
        <f t="shared" si="153"/>
        <v>0</v>
      </c>
      <c r="M270" s="469">
        <f t="shared" si="154"/>
        <v>0</v>
      </c>
      <c r="N270" s="469">
        <f t="shared" si="155"/>
        <v>0</v>
      </c>
      <c r="O270" s="470">
        <f t="shared" si="195"/>
        <v>0</v>
      </c>
      <c r="P270" s="470">
        <f t="shared" si="196"/>
        <v>0</v>
      </c>
      <c r="Q270" s="470">
        <f t="shared" si="197"/>
        <v>0</v>
      </c>
      <c r="R270" s="470">
        <f t="shared" si="156"/>
        <v>0</v>
      </c>
      <c r="S270" s="470">
        <f t="shared" si="157"/>
        <v>0</v>
      </c>
      <c r="T270" s="470">
        <f t="shared" si="158"/>
        <v>0</v>
      </c>
      <c r="U270" s="470">
        <f t="shared" si="159"/>
        <v>0</v>
      </c>
      <c r="V270" s="470">
        <f t="shared" si="160"/>
        <v>0</v>
      </c>
      <c r="W270" s="470">
        <f t="shared" si="161"/>
        <v>0</v>
      </c>
      <c r="X270" s="470">
        <f t="shared" si="162"/>
        <v>0</v>
      </c>
      <c r="Y270" s="470">
        <f t="shared" si="163"/>
        <v>0</v>
      </c>
      <c r="Z270" s="470">
        <f t="shared" si="164"/>
        <v>0</v>
      </c>
      <c r="AA270" s="470">
        <f t="shared" si="165"/>
        <v>0</v>
      </c>
      <c r="AB270" s="470">
        <f t="shared" si="166"/>
        <v>0</v>
      </c>
      <c r="AC270" s="470">
        <f t="shared" si="167"/>
        <v>0</v>
      </c>
      <c r="AD270" s="470">
        <f t="shared" si="168"/>
        <v>0</v>
      </c>
      <c r="AE270" s="470">
        <f t="shared" si="169"/>
        <v>0</v>
      </c>
      <c r="AF270" s="470">
        <f t="shared" si="170"/>
        <v>0</v>
      </c>
      <c r="AG270" s="470">
        <f t="shared" si="171"/>
        <v>0</v>
      </c>
      <c r="AH270" s="470">
        <f t="shared" si="172"/>
        <v>0</v>
      </c>
      <c r="AI270" s="470">
        <f t="shared" si="173"/>
        <v>0</v>
      </c>
      <c r="AJ270" s="470">
        <f t="shared" si="174"/>
        <v>0</v>
      </c>
      <c r="AK270" s="470">
        <f t="shared" si="175"/>
        <v>0</v>
      </c>
      <c r="AL270" s="470">
        <f t="shared" si="176"/>
        <v>0</v>
      </c>
      <c r="AM270" s="470">
        <f t="shared" si="177"/>
        <v>0</v>
      </c>
      <c r="AN270" s="470">
        <f t="shared" si="178"/>
        <v>0</v>
      </c>
      <c r="AO270" s="470">
        <f t="shared" si="179"/>
        <v>0</v>
      </c>
      <c r="AP270" s="470">
        <f t="shared" si="180"/>
        <v>0</v>
      </c>
      <c r="AQ270" s="470">
        <f t="shared" si="181"/>
        <v>0</v>
      </c>
      <c r="AR270" s="470">
        <f t="shared" si="182"/>
        <v>0</v>
      </c>
      <c r="AS270" s="470">
        <f t="shared" si="183"/>
        <v>0</v>
      </c>
      <c r="AT270" s="470">
        <f t="shared" si="184"/>
        <v>0</v>
      </c>
      <c r="AU270" s="470">
        <f t="shared" si="185"/>
        <v>0</v>
      </c>
      <c r="AV270" s="470">
        <f t="shared" si="186"/>
        <v>0</v>
      </c>
      <c r="AW270" s="470">
        <f t="shared" si="187"/>
        <v>0</v>
      </c>
      <c r="AX270" s="470">
        <f t="shared" si="188"/>
        <v>0</v>
      </c>
      <c r="AY270" s="470">
        <f t="shared" si="189"/>
        <v>0</v>
      </c>
      <c r="AZ270" s="470">
        <f t="shared" si="190"/>
        <v>0</v>
      </c>
      <c r="BA270" s="470">
        <f t="shared" si="191"/>
        <v>0</v>
      </c>
      <c r="BB270" s="141"/>
    </row>
    <row r="271" spans="1:54">
      <c r="A271" s="1335">
        <f>$B$42</f>
        <v>0</v>
      </c>
      <c r="B271" s="1335"/>
      <c r="C271" s="1335"/>
      <c r="D271" s="1335"/>
      <c r="E271" s="1335"/>
      <c r="F271" s="467">
        <f>OpeningTemplate!$D$336</f>
        <v>0</v>
      </c>
      <c r="G271" s="467">
        <f>OpeningTemplate!$E$336</f>
        <v>0</v>
      </c>
      <c r="H271" s="476">
        <f t="shared" si="192"/>
        <v>0</v>
      </c>
      <c r="I271" s="446">
        <f t="shared" si="193"/>
        <v>0</v>
      </c>
      <c r="J271" s="468">
        <f t="shared" si="194"/>
        <v>0</v>
      </c>
      <c r="K271" s="467">
        <f t="shared" si="152"/>
        <v>0</v>
      </c>
      <c r="L271" s="467">
        <f t="shared" si="153"/>
        <v>0</v>
      </c>
      <c r="M271" s="469">
        <f t="shared" si="154"/>
        <v>0</v>
      </c>
      <c r="N271" s="469">
        <f t="shared" si="155"/>
        <v>0</v>
      </c>
      <c r="O271" s="470">
        <f t="shared" si="195"/>
        <v>0</v>
      </c>
      <c r="P271" s="470">
        <f t="shared" si="196"/>
        <v>0</v>
      </c>
      <c r="Q271" s="470">
        <f t="shared" si="197"/>
        <v>0</v>
      </c>
      <c r="R271" s="470">
        <f t="shared" si="156"/>
        <v>0</v>
      </c>
      <c r="S271" s="470">
        <f t="shared" si="157"/>
        <v>0</v>
      </c>
      <c r="T271" s="470">
        <f t="shared" si="158"/>
        <v>0</v>
      </c>
      <c r="U271" s="470">
        <f t="shared" si="159"/>
        <v>0</v>
      </c>
      <c r="V271" s="470">
        <f t="shared" si="160"/>
        <v>0</v>
      </c>
      <c r="W271" s="470">
        <f t="shared" si="161"/>
        <v>0</v>
      </c>
      <c r="X271" s="470">
        <f t="shared" si="162"/>
        <v>0</v>
      </c>
      <c r="Y271" s="470">
        <f t="shared" si="163"/>
        <v>0</v>
      </c>
      <c r="Z271" s="470">
        <f t="shared" si="164"/>
        <v>0</v>
      </c>
      <c r="AA271" s="470">
        <f t="shared" si="165"/>
        <v>0</v>
      </c>
      <c r="AB271" s="470">
        <f t="shared" si="166"/>
        <v>0</v>
      </c>
      <c r="AC271" s="470">
        <f t="shared" si="167"/>
        <v>0</v>
      </c>
      <c r="AD271" s="470">
        <f t="shared" si="168"/>
        <v>0</v>
      </c>
      <c r="AE271" s="470">
        <f t="shared" si="169"/>
        <v>0</v>
      </c>
      <c r="AF271" s="470">
        <f t="shared" si="170"/>
        <v>0</v>
      </c>
      <c r="AG271" s="470">
        <f t="shared" si="171"/>
        <v>0</v>
      </c>
      <c r="AH271" s="470">
        <f t="shared" si="172"/>
        <v>0</v>
      </c>
      <c r="AI271" s="470">
        <f t="shared" si="173"/>
        <v>0</v>
      </c>
      <c r="AJ271" s="470">
        <f t="shared" si="174"/>
        <v>0</v>
      </c>
      <c r="AK271" s="470">
        <f t="shared" si="175"/>
        <v>0</v>
      </c>
      <c r="AL271" s="470">
        <f t="shared" si="176"/>
        <v>0</v>
      </c>
      <c r="AM271" s="470">
        <f t="shared" si="177"/>
        <v>0</v>
      </c>
      <c r="AN271" s="470">
        <f t="shared" si="178"/>
        <v>0</v>
      </c>
      <c r="AO271" s="470">
        <f t="shared" si="179"/>
        <v>0</v>
      </c>
      <c r="AP271" s="470">
        <f t="shared" si="180"/>
        <v>0</v>
      </c>
      <c r="AQ271" s="470">
        <f t="shared" si="181"/>
        <v>0</v>
      </c>
      <c r="AR271" s="470">
        <f t="shared" si="182"/>
        <v>0</v>
      </c>
      <c r="AS271" s="470">
        <f t="shared" si="183"/>
        <v>0</v>
      </c>
      <c r="AT271" s="470">
        <f t="shared" si="184"/>
        <v>0</v>
      </c>
      <c r="AU271" s="470">
        <f t="shared" si="185"/>
        <v>0</v>
      </c>
      <c r="AV271" s="470">
        <f t="shared" si="186"/>
        <v>0</v>
      </c>
      <c r="AW271" s="470">
        <f t="shared" si="187"/>
        <v>0</v>
      </c>
      <c r="AX271" s="470">
        <f t="shared" si="188"/>
        <v>0</v>
      </c>
      <c r="AY271" s="470">
        <f t="shared" si="189"/>
        <v>0</v>
      </c>
      <c r="AZ271" s="470">
        <f t="shared" si="190"/>
        <v>0</v>
      </c>
      <c r="BA271" s="470">
        <f t="shared" si="191"/>
        <v>0</v>
      </c>
      <c r="BB271" s="141"/>
    </row>
    <row r="272" spans="1:54">
      <c r="A272" s="1336" t="s">
        <v>774</v>
      </c>
      <c r="B272" s="1337"/>
      <c r="C272" s="1337"/>
      <c r="D272" s="1337"/>
      <c r="E272" s="1338"/>
      <c r="F272" s="440"/>
      <c r="G272" s="440"/>
      <c r="H272" s="440"/>
      <c r="I272" s="440"/>
      <c r="J272" s="440"/>
      <c r="K272" s="440"/>
      <c r="L272" s="440"/>
      <c r="M272" s="440"/>
      <c r="N272" s="440"/>
      <c r="O272" s="440">
        <f t="shared" ref="O272:AZ272" si="198">SUM(O242:O271)</f>
        <v>0</v>
      </c>
      <c r="P272" s="440">
        <f t="shared" si="198"/>
        <v>0</v>
      </c>
      <c r="Q272" s="440">
        <f t="shared" si="198"/>
        <v>0</v>
      </c>
      <c r="R272" s="440">
        <f t="shared" si="198"/>
        <v>0</v>
      </c>
      <c r="S272" s="440">
        <f t="shared" si="198"/>
        <v>0</v>
      </c>
      <c r="T272" s="440">
        <f t="shared" si="198"/>
        <v>0</v>
      </c>
      <c r="U272" s="440">
        <f t="shared" si="198"/>
        <v>0</v>
      </c>
      <c r="V272" s="440">
        <f t="shared" si="198"/>
        <v>0</v>
      </c>
      <c r="W272" s="440">
        <f t="shared" si="198"/>
        <v>0</v>
      </c>
      <c r="X272" s="440">
        <f t="shared" si="198"/>
        <v>0</v>
      </c>
      <c r="Y272" s="440">
        <f t="shared" si="198"/>
        <v>0</v>
      </c>
      <c r="Z272" s="440">
        <f t="shared" si="198"/>
        <v>0</v>
      </c>
      <c r="AA272" s="440">
        <f t="shared" si="198"/>
        <v>0</v>
      </c>
      <c r="AB272" s="440">
        <f t="shared" si="198"/>
        <v>0</v>
      </c>
      <c r="AC272" s="440">
        <f t="shared" si="198"/>
        <v>0</v>
      </c>
      <c r="AD272" s="440">
        <f t="shared" si="198"/>
        <v>0</v>
      </c>
      <c r="AE272" s="440">
        <f t="shared" si="198"/>
        <v>0</v>
      </c>
      <c r="AF272" s="440">
        <f t="shared" si="198"/>
        <v>0</v>
      </c>
      <c r="AG272" s="440">
        <f t="shared" si="198"/>
        <v>0</v>
      </c>
      <c r="AH272" s="440">
        <f t="shared" si="198"/>
        <v>0</v>
      </c>
      <c r="AI272" s="440">
        <f t="shared" si="198"/>
        <v>0</v>
      </c>
      <c r="AJ272" s="440">
        <f t="shared" si="198"/>
        <v>0</v>
      </c>
      <c r="AK272" s="440">
        <f t="shared" si="198"/>
        <v>0</v>
      </c>
      <c r="AL272" s="440">
        <f t="shared" si="198"/>
        <v>0</v>
      </c>
      <c r="AM272" s="440">
        <f t="shared" si="198"/>
        <v>0</v>
      </c>
      <c r="AN272" s="440">
        <f t="shared" si="198"/>
        <v>0</v>
      </c>
      <c r="AO272" s="440">
        <f t="shared" si="198"/>
        <v>0</v>
      </c>
      <c r="AP272" s="440">
        <f t="shared" si="198"/>
        <v>0</v>
      </c>
      <c r="AQ272" s="440">
        <f t="shared" si="198"/>
        <v>0</v>
      </c>
      <c r="AR272" s="440">
        <f t="shared" si="198"/>
        <v>0</v>
      </c>
      <c r="AS272" s="440">
        <f t="shared" si="198"/>
        <v>0</v>
      </c>
      <c r="AT272" s="440">
        <f t="shared" si="198"/>
        <v>0</v>
      </c>
      <c r="AU272" s="440">
        <f t="shared" si="198"/>
        <v>0</v>
      </c>
      <c r="AV272" s="440">
        <f t="shared" si="198"/>
        <v>0</v>
      </c>
      <c r="AW272" s="440">
        <f t="shared" si="198"/>
        <v>0</v>
      </c>
      <c r="AX272" s="440">
        <f t="shared" si="198"/>
        <v>0</v>
      </c>
      <c r="AY272" s="440">
        <f t="shared" si="198"/>
        <v>0</v>
      </c>
      <c r="AZ272" s="440">
        <f t="shared" si="198"/>
        <v>0</v>
      </c>
      <c r="BA272" s="440">
        <f>SUM(O272:AZ272)</f>
        <v>0</v>
      </c>
      <c r="BB272" s="141"/>
    </row>
    <row r="273" spans="1:52">
      <c r="A273" s="141"/>
      <c r="B273" s="141"/>
      <c r="C273" s="141"/>
      <c r="D273" s="141"/>
      <c r="E273" s="141"/>
      <c r="F273" s="141"/>
      <c r="G273" s="141"/>
      <c r="H273" s="141"/>
      <c r="I273" s="141"/>
      <c r="J273" s="47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41"/>
      <c r="AM273" s="141"/>
      <c r="AN273" s="141"/>
      <c r="AO273" s="141"/>
      <c r="AP273" s="141"/>
      <c r="AQ273" s="141"/>
      <c r="AR273" s="141"/>
      <c r="AS273" s="141"/>
      <c r="AT273" s="141"/>
      <c r="AU273" s="141"/>
      <c r="AV273" s="141"/>
      <c r="AW273" s="141"/>
      <c r="AX273" s="141"/>
      <c r="AY273" s="141"/>
      <c r="AZ273" s="141"/>
    </row>
  </sheetData>
  <sheetProtection algorithmName="SHA-512" hashValue="tuKgqwQm+3bUAjvTXrOLgDOmhtnJ5pCKqDOI/j/GzlMU1bBFG+1Q3EQVFOYo+xoy6nx5s+sZQdgEZsR95Gq6Nw==" saltValue="zxHoPuh7BmoSFOSbemZoHQ==" spinCount="100000" sheet="1" objects="1" scenarios="1" formatCells="0"/>
  <mergeCells count="235">
    <mergeCell ref="A267:E267"/>
    <mergeCell ref="A268:E268"/>
    <mergeCell ref="A269:E269"/>
    <mergeCell ref="A270:E270"/>
    <mergeCell ref="A271:E271"/>
    <mergeCell ref="A272:E272"/>
    <mergeCell ref="A258:E258"/>
    <mergeCell ref="A259:E259"/>
    <mergeCell ref="A260:E260"/>
    <mergeCell ref="A261:E261"/>
    <mergeCell ref="A262:E262"/>
    <mergeCell ref="A263:E263"/>
    <mergeCell ref="A264:E264"/>
    <mergeCell ref="A265:E265"/>
    <mergeCell ref="A266:E266"/>
    <mergeCell ref="A249:E249"/>
    <mergeCell ref="A250:E250"/>
    <mergeCell ref="A251:E251"/>
    <mergeCell ref="A252:E252"/>
    <mergeCell ref="A253:E253"/>
    <mergeCell ref="A254:E254"/>
    <mergeCell ref="A255:E255"/>
    <mergeCell ref="A256:E256"/>
    <mergeCell ref="A257:E257"/>
    <mergeCell ref="A240:E240"/>
    <mergeCell ref="A241:E241"/>
    <mergeCell ref="A242:E242"/>
    <mergeCell ref="A243:E243"/>
    <mergeCell ref="A244:E244"/>
    <mergeCell ref="A245:E245"/>
    <mergeCell ref="A246:E246"/>
    <mergeCell ref="A247:E247"/>
    <mergeCell ref="A248:E248"/>
    <mergeCell ref="I11:L11"/>
    <mergeCell ref="A126:E126"/>
    <mergeCell ref="A127:E127"/>
    <mergeCell ref="A108:E108"/>
    <mergeCell ref="A188:E188"/>
    <mergeCell ref="A189:E189"/>
    <mergeCell ref="A166:E166"/>
    <mergeCell ref="A167:E167"/>
    <mergeCell ref="A168:E168"/>
    <mergeCell ref="A169:E169"/>
    <mergeCell ref="A170:E170"/>
    <mergeCell ref="A161:E161"/>
    <mergeCell ref="A162:E162"/>
    <mergeCell ref="A163:E163"/>
    <mergeCell ref="A164:E164"/>
    <mergeCell ref="A165:E165"/>
    <mergeCell ref="A186:E186"/>
    <mergeCell ref="A187:E187"/>
    <mergeCell ref="A182:E182"/>
    <mergeCell ref="A183:E183"/>
    <mergeCell ref="A184:E184"/>
    <mergeCell ref="A185:E185"/>
    <mergeCell ref="A159:E159"/>
    <mergeCell ref="A160:E160"/>
    <mergeCell ref="B23:E23"/>
    <mergeCell ref="A104:E104"/>
    <mergeCell ref="A105:E105"/>
    <mergeCell ref="A81:E81"/>
    <mergeCell ref="B27:E27"/>
    <mergeCell ref="B28:E28"/>
    <mergeCell ref="B29:E29"/>
    <mergeCell ref="B30:E30"/>
    <mergeCell ref="A175:E175"/>
    <mergeCell ref="A133:E133"/>
    <mergeCell ref="A134:E134"/>
    <mergeCell ref="A136:E136"/>
    <mergeCell ref="A137:E137"/>
    <mergeCell ref="A128:E128"/>
    <mergeCell ref="A129:E129"/>
    <mergeCell ref="A130:E130"/>
    <mergeCell ref="A131:E131"/>
    <mergeCell ref="A173:E173"/>
    <mergeCell ref="A152:E152"/>
    <mergeCell ref="A157:E157"/>
    <mergeCell ref="A153:E153"/>
    <mergeCell ref="A144:E144"/>
    <mergeCell ref="A145:E145"/>
    <mergeCell ref="A88:E88"/>
    <mergeCell ref="A97:E97"/>
    <mergeCell ref="A98:E98"/>
    <mergeCell ref="A99:E99"/>
    <mergeCell ref="A90:E90"/>
    <mergeCell ref="A95:E95"/>
    <mergeCell ref="A96:E96"/>
    <mergeCell ref="A107:E107"/>
    <mergeCell ref="A116:E116"/>
    <mergeCell ref="A117:E117"/>
    <mergeCell ref="A122:E122"/>
    <mergeCell ref="A102:E102"/>
    <mergeCell ref="A103:E103"/>
    <mergeCell ref="A100:E100"/>
    <mergeCell ref="A101:E101"/>
    <mergeCell ref="A109:E109"/>
    <mergeCell ref="A110:E110"/>
    <mergeCell ref="A111:E111"/>
    <mergeCell ref="A112:E112"/>
    <mergeCell ref="A113:E113"/>
    <mergeCell ref="A114:E114"/>
    <mergeCell ref="A115:E115"/>
    <mergeCell ref="A106:E106"/>
    <mergeCell ref="A87:E87"/>
    <mergeCell ref="A91:E91"/>
    <mergeCell ref="A75:E75"/>
    <mergeCell ref="A70:E70"/>
    <mergeCell ref="A76:E76"/>
    <mergeCell ref="B40:E40"/>
    <mergeCell ref="B34:E34"/>
    <mergeCell ref="B35:E35"/>
    <mergeCell ref="B24:E24"/>
    <mergeCell ref="B25:E25"/>
    <mergeCell ref="B26:E26"/>
    <mergeCell ref="A80:E80"/>
    <mergeCell ref="A89:E89"/>
    <mergeCell ref="A2:E2"/>
    <mergeCell ref="D5:E5"/>
    <mergeCell ref="A9:B9"/>
    <mergeCell ref="A57:E57"/>
    <mergeCell ref="A58:E58"/>
    <mergeCell ref="A49:E49"/>
    <mergeCell ref="A50:E50"/>
    <mergeCell ref="B31:E31"/>
    <mergeCell ref="B32:E32"/>
    <mergeCell ref="B33:E33"/>
    <mergeCell ref="B17:E17"/>
    <mergeCell ref="B18:E18"/>
    <mergeCell ref="B19:E19"/>
    <mergeCell ref="B36:E36"/>
    <mergeCell ref="B37:E37"/>
    <mergeCell ref="B38:E38"/>
    <mergeCell ref="B39:E39"/>
    <mergeCell ref="B22:E22"/>
    <mergeCell ref="B20:E20"/>
    <mergeCell ref="B12:E12"/>
    <mergeCell ref="B13:E13"/>
    <mergeCell ref="B14:E14"/>
    <mergeCell ref="B15:E15"/>
    <mergeCell ref="B16:E16"/>
    <mergeCell ref="A1:E1"/>
    <mergeCell ref="B21:E21"/>
    <mergeCell ref="A71:E71"/>
    <mergeCell ref="A72:E72"/>
    <mergeCell ref="A73:E73"/>
    <mergeCell ref="A74:E74"/>
    <mergeCell ref="A51:E51"/>
    <mergeCell ref="A52:E52"/>
    <mergeCell ref="A53:E53"/>
    <mergeCell ref="B41:E41"/>
    <mergeCell ref="B42:E42"/>
    <mergeCell ref="A66:E66"/>
    <mergeCell ref="A64:E64"/>
    <mergeCell ref="A65:E65"/>
    <mergeCell ref="A61:E61"/>
    <mergeCell ref="A62:E62"/>
    <mergeCell ref="A44:D44"/>
    <mergeCell ref="A68:E68"/>
    <mergeCell ref="A69:E69"/>
    <mergeCell ref="A63:E63"/>
    <mergeCell ref="A54:E54"/>
    <mergeCell ref="A55:E55"/>
    <mergeCell ref="A56:E56"/>
    <mergeCell ref="A67:E67"/>
    <mergeCell ref="A138:E138"/>
    <mergeCell ref="A139:E139"/>
    <mergeCell ref="A140:E140"/>
    <mergeCell ref="A192:E192"/>
    <mergeCell ref="A193:E193"/>
    <mergeCell ref="A194:E194"/>
    <mergeCell ref="A195:E195"/>
    <mergeCell ref="A59:E59"/>
    <mergeCell ref="A60:E60"/>
    <mergeCell ref="A135:E135"/>
    <mergeCell ref="A123:E123"/>
    <mergeCell ref="A124:E124"/>
    <mergeCell ref="A125:E125"/>
    <mergeCell ref="A121:E121"/>
    <mergeCell ref="A132:E132"/>
    <mergeCell ref="A171:E171"/>
    <mergeCell ref="A92:E92"/>
    <mergeCell ref="A93:E93"/>
    <mergeCell ref="A94:E94"/>
    <mergeCell ref="A77:E77"/>
    <mergeCell ref="A78:E78"/>
    <mergeCell ref="A79:E79"/>
    <mergeCell ref="A85:E85"/>
    <mergeCell ref="A86:E86"/>
    <mergeCell ref="A196:E196"/>
    <mergeCell ref="A197:E197"/>
    <mergeCell ref="A141:E141"/>
    <mergeCell ref="A142:E142"/>
    <mergeCell ref="A146:E146"/>
    <mergeCell ref="A178:E178"/>
    <mergeCell ref="A179:E179"/>
    <mergeCell ref="A143:E143"/>
    <mergeCell ref="A180:E180"/>
    <mergeCell ref="A181:E181"/>
    <mergeCell ref="A176:E176"/>
    <mergeCell ref="A177:E177"/>
    <mergeCell ref="A147:E147"/>
    <mergeCell ref="A148:E148"/>
    <mergeCell ref="A149:E149"/>
    <mergeCell ref="A150:E150"/>
    <mergeCell ref="A151:E151"/>
    <mergeCell ref="A174:E174"/>
    <mergeCell ref="A172:E172"/>
    <mergeCell ref="A158:E158"/>
    <mergeCell ref="A198:E198"/>
    <mergeCell ref="A199:E199"/>
    <mergeCell ref="A200:E200"/>
    <mergeCell ref="A201:E201"/>
    <mergeCell ref="A202:E202"/>
    <mergeCell ref="A203:E203"/>
    <mergeCell ref="A204:E204"/>
    <mergeCell ref="A205:E205"/>
    <mergeCell ref="A206:E206"/>
    <mergeCell ref="A207:E207"/>
    <mergeCell ref="A208:E208"/>
    <mergeCell ref="A209:E209"/>
    <mergeCell ref="A219:E219"/>
    <mergeCell ref="A220:E220"/>
    <mergeCell ref="A221:E221"/>
    <mergeCell ref="A222:E222"/>
    <mergeCell ref="A223:E223"/>
    <mergeCell ref="A224:E224"/>
    <mergeCell ref="A210:E210"/>
    <mergeCell ref="A211:E211"/>
    <mergeCell ref="A212:E212"/>
    <mergeCell ref="A213:E213"/>
    <mergeCell ref="A214:E214"/>
    <mergeCell ref="A215:E215"/>
    <mergeCell ref="A216:E216"/>
    <mergeCell ref="A217:E217"/>
    <mergeCell ref="A218:E218"/>
  </mergeCells>
  <pageMargins left="0.25" right="0.17" top="0.35433070866141736" bottom="0.35433070866141736" header="0.31496062992125984" footer="0.31496062992125984"/>
  <pageSetup paperSize="9" scale="47" fitToWidth="2" fitToHeight="4" orientation="landscape" horizontalDpi="1200" verticalDpi="1200" r:id="rId1"/>
  <rowBreaks count="3" manualBreakCount="3">
    <brk id="81" max="52" man="1"/>
    <brk id="156" max="52" man="1"/>
    <brk id="238" max="52" man="1"/>
  </rowBreaks>
  <customProperties>
    <customPr name="Guid" r:id="rId2"/>
  </customProperties>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T214"/>
  <sheetViews>
    <sheetView zoomScale="85" zoomScaleNormal="85" workbookViewId="0">
      <selection sqref="A1:E1"/>
    </sheetView>
  </sheetViews>
  <sheetFormatPr defaultColWidth="11.44140625" defaultRowHeight="13.8"/>
  <cols>
    <col min="1" max="1" width="8.6640625" style="765" customWidth="1"/>
    <col min="2" max="2" width="22.44140625" style="765" customWidth="1"/>
    <col min="3" max="5" width="6.6640625" style="765" customWidth="1"/>
    <col min="6" max="6" width="9.33203125" style="763" customWidth="1"/>
    <col min="7" max="8" width="62.6640625" style="765" customWidth="1"/>
    <col min="9" max="9" width="14.88671875" style="765" bestFit="1" customWidth="1"/>
    <col min="10" max="10" width="12.88671875" style="775" customWidth="1"/>
    <col min="11" max="11" width="12.6640625" style="775" customWidth="1"/>
    <col min="12" max="12" width="18.6640625" style="775" customWidth="1"/>
    <col min="13" max="13" width="12.6640625" style="775" customWidth="1"/>
    <col min="14" max="14" width="1.5546875" style="765" customWidth="1"/>
    <col min="15" max="16" width="12.6640625" style="765" customWidth="1"/>
    <col min="17" max="17" width="12.6640625" style="775" customWidth="1"/>
    <col min="18" max="18" width="36.6640625" style="765" customWidth="1"/>
    <col min="19" max="16384" width="11.44140625" style="765"/>
  </cols>
  <sheetData>
    <row r="1" spans="1:20" s="153" customFormat="1" ht="21">
      <c r="A1" s="823" t="str">
        <f>MDProjektname</f>
        <v>Migration GEFI</v>
      </c>
      <c r="B1" s="824"/>
      <c r="C1" s="824"/>
      <c r="D1" s="824"/>
      <c r="E1" s="825"/>
      <c r="F1" s="126"/>
      <c r="G1" s="126"/>
      <c r="H1" s="126"/>
      <c r="I1" s="126"/>
      <c r="J1" s="126"/>
      <c r="K1" s="126"/>
      <c r="L1" s="126"/>
      <c r="M1" s="126"/>
      <c r="N1" s="126"/>
      <c r="O1" s="126"/>
      <c r="P1" s="126"/>
      <c r="Q1" s="126"/>
      <c r="R1" s="126"/>
      <c r="S1" s="126"/>
      <c r="T1" s="126"/>
    </row>
    <row r="2" spans="1:20" s="153" customFormat="1" ht="26.25" customHeight="1" thickBot="1">
      <c r="A2" s="826" t="str">
        <f>MDCustomer</f>
        <v>OFISA</v>
      </c>
      <c r="B2" s="827"/>
      <c r="C2" s="827"/>
      <c r="D2" s="827"/>
      <c r="E2" s="828"/>
      <c r="F2" s="126"/>
      <c r="H2" s="193" t="s">
        <v>1494</v>
      </c>
      <c r="I2" s="126"/>
      <c r="J2" s="126"/>
      <c r="K2" s="126"/>
      <c r="L2" s="126"/>
      <c r="M2" s="126"/>
      <c r="N2" s="126"/>
      <c r="O2" s="126"/>
      <c r="P2" s="126"/>
      <c r="Q2" s="126"/>
      <c r="R2" s="126"/>
      <c r="S2" s="126"/>
      <c r="T2" s="126"/>
    </row>
    <row r="3" spans="1:20" s="153" customFormat="1" ht="26.25" customHeight="1">
      <c r="A3" s="126"/>
      <c r="B3" s="126"/>
      <c r="C3" s="126"/>
      <c r="D3" s="126"/>
      <c r="E3" s="126"/>
      <c r="F3" s="126"/>
      <c r="H3" s="129" t="s">
        <v>1523</v>
      </c>
      <c r="I3" s="126"/>
      <c r="J3" s="126"/>
      <c r="K3" s="126"/>
      <c r="L3" s="126"/>
      <c r="M3" s="126"/>
      <c r="N3" s="126"/>
      <c r="O3" s="126"/>
      <c r="P3" s="126"/>
      <c r="Q3" s="126"/>
      <c r="R3" s="126"/>
      <c r="S3" s="126"/>
      <c r="T3" s="126"/>
    </row>
    <row r="4" spans="1:20" s="153" customFormat="1" ht="15" customHeight="1">
      <c r="A4" s="126"/>
      <c r="B4" s="126"/>
      <c r="C4" s="126"/>
      <c r="D4" s="126"/>
      <c r="E4" s="126"/>
      <c r="F4" s="126"/>
      <c r="G4" s="126"/>
      <c r="H4" s="126"/>
      <c r="I4" s="126"/>
      <c r="J4" s="126"/>
      <c r="K4" s="126"/>
      <c r="L4" s="126"/>
      <c r="M4" s="126"/>
      <c r="N4" s="126"/>
      <c r="O4" s="126"/>
      <c r="P4" s="126"/>
      <c r="Q4" s="126"/>
      <c r="R4" s="126"/>
      <c r="S4" s="126"/>
      <c r="T4" s="126"/>
    </row>
    <row r="5" spans="1:20" s="757" customFormat="1" ht="67.5" customHeight="1">
      <c r="A5" s="756" t="s">
        <v>1218</v>
      </c>
      <c r="B5" s="756" t="s">
        <v>1219</v>
      </c>
      <c r="C5" s="769" t="s">
        <v>1220</v>
      </c>
      <c r="D5" s="769" t="s">
        <v>1221</v>
      </c>
      <c r="E5" s="769" t="s">
        <v>1222</v>
      </c>
      <c r="F5" s="769" t="s">
        <v>1223</v>
      </c>
      <c r="G5" s="756" t="s">
        <v>1224</v>
      </c>
      <c r="H5" s="756" t="s">
        <v>202</v>
      </c>
      <c r="I5" s="770" t="s">
        <v>848</v>
      </c>
      <c r="J5" s="770" t="s">
        <v>1225</v>
      </c>
      <c r="K5" s="770" t="s">
        <v>1226</v>
      </c>
      <c r="L5" s="770" t="s">
        <v>1227</v>
      </c>
      <c r="M5" s="770" t="s">
        <v>1228</v>
      </c>
      <c r="O5" s="770" t="s">
        <v>1229</v>
      </c>
      <c r="P5" s="770" t="s">
        <v>1230</v>
      </c>
      <c r="Q5" s="770" t="s">
        <v>1231</v>
      </c>
      <c r="R5" s="770" t="s">
        <v>1232</v>
      </c>
    </row>
    <row r="6" spans="1:20" s="760" customFormat="1">
      <c r="A6" s="758" t="s">
        <v>1233</v>
      </c>
      <c r="B6" s="758" t="s">
        <v>1234</v>
      </c>
      <c r="C6" s="759" t="s">
        <v>1101</v>
      </c>
      <c r="D6" s="759" t="s">
        <v>1101</v>
      </c>
      <c r="E6" s="759" t="s">
        <v>1020</v>
      </c>
      <c r="F6" s="759" t="s">
        <v>1235</v>
      </c>
      <c r="G6" s="758" t="s">
        <v>1236</v>
      </c>
      <c r="H6" s="758" t="s">
        <v>1237</v>
      </c>
      <c r="I6" s="771" t="s">
        <v>1101</v>
      </c>
      <c r="J6" s="772"/>
      <c r="K6" s="772"/>
      <c r="L6" s="772"/>
      <c r="M6" s="772"/>
      <c r="O6" s="1350" t="s">
        <v>1238</v>
      </c>
      <c r="P6" s="1351"/>
      <c r="Q6" s="759"/>
      <c r="R6" s="758"/>
    </row>
    <row r="7" spans="1:20" s="760" customFormat="1">
      <c r="A7" s="758" t="s">
        <v>1021</v>
      </c>
      <c r="B7" s="758" t="s">
        <v>1239</v>
      </c>
      <c r="C7" s="759" t="s">
        <v>1101</v>
      </c>
      <c r="D7" s="759"/>
      <c r="E7" s="759" t="s">
        <v>1020</v>
      </c>
      <c r="F7" s="759" t="s">
        <v>1021</v>
      </c>
      <c r="G7" s="758" t="s">
        <v>1240</v>
      </c>
      <c r="H7" s="758" t="s">
        <v>1241</v>
      </c>
      <c r="I7" s="771"/>
      <c r="J7" s="772" t="s">
        <v>1101</v>
      </c>
      <c r="K7" s="772"/>
      <c r="L7" s="772"/>
      <c r="M7" s="772"/>
      <c r="O7" s="1350" t="s">
        <v>1238</v>
      </c>
      <c r="P7" s="1351"/>
      <c r="Q7" s="759"/>
      <c r="R7" s="758"/>
    </row>
    <row r="8" spans="1:20" ht="27.6">
      <c r="A8" s="761" t="s">
        <v>1021</v>
      </c>
      <c r="B8" s="762" t="s">
        <v>1242</v>
      </c>
      <c r="C8" s="763" t="s">
        <v>1101</v>
      </c>
      <c r="D8" s="763"/>
      <c r="E8" s="763"/>
      <c r="F8" s="763" t="s">
        <v>1243</v>
      </c>
      <c r="G8" s="761" t="s">
        <v>1244</v>
      </c>
      <c r="H8" s="761" t="s">
        <v>1245</v>
      </c>
      <c r="I8" s="764"/>
      <c r="J8" s="771" t="s">
        <v>1101</v>
      </c>
      <c r="K8" s="771"/>
      <c r="L8" s="771"/>
      <c r="M8" s="771"/>
      <c r="O8" s="1348" t="s">
        <v>1238</v>
      </c>
      <c r="P8" s="1349"/>
      <c r="Q8" s="771"/>
      <c r="R8" s="761"/>
    </row>
    <row r="9" spans="1:20" ht="82.8">
      <c r="A9" s="761" t="s">
        <v>1021</v>
      </c>
      <c r="B9" s="762" t="s">
        <v>1246</v>
      </c>
      <c r="C9" s="763" t="s">
        <v>1101</v>
      </c>
      <c r="D9" s="763" t="s">
        <v>1101</v>
      </c>
      <c r="E9" s="763"/>
      <c r="F9" s="763" t="s">
        <v>1247</v>
      </c>
      <c r="G9" s="761" t="s">
        <v>1248</v>
      </c>
      <c r="H9" s="761" t="s">
        <v>1249</v>
      </c>
      <c r="I9" s="764"/>
      <c r="J9" s="771"/>
      <c r="K9" s="771" t="s">
        <v>1101</v>
      </c>
      <c r="L9" s="771" t="s">
        <v>1101</v>
      </c>
      <c r="M9" s="771" t="s">
        <v>1101</v>
      </c>
      <c r="O9" s="773" t="s">
        <v>1238</v>
      </c>
      <c r="P9" s="774" t="s">
        <v>1238</v>
      </c>
      <c r="R9" s="761"/>
    </row>
    <row r="10" spans="1:20" ht="27.6">
      <c r="A10" s="761" t="s">
        <v>1021</v>
      </c>
      <c r="B10" s="762" t="s">
        <v>1250</v>
      </c>
      <c r="C10" s="763"/>
      <c r="D10" s="763" t="s">
        <v>1101</v>
      </c>
      <c r="E10" s="763"/>
      <c r="F10" s="763" t="s">
        <v>1251</v>
      </c>
      <c r="G10" s="761" t="s">
        <v>1252</v>
      </c>
      <c r="H10" s="761" t="s">
        <v>1253</v>
      </c>
      <c r="I10" s="764"/>
      <c r="J10" s="771"/>
      <c r="K10" s="771" t="s">
        <v>1101</v>
      </c>
      <c r="L10" s="771" t="s">
        <v>1101</v>
      </c>
      <c r="M10" s="771" t="s">
        <v>1101</v>
      </c>
      <c r="O10" s="1348" t="s">
        <v>1238</v>
      </c>
      <c r="P10" s="1349"/>
      <c r="Q10" s="771"/>
      <c r="R10" s="761"/>
    </row>
    <row r="11" spans="1:20" ht="55.2">
      <c r="A11" s="761" t="s">
        <v>1021</v>
      </c>
      <c r="B11" s="762" t="s">
        <v>1254</v>
      </c>
      <c r="C11" s="763" t="s">
        <v>1101</v>
      </c>
      <c r="D11" s="763"/>
      <c r="E11" s="763"/>
      <c r="F11" s="763" t="s">
        <v>1243</v>
      </c>
      <c r="G11" s="761" t="s">
        <v>1255</v>
      </c>
      <c r="H11" s="761" t="s">
        <v>1256</v>
      </c>
      <c r="I11" s="764"/>
      <c r="J11" s="771" t="s">
        <v>1257</v>
      </c>
      <c r="K11" s="771" t="s">
        <v>1101</v>
      </c>
      <c r="L11" s="771"/>
      <c r="M11" s="771"/>
      <c r="O11" s="773" t="s">
        <v>1238</v>
      </c>
      <c r="P11" s="773" t="s">
        <v>1238</v>
      </c>
      <c r="Q11" s="771"/>
      <c r="R11" s="761"/>
    </row>
    <row r="12" spans="1:20" ht="69">
      <c r="A12" s="761" t="s">
        <v>1021</v>
      </c>
      <c r="B12" s="762" t="s">
        <v>1258</v>
      </c>
      <c r="C12" s="763" t="s">
        <v>1101</v>
      </c>
      <c r="D12" s="763"/>
      <c r="E12" s="763"/>
      <c r="F12" s="763" t="s">
        <v>1243</v>
      </c>
      <c r="G12" s="761" t="s">
        <v>1259</v>
      </c>
      <c r="H12" s="761" t="s">
        <v>1260</v>
      </c>
      <c r="I12" s="764"/>
      <c r="J12" s="771" t="s">
        <v>1257</v>
      </c>
      <c r="K12" s="771" t="s">
        <v>1101</v>
      </c>
      <c r="L12" s="771" t="s">
        <v>1257</v>
      </c>
      <c r="M12" s="771"/>
      <c r="O12" s="773" t="s">
        <v>1238</v>
      </c>
      <c r="P12" s="773" t="s">
        <v>1238</v>
      </c>
      <c r="Q12" s="771"/>
      <c r="R12" s="761"/>
    </row>
    <row r="13" spans="1:20" ht="41.4">
      <c r="A13" s="761" t="s">
        <v>1021</v>
      </c>
      <c r="B13" s="762" t="s">
        <v>1261</v>
      </c>
      <c r="C13" s="763"/>
      <c r="D13" s="763" t="s">
        <v>1101</v>
      </c>
      <c r="E13" s="763"/>
      <c r="F13" s="763" t="s">
        <v>1243</v>
      </c>
      <c r="G13" s="761" t="s">
        <v>1262</v>
      </c>
      <c r="H13" s="761" t="s">
        <v>1263</v>
      </c>
      <c r="I13" s="764"/>
      <c r="J13" s="771" t="s">
        <v>1257</v>
      </c>
      <c r="K13" s="771" t="s">
        <v>1101</v>
      </c>
      <c r="L13" s="771" t="s">
        <v>1101</v>
      </c>
      <c r="M13" s="771"/>
      <c r="O13" s="773" t="s">
        <v>1238</v>
      </c>
      <c r="P13" s="773" t="s">
        <v>1238</v>
      </c>
      <c r="Q13" s="771"/>
      <c r="R13" s="761"/>
    </row>
    <row r="14" spans="1:20" ht="61.5" customHeight="1">
      <c r="A14" s="761" t="s">
        <v>1021</v>
      </c>
      <c r="B14" s="761" t="s">
        <v>1264</v>
      </c>
      <c r="C14" s="766"/>
      <c r="D14" s="766" t="s">
        <v>1101</v>
      </c>
      <c r="E14" s="766"/>
      <c r="F14" s="763" t="s">
        <v>1247</v>
      </c>
      <c r="G14" s="761" t="s">
        <v>1265</v>
      </c>
      <c r="H14" s="761" t="s">
        <v>1266</v>
      </c>
      <c r="I14" s="764"/>
      <c r="J14" s="771" t="s">
        <v>1101</v>
      </c>
      <c r="K14" s="771" t="s">
        <v>1101</v>
      </c>
      <c r="L14" s="771" t="s">
        <v>1101</v>
      </c>
      <c r="M14" s="771" t="s">
        <v>1257</v>
      </c>
      <c r="O14" s="1350" t="s">
        <v>1238</v>
      </c>
      <c r="P14" s="1351"/>
      <c r="Q14" s="771"/>
      <c r="R14" s="761" t="s">
        <v>1267</v>
      </c>
    </row>
    <row r="15" spans="1:20">
      <c r="A15" s="761" t="s">
        <v>1021</v>
      </c>
      <c r="B15" s="762" t="s">
        <v>1268</v>
      </c>
      <c r="C15" s="763" t="s">
        <v>1101</v>
      </c>
      <c r="D15" s="763"/>
      <c r="E15" s="763" t="s">
        <v>1021</v>
      </c>
      <c r="G15" s="761" t="s">
        <v>1269</v>
      </c>
      <c r="H15" s="761" t="s">
        <v>1270</v>
      </c>
      <c r="I15" s="764"/>
      <c r="J15" s="771" t="s">
        <v>1101</v>
      </c>
      <c r="K15" s="771" t="s">
        <v>1101</v>
      </c>
      <c r="L15" s="771" t="s">
        <v>1101</v>
      </c>
      <c r="M15" s="771" t="s">
        <v>1101</v>
      </c>
      <c r="O15" s="773" t="s">
        <v>1238</v>
      </c>
      <c r="P15" s="773" t="s">
        <v>1238</v>
      </c>
      <c r="Q15" s="771"/>
      <c r="R15" s="761"/>
    </row>
    <row r="16" spans="1:20" ht="47.25" customHeight="1">
      <c r="A16" s="761" t="s">
        <v>1021</v>
      </c>
      <c r="B16" s="762" t="s">
        <v>1000</v>
      </c>
      <c r="C16" s="763" t="s">
        <v>1101</v>
      </c>
      <c r="D16" s="763"/>
      <c r="E16" s="763" t="s">
        <v>1021</v>
      </c>
      <c r="F16" s="763" t="s">
        <v>1243</v>
      </c>
      <c r="G16" s="761" t="s">
        <v>1271</v>
      </c>
      <c r="H16" s="761" t="s">
        <v>1272</v>
      </c>
      <c r="I16" s="764"/>
      <c r="J16" s="771"/>
      <c r="K16" s="771" t="s">
        <v>1257</v>
      </c>
      <c r="L16" s="771" t="s">
        <v>1257</v>
      </c>
      <c r="M16" s="771"/>
      <c r="O16" s="773" t="s">
        <v>1238</v>
      </c>
      <c r="P16" s="773" t="s">
        <v>1238</v>
      </c>
      <c r="Q16" s="771"/>
      <c r="R16" s="761"/>
    </row>
    <row r="17" spans="1:18" ht="55.2">
      <c r="A17" s="761" t="s">
        <v>1021</v>
      </c>
      <c r="B17" s="762" t="s">
        <v>1273</v>
      </c>
      <c r="C17" s="763"/>
      <c r="D17" s="763" t="s">
        <v>1101</v>
      </c>
      <c r="E17" s="763"/>
      <c r="F17" s="763" t="s">
        <v>1243</v>
      </c>
      <c r="G17" s="761" t="s">
        <v>1274</v>
      </c>
      <c r="H17" s="761" t="s">
        <v>1275</v>
      </c>
      <c r="I17" s="764"/>
      <c r="J17" s="771"/>
      <c r="K17" s="771"/>
      <c r="L17" s="771"/>
      <c r="M17" s="771" t="s">
        <v>1101</v>
      </c>
      <c r="O17" s="1348" t="s">
        <v>1238</v>
      </c>
      <c r="P17" s="1349"/>
      <c r="Q17" s="771"/>
      <c r="R17" s="761"/>
    </row>
    <row r="18" spans="1:18" ht="55.2">
      <c r="A18" s="761" t="s">
        <v>1021</v>
      </c>
      <c r="B18" s="762" t="s">
        <v>1276</v>
      </c>
      <c r="C18" s="763" t="s">
        <v>1101</v>
      </c>
      <c r="D18" s="763"/>
      <c r="E18" s="763"/>
      <c r="F18" s="763" t="s">
        <v>1243</v>
      </c>
      <c r="G18" s="761" t="s">
        <v>1277</v>
      </c>
      <c r="H18" s="761" t="s">
        <v>1278</v>
      </c>
      <c r="I18" s="764"/>
      <c r="J18" s="771"/>
      <c r="K18" s="771"/>
      <c r="L18" s="771"/>
      <c r="M18" s="771" t="s">
        <v>1101</v>
      </c>
      <c r="O18" s="773" t="s">
        <v>1238</v>
      </c>
      <c r="P18" s="773" t="s">
        <v>1238</v>
      </c>
      <c r="Q18" s="771"/>
      <c r="R18" s="761"/>
    </row>
    <row r="19" spans="1:18" ht="27.6">
      <c r="A19" s="761" t="s">
        <v>1021</v>
      </c>
      <c r="B19" s="762" t="s">
        <v>1279</v>
      </c>
      <c r="C19" s="763" t="s">
        <v>1101</v>
      </c>
      <c r="D19" s="763"/>
      <c r="E19" s="763" t="s">
        <v>1021</v>
      </c>
      <c r="G19" s="761" t="s">
        <v>1280</v>
      </c>
      <c r="H19" s="761" t="s">
        <v>1281</v>
      </c>
      <c r="I19" s="764"/>
      <c r="J19" s="771"/>
      <c r="K19" s="771"/>
      <c r="L19" s="771" t="s">
        <v>1257</v>
      </c>
      <c r="M19" s="771" t="s">
        <v>1101</v>
      </c>
      <c r="O19" s="773" t="s">
        <v>1238</v>
      </c>
      <c r="P19" s="773" t="s">
        <v>1238</v>
      </c>
      <c r="Q19" s="771"/>
      <c r="R19" s="761"/>
    </row>
    <row r="20" spans="1:18" ht="41.4">
      <c r="A20" s="761" t="s">
        <v>1282</v>
      </c>
      <c r="B20" s="761" t="s">
        <v>1283</v>
      </c>
      <c r="C20" s="766"/>
      <c r="D20" s="766"/>
      <c r="E20" s="766" t="s">
        <v>1021</v>
      </c>
      <c r="F20" s="763" t="s">
        <v>1243</v>
      </c>
      <c r="G20" s="761" t="s">
        <v>1284</v>
      </c>
      <c r="H20" s="761" t="s">
        <v>1285</v>
      </c>
      <c r="I20" s="764"/>
      <c r="J20" s="771"/>
      <c r="K20" s="771" t="s">
        <v>1101</v>
      </c>
      <c r="L20" s="771" t="s">
        <v>1257</v>
      </c>
      <c r="M20" s="771"/>
      <c r="O20" s="774" t="s">
        <v>1238</v>
      </c>
      <c r="P20" s="766" t="s">
        <v>1020</v>
      </c>
      <c r="Q20" s="771"/>
      <c r="R20" s="761" t="s">
        <v>1286</v>
      </c>
    </row>
    <row r="21" spans="1:18" ht="55.2">
      <c r="A21" s="761" t="s">
        <v>1282</v>
      </c>
      <c r="B21" s="761" t="s">
        <v>1287</v>
      </c>
      <c r="C21" s="766"/>
      <c r="D21" s="766"/>
      <c r="E21" s="766" t="s">
        <v>1021</v>
      </c>
      <c r="F21" s="763" t="s">
        <v>1243</v>
      </c>
      <c r="G21" s="761" t="s">
        <v>1288</v>
      </c>
      <c r="H21" s="761" t="s">
        <v>1289</v>
      </c>
      <c r="I21" s="764"/>
      <c r="J21" s="771"/>
      <c r="K21" s="771" t="s">
        <v>1257</v>
      </c>
      <c r="L21" s="771" t="s">
        <v>1101</v>
      </c>
      <c r="M21" s="771"/>
      <c r="O21" s="774" t="s">
        <v>1238</v>
      </c>
      <c r="P21" s="766" t="s">
        <v>1020</v>
      </c>
      <c r="Q21" s="771"/>
      <c r="R21" s="761" t="s">
        <v>1286</v>
      </c>
    </row>
    <row r="22" spans="1:18" ht="41.4">
      <c r="A22" s="761" t="s">
        <v>1282</v>
      </c>
      <c r="B22" s="761" t="s">
        <v>1290</v>
      </c>
      <c r="C22" s="766"/>
      <c r="D22" s="766"/>
      <c r="E22" s="766" t="s">
        <v>1021</v>
      </c>
      <c r="G22" s="761" t="s">
        <v>1291</v>
      </c>
      <c r="H22" s="761" t="s">
        <v>1292</v>
      </c>
      <c r="I22" s="764"/>
      <c r="J22" s="771"/>
      <c r="K22" s="771" t="s">
        <v>1257</v>
      </c>
      <c r="L22" s="771" t="s">
        <v>1101</v>
      </c>
      <c r="M22" s="771"/>
      <c r="O22" s="766" t="s">
        <v>1020</v>
      </c>
      <c r="P22" s="766" t="s">
        <v>1020</v>
      </c>
      <c r="Q22" s="771"/>
      <c r="R22" s="761" t="s">
        <v>1293</v>
      </c>
    </row>
    <row r="23" spans="1:18" ht="55.2">
      <c r="A23" s="761" t="s">
        <v>1282</v>
      </c>
      <c r="B23" s="761" t="s">
        <v>1294</v>
      </c>
      <c r="C23" s="766"/>
      <c r="D23" s="766"/>
      <c r="E23" s="766" t="s">
        <v>1021</v>
      </c>
      <c r="F23" s="763" t="s">
        <v>1243</v>
      </c>
      <c r="G23" s="761" t="s">
        <v>1295</v>
      </c>
      <c r="H23" s="761" t="s">
        <v>1296</v>
      </c>
      <c r="I23" s="764"/>
      <c r="J23" s="771"/>
      <c r="K23" s="771"/>
      <c r="L23" s="771" t="s">
        <v>1257</v>
      </c>
      <c r="M23" s="771"/>
      <c r="O23" s="766" t="s">
        <v>1020</v>
      </c>
      <c r="P23" s="766" t="s">
        <v>1020</v>
      </c>
      <c r="Q23" s="771"/>
      <c r="R23" s="761"/>
    </row>
    <row r="24" spans="1:18" ht="41.4">
      <c r="A24" s="761" t="s">
        <v>1282</v>
      </c>
      <c r="B24" s="762" t="s">
        <v>1297</v>
      </c>
      <c r="C24" s="763" t="s">
        <v>1101</v>
      </c>
      <c r="D24" s="763"/>
      <c r="E24" s="763"/>
      <c r="F24" s="763" t="s">
        <v>1251</v>
      </c>
      <c r="G24" s="761" t="s">
        <v>1298</v>
      </c>
      <c r="H24" s="761" t="s">
        <v>1299</v>
      </c>
      <c r="I24" s="764"/>
      <c r="J24" s="771"/>
      <c r="K24" s="771" t="s">
        <v>1257</v>
      </c>
      <c r="L24" s="771" t="s">
        <v>1257</v>
      </c>
      <c r="M24" s="771"/>
      <c r="O24" s="773"/>
      <c r="P24" s="763"/>
      <c r="Q24" s="771"/>
      <c r="R24" s="761" t="s">
        <v>1300</v>
      </c>
    </row>
    <row r="25" spans="1:18" ht="41.4">
      <c r="A25" s="761" t="s">
        <v>1282</v>
      </c>
      <c r="B25" s="762" t="s">
        <v>1301</v>
      </c>
      <c r="C25" s="763" t="s">
        <v>1101</v>
      </c>
      <c r="D25" s="763"/>
      <c r="E25" s="763"/>
      <c r="F25" s="763" t="s">
        <v>1251</v>
      </c>
      <c r="G25" s="761" t="s">
        <v>1302</v>
      </c>
      <c r="H25" s="761" t="s">
        <v>1303</v>
      </c>
      <c r="I25" s="764"/>
      <c r="J25" s="771"/>
      <c r="K25" s="771" t="s">
        <v>1257</v>
      </c>
      <c r="L25" s="771" t="s">
        <v>1257</v>
      </c>
      <c r="M25" s="771"/>
      <c r="O25" s="776"/>
      <c r="P25" s="763"/>
      <c r="Q25" s="771"/>
      <c r="R25" s="761" t="s">
        <v>1300</v>
      </c>
    </row>
    <row r="26" spans="1:18" ht="41.4">
      <c r="A26" s="761" t="s">
        <v>1304</v>
      </c>
      <c r="B26" s="762" t="s">
        <v>1305</v>
      </c>
      <c r="C26" s="763" t="s">
        <v>1101</v>
      </c>
      <c r="D26" s="763"/>
      <c r="E26" s="763" t="s">
        <v>1021</v>
      </c>
      <c r="F26" s="763" t="s">
        <v>1243</v>
      </c>
      <c r="G26" s="761" t="s">
        <v>1306</v>
      </c>
      <c r="H26" s="761" t="s">
        <v>1307</v>
      </c>
      <c r="I26" s="764"/>
      <c r="J26" s="771"/>
      <c r="K26" s="771" t="s">
        <v>1101</v>
      </c>
      <c r="L26" s="771" t="s">
        <v>1257</v>
      </c>
      <c r="M26" s="771"/>
      <c r="O26" s="773" t="s">
        <v>1238</v>
      </c>
      <c r="P26" s="773" t="s">
        <v>1238</v>
      </c>
      <c r="Q26" s="771"/>
      <c r="R26" s="761" t="s">
        <v>1308</v>
      </c>
    </row>
    <row r="27" spans="1:18" ht="80.25" customHeight="1">
      <c r="A27" s="761" t="s">
        <v>1304</v>
      </c>
      <c r="B27" s="762" t="s">
        <v>1309</v>
      </c>
      <c r="C27" s="763" t="s">
        <v>1101</v>
      </c>
      <c r="D27" s="763"/>
      <c r="E27" s="763" t="s">
        <v>1021</v>
      </c>
      <c r="F27" s="763" t="s">
        <v>1243</v>
      </c>
      <c r="G27" s="761" t="s">
        <v>1310</v>
      </c>
      <c r="H27" s="761" t="s">
        <v>1311</v>
      </c>
      <c r="I27" s="764"/>
      <c r="J27" s="771"/>
      <c r="K27" s="771" t="s">
        <v>1257</v>
      </c>
      <c r="L27" s="771" t="s">
        <v>1101</v>
      </c>
      <c r="M27" s="771"/>
      <c r="O27" s="773" t="s">
        <v>1238</v>
      </c>
      <c r="P27" s="763" t="s">
        <v>1020</v>
      </c>
      <c r="Q27" s="771"/>
      <c r="R27" s="761" t="s">
        <v>1308</v>
      </c>
    </row>
    <row r="28" spans="1:18" ht="60" customHeight="1">
      <c r="A28" s="761" t="s">
        <v>1304</v>
      </c>
      <c r="B28" s="761" t="s">
        <v>1312</v>
      </c>
      <c r="C28" s="766"/>
      <c r="D28" s="766"/>
      <c r="E28" s="766" t="s">
        <v>1021</v>
      </c>
      <c r="G28" s="761" t="s">
        <v>1313</v>
      </c>
      <c r="H28" s="761" t="s">
        <v>1314</v>
      </c>
      <c r="I28" s="764"/>
      <c r="J28" s="771"/>
      <c r="K28" s="771" t="s">
        <v>1257</v>
      </c>
      <c r="L28" s="771" t="s">
        <v>1101</v>
      </c>
      <c r="M28" s="771"/>
      <c r="O28" s="766" t="s">
        <v>1020</v>
      </c>
      <c r="P28" s="766" t="s">
        <v>1020</v>
      </c>
      <c r="Q28" s="771"/>
      <c r="R28" s="761" t="s">
        <v>1308</v>
      </c>
    </row>
    <row r="29" spans="1:18" ht="41.4">
      <c r="A29" s="761" t="s">
        <v>1304</v>
      </c>
      <c r="B29" s="761" t="s">
        <v>1315</v>
      </c>
      <c r="C29" s="766"/>
      <c r="D29" s="766"/>
      <c r="E29" s="766" t="s">
        <v>1021</v>
      </c>
      <c r="F29" s="763" t="s">
        <v>1021</v>
      </c>
      <c r="G29" s="761" t="s">
        <v>1316</v>
      </c>
      <c r="H29" s="761" t="s">
        <v>1317</v>
      </c>
      <c r="I29" s="764"/>
      <c r="J29" s="771"/>
      <c r="K29" s="771"/>
      <c r="L29" s="771" t="s">
        <v>1101</v>
      </c>
      <c r="M29" s="771"/>
      <c r="O29" s="766" t="s">
        <v>1020</v>
      </c>
      <c r="P29" s="766" t="s">
        <v>1020</v>
      </c>
      <c r="Q29" s="771"/>
      <c r="R29" s="761" t="s">
        <v>1308</v>
      </c>
    </row>
    <row r="30" spans="1:18" ht="54.75" customHeight="1">
      <c r="A30" s="761" t="s">
        <v>1304</v>
      </c>
      <c r="B30" s="761" t="s">
        <v>1318</v>
      </c>
      <c r="C30" s="763" t="s">
        <v>1101</v>
      </c>
      <c r="D30" s="763"/>
      <c r="E30" s="763" t="s">
        <v>1021</v>
      </c>
      <c r="F30" s="763" t="s">
        <v>1021</v>
      </c>
      <c r="G30" s="761" t="s">
        <v>1319</v>
      </c>
      <c r="H30" s="761" t="s">
        <v>1320</v>
      </c>
      <c r="I30" s="764"/>
      <c r="J30" s="771"/>
      <c r="K30" s="771"/>
      <c r="L30" s="771" t="s">
        <v>1101</v>
      </c>
      <c r="M30" s="771"/>
      <c r="O30" s="773" t="s">
        <v>1238</v>
      </c>
      <c r="P30" s="763" t="s">
        <v>1020</v>
      </c>
      <c r="Q30" s="771"/>
      <c r="R30" s="761" t="s">
        <v>1308</v>
      </c>
    </row>
    <row r="31" spans="1:18">
      <c r="F31" s="767"/>
    </row>
    <row r="32" spans="1:18">
      <c r="A32" s="768" t="s">
        <v>1321</v>
      </c>
      <c r="B32" s="768" t="s">
        <v>1322</v>
      </c>
      <c r="C32" s="768"/>
      <c r="D32" s="768"/>
      <c r="E32" s="768"/>
      <c r="F32" s="767"/>
      <c r="G32" s="768"/>
      <c r="H32" s="768"/>
      <c r="I32" s="768"/>
      <c r="J32" s="768"/>
      <c r="K32" s="768"/>
      <c r="L32" s="768"/>
      <c r="M32" s="768"/>
      <c r="O32" s="768"/>
      <c r="P32" s="768"/>
      <c r="Q32" s="768"/>
    </row>
    <row r="33" spans="1:17">
      <c r="A33" s="768"/>
      <c r="B33" s="768" t="s">
        <v>1323</v>
      </c>
      <c r="C33" s="768"/>
      <c r="D33" s="768"/>
      <c r="E33" s="768"/>
      <c r="F33" s="767"/>
      <c r="G33" s="768"/>
      <c r="H33" s="768"/>
      <c r="I33" s="768"/>
      <c r="J33" s="768"/>
      <c r="K33" s="768"/>
      <c r="L33" s="768"/>
      <c r="M33" s="768"/>
      <c r="O33" s="768"/>
      <c r="P33" s="768"/>
      <c r="Q33" s="768"/>
    </row>
    <row r="34" spans="1:17">
      <c r="A34" s="768"/>
      <c r="B34" s="768"/>
      <c r="C34" s="768"/>
      <c r="D34" s="768"/>
      <c r="E34" s="768"/>
      <c r="F34" s="767"/>
      <c r="G34" s="768"/>
      <c r="H34" s="768"/>
      <c r="I34" s="768"/>
      <c r="J34" s="768"/>
      <c r="K34" s="768"/>
      <c r="L34" s="768"/>
      <c r="M34" s="768"/>
      <c r="O34" s="768"/>
      <c r="P34" s="768"/>
      <c r="Q34" s="768"/>
    </row>
    <row r="35" spans="1:17">
      <c r="A35" s="768"/>
      <c r="B35" s="768"/>
      <c r="C35" s="768"/>
      <c r="D35" s="768"/>
      <c r="E35" s="768"/>
      <c r="F35" s="767"/>
      <c r="G35" s="768"/>
      <c r="H35" s="768"/>
      <c r="I35" s="768"/>
      <c r="J35" s="768"/>
      <c r="K35" s="768"/>
      <c r="L35" s="768"/>
      <c r="M35" s="768"/>
      <c r="O35" s="768"/>
      <c r="P35" s="768"/>
      <c r="Q35" s="768"/>
    </row>
    <row r="36" spans="1:17">
      <c r="F36" s="767"/>
    </row>
    <row r="37" spans="1:17">
      <c r="F37" s="767"/>
    </row>
    <row r="38" spans="1:17">
      <c r="F38" s="767"/>
    </row>
    <row r="39" spans="1:17">
      <c r="F39" s="767"/>
    </row>
    <row r="40" spans="1:17">
      <c r="F40" s="767"/>
    </row>
    <row r="41" spans="1:17">
      <c r="F41" s="767"/>
    </row>
    <row r="42" spans="1:17">
      <c r="F42" s="767"/>
    </row>
    <row r="43" spans="1:17">
      <c r="F43" s="767"/>
    </row>
    <row r="44" spans="1:17">
      <c r="F44" s="767"/>
    </row>
    <row r="45" spans="1:17">
      <c r="F45" s="767"/>
    </row>
    <row r="46" spans="1:17">
      <c r="F46" s="767"/>
    </row>
    <row r="47" spans="1:17">
      <c r="F47" s="767"/>
    </row>
    <row r="48" spans="1:17">
      <c r="F48" s="767"/>
    </row>
    <row r="49" spans="6:6">
      <c r="F49" s="767"/>
    </row>
    <row r="50" spans="6:6">
      <c r="F50" s="767"/>
    </row>
    <row r="51" spans="6:6">
      <c r="F51" s="767"/>
    </row>
    <row r="52" spans="6:6">
      <c r="F52" s="767"/>
    </row>
    <row r="53" spans="6:6">
      <c r="F53" s="767"/>
    </row>
    <row r="54" spans="6:6">
      <c r="F54" s="767"/>
    </row>
    <row r="55" spans="6:6">
      <c r="F55" s="767"/>
    </row>
    <row r="56" spans="6:6">
      <c r="F56" s="767"/>
    </row>
    <row r="57" spans="6:6">
      <c r="F57" s="767"/>
    </row>
    <row r="58" spans="6:6">
      <c r="F58" s="767"/>
    </row>
    <row r="59" spans="6:6">
      <c r="F59" s="767"/>
    </row>
    <row r="60" spans="6:6">
      <c r="F60" s="767"/>
    </row>
    <row r="61" spans="6:6">
      <c r="F61" s="767"/>
    </row>
    <row r="62" spans="6:6">
      <c r="F62" s="767"/>
    </row>
    <row r="63" spans="6:6">
      <c r="F63" s="767"/>
    </row>
    <row r="64" spans="6:6">
      <c r="F64" s="767"/>
    </row>
    <row r="65" spans="6:6">
      <c r="F65" s="767"/>
    </row>
    <row r="66" spans="6:6">
      <c r="F66" s="767"/>
    </row>
    <row r="67" spans="6:6">
      <c r="F67" s="767"/>
    </row>
    <row r="68" spans="6:6">
      <c r="F68" s="767"/>
    </row>
    <row r="69" spans="6:6">
      <c r="F69" s="767"/>
    </row>
    <row r="70" spans="6:6">
      <c r="F70" s="767"/>
    </row>
    <row r="71" spans="6:6">
      <c r="F71" s="767"/>
    </row>
    <row r="72" spans="6:6">
      <c r="F72" s="767"/>
    </row>
    <row r="73" spans="6:6">
      <c r="F73" s="767"/>
    </row>
    <row r="74" spans="6:6">
      <c r="F74" s="767"/>
    </row>
    <row r="75" spans="6:6">
      <c r="F75" s="767"/>
    </row>
    <row r="76" spans="6:6">
      <c r="F76" s="767"/>
    </row>
    <row r="77" spans="6:6">
      <c r="F77" s="767"/>
    </row>
    <row r="78" spans="6:6">
      <c r="F78" s="767"/>
    </row>
    <row r="79" spans="6:6">
      <c r="F79" s="767"/>
    </row>
    <row r="80" spans="6:6">
      <c r="F80" s="767"/>
    </row>
    <row r="81" spans="6:6">
      <c r="F81" s="767"/>
    </row>
    <row r="82" spans="6:6">
      <c r="F82" s="767"/>
    </row>
    <row r="83" spans="6:6">
      <c r="F83" s="767"/>
    </row>
    <row r="84" spans="6:6">
      <c r="F84" s="767"/>
    </row>
    <row r="85" spans="6:6">
      <c r="F85" s="767"/>
    </row>
    <row r="86" spans="6:6">
      <c r="F86" s="767"/>
    </row>
    <row r="87" spans="6:6">
      <c r="F87" s="767"/>
    </row>
    <row r="88" spans="6:6">
      <c r="F88" s="767"/>
    </row>
    <row r="89" spans="6:6">
      <c r="F89" s="767"/>
    </row>
    <row r="90" spans="6:6">
      <c r="F90" s="767"/>
    </row>
    <row r="91" spans="6:6">
      <c r="F91" s="767"/>
    </row>
    <row r="92" spans="6:6">
      <c r="F92" s="767"/>
    </row>
    <row r="93" spans="6:6">
      <c r="F93" s="767"/>
    </row>
    <row r="94" spans="6:6">
      <c r="F94" s="767"/>
    </row>
    <row r="95" spans="6:6">
      <c r="F95" s="767"/>
    </row>
    <row r="96" spans="6:6">
      <c r="F96" s="767"/>
    </row>
    <row r="97" spans="6:6">
      <c r="F97" s="767"/>
    </row>
    <row r="98" spans="6:6">
      <c r="F98" s="767"/>
    </row>
    <row r="99" spans="6:6">
      <c r="F99" s="767"/>
    </row>
    <row r="100" spans="6:6">
      <c r="F100" s="767"/>
    </row>
    <row r="101" spans="6:6">
      <c r="F101" s="767"/>
    </row>
    <row r="102" spans="6:6">
      <c r="F102" s="767"/>
    </row>
    <row r="103" spans="6:6">
      <c r="F103" s="767"/>
    </row>
    <row r="104" spans="6:6">
      <c r="F104" s="767"/>
    </row>
    <row r="105" spans="6:6">
      <c r="F105" s="767"/>
    </row>
    <row r="106" spans="6:6">
      <c r="F106" s="767"/>
    </row>
    <row r="107" spans="6:6">
      <c r="F107" s="767"/>
    </row>
    <row r="108" spans="6:6">
      <c r="F108" s="767"/>
    </row>
    <row r="109" spans="6:6">
      <c r="F109" s="767"/>
    </row>
    <row r="110" spans="6:6">
      <c r="F110" s="767"/>
    </row>
    <row r="111" spans="6:6">
      <c r="F111" s="767"/>
    </row>
    <row r="112" spans="6:6">
      <c r="F112" s="767"/>
    </row>
    <row r="113" spans="6:6">
      <c r="F113" s="767"/>
    </row>
    <row r="114" spans="6:6">
      <c r="F114" s="767"/>
    </row>
    <row r="115" spans="6:6">
      <c r="F115" s="767"/>
    </row>
    <row r="116" spans="6:6">
      <c r="F116" s="767"/>
    </row>
    <row r="117" spans="6:6">
      <c r="F117" s="767"/>
    </row>
    <row r="118" spans="6:6">
      <c r="F118" s="767"/>
    </row>
    <row r="119" spans="6:6">
      <c r="F119" s="767"/>
    </row>
    <row r="120" spans="6:6">
      <c r="F120" s="767"/>
    </row>
    <row r="121" spans="6:6">
      <c r="F121" s="767"/>
    </row>
    <row r="122" spans="6:6">
      <c r="F122" s="767"/>
    </row>
    <row r="123" spans="6:6">
      <c r="F123" s="767"/>
    </row>
    <row r="124" spans="6:6">
      <c r="F124" s="767"/>
    </row>
    <row r="125" spans="6:6">
      <c r="F125" s="767"/>
    </row>
    <row r="126" spans="6:6">
      <c r="F126" s="767"/>
    </row>
    <row r="127" spans="6:6">
      <c r="F127" s="767"/>
    </row>
    <row r="128" spans="6:6">
      <c r="F128" s="767"/>
    </row>
    <row r="129" spans="6:6">
      <c r="F129" s="767"/>
    </row>
    <row r="130" spans="6:6">
      <c r="F130" s="767"/>
    </row>
    <row r="131" spans="6:6">
      <c r="F131" s="767"/>
    </row>
    <row r="132" spans="6:6">
      <c r="F132" s="767"/>
    </row>
    <row r="133" spans="6:6">
      <c r="F133" s="767"/>
    </row>
    <row r="134" spans="6:6">
      <c r="F134" s="767"/>
    </row>
    <row r="135" spans="6:6">
      <c r="F135" s="767"/>
    </row>
    <row r="136" spans="6:6">
      <c r="F136" s="767"/>
    </row>
    <row r="137" spans="6:6">
      <c r="F137" s="767"/>
    </row>
    <row r="138" spans="6:6">
      <c r="F138" s="767"/>
    </row>
    <row r="139" spans="6:6">
      <c r="F139" s="767"/>
    </row>
    <row r="140" spans="6:6">
      <c r="F140" s="767"/>
    </row>
    <row r="141" spans="6:6">
      <c r="F141" s="767"/>
    </row>
    <row r="142" spans="6:6">
      <c r="F142" s="767"/>
    </row>
    <row r="143" spans="6:6">
      <c r="F143" s="767"/>
    </row>
    <row r="144" spans="6:6">
      <c r="F144" s="767"/>
    </row>
    <row r="145" spans="6:6">
      <c r="F145" s="767"/>
    </row>
    <row r="146" spans="6:6">
      <c r="F146" s="767"/>
    </row>
    <row r="147" spans="6:6">
      <c r="F147" s="767"/>
    </row>
    <row r="148" spans="6:6">
      <c r="F148" s="767"/>
    </row>
    <row r="149" spans="6:6">
      <c r="F149" s="767"/>
    </row>
    <row r="150" spans="6:6">
      <c r="F150" s="767"/>
    </row>
    <row r="151" spans="6:6">
      <c r="F151" s="767"/>
    </row>
    <row r="152" spans="6:6">
      <c r="F152" s="767"/>
    </row>
    <row r="153" spans="6:6">
      <c r="F153" s="767"/>
    </row>
    <row r="154" spans="6:6">
      <c r="F154" s="767"/>
    </row>
    <row r="155" spans="6:6">
      <c r="F155" s="767"/>
    </row>
    <row r="156" spans="6:6">
      <c r="F156" s="767"/>
    </row>
    <row r="157" spans="6:6">
      <c r="F157" s="767"/>
    </row>
    <row r="158" spans="6:6">
      <c r="F158" s="767"/>
    </row>
    <row r="159" spans="6:6">
      <c r="F159" s="767"/>
    </row>
    <row r="160" spans="6:6">
      <c r="F160" s="767"/>
    </row>
    <row r="161" spans="6:6">
      <c r="F161" s="767"/>
    </row>
    <row r="162" spans="6:6">
      <c r="F162" s="767"/>
    </row>
    <row r="163" spans="6:6">
      <c r="F163" s="767"/>
    </row>
    <row r="164" spans="6:6">
      <c r="F164" s="767"/>
    </row>
    <row r="165" spans="6:6">
      <c r="F165" s="767"/>
    </row>
    <row r="166" spans="6:6">
      <c r="F166" s="767"/>
    </row>
    <row r="167" spans="6:6">
      <c r="F167" s="767"/>
    </row>
    <row r="168" spans="6:6">
      <c r="F168" s="767"/>
    </row>
    <row r="169" spans="6:6">
      <c r="F169" s="767"/>
    </row>
    <row r="170" spans="6:6">
      <c r="F170" s="767"/>
    </row>
    <row r="171" spans="6:6">
      <c r="F171" s="767"/>
    </row>
    <row r="172" spans="6:6">
      <c r="F172" s="767"/>
    </row>
    <row r="173" spans="6:6">
      <c r="F173" s="767"/>
    </row>
    <row r="174" spans="6:6">
      <c r="F174" s="767"/>
    </row>
    <row r="175" spans="6:6">
      <c r="F175" s="767"/>
    </row>
    <row r="176" spans="6:6">
      <c r="F176" s="767"/>
    </row>
    <row r="177" spans="6:6">
      <c r="F177" s="767"/>
    </row>
    <row r="178" spans="6:6">
      <c r="F178" s="767"/>
    </row>
    <row r="179" spans="6:6">
      <c r="F179" s="767"/>
    </row>
    <row r="180" spans="6:6">
      <c r="F180" s="767"/>
    </row>
    <row r="181" spans="6:6">
      <c r="F181" s="767"/>
    </row>
    <row r="182" spans="6:6">
      <c r="F182" s="767"/>
    </row>
    <row r="183" spans="6:6">
      <c r="F183" s="767"/>
    </row>
    <row r="184" spans="6:6">
      <c r="F184" s="767"/>
    </row>
    <row r="185" spans="6:6">
      <c r="F185" s="767"/>
    </row>
    <row r="186" spans="6:6">
      <c r="F186" s="767"/>
    </row>
    <row r="187" spans="6:6">
      <c r="F187" s="767"/>
    </row>
    <row r="188" spans="6:6">
      <c r="F188" s="767"/>
    </row>
    <row r="189" spans="6:6">
      <c r="F189" s="767"/>
    </row>
    <row r="190" spans="6:6">
      <c r="F190" s="767"/>
    </row>
    <row r="191" spans="6:6">
      <c r="F191" s="767"/>
    </row>
    <row r="192" spans="6:6">
      <c r="F192" s="767"/>
    </row>
    <row r="193" spans="6:6">
      <c r="F193" s="767"/>
    </row>
    <row r="194" spans="6:6">
      <c r="F194" s="767"/>
    </row>
    <row r="195" spans="6:6">
      <c r="F195" s="767"/>
    </row>
    <row r="196" spans="6:6">
      <c r="F196" s="767"/>
    </row>
    <row r="197" spans="6:6">
      <c r="F197" s="767"/>
    </row>
    <row r="198" spans="6:6">
      <c r="F198" s="767"/>
    </row>
    <row r="199" spans="6:6">
      <c r="F199" s="767"/>
    </row>
    <row r="200" spans="6:6">
      <c r="F200" s="767"/>
    </row>
    <row r="201" spans="6:6">
      <c r="F201" s="767"/>
    </row>
    <row r="202" spans="6:6">
      <c r="F202" s="767"/>
    </row>
    <row r="203" spans="6:6">
      <c r="F203" s="767"/>
    </row>
    <row r="204" spans="6:6">
      <c r="F204" s="767"/>
    </row>
    <row r="205" spans="6:6">
      <c r="F205" s="767"/>
    </row>
    <row r="206" spans="6:6">
      <c r="F206" s="767"/>
    </row>
    <row r="207" spans="6:6">
      <c r="F207" s="767"/>
    </row>
    <row r="208" spans="6:6">
      <c r="F208" s="767"/>
    </row>
    <row r="209" spans="6:6">
      <c r="F209" s="767"/>
    </row>
    <row r="210" spans="6:6">
      <c r="F210" s="767"/>
    </row>
    <row r="211" spans="6:6">
      <c r="F211" s="767"/>
    </row>
    <row r="212" spans="6:6">
      <c r="F212" s="767"/>
    </row>
    <row r="213" spans="6:6">
      <c r="F213" s="767"/>
    </row>
    <row r="214" spans="6:6">
      <c r="F214" s="767"/>
    </row>
  </sheetData>
  <sheetProtection formatCells="0"/>
  <mergeCells count="8">
    <mergeCell ref="A1:E1"/>
    <mergeCell ref="A2:E2"/>
    <mergeCell ref="O17:P17"/>
    <mergeCell ref="O6:P6"/>
    <mergeCell ref="O7:P7"/>
    <mergeCell ref="O8:P8"/>
    <mergeCell ref="O10:P10"/>
    <mergeCell ref="O14:P14"/>
  </mergeCells>
  <hyperlinks>
    <hyperlink ref="O9" r:id="rId1"/>
    <hyperlink ref="O8:P8" r:id="rId2" display="Link"/>
    <hyperlink ref="O11" r:id="rId3"/>
    <hyperlink ref="O10" r:id="rId4"/>
    <hyperlink ref="O12" r:id="rId5"/>
    <hyperlink ref="O13" r:id="rId6"/>
    <hyperlink ref="O15" r:id="rId7"/>
    <hyperlink ref="O16" r:id="rId8"/>
    <hyperlink ref="O17" r:id="rId9"/>
    <hyperlink ref="O18" r:id="rId10"/>
    <hyperlink ref="O19" r:id="rId11"/>
    <hyperlink ref="O26" r:id="rId12"/>
    <hyperlink ref="O27" r:id="rId13"/>
    <hyperlink ref="O30" r:id="rId14"/>
    <hyperlink ref="O20" r:id="rId15"/>
    <hyperlink ref="O21" r:id="rId16"/>
    <hyperlink ref="P9" r:id="rId17"/>
    <hyperlink ref="P11" r:id="rId18"/>
    <hyperlink ref="P12" r:id="rId19"/>
    <hyperlink ref="P13" r:id="rId20"/>
    <hyperlink ref="O6:P6" r:id="rId21" display="Link"/>
    <hyperlink ref="O14:P14" r:id="rId22" display="Link"/>
    <hyperlink ref="P15" r:id="rId23"/>
    <hyperlink ref="P16" r:id="rId24"/>
    <hyperlink ref="P18" r:id="rId25"/>
    <hyperlink ref="P19" r:id="rId26"/>
    <hyperlink ref="P26" r:id="rId27"/>
    <hyperlink ref="O7:P7" r:id="rId28" display="Link"/>
  </hyperlinks>
  <pageMargins left="0.39370078740157483" right="0.39370078740157483" top="0.59055118110236227" bottom="0.59055118110236227" header="0.31496062992125984" footer="0.31496062992125984"/>
  <pageSetup paperSize="9" scale="37" orientation="landscape" r:id="rId29"/>
  <customProperties>
    <customPr name="Guid" r:id="rId30"/>
  </customProperties>
  <drawing r:id="rId3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91"/>
  <sheetViews>
    <sheetView topLeftCell="A67" zoomScaleNormal="100" workbookViewId="0"/>
  </sheetViews>
  <sheetFormatPr defaultColWidth="11.44140625" defaultRowHeight="14.4"/>
  <cols>
    <col min="1" max="1" width="160" style="643" customWidth="1"/>
    <col min="2" max="16384" width="11.44140625" style="111"/>
  </cols>
  <sheetData>
    <row r="1" spans="1:1" ht="15.6">
      <c r="A1" s="777" t="s">
        <v>1408</v>
      </c>
    </row>
    <row r="2" spans="1:1">
      <c r="A2" s="778"/>
    </row>
    <row r="3" spans="1:1" ht="15.6">
      <c r="A3" s="112" t="s">
        <v>1409</v>
      </c>
    </row>
    <row r="4" spans="1:1" ht="15">
      <c r="A4" s="779" t="s">
        <v>1410</v>
      </c>
    </row>
    <row r="5" spans="1:1" ht="15">
      <c r="A5" s="779" t="s">
        <v>1411</v>
      </c>
    </row>
    <row r="6" spans="1:1" ht="15">
      <c r="A6" s="779" t="s">
        <v>1412</v>
      </c>
    </row>
    <row r="7" spans="1:1" ht="15">
      <c r="A7" s="779" t="s">
        <v>1413</v>
      </c>
    </row>
    <row r="8" spans="1:1" ht="15">
      <c r="A8" s="779" t="s">
        <v>1414</v>
      </c>
    </row>
    <row r="9" spans="1:1" ht="15">
      <c r="A9" s="779" t="s">
        <v>1415</v>
      </c>
    </row>
    <row r="10" spans="1:1" ht="15">
      <c r="A10" s="779" t="s">
        <v>1416</v>
      </c>
    </row>
    <row r="11" spans="1:1" ht="15">
      <c r="A11" s="779" t="s">
        <v>1417</v>
      </c>
    </row>
    <row r="12" spans="1:1" ht="15">
      <c r="A12" s="779" t="s">
        <v>1418</v>
      </c>
    </row>
    <row r="13" spans="1:1" ht="15">
      <c r="A13" s="779" t="s">
        <v>1483</v>
      </c>
    </row>
    <row r="14" spans="1:1" ht="15">
      <c r="A14" s="779" t="s">
        <v>1484</v>
      </c>
    </row>
    <row r="15" spans="1:1" ht="15">
      <c r="A15" s="779" t="s">
        <v>1419</v>
      </c>
    </row>
    <row r="16" spans="1:1" ht="15">
      <c r="A16" s="779" t="s">
        <v>1420</v>
      </c>
    </row>
    <row r="17" spans="1:1" ht="15">
      <c r="A17" s="779"/>
    </row>
    <row r="18" spans="1:1" ht="15.6">
      <c r="A18" s="112" t="s">
        <v>1421</v>
      </c>
    </row>
    <row r="19" spans="1:1" ht="15">
      <c r="A19" s="779" t="s">
        <v>1422</v>
      </c>
    </row>
    <row r="20" spans="1:1" ht="30">
      <c r="A20" s="779" t="s">
        <v>1485</v>
      </c>
    </row>
    <row r="21" spans="1:1" ht="15">
      <c r="A21" s="779" t="s">
        <v>1423</v>
      </c>
    </row>
    <row r="22" spans="1:1" ht="15">
      <c r="A22" s="779" t="s">
        <v>1424</v>
      </c>
    </row>
    <row r="23" spans="1:1" ht="15">
      <c r="A23" s="779" t="s">
        <v>1425</v>
      </c>
    </row>
    <row r="24" spans="1:1" ht="15">
      <c r="A24" s="779" t="s">
        <v>1486</v>
      </c>
    </row>
    <row r="25" spans="1:1" ht="15">
      <c r="A25" s="779" t="s">
        <v>1426</v>
      </c>
    </row>
    <row r="26" spans="1:1" ht="15">
      <c r="A26" s="779" t="s">
        <v>1487</v>
      </c>
    </row>
    <row r="27" spans="1:1" ht="15">
      <c r="A27" s="779" t="s">
        <v>1427</v>
      </c>
    </row>
    <row r="28" spans="1:1" ht="15">
      <c r="A28" s="779" t="s">
        <v>1428</v>
      </c>
    </row>
    <row r="29" spans="1:1" ht="15">
      <c r="A29" s="779" t="s">
        <v>1429</v>
      </c>
    </row>
    <row r="30" spans="1:1" ht="15">
      <c r="A30" s="779"/>
    </row>
    <row r="31" spans="1:1" ht="15.6">
      <c r="A31" s="112" t="s">
        <v>1430</v>
      </c>
    </row>
    <row r="32" spans="1:1" ht="15">
      <c r="A32" s="779" t="s">
        <v>1488</v>
      </c>
    </row>
    <row r="33" spans="1:1" ht="15">
      <c r="A33" s="779" t="s">
        <v>1431</v>
      </c>
    </row>
    <row r="34" spans="1:1" ht="15">
      <c r="A34" s="779" t="s">
        <v>1432</v>
      </c>
    </row>
    <row r="35" spans="1:1" ht="15">
      <c r="A35" s="779" t="s">
        <v>1489</v>
      </c>
    </row>
    <row r="36" spans="1:1" ht="15">
      <c r="A36" s="779" t="s">
        <v>1433</v>
      </c>
    </row>
    <row r="37" spans="1:1" ht="15">
      <c r="A37" s="779" t="s">
        <v>1434</v>
      </c>
    </row>
    <row r="38" spans="1:1" ht="15">
      <c r="A38" s="779" t="s">
        <v>941</v>
      </c>
    </row>
    <row r="39" spans="1:1" ht="15">
      <c r="A39" s="779"/>
    </row>
    <row r="40" spans="1:1" ht="15.6">
      <c r="A40" s="112" t="s">
        <v>1435</v>
      </c>
    </row>
    <row r="41" spans="1:1" ht="15">
      <c r="A41" s="779" t="s">
        <v>1436</v>
      </c>
    </row>
    <row r="42" spans="1:1" ht="15">
      <c r="A42" s="779" t="s">
        <v>1437</v>
      </c>
    </row>
    <row r="43" spans="1:1" ht="15">
      <c r="A43" s="779" t="s">
        <v>1438</v>
      </c>
    </row>
    <row r="44" spans="1:1" ht="15">
      <c r="A44" s="779" t="s">
        <v>1439</v>
      </c>
    </row>
    <row r="45" spans="1:1" ht="15">
      <c r="A45" s="779" t="s">
        <v>1440</v>
      </c>
    </row>
    <row r="46" spans="1:1" ht="15">
      <c r="A46" s="779" t="s">
        <v>1441</v>
      </c>
    </row>
    <row r="47" spans="1:1" ht="15">
      <c r="A47" s="779" t="s">
        <v>1490</v>
      </c>
    </row>
    <row r="48" spans="1:1" ht="15">
      <c r="A48" s="779" t="s">
        <v>1442</v>
      </c>
    </row>
    <row r="49" spans="1:1" ht="15">
      <c r="A49" s="779"/>
    </row>
    <row r="50" spans="1:1" ht="15.6">
      <c r="A50" s="112" t="s">
        <v>1443</v>
      </c>
    </row>
    <row r="51" spans="1:1" ht="15">
      <c r="A51" s="779" t="s">
        <v>1444</v>
      </c>
    </row>
    <row r="52" spans="1:1" ht="15">
      <c r="A52" s="779" t="s">
        <v>1445</v>
      </c>
    </row>
    <row r="53" spans="1:1" ht="15">
      <c r="A53" s="779" t="s">
        <v>1446</v>
      </c>
    </row>
    <row r="54" spans="1:1" ht="15">
      <c r="A54" s="779" t="s">
        <v>1447</v>
      </c>
    </row>
    <row r="55" spans="1:1" ht="15">
      <c r="A55" s="779" t="s">
        <v>1448</v>
      </c>
    </row>
    <row r="56" spans="1:1" ht="15">
      <c r="A56" s="779" t="s">
        <v>1491</v>
      </c>
    </row>
    <row r="57" spans="1:1">
      <c r="A57" s="778"/>
    </row>
    <row r="58" spans="1:1" ht="15.6">
      <c r="A58" s="112" t="s">
        <v>1449</v>
      </c>
    </row>
    <row r="59" spans="1:1" ht="15">
      <c r="A59" s="779" t="s">
        <v>1450</v>
      </c>
    </row>
    <row r="60" spans="1:1" ht="15">
      <c r="A60" s="779" t="s">
        <v>1451</v>
      </c>
    </row>
    <row r="61" spans="1:1" ht="15">
      <c r="A61" s="779" t="s">
        <v>1452</v>
      </c>
    </row>
    <row r="62" spans="1:1" ht="15">
      <c r="A62" s="779" t="s">
        <v>1453</v>
      </c>
    </row>
    <row r="63" spans="1:1" ht="15">
      <c r="A63" s="779" t="s">
        <v>1454</v>
      </c>
    </row>
    <row r="64" spans="1:1" ht="15">
      <c r="A64" s="779" t="s">
        <v>1455</v>
      </c>
    </row>
    <row r="65" spans="1:1" ht="15">
      <c r="A65" s="779"/>
    </row>
    <row r="66" spans="1:1" ht="15.6">
      <c r="A66" s="112" t="s">
        <v>1456</v>
      </c>
    </row>
    <row r="67" spans="1:1" ht="15">
      <c r="A67" s="779" t="s">
        <v>1457</v>
      </c>
    </row>
    <row r="68" spans="1:1" ht="15">
      <c r="A68" s="779" t="s">
        <v>1458</v>
      </c>
    </row>
    <row r="69" spans="1:1" ht="15">
      <c r="A69" s="779" t="s">
        <v>1459</v>
      </c>
    </row>
    <row r="70" spans="1:1" ht="15">
      <c r="A70" s="779" t="s">
        <v>1460</v>
      </c>
    </row>
    <row r="71" spans="1:1" ht="15">
      <c r="A71" s="779" t="s">
        <v>1461</v>
      </c>
    </row>
    <row r="72" spans="1:1" ht="15">
      <c r="A72" s="779"/>
    </row>
    <row r="73" spans="1:1" ht="15.6">
      <c r="A73" s="112" t="s">
        <v>1462</v>
      </c>
    </row>
    <row r="74" spans="1:1" ht="15">
      <c r="A74" s="779" t="s">
        <v>1463</v>
      </c>
    </row>
    <row r="75" spans="1:1" ht="15">
      <c r="A75" s="779" t="s">
        <v>1464</v>
      </c>
    </row>
    <row r="76" spans="1:1" ht="15">
      <c r="A76" s="779" t="s">
        <v>1465</v>
      </c>
    </row>
    <row r="77" spans="1:1" ht="15">
      <c r="A77" s="779" t="s">
        <v>1466</v>
      </c>
    </row>
    <row r="78" spans="1:1" ht="15">
      <c r="A78" s="779"/>
    </row>
    <row r="79" spans="1:1" ht="15.6">
      <c r="A79" s="112" t="s">
        <v>1467</v>
      </c>
    </row>
    <row r="80" spans="1:1" ht="15">
      <c r="A80" s="779" t="s">
        <v>1468</v>
      </c>
    </row>
    <row r="81" spans="1:1" ht="15">
      <c r="A81" s="779" t="s">
        <v>1469</v>
      </c>
    </row>
    <row r="82" spans="1:1" ht="15">
      <c r="A82" s="779"/>
    </row>
    <row r="83" spans="1:1" ht="15.6">
      <c r="A83" s="112" t="s">
        <v>1470</v>
      </c>
    </row>
    <row r="84" spans="1:1" ht="15">
      <c r="A84" s="779" t="s">
        <v>1471</v>
      </c>
    </row>
    <row r="85" spans="1:1" ht="15">
      <c r="A85" s="779" t="s">
        <v>1472</v>
      </c>
    </row>
    <row r="86" spans="1:1" ht="15">
      <c r="A86" s="779" t="s">
        <v>1473</v>
      </c>
    </row>
    <row r="87" spans="1:1" ht="15">
      <c r="A87" s="779" t="s">
        <v>1474</v>
      </c>
    </row>
    <row r="88" spans="1:1" ht="15">
      <c r="A88" s="779" t="s">
        <v>1475</v>
      </c>
    </row>
    <row r="89" spans="1:1" ht="15">
      <c r="A89" s="779" t="s">
        <v>1476</v>
      </c>
    </row>
    <row r="90" spans="1:1" ht="15">
      <c r="A90" s="779"/>
    </row>
    <row r="91" spans="1:1" ht="15.6">
      <c r="A91" s="112" t="s">
        <v>1477</v>
      </c>
    </row>
  </sheetData>
  <pageMargins left="0.7" right="0.7" top="0.78740157499999996" bottom="0.78740157499999996"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48"/>
  <sheetViews>
    <sheetView showGridLines="0" zoomScale="85" zoomScaleNormal="85" workbookViewId="0">
      <selection sqref="A1:E1"/>
    </sheetView>
  </sheetViews>
  <sheetFormatPr defaultColWidth="9.109375" defaultRowHeight="14.4"/>
  <cols>
    <col min="1" max="1" width="5.6640625" style="13" customWidth="1"/>
    <col min="2" max="16384" width="9.109375" style="13"/>
  </cols>
  <sheetData>
    <row r="1" spans="1:20" s="83" customFormat="1" ht="21">
      <c r="A1" s="1358" t="str">
        <f>MDProjektname</f>
        <v>Migration GEFI</v>
      </c>
      <c r="B1" s="1359"/>
      <c r="C1" s="1359"/>
      <c r="D1" s="1359"/>
      <c r="E1" s="1360"/>
      <c r="F1" s="13"/>
      <c r="G1" s="13"/>
      <c r="H1" s="13"/>
      <c r="I1" s="13"/>
      <c r="J1" s="13"/>
      <c r="K1" s="13"/>
      <c r="L1" s="13"/>
      <c r="M1" s="13"/>
      <c r="N1" s="13"/>
      <c r="O1" s="13"/>
      <c r="P1" s="13"/>
      <c r="Q1" s="13"/>
      <c r="R1" s="13"/>
      <c r="S1" s="13"/>
      <c r="T1" s="13"/>
    </row>
    <row r="2" spans="1:20" s="83" customFormat="1" ht="26.25" customHeight="1" thickBot="1">
      <c r="A2" s="1361" t="str">
        <f>MDCustomer</f>
        <v>OFISA</v>
      </c>
      <c r="B2" s="1362"/>
      <c r="C2" s="1362"/>
      <c r="D2" s="1362"/>
      <c r="E2" s="1363"/>
      <c r="F2" s="13"/>
      <c r="H2" s="84" t="s">
        <v>1088</v>
      </c>
      <c r="I2" s="13"/>
      <c r="J2" s="13"/>
      <c r="K2" s="13"/>
      <c r="L2" s="13"/>
      <c r="M2" s="13"/>
      <c r="N2" s="13"/>
      <c r="O2" s="13"/>
      <c r="P2" s="13"/>
      <c r="Q2" s="13"/>
      <c r="R2" s="13"/>
      <c r="S2" s="13"/>
      <c r="T2" s="13"/>
    </row>
    <row r="3" spans="1:20" s="83" customFormat="1" ht="26.25" customHeight="1">
      <c r="A3" s="13"/>
      <c r="B3" s="13"/>
      <c r="C3" s="13"/>
      <c r="D3" s="13"/>
      <c r="E3" s="13"/>
      <c r="F3" s="13"/>
      <c r="H3" s="85" t="s">
        <v>1098</v>
      </c>
      <c r="I3" s="13"/>
      <c r="J3" s="13"/>
      <c r="K3" s="13"/>
      <c r="L3" s="13"/>
      <c r="M3" s="13"/>
      <c r="N3" s="13"/>
      <c r="O3" s="13"/>
      <c r="P3" s="13"/>
      <c r="Q3" s="13"/>
      <c r="R3" s="13"/>
      <c r="S3" s="13"/>
      <c r="T3" s="13"/>
    </row>
    <row r="4" spans="1:20" s="83" customFormat="1" ht="15" customHeight="1">
      <c r="A4" s="13"/>
      <c r="B4" s="13"/>
      <c r="C4" s="13"/>
      <c r="D4" s="13"/>
      <c r="E4" s="13"/>
      <c r="F4" s="13"/>
      <c r="G4" s="13"/>
      <c r="H4" s="13"/>
      <c r="I4" s="13"/>
      <c r="J4" s="13"/>
      <c r="K4" s="13"/>
      <c r="L4" s="13"/>
      <c r="M4" s="13"/>
      <c r="N4" s="13"/>
      <c r="O4" s="13"/>
      <c r="P4" s="13"/>
      <c r="Q4" s="13"/>
      <c r="R4" s="13"/>
      <c r="S4" s="13"/>
      <c r="T4" s="13"/>
    </row>
    <row r="9" spans="1:20">
      <c r="E9" s="13" t="s">
        <v>1029</v>
      </c>
    </row>
    <row r="10" spans="1:20">
      <c r="E10" s="13" t="s">
        <v>1030</v>
      </c>
    </row>
    <row r="11" spans="1:20">
      <c r="E11" s="13" t="s">
        <v>1031</v>
      </c>
    </row>
    <row r="32" spans="2:14">
      <c r="B32" s="87" t="s">
        <v>1032</v>
      </c>
      <c r="C32" s="1354" t="s">
        <v>1033</v>
      </c>
      <c r="D32" s="1355"/>
      <c r="E32" s="1355"/>
      <c r="F32" s="1355"/>
      <c r="G32" s="1355"/>
      <c r="H32" s="1355"/>
      <c r="I32" s="1355"/>
      <c r="J32" s="1355"/>
      <c r="K32" s="1355"/>
      <c r="L32" s="1355"/>
      <c r="M32" s="1355"/>
      <c r="N32" s="1356"/>
    </row>
    <row r="33" spans="2:24">
      <c r="B33" s="87" t="s">
        <v>1034</v>
      </c>
      <c r="C33" s="1354" t="s">
        <v>1035</v>
      </c>
      <c r="D33" s="1355"/>
      <c r="E33" s="1355"/>
      <c r="F33" s="1355"/>
      <c r="G33" s="1355"/>
      <c r="H33" s="1355"/>
      <c r="I33" s="1355"/>
      <c r="J33" s="1355"/>
      <c r="K33" s="1355"/>
      <c r="L33" s="1355"/>
      <c r="M33" s="1355"/>
      <c r="N33" s="1356"/>
      <c r="P33" s="89"/>
      <c r="Q33" s="89"/>
      <c r="R33" s="89"/>
      <c r="S33" s="89"/>
      <c r="T33" s="89"/>
      <c r="U33" s="89"/>
      <c r="V33" s="89"/>
      <c r="W33" s="89"/>
      <c r="X33" s="89"/>
    </row>
    <row r="34" spans="2:24">
      <c r="B34" s="87" t="s">
        <v>1036</v>
      </c>
      <c r="C34" s="1354" t="s">
        <v>1037</v>
      </c>
      <c r="D34" s="1355"/>
      <c r="E34" s="1355"/>
      <c r="F34" s="1355"/>
      <c r="G34" s="1355"/>
      <c r="H34" s="1355"/>
      <c r="I34" s="1355"/>
      <c r="J34" s="1355"/>
      <c r="K34" s="1355"/>
      <c r="L34" s="1355"/>
      <c r="M34" s="1355"/>
      <c r="N34" s="1356"/>
      <c r="P34" s="89"/>
      <c r="Q34" s="89"/>
      <c r="R34" s="89"/>
      <c r="S34" s="89"/>
      <c r="T34" s="89"/>
      <c r="U34" s="89"/>
      <c r="V34" s="89"/>
      <c r="W34" s="89"/>
      <c r="X34" s="89"/>
    </row>
    <row r="35" spans="2:24">
      <c r="O35" s="90"/>
      <c r="P35" s="1352" t="s">
        <v>1030</v>
      </c>
      <c r="Q35" s="1352"/>
      <c r="R35" s="1352" t="s">
        <v>1029</v>
      </c>
      <c r="S35" s="1352"/>
      <c r="T35" s="1352"/>
      <c r="U35" s="1352" t="s">
        <v>1031</v>
      </c>
      <c r="V35" s="1352"/>
      <c r="W35" s="1352"/>
      <c r="X35" s="89"/>
    </row>
    <row r="36" spans="2:24">
      <c r="B36" s="87" t="s">
        <v>1038</v>
      </c>
      <c r="C36" s="1353" t="s">
        <v>1039</v>
      </c>
      <c r="D36" s="1353"/>
      <c r="E36" s="1353"/>
      <c r="F36" s="1353" t="s">
        <v>1040</v>
      </c>
      <c r="G36" s="1353"/>
      <c r="H36" s="1353"/>
      <c r="I36" s="1353"/>
      <c r="J36" s="1353"/>
      <c r="K36" s="1353"/>
      <c r="L36" s="1353"/>
      <c r="M36" s="1353"/>
      <c r="N36" s="1353"/>
      <c r="O36" s="90"/>
      <c r="P36" s="109" t="s">
        <v>1402</v>
      </c>
      <c r="Q36" s="110" t="s">
        <v>840</v>
      </c>
      <c r="R36" s="110" t="s">
        <v>1403</v>
      </c>
      <c r="S36" s="110" t="s">
        <v>1038</v>
      </c>
      <c r="T36" s="110" t="s">
        <v>1046</v>
      </c>
      <c r="U36" s="110" t="s">
        <v>1404</v>
      </c>
      <c r="V36" s="110" t="s">
        <v>1043</v>
      </c>
      <c r="W36" s="110" t="s">
        <v>1049</v>
      </c>
      <c r="X36" s="89"/>
    </row>
    <row r="37" spans="2:24">
      <c r="B37" s="87" t="s">
        <v>840</v>
      </c>
      <c r="C37" s="1353" t="s">
        <v>1041</v>
      </c>
      <c r="D37" s="1353"/>
      <c r="E37" s="1353"/>
      <c r="F37" s="1353" t="s">
        <v>1042</v>
      </c>
      <c r="G37" s="1353"/>
      <c r="H37" s="1353"/>
      <c r="I37" s="1353"/>
      <c r="J37" s="1353"/>
      <c r="K37" s="1353"/>
      <c r="L37" s="1353"/>
      <c r="M37" s="1353"/>
      <c r="N37" s="1353"/>
      <c r="O37" s="90"/>
      <c r="P37" s="109">
        <v>0</v>
      </c>
      <c r="Q37" s="109">
        <f>OVEarnedValue</f>
        <v>0</v>
      </c>
      <c r="R37" s="110">
        <v>0</v>
      </c>
      <c r="S37" s="109">
        <f>OVPlannedValue</f>
        <v>0</v>
      </c>
      <c r="T37" s="109">
        <f>OVBudgetAtCompletion</f>
        <v>584</v>
      </c>
      <c r="U37" s="110">
        <v>0</v>
      </c>
      <c r="V37" s="109">
        <f>AVSAPEffort</f>
        <v>63.75</v>
      </c>
      <c r="W37" s="109">
        <f>OVEstimateAtCompletion</f>
        <v>63.75</v>
      </c>
      <c r="X37" s="89"/>
    </row>
    <row r="38" spans="2:24">
      <c r="B38" s="87" t="s">
        <v>1043</v>
      </c>
      <c r="C38" s="1353" t="s">
        <v>1044</v>
      </c>
      <c r="D38" s="1353"/>
      <c r="E38" s="1353"/>
      <c r="F38" s="1353" t="s">
        <v>1045</v>
      </c>
      <c r="G38" s="1353"/>
      <c r="H38" s="1353"/>
      <c r="I38" s="1353"/>
      <c r="J38" s="1353"/>
      <c r="K38" s="1353"/>
      <c r="L38" s="1353"/>
      <c r="M38" s="1353"/>
      <c r="N38" s="1357"/>
      <c r="O38" s="108"/>
      <c r="P38" s="90"/>
      <c r="Q38" s="90"/>
      <c r="R38" s="90"/>
      <c r="S38" s="90"/>
      <c r="T38" s="90"/>
      <c r="U38" s="90"/>
      <c r="V38" s="90"/>
      <c r="W38" s="90"/>
      <c r="X38" s="89"/>
    </row>
    <row r="39" spans="2:24">
      <c r="B39" s="87" t="s">
        <v>1046</v>
      </c>
      <c r="C39" s="1353" t="s">
        <v>1047</v>
      </c>
      <c r="D39" s="1353"/>
      <c r="E39" s="1353"/>
      <c r="F39" s="1353" t="s">
        <v>1048</v>
      </c>
      <c r="G39" s="1353"/>
      <c r="H39" s="1353"/>
      <c r="I39" s="1353"/>
      <c r="J39" s="1353"/>
      <c r="K39" s="1353"/>
      <c r="L39" s="1353"/>
      <c r="M39" s="1353"/>
      <c r="N39" s="1357"/>
      <c r="O39" s="88"/>
      <c r="P39" s="89"/>
      <c r="Q39" s="89"/>
      <c r="R39" s="89"/>
      <c r="S39" s="89"/>
      <c r="T39" s="89"/>
      <c r="U39" s="89"/>
      <c r="V39" s="89"/>
      <c r="W39" s="89"/>
      <c r="X39" s="89"/>
    </row>
    <row r="40" spans="2:24">
      <c r="B40" s="87" t="s">
        <v>1049</v>
      </c>
      <c r="C40" s="1353" t="s">
        <v>1050</v>
      </c>
      <c r="D40" s="1353"/>
      <c r="E40" s="1353"/>
      <c r="F40" s="1353" t="s">
        <v>1051</v>
      </c>
      <c r="G40" s="1353"/>
      <c r="H40" s="1353"/>
      <c r="I40" s="1353"/>
      <c r="J40" s="1353"/>
      <c r="K40" s="1353"/>
      <c r="L40" s="1353"/>
      <c r="M40" s="1353"/>
      <c r="N40" s="1357"/>
      <c r="O40" s="88"/>
      <c r="P40" s="89"/>
      <c r="Q40" s="89"/>
      <c r="R40" s="89"/>
      <c r="S40" s="89"/>
      <c r="T40" s="89"/>
      <c r="U40" s="89"/>
      <c r="V40" s="89"/>
      <c r="W40" s="89"/>
      <c r="X40" s="89"/>
    </row>
    <row r="41" spans="2:24">
      <c r="B41" s="87" t="s">
        <v>1052</v>
      </c>
      <c r="C41" s="1353" t="s">
        <v>1053</v>
      </c>
      <c r="D41" s="1353"/>
      <c r="E41" s="1353"/>
      <c r="F41" s="1353" t="s">
        <v>1054</v>
      </c>
      <c r="G41" s="1353"/>
      <c r="H41" s="1353"/>
      <c r="I41" s="1353"/>
      <c r="J41" s="1353"/>
      <c r="K41" s="1353"/>
      <c r="L41" s="1353"/>
      <c r="M41" s="1353"/>
      <c r="N41" s="1357"/>
      <c r="O41" s="88"/>
    </row>
    <row r="42" spans="2:24">
      <c r="B42" s="87" t="s">
        <v>1055</v>
      </c>
      <c r="C42" s="1353" t="s">
        <v>1056</v>
      </c>
      <c r="D42" s="1353"/>
      <c r="E42" s="1353"/>
      <c r="F42" s="1353" t="s">
        <v>1057</v>
      </c>
      <c r="G42" s="1353"/>
      <c r="H42" s="1353"/>
      <c r="I42" s="1353"/>
      <c r="J42" s="1353"/>
      <c r="K42" s="1353"/>
      <c r="L42" s="1353"/>
      <c r="M42" s="1353"/>
      <c r="N42" s="1357"/>
      <c r="O42" s="88"/>
    </row>
    <row r="43" spans="2:24">
      <c r="B43" s="87" t="s">
        <v>1058</v>
      </c>
      <c r="C43" s="1353" t="s">
        <v>1059</v>
      </c>
      <c r="D43" s="1353"/>
      <c r="E43" s="1353"/>
      <c r="F43" s="1353" t="s">
        <v>1060</v>
      </c>
      <c r="G43" s="1353"/>
      <c r="H43" s="1353"/>
      <c r="I43" s="1353"/>
      <c r="J43" s="1353"/>
      <c r="K43" s="1353"/>
      <c r="L43" s="1353"/>
      <c r="M43" s="1353"/>
      <c r="N43" s="1357"/>
      <c r="O43" s="88"/>
    </row>
    <row r="44" spans="2:24">
      <c r="B44" s="87" t="s">
        <v>1061</v>
      </c>
      <c r="C44" s="1353" t="s">
        <v>1062</v>
      </c>
      <c r="D44" s="1353"/>
      <c r="E44" s="1353"/>
      <c r="F44" s="1353" t="s">
        <v>1063</v>
      </c>
      <c r="G44" s="1353"/>
      <c r="H44" s="1353"/>
      <c r="I44" s="1353"/>
      <c r="J44" s="1353"/>
      <c r="K44" s="1353"/>
      <c r="L44" s="1353"/>
      <c r="M44" s="1353"/>
      <c r="N44" s="1357"/>
      <c r="O44" s="88"/>
    </row>
    <row r="45" spans="2:24">
      <c r="B45" s="87" t="s">
        <v>1064</v>
      </c>
      <c r="C45" s="1353" t="s">
        <v>1065</v>
      </c>
      <c r="D45" s="1353"/>
      <c r="E45" s="1353"/>
      <c r="F45" s="1353" t="s">
        <v>1066</v>
      </c>
      <c r="G45" s="1353"/>
      <c r="H45" s="1353"/>
      <c r="I45" s="1353"/>
      <c r="J45" s="1353"/>
      <c r="K45" s="1353"/>
      <c r="L45" s="1353"/>
      <c r="M45" s="1353"/>
      <c r="N45" s="1357"/>
      <c r="O45" s="88"/>
    </row>
    <row r="46" spans="2:24">
      <c r="B46" s="87" t="s">
        <v>1067</v>
      </c>
      <c r="C46" s="1353" t="s">
        <v>1068</v>
      </c>
      <c r="D46" s="1353"/>
      <c r="E46" s="1353"/>
      <c r="F46" s="1353" t="s">
        <v>1069</v>
      </c>
      <c r="G46" s="1353"/>
      <c r="H46" s="1353"/>
      <c r="I46" s="1353"/>
      <c r="J46" s="1353"/>
      <c r="K46" s="1353"/>
      <c r="L46" s="1353"/>
      <c r="M46" s="1353"/>
      <c r="N46" s="1357"/>
      <c r="O46" s="88"/>
    </row>
    <row r="47" spans="2:24">
      <c r="B47" s="87" t="s">
        <v>1070</v>
      </c>
      <c r="C47" s="1353" t="s">
        <v>1071</v>
      </c>
      <c r="D47" s="1353"/>
      <c r="E47" s="1353"/>
      <c r="F47" s="1353" t="s">
        <v>1072</v>
      </c>
      <c r="G47" s="1353"/>
      <c r="H47" s="1353"/>
      <c r="I47" s="1353"/>
      <c r="J47" s="1353"/>
      <c r="K47" s="1353"/>
      <c r="L47" s="1353"/>
      <c r="M47" s="1353"/>
      <c r="N47" s="1357"/>
      <c r="O47" s="88"/>
    </row>
    <row r="48" spans="2:24">
      <c r="B48" s="87" t="s">
        <v>1073</v>
      </c>
      <c r="C48" s="1353" t="s">
        <v>1074</v>
      </c>
      <c r="D48" s="1353"/>
      <c r="E48" s="1353"/>
      <c r="F48" s="1353" t="s">
        <v>1075</v>
      </c>
      <c r="G48" s="1353"/>
      <c r="H48" s="1353"/>
      <c r="I48" s="1353"/>
      <c r="J48" s="1353"/>
      <c r="K48" s="1353"/>
      <c r="L48" s="1353"/>
      <c r="M48" s="1353"/>
      <c r="N48" s="1357"/>
      <c r="O48" s="88"/>
    </row>
  </sheetData>
  <mergeCells count="34">
    <mergeCell ref="A1:E1"/>
    <mergeCell ref="A2:E2"/>
    <mergeCell ref="C47:E47"/>
    <mergeCell ref="F47:N47"/>
    <mergeCell ref="C48:E48"/>
    <mergeCell ref="F48:N48"/>
    <mergeCell ref="C44:E44"/>
    <mergeCell ref="F44:N44"/>
    <mergeCell ref="C45:E45"/>
    <mergeCell ref="F45:N45"/>
    <mergeCell ref="C46:E46"/>
    <mergeCell ref="F46:N46"/>
    <mergeCell ref="C41:E41"/>
    <mergeCell ref="F41:N41"/>
    <mergeCell ref="C42:E42"/>
    <mergeCell ref="F42:N42"/>
    <mergeCell ref="C43:E43"/>
    <mergeCell ref="F43:N43"/>
    <mergeCell ref="C38:E38"/>
    <mergeCell ref="F38:N38"/>
    <mergeCell ref="C39:E39"/>
    <mergeCell ref="F39:N39"/>
    <mergeCell ref="C40:E40"/>
    <mergeCell ref="F40:N40"/>
    <mergeCell ref="C32:N32"/>
    <mergeCell ref="C33:N33"/>
    <mergeCell ref="C34:N34"/>
    <mergeCell ref="C36:E36"/>
    <mergeCell ref="F36:N36"/>
    <mergeCell ref="P35:Q35"/>
    <mergeCell ref="R35:T35"/>
    <mergeCell ref="U35:W35"/>
    <mergeCell ref="C37:E37"/>
    <mergeCell ref="F37:N37"/>
  </mergeCells>
  <pageMargins left="0.7" right="0.7" top="0.75" bottom="0.75" header="0.3" footer="0.3"/>
  <pageSetup paperSize="9" scale="61" orientation="portrait" r:id="rId1"/>
  <customProperties>
    <customPr name="Guid" r:id="rId2"/>
  </customProperties>
  <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tabColor theme="0" tint="-0.249977111117893"/>
    <pageSetUpPr fitToPage="1"/>
  </sheetPr>
  <dimension ref="A1:F28"/>
  <sheetViews>
    <sheetView zoomScale="80" zoomScaleNormal="80" workbookViewId="0">
      <selection activeCell="B7" sqref="B7"/>
    </sheetView>
  </sheetViews>
  <sheetFormatPr defaultColWidth="11.44140625" defaultRowHeight="14.4"/>
  <cols>
    <col min="1" max="1" width="33.5546875" style="14" customWidth="1"/>
    <col min="2" max="2" width="56.33203125" style="14" customWidth="1"/>
    <col min="3" max="16384" width="11.44140625" style="14"/>
  </cols>
  <sheetData>
    <row r="1" spans="1:6" s="9" customFormat="1" ht="21" customHeight="1">
      <c r="A1" s="1368" t="s">
        <v>935</v>
      </c>
      <c r="B1" s="1369"/>
      <c r="C1" s="12"/>
      <c r="D1" s="1364" t="s">
        <v>436</v>
      </c>
      <c r="E1" s="1365"/>
      <c r="F1" s="17"/>
    </row>
    <row r="2" spans="1:6" s="9" customFormat="1" ht="16.5" customHeight="1" thickBot="1">
      <c r="A2" s="1370" t="s">
        <v>936</v>
      </c>
      <c r="B2" s="1371"/>
      <c r="C2" s="12"/>
      <c r="D2" s="1364"/>
      <c r="E2" s="1365"/>
      <c r="F2" s="17"/>
    </row>
    <row r="3" spans="1:6" s="53" customFormat="1">
      <c r="A3" s="12"/>
      <c r="B3" s="12"/>
      <c r="C3" s="12"/>
      <c r="D3" s="55"/>
      <c r="E3" s="55"/>
      <c r="F3" s="17"/>
    </row>
    <row r="4" spans="1:6" ht="36" customHeight="1">
      <c r="A4" s="1366" t="s">
        <v>937</v>
      </c>
      <c r="B4" s="1367"/>
      <c r="C4" s="55"/>
      <c r="D4" s="55"/>
      <c r="E4" s="55"/>
      <c r="F4" s="55"/>
    </row>
    <row r="5" spans="1:6">
      <c r="A5" s="55"/>
      <c r="B5" s="55"/>
      <c r="C5" s="55"/>
      <c r="D5" s="55"/>
      <c r="E5" s="55"/>
      <c r="F5" s="55"/>
    </row>
    <row r="6" spans="1:6">
      <c r="A6" s="56" t="s">
        <v>938</v>
      </c>
      <c r="B6" s="56" t="s">
        <v>939</v>
      </c>
      <c r="C6" s="55"/>
      <c r="D6" s="55"/>
      <c r="E6" s="55"/>
      <c r="F6" s="55"/>
    </row>
    <row r="7" spans="1:6" ht="30" customHeight="1">
      <c r="A7" s="54" t="s">
        <v>940</v>
      </c>
      <c r="B7" s="58"/>
      <c r="C7" s="55"/>
      <c r="D7" s="55"/>
      <c r="E7" s="55"/>
      <c r="F7" s="55"/>
    </row>
    <row r="8" spans="1:6" ht="30" customHeight="1">
      <c r="A8" s="54" t="s">
        <v>941</v>
      </c>
      <c r="B8" s="58"/>
      <c r="C8" s="55"/>
      <c r="D8" s="55"/>
      <c r="E8" s="55"/>
      <c r="F8" s="55"/>
    </row>
    <row r="9" spans="1:6" ht="30" customHeight="1">
      <c r="A9" s="54" t="s">
        <v>942</v>
      </c>
      <c r="B9" s="58"/>
      <c r="C9" s="55"/>
      <c r="D9" s="55"/>
      <c r="E9" s="55"/>
      <c r="F9" s="55"/>
    </row>
    <row r="10" spans="1:6" ht="30" customHeight="1">
      <c r="A10" s="54" t="s">
        <v>943</v>
      </c>
      <c r="B10" s="58"/>
      <c r="C10" s="55"/>
      <c r="D10" s="55"/>
      <c r="E10" s="55"/>
      <c r="F10" s="55"/>
    </row>
    <row r="11" spans="1:6" ht="30" customHeight="1">
      <c r="A11" s="54" t="s">
        <v>944</v>
      </c>
      <c r="B11" s="58"/>
      <c r="C11" s="55"/>
      <c r="D11" s="55"/>
      <c r="E11" s="55"/>
      <c r="F11" s="55"/>
    </row>
    <row r="12" spans="1:6">
      <c r="A12" s="55"/>
      <c r="B12" s="55"/>
      <c r="C12" s="55"/>
      <c r="D12" s="55"/>
      <c r="E12" s="55"/>
      <c r="F12" s="55"/>
    </row>
    <row r="13" spans="1:6" ht="28.8">
      <c r="A13" s="56" t="s">
        <v>945</v>
      </c>
      <c r="B13" s="56" t="s">
        <v>946</v>
      </c>
      <c r="C13" s="55"/>
      <c r="D13" s="55"/>
      <c r="E13" s="55"/>
      <c r="F13" s="55"/>
    </row>
    <row r="14" spans="1:6" ht="30" customHeight="1">
      <c r="A14" s="54" t="s">
        <v>947</v>
      </c>
      <c r="B14" s="58"/>
      <c r="C14" s="55"/>
      <c r="D14" s="55"/>
      <c r="E14" s="55"/>
      <c r="F14" s="55"/>
    </row>
    <row r="15" spans="1:6" ht="30" customHeight="1">
      <c r="A15" s="54" t="s">
        <v>948</v>
      </c>
      <c r="B15" s="58"/>
      <c r="C15" s="55"/>
      <c r="D15" s="55"/>
      <c r="E15" s="55"/>
      <c r="F15" s="55"/>
    </row>
    <row r="16" spans="1:6" ht="30" customHeight="1">
      <c r="A16" s="54" t="s">
        <v>949</v>
      </c>
      <c r="B16" s="58"/>
      <c r="C16" s="55"/>
      <c r="D16" s="55"/>
      <c r="E16" s="55"/>
      <c r="F16" s="55"/>
    </row>
    <row r="17" spans="1:6" ht="30" customHeight="1">
      <c r="A17" s="54" t="s">
        <v>950</v>
      </c>
      <c r="B17" s="58"/>
      <c r="C17" s="55"/>
      <c r="D17" s="55"/>
      <c r="E17" s="55"/>
      <c r="F17" s="55"/>
    </row>
    <row r="18" spans="1:6">
      <c r="A18" s="55"/>
      <c r="B18" s="55"/>
      <c r="C18" s="55"/>
      <c r="D18" s="55"/>
      <c r="E18" s="55"/>
      <c r="F18" s="55"/>
    </row>
    <row r="19" spans="1:6" ht="28.8">
      <c r="A19" s="56" t="s">
        <v>951</v>
      </c>
      <c r="B19" s="56" t="s">
        <v>946</v>
      </c>
      <c r="C19" s="55"/>
      <c r="D19" s="55"/>
      <c r="E19" s="55"/>
      <c r="F19" s="55"/>
    </row>
    <row r="20" spans="1:6" ht="30" customHeight="1">
      <c r="A20" s="54" t="s">
        <v>437</v>
      </c>
      <c r="B20" s="58"/>
      <c r="C20" s="55"/>
      <c r="D20" s="55"/>
      <c r="E20" s="55"/>
      <c r="F20" s="55"/>
    </row>
    <row r="21" spans="1:6" ht="30" customHeight="1">
      <c r="A21" s="54" t="s">
        <v>952</v>
      </c>
      <c r="B21" s="58"/>
      <c r="C21" s="55"/>
      <c r="D21" s="55"/>
      <c r="E21" s="55"/>
      <c r="F21" s="55"/>
    </row>
    <row r="22" spans="1:6" ht="30" customHeight="1">
      <c r="A22" s="54" t="s">
        <v>953</v>
      </c>
      <c r="B22" s="58"/>
      <c r="C22" s="55"/>
      <c r="D22" s="55"/>
      <c r="E22" s="55"/>
      <c r="F22" s="55"/>
    </row>
    <row r="23" spans="1:6" ht="30" customHeight="1">
      <c r="A23" s="54" t="s">
        <v>954</v>
      </c>
      <c r="B23" s="58"/>
      <c r="C23" s="55"/>
      <c r="D23" s="55"/>
      <c r="E23" s="55"/>
      <c r="F23" s="55"/>
    </row>
    <row r="24" spans="1:6">
      <c r="A24" s="55"/>
      <c r="B24" s="55"/>
      <c r="C24" s="55"/>
      <c r="D24" s="55"/>
      <c r="E24" s="55"/>
      <c r="F24" s="55"/>
    </row>
    <row r="25" spans="1:6">
      <c r="A25" s="57" t="s">
        <v>955</v>
      </c>
      <c r="B25" s="55"/>
      <c r="C25" s="55"/>
      <c r="D25" s="55"/>
      <c r="E25" s="55"/>
      <c r="F25" s="55"/>
    </row>
    <row r="26" spans="1:6" ht="28.8">
      <c r="A26" s="54" t="s">
        <v>956</v>
      </c>
      <c r="B26" s="54" t="s">
        <v>957</v>
      </c>
      <c r="C26" s="55"/>
      <c r="D26" s="55"/>
      <c r="E26" s="55"/>
      <c r="F26" s="55"/>
    </row>
    <row r="27" spans="1:6" ht="28.8">
      <c r="A27" s="54" t="s">
        <v>438</v>
      </c>
      <c r="B27" s="54" t="s">
        <v>958</v>
      </c>
      <c r="C27" s="55"/>
      <c r="D27" s="55"/>
      <c r="E27" s="55"/>
      <c r="F27" s="55"/>
    </row>
    <row r="28" spans="1:6">
      <c r="A28" s="55"/>
      <c r="B28" s="55"/>
      <c r="C28" s="55"/>
      <c r="D28" s="55"/>
      <c r="E28" s="55"/>
      <c r="F28" s="55"/>
    </row>
  </sheetData>
  <sheetProtection algorithmName="SHA-512" hashValue="j7Lte6c4BXAvY1vUmR60HyBEPMrTkFQ0zyuwTE9sY6bJg184BTEHXmWQbhsDAOsJ7JqFScH851ST7sqyx++Qew==" saltValue="vEPpieZlYuITJmr88kPD1Q==" spinCount="100000" sheet="1" objects="1" scenarios="1"/>
  <mergeCells count="4">
    <mergeCell ref="D1:E2"/>
    <mergeCell ref="A4:B4"/>
    <mergeCell ref="A1:B1"/>
    <mergeCell ref="A2:B2"/>
  </mergeCells>
  <hyperlinks>
    <hyperlink ref="D1:D2" location="LandingPointOverview" display="Back to overview"/>
  </hyperlinks>
  <pageMargins left="0.74803149606299213" right="0.74803149606299213" top="0.59055118110236227" bottom="0.59055118110236227" header="0.31496062992125984" footer="0.31496062992125984"/>
  <pageSetup paperSize="9" scale="74" orientation="landscape" r:id="rId1"/>
  <headerFooter>
    <oddFooter>&amp;L&amp;"Regular"&amp;F&amp;C&amp;"Regular"&amp;A&amp;R&amp;"Regular"&amp;D</oddFooter>
  </headerFooter>
  <customProperties>
    <customPr name="Guid" r:id="rId2"/>
  </customProperties>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48"/>
  <sheetViews>
    <sheetView topLeftCell="C1" workbookViewId="0">
      <selection activeCell="N23" sqref="N23"/>
    </sheetView>
  </sheetViews>
  <sheetFormatPr defaultColWidth="9.109375" defaultRowHeight="14.4"/>
  <cols>
    <col min="1" max="1" width="1.5546875" style="96" customWidth="1"/>
    <col min="2" max="2" width="14.33203125" style="91" customWidth="1"/>
    <col min="3" max="3" width="27.5546875" style="91" customWidth="1"/>
    <col min="4" max="5" width="5.5546875" style="91" customWidth="1"/>
    <col min="6" max="6" width="7" style="91" customWidth="1"/>
    <col min="7" max="7" width="19.109375" style="91" customWidth="1"/>
    <col min="8" max="8" width="27.5546875" style="91" customWidth="1"/>
    <col min="9" max="9" width="5.5546875" style="91" customWidth="1"/>
    <col min="10" max="10" width="6.5546875" style="91" customWidth="1"/>
    <col min="11" max="11" width="5.5546875" style="91" customWidth="1"/>
    <col min="12" max="12" width="9.33203125" style="91" customWidth="1"/>
    <col min="13" max="13" width="19.109375" style="91" customWidth="1"/>
    <col min="14" max="14" width="27.5546875" style="91" customWidth="1"/>
    <col min="15" max="15" width="5.5546875" style="91" customWidth="1"/>
    <col min="16" max="16" width="6.5546875" style="91" customWidth="1"/>
    <col min="17" max="17" width="8.44140625" style="91" bestFit="1" customWidth="1"/>
    <col min="18" max="18" width="11" style="91" bestFit="1" customWidth="1"/>
    <col min="19" max="19" width="8.88671875" style="91" bestFit="1" customWidth="1"/>
    <col min="20" max="16384" width="9.109375" style="91"/>
  </cols>
  <sheetData>
    <row r="1" spans="1:30" s="83" customFormat="1" ht="21">
      <c r="A1" s="1358" t="str">
        <f>MDProjektname</f>
        <v>Migration GEFI</v>
      </c>
      <c r="B1" s="1359"/>
      <c r="C1" s="1359"/>
      <c r="D1" s="1359"/>
      <c r="E1" s="1360"/>
      <c r="F1" s="91"/>
      <c r="G1" s="91"/>
      <c r="R1" s="91"/>
      <c r="S1" s="91"/>
      <c r="T1" s="91"/>
      <c r="U1" s="91"/>
      <c r="V1" s="91"/>
      <c r="W1" s="91"/>
      <c r="X1" s="91"/>
      <c r="Y1" s="91"/>
      <c r="Z1" s="91"/>
      <c r="AA1" s="91"/>
      <c r="AB1" s="91"/>
      <c r="AC1" s="91"/>
      <c r="AD1" s="91"/>
    </row>
    <row r="2" spans="1:30" s="83" customFormat="1" ht="26.25" customHeight="1" thickBot="1">
      <c r="A2" s="1361" t="str">
        <f>MDCustomer</f>
        <v>OFISA</v>
      </c>
      <c r="B2" s="1362"/>
      <c r="C2" s="1362"/>
      <c r="D2" s="1362"/>
      <c r="E2" s="1363"/>
      <c r="F2" s="91"/>
      <c r="S2" s="84" t="s">
        <v>1088</v>
      </c>
      <c r="T2" s="91"/>
      <c r="U2" s="91"/>
      <c r="V2" s="91"/>
      <c r="W2" s="91"/>
      <c r="X2" s="91"/>
      <c r="Y2" s="91"/>
      <c r="Z2" s="91"/>
      <c r="AA2" s="91"/>
      <c r="AB2" s="91"/>
      <c r="AC2" s="91"/>
      <c r="AD2" s="91"/>
    </row>
    <row r="3" spans="1:30" s="83" customFormat="1" ht="26.25" customHeight="1">
      <c r="D3" s="91"/>
      <c r="E3" s="91"/>
      <c r="F3" s="91"/>
      <c r="G3" s="91"/>
      <c r="S3" s="85" t="s">
        <v>1346</v>
      </c>
      <c r="T3" s="91"/>
      <c r="U3" s="91"/>
      <c r="V3" s="91"/>
      <c r="W3" s="91"/>
      <c r="X3" s="91"/>
      <c r="Y3" s="91"/>
      <c r="Z3" s="91"/>
      <c r="AA3" s="91"/>
      <c r="AB3" s="91"/>
      <c r="AC3" s="91"/>
      <c r="AD3" s="91"/>
    </row>
    <row r="4" spans="1:30" s="83" customFormat="1" ht="26.25" customHeight="1">
      <c r="D4" s="91"/>
      <c r="E4" s="91"/>
      <c r="F4" s="91"/>
      <c r="G4" s="91"/>
      <c r="R4" s="91"/>
      <c r="S4" s="91"/>
      <c r="U4" s="85"/>
      <c r="V4" s="91"/>
      <c r="W4" s="91"/>
      <c r="X4" s="91"/>
      <c r="Y4" s="91"/>
      <c r="Z4" s="91"/>
      <c r="AA4" s="91"/>
      <c r="AB4" s="91"/>
      <c r="AC4" s="91"/>
      <c r="AD4" s="91"/>
    </row>
    <row r="5" spans="1:30">
      <c r="B5" s="96"/>
      <c r="C5" s="96"/>
      <c r="D5" s="96"/>
      <c r="E5" s="96"/>
      <c r="F5" s="96"/>
      <c r="G5" s="92" t="s">
        <v>1215</v>
      </c>
      <c r="H5" s="92" t="s" vm="3">
        <v>1353</v>
      </c>
      <c r="I5" s="92"/>
      <c r="J5" s="92"/>
      <c r="M5" s="92" t="s">
        <v>1215</v>
      </c>
      <c r="N5" s="92" t="s" vm="3">
        <v>1353</v>
      </c>
      <c r="O5" s="92"/>
      <c r="P5" s="92"/>
    </row>
    <row r="6" spans="1:30">
      <c r="D6" s="96"/>
      <c r="E6" s="96"/>
      <c r="F6" s="96"/>
      <c r="G6" s="92" t="s">
        <v>1335</v>
      </c>
      <c r="H6" s="92" t="s" vm="1">
        <v>1336</v>
      </c>
      <c r="I6" s="92"/>
      <c r="J6" s="92"/>
      <c r="M6" s="92" t="s">
        <v>1335</v>
      </c>
      <c r="N6" s="92" t="s" vm="1">
        <v>1336</v>
      </c>
      <c r="O6" s="92"/>
      <c r="P6" s="92"/>
    </row>
    <row r="7" spans="1:30">
      <c r="B7" s="96"/>
      <c r="C7" s="96"/>
      <c r="D7" s="96"/>
      <c r="E7" s="96"/>
      <c r="F7" s="96"/>
      <c r="G7" s="92" t="s">
        <v>1349</v>
      </c>
      <c r="H7" s="92" t="s" vm="2">
        <v>1350</v>
      </c>
      <c r="I7" s="92"/>
      <c r="J7" s="92"/>
      <c r="M7" s="92" t="s">
        <v>1349</v>
      </c>
      <c r="N7" s="92" t="s" vm="2">
        <v>1350</v>
      </c>
      <c r="O7" s="92"/>
      <c r="P7" s="92"/>
    </row>
    <row r="8" spans="1:30">
      <c r="B8" s="96"/>
      <c r="C8" s="96"/>
      <c r="D8" s="96"/>
      <c r="E8" s="96"/>
      <c r="F8" s="96"/>
      <c r="G8" s="92"/>
      <c r="H8" s="92"/>
      <c r="I8" s="92"/>
      <c r="J8" s="92"/>
      <c r="M8" s="92"/>
      <c r="N8" s="92"/>
      <c r="O8" s="92"/>
      <c r="P8" s="92"/>
    </row>
    <row r="9" spans="1:30">
      <c r="B9" s="96"/>
      <c r="C9" s="96"/>
      <c r="D9" s="96"/>
      <c r="E9" s="96"/>
      <c r="F9" s="96"/>
      <c r="G9" s="92" t="s">
        <v>1328</v>
      </c>
      <c r="H9" s="92" t="s">
        <v>1216</v>
      </c>
      <c r="I9" s="92" t="s">
        <v>73</v>
      </c>
      <c r="J9" s="92" t="s">
        <v>65</v>
      </c>
      <c r="M9" s="92" t="s">
        <v>1328</v>
      </c>
      <c r="N9" s="92" t="s">
        <v>1216</v>
      </c>
      <c r="O9" s="92" t="s">
        <v>73</v>
      </c>
      <c r="P9" s="92" t="s">
        <v>65</v>
      </c>
    </row>
    <row r="10" spans="1:30">
      <c r="B10" s="96"/>
      <c r="C10" s="96"/>
      <c r="D10" s="96"/>
      <c r="E10" s="96"/>
      <c r="F10" s="96"/>
      <c r="G10" s="93" t="s">
        <v>1331</v>
      </c>
      <c r="H10" s="94">
        <v>0</v>
      </c>
      <c r="I10" s="94">
        <v>0</v>
      </c>
      <c r="J10" s="94">
        <v>0</v>
      </c>
      <c r="M10" s="93" t="s">
        <v>1337</v>
      </c>
      <c r="N10" s="94">
        <v>0</v>
      </c>
      <c r="O10" s="94">
        <v>0</v>
      </c>
      <c r="P10" s="94">
        <v>0</v>
      </c>
    </row>
    <row r="11" spans="1:30">
      <c r="B11" s="96"/>
      <c r="C11" s="96"/>
      <c r="D11" s="96"/>
      <c r="E11" s="96"/>
      <c r="F11" s="96"/>
      <c r="G11" s="95" t="s">
        <v>1330</v>
      </c>
      <c r="H11" s="94">
        <v>0</v>
      </c>
      <c r="I11" s="94">
        <v>0</v>
      </c>
      <c r="J11" s="94">
        <v>0</v>
      </c>
      <c r="M11" s="95" t="s">
        <v>1330</v>
      </c>
      <c r="N11" s="94">
        <v>0</v>
      </c>
      <c r="O11" s="94">
        <v>0</v>
      </c>
      <c r="P11" s="94">
        <v>0</v>
      </c>
    </row>
    <row r="12" spans="1:30">
      <c r="B12" s="96"/>
      <c r="C12" s="96"/>
      <c r="D12" s="96"/>
      <c r="E12" s="96"/>
      <c r="F12" s="96"/>
      <c r="G12" s="95" t="s">
        <v>1333</v>
      </c>
      <c r="H12" s="94">
        <v>0</v>
      </c>
      <c r="I12" s="94">
        <v>0</v>
      </c>
      <c r="J12" s="94">
        <v>0</v>
      </c>
      <c r="M12" s="95" t="s">
        <v>1333</v>
      </c>
      <c r="N12" s="94">
        <v>0</v>
      </c>
      <c r="O12" s="94">
        <v>0</v>
      </c>
      <c r="P12" s="94">
        <v>0</v>
      </c>
    </row>
    <row r="13" spans="1:30">
      <c r="B13" s="96"/>
      <c r="C13" s="96"/>
      <c r="D13" s="96"/>
      <c r="E13" s="96"/>
      <c r="F13" s="96"/>
      <c r="G13" s="95" t="s">
        <v>1334</v>
      </c>
      <c r="H13" s="94">
        <v>0</v>
      </c>
      <c r="I13" s="94">
        <v>0</v>
      </c>
      <c r="J13" s="94">
        <v>0</v>
      </c>
      <c r="M13" s="95" t="s">
        <v>1334</v>
      </c>
      <c r="N13" s="94">
        <v>0</v>
      </c>
      <c r="O13" s="94">
        <v>0</v>
      </c>
      <c r="P13" s="94">
        <v>0</v>
      </c>
    </row>
    <row r="14" spans="1:30">
      <c r="B14" s="96"/>
      <c r="C14" s="96"/>
      <c r="D14" s="96"/>
      <c r="E14" s="96"/>
      <c r="F14" s="96"/>
      <c r="G14" s="93" t="s">
        <v>1332</v>
      </c>
      <c r="H14" s="94">
        <v>58.25</v>
      </c>
      <c r="I14" s="94">
        <v>7732.33</v>
      </c>
      <c r="J14" s="94">
        <v>9320</v>
      </c>
      <c r="M14" s="93" t="s">
        <v>1338</v>
      </c>
      <c r="N14" s="94">
        <v>35.25</v>
      </c>
      <c r="O14" s="94">
        <v>4679.2299999999996</v>
      </c>
      <c r="P14" s="94">
        <v>5640</v>
      </c>
    </row>
    <row r="15" spans="1:30">
      <c r="B15" s="96"/>
      <c r="C15" s="96"/>
      <c r="D15" s="96"/>
      <c r="E15" s="96"/>
      <c r="F15" s="96"/>
      <c r="G15" s="95" t="s">
        <v>1333</v>
      </c>
      <c r="H15" s="94">
        <v>58.25</v>
      </c>
      <c r="I15" s="94">
        <v>7732.33</v>
      </c>
      <c r="J15" s="94">
        <v>9320</v>
      </c>
      <c r="M15" s="95" t="s">
        <v>1333</v>
      </c>
      <c r="N15" s="94">
        <v>35.25</v>
      </c>
      <c r="O15" s="94">
        <v>4679.2299999999996</v>
      </c>
      <c r="P15" s="94">
        <v>5640</v>
      </c>
    </row>
    <row r="16" spans="1:30">
      <c r="B16" s="96"/>
      <c r="C16" s="96"/>
      <c r="D16" s="96"/>
      <c r="E16" s="96"/>
      <c r="F16" s="96"/>
      <c r="G16" s="93" t="s">
        <v>1401</v>
      </c>
      <c r="H16" s="94">
        <v>5.5</v>
      </c>
      <c r="I16" s="94">
        <v>730.1</v>
      </c>
      <c r="J16" s="94">
        <v>880</v>
      </c>
      <c r="M16" s="93" t="s">
        <v>1352</v>
      </c>
      <c r="N16" s="94">
        <v>16.5</v>
      </c>
      <c r="O16" s="94">
        <v>2190.2600000000002</v>
      </c>
      <c r="P16" s="94">
        <v>2640</v>
      </c>
    </row>
    <row r="17" spans="2:16">
      <c r="B17" s="96"/>
      <c r="C17" s="96"/>
      <c r="D17" s="96"/>
      <c r="E17" s="96"/>
      <c r="F17" s="96"/>
      <c r="G17" s="95" t="s">
        <v>1333</v>
      </c>
      <c r="H17" s="94">
        <v>5.5</v>
      </c>
      <c r="I17" s="94">
        <v>730.1</v>
      </c>
      <c r="J17" s="94">
        <v>880</v>
      </c>
      <c r="M17" s="95" t="s">
        <v>1333</v>
      </c>
      <c r="N17" s="94">
        <v>16.5</v>
      </c>
      <c r="O17" s="94">
        <v>2190.2600000000002</v>
      </c>
      <c r="P17" s="94">
        <v>2640</v>
      </c>
    </row>
    <row r="18" spans="2:16">
      <c r="B18" s="96"/>
      <c r="C18" s="96"/>
      <c r="D18" s="96"/>
      <c r="E18" s="96"/>
      <c r="F18" s="96"/>
      <c r="G18" s="93" t="s">
        <v>1329</v>
      </c>
      <c r="H18" s="94">
        <v>63.75</v>
      </c>
      <c r="I18" s="94">
        <v>8462.4299999999985</v>
      </c>
      <c r="J18" s="94">
        <v>10200</v>
      </c>
      <c r="M18" s="93" t="s">
        <v>1398</v>
      </c>
      <c r="N18" s="94">
        <v>6.5</v>
      </c>
      <c r="O18" s="94">
        <v>862.84</v>
      </c>
      <c r="P18" s="94">
        <v>1040</v>
      </c>
    </row>
    <row r="19" spans="2:16">
      <c r="B19" s="96"/>
      <c r="C19" s="96"/>
      <c r="D19" s="96"/>
      <c r="E19" s="96"/>
      <c r="F19" s="96"/>
      <c r="M19" s="95" t="s">
        <v>1333</v>
      </c>
      <c r="N19" s="94">
        <v>6.5</v>
      </c>
      <c r="O19" s="94">
        <v>862.84</v>
      </c>
      <c r="P19" s="94">
        <v>1040</v>
      </c>
    </row>
    <row r="20" spans="2:16">
      <c r="B20" s="96"/>
      <c r="C20" s="96"/>
      <c r="D20" s="96"/>
      <c r="E20" s="96"/>
      <c r="F20" s="96"/>
      <c r="M20" s="93" t="s">
        <v>1399</v>
      </c>
      <c r="N20" s="94">
        <v>2</v>
      </c>
      <c r="O20" s="94">
        <v>265.49</v>
      </c>
      <c r="P20" s="94">
        <v>320</v>
      </c>
    </row>
    <row r="21" spans="2:16">
      <c r="B21" s="96"/>
      <c r="C21" s="96"/>
      <c r="D21" s="96"/>
      <c r="E21" s="96"/>
      <c r="F21" s="96"/>
      <c r="M21" s="95" t="s">
        <v>1333</v>
      </c>
      <c r="N21" s="94">
        <v>2</v>
      </c>
      <c r="O21" s="94">
        <v>265.49</v>
      </c>
      <c r="P21" s="94">
        <v>320</v>
      </c>
    </row>
    <row r="22" spans="2:16">
      <c r="B22" s="96"/>
      <c r="C22" s="96"/>
      <c r="D22" s="96"/>
      <c r="E22" s="96"/>
      <c r="F22" s="96"/>
      <c r="G22" s="96"/>
      <c r="M22" s="93" t="s">
        <v>1400</v>
      </c>
      <c r="N22" s="94">
        <v>3.5</v>
      </c>
      <c r="O22" s="94">
        <v>464.61</v>
      </c>
      <c r="P22" s="94">
        <v>560</v>
      </c>
    </row>
    <row r="23" spans="2:16">
      <c r="B23" s="96"/>
      <c r="C23" s="96"/>
      <c r="D23" s="96"/>
      <c r="E23" s="96"/>
      <c r="F23" s="96"/>
      <c r="M23" s="95" t="s">
        <v>1333</v>
      </c>
      <c r="N23" s="94">
        <v>3.5</v>
      </c>
      <c r="O23" s="94">
        <v>464.61</v>
      </c>
      <c r="P23" s="94">
        <v>560</v>
      </c>
    </row>
    <row r="24" spans="2:16">
      <c r="B24" s="96"/>
      <c r="C24" s="96"/>
      <c r="D24" s="96"/>
      <c r="E24" s="96"/>
      <c r="F24" s="96"/>
      <c r="M24" s="93" t="s">
        <v>1329</v>
      </c>
      <c r="N24" s="94">
        <v>63.75</v>
      </c>
      <c r="O24" s="94">
        <v>8462.4299999999985</v>
      </c>
      <c r="P24" s="94">
        <v>10200</v>
      </c>
    </row>
    <row r="25" spans="2:16">
      <c r="B25" s="96"/>
      <c r="C25" s="96"/>
      <c r="D25" s="96"/>
      <c r="E25" s="96"/>
      <c r="F25" s="96"/>
    </row>
    <row r="26" spans="2:16">
      <c r="B26" s="96"/>
      <c r="C26" s="96"/>
      <c r="D26" s="96"/>
      <c r="E26" s="96"/>
      <c r="F26" s="96"/>
    </row>
    <row r="27" spans="2:16">
      <c r="B27" s="96"/>
      <c r="C27" s="96"/>
      <c r="D27" s="96"/>
      <c r="E27" s="96"/>
      <c r="F27" s="96"/>
    </row>
    <row r="28" spans="2:16">
      <c r="B28" s="96"/>
      <c r="C28" s="96"/>
      <c r="D28" s="96"/>
    </row>
    <row r="29" spans="2:16">
      <c r="B29" s="96"/>
      <c r="C29" s="96"/>
      <c r="D29" s="96"/>
    </row>
    <row r="30" spans="2:16">
      <c r="B30" s="96"/>
      <c r="C30" s="96"/>
      <c r="D30" s="96"/>
    </row>
    <row r="31" spans="2:16">
      <c r="B31" s="96"/>
      <c r="C31" s="96"/>
      <c r="D31" s="96"/>
    </row>
    <row r="32" spans="2:16">
      <c r="B32" s="96"/>
      <c r="C32" s="96"/>
      <c r="D32" s="96"/>
    </row>
    <row r="33" spans="2:4">
      <c r="B33" s="96"/>
      <c r="C33" s="96"/>
      <c r="D33" s="96"/>
    </row>
    <row r="34" spans="2:4">
      <c r="B34" s="96"/>
      <c r="C34" s="96"/>
      <c r="D34" s="96"/>
    </row>
    <row r="35" spans="2:4">
      <c r="B35" s="96"/>
      <c r="C35" s="96"/>
      <c r="D35" s="96"/>
    </row>
    <row r="36" spans="2:4">
      <c r="B36" s="96"/>
      <c r="C36" s="96"/>
      <c r="D36" s="96"/>
    </row>
    <row r="37" spans="2:4">
      <c r="B37" s="96"/>
      <c r="C37" s="96"/>
      <c r="D37" s="96"/>
    </row>
    <row r="38" spans="2:4">
      <c r="B38" s="96"/>
      <c r="C38" s="96"/>
      <c r="D38" s="96"/>
    </row>
    <row r="39" spans="2:4">
      <c r="B39" s="96"/>
      <c r="C39" s="96"/>
      <c r="D39" s="96"/>
    </row>
    <row r="40" spans="2:4">
      <c r="B40" s="96"/>
      <c r="C40" s="96"/>
      <c r="D40" s="96"/>
    </row>
    <row r="41" spans="2:4">
      <c r="B41" s="96"/>
      <c r="C41" s="96"/>
      <c r="D41" s="96"/>
    </row>
    <row r="42" spans="2:4">
      <c r="B42" s="96"/>
      <c r="C42" s="96"/>
      <c r="D42" s="96"/>
    </row>
    <row r="43" spans="2:4">
      <c r="B43" s="96"/>
      <c r="C43" s="96"/>
      <c r="D43" s="96"/>
    </row>
    <row r="44" spans="2:4">
      <c r="B44" s="96"/>
      <c r="C44" s="96"/>
      <c r="D44" s="96"/>
    </row>
    <row r="45" spans="2:4">
      <c r="B45" s="96"/>
      <c r="C45" s="96"/>
      <c r="D45" s="96"/>
    </row>
    <row r="46" spans="2:4">
      <c r="B46" s="96"/>
      <c r="C46" s="96"/>
      <c r="D46" s="96"/>
    </row>
    <row r="47" spans="2:4">
      <c r="B47" s="96"/>
      <c r="C47" s="96"/>
      <c r="D47" s="96"/>
    </row>
    <row r="48" spans="2:4">
      <c r="B48" s="96"/>
      <c r="C48" s="96"/>
      <c r="D48" s="96"/>
    </row>
  </sheetData>
  <mergeCells count="2">
    <mergeCell ref="A1:E1"/>
    <mergeCell ref="A2:E2"/>
  </mergeCells>
  <pageMargins left="0.7" right="0.7" top="0.75" bottom="0.75" header="0.3" footer="0.3"/>
  <customProperties>
    <customPr name="Guid" r:id="rId3"/>
  </customProperties>
  <drawing r:id="rId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pageSetUpPr fitToPage="1"/>
  </sheetPr>
  <dimension ref="A1:S531"/>
  <sheetViews>
    <sheetView workbookViewId="0">
      <selection activeCell="G41" sqref="G41"/>
    </sheetView>
  </sheetViews>
  <sheetFormatPr defaultColWidth="11.44140625" defaultRowHeight="14.4"/>
  <cols>
    <col min="1" max="1" width="27" style="9" bestFit="1" customWidth="1"/>
    <col min="2" max="2" width="2.88671875" style="9" customWidth="1"/>
    <col min="3" max="3" width="20.44140625" style="9" bestFit="1" customWidth="1"/>
    <col min="4" max="4" width="2.88671875" style="9" customWidth="1"/>
    <col min="5" max="5" width="44.44140625" style="9" bestFit="1" customWidth="1"/>
    <col min="6" max="6" width="2.88671875" style="9" customWidth="1"/>
    <col min="7" max="15" width="11.44140625" style="9"/>
    <col min="16" max="16" width="24.6640625" style="9" bestFit="1" customWidth="1"/>
    <col min="17" max="17" width="12.44140625" style="9" bestFit="1" customWidth="1"/>
    <col min="18" max="18" width="12.5546875" style="9" bestFit="1" customWidth="1"/>
    <col min="19" max="16384" width="11.44140625" style="9"/>
  </cols>
  <sheetData>
    <row r="1" spans="1:19" ht="18">
      <c r="A1" s="18" t="s">
        <v>17</v>
      </c>
      <c r="B1" s="13"/>
      <c r="C1" s="13"/>
      <c r="D1" s="13"/>
      <c r="E1" s="13"/>
      <c r="F1" s="13"/>
      <c r="G1" s="18" t="s">
        <v>18</v>
      </c>
      <c r="H1" s="13"/>
      <c r="I1" s="13"/>
      <c r="J1" s="13"/>
      <c r="K1" s="13"/>
      <c r="L1" s="13"/>
      <c r="M1" s="13"/>
      <c r="N1" s="13"/>
      <c r="O1" s="13"/>
      <c r="P1" s="13"/>
      <c r="Q1" s="13"/>
      <c r="R1" s="13"/>
      <c r="S1" s="13"/>
    </row>
    <row r="2" spans="1:19">
      <c r="A2" s="13"/>
      <c r="B2" s="13"/>
      <c r="C2" s="13"/>
      <c r="D2" s="13"/>
      <c r="E2" s="13"/>
      <c r="F2" s="13"/>
      <c r="G2" s="13"/>
      <c r="H2" s="13"/>
      <c r="I2" s="13"/>
      <c r="J2" s="13"/>
      <c r="K2" s="13"/>
      <c r="L2" s="13"/>
      <c r="M2" s="13"/>
      <c r="N2" s="13"/>
      <c r="O2" s="13"/>
      <c r="P2" s="13"/>
      <c r="Q2" s="13"/>
      <c r="R2" s="13"/>
      <c r="S2" s="13"/>
    </row>
    <row r="3" spans="1:19" ht="15.6">
      <c r="A3" s="19" t="s">
        <v>19</v>
      </c>
      <c r="B3" s="19"/>
      <c r="C3" s="19" t="s">
        <v>20</v>
      </c>
      <c r="D3" s="13"/>
      <c r="E3" s="19" t="s">
        <v>21</v>
      </c>
      <c r="F3" s="13"/>
      <c r="G3" s="13"/>
      <c r="H3" s="13"/>
      <c r="I3" s="13"/>
      <c r="J3" s="13"/>
      <c r="K3" s="13"/>
      <c r="L3" s="13"/>
      <c r="M3" s="13"/>
      <c r="N3" s="13"/>
      <c r="O3" s="13"/>
      <c r="P3" s="13"/>
      <c r="Q3" s="13"/>
      <c r="R3" s="13"/>
      <c r="S3" s="13"/>
    </row>
    <row r="4" spans="1:19" ht="15.6">
      <c r="A4" s="59" t="s">
        <v>22</v>
      </c>
      <c r="B4" s="19"/>
      <c r="C4" s="59" t="s">
        <v>23</v>
      </c>
      <c r="D4" s="13"/>
      <c r="E4" s="1" t="s">
        <v>24</v>
      </c>
      <c r="F4" s="13"/>
      <c r="G4" s="20" t="s">
        <v>25</v>
      </c>
      <c r="H4" s="21"/>
      <c r="I4" s="21"/>
      <c r="J4" s="21"/>
      <c r="K4" s="21"/>
      <c r="L4" s="21"/>
      <c r="M4" s="21"/>
      <c r="N4" s="21"/>
      <c r="O4" s="21"/>
      <c r="P4" s="21"/>
      <c r="Q4" s="22"/>
      <c r="R4" s="15"/>
      <c r="S4" s="13"/>
    </row>
    <row r="5" spans="1:19" ht="15.6">
      <c r="A5" s="60" t="s">
        <v>26</v>
      </c>
      <c r="B5" s="19"/>
      <c r="C5" s="60" t="s">
        <v>27</v>
      </c>
      <c r="D5" s="13"/>
      <c r="E5" s="2" t="s">
        <v>28</v>
      </c>
      <c r="F5" s="13"/>
      <c r="G5" s="23"/>
      <c r="H5" s="16"/>
      <c r="I5" s="16"/>
      <c r="J5" s="16"/>
      <c r="K5" s="16"/>
      <c r="L5" s="16"/>
      <c r="M5" s="16"/>
      <c r="N5" s="16"/>
      <c r="O5" s="16"/>
      <c r="P5" s="16"/>
      <c r="Q5" s="24"/>
      <c r="R5" s="15"/>
      <c r="S5" s="13"/>
    </row>
    <row r="6" spans="1:19">
      <c r="A6" s="13"/>
      <c r="B6" s="13"/>
      <c r="C6" s="13"/>
      <c r="D6" s="13"/>
      <c r="E6" s="2" t="s">
        <v>29</v>
      </c>
      <c r="F6" s="13"/>
      <c r="G6" s="25"/>
      <c r="H6" s="1378" t="s">
        <v>30</v>
      </c>
      <c r="I6" s="26" t="s">
        <v>31</v>
      </c>
      <c r="J6" s="27">
        <v>1</v>
      </c>
      <c r="K6" s="28">
        <v>0.2</v>
      </c>
      <c r="L6" s="29">
        <f>K6*$L$11</f>
        <v>4.0000000000000008E-2</v>
      </c>
      <c r="M6" s="29">
        <f>K6*$M$11</f>
        <v>8.0000000000000016E-2</v>
      </c>
      <c r="N6" s="29">
        <f>K6*$N$11</f>
        <v>0.1</v>
      </c>
      <c r="O6" s="29">
        <f>K6*$O$11</f>
        <v>0.15000000000000002</v>
      </c>
      <c r="P6" s="29">
        <f>K6*$P$11</f>
        <v>0.19</v>
      </c>
      <c r="Q6" s="30"/>
      <c r="R6" s="31"/>
      <c r="S6" s="13"/>
    </row>
    <row r="7" spans="1:19" ht="15.6">
      <c r="A7" s="19" t="s">
        <v>83</v>
      </c>
      <c r="B7" s="19"/>
      <c r="C7" s="19"/>
      <c r="D7" s="13"/>
      <c r="E7" s="2" t="s">
        <v>32</v>
      </c>
      <c r="F7" s="13"/>
      <c r="G7" s="25"/>
      <c r="H7" s="1379"/>
      <c r="I7" s="26" t="s">
        <v>33</v>
      </c>
      <c r="J7" s="27">
        <v>2</v>
      </c>
      <c r="K7" s="28">
        <v>0.3</v>
      </c>
      <c r="L7" s="29">
        <f>K7*$L$11</f>
        <v>0.06</v>
      </c>
      <c r="M7" s="29">
        <f>K7*$M$11</f>
        <v>0.12</v>
      </c>
      <c r="N7" s="29">
        <f>K7*$N$11</f>
        <v>0.15</v>
      </c>
      <c r="O7" s="29">
        <f>K7*$O$11</f>
        <v>0.22499999999999998</v>
      </c>
      <c r="P7" s="29">
        <f>K7*$P$11</f>
        <v>0.28499999999999998</v>
      </c>
      <c r="Q7" s="30"/>
      <c r="R7" s="31"/>
      <c r="S7" s="13"/>
    </row>
    <row r="8" spans="1:19" ht="15.6">
      <c r="A8" s="1" t="s">
        <v>85</v>
      </c>
      <c r="B8" s="19"/>
      <c r="C8" s="32" t="s">
        <v>35</v>
      </c>
      <c r="D8" s="13"/>
      <c r="E8" s="3" t="s">
        <v>36</v>
      </c>
      <c r="F8" s="13"/>
      <c r="G8" s="25"/>
      <c r="H8" s="1379"/>
      <c r="I8" s="26" t="s">
        <v>37</v>
      </c>
      <c r="J8" s="27">
        <v>3</v>
      </c>
      <c r="K8" s="28">
        <v>0.5</v>
      </c>
      <c r="L8" s="29">
        <f>K8*$L$11</f>
        <v>0.1</v>
      </c>
      <c r="M8" s="29">
        <f>K8*$M$11</f>
        <v>0.2</v>
      </c>
      <c r="N8" s="29">
        <f>K8*$N$11</f>
        <v>0.25</v>
      </c>
      <c r="O8" s="29">
        <f>K8*$O$11</f>
        <v>0.375</v>
      </c>
      <c r="P8" s="29">
        <f>K8*$P$11</f>
        <v>0.47499999999999998</v>
      </c>
      <c r="Q8" s="30"/>
      <c r="R8" s="31"/>
      <c r="S8" s="13"/>
    </row>
    <row r="9" spans="1:19" ht="15.6">
      <c r="A9" s="2" t="s">
        <v>88</v>
      </c>
      <c r="B9" s="19"/>
      <c r="C9" s="6" t="s">
        <v>39</v>
      </c>
      <c r="D9" s="13"/>
      <c r="E9" s="2" t="s">
        <v>40</v>
      </c>
      <c r="F9" s="13"/>
      <c r="G9" s="25"/>
      <c r="H9" s="1380"/>
      <c r="I9" s="26" t="s">
        <v>41</v>
      </c>
      <c r="J9" s="27">
        <v>4</v>
      </c>
      <c r="K9" s="28">
        <v>0.75</v>
      </c>
      <c r="L9" s="29">
        <f>K9*$L$11</f>
        <v>0.15000000000000002</v>
      </c>
      <c r="M9" s="29">
        <f>K9*$M$11</f>
        <v>0.30000000000000004</v>
      </c>
      <c r="N9" s="29">
        <f>K9*$N$11</f>
        <v>0.375</v>
      </c>
      <c r="O9" s="29">
        <f>K9*$O$11</f>
        <v>0.5625</v>
      </c>
      <c r="P9" s="29">
        <f>K9*$P$11</f>
        <v>0.71249999999999991</v>
      </c>
      <c r="Q9" s="30"/>
      <c r="R9" s="33"/>
      <c r="S9" s="13"/>
    </row>
    <row r="10" spans="1:19">
      <c r="A10" s="5" t="s">
        <v>90</v>
      </c>
      <c r="B10" s="13"/>
      <c r="C10" s="7" t="s">
        <v>43</v>
      </c>
      <c r="D10" s="13"/>
      <c r="E10" s="2" t="s">
        <v>44</v>
      </c>
      <c r="F10" s="13"/>
      <c r="G10" s="25"/>
      <c r="H10" s="1380"/>
      <c r="I10" s="34" t="s">
        <v>45</v>
      </c>
      <c r="J10" s="35">
        <v>5</v>
      </c>
      <c r="K10" s="36">
        <v>0.95</v>
      </c>
      <c r="L10" s="29">
        <f>K10*$L$11</f>
        <v>0.19</v>
      </c>
      <c r="M10" s="29">
        <f>K10*$M$11</f>
        <v>0.38</v>
      </c>
      <c r="N10" s="29">
        <f>K10*$N$11</f>
        <v>0.47499999999999998</v>
      </c>
      <c r="O10" s="29">
        <f>K10*$O$11</f>
        <v>0.71249999999999991</v>
      </c>
      <c r="P10" s="29">
        <f>K10*$P$11</f>
        <v>0.90249999999999997</v>
      </c>
      <c r="Q10" s="30"/>
      <c r="R10" s="33"/>
      <c r="S10" s="13"/>
    </row>
    <row r="11" spans="1:19">
      <c r="A11" s="13"/>
      <c r="B11" s="13"/>
      <c r="C11" s="8" t="s">
        <v>47</v>
      </c>
      <c r="D11" s="13"/>
      <c r="E11" s="2" t="s">
        <v>48</v>
      </c>
      <c r="F11" s="13"/>
      <c r="G11" s="25"/>
      <c r="H11" s="37"/>
      <c r="I11" s="38"/>
      <c r="J11" s="38"/>
      <c r="K11" s="39"/>
      <c r="L11" s="40">
        <v>0.2</v>
      </c>
      <c r="M11" s="40">
        <v>0.4</v>
      </c>
      <c r="N11" s="40">
        <v>0.5</v>
      </c>
      <c r="O11" s="40">
        <v>0.75</v>
      </c>
      <c r="P11" s="40">
        <v>0.95</v>
      </c>
      <c r="Q11" s="30"/>
      <c r="R11" s="33"/>
      <c r="S11" s="13"/>
    </row>
    <row r="12" spans="1:19" ht="15.6">
      <c r="A12" s="19" t="s">
        <v>95</v>
      </c>
      <c r="B12" s="13"/>
      <c r="C12" s="13"/>
      <c r="D12" s="13"/>
      <c r="E12" s="3" t="s">
        <v>50</v>
      </c>
      <c r="F12" s="13"/>
      <c r="G12" s="25"/>
      <c r="H12" s="37"/>
      <c r="I12" s="38"/>
      <c r="J12" s="38"/>
      <c r="K12" s="39"/>
      <c r="L12" s="41" t="s">
        <v>51</v>
      </c>
      <c r="M12" s="41" t="s">
        <v>52</v>
      </c>
      <c r="N12" s="41" t="s">
        <v>53</v>
      </c>
      <c r="O12" s="41" t="s">
        <v>54</v>
      </c>
      <c r="P12" s="41" t="s">
        <v>55</v>
      </c>
      <c r="Q12" s="30"/>
      <c r="R12" s="33"/>
      <c r="S12" s="13"/>
    </row>
    <row r="13" spans="1:19">
      <c r="A13" s="1" t="s">
        <v>101</v>
      </c>
      <c r="B13" s="13"/>
      <c r="C13" s="13"/>
      <c r="D13" s="13"/>
      <c r="E13" s="2" t="s">
        <v>57</v>
      </c>
      <c r="F13" s="13"/>
      <c r="G13" s="25"/>
      <c r="H13" s="37"/>
      <c r="I13" s="38"/>
      <c r="J13" s="38"/>
      <c r="K13" s="38"/>
      <c r="L13" s="41">
        <v>1</v>
      </c>
      <c r="M13" s="41">
        <v>2</v>
      </c>
      <c r="N13" s="41">
        <v>3</v>
      </c>
      <c r="O13" s="41">
        <v>4</v>
      </c>
      <c r="P13" s="41">
        <v>5</v>
      </c>
      <c r="Q13" s="30"/>
      <c r="R13" s="38"/>
      <c r="S13" s="13"/>
    </row>
    <row r="14" spans="1:19">
      <c r="A14" s="2" t="s">
        <v>106</v>
      </c>
      <c r="B14" s="13"/>
      <c r="C14" s="13"/>
      <c r="D14" s="13"/>
      <c r="E14" s="2" t="s">
        <v>59</v>
      </c>
      <c r="F14" s="13"/>
      <c r="G14" s="42"/>
      <c r="H14" s="37"/>
      <c r="I14" s="38"/>
      <c r="J14" s="38"/>
      <c r="K14" s="38"/>
      <c r="L14" s="1381" t="s">
        <v>60</v>
      </c>
      <c r="M14" s="1382"/>
      <c r="N14" s="1382"/>
      <c r="O14" s="1382"/>
      <c r="P14" s="1382"/>
      <c r="Q14" s="43"/>
      <c r="R14" s="44"/>
      <c r="S14" s="13"/>
    </row>
    <row r="15" spans="1:19" ht="15.6">
      <c r="A15" s="2" t="s">
        <v>111</v>
      </c>
      <c r="B15" s="13"/>
      <c r="C15" s="19" t="s">
        <v>62</v>
      </c>
      <c r="D15" s="13"/>
      <c r="E15" s="2" t="s">
        <v>63</v>
      </c>
      <c r="F15" s="13"/>
      <c r="G15" s="25"/>
      <c r="H15" s="38"/>
      <c r="I15" s="38"/>
      <c r="J15" s="38"/>
      <c r="K15" s="38"/>
      <c r="L15" s="38"/>
      <c r="M15" s="38"/>
      <c r="N15" s="38"/>
      <c r="O15" s="38"/>
      <c r="P15" s="38"/>
      <c r="Q15" s="30"/>
      <c r="R15" s="38"/>
      <c r="S15" s="13"/>
    </row>
    <row r="16" spans="1:19">
      <c r="A16" s="2" t="s">
        <v>113</v>
      </c>
      <c r="B16" s="13"/>
      <c r="C16" s="1" t="s">
        <v>65</v>
      </c>
      <c r="D16" s="13"/>
      <c r="E16" s="3" t="s">
        <v>66</v>
      </c>
      <c r="F16" s="13"/>
      <c r="G16" s="45" t="s">
        <v>67</v>
      </c>
      <c r="H16" s="38"/>
      <c r="I16" s="1383" t="s">
        <v>68</v>
      </c>
      <c r="J16" s="1384"/>
      <c r="K16" s="1384"/>
      <c r="L16" s="1383" t="s">
        <v>69</v>
      </c>
      <c r="M16" s="1384"/>
      <c r="N16" s="69" t="s">
        <v>70</v>
      </c>
      <c r="O16" s="69"/>
      <c r="P16" s="70">
        <v>0.45</v>
      </c>
      <c r="Q16" s="30"/>
      <c r="R16" s="38"/>
      <c r="S16" s="13"/>
    </row>
    <row r="17" spans="1:19">
      <c r="A17" s="2" t="s">
        <v>116</v>
      </c>
      <c r="B17" s="13"/>
      <c r="C17" s="75" t="s">
        <v>73</v>
      </c>
      <c r="D17" s="13"/>
      <c r="E17" s="2" t="s">
        <v>74</v>
      </c>
      <c r="F17" s="13"/>
      <c r="G17" s="45"/>
      <c r="H17" s="38"/>
      <c r="I17" s="61"/>
      <c r="J17" s="61"/>
      <c r="K17" s="61"/>
      <c r="L17" s="61"/>
      <c r="M17" s="61"/>
      <c r="N17" s="69"/>
      <c r="O17" s="69"/>
      <c r="P17" s="70"/>
      <c r="Q17" s="30"/>
      <c r="R17" s="38"/>
      <c r="S17" s="13"/>
    </row>
    <row r="18" spans="1:19">
      <c r="A18" s="5" t="s">
        <v>119</v>
      </c>
      <c r="B18" s="13"/>
      <c r="C18" s="75" t="s">
        <v>78</v>
      </c>
      <c r="D18" s="13"/>
      <c r="E18" s="2" t="s">
        <v>79</v>
      </c>
      <c r="F18" s="13"/>
      <c r="G18" s="25"/>
      <c r="H18" s="38"/>
      <c r="I18" s="1383" t="s">
        <v>75</v>
      </c>
      <c r="J18" s="1384"/>
      <c r="K18" s="1384"/>
      <c r="L18" s="1383" t="s">
        <v>76</v>
      </c>
      <c r="M18" s="1384"/>
      <c r="N18" s="70">
        <v>0.16</v>
      </c>
      <c r="O18" s="69" t="s">
        <v>77</v>
      </c>
      <c r="P18" s="70">
        <v>0.45</v>
      </c>
      <c r="Q18" s="30"/>
      <c r="R18" s="38"/>
      <c r="S18" s="13"/>
    </row>
    <row r="19" spans="1:19">
      <c r="A19" s="13"/>
      <c r="B19" s="13"/>
      <c r="C19" s="76" t="s">
        <v>933</v>
      </c>
      <c r="D19" s="13"/>
      <c r="E19" s="2" t="s">
        <v>84</v>
      </c>
      <c r="F19" s="13"/>
      <c r="G19" s="45"/>
      <c r="H19" s="46"/>
      <c r="I19" s="1383" t="s">
        <v>80</v>
      </c>
      <c r="J19" s="1384"/>
      <c r="K19" s="1384"/>
      <c r="L19" s="1383" t="s">
        <v>81</v>
      </c>
      <c r="M19" s="1384"/>
      <c r="N19" s="69" t="s">
        <v>82</v>
      </c>
      <c r="O19" s="69"/>
      <c r="P19" s="70">
        <v>0.16</v>
      </c>
      <c r="Q19" s="30"/>
      <c r="R19" s="38"/>
      <c r="S19" s="13"/>
    </row>
    <row r="20" spans="1:19" ht="15.6">
      <c r="A20" s="19" t="s">
        <v>125</v>
      </c>
      <c r="B20" s="13"/>
      <c r="C20" s="13"/>
      <c r="D20" s="13"/>
      <c r="E20" s="3" t="s">
        <v>87</v>
      </c>
      <c r="F20" s="13"/>
      <c r="G20" s="47"/>
      <c r="H20" s="48"/>
      <c r="I20" s="48"/>
      <c r="J20" s="35"/>
      <c r="K20" s="48"/>
      <c r="L20" s="48"/>
      <c r="M20" s="48"/>
      <c r="N20" s="48"/>
      <c r="O20" s="48"/>
      <c r="P20" s="48"/>
      <c r="Q20" s="49"/>
      <c r="R20" s="15"/>
      <c r="S20" s="13"/>
    </row>
    <row r="21" spans="1:19" ht="15.6">
      <c r="A21" s="1" t="s">
        <v>129</v>
      </c>
      <c r="B21" s="13"/>
      <c r="C21" s="19" t="s">
        <v>86</v>
      </c>
      <c r="D21" s="13"/>
      <c r="E21" s="2" t="s">
        <v>89</v>
      </c>
      <c r="F21" s="13"/>
      <c r="G21" s="15"/>
      <c r="H21" s="15"/>
      <c r="I21" s="15"/>
      <c r="J21" s="15"/>
      <c r="K21" s="33"/>
      <c r="L21" s="15"/>
      <c r="M21" s="15"/>
      <c r="N21" s="15"/>
      <c r="O21" s="15"/>
      <c r="P21" s="15"/>
      <c r="Q21" s="15"/>
      <c r="R21" s="15"/>
      <c r="S21" s="13"/>
    </row>
    <row r="22" spans="1:19">
      <c r="A22" s="2" t="s">
        <v>132</v>
      </c>
      <c r="B22" s="13"/>
      <c r="C22" s="1"/>
      <c r="D22" s="13"/>
      <c r="E22" s="5"/>
      <c r="F22" s="13"/>
      <c r="G22" s="15"/>
      <c r="H22" s="15"/>
      <c r="I22" s="15"/>
      <c r="J22" s="15"/>
      <c r="K22" s="15"/>
      <c r="L22" s="15"/>
      <c r="M22" s="15"/>
      <c r="N22" s="15"/>
      <c r="O22" s="15"/>
      <c r="P22" s="15"/>
      <c r="Q22" s="15"/>
      <c r="R22" s="15"/>
      <c r="S22" s="13"/>
    </row>
    <row r="23" spans="1:19" ht="15.6">
      <c r="A23" s="75" t="s">
        <v>1013</v>
      </c>
      <c r="B23" s="13"/>
      <c r="C23" s="2" t="s">
        <v>91</v>
      </c>
      <c r="D23" s="13"/>
      <c r="E23" s="13"/>
      <c r="F23" s="13"/>
      <c r="G23" s="20" t="s">
        <v>92</v>
      </c>
      <c r="H23" s="21"/>
      <c r="I23" s="21"/>
      <c r="J23" s="21"/>
      <c r="K23" s="21"/>
      <c r="L23" s="21"/>
      <c r="M23" s="21"/>
      <c r="N23" s="21"/>
      <c r="O23" s="21"/>
      <c r="P23" s="22"/>
      <c r="Q23" s="13"/>
      <c r="R23" s="15"/>
      <c r="S23" s="13"/>
    </row>
    <row r="24" spans="1:19" ht="15.6">
      <c r="A24" s="75" t="s">
        <v>1006</v>
      </c>
      <c r="B24" s="13"/>
      <c r="C24" s="2" t="s">
        <v>93</v>
      </c>
      <c r="D24" s="13"/>
      <c r="E24" s="19" t="s">
        <v>94</v>
      </c>
      <c r="F24" s="13"/>
      <c r="G24" s="23"/>
      <c r="H24" s="16"/>
      <c r="I24" s="16"/>
      <c r="J24" s="16"/>
      <c r="K24" s="16"/>
      <c r="L24" s="16"/>
      <c r="M24" s="16"/>
      <c r="N24" s="16"/>
      <c r="O24" s="16"/>
      <c r="P24" s="24"/>
      <c r="Q24" s="13"/>
      <c r="R24" s="15"/>
      <c r="S24" s="13"/>
    </row>
    <row r="25" spans="1:19">
      <c r="A25" s="2" t="s">
        <v>138</v>
      </c>
      <c r="B25" s="13"/>
      <c r="C25" s="5" t="s">
        <v>96</v>
      </c>
      <c r="D25" s="13"/>
      <c r="E25" s="1" t="s">
        <v>97</v>
      </c>
      <c r="F25" s="13"/>
      <c r="G25" s="1376" t="s">
        <v>98</v>
      </c>
      <c r="H25" s="1377"/>
      <c r="I25" s="50"/>
      <c r="J25" s="1376" t="s">
        <v>99</v>
      </c>
      <c r="K25" s="1377"/>
      <c r="L25" s="16"/>
      <c r="M25" s="1376" t="s">
        <v>100</v>
      </c>
      <c r="N25" s="1377"/>
      <c r="O25" s="16"/>
      <c r="P25" s="24"/>
      <c r="Q25" s="13"/>
      <c r="R25" s="15"/>
      <c r="S25" s="13"/>
    </row>
    <row r="26" spans="1:19">
      <c r="A26" s="75" t="s">
        <v>145</v>
      </c>
      <c r="B26" s="13"/>
      <c r="C26" s="13"/>
      <c r="D26" s="13"/>
      <c r="E26" s="2" t="s">
        <v>102</v>
      </c>
      <c r="F26" s="13"/>
      <c r="G26" s="10" t="s">
        <v>103</v>
      </c>
      <c r="H26" s="67">
        <v>-0.06</v>
      </c>
      <c r="I26" s="51"/>
      <c r="J26" s="10" t="s">
        <v>104</v>
      </c>
      <c r="K26" s="67">
        <v>-0.06</v>
      </c>
      <c r="L26" s="16"/>
      <c r="M26" s="10" t="s">
        <v>105</v>
      </c>
      <c r="N26" s="67">
        <v>-0.1</v>
      </c>
      <c r="O26" s="16"/>
      <c r="P26" s="24"/>
      <c r="Q26" s="13"/>
      <c r="R26" s="15"/>
      <c r="S26" s="13"/>
    </row>
    <row r="27" spans="1:19">
      <c r="A27" s="75" t="s">
        <v>149</v>
      </c>
      <c r="B27" s="13"/>
      <c r="C27" s="13"/>
      <c r="D27" s="13"/>
      <c r="E27" s="2" t="s">
        <v>107</v>
      </c>
      <c r="F27" s="13"/>
      <c r="G27" s="11" t="s">
        <v>108</v>
      </c>
      <c r="H27" s="67">
        <v>-0.12</v>
      </c>
      <c r="I27" s="51"/>
      <c r="J27" s="11" t="s">
        <v>109</v>
      </c>
      <c r="K27" s="67">
        <v>-0.12</v>
      </c>
      <c r="L27" s="16"/>
      <c r="M27" s="11" t="s">
        <v>110</v>
      </c>
      <c r="N27" s="67">
        <v>-0.15</v>
      </c>
      <c r="O27" s="16"/>
      <c r="P27" s="24"/>
      <c r="Q27" s="13"/>
      <c r="R27" s="15"/>
      <c r="S27" s="13"/>
    </row>
    <row r="28" spans="1:19">
      <c r="A28" s="2"/>
      <c r="B28" s="13"/>
      <c r="C28" s="13"/>
      <c r="D28" s="13"/>
      <c r="E28" s="2" t="s">
        <v>112</v>
      </c>
      <c r="F28" s="13"/>
      <c r="G28" s="47"/>
      <c r="H28" s="48"/>
      <c r="I28" s="48"/>
      <c r="J28" s="48"/>
      <c r="K28" s="48"/>
      <c r="L28" s="48"/>
      <c r="M28" s="48"/>
      <c r="N28" s="48"/>
      <c r="O28" s="48"/>
      <c r="P28" s="49"/>
      <c r="Q28" s="13"/>
      <c r="R28" s="15"/>
      <c r="S28" s="13"/>
    </row>
    <row r="29" spans="1:19" ht="15.6">
      <c r="A29" s="2"/>
      <c r="B29" s="13"/>
      <c r="C29" s="19" t="s">
        <v>114</v>
      </c>
      <c r="D29" s="13"/>
      <c r="E29" s="3" t="s">
        <v>115</v>
      </c>
      <c r="F29" s="13"/>
      <c r="G29" s="15"/>
      <c r="H29" s="15"/>
      <c r="I29" s="15"/>
      <c r="J29" s="15"/>
      <c r="K29" s="15"/>
      <c r="L29" s="15"/>
      <c r="M29" s="15"/>
      <c r="N29" s="15"/>
      <c r="O29" s="15"/>
      <c r="P29" s="15"/>
      <c r="Q29" s="15"/>
      <c r="R29" s="15"/>
      <c r="S29" s="13"/>
    </row>
    <row r="30" spans="1:19" ht="15.6">
      <c r="A30" s="2"/>
      <c r="B30" s="13"/>
      <c r="C30" s="1" t="s">
        <v>117</v>
      </c>
      <c r="D30" s="13"/>
      <c r="E30" s="2" t="s">
        <v>118</v>
      </c>
      <c r="F30" s="13"/>
      <c r="G30" s="15"/>
      <c r="H30" s="15"/>
      <c r="I30" s="15"/>
      <c r="J30" s="15"/>
      <c r="K30" s="15"/>
      <c r="L30" s="15"/>
      <c r="M30" s="15"/>
      <c r="N30" s="15"/>
      <c r="O30" s="15"/>
      <c r="P30" s="20" t="s">
        <v>1356</v>
      </c>
      <c r="Q30" s="21"/>
      <c r="R30" s="21"/>
      <c r="S30" s="22"/>
    </row>
    <row r="31" spans="1:19" ht="15.6">
      <c r="A31" s="2"/>
      <c r="B31" s="13"/>
      <c r="C31" s="2" t="s">
        <v>120</v>
      </c>
      <c r="D31" s="13"/>
      <c r="E31" s="2" t="s">
        <v>121</v>
      </c>
      <c r="F31" s="13"/>
      <c r="G31" s="20" t="s">
        <v>122</v>
      </c>
      <c r="H31" s="21"/>
      <c r="I31" s="22"/>
      <c r="J31" s="15"/>
      <c r="K31" s="20" t="s">
        <v>849</v>
      </c>
      <c r="L31" s="21"/>
      <c r="M31" s="21"/>
      <c r="N31" s="22"/>
      <c r="O31" s="15"/>
      <c r="P31" s="601" t="s">
        <v>1357</v>
      </c>
      <c r="Q31" s="601" t="s">
        <v>1377</v>
      </c>
      <c r="R31" s="601" t="s">
        <v>1378</v>
      </c>
      <c r="S31" s="602"/>
    </row>
    <row r="32" spans="1:19">
      <c r="A32" s="5" t="s">
        <v>151</v>
      </c>
      <c r="B32" s="13"/>
      <c r="C32" s="2" t="s">
        <v>123</v>
      </c>
      <c r="D32" s="13"/>
      <c r="E32" s="2" t="s">
        <v>124</v>
      </c>
      <c r="F32" s="13"/>
      <c r="G32" s="23"/>
      <c r="H32" s="16"/>
      <c r="I32" s="24"/>
      <c r="J32" s="15"/>
      <c r="K32" s="47"/>
      <c r="L32" s="48"/>
      <c r="M32" s="48"/>
      <c r="N32" s="49"/>
      <c r="O32" s="15"/>
      <c r="P32" s="602" t="s">
        <v>1358</v>
      </c>
      <c r="Q32" s="603">
        <v>340</v>
      </c>
      <c r="R32" s="604" t="e">
        <f t="shared" ref="R32:R37" si="0">Q32/MDContractExchangeRate</f>
        <v>#DIV/0!</v>
      </c>
      <c r="S32" s="605">
        <f t="shared" ref="S32:S37" si="1">IF(MDContractCurrency=TMDCurrencyCHF,Q32,IF(ISERROR(R32),Q32,R32))</f>
        <v>340</v>
      </c>
    </row>
    <row r="33" spans="1:19">
      <c r="A33" s="13"/>
      <c r="B33" s="13"/>
      <c r="C33" s="2" t="s">
        <v>126</v>
      </c>
      <c r="D33" s="13"/>
      <c r="E33" s="3" t="s">
        <v>127</v>
      </c>
      <c r="F33" s="13"/>
      <c r="G33" s="1376" t="s">
        <v>128</v>
      </c>
      <c r="H33" s="1377"/>
      <c r="I33" s="24"/>
      <c r="J33" s="15"/>
      <c r="K33" s="72" t="s">
        <v>202</v>
      </c>
      <c r="L33" s="73" t="s">
        <v>855</v>
      </c>
      <c r="M33" s="73" t="s">
        <v>853</v>
      </c>
      <c r="N33" s="73" t="s">
        <v>854</v>
      </c>
      <c r="O33" s="15"/>
      <c r="P33" s="602" t="s">
        <v>1359</v>
      </c>
      <c r="Q33" s="603">
        <v>50</v>
      </c>
      <c r="R33" s="604" t="e">
        <f t="shared" si="0"/>
        <v>#DIV/0!</v>
      </c>
      <c r="S33" s="605">
        <f t="shared" si="1"/>
        <v>50</v>
      </c>
    </row>
    <row r="34" spans="1:19" ht="15.6">
      <c r="A34" s="19" t="s">
        <v>156</v>
      </c>
      <c r="B34" s="13"/>
      <c r="C34" s="5" t="s">
        <v>130</v>
      </c>
      <c r="D34" s="13"/>
      <c r="E34" s="2" t="s">
        <v>131</v>
      </c>
      <c r="F34" s="13"/>
      <c r="G34" s="10" t="str">
        <f>'Master Data'!I23</f>
        <v>Yellow</v>
      </c>
      <c r="H34" s="68">
        <f>'Master Data'!J23</f>
        <v>7</v>
      </c>
      <c r="I34" s="24"/>
      <c r="J34" s="15"/>
      <c r="K34" s="10" t="s">
        <v>850</v>
      </c>
      <c r="L34" s="74">
        <v>0</v>
      </c>
      <c r="M34" s="74">
        <v>10000</v>
      </c>
      <c r="N34" s="74">
        <v>6500</v>
      </c>
      <c r="O34" s="15"/>
      <c r="P34" s="602" t="s">
        <v>1360</v>
      </c>
      <c r="Q34" s="603">
        <v>20</v>
      </c>
      <c r="R34" s="604" t="e">
        <f t="shared" si="0"/>
        <v>#DIV/0!</v>
      </c>
      <c r="S34" s="605">
        <f t="shared" si="1"/>
        <v>20</v>
      </c>
    </row>
    <row r="35" spans="1:19">
      <c r="A35" s="1" t="s">
        <v>159</v>
      </c>
      <c r="B35" s="13"/>
      <c r="C35" s="13"/>
      <c r="D35" s="13"/>
      <c r="E35" s="2" t="s">
        <v>133</v>
      </c>
      <c r="F35" s="13"/>
      <c r="G35" s="11" t="str">
        <f>'Master Data'!I24</f>
        <v>Red</v>
      </c>
      <c r="H35" s="68">
        <f>'Master Data'!J24</f>
        <v>14</v>
      </c>
      <c r="I35" s="24"/>
      <c r="J35" s="15"/>
      <c r="K35" s="11" t="s">
        <v>851</v>
      </c>
      <c r="L35" s="74">
        <v>100000</v>
      </c>
      <c r="M35" s="74">
        <v>20000</v>
      </c>
      <c r="N35" s="74">
        <v>13000</v>
      </c>
      <c r="O35" s="15"/>
      <c r="P35" s="602" t="s">
        <v>1361</v>
      </c>
      <c r="Q35" s="603">
        <v>0.2</v>
      </c>
      <c r="R35" s="604" t="e">
        <f t="shared" si="0"/>
        <v>#DIV/0!</v>
      </c>
      <c r="S35" s="605">
        <f t="shared" si="1"/>
        <v>0.2</v>
      </c>
    </row>
    <row r="36" spans="1:19">
      <c r="A36" s="2" t="s">
        <v>162</v>
      </c>
      <c r="B36" s="13"/>
      <c r="C36" s="52" t="s">
        <v>134</v>
      </c>
      <c r="D36" s="13"/>
      <c r="E36" s="2" t="s">
        <v>135</v>
      </c>
      <c r="F36" s="13"/>
      <c r="G36" s="47"/>
      <c r="H36" s="48"/>
      <c r="I36" s="49"/>
      <c r="J36" s="15"/>
      <c r="K36" s="11" t="s">
        <v>852</v>
      </c>
      <c r="L36" s="74">
        <v>500000</v>
      </c>
      <c r="M36" s="74">
        <v>30000</v>
      </c>
      <c r="N36" s="74">
        <v>20000</v>
      </c>
      <c r="O36" s="15"/>
      <c r="P36" s="602" t="s">
        <v>1362</v>
      </c>
      <c r="Q36" s="603">
        <v>40</v>
      </c>
      <c r="R36" s="604" t="e">
        <f t="shared" si="0"/>
        <v>#DIV/0!</v>
      </c>
      <c r="S36" s="605">
        <f t="shared" si="1"/>
        <v>40</v>
      </c>
    </row>
    <row r="37" spans="1:19">
      <c r="A37" s="5" t="s">
        <v>164</v>
      </c>
      <c r="B37" s="13"/>
      <c r="C37" s="1" t="s">
        <v>136</v>
      </c>
      <c r="D37" s="13"/>
      <c r="E37" s="3" t="s">
        <v>137</v>
      </c>
      <c r="F37" s="13"/>
      <c r="G37" s="15"/>
      <c r="H37" s="15"/>
      <c r="I37" s="15"/>
      <c r="J37" s="15"/>
      <c r="K37" s="15"/>
      <c r="L37" s="15"/>
      <c r="M37" s="15"/>
      <c r="N37" s="15"/>
      <c r="O37" s="15"/>
      <c r="P37" s="602" t="s">
        <v>1363</v>
      </c>
      <c r="Q37" s="603">
        <v>0</v>
      </c>
      <c r="R37" s="604" t="e">
        <f t="shared" si="0"/>
        <v>#DIV/0!</v>
      </c>
      <c r="S37" s="605">
        <f t="shared" si="1"/>
        <v>0</v>
      </c>
    </row>
    <row r="38" spans="1:19">
      <c r="A38" s="13"/>
      <c r="B38" s="13"/>
      <c r="C38" s="2" t="s">
        <v>139</v>
      </c>
      <c r="D38" s="13"/>
      <c r="E38" s="2" t="s">
        <v>140</v>
      </c>
      <c r="F38" s="13"/>
      <c r="G38" s="15"/>
      <c r="H38" s="15"/>
      <c r="I38" s="15"/>
      <c r="J38" s="15"/>
      <c r="K38" s="15"/>
      <c r="L38" s="15"/>
      <c r="M38" s="15"/>
      <c r="N38" s="15"/>
      <c r="O38" s="15"/>
      <c r="P38" s="15"/>
      <c r="Q38" s="15"/>
      <c r="R38" s="15"/>
      <c r="S38" s="13"/>
    </row>
    <row r="39" spans="1:19" ht="15.6">
      <c r="A39" s="13"/>
      <c r="B39" s="13"/>
      <c r="C39" s="5" t="s">
        <v>141</v>
      </c>
      <c r="D39" s="13"/>
      <c r="E39" s="2" t="s">
        <v>1007</v>
      </c>
      <c r="F39" s="13"/>
      <c r="G39" s="20" t="s">
        <v>142</v>
      </c>
      <c r="H39" s="62"/>
      <c r="I39" s="63"/>
      <c r="J39" s="13"/>
      <c r="K39" s="13"/>
      <c r="L39" s="13"/>
      <c r="M39" s="13"/>
      <c r="N39" s="13"/>
      <c r="O39" s="13"/>
      <c r="P39" s="13"/>
      <c r="Q39" s="13"/>
      <c r="R39" s="13"/>
      <c r="S39" s="13"/>
    </row>
    <row r="40" spans="1:19">
      <c r="A40" s="13"/>
      <c r="B40" s="13"/>
      <c r="C40" s="13"/>
      <c r="D40" s="13"/>
      <c r="E40" s="2" t="s">
        <v>143</v>
      </c>
      <c r="F40" s="13"/>
      <c r="G40" s="64" t="s">
        <v>1548</v>
      </c>
      <c r="H40" s="65"/>
      <c r="I40" s="66"/>
      <c r="J40" s="13"/>
      <c r="K40" s="13"/>
      <c r="L40" s="13"/>
      <c r="M40" s="13"/>
      <c r="N40" s="13"/>
      <c r="O40" s="13"/>
      <c r="P40" s="13"/>
      <c r="Q40" s="13"/>
      <c r="R40" s="13"/>
      <c r="S40" s="13"/>
    </row>
    <row r="41" spans="1:19">
      <c r="A41" s="13"/>
      <c r="B41" s="13"/>
      <c r="C41" s="13"/>
      <c r="D41" s="13"/>
      <c r="E41" s="3" t="s">
        <v>144</v>
      </c>
      <c r="F41" s="13"/>
      <c r="G41" s="13" t="s">
        <v>992</v>
      </c>
      <c r="H41" s="13"/>
      <c r="I41" s="13"/>
      <c r="J41" s="13"/>
      <c r="K41" s="13"/>
      <c r="L41" s="13"/>
      <c r="M41" s="13"/>
      <c r="N41" s="13"/>
      <c r="O41" s="13"/>
      <c r="P41" s="13"/>
      <c r="Q41" s="13"/>
      <c r="R41" s="13"/>
      <c r="S41" s="13"/>
    </row>
    <row r="42" spans="1:19" ht="15.6">
      <c r="A42" s="32" t="s">
        <v>170</v>
      </c>
      <c r="B42" s="13"/>
      <c r="C42" s="32" t="s">
        <v>177</v>
      </c>
      <c r="D42" s="13"/>
      <c r="E42" s="2" t="s">
        <v>146</v>
      </c>
      <c r="F42" s="13"/>
      <c r="G42" s="77" t="s">
        <v>993</v>
      </c>
      <c r="H42" s="78">
        <v>40158</v>
      </c>
      <c r="I42" s="113"/>
      <c r="J42" s="13" t="s">
        <v>994</v>
      </c>
      <c r="K42" s="13"/>
      <c r="L42" s="13"/>
      <c r="M42" s="13"/>
      <c r="N42" s="13"/>
      <c r="O42" s="13"/>
      <c r="P42" s="13"/>
      <c r="Q42" s="13"/>
      <c r="R42" s="13"/>
      <c r="S42" s="13"/>
    </row>
    <row r="43" spans="1:19">
      <c r="A43" s="6" t="s">
        <v>172</v>
      </c>
      <c r="B43" s="13"/>
      <c r="C43" s="6" t="s">
        <v>180</v>
      </c>
      <c r="D43" s="13"/>
      <c r="E43" s="2" t="s">
        <v>148</v>
      </c>
      <c r="F43" s="13"/>
      <c r="G43" s="13" t="s">
        <v>995</v>
      </c>
      <c r="H43" s="78">
        <v>40396</v>
      </c>
      <c r="I43" s="113"/>
      <c r="J43" s="13" t="s">
        <v>996</v>
      </c>
      <c r="K43" s="13"/>
      <c r="L43" s="13"/>
      <c r="M43" s="13"/>
      <c r="N43" s="13"/>
      <c r="O43" s="13"/>
      <c r="P43" s="13"/>
      <c r="Q43" s="13"/>
      <c r="R43" s="13"/>
      <c r="S43" s="13"/>
    </row>
    <row r="44" spans="1:19">
      <c r="A44" s="7" t="s">
        <v>174</v>
      </c>
      <c r="B44" s="13"/>
      <c r="C44" s="7" t="s">
        <v>182</v>
      </c>
      <c r="D44" s="13"/>
      <c r="E44" s="3" t="s">
        <v>150</v>
      </c>
      <c r="F44" s="13"/>
      <c r="G44" s="13" t="s">
        <v>1011</v>
      </c>
      <c r="H44" s="78">
        <v>41248</v>
      </c>
      <c r="I44" s="113" t="s">
        <v>1532</v>
      </c>
      <c r="J44" s="13" t="s">
        <v>1012</v>
      </c>
      <c r="K44" s="13"/>
      <c r="L44" s="13"/>
      <c r="M44" s="13"/>
      <c r="N44" s="13"/>
      <c r="O44" s="13"/>
      <c r="P44" s="13"/>
      <c r="Q44" s="13"/>
      <c r="R44" s="13"/>
      <c r="S44" s="13"/>
    </row>
    <row r="45" spans="1:19">
      <c r="A45" s="7" t="s">
        <v>176</v>
      </c>
      <c r="B45" s="13"/>
      <c r="C45" s="8" t="s">
        <v>184</v>
      </c>
      <c r="D45" s="13"/>
      <c r="E45" s="2" t="s">
        <v>153</v>
      </c>
      <c r="F45" s="13"/>
      <c r="G45" s="13"/>
      <c r="H45" s="78">
        <v>41557</v>
      </c>
      <c r="I45" s="113" t="s">
        <v>1531</v>
      </c>
      <c r="J45" s="13" t="s">
        <v>1533</v>
      </c>
      <c r="K45" s="13"/>
      <c r="L45" s="13"/>
      <c r="M45" s="13"/>
      <c r="N45" s="13"/>
      <c r="O45" s="13"/>
      <c r="P45" s="13"/>
      <c r="Q45" s="13"/>
      <c r="R45" s="13"/>
      <c r="S45" s="13"/>
    </row>
    <row r="46" spans="1:19">
      <c r="A46" s="8" t="s">
        <v>179</v>
      </c>
      <c r="B46" s="13"/>
      <c r="C46" s="13"/>
      <c r="D46" s="13"/>
      <c r="E46" s="2" t="s">
        <v>155</v>
      </c>
      <c r="F46" s="13"/>
      <c r="G46" s="13" t="s">
        <v>1525</v>
      </c>
      <c r="H46" s="78">
        <v>41667</v>
      </c>
      <c r="I46" s="113" t="s">
        <v>1532</v>
      </c>
      <c r="J46" s="13" t="s">
        <v>1534</v>
      </c>
      <c r="K46" s="13"/>
      <c r="L46" s="13"/>
      <c r="M46" s="13"/>
      <c r="N46" s="13"/>
      <c r="O46" s="13"/>
      <c r="P46" s="13"/>
      <c r="Q46" s="113"/>
      <c r="R46" s="113"/>
      <c r="S46" s="113"/>
    </row>
    <row r="47" spans="1:19">
      <c r="A47" s="13"/>
      <c r="B47" s="13"/>
      <c r="C47" s="13"/>
      <c r="D47" s="13"/>
      <c r="E47" s="3" t="s">
        <v>158</v>
      </c>
      <c r="F47" s="13"/>
      <c r="G47" s="13" t="s">
        <v>1526</v>
      </c>
      <c r="H47" s="78">
        <v>41673</v>
      </c>
      <c r="I47" s="113" t="s">
        <v>1532</v>
      </c>
      <c r="J47" s="13" t="s">
        <v>1527</v>
      </c>
      <c r="K47" s="13"/>
      <c r="L47" s="13"/>
      <c r="M47" s="13"/>
      <c r="N47" s="13"/>
      <c r="O47" s="13"/>
      <c r="P47" s="13"/>
      <c r="Q47" s="113"/>
      <c r="R47" s="113"/>
      <c r="S47" s="113"/>
    </row>
    <row r="48" spans="1:19">
      <c r="A48" s="13"/>
      <c r="B48" s="13"/>
      <c r="C48" s="13"/>
      <c r="D48" s="13"/>
      <c r="E48" s="2" t="s">
        <v>161</v>
      </c>
      <c r="F48" s="13"/>
      <c r="G48" s="113" t="s">
        <v>1528</v>
      </c>
      <c r="H48" s="78">
        <v>41673</v>
      </c>
      <c r="I48" s="113" t="s">
        <v>1532</v>
      </c>
      <c r="J48" s="113" t="s">
        <v>1529</v>
      </c>
      <c r="K48" s="13"/>
      <c r="L48" s="13"/>
      <c r="M48" s="13"/>
      <c r="N48" s="13"/>
      <c r="O48" s="13"/>
      <c r="P48" s="13"/>
      <c r="Q48" s="113"/>
      <c r="R48" s="113"/>
      <c r="S48" s="113"/>
    </row>
    <row r="49" spans="1:19" ht="15.75" customHeight="1">
      <c r="A49" s="32" t="s">
        <v>186</v>
      </c>
      <c r="B49" s="13"/>
      <c r="C49" s="32" t="s">
        <v>1076</v>
      </c>
      <c r="D49" s="13"/>
      <c r="E49" s="2" t="s">
        <v>163</v>
      </c>
      <c r="F49" s="13"/>
      <c r="G49" s="113" t="s">
        <v>1530</v>
      </c>
      <c r="H49" s="78">
        <v>41674</v>
      </c>
      <c r="I49" s="113" t="s">
        <v>1532</v>
      </c>
      <c r="J49" s="113" t="s">
        <v>1535</v>
      </c>
      <c r="K49" s="13"/>
      <c r="L49" s="13"/>
      <c r="M49" s="13"/>
      <c r="N49" s="13"/>
      <c r="O49" s="13"/>
      <c r="P49" s="13"/>
      <c r="Q49" s="113"/>
      <c r="R49" s="113"/>
      <c r="S49" s="113"/>
    </row>
    <row r="50" spans="1:19">
      <c r="A50" s="6" t="s">
        <v>187</v>
      </c>
      <c r="B50" s="13"/>
      <c r="C50" s="6" t="s">
        <v>1015</v>
      </c>
      <c r="D50" s="13"/>
      <c r="E50" s="2" t="s">
        <v>165</v>
      </c>
      <c r="F50" s="13"/>
      <c r="G50" s="113" t="s">
        <v>1537</v>
      </c>
      <c r="H50" s="78">
        <v>41697</v>
      </c>
      <c r="I50" s="113" t="s">
        <v>1532</v>
      </c>
      <c r="J50" s="113" t="s">
        <v>1539</v>
      </c>
      <c r="K50" s="13"/>
      <c r="L50" s="13"/>
      <c r="M50" s="13"/>
      <c r="N50" s="13"/>
      <c r="O50" s="13"/>
      <c r="P50" s="13"/>
      <c r="Q50" s="13"/>
      <c r="R50" s="13"/>
      <c r="S50" s="13"/>
    </row>
    <row r="51" spans="1:19">
      <c r="A51" s="7" t="s">
        <v>189</v>
      </c>
      <c r="B51" s="13"/>
      <c r="C51" s="7" t="s">
        <v>246</v>
      </c>
      <c r="D51" s="13"/>
      <c r="E51" s="3" t="s">
        <v>166</v>
      </c>
      <c r="F51" s="13"/>
      <c r="G51" s="13"/>
      <c r="H51" s="13"/>
      <c r="I51" s="113"/>
      <c r="J51" s="13"/>
      <c r="K51" s="13"/>
      <c r="L51" s="13"/>
      <c r="M51" s="13"/>
      <c r="N51" s="13"/>
      <c r="O51" s="13"/>
      <c r="P51" s="13"/>
      <c r="Q51" s="13"/>
      <c r="R51" s="13"/>
      <c r="S51" s="13"/>
    </row>
    <row r="52" spans="1:19">
      <c r="A52" s="7" t="s">
        <v>191</v>
      </c>
      <c r="B52" s="13"/>
      <c r="C52" s="7" t="s">
        <v>1077</v>
      </c>
      <c r="D52" s="13"/>
      <c r="E52" s="2" t="s">
        <v>167</v>
      </c>
      <c r="F52" s="13"/>
      <c r="G52" s="13"/>
      <c r="H52" s="13"/>
      <c r="I52" s="13"/>
      <c r="J52" s="13"/>
      <c r="K52" s="13"/>
      <c r="L52" s="13"/>
      <c r="M52" s="13"/>
      <c r="N52" s="13"/>
      <c r="O52" s="13"/>
      <c r="P52" s="13"/>
      <c r="Q52" s="13"/>
      <c r="R52" s="13"/>
      <c r="S52" s="13"/>
    </row>
    <row r="53" spans="1:19">
      <c r="A53" s="7" t="s">
        <v>193</v>
      </c>
      <c r="B53" s="13"/>
      <c r="C53" s="7" t="s">
        <v>1031</v>
      </c>
      <c r="D53" s="13"/>
      <c r="E53" s="2" t="s">
        <v>168</v>
      </c>
      <c r="F53" s="13"/>
      <c r="G53" s="13"/>
      <c r="H53" s="13"/>
      <c r="I53" s="13"/>
      <c r="J53" s="13"/>
      <c r="K53" s="13"/>
      <c r="L53" s="13"/>
      <c r="M53" s="13"/>
      <c r="N53" s="13"/>
      <c r="O53" s="13"/>
      <c r="P53" s="13"/>
      <c r="Q53" s="13"/>
      <c r="R53" s="13"/>
      <c r="S53" s="13"/>
    </row>
    <row r="54" spans="1:19">
      <c r="A54" s="8" t="s">
        <v>195</v>
      </c>
      <c r="B54" s="13"/>
      <c r="C54" s="7" t="s">
        <v>1078</v>
      </c>
      <c r="D54" s="13"/>
      <c r="E54" s="3" t="s">
        <v>169</v>
      </c>
      <c r="F54" s="13"/>
      <c r="G54" s="13"/>
      <c r="H54" s="13"/>
      <c r="I54" s="13"/>
      <c r="J54" s="13"/>
      <c r="K54" s="13"/>
      <c r="L54" s="13"/>
      <c r="M54" s="13"/>
      <c r="N54" s="13"/>
      <c r="O54" s="13"/>
      <c r="P54" s="13"/>
      <c r="Q54" s="13"/>
      <c r="R54" s="13"/>
      <c r="S54" s="13"/>
    </row>
    <row r="55" spans="1:19">
      <c r="A55" s="13"/>
      <c r="B55" s="13"/>
      <c r="C55" s="8" t="s">
        <v>1079</v>
      </c>
      <c r="D55" s="13"/>
      <c r="E55" s="2" t="s">
        <v>171</v>
      </c>
      <c r="F55" s="13"/>
      <c r="G55" s="13"/>
      <c r="H55" s="13"/>
      <c r="I55" s="13"/>
      <c r="J55" s="13"/>
      <c r="K55" s="13"/>
      <c r="L55" s="13"/>
      <c r="M55" s="13"/>
      <c r="N55" s="13"/>
      <c r="O55" s="13"/>
      <c r="P55" s="13"/>
      <c r="Q55" s="13"/>
      <c r="R55" s="13"/>
      <c r="S55" s="13"/>
    </row>
    <row r="56" spans="1:19">
      <c r="A56" s="13"/>
      <c r="B56" s="13"/>
      <c r="C56" s="13"/>
      <c r="D56" s="13"/>
      <c r="E56" s="2" t="s">
        <v>173</v>
      </c>
      <c r="F56" s="13"/>
      <c r="G56" s="13"/>
      <c r="H56" s="13"/>
      <c r="I56" s="13"/>
      <c r="J56" s="13"/>
      <c r="K56" s="13"/>
      <c r="L56" s="13"/>
      <c r="M56" s="13"/>
      <c r="N56" s="13"/>
      <c r="O56" s="13"/>
      <c r="P56" s="13"/>
      <c r="Q56" s="13"/>
      <c r="R56" s="13"/>
      <c r="S56" s="13"/>
    </row>
    <row r="57" spans="1:19" ht="15.6">
      <c r="A57" s="19" t="s">
        <v>1005</v>
      </c>
      <c r="B57" s="13"/>
      <c r="C57" s="13"/>
      <c r="D57" s="13"/>
      <c r="E57" s="2" t="s">
        <v>175</v>
      </c>
      <c r="F57" s="13"/>
      <c r="G57" s="13"/>
      <c r="H57" s="13"/>
      <c r="I57" s="13"/>
      <c r="J57" s="13"/>
      <c r="K57" s="13"/>
      <c r="L57" s="13"/>
      <c r="M57" s="13"/>
      <c r="N57" s="13"/>
      <c r="O57" s="13"/>
      <c r="P57" s="13"/>
      <c r="Q57" s="13"/>
      <c r="R57" s="13"/>
      <c r="S57" s="13"/>
    </row>
    <row r="58" spans="1:19" ht="15.6">
      <c r="A58" s="79" t="s">
        <v>999</v>
      </c>
      <c r="B58" s="13"/>
      <c r="C58" s="32" t="s">
        <v>1080</v>
      </c>
      <c r="D58" s="13"/>
      <c r="E58" s="3" t="s">
        <v>178</v>
      </c>
      <c r="F58" s="13"/>
      <c r="G58" s="13"/>
      <c r="H58" s="13"/>
      <c r="I58" s="13"/>
      <c r="J58" s="13"/>
      <c r="K58" s="13"/>
      <c r="L58" s="13"/>
      <c r="M58" s="13"/>
      <c r="N58" s="13"/>
      <c r="O58" s="13"/>
      <c r="P58" s="13"/>
      <c r="Q58" s="13"/>
      <c r="R58" s="13"/>
      <c r="S58" s="13"/>
    </row>
    <row r="59" spans="1:19">
      <c r="A59" s="75" t="s">
        <v>1000</v>
      </c>
      <c r="B59" s="13"/>
      <c r="C59" s="6" t="s">
        <v>180</v>
      </c>
      <c r="D59" s="13"/>
      <c r="E59" s="2" t="s">
        <v>181</v>
      </c>
      <c r="F59" s="13"/>
      <c r="G59" s="13"/>
      <c r="H59" s="13"/>
      <c r="I59" s="13"/>
      <c r="J59" s="13"/>
      <c r="K59" s="13"/>
      <c r="L59" s="13"/>
      <c r="M59" s="13"/>
      <c r="N59" s="13"/>
      <c r="O59" s="13"/>
      <c r="P59" s="13"/>
      <c r="Q59" s="13"/>
      <c r="R59" s="13"/>
      <c r="S59" s="13"/>
    </row>
    <row r="60" spans="1:19">
      <c r="A60" s="75" t="s">
        <v>1001</v>
      </c>
      <c r="B60" s="13"/>
      <c r="C60" s="7" t="s">
        <v>1081</v>
      </c>
      <c r="D60" s="13"/>
      <c r="E60" s="3" t="s">
        <v>183</v>
      </c>
      <c r="F60" s="13"/>
      <c r="G60" s="13"/>
      <c r="H60" s="13"/>
      <c r="I60" s="13"/>
      <c r="J60" s="13"/>
      <c r="K60" s="13"/>
      <c r="L60" s="13"/>
      <c r="M60" s="13"/>
      <c r="N60" s="13"/>
      <c r="O60" s="13"/>
      <c r="P60" s="13"/>
      <c r="Q60" s="13"/>
      <c r="R60" s="13"/>
      <c r="S60" s="13"/>
    </row>
    <row r="61" spans="1:19">
      <c r="A61" s="75" t="s">
        <v>1002</v>
      </c>
      <c r="B61" s="13"/>
      <c r="C61" s="8" t="s">
        <v>1082</v>
      </c>
      <c r="D61" s="13"/>
      <c r="E61" s="2" t="s">
        <v>185</v>
      </c>
      <c r="F61" s="13"/>
      <c r="G61" s="13"/>
      <c r="H61" s="13"/>
      <c r="I61" s="13"/>
      <c r="J61" s="13"/>
      <c r="K61" s="13"/>
      <c r="L61" s="13"/>
      <c r="M61" s="13"/>
      <c r="N61" s="13"/>
      <c r="O61" s="13"/>
      <c r="P61" s="13"/>
      <c r="Q61" s="13"/>
      <c r="R61" s="13"/>
      <c r="S61" s="13"/>
    </row>
    <row r="62" spans="1:19">
      <c r="A62" s="75" t="s">
        <v>1003</v>
      </c>
      <c r="B62" s="13"/>
      <c r="C62" s="13"/>
      <c r="D62" s="13"/>
      <c r="E62" s="2" t="s">
        <v>1008</v>
      </c>
      <c r="F62" s="13"/>
      <c r="G62" s="13"/>
      <c r="H62" s="13"/>
      <c r="I62" s="13"/>
      <c r="J62" s="13"/>
      <c r="K62" s="13"/>
      <c r="L62" s="13"/>
      <c r="M62" s="13"/>
      <c r="N62" s="13"/>
      <c r="O62" s="13"/>
      <c r="P62" s="13"/>
      <c r="Q62" s="13"/>
      <c r="R62" s="13"/>
      <c r="S62" s="13"/>
    </row>
    <row r="63" spans="1:19" ht="15.6">
      <c r="A63" s="8" t="s">
        <v>1004</v>
      </c>
      <c r="B63" s="13"/>
      <c r="C63" s="32" t="s">
        <v>1083</v>
      </c>
      <c r="D63" s="13"/>
      <c r="E63" s="2" t="s">
        <v>188</v>
      </c>
      <c r="F63" s="13"/>
      <c r="G63" s="13"/>
      <c r="H63" s="13"/>
      <c r="I63" s="13"/>
      <c r="J63" s="13"/>
      <c r="K63" s="13"/>
      <c r="L63" s="13"/>
      <c r="M63" s="13"/>
      <c r="N63" s="13"/>
      <c r="O63" s="13"/>
      <c r="P63" s="13"/>
      <c r="Q63" s="13"/>
      <c r="R63" s="13"/>
      <c r="S63" s="13"/>
    </row>
    <row r="64" spans="1:19">
      <c r="A64" s="13"/>
      <c r="B64" s="13"/>
      <c r="C64" s="6" t="s">
        <v>180</v>
      </c>
      <c r="D64" s="13"/>
      <c r="E64" s="2" t="s">
        <v>190</v>
      </c>
      <c r="F64" s="13"/>
      <c r="G64" s="13"/>
      <c r="H64" s="13"/>
      <c r="I64" s="13"/>
      <c r="J64" s="13"/>
      <c r="K64" s="13"/>
      <c r="L64" s="13"/>
      <c r="M64" s="13"/>
      <c r="N64" s="13"/>
      <c r="O64" s="13"/>
      <c r="P64" s="13"/>
      <c r="Q64" s="13"/>
      <c r="R64" s="13"/>
      <c r="S64" s="13"/>
    </row>
    <row r="65" spans="1:19">
      <c r="A65" s="13"/>
      <c r="B65" s="13"/>
      <c r="C65" s="7" t="s">
        <v>1084</v>
      </c>
      <c r="D65" s="13"/>
      <c r="E65" s="2" t="s">
        <v>192</v>
      </c>
      <c r="F65" s="13"/>
      <c r="G65" s="13"/>
      <c r="H65" s="13"/>
      <c r="I65" s="13"/>
      <c r="J65" s="13"/>
      <c r="K65" s="13"/>
      <c r="L65" s="13"/>
      <c r="M65" s="13"/>
      <c r="N65" s="13"/>
      <c r="O65" s="13"/>
      <c r="P65" s="13"/>
      <c r="Q65" s="13"/>
      <c r="R65" s="13"/>
      <c r="S65" s="13"/>
    </row>
    <row r="66" spans="1:19">
      <c r="A66" s="13"/>
      <c r="B66" s="13"/>
      <c r="C66" s="7" t="s">
        <v>1085</v>
      </c>
      <c r="D66" s="13"/>
      <c r="E66" s="2" t="s">
        <v>194</v>
      </c>
      <c r="F66" s="13"/>
      <c r="G66" s="13"/>
      <c r="H66" s="13"/>
      <c r="I66" s="13"/>
      <c r="J66" s="13"/>
      <c r="K66" s="13"/>
      <c r="L66" s="13"/>
      <c r="M66" s="13"/>
      <c r="N66" s="13"/>
      <c r="O66" s="13"/>
      <c r="P66" s="13"/>
      <c r="Q66" s="13"/>
      <c r="R66" s="13"/>
      <c r="S66" s="13"/>
    </row>
    <row r="67" spans="1:19">
      <c r="A67" s="13"/>
      <c r="B67" s="13"/>
      <c r="C67" s="8" t="s">
        <v>1086</v>
      </c>
      <c r="D67" s="13"/>
      <c r="E67" s="3" t="s">
        <v>196</v>
      </c>
      <c r="F67" s="13"/>
      <c r="G67" s="13"/>
      <c r="H67" s="13"/>
      <c r="I67" s="13"/>
      <c r="J67" s="13"/>
      <c r="K67" s="13"/>
      <c r="L67" s="13"/>
      <c r="M67" s="13"/>
      <c r="N67" s="13"/>
      <c r="O67" s="13"/>
      <c r="P67" s="13"/>
      <c r="Q67" s="13"/>
      <c r="R67" s="13"/>
      <c r="S67" s="13"/>
    </row>
    <row r="68" spans="1:19">
      <c r="A68" s="13"/>
      <c r="B68" s="13"/>
      <c r="C68" s="13"/>
      <c r="D68" s="13"/>
      <c r="E68" s="3" t="s">
        <v>197</v>
      </c>
      <c r="F68" s="13"/>
      <c r="G68" s="13"/>
      <c r="H68" s="13"/>
      <c r="I68" s="13"/>
      <c r="J68" s="13"/>
      <c r="K68" s="13"/>
      <c r="L68" s="13"/>
      <c r="M68" s="13"/>
      <c r="N68" s="13"/>
      <c r="O68" s="13"/>
      <c r="P68" s="13"/>
      <c r="Q68" s="13"/>
      <c r="R68" s="13"/>
      <c r="S68" s="13"/>
    </row>
    <row r="69" spans="1:19" ht="15.6">
      <c r="A69" s="1372" t="s">
        <v>1209</v>
      </c>
      <c r="B69" s="1372"/>
      <c r="C69" s="1372"/>
      <c r="D69" s="13"/>
      <c r="E69" s="3" t="s">
        <v>198</v>
      </c>
      <c r="F69" s="13"/>
      <c r="G69" s="13"/>
      <c r="H69" s="13"/>
      <c r="I69" s="13"/>
      <c r="J69" s="13"/>
      <c r="K69" s="13"/>
      <c r="L69" s="13"/>
      <c r="M69" s="13"/>
      <c r="N69" s="13"/>
      <c r="O69" s="13"/>
      <c r="P69" s="13"/>
      <c r="Q69" s="13"/>
      <c r="R69" s="13"/>
      <c r="S69" s="13"/>
    </row>
    <row r="70" spans="1:19">
      <c r="A70" s="1373" t="s">
        <v>1103</v>
      </c>
      <c r="B70" s="1374"/>
      <c r="C70" s="1375"/>
      <c r="D70" s="13"/>
      <c r="E70" s="4" t="s">
        <v>199</v>
      </c>
      <c r="F70" s="13"/>
      <c r="G70" s="13"/>
      <c r="H70" s="13"/>
      <c r="I70" s="13"/>
      <c r="J70" s="13"/>
      <c r="K70" s="13"/>
      <c r="L70" s="13"/>
      <c r="M70" s="13"/>
      <c r="N70" s="13"/>
      <c r="O70" s="13"/>
      <c r="P70" s="13"/>
      <c r="Q70" s="13"/>
      <c r="R70" s="13"/>
      <c r="S70" s="13"/>
    </row>
    <row r="71" spans="1:19">
      <c r="A71" s="1373" t="s">
        <v>1104</v>
      </c>
      <c r="B71" s="1374"/>
      <c r="C71" s="1375"/>
      <c r="D71" s="13"/>
      <c r="E71" s="13"/>
      <c r="F71" s="13"/>
      <c r="G71" s="13"/>
      <c r="H71" s="13"/>
      <c r="I71" s="13"/>
      <c r="J71" s="13"/>
      <c r="K71" s="13"/>
      <c r="L71" s="13"/>
      <c r="M71" s="13"/>
      <c r="N71" s="13"/>
      <c r="O71" s="13"/>
      <c r="P71" s="13"/>
      <c r="Q71" s="13"/>
      <c r="R71" s="13"/>
      <c r="S71" s="13"/>
    </row>
    <row r="72" spans="1:19" ht="15.6">
      <c r="A72" s="1373" t="s">
        <v>1105</v>
      </c>
      <c r="B72" s="1374"/>
      <c r="C72" s="1375"/>
      <c r="D72" s="13"/>
      <c r="E72" s="32" t="s">
        <v>1211</v>
      </c>
      <c r="F72" s="13"/>
      <c r="G72" s="13"/>
      <c r="H72" s="13"/>
      <c r="I72" s="13"/>
      <c r="J72" s="13"/>
      <c r="K72" s="13"/>
      <c r="L72" s="13"/>
      <c r="M72" s="13"/>
      <c r="N72" s="13"/>
      <c r="O72" s="13"/>
      <c r="P72" s="13"/>
      <c r="Q72" s="13"/>
      <c r="R72" s="13"/>
      <c r="S72" s="13"/>
    </row>
    <row r="73" spans="1:19">
      <c r="A73" s="1373" t="s">
        <v>1106</v>
      </c>
      <c r="B73" s="1374"/>
      <c r="C73" s="1375"/>
      <c r="D73" s="13"/>
      <c r="E73" s="6" t="s">
        <v>180</v>
      </c>
      <c r="F73" s="13"/>
      <c r="G73" s="13"/>
      <c r="H73" s="13"/>
      <c r="I73" s="13"/>
      <c r="J73" s="13"/>
      <c r="K73" s="13"/>
      <c r="L73" s="13"/>
      <c r="M73" s="13"/>
      <c r="N73" s="13"/>
      <c r="O73" s="13"/>
      <c r="P73" s="13"/>
      <c r="Q73" s="13"/>
      <c r="R73" s="13"/>
      <c r="S73" s="13"/>
    </row>
    <row r="74" spans="1:19">
      <c r="A74" s="1373" t="s">
        <v>1107</v>
      </c>
      <c r="B74" s="1374"/>
      <c r="C74" s="1375"/>
      <c r="D74" s="13"/>
      <c r="E74" s="7" t="s">
        <v>1212</v>
      </c>
      <c r="F74" s="13"/>
      <c r="G74" s="13"/>
      <c r="H74" s="13"/>
      <c r="I74" s="13"/>
      <c r="J74" s="13"/>
      <c r="K74" s="13"/>
      <c r="L74" s="13"/>
      <c r="M74" s="13"/>
      <c r="N74" s="13"/>
      <c r="O74" s="13"/>
      <c r="P74" s="13"/>
      <c r="Q74" s="13"/>
      <c r="R74" s="13"/>
      <c r="S74" s="13"/>
    </row>
    <row r="75" spans="1:19">
      <c r="A75" s="1373" t="s">
        <v>1108</v>
      </c>
      <c r="B75" s="1374"/>
      <c r="C75" s="1375"/>
      <c r="D75" s="13"/>
      <c r="E75" s="7" t="s">
        <v>1213</v>
      </c>
      <c r="F75" s="13"/>
      <c r="G75" s="13"/>
      <c r="H75" s="13"/>
      <c r="I75" s="13"/>
      <c r="J75" s="13"/>
      <c r="K75" s="13"/>
      <c r="L75" s="13"/>
      <c r="M75" s="13"/>
      <c r="N75" s="13"/>
      <c r="O75" s="13"/>
      <c r="P75" s="13"/>
      <c r="Q75" s="13"/>
      <c r="R75" s="13"/>
      <c r="S75" s="13"/>
    </row>
    <row r="76" spans="1:19">
      <c r="A76" s="1373" t="s">
        <v>1109</v>
      </c>
      <c r="B76" s="1374"/>
      <c r="C76" s="1375"/>
      <c r="D76" s="13"/>
      <c r="E76" s="8" t="s">
        <v>1214</v>
      </c>
      <c r="F76" s="13"/>
      <c r="G76" s="13"/>
      <c r="H76" s="13"/>
      <c r="I76" s="13"/>
      <c r="J76" s="13"/>
      <c r="K76" s="13"/>
      <c r="L76" s="13"/>
      <c r="M76" s="13"/>
      <c r="N76" s="13"/>
      <c r="O76" s="13"/>
      <c r="P76" s="13"/>
      <c r="Q76" s="13"/>
      <c r="R76" s="13"/>
      <c r="S76" s="13"/>
    </row>
    <row r="77" spans="1:19">
      <c r="A77" s="1373" t="s">
        <v>1110</v>
      </c>
      <c r="B77" s="1374"/>
      <c r="C77" s="1375"/>
      <c r="D77" s="13"/>
      <c r="E77" s="13"/>
      <c r="F77" s="13"/>
      <c r="G77" s="13"/>
      <c r="H77" s="13"/>
      <c r="I77" s="13"/>
      <c r="J77" s="13"/>
      <c r="K77" s="13"/>
      <c r="L77" s="13"/>
      <c r="M77" s="13"/>
      <c r="N77" s="13"/>
      <c r="O77" s="13"/>
      <c r="P77" s="13"/>
      <c r="Q77" s="13"/>
      <c r="R77" s="13"/>
      <c r="S77" s="13"/>
    </row>
    <row r="78" spans="1:19" ht="15.6">
      <c r="A78" s="1373" t="s">
        <v>1111</v>
      </c>
      <c r="B78" s="1374"/>
      <c r="C78" s="1375"/>
      <c r="D78" s="13"/>
      <c r="E78" s="32" t="s">
        <v>1345</v>
      </c>
      <c r="F78" s="13"/>
      <c r="G78" s="13"/>
      <c r="H78" s="13"/>
      <c r="I78" s="13"/>
      <c r="J78" s="13"/>
      <c r="K78" s="13"/>
      <c r="L78" s="13"/>
      <c r="M78" s="13"/>
      <c r="N78" s="13"/>
      <c r="O78" s="13"/>
      <c r="P78" s="13"/>
      <c r="Q78" s="13"/>
      <c r="R78" s="13"/>
      <c r="S78" s="13"/>
    </row>
    <row r="79" spans="1:19">
      <c r="A79" s="1373" t="s">
        <v>1112</v>
      </c>
      <c r="B79" s="1374"/>
      <c r="C79" s="1375"/>
      <c r="D79" s="13"/>
      <c r="E79" s="59" t="s">
        <v>1343</v>
      </c>
      <c r="F79" s="13"/>
      <c r="G79" s="13"/>
      <c r="H79" s="13"/>
      <c r="I79" s="13"/>
      <c r="J79" s="13"/>
      <c r="K79" s="13"/>
      <c r="L79" s="13"/>
      <c r="M79" s="13"/>
      <c r="N79" s="13"/>
      <c r="O79" s="13"/>
      <c r="P79" s="13"/>
      <c r="Q79" s="13"/>
      <c r="R79" s="13"/>
      <c r="S79" s="13"/>
    </row>
    <row r="80" spans="1:19">
      <c r="A80" s="1373" t="s">
        <v>1113</v>
      </c>
      <c r="B80" s="1374"/>
      <c r="C80" s="1375"/>
      <c r="D80" s="13"/>
      <c r="E80" s="60" t="s">
        <v>1344</v>
      </c>
      <c r="F80" s="13"/>
      <c r="G80" s="13"/>
      <c r="H80" s="13"/>
      <c r="I80" s="13"/>
      <c r="J80" s="13"/>
      <c r="K80" s="13"/>
      <c r="L80" s="13"/>
      <c r="M80" s="13"/>
      <c r="N80" s="13"/>
      <c r="O80" s="13"/>
      <c r="P80" s="13"/>
      <c r="Q80" s="13"/>
      <c r="R80" s="13"/>
      <c r="S80" s="13"/>
    </row>
    <row r="81" spans="1:19">
      <c r="A81" s="1373" t="s">
        <v>1114</v>
      </c>
      <c r="B81" s="1374"/>
      <c r="C81" s="1375"/>
      <c r="D81" s="13"/>
      <c r="E81" s="13"/>
      <c r="F81" s="13"/>
      <c r="G81" s="13"/>
      <c r="H81" s="13"/>
      <c r="I81" s="13"/>
      <c r="J81" s="13"/>
      <c r="K81" s="13"/>
      <c r="L81" s="13"/>
      <c r="M81" s="13"/>
      <c r="N81" s="13"/>
      <c r="O81" s="13"/>
      <c r="P81" s="13"/>
      <c r="Q81" s="13"/>
      <c r="R81" s="13"/>
      <c r="S81" s="13"/>
    </row>
    <row r="82" spans="1:19" ht="15.6">
      <c r="A82" s="1373" t="s">
        <v>1115</v>
      </c>
      <c r="B82" s="1374"/>
      <c r="C82" s="1375"/>
      <c r="D82" s="13"/>
      <c r="E82" s="32" t="s">
        <v>1482</v>
      </c>
      <c r="F82" s="13"/>
      <c r="G82" s="13"/>
      <c r="H82" s="13"/>
      <c r="I82" s="13"/>
      <c r="J82" s="13"/>
      <c r="K82" s="13"/>
      <c r="L82" s="13"/>
      <c r="M82" s="13"/>
      <c r="N82" s="13"/>
      <c r="O82" s="13"/>
      <c r="P82" s="13"/>
      <c r="Q82" s="13"/>
      <c r="R82" s="13"/>
      <c r="S82" s="13"/>
    </row>
    <row r="83" spans="1:19">
      <c r="A83" s="1373" t="s">
        <v>1116</v>
      </c>
      <c r="B83" s="1374"/>
      <c r="C83" s="1375"/>
      <c r="D83" s="13"/>
      <c r="E83" s="59" t="s">
        <v>1480</v>
      </c>
      <c r="F83" s="13"/>
      <c r="G83" s="13"/>
      <c r="H83" s="13"/>
      <c r="I83" s="13"/>
      <c r="J83" s="13"/>
      <c r="K83" s="13"/>
      <c r="L83" s="13"/>
      <c r="M83" s="13"/>
      <c r="N83" s="13"/>
      <c r="O83" s="13"/>
      <c r="P83" s="13"/>
      <c r="Q83" s="13"/>
      <c r="R83" s="13"/>
      <c r="S83" s="13"/>
    </row>
    <row r="84" spans="1:19">
      <c r="A84" s="1373" t="s">
        <v>1117</v>
      </c>
      <c r="B84" s="1374"/>
      <c r="C84" s="1375"/>
      <c r="D84" s="13"/>
      <c r="E84" s="60" t="s">
        <v>1481</v>
      </c>
      <c r="F84" s="13"/>
      <c r="G84" s="13"/>
      <c r="H84" s="13"/>
      <c r="I84" s="13"/>
      <c r="J84" s="13"/>
      <c r="K84" s="13"/>
      <c r="L84" s="13"/>
      <c r="M84" s="13"/>
      <c r="N84" s="13"/>
      <c r="O84" s="13"/>
      <c r="P84" s="13"/>
      <c r="Q84" s="13"/>
      <c r="R84" s="13"/>
      <c r="S84" s="13"/>
    </row>
    <row r="85" spans="1:19">
      <c r="A85" s="1373" t="s">
        <v>1118</v>
      </c>
      <c r="B85" s="1374"/>
      <c r="C85" s="1375"/>
      <c r="D85" s="13"/>
      <c r="E85" s="13"/>
      <c r="F85" s="13"/>
      <c r="G85" s="13"/>
      <c r="H85" s="13"/>
      <c r="I85" s="13"/>
      <c r="J85" s="13"/>
      <c r="K85" s="13"/>
      <c r="L85" s="13"/>
      <c r="M85" s="13"/>
      <c r="N85" s="13"/>
      <c r="O85" s="13"/>
      <c r="P85" s="13"/>
      <c r="Q85" s="13"/>
      <c r="R85" s="13"/>
      <c r="S85" s="13"/>
    </row>
    <row r="86" spans="1:19" ht="15.6">
      <c r="A86" s="1373" t="s">
        <v>1119</v>
      </c>
      <c r="B86" s="1374"/>
      <c r="C86" s="1375"/>
      <c r="D86" s="13"/>
      <c r="E86" s="32" t="s">
        <v>1513</v>
      </c>
      <c r="F86" s="13"/>
      <c r="G86" s="13"/>
      <c r="H86" s="13"/>
      <c r="I86" s="13"/>
      <c r="J86" s="13"/>
      <c r="K86" s="13"/>
      <c r="L86" s="13"/>
      <c r="M86" s="13"/>
      <c r="N86" s="13"/>
      <c r="O86" s="13"/>
      <c r="P86" s="13"/>
      <c r="Q86" s="13"/>
      <c r="R86" s="13"/>
      <c r="S86" s="13"/>
    </row>
    <row r="87" spans="1:19">
      <c r="A87" s="1373" t="s">
        <v>1120</v>
      </c>
      <c r="B87" s="1374"/>
      <c r="C87" s="1375"/>
      <c r="D87" s="13"/>
      <c r="E87" s="6"/>
      <c r="F87" s="13"/>
      <c r="G87" s="13"/>
      <c r="H87" s="13"/>
      <c r="I87" s="13"/>
      <c r="J87" s="13"/>
      <c r="K87" s="13"/>
      <c r="L87" s="13"/>
      <c r="M87" s="13"/>
      <c r="N87" s="13"/>
      <c r="O87" s="13"/>
      <c r="P87" s="13"/>
      <c r="Q87" s="13"/>
      <c r="R87" s="13"/>
      <c r="S87" s="13"/>
    </row>
    <row r="88" spans="1:19">
      <c r="A88" s="1373" t="s">
        <v>1121</v>
      </c>
      <c r="B88" s="1374"/>
      <c r="C88" s="1375"/>
      <c r="D88" s="13"/>
      <c r="E88" s="7" t="s">
        <v>23</v>
      </c>
      <c r="F88" s="13"/>
      <c r="G88" s="13"/>
      <c r="H88" s="13"/>
      <c r="I88" s="13"/>
      <c r="J88" s="13"/>
      <c r="K88" s="13"/>
      <c r="L88" s="13"/>
      <c r="M88" s="13"/>
      <c r="N88" s="13"/>
      <c r="O88" s="13"/>
      <c r="P88" s="13"/>
      <c r="Q88" s="13"/>
      <c r="R88" s="13"/>
      <c r="S88" s="13"/>
    </row>
    <row r="89" spans="1:19">
      <c r="A89" s="1373" t="s">
        <v>1122</v>
      </c>
      <c r="B89" s="1374"/>
      <c r="C89" s="1375"/>
      <c r="D89" s="13"/>
      <c r="E89" s="8" t="s">
        <v>27</v>
      </c>
      <c r="F89" s="13"/>
      <c r="G89" s="13"/>
      <c r="H89" s="13"/>
      <c r="I89" s="13"/>
      <c r="J89" s="13"/>
      <c r="K89" s="13"/>
      <c r="L89" s="13"/>
      <c r="M89" s="13"/>
      <c r="N89" s="13"/>
      <c r="O89" s="13"/>
      <c r="P89" s="13"/>
      <c r="Q89" s="13"/>
      <c r="R89" s="13"/>
      <c r="S89" s="13"/>
    </row>
    <row r="90" spans="1:19">
      <c r="A90" s="1373" t="s">
        <v>1123</v>
      </c>
      <c r="B90" s="1374"/>
      <c r="C90" s="1375"/>
      <c r="D90" s="13"/>
      <c r="E90" s="13"/>
      <c r="F90" s="13"/>
      <c r="G90" s="13"/>
      <c r="H90" s="13"/>
      <c r="I90" s="13"/>
      <c r="J90" s="13"/>
      <c r="K90" s="13"/>
      <c r="L90" s="13"/>
      <c r="M90" s="13"/>
      <c r="N90" s="13"/>
      <c r="O90" s="13"/>
      <c r="P90" s="13"/>
      <c r="Q90" s="13"/>
      <c r="R90" s="13"/>
      <c r="S90" s="113"/>
    </row>
    <row r="91" spans="1:19">
      <c r="A91" s="1373" t="s">
        <v>1124</v>
      </c>
      <c r="B91" s="1374"/>
      <c r="C91" s="1375"/>
      <c r="D91" s="13"/>
      <c r="E91" s="13"/>
      <c r="F91" s="13"/>
      <c r="G91" s="13"/>
      <c r="H91" s="13"/>
      <c r="I91" s="13"/>
      <c r="J91" s="13"/>
      <c r="K91" s="13"/>
      <c r="L91" s="13"/>
      <c r="M91" s="13"/>
      <c r="N91" s="13"/>
      <c r="O91" s="13"/>
      <c r="P91" s="13"/>
      <c r="Q91" s="13"/>
      <c r="R91" s="13"/>
      <c r="S91" s="113"/>
    </row>
    <row r="92" spans="1:19">
      <c r="A92" s="1373" t="s">
        <v>1125</v>
      </c>
      <c r="B92" s="1374"/>
      <c r="C92" s="1375"/>
      <c r="D92" s="13"/>
      <c r="E92" s="13"/>
      <c r="F92" s="13"/>
      <c r="G92" s="13"/>
      <c r="H92" s="13"/>
      <c r="I92" s="13"/>
      <c r="J92" s="13"/>
      <c r="K92" s="13"/>
      <c r="L92" s="13"/>
      <c r="M92" s="13"/>
      <c r="N92" s="13"/>
      <c r="O92" s="13"/>
      <c r="P92" s="13"/>
      <c r="Q92" s="13"/>
      <c r="R92" s="13"/>
      <c r="S92" s="113"/>
    </row>
    <row r="93" spans="1:19">
      <c r="A93" s="1373" t="s">
        <v>1126</v>
      </c>
      <c r="B93" s="1374"/>
      <c r="C93" s="1375"/>
      <c r="D93" s="13"/>
      <c r="E93" s="13"/>
      <c r="F93" s="13"/>
      <c r="G93" s="13"/>
      <c r="H93" s="13"/>
      <c r="I93" s="13"/>
      <c r="J93" s="13"/>
      <c r="K93" s="13"/>
      <c r="L93" s="13"/>
      <c r="M93" s="13"/>
      <c r="N93" s="13"/>
      <c r="O93" s="13"/>
      <c r="P93" s="13"/>
      <c r="Q93" s="13"/>
      <c r="R93" s="13"/>
      <c r="S93" s="113"/>
    </row>
    <row r="94" spans="1:19">
      <c r="A94" s="1373" t="s">
        <v>1127</v>
      </c>
      <c r="B94" s="1374"/>
      <c r="C94" s="1375"/>
      <c r="D94" s="13"/>
      <c r="E94" s="13"/>
      <c r="F94" s="13"/>
      <c r="G94" s="13"/>
      <c r="H94" s="13"/>
      <c r="I94" s="13"/>
      <c r="J94" s="13"/>
      <c r="K94" s="13"/>
      <c r="L94" s="13"/>
      <c r="M94" s="13"/>
      <c r="N94" s="13"/>
      <c r="O94" s="13"/>
      <c r="P94" s="13"/>
      <c r="Q94" s="13"/>
      <c r="R94" s="13"/>
      <c r="S94" s="113"/>
    </row>
    <row r="95" spans="1:19">
      <c r="A95" s="1373" t="s">
        <v>1128</v>
      </c>
      <c r="B95" s="1374"/>
      <c r="C95" s="1375"/>
      <c r="D95" s="13"/>
      <c r="E95" s="13"/>
      <c r="F95" s="13"/>
      <c r="G95" s="13"/>
      <c r="H95" s="13"/>
      <c r="I95" s="13"/>
      <c r="J95" s="13"/>
      <c r="K95" s="13"/>
      <c r="L95" s="13"/>
      <c r="M95" s="13"/>
      <c r="N95" s="13"/>
      <c r="O95" s="13"/>
      <c r="P95" s="13"/>
      <c r="Q95" s="13"/>
      <c r="R95" s="13"/>
      <c r="S95" s="113"/>
    </row>
    <row r="96" spans="1:19">
      <c r="A96" s="1373" t="s">
        <v>1129</v>
      </c>
      <c r="B96" s="1374"/>
      <c r="C96" s="1375"/>
      <c r="D96" s="13"/>
      <c r="E96" s="13"/>
      <c r="F96" s="13"/>
      <c r="G96" s="13"/>
      <c r="H96" s="13"/>
      <c r="I96" s="13"/>
      <c r="J96" s="13"/>
      <c r="K96" s="13"/>
      <c r="L96" s="13"/>
      <c r="M96" s="13"/>
      <c r="N96" s="13"/>
      <c r="O96" s="13"/>
      <c r="P96" s="13"/>
      <c r="Q96" s="13"/>
      <c r="R96" s="13"/>
      <c r="S96" s="13"/>
    </row>
    <row r="97" spans="1:19">
      <c r="A97" s="1373" t="s">
        <v>1130</v>
      </c>
      <c r="B97" s="1374"/>
      <c r="C97" s="1375"/>
      <c r="D97" s="13"/>
      <c r="E97" s="13"/>
      <c r="F97" s="13"/>
      <c r="G97" s="13"/>
      <c r="H97" s="13"/>
      <c r="I97" s="13"/>
      <c r="J97" s="13"/>
      <c r="K97" s="13"/>
      <c r="L97" s="13"/>
      <c r="M97" s="13"/>
      <c r="N97" s="13"/>
      <c r="O97" s="13"/>
      <c r="P97" s="13"/>
      <c r="Q97" s="13"/>
      <c r="R97" s="13"/>
      <c r="S97" s="13"/>
    </row>
    <row r="98" spans="1:19">
      <c r="A98" s="1373" t="s">
        <v>1131</v>
      </c>
      <c r="B98" s="1374"/>
      <c r="C98" s="1375"/>
      <c r="D98" s="13"/>
      <c r="E98" s="13"/>
      <c r="F98" s="13"/>
      <c r="G98" s="13"/>
      <c r="H98" s="13"/>
      <c r="I98" s="13"/>
      <c r="J98" s="13"/>
      <c r="K98" s="13"/>
      <c r="L98" s="13"/>
      <c r="M98" s="13"/>
      <c r="N98" s="13"/>
      <c r="O98" s="13"/>
      <c r="P98" s="13"/>
      <c r="Q98" s="13"/>
      <c r="R98" s="13"/>
      <c r="S98" s="13"/>
    </row>
    <row r="99" spans="1:19">
      <c r="A99" s="1373" t="s">
        <v>1132</v>
      </c>
      <c r="B99" s="1374"/>
      <c r="C99" s="1375"/>
      <c r="D99" s="13"/>
      <c r="E99" s="13"/>
      <c r="F99" s="13"/>
      <c r="G99" s="13"/>
      <c r="H99" s="13"/>
      <c r="I99" s="13"/>
      <c r="J99" s="13"/>
      <c r="K99" s="13"/>
      <c r="L99" s="13"/>
      <c r="M99" s="13"/>
      <c r="N99" s="13"/>
      <c r="O99" s="13"/>
      <c r="P99" s="13"/>
      <c r="Q99" s="13"/>
      <c r="R99" s="13"/>
      <c r="S99" s="13"/>
    </row>
    <row r="100" spans="1:19">
      <c r="A100" s="1373" t="s">
        <v>1133</v>
      </c>
      <c r="B100" s="1374"/>
      <c r="C100" s="1375"/>
      <c r="D100" s="13"/>
      <c r="E100" s="13"/>
      <c r="F100" s="13"/>
      <c r="G100" s="13"/>
      <c r="H100" s="13"/>
      <c r="I100" s="13"/>
      <c r="J100" s="13"/>
      <c r="K100" s="13"/>
      <c r="L100" s="13"/>
      <c r="M100" s="13"/>
      <c r="N100" s="13"/>
      <c r="O100" s="13"/>
      <c r="P100" s="13"/>
      <c r="Q100" s="13"/>
      <c r="R100" s="13"/>
      <c r="S100" s="13"/>
    </row>
    <row r="101" spans="1:19">
      <c r="A101" s="1373" t="s">
        <v>1134</v>
      </c>
      <c r="B101" s="1374"/>
      <c r="C101" s="1375"/>
      <c r="D101" s="13"/>
      <c r="E101" s="13"/>
      <c r="F101" s="13"/>
      <c r="G101" s="13"/>
      <c r="H101" s="13"/>
      <c r="I101" s="13"/>
      <c r="J101" s="13"/>
      <c r="K101" s="13"/>
      <c r="L101" s="13"/>
      <c r="M101" s="13"/>
      <c r="N101" s="13"/>
      <c r="O101" s="13"/>
      <c r="P101" s="13"/>
      <c r="Q101" s="13"/>
      <c r="R101" s="13"/>
      <c r="S101" s="13"/>
    </row>
    <row r="102" spans="1:19">
      <c r="A102" s="1373" t="s">
        <v>1135</v>
      </c>
      <c r="B102" s="1374"/>
      <c r="C102" s="1375"/>
      <c r="D102" s="13"/>
      <c r="E102" s="13"/>
      <c r="F102" s="13"/>
      <c r="G102" s="13"/>
      <c r="H102" s="13"/>
      <c r="I102" s="13"/>
      <c r="J102" s="13"/>
      <c r="K102" s="13"/>
      <c r="L102" s="13"/>
      <c r="M102" s="13"/>
      <c r="N102" s="13"/>
      <c r="O102" s="13"/>
      <c r="P102" s="13"/>
      <c r="Q102" s="13"/>
      <c r="R102" s="13"/>
      <c r="S102" s="13"/>
    </row>
    <row r="103" spans="1:19">
      <c r="A103" s="1373" t="s">
        <v>1136</v>
      </c>
      <c r="B103" s="1374"/>
      <c r="C103" s="1375"/>
      <c r="D103" s="13"/>
      <c r="E103" s="13"/>
      <c r="F103" s="13"/>
      <c r="G103" s="13"/>
      <c r="H103" s="13"/>
      <c r="I103" s="13"/>
      <c r="J103" s="13"/>
      <c r="K103" s="13"/>
      <c r="L103" s="13"/>
      <c r="M103" s="13"/>
      <c r="N103" s="13"/>
      <c r="O103" s="13"/>
      <c r="P103" s="13"/>
      <c r="Q103" s="13"/>
      <c r="R103" s="13"/>
      <c r="S103" s="13"/>
    </row>
    <row r="104" spans="1:19">
      <c r="A104" s="1373" t="s">
        <v>1137</v>
      </c>
      <c r="B104" s="1374"/>
      <c r="C104" s="1375"/>
      <c r="D104" s="13"/>
      <c r="E104" s="13"/>
      <c r="F104" s="13"/>
      <c r="G104" s="13"/>
      <c r="H104" s="13"/>
      <c r="I104" s="13"/>
      <c r="J104" s="13"/>
      <c r="K104" s="13"/>
      <c r="L104" s="13"/>
      <c r="M104" s="13"/>
      <c r="N104" s="13"/>
      <c r="O104" s="13"/>
      <c r="P104" s="13"/>
      <c r="Q104" s="13"/>
      <c r="R104" s="13"/>
      <c r="S104" s="13"/>
    </row>
    <row r="105" spans="1:19">
      <c r="A105" s="1373" t="s">
        <v>1138</v>
      </c>
      <c r="B105" s="1374"/>
      <c r="C105" s="1375"/>
      <c r="D105" s="13"/>
      <c r="E105" s="13"/>
      <c r="F105" s="13"/>
      <c r="G105" s="13"/>
      <c r="H105" s="13"/>
      <c r="I105" s="13"/>
      <c r="J105" s="13"/>
      <c r="K105" s="13"/>
      <c r="L105" s="13"/>
      <c r="M105" s="13"/>
      <c r="N105" s="13"/>
      <c r="O105" s="13"/>
      <c r="P105" s="13"/>
      <c r="Q105" s="13"/>
      <c r="R105" s="13"/>
      <c r="S105" s="13"/>
    </row>
    <row r="106" spans="1:19">
      <c r="A106" s="1373" t="s">
        <v>1139</v>
      </c>
      <c r="B106" s="1374"/>
      <c r="C106" s="1375"/>
      <c r="D106" s="13"/>
      <c r="E106" s="13"/>
      <c r="F106" s="13"/>
      <c r="G106" s="13"/>
      <c r="H106" s="13"/>
      <c r="I106" s="13"/>
      <c r="J106" s="13"/>
      <c r="K106" s="13"/>
      <c r="L106" s="13"/>
      <c r="M106" s="13"/>
      <c r="N106" s="13"/>
      <c r="O106" s="13"/>
      <c r="P106" s="13"/>
      <c r="Q106" s="13"/>
      <c r="R106" s="13"/>
      <c r="S106" s="13"/>
    </row>
    <row r="107" spans="1:19">
      <c r="A107" s="1373" t="s">
        <v>1140</v>
      </c>
      <c r="B107" s="1374"/>
      <c r="C107" s="1375"/>
      <c r="D107" s="13"/>
      <c r="E107" s="13"/>
      <c r="F107" s="13"/>
      <c r="G107" s="13"/>
      <c r="H107" s="13"/>
      <c r="I107" s="13"/>
      <c r="J107" s="13"/>
      <c r="K107" s="13"/>
      <c r="L107" s="13"/>
      <c r="M107" s="13"/>
      <c r="N107" s="13"/>
      <c r="O107" s="13"/>
      <c r="P107" s="13"/>
      <c r="Q107" s="13"/>
      <c r="R107" s="13"/>
      <c r="S107" s="13"/>
    </row>
    <row r="108" spans="1:19">
      <c r="A108" s="1373" t="s">
        <v>1141</v>
      </c>
      <c r="B108" s="1374"/>
      <c r="C108" s="1375"/>
      <c r="D108" s="13"/>
      <c r="E108" s="13"/>
      <c r="F108" s="13"/>
      <c r="G108" s="13"/>
      <c r="H108" s="13"/>
      <c r="I108" s="13"/>
      <c r="J108" s="13"/>
      <c r="K108" s="13"/>
      <c r="L108" s="13"/>
      <c r="M108" s="13"/>
      <c r="N108" s="13"/>
      <c r="O108" s="13"/>
      <c r="P108" s="13"/>
      <c r="Q108" s="13"/>
      <c r="R108" s="13"/>
      <c r="S108" s="13"/>
    </row>
    <row r="109" spans="1:19">
      <c r="A109" s="1373" t="s">
        <v>1142</v>
      </c>
      <c r="B109" s="1374"/>
      <c r="C109" s="1375"/>
      <c r="D109" s="13"/>
      <c r="E109" s="13"/>
      <c r="F109" s="13"/>
      <c r="G109" s="13"/>
      <c r="H109" s="13"/>
      <c r="I109" s="13"/>
      <c r="J109" s="13"/>
      <c r="K109" s="13"/>
      <c r="L109" s="13"/>
      <c r="M109" s="13"/>
      <c r="N109" s="13"/>
      <c r="O109" s="13"/>
      <c r="P109" s="13"/>
      <c r="Q109" s="13"/>
      <c r="R109" s="13"/>
      <c r="S109" s="13"/>
    </row>
    <row r="110" spans="1:19">
      <c r="A110" s="1373" t="s">
        <v>1143</v>
      </c>
      <c r="B110" s="1374"/>
      <c r="C110" s="1375"/>
      <c r="D110" s="13"/>
      <c r="E110" s="13"/>
      <c r="F110" s="13"/>
      <c r="G110" s="13"/>
      <c r="H110" s="13"/>
      <c r="I110" s="13"/>
      <c r="J110" s="13"/>
      <c r="K110" s="13"/>
      <c r="L110" s="13"/>
      <c r="M110" s="13"/>
      <c r="N110" s="13"/>
      <c r="O110" s="13"/>
      <c r="P110" s="13"/>
      <c r="Q110" s="13"/>
      <c r="R110" s="13"/>
      <c r="S110" s="13"/>
    </row>
    <row r="111" spans="1:19">
      <c r="A111" s="1373" t="s">
        <v>1144</v>
      </c>
      <c r="B111" s="1374"/>
      <c r="C111" s="1375"/>
      <c r="D111" s="13"/>
      <c r="E111" s="13"/>
      <c r="F111" s="13"/>
      <c r="G111" s="13"/>
      <c r="H111" s="13"/>
      <c r="I111" s="13"/>
      <c r="J111" s="13"/>
      <c r="K111" s="13"/>
      <c r="L111" s="13"/>
      <c r="M111" s="13"/>
      <c r="N111" s="13"/>
      <c r="O111" s="13"/>
      <c r="P111" s="13"/>
      <c r="Q111" s="13"/>
      <c r="R111" s="13"/>
      <c r="S111" s="13"/>
    </row>
    <row r="112" spans="1:19">
      <c r="A112" s="1373" t="s">
        <v>1145</v>
      </c>
      <c r="B112" s="1374"/>
      <c r="C112" s="1375"/>
      <c r="D112" s="13"/>
      <c r="E112" s="13"/>
      <c r="F112" s="13"/>
      <c r="G112" s="13"/>
      <c r="H112" s="13"/>
      <c r="I112" s="13"/>
      <c r="J112" s="13"/>
      <c r="K112" s="13"/>
      <c r="L112" s="13"/>
      <c r="M112" s="13"/>
      <c r="N112" s="13"/>
      <c r="O112" s="13"/>
      <c r="P112" s="13"/>
      <c r="Q112" s="13"/>
      <c r="R112" s="13"/>
      <c r="S112" s="13"/>
    </row>
    <row r="113" spans="1:19">
      <c r="A113" s="1373" t="s">
        <v>1146</v>
      </c>
      <c r="B113" s="1374"/>
      <c r="C113" s="1375"/>
      <c r="D113" s="13"/>
      <c r="E113" s="13"/>
      <c r="F113" s="13"/>
      <c r="G113" s="13"/>
      <c r="H113" s="13"/>
      <c r="I113" s="13"/>
      <c r="J113" s="13"/>
      <c r="K113" s="13"/>
      <c r="L113" s="13"/>
      <c r="M113" s="13"/>
      <c r="N113" s="13"/>
      <c r="O113" s="13"/>
      <c r="P113" s="13"/>
      <c r="Q113" s="13"/>
      <c r="R113" s="13"/>
      <c r="S113" s="13"/>
    </row>
    <row r="114" spans="1:19">
      <c r="A114" s="1373" t="s">
        <v>1147</v>
      </c>
      <c r="B114" s="1374"/>
      <c r="C114" s="1375"/>
      <c r="D114" s="13"/>
      <c r="E114" s="13"/>
      <c r="F114" s="13"/>
      <c r="G114" s="13"/>
      <c r="H114" s="13"/>
      <c r="I114" s="13"/>
      <c r="J114" s="13"/>
      <c r="K114" s="13"/>
      <c r="L114" s="13"/>
      <c r="M114" s="13"/>
      <c r="N114" s="13"/>
      <c r="O114" s="13"/>
      <c r="P114" s="13"/>
      <c r="Q114" s="13"/>
      <c r="R114" s="13"/>
      <c r="S114" s="13"/>
    </row>
    <row r="115" spans="1:19">
      <c r="A115" s="1373" t="s">
        <v>1148</v>
      </c>
      <c r="B115" s="1374"/>
      <c r="C115" s="1375"/>
      <c r="D115" s="13"/>
      <c r="E115" s="13"/>
      <c r="F115" s="13"/>
      <c r="G115" s="13"/>
      <c r="H115" s="13"/>
      <c r="I115" s="13"/>
      <c r="J115" s="13"/>
      <c r="K115" s="13"/>
      <c r="L115" s="13"/>
      <c r="M115" s="13"/>
      <c r="N115" s="13"/>
      <c r="O115" s="13"/>
      <c r="P115" s="13"/>
      <c r="Q115" s="13"/>
      <c r="R115" s="13"/>
      <c r="S115" s="13"/>
    </row>
    <row r="116" spans="1:19">
      <c r="A116" s="1373" t="s">
        <v>1149</v>
      </c>
      <c r="B116" s="1374"/>
      <c r="C116" s="1375"/>
      <c r="D116" s="13"/>
      <c r="E116" s="13"/>
      <c r="F116" s="13"/>
      <c r="G116" s="13"/>
      <c r="H116" s="13"/>
      <c r="I116" s="13"/>
      <c r="J116" s="13"/>
      <c r="K116" s="13"/>
      <c r="L116" s="13"/>
      <c r="M116" s="13"/>
      <c r="N116" s="13"/>
      <c r="O116" s="13"/>
      <c r="P116" s="13"/>
      <c r="Q116" s="13"/>
      <c r="R116" s="13"/>
      <c r="S116" s="13"/>
    </row>
    <row r="117" spans="1:19">
      <c r="A117" s="1373" t="s">
        <v>1150</v>
      </c>
      <c r="B117" s="1374"/>
      <c r="C117" s="1375"/>
      <c r="D117" s="13"/>
      <c r="E117" s="13"/>
      <c r="F117" s="13"/>
      <c r="G117" s="13"/>
      <c r="H117" s="13"/>
      <c r="I117" s="13"/>
      <c r="J117" s="13"/>
      <c r="K117" s="13"/>
      <c r="L117" s="13"/>
      <c r="M117" s="13"/>
      <c r="N117" s="13"/>
      <c r="O117" s="13"/>
      <c r="P117" s="13"/>
      <c r="Q117" s="13"/>
      <c r="R117" s="13"/>
      <c r="S117" s="13"/>
    </row>
    <row r="118" spans="1:19">
      <c r="A118" s="1373" t="s">
        <v>1151</v>
      </c>
      <c r="B118" s="1374"/>
      <c r="C118" s="1375"/>
      <c r="D118" s="13"/>
      <c r="E118" s="13"/>
      <c r="F118" s="13"/>
      <c r="G118" s="13"/>
      <c r="H118" s="13"/>
      <c r="I118" s="13"/>
      <c r="J118" s="13"/>
      <c r="K118" s="13"/>
      <c r="L118" s="13"/>
      <c r="M118" s="13"/>
      <c r="N118" s="13"/>
      <c r="O118" s="13"/>
      <c r="P118" s="13"/>
      <c r="Q118" s="13"/>
      <c r="R118" s="13"/>
      <c r="S118" s="13"/>
    </row>
    <row r="119" spans="1:19">
      <c r="A119" s="1373" t="s">
        <v>1152</v>
      </c>
      <c r="B119" s="1374"/>
      <c r="C119" s="1375"/>
      <c r="D119" s="13"/>
      <c r="E119" s="13"/>
      <c r="F119" s="13"/>
      <c r="G119" s="13"/>
      <c r="H119" s="13"/>
      <c r="I119" s="13"/>
      <c r="J119" s="13"/>
      <c r="K119" s="13"/>
      <c r="L119" s="13"/>
      <c r="M119" s="13"/>
      <c r="N119" s="13"/>
      <c r="O119" s="13"/>
      <c r="P119" s="13"/>
      <c r="Q119" s="13"/>
      <c r="R119" s="13"/>
      <c r="S119" s="13"/>
    </row>
    <row r="120" spans="1:19">
      <c r="A120" s="1373" t="s">
        <v>1153</v>
      </c>
      <c r="B120" s="1374"/>
      <c r="C120" s="1375"/>
      <c r="D120" s="13"/>
      <c r="E120" s="13"/>
      <c r="F120" s="13"/>
      <c r="G120" s="13"/>
      <c r="H120" s="13"/>
      <c r="I120" s="13"/>
      <c r="J120" s="13"/>
      <c r="K120" s="13"/>
      <c r="L120" s="13"/>
      <c r="M120" s="13"/>
      <c r="N120" s="13"/>
      <c r="O120" s="13"/>
      <c r="P120" s="13"/>
      <c r="Q120" s="13"/>
      <c r="R120" s="13"/>
      <c r="S120" s="13"/>
    </row>
    <row r="121" spans="1:19">
      <c r="A121" s="1373" t="s">
        <v>1154</v>
      </c>
      <c r="B121" s="1374"/>
      <c r="C121" s="1375"/>
      <c r="D121" s="13"/>
      <c r="E121" s="13"/>
      <c r="F121" s="13"/>
      <c r="G121" s="13"/>
      <c r="H121" s="13"/>
      <c r="I121" s="13"/>
      <c r="J121" s="13"/>
      <c r="K121" s="13"/>
      <c r="L121" s="13"/>
      <c r="M121" s="13"/>
      <c r="N121" s="13"/>
      <c r="O121" s="13"/>
      <c r="P121" s="13"/>
      <c r="Q121" s="13"/>
      <c r="R121" s="13"/>
      <c r="S121" s="13"/>
    </row>
    <row r="122" spans="1:19">
      <c r="A122" s="1373" t="s">
        <v>1155</v>
      </c>
      <c r="B122" s="1374"/>
      <c r="C122" s="1375"/>
      <c r="D122" s="13"/>
      <c r="E122" s="13"/>
      <c r="F122" s="13"/>
      <c r="G122" s="13"/>
      <c r="H122" s="13"/>
      <c r="I122" s="13"/>
      <c r="J122" s="13"/>
      <c r="K122" s="13"/>
      <c r="L122" s="13"/>
      <c r="M122" s="13"/>
      <c r="N122" s="13"/>
      <c r="O122" s="13"/>
      <c r="P122" s="13"/>
      <c r="Q122" s="13"/>
      <c r="R122" s="13"/>
      <c r="S122" s="13"/>
    </row>
    <row r="123" spans="1:19">
      <c r="A123" s="1373" t="s">
        <v>1156</v>
      </c>
      <c r="B123" s="1374"/>
      <c r="C123" s="1375"/>
      <c r="D123" s="13"/>
      <c r="E123" s="13"/>
      <c r="F123" s="13"/>
      <c r="G123" s="13"/>
      <c r="H123" s="13"/>
      <c r="I123" s="13"/>
      <c r="J123" s="13"/>
      <c r="K123" s="13"/>
      <c r="L123" s="13"/>
      <c r="M123" s="13"/>
      <c r="N123" s="13"/>
      <c r="O123" s="13"/>
      <c r="P123" s="13"/>
      <c r="Q123" s="13"/>
      <c r="R123" s="13"/>
      <c r="S123" s="13"/>
    </row>
    <row r="124" spans="1:19">
      <c r="A124" s="1373" t="s">
        <v>1157</v>
      </c>
      <c r="B124" s="1374"/>
      <c r="C124" s="1375"/>
      <c r="D124" s="13"/>
      <c r="E124" s="13"/>
      <c r="F124" s="13"/>
      <c r="G124" s="13"/>
      <c r="H124" s="13"/>
      <c r="I124" s="13"/>
      <c r="J124" s="13"/>
      <c r="K124" s="13"/>
      <c r="L124" s="13"/>
      <c r="M124" s="13"/>
      <c r="N124" s="13"/>
      <c r="O124" s="13"/>
      <c r="P124" s="13"/>
      <c r="Q124" s="13"/>
      <c r="R124" s="13"/>
      <c r="S124" s="13"/>
    </row>
    <row r="125" spans="1:19">
      <c r="A125" s="1373" t="s">
        <v>1158</v>
      </c>
      <c r="B125" s="1374"/>
      <c r="C125" s="1375"/>
      <c r="D125" s="13"/>
      <c r="E125" s="13"/>
      <c r="F125" s="13"/>
      <c r="G125" s="13"/>
      <c r="H125" s="13"/>
      <c r="I125" s="13"/>
      <c r="J125" s="13"/>
      <c r="K125" s="13"/>
      <c r="L125" s="13"/>
      <c r="M125" s="13"/>
      <c r="N125" s="13"/>
      <c r="O125" s="13"/>
      <c r="P125" s="13"/>
      <c r="Q125" s="13"/>
      <c r="R125" s="13"/>
      <c r="S125" s="13"/>
    </row>
    <row r="126" spans="1:19">
      <c r="A126" s="1373" t="s">
        <v>1159</v>
      </c>
      <c r="B126" s="1374"/>
      <c r="C126" s="1375"/>
      <c r="D126" s="13"/>
      <c r="E126" s="13"/>
      <c r="F126" s="13"/>
      <c r="G126" s="13"/>
      <c r="H126" s="13"/>
      <c r="I126" s="13"/>
      <c r="J126" s="13"/>
      <c r="K126" s="13"/>
      <c r="L126" s="13"/>
      <c r="M126" s="13"/>
      <c r="N126" s="13"/>
      <c r="O126" s="13"/>
      <c r="P126" s="13"/>
      <c r="Q126" s="13"/>
      <c r="R126" s="13"/>
      <c r="S126" s="13"/>
    </row>
    <row r="127" spans="1:19">
      <c r="A127" s="1373" t="s">
        <v>1160</v>
      </c>
      <c r="B127" s="1374"/>
      <c r="C127" s="1375"/>
      <c r="D127" s="13"/>
      <c r="E127" s="13"/>
      <c r="F127" s="13"/>
      <c r="G127" s="13"/>
      <c r="H127" s="13"/>
      <c r="I127" s="13"/>
      <c r="J127" s="13"/>
      <c r="K127" s="13"/>
      <c r="L127" s="13"/>
      <c r="M127" s="13"/>
      <c r="N127" s="13"/>
      <c r="O127" s="13"/>
      <c r="P127" s="13"/>
      <c r="Q127" s="13"/>
      <c r="R127" s="13"/>
      <c r="S127" s="13"/>
    </row>
    <row r="128" spans="1:19">
      <c r="A128" s="1373" t="s">
        <v>1161</v>
      </c>
      <c r="B128" s="1374"/>
      <c r="C128" s="1375"/>
      <c r="D128" s="13"/>
      <c r="E128" s="13"/>
      <c r="F128" s="13"/>
      <c r="G128" s="13"/>
      <c r="H128" s="13"/>
      <c r="I128" s="13"/>
      <c r="J128" s="13"/>
      <c r="K128" s="13"/>
      <c r="L128" s="13"/>
      <c r="M128" s="13"/>
      <c r="N128" s="13"/>
      <c r="O128" s="13"/>
      <c r="P128" s="13"/>
      <c r="Q128" s="13"/>
      <c r="R128" s="13"/>
      <c r="S128" s="13"/>
    </row>
    <row r="129" spans="1:19">
      <c r="A129" s="1373" t="s">
        <v>1162</v>
      </c>
      <c r="B129" s="1374"/>
      <c r="C129" s="1375"/>
      <c r="D129" s="13"/>
      <c r="E129" s="13"/>
      <c r="F129" s="13"/>
      <c r="G129" s="13"/>
      <c r="H129" s="13"/>
      <c r="I129" s="13"/>
      <c r="J129" s="13"/>
      <c r="K129" s="13"/>
      <c r="L129" s="13"/>
      <c r="M129" s="13"/>
      <c r="N129" s="13"/>
      <c r="O129" s="13"/>
      <c r="P129" s="13"/>
      <c r="Q129" s="13"/>
      <c r="R129" s="13"/>
      <c r="S129" s="13"/>
    </row>
    <row r="130" spans="1:19">
      <c r="A130" s="1373" t="s">
        <v>1163</v>
      </c>
      <c r="B130" s="1374"/>
      <c r="C130" s="1375"/>
      <c r="D130" s="13"/>
      <c r="E130" s="13"/>
      <c r="F130" s="13"/>
      <c r="G130" s="13"/>
      <c r="H130" s="13"/>
      <c r="I130" s="13"/>
      <c r="J130" s="13"/>
      <c r="K130" s="13"/>
      <c r="L130" s="13"/>
      <c r="M130" s="13"/>
      <c r="N130" s="13"/>
      <c r="O130" s="13"/>
      <c r="P130" s="13"/>
      <c r="Q130" s="13"/>
      <c r="R130" s="13"/>
      <c r="S130" s="13"/>
    </row>
    <row r="131" spans="1:19">
      <c r="A131" s="1373" t="s">
        <v>1164</v>
      </c>
      <c r="B131" s="1374"/>
      <c r="C131" s="1375"/>
      <c r="D131" s="13"/>
      <c r="E131" s="13"/>
      <c r="F131" s="13"/>
      <c r="G131" s="13"/>
      <c r="H131" s="13"/>
      <c r="I131" s="13"/>
      <c r="J131" s="13"/>
      <c r="K131" s="13"/>
      <c r="L131" s="13"/>
      <c r="M131" s="13"/>
      <c r="N131" s="13"/>
      <c r="O131" s="13"/>
      <c r="P131" s="13"/>
      <c r="Q131" s="13"/>
      <c r="R131" s="13"/>
      <c r="S131" s="13"/>
    </row>
    <row r="132" spans="1:19">
      <c r="A132" s="1373" t="s">
        <v>1165</v>
      </c>
      <c r="B132" s="1374"/>
      <c r="C132" s="1375"/>
      <c r="D132" s="13"/>
      <c r="E132" s="13"/>
      <c r="F132" s="13"/>
      <c r="G132" s="13"/>
      <c r="H132" s="13"/>
      <c r="I132" s="13"/>
      <c r="J132" s="13"/>
      <c r="K132" s="13"/>
      <c r="L132" s="13"/>
      <c r="M132" s="13"/>
      <c r="N132" s="13"/>
      <c r="O132" s="13"/>
      <c r="P132" s="13"/>
      <c r="Q132" s="13"/>
      <c r="R132" s="13"/>
      <c r="S132" s="13"/>
    </row>
    <row r="133" spans="1:19">
      <c r="A133" s="1373" t="s">
        <v>1166</v>
      </c>
      <c r="B133" s="1374"/>
      <c r="C133" s="1375"/>
      <c r="D133" s="13"/>
      <c r="E133" s="13"/>
      <c r="F133" s="13"/>
      <c r="G133" s="13"/>
      <c r="H133" s="13"/>
      <c r="I133" s="13"/>
      <c r="J133" s="13"/>
      <c r="K133" s="13"/>
      <c r="L133" s="13"/>
      <c r="M133" s="13"/>
      <c r="N133" s="13"/>
      <c r="O133" s="13"/>
      <c r="P133" s="13"/>
      <c r="Q133" s="13"/>
      <c r="R133" s="13"/>
      <c r="S133" s="13"/>
    </row>
    <row r="134" spans="1:19">
      <c r="A134" s="1373" t="s">
        <v>1167</v>
      </c>
      <c r="B134" s="1374"/>
      <c r="C134" s="1375"/>
      <c r="D134" s="13"/>
      <c r="E134" s="13"/>
      <c r="F134" s="13"/>
      <c r="G134" s="13"/>
      <c r="H134" s="13"/>
      <c r="I134" s="13"/>
      <c r="J134" s="13"/>
      <c r="K134" s="13"/>
      <c r="L134" s="13"/>
      <c r="M134" s="13"/>
      <c r="N134" s="13"/>
      <c r="O134" s="13"/>
      <c r="P134" s="13"/>
      <c r="Q134" s="13"/>
      <c r="R134" s="13"/>
      <c r="S134" s="13"/>
    </row>
    <row r="135" spans="1:19">
      <c r="A135" s="1373" t="s">
        <v>1168</v>
      </c>
      <c r="B135" s="1374"/>
      <c r="C135" s="1375"/>
      <c r="D135" s="13"/>
      <c r="E135" s="13"/>
      <c r="F135" s="13"/>
      <c r="G135" s="13"/>
      <c r="H135" s="13"/>
      <c r="I135" s="13"/>
      <c r="J135" s="13"/>
      <c r="K135" s="13"/>
      <c r="L135" s="13"/>
      <c r="M135" s="13"/>
      <c r="N135" s="13"/>
      <c r="O135" s="13"/>
      <c r="P135" s="13"/>
      <c r="Q135" s="13"/>
      <c r="R135" s="13"/>
      <c r="S135" s="13"/>
    </row>
    <row r="136" spans="1:19">
      <c r="A136" s="1373" t="s">
        <v>1169</v>
      </c>
      <c r="B136" s="1374"/>
      <c r="C136" s="1375"/>
      <c r="D136" s="13"/>
      <c r="E136" s="13"/>
      <c r="F136" s="13"/>
      <c r="G136" s="13"/>
      <c r="H136" s="13"/>
      <c r="I136" s="13"/>
      <c r="J136" s="13"/>
      <c r="K136" s="13"/>
      <c r="L136" s="13"/>
      <c r="M136" s="13"/>
      <c r="N136" s="13"/>
      <c r="O136" s="13"/>
      <c r="P136" s="13"/>
      <c r="Q136" s="13"/>
      <c r="R136" s="13"/>
      <c r="S136" s="13"/>
    </row>
    <row r="137" spans="1:19">
      <c r="A137" s="1373" t="s">
        <v>1170</v>
      </c>
      <c r="B137" s="1374"/>
      <c r="C137" s="1375"/>
      <c r="D137" s="13"/>
      <c r="E137" s="13"/>
      <c r="F137" s="13"/>
      <c r="G137" s="13"/>
      <c r="H137" s="13"/>
      <c r="I137" s="13"/>
      <c r="J137" s="13"/>
      <c r="K137" s="13"/>
      <c r="L137" s="13"/>
      <c r="M137" s="13"/>
      <c r="N137" s="13"/>
      <c r="O137" s="13"/>
      <c r="P137" s="13"/>
      <c r="Q137" s="13"/>
      <c r="R137" s="13"/>
      <c r="S137" s="13"/>
    </row>
    <row r="138" spans="1:19">
      <c r="A138" s="1373" t="s">
        <v>1171</v>
      </c>
      <c r="B138" s="1374"/>
      <c r="C138" s="1375"/>
      <c r="D138" s="13"/>
      <c r="E138" s="13"/>
      <c r="F138" s="13"/>
      <c r="G138" s="13"/>
      <c r="H138" s="13"/>
      <c r="I138" s="13"/>
      <c r="J138" s="13"/>
      <c r="K138" s="13"/>
      <c r="L138" s="13"/>
      <c r="M138" s="13"/>
      <c r="N138" s="13"/>
      <c r="O138" s="13"/>
      <c r="P138" s="13"/>
      <c r="Q138" s="13"/>
      <c r="R138" s="13"/>
      <c r="S138" s="13"/>
    </row>
    <row r="139" spans="1:19">
      <c r="A139" s="1373" t="s">
        <v>1172</v>
      </c>
      <c r="B139" s="1374"/>
      <c r="C139" s="1375"/>
      <c r="D139" s="13"/>
      <c r="E139" s="13"/>
      <c r="F139" s="13"/>
      <c r="G139" s="13"/>
      <c r="H139" s="13"/>
      <c r="I139" s="13"/>
      <c r="J139" s="13"/>
      <c r="K139" s="13"/>
      <c r="L139" s="13"/>
      <c r="M139" s="13"/>
      <c r="N139" s="13"/>
      <c r="O139" s="13"/>
      <c r="P139" s="13"/>
      <c r="Q139" s="13"/>
      <c r="R139" s="13"/>
      <c r="S139" s="13"/>
    </row>
    <row r="140" spans="1:19">
      <c r="A140" s="1373" t="s">
        <v>1173</v>
      </c>
      <c r="B140" s="1374"/>
      <c r="C140" s="1375"/>
      <c r="D140" s="13"/>
      <c r="E140" s="13"/>
      <c r="F140" s="13"/>
      <c r="G140" s="13"/>
      <c r="H140" s="13"/>
      <c r="I140" s="13"/>
      <c r="J140" s="13"/>
      <c r="K140" s="13"/>
      <c r="L140" s="13"/>
      <c r="M140" s="13"/>
      <c r="N140" s="13"/>
      <c r="O140" s="13"/>
      <c r="P140" s="13"/>
      <c r="Q140" s="13"/>
      <c r="R140" s="13"/>
      <c r="S140" s="13"/>
    </row>
    <row r="141" spans="1:19">
      <c r="A141" s="1373" t="s">
        <v>1174</v>
      </c>
      <c r="B141" s="1374"/>
      <c r="C141" s="1375"/>
      <c r="D141" s="13"/>
      <c r="E141" s="13"/>
      <c r="F141" s="13"/>
      <c r="G141" s="13"/>
      <c r="H141" s="13"/>
      <c r="I141" s="13"/>
      <c r="J141" s="13"/>
      <c r="K141" s="13"/>
      <c r="L141" s="13"/>
      <c r="M141" s="13"/>
      <c r="N141" s="13"/>
      <c r="O141" s="13"/>
      <c r="P141" s="13"/>
      <c r="Q141" s="13"/>
      <c r="R141" s="13"/>
      <c r="S141" s="13"/>
    </row>
    <row r="142" spans="1:19">
      <c r="A142" s="1373" t="s">
        <v>1175</v>
      </c>
      <c r="B142" s="1374"/>
      <c r="C142" s="1375"/>
      <c r="D142" s="13"/>
      <c r="E142" s="13"/>
      <c r="F142" s="13"/>
      <c r="G142" s="13"/>
      <c r="H142" s="13"/>
      <c r="I142" s="13"/>
      <c r="J142" s="13"/>
      <c r="K142" s="13"/>
      <c r="L142" s="13"/>
      <c r="M142" s="13"/>
      <c r="N142" s="13"/>
      <c r="O142" s="13"/>
      <c r="P142" s="13"/>
      <c r="Q142" s="13"/>
      <c r="R142" s="13"/>
      <c r="S142" s="13"/>
    </row>
    <row r="143" spans="1:19">
      <c r="A143" s="1373" t="s">
        <v>1176</v>
      </c>
      <c r="B143" s="1374"/>
      <c r="C143" s="1375"/>
      <c r="D143" s="13"/>
      <c r="E143" s="13"/>
      <c r="F143" s="13"/>
      <c r="G143" s="13"/>
      <c r="H143" s="13"/>
      <c r="I143" s="13"/>
      <c r="J143" s="13"/>
      <c r="K143" s="13"/>
      <c r="L143" s="13"/>
      <c r="M143" s="13"/>
      <c r="N143" s="13"/>
      <c r="O143" s="13"/>
      <c r="P143" s="13"/>
      <c r="Q143" s="13"/>
      <c r="R143" s="13"/>
      <c r="S143" s="13"/>
    </row>
    <row r="144" spans="1:19">
      <c r="A144" s="1373" t="s">
        <v>1177</v>
      </c>
      <c r="B144" s="1374"/>
      <c r="C144" s="1375"/>
      <c r="D144" s="13"/>
      <c r="E144" s="13"/>
      <c r="F144" s="13"/>
      <c r="G144" s="13"/>
      <c r="H144" s="13"/>
      <c r="I144" s="13"/>
      <c r="J144" s="13"/>
      <c r="K144" s="13"/>
      <c r="L144" s="13"/>
      <c r="M144" s="13"/>
      <c r="N144" s="13"/>
      <c r="O144" s="13"/>
      <c r="P144" s="13"/>
      <c r="Q144" s="13"/>
      <c r="R144" s="13"/>
      <c r="S144" s="13"/>
    </row>
    <row r="145" spans="1:19">
      <c r="A145" s="1373" t="s">
        <v>1178</v>
      </c>
      <c r="B145" s="1374"/>
      <c r="C145" s="1375"/>
      <c r="D145" s="13"/>
      <c r="E145" s="13"/>
      <c r="F145" s="13"/>
      <c r="G145" s="13"/>
      <c r="H145" s="13"/>
      <c r="I145" s="13"/>
      <c r="J145" s="13"/>
      <c r="K145" s="13"/>
      <c r="L145" s="13"/>
      <c r="M145" s="13"/>
      <c r="N145" s="13"/>
      <c r="O145" s="13"/>
      <c r="P145" s="13"/>
      <c r="Q145" s="13"/>
      <c r="R145" s="13"/>
      <c r="S145" s="13"/>
    </row>
    <row r="146" spans="1:19">
      <c r="A146" s="1373" t="s">
        <v>1179</v>
      </c>
      <c r="B146" s="1374"/>
      <c r="C146" s="1375"/>
      <c r="D146" s="13"/>
      <c r="E146" s="13"/>
      <c r="F146" s="13"/>
      <c r="G146" s="13"/>
      <c r="H146" s="13"/>
      <c r="I146" s="13"/>
      <c r="J146" s="13"/>
      <c r="K146" s="13"/>
      <c r="L146" s="13"/>
      <c r="M146" s="13"/>
      <c r="N146" s="13"/>
      <c r="O146" s="13"/>
      <c r="P146" s="13"/>
      <c r="Q146" s="13"/>
      <c r="R146" s="13"/>
      <c r="S146" s="13"/>
    </row>
    <row r="147" spans="1:19">
      <c r="A147" s="1373" t="s">
        <v>1180</v>
      </c>
      <c r="B147" s="1374"/>
      <c r="C147" s="1375"/>
      <c r="D147" s="13"/>
      <c r="E147" s="13"/>
      <c r="F147" s="13"/>
      <c r="G147" s="13"/>
      <c r="H147" s="13"/>
      <c r="I147" s="13"/>
      <c r="J147" s="13"/>
      <c r="K147" s="13"/>
      <c r="L147" s="13"/>
      <c r="M147" s="13"/>
      <c r="N147" s="13"/>
      <c r="O147" s="13"/>
      <c r="P147" s="13"/>
      <c r="Q147" s="13"/>
      <c r="R147" s="13"/>
      <c r="S147" s="13"/>
    </row>
    <row r="148" spans="1:19">
      <c r="A148" s="1373" t="s">
        <v>1181</v>
      </c>
      <c r="B148" s="1374"/>
      <c r="C148" s="1375"/>
      <c r="D148" s="13"/>
      <c r="E148" s="13"/>
      <c r="F148" s="13"/>
      <c r="G148" s="13"/>
      <c r="H148" s="13"/>
      <c r="I148" s="13"/>
      <c r="J148" s="13"/>
      <c r="K148" s="13"/>
      <c r="L148" s="13"/>
      <c r="M148" s="13"/>
      <c r="N148" s="13"/>
      <c r="O148" s="13"/>
      <c r="P148" s="13"/>
      <c r="Q148" s="13"/>
      <c r="R148" s="13"/>
      <c r="S148" s="13"/>
    </row>
    <row r="149" spans="1:19">
      <c r="A149" s="1373" t="s">
        <v>1182</v>
      </c>
      <c r="B149" s="1374"/>
      <c r="C149" s="1375"/>
      <c r="D149" s="13"/>
      <c r="E149" s="13"/>
      <c r="F149" s="13"/>
      <c r="G149" s="13"/>
      <c r="H149" s="13"/>
      <c r="I149" s="13"/>
      <c r="J149" s="13"/>
      <c r="K149" s="13"/>
      <c r="L149" s="13"/>
      <c r="M149" s="13"/>
      <c r="N149" s="13"/>
      <c r="O149" s="13"/>
      <c r="P149" s="13"/>
      <c r="Q149" s="13"/>
      <c r="R149" s="13"/>
      <c r="S149" s="13"/>
    </row>
    <row r="150" spans="1:19">
      <c r="A150" s="1373" t="s">
        <v>1183</v>
      </c>
      <c r="B150" s="1374"/>
      <c r="C150" s="1375"/>
      <c r="D150" s="13"/>
      <c r="E150" s="13"/>
      <c r="F150" s="13"/>
      <c r="G150" s="13"/>
      <c r="H150" s="13"/>
      <c r="I150" s="13"/>
      <c r="J150" s="13"/>
      <c r="K150" s="13"/>
      <c r="L150" s="13"/>
      <c r="M150" s="13"/>
      <c r="N150" s="13"/>
      <c r="O150" s="13"/>
      <c r="P150" s="13"/>
      <c r="Q150" s="13"/>
      <c r="R150" s="13"/>
      <c r="S150" s="13"/>
    </row>
    <row r="151" spans="1:19">
      <c r="A151" s="1373" t="s">
        <v>1184</v>
      </c>
      <c r="B151" s="1374"/>
      <c r="C151" s="1375"/>
      <c r="D151" s="13"/>
      <c r="E151" s="13"/>
      <c r="F151" s="13"/>
      <c r="G151" s="13"/>
      <c r="H151" s="13"/>
      <c r="I151" s="13"/>
      <c r="J151" s="13"/>
      <c r="K151" s="13"/>
      <c r="L151" s="13"/>
      <c r="M151" s="13"/>
      <c r="N151" s="13"/>
      <c r="O151" s="13"/>
      <c r="P151" s="13"/>
      <c r="Q151" s="13"/>
      <c r="R151" s="13"/>
      <c r="S151" s="13"/>
    </row>
    <row r="152" spans="1:19">
      <c r="A152" s="1373" t="s">
        <v>1185</v>
      </c>
      <c r="B152" s="1374"/>
      <c r="C152" s="1375"/>
      <c r="D152" s="13"/>
      <c r="E152" s="13"/>
      <c r="F152" s="13"/>
      <c r="G152" s="13"/>
      <c r="H152" s="13"/>
      <c r="I152" s="13"/>
      <c r="J152" s="13"/>
      <c r="K152" s="13"/>
      <c r="L152" s="13"/>
      <c r="M152" s="13"/>
      <c r="N152" s="13"/>
      <c r="O152" s="13"/>
      <c r="P152" s="13"/>
      <c r="Q152" s="13"/>
      <c r="R152" s="13"/>
      <c r="S152" s="13"/>
    </row>
    <row r="153" spans="1:19">
      <c r="A153" s="1373" t="s">
        <v>1186</v>
      </c>
      <c r="B153" s="1374"/>
      <c r="C153" s="1375"/>
      <c r="D153" s="13"/>
      <c r="E153" s="13"/>
      <c r="F153" s="13"/>
      <c r="G153" s="13"/>
      <c r="H153" s="13"/>
      <c r="I153" s="13"/>
      <c r="J153" s="13"/>
      <c r="K153" s="13"/>
      <c r="L153" s="13"/>
      <c r="M153" s="13"/>
      <c r="N153" s="13"/>
      <c r="O153" s="13"/>
      <c r="P153" s="13"/>
      <c r="Q153" s="13"/>
      <c r="R153" s="13"/>
      <c r="S153" s="13"/>
    </row>
    <row r="154" spans="1:19">
      <c r="A154" s="1373" t="s">
        <v>1187</v>
      </c>
      <c r="B154" s="1374"/>
      <c r="C154" s="1375"/>
      <c r="D154" s="13"/>
      <c r="E154" s="13"/>
      <c r="F154" s="13"/>
      <c r="G154" s="13"/>
      <c r="H154" s="13"/>
      <c r="I154" s="13"/>
      <c r="J154" s="13"/>
      <c r="K154" s="13"/>
      <c r="L154" s="13"/>
      <c r="M154" s="13"/>
      <c r="N154" s="13"/>
      <c r="O154" s="13"/>
      <c r="P154" s="13"/>
      <c r="Q154" s="13"/>
      <c r="R154" s="13"/>
      <c r="S154" s="13"/>
    </row>
    <row r="155" spans="1:19">
      <c r="A155" s="1373" t="s">
        <v>1188</v>
      </c>
      <c r="B155" s="1374"/>
      <c r="C155" s="1375"/>
      <c r="D155" s="13"/>
      <c r="E155" s="13"/>
      <c r="F155" s="13"/>
      <c r="G155" s="13"/>
      <c r="H155" s="13"/>
      <c r="I155" s="13"/>
      <c r="J155" s="13"/>
      <c r="K155" s="13"/>
      <c r="L155" s="13"/>
      <c r="M155" s="13"/>
      <c r="N155" s="13"/>
      <c r="O155" s="13"/>
      <c r="P155" s="13"/>
      <c r="Q155" s="13"/>
      <c r="R155" s="13"/>
      <c r="S155" s="13"/>
    </row>
    <row r="156" spans="1:19">
      <c r="A156" s="1373" t="s">
        <v>1189</v>
      </c>
      <c r="B156" s="1374"/>
      <c r="C156" s="1375"/>
      <c r="D156" s="13"/>
      <c r="E156" s="13"/>
      <c r="F156" s="13"/>
      <c r="G156" s="13"/>
      <c r="H156" s="13"/>
      <c r="I156" s="13"/>
      <c r="J156" s="13"/>
      <c r="K156" s="13"/>
      <c r="L156" s="13"/>
      <c r="M156" s="13"/>
      <c r="N156" s="13"/>
      <c r="O156" s="13"/>
      <c r="P156" s="13"/>
      <c r="Q156" s="13"/>
      <c r="R156" s="13"/>
      <c r="S156" s="13"/>
    </row>
    <row r="157" spans="1:19">
      <c r="A157" s="1373" t="s">
        <v>1190</v>
      </c>
      <c r="B157" s="1374"/>
      <c r="C157" s="1375"/>
      <c r="D157" s="13"/>
      <c r="E157" s="13"/>
      <c r="F157" s="13"/>
      <c r="G157" s="13"/>
      <c r="H157" s="13"/>
      <c r="I157" s="13"/>
      <c r="J157" s="13"/>
      <c r="K157" s="13"/>
      <c r="L157" s="13"/>
      <c r="M157" s="13"/>
      <c r="N157" s="13"/>
      <c r="O157" s="13"/>
      <c r="P157" s="13"/>
      <c r="Q157" s="13"/>
      <c r="R157" s="13"/>
      <c r="S157" s="13"/>
    </row>
    <row r="158" spans="1:19">
      <c r="A158" s="1373" t="s">
        <v>1191</v>
      </c>
      <c r="B158" s="1374"/>
      <c r="C158" s="1375"/>
      <c r="D158" s="13"/>
      <c r="E158" s="13"/>
      <c r="F158" s="13"/>
      <c r="G158" s="13"/>
      <c r="H158" s="13"/>
      <c r="I158" s="13"/>
      <c r="J158" s="13"/>
      <c r="K158" s="13"/>
      <c r="L158" s="13"/>
      <c r="M158" s="13"/>
      <c r="N158" s="13"/>
      <c r="O158" s="13"/>
      <c r="P158" s="13"/>
      <c r="Q158" s="13"/>
      <c r="R158" s="13"/>
      <c r="S158" s="13"/>
    </row>
    <row r="159" spans="1:19">
      <c r="A159" s="1373" t="s">
        <v>1192</v>
      </c>
      <c r="B159" s="1374"/>
      <c r="C159" s="1375"/>
      <c r="D159" s="13"/>
      <c r="E159" s="13"/>
      <c r="F159" s="13"/>
      <c r="G159" s="13"/>
      <c r="H159" s="13"/>
      <c r="I159" s="13"/>
      <c r="J159" s="13"/>
      <c r="K159" s="13"/>
      <c r="L159" s="13"/>
      <c r="M159" s="13"/>
      <c r="N159" s="13"/>
      <c r="O159" s="13"/>
      <c r="P159" s="13"/>
      <c r="Q159" s="13"/>
      <c r="R159" s="13"/>
      <c r="S159" s="13"/>
    </row>
    <row r="160" spans="1:19">
      <c r="A160" s="1373" t="s">
        <v>1193</v>
      </c>
      <c r="B160" s="1374"/>
      <c r="C160" s="1375"/>
      <c r="D160" s="13"/>
      <c r="E160" s="13"/>
      <c r="F160" s="13"/>
      <c r="G160" s="13"/>
      <c r="H160" s="13"/>
      <c r="I160" s="13"/>
      <c r="J160" s="13"/>
      <c r="K160" s="13"/>
      <c r="L160" s="13"/>
      <c r="M160" s="13"/>
      <c r="N160" s="13"/>
      <c r="O160" s="13"/>
      <c r="P160" s="13"/>
      <c r="Q160" s="13"/>
      <c r="R160" s="13"/>
      <c r="S160" s="13"/>
    </row>
    <row r="161" spans="1:19">
      <c r="A161" s="1373" t="s">
        <v>1194</v>
      </c>
      <c r="B161" s="1374"/>
      <c r="C161" s="1375"/>
      <c r="D161" s="13"/>
      <c r="E161" s="13"/>
      <c r="F161" s="13"/>
      <c r="G161" s="13"/>
      <c r="H161" s="13"/>
      <c r="I161" s="13"/>
      <c r="J161" s="13"/>
      <c r="K161" s="13"/>
      <c r="L161" s="13"/>
      <c r="M161" s="13"/>
      <c r="N161" s="13"/>
      <c r="O161" s="13"/>
      <c r="P161" s="13"/>
      <c r="Q161" s="13"/>
      <c r="R161" s="13"/>
      <c r="S161" s="13"/>
    </row>
    <row r="162" spans="1:19">
      <c r="A162" s="1373" t="s">
        <v>1195</v>
      </c>
      <c r="B162" s="1374"/>
      <c r="C162" s="1375"/>
      <c r="D162" s="13"/>
      <c r="E162" s="13"/>
      <c r="F162" s="13"/>
      <c r="G162" s="13"/>
      <c r="H162" s="13"/>
      <c r="I162" s="13"/>
      <c r="J162" s="13"/>
      <c r="K162" s="13"/>
      <c r="L162" s="13"/>
      <c r="M162" s="13"/>
      <c r="N162" s="13"/>
      <c r="O162" s="13"/>
      <c r="P162" s="13"/>
      <c r="Q162" s="13"/>
      <c r="R162" s="13"/>
      <c r="S162" s="13"/>
    </row>
    <row r="163" spans="1:19">
      <c r="A163" s="1373" t="s">
        <v>1196</v>
      </c>
      <c r="B163" s="1374"/>
      <c r="C163" s="1375"/>
      <c r="D163" s="13"/>
      <c r="E163" s="13"/>
      <c r="F163" s="13"/>
      <c r="G163" s="13"/>
      <c r="H163" s="13"/>
      <c r="I163" s="13"/>
      <c r="J163" s="13"/>
      <c r="K163" s="13"/>
      <c r="L163" s="13"/>
      <c r="M163" s="13"/>
      <c r="N163" s="13"/>
      <c r="O163" s="13"/>
      <c r="P163" s="13"/>
      <c r="Q163" s="13"/>
      <c r="R163" s="13"/>
      <c r="S163" s="13"/>
    </row>
    <row r="164" spans="1:19">
      <c r="A164" s="1373" t="s">
        <v>1197</v>
      </c>
      <c r="B164" s="1374"/>
      <c r="C164" s="1375"/>
      <c r="D164" s="13"/>
      <c r="E164" s="13"/>
      <c r="F164" s="13"/>
      <c r="G164" s="13"/>
      <c r="H164" s="13"/>
      <c r="I164" s="13"/>
      <c r="J164" s="13"/>
      <c r="K164" s="13"/>
      <c r="L164" s="13"/>
      <c r="M164" s="13"/>
      <c r="N164" s="13"/>
      <c r="O164" s="13"/>
      <c r="P164" s="13"/>
      <c r="Q164" s="13"/>
      <c r="R164" s="13"/>
      <c r="S164" s="13"/>
    </row>
    <row r="165" spans="1:19">
      <c r="A165" s="1373" t="s">
        <v>1198</v>
      </c>
      <c r="B165" s="1374"/>
      <c r="C165" s="1375"/>
      <c r="D165" s="13"/>
      <c r="E165" s="13"/>
      <c r="F165" s="13"/>
      <c r="G165" s="13"/>
      <c r="H165" s="13"/>
      <c r="I165" s="13"/>
      <c r="J165" s="13"/>
      <c r="K165" s="13"/>
      <c r="L165" s="13"/>
      <c r="M165" s="13"/>
      <c r="N165" s="13"/>
      <c r="O165" s="13"/>
      <c r="P165" s="13"/>
      <c r="Q165" s="13"/>
      <c r="R165" s="13"/>
      <c r="S165" s="13"/>
    </row>
    <row r="166" spans="1:19">
      <c r="A166" s="1373" t="s">
        <v>1199</v>
      </c>
      <c r="B166" s="1374"/>
      <c r="C166" s="1375"/>
      <c r="D166" s="13"/>
      <c r="E166" s="13"/>
      <c r="F166" s="13"/>
      <c r="G166" s="13"/>
      <c r="H166" s="13"/>
      <c r="I166" s="13"/>
      <c r="J166" s="13"/>
      <c r="K166" s="13"/>
      <c r="L166" s="13"/>
      <c r="M166" s="13"/>
      <c r="N166" s="13"/>
      <c r="O166" s="13"/>
      <c r="P166" s="13"/>
      <c r="Q166" s="13"/>
      <c r="R166" s="13"/>
      <c r="S166" s="13"/>
    </row>
    <row r="167" spans="1:19">
      <c r="A167" s="1373" t="s">
        <v>1200</v>
      </c>
      <c r="B167" s="1374"/>
      <c r="C167" s="1375"/>
      <c r="D167" s="13"/>
      <c r="E167" s="13"/>
      <c r="F167" s="13"/>
      <c r="G167" s="13"/>
      <c r="H167" s="13"/>
      <c r="I167" s="13"/>
      <c r="J167" s="13"/>
      <c r="K167" s="13"/>
      <c r="L167" s="13"/>
      <c r="M167" s="13"/>
      <c r="N167" s="13"/>
      <c r="O167" s="13"/>
      <c r="P167" s="13"/>
      <c r="Q167" s="13"/>
      <c r="R167" s="13"/>
      <c r="S167" s="13"/>
    </row>
    <row r="168" spans="1:19">
      <c r="A168" s="1373" t="s">
        <v>1201</v>
      </c>
      <c r="B168" s="1374"/>
      <c r="C168" s="1375"/>
      <c r="D168" s="13"/>
      <c r="E168" s="13"/>
      <c r="F168" s="13"/>
      <c r="G168" s="13"/>
      <c r="H168" s="13"/>
      <c r="I168" s="13"/>
      <c r="J168" s="13"/>
      <c r="K168" s="13"/>
      <c r="L168" s="13"/>
      <c r="M168" s="13"/>
      <c r="N168" s="13"/>
      <c r="O168" s="13"/>
      <c r="P168" s="13"/>
      <c r="Q168" s="13"/>
      <c r="R168" s="13"/>
      <c r="S168" s="13"/>
    </row>
    <row r="169" spans="1:19">
      <c r="A169" s="1373" t="s">
        <v>1202</v>
      </c>
      <c r="B169" s="1374"/>
      <c r="C169" s="1375"/>
      <c r="D169" s="13"/>
      <c r="E169" s="13"/>
      <c r="F169" s="13"/>
      <c r="G169" s="13"/>
      <c r="H169" s="13"/>
      <c r="I169" s="13"/>
      <c r="J169" s="13"/>
      <c r="K169" s="13"/>
      <c r="L169" s="13"/>
      <c r="M169" s="13"/>
      <c r="N169" s="13"/>
      <c r="O169" s="13"/>
      <c r="P169" s="13"/>
      <c r="Q169" s="13"/>
      <c r="R169" s="13"/>
      <c r="S169" s="13"/>
    </row>
    <row r="170" spans="1:19">
      <c r="A170" s="1373" t="s">
        <v>1203</v>
      </c>
      <c r="B170" s="1374"/>
      <c r="C170" s="1375"/>
      <c r="D170" s="13"/>
      <c r="E170" s="13"/>
      <c r="F170" s="13"/>
      <c r="G170" s="13"/>
      <c r="H170" s="13"/>
      <c r="I170" s="13"/>
      <c r="J170" s="13"/>
      <c r="K170" s="13"/>
      <c r="L170" s="13"/>
      <c r="M170" s="13"/>
      <c r="N170" s="13"/>
      <c r="O170" s="13"/>
      <c r="P170" s="13"/>
      <c r="Q170" s="13"/>
      <c r="R170" s="13"/>
      <c r="S170" s="13"/>
    </row>
    <row r="171" spans="1:19">
      <c r="A171" s="1373" t="s">
        <v>1204</v>
      </c>
      <c r="B171" s="1374"/>
      <c r="C171" s="1375"/>
      <c r="D171" s="13"/>
      <c r="E171" s="13"/>
      <c r="F171" s="13"/>
      <c r="G171" s="13"/>
      <c r="H171" s="13"/>
      <c r="I171" s="13"/>
      <c r="J171" s="13"/>
      <c r="K171" s="13"/>
      <c r="L171" s="13"/>
      <c r="M171" s="13"/>
      <c r="N171" s="13"/>
      <c r="O171" s="13"/>
      <c r="P171" s="13"/>
      <c r="Q171" s="13"/>
      <c r="R171" s="13"/>
      <c r="S171" s="13"/>
    </row>
    <row r="172" spans="1:19">
      <c r="A172" s="1373" t="s">
        <v>1205</v>
      </c>
      <c r="B172" s="1374"/>
      <c r="C172" s="1375"/>
      <c r="D172" s="13"/>
      <c r="E172" s="13"/>
      <c r="F172" s="13"/>
      <c r="G172" s="13"/>
      <c r="H172" s="13"/>
      <c r="I172" s="13"/>
      <c r="J172" s="13"/>
      <c r="K172" s="13"/>
      <c r="L172" s="13"/>
      <c r="M172" s="13"/>
      <c r="N172" s="13"/>
      <c r="O172" s="13"/>
      <c r="P172" s="13"/>
      <c r="Q172" s="13"/>
      <c r="R172" s="13"/>
      <c r="S172" s="13"/>
    </row>
    <row r="173" spans="1:19">
      <c r="A173" s="1373" t="s">
        <v>1206</v>
      </c>
      <c r="B173" s="1374"/>
      <c r="C173" s="1375"/>
      <c r="D173" s="13"/>
      <c r="E173" s="13"/>
      <c r="F173" s="13"/>
      <c r="G173" s="13"/>
      <c r="H173" s="13"/>
      <c r="I173" s="13"/>
      <c r="J173" s="13"/>
      <c r="K173" s="13"/>
      <c r="L173" s="13"/>
      <c r="M173" s="13"/>
      <c r="N173" s="13"/>
      <c r="O173" s="13"/>
      <c r="P173" s="13"/>
      <c r="Q173" s="13"/>
      <c r="R173" s="13"/>
      <c r="S173" s="13"/>
    </row>
    <row r="174" spans="1:19">
      <c r="A174" s="1373" t="s">
        <v>1207</v>
      </c>
      <c r="B174" s="1374"/>
      <c r="C174" s="1375"/>
      <c r="D174" s="13"/>
      <c r="E174" s="13"/>
      <c r="F174" s="13"/>
      <c r="G174" s="13"/>
      <c r="H174" s="13"/>
      <c r="I174" s="13"/>
      <c r="J174" s="13"/>
      <c r="K174" s="13"/>
      <c r="L174" s="13"/>
      <c r="M174" s="13"/>
      <c r="N174" s="13"/>
      <c r="O174" s="13"/>
      <c r="P174" s="13"/>
      <c r="Q174" s="13"/>
      <c r="R174" s="13"/>
      <c r="S174" s="13"/>
    </row>
    <row r="175" spans="1:19">
      <c r="A175" s="1385" t="s">
        <v>1208</v>
      </c>
      <c r="B175" s="1386"/>
      <c r="C175" s="1387"/>
      <c r="D175" s="13"/>
      <c r="E175" s="13"/>
      <c r="F175" s="13"/>
      <c r="G175" s="13"/>
      <c r="H175" s="13"/>
      <c r="I175" s="13"/>
      <c r="J175" s="13"/>
      <c r="K175" s="13"/>
      <c r="L175" s="13"/>
      <c r="M175" s="13"/>
      <c r="N175" s="13"/>
      <c r="O175" s="13"/>
      <c r="P175" s="13"/>
      <c r="Q175" s="13"/>
      <c r="R175" s="13"/>
      <c r="S175" s="13"/>
    </row>
    <row r="176" spans="1:19">
      <c r="A176" s="13"/>
      <c r="B176" s="13"/>
      <c r="C176" s="13"/>
      <c r="D176" s="13"/>
      <c r="E176" s="13"/>
      <c r="F176" s="13"/>
      <c r="G176" s="13"/>
      <c r="H176" s="13"/>
      <c r="I176" s="13"/>
      <c r="J176" s="13"/>
      <c r="K176" s="13"/>
      <c r="L176" s="13"/>
      <c r="M176" s="13"/>
      <c r="N176" s="13"/>
      <c r="O176" s="13"/>
      <c r="P176" s="13"/>
      <c r="Q176" s="13"/>
      <c r="R176" s="13"/>
      <c r="S176" s="13"/>
    </row>
    <row r="177" spans="1:19">
      <c r="A177" s="13"/>
      <c r="B177" s="13"/>
      <c r="C177" s="13"/>
      <c r="D177" s="13"/>
      <c r="E177" s="13"/>
      <c r="F177" s="13"/>
      <c r="G177" s="13"/>
      <c r="H177" s="13"/>
      <c r="I177" s="13"/>
      <c r="J177" s="13"/>
      <c r="K177" s="13"/>
      <c r="L177" s="13"/>
      <c r="M177" s="13"/>
      <c r="N177" s="13"/>
      <c r="O177" s="13"/>
      <c r="P177" s="13"/>
      <c r="Q177" s="13"/>
      <c r="R177" s="13"/>
      <c r="S177" s="13"/>
    </row>
    <row r="178" spans="1:19">
      <c r="A178" s="13"/>
      <c r="B178" s="13"/>
      <c r="C178" s="13"/>
      <c r="D178" s="13"/>
      <c r="E178" s="13"/>
      <c r="F178" s="13"/>
      <c r="G178" s="13"/>
      <c r="H178" s="13"/>
      <c r="I178" s="13"/>
      <c r="J178" s="13"/>
      <c r="K178" s="13"/>
      <c r="L178" s="13"/>
      <c r="M178" s="13"/>
      <c r="N178" s="13"/>
      <c r="O178" s="13"/>
      <c r="P178" s="13"/>
      <c r="Q178" s="13"/>
      <c r="R178" s="13"/>
      <c r="S178" s="13"/>
    </row>
    <row r="179" spans="1:19">
      <c r="A179" s="13"/>
      <c r="B179" s="13"/>
      <c r="C179" s="13"/>
      <c r="D179" s="13"/>
      <c r="E179" s="13"/>
      <c r="F179" s="13"/>
      <c r="G179" s="13"/>
      <c r="H179" s="13"/>
      <c r="I179" s="13"/>
      <c r="J179" s="13"/>
      <c r="K179" s="13"/>
      <c r="L179" s="13"/>
      <c r="M179" s="13"/>
      <c r="N179" s="13"/>
      <c r="O179" s="13"/>
      <c r="P179" s="13"/>
      <c r="Q179" s="13"/>
      <c r="R179" s="13"/>
      <c r="S179" s="13"/>
    </row>
    <row r="180" spans="1:19">
      <c r="A180" s="13"/>
      <c r="B180" s="13"/>
      <c r="C180" s="13"/>
      <c r="D180" s="13"/>
      <c r="E180" s="13"/>
      <c r="F180" s="13"/>
      <c r="G180" s="13"/>
      <c r="H180" s="13"/>
      <c r="I180" s="13"/>
      <c r="J180" s="13"/>
      <c r="K180" s="13"/>
      <c r="L180" s="13"/>
      <c r="M180" s="13"/>
      <c r="N180" s="13"/>
      <c r="O180" s="13"/>
      <c r="P180" s="13"/>
      <c r="Q180" s="13"/>
      <c r="R180" s="13"/>
      <c r="S180" s="13"/>
    </row>
    <row r="181" spans="1:19">
      <c r="A181" s="13"/>
      <c r="B181" s="13"/>
      <c r="C181" s="13"/>
      <c r="D181" s="13"/>
      <c r="E181" s="13"/>
      <c r="F181" s="13"/>
      <c r="G181" s="13"/>
      <c r="H181" s="13"/>
      <c r="I181" s="13"/>
      <c r="J181" s="13"/>
      <c r="K181" s="13"/>
      <c r="L181" s="13"/>
      <c r="M181" s="13"/>
      <c r="N181" s="13"/>
      <c r="O181" s="13"/>
      <c r="P181" s="13"/>
      <c r="Q181" s="13"/>
      <c r="R181" s="13"/>
      <c r="S181" s="13"/>
    </row>
    <row r="182" spans="1:19">
      <c r="A182" s="13"/>
      <c r="B182" s="13"/>
      <c r="C182" s="13"/>
      <c r="D182" s="13"/>
      <c r="E182" s="13"/>
      <c r="F182" s="13"/>
      <c r="G182" s="13"/>
      <c r="H182" s="13"/>
      <c r="I182" s="13"/>
      <c r="J182" s="13"/>
      <c r="K182" s="13"/>
      <c r="L182" s="13"/>
      <c r="M182" s="13"/>
      <c r="N182" s="13"/>
      <c r="O182" s="13"/>
      <c r="P182" s="13"/>
      <c r="Q182" s="13"/>
      <c r="R182" s="13"/>
      <c r="S182" s="13"/>
    </row>
    <row r="183" spans="1:19">
      <c r="A183" s="13"/>
      <c r="B183" s="13"/>
      <c r="C183" s="13"/>
      <c r="D183" s="13"/>
      <c r="E183" s="13"/>
      <c r="F183" s="13"/>
      <c r="G183" s="13"/>
      <c r="H183" s="13"/>
      <c r="I183" s="13"/>
      <c r="J183" s="13"/>
      <c r="K183" s="13"/>
      <c r="L183" s="13"/>
      <c r="M183" s="13"/>
      <c r="N183" s="13"/>
      <c r="O183" s="13"/>
      <c r="P183" s="13"/>
      <c r="Q183" s="13"/>
      <c r="R183" s="13"/>
      <c r="S183" s="13"/>
    </row>
    <row r="184" spans="1:19">
      <c r="A184" s="13"/>
      <c r="B184" s="13"/>
      <c r="C184" s="13"/>
      <c r="D184" s="13"/>
      <c r="E184" s="13"/>
      <c r="F184" s="13"/>
      <c r="G184" s="13"/>
      <c r="H184" s="13"/>
      <c r="I184" s="13"/>
      <c r="J184" s="13"/>
      <c r="K184" s="13"/>
      <c r="L184" s="13"/>
      <c r="M184" s="13"/>
      <c r="N184" s="13"/>
      <c r="O184" s="13"/>
      <c r="P184" s="13"/>
      <c r="Q184" s="13"/>
      <c r="R184" s="13"/>
      <c r="S184" s="13"/>
    </row>
    <row r="185" spans="1:19">
      <c r="A185" s="13"/>
      <c r="B185" s="13"/>
      <c r="C185" s="13"/>
      <c r="D185" s="13"/>
      <c r="E185" s="13"/>
      <c r="F185" s="13"/>
      <c r="G185" s="13"/>
      <c r="H185" s="13"/>
      <c r="I185" s="13"/>
      <c r="J185" s="13"/>
      <c r="K185" s="13"/>
      <c r="L185" s="13"/>
      <c r="M185" s="13"/>
      <c r="N185" s="13"/>
      <c r="O185" s="13"/>
      <c r="P185" s="13"/>
      <c r="Q185" s="13"/>
      <c r="R185" s="13"/>
      <c r="S185" s="13"/>
    </row>
    <row r="186" spans="1:19">
      <c r="A186" s="13"/>
      <c r="B186" s="13"/>
      <c r="C186" s="13"/>
      <c r="D186" s="13"/>
      <c r="E186" s="13"/>
      <c r="F186" s="13"/>
      <c r="G186" s="13"/>
      <c r="H186" s="13"/>
      <c r="I186" s="13"/>
      <c r="J186" s="13"/>
      <c r="K186" s="13"/>
      <c r="L186" s="13"/>
      <c r="M186" s="13"/>
      <c r="N186" s="13"/>
      <c r="O186" s="13"/>
      <c r="P186" s="13"/>
      <c r="Q186" s="13"/>
      <c r="R186" s="13"/>
      <c r="S186" s="13"/>
    </row>
    <row r="187" spans="1:19">
      <c r="A187" s="13"/>
      <c r="B187" s="13"/>
      <c r="C187" s="13"/>
      <c r="D187" s="13"/>
      <c r="E187" s="13"/>
      <c r="F187" s="13"/>
      <c r="G187" s="13"/>
      <c r="H187" s="13"/>
      <c r="I187" s="13"/>
      <c r="J187" s="13"/>
      <c r="K187" s="13"/>
      <c r="L187" s="13"/>
      <c r="M187" s="13"/>
      <c r="N187" s="13"/>
      <c r="O187" s="13"/>
      <c r="P187" s="13"/>
      <c r="Q187" s="13"/>
      <c r="R187" s="13"/>
      <c r="S187" s="13"/>
    </row>
    <row r="188" spans="1:19">
      <c r="A188" s="13"/>
      <c r="B188" s="13"/>
      <c r="C188" s="13"/>
      <c r="D188" s="13"/>
      <c r="E188" s="13"/>
      <c r="F188" s="13"/>
      <c r="G188" s="13"/>
      <c r="H188" s="13"/>
      <c r="I188" s="13"/>
      <c r="J188" s="13"/>
      <c r="K188" s="13"/>
      <c r="L188" s="13"/>
      <c r="M188" s="13"/>
      <c r="N188" s="13"/>
      <c r="O188" s="13"/>
      <c r="P188" s="13"/>
      <c r="Q188" s="13"/>
      <c r="R188" s="13"/>
      <c r="S188" s="13"/>
    </row>
    <row r="189" spans="1:19">
      <c r="A189" s="13"/>
      <c r="B189" s="13"/>
      <c r="C189" s="13"/>
      <c r="D189" s="13"/>
      <c r="E189" s="13"/>
      <c r="F189" s="13"/>
      <c r="G189" s="13"/>
      <c r="H189" s="13"/>
      <c r="I189" s="13"/>
      <c r="J189" s="13"/>
      <c r="K189" s="13"/>
      <c r="L189" s="13"/>
      <c r="M189" s="13"/>
      <c r="N189" s="13"/>
      <c r="O189" s="13"/>
      <c r="P189" s="13"/>
      <c r="Q189" s="13"/>
      <c r="R189" s="13"/>
      <c r="S189" s="13"/>
    </row>
    <row r="190" spans="1:19">
      <c r="A190" s="13"/>
      <c r="B190" s="13"/>
      <c r="C190" s="13"/>
      <c r="D190" s="13"/>
      <c r="E190" s="13"/>
      <c r="F190" s="13"/>
      <c r="G190" s="13"/>
      <c r="H190" s="13"/>
      <c r="I190" s="13"/>
      <c r="J190" s="13"/>
      <c r="K190" s="13"/>
      <c r="L190" s="13"/>
      <c r="M190" s="13"/>
      <c r="N190" s="13"/>
      <c r="O190" s="13"/>
      <c r="P190" s="13"/>
      <c r="Q190" s="13"/>
      <c r="R190" s="13"/>
      <c r="S190" s="13"/>
    </row>
    <row r="191" spans="1:19">
      <c r="A191" s="13"/>
      <c r="B191" s="13"/>
      <c r="C191" s="13"/>
      <c r="D191" s="13"/>
      <c r="E191" s="13"/>
      <c r="F191" s="13"/>
      <c r="G191" s="13"/>
      <c r="H191" s="13"/>
      <c r="I191" s="13"/>
      <c r="J191" s="13"/>
      <c r="K191" s="13"/>
      <c r="L191" s="13"/>
      <c r="M191" s="13"/>
      <c r="N191" s="13"/>
      <c r="O191" s="13"/>
      <c r="P191" s="13"/>
      <c r="Q191" s="13"/>
      <c r="R191" s="13"/>
      <c r="S191" s="13"/>
    </row>
    <row r="192" spans="1:19">
      <c r="A192" s="13"/>
      <c r="B192" s="13"/>
      <c r="C192" s="13"/>
      <c r="D192" s="13"/>
      <c r="E192" s="13"/>
      <c r="F192" s="13"/>
      <c r="G192" s="13"/>
      <c r="H192" s="13"/>
      <c r="I192" s="13"/>
      <c r="J192" s="13"/>
      <c r="K192" s="13"/>
      <c r="L192" s="13"/>
      <c r="M192" s="13"/>
      <c r="N192" s="13"/>
      <c r="O192" s="13"/>
      <c r="P192" s="13"/>
      <c r="Q192" s="13"/>
      <c r="R192" s="13"/>
      <c r="S192" s="13"/>
    </row>
    <row r="193" spans="1:19">
      <c r="A193" s="13"/>
      <c r="B193" s="13"/>
      <c r="C193" s="13"/>
      <c r="D193" s="13"/>
      <c r="E193" s="13"/>
      <c r="F193" s="13"/>
      <c r="G193" s="13"/>
      <c r="H193" s="13"/>
      <c r="I193" s="13"/>
      <c r="J193" s="13"/>
      <c r="K193" s="13"/>
      <c r="L193" s="13"/>
      <c r="M193" s="13"/>
      <c r="N193" s="13"/>
      <c r="O193" s="13"/>
      <c r="P193" s="13"/>
      <c r="Q193" s="13"/>
      <c r="R193" s="13"/>
      <c r="S193" s="13"/>
    </row>
    <row r="194" spans="1:19">
      <c r="A194" s="13"/>
      <c r="B194" s="13"/>
      <c r="C194" s="13"/>
      <c r="D194" s="13"/>
      <c r="E194" s="13"/>
      <c r="F194" s="13"/>
      <c r="G194" s="13"/>
      <c r="H194" s="13"/>
      <c r="I194" s="13"/>
      <c r="J194" s="13"/>
      <c r="K194" s="13"/>
      <c r="L194" s="13"/>
      <c r="M194" s="13"/>
      <c r="N194" s="13"/>
      <c r="O194" s="13"/>
      <c r="P194" s="13"/>
      <c r="Q194" s="13"/>
      <c r="R194" s="13"/>
      <c r="S194" s="13"/>
    </row>
    <row r="195" spans="1:19">
      <c r="A195" s="13"/>
      <c r="B195" s="13"/>
      <c r="C195" s="13"/>
      <c r="D195" s="13"/>
      <c r="E195" s="13"/>
      <c r="F195" s="13"/>
      <c r="G195" s="13"/>
      <c r="H195" s="13"/>
      <c r="I195" s="13"/>
      <c r="J195" s="13"/>
      <c r="K195" s="13"/>
      <c r="L195" s="13"/>
      <c r="M195" s="13"/>
      <c r="N195" s="13"/>
      <c r="O195" s="13"/>
      <c r="P195" s="13"/>
      <c r="Q195" s="13"/>
      <c r="R195" s="13"/>
      <c r="S195" s="13"/>
    </row>
    <row r="196" spans="1:19">
      <c r="A196" s="13"/>
      <c r="B196" s="13"/>
      <c r="C196" s="13"/>
      <c r="D196" s="13"/>
      <c r="E196" s="13"/>
      <c r="F196" s="13"/>
      <c r="G196" s="13"/>
      <c r="H196" s="13"/>
      <c r="I196" s="13"/>
      <c r="J196" s="13"/>
      <c r="K196" s="13"/>
      <c r="L196" s="13"/>
      <c r="M196" s="13"/>
      <c r="N196" s="13"/>
      <c r="O196" s="13"/>
      <c r="P196" s="13"/>
      <c r="Q196" s="13"/>
      <c r="R196" s="13"/>
      <c r="S196" s="13"/>
    </row>
    <row r="197" spans="1:19">
      <c r="A197" s="13"/>
      <c r="B197" s="13"/>
      <c r="C197" s="13"/>
      <c r="D197" s="13"/>
      <c r="E197" s="13"/>
      <c r="F197" s="13"/>
      <c r="G197" s="13"/>
      <c r="H197" s="13"/>
      <c r="I197" s="13"/>
      <c r="J197" s="13"/>
      <c r="K197" s="13"/>
      <c r="L197" s="13"/>
      <c r="M197" s="13"/>
      <c r="N197" s="13"/>
      <c r="O197" s="13"/>
      <c r="P197" s="13"/>
      <c r="Q197" s="13"/>
      <c r="R197" s="13"/>
      <c r="S197" s="13"/>
    </row>
    <row r="198" spans="1:19">
      <c r="A198" s="13"/>
      <c r="B198" s="13"/>
      <c r="C198" s="13"/>
      <c r="D198" s="13"/>
      <c r="E198" s="13"/>
      <c r="F198" s="13"/>
      <c r="G198" s="13"/>
      <c r="H198" s="13"/>
      <c r="I198" s="13"/>
      <c r="J198" s="13"/>
      <c r="K198" s="13"/>
      <c r="L198" s="13"/>
      <c r="M198" s="13"/>
      <c r="N198" s="13"/>
      <c r="O198" s="13"/>
      <c r="P198" s="13"/>
      <c r="Q198" s="13"/>
      <c r="R198" s="13"/>
      <c r="S198" s="13"/>
    </row>
    <row r="199" spans="1:19">
      <c r="A199" s="13"/>
      <c r="B199" s="13"/>
      <c r="C199" s="13"/>
      <c r="D199" s="13"/>
      <c r="E199" s="13"/>
      <c r="F199" s="13"/>
      <c r="G199" s="13"/>
      <c r="H199" s="13"/>
      <c r="I199" s="13"/>
      <c r="J199" s="13"/>
      <c r="K199" s="13"/>
      <c r="L199" s="13"/>
      <c r="M199" s="13"/>
      <c r="N199" s="13"/>
      <c r="O199" s="13"/>
      <c r="P199" s="13"/>
      <c r="Q199" s="13"/>
      <c r="R199" s="13"/>
      <c r="S199" s="13"/>
    </row>
    <row r="200" spans="1:19">
      <c r="A200" s="13"/>
      <c r="B200" s="13"/>
      <c r="C200" s="13"/>
      <c r="D200" s="13"/>
      <c r="E200" s="13"/>
      <c r="F200" s="13"/>
      <c r="G200" s="13"/>
      <c r="H200" s="13"/>
      <c r="I200" s="13"/>
      <c r="J200" s="13"/>
      <c r="K200" s="13"/>
      <c r="L200" s="13"/>
      <c r="M200" s="13"/>
      <c r="N200" s="13"/>
      <c r="O200" s="13"/>
      <c r="P200" s="13"/>
      <c r="Q200" s="13"/>
      <c r="R200" s="13"/>
      <c r="S200" s="13"/>
    </row>
    <row r="201" spans="1:19">
      <c r="A201" s="13"/>
      <c r="B201" s="13"/>
      <c r="C201" s="13"/>
      <c r="D201" s="13"/>
      <c r="E201" s="13"/>
      <c r="F201" s="13"/>
      <c r="G201" s="13"/>
      <c r="H201" s="13"/>
      <c r="I201" s="13"/>
      <c r="J201" s="13"/>
      <c r="K201" s="13"/>
      <c r="L201" s="13"/>
      <c r="M201" s="13"/>
      <c r="N201" s="13"/>
      <c r="O201" s="13"/>
      <c r="P201" s="13"/>
      <c r="Q201" s="13"/>
      <c r="R201" s="13"/>
      <c r="S201" s="13"/>
    </row>
    <row r="202" spans="1:19">
      <c r="A202" s="13"/>
      <c r="B202" s="13"/>
      <c r="C202" s="13"/>
      <c r="D202" s="13"/>
      <c r="E202" s="13"/>
      <c r="F202" s="13"/>
      <c r="G202" s="13"/>
      <c r="H202" s="13"/>
      <c r="I202" s="13"/>
      <c r="J202" s="13"/>
      <c r="K202" s="13"/>
      <c r="L202" s="13"/>
      <c r="M202" s="13"/>
      <c r="N202" s="13"/>
      <c r="O202" s="13"/>
      <c r="P202" s="13"/>
      <c r="Q202" s="13"/>
      <c r="R202" s="13"/>
      <c r="S202" s="13"/>
    </row>
    <row r="203" spans="1:19">
      <c r="A203" s="13"/>
      <c r="B203" s="13"/>
      <c r="C203" s="13"/>
      <c r="D203" s="13"/>
      <c r="E203" s="13"/>
      <c r="F203" s="13"/>
      <c r="G203" s="13"/>
      <c r="H203" s="13"/>
      <c r="I203" s="13"/>
      <c r="J203" s="13"/>
      <c r="K203" s="13"/>
      <c r="L203" s="13"/>
      <c r="M203" s="13"/>
      <c r="N203" s="13"/>
      <c r="O203" s="13"/>
      <c r="P203" s="13"/>
      <c r="Q203" s="13"/>
      <c r="R203" s="13"/>
      <c r="S203" s="13"/>
    </row>
    <row r="204" spans="1:19">
      <c r="A204" s="13"/>
      <c r="B204" s="13"/>
      <c r="C204" s="13"/>
      <c r="D204" s="13"/>
      <c r="E204" s="13"/>
      <c r="F204" s="13"/>
      <c r="G204" s="13"/>
      <c r="H204" s="13"/>
      <c r="I204" s="13"/>
      <c r="J204" s="13"/>
      <c r="K204" s="13"/>
      <c r="L204" s="13"/>
      <c r="M204" s="13"/>
      <c r="N204" s="13"/>
      <c r="O204" s="13"/>
      <c r="P204" s="13"/>
      <c r="Q204" s="13"/>
      <c r="R204" s="13"/>
      <c r="S204" s="13"/>
    </row>
    <row r="205" spans="1:19">
      <c r="A205" s="13"/>
      <c r="B205" s="13"/>
      <c r="C205" s="13"/>
      <c r="D205" s="13"/>
      <c r="E205" s="13"/>
      <c r="F205" s="13"/>
      <c r="G205" s="13"/>
      <c r="H205" s="13"/>
      <c r="I205" s="13"/>
      <c r="J205" s="13"/>
      <c r="K205" s="13"/>
      <c r="L205" s="13"/>
      <c r="M205" s="13"/>
      <c r="N205" s="13"/>
      <c r="O205" s="13"/>
      <c r="P205" s="13"/>
      <c r="Q205" s="13"/>
      <c r="R205" s="13"/>
      <c r="S205" s="13"/>
    </row>
    <row r="206" spans="1:19">
      <c r="A206" s="13"/>
      <c r="B206" s="13"/>
      <c r="C206" s="13"/>
      <c r="D206" s="13"/>
      <c r="E206" s="13"/>
      <c r="F206" s="13"/>
      <c r="G206" s="13"/>
      <c r="H206" s="13"/>
      <c r="I206" s="13"/>
      <c r="J206" s="13"/>
      <c r="K206" s="13"/>
      <c r="L206" s="13"/>
      <c r="M206" s="13"/>
      <c r="N206" s="13"/>
      <c r="O206" s="13"/>
      <c r="P206" s="13"/>
      <c r="Q206" s="13"/>
      <c r="R206" s="13"/>
      <c r="S206" s="13"/>
    </row>
    <row r="207" spans="1:19">
      <c r="A207" s="13"/>
      <c r="B207" s="13"/>
      <c r="C207" s="13"/>
      <c r="D207" s="13"/>
      <c r="E207" s="13"/>
      <c r="F207" s="13"/>
      <c r="G207" s="13"/>
      <c r="H207" s="13"/>
      <c r="I207" s="13"/>
      <c r="J207" s="13"/>
      <c r="K207" s="13"/>
      <c r="L207" s="13"/>
      <c r="M207" s="13"/>
      <c r="N207" s="13"/>
      <c r="O207" s="13"/>
      <c r="P207" s="13"/>
      <c r="Q207" s="13"/>
      <c r="R207" s="13"/>
      <c r="S207" s="13"/>
    </row>
    <row r="208" spans="1:19">
      <c r="A208" s="13"/>
      <c r="B208" s="13"/>
      <c r="C208" s="13"/>
      <c r="D208" s="13"/>
      <c r="E208" s="13"/>
      <c r="F208" s="13"/>
      <c r="G208" s="13"/>
      <c r="H208" s="13"/>
      <c r="I208" s="13"/>
      <c r="J208" s="13"/>
      <c r="K208" s="13"/>
      <c r="L208" s="13"/>
      <c r="M208" s="13"/>
      <c r="N208" s="13"/>
      <c r="O208" s="13"/>
      <c r="P208" s="13"/>
      <c r="Q208" s="13"/>
      <c r="R208" s="13"/>
      <c r="S208" s="13"/>
    </row>
    <row r="209" spans="1:19">
      <c r="A209" s="13"/>
      <c r="B209" s="13"/>
      <c r="C209" s="13"/>
      <c r="D209" s="13"/>
      <c r="E209" s="13"/>
      <c r="F209" s="13"/>
      <c r="G209" s="13"/>
      <c r="H209" s="13"/>
      <c r="I209" s="13"/>
      <c r="J209" s="13"/>
      <c r="K209" s="13"/>
      <c r="L209" s="13"/>
      <c r="M209" s="13"/>
      <c r="N209" s="13"/>
      <c r="O209" s="13"/>
      <c r="P209" s="13"/>
      <c r="Q209" s="13"/>
      <c r="R209" s="13"/>
      <c r="S209" s="13"/>
    </row>
    <row r="210" spans="1:19">
      <c r="A210" s="13"/>
      <c r="B210" s="13"/>
      <c r="C210" s="13"/>
      <c r="D210" s="13"/>
      <c r="E210" s="13"/>
      <c r="F210" s="13"/>
      <c r="G210" s="13"/>
      <c r="H210" s="13"/>
      <c r="I210" s="13"/>
      <c r="J210" s="13"/>
      <c r="K210" s="13"/>
      <c r="L210" s="13"/>
      <c r="M210" s="13"/>
      <c r="N210" s="13"/>
      <c r="O210" s="13"/>
      <c r="P210" s="13"/>
      <c r="Q210" s="13"/>
      <c r="R210" s="13"/>
      <c r="S210" s="13"/>
    </row>
    <row r="211" spans="1:19">
      <c r="A211" s="13"/>
      <c r="B211" s="13"/>
      <c r="C211" s="13"/>
      <c r="D211" s="13"/>
      <c r="E211" s="13"/>
      <c r="F211" s="13"/>
      <c r="G211" s="13"/>
      <c r="H211" s="13"/>
      <c r="I211" s="13"/>
      <c r="J211" s="13"/>
      <c r="K211" s="13"/>
      <c r="L211" s="13"/>
      <c r="M211" s="13"/>
      <c r="N211" s="13"/>
      <c r="O211" s="13"/>
      <c r="P211" s="13"/>
      <c r="Q211" s="13"/>
      <c r="R211" s="13"/>
      <c r="S211" s="13"/>
    </row>
    <row r="212" spans="1:19">
      <c r="A212" s="13"/>
      <c r="B212" s="13"/>
      <c r="C212" s="13"/>
      <c r="D212" s="13"/>
      <c r="E212" s="13"/>
      <c r="F212" s="13"/>
      <c r="G212" s="13"/>
      <c r="H212" s="13"/>
      <c r="I212" s="13"/>
      <c r="J212" s="13"/>
      <c r="K212" s="13"/>
      <c r="L212" s="13"/>
      <c r="M212" s="13"/>
      <c r="N212" s="13"/>
      <c r="O212" s="13"/>
      <c r="P212" s="13"/>
      <c r="Q212" s="13"/>
      <c r="R212" s="13"/>
      <c r="S212" s="13"/>
    </row>
    <row r="213" spans="1:19">
      <c r="A213" s="13"/>
      <c r="B213" s="13"/>
      <c r="C213" s="13"/>
      <c r="D213" s="13"/>
      <c r="E213" s="13"/>
      <c r="F213" s="13"/>
      <c r="G213" s="13"/>
      <c r="H213" s="13"/>
      <c r="I213" s="13"/>
      <c r="J213" s="13"/>
      <c r="K213" s="13"/>
      <c r="L213" s="13"/>
      <c r="M213" s="13"/>
      <c r="N213" s="13"/>
      <c r="O213" s="13"/>
      <c r="P213" s="13"/>
      <c r="Q213" s="13"/>
      <c r="R213" s="13"/>
      <c r="S213" s="13"/>
    </row>
    <row r="214" spans="1:19">
      <c r="A214" s="13"/>
      <c r="B214" s="13"/>
      <c r="C214" s="13"/>
      <c r="D214" s="13"/>
      <c r="E214" s="13"/>
      <c r="F214" s="13"/>
      <c r="G214" s="13"/>
      <c r="H214" s="13"/>
      <c r="I214" s="13"/>
      <c r="J214" s="13"/>
      <c r="K214" s="13"/>
      <c r="L214" s="13"/>
      <c r="M214" s="13"/>
      <c r="N214" s="13"/>
      <c r="O214" s="13"/>
      <c r="P214" s="13"/>
      <c r="Q214" s="13"/>
      <c r="R214" s="13"/>
      <c r="S214" s="13"/>
    </row>
    <row r="215" spans="1:19">
      <c r="A215" s="13"/>
      <c r="B215" s="13"/>
      <c r="C215" s="13"/>
      <c r="D215" s="13"/>
      <c r="E215" s="13"/>
      <c r="F215" s="13"/>
      <c r="G215" s="13"/>
      <c r="H215" s="13"/>
      <c r="I215" s="13"/>
      <c r="J215" s="13"/>
      <c r="K215" s="13"/>
      <c r="L215" s="13"/>
      <c r="M215" s="13"/>
      <c r="N215" s="13"/>
      <c r="O215" s="13"/>
      <c r="P215" s="13"/>
      <c r="Q215" s="13"/>
      <c r="R215" s="13"/>
      <c r="S215" s="13"/>
    </row>
    <row r="216" spans="1:19">
      <c r="A216" s="13"/>
      <c r="B216" s="13"/>
      <c r="C216" s="13"/>
      <c r="D216" s="13"/>
      <c r="E216" s="13"/>
      <c r="F216" s="13"/>
      <c r="G216" s="13"/>
      <c r="H216" s="13"/>
      <c r="I216" s="13"/>
      <c r="J216" s="13"/>
      <c r="K216" s="13"/>
      <c r="L216" s="13"/>
      <c r="M216" s="13"/>
      <c r="N216" s="13"/>
      <c r="O216" s="13"/>
      <c r="P216" s="13"/>
      <c r="Q216" s="13"/>
      <c r="R216" s="13"/>
      <c r="S216" s="13"/>
    </row>
    <row r="217" spans="1:19">
      <c r="A217" s="13"/>
      <c r="B217" s="13"/>
      <c r="C217" s="13"/>
      <c r="D217" s="13"/>
      <c r="E217" s="13"/>
      <c r="F217" s="13"/>
      <c r="G217" s="13"/>
      <c r="H217" s="13"/>
      <c r="I217" s="13"/>
      <c r="J217" s="13"/>
      <c r="K217" s="13"/>
      <c r="L217" s="13"/>
      <c r="M217" s="13"/>
      <c r="N217" s="13"/>
      <c r="O217" s="13"/>
      <c r="P217" s="13"/>
      <c r="Q217" s="13"/>
      <c r="R217" s="13"/>
      <c r="S217" s="13"/>
    </row>
    <row r="218" spans="1:19">
      <c r="A218" s="13"/>
      <c r="B218" s="13"/>
      <c r="C218" s="13"/>
      <c r="D218" s="13"/>
      <c r="E218" s="13"/>
      <c r="F218" s="13"/>
      <c r="G218" s="13"/>
      <c r="H218" s="13"/>
      <c r="I218" s="13"/>
      <c r="J218" s="13"/>
      <c r="K218" s="13"/>
      <c r="L218" s="13"/>
      <c r="M218" s="13"/>
      <c r="N218" s="13"/>
      <c r="O218" s="13"/>
      <c r="P218" s="13"/>
      <c r="Q218" s="13"/>
      <c r="R218" s="13"/>
      <c r="S218" s="13"/>
    </row>
    <row r="219" spans="1:19">
      <c r="A219" s="13"/>
      <c r="B219" s="13"/>
      <c r="C219" s="13"/>
      <c r="D219" s="13"/>
      <c r="E219" s="13"/>
      <c r="F219" s="13"/>
      <c r="G219" s="13"/>
      <c r="H219" s="13"/>
      <c r="I219" s="13"/>
      <c r="J219" s="13"/>
      <c r="K219" s="13"/>
      <c r="L219" s="13"/>
      <c r="M219" s="13"/>
      <c r="N219" s="13"/>
      <c r="O219" s="13"/>
      <c r="P219" s="13"/>
      <c r="Q219" s="13"/>
      <c r="R219" s="13"/>
      <c r="S219" s="13"/>
    </row>
    <row r="220" spans="1:19">
      <c r="A220" s="13"/>
      <c r="B220" s="13"/>
      <c r="C220" s="13"/>
      <c r="D220" s="13"/>
      <c r="E220" s="13"/>
      <c r="F220" s="13"/>
      <c r="G220" s="13"/>
      <c r="H220" s="13"/>
      <c r="I220" s="13"/>
      <c r="J220" s="13"/>
      <c r="K220" s="13"/>
      <c r="L220" s="13"/>
      <c r="M220" s="13"/>
      <c r="N220" s="13"/>
      <c r="O220" s="13"/>
      <c r="P220" s="13"/>
      <c r="Q220" s="13"/>
      <c r="R220" s="13"/>
      <c r="S220" s="13"/>
    </row>
    <row r="221" spans="1:19">
      <c r="A221" s="13"/>
      <c r="B221" s="13"/>
      <c r="C221" s="13"/>
      <c r="D221" s="13"/>
      <c r="E221" s="13"/>
      <c r="F221" s="13"/>
      <c r="G221" s="13"/>
      <c r="H221" s="13"/>
      <c r="I221" s="13"/>
      <c r="J221" s="13"/>
      <c r="K221" s="13"/>
      <c r="L221" s="13"/>
      <c r="M221" s="13"/>
      <c r="N221" s="13"/>
      <c r="O221" s="13"/>
      <c r="P221" s="13"/>
      <c r="Q221" s="13"/>
      <c r="R221" s="13"/>
      <c r="S221" s="13"/>
    </row>
    <row r="222" spans="1:19">
      <c r="A222" s="13"/>
      <c r="B222" s="13"/>
      <c r="C222" s="13"/>
      <c r="D222" s="13"/>
      <c r="E222" s="13"/>
      <c r="F222" s="13"/>
      <c r="G222" s="13"/>
      <c r="H222" s="13"/>
      <c r="I222" s="13"/>
      <c r="J222" s="13"/>
      <c r="K222" s="13"/>
      <c r="L222" s="13"/>
      <c r="M222" s="13"/>
      <c r="N222" s="13"/>
      <c r="O222" s="13"/>
      <c r="P222" s="13"/>
      <c r="Q222" s="13"/>
      <c r="R222" s="13"/>
      <c r="S222" s="13"/>
    </row>
    <row r="223" spans="1:19">
      <c r="A223" s="13"/>
      <c r="B223" s="13"/>
      <c r="C223" s="13"/>
      <c r="D223" s="13"/>
      <c r="E223" s="13"/>
      <c r="F223" s="13"/>
      <c r="G223" s="13"/>
      <c r="H223" s="13"/>
      <c r="I223" s="13"/>
      <c r="J223" s="13"/>
      <c r="K223" s="13"/>
      <c r="L223" s="13"/>
      <c r="M223" s="13"/>
      <c r="N223" s="13"/>
      <c r="O223" s="13"/>
      <c r="P223" s="13"/>
      <c r="Q223" s="13"/>
      <c r="R223" s="13"/>
      <c r="S223" s="13"/>
    </row>
    <row r="224" spans="1:19">
      <c r="A224" s="13"/>
      <c r="B224" s="13"/>
      <c r="C224" s="13"/>
      <c r="D224" s="13"/>
      <c r="E224" s="13"/>
      <c r="F224" s="13"/>
      <c r="G224" s="13"/>
      <c r="H224" s="13"/>
      <c r="I224" s="13"/>
      <c r="J224" s="13"/>
      <c r="K224" s="13"/>
      <c r="L224" s="13"/>
      <c r="M224" s="13"/>
      <c r="N224" s="13"/>
      <c r="O224" s="13"/>
      <c r="P224" s="13"/>
      <c r="Q224" s="13"/>
      <c r="R224" s="13"/>
      <c r="S224" s="13"/>
    </row>
    <row r="225" spans="1:19">
      <c r="A225" s="13"/>
      <c r="B225" s="13"/>
      <c r="C225" s="13"/>
      <c r="D225" s="13"/>
      <c r="E225" s="13"/>
      <c r="F225" s="13"/>
      <c r="G225" s="13"/>
      <c r="H225" s="13"/>
      <c r="I225" s="13"/>
      <c r="J225" s="13"/>
      <c r="K225" s="13"/>
      <c r="L225" s="13"/>
      <c r="M225" s="13"/>
      <c r="N225" s="13"/>
      <c r="O225" s="13"/>
      <c r="P225" s="13"/>
      <c r="Q225" s="13"/>
      <c r="R225" s="13"/>
      <c r="S225" s="13"/>
    </row>
    <row r="226" spans="1:19">
      <c r="A226" s="13"/>
      <c r="B226" s="13"/>
      <c r="C226" s="13"/>
      <c r="D226" s="13"/>
      <c r="E226" s="13"/>
      <c r="F226" s="13"/>
      <c r="G226" s="13"/>
      <c r="H226" s="13"/>
      <c r="I226" s="13"/>
      <c r="J226" s="13"/>
      <c r="K226" s="13"/>
      <c r="L226" s="13"/>
      <c r="M226" s="13"/>
      <c r="N226" s="13"/>
      <c r="O226" s="13"/>
      <c r="P226" s="13"/>
      <c r="Q226" s="13"/>
      <c r="R226" s="13"/>
      <c r="S226" s="13"/>
    </row>
    <row r="227" spans="1:19">
      <c r="A227" s="13"/>
      <c r="B227" s="13"/>
      <c r="C227" s="13"/>
      <c r="D227" s="13"/>
      <c r="E227" s="13"/>
      <c r="F227" s="13"/>
      <c r="G227" s="13"/>
      <c r="H227" s="13"/>
      <c r="I227" s="13"/>
      <c r="J227" s="13"/>
      <c r="K227" s="13"/>
      <c r="L227" s="13"/>
      <c r="M227" s="13"/>
      <c r="N227" s="13"/>
      <c r="O227" s="13"/>
      <c r="P227" s="13"/>
      <c r="Q227" s="13"/>
      <c r="R227" s="13"/>
      <c r="S227" s="13"/>
    </row>
    <row r="228" spans="1:19">
      <c r="A228" s="13"/>
      <c r="B228" s="13"/>
      <c r="C228" s="13"/>
      <c r="D228" s="13"/>
      <c r="E228" s="13"/>
      <c r="F228" s="13"/>
      <c r="G228" s="13"/>
      <c r="H228" s="13"/>
      <c r="I228" s="13"/>
      <c r="J228" s="13"/>
      <c r="K228" s="13"/>
      <c r="L228" s="13"/>
      <c r="M228" s="13"/>
      <c r="N228" s="13"/>
      <c r="O228" s="13"/>
      <c r="P228" s="13"/>
      <c r="Q228" s="13"/>
      <c r="R228" s="13"/>
      <c r="S228" s="13"/>
    </row>
    <row r="229" spans="1:19">
      <c r="A229" s="13"/>
      <c r="B229" s="13"/>
      <c r="C229" s="13"/>
      <c r="D229" s="13"/>
      <c r="E229" s="13"/>
      <c r="F229" s="13"/>
      <c r="G229" s="13"/>
      <c r="H229" s="13"/>
      <c r="I229" s="13"/>
      <c r="J229" s="13"/>
      <c r="K229" s="13"/>
      <c r="L229" s="13"/>
      <c r="M229" s="13"/>
      <c r="N229" s="13"/>
      <c r="O229" s="13"/>
      <c r="P229" s="13"/>
      <c r="Q229" s="13"/>
      <c r="R229" s="13"/>
      <c r="S229" s="13"/>
    </row>
    <row r="230" spans="1:19">
      <c r="A230" s="13"/>
      <c r="B230" s="13"/>
      <c r="C230" s="13"/>
      <c r="D230" s="13"/>
      <c r="E230" s="13"/>
      <c r="F230" s="13"/>
      <c r="G230" s="13"/>
      <c r="H230" s="13"/>
      <c r="I230" s="13"/>
      <c r="J230" s="13"/>
      <c r="K230" s="13"/>
      <c r="L230" s="13"/>
      <c r="M230" s="13"/>
      <c r="N230" s="13"/>
      <c r="O230" s="13"/>
      <c r="P230" s="13"/>
      <c r="Q230" s="13"/>
      <c r="R230" s="13"/>
      <c r="S230" s="13"/>
    </row>
    <row r="231" spans="1:19">
      <c r="A231" s="13"/>
      <c r="B231" s="13"/>
      <c r="C231" s="13"/>
      <c r="D231" s="13"/>
      <c r="E231" s="13"/>
      <c r="F231" s="13"/>
      <c r="G231" s="13"/>
      <c r="H231" s="13"/>
      <c r="I231" s="13"/>
      <c r="J231" s="13"/>
      <c r="K231" s="13"/>
      <c r="L231" s="13"/>
      <c r="M231" s="13"/>
      <c r="N231" s="13"/>
      <c r="O231" s="13"/>
      <c r="P231" s="13"/>
      <c r="Q231" s="13"/>
      <c r="R231" s="13"/>
      <c r="S231" s="13"/>
    </row>
    <row r="232" spans="1:19">
      <c r="A232" s="13"/>
      <c r="B232" s="13"/>
      <c r="C232" s="13"/>
      <c r="D232" s="13"/>
      <c r="E232" s="13"/>
      <c r="F232" s="13"/>
      <c r="G232" s="13"/>
      <c r="H232" s="13"/>
      <c r="I232" s="13"/>
      <c r="J232" s="13"/>
      <c r="K232" s="13"/>
      <c r="L232" s="13"/>
      <c r="M232" s="13"/>
      <c r="N232" s="13"/>
      <c r="O232" s="13"/>
      <c r="P232" s="13"/>
      <c r="Q232" s="13"/>
      <c r="R232" s="13"/>
      <c r="S232" s="13"/>
    </row>
    <row r="233" spans="1:19">
      <c r="A233" s="13"/>
      <c r="B233" s="13"/>
      <c r="C233" s="13"/>
      <c r="D233" s="13"/>
      <c r="E233" s="13"/>
      <c r="F233" s="13"/>
      <c r="G233" s="13"/>
      <c r="H233" s="13"/>
      <c r="I233" s="13"/>
      <c r="J233" s="13"/>
      <c r="K233" s="13"/>
      <c r="L233" s="13"/>
      <c r="M233" s="13"/>
      <c r="N233" s="13"/>
      <c r="O233" s="13"/>
      <c r="P233" s="13"/>
      <c r="Q233" s="13"/>
      <c r="R233" s="13"/>
      <c r="S233" s="13"/>
    </row>
    <row r="234" spans="1:19">
      <c r="A234" s="13"/>
      <c r="B234" s="13"/>
      <c r="C234" s="13"/>
      <c r="D234" s="13"/>
      <c r="E234" s="13"/>
      <c r="F234" s="13"/>
      <c r="G234" s="13"/>
      <c r="H234" s="13"/>
      <c r="I234" s="13"/>
      <c r="J234" s="13"/>
      <c r="K234" s="13"/>
      <c r="L234" s="13"/>
      <c r="M234" s="13"/>
      <c r="N234" s="13"/>
      <c r="O234" s="13"/>
      <c r="P234" s="13"/>
      <c r="Q234" s="13"/>
      <c r="R234" s="13"/>
      <c r="S234" s="13"/>
    </row>
    <row r="235" spans="1:19">
      <c r="A235" s="13"/>
      <c r="B235" s="13"/>
      <c r="C235" s="13"/>
      <c r="D235" s="13"/>
      <c r="E235" s="13"/>
      <c r="F235" s="13"/>
      <c r="G235" s="13"/>
      <c r="H235" s="13"/>
      <c r="I235" s="13"/>
      <c r="J235" s="13"/>
      <c r="K235" s="13"/>
      <c r="L235" s="13"/>
      <c r="M235" s="13"/>
      <c r="N235" s="13"/>
      <c r="O235" s="13"/>
      <c r="P235" s="13"/>
      <c r="Q235" s="13"/>
      <c r="R235" s="13"/>
      <c r="S235" s="13"/>
    </row>
    <row r="236" spans="1:19">
      <c r="A236" s="13"/>
      <c r="B236" s="13"/>
      <c r="C236" s="13"/>
      <c r="D236" s="13"/>
      <c r="E236" s="13"/>
      <c r="F236" s="13"/>
      <c r="G236" s="13"/>
      <c r="H236" s="13"/>
      <c r="I236" s="13"/>
      <c r="J236" s="13"/>
      <c r="K236" s="13"/>
      <c r="L236" s="13"/>
      <c r="M236" s="13"/>
      <c r="N236" s="13"/>
      <c r="O236" s="13"/>
      <c r="P236" s="13"/>
      <c r="Q236" s="13"/>
      <c r="R236" s="13"/>
      <c r="S236" s="13"/>
    </row>
    <row r="237" spans="1:19">
      <c r="A237" s="13"/>
      <c r="B237" s="13"/>
      <c r="C237" s="13"/>
      <c r="D237" s="13"/>
      <c r="E237" s="13"/>
      <c r="F237" s="13"/>
      <c r="G237" s="13"/>
      <c r="H237" s="13"/>
      <c r="I237" s="13"/>
      <c r="J237" s="13"/>
      <c r="K237" s="13"/>
      <c r="L237" s="13"/>
      <c r="M237" s="13"/>
      <c r="N237" s="13"/>
      <c r="O237" s="13"/>
      <c r="P237" s="13"/>
      <c r="Q237" s="13"/>
      <c r="R237" s="13"/>
      <c r="S237" s="13"/>
    </row>
    <row r="238" spans="1:19">
      <c r="A238" s="13"/>
      <c r="B238" s="13"/>
      <c r="C238" s="13"/>
      <c r="D238" s="13"/>
      <c r="E238" s="13"/>
      <c r="F238" s="13"/>
      <c r="G238" s="13"/>
      <c r="H238" s="13"/>
      <c r="I238" s="13"/>
      <c r="J238" s="13"/>
      <c r="K238" s="13"/>
      <c r="L238" s="13"/>
      <c r="M238" s="13"/>
      <c r="N238" s="13"/>
      <c r="O238" s="13"/>
      <c r="P238" s="13"/>
      <c r="Q238" s="13"/>
      <c r="R238" s="13"/>
      <c r="S238" s="13"/>
    </row>
    <row r="239" spans="1:19">
      <c r="A239" s="13"/>
      <c r="B239" s="13"/>
      <c r="C239" s="13"/>
      <c r="D239" s="13"/>
      <c r="E239" s="13"/>
      <c r="F239" s="13"/>
      <c r="G239" s="13"/>
      <c r="H239" s="13"/>
      <c r="I239" s="13"/>
      <c r="J239" s="13"/>
      <c r="K239" s="13"/>
      <c r="L239" s="13"/>
      <c r="M239" s="13"/>
      <c r="N239" s="13"/>
      <c r="O239" s="13"/>
      <c r="P239" s="13"/>
      <c r="Q239" s="13"/>
      <c r="R239" s="13"/>
      <c r="S239" s="13"/>
    </row>
    <row r="240" spans="1:19">
      <c r="A240" s="13"/>
      <c r="B240" s="13"/>
      <c r="C240" s="13"/>
      <c r="D240" s="13"/>
      <c r="E240" s="13"/>
      <c r="F240" s="13"/>
      <c r="G240" s="13"/>
      <c r="H240" s="13"/>
      <c r="I240" s="13"/>
      <c r="J240" s="13"/>
      <c r="K240" s="13"/>
      <c r="L240" s="13"/>
      <c r="M240" s="13"/>
      <c r="N240" s="13"/>
      <c r="O240" s="13"/>
      <c r="P240" s="13"/>
      <c r="Q240" s="13"/>
      <c r="R240" s="13"/>
      <c r="S240" s="13"/>
    </row>
    <row r="241" spans="1:19">
      <c r="A241" s="13"/>
      <c r="B241" s="13"/>
      <c r="C241" s="13"/>
      <c r="D241" s="13"/>
      <c r="E241" s="13"/>
      <c r="F241" s="13"/>
      <c r="G241" s="13"/>
      <c r="H241" s="13"/>
      <c r="I241" s="13"/>
      <c r="J241" s="13"/>
      <c r="K241" s="13"/>
      <c r="L241" s="13"/>
      <c r="M241" s="13"/>
      <c r="N241" s="13"/>
      <c r="O241" s="13"/>
      <c r="P241" s="13"/>
      <c r="Q241" s="13"/>
      <c r="R241" s="13"/>
      <c r="S241" s="13"/>
    </row>
    <row r="242" spans="1:19">
      <c r="A242" s="13"/>
      <c r="B242" s="13"/>
      <c r="C242" s="13"/>
      <c r="D242" s="13"/>
      <c r="E242" s="13"/>
      <c r="F242" s="13"/>
      <c r="G242" s="13"/>
      <c r="H242" s="13"/>
      <c r="I242" s="13"/>
      <c r="J242" s="13"/>
      <c r="K242" s="13"/>
      <c r="L242" s="13"/>
      <c r="M242" s="13"/>
      <c r="N242" s="13"/>
      <c r="O242" s="13"/>
      <c r="P242" s="13"/>
      <c r="Q242" s="13"/>
      <c r="R242" s="13"/>
      <c r="S242" s="13"/>
    </row>
    <row r="243" spans="1:19">
      <c r="A243" s="13"/>
      <c r="B243" s="13"/>
      <c r="C243" s="13"/>
      <c r="D243" s="13"/>
      <c r="E243" s="13"/>
      <c r="F243" s="13"/>
      <c r="G243" s="13"/>
      <c r="H243" s="13"/>
      <c r="I243" s="13"/>
      <c r="J243" s="13"/>
      <c r="K243" s="13"/>
      <c r="L243" s="13"/>
      <c r="M243" s="13"/>
      <c r="N243" s="13"/>
      <c r="O243" s="13"/>
      <c r="P243" s="13"/>
      <c r="Q243" s="13"/>
      <c r="R243" s="13"/>
      <c r="S243" s="13"/>
    </row>
    <row r="244" spans="1:19">
      <c r="A244" s="13"/>
      <c r="B244" s="13"/>
      <c r="C244" s="13"/>
      <c r="D244" s="13"/>
      <c r="E244" s="13"/>
      <c r="F244" s="13"/>
      <c r="G244" s="13"/>
      <c r="H244" s="13"/>
      <c r="I244" s="13"/>
      <c r="J244" s="13"/>
      <c r="K244" s="13"/>
      <c r="L244" s="13"/>
      <c r="M244" s="13"/>
      <c r="N244" s="13"/>
      <c r="O244" s="13"/>
      <c r="P244" s="13"/>
      <c r="Q244" s="13"/>
      <c r="R244" s="13"/>
      <c r="S244" s="13"/>
    </row>
    <row r="245" spans="1:19">
      <c r="A245" s="13"/>
      <c r="B245" s="13"/>
      <c r="C245" s="13"/>
      <c r="D245" s="13"/>
      <c r="E245" s="13"/>
      <c r="F245" s="13"/>
      <c r="G245" s="13"/>
      <c r="H245" s="13"/>
      <c r="I245" s="13"/>
      <c r="J245" s="13"/>
      <c r="K245" s="13"/>
      <c r="L245" s="13"/>
      <c r="M245" s="13"/>
      <c r="N245" s="13"/>
      <c r="O245" s="13"/>
      <c r="P245" s="13"/>
      <c r="Q245" s="13"/>
      <c r="R245" s="13"/>
      <c r="S245" s="13"/>
    </row>
    <row r="246" spans="1:19">
      <c r="A246" s="13"/>
      <c r="B246" s="13"/>
      <c r="C246" s="13"/>
      <c r="D246" s="13"/>
      <c r="E246" s="13"/>
      <c r="F246" s="13"/>
      <c r="G246" s="13"/>
      <c r="H246" s="13"/>
      <c r="I246" s="13"/>
      <c r="J246" s="13"/>
      <c r="K246" s="13"/>
      <c r="L246" s="13"/>
      <c r="M246" s="13"/>
      <c r="N246" s="13"/>
      <c r="O246" s="13"/>
      <c r="P246" s="13"/>
      <c r="Q246" s="13"/>
      <c r="R246" s="13"/>
      <c r="S246" s="13"/>
    </row>
    <row r="247" spans="1:19">
      <c r="A247" s="13"/>
      <c r="B247" s="13"/>
      <c r="C247" s="13"/>
      <c r="D247" s="13"/>
      <c r="E247" s="13"/>
      <c r="F247" s="13"/>
      <c r="G247" s="13"/>
      <c r="H247" s="13"/>
      <c r="I247" s="13"/>
      <c r="J247" s="13"/>
      <c r="K247" s="13"/>
      <c r="L247" s="13"/>
      <c r="M247" s="13"/>
      <c r="N247" s="13"/>
      <c r="O247" s="13"/>
      <c r="P247" s="13"/>
      <c r="Q247" s="13"/>
      <c r="R247" s="13"/>
      <c r="S247" s="13"/>
    </row>
    <row r="248" spans="1:19">
      <c r="A248" s="13"/>
      <c r="B248" s="13"/>
      <c r="C248" s="13"/>
      <c r="D248" s="13"/>
      <c r="E248" s="13"/>
      <c r="F248" s="13"/>
      <c r="G248" s="13"/>
      <c r="H248" s="13"/>
      <c r="I248" s="13"/>
      <c r="J248" s="13"/>
      <c r="K248" s="13"/>
      <c r="L248" s="13"/>
      <c r="M248" s="13"/>
      <c r="N248" s="13"/>
      <c r="O248" s="13"/>
      <c r="P248" s="13"/>
      <c r="Q248" s="13"/>
      <c r="R248" s="13"/>
      <c r="S248" s="13"/>
    </row>
    <row r="249" spans="1:19">
      <c r="A249" s="13"/>
      <c r="B249" s="13"/>
      <c r="C249" s="13"/>
      <c r="D249" s="13"/>
      <c r="E249" s="13"/>
      <c r="F249" s="13"/>
      <c r="G249" s="13"/>
      <c r="H249" s="13"/>
      <c r="I249" s="13"/>
      <c r="J249" s="13"/>
      <c r="K249" s="13"/>
      <c r="L249" s="13"/>
      <c r="M249" s="13"/>
      <c r="N249" s="13"/>
      <c r="O249" s="13"/>
      <c r="P249" s="13"/>
      <c r="Q249" s="13"/>
      <c r="R249" s="13"/>
      <c r="S249" s="13"/>
    </row>
    <row r="250" spans="1:19">
      <c r="A250" s="13"/>
      <c r="B250" s="13"/>
      <c r="C250" s="13"/>
      <c r="D250" s="13"/>
      <c r="E250" s="13"/>
      <c r="F250" s="13"/>
      <c r="G250" s="13"/>
      <c r="H250" s="13"/>
      <c r="I250" s="13"/>
      <c r="J250" s="13"/>
      <c r="K250" s="13"/>
      <c r="L250" s="13"/>
      <c r="M250" s="13"/>
      <c r="N250" s="13"/>
      <c r="O250" s="13"/>
      <c r="P250" s="13"/>
      <c r="Q250" s="13"/>
      <c r="R250" s="13"/>
      <c r="S250" s="13"/>
    </row>
    <row r="251" spans="1:19">
      <c r="A251" s="13"/>
      <c r="B251" s="13"/>
      <c r="C251" s="13"/>
      <c r="D251" s="13"/>
      <c r="E251" s="13"/>
      <c r="F251" s="13"/>
      <c r="G251" s="13"/>
      <c r="H251" s="13"/>
      <c r="I251" s="13"/>
      <c r="J251" s="13"/>
      <c r="K251" s="13"/>
      <c r="L251" s="13"/>
      <c r="M251" s="13"/>
      <c r="N251" s="13"/>
      <c r="O251" s="13"/>
      <c r="P251" s="13"/>
      <c r="Q251" s="13"/>
      <c r="R251" s="13"/>
      <c r="S251" s="13"/>
    </row>
    <row r="252" spans="1:19">
      <c r="A252" s="13"/>
      <c r="B252" s="13"/>
      <c r="C252" s="13"/>
      <c r="D252" s="13"/>
      <c r="E252" s="13"/>
      <c r="F252" s="13"/>
      <c r="G252" s="13"/>
      <c r="H252" s="13"/>
      <c r="I252" s="13"/>
      <c r="J252" s="13"/>
      <c r="K252" s="13"/>
      <c r="L252" s="13"/>
      <c r="M252" s="13"/>
      <c r="N252" s="13"/>
      <c r="O252" s="13"/>
      <c r="P252" s="13"/>
      <c r="Q252" s="13"/>
      <c r="R252" s="13"/>
      <c r="S252" s="13"/>
    </row>
    <row r="253" spans="1:19">
      <c r="A253" s="13"/>
      <c r="B253" s="13"/>
      <c r="C253" s="13"/>
      <c r="D253" s="13"/>
      <c r="E253" s="13"/>
      <c r="F253" s="13"/>
      <c r="G253" s="13"/>
      <c r="H253" s="13"/>
      <c r="I253" s="13"/>
      <c r="J253" s="13"/>
      <c r="K253" s="13"/>
      <c r="L253" s="13"/>
      <c r="M253" s="13"/>
      <c r="N253" s="13"/>
      <c r="O253" s="13"/>
      <c r="P253" s="13"/>
      <c r="Q253" s="13"/>
      <c r="R253" s="13"/>
      <c r="S253" s="13"/>
    </row>
    <row r="254" spans="1:19">
      <c r="A254" s="13"/>
      <c r="B254" s="13"/>
      <c r="C254" s="13"/>
      <c r="D254" s="13"/>
      <c r="E254" s="13"/>
      <c r="F254" s="13"/>
      <c r="G254" s="13"/>
      <c r="H254" s="13"/>
      <c r="I254" s="13"/>
      <c r="J254" s="13"/>
      <c r="K254" s="13"/>
      <c r="L254" s="13"/>
      <c r="M254" s="13"/>
      <c r="N254" s="13"/>
      <c r="O254" s="13"/>
      <c r="P254" s="13"/>
      <c r="Q254" s="13"/>
      <c r="R254" s="13"/>
      <c r="S254" s="13"/>
    </row>
    <row r="255" spans="1:19">
      <c r="A255" s="13"/>
      <c r="B255" s="13"/>
      <c r="C255" s="13"/>
      <c r="D255" s="13"/>
      <c r="E255" s="13"/>
      <c r="F255" s="13"/>
      <c r="G255" s="13"/>
      <c r="H255" s="13"/>
      <c r="I255" s="13"/>
      <c r="J255" s="13"/>
      <c r="K255" s="13"/>
      <c r="L255" s="13"/>
      <c r="M255" s="13"/>
      <c r="N255" s="13"/>
      <c r="O255" s="13"/>
      <c r="P255" s="13"/>
      <c r="Q255" s="13"/>
      <c r="R255" s="13"/>
      <c r="S255" s="13"/>
    </row>
    <row r="256" spans="1:19">
      <c r="A256" s="13"/>
      <c r="B256" s="13"/>
      <c r="C256" s="13"/>
      <c r="D256" s="13"/>
      <c r="E256" s="13"/>
      <c r="F256" s="13"/>
      <c r="G256" s="13"/>
      <c r="H256" s="13"/>
      <c r="I256" s="13"/>
      <c r="J256" s="13"/>
      <c r="K256" s="13"/>
      <c r="L256" s="13"/>
      <c r="M256" s="13"/>
      <c r="N256" s="13"/>
      <c r="O256" s="13"/>
      <c r="P256" s="13"/>
      <c r="Q256" s="13"/>
      <c r="R256" s="13"/>
      <c r="S256" s="13"/>
    </row>
    <row r="257" spans="1:19">
      <c r="A257" s="13"/>
      <c r="B257" s="13"/>
      <c r="C257" s="13"/>
      <c r="D257" s="13"/>
      <c r="E257" s="13"/>
      <c r="F257" s="13"/>
      <c r="G257" s="13"/>
      <c r="H257" s="13"/>
      <c r="I257" s="13"/>
      <c r="J257" s="13"/>
      <c r="K257" s="13"/>
      <c r="L257" s="13"/>
      <c r="M257" s="13"/>
      <c r="N257" s="13"/>
      <c r="O257" s="13"/>
      <c r="P257" s="13"/>
      <c r="Q257" s="13"/>
      <c r="R257" s="13"/>
      <c r="S257" s="13"/>
    </row>
    <row r="258" spans="1:19">
      <c r="A258" s="13"/>
      <c r="B258" s="13"/>
      <c r="C258" s="13"/>
      <c r="D258" s="13"/>
      <c r="E258" s="13"/>
      <c r="F258" s="13"/>
      <c r="G258" s="13"/>
      <c r="H258" s="13"/>
      <c r="I258" s="13"/>
      <c r="J258" s="13"/>
      <c r="K258" s="13"/>
      <c r="L258" s="13"/>
      <c r="M258" s="13"/>
      <c r="N258" s="13"/>
      <c r="O258" s="13"/>
      <c r="P258" s="13"/>
      <c r="Q258" s="13"/>
      <c r="R258" s="13"/>
      <c r="S258" s="13"/>
    </row>
    <row r="259" spans="1:19">
      <c r="A259" s="13"/>
      <c r="B259" s="13"/>
      <c r="C259" s="13"/>
      <c r="D259" s="13"/>
      <c r="E259" s="13"/>
      <c r="F259" s="13"/>
      <c r="G259" s="13"/>
      <c r="H259" s="13"/>
      <c r="I259" s="13"/>
      <c r="J259" s="13"/>
      <c r="K259" s="13"/>
      <c r="L259" s="13"/>
      <c r="M259" s="13"/>
      <c r="N259" s="13"/>
      <c r="O259" s="13"/>
      <c r="P259" s="13"/>
      <c r="Q259" s="13"/>
      <c r="R259" s="13"/>
      <c r="S259" s="13"/>
    </row>
    <row r="260" spans="1:19">
      <c r="A260" s="13"/>
      <c r="B260" s="13"/>
      <c r="C260" s="13"/>
      <c r="D260" s="13"/>
      <c r="E260" s="13"/>
      <c r="F260" s="13"/>
      <c r="G260" s="13"/>
      <c r="H260" s="13"/>
      <c r="I260" s="13"/>
      <c r="J260" s="13"/>
      <c r="K260" s="13"/>
      <c r="L260" s="13"/>
      <c r="M260" s="13"/>
      <c r="N260" s="13"/>
      <c r="O260" s="13"/>
      <c r="P260" s="13"/>
      <c r="Q260" s="13"/>
      <c r="R260" s="13"/>
      <c r="S260" s="13"/>
    </row>
    <row r="261" spans="1:19">
      <c r="A261" s="13"/>
      <c r="B261" s="13"/>
      <c r="C261" s="13"/>
      <c r="D261" s="13"/>
      <c r="E261" s="13"/>
      <c r="F261" s="13"/>
      <c r="G261" s="13"/>
      <c r="H261" s="13"/>
      <c r="I261" s="13"/>
      <c r="J261" s="13"/>
      <c r="K261" s="13"/>
      <c r="L261" s="13"/>
      <c r="M261" s="13"/>
      <c r="N261" s="13"/>
      <c r="O261" s="13"/>
      <c r="P261" s="13"/>
      <c r="Q261" s="13"/>
      <c r="R261" s="13"/>
      <c r="S261" s="13"/>
    </row>
    <row r="262" spans="1:19">
      <c r="A262" s="13"/>
      <c r="B262" s="13"/>
      <c r="C262" s="13"/>
      <c r="D262" s="13"/>
      <c r="E262" s="13"/>
      <c r="F262" s="13"/>
      <c r="G262" s="13"/>
      <c r="H262" s="13"/>
      <c r="I262" s="13"/>
      <c r="J262" s="13"/>
      <c r="K262" s="13"/>
      <c r="L262" s="13"/>
      <c r="M262" s="13"/>
      <c r="N262" s="13"/>
      <c r="O262" s="13"/>
      <c r="P262" s="13"/>
      <c r="Q262" s="13"/>
      <c r="R262" s="13"/>
      <c r="S262" s="13"/>
    </row>
    <row r="263" spans="1:19">
      <c r="A263" s="13"/>
      <c r="B263" s="13"/>
      <c r="C263" s="13"/>
      <c r="D263" s="13"/>
      <c r="E263" s="13"/>
      <c r="F263" s="13"/>
      <c r="G263" s="13"/>
      <c r="H263" s="13"/>
      <c r="I263" s="13"/>
      <c r="J263" s="13"/>
      <c r="K263" s="13"/>
      <c r="L263" s="13"/>
      <c r="M263" s="13"/>
      <c r="N263" s="13"/>
      <c r="O263" s="13"/>
      <c r="P263" s="13"/>
      <c r="Q263" s="13"/>
      <c r="R263" s="13"/>
      <c r="S263" s="13"/>
    </row>
    <row r="264" spans="1:19">
      <c r="A264" s="13"/>
      <c r="B264" s="13"/>
      <c r="C264" s="13"/>
      <c r="D264" s="13"/>
      <c r="E264" s="13"/>
      <c r="F264" s="13"/>
      <c r="G264" s="13"/>
      <c r="H264" s="13"/>
      <c r="I264" s="13"/>
      <c r="J264" s="13"/>
      <c r="K264" s="13"/>
      <c r="L264" s="13"/>
      <c r="M264" s="13"/>
      <c r="N264" s="13"/>
      <c r="O264" s="13"/>
      <c r="P264" s="13"/>
      <c r="Q264" s="13"/>
      <c r="R264" s="13"/>
      <c r="S264" s="13"/>
    </row>
    <row r="265" spans="1:19">
      <c r="A265" s="13"/>
      <c r="B265" s="13"/>
      <c r="C265" s="13"/>
      <c r="D265" s="13"/>
      <c r="E265" s="13"/>
      <c r="F265" s="13"/>
      <c r="G265" s="13"/>
      <c r="H265" s="13"/>
      <c r="I265" s="13"/>
      <c r="J265" s="13"/>
      <c r="K265" s="13"/>
      <c r="L265" s="13"/>
      <c r="M265" s="13"/>
      <c r="N265" s="13"/>
      <c r="O265" s="13"/>
      <c r="P265" s="13"/>
      <c r="Q265" s="13"/>
      <c r="R265" s="13"/>
      <c r="S265" s="13"/>
    </row>
    <row r="266" spans="1:19">
      <c r="A266" s="13"/>
      <c r="B266" s="13"/>
      <c r="C266" s="13"/>
      <c r="D266" s="13"/>
      <c r="E266" s="13"/>
      <c r="F266" s="13"/>
      <c r="G266" s="13"/>
      <c r="H266" s="13"/>
      <c r="I266" s="13"/>
      <c r="J266" s="13"/>
      <c r="K266" s="13"/>
      <c r="L266" s="13"/>
      <c r="M266" s="13"/>
      <c r="N266" s="13"/>
      <c r="O266" s="13"/>
      <c r="P266" s="13"/>
      <c r="Q266" s="13"/>
      <c r="R266" s="13"/>
      <c r="S266" s="13"/>
    </row>
    <row r="267" spans="1:19">
      <c r="A267" s="13"/>
      <c r="B267" s="13"/>
      <c r="C267" s="13"/>
      <c r="D267" s="13"/>
      <c r="E267" s="13"/>
      <c r="F267" s="13"/>
      <c r="G267" s="13"/>
      <c r="H267" s="13"/>
      <c r="I267" s="13"/>
      <c r="J267" s="13"/>
      <c r="K267" s="13"/>
      <c r="L267" s="13"/>
      <c r="M267" s="13"/>
      <c r="N267" s="13"/>
      <c r="O267" s="13"/>
      <c r="P267" s="13"/>
      <c r="Q267" s="13"/>
      <c r="R267" s="13"/>
      <c r="S267" s="13"/>
    </row>
    <row r="268" spans="1:19">
      <c r="A268" s="13"/>
      <c r="B268" s="13"/>
      <c r="C268" s="13"/>
      <c r="D268" s="13"/>
      <c r="E268" s="13"/>
      <c r="F268" s="13"/>
      <c r="G268" s="13"/>
      <c r="H268" s="13"/>
      <c r="I268" s="13"/>
      <c r="J268" s="13"/>
      <c r="K268" s="13"/>
      <c r="L268" s="13"/>
      <c r="M268" s="13"/>
      <c r="N268" s="13"/>
      <c r="O268" s="13"/>
      <c r="P268" s="13"/>
      <c r="Q268" s="13"/>
      <c r="R268" s="13"/>
      <c r="S268" s="13"/>
    </row>
    <row r="269" spans="1:19">
      <c r="A269" s="13"/>
      <c r="B269" s="13"/>
      <c r="C269" s="13"/>
      <c r="D269" s="13"/>
      <c r="E269" s="13"/>
      <c r="F269" s="13"/>
      <c r="G269" s="13"/>
      <c r="H269" s="13"/>
      <c r="I269" s="13"/>
      <c r="J269" s="13"/>
      <c r="K269" s="13"/>
      <c r="L269" s="13"/>
      <c r="M269" s="13"/>
      <c r="N269" s="13"/>
      <c r="O269" s="13"/>
      <c r="P269" s="13"/>
      <c r="Q269" s="13"/>
      <c r="R269" s="13"/>
      <c r="S269" s="13"/>
    </row>
    <row r="270" spans="1:19">
      <c r="A270" s="13"/>
      <c r="B270" s="13"/>
      <c r="C270" s="13"/>
      <c r="D270" s="13"/>
      <c r="E270" s="13"/>
      <c r="F270" s="13"/>
      <c r="G270" s="13"/>
      <c r="H270" s="13"/>
      <c r="I270" s="13"/>
      <c r="J270" s="13"/>
      <c r="K270" s="13"/>
      <c r="L270" s="13"/>
      <c r="M270" s="13"/>
      <c r="N270" s="13"/>
      <c r="O270" s="13"/>
      <c r="P270" s="13"/>
      <c r="Q270" s="13"/>
      <c r="R270" s="13"/>
      <c r="S270" s="13"/>
    </row>
    <row r="271" spans="1:19">
      <c r="A271" s="13"/>
      <c r="B271" s="13"/>
      <c r="C271" s="13"/>
      <c r="D271" s="13"/>
      <c r="E271" s="13"/>
      <c r="F271" s="13"/>
      <c r="G271" s="13"/>
      <c r="H271" s="13"/>
      <c r="I271" s="13"/>
      <c r="J271" s="13"/>
      <c r="K271" s="13"/>
      <c r="L271" s="13"/>
      <c r="M271" s="13"/>
      <c r="N271" s="13"/>
      <c r="O271" s="13"/>
      <c r="P271" s="13"/>
      <c r="Q271" s="13"/>
      <c r="R271" s="13"/>
      <c r="S271" s="13"/>
    </row>
    <row r="272" spans="1:19">
      <c r="A272" s="13"/>
      <c r="B272" s="13"/>
      <c r="C272" s="13"/>
      <c r="D272" s="13"/>
      <c r="E272" s="13"/>
      <c r="F272" s="13"/>
      <c r="G272" s="13"/>
      <c r="H272" s="13"/>
      <c r="I272" s="13"/>
      <c r="J272" s="13"/>
      <c r="K272" s="13"/>
      <c r="L272" s="13"/>
      <c r="M272" s="13"/>
      <c r="N272" s="13"/>
      <c r="O272" s="13"/>
      <c r="P272" s="13"/>
      <c r="Q272" s="13"/>
      <c r="R272" s="13"/>
      <c r="S272" s="13"/>
    </row>
    <row r="273" spans="1:19">
      <c r="A273" s="13"/>
      <c r="B273" s="13"/>
      <c r="C273" s="13"/>
      <c r="D273" s="13"/>
      <c r="E273" s="13"/>
      <c r="F273" s="13"/>
      <c r="G273" s="13"/>
      <c r="H273" s="13"/>
      <c r="I273" s="13"/>
      <c r="J273" s="13"/>
      <c r="K273" s="13"/>
      <c r="L273" s="13"/>
      <c r="M273" s="13"/>
      <c r="N273" s="13"/>
      <c r="O273" s="13"/>
      <c r="P273" s="13"/>
      <c r="Q273" s="13"/>
      <c r="R273" s="13"/>
      <c r="S273" s="13"/>
    </row>
    <row r="274" spans="1:19">
      <c r="A274" s="13"/>
      <c r="B274" s="13"/>
      <c r="C274" s="13"/>
      <c r="D274" s="13"/>
      <c r="E274" s="13"/>
      <c r="F274" s="13"/>
      <c r="G274" s="13"/>
      <c r="H274" s="13"/>
      <c r="I274" s="13"/>
      <c r="J274" s="13"/>
      <c r="K274" s="13"/>
      <c r="L274" s="13"/>
      <c r="M274" s="13"/>
      <c r="N274" s="13"/>
      <c r="O274" s="13"/>
      <c r="P274" s="13"/>
      <c r="Q274" s="13"/>
      <c r="R274" s="13"/>
      <c r="S274" s="13"/>
    </row>
    <row r="275" spans="1:19">
      <c r="A275" s="13"/>
      <c r="B275" s="13"/>
      <c r="C275" s="13"/>
      <c r="D275" s="13"/>
      <c r="E275" s="13"/>
      <c r="F275" s="13"/>
      <c r="G275" s="13"/>
      <c r="H275" s="13"/>
      <c r="I275" s="13"/>
      <c r="J275" s="13"/>
      <c r="K275" s="13"/>
      <c r="L275" s="13"/>
      <c r="M275" s="13"/>
      <c r="N275" s="13"/>
      <c r="O275" s="13"/>
      <c r="P275" s="13"/>
      <c r="Q275" s="13"/>
      <c r="R275" s="13"/>
      <c r="S275" s="13"/>
    </row>
    <row r="276" spans="1:19">
      <c r="A276" s="13"/>
      <c r="B276" s="13"/>
      <c r="C276" s="13"/>
      <c r="D276" s="13"/>
      <c r="E276" s="13"/>
      <c r="F276" s="13"/>
      <c r="G276" s="13"/>
      <c r="H276" s="13"/>
      <c r="I276" s="13"/>
      <c r="J276" s="13"/>
      <c r="K276" s="13"/>
      <c r="L276" s="13"/>
      <c r="M276" s="13"/>
      <c r="N276" s="13"/>
      <c r="O276" s="13"/>
      <c r="P276" s="13"/>
      <c r="Q276" s="13"/>
      <c r="R276" s="13"/>
      <c r="S276" s="13"/>
    </row>
    <row r="277" spans="1:19">
      <c r="A277" s="13"/>
      <c r="B277" s="13"/>
      <c r="C277" s="13"/>
      <c r="D277" s="13"/>
      <c r="E277" s="13"/>
      <c r="F277" s="13"/>
      <c r="G277" s="13"/>
      <c r="H277" s="13"/>
      <c r="I277" s="13"/>
      <c r="J277" s="13"/>
      <c r="K277" s="13"/>
      <c r="L277" s="13"/>
      <c r="M277" s="13"/>
      <c r="N277" s="13"/>
      <c r="O277" s="13"/>
      <c r="P277" s="13"/>
      <c r="Q277" s="13"/>
      <c r="R277" s="13"/>
      <c r="S277" s="13"/>
    </row>
    <row r="278" spans="1:19">
      <c r="A278" s="13"/>
      <c r="B278" s="13"/>
      <c r="C278" s="13"/>
      <c r="D278" s="13"/>
      <c r="E278" s="13"/>
      <c r="F278" s="13"/>
      <c r="G278" s="13"/>
      <c r="H278" s="13"/>
      <c r="I278" s="13"/>
      <c r="J278" s="13"/>
      <c r="K278" s="13"/>
      <c r="L278" s="13"/>
      <c r="M278" s="13"/>
      <c r="N278" s="13"/>
      <c r="O278" s="13"/>
      <c r="P278" s="13"/>
      <c r="Q278" s="13"/>
      <c r="R278" s="13"/>
      <c r="S278" s="13"/>
    </row>
    <row r="279" spans="1:19">
      <c r="A279" s="13"/>
      <c r="B279" s="13"/>
      <c r="C279" s="13"/>
      <c r="D279" s="13"/>
      <c r="E279" s="13"/>
      <c r="F279" s="13"/>
      <c r="G279" s="13"/>
      <c r="H279" s="13"/>
      <c r="I279" s="13"/>
      <c r="J279" s="13"/>
      <c r="K279" s="13"/>
      <c r="L279" s="13"/>
      <c r="M279" s="13"/>
      <c r="N279" s="13"/>
      <c r="O279" s="13"/>
      <c r="P279" s="13"/>
      <c r="Q279" s="13"/>
      <c r="R279" s="13"/>
      <c r="S279" s="13"/>
    </row>
    <row r="280" spans="1:19">
      <c r="A280" s="13"/>
      <c r="B280" s="13"/>
      <c r="C280" s="13"/>
      <c r="D280" s="13"/>
      <c r="E280" s="13"/>
      <c r="F280" s="13"/>
      <c r="G280" s="13"/>
      <c r="H280" s="13"/>
      <c r="I280" s="13"/>
      <c r="J280" s="13"/>
      <c r="K280" s="13"/>
      <c r="L280" s="13"/>
      <c r="M280" s="13"/>
      <c r="N280" s="13"/>
      <c r="O280" s="13"/>
      <c r="P280" s="13"/>
      <c r="Q280" s="13"/>
      <c r="R280" s="13"/>
      <c r="S280" s="13"/>
    </row>
    <row r="281" spans="1:19">
      <c r="A281" s="13"/>
      <c r="B281" s="13"/>
      <c r="C281" s="13"/>
      <c r="D281" s="13"/>
      <c r="E281" s="13"/>
      <c r="F281" s="13"/>
      <c r="G281" s="13"/>
      <c r="H281" s="13"/>
      <c r="I281" s="13"/>
      <c r="J281" s="13"/>
      <c r="K281" s="13"/>
      <c r="L281" s="13"/>
      <c r="M281" s="13"/>
      <c r="N281" s="13"/>
      <c r="O281" s="13"/>
      <c r="P281" s="13"/>
      <c r="Q281" s="13"/>
      <c r="R281" s="13"/>
      <c r="S281" s="13"/>
    </row>
    <row r="282" spans="1:19">
      <c r="A282" s="13"/>
      <c r="B282" s="13"/>
      <c r="C282" s="13"/>
      <c r="D282" s="13"/>
      <c r="E282" s="13"/>
      <c r="F282" s="13"/>
      <c r="G282" s="13"/>
      <c r="H282" s="13"/>
      <c r="I282" s="13"/>
      <c r="J282" s="13"/>
      <c r="K282" s="13"/>
      <c r="L282" s="13"/>
      <c r="M282" s="13"/>
      <c r="N282" s="13"/>
      <c r="O282" s="13"/>
      <c r="P282" s="13"/>
      <c r="Q282" s="13"/>
      <c r="R282" s="13"/>
      <c r="S282" s="13"/>
    </row>
    <row r="283" spans="1:19">
      <c r="A283" s="13"/>
      <c r="B283" s="13"/>
      <c r="C283" s="13"/>
      <c r="D283" s="13"/>
      <c r="E283" s="13"/>
      <c r="F283" s="13"/>
      <c r="G283" s="13"/>
      <c r="H283" s="13"/>
      <c r="I283" s="13"/>
      <c r="J283" s="13"/>
      <c r="K283" s="13"/>
      <c r="L283" s="13"/>
      <c r="M283" s="13"/>
      <c r="N283" s="13"/>
      <c r="O283" s="13"/>
      <c r="P283" s="13"/>
      <c r="Q283" s="13"/>
      <c r="R283" s="13"/>
      <c r="S283" s="13"/>
    </row>
    <row r="284" spans="1:19">
      <c r="A284" s="13"/>
      <c r="B284" s="13"/>
      <c r="C284" s="13"/>
      <c r="D284" s="13"/>
      <c r="E284" s="13"/>
      <c r="F284" s="13"/>
      <c r="G284" s="13"/>
      <c r="H284" s="13"/>
      <c r="I284" s="13"/>
      <c r="J284" s="13"/>
      <c r="K284" s="13"/>
      <c r="L284" s="13"/>
      <c r="M284" s="13"/>
      <c r="N284" s="13"/>
      <c r="O284" s="13"/>
      <c r="P284" s="13"/>
      <c r="Q284" s="13"/>
      <c r="R284" s="13"/>
      <c r="S284" s="13"/>
    </row>
    <row r="285" spans="1:19">
      <c r="A285" s="13"/>
      <c r="B285" s="13"/>
      <c r="C285" s="13"/>
      <c r="D285" s="13"/>
      <c r="E285" s="13"/>
      <c r="F285" s="13"/>
      <c r="G285" s="13"/>
      <c r="H285" s="13"/>
      <c r="I285" s="13"/>
      <c r="J285" s="13"/>
      <c r="K285" s="13"/>
      <c r="L285" s="13"/>
      <c r="M285" s="13"/>
      <c r="N285" s="13"/>
      <c r="O285" s="13"/>
      <c r="P285" s="13"/>
      <c r="Q285" s="13"/>
      <c r="R285" s="13"/>
      <c r="S285" s="13"/>
    </row>
    <row r="286" spans="1:19">
      <c r="A286" s="13"/>
      <c r="B286" s="13"/>
      <c r="C286" s="13"/>
      <c r="D286" s="13"/>
      <c r="E286" s="13"/>
      <c r="F286" s="13"/>
      <c r="G286" s="13"/>
      <c r="H286" s="13"/>
      <c r="I286" s="13"/>
      <c r="J286" s="13"/>
      <c r="K286" s="13"/>
      <c r="L286" s="13"/>
      <c r="M286" s="13"/>
      <c r="N286" s="13"/>
      <c r="O286" s="13"/>
      <c r="P286" s="13"/>
      <c r="Q286" s="13"/>
      <c r="R286" s="13"/>
      <c r="S286" s="13"/>
    </row>
    <row r="287" spans="1:19">
      <c r="A287" s="13"/>
      <c r="B287" s="13"/>
      <c r="C287" s="13"/>
      <c r="D287" s="13"/>
      <c r="E287" s="13"/>
      <c r="F287" s="13"/>
      <c r="G287" s="13"/>
      <c r="H287" s="13"/>
      <c r="I287" s="13"/>
      <c r="J287" s="13"/>
      <c r="K287" s="13"/>
      <c r="L287" s="13"/>
      <c r="M287" s="13"/>
      <c r="N287" s="13"/>
      <c r="O287" s="13"/>
      <c r="P287" s="13"/>
      <c r="Q287" s="13"/>
      <c r="R287" s="13"/>
      <c r="S287" s="13"/>
    </row>
    <row r="288" spans="1:19">
      <c r="A288" s="13"/>
      <c r="B288" s="13"/>
      <c r="C288" s="13"/>
      <c r="D288" s="13"/>
      <c r="E288" s="13"/>
      <c r="F288" s="13"/>
      <c r="G288" s="13"/>
      <c r="H288" s="13"/>
      <c r="I288" s="13"/>
      <c r="J288" s="13"/>
      <c r="K288" s="13"/>
      <c r="L288" s="13"/>
      <c r="M288" s="13"/>
      <c r="N288" s="13"/>
      <c r="O288" s="13"/>
      <c r="P288" s="13"/>
      <c r="Q288" s="13"/>
      <c r="R288" s="13"/>
      <c r="S288" s="13"/>
    </row>
    <row r="289" spans="1:19">
      <c r="A289" s="13"/>
      <c r="B289" s="13"/>
      <c r="C289" s="13"/>
      <c r="D289" s="13"/>
      <c r="E289" s="13"/>
      <c r="F289" s="13"/>
      <c r="G289" s="13"/>
      <c r="H289" s="13"/>
      <c r="I289" s="13"/>
      <c r="J289" s="13"/>
      <c r="K289" s="13"/>
      <c r="L289" s="13"/>
      <c r="M289" s="13"/>
      <c r="N289" s="13"/>
      <c r="O289" s="13"/>
      <c r="P289" s="13"/>
      <c r="Q289" s="13"/>
      <c r="R289" s="13"/>
      <c r="S289" s="13"/>
    </row>
    <row r="290" spans="1:19">
      <c r="A290" s="13"/>
      <c r="B290" s="13"/>
      <c r="C290" s="13"/>
      <c r="D290" s="13"/>
      <c r="E290" s="13"/>
      <c r="F290" s="13"/>
      <c r="G290" s="13"/>
      <c r="H290" s="13"/>
      <c r="I290" s="13"/>
      <c r="J290" s="13"/>
      <c r="K290" s="13"/>
      <c r="L290" s="13"/>
      <c r="M290" s="13"/>
      <c r="N290" s="13"/>
      <c r="O290" s="13"/>
      <c r="P290" s="13"/>
      <c r="Q290" s="13"/>
      <c r="R290" s="13"/>
      <c r="S290" s="13"/>
    </row>
    <row r="291" spans="1:19">
      <c r="A291" s="13"/>
      <c r="B291" s="13"/>
      <c r="C291" s="13"/>
      <c r="D291" s="13"/>
      <c r="E291" s="13"/>
      <c r="F291" s="13"/>
      <c r="G291" s="13"/>
      <c r="H291" s="13"/>
      <c r="I291" s="13"/>
      <c r="J291" s="13"/>
      <c r="K291" s="13"/>
      <c r="L291" s="13"/>
      <c r="M291" s="13"/>
      <c r="N291" s="13"/>
      <c r="O291" s="13"/>
      <c r="P291" s="13"/>
      <c r="Q291" s="13"/>
      <c r="R291" s="13"/>
      <c r="S291" s="13"/>
    </row>
    <row r="292" spans="1:19">
      <c r="A292" s="13"/>
      <c r="B292" s="13"/>
      <c r="C292" s="13"/>
      <c r="D292" s="13"/>
      <c r="E292" s="13"/>
      <c r="F292" s="13"/>
      <c r="G292" s="13"/>
      <c r="H292" s="13"/>
      <c r="I292" s="13"/>
      <c r="J292" s="13"/>
      <c r="K292" s="13"/>
      <c r="L292" s="13"/>
      <c r="M292" s="13"/>
      <c r="N292" s="13"/>
      <c r="O292" s="13"/>
      <c r="P292" s="13"/>
      <c r="Q292" s="13"/>
      <c r="R292" s="13"/>
      <c r="S292" s="13"/>
    </row>
    <row r="293" spans="1:19">
      <c r="A293" s="13"/>
      <c r="B293" s="13"/>
      <c r="C293" s="13"/>
      <c r="D293" s="13"/>
      <c r="E293" s="13"/>
      <c r="F293" s="13"/>
      <c r="G293" s="13"/>
      <c r="H293" s="13"/>
      <c r="I293" s="13"/>
      <c r="J293" s="13"/>
      <c r="K293" s="13"/>
      <c r="L293" s="13"/>
      <c r="M293" s="13"/>
      <c r="N293" s="13"/>
      <c r="O293" s="13"/>
      <c r="P293" s="13"/>
      <c r="Q293" s="13"/>
      <c r="R293" s="13"/>
      <c r="S293" s="13"/>
    </row>
    <row r="294" spans="1:19">
      <c r="A294" s="13"/>
      <c r="B294" s="13"/>
      <c r="C294" s="13"/>
      <c r="D294" s="13"/>
      <c r="E294" s="13"/>
      <c r="F294" s="13"/>
      <c r="G294" s="13"/>
      <c r="H294" s="13"/>
      <c r="I294" s="13"/>
      <c r="J294" s="13"/>
      <c r="K294" s="13"/>
      <c r="L294" s="13"/>
      <c r="M294" s="13"/>
      <c r="N294" s="13"/>
      <c r="O294" s="13"/>
      <c r="P294" s="13"/>
      <c r="Q294" s="13"/>
      <c r="R294" s="13"/>
      <c r="S294" s="13"/>
    </row>
    <row r="295" spans="1:19">
      <c r="A295" s="13"/>
      <c r="B295" s="13"/>
      <c r="C295" s="13"/>
      <c r="D295" s="13"/>
      <c r="E295" s="13"/>
      <c r="F295" s="13"/>
      <c r="G295" s="13"/>
      <c r="H295" s="13"/>
      <c r="I295" s="13"/>
      <c r="J295" s="13"/>
      <c r="K295" s="13"/>
      <c r="L295" s="13"/>
      <c r="M295" s="13"/>
      <c r="N295" s="13"/>
      <c r="O295" s="13"/>
      <c r="P295" s="13"/>
      <c r="Q295" s="13"/>
      <c r="R295" s="13"/>
      <c r="S295" s="13"/>
    </row>
    <row r="296" spans="1:19">
      <c r="A296" s="13"/>
      <c r="B296" s="13"/>
      <c r="C296" s="13"/>
      <c r="D296" s="13"/>
      <c r="E296" s="13"/>
      <c r="F296" s="13"/>
      <c r="G296" s="13"/>
      <c r="H296" s="13"/>
      <c r="I296" s="13"/>
      <c r="J296" s="13"/>
      <c r="K296" s="13"/>
      <c r="L296" s="13"/>
      <c r="M296" s="13"/>
      <c r="N296" s="13"/>
      <c r="O296" s="13"/>
      <c r="P296" s="13"/>
      <c r="Q296" s="13"/>
      <c r="R296" s="13"/>
      <c r="S296" s="13"/>
    </row>
    <row r="297" spans="1:19">
      <c r="A297" s="13"/>
      <c r="B297" s="13"/>
      <c r="C297" s="13"/>
      <c r="D297" s="13"/>
      <c r="E297" s="13"/>
      <c r="F297" s="13"/>
      <c r="G297" s="13"/>
      <c r="H297" s="13"/>
      <c r="I297" s="13"/>
      <c r="J297" s="13"/>
      <c r="K297" s="13"/>
      <c r="L297" s="13"/>
      <c r="M297" s="13"/>
      <c r="N297" s="13"/>
      <c r="O297" s="13"/>
      <c r="P297" s="13"/>
      <c r="Q297" s="13"/>
      <c r="R297" s="13"/>
      <c r="S297" s="13"/>
    </row>
    <row r="298" spans="1:19">
      <c r="A298" s="13"/>
      <c r="B298" s="13"/>
      <c r="C298" s="13"/>
      <c r="D298" s="13"/>
      <c r="E298" s="13"/>
      <c r="F298" s="13"/>
      <c r="G298" s="13"/>
      <c r="H298" s="13"/>
      <c r="I298" s="13"/>
      <c r="J298" s="13"/>
      <c r="K298" s="13"/>
      <c r="L298" s="13"/>
      <c r="M298" s="13"/>
      <c r="N298" s="13"/>
      <c r="O298" s="13"/>
      <c r="P298" s="13"/>
      <c r="Q298" s="13"/>
      <c r="R298" s="13"/>
      <c r="S298" s="13"/>
    </row>
    <row r="299" spans="1:19">
      <c r="A299" s="13"/>
      <c r="B299" s="13"/>
      <c r="C299" s="13"/>
      <c r="D299" s="13"/>
      <c r="E299" s="13"/>
      <c r="F299" s="13"/>
      <c r="G299" s="13"/>
      <c r="H299" s="13"/>
      <c r="I299" s="13"/>
      <c r="J299" s="13"/>
      <c r="K299" s="13"/>
      <c r="L299" s="13"/>
      <c r="M299" s="13"/>
      <c r="N299" s="13"/>
      <c r="O299" s="13"/>
      <c r="P299" s="13"/>
      <c r="Q299" s="13"/>
      <c r="R299" s="13"/>
      <c r="S299" s="13"/>
    </row>
    <row r="300" spans="1:19">
      <c r="A300" s="13"/>
      <c r="B300" s="13"/>
      <c r="C300" s="13"/>
      <c r="D300" s="13"/>
      <c r="E300" s="13"/>
      <c r="F300" s="13"/>
      <c r="G300" s="13"/>
      <c r="H300" s="13"/>
      <c r="I300" s="13"/>
      <c r="J300" s="13"/>
      <c r="K300" s="13"/>
      <c r="L300" s="13"/>
      <c r="M300" s="13"/>
      <c r="N300" s="13"/>
      <c r="O300" s="13"/>
      <c r="P300" s="13"/>
      <c r="Q300" s="13"/>
      <c r="R300" s="13"/>
      <c r="S300" s="13"/>
    </row>
    <row r="301" spans="1:19">
      <c r="A301" s="13"/>
      <c r="B301" s="13"/>
      <c r="C301" s="13"/>
      <c r="D301" s="13"/>
      <c r="E301" s="13"/>
      <c r="F301" s="13"/>
      <c r="G301" s="13"/>
      <c r="H301" s="13"/>
      <c r="I301" s="13"/>
      <c r="J301" s="13"/>
      <c r="K301" s="13"/>
      <c r="L301" s="13"/>
      <c r="M301" s="13"/>
      <c r="N301" s="13"/>
      <c r="O301" s="13"/>
      <c r="P301" s="13"/>
      <c r="Q301" s="13"/>
      <c r="R301" s="13"/>
      <c r="S301" s="13"/>
    </row>
    <row r="302" spans="1:19">
      <c r="A302" s="13"/>
      <c r="B302" s="13"/>
      <c r="C302" s="13"/>
      <c r="D302" s="13"/>
      <c r="E302" s="13"/>
      <c r="F302" s="13"/>
      <c r="G302" s="13"/>
      <c r="H302" s="13"/>
      <c r="I302" s="13"/>
      <c r="J302" s="13"/>
      <c r="K302" s="13"/>
      <c r="L302" s="13"/>
      <c r="M302" s="13"/>
      <c r="N302" s="13"/>
      <c r="O302" s="13"/>
      <c r="P302" s="13"/>
      <c r="Q302" s="13"/>
      <c r="R302" s="13"/>
      <c r="S302" s="13"/>
    </row>
    <row r="303" spans="1:19">
      <c r="A303" s="13"/>
      <c r="B303" s="13"/>
      <c r="C303" s="13"/>
      <c r="D303" s="13"/>
      <c r="E303" s="13"/>
      <c r="F303" s="13"/>
      <c r="G303" s="13"/>
      <c r="H303" s="13"/>
      <c r="I303" s="13"/>
      <c r="J303" s="13"/>
      <c r="K303" s="13"/>
      <c r="L303" s="13"/>
      <c r="M303" s="13"/>
      <c r="N303" s="13"/>
      <c r="O303" s="13"/>
      <c r="P303" s="13"/>
      <c r="Q303" s="13"/>
      <c r="R303" s="13"/>
      <c r="S303" s="13"/>
    </row>
    <row r="304" spans="1:19">
      <c r="A304" s="13"/>
      <c r="B304" s="13"/>
      <c r="C304" s="13"/>
      <c r="D304" s="13"/>
      <c r="E304" s="13"/>
      <c r="F304" s="13"/>
      <c r="G304" s="13"/>
      <c r="H304" s="13"/>
      <c r="I304" s="13"/>
      <c r="J304" s="13"/>
      <c r="K304" s="13"/>
      <c r="L304" s="13"/>
      <c r="M304" s="13"/>
      <c r="N304" s="13"/>
      <c r="O304" s="13"/>
      <c r="P304" s="13"/>
      <c r="Q304" s="13"/>
      <c r="R304" s="13"/>
      <c r="S304" s="13"/>
    </row>
    <row r="305" spans="1:19">
      <c r="A305" s="13"/>
      <c r="B305" s="13"/>
      <c r="C305" s="13"/>
      <c r="D305" s="13"/>
      <c r="E305" s="13"/>
      <c r="F305" s="13"/>
      <c r="G305" s="13"/>
      <c r="H305" s="13"/>
      <c r="I305" s="13"/>
      <c r="J305" s="13"/>
      <c r="K305" s="13"/>
      <c r="L305" s="13"/>
      <c r="M305" s="13"/>
      <c r="N305" s="13"/>
      <c r="O305" s="13"/>
      <c r="P305" s="13"/>
      <c r="Q305" s="13"/>
      <c r="R305" s="13"/>
      <c r="S305" s="13"/>
    </row>
    <row r="306" spans="1:19">
      <c r="A306" s="13"/>
      <c r="B306" s="13"/>
      <c r="C306" s="13"/>
      <c r="D306" s="13"/>
      <c r="E306" s="13"/>
      <c r="F306" s="13"/>
      <c r="G306" s="13"/>
      <c r="H306" s="13"/>
      <c r="I306" s="13"/>
      <c r="J306" s="13"/>
      <c r="K306" s="13"/>
      <c r="L306" s="13"/>
      <c r="M306" s="13"/>
      <c r="N306" s="13"/>
      <c r="O306" s="13"/>
      <c r="P306" s="13"/>
      <c r="Q306" s="13"/>
      <c r="R306" s="13"/>
      <c r="S306" s="13"/>
    </row>
    <row r="307" spans="1:19">
      <c r="A307" s="13"/>
      <c r="B307" s="13"/>
      <c r="C307" s="13"/>
      <c r="D307" s="13"/>
      <c r="E307" s="13"/>
      <c r="F307" s="13"/>
      <c r="G307" s="13"/>
      <c r="H307" s="13"/>
      <c r="I307" s="13"/>
      <c r="J307" s="13"/>
      <c r="K307" s="13"/>
      <c r="L307" s="13"/>
      <c r="M307" s="13"/>
      <c r="N307" s="13"/>
      <c r="O307" s="13"/>
      <c r="P307" s="13"/>
      <c r="Q307" s="13"/>
      <c r="R307" s="13"/>
      <c r="S307" s="13"/>
    </row>
    <row r="308" spans="1:19">
      <c r="A308" s="13"/>
      <c r="B308" s="13"/>
      <c r="C308" s="13"/>
      <c r="D308" s="13"/>
      <c r="E308" s="13"/>
      <c r="F308" s="13"/>
      <c r="G308" s="13"/>
      <c r="H308" s="13"/>
      <c r="I308" s="13"/>
      <c r="J308" s="13"/>
      <c r="K308" s="13"/>
      <c r="L308" s="13"/>
      <c r="M308" s="13"/>
      <c r="N308" s="13"/>
      <c r="O308" s="13"/>
      <c r="P308" s="13"/>
      <c r="Q308" s="13"/>
      <c r="R308" s="13"/>
      <c r="S308" s="13"/>
    </row>
    <row r="309" spans="1:19">
      <c r="A309" s="13"/>
      <c r="B309" s="13"/>
      <c r="C309" s="13"/>
      <c r="D309" s="13"/>
      <c r="E309" s="13"/>
      <c r="F309" s="13"/>
      <c r="G309" s="13"/>
      <c r="H309" s="13"/>
      <c r="I309" s="13"/>
      <c r="J309" s="13"/>
      <c r="K309" s="13"/>
      <c r="L309" s="13"/>
      <c r="M309" s="13"/>
      <c r="N309" s="13"/>
      <c r="O309" s="13"/>
      <c r="P309" s="13"/>
      <c r="Q309" s="13"/>
      <c r="R309" s="13"/>
      <c r="S309" s="13"/>
    </row>
    <row r="310" spans="1:19">
      <c r="A310" s="13"/>
      <c r="B310" s="13"/>
      <c r="C310" s="13"/>
      <c r="D310" s="13"/>
      <c r="E310" s="13"/>
      <c r="F310" s="13"/>
      <c r="G310" s="13"/>
      <c r="H310" s="13"/>
      <c r="I310" s="13"/>
      <c r="J310" s="13"/>
      <c r="K310" s="13"/>
      <c r="L310" s="13"/>
      <c r="M310" s="13"/>
      <c r="N310" s="13"/>
      <c r="O310" s="13"/>
      <c r="P310" s="13"/>
      <c r="Q310" s="13"/>
      <c r="R310" s="13"/>
      <c r="S310" s="13"/>
    </row>
    <row r="311" spans="1:19">
      <c r="A311" s="13"/>
      <c r="B311" s="13"/>
      <c r="C311" s="13"/>
      <c r="D311" s="13"/>
      <c r="E311" s="13"/>
      <c r="F311" s="13"/>
      <c r="G311" s="13"/>
      <c r="H311" s="13"/>
      <c r="I311" s="13"/>
      <c r="J311" s="13"/>
      <c r="K311" s="13"/>
      <c r="L311" s="13"/>
      <c r="M311" s="13"/>
      <c r="N311" s="13"/>
      <c r="O311" s="13"/>
      <c r="P311" s="13"/>
      <c r="Q311" s="13"/>
      <c r="R311" s="13"/>
      <c r="S311" s="13"/>
    </row>
    <row r="312" spans="1:19">
      <c r="A312" s="13"/>
      <c r="B312" s="13"/>
      <c r="C312" s="13"/>
      <c r="D312" s="13"/>
      <c r="E312" s="13"/>
      <c r="F312" s="13"/>
      <c r="G312" s="13"/>
      <c r="H312" s="13"/>
      <c r="I312" s="13"/>
      <c r="J312" s="13"/>
      <c r="K312" s="13"/>
      <c r="L312" s="13"/>
      <c r="M312" s="13"/>
      <c r="N312" s="13"/>
      <c r="O312" s="13"/>
      <c r="P312" s="13"/>
      <c r="Q312" s="13"/>
      <c r="R312" s="13"/>
      <c r="S312" s="13"/>
    </row>
    <row r="313" spans="1:19">
      <c r="A313" s="13"/>
      <c r="B313" s="13"/>
      <c r="C313" s="13"/>
      <c r="D313" s="13"/>
      <c r="E313" s="13"/>
      <c r="F313" s="13"/>
      <c r="G313" s="13"/>
      <c r="H313" s="13"/>
      <c r="I313" s="13"/>
      <c r="J313" s="13"/>
      <c r="K313" s="13"/>
      <c r="L313" s="13"/>
      <c r="M313" s="13"/>
      <c r="N313" s="13"/>
      <c r="O313" s="13"/>
      <c r="P313" s="13"/>
      <c r="Q313" s="13"/>
      <c r="R313" s="13"/>
      <c r="S313" s="13"/>
    </row>
    <row r="314" spans="1:19">
      <c r="A314" s="13"/>
      <c r="B314" s="13"/>
      <c r="C314" s="13"/>
      <c r="D314" s="13"/>
      <c r="E314" s="13"/>
      <c r="F314" s="13"/>
      <c r="G314" s="13"/>
      <c r="H314" s="13"/>
      <c r="I314" s="13"/>
      <c r="J314" s="13"/>
      <c r="K314" s="13"/>
      <c r="L314" s="13"/>
      <c r="M314" s="13"/>
      <c r="N314" s="13"/>
      <c r="O314" s="13"/>
      <c r="P314" s="13"/>
      <c r="Q314" s="13"/>
      <c r="R314" s="13"/>
      <c r="S314" s="13"/>
    </row>
    <row r="315" spans="1:19">
      <c r="A315" s="13"/>
      <c r="B315" s="13"/>
      <c r="C315" s="13"/>
      <c r="D315" s="13"/>
      <c r="E315" s="13"/>
      <c r="F315" s="13"/>
      <c r="G315" s="13"/>
      <c r="H315" s="13"/>
      <c r="I315" s="13"/>
      <c r="J315" s="13"/>
      <c r="K315" s="13"/>
      <c r="L315" s="13"/>
      <c r="M315" s="13"/>
      <c r="N315" s="13"/>
      <c r="O315" s="13"/>
      <c r="P315" s="13"/>
      <c r="Q315" s="13"/>
      <c r="R315" s="13"/>
      <c r="S315" s="13"/>
    </row>
    <row r="316" spans="1:19">
      <c r="A316" s="13"/>
      <c r="B316" s="13"/>
      <c r="C316" s="13"/>
      <c r="D316" s="13"/>
      <c r="E316" s="13"/>
      <c r="F316" s="13"/>
      <c r="G316" s="13"/>
      <c r="H316" s="13"/>
      <c r="I316" s="13"/>
      <c r="J316" s="13"/>
      <c r="K316" s="13"/>
      <c r="L316" s="13"/>
      <c r="M316" s="13"/>
      <c r="N316" s="13"/>
      <c r="O316" s="13"/>
      <c r="P316" s="13"/>
      <c r="Q316" s="13"/>
      <c r="R316" s="13"/>
      <c r="S316" s="13"/>
    </row>
    <row r="317" spans="1:19">
      <c r="A317" s="13"/>
      <c r="B317" s="13"/>
      <c r="C317" s="13"/>
      <c r="D317" s="13"/>
      <c r="E317" s="13"/>
      <c r="F317" s="13"/>
      <c r="G317" s="13"/>
      <c r="H317" s="13"/>
      <c r="I317" s="13"/>
      <c r="J317" s="13"/>
      <c r="K317" s="13"/>
      <c r="L317" s="13"/>
      <c r="M317" s="13"/>
      <c r="N317" s="13"/>
      <c r="O317" s="13"/>
      <c r="P317" s="13"/>
      <c r="Q317" s="13"/>
      <c r="R317" s="13"/>
      <c r="S317" s="13"/>
    </row>
    <row r="318" spans="1:19">
      <c r="A318" s="13"/>
      <c r="B318" s="13"/>
      <c r="C318" s="13"/>
      <c r="D318" s="13"/>
      <c r="E318" s="13"/>
      <c r="F318" s="13"/>
      <c r="G318" s="13"/>
      <c r="H318" s="13"/>
      <c r="I318" s="13"/>
      <c r="J318" s="13"/>
      <c r="K318" s="13"/>
      <c r="L318" s="13"/>
      <c r="M318" s="13"/>
      <c r="N318" s="13"/>
      <c r="O318" s="13"/>
      <c r="P318" s="13"/>
      <c r="Q318" s="13"/>
      <c r="R318" s="13"/>
      <c r="S318" s="13"/>
    </row>
    <row r="319" spans="1:19">
      <c r="A319" s="13"/>
      <c r="B319" s="13"/>
      <c r="C319" s="13"/>
      <c r="D319" s="13"/>
      <c r="E319" s="13"/>
      <c r="F319" s="13"/>
      <c r="G319" s="13"/>
      <c r="H319" s="13"/>
      <c r="I319" s="13"/>
      <c r="J319" s="13"/>
      <c r="K319" s="13"/>
      <c r="L319" s="13"/>
      <c r="M319" s="13"/>
      <c r="N319" s="13"/>
      <c r="O319" s="13"/>
      <c r="P319" s="13"/>
      <c r="Q319" s="13"/>
      <c r="R319" s="13"/>
      <c r="S319" s="13"/>
    </row>
    <row r="320" spans="1:19">
      <c r="A320" s="13"/>
      <c r="B320" s="13"/>
      <c r="C320" s="13"/>
      <c r="D320" s="13"/>
      <c r="E320" s="13"/>
      <c r="F320" s="13"/>
      <c r="G320" s="13"/>
      <c r="H320" s="13"/>
      <c r="I320" s="13"/>
      <c r="J320" s="13"/>
      <c r="K320" s="13"/>
      <c r="L320" s="13"/>
      <c r="M320" s="13"/>
      <c r="N320" s="13"/>
      <c r="O320" s="13"/>
      <c r="P320" s="13"/>
      <c r="Q320" s="13"/>
      <c r="R320" s="13"/>
      <c r="S320" s="13"/>
    </row>
    <row r="321" spans="1:19">
      <c r="A321" s="13"/>
      <c r="B321" s="13"/>
      <c r="C321" s="13"/>
      <c r="D321" s="13"/>
      <c r="E321" s="13"/>
      <c r="F321" s="13"/>
      <c r="G321" s="13"/>
      <c r="H321" s="13"/>
      <c r="I321" s="13"/>
      <c r="J321" s="13"/>
      <c r="K321" s="13"/>
      <c r="L321" s="13"/>
      <c r="M321" s="13"/>
      <c r="N321" s="13"/>
      <c r="O321" s="13"/>
      <c r="P321" s="13"/>
      <c r="Q321" s="13"/>
      <c r="R321" s="13"/>
      <c r="S321" s="13"/>
    </row>
    <row r="322" spans="1:19">
      <c r="A322" s="13"/>
      <c r="B322" s="13"/>
      <c r="C322" s="13"/>
      <c r="D322" s="13"/>
      <c r="E322" s="13"/>
      <c r="F322" s="13"/>
      <c r="G322" s="13"/>
      <c r="H322" s="13"/>
      <c r="I322" s="13"/>
      <c r="J322" s="13"/>
      <c r="K322" s="13"/>
      <c r="L322" s="13"/>
      <c r="M322" s="13"/>
      <c r="N322" s="13"/>
      <c r="O322" s="13"/>
      <c r="P322" s="13"/>
      <c r="Q322" s="13"/>
      <c r="R322" s="13"/>
      <c r="S322" s="13"/>
    </row>
    <row r="323" spans="1:19">
      <c r="A323" s="13"/>
      <c r="B323" s="13"/>
      <c r="C323" s="13"/>
      <c r="D323" s="13"/>
      <c r="E323" s="13"/>
      <c r="F323" s="13"/>
      <c r="G323" s="13"/>
      <c r="H323" s="13"/>
      <c r="I323" s="13"/>
      <c r="J323" s="13"/>
      <c r="K323" s="13"/>
      <c r="L323" s="13"/>
      <c r="M323" s="13"/>
      <c r="N323" s="13"/>
      <c r="O323" s="13"/>
      <c r="P323" s="13"/>
      <c r="Q323" s="13"/>
      <c r="R323" s="13"/>
      <c r="S323" s="13"/>
    </row>
    <row r="324" spans="1:19">
      <c r="A324" s="13"/>
      <c r="B324" s="13"/>
      <c r="C324" s="13"/>
      <c r="D324" s="13"/>
      <c r="E324" s="13"/>
      <c r="F324" s="13"/>
      <c r="G324" s="13"/>
      <c r="H324" s="13"/>
      <c r="I324" s="13"/>
      <c r="J324" s="13"/>
      <c r="K324" s="13"/>
      <c r="L324" s="13"/>
      <c r="M324" s="13"/>
      <c r="N324" s="13"/>
      <c r="O324" s="13"/>
      <c r="P324" s="13"/>
      <c r="Q324" s="13"/>
      <c r="R324" s="13"/>
      <c r="S324" s="13"/>
    </row>
    <row r="325" spans="1:19">
      <c r="A325" s="13"/>
      <c r="B325" s="13"/>
      <c r="C325" s="13"/>
      <c r="D325" s="13"/>
      <c r="E325" s="13"/>
      <c r="F325" s="13"/>
      <c r="G325" s="13"/>
      <c r="H325" s="13"/>
      <c r="I325" s="13"/>
      <c r="J325" s="13"/>
      <c r="K325" s="13"/>
      <c r="L325" s="13"/>
      <c r="M325" s="13"/>
      <c r="N325" s="13"/>
      <c r="O325" s="13"/>
      <c r="P325" s="13"/>
      <c r="Q325" s="13"/>
      <c r="R325" s="13"/>
      <c r="S325" s="13"/>
    </row>
    <row r="326" spans="1:19">
      <c r="A326" s="13"/>
      <c r="B326" s="13"/>
      <c r="C326" s="13"/>
      <c r="D326" s="13"/>
      <c r="E326" s="13"/>
      <c r="F326" s="13"/>
      <c r="G326" s="13"/>
      <c r="H326" s="13"/>
      <c r="I326" s="13"/>
      <c r="J326" s="13"/>
      <c r="K326" s="13"/>
      <c r="L326" s="13"/>
      <c r="M326" s="13"/>
      <c r="N326" s="13"/>
      <c r="O326" s="13"/>
      <c r="P326" s="13"/>
      <c r="Q326" s="13"/>
      <c r="R326" s="13"/>
      <c r="S326" s="13"/>
    </row>
    <row r="327" spans="1:19">
      <c r="A327" s="13"/>
      <c r="B327" s="13"/>
      <c r="C327" s="13"/>
      <c r="D327" s="13"/>
      <c r="E327" s="13"/>
      <c r="F327" s="13"/>
      <c r="G327" s="13"/>
      <c r="H327" s="13"/>
      <c r="I327" s="13"/>
      <c r="J327" s="13"/>
      <c r="K327" s="13"/>
      <c r="L327" s="13"/>
      <c r="M327" s="13"/>
      <c r="N327" s="13"/>
      <c r="O327" s="13"/>
      <c r="P327" s="13"/>
      <c r="Q327" s="13"/>
      <c r="R327" s="13"/>
      <c r="S327" s="13"/>
    </row>
    <row r="328" spans="1:19">
      <c r="A328" s="13"/>
      <c r="B328" s="13"/>
      <c r="C328" s="13"/>
      <c r="D328" s="13"/>
      <c r="E328" s="13"/>
      <c r="F328" s="13"/>
      <c r="G328" s="13"/>
      <c r="H328" s="13"/>
      <c r="I328" s="13"/>
      <c r="J328" s="13"/>
      <c r="K328" s="13"/>
      <c r="L328" s="13"/>
      <c r="M328" s="13"/>
      <c r="N328" s="13"/>
      <c r="O328" s="13"/>
      <c r="P328" s="13"/>
      <c r="Q328" s="13"/>
      <c r="R328" s="13"/>
      <c r="S328" s="13"/>
    </row>
    <row r="329" spans="1:19">
      <c r="A329" s="13"/>
      <c r="B329" s="13"/>
      <c r="C329" s="13"/>
      <c r="D329" s="13"/>
      <c r="E329" s="13"/>
      <c r="F329" s="13"/>
      <c r="G329" s="13"/>
      <c r="H329" s="13"/>
      <c r="I329" s="13"/>
      <c r="J329" s="13"/>
      <c r="K329" s="13"/>
      <c r="L329" s="13"/>
      <c r="M329" s="13"/>
      <c r="N329" s="13"/>
      <c r="O329" s="13"/>
      <c r="P329" s="13"/>
      <c r="Q329" s="13"/>
      <c r="R329" s="13"/>
      <c r="S329" s="13"/>
    </row>
    <row r="330" spans="1:19">
      <c r="A330" s="13"/>
      <c r="B330" s="13"/>
      <c r="C330" s="13"/>
      <c r="D330" s="13"/>
      <c r="E330" s="13"/>
      <c r="F330" s="13"/>
      <c r="G330" s="13"/>
      <c r="H330" s="13"/>
      <c r="I330" s="13"/>
      <c r="J330" s="13"/>
      <c r="K330" s="13"/>
      <c r="L330" s="13"/>
      <c r="M330" s="13"/>
      <c r="N330" s="13"/>
      <c r="O330" s="13"/>
      <c r="P330" s="13"/>
      <c r="Q330" s="13"/>
      <c r="R330" s="13"/>
      <c r="S330" s="13"/>
    </row>
    <row r="331" spans="1:19">
      <c r="A331" s="13"/>
      <c r="B331" s="13"/>
      <c r="C331" s="13"/>
      <c r="D331" s="13"/>
      <c r="E331" s="13"/>
      <c r="F331" s="13"/>
      <c r="G331" s="13"/>
      <c r="H331" s="13"/>
      <c r="I331" s="13"/>
      <c r="J331" s="13"/>
      <c r="K331" s="13"/>
      <c r="L331" s="13"/>
      <c r="M331" s="13"/>
      <c r="N331" s="13"/>
      <c r="O331" s="13"/>
      <c r="P331" s="13"/>
      <c r="Q331" s="13"/>
      <c r="R331" s="13"/>
      <c r="S331" s="13"/>
    </row>
    <row r="332" spans="1:19">
      <c r="A332" s="13"/>
      <c r="B332" s="13"/>
      <c r="C332" s="13"/>
      <c r="D332" s="13"/>
      <c r="E332" s="13"/>
      <c r="F332" s="13"/>
      <c r="G332" s="13"/>
      <c r="H332" s="13"/>
      <c r="I332" s="13"/>
      <c r="J332" s="13"/>
      <c r="K332" s="13"/>
      <c r="L332" s="13"/>
      <c r="M332" s="13"/>
      <c r="N332" s="13"/>
      <c r="O332" s="13"/>
      <c r="P332" s="13"/>
      <c r="Q332" s="13"/>
      <c r="R332" s="13"/>
      <c r="S332" s="13"/>
    </row>
    <row r="333" spans="1:19">
      <c r="A333" s="13"/>
      <c r="B333" s="13"/>
      <c r="C333" s="13"/>
      <c r="D333" s="13"/>
      <c r="E333" s="13"/>
      <c r="F333" s="13"/>
      <c r="G333" s="13"/>
      <c r="H333" s="13"/>
      <c r="I333" s="13"/>
      <c r="J333" s="13"/>
      <c r="K333" s="13"/>
      <c r="L333" s="13"/>
      <c r="M333" s="13"/>
      <c r="N333" s="13"/>
      <c r="O333" s="13"/>
      <c r="P333" s="13"/>
      <c r="Q333" s="13"/>
      <c r="R333" s="13"/>
      <c r="S333" s="13"/>
    </row>
    <row r="334" spans="1:19">
      <c r="A334" s="13"/>
      <c r="B334" s="13"/>
      <c r="C334" s="13"/>
      <c r="D334" s="13"/>
      <c r="E334" s="13"/>
      <c r="F334" s="13"/>
      <c r="G334" s="13"/>
      <c r="H334" s="13"/>
      <c r="I334" s="13"/>
      <c r="J334" s="13"/>
      <c r="K334" s="13"/>
      <c r="L334" s="13"/>
      <c r="M334" s="13"/>
      <c r="N334" s="13"/>
      <c r="O334" s="13"/>
      <c r="P334" s="13"/>
      <c r="Q334" s="13"/>
      <c r="R334" s="13"/>
      <c r="S334" s="13"/>
    </row>
    <row r="335" spans="1:19">
      <c r="A335" s="13"/>
      <c r="B335" s="13"/>
      <c r="C335" s="13"/>
      <c r="D335" s="13"/>
      <c r="E335" s="13"/>
      <c r="F335" s="13"/>
      <c r="G335" s="13"/>
      <c r="H335" s="13"/>
      <c r="I335" s="13"/>
      <c r="J335" s="13"/>
      <c r="K335" s="13"/>
      <c r="L335" s="13"/>
      <c r="M335" s="13"/>
      <c r="N335" s="13"/>
      <c r="O335" s="13"/>
      <c r="P335" s="13"/>
      <c r="Q335" s="13"/>
      <c r="R335" s="13"/>
      <c r="S335" s="13"/>
    </row>
    <row r="336" spans="1:19">
      <c r="A336" s="13"/>
      <c r="B336" s="13"/>
      <c r="C336" s="13"/>
      <c r="D336" s="13"/>
      <c r="E336" s="13"/>
      <c r="F336" s="13"/>
      <c r="G336" s="13"/>
      <c r="H336" s="13"/>
      <c r="I336" s="13"/>
      <c r="J336" s="13"/>
      <c r="K336" s="13"/>
      <c r="L336" s="13"/>
      <c r="M336" s="13"/>
      <c r="N336" s="13"/>
      <c r="O336" s="13"/>
      <c r="P336" s="13"/>
      <c r="Q336" s="13"/>
      <c r="R336" s="13"/>
      <c r="S336" s="13"/>
    </row>
    <row r="337" spans="1:19">
      <c r="A337" s="13"/>
      <c r="B337" s="13"/>
      <c r="C337" s="13"/>
      <c r="D337" s="13"/>
      <c r="E337" s="13"/>
      <c r="F337" s="13"/>
      <c r="G337" s="13"/>
      <c r="H337" s="13"/>
      <c r="I337" s="13"/>
      <c r="J337" s="13"/>
      <c r="K337" s="13"/>
      <c r="L337" s="13"/>
      <c r="M337" s="13"/>
      <c r="N337" s="13"/>
      <c r="O337" s="13"/>
      <c r="P337" s="13"/>
      <c r="Q337" s="13"/>
      <c r="R337" s="13"/>
      <c r="S337" s="13"/>
    </row>
    <row r="338" spans="1:19">
      <c r="A338" s="13"/>
      <c r="B338" s="13"/>
      <c r="C338" s="13"/>
      <c r="D338" s="13"/>
      <c r="E338" s="13"/>
      <c r="F338" s="13"/>
      <c r="G338" s="13"/>
      <c r="H338" s="13"/>
      <c r="I338" s="13"/>
      <c r="J338" s="13"/>
      <c r="K338" s="13"/>
      <c r="L338" s="13"/>
      <c r="M338" s="13"/>
      <c r="N338" s="13"/>
      <c r="O338" s="13"/>
      <c r="P338" s="13"/>
      <c r="Q338" s="13"/>
      <c r="R338" s="13"/>
      <c r="S338" s="13"/>
    </row>
    <row r="339" spans="1:19">
      <c r="A339" s="13"/>
      <c r="B339" s="13"/>
      <c r="C339" s="13"/>
      <c r="D339" s="13"/>
      <c r="E339" s="13"/>
      <c r="F339" s="13"/>
      <c r="G339" s="13"/>
      <c r="H339" s="13"/>
      <c r="I339" s="13"/>
      <c r="J339" s="13"/>
      <c r="K339" s="13"/>
      <c r="L339" s="13"/>
      <c r="M339" s="13"/>
      <c r="N339" s="13"/>
      <c r="O339" s="13"/>
      <c r="P339" s="13"/>
      <c r="Q339" s="13"/>
      <c r="R339" s="13"/>
      <c r="S339" s="13"/>
    </row>
    <row r="340" spans="1:19">
      <c r="A340" s="13"/>
      <c r="B340" s="13"/>
      <c r="C340" s="13"/>
      <c r="D340" s="13"/>
      <c r="E340" s="13"/>
      <c r="F340" s="13"/>
      <c r="G340" s="13"/>
      <c r="H340" s="13"/>
      <c r="I340" s="13"/>
      <c r="J340" s="13"/>
      <c r="K340" s="13"/>
      <c r="L340" s="13"/>
      <c r="M340" s="13"/>
      <c r="N340" s="13"/>
      <c r="O340" s="13"/>
      <c r="P340" s="13"/>
      <c r="Q340" s="13"/>
      <c r="R340" s="13"/>
      <c r="S340" s="13"/>
    </row>
    <row r="341" spans="1:19">
      <c r="A341" s="13"/>
      <c r="B341" s="13"/>
      <c r="C341" s="13"/>
      <c r="D341" s="13"/>
      <c r="E341" s="13"/>
      <c r="F341" s="13"/>
      <c r="G341" s="13"/>
      <c r="H341" s="13"/>
      <c r="I341" s="13"/>
      <c r="J341" s="13"/>
      <c r="K341" s="13"/>
      <c r="L341" s="13"/>
      <c r="M341" s="13"/>
      <c r="N341" s="13"/>
      <c r="O341" s="13"/>
      <c r="P341" s="13"/>
      <c r="Q341" s="13"/>
      <c r="R341" s="13"/>
      <c r="S341" s="13"/>
    </row>
    <row r="342" spans="1:19">
      <c r="A342" s="13"/>
      <c r="B342" s="13"/>
      <c r="C342" s="13"/>
      <c r="D342" s="13"/>
      <c r="E342" s="13"/>
      <c r="F342" s="13"/>
      <c r="G342" s="13"/>
      <c r="H342" s="13"/>
      <c r="I342" s="13"/>
      <c r="J342" s="13"/>
      <c r="K342" s="13"/>
      <c r="L342" s="13"/>
      <c r="M342" s="13"/>
      <c r="N342" s="13"/>
      <c r="O342" s="13"/>
      <c r="P342" s="13"/>
      <c r="Q342" s="13"/>
      <c r="R342" s="13"/>
      <c r="S342" s="13"/>
    </row>
    <row r="343" spans="1:19">
      <c r="A343" s="13"/>
      <c r="B343" s="13"/>
      <c r="C343" s="13"/>
      <c r="D343" s="13"/>
      <c r="E343" s="13"/>
      <c r="F343" s="13"/>
      <c r="G343" s="13"/>
      <c r="H343" s="13"/>
      <c r="I343" s="13"/>
      <c r="J343" s="13"/>
      <c r="K343" s="13"/>
      <c r="L343" s="13"/>
      <c r="M343" s="13"/>
      <c r="N343" s="13"/>
      <c r="O343" s="13"/>
      <c r="P343" s="13"/>
      <c r="Q343" s="13"/>
      <c r="R343" s="13"/>
      <c r="S343" s="13"/>
    </row>
    <row r="344" spans="1:19">
      <c r="A344" s="13"/>
      <c r="B344" s="13"/>
      <c r="C344" s="13"/>
      <c r="D344" s="13"/>
      <c r="E344" s="13"/>
      <c r="F344" s="13"/>
      <c r="G344" s="13"/>
      <c r="H344" s="13"/>
      <c r="I344" s="13"/>
      <c r="J344" s="13"/>
      <c r="K344" s="13"/>
      <c r="L344" s="13"/>
      <c r="M344" s="13"/>
      <c r="N344" s="13"/>
      <c r="O344" s="13"/>
      <c r="P344" s="13"/>
      <c r="Q344" s="13"/>
      <c r="R344" s="13"/>
      <c r="S344" s="13"/>
    </row>
    <row r="345" spans="1:19">
      <c r="A345" s="13"/>
      <c r="B345" s="13"/>
      <c r="C345" s="13"/>
      <c r="D345" s="13"/>
      <c r="E345" s="13"/>
      <c r="F345" s="13"/>
      <c r="G345" s="13"/>
      <c r="H345" s="13"/>
      <c r="I345" s="13"/>
      <c r="J345" s="13"/>
      <c r="K345" s="13"/>
      <c r="L345" s="13"/>
      <c r="M345" s="13"/>
      <c r="N345" s="13"/>
      <c r="O345" s="13"/>
      <c r="P345" s="13"/>
      <c r="Q345" s="13"/>
      <c r="R345" s="13"/>
      <c r="S345" s="13"/>
    </row>
    <row r="346" spans="1:19">
      <c r="A346" s="13"/>
      <c r="B346" s="13"/>
      <c r="C346" s="13"/>
      <c r="D346" s="13"/>
      <c r="E346" s="13"/>
      <c r="F346" s="13"/>
      <c r="G346" s="13"/>
      <c r="H346" s="13"/>
      <c r="I346" s="13"/>
      <c r="J346" s="13"/>
      <c r="K346" s="13"/>
      <c r="L346" s="13"/>
      <c r="M346" s="13"/>
      <c r="N346" s="13"/>
      <c r="O346" s="13"/>
      <c r="P346" s="13"/>
      <c r="Q346" s="13"/>
      <c r="R346" s="13"/>
      <c r="S346" s="13"/>
    </row>
    <row r="347" spans="1:19">
      <c r="A347" s="13"/>
      <c r="B347" s="13"/>
      <c r="C347" s="13"/>
      <c r="D347" s="13"/>
      <c r="E347" s="13"/>
      <c r="F347" s="13"/>
      <c r="G347" s="13"/>
      <c r="H347" s="13"/>
      <c r="I347" s="13"/>
      <c r="J347" s="13"/>
      <c r="K347" s="13"/>
      <c r="L347" s="13"/>
      <c r="M347" s="13"/>
      <c r="N347" s="13"/>
      <c r="O347" s="13"/>
      <c r="P347" s="13"/>
      <c r="Q347" s="13"/>
      <c r="R347" s="13"/>
      <c r="S347" s="13"/>
    </row>
    <row r="348" spans="1:19">
      <c r="A348" s="13"/>
      <c r="B348" s="13"/>
      <c r="C348" s="13"/>
      <c r="D348" s="13"/>
      <c r="E348" s="13"/>
      <c r="F348" s="13"/>
      <c r="G348" s="13"/>
      <c r="H348" s="13"/>
      <c r="I348" s="13"/>
      <c r="J348" s="13"/>
      <c r="K348" s="13"/>
      <c r="L348" s="13"/>
      <c r="M348" s="13"/>
      <c r="N348" s="13"/>
      <c r="O348" s="13"/>
      <c r="P348" s="13"/>
      <c r="Q348" s="13"/>
      <c r="R348" s="13"/>
      <c r="S348" s="13"/>
    </row>
    <row r="349" spans="1:19">
      <c r="A349" s="13"/>
      <c r="B349" s="13"/>
      <c r="C349" s="13"/>
      <c r="D349" s="13"/>
      <c r="E349" s="13"/>
      <c r="F349" s="13"/>
      <c r="G349" s="13"/>
      <c r="H349" s="13"/>
      <c r="I349" s="13"/>
      <c r="J349" s="13"/>
      <c r="K349" s="13"/>
      <c r="L349" s="13"/>
      <c r="M349" s="13"/>
      <c r="N349" s="13"/>
      <c r="O349" s="13"/>
      <c r="P349" s="13"/>
      <c r="Q349" s="13"/>
      <c r="R349" s="13"/>
      <c r="S349" s="13"/>
    </row>
    <row r="350" spans="1:19">
      <c r="A350" s="13"/>
      <c r="B350" s="13"/>
      <c r="C350" s="13"/>
      <c r="D350" s="13"/>
      <c r="E350" s="13"/>
      <c r="F350" s="13"/>
      <c r="G350" s="13"/>
      <c r="H350" s="13"/>
      <c r="I350" s="13"/>
      <c r="J350" s="13"/>
      <c r="K350" s="13"/>
      <c r="L350" s="13"/>
      <c r="M350" s="13"/>
      <c r="N350" s="13"/>
      <c r="O350" s="13"/>
      <c r="P350" s="13"/>
      <c r="Q350" s="13"/>
      <c r="R350" s="13"/>
      <c r="S350" s="13"/>
    </row>
    <row r="351" spans="1:19">
      <c r="A351" s="13"/>
      <c r="B351" s="13"/>
      <c r="C351" s="13"/>
      <c r="D351" s="13"/>
      <c r="E351" s="13"/>
      <c r="F351" s="13"/>
      <c r="G351" s="13"/>
      <c r="H351" s="13"/>
      <c r="I351" s="13"/>
      <c r="J351" s="13"/>
      <c r="K351" s="13"/>
      <c r="L351" s="13"/>
      <c r="M351" s="13"/>
      <c r="N351" s="13"/>
      <c r="O351" s="13"/>
      <c r="P351" s="13"/>
      <c r="Q351" s="13"/>
      <c r="R351" s="13"/>
      <c r="S351" s="13"/>
    </row>
    <row r="352" spans="1:19">
      <c r="A352" s="13"/>
      <c r="B352" s="13"/>
      <c r="C352" s="13"/>
      <c r="D352" s="13"/>
      <c r="E352" s="13"/>
      <c r="F352" s="13"/>
      <c r="G352" s="13"/>
      <c r="H352" s="13"/>
      <c r="I352" s="13"/>
      <c r="J352" s="13"/>
      <c r="K352" s="13"/>
      <c r="L352" s="13"/>
      <c r="M352" s="13"/>
      <c r="N352" s="13"/>
      <c r="O352" s="13"/>
      <c r="P352" s="13"/>
      <c r="Q352" s="13"/>
      <c r="R352" s="13"/>
      <c r="S352" s="13"/>
    </row>
    <row r="353" spans="1:19">
      <c r="A353" s="13"/>
      <c r="B353" s="13"/>
      <c r="C353" s="13"/>
      <c r="D353" s="13"/>
      <c r="E353" s="13"/>
      <c r="F353" s="13"/>
      <c r="G353" s="13"/>
      <c r="H353" s="13"/>
      <c r="I353" s="13"/>
      <c r="J353" s="13"/>
      <c r="K353" s="13"/>
      <c r="L353" s="13"/>
      <c r="M353" s="13"/>
      <c r="N353" s="13"/>
      <c r="O353" s="13"/>
      <c r="P353" s="13"/>
      <c r="Q353" s="13"/>
      <c r="R353" s="13"/>
      <c r="S353" s="13"/>
    </row>
    <row r="354" spans="1:19">
      <c r="A354" s="13"/>
      <c r="B354" s="13"/>
      <c r="C354" s="13"/>
      <c r="D354" s="13"/>
      <c r="E354" s="13"/>
      <c r="F354" s="13"/>
      <c r="G354" s="13"/>
      <c r="H354" s="13"/>
      <c r="I354" s="13"/>
      <c r="J354" s="13"/>
      <c r="K354" s="13"/>
      <c r="L354" s="13"/>
      <c r="M354" s="13"/>
      <c r="N354" s="13"/>
      <c r="O354" s="13"/>
      <c r="P354" s="13"/>
      <c r="Q354" s="13"/>
      <c r="R354" s="13"/>
      <c r="S354" s="13"/>
    </row>
    <row r="355" spans="1:19">
      <c r="A355" s="13"/>
      <c r="B355" s="13"/>
      <c r="C355" s="13"/>
      <c r="D355" s="13"/>
      <c r="E355" s="13"/>
      <c r="F355" s="13"/>
      <c r="G355" s="13"/>
      <c r="H355" s="13"/>
      <c r="I355" s="13"/>
      <c r="J355" s="13"/>
      <c r="K355" s="13"/>
      <c r="L355" s="13"/>
      <c r="M355" s="13"/>
      <c r="N355" s="13"/>
      <c r="O355" s="13"/>
      <c r="P355" s="13"/>
      <c r="Q355" s="13"/>
      <c r="R355" s="13"/>
      <c r="S355" s="13"/>
    </row>
    <row r="356" spans="1:19">
      <c r="A356" s="13"/>
      <c r="B356" s="13"/>
      <c r="C356" s="13"/>
      <c r="D356" s="13"/>
      <c r="E356" s="13"/>
      <c r="F356" s="13"/>
      <c r="G356" s="13"/>
      <c r="H356" s="13"/>
      <c r="I356" s="13"/>
      <c r="J356" s="13"/>
      <c r="K356" s="13"/>
      <c r="L356" s="13"/>
      <c r="M356" s="13"/>
      <c r="N356" s="13"/>
      <c r="O356" s="13"/>
      <c r="P356" s="13"/>
      <c r="Q356" s="13"/>
      <c r="R356" s="13"/>
      <c r="S356" s="13"/>
    </row>
    <row r="357" spans="1:19">
      <c r="A357" s="13"/>
      <c r="B357" s="13"/>
      <c r="C357" s="13"/>
      <c r="D357" s="13"/>
      <c r="E357" s="13"/>
      <c r="F357" s="13"/>
      <c r="G357" s="13"/>
      <c r="H357" s="13"/>
      <c r="I357" s="13"/>
      <c r="J357" s="13"/>
      <c r="K357" s="13"/>
      <c r="L357" s="13"/>
      <c r="M357" s="13"/>
      <c r="N357" s="13"/>
      <c r="O357" s="13"/>
      <c r="P357" s="13"/>
      <c r="Q357" s="13"/>
      <c r="R357" s="13"/>
      <c r="S357" s="13"/>
    </row>
    <row r="358" spans="1:19">
      <c r="A358" s="13"/>
      <c r="B358" s="13"/>
      <c r="C358" s="13"/>
      <c r="D358" s="13"/>
      <c r="E358" s="13"/>
      <c r="F358" s="13"/>
      <c r="G358" s="13"/>
      <c r="H358" s="13"/>
      <c r="I358" s="13"/>
      <c r="J358" s="13"/>
      <c r="K358" s="13"/>
      <c r="L358" s="13"/>
      <c r="M358" s="13"/>
      <c r="N358" s="13"/>
      <c r="O358" s="13"/>
      <c r="P358" s="13"/>
      <c r="Q358" s="13"/>
      <c r="R358" s="13"/>
      <c r="S358" s="13"/>
    </row>
    <row r="359" spans="1:19">
      <c r="A359" s="13"/>
      <c r="B359" s="13"/>
      <c r="C359" s="13"/>
      <c r="D359" s="13"/>
      <c r="E359" s="13"/>
      <c r="F359" s="13"/>
      <c r="G359" s="13"/>
      <c r="H359" s="13"/>
      <c r="I359" s="13"/>
      <c r="J359" s="13"/>
      <c r="K359" s="13"/>
      <c r="L359" s="13"/>
      <c r="M359" s="13"/>
      <c r="N359" s="13"/>
      <c r="O359" s="13"/>
      <c r="P359" s="13"/>
      <c r="Q359" s="13"/>
      <c r="R359" s="13"/>
      <c r="S359" s="13"/>
    </row>
    <row r="360" spans="1:19">
      <c r="A360" s="13"/>
      <c r="B360" s="13"/>
      <c r="C360" s="13"/>
      <c r="D360" s="13"/>
      <c r="E360" s="13"/>
      <c r="F360" s="13"/>
      <c r="G360" s="13"/>
      <c r="H360" s="13"/>
      <c r="I360" s="13"/>
      <c r="J360" s="13"/>
      <c r="K360" s="13"/>
      <c r="L360" s="13"/>
      <c r="M360" s="13"/>
      <c r="N360" s="13"/>
      <c r="O360" s="13"/>
      <c r="P360" s="13"/>
      <c r="Q360" s="13"/>
      <c r="R360" s="13"/>
      <c r="S360" s="13"/>
    </row>
    <row r="361" spans="1:19">
      <c r="A361" s="13"/>
      <c r="B361" s="13"/>
      <c r="C361" s="13"/>
      <c r="D361" s="13"/>
      <c r="E361" s="13"/>
      <c r="F361" s="13"/>
      <c r="G361" s="13"/>
      <c r="H361" s="13"/>
      <c r="I361" s="13"/>
      <c r="J361" s="13"/>
      <c r="K361" s="13"/>
      <c r="L361" s="13"/>
      <c r="M361" s="13"/>
      <c r="N361" s="13"/>
      <c r="O361" s="13"/>
      <c r="P361" s="13"/>
      <c r="Q361" s="13"/>
      <c r="R361" s="13"/>
      <c r="S361" s="13"/>
    </row>
    <row r="362" spans="1:19">
      <c r="A362" s="13"/>
      <c r="B362" s="13"/>
      <c r="C362" s="13"/>
      <c r="D362" s="13"/>
      <c r="E362" s="13"/>
      <c r="F362" s="13"/>
      <c r="G362" s="13"/>
      <c r="H362" s="13"/>
      <c r="I362" s="13"/>
      <c r="J362" s="13"/>
      <c r="K362" s="13"/>
      <c r="L362" s="13"/>
      <c r="M362" s="13"/>
      <c r="N362" s="13"/>
      <c r="O362" s="13"/>
      <c r="P362" s="13"/>
      <c r="Q362" s="13"/>
      <c r="R362" s="13"/>
      <c r="S362" s="13"/>
    </row>
    <row r="363" spans="1:19">
      <c r="A363" s="13"/>
      <c r="B363" s="13"/>
      <c r="C363" s="13"/>
      <c r="D363" s="13"/>
      <c r="E363" s="13"/>
      <c r="F363" s="13"/>
      <c r="G363" s="13"/>
      <c r="H363" s="13"/>
      <c r="I363" s="13"/>
      <c r="J363" s="13"/>
      <c r="K363" s="13"/>
      <c r="L363" s="13"/>
      <c r="M363" s="13"/>
      <c r="N363" s="13"/>
      <c r="O363" s="13"/>
      <c r="P363" s="13"/>
      <c r="Q363" s="13"/>
      <c r="R363" s="13"/>
      <c r="S363" s="13"/>
    </row>
    <row r="364" spans="1:19">
      <c r="A364" s="13"/>
      <c r="B364" s="13"/>
      <c r="C364" s="13"/>
      <c r="D364" s="13"/>
      <c r="E364" s="13"/>
      <c r="F364" s="13"/>
      <c r="G364" s="13"/>
      <c r="H364" s="13"/>
      <c r="I364" s="13"/>
      <c r="J364" s="13"/>
      <c r="K364" s="13"/>
      <c r="L364" s="13"/>
      <c r="M364" s="13"/>
      <c r="N364" s="13"/>
      <c r="O364" s="13"/>
      <c r="P364" s="13"/>
      <c r="Q364" s="13"/>
      <c r="R364" s="13"/>
      <c r="S364" s="13"/>
    </row>
    <row r="365" spans="1:19">
      <c r="A365" s="13"/>
      <c r="B365" s="13"/>
      <c r="C365" s="13"/>
      <c r="D365" s="13"/>
      <c r="E365" s="13"/>
      <c r="F365" s="13"/>
      <c r="G365" s="13"/>
      <c r="H365" s="13"/>
      <c r="I365" s="13"/>
      <c r="J365" s="13"/>
      <c r="K365" s="13"/>
      <c r="L365" s="13"/>
      <c r="M365" s="13"/>
      <c r="N365" s="13"/>
      <c r="O365" s="13"/>
      <c r="P365" s="13"/>
      <c r="Q365" s="13"/>
      <c r="R365" s="13"/>
      <c r="S365" s="13"/>
    </row>
    <row r="366" spans="1:19">
      <c r="A366" s="13"/>
      <c r="B366" s="13"/>
      <c r="C366" s="13"/>
      <c r="D366" s="13"/>
      <c r="E366" s="13"/>
      <c r="F366" s="13"/>
      <c r="G366" s="13"/>
      <c r="H366" s="13"/>
      <c r="I366" s="13"/>
      <c r="J366" s="13"/>
      <c r="K366" s="13"/>
      <c r="L366" s="13"/>
      <c r="M366" s="13"/>
      <c r="N366" s="13"/>
      <c r="O366" s="13"/>
      <c r="P366" s="13"/>
      <c r="Q366" s="13"/>
      <c r="R366" s="13"/>
      <c r="S366" s="13"/>
    </row>
    <row r="367" spans="1:19">
      <c r="A367" s="13"/>
      <c r="B367" s="13"/>
      <c r="C367" s="13"/>
      <c r="D367" s="13"/>
      <c r="E367" s="13"/>
      <c r="F367" s="13"/>
      <c r="G367" s="13"/>
      <c r="H367" s="13"/>
      <c r="I367" s="13"/>
      <c r="J367" s="13"/>
      <c r="K367" s="13"/>
      <c r="L367" s="13"/>
      <c r="M367" s="13"/>
      <c r="N367" s="13"/>
      <c r="O367" s="13"/>
      <c r="P367" s="13"/>
      <c r="Q367" s="13"/>
      <c r="R367" s="13"/>
      <c r="S367" s="13"/>
    </row>
    <row r="368" spans="1:19">
      <c r="A368" s="13"/>
      <c r="B368" s="13"/>
      <c r="C368" s="13"/>
      <c r="D368" s="13"/>
      <c r="E368" s="13"/>
      <c r="F368" s="13"/>
      <c r="G368" s="13"/>
      <c r="H368" s="13"/>
      <c r="I368" s="13"/>
      <c r="J368" s="13"/>
      <c r="K368" s="13"/>
      <c r="L368" s="13"/>
      <c r="M368" s="13"/>
      <c r="N368" s="13"/>
      <c r="O368" s="13"/>
      <c r="P368" s="13"/>
      <c r="Q368" s="13"/>
      <c r="R368" s="13"/>
      <c r="S368" s="13"/>
    </row>
    <row r="369" spans="1:19">
      <c r="A369" s="13"/>
      <c r="B369" s="13"/>
      <c r="C369" s="13"/>
      <c r="D369" s="13"/>
      <c r="E369" s="13"/>
      <c r="F369" s="13"/>
      <c r="G369" s="13"/>
      <c r="H369" s="13"/>
      <c r="I369" s="13"/>
      <c r="J369" s="13"/>
      <c r="K369" s="13"/>
      <c r="L369" s="13"/>
      <c r="M369" s="13"/>
      <c r="N369" s="13"/>
      <c r="O369" s="13"/>
      <c r="P369" s="13"/>
      <c r="Q369" s="13"/>
      <c r="R369" s="13"/>
      <c r="S369" s="13"/>
    </row>
    <row r="370" spans="1:19">
      <c r="A370" s="13"/>
      <c r="B370" s="13"/>
      <c r="C370" s="13"/>
      <c r="D370" s="13"/>
      <c r="E370" s="13"/>
      <c r="F370" s="13"/>
      <c r="G370" s="13"/>
      <c r="H370" s="13"/>
      <c r="I370" s="13"/>
      <c r="J370" s="13"/>
      <c r="K370" s="13"/>
      <c r="L370" s="13"/>
      <c r="M370" s="13"/>
      <c r="N370" s="13"/>
      <c r="O370" s="13"/>
      <c r="P370" s="13"/>
      <c r="Q370" s="13"/>
      <c r="R370" s="13"/>
      <c r="S370" s="13"/>
    </row>
    <row r="371" spans="1:19">
      <c r="A371" s="13"/>
      <c r="B371" s="13"/>
      <c r="C371" s="13"/>
      <c r="D371" s="13"/>
      <c r="E371" s="13"/>
      <c r="F371" s="13"/>
      <c r="G371" s="13"/>
      <c r="H371" s="13"/>
      <c r="I371" s="13"/>
      <c r="J371" s="13"/>
      <c r="K371" s="13"/>
      <c r="L371" s="13"/>
      <c r="M371" s="13"/>
      <c r="N371" s="13"/>
      <c r="O371" s="13"/>
      <c r="P371" s="13"/>
      <c r="Q371" s="13"/>
      <c r="R371" s="13"/>
      <c r="S371" s="13"/>
    </row>
    <row r="372" spans="1:19">
      <c r="A372" s="13"/>
      <c r="B372" s="13"/>
      <c r="C372" s="13"/>
      <c r="D372" s="13"/>
      <c r="E372" s="13"/>
      <c r="F372" s="13"/>
      <c r="G372" s="13"/>
      <c r="H372" s="13"/>
      <c r="I372" s="13"/>
      <c r="J372" s="13"/>
      <c r="K372" s="13"/>
      <c r="L372" s="13"/>
      <c r="M372" s="13"/>
      <c r="N372" s="13"/>
      <c r="O372" s="13"/>
      <c r="P372" s="13"/>
      <c r="Q372" s="13"/>
      <c r="R372" s="13"/>
      <c r="S372" s="13"/>
    </row>
    <row r="373" spans="1:19">
      <c r="A373" s="13"/>
      <c r="B373" s="13"/>
      <c r="C373" s="13"/>
      <c r="D373" s="13"/>
      <c r="E373" s="13"/>
      <c r="F373" s="13"/>
      <c r="G373" s="13"/>
      <c r="H373" s="13"/>
      <c r="I373" s="13"/>
      <c r="J373" s="13"/>
      <c r="K373" s="13"/>
      <c r="L373" s="13"/>
      <c r="M373" s="13"/>
      <c r="N373" s="13"/>
      <c r="O373" s="13"/>
      <c r="P373" s="13"/>
      <c r="Q373" s="13"/>
      <c r="R373" s="13"/>
      <c r="S373" s="13"/>
    </row>
    <row r="374" spans="1:19">
      <c r="A374" s="13"/>
      <c r="B374" s="13"/>
      <c r="C374" s="13"/>
      <c r="D374" s="13"/>
      <c r="E374" s="13"/>
      <c r="F374" s="13"/>
      <c r="G374" s="13"/>
      <c r="H374" s="13"/>
      <c r="I374" s="13"/>
      <c r="J374" s="13"/>
      <c r="K374" s="13"/>
      <c r="L374" s="13"/>
      <c r="M374" s="13"/>
      <c r="N374" s="13"/>
      <c r="O374" s="13"/>
      <c r="P374" s="13"/>
      <c r="Q374" s="13"/>
      <c r="R374" s="13"/>
      <c r="S374" s="13"/>
    </row>
    <row r="375" spans="1:19">
      <c r="A375" s="13"/>
      <c r="B375" s="13"/>
      <c r="C375" s="13"/>
      <c r="D375" s="13"/>
      <c r="E375" s="13"/>
      <c r="F375" s="13"/>
      <c r="G375" s="13"/>
      <c r="H375" s="13"/>
      <c r="I375" s="13"/>
      <c r="J375" s="13"/>
      <c r="K375" s="13"/>
      <c r="L375" s="13"/>
      <c r="M375" s="13"/>
      <c r="N375" s="13"/>
      <c r="O375" s="13"/>
      <c r="P375" s="13"/>
      <c r="Q375" s="13"/>
      <c r="R375" s="13"/>
      <c r="S375" s="13"/>
    </row>
    <row r="376" spans="1:19">
      <c r="A376" s="13"/>
      <c r="B376" s="13"/>
      <c r="C376" s="13"/>
      <c r="D376" s="13"/>
      <c r="E376" s="13"/>
      <c r="F376" s="13"/>
      <c r="G376" s="13"/>
      <c r="H376" s="13"/>
      <c r="I376" s="13"/>
      <c r="J376" s="13"/>
      <c r="K376" s="13"/>
      <c r="L376" s="13"/>
      <c r="M376" s="13"/>
      <c r="N376" s="13"/>
      <c r="O376" s="13"/>
      <c r="P376" s="13"/>
      <c r="Q376" s="13"/>
      <c r="R376" s="13"/>
      <c r="S376" s="13"/>
    </row>
    <row r="377" spans="1:19">
      <c r="A377" s="13"/>
      <c r="B377" s="13"/>
      <c r="C377" s="13"/>
      <c r="D377" s="13"/>
      <c r="E377" s="13"/>
      <c r="F377" s="13"/>
      <c r="G377" s="13"/>
      <c r="H377" s="13"/>
      <c r="I377" s="13"/>
      <c r="J377" s="13"/>
      <c r="K377" s="13"/>
      <c r="L377" s="13"/>
      <c r="M377" s="13"/>
      <c r="N377" s="13"/>
      <c r="O377" s="13"/>
      <c r="P377" s="13"/>
      <c r="Q377" s="13"/>
      <c r="R377" s="13"/>
      <c r="S377" s="13"/>
    </row>
    <row r="378" spans="1:19">
      <c r="A378" s="13"/>
      <c r="B378" s="13"/>
      <c r="C378" s="13"/>
      <c r="D378" s="13"/>
      <c r="E378" s="13"/>
      <c r="F378" s="13"/>
      <c r="G378" s="13"/>
      <c r="H378" s="13"/>
      <c r="I378" s="13"/>
      <c r="J378" s="13"/>
      <c r="K378" s="13"/>
      <c r="L378" s="13"/>
      <c r="M378" s="13"/>
      <c r="N378" s="13"/>
      <c r="O378" s="13"/>
      <c r="P378" s="13"/>
      <c r="Q378" s="13"/>
      <c r="R378" s="13"/>
      <c r="S378" s="13"/>
    </row>
    <row r="379" spans="1:19">
      <c r="A379" s="13"/>
      <c r="B379" s="13"/>
      <c r="C379" s="13"/>
      <c r="D379" s="13"/>
      <c r="E379" s="13"/>
      <c r="F379" s="13"/>
      <c r="G379" s="13"/>
      <c r="H379" s="13"/>
      <c r="I379" s="13"/>
      <c r="J379" s="13"/>
      <c r="K379" s="13"/>
      <c r="L379" s="13"/>
      <c r="M379" s="13"/>
      <c r="N379" s="13"/>
      <c r="O379" s="13"/>
      <c r="P379" s="13"/>
      <c r="Q379" s="13"/>
      <c r="R379" s="13"/>
      <c r="S379" s="13"/>
    </row>
    <row r="380" spans="1:19">
      <c r="A380" s="13"/>
      <c r="B380" s="13"/>
      <c r="C380" s="13"/>
      <c r="D380" s="13"/>
      <c r="E380" s="13"/>
      <c r="F380" s="13"/>
      <c r="G380" s="13"/>
      <c r="H380" s="13"/>
      <c r="I380" s="13"/>
      <c r="J380" s="13"/>
      <c r="K380" s="13"/>
      <c r="L380" s="13"/>
      <c r="M380" s="13"/>
      <c r="N380" s="13"/>
      <c r="O380" s="13"/>
      <c r="P380" s="13"/>
      <c r="Q380" s="13"/>
      <c r="R380" s="13"/>
      <c r="S380" s="13"/>
    </row>
    <row r="381" spans="1:19">
      <c r="A381" s="13"/>
      <c r="B381" s="13"/>
      <c r="C381" s="13"/>
      <c r="D381" s="13"/>
      <c r="E381" s="13"/>
      <c r="F381" s="13"/>
      <c r="G381" s="13"/>
      <c r="H381" s="13"/>
      <c r="I381" s="13"/>
      <c r="J381" s="13"/>
      <c r="K381" s="13"/>
      <c r="L381" s="13"/>
      <c r="M381" s="13"/>
      <c r="N381" s="13"/>
      <c r="O381" s="13"/>
      <c r="P381" s="13"/>
      <c r="Q381" s="13"/>
      <c r="R381" s="13"/>
      <c r="S381" s="13"/>
    </row>
    <row r="382" spans="1:19">
      <c r="A382" s="13"/>
      <c r="B382" s="13"/>
      <c r="C382" s="13"/>
      <c r="D382" s="13"/>
      <c r="E382" s="13"/>
      <c r="F382" s="13"/>
      <c r="G382" s="13"/>
      <c r="H382" s="13"/>
      <c r="I382" s="13"/>
      <c r="J382" s="13"/>
      <c r="K382" s="13"/>
      <c r="L382" s="13"/>
      <c r="M382" s="13"/>
      <c r="N382" s="13"/>
      <c r="O382" s="13"/>
      <c r="P382" s="13"/>
      <c r="Q382" s="13"/>
      <c r="R382" s="13"/>
      <c r="S382" s="13"/>
    </row>
    <row r="383" spans="1:19">
      <c r="A383" s="13"/>
      <c r="B383" s="13"/>
      <c r="C383" s="13"/>
      <c r="D383" s="13"/>
      <c r="E383" s="13"/>
      <c r="F383" s="13"/>
      <c r="G383" s="13"/>
      <c r="H383" s="13"/>
      <c r="I383" s="13"/>
      <c r="J383" s="13"/>
      <c r="K383" s="13"/>
      <c r="L383" s="13"/>
      <c r="M383" s="13"/>
      <c r="N383" s="13"/>
      <c r="O383" s="13"/>
      <c r="P383" s="13"/>
      <c r="Q383" s="13"/>
      <c r="R383" s="13"/>
      <c r="S383" s="13"/>
    </row>
    <row r="384" spans="1:19">
      <c r="A384" s="13"/>
      <c r="B384" s="13"/>
      <c r="C384" s="13"/>
      <c r="D384" s="13"/>
      <c r="E384" s="13"/>
      <c r="F384" s="13"/>
      <c r="G384" s="13"/>
      <c r="H384" s="13"/>
      <c r="I384" s="13"/>
      <c r="J384" s="13"/>
      <c r="K384" s="13"/>
      <c r="L384" s="13"/>
      <c r="M384" s="13"/>
      <c r="N384" s="13"/>
      <c r="O384" s="13"/>
      <c r="P384" s="13"/>
      <c r="Q384" s="13"/>
      <c r="R384" s="13"/>
      <c r="S384" s="13"/>
    </row>
    <row r="385" spans="1:19">
      <c r="A385" s="13"/>
      <c r="B385" s="13"/>
      <c r="C385" s="13"/>
      <c r="D385" s="13"/>
      <c r="E385" s="13"/>
      <c r="F385" s="13"/>
      <c r="G385" s="13"/>
      <c r="H385" s="13"/>
      <c r="I385" s="13"/>
      <c r="J385" s="13"/>
      <c r="K385" s="13"/>
      <c r="L385" s="13"/>
      <c r="M385" s="13"/>
      <c r="N385" s="13"/>
      <c r="O385" s="13"/>
      <c r="P385" s="13"/>
      <c r="Q385" s="13"/>
      <c r="R385" s="13"/>
      <c r="S385" s="13"/>
    </row>
    <row r="386" spans="1:19">
      <c r="A386" s="13"/>
      <c r="B386" s="13"/>
      <c r="C386" s="13"/>
      <c r="D386" s="13"/>
      <c r="E386" s="13"/>
      <c r="F386" s="13"/>
      <c r="G386" s="13"/>
      <c r="H386" s="13"/>
      <c r="I386" s="13"/>
      <c r="J386" s="13"/>
      <c r="K386" s="13"/>
      <c r="L386" s="13"/>
      <c r="M386" s="13"/>
      <c r="N386" s="13"/>
      <c r="O386" s="13"/>
      <c r="P386" s="13"/>
      <c r="Q386" s="13"/>
      <c r="R386" s="13"/>
      <c r="S386" s="13"/>
    </row>
    <row r="387" spans="1:19">
      <c r="A387" s="13"/>
      <c r="B387" s="13"/>
      <c r="C387" s="13"/>
      <c r="D387" s="13"/>
      <c r="E387" s="13"/>
      <c r="F387" s="13"/>
      <c r="G387" s="13"/>
      <c r="H387" s="13"/>
      <c r="I387" s="13"/>
      <c r="J387" s="13"/>
      <c r="K387" s="13"/>
      <c r="L387" s="13"/>
      <c r="M387" s="13"/>
      <c r="N387" s="13"/>
      <c r="O387" s="13"/>
      <c r="P387" s="13"/>
      <c r="Q387" s="13"/>
      <c r="R387" s="13"/>
      <c r="S387" s="13"/>
    </row>
    <row r="388" spans="1:19">
      <c r="A388" s="13"/>
      <c r="B388" s="13"/>
      <c r="C388" s="13"/>
      <c r="D388" s="13"/>
      <c r="E388" s="13"/>
      <c r="F388" s="13"/>
      <c r="G388" s="13"/>
      <c r="H388" s="13"/>
      <c r="I388" s="13"/>
      <c r="J388" s="13"/>
      <c r="K388" s="13"/>
      <c r="L388" s="13"/>
      <c r="M388" s="13"/>
      <c r="N388" s="13"/>
      <c r="O388" s="13"/>
      <c r="P388" s="13"/>
      <c r="Q388" s="13"/>
      <c r="R388" s="13"/>
      <c r="S388" s="13"/>
    </row>
    <row r="389" spans="1:19">
      <c r="A389" s="13"/>
      <c r="B389" s="13"/>
      <c r="C389" s="13"/>
      <c r="D389" s="13"/>
      <c r="E389" s="13"/>
      <c r="F389" s="13"/>
      <c r="G389" s="13"/>
      <c r="H389" s="13"/>
      <c r="I389" s="13"/>
      <c r="J389" s="13"/>
      <c r="K389" s="13"/>
      <c r="L389" s="13"/>
      <c r="M389" s="13"/>
      <c r="N389" s="13"/>
      <c r="O389" s="13"/>
      <c r="P389" s="13"/>
      <c r="Q389" s="13"/>
      <c r="R389" s="13"/>
      <c r="S389" s="13"/>
    </row>
    <row r="390" spans="1:19">
      <c r="A390" s="13"/>
      <c r="B390" s="13"/>
      <c r="C390" s="13"/>
      <c r="D390" s="13"/>
      <c r="E390" s="13"/>
      <c r="F390" s="13"/>
      <c r="G390" s="13"/>
      <c r="H390" s="13"/>
      <c r="I390" s="13"/>
      <c r="J390" s="13"/>
      <c r="K390" s="13"/>
      <c r="L390" s="13"/>
      <c r="M390" s="13"/>
      <c r="N390" s="13"/>
      <c r="O390" s="13"/>
      <c r="P390" s="13"/>
      <c r="Q390" s="13"/>
      <c r="R390" s="13"/>
      <c r="S390" s="13"/>
    </row>
    <row r="391" spans="1:19">
      <c r="A391" s="13"/>
      <c r="B391" s="13"/>
      <c r="C391" s="13"/>
      <c r="D391" s="13"/>
      <c r="E391" s="13"/>
      <c r="F391" s="13"/>
      <c r="G391" s="13"/>
      <c r="H391" s="13"/>
      <c r="I391" s="13"/>
      <c r="J391" s="13"/>
      <c r="K391" s="13"/>
      <c r="L391" s="13"/>
      <c r="M391" s="13"/>
      <c r="N391" s="13"/>
      <c r="O391" s="13"/>
      <c r="P391" s="13"/>
      <c r="Q391" s="13"/>
      <c r="R391" s="13"/>
      <c r="S391" s="13"/>
    </row>
    <row r="392" spans="1:19">
      <c r="A392" s="13"/>
      <c r="B392" s="13"/>
      <c r="C392" s="13"/>
      <c r="D392" s="13"/>
      <c r="E392" s="13"/>
      <c r="F392" s="13"/>
      <c r="G392" s="13"/>
      <c r="H392" s="13"/>
      <c r="I392" s="13"/>
      <c r="J392" s="13"/>
      <c r="K392" s="13"/>
      <c r="L392" s="13"/>
      <c r="M392" s="13"/>
      <c r="N392" s="13"/>
      <c r="O392" s="13"/>
      <c r="P392" s="13"/>
      <c r="Q392" s="13"/>
      <c r="R392" s="13"/>
      <c r="S392" s="13"/>
    </row>
    <row r="393" spans="1:19">
      <c r="A393" s="13"/>
      <c r="B393" s="13"/>
      <c r="C393" s="13"/>
      <c r="D393" s="13"/>
      <c r="E393" s="13"/>
      <c r="F393" s="13"/>
      <c r="G393" s="13"/>
      <c r="H393" s="13"/>
      <c r="I393" s="13"/>
      <c r="J393" s="13"/>
      <c r="K393" s="13"/>
      <c r="L393" s="13"/>
      <c r="M393" s="13"/>
      <c r="N393" s="13"/>
      <c r="O393" s="13"/>
      <c r="P393" s="13"/>
      <c r="Q393" s="13"/>
      <c r="R393" s="13"/>
      <c r="S393" s="13"/>
    </row>
    <row r="394" spans="1:19">
      <c r="A394" s="13"/>
      <c r="B394" s="13"/>
      <c r="C394" s="13"/>
      <c r="D394" s="13"/>
      <c r="E394" s="13"/>
      <c r="F394" s="13"/>
      <c r="G394" s="13"/>
      <c r="H394" s="13"/>
      <c r="I394" s="13"/>
      <c r="J394" s="13"/>
      <c r="K394" s="13"/>
      <c r="L394" s="13"/>
      <c r="M394" s="13"/>
      <c r="N394" s="13"/>
      <c r="O394" s="13"/>
      <c r="P394" s="13"/>
      <c r="Q394" s="13"/>
      <c r="R394" s="13"/>
      <c r="S394" s="13"/>
    </row>
    <row r="395" spans="1:19">
      <c r="A395" s="13"/>
      <c r="B395" s="13"/>
      <c r="C395" s="13"/>
      <c r="D395" s="13"/>
      <c r="E395" s="13"/>
      <c r="F395" s="13"/>
      <c r="G395" s="13"/>
      <c r="H395" s="13"/>
      <c r="I395" s="13"/>
      <c r="J395" s="13"/>
      <c r="K395" s="13"/>
      <c r="L395" s="13"/>
      <c r="M395" s="13"/>
      <c r="N395" s="13"/>
      <c r="O395" s="13"/>
      <c r="P395" s="13"/>
      <c r="Q395" s="13"/>
      <c r="R395" s="13"/>
      <c r="S395" s="13"/>
    </row>
    <row r="396" spans="1:19">
      <c r="A396" s="13"/>
      <c r="B396" s="13"/>
      <c r="C396" s="13"/>
      <c r="D396" s="13"/>
      <c r="E396" s="13"/>
      <c r="F396" s="13"/>
      <c r="G396" s="13"/>
      <c r="H396" s="13"/>
      <c r="I396" s="13"/>
      <c r="J396" s="13"/>
      <c r="K396" s="13"/>
      <c r="L396" s="13"/>
      <c r="M396" s="13"/>
      <c r="N396" s="13"/>
      <c r="O396" s="13"/>
      <c r="P396" s="13"/>
      <c r="Q396" s="13"/>
      <c r="R396" s="13"/>
      <c r="S396" s="13"/>
    </row>
    <row r="397" spans="1:19">
      <c r="A397" s="13"/>
      <c r="B397" s="13"/>
      <c r="C397" s="13"/>
      <c r="D397" s="13"/>
      <c r="E397" s="13"/>
      <c r="F397" s="13"/>
      <c r="G397" s="13"/>
      <c r="H397" s="13"/>
      <c r="I397" s="13"/>
      <c r="J397" s="13"/>
      <c r="K397" s="13"/>
      <c r="L397" s="13"/>
      <c r="M397" s="13"/>
      <c r="N397" s="13"/>
      <c r="O397" s="13"/>
      <c r="P397" s="13"/>
      <c r="Q397" s="13"/>
      <c r="R397" s="13"/>
      <c r="S397" s="13"/>
    </row>
    <row r="398" spans="1:19">
      <c r="A398" s="13"/>
      <c r="B398" s="13"/>
      <c r="C398" s="13"/>
      <c r="D398" s="13"/>
      <c r="E398" s="13"/>
      <c r="F398" s="13"/>
      <c r="G398" s="13"/>
      <c r="H398" s="13"/>
      <c r="I398" s="13"/>
      <c r="J398" s="13"/>
      <c r="K398" s="13"/>
      <c r="L398" s="13"/>
      <c r="M398" s="13"/>
      <c r="N398" s="13"/>
      <c r="O398" s="13"/>
      <c r="P398" s="13"/>
      <c r="Q398" s="13"/>
      <c r="R398" s="13"/>
      <c r="S398" s="13"/>
    </row>
    <row r="399" spans="1:19">
      <c r="A399" s="13"/>
      <c r="B399" s="13"/>
      <c r="C399" s="13"/>
      <c r="D399" s="13"/>
      <c r="E399" s="13"/>
      <c r="F399" s="13"/>
      <c r="G399" s="13"/>
      <c r="H399" s="13"/>
      <c r="I399" s="13"/>
      <c r="J399" s="13"/>
      <c r="K399" s="13"/>
      <c r="L399" s="13"/>
      <c r="M399" s="13"/>
      <c r="N399" s="13"/>
      <c r="O399" s="13"/>
      <c r="P399" s="13"/>
      <c r="Q399" s="13"/>
      <c r="R399" s="13"/>
      <c r="S399" s="13"/>
    </row>
    <row r="400" spans="1:19">
      <c r="A400" s="13"/>
      <c r="B400" s="13"/>
      <c r="C400" s="13"/>
      <c r="D400" s="13"/>
      <c r="E400" s="13"/>
      <c r="F400" s="13"/>
      <c r="G400" s="13"/>
      <c r="H400" s="13"/>
      <c r="I400" s="13"/>
      <c r="J400" s="13"/>
      <c r="K400" s="13"/>
      <c r="L400" s="13"/>
      <c r="M400" s="13"/>
      <c r="N400" s="13"/>
      <c r="O400" s="13"/>
      <c r="P400" s="13"/>
      <c r="Q400" s="13"/>
      <c r="R400" s="13"/>
      <c r="S400" s="13"/>
    </row>
    <row r="401" spans="1:19">
      <c r="A401" s="13"/>
      <c r="B401" s="13"/>
      <c r="C401" s="13"/>
      <c r="D401" s="13"/>
      <c r="E401" s="13"/>
      <c r="F401" s="13"/>
      <c r="G401" s="13"/>
      <c r="H401" s="13"/>
      <c r="I401" s="13"/>
      <c r="J401" s="13"/>
      <c r="K401" s="13"/>
      <c r="L401" s="13"/>
      <c r="M401" s="13"/>
      <c r="N401" s="13"/>
      <c r="O401" s="13"/>
      <c r="P401" s="13"/>
      <c r="Q401" s="13"/>
      <c r="R401" s="13"/>
      <c r="S401" s="13"/>
    </row>
    <row r="402" spans="1:19">
      <c r="A402" s="13"/>
      <c r="B402" s="13"/>
      <c r="C402" s="13"/>
      <c r="D402" s="13"/>
      <c r="E402" s="13"/>
      <c r="F402" s="13"/>
      <c r="G402" s="13"/>
      <c r="H402" s="13"/>
      <c r="I402" s="13"/>
      <c r="J402" s="13"/>
      <c r="K402" s="13"/>
      <c r="L402" s="13"/>
      <c r="M402" s="13"/>
      <c r="N402" s="13"/>
      <c r="O402" s="13"/>
      <c r="P402" s="13"/>
      <c r="Q402" s="13"/>
      <c r="R402" s="13"/>
      <c r="S402" s="13"/>
    </row>
    <row r="403" spans="1:19">
      <c r="A403" s="13"/>
      <c r="B403" s="13"/>
      <c r="C403" s="13"/>
      <c r="D403" s="13"/>
      <c r="E403" s="13"/>
      <c r="F403" s="13"/>
      <c r="G403" s="13"/>
      <c r="H403" s="13"/>
      <c r="I403" s="13"/>
      <c r="J403" s="13"/>
      <c r="K403" s="13"/>
      <c r="L403" s="13"/>
      <c r="M403" s="13"/>
      <c r="N403" s="13"/>
      <c r="O403" s="13"/>
      <c r="P403" s="13"/>
      <c r="Q403" s="13"/>
      <c r="R403" s="13"/>
      <c r="S403" s="13"/>
    </row>
    <row r="404" spans="1:19">
      <c r="A404" s="13"/>
      <c r="B404" s="13"/>
      <c r="C404" s="13"/>
      <c r="D404" s="13"/>
      <c r="E404" s="13"/>
      <c r="F404" s="13"/>
      <c r="G404" s="13"/>
      <c r="H404" s="13"/>
      <c r="I404" s="13"/>
      <c r="J404" s="13"/>
      <c r="K404" s="13"/>
      <c r="L404" s="13"/>
      <c r="M404" s="13"/>
      <c r="N404" s="13"/>
      <c r="O404" s="13"/>
      <c r="P404" s="13"/>
      <c r="Q404" s="13"/>
      <c r="R404" s="13"/>
      <c r="S404" s="13"/>
    </row>
    <row r="405" spans="1:19">
      <c r="A405" s="13"/>
      <c r="B405" s="13"/>
      <c r="C405" s="13"/>
      <c r="D405" s="13"/>
      <c r="E405" s="13"/>
      <c r="F405" s="13"/>
      <c r="G405" s="13"/>
      <c r="H405" s="13"/>
      <c r="I405" s="13"/>
      <c r="J405" s="13"/>
      <c r="K405" s="13"/>
      <c r="L405" s="13"/>
      <c r="M405" s="13"/>
      <c r="N405" s="13"/>
      <c r="O405" s="13"/>
      <c r="P405" s="13"/>
      <c r="Q405" s="13"/>
      <c r="R405" s="13"/>
      <c r="S405" s="13"/>
    </row>
    <row r="406" spans="1:19">
      <c r="A406" s="13"/>
      <c r="B406" s="13"/>
      <c r="C406" s="13"/>
      <c r="D406" s="13"/>
      <c r="E406" s="13"/>
      <c r="F406" s="13"/>
      <c r="G406" s="13"/>
      <c r="H406" s="13"/>
      <c r="I406" s="13"/>
      <c r="J406" s="13"/>
      <c r="K406" s="13"/>
      <c r="L406" s="13"/>
      <c r="M406" s="13"/>
      <c r="N406" s="13"/>
      <c r="O406" s="13"/>
      <c r="P406" s="13"/>
      <c r="Q406" s="13"/>
      <c r="R406" s="13"/>
      <c r="S406" s="13"/>
    </row>
    <row r="407" spans="1:19">
      <c r="A407" s="13"/>
      <c r="B407" s="13"/>
      <c r="C407" s="13"/>
      <c r="D407" s="13"/>
      <c r="E407" s="13"/>
      <c r="F407" s="13"/>
      <c r="G407" s="13"/>
      <c r="H407" s="13"/>
      <c r="I407" s="13"/>
      <c r="J407" s="13"/>
      <c r="K407" s="13"/>
      <c r="L407" s="13"/>
      <c r="M407" s="13"/>
      <c r="N407" s="13"/>
      <c r="O407" s="13"/>
      <c r="P407" s="13"/>
      <c r="Q407" s="13"/>
      <c r="R407" s="13"/>
      <c r="S407" s="13"/>
    </row>
    <row r="408" spans="1:19">
      <c r="A408" s="13"/>
      <c r="B408" s="13"/>
      <c r="C408" s="13"/>
      <c r="D408" s="13"/>
      <c r="E408" s="13"/>
      <c r="F408" s="13"/>
      <c r="G408" s="13"/>
      <c r="H408" s="13"/>
      <c r="I408" s="13"/>
      <c r="J408" s="13"/>
      <c r="K408" s="13"/>
      <c r="L408" s="13"/>
      <c r="M408" s="13"/>
      <c r="N408" s="13"/>
      <c r="O408" s="13"/>
      <c r="P408" s="13"/>
      <c r="Q408" s="13"/>
      <c r="R408" s="13"/>
      <c r="S408" s="13"/>
    </row>
    <row r="409" spans="1:19">
      <c r="A409" s="13"/>
      <c r="B409" s="13"/>
      <c r="C409" s="13"/>
      <c r="D409" s="13"/>
      <c r="E409" s="13"/>
      <c r="F409" s="13"/>
      <c r="G409" s="13"/>
      <c r="H409" s="13"/>
      <c r="I409" s="13"/>
      <c r="J409" s="13"/>
      <c r="K409" s="13"/>
      <c r="L409" s="13"/>
      <c r="M409" s="13"/>
      <c r="N409" s="13"/>
      <c r="O409" s="13"/>
      <c r="P409" s="13"/>
      <c r="Q409" s="13"/>
      <c r="R409" s="13"/>
      <c r="S409" s="13"/>
    </row>
    <row r="410" spans="1:19">
      <c r="A410" s="13"/>
      <c r="B410" s="13"/>
      <c r="C410" s="13"/>
      <c r="D410" s="13"/>
      <c r="E410" s="13"/>
      <c r="F410" s="13"/>
      <c r="G410" s="13"/>
      <c r="H410" s="13"/>
      <c r="I410" s="13"/>
      <c r="J410" s="13"/>
      <c r="K410" s="13"/>
      <c r="L410" s="13"/>
      <c r="M410" s="13"/>
      <c r="N410" s="13"/>
      <c r="O410" s="13"/>
      <c r="P410" s="13"/>
      <c r="Q410" s="13"/>
      <c r="R410" s="13"/>
      <c r="S410" s="13"/>
    </row>
    <row r="411" spans="1:19">
      <c r="A411" s="13"/>
      <c r="B411" s="13"/>
      <c r="C411" s="13"/>
      <c r="D411" s="13"/>
      <c r="E411" s="13"/>
      <c r="F411" s="13"/>
      <c r="G411" s="13"/>
      <c r="H411" s="13"/>
      <c r="I411" s="13"/>
      <c r="J411" s="13"/>
      <c r="K411" s="13"/>
      <c r="L411" s="13"/>
      <c r="M411" s="13"/>
      <c r="N411" s="13"/>
      <c r="O411" s="13"/>
      <c r="P411" s="13"/>
      <c r="Q411" s="13"/>
      <c r="R411" s="13"/>
      <c r="S411" s="13"/>
    </row>
    <row r="412" spans="1:19">
      <c r="A412" s="13"/>
      <c r="B412" s="13"/>
      <c r="C412" s="13"/>
      <c r="D412" s="13"/>
      <c r="E412" s="13"/>
      <c r="F412" s="13"/>
      <c r="G412" s="13"/>
      <c r="H412" s="13"/>
      <c r="I412" s="13"/>
      <c r="J412" s="13"/>
      <c r="K412" s="13"/>
      <c r="L412" s="13"/>
      <c r="M412" s="13"/>
      <c r="N412" s="13"/>
      <c r="O412" s="13"/>
      <c r="P412" s="13"/>
      <c r="Q412" s="13"/>
      <c r="R412" s="13"/>
      <c r="S412" s="13"/>
    </row>
    <row r="413" spans="1:19">
      <c r="A413" s="13"/>
      <c r="B413" s="13"/>
      <c r="C413" s="13"/>
      <c r="D413" s="13"/>
      <c r="E413" s="13"/>
      <c r="F413" s="13"/>
      <c r="G413" s="13"/>
      <c r="H413" s="13"/>
      <c r="I413" s="13"/>
      <c r="J413" s="13"/>
      <c r="K413" s="13"/>
      <c r="L413" s="13"/>
      <c r="M413" s="13"/>
      <c r="N413" s="13"/>
      <c r="O413" s="13"/>
      <c r="P413" s="13"/>
      <c r="Q413" s="13"/>
      <c r="R413" s="13"/>
      <c r="S413" s="13"/>
    </row>
    <row r="414" spans="1:19">
      <c r="A414" s="13"/>
      <c r="B414" s="13"/>
      <c r="C414" s="13"/>
      <c r="D414" s="13"/>
      <c r="E414" s="13"/>
      <c r="F414" s="13"/>
      <c r="G414" s="13"/>
      <c r="H414" s="13"/>
      <c r="I414" s="13"/>
      <c r="J414" s="13"/>
      <c r="K414" s="13"/>
      <c r="L414" s="13"/>
      <c r="M414" s="13"/>
      <c r="N414" s="13"/>
      <c r="O414" s="13"/>
      <c r="P414" s="13"/>
      <c r="Q414" s="13"/>
      <c r="R414" s="13"/>
      <c r="S414" s="13"/>
    </row>
    <row r="415" spans="1:19">
      <c r="A415" s="13"/>
      <c r="B415" s="13"/>
      <c r="C415" s="13"/>
      <c r="D415" s="13"/>
      <c r="E415" s="13"/>
      <c r="F415" s="13"/>
      <c r="G415" s="13"/>
      <c r="H415" s="13"/>
      <c r="I415" s="13"/>
      <c r="J415" s="13"/>
      <c r="K415" s="13"/>
      <c r="L415" s="13"/>
      <c r="M415" s="13"/>
      <c r="N415" s="13"/>
      <c r="O415" s="13"/>
      <c r="P415" s="13"/>
      <c r="Q415" s="13"/>
      <c r="R415" s="13"/>
      <c r="S415" s="13"/>
    </row>
    <row r="416" spans="1:19">
      <c r="A416" s="13"/>
      <c r="B416" s="13"/>
      <c r="C416" s="13"/>
      <c r="D416" s="13"/>
      <c r="E416" s="13"/>
      <c r="F416" s="13"/>
      <c r="G416" s="13"/>
      <c r="H416" s="13"/>
      <c r="I416" s="13"/>
      <c r="J416" s="13"/>
      <c r="K416" s="13"/>
      <c r="L416" s="13"/>
      <c r="M416" s="13"/>
      <c r="N416" s="13"/>
      <c r="O416" s="13"/>
      <c r="P416" s="13"/>
      <c r="Q416" s="13"/>
      <c r="R416" s="13"/>
      <c r="S416" s="13"/>
    </row>
    <row r="417" spans="1:19">
      <c r="A417" s="13"/>
      <c r="B417" s="13"/>
      <c r="C417" s="13"/>
      <c r="D417" s="13"/>
      <c r="E417" s="13"/>
      <c r="F417" s="13"/>
      <c r="G417" s="13"/>
      <c r="H417" s="13"/>
      <c r="I417" s="13"/>
      <c r="J417" s="13"/>
      <c r="K417" s="13"/>
      <c r="L417" s="13"/>
      <c r="M417" s="13"/>
      <c r="N417" s="13"/>
      <c r="O417" s="13"/>
      <c r="P417" s="13"/>
      <c r="Q417" s="13"/>
      <c r="R417" s="13"/>
      <c r="S417" s="13"/>
    </row>
    <row r="418" spans="1:19">
      <c r="A418" s="13"/>
      <c r="B418" s="13"/>
      <c r="C418" s="13"/>
      <c r="D418" s="13"/>
      <c r="E418" s="13"/>
      <c r="F418" s="13"/>
      <c r="G418" s="13"/>
      <c r="H418" s="13"/>
      <c r="I418" s="13"/>
      <c r="J418" s="13"/>
      <c r="K418" s="13"/>
      <c r="L418" s="13"/>
      <c r="M418" s="13"/>
      <c r="N418" s="13"/>
      <c r="O418" s="13"/>
      <c r="P418" s="13"/>
      <c r="Q418" s="13"/>
      <c r="R418" s="13"/>
      <c r="S418" s="13"/>
    </row>
    <row r="419" spans="1:19">
      <c r="A419" s="13"/>
      <c r="B419" s="13"/>
      <c r="C419" s="13"/>
      <c r="D419" s="13"/>
      <c r="E419" s="13"/>
      <c r="F419" s="13"/>
      <c r="G419" s="13"/>
      <c r="H419" s="13"/>
      <c r="I419" s="13"/>
      <c r="J419" s="13"/>
      <c r="K419" s="13"/>
      <c r="L419" s="13"/>
      <c r="M419" s="13"/>
      <c r="N419" s="13"/>
      <c r="O419" s="13"/>
      <c r="P419" s="13"/>
      <c r="Q419" s="13"/>
      <c r="R419" s="13"/>
      <c r="S419" s="13"/>
    </row>
    <row r="420" spans="1:19">
      <c r="A420" s="13"/>
      <c r="B420" s="13"/>
      <c r="C420" s="13"/>
      <c r="D420" s="13"/>
      <c r="E420" s="13"/>
      <c r="F420" s="13"/>
      <c r="G420" s="13"/>
      <c r="H420" s="13"/>
      <c r="I420" s="13"/>
      <c r="J420" s="13"/>
      <c r="K420" s="13"/>
      <c r="L420" s="13"/>
      <c r="M420" s="13"/>
      <c r="N420" s="13"/>
      <c r="O420" s="13"/>
      <c r="P420" s="13"/>
      <c r="Q420" s="13"/>
      <c r="R420" s="13"/>
      <c r="S420" s="13"/>
    </row>
    <row r="421" spans="1:19">
      <c r="A421" s="13"/>
      <c r="B421" s="13"/>
      <c r="C421" s="13"/>
      <c r="D421" s="13"/>
      <c r="E421" s="13"/>
      <c r="F421" s="13"/>
      <c r="G421" s="13"/>
      <c r="H421" s="13"/>
      <c r="I421" s="13"/>
      <c r="J421" s="13"/>
      <c r="K421" s="13"/>
      <c r="L421" s="13"/>
      <c r="M421" s="13"/>
      <c r="N421" s="13"/>
      <c r="O421" s="13"/>
      <c r="P421" s="13"/>
      <c r="Q421" s="13"/>
      <c r="R421" s="13"/>
      <c r="S421" s="13"/>
    </row>
    <row r="422" spans="1:19">
      <c r="A422" s="13"/>
      <c r="B422" s="13"/>
      <c r="C422" s="13"/>
      <c r="D422" s="13"/>
      <c r="E422" s="13"/>
      <c r="F422" s="13"/>
      <c r="G422" s="13"/>
      <c r="H422" s="13"/>
      <c r="I422" s="13"/>
      <c r="J422" s="13"/>
      <c r="K422" s="13"/>
      <c r="L422" s="13"/>
      <c r="M422" s="13"/>
      <c r="N422" s="13"/>
      <c r="O422" s="13"/>
      <c r="P422" s="13"/>
      <c r="Q422" s="13"/>
      <c r="R422" s="13"/>
      <c r="S422" s="13"/>
    </row>
    <row r="423" spans="1:19">
      <c r="A423" s="13"/>
      <c r="B423" s="13"/>
      <c r="C423" s="13"/>
      <c r="D423" s="13"/>
      <c r="E423" s="13"/>
      <c r="F423" s="13"/>
      <c r="G423" s="13"/>
      <c r="H423" s="13"/>
      <c r="I423" s="13"/>
      <c r="J423" s="13"/>
      <c r="K423" s="13"/>
      <c r="L423" s="13"/>
      <c r="M423" s="13"/>
      <c r="N423" s="13"/>
      <c r="O423" s="13"/>
      <c r="P423" s="13"/>
      <c r="Q423" s="13"/>
      <c r="R423" s="13"/>
      <c r="S423" s="13"/>
    </row>
    <row r="424" spans="1:19">
      <c r="A424" s="13"/>
      <c r="B424" s="13"/>
      <c r="C424" s="13"/>
      <c r="D424" s="13"/>
      <c r="E424" s="13"/>
      <c r="F424" s="13"/>
      <c r="G424" s="13"/>
      <c r="H424" s="13"/>
      <c r="I424" s="13"/>
      <c r="J424" s="13"/>
      <c r="K424" s="13"/>
      <c r="L424" s="13"/>
      <c r="M424" s="13"/>
      <c r="N424" s="13"/>
      <c r="O424" s="13"/>
      <c r="P424" s="13"/>
      <c r="Q424" s="13"/>
      <c r="R424" s="13"/>
      <c r="S424" s="13"/>
    </row>
    <row r="425" spans="1:19">
      <c r="A425" s="13"/>
      <c r="B425" s="13"/>
      <c r="C425" s="13"/>
      <c r="D425" s="13"/>
      <c r="E425" s="13"/>
      <c r="F425" s="13"/>
      <c r="G425" s="13"/>
      <c r="H425" s="13"/>
      <c r="I425" s="13"/>
      <c r="J425" s="13"/>
      <c r="K425" s="13"/>
      <c r="L425" s="13"/>
      <c r="M425" s="13"/>
      <c r="N425" s="13"/>
      <c r="O425" s="13"/>
      <c r="P425" s="13"/>
      <c r="Q425" s="13"/>
      <c r="R425" s="13"/>
      <c r="S425" s="13"/>
    </row>
    <row r="426" spans="1:19">
      <c r="A426" s="13"/>
      <c r="B426" s="13"/>
      <c r="C426" s="13"/>
      <c r="D426" s="13"/>
      <c r="E426" s="13"/>
      <c r="F426" s="13"/>
      <c r="G426" s="13"/>
      <c r="H426" s="13"/>
      <c r="I426" s="13"/>
      <c r="J426" s="13"/>
      <c r="K426" s="13"/>
      <c r="L426" s="13"/>
      <c r="M426" s="13"/>
      <c r="N426" s="13"/>
      <c r="O426" s="13"/>
      <c r="P426" s="13"/>
      <c r="Q426" s="13"/>
      <c r="R426" s="13"/>
      <c r="S426" s="13"/>
    </row>
    <row r="427" spans="1:19">
      <c r="A427" s="13"/>
      <c r="B427" s="13"/>
      <c r="C427" s="13"/>
      <c r="D427" s="13"/>
      <c r="E427" s="13"/>
      <c r="F427" s="13"/>
      <c r="G427" s="13"/>
      <c r="H427" s="13"/>
      <c r="I427" s="13"/>
      <c r="J427" s="13"/>
      <c r="K427" s="13"/>
      <c r="L427" s="13"/>
      <c r="M427" s="13"/>
      <c r="N427" s="13"/>
      <c r="O427" s="13"/>
      <c r="P427" s="13"/>
      <c r="Q427" s="13"/>
      <c r="R427" s="13"/>
      <c r="S427" s="13"/>
    </row>
    <row r="428" spans="1:19">
      <c r="A428" s="13"/>
      <c r="B428" s="13"/>
      <c r="C428" s="13"/>
      <c r="D428" s="13"/>
      <c r="E428" s="13"/>
      <c r="F428" s="13"/>
      <c r="G428" s="13"/>
      <c r="H428" s="13"/>
      <c r="I428" s="13"/>
      <c r="J428" s="13"/>
      <c r="K428" s="13"/>
      <c r="L428" s="13"/>
      <c r="M428" s="13"/>
      <c r="N428" s="13"/>
      <c r="O428" s="13"/>
      <c r="P428" s="13"/>
      <c r="Q428" s="13"/>
      <c r="R428" s="13"/>
      <c r="S428" s="13"/>
    </row>
    <row r="429" spans="1:19">
      <c r="A429" s="13"/>
      <c r="B429" s="13"/>
      <c r="C429" s="13"/>
      <c r="D429" s="13"/>
      <c r="E429" s="13"/>
      <c r="F429" s="13"/>
      <c r="G429" s="13"/>
      <c r="H429" s="13"/>
      <c r="I429" s="13"/>
      <c r="J429" s="13"/>
      <c r="K429" s="13"/>
      <c r="L429" s="13"/>
      <c r="M429" s="13"/>
      <c r="N429" s="13"/>
      <c r="O429" s="13"/>
      <c r="P429" s="13"/>
      <c r="Q429" s="13"/>
      <c r="R429" s="13"/>
      <c r="S429" s="13"/>
    </row>
    <row r="430" spans="1:19">
      <c r="A430" s="13"/>
      <c r="B430" s="13"/>
      <c r="C430" s="13"/>
      <c r="D430" s="13"/>
      <c r="E430" s="13"/>
      <c r="F430" s="13"/>
      <c r="G430" s="13"/>
      <c r="H430" s="13"/>
      <c r="I430" s="13"/>
      <c r="J430" s="13"/>
      <c r="K430" s="13"/>
      <c r="L430" s="13"/>
      <c r="M430" s="13"/>
      <c r="N430" s="13"/>
      <c r="O430" s="13"/>
      <c r="P430" s="13"/>
      <c r="Q430" s="13"/>
      <c r="R430" s="13"/>
      <c r="S430" s="13"/>
    </row>
    <row r="431" spans="1:19">
      <c r="A431" s="13"/>
      <c r="B431" s="13"/>
      <c r="C431" s="13"/>
      <c r="D431" s="13"/>
      <c r="E431" s="13"/>
      <c r="F431" s="13"/>
      <c r="G431" s="13"/>
      <c r="H431" s="13"/>
      <c r="I431" s="13"/>
      <c r="J431" s="13"/>
      <c r="K431" s="13"/>
      <c r="L431" s="13"/>
      <c r="M431" s="13"/>
      <c r="N431" s="13"/>
      <c r="O431" s="13"/>
      <c r="P431" s="13"/>
      <c r="Q431" s="13"/>
      <c r="R431" s="13"/>
      <c r="S431" s="13"/>
    </row>
    <row r="432" spans="1:19">
      <c r="A432" s="13"/>
      <c r="B432" s="13"/>
      <c r="C432" s="13"/>
      <c r="D432" s="13"/>
      <c r="E432" s="13"/>
      <c r="F432" s="13"/>
      <c r="G432" s="13"/>
      <c r="H432" s="13"/>
      <c r="I432" s="13"/>
      <c r="J432" s="13"/>
      <c r="K432" s="13"/>
      <c r="L432" s="13"/>
      <c r="M432" s="13"/>
      <c r="N432" s="13"/>
      <c r="O432" s="13"/>
      <c r="P432" s="13"/>
      <c r="Q432" s="13"/>
      <c r="R432" s="13"/>
      <c r="S432" s="13"/>
    </row>
    <row r="433" spans="1:19">
      <c r="A433" s="13"/>
      <c r="B433" s="13"/>
      <c r="C433" s="13"/>
      <c r="D433" s="13"/>
      <c r="E433" s="13"/>
      <c r="F433" s="13"/>
      <c r="G433" s="13"/>
      <c r="H433" s="13"/>
      <c r="I433" s="13"/>
      <c r="J433" s="13"/>
      <c r="K433" s="13"/>
      <c r="L433" s="13"/>
      <c r="M433" s="13"/>
      <c r="N433" s="13"/>
      <c r="O433" s="13"/>
      <c r="P433" s="13"/>
      <c r="Q433" s="13"/>
      <c r="R433" s="13"/>
      <c r="S433" s="13"/>
    </row>
    <row r="434" spans="1:19">
      <c r="A434" s="13"/>
      <c r="B434" s="13"/>
      <c r="C434" s="13"/>
      <c r="D434" s="13"/>
      <c r="E434" s="13"/>
      <c r="F434" s="13"/>
      <c r="G434" s="13"/>
      <c r="H434" s="13"/>
      <c r="I434" s="13"/>
      <c r="J434" s="13"/>
      <c r="K434" s="13"/>
      <c r="L434" s="13"/>
      <c r="M434" s="13"/>
      <c r="N434" s="13"/>
      <c r="O434" s="13"/>
      <c r="P434" s="13"/>
      <c r="Q434" s="13"/>
      <c r="R434" s="13"/>
      <c r="S434" s="13"/>
    </row>
    <row r="435" spans="1:19">
      <c r="A435" s="13"/>
      <c r="B435" s="13"/>
      <c r="C435" s="13"/>
      <c r="D435" s="13"/>
      <c r="E435" s="13"/>
      <c r="F435" s="13"/>
      <c r="G435" s="13"/>
      <c r="H435" s="13"/>
      <c r="I435" s="13"/>
      <c r="J435" s="13"/>
      <c r="K435" s="13"/>
      <c r="L435" s="13"/>
      <c r="M435" s="13"/>
      <c r="N435" s="13"/>
      <c r="O435" s="13"/>
      <c r="P435" s="13"/>
      <c r="Q435" s="13"/>
      <c r="R435" s="13"/>
      <c r="S435" s="13"/>
    </row>
    <row r="436" spans="1:19">
      <c r="A436" s="13"/>
      <c r="B436" s="13"/>
      <c r="C436" s="13"/>
      <c r="D436" s="13"/>
      <c r="E436" s="13"/>
      <c r="F436" s="13"/>
      <c r="G436" s="13"/>
      <c r="H436" s="13"/>
      <c r="I436" s="13"/>
      <c r="J436" s="13"/>
      <c r="K436" s="13"/>
      <c r="L436" s="13"/>
      <c r="M436" s="13"/>
      <c r="N436" s="13"/>
      <c r="O436" s="13"/>
      <c r="P436" s="13"/>
      <c r="Q436" s="13"/>
      <c r="R436" s="13"/>
      <c r="S436" s="13"/>
    </row>
    <row r="437" spans="1:19">
      <c r="A437" s="13"/>
      <c r="B437" s="13"/>
      <c r="C437" s="13"/>
      <c r="D437" s="13"/>
      <c r="E437" s="13"/>
      <c r="F437" s="13"/>
      <c r="G437" s="13"/>
      <c r="H437" s="13"/>
      <c r="I437" s="13"/>
      <c r="J437" s="13"/>
      <c r="K437" s="13"/>
      <c r="L437" s="13"/>
      <c r="M437" s="13"/>
      <c r="N437" s="13"/>
      <c r="O437" s="13"/>
      <c r="P437" s="13"/>
      <c r="Q437" s="13"/>
      <c r="R437" s="13"/>
      <c r="S437" s="13"/>
    </row>
    <row r="438" spans="1:19">
      <c r="A438" s="13"/>
      <c r="B438" s="13"/>
      <c r="C438" s="13"/>
      <c r="D438" s="13"/>
      <c r="E438" s="13"/>
      <c r="F438" s="13"/>
      <c r="G438" s="13"/>
      <c r="H438" s="13"/>
      <c r="I438" s="13"/>
      <c r="J438" s="13"/>
      <c r="K438" s="13"/>
      <c r="L438" s="13"/>
      <c r="M438" s="13"/>
      <c r="N438" s="13"/>
      <c r="O438" s="13"/>
      <c r="P438" s="13"/>
      <c r="Q438" s="13"/>
      <c r="R438" s="13"/>
      <c r="S438" s="13"/>
    </row>
    <row r="439" spans="1:19">
      <c r="A439" s="13"/>
      <c r="B439" s="13"/>
      <c r="C439" s="13"/>
      <c r="D439" s="13"/>
      <c r="E439" s="13"/>
      <c r="F439" s="13"/>
      <c r="G439" s="13"/>
      <c r="H439" s="13"/>
      <c r="I439" s="13"/>
      <c r="J439" s="13"/>
      <c r="K439" s="13"/>
      <c r="L439" s="13"/>
      <c r="M439" s="13"/>
      <c r="N439" s="13"/>
      <c r="O439" s="13"/>
      <c r="P439" s="13"/>
      <c r="Q439" s="13"/>
      <c r="R439" s="13"/>
      <c r="S439" s="13"/>
    </row>
    <row r="440" spans="1:19">
      <c r="A440" s="13"/>
      <c r="B440" s="13"/>
      <c r="C440" s="13"/>
      <c r="D440" s="13"/>
      <c r="E440" s="13"/>
      <c r="F440" s="13"/>
      <c r="G440" s="13"/>
      <c r="H440" s="13"/>
      <c r="I440" s="13"/>
      <c r="J440" s="13"/>
      <c r="K440" s="13"/>
      <c r="L440" s="13"/>
      <c r="M440" s="13"/>
      <c r="N440" s="13"/>
      <c r="O440" s="13"/>
      <c r="P440" s="13"/>
      <c r="Q440" s="13"/>
      <c r="R440" s="13"/>
      <c r="S440" s="13"/>
    </row>
    <row r="441" spans="1:19">
      <c r="A441" s="13"/>
      <c r="B441" s="13"/>
      <c r="C441" s="13"/>
      <c r="D441" s="13"/>
      <c r="E441" s="13"/>
      <c r="F441" s="13"/>
      <c r="G441" s="13"/>
      <c r="H441" s="13"/>
      <c r="I441" s="13"/>
      <c r="J441" s="13"/>
      <c r="K441" s="13"/>
      <c r="L441" s="13"/>
      <c r="M441" s="13"/>
      <c r="N441" s="13"/>
      <c r="O441" s="13"/>
      <c r="P441" s="13"/>
      <c r="Q441" s="13"/>
      <c r="R441" s="13"/>
      <c r="S441" s="13"/>
    </row>
    <row r="442" spans="1:19">
      <c r="A442" s="13"/>
      <c r="B442" s="13"/>
      <c r="C442" s="13"/>
      <c r="D442" s="13"/>
      <c r="E442" s="13"/>
      <c r="F442" s="13"/>
      <c r="G442" s="13"/>
      <c r="H442" s="13"/>
      <c r="I442" s="13"/>
      <c r="J442" s="13"/>
      <c r="K442" s="13"/>
      <c r="L442" s="13"/>
      <c r="M442" s="13"/>
      <c r="N442" s="13"/>
      <c r="O442" s="13"/>
      <c r="P442" s="13"/>
      <c r="Q442" s="13"/>
      <c r="R442" s="13"/>
      <c r="S442" s="13"/>
    </row>
    <row r="443" spans="1:19">
      <c r="A443" s="13"/>
      <c r="B443" s="13"/>
      <c r="C443" s="13"/>
      <c r="D443" s="13"/>
      <c r="E443" s="13"/>
      <c r="F443" s="13"/>
      <c r="G443" s="13"/>
      <c r="H443" s="13"/>
      <c r="I443" s="13"/>
      <c r="J443" s="13"/>
      <c r="K443" s="13"/>
      <c r="L443" s="13"/>
      <c r="M443" s="13"/>
      <c r="N443" s="13"/>
      <c r="O443" s="13"/>
      <c r="P443" s="13"/>
      <c r="Q443" s="13"/>
      <c r="R443" s="13"/>
      <c r="S443" s="13"/>
    </row>
    <row r="444" spans="1:19">
      <c r="A444" s="13"/>
      <c r="B444" s="13"/>
      <c r="C444" s="13"/>
      <c r="D444" s="13"/>
      <c r="E444" s="13"/>
      <c r="F444" s="13"/>
      <c r="G444" s="13"/>
      <c r="H444" s="13"/>
      <c r="I444" s="13"/>
      <c r="J444" s="13"/>
      <c r="K444" s="13"/>
      <c r="L444" s="13"/>
      <c r="M444" s="13"/>
      <c r="N444" s="13"/>
      <c r="O444" s="13"/>
      <c r="P444" s="13"/>
      <c r="Q444" s="13"/>
      <c r="R444" s="13"/>
      <c r="S444" s="13"/>
    </row>
    <row r="445" spans="1:19">
      <c r="A445" s="13"/>
      <c r="B445" s="13"/>
      <c r="C445" s="13"/>
      <c r="D445" s="13"/>
      <c r="E445" s="13"/>
      <c r="F445" s="13"/>
      <c r="G445" s="13"/>
      <c r="H445" s="13"/>
      <c r="I445" s="13"/>
      <c r="J445" s="13"/>
      <c r="K445" s="13"/>
      <c r="L445" s="13"/>
      <c r="M445" s="13"/>
      <c r="N445" s="13"/>
      <c r="O445" s="13"/>
      <c r="P445" s="13"/>
      <c r="Q445" s="13"/>
      <c r="R445" s="13"/>
      <c r="S445" s="13"/>
    </row>
    <row r="446" spans="1:19">
      <c r="A446" s="13"/>
      <c r="B446" s="13"/>
      <c r="C446" s="13"/>
      <c r="D446" s="13"/>
      <c r="E446" s="13"/>
      <c r="F446" s="13"/>
      <c r="G446" s="13"/>
      <c r="H446" s="13"/>
      <c r="I446" s="13"/>
      <c r="J446" s="13"/>
      <c r="K446" s="13"/>
      <c r="L446" s="13"/>
      <c r="M446" s="13"/>
      <c r="N446" s="13"/>
      <c r="O446" s="13"/>
      <c r="P446" s="13"/>
      <c r="Q446" s="13"/>
      <c r="R446" s="13"/>
      <c r="S446" s="13"/>
    </row>
    <row r="447" spans="1:19">
      <c r="A447" s="13"/>
      <c r="B447" s="13"/>
      <c r="C447" s="13"/>
      <c r="D447" s="13"/>
      <c r="E447" s="13"/>
      <c r="F447" s="13"/>
      <c r="G447" s="13"/>
      <c r="H447" s="13"/>
      <c r="I447" s="13"/>
      <c r="J447" s="13"/>
      <c r="K447" s="13"/>
      <c r="L447" s="13"/>
      <c r="M447" s="13"/>
      <c r="N447" s="13"/>
      <c r="O447" s="13"/>
      <c r="P447" s="13"/>
      <c r="Q447" s="13"/>
      <c r="R447" s="13"/>
      <c r="S447" s="13"/>
    </row>
    <row r="448" spans="1:19">
      <c r="A448" s="13"/>
      <c r="B448" s="13"/>
      <c r="C448" s="13"/>
      <c r="D448" s="13"/>
      <c r="E448" s="13"/>
      <c r="F448" s="13"/>
      <c r="G448" s="13"/>
      <c r="H448" s="13"/>
      <c r="I448" s="13"/>
      <c r="J448" s="13"/>
      <c r="K448" s="13"/>
      <c r="L448" s="13"/>
      <c r="M448" s="13"/>
      <c r="N448" s="13"/>
      <c r="O448" s="13"/>
      <c r="P448" s="13"/>
      <c r="Q448" s="13"/>
      <c r="R448" s="13"/>
      <c r="S448" s="13"/>
    </row>
    <row r="449" spans="1:19">
      <c r="A449" s="13"/>
      <c r="B449" s="13"/>
      <c r="C449" s="13"/>
      <c r="D449" s="13"/>
      <c r="E449" s="13"/>
      <c r="F449" s="13"/>
      <c r="G449" s="13"/>
      <c r="H449" s="13"/>
      <c r="I449" s="13"/>
      <c r="J449" s="13"/>
      <c r="K449" s="13"/>
      <c r="L449" s="13"/>
      <c r="M449" s="13"/>
      <c r="N449" s="13"/>
      <c r="O449" s="13"/>
      <c r="P449" s="13"/>
      <c r="Q449" s="13"/>
      <c r="R449" s="13"/>
      <c r="S449" s="13"/>
    </row>
    <row r="450" spans="1:19">
      <c r="A450" s="13"/>
      <c r="B450" s="13"/>
      <c r="C450" s="13"/>
      <c r="D450" s="13"/>
      <c r="E450" s="13"/>
      <c r="F450" s="13"/>
      <c r="G450" s="13"/>
      <c r="H450" s="13"/>
      <c r="I450" s="13"/>
      <c r="J450" s="13"/>
      <c r="K450" s="13"/>
      <c r="L450" s="13"/>
      <c r="M450" s="13"/>
      <c r="N450" s="13"/>
      <c r="O450" s="13"/>
      <c r="P450" s="13"/>
      <c r="Q450" s="13"/>
      <c r="R450" s="13"/>
      <c r="S450" s="13"/>
    </row>
    <row r="451" spans="1:19">
      <c r="A451" s="13"/>
      <c r="B451" s="13"/>
      <c r="C451" s="13"/>
      <c r="D451" s="13"/>
      <c r="E451" s="13"/>
      <c r="F451" s="13"/>
      <c r="G451" s="13"/>
      <c r="H451" s="13"/>
      <c r="I451" s="13"/>
      <c r="J451" s="13"/>
      <c r="K451" s="13"/>
      <c r="L451" s="13"/>
      <c r="M451" s="13"/>
      <c r="N451" s="13"/>
      <c r="O451" s="13"/>
      <c r="P451" s="13"/>
      <c r="Q451" s="13"/>
      <c r="R451" s="13"/>
      <c r="S451" s="13"/>
    </row>
    <row r="452" spans="1:19">
      <c r="A452" s="13"/>
      <c r="B452" s="13"/>
      <c r="C452" s="13"/>
      <c r="D452" s="13"/>
      <c r="E452" s="13"/>
      <c r="F452" s="13"/>
      <c r="G452" s="13"/>
      <c r="H452" s="13"/>
      <c r="I452" s="13"/>
      <c r="J452" s="13"/>
      <c r="K452" s="13"/>
      <c r="L452" s="13"/>
      <c r="M452" s="13"/>
      <c r="N452" s="13"/>
      <c r="O452" s="13"/>
      <c r="P452" s="13"/>
      <c r="Q452" s="13"/>
      <c r="R452" s="13"/>
      <c r="S452" s="13"/>
    </row>
    <row r="453" spans="1:19">
      <c r="A453" s="13"/>
      <c r="B453" s="13"/>
      <c r="C453" s="13"/>
      <c r="D453" s="13"/>
      <c r="E453" s="13"/>
      <c r="F453" s="13"/>
      <c r="G453" s="13"/>
      <c r="H453" s="13"/>
      <c r="I453" s="13"/>
      <c r="J453" s="13"/>
      <c r="K453" s="13"/>
      <c r="L453" s="13"/>
      <c r="M453" s="13"/>
      <c r="N453" s="13"/>
      <c r="O453" s="13"/>
      <c r="P453" s="13"/>
      <c r="Q453" s="13"/>
      <c r="R453" s="13"/>
      <c r="S453" s="13"/>
    </row>
    <row r="454" spans="1:19">
      <c r="A454" s="13"/>
      <c r="B454" s="13"/>
      <c r="C454" s="13"/>
      <c r="D454" s="13"/>
      <c r="E454" s="13"/>
      <c r="F454" s="13"/>
      <c r="G454" s="13"/>
      <c r="H454" s="13"/>
      <c r="I454" s="13"/>
      <c r="J454" s="13"/>
      <c r="K454" s="13"/>
      <c r="L454" s="13"/>
      <c r="M454" s="13"/>
      <c r="N454" s="13"/>
      <c r="O454" s="13"/>
      <c r="P454" s="13"/>
      <c r="Q454" s="13"/>
      <c r="R454" s="13"/>
      <c r="S454" s="13"/>
    </row>
    <row r="455" spans="1:19">
      <c r="A455" s="13"/>
      <c r="B455" s="13"/>
      <c r="C455" s="13"/>
      <c r="D455" s="13"/>
      <c r="E455" s="13"/>
      <c r="F455" s="13"/>
      <c r="G455" s="13"/>
      <c r="H455" s="13"/>
      <c r="I455" s="13"/>
      <c r="J455" s="13"/>
      <c r="K455" s="13"/>
      <c r="L455" s="13"/>
      <c r="M455" s="13"/>
      <c r="N455" s="13"/>
      <c r="O455" s="13"/>
      <c r="P455" s="13"/>
      <c r="Q455" s="13"/>
      <c r="R455" s="13"/>
      <c r="S455" s="13"/>
    </row>
    <row r="456" spans="1:19">
      <c r="A456" s="13"/>
      <c r="B456" s="13"/>
      <c r="C456" s="13"/>
      <c r="D456" s="13"/>
      <c r="E456" s="13"/>
      <c r="F456" s="13"/>
      <c r="G456" s="13"/>
      <c r="H456" s="13"/>
      <c r="I456" s="13"/>
      <c r="J456" s="13"/>
      <c r="K456" s="13"/>
      <c r="L456" s="13"/>
      <c r="M456" s="13"/>
      <c r="N456" s="13"/>
      <c r="O456" s="13"/>
      <c r="P456" s="13"/>
      <c r="Q456" s="13"/>
      <c r="R456" s="13"/>
      <c r="S456" s="13"/>
    </row>
    <row r="457" spans="1:19">
      <c r="A457" s="13"/>
      <c r="B457" s="13"/>
      <c r="C457" s="13"/>
      <c r="D457" s="13"/>
      <c r="E457" s="13"/>
      <c r="F457" s="13"/>
      <c r="G457" s="13"/>
      <c r="H457" s="13"/>
      <c r="I457" s="13"/>
      <c r="J457" s="13"/>
      <c r="K457" s="13"/>
      <c r="L457" s="13"/>
      <c r="M457" s="13"/>
      <c r="N457" s="13"/>
      <c r="O457" s="13"/>
      <c r="P457" s="13"/>
      <c r="Q457" s="13"/>
      <c r="R457" s="13"/>
      <c r="S457" s="13"/>
    </row>
    <row r="458" spans="1:19">
      <c r="A458" s="13"/>
      <c r="B458" s="13"/>
      <c r="C458" s="13"/>
      <c r="D458" s="13"/>
      <c r="E458" s="13"/>
      <c r="F458" s="13"/>
      <c r="G458" s="13"/>
      <c r="H458" s="13"/>
      <c r="I458" s="13"/>
      <c r="J458" s="13"/>
      <c r="K458" s="13"/>
      <c r="L458" s="13"/>
      <c r="M458" s="13"/>
      <c r="N458" s="13"/>
      <c r="O458" s="13"/>
      <c r="P458" s="13"/>
      <c r="Q458" s="13"/>
      <c r="R458" s="13"/>
      <c r="S458" s="13"/>
    </row>
    <row r="459" spans="1:19">
      <c r="A459" s="13"/>
      <c r="B459" s="13"/>
      <c r="C459" s="13"/>
      <c r="D459" s="13"/>
      <c r="E459" s="13"/>
      <c r="F459" s="13"/>
      <c r="G459" s="13"/>
      <c r="H459" s="13"/>
      <c r="I459" s="13"/>
      <c r="J459" s="13"/>
      <c r="K459" s="13"/>
      <c r="L459" s="13"/>
      <c r="M459" s="13"/>
      <c r="N459" s="13"/>
      <c r="O459" s="13"/>
      <c r="P459" s="13"/>
      <c r="Q459" s="13"/>
      <c r="R459" s="13"/>
      <c r="S459" s="13"/>
    </row>
    <row r="460" spans="1:19">
      <c r="A460" s="13"/>
      <c r="B460" s="13"/>
      <c r="C460" s="13"/>
      <c r="D460" s="13"/>
      <c r="E460" s="13"/>
      <c r="F460" s="13"/>
      <c r="G460" s="13"/>
      <c r="H460" s="13"/>
      <c r="I460" s="13"/>
      <c r="J460" s="13"/>
      <c r="K460" s="13"/>
      <c r="L460" s="13"/>
      <c r="M460" s="13"/>
      <c r="N460" s="13"/>
      <c r="O460" s="13"/>
      <c r="P460" s="13"/>
      <c r="Q460" s="13"/>
      <c r="R460" s="13"/>
      <c r="S460" s="13"/>
    </row>
    <row r="461" spans="1:19">
      <c r="A461" s="13"/>
      <c r="B461" s="13"/>
      <c r="C461" s="13"/>
      <c r="D461" s="13"/>
      <c r="E461" s="13"/>
      <c r="F461" s="13"/>
      <c r="G461" s="13"/>
      <c r="H461" s="13"/>
      <c r="I461" s="13"/>
      <c r="J461" s="13"/>
      <c r="K461" s="13"/>
      <c r="L461" s="13"/>
      <c r="M461" s="13"/>
      <c r="N461" s="13"/>
      <c r="O461" s="13"/>
      <c r="P461" s="13"/>
      <c r="Q461" s="13"/>
      <c r="R461" s="13"/>
      <c r="S461" s="13"/>
    </row>
    <row r="462" spans="1:19">
      <c r="A462" s="13"/>
      <c r="B462" s="13"/>
      <c r="C462" s="13"/>
      <c r="D462" s="13"/>
      <c r="E462" s="13"/>
      <c r="F462" s="13"/>
      <c r="G462" s="13"/>
      <c r="H462" s="13"/>
      <c r="I462" s="13"/>
      <c r="J462" s="13"/>
      <c r="K462" s="13"/>
      <c r="L462" s="13"/>
      <c r="M462" s="13"/>
      <c r="N462" s="13"/>
      <c r="O462" s="13"/>
      <c r="P462" s="13"/>
      <c r="Q462" s="13"/>
      <c r="R462" s="13"/>
      <c r="S462" s="13"/>
    </row>
    <row r="463" spans="1:19">
      <c r="A463" s="13"/>
      <c r="B463" s="13"/>
      <c r="C463" s="13"/>
      <c r="D463" s="13"/>
      <c r="E463" s="13"/>
      <c r="F463" s="13"/>
      <c r="G463" s="13"/>
      <c r="H463" s="13"/>
      <c r="I463" s="13"/>
      <c r="J463" s="13"/>
      <c r="K463" s="13"/>
      <c r="L463" s="13"/>
      <c r="M463" s="13"/>
      <c r="N463" s="13"/>
      <c r="O463" s="13"/>
      <c r="P463" s="13"/>
      <c r="Q463" s="13"/>
      <c r="R463" s="13"/>
      <c r="S463" s="13"/>
    </row>
    <row r="464" spans="1:19">
      <c r="A464" s="13"/>
      <c r="B464" s="13"/>
      <c r="C464" s="13"/>
      <c r="D464" s="13"/>
      <c r="E464" s="13"/>
      <c r="F464" s="13"/>
      <c r="G464" s="13"/>
      <c r="H464" s="13"/>
      <c r="I464" s="13"/>
      <c r="J464" s="13"/>
      <c r="K464" s="13"/>
      <c r="L464" s="13"/>
      <c r="M464" s="13"/>
      <c r="N464" s="13"/>
      <c r="O464" s="13"/>
      <c r="P464" s="13"/>
      <c r="Q464" s="13"/>
      <c r="R464" s="13"/>
      <c r="S464" s="13"/>
    </row>
    <row r="465" spans="1:19">
      <c r="A465" s="13"/>
      <c r="B465" s="13"/>
      <c r="C465" s="13"/>
      <c r="D465" s="13"/>
      <c r="E465" s="13"/>
      <c r="F465" s="13"/>
      <c r="G465" s="13"/>
      <c r="H465" s="13"/>
      <c r="I465" s="13"/>
      <c r="J465" s="13"/>
      <c r="K465" s="13"/>
      <c r="L465" s="13"/>
      <c r="M465" s="13"/>
      <c r="N465" s="13"/>
      <c r="O465" s="13"/>
      <c r="P465" s="13"/>
      <c r="Q465" s="13"/>
      <c r="R465" s="13"/>
      <c r="S465" s="13"/>
    </row>
    <row r="466" spans="1:19">
      <c r="A466" s="13"/>
      <c r="B466" s="13"/>
      <c r="C466" s="13"/>
      <c r="D466" s="13"/>
      <c r="E466" s="13"/>
      <c r="F466" s="13"/>
      <c r="G466" s="13"/>
      <c r="H466" s="13"/>
      <c r="I466" s="13"/>
      <c r="J466" s="13"/>
      <c r="K466" s="13"/>
      <c r="L466" s="13"/>
      <c r="M466" s="13"/>
      <c r="N466" s="13"/>
      <c r="O466" s="13"/>
      <c r="P466" s="13"/>
      <c r="Q466" s="13"/>
      <c r="R466" s="13"/>
      <c r="S466" s="13"/>
    </row>
    <row r="467" spans="1:19">
      <c r="A467" s="13"/>
      <c r="B467" s="13"/>
      <c r="C467" s="13"/>
      <c r="D467" s="13"/>
      <c r="E467" s="13"/>
      <c r="F467" s="13"/>
      <c r="G467" s="13"/>
      <c r="H467" s="13"/>
      <c r="I467" s="13"/>
      <c r="J467" s="13"/>
      <c r="K467" s="13"/>
      <c r="L467" s="13"/>
      <c r="M467" s="13"/>
      <c r="N467" s="13"/>
      <c r="O467" s="13"/>
      <c r="P467" s="13"/>
      <c r="Q467" s="13"/>
      <c r="R467" s="13"/>
      <c r="S467" s="13"/>
    </row>
    <row r="468" spans="1:19">
      <c r="A468" s="13"/>
      <c r="B468" s="13"/>
      <c r="C468" s="13"/>
      <c r="D468" s="13"/>
      <c r="E468" s="13"/>
      <c r="F468" s="13"/>
      <c r="G468" s="13"/>
      <c r="H468" s="13"/>
      <c r="I468" s="13"/>
      <c r="J468" s="13"/>
      <c r="K468" s="13"/>
      <c r="L468" s="13"/>
      <c r="M468" s="13"/>
      <c r="N468" s="13"/>
      <c r="O468" s="13"/>
      <c r="P468" s="13"/>
      <c r="Q468" s="13"/>
      <c r="R468" s="13"/>
      <c r="S468" s="13"/>
    </row>
    <row r="469" spans="1:19">
      <c r="A469" s="13"/>
      <c r="B469" s="13"/>
      <c r="C469" s="13"/>
      <c r="D469" s="13"/>
      <c r="E469" s="13"/>
      <c r="F469" s="13"/>
      <c r="G469" s="13"/>
      <c r="H469" s="13"/>
      <c r="I469" s="13"/>
      <c r="J469" s="13"/>
      <c r="K469" s="13"/>
      <c r="L469" s="13"/>
      <c r="M469" s="13"/>
      <c r="N469" s="13"/>
      <c r="O469" s="13"/>
      <c r="P469" s="13"/>
      <c r="Q469" s="13"/>
      <c r="R469" s="13"/>
      <c r="S469" s="13"/>
    </row>
    <row r="470" spans="1:19">
      <c r="A470" s="13"/>
      <c r="B470" s="13"/>
      <c r="C470" s="13"/>
      <c r="D470" s="13"/>
      <c r="E470" s="13"/>
      <c r="F470" s="13"/>
      <c r="G470" s="13"/>
      <c r="H470" s="13"/>
      <c r="I470" s="13"/>
      <c r="J470" s="13"/>
      <c r="K470" s="13"/>
      <c r="L470" s="13"/>
      <c r="M470" s="13"/>
      <c r="N470" s="13"/>
      <c r="O470" s="13"/>
      <c r="P470" s="13"/>
      <c r="Q470" s="13"/>
      <c r="R470" s="13"/>
      <c r="S470" s="13"/>
    </row>
    <row r="471" spans="1:19">
      <c r="A471" s="13"/>
      <c r="B471" s="13"/>
      <c r="C471" s="13"/>
      <c r="D471" s="13"/>
      <c r="E471" s="13"/>
      <c r="F471" s="13"/>
      <c r="G471" s="13"/>
      <c r="H471" s="13"/>
      <c r="I471" s="13"/>
      <c r="J471" s="13"/>
      <c r="K471" s="13"/>
      <c r="L471" s="13"/>
      <c r="M471" s="13"/>
      <c r="N471" s="13"/>
      <c r="O471" s="13"/>
      <c r="P471" s="13"/>
      <c r="Q471" s="13"/>
      <c r="R471" s="13"/>
      <c r="S471" s="13"/>
    </row>
    <row r="472" spans="1:19">
      <c r="A472" s="13"/>
      <c r="B472" s="13"/>
      <c r="C472" s="13"/>
      <c r="D472" s="13"/>
      <c r="E472" s="13"/>
      <c r="F472" s="13"/>
      <c r="G472" s="13"/>
      <c r="H472" s="13"/>
      <c r="I472" s="13"/>
      <c r="J472" s="13"/>
      <c r="K472" s="13"/>
      <c r="L472" s="13"/>
      <c r="M472" s="13"/>
      <c r="N472" s="13"/>
      <c r="O472" s="13"/>
      <c r="P472" s="13"/>
      <c r="Q472" s="13"/>
      <c r="R472" s="13"/>
      <c r="S472" s="13"/>
    </row>
    <row r="473" spans="1:19">
      <c r="A473" s="13"/>
      <c r="B473" s="13"/>
      <c r="C473" s="13"/>
      <c r="D473" s="13"/>
      <c r="E473" s="13"/>
      <c r="F473" s="13"/>
      <c r="G473" s="13"/>
      <c r="H473" s="13"/>
      <c r="I473" s="13"/>
      <c r="J473" s="13"/>
      <c r="K473" s="13"/>
      <c r="L473" s="13"/>
      <c r="M473" s="13"/>
      <c r="N473" s="13"/>
      <c r="O473" s="13"/>
      <c r="P473" s="13"/>
      <c r="Q473" s="13"/>
      <c r="R473" s="13"/>
      <c r="S473" s="13"/>
    </row>
    <row r="474" spans="1:19">
      <c r="A474" s="13"/>
      <c r="B474" s="13"/>
      <c r="C474" s="13"/>
      <c r="D474" s="13"/>
      <c r="E474" s="13"/>
      <c r="F474" s="13"/>
      <c r="G474" s="13"/>
      <c r="H474" s="13"/>
      <c r="I474" s="13"/>
      <c r="J474" s="13"/>
      <c r="K474" s="13"/>
      <c r="L474" s="13"/>
      <c r="M474" s="13"/>
      <c r="N474" s="13"/>
      <c r="O474" s="13"/>
      <c r="P474" s="13"/>
      <c r="Q474" s="13"/>
      <c r="R474" s="13"/>
      <c r="S474" s="13"/>
    </row>
    <row r="475" spans="1:19">
      <c r="A475" s="13"/>
      <c r="B475" s="13"/>
      <c r="C475" s="13"/>
      <c r="D475" s="13"/>
      <c r="E475" s="13"/>
      <c r="F475" s="13"/>
      <c r="G475" s="13"/>
      <c r="H475" s="13"/>
      <c r="I475" s="13"/>
      <c r="J475" s="13"/>
      <c r="K475" s="13"/>
      <c r="L475" s="13"/>
      <c r="M475" s="13"/>
      <c r="N475" s="13"/>
      <c r="O475" s="13"/>
      <c r="P475" s="13"/>
      <c r="Q475" s="13"/>
      <c r="R475" s="13"/>
      <c r="S475" s="13"/>
    </row>
    <row r="476" spans="1:19">
      <c r="A476" s="13"/>
      <c r="B476" s="13"/>
      <c r="C476" s="13"/>
      <c r="D476" s="13"/>
      <c r="E476" s="13"/>
      <c r="F476" s="13"/>
      <c r="G476" s="13"/>
      <c r="H476" s="13"/>
      <c r="I476" s="13"/>
      <c r="J476" s="13"/>
      <c r="K476" s="13"/>
      <c r="L476" s="13"/>
      <c r="M476" s="13"/>
      <c r="N476" s="13"/>
      <c r="O476" s="13"/>
      <c r="P476" s="13"/>
      <c r="Q476" s="13"/>
      <c r="R476" s="13"/>
      <c r="S476" s="13"/>
    </row>
    <row r="477" spans="1:19">
      <c r="A477" s="13"/>
      <c r="B477" s="13"/>
      <c r="C477" s="13"/>
      <c r="D477" s="13"/>
      <c r="E477" s="13"/>
      <c r="F477" s="13"/>
      <c r="G477" s="13"/>
      <c r="H477" s="13"/>
      <c r="I477" s="13"/>
      <c r="J477" s="13"/>
      <c r="K477" s="13"/>
      <c r="L477" s="13"/>
      <c r="M477" s="13"/>
      <c r="N477" s="13"/>
      <c r="O477" s="13"/>
      <c r="P477" s="13"/>
      <c r="Q477" s="13"/>
      <c r="R477" s="13"/>
      <c r="S477" s="13"/>
    </row>
    <row r="478" spans="1:19">
      <c r="A478" s="13"/>
      <c r="B478" s="13"/>
      <c r="C478" s="13"/>
      <c r="D478" s="13"/>
      <c r="E478" s="13"/>
      <c r="F478" s="13"/>
      <c r="G478" s="13"/>
      <c r="H478" s="13"/>
      <c r="I478" s="13"/>
      <c r="J478" s="13"/>
      <c r="K478" s="13"/>
      <c r="L478" s="13"/>
      <c r="M478" s="13"/>
      <c r="N478" s="13"/>
      <c r="O478" s="13"/>
      <c r="P478" s="13"/>
      <c r="Q478" s="13"/>
      <c r="R478" s="13"/>
      <c r="S478" s="13"/>
    </row>
    <row r="479" spans="1:19">
      <c r="A479" s="13"/>
      <c r="B479" s="13"/>
      <c r="C479" s="13"/>
      <c r="D479" s="13"/>
      <c r="E479" s="13"/>
      <c r="F479" s="13"/>
      <c r="G479" s="13"/>
      <c r="H479" s="13"/>
      <c r="I479" s="13"/>
      <c r="J479" s="13"/>
      <c r="K479" s="13"/>
      <c r="L479" s="13"/>
      <c r="M479" s="13"/>
      <c r="N479" s="13"/>
      <c r="O479" s="13"/>
      <c r="P479" s="13"/>
      <c r="Q479" s="13"/>
      <c r="R479" s="13"/>
      <c r="S479" s="13"/>
    </row>
    <row r="480" spans="1:19">
      <c r="A480" s="13"/>
      <c r="B480" s="13"/>
      <c r="C480" s="13"/>
      <c r="D480" s="13"/>
      <c r="E480" s="13"/>
      <c r="F480" s="13"/>
      <c r="G480" s="13"/>
      <c r="H480" s="13"/>
      <c r="I480" s="13"/>
      <c r="J480" s="13"/>
      <c r="K480" s="13"/>
      <c r="L480" s="13"/>
      <c r="M480" s="13"/>
      <c r="N480" s="13"/>
      <c r="O480" s="13"/>
      <c r="P480" s="13"/>
      <c r="Q480" s="13"/>
      <c r="R480" s="13"/>
      <c r="S480" s="13"/>
    </row>
    <row r="481" spans="1:19">
      <c r="A481" s="13"/>
      <c r="B481" s="13"/>
      <c r="C481" s="13"/>
      <c r="D481" s="13"/>
      <c r="E481" s="13"/>
      <c r="F481" s="13"/>
      <c r="G481" s="13"/>
      <c r="H481" s="13"/>
      <c r="I481" s="13"/>
      <c r="J481" s="13"/>
      <c r="K481" s="13"/>
      <c r="L481" s="13"/>
      <c r="M481" s="13"/>
      <c r="N481" s="13"/>
      <c r="O481" s="13"/>
      <c r="P481" s="13"/>
      <c r="Q481" s="13"/>
      <c r="R481" s="13"/>
      <c r="S481" s="13"/>
    </row>
    <row r="482" spans="1:19">
      <c r="A482" s="13"/>
      <c r="B482" s="13"/>
      <c r="C482" s="13"/>
      <c r="D482" s="13"/>
      <c r="E482" s="13"/>
      <c r="F482" s="13"/>
      <c r="G482" s="13"/>
      <c r="H482" s="13"/>
      <c r="I482" s="13"/>
      <c r="J482" s="13"/>
      <c r="K482" s="13"/>
      <c r="L482" s="13"/>
      <c r="M482" s="13"/>
      <c r="N482" s="13"/>
      <c r="O482" s="13"/>
      <c r="P482" s="13"/>
      <c r="Q482" s="13"/>
      <c r="R482" s="13"/>
      <c r="S482" s="13"/>
    </row>
    <row r="483" spans="1:19">
      <c r="A483" s="13"/>
      <c r="B483" s="13"/>
      <c r="C483" s="13"/>
      <c r="D483" s="13"/>
      <c r="E483" s="13"/>
      <c r="F483" s="13"/>
      <c r="G483" s="13"/>
      <c r="H483" s="13"/>
      <c r="I483" s="13"/>
      <c r="J483" s="13"/>
      <c r="K483" s="13"/>
      <c r="L483" s="13"/>
      <c r="M483" s="13"/>
      <c r="N483" s="13"/>
      <c r="O483" s="13"/>
      <c r="P483" s="13"/>
      <c r="Q483" s="13"/>
      <c r="R483" s="13"/>
      <c r="S483" s="13"/>
    </row>
    <row r="484" spans="1:19">
      <c r="A484" s="13"/>
      <c r="B484" s="13"/>
      <c r="C484" s="13"/>
      <c r="D484" s="13"/>
      <c r="E484" s="13"/>
      <c r="F484" s="13"/>
      <c r="G484" s="13"/>
      <c r="H484" s="13"/>
      <c r="I484" s="13"/>
      <c r="J484" s="13"/>
      <c r="K484" s="13"/>
      <c r="L484" s="13"/>
      <c r="M484" s="13"/>
      <c r="N484" s="13"/>
      <c r="O484" s="13"/>
      <c r="P484" s="13"/>
      <c r="Q484" s="13"/>
      <c r="R484" s="13"/>
      <c r="S484" s="13"/>
    </row>
    <row r="485" spans="1:19">
      <c r="A485" s="13"/>
      <c r="B485" s="13"/>
      <c r="C485" s="13"/>
      <c r="D485" s="13"/>
      <c r="E485" s="13"/>
      <c r="F485" s="13"/>
      <c r="G485" s="13"/>
      <c r="H485" s="13"/>
      <c r="I485" s="13"/>
      <c r="J485" s="13"/>
      <c r="K485" s="13"/>
      <c r="L485" s="13"/>
      <c r="M485" s="13"/>
      <c r="N485" s="13"/>
      <c r="O485" s="13"/>
      <c r="P485" s="13"/>
      <c r="Q485" s="13"/>
      <c r="R485" s="13"/>
      <c r="S485" s="13"/>
    </row>
    <row r="486" spans="1:19">
      <c r="A486" s="13"/>
      <c r="B486" s="13"/>
      <c r="C486" s="13"/>
      <c r="D486" s="13"/>
      <c r="E486" s="13"/>
      <c r="F486" s="13"/>
      <c r="G486" s="13"/>
      <c r="H486" s="13"/>
      <c r="I486" s="13"/>
      <c r="J486" s="13"/>
      <c r="K486" s="13"/>
      <c r="L486" s="13"/>
      <c r="M486" s="13"/>
      <c r="N486" s="13"/>
      <c r="O486" s="13"/>
      <c r="P486" s="13"/>
      <c r="Q486" s="13"/>
      <c r="R486" s="13"/>
      <c r="S486" s="13"/>
    </row>
    <row r="487" spans="1:19">
      <c r="A487" s="13"/>
      <c r="B487" s="13"/>
      <c r="C487" s="13"/>
      <c r="D487" s="13"/>
      <c r="E487" s="13"/>
      <c r="F487" s="13"/>
      <c r="G487" s="13"/>
      <c r="H487" s="13"/>
      <c r="I487" s="13"/>
      <c r="J487" s="13"/>
      <c r="K487" s="13"/>
      <c r="L487" s="13"/>
      <c r="M487" s="13"/>
      <c r="N487" s="13"/>
      <c r="O487" s="13"/>
      <c r="P487" s="13"/>
      <c r="Q487" s="13"/>
      <c r="R487" s="13"/>
      <c r="S487" s="13"/>
    </row>
    <row r="488" spans="1:19">
      <c r="A488" s="13"/>
      <c r="B488" s="13"/>
      <c r="C488" s="13"/>
      <c r="D488" s="13"/>
      <c r="E488" s="13"/>
      <c r="F488" s="13"/>
      <c r="G488" s="13"/>
      <c r="H488" s="13"/>
      <c r="I488" s="13"/>
      <c r="J488" s="13"/>
      <c r="K488" s="13"/>
      <c r="L488" s="13"/>
      <c r="M488" s="13"/>
      <c r="N488" s="13"/>
      <c r="O488" s="13"/>
      <c r="P488" s="13"/>
      <c r="Q488" s="13"/>
      <c r="R488" s="13"/>
      <c r="S488" s="13"/>
    </row>
    <row r="489" spans="1:19">
      <c r="A489" s="13"/>
      <c r="B489" s="13"/>
      <c r="C489" s="13"/>
      <c r="D489" s="13"/>
      <c r="E489" s="13"/>
      <c r="F489" s="13"/>
      <c r="G489" s="13"/>
      <c r="H489" s="13"/>
      <c r="I489" s="13"/>
      <c r="J489" s="13"/>
      <c r="K489" s="13"/>
      <c r="L489" s="13"/>
      <c r="M489" s="13"/>
      <c r="N489" s="13"/>
      <c r="O489" s="13"/>
      <c r="P489" s="13"/>
      <c r="Q489" s="13"/>
      <c r="R489" s="13"/>
      <c r="S489" s="13"/>
    </row>
    <row r="490" spans="1:19">
      <c r="A490" s="13"/>
      <c r="B490" s="13"/>
      <c r="C490" s="13"/>
      <c r="D490" s="13"/>
      <c r="E490" s="13"/>
      <c r="F490" s="13"/>
      <c r="G490" s="13"/>
      <c r="H490" s="13"/>
      <c r="I490" s="13"/>
      <c r="J490" s="13"/>
      <c r="K490" s="13"/>
      <c r="L490" s="13"/>
      <c r="M490" s="13"/>
      <c r="N490" s="13"/>
      <c r="O490" s="13"/>
      <c r="P490" s="13"/>
      <c r="Q490" s="13"/>
      <c r="R490" s="13"/>
      <c r="S490" s="13"/>
    </row>
    <row r="491" spans="1:19">
      <c r="A491" s="13"/>
      <c r="B491" s="13"/>
      <c r="C491" s="13"/>
      <c r="D491" s="13"/>
      <c r="E491" s="13"/>
      <c r="F491" s="13"/>
      <c r="G491" s="13"/>
      <c r="H491" s="13"/>
      <c r="I491" s="13"/>
      <c r="J491" s="13"/>
      <c r="K491" s="13"/>
      <c r="L491" s="13"/>
      <c r="M491" s="13"/>
      <c r="N491" s="13"/>
      <c r="O491" s="13"/>
      <c r="P491" s="13"/>
      <c r="Q491" s="13"/>
      <c r="R491" s="13"/>
      <c r="S491" s="13"/>
    </row>
    <row r="492" spans="1:19">
      <c r="A492" s="13"/>
      <c r="B492" s="13"/>
      <c r="C492" s="13"/>
      <c r="D492" s="13"/>
      <c r="E492" s="13"/>
      <c r="F492" s="13"/>
      <c r="G492" s="13"/>
      <c r="H492" s="13"/>
      <c r="I492" s="13"/>
      <c r="J492" s="13"/>
      <c r="K492" s="13"/>
      <c r="L492" s="13"/>
      <c r="M492" s="13"/>
      <c r="N492" s="13"/>
      <c r="O492" s="13"/>
      <c r="P492" s="13"/>
      <c r="Q492" s="13"/>
      <c r="R492" s="13"/>
      <c r="S492" s="13"/>
    </row>
    <row r="493" spans="1:19">
      <c r="A493" s="13"/>
      <c r="B493" s="13"/>
      <c r="C493" s="13"/>
      <c r="D493" s="13"/>
      <c r="E493" s="13"/>
      <c r="F493" s="13"/>
      <c r="G493" s="13"/>
      <c r="H493" s="13"/>
      <c r="I493" s="13"/>
      <c r="J493" s="13"/>
      <c r="K493" s="13"/>
      <c r="L493" s="13"/>
      <c r="M493" s="13"/>
      <c r="N493" s="13"/>
      <c r="O493" s="13"/>
      <c r="P493" s="13"/>
      <c r="Q493" s="13"/>
      <c r="R493" s="13"/>
      <c r="S493" s="13"/>
    </row>
    <row r="494" spans="1:19">
      <c r="A494" s="13"/>
      <c r="B494" s="13"/>
      <c r="C494" s="13"/>
      <c r="D494" s="13"/>
      <c r="E494" s="13"/>
      <c r="F494" s="13"/>
      <c r="G494" s="13"/>
      <c r="H494" s="13"/>
      <c r="I494" s="13"/>
      <c r="J494" s="13"/>
      <c r="K494" s="13"/>
      <c r="L494" s="13"/>
      <c r="M494" s="13"/>
      <c r="N494" s="13"/>
      <c r="O494" s="13"/>
      <c r="P494" s="13"/>
      <c r="Q494" s="13"/>
      <c r="R494" s="13"/>
      <c r="S494" s="13"/>
    </row>
    <row r="495" spans="1:19">
      <c r="A495" s="13"/>
      <c r="B495" s="13"/>
      <c r="C495" s="13"/>
      <c r="D495" s="13"/>
      <c r="E495" s="13"/>
      <c r="F495" s="13"/>
      <c r="G495" s="13"/>
      <c r="H495" s="13"/>
      <c r="I495" s="13"/>
      <c r="J495" s="13"/>
      <c r="K495" s="13"/>
      <c r="L495" s="13"/>
      <c r="M495" s="13"/>
      <c r="N495" s="13"/>
      <c r="O495" s="13"/>
      <c r="P495" s="13"/>
      <c r="Q495" s="13"/>
      <c r="R495" s="13"/>
      <c r="S495" s="13"/>
    </row>
    <row r="496" spans="1:19">
      <c r="A496" s="13"/>
      <c r="B496" s="13"/>
      <c r="C496" s="13"/>
      <c r="D496" s="13"/>
      <c r="E496" s="13"/>
      <c r="F496" s="13"/>
      <c r="G496" s="13"/>
      <c r="H496" s="13"/>
      <c r="I496" s="13"/>
      <c r="J496" s="13"/>
      <c r="K496" s="13"/>
      <c r="L496" s="13"/>
      <c r="M496" s="13"/>
      <c r="N496" s="13"/>
      <c r="O496" s="13"/>
      <c r="P496" s="13"/>
      <c r="Q496" s="13"/>
      <c r="R496" s="13"/>
      <c r="S496" s="13"/>
    </row>
    <row r="497" spans="1:19">
      <c r="A497" s="13"/>
      <c r="B497" s="13"/>
      <c r="C497" s="13"/>
      <c r="D497" s="13"/>
      <c r="E497" s="13"/>
      <c r="F497" s="13"/>
      <c r="G497" s="13"/>
      <c r="H497" s="13"/>
      <c r="I497" s="13"/>
      <c r="J497" s="13"/>
      <c r="K497" s="13"/>
      <c r="L497" s="13"/>
      <c r="M497" s="13"/>
      <c r="N497" s="13"/>
      <c r="O497" s="13"/>
      <c r="P497" s="13"/>
      <c r="Q497" s="13"/>
      <c r="R497" s="13"/>
      <c r="S497" s="13"/>
    </row>
    <row r="498" spans="1:19">
      <c r="A498" s="13"/>
      <c r="B498" s="13"/>
      <c r="C498" s="13"/>
      <c r="D498" s="13"/>
      <c r="E498" s="13"/>
      <c r="F498" s="13"/>
      <c r="G498" s="13"/>
      <c r="H498" s="13"/>
      <c r="I498" s="13"/>
      <c r="J498" s="13"/>
      <c r="K498" s="13"/>
      <c r="L498" s="13"/>
      <c r="M498" s="13"/>
      <c r="N498" s="13"/>
      <c r="O498" s="13"/>
      <c r="P498" s="13"/>
      <c r="Q498" s="13"/>
      <c r="R498" s="13"/>
      <c r="S498" s="13"/>
    </row>
    <row r="499" spans="1:19">
      <c r="A499" s="13"/>
      <c r="B499" s="13"/>
      <c r="C499" s="13"/>
      <c r="D499" s="13"/>
      <c r="E499" s="13"/>
      <c r="F499" s="13"/>
      <c r="G499" s="13"/>
      <c r="H499" s="13"/>
      <c r="I499" s="13"/>
      <c r="J499" s="13"/>
      <c r="K499" s="13"/>
      <c r="L499" s="13"/>
      <c r="M499" s="13"/>
      <c r="N499" s="13"/>
      <c r="O499" s="13"/>
      <c r="P499" s="13"/>
      <c r="Q499" s="13"/>
      <c r="R499" s="13"/>
      <c r="S499" s="13"/>
    </row>
    <row r="500" spans="1:19">
      <c r="A500" s="13"/>
      <c r="B500" s="13"/>
      <c r="C500" s="13"/>
      <c r="D500" s="13"/>
      <c r="E500" s="13"/>
      <c r="F500" s="13"/>
      <c r="G500" s="13"/>
      <c r="H500" s="13"/>
      <c r="I500" s="13"/>
      <c r="J500" s="13"/>
      <c r="K500" s="13"/>
      <c r="L500" s="13"/>
      <c r="M500" s="13"/>
      <c r="N500" s="13"/>
      <c r="O500" s="13"/>
      <c r="P500" s="13"/>
      <c r="Q500" s="13"/>
      <c r="R500" s="13"/>
      <c r="S500" s="13"/>
    </row>
    <row r="501" spans="1:19">
      <c r="A501" s="13"/>
      <c r="B501" s="13"/>
      <c r="C501" s="13"/>
      <c r="D501" s="13"/>
      <c r="E501" s="13"/>
      <c r="F501" s="13"/>
      <c r="G501" s="13"/>
      <c r="H501" s="13"/>
      <c r="I501" s="13"/>
      <c r="J501" s="13"/>
      <c r="K501" s="13"/>
      <c r="L501" s="13"/>
      <c r="M501" s="13"/>
      <c r="N501" s="13"/>
      <c r="O501" s="13"/>
      <c r="P501" s="13"/>
      <c r="Q501" s="13"/>
      <c r="R501" s="13"/>
      <c r="S501" s="13"/>
    </row>
    <row r="502" spans="1:19">
      <c r="A502" s="13"/>
      <c r="B502" s="13"/>
      <c r="C502" s="13"/>
      <c r="D502" s="13"/>
      <c r="E502" s="13"/>
      <c r="F502" s="13"/>
      <c r="G502" s="13"/>
      <c r="H502" s="13"/>
      <c r="I502" s="13"/>
      <c r="J502" s="13"/>
      <c r="K502" s="13"/>
      <c r="L502" s="13"/>
      <c r="M502" s="13"/>
      <c r="N502" s="13"/>
      <c r="O502" s="13"/>
      <c r="P502" s="13"/>
      <c r="Q502" s="13"/>
      <c r="R502" s="13"/>
      <c r="S502" s="13"/>
    </row>
    <row r="503" spans="1:19">
      <c r="A503" s="13"/>
      <c r="B503" s="13"/>
      <c r="C503" s="13"/>
      <c r="D503" s="13"/>
      <c r="E503" s="13"/>
      <c r="F503" s="13"/>
      <c r="G503" s="13"/>
      <c r="H503" s="13"/>
      <c r="I503" s="13"/>
      <c r="J503" s="13"/>
      <c r="K503" s="13"/>
      <c r="L503" s="13"/>
      <c r="M503" s="13"/>
      <c r="N503" s="13"/>
      <c r="O503" s="13"/>
      <c r="P503" s="13"/>
      <c r="Q503" s="13"/>
      <c r="R503" s="13"/>
      <c r="S503" s="13"/>
    </row>
    <row r="504" spans="1:19">
      <c r="A504" s="13"/>
      <c r="B504" s="13"/>
      <c r="C504" s="13"/>
      <c r="D504" s="13"/>
      <c r="E504" s="13"/>
      <c r="F504" s="13"/>
      <c r="G504" s="13"/>
      <c r="H504" s="13"/>
      <c r="I504" s="13"/>
      <c r="J504" s="13"/>
      <c r="K504" s="13"/>
      <c r="L504" s="13"/>
      <c r="M504" s="13"/>
      <c r="N504" s="13"/>
      <c r="O504" s="13"/>
      <c r="P504" s="13"/>
      <c r="Q504" s="13"/>
      <c r="R504" s="13"/>
      <c r="S504" s="13"/>
    </row>
    <row r="505" spans="1:19">
      <c r="A505" s="13"/>
      <c r="B505" s="13"/>
      <c r="C505" s="13"/>
      <c r="D505" s="13"/>
      <c r="E505" s="13"/>
      <c r="F505" s="13"/>
      <c r="G505" s="13"/>
      <c r="H505" s="13"/>
      <c r="I505" s="13"/>
      <c r="J505" s="13"/>
      <c r="K505" s="13"/>
      <c r="L505" s="13"/>
      <c r="M505" s="13"/>
      <c r="N505" s="13"/>
      <c r="O505" s="13"/>
      <c r="P505" s="13"/>
      <c r="Q505" s="13"/>
      <c r="R505" s="13"/>
      <c r="S505" s="13"/>
    </row>
    <row r="506" spans="1:19">
      <c r="A506" s="13"/>
      <c r="B506" s="13"/>
      <c r="C506" s="13"/>
      <c r="D506" s="13"/>
      <c r="E506" s="13"/>
      <c r="F506" s="13"/>
      <c r="G506" s="13"/>
      <c r="H506" s="13"/>
      <c r="I506" s="13"/>
      <c r="J506" s="13"/>
      <c r="K506" s="13"/>
      <c r="L506" s="13"/>
      <c r="M506" s="13"/>
      <c r="N506" s="13"/>
      <c r="O506" s="13"/>
      <c r="P506" s="13"/>
      <c r="Q506" s="13"/>
      <c r="R506" s="13"/>
      <c r="S506" s="13"/>
    </row>
    <row r="507" spans="1:19">
      <c r="A507" s="13"/>
      <c r="B507" s="13"/>
      <c r="C507" s="13"/>
      <c r="D507" s="13"/>
      <c r="E507" s="13"/>
      <c r="F507" s="13"/>
      <c r="G507" s="13"/>
      <c r="H507" s="13"/>
      <c r="I507" s="13"/>
      <c r="J507" s="13"/>
      <c r="K507" s="13"/>
      <c r="L507" s="13"/>
      <c r="M507" s="13"/>
      <c r="N507" s="13"/>
      <c r="O507" s="13"/>
      <c r="P507" s="13"/>
      <c r="Q507" s="13"/>
      <c r="R507" s="13"/>
      <c r="S507" s="13"/>
    </row>
    <row r="508" spans="1:19">
      <c r="A508" s="13"/>
      <c r="B508" s="13"/>
      <c r="C508" s="13"/>
      <c r="D508" s="13"/>
      <c r="E508" s="13"/>
      <c r="F508" s="13"/>
      <c r="G508" s="13"/>
      <c r="H508" s="13"/>
      <c r="I508" s="13"/>
      <c r="J508" s="13"/>
      <c r="K508" s="13"/>
      <c r="L508" s="13"/>
      <c r="M508" s="13"/>
      <c r="N508" s="13"/>
      <c r="O508" s="13"/>
      <c r="P508" s="13"/>
      <c r="Q508" s="13"/>
      <c r="R508" s="13"/>
      <c r="S508" s="13"/>
    </row>
    <row r="509" spans="1:19">
      <c r="A509" s="13"/>
      <c r="B509" s="13"/>
      <c r="C509" s="13"/>
      <c r="D509" s="13"/>
      <c r="E509" s="13"/>
      <c r="F509" s="13"/>
      <c r="G509" s="13"/>
      <c r="H509" s="13"/>
      <c r="I509" s="13"/>
      <c r="J509" s="13"/>
      <c r="K509" s="13"/>
      <c r="L509" s="13"/>
      <c r="M509" s="13"/>
      <c r="N509" s="13"/>
      <c r="O509" s="13"/>
      <c r="P509" s="13"/>
      <c r="Q509" s="13"/>
      <c r="R509" s="13"/>
      <c r="S509" s="13"/>
    </row>
    <row r="510" spans="1:19">
      <c r="A510" s="13"/>
      <c r="B510" s="13"/>
      <c r="C510" s="13"/>
      <c r="D510" s="13"/>
      <c r="E510" s="13"/>
      <c r="F510" s="13"/>
      <c r="G510" s="13"/>
      <c r="H510" s="13"/>
      <c r="I510" s="13"/>
      <c r="J510" s="13"/>
      <c r="K510" s="13"/>
      <c r="L510" s="13"/>
      <c r="M510" s="13"/>
      <c r="N510" s="13"/>
      <c r="O510" s="13"/>
      <c r="P510" s="13"/>
      <c r="Q510" s="13"/>
      <c r="R510" s="13"/>
      <c r="S510" s="13"/>
    </row>
    <row r="511" spans="1:19">
      <c r="A511" s="13"/>
      <c r="B511" s="13"/>
      <c r="C511" s="13"/>
      <c r="D511" s="13"/>
      <c r="E511" s="13"/>
      <c r="F511" s="13"/>
      <c r="G511" s="13"/>
      <c r="H511" s="13"/>
      <c r="I511" s="13"/>
      <c r="J511" s="13"/>
      <c r="K511" s="13"/>
      <c r="L511" s="13"/>
      <c r="M511" s="13"/>
      <c r="N511" s="13"/>
      <c r="O511" s="13"/>
      <c r="P511" s="13"/>
      <c r="Q511" s="13"/>
      <c r="R511" s="13"/>
      <c r="S511" s="13"/>
    </row>
    <row r="512" spans="1:19">
      <c r="A512" s="13"/>
      <c r="B512" s="13"/>
      <c r="C512" s="13"/>
      <c r="D512" s="13"/>
      <c r="E512" s="13"/>
      <c r="F512" s="13"/>
      <c r="G512" s="13"/>
      <c r="H512" s="13"/>
      <c r="I512" s="13"/>
      <c r="J512" s="13"/>
      <c r="K512" s="13"/>
      <c r="L512" s="13"/>
      <c r="M512" s="13"/>
      <c r="N512" s="13"/>
      <c r="O512" s="13"/>
      <c r="P512" s="13"/>
      <c r="Q512" s="13"/>
      <c r="R512" s="13"/>
      <c r="S512" s="13"/>
    </row>
    <row r="513" spans="1:19">
      <c r="A513" s="13"/>
      <c r="B513" s="13"/>
      <c r="C513" s="13"/>
      <c r="D513" s="13"/>
      <c r="E513" s="13"/>
      <c r="F513" s="13"/>
      <c r="G513" s="13"/>
      <c r="H513" s="13"/>
      <c r="I513" s="13"/>
      <c r="J513" s="13"/>
      <c r="K513" s="13"/>
      <c r="L513" s="13"/>
      <c r="M513" s="13"/>
      <c r="N513" s="13"/>
      <c r="O513" s="13"/>
      <c r="P513" s="13"/>
      <c r="Q513" s="13"/>
      <c r="R513" s="13"/>
      <c r="S513" s="13"/>
    </row>
    <row r="514" spans="1:19">
      <c r="A514" s="13"/>
      <c r="B514" s="13"/>
      <c r="C514" s="13"/>
      <c r="D514" s="13"/>
      <c r="E514" s="13"/>
      <c r="F514" s="13"/>
      <c r="G514" s="13"/>
      <c r="H514" s="13"/>
      <c r="I514" s="13"/>
      <c r="J514" s="13"/>
      <c r="K514" s="13"/>
      <c r="L514" s="13"/>
      <c r="M514" s="13"/>
      <c r="N514" s="13"/>
      <c r="O514" s="13"/>
      <c r="P514" s="13"/>
      <c r="Q514" s="13"/>
      <c r="R514" s="13"/>
      <c r="S514" s="13"/>
    </row>
    <row r="515" spans="1:19">
      <c r="A515" s="13"/>
      <c r="B515" s="13"/>
      <c r="D515" s="13"/>
      <c r="E515" s="13"/>
      <c r="F515" s="13"/>
      <c r="G515" s="13"/>
      <c r="H515" s="13"/>
      <c r="I515" s="13"/>
      <c r="J515" s="13"/>
      <c r="K515" s="13"/>
      <c r="L515" s="13"/>
      <c r="M515" s="13"/>
      <c r="N515" s="13"/>
      <c r="O515" s="13"/>
      <c r="P515" s="13"/>
      <c r="Q515" s="13"/>
      <c r="R515" s="13"/>
      <c r="S515" s="13"/>
    </row>
    <row r="516" spans="1:19">
      <c r="A516" s="13"/>
      <c r="B516" s="13"/>
      <c r="D516" s="13"/>
      <c r="E516" s="13"/>
      <c r="F516" s="13"/>
      <c r="G516" s="13"/>
      <c r="H516" s="13"/>
      <c r="I516" s="13"/>
      <c r="J516" s="13"/>
      <c r="K516" s="13"/>
      <c r="L516" s="13"/>
      <c r="M516" s="13"/>
      <c r="N516" s="13"/>
      <c r="O516" s="13"/>
      <c r="P516" s="13"/>
      <c r="Q516" s="13"/>
      <c r="R516" s="13"/>
      <c r="S516" s="13"/>
    </row>
    <row r="517" spans="1:19">
      <c r="B517" s="13"/>
      <c r="D517" s="13"/>
      <c r="E517" s="13"/>
      <c r="F517" s="13"/>
      <c r="G517" s="13"/>
      <c r="H517" s="13"/>
      <c r="I517" s="13"/>
      <c r="J517" s="13"/>
      <c r="K517" s="13"/>
      <c r="L517" s="13"/>
      <c r="M517" s="13"/>
      <c r="N517" s="13"/>
      <c r="O517" s="13"/>
      <c r="P517" s="13"/>
      <c r="Q517" s="13"/>
      <c r="R517" s="13"/>
      <c r="S517" s="13"/>
    </row>
    <row r="518" spans="1:19">
      <c r="B518" s="13"/>
      <c r="D518" s="13"/>
      <c r="E518" s="13"/>
      <c r="F518" s="13"/>
      <c r="G518" s="13"/>
      <c r="H518" s="13"/>
      <c r="I518" s="13"/>
      <c r="J518" s="13"/>
      <c r="K518" s="13"/>
      <c r="L518" s="13"/>
      <c r="M518" s="13"/>
      <c r="N518" s="13"/>
      <c r="O518" s="13"/>
      <c r="P518" s="13"/>
      <c r="Q518" s="13"/>
      <c r="R518" s="13"/>
      <c r="S518" s="13"/>
    </row>
    <row r="519" spans="1:19">
      <c r="B519" s="13"/>
      <c r="D519" s="13"/>
      <c r="E519" s="13"/>
      <c r="F519" s="13"/>
      <c r="G519" s="13"/>
      <c r="H519" s="13"/>
      <c r="I519" s="13"/>
      <c r="J519" s="13"/>
      <c r="K519" s="13"/>
      <c r="L519" s="13"/>
      <c r="M519" s="13"/>
      <c r="N519" s="13"/>
      <c r="O519" s="13"/>
      <c r="P519" s="13"/>
      <c r="Q519" s="13"/>
      <c r="R519" s="13"/>
      <c r="S519" s="13"/>
    </row>
    <row r="520" spans="1:19">
      <c r="B520" s="13"/>
      <c r="D520" s="13"/>
      <c r="E520" s="13"/>
      <c r="F520" s="13"/>
      <c r="G520" s="13"/>
      <c r="H520" s="13"/>
      <c r="I520" s="13"/>
      <c r="J520" s="13"/>
      <c r="K520" s="13"/>
      <c r="L520" s="13"/>
      <c r="M520" s="13"/>
      <c r="N520" s="13"/>
      <c r="O520" s="13"/>
      <c r="P520" s="13"/>
      <c r="Q520" s="13"/>
      <c r="R520" s="13"/>
      <c r="S520" s="13"/>
    </row>
    <row r="521" spans="1:19">
      <c r="B521" s="13"/>
      <c r="D521" s="13"/>
      <c r="E521" s="13"/>
      <c r="F521" s="13"/>
      <c r="G521" s="13"/>
      <c r="H521" s="13"/>
      <c r="I521" s="13"/>
      <c r="J521" s="13"/>
      <c r="K521" s="13"/>
      <c r="L521" s="13"/>
      <c r="M521" s="13"/>
      <c r="N521" s="13"/>
      <c r="O521" s="13"/>
      <c r="P521" s="13"/>
      <c r="Q521" s="13"/>
      <c r="R521" s="13"/>
      <c r="S521" s="13"/>
    </row>
    <row r="522" spans="1:19">
      <c r="B522" s="13"/>
      <c r="D522" s="13"/>
      <c r="E522" s="13"/>
      <c r="F522" s="13"/>
      <c r="G522" s="13"/>
      <c r="H522" s="13"/>
      <c r="I522" s="13"/>
      <c r="J522" s="13"/>
      <c r="K522" s="13"/>
      <c r="L522" s="13"/>
      <c r="M522" s="13"/>
      <c r="N522" s="13"/>
      <c r="O522" s="13"/>
      <c r="P522" s="13"/>
      <c r="Q522" s="13"/>
      <c r="R522" s="13"/>
      <c r="S522" s="13"/>
    </row>
    <row r="523" spans="1:19">
      <c r="B523" s="13"/>
      <c r="D523" s="13"/>
      <c r="E523" s="13"/>
      <c r="F523" s="13"/>
      <c r="G523" s="13"/>
      <c r="H523" s="13"/>
      <c r="I523" s="13"/>
      <c r="J523" s="13"/>
      <c r="K523" s="13"/>
      <c r="L523" s="13"/>
      <c r="M523" s="13"/>
      <c r="N523" s="13"/>
      <c r="O523" s="13"/>
      <c r="P523" s="13"/>
      <c r="Q523" s="13"/>
      <c r="R523" s="13"/>
      <c r="S523" s="13"/>
    </row>
    <row r="524" spans="1:19">
      <c r="B524" s="13"/>
      <c r="D524" s="13"/>
      <c r="E524" s="13"/>
      <c r="F524" s="13"/>
      <c r="G524" s="13"/>
      <c r="H524" s="13"/>
      <c r="I524" s="13"/>
      <c r="J524" s="13"/>
      <c r="K524" s="13"/>
      <c r="L524" s="13"/>
      <c r="M524" s="13"/>
      <c r="N524" s="13"/>
      <c r="O524" s="13"/>
      <c r="P524" s="13"/>
      <c r="Q524" s="13"/>
      <c r="R524" s="13"/>
      <c r="S524" s="13"/>
    </row>
    <row r="525" spans="1:19">
      <c r="B525" s="13"/>
      <c r="D525" s="13"/>
      <c r="E525" s="13"/>
      <c r="F525" s="13"/>
      <c r="G525" s="13"/>
      <c r="H525" s="13"/>
      <c r="I525" s="13"/>
      <c r="J525" s="13"/>
      <c r="K525" s="13"/>
      <c r="L525" s="13"/>
      <c r="M525" s="13"/>
      <c r="N525" s="13"/>
      <c r="O525" s="13"/>
      <c r="P525" s="13"/>
      <c r="Q525" s="13"/>
      <c r="R525" s="13"/>
      <c r="S525" s="13"/>
    </row>
    <row r="526" spans="1:19">
      <c r="B526" s="13"/>
      <c r="D526" s="13"/>
      <c r="E526" s="13"/>
      <c r="F526" s="13"/>
      <c r="G526" s="13"/>
      <c r="H526" s="13"/>
      <c r="I526" s="13"/>
      <c r="J526" s="13"/>
      <c r="K526" s="13"/>
      <c r="L526" s="13"/>
      <c r="M526" s="13"/>
      <c r="N526" s="13"/>
      <c r="O526" s="13"/>
      <c r="P526" s="13"/>
      <c r="Q526" s="13"/>
      <c r="R526" s="13"/>
      <c r="S526" s="13"/>
    </row>
    <row r="527" spans="1:19">
      <c r="B527" s="13"/>
      <c r="D527" s="13"/>
      <c r="E527" s="13"/>
      <c r="F527" s="13"/>
      <c r="G527" s="13"/>
      <c r="H527" s="13"/>
      <c r="I527" s="13"/>
      <c r="J527" s="13"/>
      <c r="K527" s="13"/>
      <c r="L527" s="13"/>
      <c r="M527" s="13"/>
      <c r="N527" s="13"/>
      <c r="O527" s="13"/>
      <c r="P527" s="13"/>
      <c r="Q527" s="13"/>
      <c r="R527" s="13"/>
      <c r="S527" s="13"/>
    </row>
    <row r="528" spans="1:19">
      <c r="B528" s="13"/>
      <c r="D528" s="13"/>
      <c r="E528" s="13"/>
      <c r="F528" s="13"/>
      <c r="G528" s="13"/>
      <c r="H528" s="13"/>
      <c r="I528" s="13"/>
      <c r="J528" s="13"/>
      <c r="K528" s="13"/>
      <c r="L528" s="13"/>
      <c r="M528" s="13"/>
      <c r="N528" s="13"/>
      <c r="O528" s="13"/>
      <c r="P528" s="13"/>
      <c r="Q528" s="13"/>
      <c r="R528" s="13"/>
      <c r="S528" s="13"/>
    </row>
    <row r="529" spans="2:19">
      <c r="B529" s="13"/>
      <c r="D529" s="13"/>
      <c r="E529" s="13"/>
      <c r="F529" s="13"/>
      <c r="G529" s="13"/>
      <c r="H529" s="13"/>
      <c r="I529" s="13"/>
      <c r="J529" s="13"/>
      <c r="K529" s="13"/>
      <c r="L529" s="13"/>
      <c r="M529" s="13"/>
      <c r="N529" s="13"/>
      <c r="O529" s="13"/>
      <c r="P529" s="13"/>
      <c r="Q529" s="13"/>
      <c r="R529" s="13"/>
      <c r="S529" s="13"/>
    </row>
    <row r="530" spans="2:19">
      <c r="B530" s="13"/>
      <c r="D530" s="13"/>
      <c r="E530" s="13"/>
      <c r="F530" s="13"/>
      <c r="G530" s="13"/>
      <c r="H530" s="13"/>
      <c r="I530" s="13"/>
      <c r="J530" s="13"/>
      <c r="K530" s="13"/>
      <c r="L530" s="13"/>
      <c r="M530" s="13"/>
      <c r="N530" s="13"/>
      <c r="O530" s="13"/>
      <c r="P530" s="13"/>
      <c r="Q530" s="13"/>
      <c r="R530" s="13"/>
      <c r="S530" s="13"/>
    </row>
    <row r="531" spans="2:19">
      <c r="D531" s="13"/>
      <c r="F531" s="13"/>
      <c r="G531" s="13"/>
      <c r="H531" s="13"/>
      <c r="I531" s="13"/>
      <c r="J531" s="13"/>
      <c r="K531" s="13"/>
      <c r="L531" s="13"/>
      <c r="M531" s="13"/>
      <c r="N531" s="13"/>
      <c r="O531" s="13"/>
      <c r="P531" s="13"/>
      <c r="Q531" s="13"/>
      <c r="R531" s="13"/>
      <c r="S531" s="13"/>
    </row>
  </sheetData>
  <sheetProtection algorithmName="SHA-512" hashValue="063wT6e0jxxL4Nhh/mDTD4XwgHahfSg+qBOgs3hFaedufStnU0vhG8Qh+fjkC4AOseqBFu/NoUHTaCjOZnZvyg==" saltValue="aKq8X235biEYgFg3OKg9dQ==" spinCount="100000" sheet="1" objects="1" scenarios="1"/>
  <mergeCells count="119">
    <mergeCell ref="A173:C173"/>
    <mergeCell ref="A174:C174"/>
    <mergeCell ref="A175:C175"/>
    <mergeCell ref="A168:C168"/>
    <mergeCell ref="A169:C169"/>
    <mergeCell ref="A170:C170"/>
    <mergeCell ref="A171:C171"/>
    <mergeCell ref="A172:C172"/>
    <mergeCell ref="A163:C163"/>
    <mergeCell ref="A164:C164"/>
    <mergeCell ref="A165:C165"/>
    <mergeCell ref="A166:C166"/>
    <mergeCell ref="A167:C167"/>
    <mergeCell ref="A158:C158"/>
    <mergeCell ref="A159:C159"/>
    <mergeCell ref="A160:C160"/>
    <mergeCell ref="A161:C161"/>
    <mergeCell ref="A162:C162"/>
    <mergeCell ref="A153:C153"/>
    <mergeCell ref="A154:C154"/>
    <mergeCell ref="A155:C155"/>
    <mergeCell ref="A156:C156"/>
    <mergeCell ref="A157:C157"/>
    <mergeCell ref="A148:C148"/>
    <mergeCell ref="A149:C149"/>
    <mergeCell ref="A150:C150"/>
    <mergeCell ref="A151:C151"/>
    <mergeCell ref="A152:C152"/>
    <mergeCell ref="A143:C143"/>
    <mergeCell ref="A144:C144"/>
    <mergeCell ref="A145:C145"/>
    <mergeCell ref="A146:C146"/>
    <mergeCell ref="A147:C147"/>
    <mergeCell ref="A138:C138"/>
    <mergeCell ref="A139:C139"/>
    <mergeCell ref="A140:C140"/>
    <mergeCell ref="A141:C141"/>
    <mergeCell ref="A142:C142"/>
    <mergeCell ref="A133:C133"/>
    <mergeCell ref="A134:C134"/>
    <mergeCell ref="A135:C135"/>
    <mergeCell ref="A136:C136"/>
    <mergeCell ref="A137:C137"/>
    <mergeCell ref="A128:C128"/>
    <mergeCell ref="A129:C129"/>
    <mergeCell ref="A130:C130"/>
    <mergeCell ref="A131:C131"/>
    <mergeCell ref="A132:C132"/>
    <mergeCell ref="A123:C123"/>
    <mergeCell ref="A124:C124"/>
    <mergeCell ref="A125:C125"/>
    <mergeCell ref="A126:C126"/>
    <mergeCell ref="A127:C127"/>
    <mergeCell ref="A118:C118"/>
    <mergeCell ref="A119:C119"/>
    <mergeCell ref="A120:C120"/>
    <mergeCell ref="A121:C121"/>
    <mergeCell ref="A122:C122"/>
    <mergeCell ref="A113:C113"/>
    <mergeCell ref="A114:C114"/>
    <mergeCell ref="A115:C115"/>
    <mergeCell ref="A116:C116"/>
    <mergeCell ref="A117:C117"/>
    <mergeCell ref="A108:C108"/>
    <mergeCell ref="A109:C109"/>
    <mergeCell ref="A110:C110"/>
    <mergeCell ref="A111:C111"/>
    <mergeCell ref="A112:C112"/>
    <mergeCell ref="A103:C103"/>
    <mergeCell ref="A104:C104"/>
    <mergeCell ref="A105:C105"/>
    <mergeCell ref="A106:C106"/>
    <mergeCell ref="A107:C107"/>
    <mergeCell ref="A98:C98"/>
    <mergeCell ref="A99:C99"/>
    <mergeCell ref="A100:C100"/>
    <mergeCell ref="A101:C101"/>
    <mergeCell ref="A102:C102"/>
    <mergeCell ref="A93:C93"/>
    <mergeCell ref="A94:C94"/>
    <mergeCell ref="A95:C95"/>
    <mergeCell ref="A96:C96"/>
    <mergeCell ref="A97:C97"/>
    <mergeCell ref="A88:C88"/>
    <mergeCell ref="A89:C89"/>
    <mergeCell ref="A90:C90"/>
    <mergeCell ref="A91:C91"/>
    <mergeCell ref="A92:C92"/>
    <mergeCell ref="A83:C83"/>
    <mergeCell ref="A84:C84"/>
    <mergeCell ref="A85:C85"/>
    <mergeCell ref="A86:C86"/>
    <mergeCell ref="A87:C87"/>
    <mergeCell ref="A78:C78"/>
    <mergeCell ref="A79:C79"/>
    <mergeCell ref="A80:C80"/>
    <mergeCell ref="A81:C81"/>
    <mergeCell ref="A82:C82"/>
    <mergeCell ref="A73:C73"/>
    <mergeCell ref="A74:C74"/>
    <mergeCell ref="A75:C75"/>
    <mergeCell ref="A76:C76"/>
    <mergeCell ref="A77:C77"/>
    <mergeCell ref="A69:C69"/>
    <mergeCell ref="A70:C70"/>
    <mergeCell ref="A71:C71"/>
    <mergeCell ref="A72:C72"/>
    <mergeCell ref="G33:H33"/>
    <mergeCell ref="H6:H10"/>
    <mergeCell ref="L14:P14"/>
    <mergeCell ref="L16:M16"/>
    <mergeCell ref="L18:M18"/>
    <mergeCell ref="L19:M19"/>
    <mergeCell ref="I16:K16"/>
    <mergeCell ref="I18:K18"/>
    <mergeCell ref="I19:K19"/>
    <mergeCell ref="J25:K25"/>
    <mergeCell ref="G25:H25"/>
    <mergeCell ref="M25:N25"/>
  </mergeCells>
  <conditionalFormatting sqref="L6:P10">
    <cfRule type="cellIs" dxfId="2" priority="1" stopIfTrue="1" operator="greaterThan">
      <formula>$P$16</formula>
    </cfRule>
    <cfRule type="cellIs" dxfId="1" priority="2" stopIfTrue="1" operator="between">
      <formula>$N$18</formula>
      <formula>$P$18</formula>
    </cfRule>
    <cfRule type="cellIs" dxfId="0" priority="3" stopIfTrue="1" operator="lessThan">
      <formula>$P$19</formula>
    </cfRule>
  </conditionalFormatting>
  <pageMargins left="0.70866141732283472" right="0.70866141732283472" top="0.78740157480314965" bottom="0.78740157480314965" header="0.31496062992125984" footer="0.31496062992125984"/>
  <pageSetup paperSize="9" scale="33" fitToHeight="4" orientation="portrait" horizontalDpi="4294967293" verticalDpi="1200" r:id="rId1"/>
  <customProperties>
    <customPr name="Guid" r:id="rId2"/>
  </customProperties>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V380"/>
  <sheetViews>
    <sheetView workbookViewId="0">
      <selection activeCell="F3" sqref="F3"/>
    </sheetView>
  </sheetViews>
  <sheetFormatPr defaultColWidth="9.109375" defaultRowHeight="14.4"/>
  <sheetData>
    <row r="1" spans="1:256">
      <c r="A1" t="s">
        <v>1379</v>
      </c>
      <c r="F1" t="e">
        <f>Overview!A:A*"AM:!."</f>
        <v>#VALUE!</v>
      </c>
      <c r="G1" t="e">
        <f>Overview!B:B*"AM:!/"</f>
        <v>#VALUE!</v>
      </c>
      <c r="H1" t="e">
        <f>Overview!C:C*"AM:!0"</f>
        <v>#VALUE!</v>
      </c>
      <c r="I1" t="e">
        <f>Overview!D:D*"AM:!1"</f>
        <v>#VALUE!</v>
      </c>
      <c r="J1" t="e">
        <f>Overview!E:E*"AM:!2"</f>
        <v>#VALUE!</v>
      </c>
      <c r="K1" t="e">
        <f>Overview!F:F*"AM:!3"</f>
        <v>#VALUE!</v>
      </c>
      <c r="L1" t="e">
        <f>Overview!G:G*"AM:!4"</f>
        <v>#VALUE!</v>
      </c>
      <c r="M1" t="e">
        <f>Overview!H:H*"AM:!5"</f>
        <v>#VALUE!</v>
      </c>
      <c r="N1" t="e">
        <f>Overview!I:I*"AM:!6"</f>
        <v>#VALUE!</v>
      </c>
      <c r="O1" t="e">
        <f>Overview!J:J*"AM:!7"</f>
        <v>#VALUE!</v>
      </c>
      <c r="P1" t="e">
        <f>Overview!K:K*"AM:!8"</f>
        <v>#VALUE!</v>
      </c>
      <c r="Q1" t="e">
        <f>Overview!L:L*"AM:!9"</f>
        <v>#VALUE!</v>
      </c>
      <c r="R1" t="e">
        <f>Overview!M:M*"AM:!:"</f>
        <v>#VALUE!</v>
      </c>
      <c r="S1" t="e">
        <f>Overview!N:N*"AM:!;"</f>
        <v>#VALUE!</v>
      </c>
      <c r="T1" t="e">
        <f>Overview!O:O*"AM:!&lt;"</f>
        <v>#VALUE!</v>
      </c>
      <c r="U1" t="e">
        <f>Overview!P:P*"AM:!="</f>
        <v>#VALUE!</v>
      </c>
      <c r="V1" t="e">
        <f>Overview!Q:Q*"AM:!&gt;"</f>
        <v>#VALUE!</v>
      </c>
      <c r="W1" t="e">
        <f>Overview!R:R*"AM:!?"</f>
        <v>#VALUE!</v>
      </c>
      <c r="X1" t="e">
        <f>Overview!S:S*"AM:!@"</f>
        <v>#VALUE!</v>
      </c>
      <c r="Y1" t="e">
        <f>Overview!T:T*"AM:!A"</f>
        <v>#VALUE!</v>
      </c>
      <c r="Z1" t="e">
        <f>Overview!U:U*"AM:!B"</f>
        <v>#VALUE!</v>
      </c>
      <c r="AA1" t="e">
        <f>Overview!V:V*"AM:!C"</f>
        <v>#VALUE!</v>
      </c>
      <c r="AB1" t="e">
        <f>Overview!W:W*"AM:!D"</f>
        <v>#VALUE!</v>
      </c>
      <c r="AC1" t="e">
        <f>Overview!X:X*"AM:!E"</f>
        <v>#VALUE!</v>
      </c>
      <c r="AD1" t="e">
        <f>Overview!Y:Y*"AM:!F"</f>
        <v>#VALUE!</v>
      </c>
      <c r="AE1" t="e">
        <f>Overview!Z:Z*"AM:!G"</f>
        <v>#VALUE!</v>
      </c>
      <c r="AF1" t="e">
        <f>Overview!AA:AA*"AM:!H"</f>
        <v>#VALUE!</v>
      </c>
      <c r="AG1" t="e">
        <f>Overview!AB:AB*"AM:!I"</f>
        <v>#VALUE!</v>
      </c>
      <c r="AH1" t="e">
        <f>Overview!AC:AC*"AM:!J"</f>
        <v>#VALUE!</v>
      </c>
      <c r="AI1" t="e">
        <f>Overview!AD:AD*"AM:!K"</f>
        <v>#VALUE!</v>
      </c>
      <c r="AJ1" t="e">
        <f>Overview!AE:AE*"AM:!L"</f>
        <v>#VALUE!</v>
      </c>
      <c r="AK1" t="e">
        <f>Overview!AF:AF*"AM:!M"</f>
        <v>#VALUE!</v>
      </c>
      <c r="AL1" t="e">
        <f>Overview!AG:AG*"AM:!N"</f>
        <v>#VALUE!</v>
      </c>
      <c r="AM1" t="e">
        <f>Overview!AH:AH*"AM:!O"</f>
        <v>#VALUE!</v>
      </c>
      <c r="AN1" t="e">
        <f>Overview!AI:AI*"AM:!P"</f>
        <v>#VALUE!</v>
      </c>
      <c r="AO1" t="e">
        <f>Overview!AJ:AJ*"AM:!Q"</f>
        <v>#VALUE!</v>
      </c>
      <c r="AP1" t="e">
        <f>Overview!AK:AK*"AM:!R"</f>
        <v>#VALUE!</v>
      </c>
      <c r="AQ1" t="e">
        <f>Overview!AL:AL*"AM:!S"</f>
        <v>#VALUE!</v>
      </c>
      <c r="AR1" t="e">
        <f>Overview!AM:AM*"AM:!T"</f>
        <v>#VALUE!</v>
      </c>
      <c r="AS1" t="e">
        <f>Overview!AN:AN*"AM:!U"</f>
        <v>#VALUE!</v>
      </c>
      <c r="AT1" t="e">
        <f>Overview!AO:AO*"AM:!V"</f>
        <v>#VALUE!</v>
      </c>
      <c r="AU1" t="e">
        <f>Overview!AP:AP*"AM:!W"</f>
        <v>#VALUE!</v>
      </c>
      <c r="AV1" t="e">
        <f>Overview!AQ:AQ*"AM:!X"</f>
        <v>#VALUE!</v>
      </c>
      <c r="AW1" t="e">
        <f>Overview!AR:AR*"AM:!Y"</f>
        <v>#VALUE!</v>
      </c>
      <c r="AX1" t="e">
        <f>Overview!AS:AS*"AM:!Z"</f>
        <v>#VALUE!</v>
      </c>
      <c r="AY1" t="e">
        <f>Overview!AT:AT*"AM:!["</f>
        <v>#VALUE!</v>
      </c>
      <c r="AZ1" t="e">
        <f>Overview!AU:AU*"AM:!\"</f>
        <v>#VALUE!</v>
      </c>
      <c r="BA1" t="e">
        <f>Overview!AV:AV*"AM:!]"</f>
        <v>#VALUE!</v>
      </c>
      <c r="BB1" t="e">
        <f>Overview!AW:AW*"AM:!^"</f>
        <v>#VALUE!</v>
      </c>
      <c r="BC1" t="e">
        <f>Overview!AX:AX*"AM:!_"</f>
        <v>#VALUE!</v>
      </c>
      <c r="BD1" t="e">
        <f>Overview!AY:AY*"AM:!`"</f>
        <v>#VALUE!</v>
      </c>
      <c r="BE1" t="e">
        <f>Overview!AZ:AZ*"AM:!a"</f>
        <v>#VALUE!</v>
      </c>
      <c r="BF1" t="e">
        <f>Overview!BA:BA*"AM:!b"</f>
        <v>#VALUE!</v>
      </c>
      <c r="BG1" t="e">
        <f>Overview!BB:BB*"AM:!c"</f>
        <v>#VALUE!</v>
      </c>
      <c r="BH1" t="e">
        <f>Overview!BC:BC*"AM:!d"</f>
        <v>#VALUE!</v>
      </c>
      <c r="BI1" t="e">
        <f>Overview!BD:BD*"AM:!e"</f>
        <v>#VALUE!</v>
      </c>
      <c r="BJ1" t="e">
        <f>Overview!BE:BE*"AM:!f"</f>
        <v>#VALUE!</v>
      </c>
      <c r="BK1" t="e">
        <f>Overview!BF:BF*"AM:!g"</f>
        <v>#VALUE!</v>
      </c>
      <c r="BL1" t="e">
        <f>Overview!BG:BG*"AM:!h"</f>
        <v>#VALUE!</v>
      </c>
      <c r="BM1" t="e">
        <f>Overview!BH:BH*"AM:!i"</f>
        <v>#VALUE!</v>
      </c>
      <c r="BN1" t="e">
        <f>Overview!BI:BI*"AM:!j"</f>
        <v>#VALUE!</v>
      </c>
      <c r="BO1" t="e">
        <f>Overview!BJ:BJ*"AM:!k"</f>
        <v>#VALUE!</v>
      </c>
      <c r="BP1" t="e">
        <f>Overview!BK:BK*"AM:!l"</f>
        <v>#VALUE!</v>
      </c>
      <c r="BQ1" t="e">
        <f>Overview!BL:BL*"AM:!m"</f>
        <v>#VALUE!</v>
      </c>
      <c r="BR1" t="e">
        <f>Overview!1:1-"AM:!n"</f>
        <v>#VALUE!</v>
      </c>
      <c r="BS1" t="e">
        <f>Overview!2:2-"AM:!o"</f>
        <v>#VALUE!</v>
      </c>
      <c r="BT1" t="e">
        <f>Overview!3:3-"AM:!p"</f>
        <v>#VALUE!</v>
      </c>
      <c r="BU1" t="e">
        <f>Overview!4:4-"AM:!q"</f>
        <v>#VALUE!</v>
      </c>
      <c r="BV1" t="e">
        <f>Overview!5:5-"AM:!r"</f>
        <v>#VALUE!</v>
      </c>
      <c r="BW1" t="e">
        <f>Overview!6:6-"AM:!s"</f>
        <v>#VALUE!</v>
      </c>
      <c r="BX1" t="e">
        <f>Overview!7:7-"AM:!t"</f>
        <v>#VALUE!</v>
      </c>
      <c r="BY1" t="e">
        <f>Overview!8:8-"AM:!u"</f>
        <v>#VALUE!</v>
      </c>
      <c r="BZ1" t="e">
        <f>Overview!9:9-"AM:!v"</f>
        <v>#VALUE!</v>
      </c>
      <c r="CA1" t="e">
        <f>Overview!10:10-"AM:!w"</f>
        <v>#VALUE!</v>
      </c>
      <c r="CB1" t="e">
        <f>Overview!11:11-"AM:!x"</f>
        <v>#VALUE!</v>
      </c>
      <c r="CC1" t="e">
        <f>Overview!12:12-"AM:!y"</f>
        <v>#VALUE!</v>
      </c>
      <c r="CD1" t="e">
        <f>Overview!19:19-"AM:!z"</f>
        <v>#VALUE!</v>
      </c>
      <c r="CE1" t="e">
        <f>Overview!20:20-"AM:!{"</f>
        <v>#VALUE!</v>
      </c>
      <c r="CF1" t="e">
        <f>Overview!21:21-"AM:!|"</f>
        <v>#VALUE!</v>
      </c>
      <c r="CG1" t="e">
        <f>Overview!22:22-"AM:!}"</f>
        <v>#VALUE!</v>
      </c>
      <c r="CH1" t="e">
        <f>Overview!23:23-"AM:!~"</f>
        <v>#VALUE!</v>
      </c>
      <c r="CI1" t="e">
        <f>Overview!24:24-"AM:!$#"</f>
        <v>#VALUE!</v>
      </c>
      <c r="CJ1" t="e">
        <f>Overview!25:25-"AM:!$$"</f>
        <v>#VALUE!</v>
      </c>
      <c r="CK1" t="e">
        <f>Overview!26:26-"AM:!$%"</f>
        <v>#VALUE!</v>
      </c>
      <c r="CL1" t="e">
        <f>Overview!27:27-"AM:!$&amp;"</f>
        <v>#VALUE!</v>
      </c>
      <c r="CM1" t="e">
        <f>Overview!28:28-"AM:!$'"</f>
        <v>#VALUE!</v>
      </c>
      <c r="CN1" t="e">
        <f>Overview!29:29-"AM:!$("</f>
        <v>#VALUE!</v>
      </c>
      <c r="CO1" t="e">
        <f>Overview!30:30-"AM:!$)"</f>
        <v>#VALUE!</v>
      </c>
      <c r="CP1" t="e">
        <f>Overview!31:31-"AM:!$."</f>
        <v>#VALUE!</v>
      </c>
      <c r="CQ1" t="e">
        <f>Overview!32:32-"AM:!$/"</f>
        <v>#VALUE!</v>
      </c>
      <c r="CR1" t="e">
        <f>Overview!33:33-"AM:!$0"</f>
        <v>#VALUE!</v>
      </c>
      <c r="CS1" t="e">
        <f>Overview!34:34-"AM:!$1"</f>
        <v>#VALUE!</v>
      </c>
      <c r="CT1" t="e">
        <f>Overview!35:35-"AM:!$2"</f>
        <v>#VALUE!</v>
      </c>
      <c r="CU1" t="e">
        <f>Overview!36:36-"AM:!$3"</f>
        <v>#VALUE!</v>
      </c>
      <c r="CV1" t="e">
        <f>Overview!37:37-"AM:!$4"</f>
        <v>#VALUE!</v>
      </c>
      <c r="CW1" t="e">
        <f>Overview!38:38-"AM:!$5"</f>
        <v>#VALUE!</v>
      </c>
      <c r="CX1" t="e">
        <f>Overview!39:39-"AM:!$6"</f>
        <v>#VALUE!</v>
      </c>
      <c r="CY1" t="e">
        <f>Overview!40:40-"AM:!$7"</f>
        <v>#VALUE!</v>
      </c>
      <c r="CZ1" t="e">
        <f>Overview!41:41-"AM:!$8"</f>
        <v>#VALUE!</v>
      </c>
      <c r="DA1" t="e">
        <f>Overview!42:42-"AM:!$9"</f>
        <v>#VALUE!</v>
      </c>
      <c r="DB1" t="e">
        <f>Overview!43:43-"AM:!$:"</f>
        <v>#VALUE!</v>
      </c>
      <c r="DC1" t="e">
        <f>Overview!44:44-"AM:!$;"</f>
        <v>#VALUE!</v>
      </c>
      <c r="DD1" t="e">
        <f>Overview!45:45-"AM:!$&lt;"</f>
        <v>#VALUE!</v>
      </c>
      <c r="DE1" t="e">
        <f>Overview!46:46-"AM:!$="</f>
        <v>#VALUE!</v>
      </c>
      <c r="DF1" t="e">
        <f>Overview!47:47-"AM:!$&gt;"</f>
        <v>#VALUE!</v>
      </c>
      <c r="DG1" t="e">
        <f>Overview!48:48-"AM:!$?"</f>
        <v>#VALUE!</v>
      </c>
      <c r="DH1" t="e">
        <f>Overview!49:49-"AM:!$@"</f>
        <v>#VALUE!</v>
      </c>
      <c r="DI1" t="e">
        <f>Overview!50:50-"AM:!$A"</f>
        <v>#VALUE!</v>
      </c>
      <c r="DJ1" t="e">
        <f>Overview!51:51-"AM:!$B"</f>
        <v>#VALUE!</v>
      </c>
      <c r="DK1" t="e">
        <f>Overview!52:52-"AM:!$C"</f>
        <v>#VALUE!</v>
      </c>
      <c r="DL1" t="e">
        <f>Overview!53:53-"AM:!$D"</f>
        <v>#VALUE!</v>
      </c>
      <c r="DM1" t="e">
        <f>Overview!54:54-"AM:!$E"</f>
        <v>#VALUE!</v>
      </c>
      <c r="DN1" t="e">
        <f>Overview!55:55-"AM:!$F"</f>
        <v>#VALUE!</v>
      </c>
      <c r="DO1" t="e">
        <f>Overview!56:56-"AM:!$G"</f>
        <v>#VALUE!</v>
      </c>
      <c r="DP1" t="e">
        <f>Overview!57:57-"AM:!$H"</f>
        <v>#VALUE!</v>
      </c>
      <c r="DQ1" t="e">
        <f>Overview!58:58-"AM:!$I"</f>
        <v>#VALUE!</v>
      </c>
      <c r="DR1" t="e">
        <f>Overview!59:59-"AM:!$J"</f>
        <v>#VALUE!</v>
      </c>
      <c r="DS1" t="e">
        <f>Overview!60:60-"AM:!$K"</f>
        <v>#VALUE!</v>
      </c>
      <c r="DT1" t="e">
        <f>Overview!61:61-"AM:!$L"</f>
        <v>#VALUE!</v>
      </c>
      <c r="DU1" t="e">
        <f>Overview!62:62-"AM:!$M"</f>
        <v>#VALUE!</v>
      </c>
      <c r="DV1" t="e">
        <f>Overview!63:63-"AM:!$N"</f>
        <v>#VALUE!</v>
      </c>
      <c r="DW1" t="e">
        <f>Overview!64:64-"AM:!$O"</f>
        <v>#VALUE!</v>
      </c>
      <c r="DX1" t="e">
        <f>Overview!65:65-"AM:!$P"</f>
        <v>#VALUE!</v>
      </c>
      <c r="DY1" t="e">
        <f>Overview!66:66-"AM:!$Q"</f>
        <v>#VALUE!</v>
      </c>
      <c r="DZ1" t="e">
        <f>Overview!67:67-"AM:!$R"</f>
        <v>#VALUE!</v>
      </c>
      <c r="EA1" t="e">
        <f>Overview!68:68-"AM:!$S"</f>
        <v>#VALUE!</v>
      </c>
      <c r="EB1" t="e">
        <f>Overview!69:69-"AM:!$T"</f>
        <v>#VALUE!</v>
      </c>
      <c r="EC1" t="e">
        <f>Overview!70:70-"AM:!$U"</f>
        <v>#VALUE!</v>
      </c>
      <c r="ED1" t="e">
        <f>Overview!71:71-"AM:!$V"</f>
        <v>#VALUE!</v>
      </c>
      <c r="EE1" t="e">
        <f>Overview!72:72-"AM:!$W"</f>
        <v>#VALUE!</v>
      </c>
      <c r="EF1" t="e">
        <f>Overview!73:73-"AM:!$X"</f>
        <v>#VALUE!</v>
      </c>
      <c r="EG1" t="e">
        <f>Overview!74:74-"AM:!$Y"</f>
        <v>#VALUE!</v>
      </c>
      <c r="EH1" t="e">
        <f>Overview!75:75-"AM:!$Z"</f>
        <v>#VALUE!</v>
      </c>
      <c r="EI1" t="e">
        <f>Overview!76:76-"AM:!$["</f>
        <v>#VALUE!</v>
      </c>
      <c r="EJ1" t="e">
        <f>Overview!77:77-"AM:!$\"</f>
        <v>#VALUE!</v>
      </c>
      <c r="EK1" t="e">
        <f>Overview!78:78-"AM:!$]"</f>
        <v>#VALUE!</v>
      </c>
      <c r="EL1" t="e">
        <f>Overview!79:79-"AM:!$^"</f>
        <v>#VALUE!</v>
      </c>
      <c r="EM1" t="e">
        <f>Overview!80:80-"AM:!$_"</f>
        <v>#VALUE!</v>
      </c>
      <c r="EN1" t="e">
        <f>Overview!81:81-"AM:!$`"</f>
        <v>#VALUE!</v>
      </c>
      <c r="EO1" t="e">
        <f>Overview!82:82-"AM:!$a"</f>
        <v>#VALUE!</v>
      </c>
      <c r="EP1" t="e">
        <f>Overview!83:83-"AM:!$b"</f>
        <v>#VALUE!</v>
      </c>
      <c r="EQ1" t="e">
        <f>Overview!84:84-"AM:!$c"</f>
        <v>#VALUE!</v>
      </c>
      <c r="ER1" t="e">
        <f>Overview!85:85-"AM:!$d"</f>
        <v>#VALUE!</v>
      </c>
      <c r="ES1" t="e">
        <f>Overview!86:86-"AM:!$e"</f>
        <v>#VALUE!</v>
      </c>
      <c r="ET1" t="e">
        <f>Overview!87:87-"AM:!$f"</f>
        <v>#VALUE!</v>
      </c>
      <c r="EU1" t="e">
        <f>Overview!88:88-"AM:!$g"</f>
        <v>#VALUE!</v>
      </c>
      <c r="EV1" t="e">
        <f>Overview!89:89-"AM:!$h"</f>
        <v>#VALUE!</v>
      </c>
      <c r="EW1" t="e">
        <f>Overview!90:90-"AM:!$i"</f>
        <v>#VALUE!</v>
      </c>
      <c r="EX1" t="e">
        <f>Overview!91:91-"AM:!$j"</f>
        <v>#VALUE!</v>
      </c>
      <c r="EY1" t="e">
        <f>Overview!92:92-"AM:!$k"</f>
        <v>#VALUE!</v>
      </c>
      <c r="EZ1" t="e">
        <f>Overview!93:93-"AM:!$l"</f>
        <v>#VALUE!</v>
      </c>
      <c r="FA1" t="e">
        <f>Overview!94:94-"AM:!$m"</f>
        <v>#VALUE!</v>
      </c>
      <c r="FB1" t="e">
        <f>Overview!95:95-"AM:!$n"</f>
        <v>#VALUE!</v>
      </c>
      <c r="FC1" t="e">
        <f>Overview!96:96-"AM:!$o"</f>
        <v>#VALUE!</v>
      </c>
      <c r="FD1" t="e">
        <f>Overview!97:97-"AM:!$p"</f>
        <v>#VALUE!</v>
      </c>
      <c r="FE1" t="e">
        <f>Overview!98:98-"AM:!$q"</f>
        <v>#VALUE!</v>
      </c>
      <c r="FF1" t="e">
        <f>Overview!99:99-"AM:!$r"</f>
        <v>#VALUE!</v>
      </c>
      <c r="FG1" t="e">
        <f>Overview!100:100-"AM:!$s"</f>
        <v>#VALUE!</v>
      </c>
      <c r="FH1" t="e">
        <f>Overview!101:101-"AM:!$t"</f>
        <v>#VALUE!</v>
      </c>
      <c r="FI1" t="e">
        <f>Overview!102:102-"AM:!$u"</f>
        <v>#VALUE!</v>
      </c>
      <c r="FJ1" t="e">
        <f>Overview!103:103-"AM:!$v"</f>
        <v>#VALUE!</v>
      </c>
      <c r="FK1" t="e">
        <f>Overview!104:104-"AM:!$w"</f>
        <v>#VALUE!</v>
      </c>
      <c r="FL1" t="e">
        <f>Overview!105:105-"AM:!$x"</f>
        <v>#VALUE!</v>
      </c>
      <c r="FM1" t="e">
        <f>Overview!106:106-"AM:!$y"</f>
        <v>#VALUE!</v>
      </c>
      <c r="FN1" t="e">
        <f>Overview!107:107-"AM:!$z"</f>
        <v>#VALUE!</v>
      </c>
      <c r="FO1" t="e">
        <f>Overview!108:108-"AM:!${"</f>
        <v>#VALUE!</v>
      </c>
      <c r="FP1" t="e">
        <f>Overview!109:109-"AM:!$|"</f>
        <v>#VALUE!</v>
      </c>
      <c r="FQ1" t="e">
        <f>Overview!110:110-"AM:!$}"</f>
        <v>#VALUE!</v>
      </c>
      <c r="FR1" t="e">
        <f>Overview!111:111-"AM:!$~"</f>
        <v>#VALUE!</v>
      </c>
      <c r="FS1" t="e">
        <f>Overview!112:112-"AM:!%#"</f>
        <v>#VALUE!</v>
      </c>
      <c r="FT1" t="e">
        <f>Overview!113:113-"AM:!%$"</f>
        <v>#VALUE!</v>
      </c>
      <c r="FU1" t="e">
        <f>Overview!114:114-"AM:!%%"</f>
        <v>#VALUE!</v>
      </c>
      <c r="FV1" t="e">
        <f>Overview!115:115-"AM:!%&amp;"</f>
        <v>#VALUE!</v>
      </c>
      <c r="FW1" t="e">
        <f>Overview!116:116-"AM:!%'"</f>
        <v>#VALUE!</v>
      </c>
      <c r="FX1" t="e">
        <f>Overview!117:117-"AM:!%("</f>
        <v>#VALUE!</v>
      </c>
      <c r="FY1" t="e">
        <f>Overview!118:118-"AM:!%)"</f>
        <v>#VALUE!</v>
      </c>
      <c r="FZ1" t="e">
        <f>Overview!119:119-"AM:!%."</f>
        <v>#VALUE!</v>
      </c>
      <c r="GA1" t="e">
        <f>Overview!120:120-"AM:!%/"</f>
        <v>#VALUE!</v>
      </c>
      <c r="GB1" t="e">
        <f>Overview!121:121-"AM:!%0"</f>
        <v>#VALUE!</v>
      </c>
      <c r="GC1" t="e">
        <f>Overview!122:122-"AM:!%1"</f>
        <v>#VALUE!</v>
      </c>
      <c r="GD1" t="e">
        <f>Overview!123:123-"AM:!%2"</f>
        <v>#VALUE!</v>
      </c>
      <c r="GE1" t="e">
        <f>Overview!124:124-"AM:!%3"</f>
        <v>#VALUE!</v>
      </c>
      <c r="GF1" t="e">
        <f>Overview!125:125-"AM:!%4"</f>
        <v>#VALUE!</v>
      </c>
      <c r="GG1" t="e">
        <f>Overview!126:126-"AM:!%5"</f>
        <v>#VALUE!</v>
      </c>
      <c r="GH1" t="e">
        <f>Overview!127:127-"AM:!%6"</f>
        <v>#VALUE!</v>
      </c>
      <c r="GI1" t="e">
        <f>Overview!128:128-"AM:!%7"</f>
        <v>#VALUE!</v>
      </c>
      <c r="GJ1" t="e">
        <f>Overview!129:129-"AM:!%8"</f>
        <v>#VALUE!</v>
      </c>
      <c r="GK1" t="e">
        <f>Overview!130:130-"AM:!%9"</f>
        <v>#VALUE!</v>
      </c>
      <c r="GL1" t="e">
        <f>Overview!131:131-"AM:!%:"</f>
        <v>#VALUE!</v>
      </c>
      <c r="GM1" t="e">
        <f>Overview!132:132-"AM:!%;"</f>
        <v>#VALUE!</v>
      </c>
      <c r="GN1" t="e">
        <f>Overview!133:133-"AM:!%&lt;"</f>
        <v>#VALUE!</v>
      </c>
      <c r="GO1" t="e">
        <f>Overview!134:134-"AM:!%="</f>
        <v>#VALUE!</v>
      </c>
      <c r="GP1" t="e">
        <f>Overview!135:135-"AM:!%&gt;"</f>
        <v>#VALUE!</v>
      </c>
      <c r="GQ1" t="e">
        <f>Overview!136:136-"AM:!%?"</f>
        <v>#VALUE!</v>
      </c>
      <c r="GR1" t="e">
        <f>Overview!137:137-"AM:!%@"</f>
        <v>#VALUE!</v>
      </c>
      <c r="GS1" t="e">
        <f>Overview!138:138-"AM:!%A"</f>
        <v>#VALUE!</v>
      </c>
      <c r="GT1" t="e">
        <f>Overview!139:139-"AM:!%B"</f>
        <v>#VALUE!</v>
      </c>
      <c r="GU1" t="e">
        <f>Overview!140:140-"AM:!%C"</f>
        <v>#VALUE!</v>
      </c>
      <c r="GV1" t="e">
        <f>Overview!141:141-"AM:!%D"</f>
        <v>#VALUE!</v>
      </c>
      <c r="GW1" t="e">
        <f>Overview!142:142-"AM:!%E"</f>
        <v>#VALUE!</v>
      </c>
      <c r="GX1" t="e">
        <f>Overview!143:143-"AM:!%F"</f>
        <v>#VALUE!</v>
      </c>
      <c r="GY1" t="e">
        <f>Overview!144:144-"AM:!%G"</f>
        <v>#VALUE!</v>
      </c>
      <c r="GZ1" t="e">
        <f>Overview!145:145-"AM:!%H"</f>
        <v>#VALUE!</v>
      </c>
      <c r="HA1" t="e">
        <f>Overview!146:146-"AM:!%I"</f>
        <v>#VALUE!</v>
      </c>
      <c r="HB1" t="e">
        <f>Overview!147:147-"AM:!%J"</f>
        <v>#VALUE!</v>
      </c>
      <c r="HC1" t="e">
        <f>Overview!148:148-"AM:!%K"</f>
        <v>#VALUE!</v>
      </c>
      <c r="HD1" t="e">
        <f>Overview!149:149-"AM:!%L"</f>
        <v>#VALUE!</v>
      </c>
      <c r="HE1" t="e">
        <f>Overview!150:150-"AM:!%M"</f>
        <v>#VALUE!</v>
      </c>
      <c r="HF1" t="e">
        <f>Overview!151:151-"AM:!%N"</f>
        <v>#VALUE!</v>
      </c>
      <c r="HG1" t="e">
        <f>Overview!152:152-"AM:!%O"</f>
        <v>#VALUE!</v>
      </c>
      <c r="HH1" t="e">
        <f>Overview!153:153-"AM:!%P"</f>
        <v>#VALUE!</v>
      </c>
      <c r="HI1" t="e">
        <f>Overview!154:154-"AM:!%Q"</f>
        <v>#VALUE!</v>
      </c>
      <c r="HJ1" t="e">
        <f>Overview!155:155-"AM:!%R"</f>
        <v>#VALUE!</v>
      </c>
      <c r="HK1" t="e">
        <f>Overview!156:156-"AM:!%S"</f>
        <v>#VALUE!</v>
      </c>
      <c r="HL1" t="e">
        <f>Overview!157:157-"AM:!%T"</f>
        <v>#VALUE!</v>
      </c>
      <c r="HM1" t="e">
        <f>Overview!158:158-"AM:!%U"</f>
        <v>#VALUE!</v>
      </c>
      <c r="HN1" t="e">
        <f>Overview!159:159-"AM:!%V"</f>
        <v>#VALUE!</v>
      </c>
      <c r="HO1" t="e">
        <f>Overview!160:160-"AM:!%W"</f>
        <v>#VALUE!</v>
      </c>
      <c r="HP1" t="e">
        <f>Overview!161:161-"AM:!%X"</f>
        <v>#VALUE!</v>
      </c>
      <c r="HQ1" t="e">
        <f>Overview!162:162-"AM:!%Y"</f>
        <v>#VALUE!</v>
      </c>
      <c r="HR1" t="e">
        <f>Overview!163:163-"AM:!%Z"</f>
        <v>#VALUE!</v>
      </c>
      <c r="HS1" t="e">
        <f>Overview!164:164-"AM:!%["</f>
        <v>#VALUE!</v>
      </c>
      <c r="HT1" t="e">
        <f>Overview!165:165-"AM:!%\"</f>
        <v>#VALUE!</v>
      </c>
      <c r="HU1" t="e">
        <f>Overview!166:166-"AM:!%]"</f>
        <v>#VALUE!</v>
      </c>
      <c r="HV1" t="e">
        <f>Overview!167:167-"AM:!%^"</f>
        <v>#VALUE!</v>
      </c>
      <c r="HW1" t="e">
        <f>Overview!168:168-"AM:!%_"</f>
        <v>#VALUE!</v>
      </c>
      <c r="HX1" t="e">
        <f>Overview!169:169-"AM:!%`"</f>
        <v>#VALUE!</v>
      </c>
      <c r="HY1" t="e">
        <f>Overview!170:170-"AM:!%a"</f>
        <v>#VALUE!</v>
      </c>
      <c r="HZ1" t="e">
        <f>Overview!171:171-"AM:!%b"</f>
        <v>#VALUE!</v>
      </c>
      <c r="IA1" t="e">
        <f>Overview!172:172-"AM:!%c"</f>
        <v>#VALUE!</v>
      </c>
      <c r="IB1" t="e">
        <f>Overview!173:173-"AM:!%d"</f>
        <v>#VALUE!</v>
      </c>
      <c r="IC1" t="e">
        <f>Overview!174:174-"AM:!%e"</f>
        <v>#VALUE!</v>
      </c>
      <c r="ID1" t="e">
        <f>Overview!175:175-"AM:!%f"</f>
        <v>#VALUE!</v>
      </c>
      <c r="IE1" t="e">
        <f>Overview!176:176-"AM:!%g"</f>
        <v>#VALUE!</v>
      </c>
      <c r="IF1" t="e">
        <f>Overview!177:177-"AM:!%h"</f>
        <v>#VALUE!</v>
      </c>
      <c r="IG1" t="e">
        <f>Overview!178:178-"AM:!%i"</f>
        <v>#VALUE!</v>
      </c>
      <c r="IH1" t="e">
        <f>Overview!179:179-"AM:!%j"</f>
        <v>#VALUE!</v>
      </c>
      <c r="II1" t="e">
        <f>Overview!180:180-"AM:!%k"</f>
        <v>#VALUE!</v>
      </c>
      <c r="IJ1" t="e">
        <f>Overview!181:181-"AM:!%l"</f>
        <v>#VALUE!</v>
      </c>
      <c r="IK1" t="e">
        <f>Overview!182:182-"AM:!%m"</f>
        <v>#VALUE!</v>
      </c>
      <c r="IL1" t="e">
        <f>Overview!183:183-"AM:!%n"</f>
        <v>#VALUE!</v>
      </c>
      <c r="IM1" t="e">
        <f>Overview!184:184-"AM:!%o"</f>
        <v>#VALUE!</v>
      </c>
      <c r="IN1" t="e">
        <f>Overview!185:185-"AM:!%p"</f>
        <v>#VALUE!</v>
      </c>
      <c r="IO1" t="e">
        <f>Overview!186:186-"AM:!%q"</f>
        <v>#VALUE!</v>
      </c>
      <c r="IP1" t="e">
        <f>Overview!187:187-"AM:!%r"</f>
        <v>#VALUE!</v>
      </c>
      <c r="IQ1" t="e">
        <f>Overview!188:188-"AM:!%s"</f>
        <v>#VALUE!</v>
      </c>
      <c r="IR1" t="e">
        <f>Overview!189:189-"AM:!%t"</f>
        <v>#VALUE!</v>
      </c>
      <c r="IS1" t="e">
        <f>Overview!190:190-"AM:!%u"</f>
        <v>#VALUE!</v>
      </c>
      <c r="IT1" t="e">
        <f>Overview!191:191-"AM:!%v"</f>
        <v>#VALUE!</v>
      </c>
      <c r="IU1" t="e">
        <f>Overview!192:192-"AM:!%w"</f>
        <v>#VALUE!</v>
      </c>
      <c r="IV1" t="e">
        <f>Overview!193:193-"AM:!%x"</f>
        <v>#VALUE!</v>
      </c>
    </row>
    <row r="2" spans="1:256">
      <c r="A2" t="s">
        <v>1405</v>
      </c>
      <c r="F2" t="e">
        <f>Overview!194:194-"AM:!%y"</f>
        <v>#VALUE!</v>
      </c>
      <c r="G2" t="e">
        <f>Overview!195:195-"AM:!%z"</f>
        <v>#VALUE!</v>
      </c>
      <c r="H2" t="e">
        <f>Overview!196:196-"AM:!%{"</f>
        <v>#VALUE!</v>
      </c>
      <c r="I2" t="e">
        <f>Overview!197:197-"AM:!%|"</f>
        <v>#VALUE!</v>
      </c>
      <c r="J2" t="e">
        <f>Overview!198:198-"AM:!%}"</f>
        <v>#VALUE!</v>
      </c>
      <c r="K2" t="e">
        <f>Overview!199:199-"AM:!%~"</f>
        <v>#VALUE!</v>
      </c>
      <c r="L2" t="e">
        <f>Overview!200:200-"AM:!&amp;#"</f>
        <v>#VALUE!</v>
      </c>
      <c r="M2" t="e">
        <f>Overview!201:201-"AM:!&amp;$"</f>
        <v>#VALUE!</v>
      </c>
      <c r="N2" t="e">
        <f>Overview!202:202-"AM:!&amp;%"</f>
        <v>#VALUE!</v>
      </c>
      <c r="O2" t="e">
        <f>Overview!203:203-"AM:!&amp;&amp;"</f>
        <v>#VALUE!</v>
      </c>
      <c r="P2" t="e">
        <f>Overview!204:204-"AM:!&amp;'"</f>
        <v>#VALUE!</v>
      </c>
      <c r="Q2" t="e">
        <f>Overview!205:205-"AM:!&amp;("</f>
        <v>#VALUE!</v>
      </c>
      <c r="R2" t="e">
        <f>Overview!206:206-"AM:!&amp;)"</f>
        <v>#VALUE!</v>
      </c>
      <c r="S2" t="e">
        <f>Overview!207:207-"AM:!&amp;."</f>
        <v>#VALUE!</v>
      </c>
      <c r="T2" t="e">
        <f>Overview!208:208-"AM:!&amp;/"</f>
        <v>#VALUE!</v>
      </c>
      <c r="U2" t="e">
        <f>Overview!209:209-"AM:!&amp;0"</f>
        <v>#VALUE!</v>
      </c>
      <c r="V2" t="e">
        <f>Overview!210:210-"AM:!&amp;1"</f>
        <v>#VALUE!</v>
      </c>
      <c r="W2" t="e">
        <f>Overview!211:211-"AM:!&amp;2"</f>
        <v>#VALUE!</v>
      </c>
      <c r="X2" t="e">
        <f>Overview!212:212-"AM:!&amp;3"</f>
        <v>#VALUE!</v>
      </c>
      <c r="Y2" t="e">
        <f>Overview!213:213-"AM:!&amp;4"</f>
        <v>#VALUE!</v>
      </c>
      <c r="Z2" t="e">
        <f>Overview!214:214-"AM:!&amp;5"</f>
        <v>#VALUE!</v>
      </c>
      <c r="AA2" t="e">
        <f>Overview!215:215-"AM:!&amp;6"</f>
        <v>#VALUE!</v>
      </c>
      <c r="AB2" t="e">
        <f>Overview!216:216-"AM:!&amp;7"</f>
        <v>#VALUE!</v>
      </c>
      <c r="AC2" t="e">
        <f>Overview!217:217-"AM:!&amp;8"</f>
        <v>#VALUE!</v>
      </c>
      <c r="AD2" t="e">
        <f>Overview!218:218-"AM:!&amp;9"</f>
        <v>#VALUE!</v>
      </c>
      <c r="AE2" t="e">
        <f>Overview!219:219-"AM:!&amp;:"</f>
        <v>#VALUE!</v>
      </c>
      <c r="AF2" t="e">
        <f>Overview!220:220-"AM:!&amp;;"</f>
        <v>#VALUE!</v>
      </c>
      <c r="AG2" t="e">
        <f>Overview!221:221-"AM:!&amp;&lt;"</f>
        <v>#VALUE!</v>
      </c>
      <c r="AH2" t="e">
        <f>Overview!222:222-"AM:!&amp;="</f>
        <v>#VALUE!</v>
      </c>
      <c r="AI2" t="e">
        <f>Overview!223:223-"AM:!&amp;&gt;"</f>
        <v>#VALUE!</v>
      </c>
      <c r="AJ2" t="e">
        <f>Overview!224:224-"AM:!&amp;?"</f>
        <v>#VALUE!</v>
      </c>
      <c r="AK2" t="e">
        <f>Overview!225:225-"AM:!&amp;@"</f>
        <v>#VALUE!</v>
      </c>
      <c r="AL2" t="e">
        <f>Overview!226:226-"AM:!&amp;A"</f>
        <v>#VALUE!</v>
      </c>
      <c r="AM2" t="e">
        <f>Overview!227:227-"AM:!&amp;B"</f>
        <v>#VALUE!</v>
      </c>
      <c r="AN2" t="e">
        <f>Overview!228:228-"AM:!&amp;C"</f>
        <v>#VALUE!</v>
      </c>
      <c r="AO2" t="e">
        <f>Overview!229:229-"AM:!&amp;D"</f>
        <v>#VALUE!</v>
      </c>
      <c r="AP2" t="e">
        <f>Overview!230:230-"AM:!&amp;E"</f>
        <v>#VALUE!</v>
      </c>
      <c r="AQ2" t="e">
        <f>Overview!231:231-"AM:!&amp;F"</f>
        <v>#VALUE!</v>
      </c>
      <c r="AR2" t="e">
        <f>Overview!232:232-"AM:!&amp;G"</f>
        <v>#VALUE!</v>
      </c>
      <c r="AS2" t="e">
        <f>Overview!233:233-"AM:!&amp;H"</f>
        <v>#VALUE!</v>
      </c>
      <c r="AT2" t="e">
        <f>Overview!234:234-"AM:!&amp;I"</f>
        <v>#VALUE!</v>
      </c>
      <c r="AU2" t="e">
        <f>Overview!235:235-"AM:!&amp;J"</f>
        <v>#VALUE!</v>
      </c>
      <c r="AV2" t="e">
        <f>Overview!236:236-"AM:!&amp;K"</f>
        <v>#VALUE!</v>
      </c>
      <c r="AW2" t="e">
        <f>Overview!237:237-"AM:!&amp;L"</f>
        <v>#VALUE!</v>
      </c>
      <c r="AX2" t="e">
        <f>Overview!238:238-"AM:!&amp;M"</f>
        <v>#VALUE!</v>
      </c>
      <c r="AY2" t="e">
        <f>Overview!239:239-"AM:!&amp;N"</f>
        <v>#VALUE!</v>
      </c>
      <c r="AZ2" t="e">
        <f>Overview!A1+"AM:!&amp;O"</f>
        <v>#VALUE!</v>
      </c>
      <c r="BA2" t="e">
        <f>Overview!B1+"AM:!&amp;P"</f>
        <v>#VALUE!</v>
      </c>
      <c r="BB2" t="e">
        <f>Overview!C1+"AM:!&amp;Q"</f>
        <v>#VALUE!</v>
      </c>
      <c r="BC2" t="e">
        <f>Overview!D1+"AM:!&amp;R"</f>
        <v>#VALUE!</v>
      </c>
      <c r="BD2" t="e">
        <f>Overview!E1+"AM:!&amp;S"</f>
        <v>#VALUE!</v>
      </c>
      <c r="BE2" t="e">
        <f>Overview!N1+"AM:!&amp;T"</f>
        <v>#VALUE!</v>
      </c>
      <c r="BF2" t="e">
        <f>Overview!A2+"AM:!&amp;U"</f>
        <v>#VALUE!</v>
      </c>
      <c r="BG2" t="e">
        <f>Overview!B2+"AM:!&amp;V"</f>
        <v>#VALUE!</v>
      </c>
      <c r="BH2" t="e">
        <f>Overview!C2+"AM:!&amp;W"</f>
        <v>#VALUE!</v>
      </c>
      <c r="BI2" t="e">
        <f>Overview!D2+"AM:!&amp;X"</f>
        <v>#VALUE!</v>
      </c>
      <c r="BJ2" t="e">
        <f>Overview!E2+"AM:!&amp;Y"</f>
        <v>#VALUE!</v>
      </c>
      <c r="BK2" t="e">
        <f>Overview!G2+"AM:!&amp;Z"</f>
        <v>#VALUE!</v>
      </c>
      <c r="BL2" t="e">
        <f>Overview!N2+"AM:!&amp;["</f>
        <v>#VALUE!</v>
      </c>
      <c r="BM2" t="e">
        <f>Overview!G3+"AM:!&amp;\"</f>
        <v>#VALUE!</v>
      </c>
      <c r="BN2" t="e">
        <f>Overview!N3+"AM:!&amp;]"</f>
        <v>#VALUE!</v>
      </c>
      <c r="BO2" t="e">
        <f>Overview!A4+"AM:!&amp;^"</f>
        <v>#VALUE!</v>
      </c>
      <c r="BP2" t="e">
        <f>Overview!B4+"AM:!&amp;_"</f>
        <v>#VALUE!</v>
      </c>
      <c r="BQ2" t="e">
        <f>Overview!C4+"AM:!&amp;`"</f>
        <v>#VALUE!</v>
      </c>
      <c r="BR2" t="e">
        <f>Overview!D4+"AM:!&amp;a"</f>
        <v>#VALUE!</v>
      </c>
      <c r="BS2" t="e">
        <f>Overview!E4+"AM:!&amp;b"</f>
        <v>#VALUE!</v>
      </c>
      <c r="BT2" t="e">
        <f>Overview!F4+"AM:!&amp;c"</f>
        <v>#VALUE!</v>
      </c>
      <c r="BU2" t="e">
        <f>Overview!G4+"AM:!&amp;d"</f>
        <v>#VALUE!</v>
      </c>
      <c r="BV2" t="e">
        <f>Overview!H4+"AM:!&amp;e"</f>
        <v>#VALUE!</v>
      </c>
      <c r="BW2" t="e">
        <f>Overview!I4+"AM:!&amp;f"</f>
        <v>#VALUE!</v>
      </c>
      <c r="BX2" t="e">
        <f>Overview!J4+"AM:!&amp;g"</f>
        <v>#VALUE!</v>
      </c>
      <c r="BY2" t="e">
        <f>Overview!N4+"AM:!&amp;h"</f>
        <v>#VALUE!</v>
      </c>
      <c r="BZ2" t="e">
        <f>Overview!A5+"AM:!&amp;i"</f>
        <v>#VALUE!</v>
      </c>
      <c r="CA2" t="e">
        <f>Overview!B5+"AM:!&amp;j"</f>
        <v>#VALUE!</v>
      </c>
      <c r="CB2" t="e">
        <f>Overview!C5+"AM:!&amp;k"</f>
        <v>#VALUE!</v>
      </c>
      <c r="CC2" t="e">
        <f>Overview!D5+"AM:!&amp;l"</f>
        <v>#VALUE!</v>
      </c>
      <c r="CD2" t="e">
        <f>Overview!E5+"AM:!&amp;m"</f>
        <v>#VALUE!</v>
      </c>
      <c r="CE2" t="e">
        <f>Overview!F5+"AM:!&amp;n"</f>
        <v>#VALUE!</v>
      </c>
      <c r="CF2" t="e">
        <f>Overview!G5+"AM:!&amp;o"</f>
        <v>#VALUE!</v>
      </c>
      <c r="CG2" t="e">
        <f>Overview!H5+"AM:!&amp;p"</f>
        <v>#VALUE!</v>
      </c>
      <c r="CH2" t="e">
        <f>Overview!I5+"AM:!&amp;q"</f>
        <v>#VALUE!</v>
      </c>
      <c r="CI2" t="e">
        <f>Overview!J5+"AM:!&amp;r"</f>
        <v>#VALUE!</v>
      </c>
      <c r="CJ2" t="e">
        <f>Overview!K5+"AM:!&amp;s"</f>
        <v>#VALUE!</v>
      </c>
      <c r="CK2" t="e">
        <f>Overview!L5+"AM:!&amp;t"</f>
        <v>#VALUE!</v>
      </c>
      <c r="CL2" t="e">
        <f>Overview!M5+"AM:!&amp;u"</f>
        <v>#VALUE!</v>
      </c>
      <c r="CM2" t="e">
        <f>Overview!N5+"AM:!&amp;v"</f>
        <v>#VALUE!</v>
      </c>
      <c r="CN2" t="e">
        <f>Overview!A6+"AM:!&amp;w"</f>
        <v>#VALUE!</v>
      </c>
      <c r="CO2" t="e">
        <f>Overview!B6+"AM:!&amp;x"</f>
        <v>#VALUE!</v>
      </c>
      <c r="CP2" t="e">
        <f>Overview!C6+"AM:!&amp;y"</f>
        <v>#VALUE!</v>
      </c>
      <c r="CQ2" t="e">
        <f>Overview!D6+"AM:!&amp;z"</f>
        <v>#VALUE!</v>
      </c>
      <c r="CR2" t="e">
        <f>Overview!E6+"AM:!&amp;{"</f>
        <v>#VALUE!</v>
      </c>
      <c r="CS2" t="e">
        <f>Overview!F6+"AM:!&amp;|"</f>
        <v>#VALUE!</v>
      </c>
      <c r="CT2" t="e">
        <f>Overview!G6+"AM:!&amp;}"</f>
        <v>#VALUE!</v>
      </c>
      <c r="CU2" t="e">
        <f>Overview!H6+"AM:!&amp;~"</f>
        <v>#VALUE!</v>
      </c>
      <c r="CV2" t="e">
        <f>Overview!I6+"AM:!'#"</f>
        <v>#VALUE!</v>
      </c>
      <c r="CW2" t="e">
        <f>Overview!J6+"AM:!'$"</f>
        <v>#VALUE!</v>
      </c>
      <c r="CX2" t="e">
        <f>Overview!K6+"AM:!'%"</f>
        <v>#VALUE!</v>
      </c>
      <c r="CY2" t="e">
        <f>Overview!L6+"AM:!'&amp;"</f>
        <v>#VALUE!</v>
      </c>
      <c r="CZ2" t="e">
        <f>Overview!M6+"AM:!''"</f>
        <v>#VALUE!</v>
      </c>
      <c r="DA2" t="e">
        <f>Overview!N6+"AM:!'("</f>
        <v>#VALUE!</v>
      </c>
      <c r="DB2" t="e">
        <f>Overview!A7+"AM:!')"</f>
        <v>#VALUE!</v>
      </c>
      <c r="DC2" t="e">
        <f>Overview!B7+"AM:!'."</f>
        <v>#VALUE!</v>
      </c>
      <c r="DD2" t="e">
        <f>Overview!C7+"AM:!'/"</f>
        <v>#VALUE!</v>
      </c>
      <c r="DE2" t="e">
        <f>Overview!D7+"AM:!'0"</f>
        <v>#VALUE!</v>
      </c>
      <c r="DF2" t="e">
        <f>Overview!E7+"AM:!'1"</f>
        <v>#VALUE!</v>
      </c>
      <c r="DG2" t="e">
        <f>Overview!F7+"AM:!'2"</f>
        <v>#VALUE!</v>
      </c>
      <c r="DH2" t="e">
        <f>Overview!G7+"AM:!'3"</f>
        <v>#VALUE!</v>
      </c>
      <c r="DI2" t="e">
        <f>Overview!H7+"AM:!'4"</f>
        <v>#VALUE!</v>
      </c>
      <c r="DJ2" t="e">
        <f>Overview!I7+"AM:!'5"</f>
        <v>#VALUE!</v>
      </c>
      <c r="DK2" t="e">
        <f>Overview!J7+"AM:!'6"</f>
        <v>#VALUE!</v>
      </c>
      <c r="DL2" t="e">
        <f>Overview!K7+"AM:!'7"</f>
        <v>#VALUE!</v>
      </c>
      <c r="DM2" t="e">
        <f>Overview!L7+"AM:!'8"</f>
        <v>#VALUE!</v>
      </c>
      <c r="DN2" t="e">
        <f>Overview!M7+"AM:!'9"</f>
        <v>#VALUE!</v>
      </c>
      <c r="DO2" t="e">
        <f>Overview!N7+"AM:!':"</f>
        <v>#VALUE!</v>
      </c>
      <c r="DP2" t="e">
        <f>Overview!A8+"AM:!';"</f>
        <v>#VALUE!</v>
      </c>
      <c r="DQ2" t="e">
        <f>Overview!B8+"AM:!'&lt;"</f>
        <v>#VALUE!</v>
      </c>
      <c r="DR2" s="98" t="e">
        <f>Overview!C8+"AM:!'="</f>
        <v>#VALUE!</v>
      </c>
      <c r="DS2" s="98" t="e">
        <f>Overview!D8+"AM:!'&gt;"</f>
        <v>#VALUE!</v>
      </c>
      <c r="DT2" t="e">
        <f>Overview!E8+"AM:!'?"</f>
        <v>#VALUE!</v>
      </c>
      <c r="DU2" t="e">
        <f>Overview!F8+"AM:!'@"</f>
        <v>#VALUE!</v>
      </c>
      <c r="DV2" t="e">
        <f>Overview!G8+"AM:!'A"</f>
        <v>#VALUE!</v>
      </c>
      <c r="DW2" t="e">
        <f>Overview!H8+"AM:!'B"</f>
        <v>#VALUE!</v>
      </c>
      <c r="DX2" t="e">
        <f>Overview!I8+"AM:!'C"</f>
        <v>#VALUE!</v>
      </c>
      <c r="DY2" t="e">
        <f>Overview!J8+"AM:!'D"</f>
        <v>#VALUE!</v>
      </c>
      <c r="DZ2" t="e">
        <f>Overview!K8+"AM:!'E"</f>
        <v>#VALUE!</v>
      </c>
      <c r="EA2" t="e">
        <f>Overview!L8+"AM:!'F"</f>
        <v>#VALUE!</v>
      </c>
      <c r="EB2" t="e">
        <f>Overview!M8+"AM:!'G"</f>
        <v>#VALUE!</v>
      </c>
      <c r="EC2" t="e">
        <f>Overview!N8+"AM:!'H"</f>
        <v>#VALUE!</v>
      </c>
      <c r="ED2" t="e">
        <f>Overview!A9+"AM:!'I"</f>
        <v>#VALUE!</v>
      </c>
      <c r="EE2" t="e">
        <f>Overview!B9+"AM:!'J"</f>
        <v>#VALUE!</v>
      </c>
      <c r="EF2" s="98" t="e">
        <f>Overview!C9+"AM:!'K"</f>
        <v>#VALUE!</v>
      </c>
      <c r="EG2" s="98" t="e">
        <f>Overview!D9+"AM:!'L"</f>
        <v>#VALUE!</v>
      </c>
      <c r="EH2" t="e">
        <f>Overview!E9+"AM:!'M"</f>
        <v>#VALUE!</v>
      </c>
      <c r="EI2" t="e">
        <f>Overview!F9+"AM:!'N"</f>
        <v>#VALUE!</v>
      </c>
      <c r="EJ2" t="e">
        <f>Overview!G9+"AM:!'O"</f>
        <v>#VALUE!</v>
      </c>
      <c r="EK2" t="e">
        <f>Overview!H9+"AM:!'P"</f>
        <v>#VALUE!</v>
      </c>
      <c r="EL2" t="e">
        <f>Overview!I9+"AM:!'Q"</f>
        <v>#VALUE!</v>
      </c>
      <c r="EM2" t="e">
        <f>Overview!J9+"AM:!'R"</f>
        <v>#VALUE!</v>
      </c>
      <c r="EN2" t="e">
        <f>Overview!K9+"AM:!'S"</f>
        <v>#VALUE!</v>
      </c>
      <c r="EO2" t="e">
        <f>Overview!L9+"AM:!'T"</f>
        <v>#VALUE!</v>
      </c>
      <c r="EP2" t="e">
        <f>Overview!M9+"AM:!'U"</f>
        <v>#VALUE!</v>
      </c>
      <c r="EQ2" t="e">
        <f>Overview!N9+"AM:!'V"</f>
        <v>#VALUE!</v>
      </c>
      <c r="ER2" t="e">
        <f>Overview!A10+"AM:!'W"</f>
        <v>#VALUE!</v>
      </c>
      <c r="ES2" s="98" t="e">
        <f>Overview!B10+"AM:!'X"</f>
        <v>#VALUE!</v>
      </c>
      <c r="ET2" s="98" t="e">
        <f>Overview!C10+"AM:!'Y"</f>
        <v>#VALUE!</v>
      </c>
      <c r="EU2" t="e">
        <f>Overview!D10+"AM:!'Z"</f>
        <v>#VALUE!</v>
      </c>
      <c r="EV2" t="e">
        <f>Overview!E10+"AM:!'["</f>
        <v>#VALUE!</v>
      </c>
      <c r="EW2" t="e">
        <f>Overview!F10+"AM:!'\"</f>
        <v>#VALUE!</v>
      </c>
      <c r="EX2" t="e">
        <f>Overview!G10+"AM:!']"</f>
        <v>#VALUE!</v>
      </c>
      <c r="EY2" t="e">
        <f>Overview!H10+"AM:!'^"</f>
        <v>#VALUE!</v>
      </c>
      <c r="EZ2" t="e">
        <f>Overview!I10+"AM:!'_"</f>
        <v>#VALUE!</v>
      </c>
      <c r="FA2" t="e">
        <f>Overview!J10+"AM:!'`"</f>
        <v>#VALUE!</v>
      </c>
      <c r="FB2" t="e">
        <f>Overview!N10+"AM:!'a"</f>
        <v>#VALUE!</v>
      </c>
      <c r="FC2" t="e">
        <f>Overview!A11+"AM:!'b"</f>
        <v>#VALUE!</v>
      </c>
      <c r="FD2" t="e">
        <f>Overview!B11+"AM:!'c"</f>
        <v>#VALUE!</v>
      </c>
      <c r="FE2" t="e">
        <f>Overview!C11+"AM:!'d"</f>
        <v>#VALUE!</v>
      </c>
      <c r="FF2" t="e">
        <f>Overview!D11+"AM:!'e"</f>
        <v>#VALUE!</v>
      </c>
      <c r="FG2" t="e">
        <f>Overview!E11+"AM:!'f"</f>
        <v>#VALUE!</v>
      </c>
      <c r="FH2" t="e">
        <f>Overview!F11+"AM:!'g"</f>
        <v>#VALUE!</v>
      </c>
      <c r="FI2" t="e">
        <f>Overview!G11+"AM:!'h"</f>
        <v>#VALUE!</v>
      </c>
      <c r="FJ2" t="e">
        <f>Overview!H11+"AM:!'i"</f>
        <v>#VALUE!</v>
      </c>
      <c r="FK2" t="e">
        <f>Overview!I11+"AM:!'j"</f>
        <v>#VALUE!</v>
      </c>
      <c r="FL2" t="e">
        <f>Overview!J11+"AM:!'k"</f>
        <v>#VALUE!</v>
      </c>
      <c r="FM2" t="e">
        <f>Overview!K11+"AM:!'l"</f>
        <v>#VALUE!</v>
      </c>
      <c r="FN2" t="e">
        <f>Overview!L11+"AM:!'m"</f>
        <v>#VALUE!</v>
      </c>
      <c r="FO2" t="e">
        <f>Overview!N11+"AM:!'n"</f>
        <v>#VALUE!</v>
      </c>
      <c r="FP2" t="e">
        <f>Overview!A12+"AM:!'o"</f>
        <v>#VALUE!</v>
      </c>
      <c r="FQ2" t="e">
        <f>Overview!B12+"AM:!'p"</f>
        <v>#VALUE!</v>
      </c>
      <c r="FR2" t="e">
        <f>Overview!C12+"AM:!'q"</f>
        <v>#VALUE!</v>
      </c>
      <c r="FS2" t="e">
        <f>Overview!D12+"AM:!'r"</f>
        <v>#VALUE!</v>
      </c>
      <c r="FT2" t="e">
        <f>Overview!E12+"AM:!'s"</f>
        <v>#VALUE!</v>
      </c>
      <c r="FU2" t="e">
        <f ca="1">Overview!F12+"AM:!'t"</f>
        <v>#VALUE!</v>
      </c>
      <c r="FV2" t="e">
        <f>Overview!G12+"AM:!'u"</f>
        <v>#VALUE!</v>
      </c>
      <c r="FW2" t="e">
        <f>Overview!H12+"AM:!'v"</f>
        <v>#VALUE!</v>
      </c>
      <c r="FX2" t="e">
        <f>Overview!I12+"AM:!'w"</f>
        <v>#VALUE!</v>
      </c>
      <c r="FY2" t="e">
        <f>Overview!J12+"AM:!'x"</f>
        <v>#VALUE!</v>
      </c>
      <c r="FZ2" t="e">
        <f>Overview!K12+"AM:!'y"</f>
        <v>#VALUE!</v>
      </c>
      <c r="GA2" t="e">
        <f>Overview!L12+"AM:!'z"</f>
        <v>#VALUE!</v>
      </c>
      <c r="GB2" t="e">
        <f>Overview!N12+"AM:!'{"</f>
        <v>#VALUE!</v>
      </c>
      <c r="GC2" t="e">
        <f>Overview!A19+"AM:!'|"</f>
        <v>#VALUE!</v>
      </c>
      <c r="GD2" s="98" t="e">
        <f>Overview!B19+"AM:!'}"</f>
        <v>#VALUE!</v>
      </c>
      <c r="GE2" s="98" t="e">
        <f>Overview!C19+"AM:!'~"</f>
        <v>#VALUE!</v>
      </c>
      <c r="GF2" t="e">
        <f>Overview!D19+"AM:!(#"</f>
        <v>#VALUE!</v>
      </c>
      <c r="GG2" t="e">
        <f>Overview!E19+"AM:!($"</f>
        <v>#VALUE!</v>
      </c>
      <c r="GH2" t="e">
        <f>Overview!F19+"AM:!(%"</f>
        <v>#VALUE!</v>
      </c>
      <c r="GI2" t="e">
        <f>Overview!G19+"AM:!(&amp;"</f>
        <v>#VALUE!</v>
      </c>
      <c r="GJ2" t="e">
        <f>Overview!H19+"AM:!('"</f>
        <v>#VALUE!</v>
      </c>
      <c r="GK2" t="e">
        <f>Overview!I19+"AM:!(("</f>
        <v>#VALUE!</v>
      </c>
      <c r="GL2" t="e">
        <f>Overview!J19+"AM:!()"</f>
        <v>#VALUE!</v>
      </c>
      <c r="GM2" t="e">
        <f>Overview!N19+"AM:!(."</f>
        <v>#VALUE!</v>
      </c>
      <c r="GN2" t="e">
        <f>Overview!A20+"AM:!(/"</f>
        <v>#VALUE!</v>
      </c>
      <c r="GO2" s="98" t="e">
        <f>Overview!B20+"AM:!(0"</f>
        <v>#VALUE!</v>
      </c>
      <c r="GP2" s="98" t="e">
        <f>Overview!C20+"AM:!(1"</f>
        <v>#VALUE!</v>
      </c>
      <c r="GQ2" t="e">
        <f>Overview!D20+"AM:!(2"</f>
        <v>#VALUE!</v>
      </c>
      <c r="GR2" t="e">
        <f>Overview!E20+"AM:!(3"</f>
        <v>#VALUE!</v>
      </c>
      <c r="GS2" t="e">
        <f>Overview!F20+"AM:!(4"</f>
        <v>#VALUE!</v>
      </c>
      <c r="GT2" t="e">
        <f>Overview!G20+"AM:!(5"</f>
        <v>#VALUE!</v>
      </c>
      <c r="GU2" t="e">
        <f>Overview!H20+"AM:!(6"</f>
        <v>#VALUE!</v>
      </c>
      <c r="GV2" t="e">
        <f>Overview!I20+"AM:!(7"</f>
        <v>#VALUE!</v>
      </c>
      <c r="GW2" t="e">
        <f>Overview!J20+"AM:!(8"</f>
        <v>#VALUE!</v>
      </c>
      <c r="GX2" t="e">
        <f>Overview!N20+"AM:!(9"</f>
        <v>#VALUE!</v>
      </c>
      <c r="GY2" t="e">
        <f>Overview!A21+"AM:!(:"</f>
        <v>#VALUE!</v>
      </c>
      <c r="GZ2" s="98" t="e">
        <f>Overview!B21+"AM:!(;"</f>
        <v>#VALUE!</v>
      </c>
      <c r="HA2" s="98" t="e">
        <f>Overview!C21+"AM:!(&lt;"</f>
        <v>#VALUE!</v>
      </c>
      <c r="HB2" t="e">
        <f>Overview!D21+"AM:!(="</f>
        <v>#VALUE!</v>
      </c>
      <c r="HC2" t="e">
        <f>Overview!E21+"AM:!(&gt;"</f>
        <v>#VALUE!</v>
      </c>
      <c r="HD2" t="e">
        <f>Overview!F21+"AM:!(?"</f>
        <v>#VALUE!</v>
      </c>
      <c r="HE2" t="e">
        <f>Overview!G21+"AM:!(@"</f>
        <v>#VALUE!</v>
      </c>
      <c r="HF2" t="e">
        <f>Overview!H21+"AM:!(A"</f>
        <v>#VALUE!</v>
      </c>
      <c r="HG2" t="e">
        <f>Overview!I21+"AM:!(B"</f>
        <v>#VALUE!</v>
      </c>
      <c r="HH2" t="e">
        <f>Overview!J21+"AM:!(C"</f>
        <v>#VALUE!</v>
      </c>
      <c r="HI2" t="e">
        <f>Overview!N21+"AM:!(D"</f>
        <v>#VALUE!</v>
      </c>
      <c r="HJ2" t="e">
        <f>Overview!A22+"AM:!(E"</f>
        <v>#VALUE!</v>
      </c>
      <c r="HK2" s="98" t="e">
        <f>Overview!B22+"AM:!(F"</f>
        <v>#VALUE!</v>
      </c>
      <c r="HL2" s="98" t="e">
        <f>Overview!C22+"AM:!(G"</f>
        <v>#VALUE!</v>
      </c>
      <c r="HM2" t="e">
        <f>Overview!D22+"AM:!(H"</f>
        <v>#VALUE!</v>
      </c>
      <c r="HN2" t="e">
        <f>Overview!E22+"AM:!(I"</f>
        <v>#VALUE!</v>
      </c>
      <c r="HO2" t="e">
        <f>Overview!F22+"AM:!(J"</f>
        <v>#VALUE!</v>
      </c>
      <c r="HP2" t="e">
        <f>Overview!G22+"AM:!(K"</f>
        <v>#VALUE!</v>
      </c>
      <c r="HQ2" t="e">
        <f>Overview!H22+"AM:!(L"</f>
        <v>#VALUE!</v>
      </c>
      <c r="HR2" t="e">
        <f>Overview!I22+"AM:!(M"</f>
        <v>#VALUE!</v>
      </c>
      <c r="HS2" t="e">
        <f>Overview!J22+"AM:!(N"</f>
        <v>#VALUE!</v>
      </c>
      <c r="HT2" t="e">
        <f>Overview!N22+"AM:!(O"</f>
        <v>#VALUE!</v>
      </c>
      <c r="HU2" s="98" t="e">
        <f>Overview!B23+"AM:!(P"</f>
        <v>#VALUE!</v>
      </c>
      <c r="HV2" s="98" t="e">
        <f>Overview!C23+"AM:!(Q"</f>
        <v>#VALUE!</v>
      </c>
      <c r="HW2" t="e">
        <f>Overview!D23+"AM:!(R"</f>
        <v>#VALUE!</v>
      </c>
      <c r="HX2" t="e">
        <f>Overview!E23+"AM:!(S"</f>
        <v>#VALUE!</v>
      </c>
      <c r="HY2" t="e">
        <f>Overview!F23+"AM:!(T"</f>
        <v>#VALUE!</v>
      </c>
      <c r="HZ2" t="e">
        <f>Overview!G23+"AM:!(U"</f>
        <v>#VALUE!</v>
      </c>
      <c r="IA2" t="e">
        <f>Overview!H23+"AM:!(V"</f>
        <v>#VALUE!</v>
      </c>
      <c r="IB2" t="e">
        <f>Overview!N23+"AM:!(W"</f>
        <v>#VALUE!</v>
      </c>
      <c r="IC2" s="98" t="e">
        <f>Overview!B24+"AM:!(X"</f>
        <v>#VALUE!</v>
      </c>
      <c r="ID2" s="98" t="e">
        <f>Overview!C24+"AM:!(Y"</f>
        <v>#VALUE!</v>
      </c>
      <c r="IE2" t="e">
        <f>Overview!D24+"AM:!(Z"</f>
        <v>#VALUE!</v>
      </c>
      <c r="IF2" t="e">
        <f>Overview!E24+"AM:!(["</f>
        <v>#VALUE!</v>
      </c>
      <c r="IG2" t="e">
        <f>Overview!F24+"AM:!(\"</f>
        <v>#VALUE!</v>
      </c>
      <c r="IH2" t="e">
        <f>Overview!G24+"AM:!(]"</f>
        <v>#VALUE!</v>
      </c>
      <c r="II2" t="e">
        <f>Overview!H24+"AM:!(^"</f>
        <v>#VALUE!</v>
      </c>
      <c r="IJ2" t="e">
        <f>Overview!N24+"AM:!(_"</f>
        <v>#VALUE!</v>
      </c>
      <c r="IK2" s="98" t="e">
        <f>Overview!B25+"AM:!(`"</f>
        <v>#VALUE!</v>
      </c>
      <c r="IL2" s="98" t="e">
        <f>Overview!C25+"AM:!(a"</f>
        <v>#VALUE!</v>
      </c>
      <c r="IM2" t="e">
        <f>Overview!D25+"AM:!(b"</f>
        <v>#VALUE!</v>
      </c>
      <c r="IN2" t="e">
        <f>Overview!E25+"AM:!(c"</f>
        <v>#VALUE!</v>
      </c>
      <c r="IO2" t="e">
        <f>Overview!F25+"AM:!(d"</f>
        <v>#VALUE!</v>
      </c>
      <c r="IP2" t="e">
        <f>Overview!G25+"AM:!(e"</f>
        <v>#VALUE!</v>
      </c>
      <c r="IQ2" t="e">
        <f>Overview!H25+"AM:!(f"</f>
        <v>#VALUE!</v>
      </c>
      <c r="IR2" t="e">
        <f>Overview!N25+"AM:!(g"</f>
        <v>#VALUE!</v>
      </c>
      <c r="IS2" s="98" t="e">
        <f>Overview!B26+"AM:!(h"</f>
        <v>#VALUE!</v>
      </c>
      <c r="IT2" s="98" t="e">
        <f>Overview!C26+"AM:!(i"</f>
        <v>#VALUE!</v>
      </c>
      <c r="IU2" t="e">
        <f>Overview!D26+"AM:!(j"</f>
        <v>#VALUE!</v>
      </c>
      <c r="IV2" t="e">
        <f>Overview!E26+"AM:!(k"</f>
        <v>#VALUE!</v>
      </c>
    </row>
    <row r="3" spans="1:256">
      <c r="A3" t="s">
        <v>1406</v>
      </c>
      <c r="F3" t="e">
        <f>Overview!F26+"AM:!(l"</f>
        <v>#VALUE!</v>
      </c>
      <c r="G3" t="e">
        <f>Overview!G26+"AM:!(m"</f>
        <v>#VALUE!</v>
      </c>
      <c r="H3" t="e">
        <f>Overview!H26+"AM:!(n"</f>
        <v>#VALUE!</v>
      </c>
      <c r="I3" t="e">
        <f>Overview!N26+"AM:!(o"</f>
        <v>#VALUE!</v>
      </c>
      <c r="J3" s="98" t="e">
        <f>Overview!B27+"AM:!(p"</f>
        <v>#VALUE!</v>
      </c>
      <c r="K3" s="98" t="e">
        <f>Overview!C27+"AM:!(q"</f>
        <v>#VALUE!</v>
      </c>
      <c r="L3" t="e">
        <f>Overview!D27+"AM:!(r"</f>
        <v>#VALUE!</v>
      </c>
      <c r="M3" t="e">
        <f>Overview!E27+"AM:!(s"</f>
        <v>#VALUE!</v>
      </c>
      <c r="N3" t="e">
        <f>Overview!F27+"AM:!(t"</f>
        <v>#VALUE!</v>
      </c>
      <c r="O3" t="e">
        <f>Overview!G27+"AM:!(u"</f>
        <v>#VALUE!</v>
      </c>
      <c r="P3" t="e">
        <f>Overview!H27+"AM:!(v"</f>
        <v>#VALUE!</v>
      </c>
      <c r="Q3" t="e">
        <f>Overview!N27+"AM:!(w"</f>
        <v>#VALUE!</v>
      </c>
      <c r="R3" s="98" t="e">
        <f>Overview!B28+"AM:!(x"</f>
        <v>#VALUE!</v>
      </c>
      <c r="S3" s="98" t="e">
        <f>Overview!C28+"AM:!(y"</f>
        <v>#VALUE!</v>
      </c>
      <c r="T3" t="e">
        <f>Overview!D28+"AM:!(z"</f>
        <v>#VALUE!</v>
      </c>
      <c r="U3" t="e">
        <f>Overview!E28+"AM:!({"</f>
        <v>#VALUE!</v>
      </c>
      <c r="V3" t="e">
        <f>Overview!F28+"AM:!(|"</f>
        <v>#VALUE!</v>
      </c>
      <c r="W3" t="e">
        <f>Overview!G28+"AM:!(}"</f>
        <v>#VALUE!</v>
      </c>
      <c r="X3" t="e">
        <f>Overview!H28+"AM:!(~"</f>
        <v>#VALUE!</v>
      </c>
      <c r="Y3" t="e">
        <f>Overview!N28+"AM:!)#"</f>
        <v>#VALUE!</v>
      </c>
      <c r="Z3" t="e">
        <f>Overview!N29+"AM:!)$"</f>
        <v>#VALUE!</v>
      </c>
      <c r="AA3" t="e">
        <f>Overview!N30+"AM:!)%"</f>
        <v>#VALUE!</v>
      </c>
      <c r="AB3" t="e">
        <f>Overview!N31+"AM:!)&amp;"</f>
        <v>#VALUE!</v>
      </c>
      <c r="AC3" t="e">
        <f>Overview!N32+"AM:!)'"</f>
        <v>#VALUE!</v>
      </c>
      <c r="AD3" t="e">
        <f>Overview!N33+"AM:!)("</f>
        <v>#VALUE!</v>
      </c>
      <c r="AE3" t="e">
        <f>Overview!N34+"AM:!))"</f>
        <v>#VALUE!</v>
      </c>
      <c r="AF3" t="e">
        <f>Overview!N35+"AM:!)."</f>
        <v>#VALUE!</v>
      </c>
      <c r="AG3" t="e">
        <f>Overview!N36+"AM:!)/"</f>
        <v>#VALUE!</v>
      </c>
      <c r="AH3" t="e">
        <f>Overview!N37+"AM:!)0"</f>
        <v>#VALUE!</v>
      </c>
      <c r="AI3" t="e">
        <f>Overview!N38+"AM:!)1"</f>
        <v>#VALUE!</v>
      </c>
      <c r="AJ3" t="e">
        <f>Overview!N39+"AM:!)2"</f>
        <v>#VALUE!</v>
      </c>
      <c r="AK3" t="e">
        <f>'Master Data'!A:A*"AM:!)7"</f>
        <v>#VALUE!</v>
      </c>
      <c r="AL3" t="e">
        <f>'Master Data'!B:B*"AM:!)8"</f>
        <v>#VALUE!</v>
      </c>
      <c r="AM3" t="e">
        <f>'Master Data'!C:C*"AM:!)9"</f>
        <v>#VALUE!</v>
      </c>
      <c r="AN3" t="e">
        <f>'Master Data'!D:D*"AM:!):"</f>
        <v>#VALUE!</v>
      </c>
      <c r="AO3" t="e">
        <f>'Master Data'!E:E*"AM:!);"</f>
        <v>#VALUE!</v>
      </c>
      <c r="AP3" t="e">
        <f>'Master Data'!F:F*"AM:!)&lt;"</f>
        <v>#VALUE!</v>
      </c>
      <c r="AQ3" t="e">
        <f>'Master Data'!G:G*"AM:!)="</f>
        <v>#VALUE!</v>
      </c>
      <c r="AR3" t="e">
        <f>'Master Data'!I:I*"AM:!)&gt;"</f>
        <v>#VALUE!</v>
      </c>
      <c r="AS3" t="e">
        <f>'Master Data'!J:J*"AM:!)?"</f>
        <v>#VALUE!</v>
      </c>
      <c r="AT3" t="e">
        <f>'Master Data'!K:K*"AM:!)@"</f>
        <v>#VALUE!</v>
      </c>
      <c r="AU3" t="e">
        <f>'Master Data'!L:L*"AM:!)A"</f>
        <v>#VALUE!</v>
      </c>
      <c r="AV3" t="e">
        <f>'Master Data'!M:M*"AM:!)B"</f>
        <v>#VALUE!</v>
      </c>
      <c r="AW3" t="e">
        <f>'Master Data'!N:N*"AM:!)C"</f>
        <v>#VALUE!</v>
      </c>
      <c r="AX3" t="e">
        <f>'Master Data'!O:O*"AM:!)D"</f>
        <v>#VALUE!</v>
      </c>
      <c r="AY3" t="e">
        <f>'Master Data'!P:P*"AM:!)E"</f>
        <v>#VALUE!</v>
      </c>
      <c r="AZ3" t="e">
        <f>'Master Data'!Q:Q*"AM:!)F"</f>
        <v>#VALUE!</v>
      </c>
      <c r="BA3" t="e">
        <f>'Master Data'!R:R*"AM:!)G"</f>
        <v>#VALUE!</v>
      </c>
      <c r="BB3" t="e">
        <f>'Master Data'!S:S*"AM:!)H"</f>
        <v>#VALUE!</v>
      </c>
      <c r="BC3" t="e">
        <f>'Master Data'!T:T*"AM:!)I"</f>
        <v>#VALUE!</v>
      </c>
      <c r="BD3" t="e">
        <f>'Master Data'!U:U*"AM:!)J"</f>
        <v>#VALUE!</v>
      </c>
      <c r="BE3" t="e">
        <f>'Master Data'!V:V*"AM:!)K"</f>
        <v>#VALUE!</v>
      </c>
      <c r="BF3" t="e">
        <f>'Master Data'!W:W*"AM:!)L"</f>
        <v>#VALUE!</v>
      </c>
      <c r="BG3" t="e">
        <f>'Master Data'!X:X*"AM:!)M"</f>
        <v>#VALUE!</v>
      </c>
      <c r="BH3" t="e">
        <f>'Master Data'!Y:Y*"AM:!)N"</f>
        <v>#VALUE!</v>
      </c>
      <c r="BI3" t="e">
        <f>'Master Data'!Z:Z*"AM:!)O"</f>
        <v>#VALUE!</v>
      </c>
      <c r="BJ3" t="e">
        <f>'Master Data'!AA:AA*"AM:!)P"</f>
        <v>#VALUE!</v>
      </c>
      <c r="BK3" t="e">
        <f>'Master Data'!AB:AB*"AM:!)Q"</f>
        <v>#VALUE!</v>
      </c>
      <c r="BL3" t="e">
        <f>'Master Data'!AC:AC*"AM:!)R"</f>
        <v>#VALUE!</v>
      </c>
      <c r="BM3" t="e">
        <f>'Master Data'!AD:AD*"AM:!)S"</f>
        <v>#VALUE!</v>
      </c>
      <c r="BN3" t="e">
        <f>'Master Data'!AE:AE*"AM:!)T"</f>
        <v>#VALUE!</v>
      </c>
      <c r="BO3" t="e">
        <f>'Master Data'!AF:AF*"AM:!)U"</f>
        <v>#VALUE!</v>
      </c>
      <c r="BP3" t="e">
        <f>'Master Data'!AG:AG*"AM:!)V"</f>
        <v>#VALUE!</v>
      </c>
      <c r="BQ3" t="e">
        <f>'Master Data'!AH:AH*"AM:!)W"</f>
        <v>#VALUE!</v>
      </c>
      <c r="BR3" t="e">
        <f>'Master Data'!AI:AI*"AM:!)X"</f>
        <v>#VALUE!</v>
      </c>
      <c r="BS3" t="e">
        <f>'Master Data'!AJ:AJ*"AM:!)Y"</f>
        <v>#VALUE!</v>
      </c>
      <c r="BT3" t="e">
        <f>'Master Data'!AK:AK*"AM:!)Z"</f>
        <v>#VALUE!</v>
      </c>
      <c r="BU3" t="e">
        <f>'Master Data'!AL:AL*"AM:!)["</f>
        <v>#VALUE!</v>
      </c>
      <c r="BV3" t="e">
        <f>'Master Data'!AM:AM*"AM:!)\"</f>
        <v>#VALUE!</v>
      </c>
      <c r="BW3" t="e">
        <f>'Master Data'!AN:AN*"AM:!)]"</f>
        <v>#VALUE!</v>
      </c>
      <c r="BX3" t="e">
        <f>'Master Data'!AO:AO*"AM:!)^"</f>
        <v>#VALUE!</v>
      </c>
      <c r="BY3" t="e">
        <f>'Master Data'!AP:AP*"AM:!)_"</f>
        <v>#VALUE!</v>
      </c>
      <c r="BZ3" t="e">
        <f>'Master Data'!AQ:AQ*"AM:!)`"</f>
        <v>#VALUE!</v>
      </c>
      <c r="CA3" t="e">
        <f>'Master Data'!AR:AR*"AM:!)a"</f>
        <v>#VALUE!</v>
      </c>
      <c r="CB3" t="e">
        <f>'Master Data'!AS:AS*"AM:!)b"</f>
        <v>#VALUE!</v>
      </c>
      <c r="CC3" t="e">
        <f>'Master Data'!AT:AT*"AM:!)c"</f>
        <v>#VALUE!</v>
      </c>
      <c r="CD3" t="e">
        <f>'Master Data'!AU:AU*"AM:!)d"</f>
        <v>#VALUE!</v>
      </c>
      <c r="CE3" t="e">
        <f>'Master Data'!AV:AV*"AM:!)e"</f>
        <v>#VALUE!</v>
      </c>
      <c r="CF3" t="e">
        <f>'Master Data'!AW:AW*"AM:!)f"</f>
        <v>#VALUE!</v>
      </c>
      <c r="CG3" t="e">
        <f>'Master Data'!AX:AX*"AM:!)g"</f>
        <v>#VALUE!</v>
      </c>
      <c r="CH3" t="e">
        <f>'Master Data'!AY:AY*"AM:!)h"</f>
        <v>#VALUE!</v>
      </c>
      <c r="CI3" t="e">
        <f>'Master Data'!AZ:AZ*"AM:!)i"</f>
        <v>#VALUE!</v>
      </c>
      <c r="CJ3" t="e">
        <f>'Master Data'!BA:BA*"AM:!)j"</f>
        <v>#VALUE!</v>
      </c>
      <c r="CK3" t="e">
        <f>'Master Data'!BB:BB*"AM:!)k"</f>
        <v>#VALUE!</v>
      </c>
      <c r="CL3" t="e">
        <f>'Master Data'!BC:BC*"AM:!)l"</f>
        <v>#VALUE!</v>
      </c>
      <c r="CM3" t="e">
        <f>'Master Data'!BD:BD*"AM:!)m"</f>
        <v>#VALUE!</v>
      </c>
      <c r="CN3" t="e">
        <f>'Master Data'!BE:BE*"AM:!)n"</f>
        <v>#VALUE!</v>
      </c>
      <c r="CO3" t="e">
        <f>'Master Data'!BF:BF*"AM:!)o"</f>
        <v>#VALUE!</v>
      </c>
      <c r="CP3" t="e">
        <f>'Master Data'!BG:BG*"AM:!)p"</f>
        <v>#VALUE!</v>
      </c>
      <c r="CQ3" t="e">
        <f>'Master Data'!BH:BH*"AM:!)q"</f>
        <v>#VALUE!</v>
      </c>
      <c r="CR3" t="e">
        <f>'Master Data'!BI:BI*"AM:!)r"</f>
        <v>#VALUE!</v>
      </c>
      <c r="CS3" t="e">
        <f>'Master Data'!BJ:BJ*"AM:!)s"</f>
        <v>#VALUE!</v>
      </c>
      <c r="CT3" t="e">
        <f>'Master Data'!BK:BK*"AM:!)t"</f>
        <v>#VALUE!</v>
      </c>
      <c r="CU3" t="e">
        <f>'Master Data'!BL:BL*"AM:!)u"</f>
        <v>#VALUE!</v>
      </c>
      <c r="CV3" t="e">
        <f>'Master Data'!BM:BM*"AM:!)v"</f>
        <v>#VALUE!</v>
      </c>
      <c r="CW3" t="e">
        <f>'Master Data'!BN:BN*"AM:!)w"</f>
        <v>#VALUE!</v>
      </c>
      <c r="CX3" t="e">
        <f>'Master Data'!BO:BO*"AM:!)x"</f>
        <v>#VALUE!</v>
      </c>
      <c r="CY3" t="e">
        <f>'Master Data'!BP:BP*"AM:!)y"</f>
        <v>#VALUE!</v>
      </c>
      <c r="CZ3" t="e">
        <f>'Master Data'!BQ:BQ*"AM:!)z"</f>
        <v>#VALUE!</v>
      </c>
      <c r="DA3" t="e">
        <f>'Master Data'!BR:BR*"AM:!){"</f>
        <v>#VALUE!</v>
      </c>
      <c r="DB3" t="e">
        <f>'Master Data'!BS:BS*"AM:!)|"</f>
        <v>#VALUE!</v>
      </c>
      <c r="DC3" t="e">
        <f>'Master Data'!BT:BT*"AM:!)}"</f>
        <v>#VALUE!</v>
      </c>
      <c r="DD3" t="e">
        <f>'Master Data'!BU:BU*"AM:!)~"</f>
        <v>#VALUE!</v>
      </c>
      <c r="DE3" t="e">
        <f>'Master Data'!BV:BV*"AM:!.#"</f>
        <v>#VALUE!</v>
      </c>
      <c r="DF3" t="e">
        <f>'Master Data'!BW:BW*"AM:!.$"</f>
        <v>#VALUE!</v>
      </c>
      <c r="DG3" t="e">
        <f>'Master Data'!BX:BX*"AM:!.%"</f>
        <v>#VALUE!</v>
      </c>
      <c r="DH3" t="e">
        <f>'Master Data'!BY:BY*"AM:!.&amp;"</f>
        <v>#VALUE!</v>
      </c>
      <c r="DI3" t="e">
        <f>'Master Data'!BZ:BZ*"AM:!.'"</f>
        <v>#VALUE!</v>
      </c>
      <c r="DJ3" t="e">
        <f>'Master Data'!CA:CA*"AM:!.("</f>
        <v>#VALUE!</v>
      </c>
      <c r="DK3" t="e">
        <f>'Master Data'!CB:CB*"AM:!.)"</f>
        <v>#VALUE!</v>
      </c>
      <c r="DL3" t="e">
        <f>'Master Data'!CC:CC*"AM:!.."</f>
        <v>#VALUE!</v>
      </c>
      <c r="DM3" t="e">
        <f>'Master Data'!CD:CD*"AM:!./"</f>
        <v>#VALUE!</v>
      </c>
      <c r="DN3" t="e">
        <f>'Master Data'!CE:CE*"AM:!.0"</f>
        <v>#VALUE!</v>
      </c>
      <c r="DO3" t="e">
        <f>'Master Data'!CF:CF*"AM:!.1"</f>
        <v>#VALUE!</v>
      </c>
      <c r="DP3" t="e">
        <f>'Master Data'!CG:CG*"AM:!.2"</f>
        <v>#VALUE!</v>
      </c>
      <c r="DQ3" t="e">
        <f>'Master Data'!CH:CH*"AM:!.3"</f>
        <v>#VALUE!</v>
      </c>
      <c r="DR3" t="e">
        <f>'Master Data'!CI:CI*"AM:!.4"</f>
        <v>#VALUE!</v>
      </c>
      <c r="DS3" t="e">
        <f>'Master Data'!CJ:CJ*"AM:!.5"</f>
        <v>#VALUE!</v>
      </c>
      <c r="DT3" t="e">
        <f>'Master Data'!CK:CK*"AM:!.6"</f>
        <v>#VALUE!</v>
      </c>
      <c r="DU3" t="e">
        <f>'Master Data'!CL:CL*"AM:!.7"</f>
        <v>#VALUE!</v>
      </c>
      <c r="DV3" t="e">
        <f>'Master Data'!CM:CM*"AM:!.8"</f>
        <v>#VALUE!</v>
      </c>
      <c r="DW3" t="e">
        <f>'Master Data'!CN:CN*"AM:!.9"</f>
        <v>#VALUE!</v>
      </c>
      <c r="DX3" t="e">
        <f>'Master Data'!1:1-"AM:!.:"</f>
        <v>#VALUE!</v>
      </c>
      <c r="DY3" t="e">
        <f>'Master Data'!2:2-"AM:!.;"</f>
        <v>#VALUE!</v>
      </c>
      <c r="DZ3" t="e">
        <f>'Master Data'!3:3-"AM:!.&lt;"</f>
        <v>#VALUE!</v>
      </c>
      <c r="EA3" t="e">
        <f>'Master Data'!4:4-"AM:!.="</f>
        <v>#VALUE!</v>
      </c>
      <c r="EB3" t="e">
        <f>'Master Data'!5:5-"AM:!.&gt;"</f>
        <v>#VALUE!</v>
      </c>
      <c r="EC3" t="e">
        <f>'Master Data'!6:6-"AM:!.?"</f>
        <v>#VALUE!</v>
      </c>
      <c r="ED3" t="e">
        <f>'Master Data'!7:7-"AM:!.@"</f>
        <v>#VALUE!</v>
      </c>
      <c r="EE3" t="e">
        <f>'Master Data'!8:8-"AM:!.A"</f>
        <v>#VALUE!</v>
      </c>
      <c r="EF3" t="e">
        <f>'Master Data'!9:9-"AM:!.B"</f>
        <v>#VALUE!</v>
      </c>
      <c r="EG3" t="e">
        <f>'Master Data'!10:10-"AM:!.C"</f>
        <v>#VALUE!</v>
      </c>
      <c r="EH3" t="e">
        <f>'Master Data'!11:11-"AM:!.D"</f>
        <v>#VALUE!</v>
      </c>
      <c r="EI3" t="e">
        <f>'Master Data'!12:12-"AM:!.E"</f>
        <v>#VALUE!</v>
      </c>
      <c r="EJ3" t="e">
        <f>'Master Data'!13:13-"AM:!.F"</f>
        <v>#VALUE!</v>
      </c>
      <c r="EK3" t="e">
        <f>'Master Data'!14:14-"AM:!.G"</f>
        <v>#VALUE!</v>
      </c>
      <c r="EL3" t="e">
        <f>'Master Data'!15:15-"AM:!.H"</f>
        <v>#VALUE!</v>
      </c>
      <c r="EM3" t="e">
        <f>'Master Data'!16:16-"AM:!.I"</f>
        <v>#VALUE!</v>
      </c>
      <c r="EN3" t="e">
        <f>'Master Data'!17:17-"AM:!.J"</f>
        <v>#VALUE!</v>
      </c>
      <c r="EO3" t="e">
        <f>'Master Data'!18:18-"AM:!.K"</f>
        <v>#VALUE!</v>
      </c>
      <c r="EP3" t="e">
        <f>'Master Data'!19:19-"AM:!.L"</f>
        <v>#VALUE!</v>
      </c>
      <c r="EQ3" t="e">
        <f>'Master Data'!20:20-"AM:!.M"</f>
        <v>#VALUE!</v>
      </c>
      <c r="ER3" t="e">
        <f>'Master Data'!21:21-"AM:!.N"</f>
        <v>#VALUE!</v>
      </c>
      <c r="ES3" t="e">
        <f>'Master Data'!22:22-"AM:!.O"</f>
        <v>#VALUE!</v>
      </c>
      <c r="ET3" t="e">
        <f>'Master Data'!23:23-"AM:!.P"</f>
        <v>#VALUE!</v>
      </c>
      <c r="EU3" t="e">
        <f>'Master Data'!24:24-"AM:!.Q"</f>
        <v>#VALUE!</v>
      </c>
      <c r="EV3" t="e">
        <f>'Master Data'!25:25-"AM:!.R"</f>
        <v>#VALUE!</v>
      </c>
      <c r="EW3" t="e">
        <f>'Master Data'!26:26-"AM:!.S"</f>
        <v>#VALUE!</v>
      </c>
      <c r="EX3" t="e">
        <f>'Master Data'!27:27-"AM:!.T"</f>
        <v>#VALUE!</v>
      </c>
      <c r="EY3" t="e">
        <f>'Master Data'!28:28-"AM:!.U"</f>
        <v>#VALUE!</v>
      </c>
      <c r="EZ3" t="e">
        <f>'Master Data'!29:29-"AM:!.V"</f>
        <v>#VALUE!</v>
      </c>
      <c r="FA3" t="e">
        <f>'Master Data'!30:30-"AM:!.W"</f>
        <v>#VALUE!</v>
      </c>
      <c r="FB3" t="e">
        <f>'Master Data'!31:31-"AM:!.X"</f>
        <v>#VALUE!</v>
      </c>
      <c r="FC3" t="e">
        <f>'Master Data'!32:32-"AM:!.Y"</f>
        <v>#VALUE!</v>
      </c>
      <c r="FD3" t="e">
        <f>'Master Data'!33:33-"AM:!.Z"</f>
        <v>#VALUE!</v>
      </c>
      <c r="FE3" t="e">
        <f>'Master Data'!34:34-"AM:!.["</f>
        <v>#VALUE!</v>
      </c>
      <c r="FF3" t="e">
        <f>'Master Data'!35:35-"AM:!.\"</f>
        <v>#VALUE!</v>
      </c>
      <c r="FG3" t="e">
        <f>'Master Data'!36:36-"AM:!.]"</f>
        <v>#VALUE!</v>
      </c>
      <c r="FH3" t="e">
        <f>'Master Data'!37:37-"AM:!.^"</f>
        <v>#VALUE!</v>
      </c>
      <c r="FI3" t="e">
        <f>'Master Data'!38:38-"AM:!._"</f>
        <v>#VALUE!</v>
      </c>
      <c r="FJ3" t="e">
        <f>'Master Data'!39:39-"AM:!.`"</f>
        <v>#VALUE!</v>
      </c>
      <c r="FK3" t="e">
        <f>'Master Data'!40:40-"AM:!.a"</f>
        <v>#VALUE!</v>
      </c>
      <c r="FL3" t="e">
        <f>'Master Data'!41:41-"AM:!.b"</f>
        <v>#VALUE!</v>
      </c>
      <c r="FM3" t="e">
        <f>'Master Data'!42:42-"AM:!.c"</f>
        <v>#VALUE!</v>
      </c>
      <c r="FN3" t="e">
        <f>'Master Data'!43:43-"AM:!.d"</f>
        <v>#VALUE!</v>
      </c>
      <c r="FO3" t="e">
        <f>'Master Data'!44:44-"AM:!.e"</f>
        <v>#VALUE!</v>
      </c>
      <c r="FP3" t="e">
        <f>'Master Data'!45:45-"AM:!.f"</f>
        <v>#VALUE!</v>
      </c>
      <c r="FQ3" t="e">
        <f>'Master Data'!46:46-"AM:!.g"</f>
        <v>#VALUE!</v>
      </c>
      <c r="FR3" t="e">
        <f>'Master Data'!47:47-"AM:!.h"</f>
        <v>#VALUE!</v>
      </c>
      <c r="FS3" t="e">
        <f>'Master Data'!48:48-"AM:!.i"</f>
        <v>#VALUE!</v>
      </c>
      <c r="FT3" t="e">
        <f>'Master Data'!49:49-"AM:!.j"</f>
        <v>#VALUE!</v>
      </c>
      <c r="FU3" t="e">
        <f>'Master Data'!50:50-"AM:!.k"</f>
        <v>#VALUE!</v>
      </c>
      <c r="FV3" t="e">
        <f>'Master Data'!51:51-"AM:!.l"</f>
        <v>#VALUE!</v>
      </c>
      <c r="FW3" t="e">
        <f>'Master Data'!52:52-"AM:!.m"</f>
        <v>#VALUE!</v>
      </c>
      <c r="FX3" t="e">
        <f>'Master Data'!53:53-"AM:!.n"</f>
        <v>#VALUE!</v>
      </c>
      <c r="FY3" t="e">
        <f>'Master Data'!54:54-"AM:!.o"</f>
        <v>#VALUE!</v>
      </c>
      <c r="FZ3" t="e">
        <f>'Master Data'!55:55-"AM:!.p"</f>
        <v>#VALUE!</v>
      </c>
      <c r="GA3" t="e">
        <f>'Master Data'!56:56-"AM:!.q"</f>
        <v>#VALUE!</v>
      </c>
      <c r="GB3" t="e">
        <f>'Master Data'!57:57-"AM:!.r"</f>
        <v>#VALUE!</v>
      </c>
      <c r="GC3" t="e">
        <f>'Master Data'!58:58-"AM:!.s"</f>
        <v>#VALUE!</v>
      </c>
      <c r="GD3" t="e">
        <f>'Master Data'!59:59-"AM:!.t"</f>
        <v>#VALUE!</v>
      </c>
      <c r="GE3" t="e">
        <f>'Master Data'!60:60-"AM:!.u"</f>
        <v>#VALUE!</v>
      </c>
      <c r="GF3" t="e">
        <f>'Master Data'!61:61-"AM:!.v"</f>
        <v>#VALUE!</v>
      </c>
      <c r="GG3" t="e">
        <f>'Master Data'!62:62-"AM:!.w"</f>
        <v>#VALUE!</v>
      </c>
      <c r="GH3" t="e">
        <f>'Master Data'!63:63-"AM:!.x"</f>
        <v>#VALUE!</v>
      </c>
      <c r="GI3" t="e">
        <f>'Master Data'!64:64-"AM:!.y"</f>
        <v>#VALUE!</v>
      </c>
      <c r="GJ3" t="e">
        <f>'Master Data'!65:65-"AM:!.z"</f>
        <v>#VALUE!</v>
      </c>
      <c r="GK3" t="e">
        <f>'Master Data'!66:66-"AM:!.{"</f>
        <v>#VALUE!</v>
      </c>
      <c r="GL3" t="e">
        <f>'Master Data'!67:67-"AM:!.|"</f>
        <v>#VALUE!</v>
      </c>
      <c r="GM3" t="e">
        <f>'Master Data'!68:68-"AM:!.}"</f>
        <v>#VALUE!</v>
      </c>
      <c r="GN3" t="e">
        <f>'Master Data'!69:69-"AM:!.~"</f>
        <v>#VALUE!</v>
      </c>
      <c r="GO3" t="e">
        <f>'Master Data'!70:70-"AM:!/#"</f>
        <v>#VALUE!</v>
      </c>
      <c r="GP3" t="e">
        <f>'Master Data'!71:71-"AM:!/$"</f>
        <v>#VALUE!</v>
      </c>
      <c r="GQ3" t="e">
        <f>'Master Data'!72:72-"AM:!/%"</f>
        <v>#VALUE!</v>
      </c>
      <c r="GR3" t="e">
        <f>'Master Data'!73:73-"AM:!/&amp;"</f>
        <v>#VALUE!</v>
      </c>
      <c r="GS3" t="e">
        <f>'Master Data'!74:74-"AM:!/'"</f>
        <v>#VALUE!</v>
      </c>
      <c r="GT3" t="e">
        <f>'Master Data'!75:75-"AM:!/("</f>
        <v>#VALUE!</v>
      </c>
      <c r="GU3" t="e">
        <f>'Master Data'!76:76-"AM:!/)"</f>
        <v>#VALUE!</v>
      </c>
      <c r="GV3" t="e">
        <f>'Master Data'!77:77-"AM:!/."</f>
        <v>#VALUE!</v>
      </c>
      <c r="GW3" t="e">
        <f>'Master Data'!78:78-"AM:!//"</f>
        <v>#VALUE!</v>
      </c>
      <c r="GX3" t="e">
        <f>'Master Data'!79:79-"AM:!/0"</f>
        <v>#VALUE!</v>
      </c>
      <c r="GY3" t="e">
        <f>'Master Data'!80:80-"AM:!/1"</f>
        <v>#VALUE!</v>
      </c>
      <c r="GZ3" t="e">
        <f>'Master Data'!81:81-"AM:!/2"</f>
        <v>#VALUE!</v>
      </c>
      <c r="HA3" t="e">
        <f>'Master Data'!82:82-"AM:!/3"</f>
        <v>#VALUE!</v>
      </c>
      <c r="HB3" t="e">
        <f>'Master Data'!83:83-"AM:!/4"</f>
        <v>#VALUE!</v>
      </c>
      <c r="HC3" t="e">
        <f>'Master Data'!84:84-"AM:!/5"</f>
        <v>#VALUE!</v>
      </c>
      <c r="HD3" t="e">
        <f>'Master Data'!85:85-"AM:!/6"</f>
        <v>#VALUE!</v>
      </c>
      <c r="HE3" t="e">
        <f>'Master Data'!86:86-"AM:!/7"</f>
        <v>#VALUE!</v>
      </c>
      <c r="HF3" t="e">
        <f>'Master Data'!87:87-"AM:!/8"</f>
        <v>#VALUE!</v>
      </c>
      <c r="HG3" t="e">
        <f>'Master Data'!88:88-"AM:!/9"</f>
        <v>#VALUE!</v>
      </c>
      <c r="HH3" t="e">
        <f>'Master Data'!89:89-"AM:!/:"</f>
        <v>#VALUE!</v>
      </c>
      <c r="HI3" t="e">
        <f>'Master Data'!90:90-"AM:!/;"</f>
        <v>#VALUE!</v>
      </c>
      <c r="HJ3" t="e">
        <f>'Master Data'!91:91-"AM:!/&lt;"</f>
        <v>#VALUE!</v>
      </c>
      <c r="HK3" t="e">
        <f>'Master Data'!92:92-"AM:!/="</f>
        <v>#VALUE!</v>
      </c>
      <c r="HL3" t="e">
        <f>'Master Data'!93:93-"AM:!/&gt;"</f>
        <v>#VALUE!</v>
      </c>
      <c r="HM3" t="e">
        <f>'Master Data'!94:94-"AM:!/?"</f>
        <v>#VALUE!</v>
      </c>
      <c r="HN3" t="e">
        <f>'Master Data'!95:95-"AM:!/@"</f>
        <v>#VALUE!</v>
      </c>
      <c r="HO3" t="e">
        <f>'Master Data'!96:96-"AM:!/A"</f>
        <v>#VALUE!</v>
      </c>
      <c r="HP3" t="e">
        <f>'Master Data'!97:97-"AM:!/B"</f>
        <v>#VALUE!</v>
      </c>
      <c r="HQ3" t="e">
        <f>'Master Data'!98:98-"AM:!/C"</f>
        <v>#VALUE!</v>
      </c>
      <c r="HR3" t="e">
        <f>'Master Data'!99:99-"AM:!/D"</f>
        <v>#VALUE!</v>
      </c>
      <c r="HS3" t="e">
        <f>'Master Data'!100:100-"AM:!/E"</f>
        <v>#VALUE!</v>
      </c>
      <c r="HT3" t="e">
        <f>'Master Data'!101:101-"AM:!/F"</f>
        <v>#VALUE!</v>
      </c>
      <c r="HU3" t="e">
        <f>'Master Data'!102:102-"AM:!/G"</f>
        <v>#VALUE!</v>
      </c>
      <c r="HV3" t="e">
        <f>'Master Data'!103:103-"AM:!/H"</f>
        <v>#VALUE!</v>
      </c>
      <c r="HW3" t="e">
        <f>'Master Data'!104:104-"AM:!/I"</f>
        <v>#VALUE!</v>
      </c>
      <c r="HX3" t="e">
        <f>'Master Data'!105:105-"AM:!/J"</f>
        <v>#VALUE!</v>
      </c>
      <c r="HY3" t="e">
        <f>'Master Data'!106:106-"AM:!/K"</f>
        <v>#VALUE!</v>
      </c>
      <c r="HZ3" t="e">
        <f>'Master Data'!107:107-"AM:!/L"</f>
        <v>#VALUE!</v>
      </c>
      <c r="IA3" t="e">
        <f>'Master Data'!108:108-"AM:!/M"</f>
        <v>#VALUE!</v>
      </c>
      <c r="IB3" t="e">
        <f>'Master Data'!109:109-"AM:!/N"</f>
        <v>#VALUE!</v>
      </c>
      <c r="IC3" t="e">
        <f>'Master Data'!110:110-"AM:!/O"</f>
        <v>#VALUE!</v>
      </c>
      <c r="ID3" t="e">
        <f>'Master Data'!111:111-"AM:!/P"</f>
        <v>#VALUE!</v>
      </c>
      <c r="IE3" t="e">
        <f>'Master Data'!112:112-"AM:!/Q"</f>
        <v>#VALUE!</v>
      </c>
      <c r="IF3" t="e">
        <f>'Master Data'!113:113-"AM:!/R"</f>
        <v>#VALUE!</v>
      </c>
      <c r="IG3" t="e">
        <f>'Master Data'!114:114-"AM:!/S"</f>
        <v>#VALUE!</v>
      </c>
      <c r="IH3" t="e">
        <f>'Master Data'!115:115-"AM:!/T"</f>
        <v>#VALUE!</v>
      </c>
      <c r="II3" t="e">
        <f>'Master Data'!116:116-"AM:!/U"</f>
        <v>#VALUE!</v>
      </c>
      <c r="IJ3" t="e">
        <f>'Master Data'!117:117-"AM:!/V"</f>
        <v>#VALUE!</v>
      </c>
      <c r="IK3" t="e">
        <f>'Master Data'!118:118-"AM:!/W"</f>
        <v>#VALUE!</v>
      </c>
      <c r="IL3" t="e">
        <f>'Master Data'!119:119-"AM:!/X"</f>
        <v>#VALUE!</v>
      </c>
      <c r="IM3" t="e">
        <f>'Master Data'!120:120-"AM:!/Y"</f>
        <v>#VALUE!</v>
      </c>
      <c r="IN3" t="e">
        <f>'Master Data'!121:121-"AM:!/Z"</f>
        <v>#VALUE!</v>
      </c>
      <c r="IO3" t="e">
        <f>'Master Data'!122:122-"AM:!/["</f>
        <v>#VALUE!</v>
      </c>
      <c r="IP3" t="e">
        <f>'Master Data'!123:123-"AM:!/\"</f>
        <v>#VALUE!</v>
      </c>
      <c r="IQ3" t="e">
        <f>'Master Data'!124:124-"AM:!/]"</f>
        <v>#VALUE!</v>
      </c>
      <c r="IR3" t="e">
        <f>'Master Data'!125:125-"AM:!/^"</f>
        <v>#VALUE!</v>
      </c>
      <c r="IS3" t="e">
        <f>'Master Data'!126:126-"AM:!/_"</f>
        <v>#VALUE!</v>
      </c>
      <c r="IT3" t="e">
        <f>'Master Data'!127:127-"AM:!/`"</f>
        <v>#VALUE!</v>
      </c>
      <c r="IU3" t="e">
        <f>'Master Data'!128:128-"AM:!/a"</f>
        <v>#VALUE!</v>
      </c>
      <c r="IV3" t="e">
        <f>'Master Data'!129:129-"AM:!/b"</f>
        <v>#VALUE!</v>
      </c>
    </row>
    <row r="4" spans="1:256">
      <c r="A4" t="s">
        <v>1381</v>
      </c>
      <c r="F4" t="e">
        <f>'Master Data'!130:130-"AM:!/c"</f>
        <v>#VALUE!</v>
      </c>
      <c r="G4" t="e">
        <f>'Master Data'!131:131-"AM:!/d"</f>
        <v>#VALUE!</v>
      </c>
      <c r="H4" t="e">
        <f>'Master Data'!132:132-"AM:!/e"</f>
        <v>#VALUE!</v>
      </c>
      <c r="I4" t="e">
        <f>'Master Data'!133:133-"AM:!/f"</f>
        <v>#VALUE!</v>
      </c>
      <c r="J4" t="e">
        <f>'Master Data'!134:134-"AM:!/g"</f>
        <v>#VALUE!</v>
      </c>
      <c r="K4" t="e">
        <f>'Master Data'!135:135-"AM:!/h"</f>
        <v>#VALUE!</v>
      </c>
      <c r="L4" t="e">
        <f>'Master Data'!136:136-"AM:!/i"</f>
        <v>#VALUE!</v>
      </c>
      <c r="M4" t="e">
        <f>'Master Data'!137:137-"AM:!/j"</f>
        <v>#VALUE!</v>
      </c>
      <c r="N4" t="e">
        <f>'Master Data'!138:138-"AM:!/k"</f>
        <v>#VALUE!</v>
      </c>
      <c r="O4" t="e">
        <f>'Master Data'!139:139-"AM:!/l"</f>
        <v>#VALUE!</v>
      </c>
      <c r="P4" t="e">
        <f>'Master Data'!140:140-"AM:!/m"</f>
        <v>#VALUE!</v>
      </c>
      <c r="Q4" t="e">
        <f>'Master Data'!141:141-"AM:!/n"</f>
        <v>#VALUE!</v>
      </c>
      <c r="R4" t="e">
        <f>'Master Data'!142:142-"AM:!/o"</f>
        <v>#VALUE!</v>
      </c>
      <c r="S4" t="e">
        <f>'Master Data'!143:143-"AM:!/p"</f>
        <v>#VALUE!</v>
      </c>
      <c r="T4" t="e">
        <f>'Master Data'!144:144-"AM:!/q"</f>
        <v>#VALUE!</v>
      </c>
      <c r="U4" t="e">
        <f>'Master Data'!145:145-"AM:!/r"</f>
        <v>#VALUE!</v>
      </c>
      <c r="V4" t="e">
        <f>'Master Data'!146:146-"AM:!/s"</f>
        <v>#VALUE!</v>
      </c>
      <c r="W4" t="e">
        <f>'Master Data'!147:147-"AM:!/t"</f>
        <v>#VALUE!</v>
      </c>
      <c r="X4" t="e">
        <f>'Master Data'!148:148-"AM:!/u"</f>
        <v>#VALUE!</v>
      </c>
      <c r="Y4" t="e">
        <f>'Master Data'!149:149-"AM:!/v"</f>
        <v>#VALUE!</v>
      </c>
      <c r="Z4" t="e">
        <f>'Master Data'!150:150-"AM:!/w"</f>
        <v>#VALUE!</v>
      </c>
      <c r="AA4" t="e">
        <f>'Master Data'!151:151-"AM:!/x"</f>
        <v>#VALUE!</v>
      </c>
      <c r="AB4" t="e">
        <f>'Master Data'!152:152-"AM:!/y"</f>
        <v>#VALUE!</v>
      </c>
      <c r="AC4" t="e">
        <f>'Master Data'!153:153-"AM:!/z"</f>
        <v>#VALUE!</v>
      </c>
      <c r="AD4" t="e">
        <f>'Master Data'!154:154-"AM:!/{"</f>
        <v>#VALUE!</v>
      </c>
      <c r="AE4" t="e">
        <f>'Master Data'!155:155-"AM:!/|"</f>
        <v>#VALUE!</v>
      </c>
      <c r="AF4" t="e">
        <f>'Master Data'!156:156-"AM:!/}"</f>
        <v>#VALUE!</v>
      </c>
      <c r="AG4" t="e">
        <f>'Master Data'!157:157-"AM:!/~"</f>
        <v>#VALUE!</v>
      </c>
      <c r="AH4" t="e">
        <f>'Master Data'!158:158-"AM:!0#"</f>
        <v>#VALUE!</v>
      </c>
      <c r="AI4" t="e">
        <f>'Master Data'!159:159-"AM:!0$"</f>
        <v>#VALUE!</v>
      </c>
      <c r="AJ4" t="e">
        <f>'Master Data'!160:160-"AM:!0%"</f>
        <v>#VALUE!</v>
      </c>
      <c r="AK4" t="e">
        <f>'Master Data'!161:161-"AM:!0&amp;"</f>
        <v>#VALUE!</v>
      </c>
      <c r="AL4" t="e">
        <f>'Master Data'!162:162-"AM:!0'"</f>
        <v>#VALUE!</v>
      </c>
      <c r="AM4" t="e">
        <f>'Master Data'!163:163-"AM:!0("</f>
        <v>#VALUE!</v>
      </c>
      <c r="AN4" t="e">
        <f>'Master Data'!164:164-"AM:!0)"</f>
        <v>#VALUE!</v>
      </c>
      <c r="AO4" t="e">
        <f>'Master Data'!165:165-"AM:!0."</f>
        <v>#VALUE!</v>
      </c>
      <c r="AP4" t="e">
        <f>'Master Data'!166:166-"AM:!0/"</f>
        <v>#VALUE!</v>
      </c>
      <c r="AQ4" t="e">
        <f>'Master Data'!167:167-"AM:!00"</f>
        <v>#VALUE!</v>
      </c>
      <c r="AR4" t="e">
        <f>'Master Data'!168:168-"AM:!01"</f>
        <v>#VALUE!</v>
      </c>
      <c r="AS4" t="e">
        <f>'Master Data'!169:169-"AM:!02"</f>
        <v>#VALUE!</v>
      </c>
      <c r="AT4" t="e">
        <f>'Master Data'!170:170-"AM:!03"</f>
        <v>#VALUE!</v>
      </c>
      <c r="AU4" t="e">
        <f>'Master Data'!171:171-"AM:!04"</f>
        <v>#VALUE!</v>
      </c>
      <c r="AV4" t="e">
        <f>'Master Data'!172:172-"AM:!05"</f>
        <v>#VALUE!</v>
      </c>
      <c r="AW4" t="e">
        <f>'Master Data'!173:173-"AM:!06"</f>
        <v>#VALUE!</v>
      </c>
      <c r="AX4" t="e">
        <f>'Master Data'!174:174-"AM:!07"</f>
        <v>#VALUE!</v>
      </c>
      <c r="AY4" t="e">
        <f>'Master Data'!175:175-"AM:!08"</f>
        <v>#VALUE!</v>
      </c>
      <c r="AZ4" t="e">
        <f>'Master Data'!176:176-"AM:!09"</f>
        <v>#VALUE!</v>
      </c>
      <c r="BA4" t="e">
        <f>'Master Data'!177:177-"AM:!0:"</f>
        <v>#VALUE!</v>
      </c>
      <c r="BB4" t="e">
        <f>'Master Data'!178:178-"AM:!0;"</f>
        <v>#VALUE!</v>
      </c>
      <c r="BC4" t="e">
        <f>'Master Data'!179:179-"AM:!0&lt;"</f>
        <v>#VALUE!</v>
      </c>
      <c r="BD4" t="e">
        <f>'Master Data'!180:180-"AM:!0="</f>
        <v>#VALUE!</v>
      </c>
      <c r="BE4" t="e">
        <f>'Master Data'!181:181-"AM:!0&gt;"</f>
        <v>#VALUE!</v>
      </c>
      <c r="BF4" t="e">
        <f>'Master Data'!182:182-"AM:!0?"</f>
        <v>#VALUE!</v>
      </c>
      <c r="BG4" t="e">
        <f>'Master Data'!183:183-"AM:!0@"</f>
        <v>#VALUE!</v>
      </c>
      <c r="BH4" t="e">
        <f>'Master Data'!184:184-"AM:!0A"</f>
        <v>#VALUE!</v>
      </c>
      <c r="BI4" t="e">
        <f>'Master Data'!185:185-"AM:!0B"</f>
        <v>#VALUE!</v>
      </c>
      <c r="BJ4" t="e">
        <f>'Master Data'!186:186-"AM:!0C"</f>
        <v>#VALUE!</v>
      </c>
      <c r="BK4" t="e">
        <f>'Master Data'!187:187-"AM:!0D"</f>
        <v>#VALUE!</v>
      </c>
      <c r="BL4" t="e">
        <f>'Master Data'!188:188-"AM:!0E"</f>
        <v>#VALUE!</v>
      </c>
      <c r="BM4" t="e">
        <f>'Master Data'!189:189-"AM:!0F"</f>
        <v>#VALUE!</v>
      </c>
      <c r="BN4" t="e">
        <f>'Master Data'!190:190-"AM:!0G"</f>
        <v>#VALUE!</v>
      </c>
      <c r="BO4" t="e">
        <f>'Master Data'!191:191-"AM:!0H"</f>
        <v>#VALUE!</v>
      </c>
      <c r="BP4" t="e">
        <f>'Master Data'!192:192-"AM:!0I"</f>
        <v>#VALUE!</v>
      </c>
      <c r="BQ4" t="e">
        <f>'Master Data'!193:193-"AM:!0J"</f>
        <v>#VALUE!</v>
      </c>
      <c r="BR4" t="e">
        <f>'Master Data'!194:194-"AM:!0K"</f>
        <v>#VALUE!</v>
      </c>
      <c r="BS4" t="e">
        <f>'Master Data'!195:195-"AM:!0L"</f>
        <v>#VALUE!</v>
      </c>
      <c r="BT4" t="e">
        <f>'Master Data'!196:196-"AM:!0M"</f>
        <v>#VALUE!</v>
      </c>
      <c r="BU4" t="e">
        <f>'Master Data'!197:197-"AM:!0N"</f>
        <v>#VALUE!</v>
      </c>
      <c r="BV4" t="e">
        <f>'Master Data'!198:198-"AM:!0O"</f>
        <v>#VALUE!</v>
      </c>
      <c r="BW4" t="e">
        <f>'Master Data'!199:199-"AM:!0P"</f>
        <v>#VALUE!</v>
      </c>
      <c r="BX4" t="e">
        <f>'Master Data'!200:200-"AM:!0Q"</f>
        <v>#VALUE!</v>
      </c>
      <c r="BY4" t="e">
        <f>'Master Data'!201:201-"AM:!0R"</f>
        <v>#VALUE!</v>
      </c>
      <c r="BZ4" t="e">
        <f>'Master Data'!202:202-"AM:!0S"</f>
        <v>#VALUE!</v>
      </c>
      <c r="CA4" t="e">
        <f>'Master Data'!203:203-"AM:!0T"</f>
        <v>#VALUE!</v>
      </c>
      <c r="CB4" t="e">
        <f>'Master Data'!204:204-"AM:!0U"</f>
        <v>#VALUE!</v>
      </c>
      <c r="CC4" t="e">
        <f>'Master Data'!205:205-"AM:!0V"</f>
        <v>#VALUE!</v>
      </c>
      <c r="CD4" t="e">
        <f>'Master Data'!206:206-"AM:!0W"</f>
        <v>#VALUE!</v>
      </c>
      <c r="CE4" t="e">
        <f>'Master Data'!207:207-"AM:!0X"</f>
        <v>#VALUE!</v>
      </c>
      <c r="CF4" t="e">
        <f>'Master Data'!208:208-"AM:!0Y"</f>
        <v>#VALUE!</v>
      </c>
      <c r="CG4" t="e">
        <f>'Master Data'!209:209-"AM:!0Z"</f>
        <v>#VALUE!</v>
      </c>
      <c r="CH4" t="e">
        <f>'Master Data'!210:210-"AM:!0["</f>
        <v>#VALUE!</v>
      </c>
      <c r="CI4" t="e">
        <f>'Master Data'!211:211-"AM:!0\"</f>
        <v>#VALUE!</v>
      </c>
      <c r="CJ4" t="e">
        <f>'Master Data'!212:212-"AM:!0]"</f>
        <v>#VALUE!</v>
      </c>
      <c r="CK4" t="e">
        <f>'Master Data'!213:213-"AM:!0^"</f>
        <v>#VALUE!</v>
      </c>
      <c r="CL4" t="e">
        <f>'Master Data'!214:214-"AM:!0_"</f>
        <v>#VALUE!</v>
      </c>
      <c r="CM4" t="e">
        <f>'Master Data'!215:215-"AM:!0`"</f>
        <v>#VALUE!</v>
      </c>
      <c r="CN4" t="e">
        <f>'Master Data'!216:216-"AM:!0a"</f>
        <v>#VALUE!</v>
      </c>
      <c r="CO4" t="e">
        <f>'Master Data'!217:217-"AM:!0b"</f>
        <v>#VALUE!</v>
      </c>
      <c r="CP4" t="e">
        <f>'Master Data'!218:218-"AM:!0c"</f>
        <v>#VALUE!</v>
      </c>
      <c r="CQ4" t="e">
        <f>'Master Data'!219:219-"AM:!0d"</f>
        <v>#VALUE!</v>
      </c>
      <c r="CR4" t="e">
        <f>'Master Data'!220:220-"AM:!0e"</f>
        <v>#VALUE!</v>
      </c>
      <c r="CS4" t="e">
        <f>'Master Data'!221:221-"AM:!0f"</f>
        <v>#VALUE!</v>
      </c>
      <c r="CT4" t="e">
        <f>'Master Data'!222:222-"AM:!0g"</f>
        <v>#VALUE!</v>
      </c>
      <c r="CU4" t="e">
        <f>'Master Data'!223:223-"AM:!0h"</f>
        <v>#VALUE!</v>
      </c>
      <c r="CV4" t="e">
        <f>'Master Data'!224:224-"AM:!0i"</f>
        <v>#VALUE!</v>
      </c>
      <c r="CW4" t="e">
        <f>'Master Data'!225:225-"AM:!0j"</f>
        <v>#VALUE!</v>
      </c>
      <c r="CX4" t="e">
        <f>'Master Data'!226:226-"AM:!0k"</f>
        <v>#VALUE!</v>
      </c>
      <c r="CY4" t="e">
        <f>'Master Data'!227:227-"AM:!0l"</f>
        <v>#VALUE!</v>
      </c>
      <c r="CZ4" t="e">
        <f>'Master Data'!228:228-"AM:!0m"</f>
        <v>#VALUE!</v>
      </c>
      <c r="DA4" t="e">
        <f>'Master Data'!229:229-"AM:!0n"</f>
        <v>#VALUE!</v>
      </c>
      <c r="DB4" t="e">
        <f>'Master Data'!230:230-"AM:!0o"</f>
        <v>#VALUE!</v>
      </c>
      <c r="DC4" t="e">
        <f>'Master Data'!231:231-"AM:!0p"</f>
        <v>#VALUE!</v>
      </c>
      <c r="DD4" t="e">
        <f>'Master Data'!232:232-"AM:!0q"</f>
        <v>#VALUE!</v>
      </c>
      <c r="DE4" t="e">
        <f>'Master Data'!233:233-"AM:!0r"</f>
        <v>#VALUE!</v>
      </c>
      <c r="DF4" t="e">
        <f>'Master Data'!234:234-"AM:!0s"</f>
        <v>#VALUE!</v>
      </c>
      <c r="DG4" t="e">
        <f>'Master Data'!235:235-"AM:!0t"</f>
        <v>#VALUE!</v>
      </c>
      <c r="DH4" t="e">
        <f>'Master Data'!236:236-"AM:!0u"</f>
        <v>#VALUE!</v>
      </c>
      <c r="DI4" t="e">
        <f>'Master Data'!237:237-"AM:!0v"</f>
        <v>#VALUE!</v>
      </c>
      <c r="DJ4" t="e">
        <f>'Master Data'!238:238-"AM:!0w"</f>
        <v>#VALUE!</v>
      </c>
      <c r="DK4" t="e">
        <f>'Master Data'!239:239-"AM:!0x"</f>
        <v>#VALUE!</v>
      </c>
      <c r="DL4" t="e">
        <f>'Master Data'!240:240-"AM:!0y"</f>
        <v>#VALUE!</v>
      </c>
      <c r="DM4" t="e">
        <f>'Master Data'!241:241-"AM:!0z"</f>
        <v>#VALUE!</v>
      </c>
      <c r="DN4" t="e">
        <f>'Master Data'!242:242-"AM:!0{"</f>
        <v>#VALUE!</v>
      </c>
      <c r="DO4" t="e">
        <f>'Master Data'!243:243-"AM:!0|"</f>
        <v>#VALUE!</v>
      </c>
      <c r="DP4" t="e">
        <f>'Master Data'!244:244-"AM:!0}"</f>
        <v>#VALUE!</v>
      </c>
      <c r="DQ4" t="e">
        <f>'Master Data'!245:245-"AM:!0~"</f>
        <v>#VALUE!</v>
      </c>
      <c r="DR4" t="e">
        <f>'Master Data'!246:246-"AM:!1#"</f>
        <v>#VALUE!</v>
      </c>
      <c r="DS4" t="e">
        <f>'Master Data'!247:247-"AM:!1$"</f>
        <v>#VALUE!</v>
      </c>
      <c r="DT4" t="e">
        <f>'Master Data'!248:248-"AM:!1%"</f>
        <v>#VALUE!</v>
      </c>
      <c r="DU4" t="e">
        <f>'Master Data'!A1+"AM:!1&amp;"</f>
        <v>#VALUE!</v>
      </c>
      <c r="DV4" t="e">
        <f>'Master Data'!B1+"AM:!1'"</f>
        <v>#VALUE!</v>
      </c>
      <c r="DW4" t="e">
        <f>'Master Data'!C1+"AM:!1("</f>
        <v>#VALUE!</v>
      </c>
      <c r="DX4" t="e">
        <f>'Master Data'!D1+"AM:!1)"</f>
        <v>#VALUE!</v>
      </c>
      <c r="DY4" t="e">
        <f>'Master Data'!E1+"AM:!1."</f>
        <v>#VALUE!</v>
      </c>
      <c r="DZ4" t="e">
        <f>'Master Data'!F1+"AM:!1/"</f>
        <v>#VALUE!</v>
      </c>
      <c r="EA4" t="e">
        <f>'Master Data'!G1+"AM:!10"</f>
        <v>#VALUE!</v>
      </c>
      <c r="EB4" t="e">
        <f>'Master Data'!I1+"AM:!11"</f>
        <v>#VALUE!</v>
      </c>
      <c r="EC4" t="e">
        <f>'Master Data'!J1+"AM:!12"</f>
        <v>#VALUE!</v>
      </c>
      <c r="ED4" t="e">
        <f>'Master Data'!K1+"AM:!13"</f>
        <v>#VALUE!</v>
      </c>
      <c r="EE4" t="e">
        <f>'Master Data'!L1+"AM:!14"</f>
        <v>#VALUE!</v>
      </c>
      <c r="EF4" t="e">
        <f>'Master Data'!M1+"AM:!15"</f>
        <v>#VALUE!</v>
      </c>
      <c r="EG4" t="e">
        <f>'Master Data'!N1+"AM:!16"</f>
        <v>#VALUE!</v>
      </c>
      <c r="EH4" t="e">
        <f>'Master Data'!O1+"AM:!17"</f>
        <v>#VALUE!</v>
      </c>
      <c r="EI4" t="e">
        <f>'Master Data'!P1+"AM:!18"</f>
        <v>#VALUE!</v>
      </c>
      <c r="EJ4" t="e">
        <f>'Master Data'!Q1+"AM:!19"</f>
        <v>#VALUE!</v>
      </c>
      <c r="EK4" t="e">
        <f>'Master Data'!R1+"AM:!1:"</f>
        <v>#VALUE!</v>
      </c>
      <c r="EL4" t="e">
        <f>'Master Data'!S1+"AM:!1;"</f>
        <v>#VALUE!</v>
      </c>
      <c r="EM4" t="e">
        <f>'Master Data'!T1+"AM:!1&lt;"</f>
        <v>#VALUE!</v>
      </c>
      <c r="EN4" t="e">
        <f>'Master Data'!U1+"AM:!1="</f>
        <v>#VALUE!</v>
      </c>
      <c r="EO4" t="e">
        <f>'Master Data'!A2+"AM:!1&gt;"</f>
        <v>#VALUE!</v>
      </c>
      <c r="EP4" t="e">
        <f>'Master Data'!B2+"AM:!1?"</f>
        <v>#VALUE!</v>
      </c>
      <c r="EQ4" t="e">
        <f>'Master Data'!C2+"AM:!1@"</f>
        <v>#VALUE!</v>
      </c>
      <c r="ER4" t="e">
        <f>'Master Data'!D2+"AM:!1A"</f>
        <v>#VALUE!</v>
      </c>
      <c r="ES4" t="e">
        <f>'Master Data'!E2+"AM:!1B"</f>
        <v>#VALUE!</v>
      </c>
      <c r="ET4" t="e">
        <f>'Master Data'!F2+"AM:!1C"</f>
        <v>#VALUE!</v>
      </c>
      <c r="EU4" t="e">
        <f>'Master Data'!I2+"AM:!1D"</f>
        <v>#VALUE!</v>
      </c>
      <c r="EV4" t="e">
        <f>'Master Data'!J2+"AM:!1E"</f>
        <v>#VALUE!</v>
      </c>
      <c r="EW4" t="e">
        <f>'Master Data'!K2+"AM:!1F"</f>
        <v>#VALUE!</v>
      </c>
      <c r="EX4" t="e">
        <f>'Master Data'!L2+"AM:!1G"</f>
        <v>#VALUE!</v>
      </c>
      <c r="EY4" t="e">
        <f>'Master Data'!M2+"AM:!1H"</f>
        <v>#VALUE!</v>
      </c>
      <c r="EZ4" t="e">
        <f>'Master Data'!N2+"AM:!1I"</f>
        <v>#VALUE!</v>
      </c>
      <c r="FA4" t="e">
        <f>'Master Data'!O2+"AM:!1J"</f>
        <v>#VALUE!</v>
      </c>
      <c r="FB4" t="e">
        <f>'Master Data'!P2+"AM:!1K"</f>
        <v>#VALUE!</v>
      </c>
      <c r="FC4" t="e">
        <f>'Master Data'!Q2+"AM:!1L"</f>
        <v>#VALUE!</v>
      </c>
      <c r="FD4" t="e">
        <f>'Master Data'!R2+"AM:!1M"</f>
        <v>#VALUE!</v>
      </c>
      <c r="FE4" t="e">
        <f>'Master Data'!S2+"AM:!1N"</f>
        <v>#VALUE!</v>
      </c>
      <c r="FF4" t="e">
        <f>'Master Data'!T2+"AM:!1O"</f>
        <v>#VALUE!</v>
      </c>
      <c r="FG4" t="e">
        <f>'Master Data'!U2+"AM:!1P"</f>
        <v>#VALUE!</v>
      </c>
      <c r="FH4" t="e">
        <f>'Master Data'!A3+"AM:!1Q"</f>
        <v>#VALUE!</v>
      </c>
      <c r="FI4" t="e">
        <f>'Master Data'!B3+"AM:!1R"</f>
        <v>#VALUE!</v>
      </c>
      <c r="FJ4" t="e">
        <f>'Master Data'!C3+"AM:!1S"</f>
        <v>#VALUE!</v>
      </c>
      <c r="FK4" t="e">
        <f>'Master Data'!D3+"AM:!1T"</f>
        <v>#VALUE!</v>
      </c>
      <c r="FL4" t="e">
        <f>'Master Data'!E3+"AM:!1U"</f>
        <v>#VALUE!</v>
      </c>
      <c r="FM4" t="e">
        <f>'Master Data'!F3+"AM:!1V"</f>
        <v>#VALUE!</v>
      </c>
      <c r="FN4" t="e">
        <f>'Master Data'!I3+"AM:!1W"</f>
        <v>#VALUE!</v>
      </c>
      <c r="FO4" t="e">
        <f>'Master Data'!J3+"AM:!1X"</f>
        <v>#VALUE!</v>
      </c>
      <c r="FP4" t="e">
        <f>'Master Data'!K3+"AM:!1Y"</f>
        <v>#VALUE!</v>
      </c>
      <c r="FQ4" t="e">
        <f>'Master Data'!L3+"AM:!1Z"</f>
        <v>#VALUE!</v>
      </c>
      <c r="FR4" t="e">
        <f>'Master Data'!M3+"AM:!1["</f>
        <v>#VALUE!</v>
      </c>
      <c r="FS4" t="e">
        <f>'Master Data'!N3+"AM:!1\"</f>
        <v>#VALUE!</v>
      </c>
      <c r="FT4" t="e">
        <f>'Master Data'!O3+"AM:!1]"</f>
        <v>#VALUE!</v>
      </c>
      <c r="FU4" t="e">
        <f>'Master Data'!P3+"AM:!1^"</f>
        <v>#VALUE!</v>
      </c>
      <c r="FV4" t="e">
        <f>'Master Data'!Q3+"AM:!1_"</f>
        <v>#VALUE!</v>
      </c>
      <c r="FW4" t="e">
        <f>'Master Data'!R3+"AM:!1`"</f>
        <v>#VALUE!</v>
      </c>
      <c r="FX4" t="e">
        <f>'Master Data'!S3+"AM:!1a"</f>
        <v>#VALUE!</v>
      </c>
      <c r="FY4" t="e">
        <f>'Master Data'!T3+"AM:!1b"</f>
        <v>#VALUE!</v>
      </c>
      <c r="FZ4" t="e">
        <f>'Master Data'!U3+"AM:!1c"</f>
        <v>#VALUE!</v>
      </c>
      <c r="GA4" t="e">
        <f>'Master Data'!A4+"AM:!1d"</f>
        <v>#VALUE!</v>
      </c>
      <c r="GB4" t="e">
        <f>'Master Data'!B4+"AM:!1e"</f>
        <v>#VALUE!</v>
      </c>
      <c r="GC4" t="e">
        <f>'Master Data'!C4+"AM:!1f"</f>
        <v>#VALUE!</v>
      </c>
      <c r="GD4" t="e">
        <f>'Master Data'!D4+"AM:!1g"</f>
        <v>#VALUE!</v>
      </c>
      <c r="GE4" t="e">
        <f>'Master Data'!E4+"AM:!1h"</f>
        <v>#VALUE!</v>
      </c>
      <c r="GF4" t="e">
        <f>'Master Data'!F4+"AM:!1i"</f>
        <v>#VALUE!</v>
      </c>
      <c r="GG4" t="e">
        <f>'Master Data'!G4+"AM:!1j"</f>
        <v>#VALUE!</v>
      </c>
      <c r="GH4" t="e">
        <f>'Master Data'!I4+"AM:!1k"</f>
        <v>#VALUE!</v>
      </c>
      <c r="GI4" t="e">
        <f>'Master Data'!J4+"AM:!1l"</f>
        <v>#VALUE!</v>
      </c>
      <c r="GJ4" t="e">
        <f>'Master Data'!K4+"AM:!1m"</f>
        <v>#VALUE!</v>
      </c>
      <c r="GK4" t="e">
        <f>'Master Data'!L4+"AM:!1n"</f>
        <v>#VALUE!</v>
      </c>
      <c r="GL4" t="e">
        <f>'Master Data'!M4+"AM:!1o"</f>
        <v>#VALUE!</v>
      </c>
      <c r="GM4" t="e">
        <f>'Master Data'!N4+"AM:!1p"</f>
        <v>#VALUE!</v>
      </c>
      <c r="GN4" t="e">
        <f>'Master Data'!O4+"AM:!1q"</f>
        <v>#VALUE!</v>
      </c>
      <c r="GO4" t="e">
        <f>'Master Data'!P4+"AM:!1r"</f>
        <v>#VALUE!</v>
      </c>
      <c r="GP4" t="e">
        <f>'Master Data'!Q4+"AM:!1s"</f>
        <v>#VALUE!</v>
      </c>
      <c r="GQ4" t="e">
        <f>'Master Data'!R4+"AM:!1t"</f>
        <v>#VALUE!</v>
      </c>
      <c r="GR4" t="e">
        <f>'Master Data'!S4+"AM:!1u"</f>
        <v>#VALUE!</v>
      </c>
      <c r="GS4" t="e">
        <f>'Master Data'!T4+"AM:!1v"</f>
        <v>#VALUE!</v>
      </c>
      <c r="GT4" t="e">
        <f>'Master Data'!U4+"AM:!1w"</f>
        <v>#VALUE!</v>
      </c>
      <c r="GU4" t="e">
        <f>'Master Data'!A5+"AM:!1x"</f>
        <v>#VALUE!</v>
      </c>
      <c r="GV4" t="e">
        <f>'Master Data'!B5+"AM:!1y"</f>
        <v>#VALUE!</v>
      </c>
      <c r="GW4" t="e">
        <f>'Master Data'!C5+"AM:!1z"</f>
        <v>#VALUE!</v>
      </c>
      <c r="GX4" t="e">
        <f>'Master Data'!D5+"AM:!1{"</f>
        <v>#VALUE!</v>
      </c>
      <c r="GY4" t="e">
        <f>'Master Data'!E5+"AM:!1|"</f>
        <v>#VALUE!</v>
      </c>
      <c r="GZ4" t="e">
        <f>'Master Data'!F5+"AM:!1}"</f>
        <v>#VALUE!</v>
      </c>
      <c r="HA4" t="e">
        <f>'Master Data'!G5+"AM:!1~"</f>
        <v>#VALUE!</v>
      </c>
      <c r="HB4" t="e">
        <f>'Master Data'!I5+"AM:!2#"</f>
        <v>#VALUE!</v>
      </c>
      <c r="HC4" t="e">
        <f>'Master Data'!J5+"AM:!2$"</f>
        <v>#VALUE!</v>
      </c>
      <c r="HD4" t="e">
        <f>'Master Data'!K5+"AM:!2%"</f>
        <v>#VALUE!</v>
      </c>
      <c r="HE4" t="e">
        <f>'Master Data'!L5+"AM:!2&amp;"</f>
        <v>#VALUE!</v>
      </c>
      <c r="HF4" t="e">
        <f>'Master Data'!M5+"AM:!2'"</f>
        <v>#VALUE!</v>
      </c>
      <c r="HG4" t="e">
        <f>'Master Data'!N5+"AM:!2("</f>
        <v>#VALUE!</v>
      </c>
      <c r="HH4" t="e">
        <f>'Master Data'!O5+"AM:!2)"</f>
        <v>#VALUE!</v>
      </c>
      <c r="HI4" t="e">
        <f>'Master Data'!P5+"AM:!2."</f>
        <v>#VALUE!</v>
      </c>
      <c r="HJ4" t="e">
        <f>'Master Data'!R5+"AM:!2/"</f>
        <v>#VALUE!</v>
      </c>
      <c r="HK4" t="e">
        <f>'Master Data'!S5+"AM:!20"</f>
        <v>#VALUE!</v>
      </c>
      <c r="HL4" t="e">
        <f>'Master Data'!T5+"AM:!21"</f>
        <v>#VALUE!</v>
      </c>
      <c r="HM4" t="e">
        <f>'Master Data'!U5+"AM:!22"</f>
        <v>#VALUE!</v>
      </c>
      <c r="HN4" t="e">
        <f>'Master Data'!V5+"AM:!23"</f>
        <v>#VALUE!</v>
      </c>
      <c r="HO4" t="e">
        <f>'Master Data'!W5+"AM:!24"</f>
        <v>#VALUE!</v>
      </c>
      <c r="HP4" t="e">
        <f>'Master Data'!X5+"AM:!25"</f>
        <v>#VALUE!</v>
      </c>
      <c r="HQ4" t="e">
        <f>'Master Data'!Y5+"AM:!26"</f>
        <v>#VALUE!</v>
      </c>
      <c r="HR4" t="e">
        <f>'Master Data'!Z5+"AM:!27"</f>
        <v>#VALUE!</v>
      </c>
      <c r="HS4" t="e">
        <f>'Master Data'!AA5+"AM:!28"</f>
        <v>#VALUE!</v>
      </c>
      <c r="HT4" t="e">
        <f>'Master Data'!AB5+"AM:!29"</f>
        <v>#VALUE!</v>
      </c>
      <c r="HU4" t="e">
        <f>'Master Data'!AC5+"AM:!2:"</f>
        <v>#VALUE!</v>
      </c>
      <c r="HV4" t="e">
        <f>'Master Data'!AD5+"AM:!2;"</f>
        <v>#VALUE!</v>
      </c>
      <c r="HW4" t="e">
        <f>'Master Data'!AE5+"AM:!2&lt;"</f>
        <v>#VALUE!</v>
      </c>
      <c r="HX4" t="e">
        <f>'Master Data'!AF5+"AM:!2="</f>
        <v>#VALUE!</v>
      </c>
      <c r="HY4" t="e">
        <f>'Master Data'!AG5+"AM:!2&gt;"</f>
        <v>#VALUE!</v>
      </c>
      <c r="HZ4" t="e">
        <f>'Master Data'!AH5+"AM:!2?"</f>
        <v>#VALUE!</v>
      </c>
      <c r="IA4" t="e">
        <f>'Master Data'!AI5+"AM:!2@"</f>
        <v>#VALUE!</v>
      </c>
      <c r="IB4" t="e">
        <f>'Master Data'!AJ5+"AM:!2A"</f>
        <v>#VALUE!</v>
      </c>
      <c r="IC4" t="e">
        <f>'Master Data'!AK5+"AM:!2B"</f>
        <v>#VALUE!</v>
      </c>
      <c r="ID4" t="e">
        <f>'Master Data'!AL5+"AM:!2C"</f>
        <v>#VALUE!</v>
      </c>
      <c r="IE4" t="e">
        <f>'Master Data'!AM5+"AM:!2D"</f>
        <v>#VALUE!</v>
      </c>
      <c r="IF4" t="e">
        <f>'Master Data'!AN5+"AM:!2E"</f>
        <v>#VALUE!</v>
      </c>
      <c r="IG4" t="e">
        <f>'Master Data'!AO5+"AM:!2F"</f>
        <v>#VALUE!</v>
      </c>
      <c r="IH4" t="e">
        <f>'Master Data'!AP5+"AM:!2G"</f>
        <v>#VALUE!</v>
      </c>
      <c r="II4" t="e">
        <f>'Master Data'!A6+"AM:!2H"</f>
        <v>#VALUE!</v>
      </c>
      <c r="IJ4" t="e">
        <f>'Master Data'!B6+"AM:!2I"</f>
        <v>#VALUE!</v>
      </c>
      <c r="IK4" t="e">
        <f>'Master Data'!C6+"AM:!2J"</f>
        <v>#VALUE!</v>
      </c>
      <c r="IL4" t="e">
        <f>'Master Data'!D6+"AM:!2K"</f>
        <v>#VALUE!</v>
      </c>
      <c r="IM4" t="e">
        <f>'Master Data'!E6+"AM:!2L"</f>
        <v>#VALUE!</v>
      </c>
      <c r="IN4" t="e">
        <f>'Master Data'!F6+"AM:!2M"</f>
        <v>#VALUE!</v>
      </c>
      <c r="IO4" t="e">
        <f>'Master Data'!G6+"AM:!2N"</f>
        <v>#VALUE!</v>
      </c>
      <c r="IP4" t="e">
        <f>'Master Data'!I6+"AM:!2O"</f>
        <v>#VALUE!</v>
      </c>
      <c r="IQ4" t="e">
        <f>'Master Data'!J6+"AM:!2P"</f>
        <v>#VALUE!</v>
      </c>
      <c r="IR4" t="e">
        <f>'Master Data'!K6+"AM:!2Q"</f>
        <v>#VALUE!</v>
      </c>
      <c r="IS4" t="e">
        <f>'Master Data'!L6+"AM:!2R"</f>
        <v>#VALUE!</v>
      </c>
      <c r="IT4" t="e">
        <f>'Master Data'!M6+"AM:!2S"</f>
        <v>#VALUE!</v>
      </c>
      <c r="IU4" t="e">
        <f>'Master Data'!N6+"AM:!2T"</f>
        <v>#VALUE!</v>
      </c>
      <c r="IV4" t="e">
        <f>'Master Data'!O6+"AM:!2U"</f>
        <v>#VALUE!</v>
      </c>
    </row>
    <row r="5" spans="1:256">
      <c r="A5" t="s">
        <v>1382</v>
      </c>
      <c r="F5" t="e">
        <f>'Master Data'!P6+"AM:!2V"</f>
        <v>#VALUE!</v>
      </c>
      <c r="G5" t="e">
        <f>'Master Data'!R6+"AM:!2W"</f>
        <v>#VALUE!</v>
      </c>
      <c r="H5" t="e">
        <f>'Master Data'!S6+"AM:!2X"</f>
        <v>#VALUE!</v>
      </c>
      <c r="I5" t="e">
        <f>'Master Data'!T6+"AM:!2Y"</f>
        <v>#VALUE!</v>
      </c>
      <c r="J5" t="e">
        <f>'Master Data'!U6+"AM:!2Z"</f>
        <v>#VALUE!</v>
      </c>
      <c r="K5" t="e">
        <f>'Master Data'!V6+"AM:!2["</f>
        <v>#VALUE!</v>
      </c>
      <c r="L5" t="e">
        <f>'Master Data'!W6+"AM:!2\"</f>
        <v>#VALUE!</v>
      </c>
      <c r="M5" t="e">
        <f>'Master Data'!X6+"AM:!2]"</f>
        <v>#VALUE!</v>
      </c>
      <c r="N5" t="e">
        <f>'Master Data'!Y6+"AM:!2^"</f>
        <v>#VALUE!</v>
      </c>
      <c r="O5" t="e">
        <f>'Master Data'!Z6+"AM:!2_"</f>
        <v>#VALUE!</v>
      </c>
      <c r="P5" t="e">
        <f>'Master Data'!AA6+"AM:!2`"</f>
        <v>#VALUE!</v>
      </c>
      <c r="Q5" t="e">
        <f>'Master Data'!AB6+"AM:!2a"</f>
        <v>#VALUE!</v>
      </c>
      <c r="R5" t="e">
        <f>'Master Data'!AC6+"AM:!2b"</f>
        <v>#VALUE!</v>
      </c>
      <c r="S5" t="e">
        <f>'Master Data'!AD6+"AM:!2c"</f>
        <v>#VALUE!</v>
      </c>
      <c r="T5" t="e">
        <f>'Master Data'!AE6+"AM:!2d"</f>
        <v>#VALUE!</v>
      </c>
      <c r="U5" t="e">
        <f>'Master Data'!AF6+"AM:!2e"</f>
        <v>#VALUE!</v>
      </c>
      <c r="V5" t="e">
        <f>'Master Data'!AG6+"AM:!2f"</f>
        <v>#VALUE!</v>
      </c>
      <c r="W5" t="e">
        <f>'Master Data'!AH6+"AM:!2g"</f>
        <v>#VALUE!</v>
      </c>
      <c r="X5" t="e">
        <f>'Master Data'!AI6+"AM:!2h"</f>
        <v>#VALUE!</v>
      </c>
      <c r="Y5" t="e">
        <f>'Master Data'!AJ6+"AM:!2i"</f>
        <v>#VALUE!</v>
      </c>
      <c r="Z5" t="e">
        <f>'Master Data'!AK6+"AM:!2j"</f>
        <v>#VALUE!</v>
      </c>
      <c r="AA5" t="e">
        <f>'Master Data'!AL6+"AM:!2k"</f>
        <v>#VALUE!</v>
      </c>
      <c r="AB5" t="e">
        <f>'Master Data'!AM6+"AM:!2l"</f>
        <v>#VALUE!</v>
      </c>
      <c r="AC5" t="e">
        <f>'Master Data'!AN6+"AM:!2m"</f>
        <v>#VALUE!</v>
      </c>
      <c r="AD5" t="e">
        <f>'Master Data'!AO6+"AM:!2n"</f>
        <v>#VALUE!</v>
      </c>
      <c r="AE5" t="e">
        <f>'Master Data'!AP6+"AM:!2o"</f>
        <v>#VALUE!</v>
      </c>
      <c r="AF5" t="e">
        <f>'Master Data'!A7+"AM:!2p"</f>
        <v>#VALUE!</v>
      </c>
      <c r="AG5" t="e">
        <f>'Master Data'!B7+"AM:!2q"</f>
        <v>#VALUE!</v>
      </c>
      <c r="AH5" t="e">
        <f>'Master Data'!C7+"AM:!2r"</f>
        <v>#VALUE!</v>
      </c>
      <c r="AI5" t="e">
        <f>'Master Data'!D7+"AM:!2s"</f>
        <v>#VALUE!</v>
      </c>
      <c r="AJ5" t="e">
        <f>'Master Data'!E7+"AM:!2t"</f>
        <v>#VALUE!</v>
      </c>
      <c r="AK5" t="e">
        <f>'Master Data'!F7+"AM:!2u"</f>
        <v>#VALUE!</v>
      </c>
      <c r="AL5" t="e">
        <f>'Master Data'!G7+"AM:!2v"</f>
        <v>#VALUE!</v>
      </c>
      <c r="AM5" t="e">
        <f>'Master Data'!I7+"AM:!2w"</f>
        <v>#VALUE!</v>
      </c>
      <c r="AN5" t="e">
        <f>'Master Data'!J7+"AM:!2x"</f>
        <v>#VALUE!</v>
      </c>
      <c r="AO5" t="e">
        <f>'Master Data'!K7+"AM:!2y"</f>
        <v>#VALUE!</v>
      </c>
      <c r="AP5" t="e">
        <f>'Master Data'!L7+"AM:!2z"</f>
        <v>#VALUE!</v>
      </c>
      <c r="AQ5" t="e">
        <f>'Master Data'!M7+"AM:!2{"</f>
        <v>#VALUE!</v>
      </c>
      <c r="AR5" t="e">
        <f>'Master Data'!N7+"AM:!2|"</f>
        <v>#VALUE!</v>
      </c>
      <c r="AS5" t="e">
        <f>'Master Data'!O7+"AM:!2}"</f>
        <v>#VALUE!</v>
      </c>
      <c r="AT5" t="e">
        <f>'Master Data'!P7+"AM:!2~"</f>
        <v>#VALUE!</v>
      </c>
      <c r="AU5" t="e">
        <f>'Master Data'!R7+"AM:!3#"</f>
        <v>#VALUE!</v>
      </c>
      <c r="AV5" t="e">
        <f>'Master Data'!S7+"AM:!3$"</f>
        <v>#VALUE!</v>
      </c>
      <c r="AW5" t="e">
        <f>'Master Data'!T7+"AM:!3%"</f>
        <v>#VALUE!</v>
      </c>
      <c r="AX5" t="e">
        <f>'Master Data'!U7+"AM:!3&amp;"</f>
        <v>#VALUE!</v>
      </c>
      <c r="AY5" t="e">
        <f>'Master Data'!V7+"AM:!3'"</f>
        <v>#VALUE!</v>
      </c>
      <c r="AZ5" t="e">
        <f>'Master Data'!W7+"AM:!3("</f>
        <v>#VALUE!</v>
      </c>
      <c r="BA5" t="e">
        <f>'Master Data'!X7+"AM:!3)"</f>
        <v>#VALUE!</v>
      </c>
      <c r="BB5" t="e">
        <f>'Master Data'!Y7+"AM:!3."</f>
        <v>#VALUE!</v>
      </c>
      <c r="BC5" t="e">
        <f>'Master Data'!Z7+"AM:!3/"</f>
        <v>#VALUE!</v>
      </c>
      <c r="BD5" t="e">
        <f>'Master Data'!AA7+"AM:!30"</f>
        <v>#VALUE!</v>
      </c>
      <c r="BE5" t="e">
        <f>'Master Data'!AB7+"AM:!31"</f>
        <v>#VALUE!</v>
      </c>
      <c r="BF5" t="e">
        <f>'Master Data'!AC7+"AM:!32"</f>
        <v>#VALUE!</v>
      </c>
      <c r="BG5" t="e">
        <f>'Master Data'!AD7+"AM:!33"</f>
        <v>#VALUE!</v>
      </c>
      <c r="BH5" t="e">
        <f>'Master Data'!AE7+"AM:!34"</f>
        <v>#VALUE!</v>
      </c>
      <c r="BI5" t="e">
        <f>'Master Data'!AF7+"AM:!35"</f>
        <v>#VALUE!</v>
      </c>
      <c r="BJ5" t="e">
        <f>'Master Data'!AG7+"AM:!36"</f>
        <v>#VALUE!</v>
      </c>
      <c r="BK5" t="e">
        <f>'Master Data'!AH7+"AM:!37"</f>
        <v>#VALUE!</v>
      </c>
      <c r="BL5" t="e">
        <f>'Master Data'!AI7+"AM:!38"</f>
        <v>#VALUE!</v>
      </c>
      <c r="BM5" t="e">
        <f>'Master Data'!AJ7+"AM:!39"</f>
        <v>#VALUE!</v>
      </c>
      <c r="BN5" t="e">
        <f>'Master Data'!AK7+"AM:!3:"</f>
        <v>#VALUE!</v>
      </c>
      <c r="BO5" t="e">
        <f>'Master Data'!AL7+"AM:!3;"</f>
        <v>#VALUE!</v>
      </c>
      <c r="BP5" t="e">
        <f>'Master Data'!AM7+"AM:!3&lt;"</f>
        <v>#VALUE!</v>
      </c>
      <c r="BQ5" t="e">
        <f>'Master Data'!AN7+"AM:!3="</f>
        <v>#VALUE!</v>
      </c>
      <c r="BR5" t="e">
        <f>'Master Data'!AO7+"AM:!3&gt;"</f>
        <v>#VALUE!</v>
      </c>
      <c r="BS5" t="e">
        <f>'Master Data'!AP7+"AM:!3?"</f>
        <v>#VALUE!</v>
      </c>
      <c r="BT5" t="e">
        <f>'Master Data'!A8+"AM:!3@"</f>
        <v>#VALUE!</v>
      </c>
      <c r="BU5" t="e">
        <f>'Master Data'!B8+"AM:!3A"</f>
        <v>#VALUE!</v>
      </c>
      <c r="BV5" t="e">
        <f>'Master Data'!C8+"AM:!3B"</f>
        <v>#VALUE!</v>
      </c>
      <c r="BW5" t="e">
        <f>'Master Data'!D8+"AM:!3C"</f>
        <v>#VALUE!</v>
      </c>
      <c r="BX5" t="e">
        <f>'Master Data'!E8+"AM:!3D"</f>
        <v>#VALUE!</v>
      </c>
      <c r="BY5" t="e">
        <f>'Master Data'!F8+"AM:!3E"</f>
        <v>#VALUE!</v>
      </c>
      <c r="BZ5" t="e">
        <f>'Master Data'!G8+"AM:!3F"</f>
        <v>#VALUE!</v>
      </c>
      <c r="CA5" t="e">
        <f>'Master Data'!I8+"AM:!3G"</f>
        <v>#VALUE!</v>
      </c>
      <c r="CB5" t="e">
        <f>'Master Data'!J8+"AM:!3H"</f>
        <v>#VALUE!</v>
      </c>
      <c r="CC5" t="e">
        <f>'Master Data'!K8+"AM:!3I"</f>
        <v>#VALUE!</v>
      </c>
      <c r="CD5" t="e">
        <f>'Master Data'!L8+"AM:!3J"</f>
        <v>#VALUE!</v>
      </c>
      <c r="CE5" t="e">
        <f>'Master Data'!M8+"AM:!3K"</f>
        <v>#VALUE!</v>
      </c>
      <c r="CF5" t="e">
        <f>'Master Data'!N8+"AM:!3L"</f>
        <v>#VALUE!</v>
      </c>
      <c r="CG5" t="e">
        <f>'Master Data'!O8+"AM:!3M"</f>
        <v>#VALUE!</v>
      </c>
      <c r="CH5" t="e">
        <f>'Master Data'!P8+"AM:!3N"</f>
        <v>#VALUE!</v>
      </c>
      <c r="CI5" t="e">
        <f>'Master Data'!T8+"AM:!3O"</f>
        <v>#VALUE!</v>
      </c>
      <c r="CJ5" t="e">
        <f>'Master Data'!U8+"AM:!3P"</f>
        <v>#VALUE!</v>
      </c>
      <c r="CK5" t="e">
        <f>'Master Data'!V8+"AM:!3Q"</f>
        <v>#VALUE!</v>
      </c>
      <c r="CL5" t="e">
        <f>'Master Data'!W8+"AM:!3R"</f>
        <v>#VALUE!</v>
      </c>
      <c r="CM5" t="e">
        <f>'Master Data'!X8+"AM:!3S"</f>
        <v>#VALUE!</v>
      </c>
      <c r="CN5" t="e">
        <f>'Master Data'!Y8+"AM:!3T"</f>
        <v>#VALUE!</v>
      </c>
      <c r="CO5" t="e">
        <f>'Master Data'!Z8+"AM:!3U"</f>
        <v>#VALUE!</v>
      </c>
      <c r="CP5" t="e">
        <f>'Master Data'!AA8+"AM:!3V"</f>
        <v>#VALUE!</v>
      </c>
      <c r="CQ5" t="e">
        <f>'Master Data'!AB8+"AM:!3W"</f>
        <v>#VALUE!</v>
      </c>
      <c r="CR5" t="e">
        <f>'Master Data'!AC8+"AM:!3X"</f>
        <v>#VALUE!</v>
      </c>
      <c r="CS5" t="e">
        <f>'Master Data'!AD8+"AM:!3Y"</f>
        <v>#VALUE!</v>
      </c>
      <c r="CT5" t="e">
        <f>'Master Data'!AE8+"AM:!3Z"</f>
        <v>#VALUE!</v>
      </c>
      <c r="CU5" t="e">
        <f>'Master Data'!AF8+"AM:!3["</f>
        <v>#VALUE!</v>
      </c>
      <c r="CV5" t="e">
        <f>'Master Data'!AG8+"AM:!3\"</f>
        <v>#VALUE!</v>
      </c>
      <c r="CW5" t="e">
        <f>'Master Data'!AH8+"AM:!3]"</f>
        <v>#VALUE!</v>
      </c>
      <c r="CX5" t="e">
        <f>'Master Data'!AI8+"AM:!3^"</f>
        <v>#VALUE!</v>
      </c>
      <c r="CY5" t="e">
        <f>'Master Data'!AJ8+"AM:!3_"</f>
        <v>#VALUE!</v>
      </c>
      <c r="CZ5" t="e">
        <f>'Master Data'!AK8+"AM:!3`"</f>
        <v>#VALUE!</v>
      </c>
      <c r="DA5" t="e">
        <f>'Master Data'!AL8+"AM:!3a"</f>
        <v>#VALUE!</v>
      </c>
      <c r="DB5" t="e">
        <f>'Master Data'!AM8+"AM:!3b"</f>
        <v>#VALUE!</v>
      </c>
      <c r="DC5" t="e">
        <f>'Master Data'!AN8+"AM:!3c"</f>
        <v>#VALUE!</v>
      </c>
      <c r="DD5" t="e">
        <f>'Master Data'!AO8+"AM:!3d"</f>
        <v>#VALUE!</v>
      </c>
      <c r="DE5" t="e">
        <f>'Master Data'!AP8+"AM:!3e"</f>
        <v>#VALUE!</v>
      </c>
      <c r="DF5" t="e">
        <f>'Master Data'!A9+"AM:!3f"</f>
        <v>#VALUE!</v>
      </c>
      <c r="DG5" t="e">
        <f>'Master Data'!B9+"AM:!3g"</f>
        <v>#VALUE!</v>
      </c>
      <c r="DH5" t="e">
        <f>'Master Data'!C9+"AM:!3h"</f>
        <v>#VALUE!</v>
      </c>
      <c r="DI5" t="e">
        <f>'Master Data'!D9+"AM:!3i"</f>
        <v>#VALUE!</v>
      </c>
      <c r="DJ5" t="e">
        <f>'Master Data'!E9+"AM:!3j"</f>
        <v>#VALUE!</v>
      </c>
      <c r="DK5" t="e">
        <f>'Master Data'!F9+"AM:!3k"</f>
        <v>#VALUE!</v>
      </c>
      <c r="DL5" t="e">
        <f>'Master Data'!G9+"AM:!3l"</f>
        <v>#VALUE!</v>
      </c>
      <c r="DM5" t="e">
        <f>'Master Data'!I10+"AM:!3m"</f>
        <v>#VALUE!</v>
      </c>
      <c r="DN5" t="e">
        <f>'Master Data'!J10+"AM:!3n"</f>
        <v>#VALUE!</v>
      </c>
      <c r="DO5" t="e">
        <f>'Master Data'!K10+"AM:!3o"</f>
        <v>#VALUE!</v>
      </c>
      <c r="DP5" t="e">
        <f>'Master Data'!L10+"AM:!3p"</f>
        <v>#VALUE!</v>
      </c>
      <c r="DQ5" t="e">
        <f>'Master Data'!M10+"AM:!3q"</f>
        <v>#VALUE!</v>
      </c>
      <c r="DR5" t="e">
        <f>'Master Data'!N10+"AM:!3r"</f>
        <v>#VALUE!</v>
      </c>
      <c r="DS5" t="e">
        <f>'Master Data'!O10+"AM:!3s"</f>
        <v>#VALUE!</v>
      </c>
      <c r="DT5" t="e">
        <f>'Master Data'!P9+"AM:!3t"</f>
        <v>#VALUE!</v>
      </c>
      <c r="DU5" t="e">
        <f>'Master Data'!Q9+"AM:!3u"</f>
        <v>#VALUE!</v>
      </c>
      <c r="DV5" t="e">
        <f>'Master Data'!R9+"AM:!3v"</f>
        <v>#VALUE!</v>
      </c>
      <c r="DW5" t="e">
        <f>'Master Data'!S9+"AM:!3w"</f>
        <v>#VALUE!</v>
      </c>
      <c r="DX5" t="e">
        <f>'Master Data'!T9+"AM:!3x"</f>
        <v>#VALUE!</v>
      </c>
      <c r="DY5" t="e">
        <f>'Master Data'!U9+"AM:!3y"</f>
        <v>#VALUE!</v>
      </c>
      <c r="DZ5" t="e">
        <f>'Master Data'!V9+"AM:!3z"</f>
        <v>#VALUE!</v>
      </c>
      <c r="EA5" t="e">
        <f>'Master Data'!W9+"AM:!3{"</f>
        <v>#VALUE!</v>
      </c>
      <c r="EB5" t="e">
        <f>'Master Data'!X9+"AM:!3|"</f>
        <v>#VALUE!</v>
      </c>
      <c r="EC5" t="e">
        <f>'Master Data'!Y9+"AM:!3}"</f>
        <v>#VALUE!</v>
      </c>
      <c r="ED5" t="e">
        <f>'Master Data'!Z9+"AM:!3~"</f>
        <v>#VALUE!</v>
      </c>
      <c r="EE5" t="e">
        <f>'Master Data'!AA9+"AM:!4#"</f>
        <v>#VALUE!</v>
      </c>
      <c r="EF5" t="e">
        <f>'Master Data'!AB9+"AM:!4$"</f>
        <v>#VALUE!</v>
      </c>
      <c r="EG5" t="e">
        <f>'Master Data'!AC9+"AM:!4%"</f>
        <v>#VALUE!</v>
      </c>
      <c r="EH5" t="e">
        <f>'Master Data'!AD9+"AM:!4&amp;"</f>
        <v>#VALUE!</v>
      </c>
      <c r="EI5" t="e">
        <f>'Master Data'!AE9+"AM:!4'"</f>
        <v>#VALUE!</v>
      </c>
      <c r="EJ5" t="e">
        <f>'Master Data'!AF9+"AM:!4("</f>
        <v>#VALUE!</v>
      </c>
      <c r="EK5" t="e">
        <f>'Master Data'!AG9+"AM:!4)"</f>
        <v>#VALUE!</v>
      </c>
      <c r="EL5" t="e">
        <f>'Master Data'!AH9+"AM:!4."</f>
        <v>#VALUE!</v>
      </c>
      <c r="EM5" t="e">
        <f>'Master Data'!AI9+"AM:!4/"</f>
        <v>#VALUE!</v>
      </c>
      <c r="EN5" t="e">
        <f>'Master Data'!AJ9+"AM:!40"</f>
        <v>#VALUE!</v>
      </c>
      <c r="EO5" t="e">
        <f>'Master Data'!AK9+"AM:!41"</f>
        <v>#VALUE!</v>
      </c>
      <c r="EP5" t="e">
        <f>'Master Data'!AL9+"AM:!42"</f>
        <v>#VALUE!</v>
      </c>
      <c r="EQ5" t="e">
        <f>'Master Data'!AM9+"AM:!43"</f>
        <v>#VALUE!</v>
      </c>
      <c r="ER5" t="e">
        <f>'Master Data'!AN9+"AM:!44"</f>
        <v>#VALUE!</v>
      </c>
      <c r="ES5" t="e">
        <f>'Master Data'!AO9+"AM:!45"</f>
        <v>#VALUE!</v>
      </c>
      <c r="ET5" t="e">
        <f>'Master Data'!AP9+"AM:!46"</f>
        <v>#VALUE!</v>
      </c>
      <c r="EU5" t="e">
        <f>'Master Data'!A10+"AM:!47"</f>
        <v>#VALUE!</v>
      </c>
      <c r="EV5" t="e">
        <f>'Master Data'!B10+"AM:!48"</f>
        <v>#VALUE!</v>
      </c>
      <c r="EW5" t="e">
        <f>'Master Data'!C10+"AM:!49"</f>
        <v>#VALUE!</v>
      </c>
      <c r="EX5" t="e">
        <f>'Master Data'!D10+"AM:!4:"</f>
        <v>#VALUE!</v>
      </c>
      <c r="EY5" t="e">
        <f>'Master Data'!E10+"AM:!4;"</f>
        <v>#VALUE!</v>
      </c>
      <c r="EZ5" t="e">
        <f>'Master Data'!F10+"AM:!4&lt;"</f>
        <v>#VALUE!</v>
      </c>
      <c r="FA5" t="e">
        <f>'Master Data'!G10+"AM:!4="</f>
        <v>#VALUE!</v>
      </c>
      <c r="FB5" t="e">
        <f>'Master Data'!I11+"AM:!4&gt;"</f>
        <v>#VALUE!</v>
      </c>
      <c r="FC5" t="e">
        <f>'Master Data'!J11+"AM:!4?"</f>
        <v>#VALUE!</v>
      </c>
      <c r="FD5" t="e">
        <f>'Master Data'!K11+"AM:!4@"</f>
        <v>#VALUE!</v>
      </c>
      <c r="FE5" t="e">
        <f>'Master Data'!L11+"AM:!4A"</f>
        <v>#VALUE!</v>
      </c>
      <c r="FF5" t="e">
        <f>'Master Data'!M11+"AM:!4B"</f>
        <v>#VALUE!</v>
      </c>
      <c r="FG5" t="e">
        <f>'Master Data'!N11+"AM:!4C"</f>
        <v>#VALUE!</v>
      </c>
      <c r="FH5" t="e">
        <f>'Master Data'!O11+"AM:!4D"</f>
        <v>#VALUE!</v>
      </c>
      <c r="FI5" t="e">
        <f>'Master Data'!P10+"AM:!4E"</f>
        <v>#VALUE!</v>
      </c>
      <c r="FJ5" t="e">
        <f>'Master Data'!Q10+"AM:!4F"</f>
        <v>#VALUE!</v>
      </c>
      <c r="FK5" t="e">
        <f>'Master Data'!R10+"AM:!4G"</f>
        <v>#VALUE!</v>
      </c>
      <c r="FL5" t="e">
        <f>'Master Data'!S10+"AM:!4H"</f>
        <v>#VALUE!</v>
      </c>
      <c r="FM5" t="e">
        <f>'Master Data'!T10+"AM:!4I"</f>
        <v>#VALUE!</v>
      </c>
      <c r="FN5" t="e">
        <f>'Master Data'!U10+"AM:!4J"</f>
        <v>#VALUE!</v>
      </c>
      <c r="FO5" t="e">
        <f>'Master Data'!V10+"AM:!4K"</f>
        <v>#VALUE!</v>
      </c>
      <c r="FP5" t="e">
        <f>'Master Data'!W10+"AM:!4L"</f>
        <v>#VALUE!</v>
      </c>
      <c r="FQ5" t="e">
        <f>'Master Data'!X10+"AM:!4M"</f>
        <v>#VALUE!</v>
      </c>
      <c r="FR5" t="e">
        <f>'Master Data'!Y10+"AM:!4N"</f>
        <v>#VALUE!</v>
      </c>
      <c r="FS5" t="e">
        <f>'Master Data'!Z10+"AM:!4O"</f>
        <v>#VALUE!</v>
      </c>
      <c r="FT5" t="e">
        <f>'Master Data'!AA10+"AM:!4P"</f>
        <v>#VALUE!</v>
      </c>
      <c r="FU5" t="e">
        <f>'Master Data'!AB10+"AM:!4Q"</f>
        <v>#VALUE!</v>
      </c>
      <c r="FV5" t="e">
        <f>'Master Data'!AC10+"AM:!4R"</f>
        <v>#VALUE!</v>
      </c>
      <c r="FW5" t="e">
        <f>'Master Data'!AD10+"AM:!4S"</f>
        <v>#VALUE!</v>
      </c>
      <c r="FX5" t="e">
        <f>'Master Data'!AE10+"AM:!4T"</f>
        <v>#VALUE!</v>
      </c>
      <c r="FY5" t="e">
        <f>'Master Data'!AF10+"AM:!4U"</f>
        <v>#VALUE!</v>
      </c>
      <c r="FZ5" t="e">
        <f>'Master Data'!AG10+"AM:!4V"</f>
        <v>#VALUE!</v>
      </c>
      <c r="GA5" t="e">
        <f>'Master Data'!AH10+"AM:!4W"</f>
        <v>#VALUE!</v>
      </c>
      <c r="GB5" t="e">
        <f>'Master Data'!AI10+"AM:!4X"</f>
        <v>#VALUE!</v>
      </c>
      <c r="GC5" t="e">
        <f>'Master Data'!AJ10+"AM:!4Y"</f>
        <v>#VALUE!</v>
      </c>
      <c r="GD5" t="e">
        <f>'Master Data'!AK10+"AM:!4Z"</f>
        <v>#VALUE!</v>
      </c>
      <c r="GE5" t="e">
        <f>'Master Data'!AL10+"AM:!4["</f>
        <v>#VALUE!</v>
      </c>
      <c r="GF5" t="e">
        <f>'Master Data'!AM10+"AM:!4\"</f>
        <v>#VALUE!</v>
      </c>
      <c r="GG5" t="e">
        <f>'Master Data'!AN10+"AM:!4]"</f>
        <v>#VALUE!</v>
      </c>
      <c r="GH5" t="e">
        <f>'Master Data'!AO10+"AM:!4^"</f>
        <v>#VALUE!</v>
      </c>
      <c r="GI5" t="e">
        <f>'Master Data'!AP10+"AM:!4_"</f>
        <v>#VALUE!</v>
      </c>
      <c r="GJ5" t="e">
        <f>'Master Data'!A11+"AM:!4`"</f>
        <v>#VALUE!</v>
      </c>
      <c r="GK5" t="e">
        <f>'Master Data'!B11+"AM:!4a"</f>
        <v>#VALUE!</v>
      </c>
      <c r="GL5" t="e">
        <f>'Master Data'!C11+"AM:!4b"</f>
        <v>#VALUE!</v>
      </c>
      <c r="GM5" t="e">
        <f>'Master Data'!D11+"AM:!4c"</f>
        <v>#VALUE!</v>
      </c>
      <c r="GN5" t="e">
        <f>'Master Data'!E11+"AM:!4d"</f>
        <v>#VALUE!</v>
      </c>
      <c r="GO5" t="e">
        <f>'Master Data'!F11+"AM:!4e"</f>
        <v>#VALUE!</v>
      </c>
      <c r="GP5" t="e">
        <f>'Master Data'!G11+"AM:!4f"</f>
        <v>#VALUE!</v>
      </c>
      <c r="GQ5" t="e">
        <f>'Master Data'!#REF!+"AM:!4g"</f>
        <v>#REF!</v>
      </c>
      <c r="GR5" t="e">
        <f>'Master Data'!#REF!+"AM:!4h"</f>
        <v>#REF!</v>
      </c>
      <c r="GS5" t="e">
        <f>'Master Data'!#REF!+"AM:!4i"</f>
        <v>#REF!</v>
      </c>
      <c r="GT5" t="e">
        <f>'Master Data'!#REF!+"AM:!4j"</f>
        <v>#REF!</v>
      </c>
      <c r="GU5" t="e">
        <f>'Master Data'!#REF!+"AM:!4k"</f>
        <v>#REF!</v>
      </c>
      <c r="GV5" t="e">
        <f>'Master Data'!#REF!+"AM:!4l"</f>
        <v>#REF!</v>
      </c>
      <c r="GW5" t="e">
        <f>'Master Data'!#REF!+"AM:!4m"</f>
        <v>#REF!</v>
      </c>
      <c r="GX5" t="e">
        <f>'Master Data'!P11+"AM:!4n"</f>
        <v>#VALUE!</v>
      </c>
      <c r="GY5" t="e">
        <f>'Master Data'!Q11+"AM:!4o"</f>
        <v>#VALUE!</v>
      </c>
      <c r="GZ5" t="e">
        <f>'Master Data'!R11+"AM:!4p"</f>
        <v>#VALUE!</v>
      </c>
      <c r="HA5" t="e">
        <f>'Master Data'!S11+"AM:!4q"</f>
        <v>#VALUE!</v>
      </c>
      <c r="HB5" t="e">
        <f>'Master Data'!T11+"AM:!4r"</f>
        <v>#VALUE!</v>
      </c>
      <c r="HC5" t="e">
        <f>'Master Data'!U11+"AM:!4s"</f>
        <v>#VALUE!</v>
      </c>
      <c r="HD5" t="e">
        <f>'Master Data'!V11+"AM:!4t"</f>
        <v>#VALUE!</v>
      </c>
      <c r="HE5" t="e">
        <f>'Master Data'!W11+"AM:!4u"</f>
        <v>#VALUE!</v>
      </c>
      <c r="HF5" t="e">
        <f>'Master Data'!X11+"AM:!4v"</f>
        <v>#VALUE!</v>
      </c>
      <c r="HG5" t="e">
        <f>'Master Data'!Y11+"AM:!4w"</f>
        <v>#VALUE!</v>
      </c>
      <c r="HH5" t="e">
        <f>'Master Data'!Z11+"AM:!4x"</f>
        <v>#VALUE!</v>
      </c>
      <c r="HI5" t="e">
        <f>'Master Data'!AA11+"AM:!4y"</f>
        <v>#VALUE!</v>
      </c>
      <c r="HJ5" t="e">
        <f>'Master Data'!AB11+"AM:!4z"</f>
        <v>#VALUE!</v>
      </c>
      <c r="HK5" t="e">
        <f>'Master Data'!AC11+"AM:!4{"</f>
        <v>#VALUE!</v>
      </c>
      <c r="HL5" t="e">
        <f>'Master Data'!AD11+"AM:!4|"</f>
        <v>#VALUE!</v>
      </c>
      <c r="HM5" t="e">
        <f>'Master Data'!AE11+"AM:!4}"</f>
        <v>#VALUE!</v>
      </c>
      <c r="HN5" t="e">
        <f>'Master Data'!AF11+"AM:!4~"</f>
        <v>#VALUE!</v>
      </c>
      <c r="HO5" t="e">
        <f>'Master Data'!AG11+"AM:!5#"</f>
        <v>#VALUE!</v>
      </c>
      <c r="HP5" t="e">
        <f>'Master Data'!AH11+"AM:!5$"</f>
        <v>#VALUE!</v>
      </c>
      <c r="HQ5" t="e">
        <f>'Master Data'!AI11+"AM:!5%"</f>
        <v>#VALUE!</v>
      </c>
      <c r="HR5" t="e">
        <f>'Master Data'!AJ11+"AM:!5&amp;"</f>
        <v>#VALUE!</v>
      </c>
      <c r="HS5" t="e">
        <f>'Master Data'!AK11+"AM:!5'"</f>
        <v>#VALUE!</v>
      </c>
      <c r="HT5" t="e">
        <f>'Master Data'!AL11+"AM:!5("</f>
        <v>#VALUE!</v>
      </c>
      <c r="HU5" t="e">
        <f>'Master Data'!AM11+"AM:!5)"</f>
        <v>#VALUE!</v>
      </c>
      <c r="HV5" t="e">
        <f>'Master Data'!AN11+"AM:!5."</f>
        <v>#VALUE!</v>
      </c>
      <c r="HW5" t="e">
        <f>'Master Data'!AO11+"AM:!5/"</f>
        <v>#VALUE!</v>
      </c>
      <c r="HX5" t="e">
        <f>'Master Data'!AP11+"AM:!50"</f>
        <v>#VALUE!</v>
      </c>
      <c r="HY5" t="e">
        <f>'Master Data'!A13+"AM:!51"</f>
        <v>#VALUE!</v>
      </c>
      <c r="HZ5" t="e">
        <f>'Master Data'!B13+"AM:!52"</f>
        <v>#VALUE!</v>
      </c>
      <c r="IA5" t="e">
        <f>'Master Data'!C13+"AM:!53"</f>
        <v>#VALUE!</v>
      </c>
      <c r="IB5" t="e">
        <f>'Master Data'!D13+"AM:!54"</f>
        <v>#VALUE!</v>
      </c>
      <c r="IC5" t="e">
        <f>'Master Data'!E13+"AM:!55"</f>
        <v>#VALUE!</v>
      </c>
      <c r="ID5" t="e">
        <f>'Master Data'!F13+"AM:!56"</f>
        <v>#VALUE!</v>
      </c>
      <c r="IE5" t="e">
        <f>'Master Data'!G13+"AM:!57"</f>
        <v>#VALUE!</v>
      </c>
      <c r="IF5" t="e">
        <f>'Master Data'!I13+"AM:!58"</f>
        <v>#VALUE!</v>
      </c>
      <c r="IG5" t="e">
        <f>'Master Data'!J13+"AM:!59"</f>
        <v>#VALUE!</v>
      </c>
      <c r="IH5" t="e">
        <f>'Master Data'!K13+"AM:!5:"</f>
        <v>#VALUE!</v>
      </c>
      <c r="II5" t="e">
        <f>'Master Data'!L13+"AM:!5;"</f>
        <v>#VALUE!</v>
      </c>
      <c r="IJ5" t="e">
        <f>'Master Data'!M13+"AM:!5&lt;"</f>
        <v>#VALUE!</v>
      </c>
      <c r="IK5" t="e">
        <f>'Master Data'!N13+"AM:!5="</f>
        <v>#VALUE!</v>
      </c>
      <c r="IL5" t="e">
        <f>'Master Data'!O13+"AM:!5&gt;"</f>
        <v>#VALUE!</v>
      </c>
      <c r="IM5" t="e">
        <f>'Master Data'!P12+"AM:!5?"</f>
        <v>#VALUE!</v>
      </c>
      <c r="IN5" t="e">
        <f>'Master Data'!Q12+"AM:!5@"</f>
        <v>#VALUE!</v>
      </c>
      <c r="IO5" t="e">
        <f>'Master Data'!R12+"AM:!5A"</f>
        <v>#VALUE!</v>
      </c>
      <c r="IP5" t="e">
        <f>'Master Data'!S12+"AM:!5B"</f>
        <v>#VALUE!</v>
      </c>
      <c r="IQ5" t="e">
        <f>'Master Data'!T12+"AM:!5C"</f>
        <v>#VALUE!</v>
      </c>
      <c r="IR5" t="e">
        <f>'Master Data'!U12+"AM:!5D"</f>
        <v>#VALUE!</v>
      </c>
      <c r="IS5" t="e">
        <f>'Master Data'!V12+"AM:!5E"</f>
        <v>#VALUE!</v>
      </c>
      <c r="IT5" t="e">
        <f>'Master Data'!W12+"AM:!5F"</f>
        <v>#VALUE!</v>
      </c>
      <c r="IU5" t="e">
        <f>'Master Data'!X12+"AM:!5G"</f>
        <v>#VALUE!</v>
      </c>
      <c r="IV5" t="e">
        <f>'Master Data'!Y12+"AM:!5H"</f>
        <v>#VALUE!</v>
      </c>
    </row>
    <row r="6" spans="1:256">
      <c r="F6" t="e">
        <f>'Master Data'!Z12+"AM:!5I"</f>
        <v>#VALUE!</v>
      </c>
      <c r="G6" t="e">
        <f>'Master Data'!AA12+"AM:!5J"</f>
        <v>#VALUE!</v>
      </c>
      <c r="H6" t="e">
        <f>'Master Data'!AB12+"AM:!5K"</f>
        <v>#VALUE!</v>
      </c>
      <c r="I6" t="e">
        <f>'Master Data'!AC12+"AM:!5L"</f>
        <v>#VALUE!</v>
      </c>
      <c r="J6" t="e">
        <f>'Master Data'!AD12+"AM:!5M"</f>
        <v>#VALUE!</v>
      </c>
      <c r="K6" t="e">
        <f>'Master Data'!AE12+"AM:!5N"</f>
        <v>#VALUE!</v>
      </c>
      <c r="L6" t="e">
        <f>'Master Data'!AF12+"AM:!5O"</f>
        <v>#VALUE!</v>
      </c>
      <c r="M6" t="e">
        <f>'Master Data'!AG12+"AM:!5P"</f>
        <v>#VALUE!</v>
      </c>
      <c r="N6" t="e">
        <f>'Master Data'!AH12+"AM:!5Q"</f>
        <v>#VALUE!</v>
      </c>
      <c r="O6" t="e">
        <f>'Master Data'!AI12+"AM:!5R"</f>
        <v>#VALUE!</v>
      </c>
      <c r="P6" t="e">
        <f>'Master Data'!AJ12+"AM:!5S"</f>
        <v>#VALUE!</v>
      </c>
      <c r="Q6" t="e">
        <f>'Master Data'!AK12+"AM:!5T"</f>
        <v>#VALUE!</v>
      </c>
      <c r="R6" t="e">
        <f>'Master Data'!AL12+"AM:!5U"</f>
        <v>#VALUE!</v>
      </c>
      <c r="S6" t="e">
        <f>'Master Data'!AM12+"AM:!5V"</f>
        <v>#VALUE!</v>
      </c>
      <c r="T6" t="e">
        <f>'Master Data'!AN12+"AM:!5W"</f>
        <v>#VALUE!</v>
      </c>
      <c r="U6" t="e">
        <f>'Master Data'!AO12+"AM:!5X"</f>
        <v>#VALUE!</v>
      </c>
      <c r="V6" t="e">
        <f>'Master Data'!AP12+"AM:!5Y"</f>
        <v>#VALUE!</v>
      </c>
      <c r="W6" t="e">
        <f>'Master Data'!A14+"AM:!5Z"</f>
        <v>#VALUE!</v>
      </c>
      <c r="X6" t="e">
        <f>'Master Data'!B14+"AM:!5["</f>
        <v>#VALUE!</v>
      </c>
      <c r="Y6" t="e">
        <f>'Master Data'!C14+"AM:!5\"</f>
        <v>#VALUE!</v>
      </c>
      <c r="Z6" t="e">
        <f>'Master Data'!D14+"AM:!5]"</f>
        <v>#VALUE!</v>
      </c>
      <c r="AA6" t="e">
        <f>'Master Data'!E14+"AM:!5^"</f>
        <v>#VALUE!</v>
      </c>
      <c r="AB6" t="e">
        <f>'Master Data'!F14+"AM:!5_"</f>
        <v>#VALUE!</v>
      </c>
      <c r="AC6" t="e">
        <f>'Master Data'!G14+"AM:!5`"</f>
        <v>#VALUE!</v>
      </c>
      <c r="AD6" t="e">
        <f>'Master Data'!I14+"AM:!5a"</f>
        <v>#VALUE!</v>
      </c>
      <c r="AE6" t="e">
        <f>'Master Data'!J14+"AM:!5b"</f>
        <v>#VALUE!</v>
      </c>
      <c r="AF6" t="e">
        <f>'Master Data'!K14+"AM:!5c"</f>
        <v>#VALUE!</v>
      </c>
      <c r="AG6" t="e">
        <f>'Master Data'!L14+"AM:!5d"</f>
        <v>#VALUE!</v>
      </c>
      <c r="AH6" t="e">
        <f>'Master Data'!M14+"AM:!5e"</f>
        <v>#VALUE!</v>
      </c>
      <c r="AI6" t="e">
        <f>'Master Data'!N14+"AM:!5f"</f>
        <v>#VALUE!</v>
      </c>
      <c r="AJ6" t="e">
        <f>'Master Data'!O14+"AM:!5g"</f>
        <v>#VALUE!</v>
      </c>
      <c r="AK6" t="e">
        <f>'Master Data'!P13+"AM:!5h"</f>
        <v>#VALUE!</v>
      </c>
      <c r="AL6" t="e">
        <f>'Master Data'!Q13+"AM:!5i"</f>
        <v>#VALUE!</v>
      </c>
      <c r="AM6" t="e">
        <f>'Master Data'!R13+"AM:!5j"</f>
        <v>#VALUE!</v>
      </c>
      <c r="AN6" t="e">
        <f>'Master Data'!S13+"AM:!5k"</f>
        <v>#VALUE!</v>
      </c>
      <c r="AO6" t="e">
        <f>'Master Data'!T13+"AM:!5l"</f>
        <v>#VALUE!</v>
      </c>
      <c r="AP6" t="e">
        <f>'Master Data'!U13+"AM:!5m"</f>
        <v>#VALUE!</v>
      </c>
      <c r="AQ6" t="e">
        <f>'Master Data'!V13+"AM:!5n"</f>
        <v>#VALUE!</v>
      </c>
      <c r="AR6" t="e">
        <f>'Master Data'!W13+"AM:!5o"</f>
        <v>#VALUE!</v>
      </c>
      <c r="AS6" t="e">
        <f>'Master Data'!X13+"AM:!5p"</f>
        <v>#VALUE!</v>
      </c>
      <c r="AT6" t="e">
        <f>'Master Data'!Y13+"AM:!5q"</f>
        <v>#VALUE!</v>
      </c>
      <c r="AU6" t="e">
        <f>'Master Data'!Z13+"AM:!5r"</f>
        <v>#VALUE!</v>
      </c>
      <c r="AV6" t="e">
        <f>'Master Data'!AA13+"AM:!5s"</f>
        <v>#VALUE!</v>
      </c>
      <c r="AW6" t="e">
        <f>'Master Data'!AB13+"AM:!5t"</f>
        <v>#VALUE!</v>
      </c>
      <c r="AX6" t="e">
        <f>'Master Data'!AC13+"AM:!5u"</f>
        <v>#VALUE!</v>
      </c>
      <c r="AY6" t="e">
        <f>'Master Data'!AD13+"AM:!5v"</f>
        <v>#VALUE!</v>
      </c>
      <c r="AZ6" t="e">
        <f>'Master Data'!AE13+"AM:!5w"</f>
        <v>#VALUE!</v>
      </c>
      <c r="BA6" t="e">
        <f>'Master Data'!AF13+"AM:!5x"</f>
        <v>#VALUE!</v>
      </c>
      <c r="BB6" t="e">
        <f>'Master Data'!AG13+"AM:!5y"</f>
        <v>#VALUE!</v>
      </c>
      <c r="BC6" t="e">
        <f>'Master Data'!AH13+"AM:!5z"</f>
        <v>#VALUE!</v>
      </c>
      <c r="BD6" t="e">
        <f>'Master Data'!AI13+"AM:!5{"</f>
        <v>#VALUE!</v>
      </c>
      <c r="BE6" t="e">
        <f>'Master Data'!AJ13+"AM:!5|"</f>
        <v>#VALUE!</v>
      </c>
      <c r="BF6" t="e">
        <f>'Master Data'!AK13+"AM:!5}"</f>
        <v>#VALUE!</v>
      </c>
      <c r="BG6" t="e">
        <f>'Master Data'!AL13+"AM:!5~"</f>
        <v>#VALUE!</v>
      </c>
      <c r="BH6" t="e">
        <f>'Master Data'!AM13+"AM:!6#"</f>
        <v>#VALUE!</v>
      </c>
      <c r="BI6" t="e">
        <f>'Master Data'!AN13+"AM:!6$"</f>
        <v>#VALUE!</v>
      </c>
      <c r="BJ6" t="e">
        <f>'Master Data'!AO13+"AM:!6%"</f>
        <v>#VALUE!</v>
      </c>
      <c r="BK6" t="e">
        <f>'Master Data'!AP13+"AM:!6&amp;"</f>
        <v>#VALUE!</v>
      </c>
      <c r="BL6" t="e">
        <f>'Master Data'!A15+"AM:!6'"</f>
        <v>#VALUE!</v>
      </c>
      <c r="BM6" t="e">
        <f>'Master Data'!B15+"AM:!6("</f>
        <v>#VALUE!</v>
      </c>
      <c r="BN6" t="e">
        <f>'Master Data'!C15+"AM:!6)"</f>
        <v>#VALUE!</v>
      </c>
      <c r="BO6" t="e">
        <f>'Master Data'!D15+"AM:!6."</f>
        <v>#VALUE!</v>
      </c>
      <c r="BP6" t="e">
        <f>'Master Data'!E15+"AM:!6/"</f>
        <v>#VALUE!</v>
      </c>
      <c r="BQ6" t="e">
        <f>'Master Data'!F15+"AM:!60"</f>
        <v>#VALUE!</v>
      </c>
      <c r="BR6" t="e">
        <f>'Master Data'!G15+"AM:!61"</f>
        <v>#VALUE!</v>
      </c>
      <c r="BS6" t="e">
        <f>'Master Data'!I15+"AM:!62"</f>
        <v>#VALUE!</v>
      </c>
      <c r="BT6" t="e">
        <f>'Master Data'!J15+"AM:!63"</f>
        <v>#VALUE!</v>
      </c>
      <c r="BU6" t="e">
        <f>'Master Data'!K15+"AM:!64"</f>
        <v>#VALUE!</v>
      </c>
      <c r="BV6" t="e">
        <f>'Master Data'!L15+"AM:!65"</f>
        <v>#VALUE!</v>
      </c>
      <c r="BW6" t="e">
        <f>'Master Data'!M15+"AM:!66"</f>
        <v>#VALUE!</v>
      </c>
      <c r="BX6" t="e">
        <f>'Master Data'!N15+"AM:!67"</f>
        <v>#VALUE!</v>
      </c>
      <c r="BY6" t="e">
        <f>'Master Data'!O15+"AM:!68"</f>
        <v>#VALUE!</v>
      </c>
      <c r="BZ6" t="e">
        <f>'Master Data'!P14+"AM:!69"</f>
        <v>#VALUE!</v>
      </c>
      <c r="CA6" t="e">
        <f>'Master Data'!Q14+"AM:!6:"</f>
        <v>#VALUE!</v>
      </c>
      <c r="CB6" t="e">
        <f>'Master Data'!R14+"AM:!6;"</f>
        <v>#VALUE!</v>
      </c>
      <c r="CC6" t="e">
        <f>'Master Data'!S14+"AM:!6&lt;"</f>
        <v>#VALUE!</v>
      </c>
      <c r="CD6" t="e">
        <f>'Master Data'!T14+"AM:!6="</f>
        <v>#VALUE!</v>
      </c>
      <c r="CE6" t="e">
        <f>'Master Data'!U14+"AM:!6&gt;"</f>
        <v>#VALUE!</v>
      </c>
      <c r="CF6" t="e">
        <f>'Master Data'!V14+"AM:!6?"</f>
        <v>#VALUE!</v>
      </c>
      <c r="CG6" t="e">
        <f>'Master Data'!W14+"AM:!6@"</f>
        <v>#VALUE!</v>
      </c>
      <c r="CH6" t="e">
        <f>'Master Data'!X14+"AM:!6A"</f>
        <v>#VALUE!</v>
      </c>
      <c r="CI6" t="e">
        <f>'Master Data'!Y14+"AM:!6B"</f>
        <v>#VALUE!</v>
      </c>
      <c r="CJ6" t="e">
        <f>'Master Data'!Z14+"AM:!6C"</f>
        <v>#VALUE!</v>
      </c>
      <c r="CK6" t="e">
        <f>'Master Data'!AA14+"AM:!6D"</f>
        <v>#VALUE!</v>
      </c>
      <c r="CL6" t="e">
        <f>'Master Data'!AB14+"AM:!6E"</f>
        <v>#VALUE!</v>
      </c>
      <c r="CM6" t="e">
        <f>'Master Data'!AC14+"AM:!6F"</f>
        <v>#VALUE!</v>
      </c>
      <c r="CN6" t="e">
        <f>'Master Data'!AD14+"AM:!6G"</f>
        <v>#VALUE!</v>
      </c>
      <c r="CO6" t="e">
        <f>'Master Data'!AE14+"AM:!6H"</f>
        <v>#VALUE!</v>
      </c>
      <c r="CP6" t="e">
        <f>'Master Data'!AF14+"AM:!6I"</f>
        <v>#VALUE!</v>
      </c>
      <c r="CQ6" t="e">
        <f>'Master Data'!AG14+"AM:!6J"</f>
        <v>#VALUE!</v>
      </c>
      <c r="CR6" t="e">
        <f>'Master Data'!AH14+"AM:!6K"</f>
        <v>#VALUE!</v>
      </c>
      <c r="CS6" t="e">
        <f>'Master Data'!AI14+"AM:!6L"</f>
        <v>#VALUE!</v>
      </c>
      <c r="CT6" t="e">
        <f>'Master Data'!AJ14+"AM:!6M"</f>
        <v>#VALUE!</v>
      </c>
      <c r="CU6" t="e">
        <f>'Master Data'!AK14+"AM:!6N"</f>
        <v>#VALUE!</v>
      </c>
      <c r="CV6" t="e">
        <f>'Master Data'!AL14+"AM:!6O"</f>
        <v>#VALUE!</v>
      </c>
      <c r="CW6" t="e">
        <f>'Master Data'!AM14+"AM:!6P"</f>
        <v>#VALUE!</v>
      </c>
      <c r="CX6" t="e">
        <f>'Master Data'!AN14+"AM:!6Q"</f>
        <v>#VALUE!</v>
      </c>
      <c r="CY6" t="e">
        <f>'Master Data'!AO14+"AM:!6R"</f>
        <v>#VALUE!</v>
      </c>
      <c r="CZ6" t="e">
        <f>'Master Data'!AP14+"AM:!6S"</f>
        <v>#VALUE!</v>
      </c>
      <c r="DA6" t="e">
        <f>'Master Data'!A16+"AM:!6T"</f>
        <v>#VALUE!</v>
      </c>
      <c r="DB6" t="e">
        <f>'Master Data'!B16+"AM:!6U"</f>
        <v>#VALUE!</v>
      </c>
      <c r="DC6" t="e">
        <f>'Master Data'!C16+"AM:!6V"</f>
        <v>#VALUE!</v>
      </c>
      <c r="DD6" t="e">
        <f>'Master Data'!D16+"AM:!6W"</f>
        <v>#VALUE!</v>
      </c>
      <c r="DE6" t="e">
        <f>'Master Data'!E16+"AM:!6X"</f>
        <v>#VALUE!</v>
      </c>
      <c r="DF6" t="e">
        <f>'Master Data'!F16+"AM:!6Y"</f>
        <v>#VALUE!</v>
      </c>
      <c r="DG6" t="e">
        <f>'Master Data'!G16+"AM:!6Z"</f>
        <v>#VALUE!</v>
      </c>
      <c r="DH6" t="e">
        <f>'Master Data'!I16+"AM:!6["</f>
        <v>#VALUE!</v>
      </c>
      <c r="DI6" t="e">
        <f>'Master Data'!J16+"AM:!6\"</f>
        <v>#VALUE!</v>
      </c>
      <c r="DJ6" t="e">
        <f>'Master Data'!K16+"AM:!6]"</f>
        <v>#VALUE!</v>
      </c>
      <c r="DK6" t="e">
        <f>'Master Data'!L16+"AM:!6^"</f>
        <v>#VALUE!</v>
      </c>
      <c r="DL6" t="e">
        <f>'Master Data'!M16+"AM:!6_"</f>
        <v>#VALUE!</v>
      </c>
      <c r="DM6" t="e">
        <f>'Master Data'!N16+"AM:!6`"</f>
        <v>#VALUE!</v>
      </c>
      <c r="DN6" t="e">
        <f>'Master Data'!O16+"AM:!6a"</f>
        <v>#VALUE!</v>
      </c>
      <c r="DO6" t="e">
        <f>'Master Data'!P15+"AM:!6b"</f>
        <v>#VALUE!</v>
      </c>
      <c r="DP6" t="e">
        <f>'Master Data'!Q15+"AM:!6c"</f>
        <v>#VALUE!</v>
      </c>
      <c r="DQ6" t="e">
        <f>'Master Data'!R15+"AM:!6d"</f>
        <v>#VALUE!</v>
      </c>
      <c r="DR6" t="e">
        <f>'Master Data'!S15+"AM:!6e"</f>
        <v>#VALUE!</v>
      </c>
      <c r="DS6" t="e">
        <f>'Master Data'!T15+"AM:!6f"</f>
        <v>#VALUE!</v>
      </c>
      <c r="DT6" t="e">
        <f>'Master Data'!U15+"AM:!6g"</f>
        <v>#VALUE!</v>
      </c>
      <c r="DU6" t="e">
        <f>'Master Data'!V15+"AM:!6h"</f>
        <v>#VALUE!</v>
      </c>
      <c r="DV6" t="e">
        <f>'Master Data'!W15+"AM:!6i"</f>
        <v>#VALUE!</v>
      </c>
      <c r="DW6" t="e">
        <f>'Master Data'!X15+"AM:!6j"</f>
        <v>#VALUE!</v>
      </c>
      <c r="DX6" t="e">
        <f>'Master Data'!Y15+"AM:!6k"</f>
        <v>#VALUE!</v>
      </c>
      <c r="DY6" t="e">
        <f>'Master Data'!Z15+"AM:!6l"</f>
        <v>#VALUE!</v>
      </c>
      <c r="DZ6" t="e">
        <f>'Master Data'!AA15+"AM:!6m"</f>
        <v>#VALUE!</v>
      </c>
      <c r="EA6" t="e">
        <f>'Master Data'!AB15+"AM:!6n"</f>
        <v>#VALUE!</v>
      </c>
      <c r="EB6" t="e">
        <f>'Master Data'!AC15+"AM:!6o"</f>
        <v>#VALUE!</v>
      </c>
      <c r="EC6" t="e">
        <f>'Master Data'!AD15+"AM:!6p"</f>
        <v>#VALUE!</v>
      </c>
      <c r="ED6" t="e">
        <f>'Master Data'!AE15+"AM:!6q"</f>
        <v>#VALUE!</v>
      </c>
      <c r="EE6" t="e">
        <f>'Master Data'!AF15+"AM:!6r"</f>
        <v>#VALUE!</v>
      </c>
      <c r="EF6" t="e">
        <f>'Master Data'!AG15+"AM:!6s"</f>
        <v>#VALUE!</v>
      </c>
      <c r="EG6" t="e">
        <f>'Master Data'!AH15+"AM:!6t"</f>
        <v>#VALUE!</v>
      </c>
      <c r="EH6" t="e">
        <f>'Master Data'!AI15+"AM:!6u"</f>
        <v>#VALUE!</v>
      </c>
      <c r="EI6" t="e">
        <f>'Master Data'!AJ15+"AM:!6v"</f>
        <v>#VALUE!</v>
      </c>
      <c r="EJ6" t="e">
        <f>'Master Data'!AK15+"AM:!6w"</f>
        <v>#VALUE!</v>
      </c>
      <c r="EK6" t="e">
        <f>'Master Data'!AL15+"AM:!6x"</f>
        <v>#VALUE!</v>
      </c>
      <c r="EL6" t="e">
        <f>'Master Data'!AM15+"AM:!6y"</f>
        <v>#VALUE!</v>
      </c>
      <c r="EM6" t="e">
        <f>'Master Data'!AN15+"AM:!6z"</f>
        <v>#VALUE!</v>
      </c>
      <c r="EN6" t="e">
        <f>'Master Data'!AO15+"AM:!6{"</f>
        <v>#VALUE!</v>
      </c>
      <c r="EO6" t="e">
        <f>'Master Data'!AP15+"AM:!6|"</f>
        <v>#VALUE!</v>
      </c>
      <c r="EP6" t="e">
        <f>'Master Data'!A17+"AM:!6}"</f>
        <v>#VALUE!</v>
      </c>
      <c r="EQ6" t="e">
        <f>'Master Data'!B17+"AM:!6~"</f>
        <v>#VALUE!</v>
      </c>
      <c r="ER6" t="e">
        <f>'Master Data'!C17+"AM:!7#"</f>
        <v>#VALUE!</v>
      </c>
      <c r="ES6" t="e">
        <f>'Master Data'!D17+"AM:!7$"</f>
        <v>#VALUE!</v>
      </c>
      <c r="ET6" t="e">
        <f>'Master Data'!E17+"AM:!7%"</f>
        <v>#VALUE!</v>
      </c>
      <c r="EU6" t="e">
        <f>'Master Data'!F17+"AM:!7&amp;"</f>
        <v>#VALUE!</v>
      </c>
      <c r="EV6" t="e">
        <f>'Master Data'!G17+"AM:!7'"</f>
        <v>#VALUE!</v>
      </c>
      <c r="EW6" t="e">
        <f>'Master Data'!I17+"AM:!7("</f>
        <v>#VALUE!</v>
      </c>
      <c r="EX6" t="e">
        <f>'Master Data'!J17+"AM:!7)"</f>
        <v>#VALUE!</v>
      </c>
      <c r="EY6" t="e">
        <f>'Master Data'!K17+"AM:!7."</f>
        <v>#VALUE!</v>
      </c>
      <c r="EZ6" t="e">
        <f>'Master Data'!L17+"AM:!7/"</f>
        <v>#VALUE!</v>
      </c>
      <c r="FA6" t="e">
        <f>'Master Data'!M17+"AM:!70"</f>
        <v>#VALUE!</v>
      </c>
      <c r="FB6" t="e">
        <f>'Master Data'!N17+"AM:!71"</f>
        <v>#VALUE!</v>
      </c>
      <c r="FC6" t="e">
        <f>'Master Data'!O17+"AM:!72"</f>
        <v>#VALUE!</v>
      </c>
      <c r="FD6" t="e">
        <f>'Master Data'!P16+"AM:!73"</f>
        <v>#VALUE!</v>
      </c>
      <c r="FE6" t="e">
        <f>'Master Data'!Q16+"AM:!74"</f>
        <v>#VALUE!</v>
      </c>
      <c r="FF6" t="e">
        <f>'Master Data'!R16+"AM:!75"</f>
        <v>#VALUE!</v>
      </c>
      <c r="FG6" t="e">
        <f>'Master Data'!S16+"AM:!76"</f>
        <v>#VALUE!</v>
      </c>
      <c r="FH6" t="e">
        <f>'Master Data'!T16+"AM:!77"</f>
        <v>#VALUE!</v>
      </c>
      <c r="FI6" t="e">
        <f>'Master Data'!U16+"AM:!78"</f>
        <v>#VALUE!</v>
      </c>
      <c r="FJ6" t="e">
        <f>'Master Data'!V16+"AM:!79"</f>
        <v>#VALUE!</v>
      </c>
      <c r="FK6" t="e">
        <f>'Master Data'!W16+"AM:!7:"</f>
        <v>#VALUE!</v>
      </c>
      <c r="FL6" t="e">
        <f>'Master Data'!X16+"AM:!7;"</f>
        <v>#VALUE!</v>
      </c>
      <c r="FM6" t="e">
        <f>'Master Data'!Y16+"AM:!7&lt;"</f>
        <v>#VALUE!</v>
      </c>
      <c r="FN6" t="e">
        <f>'Master Data'!Z16+"AM:!7="</f>
        <v>#VALUE!</v>
      </c>
      <c r="FO6" t="e">
        <f>'Master Data'!AA16+"AM:!7&gt;"</f>
        <v>#VALUE!</v>
      </c>
      <c r="FP6" t="e">
        <f>'Master Data'!AB16+"AM:!7?"</f>
        <v>#VALUE!</v>
      </c>
      <c r="FQ6" t="e">
        <f>'Master Data'!AC16+"AM:!7@"</f>
        <v>#VALUE!</v>
      </c>
      <c r="FR6" t="e">
        <f>'Master Data'!AD16+"AM:!7A"</f>
        <v>#VALUE!</v>
      </c>
      <c r="FS6" t="e">
        <f>'Master Data'!AE16+"AM:!7B"</f>
        <v>#VALUE!</v>
      </c>
      <c r="FT6" t="e">
        <f>'Master Data'!AF16+"AM:!7C"</f>
        <v>#VALUE!</v>
      </c>
      <c r="FU6" t="e">
        <f>'Master Data'!AG16+"AM:!7D"</f>
        <v>#VALUE!</v>
      </c>
      <c r="FV6" t="e">
        <f>'Master Data'!AH16+"AM:!7E"</f>
        <v>#VALUE!</v>
      </c>
      <c r="FW6" t="e">
        <f>'Master Data'!AI16+"AM:!7F"</f>
        <v>#VALUE!</v>
      </c>
      <c r="FX6" t="e">
        <f>'Master Data'!AJ16+"AM:!7G"</f>
        <v>#VALUE!</v>
      </c>
      <c r="FY6" t="e">
        <f>'Master Data'!AK16+"AM:!7H"</f>
        <v>#VALUE!</v>
      </c>
      <c r="FZ6" t="e">
        <f>'Master Data'!AL16+"AM:!7I"</f>
        <v>#VALUE!</v>
      </c>
      <c r="GA6" t="e">
        <f>'Master Data'!AM16+"AM:!7J"</f>
        <v>#VALUE!</v>
      </c>
      <c r="GB6" t="e">
        <f>'Master Data'!AN16+"AM:!7K"</f>
        <v>#VALUE!</v>
      </c>
      <c r="GC6" t="e">
        <f>'Master Data'!AO16+"AM:!7L"</f>
        <v>#VALUE!</v>
      </c>
      <c r="GD6" t="e">
        <f>'Master Data'!AP16+"AM:!7M"</f>
        <v>#VALUE!</v>
      </c>
      <c r="GE6" t="e">
        <f>'Master Data'!A18+"AM:!7N"</f>
        <v>#VALUE!</v>
      </c>
      <c r="GF6" t="e">
        <f>'Master Data'!B18+"AM:!7O"</f>
        <v>#VALUE!</v>
      </c>
      <c r="GG6" t="e">
        <f>'Master Data'!C18+"AM:!7P"</f>
        <v>#VALUE!</v>
      </c>
      <c r="GH6" t="e">
        <f>'Master Data'!D18+"AM:!7Q"</f>
        <v>#VALUE!</v>
      </c>
      <c r="GI6" t="e">
        <f>'Master Data'!E18+"AM:!7R"</f>
        <v>#VALUE!</v>
      </c>
      <c r="GJ6" t="e">
        <f>'Master Data'!F18+"AM:!7S"</f>
        <v>#VALUE!</v>
      </c>
      <c r="GK6" t="e">
        <f>'Master Data'!G18+"AM:!7T"</f>
        <v>#VALUE!</v>
      </c>
      <c r="GL6" t="e">
        <f>'Master Data'!I18+"AM:!7U"</f>
        <v>#VALUE!</v>
      </c>
      <c r="GM6" t="e">
        <f>'Master Data'!J18+"AM:!7V"</f>
        <v>#VALUE!</v>
      </c>
      <c r="GN6" t="e">
        <f>'Master Data'!K18+"AM:!7W"</f>
        <v>#VALUE!</v>
      </c>
      <c r="GO6" t="e">
        <f>'Master Data'!L18+"AM:!7X"</f>
        <v>#VALUE!</v>
      </c>
      <c r="GP6" t="e">
        <f>'Master Data'!M18+"AM:!7Y"</f>
        <v>#VALUE!</v>
      </c>
      <c r="GQ6" t="e">
        <f>'Master Data'!N18+"AM:!7Z"</f>
        <v>#VALUE!</v>
      </c>
      <c r="GR6" t="e">
        <f>'Master Data'!O18+"AM:!7["</f>
        <v>#VALUE!</v>
      </c>
      <c r="GS6" t="e">
        <f>'Master Data'!P17+"AM:!7\"</f>
        <v>#VALUE!</v>
      </c>
      <c r="GT6" t="e">
        <f>'Master Data'!Q17+"AM:!7]"</f>
        <v>#VALUE!</v>
      </c>
      <c r="GU6" t="e">
        <f>'Master Data'!R17+"AM:!7^"</f>
        <v>#VALUE!</v>
      </c>
      <c r="GV6" t="e">
        <f>'Master Data'!S17+"AM:!7_"</f>
        <v>#VALUE!</v>
      </c>
      <c r="GW6" t="e">
        <f>'Master Data'!T17+"AM:!7`"</f>
        <v>#VALUE!</v>
      </c>
      <c r="GX6" t="e">
        <f>'Master Data'!U17+"AM:!7a"</f>
        <v>#VALUE!</v>
      </c>
      <c r="GY6" t="e">
        <f>'Master Data'!V17+"AM:!7b"</f>
        <v>#VALUE!</v>
      </c>
      <c r="GZ6" t="e">
        <f>'Master Data'!W17+"AM:!7c"</f>
        <v>#VALUE!</v>
      </c>
      <c r="HA6" t="e">
        <f>'Master Data'!X17+"AM:!7d"</f>
        <v>#VALUE!</v>
      </c>
      <c r="HB6" t="e">
        <f>'Master Data'!Y17+"AM:!7e"</f>
        <v>#VALUE!</v>
      </c>
      <c r="HC6" t="e">
        <f>'Master Data'!Z17+"AM:!7f"</f>
        <v>#VALUE!</v>
      </c>
      <c r="HD6" t="e">
        <f>'Master Data'!AA17+"AM:!7g"</f>
        <v>#VALUE!</v>
      </c>
      <c r="HE6" t="e">
        <f>'Master Data'!AB17+"AM:!7h"</f>
        <v>#VALUE!</v>
      </c>
      <c r="HF6" t="e">
        <f>'Master Data'!AC17+"AM:!7i"</f>
        <v>#VALUE!</v>
      </c>
      <c r="HG6" t="e">
        <f>'Master Data'!AD17+"AM:!7j"</f>
        <v>#VALUE!</v>
      </c>
      <c r="HH6" t="e">
        <f>'Master Data'!AE17+"AM:!7k"</f>
        <v>#VALUE!</v>
      </c>
      <c r="HI6" t="e">
        <f>'Master Data'!AF17+"AM:!7l"</f>
        <v>#VALUE!</v>
      </c>
      <c r="HJ6" t="e">
        <f>'Master Data'!AG17+"AM:!7m"</f>
        <v>#VALUE!</v>
      </c>
      <c r="HK6" t="e">
        <f>'Master Data'!AH17+"AM:!7n"</f>
        <v>#VALUE!</v>
      </c>
      <c r="HL6" t="e">
        <f>'Master Data'!AI17+"AM:!7o"</f>
        <v>#VALUE!</v>
      </c>
      <c r="HM6" t="e">
        <f>'Master Data'!AJ17+"AM:!7p"</f>
        <v>#VALUE!</v>
      </c>
      <c r="HN6" t="e">
        <f>'Master Data'!AK17+"AM:!7q"</f>
        <v>#VALUE!</v>
      </c>
      <c r="HO6" t="e">
        <f>'Master Data'!AL17+"AM:!7r"</f>
        <v>#VALUE!</v>
      </c>
      <c r="HP6" t="e">
        <f>'Master Data'!AM17+"AM:!7s"</f>
        <v>#VALUE!</v>
      </c>
      <c r="HQ6" t="e">
        <f>'Master Data'!AN17+"AM:!7t"</f>
        <v>#VALUE!</v>
      </c>
      <c r="HR6" t="e">
        <f>'Master Data'!AO17+"AM:!7u"</f>
        <v>#VALUE!</v>
      </c>
      <c r="HS6" t="e">
        <f>'Master Data'!AP17+"AM:!7v"</f>
        <v>#VALUE!</v>
      </c>
      <c r="HT6" t="e">
        <f>'Master Data'!A19+"AM:!7w"</f>
        <v>#VALUE!</v>
      </c>
      <c r="HU6" t="e">
        <f>'Master Data'!B19+"AM:!7x"</f>
        <v>#VALUE!</v>
      </c>
      <c r="HV6" t="e">
        <f>'Master Data'!C19+"AM:!7y"</f>
        <v>#VALUE!</v>
      </c>
      <c r="HW6" s="98" t="e">
        <f>'Master Data'!D19+"AM:!7z"</f>
        <v>#VALUE!</v>
      </c>
      <c r="HX6" s="98" t="e">
        <f>'Master Data'!E19+"AM:!7{"</f>
        <v>#VALUE!</v>
      </c>
      <c r="HY6" s="98" t="e">
        <f>'Master Data'!F19+"AM:!7|"</f>
        <v>#VALUE!</v>
      </c>
      <c r="HZ6" s="98" t="e">
        <f>'Master Data'!G19+"AM:!7}"</f>
        <v>#VALUE!</v>
      </c>
      <c r="IA6" t="e">
        <f>'Master Data'!I19+"AM:!7~"</f>
        <v>#VALUE!</v>
      </c>
      <c r="IB6" t="e">
        <f>'Master Data'!J19+"AM:!8#"</f>
        <v>#VALUE!</v>
      </c>
      <c r="IC6" t="e">
        <f>'Master Data'!K19+"AM:!8$"</f>
        <v>#VALUE!</v>
      </c>
      <c r="ID6" s="98" t="e">
        <f>'Master Data'!L19+"AM:!8%"</f>
        <v>#VALUE!</v>
      </c>
      <c r="IE6" s="98" t="e">
        <f>'Master Data'!M19+"AM:!8&amp;"</f>
        <v>#VALUE!</v>
      </c>
      <c r="IF6" s="98" t="e">
        <f>'Master Data'!N19+"AM:!8'"</f>
        <v>#VALUE!</v>
      </c>
      <c r="IG6" s="98" t="e">
        <f>'Master Data'!O19+"AM:!8("</f>
        <v>#VALUE!</v>
      </c>
      <c r="IH6" t="e">
        <f>'Master Data'!P18+"AM:!8)"</f>
        <v>#VALUE!</v>
      </c>
      <c r="II6" t="e">
        <f>'Master Data'!Q18+"AM:!8."</f>
        <v>#VALUE!</v>
      </c>
      <c r="IJ6" t="e">
        <f>'Master Data'!R18+"AM:!8/"</f>
        <v>#VALUE!</v>
      </c>
      <c r="IK6" t="e">
        <f>'Master Data'!S18+"AM:!80"</f>
        <v>#VALUE!</v>
      </c>
      <c r="IL6" t="e">
        <f>'Master Data'!T18+"AM:!81"</f>
        <v>#VALUE!</v>
      </c>
      <c r="IM6" t="e">
        <f>'Master Data'!U18+"AM:!82"</f>
        <v>#VALUE!</v>
      </c>
      <c r="IN6" t="e">
        <f>'Master Data'!V18+"AM:!83"</f>
        <v>#VALUE!</v>
      </c>
      <c r="IO6" t="e">
        <f>'Master Data'!W18+"AM:!84"</f>
        <v>#VALUE!</v>
      </c>
      <c r="IP6" t="e">
        <f>'Master Data'!X18+"AM:!85"</f>
        <v>#VALUE!</v>
      </c>
      <c r="IQ6" t="e">
        <f>'Master Data'!Y18+"AM:!86"</f>
        <v>#VALUE!</v>
      </c>
      <c r="IR6" t="e">
        <f>'Master Data'!Z18+"AM:!87"</f>
        <v>#VALUE!</v>
      </c>
      <c r="IS6" t="e">
        <f>'Master Data'!AA18+"AM:!88"</f>
        <v>#VALUE!</v>
      </c>
      <c r="IT6" t="e">
        <f>'Master Data'!AB18+"AM:!89"</f>
        <v>#VALUE!</v>
      </c>
      <c r="IU6" t="e">
        <f>'Master Data'!AC18+"AM:!8:"</f>
        <v>#VALUE!</v>
      </c>
      <c r="IV6" t="e">
        <f>'Master Data'!AD18+"AM:!8;"</f>
        <v>#VALUE!</v>
      </c>
    </row>
    <row r="7" spans="1:256">
      <c r="F7" t="e">
        <f>'Master Data'!AE18+"AM:!8&lt;"</f>
        <v>#VALUE!</v>
      </c>
      <c r="G7" t="e">
        <f>'Master Data'!AF18+"AM:!8="</f>
        <v>#VALUE!</v>
      </c>
      <c r="H7" t="e">
        <f>'Master Data'!AG18+"AM:!8&gt;"</f>
        <v>#VALUE!</v>
      </c>
      <c r="I7" t="e">
        <f>'Master Data'!AH18+"AM:!8?"</f>
        <v>#VALUE!</v>
      </c>
      <c r="J7" t="e">
        <f>'Master Data'!AI18+"AM:!8@"</f>
        <v>#VALUE!</v>
      </c>
      <c r="K7" t="e">
        <f>'Master Data'!AJ18+"AM:!8A"</f>
        <v>#VALUE!</v>
      </c>
      <c r="L7" t="e">
        <f>'Master Data'!AK18+"AM:!8B"</f>
        <v>#VALUE!</v>
      </c>
      <c r="M7" t="e">
        <f>'Master Data'!AL18+"AM:!8C"</f>
        <v>#VALUE!</v>
      </c>
      <c r="N7" t="e">
        <f>'Master Data'!AM18+"AM:!8D"</f>
        <v>#VALUE!</v>
      </c>
      <c r="O7" t="e">
        <f>'Master Data'!AN18+"AM:!8E"</f>
        <v>#VALUE!</v>
      </c>
      <c r="P7" t="e">
        <f>'Master Data'!AO18+"AM:!8F"</f>
        <v>#VALUE!</v>
      </c>
      <c r="Q7" t="e">
        <f>'Master Data'!AP18+"AM:!8G"</f>
        <v>#VALUE!</v>
      </c>
      <c r="R7" t="e">
        <f>'Master Data'!A20+"AM:!8H"</f>
        <v>#VALUE!</v>
      </c>
      <c r="S7" t="e">
        <f>'Master Data'!B20+"AM:!8I"</f>
        <v>#VALUE!</v>
      </c>
      <c r="T7" t="e">
        <f>'Master Data'!C20+"AM:!8J"</f>
        <v>#VALUE!</v>
      </c>
      <c r="U7" t="e">
        <f>'Master Data'!D20+"AM:!8K"</f>
        <v>#VALUE!</v>
      </c>
      <c r="V7" t="e">
        <f>'Master Data'!E20+"AM:!8L"</f>
        <v>#VALUE!</v>
      </c>
      <c r="W7" t="e">
        <f>'Master Data'!F20+"AM:!8M"</f>
        <v>#VALUE!</v>
      </c>
      <c r="X7" t="e">
        <f>'Master Data'!G20+"AM:!8N"</f>
        <v>#VALUE!</v>
      </c>
      <c r="Y7" t="e">
        <f>'Master Data'!I20+"AM:!8O"</f>
        <v>#VALUE!</v>
      </c>
      <c r="Z7" t="e">
        <f>'Master Data'!J20+"AM:!8P"</f>
        <v>#VALUE!</v>
      </c>
      <c r="AA7" t="e">
        <f>'Master Data'!K20+"AM:!8Q"</f>
        <v>#VALUE!</v>
      </c>
      <c r="AB7" t="e">
        <f>'Master Data'!L20+"AM:!8R"</f>
        <v>#VALUE!</v>
      </c>
      <c r="AC7" t="e">
        <f>'Master Data'!M20+"AM:!8S"</f>
        <v>#VALUE!</v>
      </c>
      <c r="AD7" t="e">
        <f>'Master Data'!N20+"AM:!8T"</f>
        <v>#VALUE!</v>
      </c>
      <c r="AE7" t="e">
        <f>'Master Data'!O20+"AM:!8U"</f>
        <v>#VALUE!</v>
      </c>
      <c r="AF7" t="e">
        <f>'Master Data'!P19+"AM:!8V"</f>
        <v>#VALUE!</v>
      </c>
      <c r="AG7" t="e">
        <f>'Master Data'!Q19+"AM:!8W"</f>
        <v>#VALUE!</v>
      </c>
      <c r="AH7" t="e">
        <f>'Master Data'!T19+"AM:!8X"</f>
        <v>#VALUE!</v>
      </c>
      <c r="AI7" t="e">
        <f>'Master Data'!U19+"AM:!8Y"</f>
        <v>#VALUE!</v>
      </c>
      <c r="AJ7" t="e">
        <f>'Master Data'!V19+"AM:!8Z"</f>
        <v>#VALUE!</v>
      </c>
      <c r="AK7" t="e">
        <f>'Master Data'!W19+"AM:!8["</f>
        <v>#VALUE!</v>
      </c>
      <c r="AL7" t="e">
        <f>'Master Data'!X19+"AM:!8\"</f>
        <v>#VALUE!</v>
      </c>
      <c r="AM7" t="e">
        <f>'Master Data'!Y19+"AM:!8]"</f>
        <v>#VALUE!</v>
      </c>
      <c r="AN7" t="e">
        <f>'Master Data'!Z19+"AM:!8^"</f>
        <v>#VALUE!</v>
      </c>
      <c r="AO7" t="e">
        <f>'Master Data'!AA19+"AM:!8_"</f>
        <v>#VALUE!</v>
      </c>
      <c r="AP7" t="e">
        <f>'Master Data'!AB19+"AM:!8`"</f>
        <v>#VALUE!</v>
      </c>
      <c r="AQ7" t="e">
        <f>'Master Data'!AC19+"AM:!8a"</f>
        <v>#VALUE!</v>
      </c>
      <c r="AR7" t="e">
        <f>'Master Data'!AD19+"AM:!8b"</f>
        <v>#VALUE!</v>
      </c>
      <c r="AS7" t="e">
        <f>'Master Data'!AE19+"AM:!8c"</f>
        <v>#VALUE!</v>
      </c>
      <c r="AT7" t="e">
        <f>'Master Data'!AF19+"AM:!8d"</f>
        <v>#VALUE!</v>
      </c>
      <c r="AU7" t="e">
        <f>'Master Data'!AG19+"AM:!8e"</f>
        <v>#VALUE!</v>
      </c>
      <c r="AV7" t="e">
        <f>'Master Data'!AH19+"AM:!8f"</f>
        <v>#VALUE!</v>
      </c>
      <c r="AW7" t="e">
        <f>'Master Data'!AI19+"AM:!8g"</f>
        <v>#VALUE!</v>
      </c>
      <c r="AX7" t="e">
        <f>'Master Data'!AJ19+"AM:!8h"</f>
        <v>#VALUE!</v>
      </c>
      <c r="AY7" t="e">
        <f>'Master Data'!AK19+"AM:!8i"</f>
        <v>#VALUE!</v>
      </c>
      <c r="AZ7" t="e">
        <f>'Master Data'!AL19+"AM:!8j"</f>
        <v>#VALUE!</v>
      </c>
      <c r="BA7" t="e">
        <f>'Master Data'!AM19+"AM:!8k"</f>
        <v>#VALUE!</v>
      </c>
      <c r="BB7" t="e">
        <f>'Master Data'!AN19+"AM:!8l"</f>
        <v>#VALUE!</v>
      </c>
      <c r="BC7" t="e">
        <f>'Master Data'!AO19+"AM:!8m"</f>
        <v>#VALUE!</v>
      </c>
      <c r="BD7" t="e">
        <f>'Master Data'!AP19+"AM:!8n"</f>
        <v>#VALUE!</v>
      </c>
      <c r="BE7" t="e">
        <f>'Master Data'!A21+"AM:!8o"</f>
        <v>#VALUE!</v>
      </c>
      <c r="BF7" t="e">
        <f>'Master Data'!B21+"AM:!8p"</f>
        <v>#VALUE!</v>
      </c>
      <c r="BG7" t="e">
        <f>'Master Data'!C21+"AM:!8q"</f>
        <v>#VALUE!</v>
      </c>
      <c r="BH7" t="e">
        <f>'Master Data'!D21+"AM:!8r"</f>
        <v>#VALUE!</v>
      </c>
      <c r="BI7" t="e">
        <f>'Master Data'!E21+"AM:!8s"</f>
        <v>#VALUE!</v>
      </c>
      <c r="BJ7" t="e">
        <f>'Master Data'!F21+"AM:!8t"</f>
        <v>#VALUE!</v>
      </c>
      <c r="BK7" t="e">
        <f>'Master Data'!G21+"AM:!8u"</f>
        <v>#VALUE!</v>
      </c>
      <c r="BL7" t="e">
        <f>'Master Data'!I21+"AM:!8v"</f>
        <v>#VALUE!</v>
      </c>
      <c r="BM7" t="e">
        <f>'Master Data'!J21+"AM:!8w"</f>
        <v>#VALUE!</v>
      </c>
      <c r="BN7" t="e">
        <f>'Master Data'!K21+"AM:!8x"</f>
        <v>#VALUE!</v>
      </c>
      <c r="BO7" t="e">
        <f>'Master Data'!L21+"AM:!8y"</f>
        <v>#VALUE!</v>
      </c>
      <c r="BP7" t="e">
        <f>'Master Data'!M21+"AM:!8z"</f>
        <v>#VALUE!</v>
      </c>
      <c r="BQ7" t="e">
        <f>'Master Data'!N21+"AM:!8{"</f>
        <v>#VALUE!</v>
      </c>
      <c r="BR7" t="e">
        <f>'Master Data'!O21+"AM:!8|"</f>
        <v>#VALUE!</v>
      </c>
      <c r="BS7" t="e">
        <f>'Master Data'!P20+"AM:!8}"</f>
        <v>#VALUE!</v>
      </c>
      <c r="BT7" t="e">
        <f>'Master Data'!Q20+"AM:!8~"</f>
        <v>#VALUE!</v>
      </c>
      <c r="BU7" t="e">
        <f>'Master Data'!R20+"AM:!9#"</f>
        <v>#VALUE!</v>
      </c>
      <c r="BV7" t="e">
        <f>'Master Data'!S20+"AM:!9$"</f>
        <v>#VALUE!</v>
      </c>
      <c r="BW7" t="e">
        <f>'Master Data'!T20+"AM:!9%"</f>
        <v>#VALUE!</v>
      </c>
      <c r="BX7" t="e">
        <f>'Master Data'!U20+"AM:!9&amp;"</f>
        <v>#VALUE!</v>
      </c>
      <c r="BY7" t="e">
        <f>'Master Data'!V20+"AM:!9'"</f>
        <v>#VALUE!</v>
      </c>
      <c r="BZ7" t="e">
        <f>'Master Data'!W20+"AM:!9("</f>
        <v>#VALUE!</v>
      </c>
      <c r="CA7" t="e">
        <f>'Master Data'!X20+"AM:!9)"</f>
        <v>#VALUE!</v>
      </c>
      <c r="CB7" t="e">
        <f>'Master Data'!Y20+"AM:!9."</f>
        <v>#VALUE!</v>
      </c>
      <c r="CC7" t="e">
        <f>'Master Data'!Z20+"AM:!9/"</f>
        <v>#VALUE!</v>
      </c>
      <c r="CD7" t="e">
        <f>'Master Data'!AA20+"AM:!90"</f>
        <v>#VALUE!</v>
      </c>
      <c r="CE7" t="e">
        <f>'Master Data'!AB20+"AM:!91"</f>
        <v>#VALUE!</v>
      </c>
      <c r="CF7" t="e">
        <f>'Master Data'!AC20+"AM:!92"</f>
        <v>#VALUE!</v>
      </c>
      <c r="CG7" t="e">
        <f>'Master Data'!AD20+"AM:!93"</f>
        <v>#VALUE!</v>
      </c>
      <c r="CH7" t="e">
        <f>'Master Data'!AE20+"AM:!94"</f>
        <v>#VALUE!</v>
      </c>
      <c r="CI7" t="e">
        <f>'Master Data'!AF20+"AM:!95"</f>
        <v>#VALUE!</v>
      </c>
      <c r="CJ7" t="e">
        <f>'Master Data'!AG20+"AM:!96"</f>
        <v>#VALUE!</v>
      </c>
      <c r="CK7" t="e">
        <f>'Master Data'!AH20+"AM:!97"</f>
        <v>#VALUE!</v>
      </c>
      <c r="CL7" t="e">
        <f>'Master Data'!AI20+"AM:!98"</f>
        <v>#VALUE!</v>
      </c>
      <c r="CM7" t="e">
        <f>'Master Data'!AJ20+"AM:!99"</f>
        <v>#VALUE!</v>
      </c>
      <c r="CN7" t="e">
        <f>'Master Data'!AK20+"AM:!9:"</f>
        <v>#VALUE!</v>
      </c>
      <c r="CO7" t="e">
        <f>'Master Data'!AL20+"AM:!9;"</f>
        <v>#VALUE!</v>
      </c>
      <c r="CP7" t="e">
        <f>'Master Data'!AM20+"AM:!9&lt;"</f>
        <v>#VALUE!</v>
      </c>
      <c r="CQ7" t="e">
        <f>'Master Data'!AN20+"AM:!9="</f>
        <v>#VALUE!</v>
      </c>
      <c r="CR7" t="e">
        <f>'Master Data'!AO20+"AM:!9&gt;"</f>
        <v>#VALUE!</v>
      </c>
      <c r="CS7" t="e">
        <f>'Master Data'!AP20+"AM:!9?"</f>
        <v>#VALUE!</v>
      </c>
      <c r="CT7" t="e">
        <f>'Master Data'!A22+"AM:!9@"</f>
        <v>#VALUE!</v>
      </c>
      <c r="CU7" t="e">
        <f>'Master Data'!B22+"AM:!9A"</f>
        <v>#VALUE!</v>
      </c>
      <c r="CV7" t="e">
        <f>'Master Data'!C22+"AM:!9B"</f>
        <v>#VALUE!</v>
      </c>
      <c r="CW7" t="e">
        <f>'Master Data'!D22+"AM:!9C"</f>
        <v>#VALUE!</v>
      </c>
      <c r="CX7" t="e">
        <f>'Master Data'!E22+"AM:!9D"</f>
        <v>#VALUE!</v>
      </c>
      <c r="CY7" t="e">
        <f>'Master Data'!F22+"AM:!9E"</f>
        <v>#VALUE!</v>
      </c>
      <c r="CZ7" t="e">
        <f>'Master Data'!G22+"AM:!9F"</f>
        <v>#VALUE!</v>
      </c>
      <c r="DA7" t="e">
        <f>'Master Data'!#REF!+"AM:!9G"</f>
        <v>#REF!</v>
      </c>
      <c r="DB7" t="e">
        <f>'Master Data'!#REF!+"AM:!9H"</f>
        <v>#REF!</v>
      </c>
      <c r="DC7" t="e">
        <f>'Master Data'!K22+"AM:!9I"</f>
        <v>#VALUE!</v>
      </c>
      <c r="DD7" t="e">
        <f>'Master Data'!L22+"AM:!9J"</f>
        <v>#VALUE!</v>
      </c>
      <c r="DE7" t="e">
        <f>'Master Data'!M22+"AM:!9K"</f>
        <v>#VALUE!</v>
      </c>
      <c r="DF7" t="e">
        <f>'Master Data'!N22+"AM:!9L"</f>
        <v>#VALUE!</v>
      </c>
      <c r="DG7" t="e">
        <f>'Master Data'!O22+"AM:!9M"</f>
        <v>#VALUE!</v>
      </c>
      <c r="DH7" t="e">
        <f>'Master Data'!P21+"AM:!9N"</f>
        <v>#VALUE!</v>
      </c>
      <c r="DI7" t="e">
        <f>'Master Data'!Q22+"AM:!9O"</f>
        <v>#VALUE!</v>
      </c>
      <c r="DJ7" t="e">
        <f>'Master Data'!R22+"AM:!9P"</f>
        <v>#VALUE!</v>
      </c>
      <c r="DK7" t="e">
        <f>'Master Data'!S22+"AM:!9Q"</f>
        <v>#VALUE!</v>
      </c>
      <c r="DL7" t="e">
        <f>'Master Data'!T21+"AM:!9R"</f>
        <v>#VALUE!</v>
      </c>
      <c r="DM7" t="e">
        <f>'Master Data'!U21+"AM:!9S"</f>
        <v>#VALUE!</v>
      </c>
      <c r="DN7" t="e">
        <f>'Master Data'!V21+"AM:!9T"</f>
        <v>#VALUE!</v>
      </c>
      <c r="DO7" t="e">
        <f>'Master Data'!W21+"AM:!9U"</f>
        <v>#VALUE!</v>
      </c>
      <c r="DP7" t="e">
        <f>'Master Data'!X21+"AM:!9V"</f>
        <v>#VALUE!</v>
      </c>
      <c r="DQ7" t="e">
        <f>'Master Data'!Y21+"AM:!9W"</f>
        <v>#VALUE!</v>
      </c>
      <c r="DR7" t="e">
        <f>'Master Data'!Z21+"AM:!9X"</f>
        <v>#VALUE!</v>
      </c>
      <c r="DS7" t="e">
        <f>'Master Data'!AA21+"AM:!9Y"</f>
        <v>#VALUE!</v>
      </c>
      <c r="DT7" t="e">
        <f>'Master Data'!AB21+"AM:!9Z"</f>
        <v>#VALUE!</v>
      </c>
      <c r="DU7" t="e">
        <f>'Master Data'!AC21+"AM:!9["</f>
        <v>#VALUE!</v>
      </c>
      <c r="DV7" t="e">
        <f>'Master Data'!AD21+"AM:!9\"</f>
        <v>#VALUE!</v>
      </c>
      <c r="DW7" t="e">
        <f>'Master Data'!AE21+"AM:!9]"</f>
        <v>#VALUE!</v>
      </c>
      <c r="DX7" t="e">
        <f>'Master Data'!AF21+"AM:!9^"</f>
        <v>#VALUE!</v>
      </c>
      <c r="DY7" t="e">
        <f>'Master Data'!AG21+"AM:!9_"</f>
        <v>#VALUE!</v>
      </c>
      <c r="DZ7" t="e">
        <f>'Master Data'!AH21+"AM:!9`"</f>
        <v>#VALUE!</v>
      </c>
      <c r="EA7" t="e">
        <f>'Master Data'!AI21+"AM:!9a"</f>
        <v>#VALUE!</v>
      </c>
      <c r="EB7" t="e">
        <f>'Master Data'!AJ21+"AM:!9b"</f>
        <v>#VALUE!</v>
      </c>
      <c r="EC7" t="e">
        <f>'Master Data'!AK21+"AM:!9c"</f>
        <v>#VALUE!</v>
      </c>
      <c r="ED7" t="e">
        <f>'Master Data'!AL21+"AM:!9d"</f>
        <v>#VALUE!</v>
      </c>
      <c r="EE7" t="e">
        <f>'Master Data'!AM21+"AM:!9e"</f>
        <v>#VALUE!</v>
      </c>
      <c r="EF7" t="e">
        <f>'Master Data'!A23+"AM:!9f"</f>
        <v>#VALUE!</v>
      </c>
      <c r="EG7" t="e">
        <f>'Master Data'!B23+"AM:!9g"</f>
        <v>#VALUE!</v>
      </c>
      <c r="EH7" t="e">
        <f>'Master Data'!C23+"AM:!9h"</f>
        <v>#VALUE!</v>
      </c>
      <c r="EI7" t="e">
        <f>'Master Data'!D23+"AM:!9i"</f>
        <v>#VALUE!</v>
      </c>
      <c r="EJ7" t="e">
        <f>'Master Data'!E23+"AM:!9j"</f>
        <v>#VALUE!</v>
      </c>
      <c r="EK7" t="e">
        <f>'Master Data'!F23+"AM:!9k"</f>
        <v>#VALUE!</v>
      </c>
      <c r="EL7" t="e">
        <f>'Master Data'!G23+"AM:!9l"</f>
        <v>#VALUE!</v>
      </c>
      <c r="EM7" t="e">
        <f>'Master Data'!I22+"AM:!9m"</f>
        <v>#VALUE!</v>
      </c>
      <c r="EN7" t="e">
        <f>'Master Data'!J22+"AM:!9n"</f>
        <v>#VALUE!</v>
      </c>
      <c r="EO7" t="e">
        <f>'Master Data'!K23+"AM:!9o"</f>
        <v>#VALUE!</v>
      </c>
      <c r="EP7" t="e">
        <f>'Master Data'!L23+"AM:!9p"</f>
        <v>#VALUE!</v>
      </c>
      <c r="EQ7" t="e">
        <f>'Master Data'!M23+"AM:!9q"</f>
        <v>#VALUE!</v>
      </c>
      <c r="ER7" t="e">
        <f>'Master Data'!N23+"AM:!9r"</f>
        <v>#VALUE!</v>
      </c>
      <c r="ES7" t="e">
        <f>'Master Data'!O23+"AM:!9s"</f>
        <v>#VALUE!</v>
      </c>
      <c r="ET7" t="e">
        <f>'Master Data'!P22+"AM:!9t"</f>
        <v>#VALUE!</v>
      </c>
      <c r="EU7" t="e">
        <f>'Master Data'!Q23+"AM:!9u"</f>
        <v>#VALUE!</v>
      </c>
      <c r="EV7" t="e">
        <f>'Master Data'!R23+"AM:!9v"</f>
        <v>#VALUE!</v>
      </c>
      <c r="EW7" t="e">
        <f>'Master Data'!S23+"AM:!9w"</f>
        <v>#VALUE!</v>
      </c>
      <c r="EX7" t="e">
        <f>'Master Data'!T22+"AM:!9x"</f>
        <v>#VALUE!</v>
      </c>
      <c r="EY7" t="e">
        <f>'Master Data'!U22+"AM:!9y"</f>
        <v>#VALUE!</v>
      </c>
      <c r="EZ7" t="e">
        <f>'Master Data'!V22+"AM:!9z"</f>
        <v>#VALUE!</v>
      </c>
      <c r="FA7" t="e">
        <f>'Master Data'!W22+"AM:!9{"</f>
        <v>#VALUE!</v>
      </c>
      <c r="FB7" t="e">
        <f>'Master Data'!X22+"AM:!9|"</f>
        <v>#VALUE!</v>
      </c>
      <c r="FC7" t="e">
        <f>'Master Data'!Y22+"AM:!9}"</f>
        <v>#VALUE!</v>
      </c>
      <c r="FD7" t="e">
        <f>'Master Data'!Z22+"AM:!9~"</f>
        <v>#VALUE!</v>
      </c>
      <c r="FE7" t="e">
        <f>'Master Data'!AA22+"AM:!:#"</f>
        <v>#VALUE!</v>
      </c>
      <c r="FF7" t="e">
        <f>'Master Data'!AB22+"AM:!:$"</f>
        <v>#VALUE!</v>
      </c>
      <c r="FG7" t="e">
        <f>'Master Data'!AC22+"AM:!:%"</f>
        <v>#VALUE!</v>
      </c>
      <c r="FH7" t="e">
        <f>'Master Data'!AD22+"AM:!:&amp;"</f>
        <v>#VALUE!</v>
      </c>
      <c r="FI7" t="e">
        <f>'Master Data'!AE22+"AM:!:'"</f>
        <v>#VALUE!</v>
      </c>
      <c r="FJ7" t="e">
        <f>'Master Data'!AF22+"AM:!:("</f>
        <v>#VALUE!</v>
      </c>
      <c r="FK7" t="e">
        <f>'Master Data'!AG22+"AM:!:)"</f>
        <v>#VALUE!</v>
      </c>
      <c r="FL7" t="e">
        <f>'Master Data'!AH22+"AM:!:."</f>
        <v>#VALUE!</v>
      </c>
      <c r="FM7" t="e">
        <f>'Master Data'!AI22+"AM:!:/"</f>
        <v>#VALUE!</v>
      </c>
      <c r="FN7" t="e">
        <f>'Master Data'!AJ22+"AM:!:0"</f>
        <v>#VALUE!</v>
      </c>
      <c r="FO7" t="e">
        <f>'Master Data'!AK22+"AM:!:1"</f>
        <v>#VALUE!</v>
      </c>
      <c r="FP7" t="e">
        <f>'Master Data'!AL22+"AM:!:2"</f>
        <v>#VALUE!</v>
      </c>
      <c r="FQ7" t="e">
        <f>'Master Data'!AM22+"AM:!:3"</f>
        <v>#VALUE!</v>
      </c>
      <c r="FR7" t="e">
        <f>'Master Data'!A24+"AM:!:4"</f>
        <v>#VALUE!</v>
      </c>
      <c r="FS7" t="e">
        <f>'Master Data'!B24+"AM:!:5"</f>
        <v>#VALUE!</v>
      </c>
      <c r="FT7" t="e">
        <f>'Master Data'!C24+"AM:!:6"</f>
        <v>#VALUE!</v>
      </c>
      <c r="FU7" t="e">
        <f>'Master Data'!D24+"AM:!:7"</f>
        <v>#VALUE!</v>
      </c>
      <c r="FV7" t="e">
        <f>'Master Data'!E24+"AM:!:8"</f>
        <v>#VALUE!</v>
      </c>
      <c r="FW7" t="e">
        <f>'Master Data'!F24+"AM:!:9"</f>
        <v>#VALUE!</v>
      </c>
      <c r="FX7" t="e">
        <f>'Master Data'!G24+"AM:!::"</f>
        <v>#VALUE!</v>
      </c>
      <c r="FY7" t="e">
        <f>'Master Data'!#REF!+"AM:!:;"</f>
        <v>#REF!</v>
      </c>
      <c r="FZ7" t="e">
        <f>'Master Data'!#REF!+"AM:!:&lt;"</f>
        <v>#REF!</v>
      </c>
      <c r="GA7" t="e">
        <f>'Master Data'!K24+"AM:!:="</f>
        <v>#VALUE!</v>
      </c>
      <c r="GB7" t="e">
        <f>'Master Data'!L24+"AM:!:&gt;"</f>
        <v>#VALUE!</v>
      </c>
      <c r="GC7" t="e">
        <f>'Master Data'!M24+"AM:!:?"</f>
        <v>#VALUE!</v>
      </c>
      <c r="GD7" t="e">
        <f>'Master Data'!N24+"AM:!:@"</f>
        <v>#VALUE!</v>
      </c>
      <c r="GE7" t="e">
        <f>'Master Data'!O24+"AM:!:A"</f>
        <v>#VALUE!</v>
      </c>
      <c r="GF7" t="e">
        <f>'Master Data'!P23+"AM:!:B"</f>
        <v>#VALUE!</v>
      </c>
      <c r="GG7" t="e">
        <f>'Master Data'!Q24+"AM:!:C"</f>
        <v>#VALUE!</v>
      </c>
      <c r="GH7" t="e">
        <f>'Master Data'!R24+"AM:!:D"</f>
        <v>#VALUE!</v>
      </c>
      <c r="GI7" t="e">
        <f>'Master Data'!S24+"AM:!:E"</f>
        <v>#VALUE!</v>
      </c>
      <c r="GJ7" t="e">
        <f>'Master Data'!T23+"AM:!:F"</f>
        <v>#VALUE!</v>
      </c>
      <c r="GK7" t="e">
        <f>'Master Data'!U23+"AM:!:G"</f>
        <v>#VALUE!</v>
      </c>
      <c r="GL7" t="e">
        <f>'Master Data'!V23+"AM:!:H"</f>
        <v>#VALUE!</v>
      </c>
      <c r="GM7" t="e">
        <f>'Master Data'!W23+"AM:!:I"</f>
        <v>#VALUE!</v>
      </c>
      <c r="GN7" t="e">
        <f>'Master Data'!X23+"AM:!:J"</f>
        <v>#VALUE!</v>
      </c>
      <c r="GO7" t="e">
        <f>'Master Data'!Y23+"AM:!:K"</f>
        <v>#VALUE!</v>
      </c>
      <c r="GP7" t="e">
        <f>'Master Data'!Z23+"AM:!:L"</f>
        <v>#VALUE!</v>
      </c>
      <c r="GQ7" t="e">
        <f>'Master Data'!AA23+"AM:!:M"</f>
        <v>#VALUE!</v>
      </c>
      <c r="GR7" t="e">
        <f>'Master Data'!AB23+"AM:!:N"</f>
        <v>#VALUE!</v>
      </c>
      <c r="GS7" t="e">
        <f>'Master Data'!AC23+"AM:!:O"</f>
        <v>#VALUE!</v>
      </c>
      <c r="GT7" t="e">
        <f>'Master Data'!AD23+"AM:!:P"</f>
        <v>#VALUE!</v>
      </c>
      <c r="GU7" t="e">
        <f>'Master Data'!AE23+"AM:!:Q"</f>
        <v>#VALUE!</v>
      </c>
      <c r="GV7" t="e">
        <f>'Master Data'!AF23+"AM:!:R"</f>
        <v>#VALUE!</v>
      </c>
      <c r="GW7" t="e">
        <f>'Master Data'!AG23+"AM:!:S"</f>
        <v>#VALUE!</v>
      </c>
      <c r="GX7" t="e">
        <f>'Master Data'!AH23+"AM:!:T"</f>
        <v>#VALUE!</v>
      </c>
      <c r="GY7" t="e">
        <f>'Master Data'!AI23+"AM:!:U"</f>
        <v>#VALUE!</v>
      </c>
      <c r="GZ7" t="e">
        <f>'Master Data'!AJ23+"AM:!:V"</f>
        <v>#VALUE!</v>
      </c>
      <c r="HA7" t="e">
        <f>'Master Data'!AK23+"AM:!:W"</f>
        <v>#VALUE!</v>
      </c>
      <c r="HB7" t="e">
        <f>'Master Data'!AL23+"AM:!:X"</f>
        <v>#VALUE!</v>
      </c>
      <c r="HC7" t="e">
        <f>'Master Data'!AM23+"AM:!:Y"</f>
        <v>#VALUE!</v>
      </c>
      <c r="HD7" t="e">
        <f>'Master Data'!A25+"AM:!:Z"</f>
        <v>#VALUE!</v>
      </c>
      <c r="HE7" t="e">
        <f>'Master Data'!B25+"AM:!:["</f>
        <v>#VALUE!</v>
      </c>
      <c r="HF7" t="e">
        <f>'Master Data'!C25+"AM:!:\"</f>
        <v>#VALUE!</v>
      </c>
      <c r="HG7" s="99" t="e">
        <f>'Master Data'!D25+"AM:!:]"</f>
        <v>#VALUE!</v>
      </c>
      <c r="HH7" t="e">
        <f>'Master Data'!E25+"AM:!:^"</f>
        <v>#VALUE!</v>
      </c>
      <c r="HI7" s="99" t="e">
        <f>'Master Data'!F25+"AM:!:_"</f>
        <v>#VALUE!</v>
      </c>
      <c r="HJ7" t="e">
        <f>'Master Data'!G25+"AM:!:`"</f>
        <v>#VALUE!</v>
      </c>
      <c r="HK7" t="e">
        <f>'Master Data'!#REF!+"AM:!:a"</f>
        <v>#REF!</v>
      </c>
      <c r="HL7" t="e">
        <f>'Master Data'!#REF!+"AM:!:b"</f>
        <v>#REF!</v>
      </c>
      <c r="HM7" t="e">
        <f>'Master Data'!K25+"AM:!:c"</f>
        <v>#VALUE!</v>
      </c>
      <c r="HN7" t="e">
        <f>'Master Data'!L25+"AM:!:d"</f>
        <v>#VALUE!</v>
      </c>
      <c r="HO7" t="e">
        <f>'Master Data'!M25+"AM:!:e"</f>
        <v>#VALUE!</v>
      </c>
      <c r="HP7" t="e">
        <f>'Master Data'!N25+"AM:!:f"</f>
        <v>#VALUE!</v>
      </c>
      <c r="HQ7" t="e">
        <f>'Master Data'!O25+"AM:!:g"</f>
        <v>#VALUE!</v>
      </c>
      <c r="HR7" t="e">
        <f>'Master Data'!P24+"AM:!:h"</f>
        <v>#VALUE!</v>
      </c>
      <c r="HS7" t="e">
        <f>'Master Data'!Q25+"AM:!:i"</f>
        <v>#VALUE!</v>
      </c>
      <c r="HT7" t="e">
        <f>'Master Data'!R25+"AM:!:j"</f>
        <v>#VALUE!</v>
      </c>
      <c r="HU7" t="e">
        <f>'Master Data'!S25+"AM:!:k"</f>
        <v>#VALUE!</v>
      </c>
      <c r="HV7" t="e">
        <f>'Master Data'!T24+"AM:!:l"</f>
        <v>#VALUE!</v>
      </c>
      <c r="HW7" t="e">
        <f>'Master Data'!U24+"AM:!:m"</f>
        <v>#VALUE!</v>
      </c>
      <c r="HX7" t="e">
        <f>'Master Data'!V24+"AM:!:n"</f>
        <v>#VALUE!</v>
      </c>
      <c r="HY7" t="e">
        <f>'Master Data'!W24+"AM:!:o"</f>
        <v>#VALUE!</v>
      </c>
      <c r="HZ7" t="e">
        <f>'Master Data'!X24+"AM:!:p"</f>
        <v>#VALUE!</v>
      </c>
      <c r="IA7" t="e">
        <f>'Master Data'!Y24+"AM:!:q"</f>
        <v>#VALUE!</v>
      </c>
      <c r="IB7" t="e">
        <f>'Master Data'!Z24+"AM:!:r"</f>
        <v>#VALUE!</v>
      </c>
      <c r="IC7" t="e">
        <f>'Master Data'!AA24+"AM:!:s"</f>
        <v>#VALUE!</v>
      </c>
      <c r="ID7" t="e">
        <f>'Master Data'!AB24+"AM:!:t"</f>
        <v>#VALUE!</v>
      </c>
      <c r="IE7" t="e">
        <f>'Master Data'!AC24+"AM:!:u"</f>
        <v>#VALUE!</v>
      </c>
      <c r="IF7" t="e">
        <f>'Master Data'!AD24+"AM:!:v"</f>
        <v>#VALUE!</v>
      </c>
      <c r="IG7" t="e">
        <f>'Master Data'!AE24+"AM:!:w"</f>
        <v>#VALUE!</v>
      </c>
      <c r="IH7" t="e">
        <f>'Master Data'!AF24+"AM:!:x"</f>
        <v>#VALUE!</v>
      </c>
      <c r="II7" t="e">
        <f>'Master Data'!AG24+"AM:!:y"</f>
        <v>#VALUE!</v>
      </c>
      <c r="IJ7" t="e">
        <f>'Master Data'!AH24+"AM:!:z"</f>
        <v>#VALUE!</v>
      </c>
      <c r="IK7" t="e">
        <f>'Master Data'!AI24+"AM:!:{"</f>
        <v>#VALUE!</v>
      </c>
      <c r="IL7" t="e">
        <f>'Master Data'!AJ24+"AM:!:|"</f>
        <v>#VALUE!</v>
      </c>
      <c r="IM7" t="e">
        <f>'Master Data'!AK24+"AM:!:}"</f>
        <v>#VALUE!</v>
      </c>
      <c r="IN7" t="e">
        <f>'Master Data'!AL24+"AM:!:~"</f>
        <v>#VALUE!</v>
      </c>
      <c r="IO7" t="e">
        <f>'Master Data'!AM24+"AM:!;#"</f>
        <v>#VALUE!</v>
      </c>
      <c r="IP7" t="e">
        <f>'Master Data'!A26+"AM:!;$"</f>
        <v>#VALUE!</v>
      </c>
      <c r="IQ7" t="e">
        <f>'Master Data'!B26+"AM:!;%"</f>
        <v>#VALUE!</v>
      </c>
      <c r="IR7" t="e">
        <f>'Master Data'!C26+"AM:!;&amp;"</f>
        <v>#VALUE!</v>
      </c>
      <c r="IS7" s="99" t="e">
        <f>'Master Data'!D26+"AM:!;'"</f>
        <v>#VALUE!</v>
      </c>
      <c r="IT7" t="e">
        <f>'Master Data'!E26+"AM:!;("</f>
        <v>#VALUE!</v>
      </c>
      <c r="IU7" s="99" t="e">
        <f>'Master Data'!F26+"AM:!;)"</f>
        <v>#VALUE!</v>
      </c>
      <c r="IV7" t="e">
        <f>'Master Data'!G26+"AM:!;."</f>
        <v>#VALUE!</v>
      </c>
    </row>
    <row r="8" spans="1:256">
      <c r="F8" t="e">
        <f>'Master Data'!I23+"AM:!;/"</f>
        <v>#VALUE!</v>
      </c>
      <c r="G8" t="e">
        <f>'Master Data'!J23+"AM:!;0"</f>
        <v>#VALUE!</v>
      </c>
      <c r="H8" t="e">
        <f>'Master Data'!K26+"AM:!;1"</f>
        <v>#VALUE!</v>
      </c>
      <c r="I8" t="e">
        <f>'Master Data'!L26+"AM:!;2"</f>
        <v>#VALUE!</v>
      </c>
      <c r="J8" t="e">
        <f>'Master Data'!M26+"AM:!;3"</f>
        <v>#VALUE!</v>
      </c>
      <c r="K8" t="e">
        <f>'Master Data'!N26+"AM:!;4"</f>
        <v>#VALUE!</v>
      </c>
      <c r="L8" t="e">
        <f>'Master Data'!O26+"AM:!;5"</f>
        <v>#VALUE!</v>
      </c>
      <c r="M8" t="e">
        <f>'Master Data'!P25+"AM:!;6"</f>
        <v>#VALUE!</v>
      </c>
      <c r="N8" t="e">
        <f>'Master Data'!Q26+"AM:!;7"</f>
        <v>#VALUE!</v>
      </c>
      <c r="O8" t="e">
        <f>'Master Data'!R26+"AM:!;8"</f>
        <v>#VALUE!</v>
      </c>
      <c r="P8" t="e">
        <f>'Master Data'!S26+"AM:!;9"</f>
        <v>#VALUE!</v>
      </c>
      <c r="Q8" t="e">
        <f>'Master Data'!T25+"AM:!;:"</f>
        <v>#VALUE!</v>
      </c>
      <c r="R8" t="e">
        <f>'Master Data'!U25+"AM:!;;"</f>
        <v>#VALUE!</v>
      </c>
      <c r="S8" t="e">
        <f>'Master Data'!V25+"AM:!;&lt;"</f>
        <v>#VALUE!</v>
      </c>
      <c r="T8" t="e">
        <f>'Master Data'!W25+"AM:!;="</f>
        <v>#VALUE!</v>
      </c>
      <c r="U8" t="e">
        <f>'Master Data'!X25+"AM:!;&gt;"</f>
        <v>#VALUE!</v>
      </c>
      <c r="V8" t="e">
        <f>'Master Data'!Y25+"AM:!;?"</f>
        <v>#VALUE!</v>
      </c>
      <c r="W8" t="e">
        <f>'Master Data'!Z25+"AM:!;@"</f>
        <v>#VALUE!</v>
      </c>
      <c r="X8" t="e">
        <f>'Master Data'!AA25+"AM:!;A"</f>
        <v>#VALUE!</v>
      </c>
      <c r="Y8" t="e">
        <f>'Master Data'!AB25+"AM:!;B"</f>
        <v>#VALUE!</v>
      </c>
      <c r="Z8" t="e">
        <f>'Master Data'!AC25+"AM:!;C"</f>
        <v>#VALUE!</v>
      </c>
      <c r="AA8" t="e">
        <f>'Master Data'!AD25+"AM:!;D"</f>
        <v>#VALUE!</v>
      </c>
      <c r="AB8" t="e">
        <f>'Master Data'!AE25+"AM:!;E"</f>
        <v>#VALUE!</v>
      </c>
      <c r="AC8" t="e">
        <f>'Master Data'!AF25+"AM:!;F"</f>
        <v>#VALUE!</v>
      </c>
      <c r="AD8" t="e">
        <f>'Master Data'!AG25+"AM:!;G"</f>
        <v>#VALUE!</v>
      </c>
      <c r="AE8" t="e">
        <f>'Master Data'!AH25+"AM:!;H"</f>
        <v>#VALUE!</v>
      </c>
      <c r="AF8" t="e">
        <f>'Master Data'!AI25+"AM:!;I"</f>
        <v>#VALUE!</v>
      </c>
      <c r="AG8" t="e">
        <f>'Master Data'!AJ25+"AM:!;J"</f>
        <v>#VALUE!</v>
      </c>
      <c r="AH8" t="e">
        <f>'Master Data'!AK25+"AM:!;K"</f>
        <v>#VALUE!</v>
      </c>
      <c r="AI8" t="e">
        <f>'Master Data'!AL25+"AM:!;L"</f>
        <v>#VALUE!</v>
      </c>
      <c r="AJ8" t="e">
        <f>'Master Data'!AM25+"AM:!;M"</f>
        <v>#VALUE!</v>
      </c>
      <c r="AK8" t="e">
        <f>'Master Data'!A27+"AM:!;N"</f>
        <v>#VALUE!</v>
      </c>
      <c r="AL8" t="e">
        <f>'Master Data'!B27+"AM:!;O"</f>
        <v>#VALUE!</v>
      </c>
      <c r="AM8" t="e">
        <f>'Master Data'!C27+"AM:!;P"</f>
        <v>#VALUE!</v>
      </c>
      <c r="AN8" s="99" t="e">
        <f>'Master Data'!D27+"AM:!;Q"</f>
        <v>#VALUE!</v>
      </c>
      <c r="AO8" t="e">
        <f>'Master Data'!E27+"AM:!;R"</f>
        <v>#VALUE!</v>
      </c>
      <c r="AP8" s="99" t="e">
        <f>'Master Data'!F27+"AM:!;S"</f>
        <v>#VALUE!</v>
      </c>
      <c r="AQ8" t="e">
        <f>'Master Data'!G27+"AM:!;T"</f>
        <v>#VALUE!</v>
      </c>
      <c r="AR8" t="e">
        <f>'Master Data'!I24+"AM:!;U"</f>
        <v>#VALUE!</v>
      </c>
      <c r="AS8" t="e">
        <f>'Master Data'!J24+"AM:!;V"</f>
        <v>#VALUE!</v>
      </c>
      <c r="AT8" t="e">
        <f>'Master Data'!K27+"AM:!;W"</f>
        <v>#VALUE!</v>
      </c>
      <c r="AU8" t="e">
        <f>'Master Data'!L27+"AM:!;X"</f>
        <v>#VALUE!</v>
      </c>
      <c r="AV8" t="e">
        <f>'Master Data'!M27+"AM:!;Y"</f>
        <v>#VALUE!</v>
      </c>
      <c r="AW8" t="e">
        <f>'Master Data'!N27+"AM:!;Z"</f>
        <v>#VALUE!</v>
      </c>
      <c r="AX8" t="e">
        <f>'Master Data'!O27+"AM:!;["</f>
        <v>#VALUE!</v>
      </c>
      <c r="AY8" t="e">
        <f>'Master Data'!P26+"AM:!;\"</f>
        <v>#VALUE!</v>
      </c>
      <c r="AZ8" t="e">
        <f>'Master Data'!Q27+"AM:!;]"</f>
        <v>#VALUE!</v>
      </c>
      <c r="BA8" t="e">
        <f>'Master Data'!R27+"AM:!;^"</f>
        <v>#VALUE!</v>
      </c>
      <c r="BB8" t="e">
        <f>'Master Data'!S27+"AM:!;_"</f>
        <v>#VALUE!</v>
      </c>
      <c r="BC8" t="e">
        <f>'Master Data'!T26+"AM:!;`"</f>
        <v>#VALUE!</v>
      </c>
      <c r="BD8" t="e">
        <f>'Master Data'!U26+"AM:!;a"</f>
        <v>#VALUE!</v>
      </c>
      <c r="BE8" t="e">
        <f>'Master Data'!V26+"AM:!;b"</f>
        <v>#VALUE!</v>
      </c>
      <c r="BF8" t="e">
        <f>'Master Data'!W26+"AM:!;c"</f>
        <v>#VALUE!</v>
      </c>
      <c r="BG8" t="e">
        <f>'Master Data'!X26+"AM:!;d"</f>
        <v>#VALUE!</v>
      </c>
      <c r="BH8" t="e">
        <f>'Master Data'!Y26+"AM:!;e"</f>
        <v>#VALUE!</v>
      </c>
      <c r="BI8" t="e">
        <f>'Master Data'!Z26+"AM:!;f"</f>
        <v>#VALUE!</v>
      </c>
      <c r="BJ8" t="e">
        <f>'Master Data'!AA26+"AM:!;g"</f>
        <v>#VALUE!</v>
      </c>
      <c r="BK8" t="e">
        <f>'Master Data'!AB26+"AM:!;h"</f>
        <v>#VALUE!</v>
      </c>
      <c r="BL8" t="e">
        <f>'Master Data'!AC26+"AM:!;i"</f>
        <v>#VALUE!</v>
      </c>
      <c r="BM8" t="e">
        <f>'Master Data'!AD26+"AM:!;j"</f>
        <v>#VALUE!</v>
      </c>
      <c r="BN8" t="e">
        <f>'Master Data'!AE26+"AM:!;k"</f>
        <v>#VALUE!</v>
      </c>
      <c r="BO8" t="e">
        <f>'Master Data'!AF26+"AM:!;l"</f>
        <v>#VALUE!</v>
      </c>
      <c r="BP8" t="e">
        <f>'Master Data'!AG26+"AM:!;m"</f>
        <v>#VALUE!</v>
      </c>
      <c r="BQ8" t="e">
        <f>'Master Data'!AH26+"AM:!;n"</f>
        <v>#VALUE!</v>
      </c>
      <c r="BR8" t="e">
        <f>'Master Data'!AI26+"AM:!;o"</f>
        <v>#VALUE!</v>
      </c>
      <c r="BS8" t="e">
        <f>'Master Data'!AJ26+"AM:!;p"</f>
        <v>#VALUE!</v>
      </c>
      <c r="BT8" t="e">
        <f>'Master Data'!AK26+"AM:!;q"</f>
        <v>#VALUE!</v>
      </c>
      <c r="BU8" t="e">
        <f>'Master Data'!AL26+"AM:!;r"</f>
        <v>#VALUE!</v>
      </c>
      <c r="BV8" t="e">
        <f>'Master Data'!AM26+"AM:!;s"</f>
        <v>#VALUE!</v>
      </c>
      <c r="BW8" t="e">
        <f>'Master Data'!A28+"AM:!;t"</f>
        <v>#VALUE!</v>
      </c>
      <c r="BX8" t="e">
        <f>'Master Data'!B28+"AM:!;u"</f>
        <v>#VALUE!</v>
      </c>
      <c r="BY8" t="e">
        <f>'Master Data'!C28+"AM:!;v"</f>
        <v>#VALUE!</v>
      </c>
      <c r="BZ8" s="99" t="e">
        <f>'Master Data'!D28+"AM:!;w"</f>
        <v>#VALUE!</v>
      </c>
      <c r="CA8" t="e">
        <f>'Master Data'!E28+"AM:!;x"</f>
        <v>#VALUE!</v>
      </c>
      <c r="CB8" s="99" t="e">
        <f>'Master Data'!F28+"AM:!;y"</f>
        <v>#VALUE!</v>
      </c>
      <c r="CC8" t="e">
        <f>'Master Data'!G28+"AM:!;z"</f>
        <v>#VALUE!</v>
      </c>
      <c r="CD8" t="e">
        <f>'Master Data'!I26+"AM:!;{"</f>
        <v>#VALUE!</v>
      </c>
      <c r="CE8" t="e">
        <f>'Master Data'!J26+"AM:!;|"</f>
        <v>#VALUE!</v>
      </c>
      <c r="CF8" t="e">
        <f>'Master Data'!K28+"AM:!;}"</f>
        <v>#VALUE!</v>
      </c>
      <c r="CG8" t="e">
        <f>'Master Data'!L28+"AM:!;~"</f>
        <v>#VALUE!</v>
      </c>
      <c r="CH8" t="e">
        <f>'Master Data'!M28+"AM:!&lt;#"</f>
        <v>#VALUE!</v>
      </c>
      <c r="CI8" t="e">
        <f>'Master Data'!N28+"AM:!&lt;$"</f>
        <v>#VALUE!</v>
      </c>
      <c r="CJ8" t="e">
        <f>'Master Data'!O28+"AM:!&lt;%"</f>
        <v>#VALUE!</v>
      </c>
      <c r="CK8" t="e">
        <f>'Master Data'!P27+"AM:!&lt;&amp;"</f>
        <v>#VALUE!</v>
      </c>
      <c r="CL8" t="e">
        <f>'Master Data'!Q28+"AM:!&lt;'"</f>
        <v>#VALUE!</v>
      </c>
      <c r="CM8" t="e">
        <f>'Master Data'!R28+"AM:!&lt;("</f>
        <v>#VALUE!</v>
      </c>
      <c r="CN8" t="e">
        <f>'Master Data'!S28+"AM:!&lt;)"</f>
        <v>#VALUE!</v>
      </c>
      <c r="CO8" t="e">
        <f>'Master Data'!T27+"AM:!&lt;."</f>
        <v>#VALUE!</v>
      </c>
      <c r="CP8" t="e">
        <f>'Master Data'!U27+"AM:!&lt;/"</f>
        <v>#VALUE!</v>
      </c>
      <c r="CQ8" t="e">
        <f>'Master Data'!V27+"AM:!&lt;0"</f>
        <v>#VALUE!</v>
      </c>
      <c r="CR8" t="e">
        <f>'Master Data'!W27+"AM:!&lt;1"</f>
        <v>#VALUE!</v>
      </c>
      <c r="CS8" t="e">
        <f>'Master Data'!X27+"AM:!&lt;2"</f>
        <v>#VALUE!</v>
      </c>
      <c r="CT8" t="e">
        <f>'Master Data'!Y27+"AM:!&lt;3"</f>
        <v>#VALUE!</v>
      </c>
      <c r="CU8" t="e">
        <f>'Master Data'!Z27+"AM:!&lt;4"</f>
        <v>#VALUE!</v>
      </c>
      <c r="CV8" t="e">
        <f>'Master Data'!AA27+"AM:!&lt;5"</f>
        <v>#VALUE!</v>
      </c>
      <c r="CW8" t="e">
        <f>'Master Data'!AB27+"AM:!&lt;6"</f>
        <v>#VALUE!</v>
      </c>
      <c r="CX8" t="e">
        <f>'Master Data'!AC27+"AM:!&lt;7"</f>
        <v>#VALUE!</v>
      </c>
      <c r="CY8" t="e">
        <f>'Master Data'!AD27+"AM:!&lt;8"</f>
        <v>#VALUE!</v>
      </c>
      <c r="CZ8" t="e">
        <f>'Master Data'!AE27+"AM:!&lt;9"</f>
        <v>#VALUE!</v>
      </c>
      <c r="DA8" t="e">
        <f>'Master Data'!AF27+"AM:!&lt;:"</f>
        <v>#VALUE!</v>
      </c>
      <c r="DB8" t="e">
        <f>'Master Data'!AG27+"AM:!&lt;;"</f>
        <v>#VALUE!</v>
      </c>
      <c r="DC8" t="e">
        <f>'Master Data'!AH27+"AM:!&lt;&lt;"</f>
        <v>#VALUE!</v>
      </c>
      <c r="DD8" t="e">
        <f>'Master Data'!AI27+"AM:!&lt;="</f>
        <v>#VALUE!</v>
      </c>
      <c r="DE8" t="e">
        <f>'Master Data'!AJ27+"AM:!&lt;&gt;"</f>
        <v>#VALUE!</v>
      </c>
      <c r="DF8" t="e">
        <f>'Master Data'!AK27+"AM:!&lt;?"</f>
        <v>#VALUE!</v>
      </c>
      <c r="DG8" t="e">
        <f>'Master Data'!AL27+"AM:!&lt;@"</f>
        <v>#VALUE!</v>
      </c>
      <c r="DH8" t="e">
        <f>'Master Data'!AM27+"AM:!&lt;A"</f>
        <v>#VALUE!</v>
      </c>
      <c r="DI8" t="e">
        <f>'Master Data'!A29+"AM:!&lt;B"</f>
        <v>#VALUE!</v>
      </c>
      <c r="DJ8" t="e">
        <f>'Master Data'!B29+"AM:!&lt;C"</f>
        <v>#VALUE!</v>
      </c>
      <c r="DK8" t="e">
        <f>'Master Data'!C29+"AM:!&lt;D"</f>
        <v>#VALUE!</v>
      </c>
      <c r="DL8" s="99" t="e">
        <f>'Master Data'!D29+"AM:!&lt;E"</f>
        <v>#VALUE!</v>
      </c>
      <c r="DM8" t="e">
        <f>'Master Data'!E29+"AM:!&lt;F"</f>
        <v>#VALUE!</v>
      </c>
      <c r="DN8" s="99" t="e">
        <f>'Master Data'!F29+"AM:!&lt;G"</f>
        <v>#VALUE!</v>
      </c>
      <c r="DO8" t="e">
        <f>'Master Data'!G29+"AM:!&lt;H"</f>
        <v>#VALUE!</v>
      </c>
      <c r="DP8" t="e">
        <f>'Master Data'!I27+"AM:!&lt;I"</f>
        <v>#VALUE!</v>
      </c>
      <c r="DQ8" t="e">
        <f>'Master Data'!J27+"AM:!&lt;J"</f>
        <v>#VALUE!</v>
      </c>
      <c r="DR8" t="e">
        <f>'Master Data'!K29+"AM:!&lt;K"</f>
        <v>#VALUE!</v>
      </c>
      <c r="DS8" t="e">
        <f>'Master Data'!L29+"AM:!&lt;L"</f>
        <v>#VALUE!</v>
      </c>
      <c r="DT8" t="e">
        <f>'Master Data'!M29+"AM:!&lt;M"</f>
        <v>#VALUE!</v>
      </c>
      <c r="DU8" t="e">
        <f>'Master Data'!N29+"AM:!&lt;N"</f>
        <v>#VALUE!</v>
      </c>
      <c r="DV8" t="e">
        <f>'Master Data'!O29+"AM:!&lt;O"</f>
        <v>#VALUE!</v>
      </c>
      <c r="DW8" t="e">
        <f>'Master Data'!P28+"AM:!&lt;P"</f>
        <v>#VALUE!</v>
      </c>
      <c r="DX8" t="e">
        <f>'Master Data'!Q29+"AM:!&lt;Q"</f>
        <v>#VALUE!</v>
      </c>
      <c r="DY8" t="e">
        <f>'Master Data'!R29+"AM:!&lt;R"</f>
        <v>#VALUE!</v>
      </c>
      <c r="DZ8" t="e">
        <f>'Master Data'!S29+"AM:!&lt;S"</f>
        <v>#VALUE!</v>
      </c>
      <c r="EA8" t="e">
        <f>'Master Data'!T28+"AM:!&lt;T"</f>
        <v>#VALUE!</v>
      </c>
      <c r="EB8" t="e">
        <f>'Master Data'!U28+"AM:!&lt;U"</f>
        <v>#VALUE!</v>
      </c>
      <c r="EC8" t="e">
        <f>'Master Data'!V28+"AM:!&lt;V"</f>
        <v>#VALUE!</v>
      </c>
      <c r="ED8" t="e">
        <f>'Master Data'!W28+"AM:!&lt;W"</f>
        <v>#VALUE!</v>
      </c>
      <c r="EE8" t="e">
        <f>'Master Data'!X28+"AM:!&lt;X"</f>
        <v>#VALUE!</v>
      </c>
      <c r="EF8" t="e">
        <f>'Master Data'!Y28+"AM:!&lt;Y"</f>
        <v>#VALUE!</v>
      </c>
      <c r="EG8" t="e">
        <f>'Master Data'!Z28+"AM:!&lt;Z"</f>
        <v>#VALUE!</v>
      </c>
      <c r="EH8" t="e">
        <f>'Master Data'!AA28+"AM:!&lt;["</f>
        <v>#VALUE!</v>
      </c>
      <c r="EI8" t="e">
        <f>'Master Data'!AB28+"AM:!&lt;\"</f>
        <v>#VALUE!</v>
      </c>
      <c r="EJ8" t="e">
        <f>'Master Data'!AC28+"AM:!&lt;]"</f>
        <v>#VALUE!</v>
      </c>
      <c r="EK8" t="e">
        <f>'Master Data'!AD28+"AM:!&lt;^"</f>
        <v>#VALUE!</v>
      </c>
      <c r="EL8" t="e">
        <f>'Master Data'!AE28+"AM:!&lt;_"</f>
        <v>#VALUE!</v>
      </c>
      <c r="EM8" t="e">
        <f>'Master Data'!AF28+"AM:!&lt;`"</f>
        <v>#VALUE!</v>
      </c>
      <c r="EN8" t="e">
        <f>'Master Data'!AG28+"AM:!&lt;a"</f>
        <v>#VALUE!</v>
      </c>
      <c r="EO8" t="e">
        <f>'Master Data'!AH28+"AM:!&lt;b"</f>
        <v>#VALUE!</v>
      </c>
      <c r="EP8" t="e">
        <f>'Master Data'!AI28+"AM:!&lt;c"</f>
        <v>#VALUE!</v>
      </c>
      <c r="EQ8" t="e">
        <f>'Master Data'!AJ28+"AM:!&lt;d"</f>
        <v>#VALUE!</v>
      </c>
      <c r="ER8" t="e">
        <f>'Master Data'!AK28+"AM:!&lt;e"</f>
        <v>#VALUE!</v>
      </c>
      <c r="ES8" t="e">
        <f>'Master Data'!AL28+"AM:!&lt;f"</f>
        <v>#VALUE!</v>
      </c>
      <c r="ET8" t="e">
        <f>'Master Data'!AM28+"AM:!&lt;g"</f>
        <v>#VALUE!</v>
      </c>
      <c r="EU8" t="e">
        <f>'Master Data'!A30+"AM:!&lt;h"</f>
        <v>#VALUE!</v>
      </c>
      <c r="EV8" t="e">
        <f>'Master Data'!B30+"AM:!&lt;i"</f>
        <v>#VALUE!</v>
      </c>
      <c r="EW8" t="e">
        <f>'Master Data'!C30+"AM:!&lt;j"</f>
        <v>#VALUE!</v>
      </c>
      <c r="EX8" s="99" t="e">
        <f>'Master Data'!D30+"AM:!&lt;k"</f>
        <v>#VALUE!</v>
      </c>
      <c r="EY8" t="e">
        <f>'Master Data'!E30+"AM:!&lt;l"</f>
        <v>#VALUE!</v>
      </c>
      <c r="EZ8" s="99" t="e">
        <f>'Master Data'!F30+"AM:!&lt;m"</f>
        <v>#VALUE!</v>
      </c>
      <c r="FA8" t="e">
        <f>'Master Data'!G30+"AM:!&lt;n"</f>
        <v>#VALUE!</v>
      </c>
      <c r="FB8" t="e">
        <f>'Master Data'!I28+"AM:!&lt;o"</f>
        <v>#VALUE!</v>
      </c>
      <c r="FC8" t="e">
        <f>'Master Data'!J28+"AM:!&lt;p"</f>
        <v>#VALUE!</v>
      </c>
      <c r="FD8" t="e">
        <f>'Master Data'!K30+"AM:!&lt;q"</f>
        <v>#VALUE!</v>
      </c>
      <c r="FE8" t="e">
        <f>'Master Data'!L30+"AM:!&lt;r"</f>
        <v>#VALUE!</v>
      </c>
      <c r="FF8" t="e">
        <f>'Master Data'!M30+"AM:!&lt;s"</f>
        <v>#VALUE!</v>
      </c>
      <c r="FG8" t="e">
        <f>'Master Data'!N30+"AM:!&lt;t"</f>
        <v>#VALUE!</v>
      </c>
      <c r="FH8" t="e">
        <f>'Master Data'!O30+"AM:!&lt;u"</f>
        <v>#VALUE!</v>
      </c>
      <c r="FI8" t="e">
        <f>'Master Data'!P29+"AM:!&lt;v"</f>
        <v>#VALUE!</v>
      </c>
      <c r="FJ8" t="e">
        <f>'Master Data'!Q30+"AM:!&lt;w"</f>
        <v>#VALUE!</v>
      </c>
      <c r="FK8" t="e">
        <f>'Master Data'!R30+"AM:!&lt;x"</f>
        <v>#VALUE!</v>
      </c>
      <c r="FL8" t="e">
        <f>'Master Data'!S30+"AM:!&lt;y"</f>
        <v>#VALUE!</v>
      </c>
      <c r="FM8" t="e">
        <f>'Master Data'!T29+"AM:!&lt;z"</f>
        <v>#VALUE!</v>
      </c>
      <c r="FN8" t="e">
        <f>'Master Data'!U29+"AM:!&lt;{"</f>
        <v>#VALUE!</v>
      </c>
      <c r="FO8" t="e">
        <f>'Master Data'!V29+"AM:!&lt;|"</f>
        <v>#VALUE!</v>
      </c>
      <c r="FP8" t="e">
        <f>'Master Data'!W29+"AM:!&lt;}"</f>
        <v>#VALUE!</v>
      </c>
      <c r="FQ8" t="e">
        <f>'Master Data'!X29+"AM:!&lt;~"</f>
        <v>#VALUE!</v>
      </c>
      <c r="FR8" t="e">
        <f>'Master Data'!Y29+"AM:!=#"</f>
        <v>#VALUE!</v>
      </c>
      <c r="FS8" t="e">
        <f>'Master Data'!Z29+"AM:!=$"</f>
        <v>#VALUE!</v>
      </c>
      <c r="FT8" t="e">
        <f>'Master Data'!AA29+"AM:!=%"</f>
        <v>#VALUE!</v>
      </c>
      <c r="FU8" t="e">
        <f>'Master Data'!AB29+"AM:!=&amp;"</f>
        <v>#VALUE!</v>
      </c>
      <c r="FV8" t="e">
        <f>'Master Data'!AC29+"AM:!='"</f>
        <v>#VALUE!</v>
      </c>
      <c r="FW8" t="e">
        <f>'Master Data'!AD29+"AM:!=("</f>
        <v>#VALUE!</v>
      </c>
      <c r="FX8" t="e">
        <f>'Master Data'!AE29+"AM:!=)"</f>
        <v>#VALUE!</v>
      </c>
      <c r="FY8" t="e">
        <f>'Master Data'!AF29+"AM:!=."</f>
        <v>#VALUE!</v>
      </c>
      <c r="FZ8" t="e">
        <f>'Master Data'!AG29+"AM:!=/"</f>
        <v>#VALUE!</v>
      </c>
      <c r="GA8" t="e">
        <f>'Master Data'!AH29+"AM:!=0"</f>
        <v>#VALUE!</v>
      </c>
      <c r="GB8" t="e">
        <f>'Master Data'!AI29+"AM:!=1"</f>
        <v>#VALUE!</v>
      </c>
      <c r="GC8" t="e">
        <f>'Master Data'!AJ29+"AM:!=2"</f>
        <v>#VALUE!</v>
      </c>
      <c r="GD8" t="e">
        <f>'Master Data'!AK29+"AM:!=3"</f>
        <v>#VALUE!</v>
      </c>
      <c r="GE8" t="e">
        <f>'Master Data'!AL29+"AM:!=4"</f>
        <v>#VALUE!</v>
      </c>
      <c r="GF8" t="e">
        <f>'Master Data'!AM29+"AM:!=5"</f>
        <v>#VALUE!</v>
      </c>
      <c r="GG8" t="e">
        <f>'Master Data'!A31+"AM:!=6"</f>
        <v>#VALUE!</v>
      </c>
      <c r="GH8" t="e">
        <f>'Master Data'!B31+"AM:!=7"</f>
        <v>#VALUE!</v>
      </c>
      <c r="GI8" t="e">
        <f>'Master Data'!C31+"AM:!=8"</f>
        <v>#VALUE!</v>
      </c>
      <c r="GJ8" s="99" t="e">
        <f>'Master Data'!D31+"AM:!=9"</f>
        <v>#VALUE!</v>
      </c>
      <c r="GK8" t="e">
        <f>'Master Data'!E31+"AM:!=:"</f>
        <v>#VALUE!</v>
      </c>
      <c r="GL8" s="99" t="e">
        <f>'Master Data'!F31+"AM:!=;"</f>
        <v>#VALUE!</v>
      </c>
      <c r="GM8" t="e">
        <f>'Master Data'!G31+"AM:!=&lt;"</f>
        <v>#VALUE!</v>
      </c>
      <c r="GN8" t="e">
        <f>'Master Data'!I29+"AM:!=="</f>
        <v>#VALUE!</v>
      </c>
      <c r="GO8" t="e">
        <f>'Master Data'!J29+"AM:!=&gt;"</f>
        <v>#VALUE!</v>
      </c>
      <c r="GP8" t="e">
        <f>'Master Data'!K31+"AM:!=?"</f>
        <v>#VALUE!</v>
      </c>
      <c r="GQ8" t="e">
        <f>'Master Data'!L31+"AM:!=@"</f>
        <v>#VALUE!</v>
      </c>
      <c r="GR8" t="e">
        <f>'Master Data'!M31+"AM:!=A"</f>
        <v>#VALUE!</v>
      </c>
      <c r="GS8" t="e">
        <f>'Master Data'!N31+"AM:!=B"</f>
        <v>#VALUE!</v>
      </c>
      <c r="GT8" t="e">
        <f>'Master Data'!O31+"AM:!=C"</f>
        <v>#VALUE!</v>
      </c>
      <c r="GU8" t="e">
        <f>'Master Data'!P30+"AM:!=D"</f>
        <v>#VALUE!</v>
      </c>
      <c r="GV8" t="e">
        <f>'Master Data'!Q31+"AM:!=E"</f>
        <v>#VALUE!</v>
      </c>
      <c r="GW8" t="e">
        <f>'Master Data'!R31+"AM:!=F"</f>
        <v>#VALUE!</v>
      </c>
      <c r="GX8" t="e">
        <f>'Master Data'!S31+"AM:!=G"</f>
        <v>#VALUE!</v>
      </c>
      <c r="GY8" t="e">
        <f>'Master Data'!T30+"AM:!=H"</f>
        <v>#VALUE!</v>
      </c>
      <c r="GZ8" t="e">
        <f>'Master Data'!U30+"AM:!=I"</f>
        <v>#VALUE!</v>
      </c>
      <c r="HA8" t="e">
        <f>'Master Data'!V30+"AM:!=J"</f>
        <v>#VALUE!</v>
      </c>
      <c r="HB8" t="e">
        <f>'Master Data'!W30+"AM:!=K"</f>
        <v>#VALUE!</v>
      </c>
      <c r="HC8" t="e">
        <f>'Master Data'!X30+"AM:!=L"</f>
        <v>#VALUE!</v>
      </c>
      <c r="HD8" t="e">
        <f>'Master Data'!Y30+"AM:!=M"</f>
        <v>#VALUE!</v>
      </c>
      <c r="HE8" t="e">
        <f>'Master Data'!Z30+"AM:!=N"</f>
        <v>#VALUE!</v>
      </c>
      <c r="HF8" t="e">
        <f>'Master Data'!AA30+"AM:!=O"</f>
        <v>#VALUE!</v>
      </c>
      <c r="HG8" t="e">
        <f>'Master Data'!AB30+"AM:!=P"</f>
        <v>#VALUE!</v>
      </c>
      <c r="HH8" t="e">
        <f>'Master Data'!AC30+"AM:!=Q"</f>
        <v>#VALUE!</v>
      </c>
      <c r="HI8" t="e">
        <f>'Master Data'!AD30+"AM:!=R"</f>
        <v>#VALUE!</v>
      </c>
      <c r="HJ8" t="e">
        <f>'Master Data'!AE30+"AM:!=S"</f>
        <v>#VALUE!</v>
      </c>
      <c r="HK8" t="e">
        <f>'Master Data'!AF30+"AM:!=T"</f>
        <v>#VALUE!</v>
      </c>
      <c r="HL8" t="e">
        <f>'Master Data'!AG30+"AM:!=U"</f>
        <v>#VALUE!</v>
      </c>
      <c r="HM8" t="e">
        <f>'Master Data'!AH30+"AM:!=V"</f>
        <v>#VALUE!</v>
      </c>
      <c r="HN8" t="e">
        <f>'Master Data'!AI30+"AM:!=W"</f>
        <v>#VALUE!</v>
      </c>
      <c r="HO8" t="e">
        <f>'Master Data'!AJ30+"AM:!=X"</f>
        <v>#VALUE!</v>
      </c>
      <c r="HP8" t="e">
        <f>'Master Data'!AK30+"AM:!=Y"</f>
        <v>#VALUE!</v>
      </c>
      <c r="HQ8" t="e">
        <f>'Master Data'!AL30+"AM:!=Z"</f>
        <v>#VALUE!</v>
      </c>
      <c r="HR8" t="e">
        <f>'Master Data'!AM30+"AM:!=["</f>
        <v>#VALUE!</v>
      </c>
      <c r="HS8" t="e">
        <f>'Master Data'!A32+"AM:!=\"</f>
        <v>#VALUE!</v>
      </c>
      <c r="HT8" t="e">
        <f>'Master Data'!B32+"AM:!=]"</f>
        <v>#VALUE!</v>
      </c>
      <c r="HU8" t="e">
        <f>'Master Data'!C32+"AM:!=^"</f>
        <v>#VALUE!</v>
      </c>
      <c r="HV8" s="99" t="e">
        <f>'Master Data'!D32+"AM:!=_"</f>
        <v>#VALUE!</v>
      </c>
      <c r="HW8" t="e">
        <f>'Master Data'!E32+"AM:!=`"</f>
        <v>#VALUE!</v>
      </c>
      <c r="HX8" s="99" t="e">
        <f>'Master Data'!F32+"AM:!=a"</f>
        <v>#VALUE!</v>
      </c>
      <c r="HY8" t="e">
        <f>'Master Data'!G32+"AM:!=b"</f>
        <v>#VALUE!</v>
      </c>
      <c r="HZ8" t="e">
        <f>'Master Data'!I30+"AM:!=c"</f>
        <v>#VALUE!</v>
      </c>
      <c r="IA8" t="e">
        <f>'Master Data'!J30+"AM:!=d"</f>
        <v>#VALUE!</v>
      </c>
      <c r="IB8" t="e">
        <f>'Master Data'!K32+"AM:!=e"</f>
        <v>#VALUE!</v>
      </c>
      <c r="IC8" t="e">
        <f>'Master Data'!L32+"AM:!=f"</f>
        <v>#VALUE!</v>
      </c>
      <c r="ID8" t="e">
        <f>'Master Data'!M32+"AM:!=g"</f>
        <v>#VALUE!</v>
      </c>
      <c r="IE8" t="e">
        <f>'Master Data'!N32+"AM:!=h"</f>
        <v>#VALUE!</v>
      </c>
      <c r="IF8" t="e">
        <f>'Master Data'!O32+"AM:!=i"</f>
        <v>#VALUE!</v>
      </c>
      <c r="IG8" t="e">
        <f>'Master Data'!P31+"AM:!=j"</f>
        <v>#VALUE!</v>
      </c>
      <c r="IH8" t="e">
        <f>'Master Data'!Q32+"AM:!=k"</f>
        <v>#VALUE!</v>
      </c>
      <c r="II8" t="e">
        <f>'Master Data'!R32+"AM:!=l"</f>
        <v>#VALUE!</v>
      </c>
      <c r="IJ8" t="e">
        <f>'Master Data'!S32+"AM:!=m"</f>
        <v>#VALUE!</v>
      </c>
      <c r="IK8" t="e">
        <f>'Master Data'!T31+"AM:!=n"</f>
        <v>#VALUE!</v>
      </c>
      <c r="IL8" t="e">
        <f>'Master Data'!U31+"AM:!=o"</f>
        <v>#VALUE!</v>
      </c>
      <c r="IM8" t="e">
        <f>'Master Data'!V31+"AM:!=p"</f>
        <v>#VALUE!</v>
      </c>
      <c r="IN8" t="e">
        <f>'Master Data'!W31+"AM:!=q"</f>
        <v>#VALUE!</v>
      </c>
      <c r="IO8" t="e">
        <f>'Master Data'!X31+"AM:!=r"</f>
        <v>#VALUE!</v>
      </c>
      <c r="IP8" t="e">
        <f>'Master Data'!Y31+"AM:!=s"</f>
        <v>#VALUE!</v>
      </c>
      <c r="IQ8" t="e">
        <f>'Master Data'!Z31+"AM:!=t"</f>
        <v>#VALUE!</v>
      </c>
      <c r="IR8" t="e">
        <f>'Master Data'!AA31+"AM:!=u"</f>
        <v>#VALUE!</v>
      </c>
      <c r="IS8" t="e">
        <f>'Master Data'!AB31+"AM:!=v"</f>
        <v>#VALUE!</v>
      </c>
      <c r="IT8" t="e">
        <f>'Master Data'!AC31+"AM:!=w"</f>
        <v>#VALUE!</v>
      </c>
      <c r="IU8" t="e">
        <f>'Master Data'!AD31+"AM:!=x"</f>
        <v>#VALUE!</v>
      </c>
      <c r="IV8" t="e">
        <f>'Master Data'!AE31+"AM:!=y"</f>
        <v>#VALUE!</v>
      </c>
    </row>
    <row r="9" spans="1:256">
      <c r="F9" t="e">
        <f>'Master Data'!AF31+"AM:!=z"</f>
        <v>#VALUE!</v>
      </c>
      <c r="G9" t="e">
        <f>'Master Data'!AG31+"AM:!={"</f>
        <v>#VALUE!</v>
      </c>
      <c r="H9" t="e">
        <f>'Master Data'!AH31+"AM:!=|"</f>
        <v>#VALUE!</v>
      </c>
      <c r="I9" t="e">
        <f>'Master Data'!AI31+"AM:!=}"</f>
        <v>#VALUE!</v>
      </c>
      <c r="J9" t="e">
        <f>'Master Data'!AJ31+"AM:!=~"</f>
        <v>#VALUE!</v>
      </c>
      <c r="K9" t="e">
        <f>'Master Data'!AK31+"AM:!&gt;#"</f>
        <v>#VALUE!</v>
      </c>
      <c r="L9" t="e">
        <f>'Master Data'!AL31+"AM:!&gt;$"</f>
        <v>#VALUE!</v>
      </c>
      <c r="M9" t="e">
        <f>'Master Data'!AM31+"AM:!&gt;%"</f>
        <v>#VALUE!</v>
      </c>
      <c r="N9" t="e">
        <f>'Master Data'!A33+"AM:!&gt;&amp;"</f>
        <v>#VALUE!</v>
      </c>
      <c r="O9" t="e">
        <f>'Master Data'!B33+"AM:!&gt;'"</f>
        <v>#VALUE!</v>
      </c>
      <c r="P9" t="e">
        <f>'Master Data'!C33+"AM:!&gt;("</f>
        <v>#VALUE!</v>
      </c>
      <c r="Q9" s="99" t="e">
        <f>'Master Data'!D33+"AM:!&gt;)"</f>
        <v>#VALUE!</v>
      </c>
      <c r="R9" t="e">
        <f>'Master Data'!E33+"AM:!&gt;."</f>
        <v>#VALUE!</v>
      </c>
      <c r="S9" s="99" t="e">
        <f>'Master Data'!F33+"AM:!&gt;/"</f>
        <v>#VALUE!</v>
      </c>
      <c r="T9" t="e">
        <f>'Master Data'!G33+"AM:!&gt;0"</f>
        <v>#VALUE!</v>
      </c>
      <c r="U9" t="e">
        <f>'Master Data'!I31+"AM:!&gt;1"</f>
        <v>#VALUE!</v>
      </c>
      <c r="V9" t="e">
        <f>'Master Data'!J31+"AM:!&gt;2"</f>
        <v>#VALUE!</v>
      </c>
      <c r="W9" t="e">
        <f>'Master Data'!K33+"AM:!&gt;3"</f>
        <v>#VALUE!</v>
      </c>
      <c r="X9" t="e">
        <f>'Master Data'!L33+"AM:!&gt;4"</f>
        <v>#VALUE!</v>
      </c>
      <c r="Y9" t="e">
        <f>'Master Data'!M33+"AM:!&gt;5"</f>
        <v>#VALUE!</v>
      </c>
      <c r="Z9" t="e">
        <f>'Master Data'!N33+"AM:!&gt;6"</f>
        <v>#VALUE!</v>
      </c>
      <c r="AA9" t="e">
        <f>'Master Data'!O33+"AM:!&gt;7"</f>
        <v>#VALUE!</v>
      </c>
      <c r="AB9" t="e">
        <f>'Master Data'!P32+"AM:!&gt;8"</f>
        <v>#VALUE!</v>
      </c>
      <c r="AC9" t="e">
        <f>'Master Data'!Q33+"AM:!&gt;9"</f>
        <v>#VALUE!</v>
      </c>
      <c r="AD9" t="e">
        <f>'Master Data'!R33+"AM:!&gt;:"</f>
        <v>#VALUE!</v>
      </c>
      <c r="AE9" t="e">
        <f>'Master Data'!S33+"AM:!&gt;;"</f>
        <v>#VALUE!</v>
      </c>
      <c r="AF9" t="e">
        <f>'Master Data'!T32+"AM:!&gt;&lt;"</f>
        <v>#VALUE!</v>
      </c>
      <c r="AG9" t="e">
        <f>'Master Data'!U32+"AM:!&gt;="</f>
        <v>#VALUE!</v>
      </c>
      <c r="AH9" t="e">
        <f>'Master Data'!V32+"AM:!&gt;&gt;"</f>
        <v>#VALUE!</v>
      </c>
      <c r="AI9" t="e">
        <f>'Master Data'!W32+"AM:!&gt;?"</f>
        <v>#VALUE!</v>
      </c>
      <c r="AJ9" t="e">
        <f>'Master Data'!X32+"AM:!&gt;@"</f>
        <v>#VALUE!</v>
      </c>
      <c r="AK9" t="e">
        <f>'Master Data'!Y32+"AM:!&gt;A"</f>
        <v>#VALUE!</v>
      </c>
      <c r="AL9" t="e">
        <f>'Master Data'!Z32+"AM:!&gt;B"</f>
        <v>#VALUE!</v>
      </c>
      <c r="AM9" t="e">
        <f>'Master Data'!AA32+"AM:!&gt;C"</f>
        <v>#VALUE!</v>
      </c>
      <c r="AN9" t="e">
        <f>'Master Data'!AB32+"AM:!&gt;D"</f>
        <v>#VALUE!</v>
      </c>
      <c r="AO9" t="e">
        <f>'Master Data'!AC32+"AM:!&gt;E"</f>
        <v>#VALUE!</v>
      </c>
      <c r="AP9" t="e">
        <f>'Master Data'!AD32+"AM:!&gt;F"</f>
        <v>#VALUE!</v>
      </c>
      <c r="AQ9" t="e">
        <f>'Master Data'!AE32+"AM:!&gt;G"</f>
        <v>#VALUE!</v>
      </c>
      <c r="AR9" t="e">
        <f>'Master Data'!AF32+"AM:!&gt;H"</f>
        <v>#VALUE!</v>
      </c>
      <c r="AS9" t="e">
        <f>'Master Data'!AG32+"AM:!&gt;I"</f>
        <v>#VALUE!</v>
      </c>
      <c r="AT9" t="e">
        <f>'Master Data'!AH32+"AM:!&gt;J"</f>
        <v>#VALUE!</v>
      </c>
      <c r="AU9" t="e">
        <f>'Master Data'!AI32+"AM:!&gt;K"</f>
        <v>#VALUE!</v>
      </c>
      <c r="AV9" t="e">
        <f>'Master Data'!AJ32+"AM:!&gt;L"</f>
        <v>#VALUE!</v>
      </c>
      <c r="AW9" t="e">
        <f>'Master Data'!AK32+"AM:!&gt;M"</f>
        <v>#VALUE!</v>
      </c>
      <c r="AX9" t="e">
        <f>'Master Data'!AL32+"AM:!&gt;N"</f>
        <v>#VALUE!</v>
      </c>
      <c r="AY9" t="e">
        <f>'Master Data'!AM32+"AM:!&gt;O"</f>
        <v>#VALUE!</v>
      </c>
      <c r="AZ9" t="e">
        <f>'Master Data'!A34+"AM:!&gt;P"</f>
        <v>#VALUE!</v>
      </c>
      <c r="BA9" t="e">
        <f>'Master Data'!B34+"AM:!&gt;Q"</f>
        <v>#VALUE!</v>
      </c>
      <c r="BB9" t="e">
        <f>'Master Data'!C34+"AM:!&gt;R"</f>
        <v>#VALUE!</v>
      </c>
      <c r="BC9" s="99" t="e">
        <f>'Master Data'!D34+"AM:!&gt;S"</f>
        <v>#VALUE!</v>
      </c>
      <c r="BD9" t="e">
        <f>'Master Data'!E34+"AM:!&gt;T"</f>
        <v>#VALUE!</v>
      </c>
      <c r="BE9" s="99" t="e">
        <f>'Master Data'!F34+"AM:!&gt;U"</f>
        <v>#VALUE!</v>
      </c>
      <c r="BF9" t="e">
        <f>'Master Data'!G34+"AM:!&gt;V"</f>
        <v>#VALUE!</v>
      </c>
      <c r="BG9" t="e">
        <f>'Master Data'!I32+"AM:!&gt;W"</f>
        <v>#VALUE!</v>
      </c>
      <c r="BH9" t="e">
        <f>'Master Data'!J32+"AM:!&gt;X"</f>
        <v>#VALUE!</v>
      </c>
      <c r="BI9" t="e">
        <f>'Master Data'!K34+"AM:!&gt;Y"</f>
        <v>#VALUE!</v>
      </c>
      <c r="BJ9" t="e">
        <f>'Master Data'!L34+"AM:!&gt;Z"</f>
        <v>#VALUE!</v>
      </c>
      <c r="BK9" t="e">
        <f>'Master Data'!M34+"AM:!&gt;["</f>
        <v>#VALUE!</v>
      </c>
      <c r="BL9" t="e">
        <f>'Master Data'!N34+"AM:!&gt;\"</f>
        <v>#VALUE!</v>
      </c>
      <c r="BM9" t="e">
        <f>'Master Data'!O34+"AM:!&gt;]"</f>
        <v>#VALUE!</v>
      </c>
      <c r="BN9" t="e">
        <f>'Master Data'!P33+"AM:!&gt;^"</f>
        <v>#VALUE!</v>
      </c>
      <c r="BO9" t="e">
        <f>'Master Data'!Q34+"AM:!&gt;_"</f>
        <v>#VALUE!</v>
      </c>
      <c r="BP9" t="e">
        <f>'Master Data'!R34+"AM:!&gt;`"</f>
        <v>#VALUE!</v>
      </c>
      <c r="BQ9" t="e">
        <f>'Master Data'!S34+"AM:!&gt;a"</f>
        <v>#VALUE!</v>
      </c>
      <c r="BR9" t="e">
        <f>'Master Data'!T33+"AM:!&gt;b"</f>
        <v>#VALUE!</v>
      </c>
      <c r="BS9" t="e">
        <f>'Master Data'!U33+"AM:!&gt;c"</f>
        <v>#VALUE!</v>
      </c>
      <c r="BT9" t="e">
        <f>'Master Data'!V33+"AM:!&gt;d"</f>
        <v>#VALUE!</v>
      </c>
      <c r="BU9" t="e">
        <f>'Master Data'!W33+"AM:!&gt;e"</f>
        <v>#VALUE!</v>
      </c>
      <c r="BV9" t="e">
        <f>'Master Data'!X33+"AM:!&gt;f"</f>
        <v>#VALUE!</v>
      </c>
      <c r="BW9" t="e">
        <f>'Master Data'!Y33+"AM:!&gt;g"</f>
        <v>#VALUE!</v>
      </c>
      <c r="BX9" t="e">
        <f>'Master Data'!Z33+"AM:!&gt;h"</f>
        <v>#VALUE!</v>
      </c>
      <c r="BY9" t="e">
        <f>'Master Data'!AA33+"AM:!&gt;i"</f>
        <v>#VALUE!</v>
      </c>
      <c r="BZ9" t="e">
        <f>'Master Data'!AB33+"AM:!&gt;j"</f>
        <v>#VALUE!</v>
      </c>
      <c r="CA9" t="e">
        <f>'Master Data'!AC33+"AM:!&gt;k"</f>
        <v>#VALUE!</v>
      </c>
      <c r="CB9" t="e">
        <f>'Master Data'!AD33+"AM:!&gt;l"</f>
        <v>#VALUE!</v>
      </c>
      <c r="CC9" t="e">
        <f>'Master Data'!AE33+"AM:!&gt;m"</f>
        <v>#VALUE!</v>
      </c>
      <c r="CD9" t="e">
        <f>'Master Data'!AF33+"AM:!&gt;n"</f>
        <v>#VALUE!</v>
      </c>
      <c r="CE9" t="e">
        <f>'Master Data'!AG33+"AM:!&gt;o"</f>
        <v>#VALUE!</v>
      </c>
      <c r="CF9" t="e">
        <f>'Master Data'!AH33+"AM:!&gt;p"</f>
        <v>#VALUE!</v>
      </c>
      <c r="CG9" t="e">
        <f>'Master Data'!AI33+"AM:!&gt;q"</f>
        <v>#VALUE!</v>
      </c>
      <c r="CH9" t="e">
        <f>'Master Data'!AJ33+"AM:!&gt;r"</f>
        <v>#VALUE!</v>
      </c>
      <c r="CI9" t="e">
        <f>'Master Data'!AK33+"AM:!&gt;s"</f>
        <v>#VALUE!</v>
      </c>
      <c r="CJ9" t="e">
        <f>'Master Data'!AL33+"AM:!&gt;t"</f>
        <v>#VALUE!</v>
      </c>
      <c r="CK9" t="e">
        <f>'Master Data'!AM33+"AM:!&gt;u"</f>
        <v>#VALUE!</v>
      </c>
      <c r="CL9" t="e">
        <f>'Master Data'!A35+"AM:!&gt;v"</f>
        <v>#VALUE!</v>
      </c>
      <c r="CM9" t="e">
        <f>'Master Data'!B35+"AM:!&gt;w"</f>
        <v>#VALUE!</v>
      </c>
      <c r="CN9" t="e">
        <f>'Master Data'!C35+"AM:!&gt;x"</f>
        <v>#VALUE!</v>
      </c>
      <c r="CO9" t="e">
        <f>'Master Data'!D35+"AM:!&gt;y"</f>
        <v>#VALUE!</v>
      </c>
      <c r="CP9" t="e">
        <f>'Master Data'!E35+"AM:!&gt;z"</f>
        <v>#VALUE!</v>
      </c>
      <c r="CQ9" t="e">
        <f>'Master Data'!F35+"AM:!&gt;{"</f>
        <v>#VALUE!</v>
      </c>
      <c r="CR9" t="e">
        <f>'Master Data'!G35+"AM:!&gt;|"</f>
        <v>#VALUE!</v>
      </c>
      <c r="CS9" t="e">
        <f>'Master Data'!I33+"AM:!&gt;}"</f>
        <v>#VALUE!</v>
      </c>
      <c r="CT9" t="e">
        <f>'Master Data'!J33+"AM:!&gt;~"</f>
        <v>#VALUE!</v>
      </c>
      <c r="CU9" t="e">
        <f>'Master Data'!K35+"AM:!?#"</f>
        <v>#VALUE!</v>
      </c>
      <c r="CV9" t="e">
        <f>'Master Data'!L35+"AM:!?$"</f>
        <v>#VALUE!</v>
      </c>
      <c r="CW9" t="e">
        <f>'Master Data'!M35+"AM:!?%"</f>
        <v>#VALUE!</v>
      </c>
      <c r="CX9" t="e">
        <f>'Master Data'!N35+"AM:!?&amp;"</f>
        <v>#VALUE!</v>
      </c>
      <c r="CY9" t="e">
        <f>'Master Data'!O35+"AM:!?'"</f>
        <v>#VALUE!</v>
      </c>
      <c r="CZ9" t="e">
        <f>'Master Data'!P34+"AM:!?("</f>
        <v>#VALUE!</v>
      </c>
      <c r="DA9" t="e">
        <f>'Master Data'!Q35+"AM:!?)"</f>
        <v>#VALUE!</v>
      </c>
      <c r="DB9" t="e">
        <f>'Master Data'!R35+"AM:!?."</f>
        <v>#VALUE!</v>
      </c>
      <c r="DC9" t="e">
        <f>'Master Data'!S35+"AM:!?/"</f>
        <v>#VALUE!</v>
      </c>
      <c r="DD9" t="e">
        <f>'Master Data'!T34+"AM:!?0"</f>
        <v>#VALUE!</v>
      </c>
      <c r="DE9" t="e">
        <f>'Master Data'!U34+"AM:!?1"</f>
        <v>#VALUE!</v>
      </c>
      <c r="DF9" t="e">
        <f>'Master Data'!V34+"AM:!?2"</f>
        <v>#VALUE!</v>
      </c>
      <c r="DG9" t="e">
        <f>'Master Data'!W34+"AM:!?3"</f>
        <v>#VALUE!</v>
      </c>
      <c r="DH9" t="e">
        <f>'Master Data'!X34+"AM:!?4"</f>
        <v>#VALUE!</v>
      </c>
      <c r="DI9" t="e">
        <f>'Master Data'!Y34+"AM:!?5"</f>
        <v>#VALUE!</v>
      </c>
      <c r="DJ9" t="e">
        <f>'Master Data'!Z34+"AM:!?6"</f>
        <v>#VALUE!</v>
      </c>
      <c r="DK9" t="e">
        <f>'Master Data'!AA34+"AM:!?7"</f>
        <v>#VALUE!</v>
      </c>
      <c r="DL9" t="e">
        <f>'Master Data'!AB34+"AM:!?8"</f>
        <v>#VALUE!</v>
      </c>
      <c r="DM9" t="e">
        <f>'Master Data'!AC34+"AM:!?9"</f>
        <v>#VALUE!</v>
      </c>
      <c r="DN9" t="e">
        <f>'Master Data'!AD34+"AM:!?:"</f>
        <v>#VALUE!</v>
      </c>
      <c r="DO9" t="e">
        <f>'Master Data'!AE34+"AM:!?;"</f>
        <v>#VALUE!</v>
      </c>
      <c r="DP9" t="e">
        <f>'Master Data'!AF34+"AM:!?&lt;"</f>
        <v>#VALUE!</v>
      </c>
      <c r="DQ9" t="e">
        <f>'Master Data'!AG34+"AM:!?="</f>
        <v>#VALUE!</v>
      </c>
      <c r="DR9" t="e">
        <f>'Master Data'!AH34+"AM:!?&gt;"</f>
        <v>#VALUE!</v>
      </c>
      <c r="DS9" t="e">
        <f>'Master Data'!AI34+"AM:!??"</f>
        <v>#VALUE!</v>
      </c>
      <c r="DT9" t="e">
        <f>'Master Data'!AJ34+"AM:!?@"</f>
        <v>#VALUE!</v>
      </c>
      <c r="DU9" t="e">
        <f>'Master Data'!AK34+"AM:!?A"</f>
        <v>#VALUE!</v>
      </c>
      <c r="DV9" t="e">
        <f>'Master Data'!AL34+"AM:!?B"</f>
        <v>#VALUE!</v>
      </c>
      <c r="DW9" t="e">
        <f>'Master Data'!AM34+"AM:!?C"</f>
        <v>#VALUE!</v>
      </c>
      <c r="DX9" t="e">
        <f>'Master Data'!A36+"AM:!?D"</f>
        <v>#VALUE!</v>
      </c>
      <c r="DY9" t="e">
        <f>'Master Data'!B36+"AM:!?E"</f>
        <v>#VALUE!</v>
      </c>
      <c r="DZ9" t="e">
        <f>'Master Data'!C36+"AM:!?F"</f>
        <v>#VALUE!</v>
      </c>
      <c r="EA9" t="e">
        <f>'Master Data'!D36+"AM:!?G"</f>
        <v>#VALUE!</v>
      </c>
      <c r="EB9" t="e">
        <f>'Master Data'!E36+"AM:!?H"</f>
        <v>#VALUE!</v>
      </c>
      <c r="EC9" t="e">
        <f>'Master Data'!F36+"AM:!?I"</f>
        <v>#VALUE!</v>
      </c>
      <c r="ED9" t="e">
        <f>'Master Data'!G36+"AM:!?J"</f>
        <v>#VALUE!</v>
      </c>
      <c r="EE9" t="e">
        <f>'Master Data'!I34+"AM:!?K"</f>
        <v>#VALUE!</v>
      </c>
      <c r="EF9" t="e">
        <f>'Master Data'!J34+"AM:!?L"</f>
        <v>#VALUE!</v>
      </c>
      <c r="EG9" t="e">
        <f>'Master Data'!K36+"AM:!?M"</f>
        <v>#VALUE!</v>
      </c>
      <c r="EH9" t="e">
        <f>'Master Data'!L36+"AM:!?N"</f>
        <v>#VALUE!</v>
      </c>
      <c r="EI9" t="e">
        <f>'Master Data'!M36+"AM:!?O"</f>
        <v>#VALUE!</v>
      </c>
      <c r="EJ9" t="e">
        <f>'Master Data'!N36+"AM:!?P"</f>
        <v>#VALUE!</v>
      </c>
      <c r="EK9" t="e">
        <f>'Master Data'!O36+"AM:!?Q"</f>
        <v>#VALUE!</v>
      </c>
      <c r="EL9" t="e">
        <f>'Master Data'!P35+"AM:!?R"</f>
        <v>#VALUE!</v>
      </c>
      <c r="EM9" t="e">
        <f>'Master Data'!Q36+"AM:!?S"</f>
        <v>#VALUE!</v>
      </c>
      <c r="EN9" t="e">
        <f>'Master Data'!R36+"AM:!?T"</f>
        <v>#VALUE!</v>
      </c>
      <c r="EO9" t="e">
        <f>'Master Data'!S36+"AM:!?U"</f>
        <v>#VALUE!</v>
      </c>
      <c r="EP9" t="e">
        <f>'Master Data'!T35+"AM:!?V"</f>
        <v>#VALUE!</v>
      </c>
      <c r="EQ9" t="e">
        <f>'Master Data'!U35+"AM:!?W"</f>
        <v>#VALUE!</v>
      </c>
      <c r="ER9" t="e">
        <f>'Master Data'!V35+"AM:!?X"</f>
        <v>#VALUE!</v>
      </c>
      <c r="ES9" t="e">
        <f>'Master Data'!W35+"AM:!?Y"</f>
        <v>#VALUE!</v>
      </c>
      <c r="ET9" t="e">
        <f>'Master Data'!X35+"AM:!?Z"</f>
        <v>#VALUE!</v>
      </c>
      <c r="EU9" t="e">
        <f>'Master Data'!Y35+"AM:!?["</f>
        <v>#VALUE!</v>
      </c>
      <c r="EV9" t="e">
        <f>'Master Data'!Z35+"AM:!?\"</f>
        <v>#VALUE!</v>
      </c>
      <c r="EW9" t="e">
        <f>'Master Data'!AA35+"AM:!?]"</f>
        <v>#VALUE!</v>
      </c>
      <c r="EX9" t="e">
        <f>'Master Data'!AB35+"AM:!?^"</f>
        <v>#VALUE!</v>
      </c>
      <c r="EY9" t="e">
        <f>'Master Data'!AC35+"AM:!?_"</f>
        <v>#VALUE!</v>
      </c>
      <c r="EZ9" t="e">
        <f>'Master Data'!AD35+"AM:!?`"</f>
        <v>#VALUE!</v>
      </c>
      <c r="FA9" t="e">
        <f>'Master Data'!AE35+"AM:!?a"</f>
        <v>#VALUE!</v>
      </c>
      <c r="FB9" t="e">
        <f>'Master Data'!AF35+"AM:!?b"</f>
        <v>#VALUE!</v>
      </c>
      <c r="FC9" t="e">
        <f>'Master Data'!AG35+"AM:!?c"</f>
        <v>#VALUE!</v>
      </c>
      <c r="FD9" t="e">
        <f>'Master Data'!AH35+"AM:!?d"</f>
        <v>#VALUE!</v>
      </c>
      <c r="FE9" t="e">
        <f>'Master Data'!AI35+"AM:!?e"</f>
        <v>#VALUE!</v>
      </c>
      <c r="FF9" t="e">
        <f>'Master Data'!AJ35+"AM:!?f"</f>
        <v>#VALUE!</v>
      </c>
      <c r="FG9" t="e">
        <f>'Master Data'!AK35+"AM:!?g"</f>
        <v>#VALUE!</v>
      </c>
      <c r="FH9" t="e">
        <f>'Master Data'!AL35+"AM:!?h"</f>
        <v>#VALUE!</v>
      </c>
      <c r="FI9" t="e">
        <f>'Master Data'!AM35+"AM:!?i"</f>
        <v>#VALUE!</v>
      </c>
      <c r="FJ9" t="e">
        <f>'Master Data'!A37+"AM:!?j"</f>
        <v>#VALUE!</v>
      </c>
      <c r="FK9" t="e">
        <f>'Master Data'!B37+"AM:!?k"</f>
        <v>#VALUE!</v>
      </c>
      <c r="FL9" t="e">
        <f>'Master Data'!C37+"AM:!?l"</f>
        <v>#VALUE!</v>
      </c>
      <c r="FM9" t="e">
        <f>'Master Data'!D37+"AM:!?m"</f>
        <v>#VALUE!</v>
      </c>
      <c r="FN9" t="e">
        <f>'Master Data'!E37+"AM:!?n"</f>
        <v>#VALUE!</v>
      </c>
      <c r="FO9" t="e">
        <f>'Master Data'!F37+"AM:!?o"</f>
        <v>#VALUE!</v>
      </c>
      <c r="FP9" t="e">
        <f>'Master Data'!G37+"AM:!?p"</f>
        <v>#VALUE!</v>
      </c>
      <c r="FQ9" t="e">
        <f>'Master Data'!I35+"AM:!?q"</f>
        <v>#VALUE!</v>
      </c>
      <c r="FR9" t="e">
        <f>'Master Data'!J35+"AM:!?r"</f>
        <v>#VALUE!</v>
      </c>
      <c r="FS9" t="e">
        <f>'Master Data'!K37+"AM:!?s"</f>
        <v>#VALUE!</v>
      </c>
      <c r="FT9" t="e">
        <f>'Master Data'!L37+"AM:!?t"</f>
        <v>#VALUE!</v>
      </c>
      <c r="FU9" t="e">
        <f>'Master Data'!M37+"AM:!?u"</f>
        <v>#VALUE!</v>
      </c>
      <c r="FV9" t="e">
        <f>'Master Data'!N37+"AM:!?v"</f>
        <v>#VALUE!</v>
      </c>
      <c r="FW9" t="e">
        <f>'Master Data'!O37+"AM:!?w"</f>
        <v>#VALUE!</v>
      </c>
      <c r="FX9" t="e">
        <f>'Master Data'!P36+"AM:!?x"</f>
        <v>#VALUE!</v>
      </c>
      <c r="FY9" t="e">
        <f>'Master Data'!Q37+"AM:!?y"</f>
        <v>#VALUE!</v>
      </c>
      <c r="FZ9" t="e">
        <f>'Master Data'!R37+"AM:!?z"</f>
        <v>#VALUE!</v>
      </c>
      <c r="GA9" t="e">
        <f>'Master Data'!S37+"AM:!?{"</f>
        <v>#VALUE!</v>
      </c>
      <c r="GB9" t="e">
        <f>'Master Data'!T36+"AM:!?|"</f>
        <v>#VALUE!</v>
      </c>
      <c r="GC9" t="e">
        <f>'Master Data'!U36+"AM:!?}"</f>
        <v>#VALUE!</v>
      </c>
      <c r="GD9" t="e">
        <f>'Master Data'!V36+"AM:!?~"</f>
        <v>#VALUE!</v>
      </c>
      <c r="GE9" t="e">
        <f>'Master Data'!W36+"AM:!@#"</f>
        <v>#VALUE!</v>
      </c>
      <c r="GF9" t="e">
        <f>'Master Data'!X36+"AM:!@$"</f>
        <v>#VALUE!</v>
      </c>
      <c r="GG9" t="e">
        <f>'Master Data'!Y36+"AM:!@%"</f>
        <v>#VALUE!</v>
      </c>
      <c r="GH9" t="e">
        <f>'Master Data'!Z36+"AM:!@&amp;"</f>
        <v>#VALUE!</v>
      </c>
      <c r="GI9" t="e">
        <f>'Master Data'!AA36+"AM:!@'"</f>
        <v>#VALUE!</v>
      </c>
      <c r="GJ9" t="e">
        <f>'Master Data'!AB36+"AM:!@("</f>
        <v>#VALUE!</v>
      </c>
      <c r="GK9" t="e">
        <f>'Master Data'!AC36+"AM:!@)"</f>
        <v>#VALUE!</v>
      </c>
      <c r="GL9" t="e">
        <f>'Master Data'!AD36+"AM:!@."</f>
        <v>#VALUE!</v>
      </c>
      <c r="GM9" t="e">
        <f>'Master Data'!AE36+"AM:!@/"</f>
        <v>#VALUE!</v>
      </c>
      <c r="GN9" t="e">
        <f>'Master Data'!AF36+"AM:!@0"</f>
        <v>#VALUE!</v>
      </c>
      <c r="GO9" t="e">
        <f>'Master Data'!AG36+"AM:!@1"</f>
        <v>#VALUE!</v>
      </c>
      <c r="GP9" t="e">
        <f>'Master Data'!AH36+"AM:!@2"</f>
        <v>#VALUE!</v>
      </c>
      <c r="GQ9" t="e">
        <f>'Master Data'!AI36+"AM:!@3"</f>
        <v>#VALUE!</v>
      </c>
      <c r="GR9" t="e">
        <f>'Master Data'!AJ36+"AM:!@4"</f>
        <v>#VALUE!</v>
      </c>
      <c r="GS9" t="e">
        <f>'Master Data'!AK36+"AM:!@5"</f>
        <v>#VALUE!</v>
      </c>
      <c r="GT9" t="e">
        <f>'Master Data'!AL36+"AM:!@6"</f>
        <v>#VALUE!</v>
      </c>
      <c r="GU9" t="e">
        <f>'Master Data'!A38+"AM:!@7"</f>
        <v>#VALUE!</v>
      </c>
      <c r="GV9" t="e">
        <f>'Master Data'!B38+"AM:!@8"</f>
        <v>#VALUE!</v>
      </c>
      <c r="GW9" t="e">
        <f>'Master Data'!C38+"AM:!@9"</f>
        <v>#VALUE!</v>
      </c>
      <c r="GX9" t="e">
        <f>'Master Data'!D38+"AM:!@:"</f>
        <v>#VALUE!</v>
      </c>
      <c r="GY9" t="e">
        <f>'Master Data'!E38+"AM:!@;"</f>
        <v>#VALUE!</v>
      </c>
      <c r="GZ9" t="e">
        <f>'Master Data'!F38+"AM:!@&lt;"</f>
        <v>#VALUE!</v>
      </c>
      <c r="HA9" t="e">
        <f>'Master Data'!G38+"AM:!@="</f>
        <v>#VALUE!</v>
      </c>
      <c r="HB9" t="e">
        <f>'Master Data'!I36+"AM:!@&gt;"</f>
        <v>#VALUE!</v>
      </c>
      <c r="HC9" t="e">
        <f>'Master Data'!J36+"AM:!@?"</f>
        <v>#VALUE!</v>
      </c>
      <c r="HD9" t="e">
        <f>'Master Data'!K38+"AM:!@@"</f>
        <v>#VALUE!</v>
      </c>
      <c r="HE9" t="e">
        <f>'Master Data'!L38+"AM:!@A"</f>
        <v>#VALUE!</v>
      </c>
      <c r="HF9" t="e">
        <f>'Master Data'!M38+"AM:!@B"</f>
        <v>#VALUE!</v>
      </c>
      <c r="HG9" t="e">
        <f>'Master Data'!N38+"AM:!@C"</f>
        <v>#VALUE!</v>
      </c>
      <c r="HH9" t="e">
        <f>'Master Data'!O38+"AM:!@D"</f>
        <v>#VALUE!</v>
      </c>
      <c r="HI9" t="e">
        <f>'Master Data'!P37+"AM:!@E"</f>
        <v>#VALUE!</v>
      </c>
      <c r="HJ9" t="e">
        <f>'Master Data'!Q38+"AM:!@F"</f>
        <v>#VALUE!</v>
      </c>
      <c r="HK9" t="e">
        <f>'Master Data'!R38+"AM:!@G"</f>
        <v>#VALUE!</v>
      </c>
      <c r="HL9" t="e">
        <f>'Master Data'!S38+"AM:!@H"</f>
        <v>#VALUE!</v>
      </c>
      <c r="HM9" t="e">
        <f>'Master Data'!T37+"AM:!@I"</f>
        <v>#VALUE!</v>
      </c>
      <c r="HN9" t="e">
        <f>'Master Data'!U37+"AM:!@J"</f>
        <v>#VALUE!</v>
      </c>
      <c r="HO9" t="e">
        <f>'Master Data'!V37+"AM:!@K"</f>
        <v>#VALUE!</v>
      </c>
      <c r="HP9" t="e">
        <f>'Master Data'!W37+"AM:!@L"</f>
        <v>#VALUE!</v>
      </c>
      <c r="HQ9" t="e">
        <f>'Master Data'!X37+"AM:!@M"</f>
        <v>#VALUE!</v>
      </c>
      <c r="HR9" t="e">
        <f>'Master Data'!Y37+"AM:!@N"</f>
        <v>#VALUE!</v>
      </c>
      <c r="HS9" t="e">
        <f>'Master Data'!Z37+"AM:!@O"</f>
        <v>#VALUE!</v>
      </c>
      <c r="HT9" t="e">
        <f>'Master Data'!AA37+"AM:!@P"</f>
        <v>#VALUE!</v>
      </c>
      <c r="HU9" t="e">
        <f>'Master Data'!AB37+"AM:!@Q"</f>
        <v>#VALUE!</v>
      </c>
      <c r="HV9" t="e">
        <f>'Master Data'!AC37+"AM:!@R"</f>
        <v>#VALUE!</v>
      </c>
      <c r="HW9" t="e">
        <f>'Master Data'!AD37+"AM:!@S"</f>
        <v>#VALUE!</v>
      </c>
      <c r="HX9" t="e">
        <f>'Master Data'!AE37+"AM:!@T"</f>
        <v>#VALUE!</v>
      </c>
      <c r="HY9" t="e">
        <f>'Master Data'!AF37+"AM:!@U"</f>
        <v>#VALUE!</v>
      </c>
      <c r="HZ9" t="e">
        <f>'Master Data'!AG37+"AM:!@V"</f>
        <v>#VALUE!</v>
      </c>
      <c r="IA9" t="e">
        <f>'Master Data'!AH37+"AM:!@W"</f>
        <v>#VALUE!</v>
      </c>
      <c r="IB9" t="e">
        <f>'Master Data'!AI37+"AM:!@X"</f>
        <v>#VALUE!</v>
      </c>
      <c r="IC9" t="e">
        <f>'Master Data'!AJ37+"AM:!@Y"</f>
        <v>#VALUE!</v>
      </c>
      <c r="ID9" t="e">
        <f>'Master Data'!AK37+"AM:!@Z"</f>
        <v>#VALUE!</v>
      </c>
      <c r="IE9" t="e">
        <f>'Master Data'!AL37+"AM:!@["</f>
        <v>#VALUE!</v>
      </c>
      <c r="IF9" t="e">
        <f>'Master Data'!A39+"AM:!@\"</f>
        <v>#VALUE!</v>
      </c>
      <c r="IG9" t="e">
        <f>'Master Data'!B39+"AM:!@]"</f>
        <v>#VALUE!</v>
      </c>
      <c r="IH9" t="e">
        <f>'Master Data'!C39+"AM:!@^"</f>
        <v>#VALUE!</v>
      </c>
      <c r="II9" t="e">
        <f>'Master Data'!D39+"AM:!@_"</f>
        <v>#VALUE!</v>
      </c>
      <c r="IJ9" t="e">
        <f>'Master Data'!E39+"AM:!@`"</f>
        <v>#VALUE!</v>
      </c>
      <c r="IK9" t="e">
        <f>'Master Data'!F39+"AM:!@a"</f>
        <v>#VALUE!</v>
      </c>
      <c r="IL9" t="e">
        <f>'Master Data'!G39+"AM:!@b"</f>
        <v>#VALUE!</v>
      </c>
      <c r="IM9" t="e">
        <f>'Master Data'!I37+"AM:!@c"</f>
        <v>#VALUE!</v>
      </c>
      <c r="IN9" t="e">
        <f>'Master Data'!J37+"AM:!@d"</f>
        <v>#VALUE!</v>
      </c>
      <c r="IO9" t="e">
        <f>'Master Data'!K39+"AM:!@e"</f>
        <v>#VALUE!</v>
      </c>
      <c r="IP9" t="e">
        <f>'Master Data'!L39+"AM:!@f"</f>
        <v>#VALUE!</v>
      </c>
      <c r="IQ9" t="e">
        <f>'Master Data'!M39+"AM:!@g"</f>
        <v>#VALUE!</v>
      </c>
      <c r="IR9" t="e">
        <f>'Master Data'!N39+"AM:!@h"</f>
        <v>#VALUE!</v>
      </c>
      <c r="IS9" t="e">
        <f>'Master Data'!O39+"AM:!@i"</f>
        <v>#VALUE!</v>
      </c>
      <c r="IT9" t="e">
        <f>'Master Data'!P38+"AM:!@j"</f>
        <v>#VALUE!</v>
      </c>
      <c r="IU9" t="e">
        <f>'Master Data'!Q39+"AM:!@k"</f>
        <v>#VALUE!</v>
      </c>
      <c r="IV9" t="e">
        <f>'Master Data'!R39+"AM:!@l"</f>
        <v>#VALUE!</v>
      </c>
    </row>
    <row r="10" spans="1:256">
      <c r="F10" t="e">
        <f>'Master Data'!S39+"AM:!@m"</f>
        <v>#VALUE!</v>
      </c>
      <c r="G10" t="e">
        <f>'Master Data'!T38+"AM:!@n"</f>
        <v>#VALUE!</v>
      </c>
      <c r="H10" t="e">
        <f>'Master Data'!U38+"AM:!@o"</f>
        <v>#VALUE!</v>
      </c>
      <c r="I10" t="e">
        <f>'Master Data'!V38+"AM:!@p"</f>
        <v>#VALUE!</v>
      </c>
      <c r="J10" t="e">
        <f>'Master Data'!W38+"AM:!@q"</f>
        <v>#VALUE!</v>
      </c>
      <c r="K10" t="e">
        <f>'Master Data'!X38+"AM:!@r"</f>
        <v>#VALUE!</v>
      </c>
      <c r="L10" t="e">
        <f>'Master Data'!Y38+"AM:!@s"</f>
        <v>#VALUE!</v>
      </c>
      <c r="M10" t="e">
        <f>'Master Data'!Z38+"AM:!@t"</f>
        <v>#VALUE!</v>
      </c>
      <c r="N10" t="e">
        <f>'Master Data'!AA38+"AM:!@u"</f>
        <v>#VALUE!</v>
      </c>
      <c r="O10" t="e">
        <f>'Master Data'!AB38+"AM:!@v"</f>
        <v>#VALUE!</v>
      </c>
      <c r="P10" t="e">
        <f>'Master Data'!AC38+"AM:!@w"</f>
        <v>#VALUE!</v>
      </c>
      <c r="Q10" t="e">
        <f>'Master Data'!AD38+"AM:!@x"</f>
        <v>#VALUE!</v>
      </c>
      <c r="R10" t="e">
        <f>'Master Data'!AE38+"AM:!@y"</f>
        <v>#VALUE!</v>
      </c>
      <c r="S10" t="e">
        <f>'Master Data'!AF38+"AM:!@z"</f>
        <v>#VALUE!</v>
      </c>
      <c r="T10" t="e">
        <f>'Master Data'!AG38+"AM:!@{"</f>
        <v>#VALUE!</v>
      </c>
      <c r="U10" t="e">
        <f>'Master Data'!AH38+"AM:!@|"</f>
        <v>#VALUE!</v>
      </c>
      <c r="V10" t="e">
        <f>'Master Data'!AI38+"AM:!@}"</f>
        <v>#VALUE!</v>
      </c>
      <c r="W10" t="e">
        <f>'Master Data'!AJ38+"AM:!@~"</f>
        <v>#VALUE!</v>
      </c>
      <c r="X10" t="e">
        <f>'Master Data'!AK38+"AM:!A#"</f>
        <v>#VALUE!</v>
      </c>
      <c r="Y10" t="e">
        <f>'Master Data'!A40+"AM:!A$"</f>
        <v>#VALUE!</v>
      </c>
      <c r="Z10" t="e">
        <f>'Master Data'!B40+"AM:!A%"</f>
        <v>#VALUE!</v>
      </c>
      <c r="AA10" t="e">
        <f>'Master Data'!C40+"AM:!A&amp;"</f>
        <v>#VALUE!</v>
      </c>
      <c r="AB10" t="e">
        <f>'Master Data'!D40+"AM:!A'"</f>
        <v>#VALUE!</v>
      </c>
      <c r="AC10" t="e">
        <f>'Master Data'!E40+"AM:!A("</f>
        <v>#VALUE!</v>
      </c>
      <c r="AD10" t="e">
        <f>'Master Data'!F40+"AM:!A)"</f>
        <v>#VALUE!</v>
      </c>
      <c r="AE10" t="e">
        <f>'Master Data'!G40+"AM:!A."</f>
        <v>#VALUE!</v>
      </c>
      <c r="AF10" t="e">
        <f>'Master Data'!I38+"AM:!A/"</f>
        <v>#VALUE!</v>
      </c>
      <c r="AG10" t="e">
        <f>'Master Data'!J38+"AM:!A0"</f>
        <v>#VALUE!</v>
      </c>
      <c r="AH10" t="e">
        <f>'Master Data'!K40+"AM:!A1"</f>
        <v>#VALUE!</v>
      </c>
      <c r="AI10" t="e">
        <f>'Master Data'!L40+"AM:!A2"</f>
        <v>#VALUE!</v>
      </c>
      <c r="AJ10" t="e">
        <f>'Master Data'!M40+"AM:!A3"</f>
        <v>#VALUE!</v>
      </c>
      <c r="AK10" t="e">
        <f>'Master Data'!N40+"AM:!A4"</f>
        <v>#VALUE!</v>
      </c>
      <c r="AL10" t="e">
        <f>'Master Data'!O40+"AM:!A5"</f>
        <v>#VALUE!</v>
      </c>
      <c r="AM10" t="e">
        <f>'Master Data'!P39+"AM:!A6"</f>
        <v>#VALUE!</v>
      </c>
      <c r="AN10" t="e">
        <f>'Master Data'!Q40+"AM:!A7"</f>
        <v>#VALUE!</v>
      </c>
      <c r="AO10" t="e">
        <f>'Master Data'!R40+"AM:!A8"</f>
        <v>#VALUE!</v>
      </c>
      <c r="AP10" t="e">
        <f>'Master Data'!S40+"AM:!A9"</f>
        <v>#VALUE!</v>
      </c>
      <c r="AQ10" t="e">
        <f>'Master Data'!T39+"AM:!A:"</f>
        <v>#VALUE!</v>
      </c>
      <c r="AR10" t="e">
        <f>'Master Data'!U39+"AM:!A;"</f>
        <v>#VALUE!</v>
      </c>
      <c r="AS10" t="e">
        <f>'Master Data'!V39+"AM:!A&lt;"</f>
        <v>#VALUE!</v>
      </c>
      <c r="AT10" t="e">
        <f>'Master Data'!W39+"AM:!A="</f>
        <v>#VALUE!</v>
      </c>
      <c r="AU10" t="e">
        <f>'Master Data'!X39+"AM:!A&gt;"</f>
        <v>#VALUE!</v>
      </c>
      <c r="AV10" t="e">
        <f>'Master Data'!Y39+"AM:!A?"</f>
        <v>#VALUE!</v>
      </c>
      <c r="AW10" t="e">
        <f>'Master Data'!Z39+"AM:!A@"</f>
        <v>#VALUE!</v>
      </c>
      <c r="AX10" t="e">
        <f>'Master Data'!AA39+"AM:!AA"</f>
        <v>#VALUE!</v>
      </c>
      <c r="AY10" t="e">
        <f>'Master Data'!AB39+"AM:!AB"</f>
        <v>#VALUE!</v>
      </c>
      <c r="AZ10" t="e">
        <f>'Master Data'!AC39+"AM:!AC"</f>
        <v>#VALUE!</v>
      </c>
      <c r="BA10" t="e">
        <f>'Master Data'!AD39+"AM:!AD"</f>
        <v>#VALUE!</v>
      </c>
      <c r="BB10" t="e">
        <f>'Master Data'!AE39+"AM:!AE"</f>
        <v>#VALUE!</v>
      </c>
      <c r="BC10" t="e">
        <f>'Master Data'!AF39+"AM:!AF"</f>
        <v>#VALUE!</v>
      </c>
      <c r="BD10" t="e">
        <f>'Master Data'!AG39+"AM:!AG"</f>
        <v>#VALUE!</v>
      </c>
      <c r="BE10" t="e">
        <f>'Master Data'!AH39+"AM:!AH"</f>
        <v>#VALUE!</v>
      </c>
      <c r="BF10" t="e">
        <f>'Master Data'!AI39+"AM:!AI"</f>
        <v>#VALUE!</v>
      </c>
      <c r="BG10" t="e">
        <f>'Master Data'!AJ39+"AM:!AJ"</f>
        <v>#VALUE!</v>
      </c>
      <c r="BH10" t="e">
        <f>'Master Data'!AK39+"AM:!AK"</f>
        <v>#VALUE!</v>
      </c>
      <c r="BI10" t="e">
        <f>'Master Data'!A41+"AM:!AL"</f>
        <v>#VALUE!</v>
      </c>
      <c r="BJ10" t="e">
        <f>'Master Data'!B41+"AM:!AM"</f>
        <v>#VALUE!</v>
      </c>
      <c r="BK10" t="e">
        <f>'Master Data'!C41+"AM:!AN"</f>
        <v>#VALUE!</v>
      </c>
      <c r="BL10" t="e">
        <f>'Master Data'!D41+"AM:!AO"</f>
        <v>#VALUE!</v>
      </c>
      <c r="BM10" t="e">
        <f>'Master Data'!E41+"AM:!AP"</f>
        <v>#VALUE!</v>
      </c>
      <c r="BN10" t="e">
        <f>'Master Data'!F41+"AM:!AQ"</f>
        <v>#VALUE!</v>
      </c>
      <c r="BO10" t="e">
        <f>'Master Data'!G41+"AM:!AR"</f>
        <v>#VALUE!</v>
      </c>
      <c r="BP10" t="e">
        <f>'Master Data'!I39+"AM:!AS"</f>
        <v>#VALUE!</v>
      </c>
      <c r="BQ10" t="e">
        <f>'Master Data'!J39+"AM:!AT"</f>
        <v>#VALUE!</v>
      </c>
      <c r="BR10" t="e">
        <f>'Master Data'!K41+"AM:!AU"</f>
        <v>#VALUE!</v>
      </c>
      <c r="BS10" t="e">
        <f>'Master Data'!L41+"AM:!AV"</f>
        <v>#VALUE!</v>
      </c>
      <c r="BT10" t="e">
        <f>'Master Data'!M41+"AM:!AW"</f>
        <v>#VALUE!</v>
      </c>
      <c r="BU10" t="e">
        <f>'Master Data'!N41+"AM:!AX"</f>
        <v>#VALUE!</v>
      </c>
      <c r="BV10" t="e">
        <f>'Master Data'!O41+"AM:!AY"</f>
        <v>#VALUE!</v>
      </c>
      <c r="BW10" t="e">
        <f>'Master Data'!P40+"AM:!AZ"</f>
        <v>#VALUE!</v>
      </c>
      <c r="BX10" t="e">
        <f>'Master Data'!Q41+"AM:!A["</f>
        <v>#VALUE!</v>
      </c>
      <c r="BY10" t="e">
        <f>'Master Data'!R41+"AM:!A\"</f>
        <v>#VALUE!</v>
      </c>
      <c r="BZ10" t="e">
        <f>'Master Data'!S41+"AM:!A]"</f>
        <v>#VALUE!</v>
      </c>
      <c r="CA10" t="e">
        <f>'Master Data'!T40+"AM:!A^"</f>
        <v>#VALUE!</v>
      </c>
      <c r="CB10" t="e">
        <f>'Master Data'!U40+"AM:!A_"</f>
        <v>#VALUE!</v>
      </c>
      <c r="CC10" t="e">
        <f>'Master Data'!V40+"AM:!A`"</f>
        <v>#VALUE!</v>
      </c>
      <c r="CD10" t="e">
        <f>'Master Data'!W40+"AM:!Aa"</f>
        <v>#VALUE!</v>
      </c>
      <c r="CE10" t="e">
        <f>'Master Data'!X40+"AM:!Ab"</f>
        <v>#VALUE!</v>
      </c>
      <c r="CF10" t="e">
        <f>'Master Data'!Y40+"AM:!Ac"</f>
        <v>#VALUE!</v>
      </c>
      <c r="CG10" t="e">
        <f>'Master Data'!Z40+"AM:!Ad"</f>
        <v>#VALUE!</v>
      </c>
      <c r="CH10" t="e">
        <f>'Master Data'!AA40+"AM:!Ae"</f>
        <v>#VALUE!</v>
      </c>
      <c r="CI10" t="e">
        <f>'Master Data'!AB40+"AM:!Af"</f>
        <v>#VALUE!</v>
      </c>
      <c r="CJ10" t="e">
        <f>'Master Data'!AC40+"AM:!Ag"</f>
        <v>#VALUE!</v>
      </c>
      <c r="CK10" t="e">
        <f>'Master Data'!AD40+"AM:!Ah"</f>
        <v>#VALUE!</v>
      </c>
      <c r="CL10" t="e">
        <f>'Master Data'!AE40+"AM:!Ai"</f>
        <v>#VALUE!</v>
      </c>
      <c r="CM10" t="e">
        <f>'Master Data'!AF40+"AM:!Aj"</f>
        <v>#VALUE!</v>
      </c>
      <c r="CN10" t="e">
        <f>'Master Data'!AG40+"AM:!Ak"</f>
        <v>#VALUE!</v>
      </c>
      <c r="CO10" t="e">
        <f>'Master Data'!AH40+"AM:!Al"</f>
        <v>#VALUE!</v>
      </c>
      <c r="CP10" t="e">
        <f>'Master Data'!AI40+"AM:!Am"</f>
        <v>#VALUE!</v>
      </c>
      <c r="CQ10" t="e">
        <f>'Master Data'!AJ40+"AM:!An"</f>
        <v>#VALUE!</v>
      </c>
      <c r="CR10" t="e">
        <f>'Master Data'!AK40+"AM:!Ao"</f>
        <v>#VALUE!</v>
      </c>
      <c r="CS10" t="e">
        <f>'Master Data'!A42+"AM:!Ap"</f>
        <v>#VALUE!</v>
      </c>
      <c r="CT10" t="e">
        <f>'Master Data'!B42+"AM:!Aq"</f>
        <v>#VALUE!</v>
      </c>
      <c r="CU10" t="e">
        <f>'Master Data'!C42+"AM:!Ar"</f>
        <v>#VALUE!</v>
      </c>
      <c r="CV10" t="e">
        <f>'Master Data'!D42+"AM:!As"</f>
        <v>#VALUE!</v>
      </c>
      <c r="CW10" t="e">
        <f>'Master Data'!E42+"AM:!At"</f>
        <v>#VALUE!</v>
      </c>
      <c r="CX10" t="e">
        <f>'Master Data'!F42+"AM:!Au"</f>
        <v>#VALUE!</v>
      </c>
      <c r="CY10" t="e">
        <f>'Master Data'!G42+"AM:!Av"</f>
        <v>#VALUE!</v>
      </c>
      <c r="CZ10" t="e">
        <f>'Master Data'!I40+"AM:!Aw"</f>
        <v>#VALUE!</v>
      </c>
      <c r="DA10" t="e">
        <f>'Master Data'!J40+"AM:!Ax"</f>
        <v>#VALUE!</v>
      </c>
      <c r="DB10" t="e">
        <f>'Master Data'!K42+"AM:!Ay"</f>
        <v>#VALUE!</v>
      </c>
      <c r="DC10" t="e">
        <f>'Master Data'!L42+"AM:!Az"</f>
        <v>#VALUE!</v>
      </c>
      <c r="DD10" t="e">
        <f>'Master Data'!M42+"AM:!A{"</f>
        <v>#VALUE!</v>
      </c>
      <c r="DE10" t="e">
        <f>'Master Data'!N42+"AM:!A|"</f>
        <v>#VALUE!</v>
      </c>
      <c r="DF10" t="e">
        <f>'Master Data'!O42+"AM:!A}"</f>
        <v>#VALUE!</v>
      </c>
      <c r="DG10" t="e">
        <f>'Master Data'!P41+"AM:!A~"</f>
        <v>#VALUE!</v>
      </c>
      <c r="DH10" t="e">
        <f>'Master Data'!Q42+"AM:!B#"</f>
        <v>#VALUE!</v>
      </c>
      <c r="DI10" t="e">
        <f>'Master Data'!R42+"AM:!B$"</f>
        <v>#VALUE!</v>
      </c>
      <c r="DJ10" t="e">
        <f>'Master Data'!S42+"AM:!B%"</f>
        <v>#VALUE!</v>
      </c>
      <c r="DK10" t="e">
        <f>'Master Data'!T41+"AM:!B&amp;"</f>
        <v>#VALUE!</v>
      </c>
      <c r="DL10" t="e">
        <f>'Master Data'!U41+"AM:!B'"</f>
        <v>#VALUE!</v>
      </c>
      <c r="DM10" t="e">
        <f>'Master Data'!V41+"AM:!B("</f>
        <v>#VALUE!</v>
      </c>
      <c r="DN10" t="e">
        <f>'Master Data'!W41+"AM:!B)"</f>
        <v>#VALUE!</v>
      </c>
      <c r="DO10" t="e">
        <f>'Master Data'!X41+"AM:!B."</f>
        <v>#VALUE!</v>
      </c>
      <c r="DP10" t="e">
        <f>'Master Data'!Y41+"AM:!B/"</f>
        <v>#VALUE!</v>
      </c>
      <c r="DQ10" t="e">
        <f>'Master Data'!Z41+"AM:!B0"</f>
        <v>#VALUE!</v>
      </c>
      <c r="DR10" t="e">
        <f>'Master Data'!AA41+"AM:!B1"</f>
        <v>#VALUE!</v>
      </c>
      <c r="DS10" t="e">
        <f>'Master Data'!AB41+"AM:!B2"</f>
        <v>#VALUE!</v>
      </c>
      <c r="DT10" t="e">
        <f>'Master Data'!AC41+"AM:!B3"</f>
        <v>#VALUE!</v>
      </c>
      <c r="DU10" t="e">
        <f>'Master Data'!AD41+"AM:!B4"</f>
        <v>#VALUE!</v>
      </c>
      <c r="DV10" t="e">
        <f>'Master Data'!AE41+"AM:!B5"</f>
        <v>#VALUE!</v>
      </c>
      <c r="DW10" t="e">
        <f>'Master Data'!AF41+"AM:!B6"</f>
        <v>#VALUE!</v>
      </c>
      <c r="DX10" t="e">
        <f>'Master Data'!AG41+"AM:!B7"</f>
        <v>#VALUE!</v>
      </c>
      <c r="DY10" t="e">
        <f>'Master Data'!AH41+"AM:!B8"</f>
        <v>#VALUE!</v>
      </c>
      <c r="DZ10" t="e">
        <f>'Master Data'!AI41+"AM:!B9"</f>
        <v>#VALUE!</v>
      </c>
      <c r="EA10" t="e">
        <f>'Master Data'!AJ41+"AM:!B:"</f>
        <v>#VALUE!</v>
      </c>
      <c r="EB10" t="e">
        <f>'Master Data'!AK41+"AM:!B;"</f>
        <v>#VALUE!</v>
      </c>
      <c r="EC10" t="e">
        <f>'Master Data'!A43+"AM:!B&lt;"</f>
        <v>#VALUE!</v>
      </c>
      <c r="ED10" t="e">
        <f>'Master Data'!B43+"AM:!B="</f>
        <v>#VALUE!</v>
      </c>
      <c r="EE10" t="e">
        <f>'Master Data'!C43+"AM:!B&gt;"</f>
        <v>#VALUE!</v>
      </c>
      <c r="EF10" t="e">
        <f>'Master Data'!D43+"AM:!B?"</f>
        <v>#VALUE!</v>
      </c>
      <c r="EG10" t="e">
        <f>'Master Data'!E43+"AM:!B@"</f>
        <v>#VALUE!</v>
      </c>
      <c r="EH10" t="e">
        <f>'Master Data'!F43+"AM:!BA"</f>
        <v>#VALUE!</v>
      </c>
      <c r="EI10" t="e">
        <f>'Master Data'!G43+"AM:!BB"</f>
        <v>#VALUE!</v>
      </c>
      <c r="EJ10" t="e">
        <f>'Master Data'!I41+"AM:!BC"</f>
        <v>#VALUE!</v>
      </c>
      <c r="EK10" t="e">
        <f>'Master Data'!J41+"AM:!BD"</f>
        <v>#VALUE!</v>
      </c>
      <c r="EL10" t="e">
        <f>'Master Data'!K43+"AM:!BE"</f>
        <v>#VALUE!</v>
      </c>
      <c r="EM10" t="e">
        <f>'Master Data'!L43+"AM:!BF"</f>
        <v>#VALUE!</v>
      </c>
      <c r="EN10" t="e">
        <f>'Master Data'!M43+"AM:!BG"</f>
        <v>#VALUE!</v>
      </c>
      <c r="EO10" t="e">
        <f>'Master Data'!N43+"AM:!BH"</f>
        <v>#VALUE!</v>
      </c>
      <c r="EP10" t="e">
        <f>'Master Data'!O43+"AM:!BI"</f>
        <v>#VALUE!</v>
      </c>
      <c r="EQ10" t="e">
        <f>'Master Data'!P42+"AM:!BJ"</f>
        <v>#VALUE!</v>
      </c>
      <c r="ER10" t="e">
        <f>'Master Data'!Q43+"AM:!BK"</f>
        <v>#VALUE!</v>
      </c>
      <c r="ES10" t="e">
        <f>'Master Data'!R43+"AM:!BL"</f>
        <v>#VALUE!</v>
      </c>
      <c r="ET10" t="e">
        <f>'Master Data'!S43+"AM:!BM"</f>
        <v>#VALUE!</v>
      </c>
      <c r="EU10" t="e">
        <f>'Master Data'!T42+"AM:!BN"</f>
        <v>#VALUE!</v>
      </c>
      <c r="EV10" t="e">
        <f>'Master Data'!U42+"AM:!BO"</f>
        <v>#VALUE!</v>
      </c>
      <c r="EW10" t="e">
        <f>'Master Data'!V42+"AM:!BP"</f>
        <v>#VALUE!</v>
      </c>
      <c r="EX10" t="e">
        <f>'Master Data'!W42+"AM:!BQ"</f>
        <v>#VALUE!</v>
      </c>
      <c r="EY10" t="e">
        <f>'Master Data'!X42+"AM:!BR"</f>
        <v>#VALUE!</v>
      </c>
      <c r="EZ10" t="e">
        <f>'Master Data'!Y42+"AM:!BS"</f>
        <v>#VALUE!</v>
      </c>
      <c r="FA10" t="e">
        <f>'Master Data'!Z42+"AM:!BT"</f>
        <v>#VALUE!</v>
      </c>
      <c r="FB10" t="e">
        <f>'Master Data'!AA42+"AM:!BU"</f>
        <v>#VALUE!</v>
      </c>
      <c r="FC10" t="e">
        <f>'Master Data'!AB42+"AM:!BV"</f>
        <v>#VALUE!</v>
      </c>
      <c r="FD10" t="e">
        <f>'Master Data'!AC42+"AM:!BW"</f>
        <v>#VALUE!</v>
      </c>
      <c r="FE10" t="e">
        <f>'Master Data'!AD42+"AM:!BX"</f>
        <v>#VALUE!</v>
      </c>
      <c r="FF10" t="e">
        <f>'Master Data'!AE42+"AM:!BY"</f>
        <v>#VALUE!</v>
      </c>
      <c r="FG10" t="e">
        <f>'Master Data'!AF42+"AM:!BZ"</f>
        <v>#VALUE!</v>
      </c>
      <c r="FH10" t="e">
        <f>'Master Data'!AG42+"AM:!B["</f>
        <v>#VALUE!</v>
      </c>
      <c r="FI10" t="e">
        <f>'Master Data'!AH42+"AM:!B\"</f>
        <v>#VALUE!</v>
      </c>
      <c r="FJ10" t="e">
        <f>'Master Data'!AI42+"AM:!B]"</f>
        <v>#VALUE!</v>
      </c>
      <c r="FK10" t="e">
        <f>'Master Data'!AJ42+"AM:!B^"</f>
        <v>#VALUE!</v>
      </c>
      <c r="FL10" t="e">
        <f>'Master Data'!AK42+"AM:!B_"</f>
        <v>#VALUE!</v>
      </c>
      <c r="FM10" t="e">
        <f>'Master Data'!AL42+"AM:!B`"</f>
        <v>#VALUE!</v>
      </c>
      <c r="FN10" t="e">
        <f>'Master Data'!AM42+"AM:!Ba"</f>
        <v>#VALUE!</v>
      </c>
      <c r="FO10" t="e">
        <f>'Master Data'!AN42+"AM:!Bb"</f>
        <v>#VALUE!</v>
      </c>
      <c r="FP10" t="e">
        <f>'Master Data'!AO42+"AM:!Bc"</f>
        <v>#VALUE!</v>
      </c>
      <c r="FQ10" t="e">
        <f>'Master Data'!AP42+"AM:!Bd"</f>
        <v>#VALUE!</v>
      </c>
      <c r="FR10" t="e">
        <f>'Master Data'!A44+"AM:!Be"</f>
        <v>#VALUE!</v>
      </c>
      <c r="FS10" t="e">
        <f>'Master Data'!B44+"AM:!Bf"</f>
        <v>#VALUE!</v>
      </c>
      <c r="FT10" t="e">
        <f>'Master Data'!C44+"AM:!Bg"</f>
        <v>#VALUE!</v>
      </c>
      <c r="FU10" t="e">
        <f>'Master Data'!D44+"AM:!Bh"</f>
        <v>#VALUE!</v>
      </c>
      <c r="FV10" t="e">
        <f>'Master Data'!E44+"AM:!Bi"</f>
        <v>#VALUE!</v>
      </c>
      <c r="FW10" t="e">
        <f>'Master Data'!F44+"AM:!Bj"</f>
        <v>#VALUE!</v>
      </c>
      <c r="FX10" t="e">
        <f>'Master Data'!G44+"AM:!Bk"</f>
        <v>#VALUE!</v>
      </c>
      <c r="FY10" t="e">
        <f>'Master Data'!I42+"AM:!Bl"</f>
        <v>#VALUE!</v>
      </c>
      <c r="FZ10" t="e">
        <f>'Master Data'!J42+"AM:!Bm"</f>
        <v>#VALUE!</v>
      </c>
      <c r="GA10" t="e">
        <f>'Master Data'!K44+"AM:!Bn"</f>
        <v>#VALUE!</v>
      </c>
      <c r="GB10" t="e">
        <f>'Master Data'!L44+"AM:!Bo"</f>
        <v>#VALUE!</v>
      </c>
      <c r="GC10" t="e">
        <f>'Master Data'!M44+"AM:!Bp"</f>
        <v>#VALUE!</v>
      </c>
      <c r="GD10" t="e">
        <f>'Master Data'!N44+"AM:!Bq"</f>
        <v>#VALUE!</v>
      </c>
      <c r="GE10" t="e">
        <f>'Master Data'!O44+"AM:!Br"</f>
        <v>#VALUE!</v>
      </c>
      <c r="GF10" t="e">
        <f>'Master Data'!P43+"AM:!Bs"</f>
        <v>#VALUE!</v>
      </c>
      <c r="GG10" t="e">
        <f>'Master Data'!Q44+"AM:!Bt"</f>
        <v>#VALUE!</v>
      </c>
      <c r="GH10" t="e">
        <f>'Master Data'!R44+"AM:!Bu"</f>
        <v>#VALUE!</v>
      </c>
      <c r="GI10" t="e">
        <f>'Master Data'!S44+"AM:!Bv"</f>
        <v>#VALUE!</v>
      </c>
      <c r="GJ10" t="e">
        <f>'Master Data'!T43+"AM:!Bw"</f>
        <v>#VALUE!</v>
      </c>
      <c r="GK10" t="e">
        <f>'Master Data'!U43+"AM:!Bx"</f>
        <v>#VALUE!</v>
      </c>
      <c r="GL10" t="e">
        <f>'Master Data'!V43+"AM:!By"</f>
        <v>#VALUE!</v>
      </c>
      <c r="GM10" t="e">
        <f>'Master Data'!W43+"AM:!Bz"</f>
        <v>#VALUE!</v>
      </c>
      <c r="GN10" t="e">
        <f>'Master Data'!X43+"AM:!B{"</f>
        <v>#VALUE!</v>
      </c>
      <c r="GO10" t="e">
        <f>'Master Data'!Y43+"AM:!B|"</f>
        <v>#VALUE!</v>
      </c>
      <c r="GP10" t="e">
        <f>'Master Data'!Z43+"AM:!B}"</f>
        <v>#VALUE!</v>
      </c>
      <c r="GQ10" t="e">
        <f>'Master Data'!AA43+"AM:!B~"</f>
        <v>#VALUE!</v>
      </c>
      <c r="GR10" t="e">
        <f>'Master Data'!AB43+"AM:!C#"</f>
        <v>#VALUE!</v>
      </c>
      <c r="GS10" t="e">
        <f>'Master Data'!AC43+"AM:!C$"</f>
        <v>#VALUE!</v>
      </c>
      <c r="GT10" t="e">
        <f>'Master Data'!AD43+"AM:!C%"</f>
        <v>#VALUE!</v>
      </c>
      <c r="GU10" t="e">
        <f>'Master Data'!AE43+"AM:!C&amp;"</f>
        <v>#VALUE!</v>
      </c>
      <c r="GV10" t="e">
        <f>'Master Data'!AF43+"AM:!C'"</f>
        <v>#VALUE!</v>
      </c>
      <c r="GW10" t="e">
        <f>'Master Data'!AG43+"AM:!C("</f>
        <v>#VALUE!</v>
      </c>
      <c r="GX10" t="e">
        <f>'Master Data'!AH43+"AM:!C)"</f>
        <v>#VALUE!</v>
      </c>
      <c r="GY10" t="e">
        <f>'Master Data'!AI43+"AM:!C."</f>
        <v>#VALUE!</v>
      </c>
      <c r="GZ10" t="e">
        <f>'Master Data'!AJ43+"AM:!C/"</f>
        <v>#VALUE!</v>
      </c>
      <c r="HA10" t="e">
        <f>'Master Data'!AK43+"AM:!C0"</f>
        <v>#VALUE!</v>
      </c>
      <c r="HB10" t="e">
        <f>'Master Data'!AL43+"AM:!C1"</f>
        <v>#VALUE!</v>
      </c>
      <c r="HC10" t="e">
        <f>'Master Data'!AM43+"AM:!C2"</f>
        <v>#VALUE!</v>
      </c>
      <c r="HD10" t="e">
        <f>'Master Data'!AN43+"AM:!C3"</f>
        <v>#VALUE!</v>
      </c>
      <c r="HE10" t="e">
        <f>'Master Data'!AO43+"AM:!C4"</f>
        <v>#VALUE!</v>
      </c>
      <c r="HF10" t="e">
        <f>'Master Data'!AP43+"AM:!C5"</f>
        <v>#VALUE!</v>
      </c>
      <c r="HG10" t="e">
        <f>'Master Data'!A45+"AM:!C6"</f>
        <v>#VALUE!</v>
      </c>
      <c r="HH10" t="e">
        <f>'Master Data'!B45+"AM:!C7"</f>
        <v>#VALUE!</v>
      </c>
      <c r="HI10" t="e">
        <f>'Master Data'!C45+"AM:!C8"</f>
        <v>#VALUE!</v>
      </c>
      <c r="HJ10" t="e">
        <f>'Master Data'!D45+"AM:!C9"</f>
        <v>#VALUE!</v>
      </c>
      <c r="HK10" t="e">
        <f>'Master Data'!E45+"AM:!C:"</f>
        <v>#VALUE!</v>
      </c>
      <c r="HL10" t="e">
        <f>'Master Data'!F45+"AM:!C;"</f>
        <v>#VALUE!</v>
      </c>
      <c r="HM10" t="e">
        <f>'Master Data'!G45+"AM:!C&lt;"</f>
        <v>#VALUE!</v>
      </c>
      <c r="HN10" t="e">
        <f>'Master Data'!I43+"AM:!C="</f>
        <v>#VALUE!</v>
      </c>
      <c r="HO10" t="e">
        <f>'Master Data'!J43+"AM:!C&gt;"</f>
        <v>#VALUE!</v>
      </c>
      <c r="HP10" t="e">
        <f>'Master Data'!K45+"AM:!C?"</f>
        <v>#VALUE!</v>
      </c>
      <c r="HQ10" t="e">
        <f>'Master Data'!L45+"AM:!C@"</f>
        <v>#VALUE!</v>
      </c>
      <c r="HR10" t="e">
        <f>'Master Data'!M45+"AM:!CA"</f>
        <v>#VALUE!</v>
      </c>
      <c r="HS10" t="e">
        <f>'Master Data'!N45+"AM:!CB"</f>
        <v>#VALUE!</v>
      </c>
      <c r="HT10" t="e">
        <f>'Master Data'!O45+"AM:!CC"</f>
        <v>#VALUE!</v>
      </c>
      <c r="HU10" t="e">
        <f>'Master Data'!P44+"AM:!CD"</f>
        <v>#VALUE!</v>
      </c>
      <c r="HV10" t="e">
        <f>'Master Data'!Q45+"AM:!CE"</f>
        <v>#VALUE!</v>
      </c>
      <c r="HW10" t="e">
        <f>'Master Data'!R45+"AM:!CF"</f>
        <v>#VALUE!</v>
      </c>
      <c r="HX10" t="e">
        <f>'Master Data'!S45+"AM:!CG"</f>
        <v>#VALUE!</v>
      </c>
      <c r="HY10" t="e">
        <f>'Master Data'!T44+"AM:!CH"</f>
        <v>#VALUE!</v>
      </c>
      <c r="HZ10" t="e">
        <f>'Master Data'!U44+"AM:!CI"</f>
        <v>#VALUE!</v>
      </c>
      <c r="IA10" t="e">
        <f>'Master Data'!V44+"AM:!CJ"</f>
        <v>#VALUE!</v>
      </c>
      <c r="IB10" t="e">
        <f>'Master Data'!W44+"AM:!CK"</f>
        <v>#VALUE!</v>
      </c>
      <c r="IC10" t="e">
        <f>'Master Data'!X44+"AM:!CL"</f>
        <v>#VALUE!</v>
      </c>
      <c r="ID10" t="e">
        <f>'Master Data'!Y44+"AM:!CM"</f>
        <v>#VALUE!</v>
      </c>
      <c r="IE10" t="e">
        <f>'Master Data'!Z44+"AM:!CN"</f>
        <v>#VALUE!</v>
      </c>
      <c r="IF10" t="e">
        <f>'Master Data'!AA44+"AM:!CO"</f>
        <v>#VALUE!</v>
      </c>
      <c r="IG10" t="e">
        <f>'Master Data'!AB44+"AM:!CP"</f>
        <v>#VALUE!</v>
      </c>
      <c r="IH10" t="e">
        <f>'Master Data'!AC44+"AM:!CQ"</f>
        <v>#VALUE!</v>
      </c>
      <c r="II10" t="e">
        <f>'Master Data'!AD44+"AM:!CR"</f>
        <v>#VALUE!</v>
      </c>
      <c r="IJ10" t="e">
        <f>'Master Data'!AE44+"AM:!CS"</f>
        <v>#VALUE!</v>
      </c>
      <c r="IK10" t="e">
        <f>'Master Data'!AF44+"AM:!CT"</f>
        <v>#VALUE!</v>
      </c>
      <c r="IL10" t="e">
        <f>'Master Data'!AG44+"AM:!CU"</f>
        <v>#VALUE!</v>
      </c>
      <c r="IM10" t="e">
        <f>'Master Data'!AH44+"AM:!CV"</f>
        <v>#VALUE!</v>
      </c>
      <c r="IN10" t="e">
        <f>'Master Data'!AI44+"AM:!CW"</f>
        <v>#VALUE!</v>
      </c>
      <c r="IO10" t="e">
        <f>'Master Data'!AJ44+"AM:!CX"</f>
        <v>#VALUE!</v>
      </c>
      <c r="IP10" t="e">
        <f>'Master Data'!AK44+"AM:!CY"</f>
        <v>#VALUE!</v>
      </c>
      <c r="IQ10" t="e">
        <f>'Master Data'!AL44+"AM:!CZ"</f>
        <v>#VALUE!</v>
      </c>
      <c r="IR10" t="e">
        <f>'Master Data'!AM44+"AM:!C["</f>
        <v>#VALUE!</v>
      </c>
      <c r="IS10" t="e">
        <f>'Master Data'!AN44+"AM:!C\"</f>
        <v>#VALUE!</v>
      </c>
      <c r="IT10" t="e">
        <f>'Master Data'!AO44+"AM:!C]"</f>
        <v>#VALUE!</v>
      </c>
      <c r="IU10" t="e">
        <f>'Master Data'!AP44+"AM:!C^"</f>
        <v>#VALUE!</v>
      </c>
      <c r="IV10" t="e">
        <f>'Master Data'!A46+"AM:!C_"</f>
        <v>#VALUE!</v>
      </c>
    </row>
    <row r="11" spans="1:256">
      <c r="F11" t="e">
        <f>'Master Data'!B46+"AM:!C`"</f>
        <v>#VALUE!</v>
      </c>
      <c r="G11" t="e">
        <f>'Master Data'!C46+"AM:!Ca"</f>
        <v>#VALUE!</v>
      </c>
      <c r="H11" t="e">
        <f>'Master Data'!D46+"AM:!Cb"</f>
        <v>#VALUE!</v>
      </c>
      <c r="I11" t="e">
        <f>'Master Data'!E46+"AM:!Cc"</f>
        <v>#VALUE!</v>
      </c>
      <c r="J11" t="e">
        <f>'Master Data'!F46+"AM:!Cd"</f>
        <v>#VALUE!</v>
      </c>
      <c r="K11" t="e">
        <f>'Master Data'!G46+"AM:!Ce"</f>
        <v>#VALUE!</v>
      </c>
      <c r="L11" t="e">
        <f>'Master Data'!H46+"AM:!Cf"</f>
        <v>#VALUE!</v>
      </c>
      <c r="M11" t="e">
        <f>'Master Data'!I46+"AM:!Cg"</f>
        <v>#VALUE!</v>
      </c>
      <c r="N11" t="e">
        <f>'Master Data'!J46+"AM:!Ch"</f>
        <v>#VALUE!</v>
      </c>
      <c r="O11" t="e">
        <f>'Master Data'!K46+"AM:!Ci"</f>
        <v>#VALUE!</v>
      </c>
      <c r="P11" t="e">
        <f>'Master Data'!L46+"AM:!Cj"</f>
        <v>#VALUE!</v>
      </c>
      <c r="Q11" t="e">
        <f>'Master Data'!M46+"AM:!Ck"</f>
        <v>#VALUE!</v>
      </c>
      <c r="R11" t="e">
        <f>'Master Data'!N46+"AM:!Cl"</f>
        <v>#VALUE!</v>
      </c>
      <c r="S11" t="e">
        <f>'Master Data'!O46+"AM:!Cm"</f>
        <v>#VALUE!</v>
      </c>
      <c r="T11" t="e">
        <f>'Master Data'!P46+"AM:!Cn"</f>
        <v>#VALUE!</v>
      </c>
      <c r="U11" t="e">
        <f>'Master Data'!Q46+"AM:!Co"</f>
        <v>#VALUE!</v>
      </c>
      <c r="V11" t="e">
        <f>'Master Data'!R46+"AM:!Cp"</f>
        <v>#VALUE!</v>
      </c>
      <c r="W11" t="e">
        <f>'Master Data'!S46+"AM:!Cq"</f>
        <v>#VALUE!</v>
      </c>
      <c r="X11" t="e">
        <f>'Master Data'!T46+"AM:!Cr"</f>
        <v>#VALUE!</v>
      </c>
      <c r="Y11" t="e">
        <f>'Master Data'!U46+"AM:!Cs"</f>
        <v>#VALUE!</v>
      </c>
      <c r="Z11" t="e">
        <f>'Master Data'!V46+"AM:!Ct"</f>
        <v>#VALUE!</v>
      </c>
      <c r="AA11" t="e">
        <f>'Master Data'!W46+"AM:!Cu"</f>
        <v>#VALUE!</v>
      </c>
      <c r="AB11" t="e">
        <f>'Master Data'!X46+"AM:!Cv"</f>
        <v>#VALUE!</v>
      </c>
      <c r="AC11" t="e">
        <f>'Master Data'!Y46+"AM:!Cw"</f>
        <v>#VALUE!</v>
      </c>
      <c r="AD11" t="e">
        <f>'Master Data'!Z46+"AM:!Cx"</f>
        <v>#VALUE!</v>
      </c>
      <c r="AE11" t="e">
        <f>'Master Data'!AA46+"AM:!Cy"</f>
        <v>#VALUE!</v>
      </c>
      <c r="AF11" t="e">
        <f>'Master Data'!AB46+"AM:!Cz"</f>
        <v>#VALUE!</v>
      </c>
      <c r="AG11" t="e">
        <f>'Master Data'!AC46+"AM:!C{"</f>
        <v>#VALUE!</v>
      </c>
      <c r="AH11" t="e">
        <f>'Master Data'!AD46+"AM:!C|"</f>
        <v>#VALUE!</v>
      </c>
      <c r="AI11" t="e">
        <f>'Master Data'!AE46+"AM:!C}"</f>
        <v>#VALUE!</v>
      </c>
      <c r="AJ11" t="e">
        <f>'Master Data'!AF46+"AM:!C~"</f>
        <v>#VALUE!</v>
      </c>
      <c r="AK11" t="e">
        <f>'Master Data'!AG46+"AM:!D#"</f>
        <v>#VALUE!</v>
      </c>
      <c r="AL11" t="e">
        <f>'Master Data'!AH46+"AM:!D$"</f>
        <v>#VALUE!</v>
      </c>
      <c r="AM11" t="e">
        <f>'Master Data'!AI46+"AM:!D%"</f>
        <v>#VALUE!</v>
      </c>
      <c r="AN11" t="e">
        <f>'Master Data'!AJ46+"AM:!D&amp;"</f>
        <v>#VALUE!</v>
      </c>
      <c r="AO11" t="e">
        <f>'Master Data'!AK46+"AM:!D'"</f>
        <v>#VALUE!</v>
      </c>
      <c r="AP11" t="e">
        <f>'Master Data'!AL46+"AM:!D("</f>
        <v>#VALUE!</v>
      </c>
      <c r="AQ11" t="e">
        <f>'Master Data'!AM46+"AM:!D)"</f>
        <v>#VALUE!</v>
      </c>
      <c r="AR11" t="e">
        <f>'Master Data'!AN46+"AM:!D."</f>
        <v>#VALUE!</v>
      </c>
      <c r="AS11" t="e">
        <f>'Master Data'!AP45+"AM:!D/"</f>
        <v>#VALUE!</v>
      </c>
      <c r="AT11" t="e">
        <f>'Master Data'!A47+"AM:!D0"</f>
        <v>#VALUE!</v>
      </c>
      <c r="AU11" t="e">
        <f>'Master Data'!B47+"AM:!D1"</f>
        <v>#VALUE!</v>
      </c>
      <c r="AV11" t="e">
        <f>'Master Data'!C47+"AM:!D2"</f>
        <v>#VALUE!</v>
      </c>
      <c r="AW11" t="e">
        <f>'Master Data'!D47+"AM:!D3"</f>
        <v>#VALUE!</v>
      </c>
      <c r="AX11" t="e">
        <f>'Master Data'!E47+"AM:!D4"</f>
        <v>#VALUE!</v>
      </c>
      <c r="AY11" t="e">
        <f>'Master Data'!F47+"AM:!D5"</f>
        <v>#VALUE!</v>
      </c>
      <c r="AZ11" t="e">
        <f>'Master Data'!G47+"AM:!D6"</f>
        <v>#VALUE!</v>
      </c>
      <c r="BA11" t="e">
        <f>'Master Data'!H47+"AM:!D7"</f>
        <v>#VALUE!</v>
      </c>
      <c r="BB11" t="e">
        <f>'Master Data'!I47+"AM:!D8"</f>
        <v>#VALUE!</v>
      </c>
      <c r="BC11" t="e">
        <f>'Master Data'!J47+"AM:!D9"</f>
        <v>#VALUE!</v>
      </c>
      <c r="BD11" t="e">
        <f>'Master Data'!K47+"AM:!D:"</f>
        <v>#VALUE!</v>
      </c>
      <c r="BE11" t="e">
        <f>'Master Data'!L47+"AM:!D;"</f>
        <v>#VALUE!</v>
      </c>
      <c r="BF11" t="e">
        <f>'Master Data'!M47+"AM:!D&lt;"</f>
        <v>#VALUE!</v>
      </c>
      <c r="BG11" t="e">
        <f>'Master Data'!N47+"AM:!D="</f>
        <v>#VALUE!</v>
      </c>
      <c r="BH11" t="e">
        <f>'Master Data'!O47+"AM:!D&gt;"</f>
        <v>#VALUE!</v>
      </c>
      <c r="BI11" t="e">
        <f>'Master Data'!P47+"AM:!D?"</f>
        <v>#VALUE!</v>
      </c>
      <c r="BJ11" t="e">
        <f>'Master Data'!Q47+"AM:!D@"</f>
        <v>#VALUE!</v>
      </c>
      <c r="BK11" t="e">
        <f>'Master Data'!R47+"AM:!DA"</f>
        <v>#VALUE!</v>
      </c>
      <c r="BL11" t="e">
        <f>'Master Data'!S47+"AM:!DB"</f>
        <v>#VALUE!</v>
      </c>
      <c r="BM11" t="e">
        <f>'Master Data'!T47+"AM:!DC"</f>
        <v>#VALUE!</v>
      </c>
      <c r="BN11" t="e">
        <f>'Master Data'!U47+"AM:!DD"</f>
        <v>#VALUE!</v>
      </c>
      <c r="BO11" t="e">
        <f>'Master Data'!V47+"AM:!DE"</f>
        <v>#VALUE!</v>
      </c>
      <c r="BP11" t="e">
        <f>'Master Data'!W47+"AM:!DF"</f>
        <v>#VALUE!</v>
      </c>
      <c r="BQ11" t="e">
        <f>'Master Data'!X47+"AM:!DG"</f>
        <v>#VALUE!</v>
      </c>
      <c r="BR11" t="e">
        <f>'Master Data'!Y47+"AM:!DH"</f>
        <v>#VALUE!</v>
      </c>
      <c r="BS11" t="e">
        <f>'Master Data'!Z47+"AM:!DI"</f>
        <v>#VALUE!</v>
      </c>
      <c r="BT11" t="e">
        <f>'Master Data'!AA47+"AM:!DJ"</f>
        <v>#VALUE!</v>
      </c>
      <c r="BU11" t="e">
        <f>'Master Data'!AB47+"AM:!DK"</f>
        <v>#VALUE!</v>
      </c>
      <c r="BV11" t="e">
        <f>'Master Data'!AC47+"AM:!DL"</f>
        <v>#VALUE!</v>
      </c>
      <c r="BW11" t="e">
        <f>'Master Data'!AD47+"AM:!DM"</f>
        <v>#VALUE!</v>
      </c>
      <c r="BX11" t="e">
        <f>'Master Data'!AE47+"AM:!DN"</f>
        <v>#VALUE!</v>
      </c>
      <c r="BY11" t="e">
        <f>'Master Data'!AF47+"AM:!DO"</f>
        <v>#VALUE!</v>
      </c>
      <c r="BZ11" t="e">
        <f>'Master Data'!AG47+"AM:!DP"</f>
        <v>#VALUE!</v>
      </c>
      <c r="CA11" t="e">
        <f>'Master Data'!AH47+"AM:!DQ"</f>
        <v>#VALUE!</v>
      </c>
      <c r="CB11" t="e">
        <f>'Master Data'!AI47+"AM:!DR"</f>
        <v>#VALUE!</v>
      </c>
      <c r="CC11" t="e">
        <f>'Master Data'!AJ47+"AM:!DS"</f>
        <v>#VALUE!</v>
      </c>
      <c r="CD11" t="e">
        <f>'Master Data'!AK47+"AM:!DT"</f>
        <v>#VALUE!</v>
      </c>
      <c r="CE11" t="e">
        <f>'Master Data'!AL47+"AM:!DU"</f>
        <v>#VALUE!</v>
      </c>
      <c r="CF11" t="e">
        <f>'Master Data'!AM47+"AM:!DV"</f>
        <v>#VALUE!</v>
      </c>
      <c r="CG11" t="e">
        <f>'Master Data'!AN47+"AM:!DW"</f>
        <v>#VALUE!</v>
      </c>
      <c r="CH11" t="e">
        <f>'Master Data'!AP46+"AM:!DX"</f>
        <v>#VALUE!</v>
      </c>
      <c r="CI11" t="e">
        <f>'Master Data'!A48+"AM:!DY"</f>
        <v>#VALUE!</v>
      </c>
      <c r="CJ11" t="e">
        <f>'Master Data'!B48+"AM:!DZ"</f>
        <v>#VALUE!</v>
      </c>
      <c r="CK11" t="e">
        <f>'Master Data'!C48+"AM:!D["</f>
        <v>#VALUE!</v>
      </c>
      <c r="CL11" t="e">
        <f>'Master Data'!D48+"AM:!D\"</f>
        <v>#VALUE!</v>
      </c>
      <c r="CM11" t="e">
        <f>'Master Data'!E48+"AM:!D]"</f>
        <v>#VALUE!</v>
      </c>
      <c r="CN11" t="e">
        <f>'Master Data'!F48+"AM:!D^"</f>
        <v>#VALUE!</v>
      </c>
      <c r="CO11" t="e">
        <f>'Master Data'!G48+"AM:!D_"</f>
        <v>#VALUE!</v>
      </c>
      <c r="CP11" t="e">
        <f>'Master Data'!#REF!+"AM:!D`"</f>
        <v>#REF!</v>
      </c>
      <c r="CQ11" t="e">
        <f>'Master Data'!#REF!+"AM:!Da"</f>
        <v>#REF!</v>
      </c>
      <c r="CR11" t="e">
        <f>'Master Data'!K48+"AM:!Db"</f>
        <v>#VALUE!</v>
      </c>
      <c r="CS11" t="e">
        <f>'Master Data'!L48+"AM:!Dc"</f>
        <v>#VALUE!</v>
      </c>
      <c r="CT11" t="e">
        <f>'Master Data'!M48+"AM:!Dd"</f>
        <v>#VALUE!</v>
      </c>
      <c r="CU11" t="e">
        <f>'Master Data'!N48+"AM:!De"</f>
        <v>#VALUE!</v>
      </c>
      <c r="CV11" t="e">
        <f>'Master Data'!O48+"AM:!Df"</f>
        <v>#VALUE!</v>
      </c>
      <c r="CW11" t="e">
        <f>'Master Data'!#REF!+"AM:!Dg"</f>
        <v>#REF!</v>
      </c>
      <c r="CX11" t="e">
        <f>'Master Data'!Q48+"AM:!Dh"</f>
        <v>#VALUE!</v>
      </c>
      <c r="CY11" t="e">
        <f>'Master Data'!R48+"AM:!Di"</f>
        <v>#VALUE!</v>
      </c>
      <c r="CZ11" t="e">
        <f>'Master Data'!S48+"AM:!Dj"</f>
        <v>#VALUE!</v>
      </c>
      <c r="DA11" t="e">
        <f>'Master Data'!#REF!+"AM:!Dk"</f>
        <v>#REF!</v>
      </c>
      <c r="DB11" t="e">
        <f>'Master Data'!#REF!+"AM:!Dl"</f>
        <v>#REF!</v>
      </c>
      <c r="DC11" t="e">
        <f>'Master Data'!#REF!+"AM:!Dm"</f>
        <v>#REF!</v>
      </c>
      <c r="DD11" t="e">
        <f>'Master Data'!#REF!+"AM:!Dn"</f>
        <v>#REF!</v>
      </c>
      <c r="DE11" t="e">
        <f>'Master Data'!#REF!+"AM:!Do"</f>
        <v>#REF!</v>
      </c>
      <c r="DF11" t="e">
        <f>'Master Data'!#REF!+"AM:!Dp"</f>
        <v>#REF!</v>
      </c>
      <c r="DG11" t="e">
        <f>'Master Data'!#REF!+"AM:!Dq"</f>
        <v>#REF!</v>
      </c>
      <c r="DH11" t="e">
        <f>'Master Data'!#REF!+"AM:!Dr"</f>
        <v>#REF!</v>
      </c>
      <c r="DI11" t="e">
        <f>'Master Data'!#REF!+"AM:!Ds"</f>
        <v>#REF!</v>
      </c>
      <c r="DJ11" t="e">
        <f>'Master Data'!#REF!+"AM:!Dt"</f>
        <v>#REF!</v>
      </c>
      <c r="DK11" t="e">
        <f>'Master Data'!#REF!+"AM:!Du"</f>
        <v>#REF!</v>
      </c>
      <c r="DL11" t="e">
        <f>'Master Data'!#REF!+"AM:!Dv"</f>
        <v>#REF!</v>
      </c>
      <c r="DM11" t="e">
        <f>'Master Data'!#REF!+"AM:!Dw"</f>
        <v>#REF!</v>
      </c>
      <c r="DN11" t="e">
        <f>'Master Data'!#REF!+"AM:!Dx"</f>
        <v>#REF!</v>
      </c>
      <c r="DO11" t="e">
        <f>'Master Data'!#REF!+"AM:!Dy"</f>
        <v>#REF!</v>
      </c>
      <c r="DP11" t="e">
        <f>'Master Data'!#REF!+"AM:!Dz"</f>
        <v>#REF!</v>
      </c>
      <c r="DQ11" t="e">
        <f>'Master Data'!#REF!+"AM:!D{"</f>
        <v>#REF!</v>
      </c>
      <c r="DR11" t="e">
        <f>'Master Data'!#REF!+"AM:!D|"</f>
        <v>#REF!</v>
      </c>
      <c r="DS11" t="e">
        <f>'Master Data'!#REF!+"AM:!D}"</f>
        <v>#REF!</v>
      </c>
      <c r="DT11" t="e">
        <f>'Master Data'!#REF!+"AM:!D~"</f>
        <v>#REF!</v>
      </c>
      <c r="DU11" t="e">
        <f>'Master Data'!#REF!+"AM:!E#"</f>
        <v>#REF!</v>
      </c>
      <c r="DV11" t="e">
        <f>'Master Data'!AO47+"AM:!E$"</f>
        <v>#VALUE!</v>
      </c>
      <c r="DW11" t="e">
        <f>'Master Data'!AP47+"AM:!E%"</f>
        <v>#VALUE!</v>
      </c>
      <c r="DX11" t="e">
        <f>'Master Data'!A49+"AM:!E&amp;"</f>
        <v>#VALUE!</v>
      </c>
      <c r="DY11" t="e">
        <f>'Master Data'!B49+"AM:!E'"</f>
        <v>#VALUE!</v>
      </c>
      <c r="DZ11" t="e">
        <f>'Master Data'!C49+"AM:!E("</f>
        <v>#VALUE!</v>
      </c>
      <c r="EA11" t="e">
        <f>'Master Data'!D49+"AM:!E)"</f>
        <v>#VALUE!</v>
      </c>
      <c r="EB11" t="e">
        <f>'Master Data'!E49+"AM:!E."</f>
        <v>#VALUE!</v>
      </c>
      <c r="EC11" t="e">
        <f>'Master Data'!F49+"AM:!E/"</f>
        <v>#VALUE!</v>
      </c>
      <c r="ED11" t="e">
        <f>'Master Data'!G49+"AM:!E0"</f>
        <v>#VALUE!</v>
      </c>
      <c r="EE11" t="e">
        <f>'Master Data'!#REF!+"AM:!E1"</f>
        <v>#REF!</v>
      </c>
      <c r="EF11" t="e">
        <f>'Master Data'!#REF!+"AM:!E2"</f>
        <v>#REF!</v>
      </c>
      <c r="EG11" t="e">
        <f>'Master Data'!K49+"AM:!E3"</f>
        <v>#VALUE!</v>
      </c>
      <c r="EH11" t="e">
        <f>'Master Data'!L49+"AM:!E4"</f>
        <v>#VALUE!</v>
      </c>
      <c r="EI11" t="e">
        <f>'Master Data'!M49+"AM:!E5"</f>
        <v>#VALUE!</v>
      </c>
      <c r="EJ11" t="e">
        <f>'Master Data'!N49+"AM:!E6"</f>
        <v>#VALUE!</v>
      </c>
      <c r="EK11" t="e">
        <f>'Master Data'!O49+"AM:!E7"</f>
        <v>#VALUE!</v>
      </c>
      <c r="EL11" t="e">
        <f>'Master Data'!P48+"AM:!E8"</f>
        <v>#VALUE!</v>
      </c>
      <c r="EM11" t="e">
        <f>'Master Data'!Q49+"AM:!E9"</f>
        <v>#VALUE!</v>
      </c>
      <c r="EN11" t="e">
        <f>'Master Data'!R49+"AM:!E:"</f>
        <v>#VALUE!</v>
      </c>
      <c r="EO11" t="e">
        <f>'Master Data'!S49+"AM:!E;"</f>
        <v>#VALUE!</v>
      </c>
      <c r="EP11" t="e">
        <f>'Master Data'!T48+"AM:!E&lt;"</f>
        <v>#VALUE!</v>
      </c>
      <c r="EQ11" t="e">
        <f>'Master Data'!U48+"AM:!E="</f>
        <v>#VALUE!</v>
      </c>
      <c r="ER11" t="e">
        <f>'Master Data'!V48+"AM:!E&gt;"</f>
        <v>#VALUE!</v>
      </c>
      <c r="ES11" t="e">
        <f>'Master Data'!W48+"AM:!E?"</f>
        <v>#VALUE!</v>
      </c>
      <c r="ET11" t="e">
        <f>'Master Data'!X48+"AM:!E@"</f>
        <v>#VALUE!</v>
      </c>
      <c r="EU11" t="e">
        <f>'Master Data'!Y48+"AM:!EA"</f>
        <v>#VALUE!</v>
      </c>
      <c r="EV11" t="e">
        <f>'Master Data'!Z48+"AM:!EB"</f>
        <v>#VALUE!</v>
      </c>
      <c r="EW11" t="e">
        <f>'Master Data'!AA48+"AM:!EC"</f>
        <v>#VALUE!</v>
      </c>
      <c r="EX11" t="e">
        <f>'Master Data'!AB48+"AM:!ED"</f>
        <v>#VALUE!</v>
      </c>
      <c r="EY11" t="e">
        <f>'Master Data'!AC48+"AM:!EE"</f>
        <v>#VALUE!</v>
      </c>
      <c r="EZ11" t="e">
        <f>'Master Data'!AD48+"AM:!EF"</f>
        <v>#VALUE!</v>
      </c>
      <c r="FA11" t="e">
        <f>'Master Data'!AE48+"AM:!EG"</f>
        <v>#VALUE!</v>
      </c>
      <c r="FB11" t="e">
        <f>'Master Data'!AF48+"AM:!EH"</f>
        <v>#VALUE!</v>
      </c>
      <c r="FC11" t="e">
        <f>'Master Data'!AG48+"AM:!EI"</f>
        <v>#VALUE!</v>
      </c>
      <c r="FD11" t="e">
        <f>'Master Data'!AH48+"AM:!EJ"</f>
        <v>#VALUE!</v>
      </c>
      <c r="FE11" t="e">
        <f>'Master Data'!AI48+"AM:!EK"</f>
        <v>#VALUE!</v>
      </c>
      <c r="FF11" t="e">
        <f>'Master Data'!AJ48+"AM:!EL"</f>
        <v>#VALUE!</v>
      </c>
      <c r="FG11" t="e">
        <f>'Master Data'!AK48+"AM:!EM"</f>
        <v>#VALUE!</v>
      </c>
      <c r="FH11" t="e">
        <f>'Master Data'!AL48+"AM:!EN"</f>
        <v>#VALUE!</v>
      </c>
      <c r="FI11" t="e">
        <f>'Master Data'!AM48+"AM:!EO"</f>
        <v>#VALUE!</v>
      </c>
      <c r="FJ11" t="e">
        <f>'Master Data'!AN48+"AM:!EP"</f>
        <v>#VALUE!</v>
      </c>
      <c r="FK11" t="e">
        <f>'Master Data'!AO48+"AM:!EQ"</f>
        <v>#VALUE!</v>
      </c>
      <c r="FL11" t="e">
        <f>'Master Data'!AP48+"AM:!ER"</f>
        <v>#VALUE!</v>
      </c>
      <c r="FM11" t="e">
        <f>'Opportunity Qualification'!A:A*"AM:!EU"</f>
        <v>#VALUE!</v>
      </c>
      <c r="FN11" t="e">
        <f>'Opportunity Qualification'!B:B*"AM:!EV"</f>
        <v>#VALUE!</v>
      </c>
      <c r="FO11" t="e">
        <f>'Opportunity Qualification'!C:C*"AM:!EW"</f>
        <v>#VALUE!</v>
      </c>
      <c r="FP11" t="e">
        <f>'Opportunity Qualification'!D:D*"AM:!EX"</f>
        <v>#VALUE!</v>
      </c>
      <c r="FQ11" t="e">
        <f>'Opportunity Qualification'!E:E*"AM:!EY"</f>
        <v>#VALUE!</v>
      </c>
      <c r="FR11" t="e">
        <f>'Opportunity Qualification'!F:F*"AM:!EZ"</f>
        <v>#VALUE!</v>
      </c>
      <c r="FS11" t="e">
        <f>'Opportunity Qualification'!G:G*"AM:!E["</f>
        <v>#VALUE!</v>
      </c>
      <c r="FT11" t="e">
        <f>'Opportunity Qualification'!H:H*"AM:!E\"</f>
        <v>#VALUE!</v>
      </c>
      <c r="FU11" t="e">
        <f>'Opportunity Qualification'!I:I*"AM:!E]"</f>
        <v>#VALUE!</v>
      </c>
      <c r="FV11" t="e">
        <f>'Opportunity Qualification'!J:J*"AM:!E^"</f>
        <v>#VALUE!</v>
      </c>
      <c r="FW11" t="e">
        <f>'Opportunity Qualification'!K:K*"AM:!E_"</f>
        <v>#VALUE!</v>
      </c>
      <c r="FX11" t="e">
        <f>'Opportunity Qualification'!L:L*"AM:!E`"</f>
        <v>#VALUE!</v>
      </c>
      <c r="FY11" t="e">
        <f>'Opportunity Qualification'!M:M*"AM:!Ea"</f>
        <v>#VALUE!</v>
      </c>
      <c r="FZ11" t="e">
        <f>'Opportunity Qualification'!N:N*"AM:!Eb"</f>
        <v>#VALUE!</v>
      </c>
      <c r="GA11" t="e">
        <f>'Opportunity Qualification'!O:O*"AM:!Ec"</f>
        <v>#VALUE!</v>
      </c>
      <c r="GB11" t="e">
        <f>'Opportunity Qualification'!P:P*"AM:!Ed"</f>
        <v>#VALUE!</v>
      </c>
      <c r="GC11" t="e">
        <f>'Opportunity Qualification'!Q:Q*"AM:!Ee"</f>
        <v>#VALUE!</v>
      </c>
      <c r="GD11" t="e">
        <f>'Opportunity Qualification'!R:R*"AM:!Ef"</f>
        <v>#VALUE!</v>
      </c>
      <c r="GE11" t="e">
        <f>'Opportunity Qualification'!S:S*"AM:!Eg"</f>
        <v>#VALUE!</v>
      </c>
      <c r="GF11" t="e">
        <f>'Opportunity Qualification'!T:T*"AM:!Eh"</f>
        <v>#VALUE!</v>
      </c>
      <c r="GG11" t="e">
        <f>'Opportunity Qualification'!U:U*"AM:!Ei"</f>
        <v>#VALUE!</v>
      </c>
      <c r="GH11" t="e">
        <f>'Opportunity Qualification'!V:V*"AM:!Ej"</f>
        <v>#VALUE!</v>
      </c>
      <c r="GI11" t="e">
        <f>'Opportunity Qualification'!W:W*"AM:!Ek"</f>
        <v>#VALUE!</v>
      </c>
      <c r="GJ11" t="e">
        <f>'Opportunity Qualification'!X:X*"AM:!El"</f>
        <v>#VALUE!</v>
      </c>
      <c r="GK11" t="e">
        <f>'Opportunity Qualification'!Y:Y*"AM:!Em"</f>
        <v>#VALUE!</v>
      </c>
      <c r="GL11" t="e">
        <f>'Opportunity Qualification'!Z:Z*"AM:!En"</f>
        <v>#VALUE!</v>
      </c>
      <c r="GM11" t="e">
        <f>'Opportunity Qualification'!AA:AA*"AM:!Eo"</f>
        <v>#VALUE!</v>
      </c>
      <c r="GN11" t="e">
        <f>'Opportunity Qualification'!AB:AB*"AM:!Ep"</f>
        <v>#VALUE!</v>
      </c>
      <c r="GO11" t="e">
        <f>'Opportunity Qualification'!AC:AC*"AM:!Eq"</f>
        <v>#VALUE!</v>
      </c>
      <c r="GP11" t="e">
        <f>'Opportunity Qualification'!AD:AD*"AM:!Er"</f>
        <v>#VALUE!</v>
      </c>
      <c r="GQ11" t="e">
        <f>'Opportunity Qualification'!AE:AE*"AM:!Es"</f>
        <v>#VALUE!</v>
      </c>
      <c r="GR11" t="e">
        <f>'Opportunity Qualification'!AF:AF*"AM:!Et"</f>
        <v>#VALUE!</v>
      </c>
      <c r="GS11" t="e">
        <f>'Opportunity Qualification'!AG:AG*"AM:!Eu"</f>
        <v>#VALUE!</v>
      </c>
      <c r="GT11" t="e">
        <f>'Opportunity Qualification'!AH:AH*"AM:!Ev"</f>
        <v>#VALUE!</v>
      </c>
      <c r="GU11" t="e">
        <f>'Opportunity Qualification'!AI:AI*"AM:!Ew"</f>
        <v>#VALUE!</v>
      </c>
      <c r="GV11" t="e">
        <f>'Opportunity Qualification'!AJ:AJ*"AM:!Ex"</f>
        <v>#VALUE!</v>
      </c>
      <c r="GW11" t="e">
        <f>'Opportunity Qualification'!AK:AK*"AM:!Ey"</f>
        <v>#VALUE!</v>
      </c>
      <c r="GX11" t="e">
        <f>'Opportunity Qualification'!AL:AL*"AM:!Ez"</f>
        <v>#VALUE!</v>
      </c>
      <c r="GY11" t="e">
        <f>'Opportunity Qualification'!AM:AM*"AM:!E{"</f>
        <v>#VALUE!</v>
      </c>
      <c r="GZ11" t="e">
        <f>'Opportunity Qualification'!AN:AN*"AM:!E|"</f>
        <v>#VALUE!</v>
      </c>
      <c r="HA11" t="e">
        <f>'Opportunity Qualification'!AO:AO*"AM:!E}"</f>
        <v>#VALUE!</v>
      </c>
      <c r="HB11" t="e">
        <f>'Opportunity Qualification'!AP:AP*"AM:!E~"</f>
        <v>#VALUE!</v>
      </c>
      <c r="HC11" t="e">
        <f>'Opportunity Qualification'!AQ:AQ*"AM:!F#"</f>
        <v>#VALUE!</v>
      </c>
      <c r="HD11" t="e">
        <f>'Opportunity Qualification'!AR:AR*"AM:!F$"</f>
        <v>#VALUE!</v>
      </c>
      <c r="HE11" t="e">
        <f>'Opportunity Qualification'!AS:AS*"AM:!F%"</f>
        <v>#VALUE!</v>
      </c>
      <c r="HF11" t="e">
        <f>'Opportunity Qualification'!AT:AT*"AM:!F&amp;"</f>
        <v>#VALUE!</v>
      </c>
      <c r="HG11" t="e">
        <f>'Opportunity Qualification'!AU:AU*"AM:!F'"</f>
        <v>#VALUE!</v>
      </c>
      <c r="HH11" t="e">
        <f>'Opportunity Qualification'!AV:AV*"AM:!F("</f>
        <v>#VALUE!</v>
      </c>
      <c r="HI11" t="e">
        <f>'Opportunity Qualification'!AW:AW*"AM:!F)"</f>
        <v>#VALUE!</v>
      </c>
      <c r="HJ11" t="e">
        <f>'Opportunity Qualification'!AX:AX*"AM:!F."</f>
        <v>#VALUE!</v>
      </c>
      <c r="HK11" t="e">
        <f>'Opportunity Qualification'!AY:AY*"AM:!F/"</f>
        <v>#VALUE!</v>
      </c>
      <c r="HL11" t="e">
        <f>'Opportunity Qualification'!AZ:AZ*"AM:!F0"</f>
        <v>#VALUE!</v>
      </c>
      <c r="HM11" t="e">
        <f>'Opportunity Qualification'!BA:BA*"AM:!F1"</f>
        <v>#VALUE!</v>
      </c>
      <c r="HN11" t="e">
        <f>'Opportunity Qualification'!BB:BB*"AM:!F2"</f>
        <v>#VALUE!</v>
      </c>
      <c r="HO11" t="e">
        <f>'Opportunity Qualification'!BC:BC*"AM:!F3"</f>
        <v>#VALUE!</v>
      </c>
      <c r="HP11" t="e">
        <f>'Opportunity Qualification'!BD:BD*"AM:!F4"</f>
        <v>#VALUE!</v>
      </c>
      <c r="HQ11" t="e">
        <f>'Opportunity Qualification'!BE:BE*"AM:!F5"</f>
        <v>#VALUE!</v>
      </c>
      <c r="HR11" t="e">
        <f>'Opportunity Qualification'!BF:BF*"AM:!F6"</f>
        <v>#VALUE!</v>
      </c>
      <c r="HS11" t="e">
        <f>'Opportunity Qualification'!BG:BG*"AM:!F7"</f>
        <v>#VALUE!</v>
      </c>
      <c r="HT11" t="e">
        <f>'Opportunity Qualification'!BH:BH*"AM:!F8"</f>
        <v>#VALUE!</v>
      </c>
      <c r="HU11" t="e">
        <f>'Opportunity Qualification'!BI:BI*"AM:!F9"</f>
        <v>#VALUE!</v>
      </c>
      <c r="HV11" t="e">
        <f>'Opportunity Qualification'!BJ:BJ*"AM:!F:"</f>
        <v>#VALUE!</v>
      </c>
      <c r="HW11" t="e">
        <f>'Opportunity Qualification'!BK:BK*"AM:!F;"</f>
        <v>#VALUE!</v>
      </c>
      <c r="HX11" t="e">
        <f>'Opportunity Qualification'!BL:BL*"AM:!F&lt;"</f>
        <v>#VALUE!</v>
      </c>
      <c r="HY11" t="e">
        <f>'Opportunity Qualification'!BM:BM*"AM:!F="</f>
        <v>#VALUE!</v>
      </c>
      <c r="HZ11" t="e">
        <f>'Opportunity Qualification'!BN:BN*"AM:!F&gt;"</f>
        <v>#VALUE!</v>
      </c>
      <c r="IA11" t="e">
        <f>'Opportunity Qualification'!BO:BO*"AM:!F?"</f>
        <v>#VALUE!</v>
      </c>
      <c r="IB11" t="e">
        <f>'Opportunity Qualification'!BP:BP*"AM:!F@"</f>
        <v>#VALUE!</v>
      </c>
      <c r="IC11" t="e">
        <f>'Opportunity Qualification'!BQ:BQ*"AM:!FA"</f>
        <v>#VALUE!</v>
      </c>
      <c r="ID11" t="e">
        <f>'Opportunity Qualification'!BR:BR*"AM:!FB"</f>
        <v>#VALUE!</v>
      </c>
      <c r="IE11" t="e">
        <f>'Opportunity Qualification'!1:1-"AM:!FC"</f>
        <v>#VALUE!</v>
      </c>
      <c r="IF11" t="e">
        <f>'Opportunity Qualification'!2:2-"AM:!FD"</f>
        <v>#VALUE!</v>
      </c>
      <c r="IG11" t="e">
        <f>'Opportunity Qualification'!3:3-"AM:!FE"</f>
        <v>#VALUE!</v>
      </c>
      <c r="IH11" t="e">
        <f>'Opportunity Qualification'!4:4-"AM:!FF"</f>
        <v>#VALUE!</v>
      </c>
      <c r="II11" t="e">
        <f>'Opportunity Qualification'!5:5-"AM:!FG"</f>
        <v>#VALUE!</v>
      </c>
      <c r="IJ11" t="e">
        <f>'Opportunity Qualification'!6:6-"AM:!FH"</f>
        <v>#VALUE!</v>
      </c>
      <c r="IK11" t="e">
        <f>'Opportunity Qualification'!7:7-"AM:!FI"</f>
        <v>#VALUE!</v>
      </c>
      <c r="IL11" t="e">
        <f>'Opportunity Qualification'!8:8-"AM:!FJ"</f>
        <v>#VALUE!</v>
      </c>
      <c r="IM11" t="e">
        <f>'Opportunity Qualification'!9:9-"AM:!FK"</f>
        <v>#VALUE!</v>
      </c>
      <c r="IN11" t="e">
        <f>'Opportunity Qualification'!10:10-"AM:!FL"</f>
        <v>#VALUE!</v>
      </c>
      <c r="IO11" t="e">
        <f>'Opportunity Qualification'!11:11-"AM:!FM"</f>
        <v>#VALUE!</v>
      </c>
      <c r="IP11" t="e">
        <f>'Opportunity Qualification'!12:12-"AM:!FN"</f>
        <v>#VALUE!</v>
      </c>
      <c r="IQ11" t="e">
        <f>'Opportunity Qualification'!13:13-"AM:!FO"</f>
        <v>#VALUE!</v>
      </c>
      <c r="IR11" t="e">
        <f>'Opportunity Qualification'!14:14-"AM:!FP"</f>
        <v>#VALUE!</v>
      </c>
      <c r="IS11" t="e">
        <f>'Opportunity Qualification'!15:15-"AM:!FQ"</f>
        <v>#VALUE!</v>
      </c>
      <c r="IT11" t="e">
        <f>'Opportunity Qualification'!16:16-"AM:!FR"</f>
        <v>#VALUE!</v>
      </c>
      <c r="IU11" t="e">
        <f>'Opportunity Qualification'!17:17-"AM:!FS"</f>
        <v>#VALUE!</v>
      </c>
      <c r="IV11" t="e">
        <f>'Opportunity Qualification'!18:18-"AM:!FT"</f>
        <v>#VALUE!</v>
      </c>
    </row>
    <row r="12" spans="1:256">
      <c r="F12" t="e">
        <f>'Opportunity Qualification'!19:19-"AM:!FU"</f>
        <v>#VALUE!</v>
      </c>
      <c r="G12" t="e">
        <f>'Opportunity Qualification'!20:20-"AM:!FV"</f>
        <v>#VALUE!</v>
      </c>
      <c r="H12" t="e">
        <f>'Opportunity Qualification'!21:21-"AM:!FW"</f>
        <v>#VALUE!</v>
      </c>
      <c r="I12" t="e">
        <f>'Opportunity Qualification'!22:22-"AM:!FX"</f>
        <v>#VALUE!</v>
      </c>
      <c r="J12" t="e">
        <f>'Opportunity Qualification'!23:23-"AM:!FY"</f>
        <v>#VALUE!</v>
      </c>
      <c r="K12" t="e">
        <f>'Opportunity Qualification'!24:24-"AM:!FZ"</f>
        <v>#VALUE!</v>
      </c>
      <c r="L12" t="e">
        <f>'Opportunity Qualification'!25:25-"AM:!F["</f>
        <v>#VALUE!</v>
      </c>
      <c r="M12" t="e">
        <f>'Opportunity Qualification'!26:26-"AM:!F\"</f>
        <v>#VALUE!</v>
      </c>
      <c r="N12" t="e">
        <f>'Opportunity Qualification'!27:27-"AM:!F]"</f>
        <v>#VALUE!</v>
      </c>
      <c r="O12" t="e">
        <f>'Opportunity Qualification'!28:28-"AM:!F^"</f>
        <v>#VALUE!</v>
      </c>
      <c r="P12" t="e">
        <f>'Opportunity Qualification'!29:29-"AM:!F_"</f>
        <v>#VALUE!</v>
      </c>
      <c r="Q12" t="e">
        <f>'Opportunity Qualification'!30:30-"AM:!F`"</f>
        <v>#VALUE!</v>
      </c>
      <c r="R12" t="e">
        <f>'Opportunity Qualification'!31:31-"AM:!Fa"</f>
        <v>#VALUE!</v>
      </c>
      <c r="S12" t="e">
        <f>'Opportunity Qualification'!32:32-"AM:!Fb"</f>
        <v>#VALUE!</v>
      </c>
      <c r="T12" t="e">
        <f>'Opportunity Qualification'!33:33-"AM:!Fc"</f>
        <v>#VALUE!</v>
      </c>
      <c r="U12" t="e">
        <f>'Opportunity Qualification'!34:34-"AM:!Fd"</f>
        <v>#VALUE!</v>
      </c>
      <c r="V12" t="e">
        <f>'Opportunity Qualification'!35:35-"AM:!Fe"</f>
        <v>#VALUE!</v>
      </c>
      <c r="W12" t="e">
        <f>'Opportunity Qualification'!36:36-"AM:!Ff"</f>
        <v>#VALUE!</v>
      </c>
      <c r="X12" t="e">
        <f>'Opportunity Qualification'!37:37-"AM:!Fg"</f>
        <v>#VALUE!</v>
      </c>
      <c r="Y12" t="e">
        <f>'Opportunity Qualification'!38:38-"AM:!Fh"</f>
        <v>#VALUE!</v>
      </c>
      <c r="Z12" t="e">
        <f>'Opportunity Qualification'!39:39-"AM:!Fi"</f>
        <v>#VALUE!</v>
      </c>
      <c r="AA12" t="e">
        <f>'Opportunity Qualification'!40:40-"AM:!Fj"</f>
        <v>#VALUE!</v>
      </c>
      <c r="AB12" t="e">
        <f>'Opportunity Qualification'!41:41-"AM:!Fk"</f>
        <v>#VALUE!</v>
      </c>
      <c r="AC12" t="e">
        <f>'Opportunity Qualification'!42:42-"AM:!Fl"</f>
        <v>#VALUE!</v>
      </c>
      <c r="AD12" t="e">
        <f>'Opportunity Qualification'!43:43-"AM:!Fm"</f>
        <v>#VALUE!</v>
      </c>
      <c r="AE12" t="e">
        <f>'Opportunity Qualification'!44:44-"AM:!Fn"</f>
        <v>#VALUE!</v>
      </c>
      <c r="AF12" t="e">
        <f>'Opportunity Qualification'!45:45-"AM:!Fo"</f>
        <v>#VALUE!</v>
      </c>
      <c r="AG12" t="e">
        <f>'Opportunity Qualification'!46:46-"AM:!Fp"</f>
        <v>#VALUE!</v>
      </c>
      <c r="AH12" t="e">
        <f>'Opportunity Qualification'!47:47-"AM:!Fq"</f>
        <v>#VALUE!</v>
      </c>
      <c r="AI12" t="e">
        <f>'Opportunity Qualification'!48:48-"AM:!Fr"</f>
        <v>#VALUE!</v>
      </c>
      <c r="AJ12" t="e">
        <f>'Opportunity Qualification'!49:49-"AM:!Fs"</f>
        <v>#VALUE!</v>
      </c>
      <c r="AK12" t="e">
        <f>'Opportunity Qualification'!50:50-"AM:!Ft"</f>
        <v>#VALUE!</v>
      </c>
      <c r="AL12" t="e">
        <f>'Opportunity Qualification'!51:51-"AM:!Fu"</f>
        <v>#VALUE!</v>
      </c>
      <c r="AM12" t="e">
        <f>'Opportunity Qualification'!52:52-"AM:!Fv"</f>
        <v>#VALUE!</v>
      </c>
      <c r="AN12" t="e">
        <f>'Opportunity Qualification'!53:53-"AM:!Fw"</f>
        <v>#VALUE!</v>
      </c>
      <c r="AO12" t="e">
        <f>'Opportunity Qualification'!54:54-"AM:!Fx"</f>
        <v>#VALUE!</v>
      </c>
      <c r="AP12" t="e">
        <f>'Opportunity Qualification'!55:55-"AM:!Fy"</f>
        <v>#VALUE!</v>
      </c>
      <c r="AQ12" t="e">
        <f>'Opportunity Qualification'!56:56-"AM:!Fz"</f>
        <v>#VALUE!</v>
      </c>
      <c r="AR12" t="e">
        <f>'Opportunity Qualification'!57:57-"AM:!F{"</f>
        <v>#VALUE!</v>
      </c>
      <c r="AS12" t="e">
        <f>'Opportunity Qualification'!58:58-"AM:!F|"</f>
        <v>#VALUE!</v>
      </c>
      <c r="AT12" t="e">
        <f>'Opportunity Qualification'!59:59-"AM:!F}"</f>
        <v>#VALUE!</v>
      </c>
      <c r="AU12" t="e">
        <f>'Opportunity Qualification'!60:60-"AM:!F~"</f>
        <v>#VALUE!</v>
      </c>
      <c r="AV12" t="e">
        <f>'Opportunity Qualification'!61:61-"AM:!G#"</f>
        <v>#VALUE!</v>
      </c>
      <c r="AW12" t="e">
        <f>'Opportunity Qualification'!62:62-"AM:!G$"</f>
        <v>#VALUE!</v>
      </c>
      <c r="AX12" t="e">
        <f>'Opportunity Qualification'!63:63-"AM:!G%"</f>
        <v>#VALUE!</v>
      </c>
      <c r="AY12" t="e">
        <f>'Opportunity Qualification'!64:64-"AM:!G&amp;"</f>
        <v>#VALUE!</v>
      </c>
      <c r="AZ12" t="e">
        <f>'Opportunity Qualification'!65:65-"AM:!G'"</f>
        <v>#VALUE!</v>
      </c>
      <c r="BA12" t="e">
        <f>'Opportunity Qualification'!66:66-"AM:!G("</f>
        <v>#VALUE!</v>
      </c>
      <c r="BB12" t="e">
        <f>'Opportunity Qualification'!67:67-"AM:!G)"</f>
        <v>#VALUE!</v>
      </c>
      <c r="BC12" t="e">
        <f>'Opportunity Qualification'!68:68-"AM:!G."</f>
        <v>#VALUE!</v>
      </c>
      <c r="BD12" t="e">
        <f>'Opportunity Qualification'!69:69-"AM:!G/"</f>
        <v>#VALUE!</v>
      </c>
      <c r="BE12" t="e">
        <f>'Opportunity Qualification'!70:70-"AM:!G0"</f>
        <v>#VALUE!</v>
      </c>
      <c r="BF12" t="e">
        <f>'Opportunity Qualification'!71:71-"AM:!G1"</f>
        <v>#VALUE!</v>
      </c>
      <c r="BG12" t="e">
        <f>'Opportunity Qualification'!72:72-"AM:!G2"</f>
        <v>#VALUE!</v>
      </c>
      <c r="BH12" t="e">
        <f>'Opportunity Qualification'!73:73-"AM:!G3"</f>
        <v>#VALUE!</v>
      </c>
      <c r="BI12" t="e">
        <f>'Opportunity Qualification'!74:74-"AM:!G4"</f>
        <v>#VALUE!</v>
      </c>
      <c r="BJ12" t="e">
        <f>'Opportunity Qualification'!75:75-"AM:!G5"</f>
        <v>#VALUE!</v>
      </c>
      <c r="BK12" t="e">
        <f>'Opportunity Qualification'!76:76-"AM:!G6"</f>
        <v>#VALUE!</v>
      </c>
      <c r="BL12" t="e">
        <f>'Opportunity Qualification'!77:77-"AM:!G7"</f>
        <v>#VALUE!</v>
      </c>
      <c r="BM12" t="e">
        <f>'Opportunity Qualification'!78:78-"AM:!G8"</f>
        <v>#VALUE!</v>
      </c>
      <c r="BN12" t="e">
        <f>'Opportunity Qualification'!79:79-"AM:!G9"</f>
        <v>#VALUE!</v>
      </c>
      <c r="BO12" t="e">
        <f>'Opportunity Qualification'!80:80-"AM:!G:"</f>
        <v>#VALUE!</v>
      </c>
      <c r="BP12" t="e">
        <f>'Opportunity Qualification'!81:81-"AM:!G;"</f>
        <v>#VALUE!</v>
      </c>
      <c r="BQ12" t="e">
        <f>'Opportunity Qualification'!82:82-"AM:!G&lt;"</f>
        <v>#VALUE!</v>
      </c>
      <c r="BR12" t="e">
        <f>'Opportunity Qualification'!83:83-"AM:!G="</f>
        <v>#VALUE!</v>
      </c>
      <c r="BS12" t="e">
        <f>'Opportunity Qualification'!84:84-"AM:!G&gt;"</f>
        <v>#VALUE!</v>
      </c>
      <c r="BT12" t="e">
        <f>'Opportunity Qualification'!85:85-"AM:!G?"</f>
        <v>#VALUE!</v>
      </c>
      <c r="BU12" t="e">
        <f>'Opportunity Qualification'!86:86-"AM:!G@"</f>
        <v>#VALUE!</v>
      </c>
      <c r="BV12" t="e">
        <f>'Opportunity Qualification'!87:87-"AM:!GA"</f>
        <v>#VALUE!</v>
      </c>
      <c r="BW12" t="e">
        <f>'Opportunity Qualification'!88:88-"AM:!GB"</f>
        <v>#VALUE!</v>
      </c>
      <c r="BX12" t="e">
        <f>'Opportunity Qualification'!89:89-"AM:!GC"</f>
        <v>#VALUE!</v>
      </c>
      <c r="BY12" t="e">
        <f>'Opportunity Qualification'!90:90-"AM:!GD"</f>
        <v>#VALUE!</v>
      </c>
      <c r="BZ12" t="e">
        <f>'Opportunity Qualification'!91:91-"AM:!GE"</f>
        <v>#VALUE!</v>
      </c>
      <c r="CA12" t="e">
        <f>'Opportunity Qualification'!92:92-"AM:!GF"</f>
        <v>#VALUE!</v>
      </c>
      <c r="CB12" t="e">
        <f>'Opportunity Qualification'!93:93-"AM:!GG"</f>
        <v>#VALUE!</v>
      </c>
      <c r="CC12" t="e">
        <f>'Opportunity Qualification'!94:94-"AM:!GH"</f>
        <v>#VALUE!</v>
      </c>
      <c r="CD12" t="e">
        <f>'Opportunity Qualification'!95:95-"AM:!GI"</f>
        <v>#VALUE!</v>
      </c>
      <c r="CE12" t="e">
        <f>'Opportunity Qualification'!96:96-"AM:!GJ"</f>
        <v>#VALUE!</v>
      </c>
      <c r="CF12" t="e">
        <f>'Opportunity Qualification'!97:97-"AM:!GK"</f>
        <v>#VALUE!</v>
      </c>
      <c r="CG12" t="e">
        <f>'Opportunity Qualification'!98:98-"AM:!GL"</f>
        <v>#VALUE!</v>
      </c>
      <c r="CH12" t="e">
        <f>'Opportunity Qualification'!99:99-"AM:!GM"</f>
        <v>#VALUE!</v>
      </c>
      <c r="CI12" t="e">
        <f>'Opportunity Qualification'!100:100-"AM:!GN"</f>
        <v>#VALUE!</v>
      </c>
      <c r="CJ12" t="e">
        <f>'Opportunity Qualification'!101:101-"AM:!GO"</f>
        <v>#VALUE!</v>
      </c>
      <c r="CK12" t="e">
        <f>'Opportunity Qualification'!102:102-"AM:!GP"</f>
        <v>#VALUE!</v>
      </c>
      <c r="CL12" t="e">
        <f>'Opportunity Qualification'!103:103-"AM:!GQ"</f>
        <v>#VALUE!</v>
      </c>
      <c r="CM12" t="e">
        <f>'Opportunity Qualification'!104:104-"AM:!GR"</f>
        <v>#VALUE!</v>
      </c>
      <c r="CN12" t="e">
        <f>'Opportunity Qualification'!105:105-"AM:!GS"</f>
        <v>#VALUE!</v>
      </c>
      <c r="CO12" t="e">
        <f>'Opportunity Qualification'!106:106-"AM:!GT"</f>
        <v>#VALUE!</v>
      </c>
      <c r="CP12" t="e">
        <f>'Opportunity Qualification'!107:107-"AM:!GU"</f>
        <v>#VALUE!</v>
      </c>
      <c r="CQ12" t="e">
        <f>'Opportunity Qualification'!108:108-"AM:!GV"</f>
        <v>#VALUE!</v>
      </c>
      <c r="CR12" t="e">
        <f>'Opportunity Qualification'!109:109-"AM:!GW"</f>
        <v>#VALUE!</v>
      </c>
      <c r="CS12" t="e">
        <f>'Opportunity Qualification'!110:110-"AM:!GX"</f>
        <v>#VALUE!</v>
      </c>
      <c r="CT12" t="e">
        <f>'Opportunity Qualification'!111:111-"AM:!GY"</f>
        <v>#VALUE!</v>
      </c>
      <c r="CU12" t="e">
        <f>'Opportunity Qualification'!112:112-"AM:!GZ"</f>
        <v>#VALUE!</v>
      </c>
      <c r="CV12" t="e">
        <f>'Opportunity Qualification'!113:113-"AM:!G["</f>
        <v>#VALUE!</v>
      </c>
      <c r="CW12" t="e">
        <f>'Opportunity Qualification'!114:114-"AM:!G\"</f>
        <v>#VALUE!</v>
      </c>
      <c r="CX12" t="e">
        <f>'Opportunity Qualification'!115:115-"AM:!G]"</f>
        <v>#VALUE!</v>
      </c>
      <c r="CY12" t="e">
        <f>'Opportunity Qualification'!116:116-"AM:!G^"</f>
        <v>#VALUE!</v>
      </c>
      <c r="CZ12" t="e">
        <f>'Opportunity Qualification'!117:117-"AM:!G_"</f>
        <v>#VALUE!</v>
      </c>
      <c r="DA12" t="e">
        <f>'Opportunity Qualification'!118:118-"AM:!G`"</f>
        <v>#VALUE!</v>
      </c>
      <c r="DB12" t="e">
        <f>'Opportunity Qualification'!119:119-"AM:!Ga"</f>
        <v>#VALUE!</v>
      </c>
      <c r="DC12" t="e">
        <f>'Opportunity Qualification'!120:120-"AM:!Gb"</f>
        <v>#VALUE!</v>
      </c>
      <c r="DD12" t="e">
        <f>'Opportunity Qualification'!121:121-"AM:!Gc"</f>
        <v>#VALUE!</v>
      </c>
      <c r="DE12" t="e">
        <f>'Opportunity Qualification'!122:122-"AM:!Gd"</f>
        <v>#VALUE!</v>
      </c>
      <c r="DF12" t="e">
        <f>'Opportunity Qualification'!123:123-"AM:!Ge"</f>
        <v>#VALUE!</v>
      </c>
      <c r="DG12" t="e">
        <f>'Opportunity Qualification'!124:124-"AM:!Gf"</f>
        <v>#VALUE!</v>
      </c>
      <c r="DH12" t="e">
        <f>'Opportunity Qualification'!125:125-"AM:!Gg"</f>
        <v>#VALUE!</v>
      </c>
      <c r="DI12" t="e">
        <f>'Opportunity Qualification'!126:126-"AM:!Gh"</f>
        <v>#VALUE!</v>
      </c>
      <c r="DJ12" t="e">
        <f>'Opportunity Qualification'!127:127-"AM:!Gi"</f>
        <v>#VALUE!</v>
      </c>
      <c r="DK12" t="e">
        <f>'Opportunity Qualification'!128:128-"AM:!Gj"</f>
        <v>#VALUE!</v>
      </c>
      <c r="DL12" t="e">
        <f>'Opportunity Qualification'!129:129-"AM:!Gk"</f>
        <v>#VALUE!</v>
      </c>
      <c r="DM12" t="e">
        <f>'Opportunity Qualification'!130:130-"AM:!Gl"</f>
        <v>#VALUE!</v>
      </c>
      <c r="DN12" t="e">
        <f>'Opportunity Qualification'!131:131-"AM:!Gm"</f>
        <v>#VALUE!</v>
      </c>
      <c r="DO12" t="e">
        <f>'Opportunity Qualification'!132:132-"AM:!Gn"</f>
        <v>#VALUE!</v>
      </c>
      <c r="DP12" t="e">
        <f>'Opportunity Qualification'!133:133-"AM:!Go"</f>
        <v>#VALUE!</v>
      </c>
      <c r="DQ12" t="e">
        <f>'Opportunity Qualification'!134:134-"AM:!Gp"</f>
        <v>#VALUE!</v>
      </c>
      <c r="DR12" t="e">
        <f>'Opportunity Qualification'!135:135-"AM:!Gq"</f>
        <v>#VALUE!</v>
      </c>
      <c r="DS12" t="e">
        <f>'Opportunity Qualification'!136:136-"AM:!Gr"</f>
        <v>#VALUE!</v>
      </c>
      <c r="DT12" t="e">
        <f>'Opportunity Qualification'!137:137-"AM:!Gs"</f>
        <v>#VALUE!</v>
      </c>
      <c r="DU12" t="e">
        <f>'Opportunity Qualification'!138:138-"AM:!Gt"</f>
        <v>#VALUE!</v>
      </c>
      <c r="DV12" t="e">
        <f>'Opportunity Qualification'!139:139-"AM:!Gu"</f>
        <v>#VALUE!</v>
      </c>
      <c r="DW12" t="e">
        <f>'Opportunity Qualification'!140:140-"AM:!Gv"</f>
        <v>#VALUE!</v>
      </c>
      <c r="DX12" t="e">
        <f>'Opportunity Qualification'!141:141-"AM:!Gw"</f>
        <v>#VALUE!</v>
      </c>
      <c r="DY12" t="e">
        <f>'Opportunity Qualification'!142:142-"AM:!Gx"</f>
        <v>#VALUE!</v>
      </c>
      <c r="DZ12" t="e">
        <f>'Opportunity Qualification'!143:143-"AM:!Gy"</f>
        <v>#VALUE!</v>
      </c>
      <c r="EA12" t="e">
        <f>'Opportunity Qualification'!144:144-"AM:!Gz"</f>
        <v>#VALUE!</v>
      </c>
      <c r="EB12" t="e">
        <f>'Opportunity Qualification'!145:145-"AM:!G{"</f>
        <v>#VALUE!</v>
      </c>
      <c r="EC12" t="e">
        <f>'Opportunity Qualification'!146:146-"AM:!G|"</f>
        <v>#VALUE!</v>
      </c>
      <c r="ED12" t="e">
        <f>'Opportunity Qualification'!147:147-"AM:!G}"</f>
        <v>#VALUE!</v>
      </c>
      <c r="EE12" t="e">
        <f>'Opportunity Qualification'!148:148-"AM:!G~"</f>
        <v>#VALUE!</v>
      </c>
      <c r="EF12" t="e">
        <f>'Opportunity Qualification'!149:149-"AM:!H#"</f>
        <v>#VALUE!</v>
      </c>
      <c r="EG12" t="e">
        <f>'Opportunity Qualification'!150:150-"AM:!H$"</f>
        <v>#VALUE!</v>
      </c>
      <c r="EH12" t="e">
        <f>'Opportunity Qualification'!151:151-"AM:!H%"</f>
        <v>#VALUE!</v>
      </c>
      <c r="EI12" t="e">
        <f>'Opportunity Qualification'!152:152-"AM:!H&amp;"</f>
        <v>#VALUE!</v>
      </c>
      <c r="EJ12" t="e">
        <f>'Opportunity Qualification'!153:153-"AM:!H'"</f>
        <v>#VALUE!</v>
      </c>
      <c r="EK12" t="e">
        <f>'Opportunity Qualification'!154:154-"AM:!H("</f>
        <v>#VALUE!</v>
      </c>
      <c r="EL12" t="e">
        <f>'Opportunity Qualification'!155:155-"AM:!H)"</f>
        <v>#VALUE!</v>
      </c>
      <c r="EM12" t="e">
        <f>'Opportunity Qualification'!156:156-"AM:!H."</f>
        <v>#VALUE!</v>
      </c>
      <c r="EN12" t="e">
        <f>'Opportunity Qualification'!157:157-"AM:!H/"</f>
        <v>#VALUE!</v>
      </c>
      <c r="EO12" t="e">
        <f>'Opportunity Qualification'!158:158-"AM:!H0"</f>
        <v>#VALUE!</v>
      </c>
      <c r="EP12" t="e">
        <f>'Opportunity Qualification'!159:159-"AM:!H1"</f>
        <v>#VALUE!</v>
      </c>
      <c r="EQ12" t="e">
        <f>'Opportunity Qualification'!160:160-"AM:!H2"</f>
        <v>#VALUE!</v>
      </c>
      <c r="ER12" t="e">
        <f>'Opportunity Qualification'!161:161-"AM:!H3"</f>
        <v>#VALUE!</v>
      </c>
      <c r="ES12" t="e">
        <f>'Opportunity Qualification'!162:162-"AM:!H4"</f>
        <v>#VALUE!</v>
      </c>
      <c r="ET12" t="e">
        <f>'Opportunity Qualification'!163:163-"AM:!H5"</f>
        <v>#VALUE!</v>
      </c>
      <c r="EU12" t="e">
        <f>'Opportunity Qualification'!164:164-"AM:!H6"</f>
        <v>#VALUE!</v>
      </c>
      <c r="EV12" t="e">
        <f>'Opportunity Qualification'!165:165-"AM:!H7"</f>
        <v>#VALUE!</v>
      </c>
      <c r="EW12" t="e">
        <f>'Opportunity Qualification'!166:166-"AM:!H8"</f>
        <v>#VALUE!</v>
      </c>
      <c r="EX12" t="e">
        <f>'Opportunity Qualification'!167:167-"AM:!H9"</f>
        <v>#VALUE!</v>
      </c>
      <c r="EY12" t="e">
        <f>'Opportunity Qualification'!168:168-"AM:!H:"</f>
        <v>#VALUE!</v>
      </c>
      <c r="EZ12" t="e">
        <f>'Opportunity Qualification'!169:169-"AM:!H;"</f>
        <v>#VALUE!</v>
      </c>
      <c r="FA12" t="e">
        <f>'Opportunity Qualification'!170:170-"AM:!H&lt;"</f>
        <v>#VALUE!</v>
      </c>
      <c r="FB12" t="e">
        <f>'Opportunity Qualification'!171:171-"AM:!H="</f>
        <v>#VALUE!</v>
      </c>
      <c r="FC12" t="e">
        <f>'Opportunity Qualification'!172:172-"AM:!H&gt;"</f>
        <v>#VALUE!</v>
      </c>
      <c r="FD12" t="e">
        <f>'Opportunity Qualification'!173:173-"AM:!H?"</f>
        <v>#VALUE!</v>
      </c>
      <c r="FE12" t="e">
        <f>'Opportunity Qualification'!174:174-"AM:!H@"</f>
        <v>#VALUE!</v>
      </c>
      <c r="FF12" t="e">
        <f>'Opportunity Qualification'!175:175-"AM:!HA"</f>
        <v>#VALUE!</v>
      </c>
      <c r="FG12" t="e">
        <f>'Opportunity Qualification'!176:176-"AM:!HB"</f>
        <v>#VALUE!</v>
      </c>
      <c r="FH12" t="e">
        <f>'Opportunity Qualification'!177:177-"AM:!HC"</f>
        <v>#VALUE!</v>
      </c>
      <c r="FI12" t="e">
        <f>'Opportunity Qualification'!178:178-"AM:!HD"</f>
        <v>#VALUE!</v>
      </c>
      <c r="FJ12" t="e">
        <f>'Opportunity Qualification'!179:179-"AM:!HE"</f>
        <v>#VALUE!</v>
      </c>
      <c r="FK12" t="e">
        <f>'Opportunity Qualification'!180:180-"AM:!HF"</f>
        <v>#VALUE!</v>
      </c>
      <c r="FL12" t="e">
        <f>'Opportunity Qualification'!181:181-"AM:!HG"</f>
        <v>#VALUE!</v>
      </c>
      <c r="FM12" t="e">
        <f>'Opportunity Qualification'!182:182-"AM:!HH"</f>
        <v>#VALUE!</v>
      </c>
      <c r="FN12" t="e">
        <f>'Opportunity Qualification'!183:183-"AM:!HI"</f>
        <v>#VALUE!</v>
      </c>
      <c r="FO12" t="e">
        <f>'Opportunity Qualification'!184:184-"AM:!HJ"</f>
        <v>#VALUE!</v>
      </c>
      <c r="FP12" t="e">
        <f>'Opportunity Qualification'!185:185-"AM:!HK"</f>
        <v>#VALUE!</v>
      </c>
      <c r="FQ12" t="e">
        <f>'Opportunity Qualification'!186:186-"AM:!HL"</f>
        <v>#VALUE!</v>
      </c>
      <c r="FR12" t="e">
        <f>'Opportunity Qualification'!187:187-"AM:!HM"</f>
        <v>#VALUE!</v>
      </c>
      <c r="FS12" t="e">
        <f>'Opportunity Qualification'!188:188-"AM:!HN"</f>
        <v>#VALUE!</v>
      </c>
      <c r="FT12" t="e">
        <f>'Opportunity Qualification'!189:189-"AM:!HO"</f>
        <v>#VALUE!</v>
      </c>
      <c r="FU12" t="e">
        <f>'Opportunity Qualification'!190:190-"AM:!HP"</f>
        <v>#VALUE!</v>
      </c>
      <c r="FV12" t="e">
        <f>'Opportunity Qualification'!191:191-"AM:!HQ"</f>
        <v>#VALUE!</v>
      </c>
      <c r="FW12" t="e">
        <f>'Opportunity Qualification'!192:192-"AM:!HR"</f>
        <v>#VALUE!</v>
      </c>
      <c r="FX12" t="e">
        <f>'Opportunity Qualification'!193:193-"AM:!HS"</f>
        <v>#VALUE!</v>
      </c>
      <c r="FY12" t="e">
        <f>'Opportunity Qualification'!194:194-"AM:!HT"</f>
        <v>#VALUE!</v>
      </c>
      <c r="FZ12" t="e">
        <f>'Opportunity Qualification'!195:195-"AM:!HU"</f>
        <v>#VALUE!</v>
      </c>
      <c r="GA12" t="e">
        <f>'Opportunity Qualification'!196:196-"AM:!HV"</f>
        <v>#VALUE!</v>
      </c>
      <c r="GB12" t="e">
        <f>'Opportunity Qualification'!197:197-"AM:!HW"</f>
        <v>#VALUE!</v>
      </c>
      <c r="GC12" t="e">
        <f>'Opportunity Qualification'!198:198-"AM:!HX"</f>
        <v>#VALUE!</v>
      </c>
      <c r="GD12" t="e">
        <f>'Opportunity Qualification'!199:199-"AM:!HY"</f>
        <v>#VALUE!</v>
      </c>
      <c r="GE12" t="e">
        <f>'Opportunity Qualification'!200:200-"AM:!HZ"</f>
        <v>#VALUE!</v>
      </c>
      <c r="GF12" t="e">
        <f>'Opportunity Qualification'!201:201-"AM:!H["</f>
        <v>#VALUE!</v>
      </c>
      <c r="GG12" t="e">
        <f>'Opportunity Qualification'!202:202-"AM:!H\"</f>
        <v>#VALUE!</v>
      </c>
      <c r="GH12" t="e">
        <f>'Opportunity Qualification'!203:203-"AM:!H]"</f>
        <v>#VALUE!</v>
      </c>
      <c r="GI12" t="e">
        <f>'Opportunity Qualification'!204:204-"AM:!H^"</f>
        <v>#VALUE!</v>
      </c>
      <c r="GJ12" t="e">
        <f>'Opportunity Qualification'!205:205-"AM:!H_"</f>
        <v>#VALUE!</v>
      </c>
      <c r="GK12" t="e">
        <f>'Opportunity Qualification'!206:206-"AM:!H`"</f>
        <v>#VALUE!</v>
      </c>
      <c r="GL12" t="e">
        <f>'Opportunity Qualification'!207:207-"AM:!Ha"</f>
        <v>#VALUE!</v>
      </c>
      <c r="GM12" t="e">
        <f>'Opportunity Qualification'!208:208-"AM:!Hb"</f>
        <v>#VALUE!</v>
      </c>
      <c r="GN12" t="e">
        <f>'Opportunity Qualification'!209:209-"AM:!Hc"</f>
        <v>#VALUE!</v>
      </c>
      <c r="GO12" t="e">
        <f>'Opportunity Qualification'!210:210-"AM:!Hd"</f>
        <v>#VALUE!</v>
      </c>
      <c r="GP12" t="e">
        <f>'Opportunity Qualification'!211:211-"AM:!He"</f>
        <v>#VALUE!</v>
      </c>
      <c r="GQ12" t="e">
        <f>'Opportunity Qualification'!212:212-"AM:!Hf"</f>
        <v>#VALUE!</v>
      </c>
      <c r="GR12" t="e">
        <f>'Opportunity Qualification'!213:213-"AM:!Hg"</f>
        <v>#VALUE!</v>
      </c>
      <c r="GS12" t="e">
        <f>'Opportunity Qualification'!214:214-"AM:!Hh"</f>
        <v>#VALUE!</v>
      </c>
      <c r="GT12" t="e">
        <f>'Opportunity Qualification'!215:215-"AM:!Hi"</f>
        <v>#VALUE!</v>
      </c>
      <c r="GU12" t="e">
        <f>'Opportunity Qualification'!216:216-"AM:!Hj"</f>
        <v>#VALUE!</v>
      </c>
      <c r="GV12" t="e">
        <f>'Opportunity Qualification'!217:217-"AM:!Hk"</f>
        <v>#VALUE!</v>
      </c>
      <c r="GW12" t="e">
        <f>'Opportunity Qualification'!218:218-"AM:!Hl"</f>
        <v>#VALUE!</v>
      </c>
      <c r="GX12" t="e">
        <f>'Opportunity Qualification'!219:219-"AM:!Hm"</f>
        <v>#VALUE!</v>
      </c>
      <c r="GY12" t="e">
        <f>'Opportunity Qualification'!220:220-"AM:!Hn"</f>
        <v>#VALUE!</v>
      </c>
      <c r="GZ12" t="e">
        <f>'Opportunity Qualification'!221:221-"AM:!Ho"</f>
        <v>#VALUE!</v>
      </c>
      <c r="HA12" t="e">
        <f>'Opportunity Qualification'!222:222-"AM:!Hp"</f>
        <v>#VALUE!</v>
      </c>
      <c r="HB12" t="e">
        <f>'Opportunity Qualification'!223:223-"AM:!Hq"</f>
        <v>#VALUE!</v>
      </c>
      <c r="HC12" t="e">
        <f>'Opportunity Qualification'!224:224-"AM:!Hr"</f>
        <v>#VALUE!</v>
      </c>
      <c r="HD12" t="e">
        <f>'Opportunity Qualification'!225:225-"AM:!Hs"</f>
        <v>#VALUE!</v>
      </c>
      <c r="HE12" t="e">
        <f>'Opportunity Qualification'!226:226-"AM:!Ht"</f>
        <v>#VALUE!</v>
      </c>
      <c r="HF12" t="e">
        <f>'Opportunity Qualification'!227:227-"AM:!Hu"</f>
        <v>#VALUE!</v>
      </c>
      <c r="HG12" t="e">
        <f>'Opportunity Qualification'!228:228-"AM:!Hv"</f>
        <v>#VALUE!</v>
      </c>
      <c r="HH12" t="e">
        <f>'Opportunity Qualification'!229:229-"AM:!Hw"</f>
        <v>#VALUE!</v>
      </c>
      <c r="HI12" t="e">
        <f>'Opportunity Qualification'!230:230-"AM:!Hx"</f>
        <v>#VALUE!</v>
      </c>
      <c r="HJ12" t="e">
        <f>'Opportunity Qualification'!231:231-"AM:!Hy"</f>
        <v>#VALUE!</v>
      </c>
      <c r="HK12" t="e">
        <f>'Opportunity Qualification'!232:232-"AM:!Hz"</f>
        <v>#VALUE!</v>
      </c>
      <c r="HL12" t="e">
        <f>'Opportunity Qualification'!233:233-"AM:!H{"</f>
        <v>#VALUE!</v>
      </c>
      <c r="HM12" t="e">
        <f>'Opportunity Qualification'!234:234-"AM:!H|"</f>
        <v>#VALUE!</v>
      </c>
      <c r="HN12" t="e">
        <f>'Opportunity Qualification'!235:235-"AM:!H}"</f>
        <v>#VALUE!</v>
      </c>
      <c r="HO12" t="e">
        <f>'Opportunity Qualification'!236:236-"AM:!H~"</f>
        <v>#VALUE!</v>
      </c>
      <c r="HP12" t="e">
        <f>'Opportunity Qualification'!237:237-"AM:!I#"</f>
        <v>#VALUE!</v>
      </c>
      <c r="HQ12" t="e">
        <f>'Opportunity Qualification'!238:238-"AM:!I$"</f>
        <v>#VALUE!</v>
      </c>
      <c r="HR12" t="e">
        <f>'Opportunity Qualification'!239:239-"AM:!I%"</f>
        <v>#VALUE!</v>
      </c>
      <c r="HS12" t="e">
        <f>'Opportunity Qualification'!240:240-"AM:!I&amp;"</f>
        <v>#VALUE!</v>
      </c>
      <c r="HT12" t="e">
        <f>'Opportunity Qualification'!241:241-"AM:!I'"</f>
        <v>#VALUE!</v>
      </c>
      <c r="HU12" t="e">
        <f>'Opportunity Qualification'!242:242-"AM:!I("</f>
        <v>#VALUE!</v>
      </c>
      <c r="HV12" t="e">
        <f>'Opportunity Qualification'!243:243-"AM:!I)"</f>
        <v>#VALUE!</v>
      </c>
      <c r="HW12" t="e">
        <f>'Opportunity Qualification'!244:244-"AM:!I."</f>
        <v>#VALUE!</v>
      </c>
      <c r="HX12" t="e">
        <f>'Opportunity Qualification'!245:245-"AM:!I/"</f>
        <v>#VALUE!</v>
      </c>
      <c r="HY12" t="e">
        <f>'Opportunity Qualification'!246:246-"AM:!I0"</f>
        <v>#VALUE!</v>
      </c>
      <c r="HZ12" t="e">
        <f>'Opportunity Qualification'!247:247-"AM:!I1"</f>
        <v>#VALUE!</v>
      </c>
      <c r="IA12" t="e">
        <f>'Opportunity Qualification'!248:248-"AM:!I2"</f>
        <v>#VALUE!</v>
      </c>
      <c r="IB12" t="e">
        <f>'Opportunity Qualification'!249:249-"AM:!I3"</f>
        <v>#VALUE!</v>
      </c>
      <c r="IC12" t="e">
        <f>'Opportunity Qualification'!250:250-"AM:!I4"</f>
        <v>#VALUE!</v>
      </c>
      <c r="ID12" t="e">
        <f>'Opportunity Qualification'!251:251-"AM:!I5"</f>
        <v>#VALUE!</v>
      </c>
      <c r="IE12" t="e">
        <f>'Opportunity Qualification'!252:252-"AM:!I6"</f>
        <v>#VALUE!</v>
      </c>
      <c r="IF12" t="e">
        <f>'Opportunity Qualification'!253:253-"AM:!I7"</f>
        <v>#VALUE!</v>
      </c>
      <c r="IG12" t="e">
        <f>'Opportunity Qualification'!254:254-"AM:!I8"</f>
        <v>#VALUE!</v>
      </c>
      <c r="IH12" t="e">
        <f>'Opportunity Qualification'!255:255-"AM:!I9"</f>
        <v>#VALUE!</v>
      </c>
      <c r="II12" t="e">
        <f>'Opportunity Qualification'!256:256-"AM:!I:"</f>
        <v>#VALUE!</v>
      </c>
      <c r="IJ12" t="e">
        <f>'Opportunity Qualification'!257:257-"AM:!I;"</f>
        <v>#VALUE!</v>
      </c>
      <c r="IK12" t="e">
        <f>'Opportunity Qualification'!258:258-"AM:!I&lt;"</f>
        <v>#VALUE!</v>
      </c>
      <c r="IL12" t="e">
        <f>'Opportunity Qualification'!259:259-"AM:!I="</f>
        <v>#VALUE!</v>
      </c>
      <c r="IM12" t="e">
        <f>'Opportunity Qualification'!260:260-"AM:!I&gt;"</f>
        <v>#VALUE!</v>
      </c>
      <c r="IN12" t="e">
        <f>'Opportunity Qualification'!261:261-"AM:!I?"</f>
        <v>#VALUE!</v>
      </c>
      <c r="IO12" t="e">
        <f>'Opportunity Qualification'!262:262-"AM:!I@"</f>
        <v>#VALUE!</v>
      </c>
      <c r="IP12" t="e">
        <f>'Opportunity Qualification'!263:263-"AM:!IA"</f>
        <v>#VALUE!</v>
      </c>
      <c r="IQ12" t="e">
        <f>'Opportunity Qualification'!264:264-"AM:!IB"</f>
        <v>#VALUE!</v>
      </c>
      <c r="IR12" t="e">
        <f>'Opportunity Qualification'!265:265-"AM:!IC"</f>
        <v>#VALUE!</v>
      </c>
      <c r="IS12" t="e">
        <f>'Opportunity Qualification'!266:266-"AM:!ID"</f>
        <v>#VALUE!</v>
      </c>
      <c r="IT12" t="e">
        <f>'Opportunity Qualification'!267:267-"AM:!IE"</f>
        <v>#VALUE!</v>
      </c>
      <c r="IU12" t="e">
        <f>'Opportunity Qualification'!268:268-"AM:!IF"</f>
        <v>#VALUE!</v>
      </c>
      <c r="IV12" t="e">
        <f>'Opportunity Qualification'!A1+"AM:!IG"</f>
        <v>#VALUE!</v>
      </c>
    </row>
    <row r="13" spans="1:256">
      <c r="F13" t="e">
        <f>'Opportunity Qualification'!B1+"AM:!IH"</f>
        <v>#VALUE!</v>
      </c>
      <c r="G13" t="e">
        <f>'Opportunity Qualification'!C1+"AM:!II"</f>
        <v>#VALUE!</v>
      </c>
      <c r="H13" t="e">
        <f>'Opportunity Qualification'!D1+"AM:!IJ"</f>
        <v>#VALUE!</v>
      </c>
      <c r="I13" t="e">
        <f>'Opportunity Qualification'!E1+"AM:!IK"</f>
        <v>#VALUE!</v>
      </c>
      <c r="J13" t="e">
        <f>'Opportunity Qualification'!F1+"AM:!IL"</f>
        <v>#VALUE!</v>
      </c>
      <c r="K13" t="e">
        <f>'Opportunity Qualification'!G1+"AM:!IM"</f>
        <v>#VALUE!</v>
      </c>
      <c r="L13" t="e">
        <f>'Opportunity Qualification'!H1+"AM:!IN"</f>
        <v>#VALUE!</v>
      </c>
      <c r="M13" t="e">
        <f>'Opportunity Qualification'!I1+"AM:!IO"</f>
        <v>#VALUE!</v>
      </c>
      <c r="N13" t="e">
        <f>'Opportunity Qualification'!J1+"AM:!IP"</f>
        <v>#VALUE!</v>
      </c>
      <c r="O13" t="e">
        <f>'Opportunity Qualification'!K1+"AM:!IQ"</f>
        <v>#VALUE!</v>
      </c>
      <c r="P13" t="e">
        <f>'Opportunity Qualification'!L1+"AM:!IR"</f>
        <v>#VALUE!</v>
      </c>
      <c r="Q13" t="e">
        <f>'Opportunity Qualification'!M1+"AM:!IS"</f>
        <v>#VALUE!</v>
      </c>
      <c r="R13" t="e">
        <f>'Opportunity Qualification'!N1+"AM:!IT"</f>
        <v>#VALUE!</v>
      </c>
      <c r="S13" t="e">
        <f>'Opportunity Qualification'!O1+"AM:!IU"</f>
        <v>#VALUE!</v>
      </c>
      <c r="T13" t="e">
        <f>'Opportunity Qualification'!P1+"AM:!IV"</f>
        <v>#VALUE!</v>
      </c>
      <c r="U13" t="e">
        <f>'Opportunity Qualification'!Q1+"AM:!IW"</f>
        <v>#VALUE!</v>
      </c>
      <c r="V13" t="e">
        <f>'Opportunity Qualification'!R1+"AM:!IX"</f>
        <v>#VALUE!</v>
      </c>
      <c r="W13" t="e">
        <f>'Opportunity Qualification'!S1+"AM:!IY"</f>
        <v>#VALUE!</v>
      </c>
      <c r="X13" t="e">
        <f>'Opportunity Qualification'!T1+"AM:!IZ"</f>
        <v>#VALUE!</v>
      </c>
      <c r="Y13" t="e">
        <f>'Opportunity Qualification'!A2+"AM:!I["</f>
        <v>#VALUE!</v>
      </c>
      <c r="Z13" t="e">
        <f>'Opportunity Qualification'!B2+"AM:!I\"</f>
        <v>#VALUE!</v>
      </c>
      <c r="AA13" t="e">
        <f>'Opportunity Qualification'!C2+"AM:!I]"</f>
        <v>#VALUE!</v>
      </c>
      <c r="AB13" t="e">
        <f>'Opportunity Qualification'!D2+"AM:!I^"</f>
        <v>#VALUE!</v>
      </c>
      <c r="AC13" t="e">
        <f>'Opportunity Qualification'!E2+"AM:!I_"</f>
        <v>#VALUE!</v>
      </c>
      <c r="AD13" t="e">
        <f>'Opportunity Qualification'!F2+"AM:!I`"</f>
        <v>#VALUE!</v>
      </c>
      <c r="AE13" t="e">
        <f>'Opportunity Qualification'!H2+"AM:!Ia"</f>
        <v>#VALUE!</v>
      </c>
      <c r="AF13" t="e">
        <f>'Opportunity Qualification'!I2+"AM:!Ib"</f>
        <v>#VALUE!</v>
      </c>
      <c r="AG13" t="e">
        <f>'Opportunity Qualification'!J2+"AM:!Ic"</f>
        <v>#VALUE!</v>
      </c>
      <c r="AH13" t="e">
        <f>'Opportunity Qualification'!K2+"AM:!Id"</f>
        <v>#VALUE!</v>
      </c>
      <c r="AI13" t="e">
        <f>'Opportunity Qualification'!L2+"AM:!Ie"</f>
        <v>#VALUE!</v>
      </c>
      <c r="AJ13" t="e">
        <f>'Opportunity Qualification'!M2+"AM:!If"</f>
        <v>#VALUE!</v>
      </c>
      <c r="AK13" t="e">
        <f>'Opportunity Qualification'!N2+"AM:!Ig"</f>
        <v>#VALUE!</v>
      </c>
      <c r="AL13" t="e">
        <f>'Opportunity Qualification'!O2+"AM:!Ih"</f>
        <v>#VALUE!</v>
      </c>
      <c r="AM13" t="e">
        <f>'Opportunity Qualification'!P2+"AM:!Ii"</f>
        <v>#VALUE!</v>
      </c>
      <c r="AN13" t="e">
        <f>'Opportunity Qualification'!Q2+"AM:!Ij"</f>
        <v>#VALUE!</v>
      </c>
      <c r="AO13" t="e">
        <f>'Opportunity Qualification'!R2+"AM:!Ik"</f>
        <v>#VALUE!</v>
      </c>
      <c r="AP13" t="e">
        <f>'Opportunity Qualification'!S2+"AM:!Il"</f>
        <v>#VALUE!</v>
      </c>
      <c r="AQ13" t="e">
        <f>'Opportunity Qualification'!T2+"AM:!Im"</f>
        <v>#VALUE!</v>
      </c>
      <c r="AR13" t="e">
        <f>'Opportunity Qualification'!A3+"AM:!In"</f>
        <v>#VALUE!</v>
      </c>
      <c r="AS13" t="e">
        <f>'Opportunity Qualification'!B3+"AM:!Io"</f>
        <v>#VALUE!</v>
      </c>
      <c r="AT13" t="e">
        <f>'Opportunity Qualification'!C3+"AM:!Ip"</f>
        <v>#VALUE!</v>
      </c>
      <c r="AU13" t="e">
        <f>'Opportunity Qualification'!D3+"AM:!Iq"</f>
        <v>#VALUE!</v>
      </c>
      <c r="AV13" t="e">
        <f>'Opportunity Qualification'!E3+"AM:!Ir"</f>
        <v>#VALUE!</v>
      </c>
      <c r="AW13" t="e">
        <f>'Opportunity Qualification'!F3+"AM:!Is"</f>
        <v>#VALUE!</v>
      </c>
      <c r="AX13" t="e">
        <f>'Opportunity Qualification'!H3+"AM:!It"</f>
        <v>#VALUE!</v>
      </c>
      <c r="AY13" t="e">
        <f>'Opportunity Qualification'!I3+"AM:!Iu"</f>
        <v>#VALUE!</v>
      </c>
      <c r="AZ13" t="e">
        <f>'Opportunity Qualification'!J3+"AM:!Iv"</f>
        <v>#VALUE!</v>
      </c>
      <c r="BA13" t="e">
        <f>'Opportunity Qualification'!K3+"AM:!Iw"</f>
        <v>#VALUE!</v>
      </c>
      <c r="BB13" t="e">
        <f>'Opportunity Qualification'!L3+"AM:!Ix"</f>
        <v>#VALUE!</v>
      </c>
      <c r="BC13" t="e">
        <f>'Opportunity Qualification'!M3+"AM:!Iy"</f>
        <v>#VALUE!</v>
      </c>
      <c r="BD13" t="e">
        <f>'Opportunity Qualification'!N3+"AM:!Iz"</f>
        <v>#VALUE!</v>
      </c>
      <c r="BE13" t="e">
        <f>'Opportunity Qualification'!O3+"AM:!I{"</f>
        <v>#VALUE!</v>
      </c>
      <c r="BF13" t="e">
        <f>'Opportunity Qualification'!P3+"AM:!I|"</f>
        <v>#VALUE!</v>
      </c>
      <c r="BG13" t="e">
        <f>'Opportunity Qualification'!Q3+"AM:!I}"</f>
        <v>#VALUE!</v>
      </c>
      <c r="BH13" t="e">
        <f>'Opportunity Qualification'!R3+"AM:!I~"</f>
        <v>#VALUE!</v>
      </c>
      <c r="BI13" t="e">
        <f>'Opportunity Qualification'!S3+"AM:!J#"</f>
        <v>#VALUE!</v>
      </c>
      <c r="BJ13" t="e">
        <f>'Opportunity Qualification'!T3+"AM:!J$"</f>
        <v>#VALUE!</v>
      </c>
      <c r="BK13" t="e">
        <f>'Opportunity Qualification'!A4+"AM:!J%"</f>
        <v>#VALUE!</v>
      </c>
      <c r="BL13" t="e">
        <f>'Opportunity Qualification'!B4+"AM:!J&amp;"</f>
        <v>#VALUE!</v>
      </c>
      <c r="BM13" t="e">
        <f>'Opportunity Qualification'!C4+"AM:!J'"</f>
        <v>#VALUE!</v>
      </c>
      <c r="BN13" t="e">
        <f>'Opportunity Qualification'!D4+"AM:!J("</f>
        <v>#VALUE!</v>
      </c>
      <c r="BO13" t="e">
        <f>'Opportunity Qualification'!E4+"AM:!J)"</f>
        <v>#VALUE!</v>
      </c>
      <c r="BP13" t="e">
        <f>'Opportunity Qualification'!F4+"AM:!J."</f>
        <v>#VALUE!</v>
      </c>
      <c r="BQ13" t="e">
        <f>'Opportunity Qualification'!G4+"AM:!J/"</f>
        <v>#VALUE!</v>
      </c>
      <c r="BR13" t="e">
        <f>'Opportunity Qualification'!H4+"AM:!J0"</f>
        <v>#VALUE!</v>
      </c>
      <c r="BS13" t="e">
        <f>'Opportunity Qualification'!I4+"AM:!J1"</f>
        <v>#VALUE!</v>
      </c>
      <c r="BT13" t="e">
        <f>'Opportunity Qualification'!J4+"AM:!J2"</f>
        <v>#VALUE!</v>
      </c>
      <c r="BU13" t="e">
        <f>'Opportunity Qualification'!K4+"AM:!J3"</f>
        <v>#VALUE!</v>
      </c>
      <c r="BV13" t="e">
        <f>'Opportunity Qualification'!L4+"AM:!J4"</f>
        <v>#VALUE!</v>
      </c>
      <c r="BW13" t="e">
        <f>'Opportunity Qualification'!M4+"AM:!J5"</f>
        <v>#VALUE!</v>
      </c>
      <c r="BX13" t="e">
        <f>'Opportunity Qualification'!N4+"AM:!J6"</f>
        <v>#VALUE!</v>
      </c>
      <c r="BY13" t="e">
        <f>'Opportunity Qualification'!O4+"AM:!J7"</f>
        <v>#VALUE!</v>
      </c>
      <c r="BZ13" t="e">
        <f>'Opportunity Qualification'!P4+"AM:!J8"</f>
        <v>#VALUE!</v>
      </c>
      <c r="CA13" t="e">
        <f>'Opportunity Qualification'!Q4+"AM:!J9"</f>
        <v>#VALUE!</v>
      </c>
      <c r="CB13" t="e">
        <f>'Opportunity Qualification'!R4+"AM:!J:"</f>
        <v>#VALUE!</v>
      </c>
      <c r="CC13" t="e">
        <f>'Opportunity Qualification'!S4+"AM:!J;"</f>
        <v>#VALUE!</v>
      </c>
      <c r="CD13" t="e">
        <f>'Opportunity Qualification'!T4+"AM:!J&lt;"</f>
        <v>#VALUE!</v>
      </c>
      <c r="CE13" t="e">
        <f>'Opportunity Qualification'!A5+"AM:!J="</f>
        <v>#VALUE!</v>
      </c>
      <c r="CF13" t="e">
        <f>'Opportunity Qualification'!B5+"AM:!J&gt;"</f>
        <v>#VALUE!</v>
      </c>
      <c r="CG13" t="e">
        <f>'Opportunity Qualification'!C5+"AM:!J?"</f>
        <v>#VALUE!</v>
      </c>
      <c r="CH13" t="e">
        <f>'Opportunity Qualification'!D5+"AM:!J@"</f>
        <v>#VALUE!</v>
      </c>
      <c r="CI13" t="e">
        <f>'Opportunity Qualification'!E5+"AM:!JA"</f>
        <v>#VALUE!</v>
      </c>
      <c r="CJ13" t="e">
        <f>'Opportunity Qualification'!F5+"AM:!JB"</f>
        <v>#VALUE!</v>
      </c>
      <c r="CK13" t="e">
        <f>'Opportunity Qualification'!G5+"AM:!JC"</f>
        <v>#VALUE!</v>
      </c>
      <c r="CL13" t="e">
        <f>'Opportunity Qualification'!H5+"AM:!JD"</f>
        <v>#VALUE!</v>
      </c>
      <c r="CM13" t="e">
        <f>'Opportunity Qualification'!A6+"AM:!JE"</f>
        <v>#VALUE!</v>
      </c>
      <c r="CN13" t="e">
        <f>'Opportunity Qualification'!B6+"AM:!JF"</f>
        <v>#VALUE!</v>
      </c>
      <c r="CO13" t="e">
        <f>'Opportunity Qualification'!C6+"AM:!JG"</f>
        <v>#VALUE!</v>
      </c>
      <c r="CP13" t="e">
        <f>'Opportunity Qualification'!D6+"AM:!JH"</f>
        <v>#VALUE!</v>
      </c>
      <c r="CQ13" t="e">
        <f>'Opportunity Qualification'!E6+"AM:!JI"</f>
        <v>#VALUE!</v>
      </c>
      <c r="CR13" t="e">
        <f>'Opportunity Qualification'!F6+"AM:!JJ"</f>
        <v>#VALUE!</v>
      </c>
      <c r="CS13" t="e">
        <f>'Opportunity Qualification'!G6+"AM:!JK"</f>
        <v>#VALUE!</v>
      </c>
      <c r="CT13" t="e">
        <f>'Opportunity Qualification'!H6+"AM:!JL"</f>
        <v>#VALUE!</v>
      </c>
      <c r="CU13" t="e">
        <f>'Opportunity Qualification'!A7+"AM:!JM"</f>
        <v>#VALUE!</v>
      </c>
      <c r="CV13" t="e">
        <f>'Opportunity Qualification'!B7+"AM:!JN"</f>
        <v>#VALUE!</v>
      </c>
      <c r="CW13" t="e">
        <f>'Opportunity Qualification'!C7+"AM:!JO"</f>
        <v>#VALUE!</v>
      </c>
      <c r="CX13" t="e">
        <f>'Opportunity Qualification'!D7+"AM:!JP"</f>
        <v>#VALUE!</v>
      </c>
      <c r="CY13" t="e">
        <f>'Opportunity Qualification'!E7+"AM:!JQ"</f>
        <v>#VALUE!</v>
      </c>
      <c r="CZ13" t="e">
        <f>'Opportunity Qualification'!F7+"AM:!JR"</f>
        <v>#VALUE!</v>
      </c>
      <c r="DA13" t="e">
        <f>'Opportunity Qualification'!G7+"AM:!JS"</f>
        <v>#VALUE!</v>
      </c>
      <c r="DB13" t="e">
        <f>'Opportunity Qualification'!H7+"AM:!JT"</f>
        <v>#VALUE!</v>
      </c>
      <c r="DC13" t="e">
        <f>'Opportunity Qualification'!A8+"AM:!JU"</f>
        <v>#VALUE!</v>
      </c>
      <c r="DD13" t="e">
        <f>'Opportunity Qualification'!B8+"AM:!JV"</f>
        <v>#VALUE!</v>
      </c>
      <c r="DE13" t="e">
        <f>'Opportunity Qualification'!C8+"AM:!JW"</f>
        <v>#VALUE!</v>
      </c>
      <c r="DF13" t="e">
        <f>'Opportunity Qualification'!D8+"AM:!JX"</f>
        <v>#VALUE!</v>
      </c>
      <c r="DG13" t="e">
        <f>'Opportunity Qualification'!E8+"AM:!JY"</f>
        <v>#VALUE!</v>
      </c>
      <c r="DH13" t="e">
        <f>'Opportunity Qualification'!F8+"AM:!JZ"</f>
        <v>#VALUE!</v>
      </c>
      <c r="DI13" t="e">
        <f>'Opportunity Qualification'!G8+"AM:!J["</f>
        <v>#VALUE!</v>
      </c>
      <c r="DJ13" t="e">
        <f>'Opportunity Qualification'!H8+"AM:!J\"</f>
        <v>#VALUE!</v>
      </c>
      <c r="DK13" t="e">
        <f>'Opportunity Qualification'!A9+"AM:!J]"</f>
        <v>#VALUE!</v>
      </c>
      <c r="DL13" t="e">
        <f>'Opportunity Qualification'!B9+"AM:!J^"</f>
        <v>#VALUE!</v>
      </c>
      <c r="DM13" t="e">
        <f>'Opportunity Qualification'!C9+"AM:!J_"</f>
        <v>#VALUE!</v>
      </c>
      <c r="DN13" t="e">
        <f>'Opportunity Qualification'!D9+"AM:!J`"</f>
        <v>#VALUE!</v>
      </c>
      <c r="DO13" t="e">
        <f>'Opportunity Qualification'!E9+"AM:!Ja"</f>
        <v>#VALUE!</v>
      </c>
      <c r="DP13" t="e">
        <f>'Opportunity Qualification'!F9+"AM:!Jb"</f>
        <v>#VALUE!</v>
      </c>
      <c r="DQ13" t="e">
        <f>'Opportunity Qualification'!G9+"AM:!Jc"</f>
        <v>#VALUE!</v>
      </c>
      <c r="DR13" t="e">
        <f>'Opportunity Qualification'!H9+"AM:!Jd"</f>
        <v>#VALUE!</v>
      </c>
      <c r="DS13" t="e">
        <f>'Opportunity Qualification'!A10+"AM:!Je"</f>
        <v>#VALUE!</v>
      </c>
      <c r="DT13" t="e">
        <f>'Opportunity Qualification'!B10+"AM:!Jf"</f>
        <v>#VALUE!</v>
      </c>
      <c r="DU13" t="e">
        <f>'Opportunity Qualification'!C10+"AM:!Jg"</f>
        <v>#VALUE!</v>
      </c>
      <c r="DV13" t="e">
        <f>'Opportunity Qualification'!D10+"AM:!Jh"</f>
        <v>#VALUE!</v>
      </c>
      <c r="DW13" t="e">
        <f>'Opportunity Qualification'!E10+"AM:!Ji"</f>
        <v>#VALUE!</v>
      </c>
      <c r="DX13" t="e">
        <f>'Opportunity Qualification'!F10+"AM:!Jj"</f>
        <v>#VALUE!</v>
      </c>
      <c r="DY13" t="e">
        <f>'Opportunity Qualification'!G10+"AM:!Jk"</f>
        <v>#VALUE!</v>
      </c>
      <c r="DZ13" t="e">
        <f>'Opportunity Qualification'!H10+"AM:!Jl"</f>
        <v>#VALUE!</v>
      </c>
      <c r="EA13" t="e">
        <f>'Opportunity Qualification'!A11+"AM:!Jm"</f>
        <v>#VALUE!</v>
      </c>
      <c r="EB13" t="e">
        <f>'Opportunity Qualification'!B11+"AM:!Jn"</f>
        <v>#VALUE!</v>
      </c>
      <c r="EC13" t="e">
        <f>'Opportunity Qualification'!C11+"AM:!Jo"</f>
        <v>#VALUE!</v>
      </c>
      <c r="ED13" t="e">
        <f>'Opportunity Qualification'!D11+"AM:!Jp"</f>
        <v>#VALUE!</v>
      </c>
      <c r="EE13" t="e">
        <f>'Opportunity Qualification'!E11+"AM:!Jq"</f>
        <v>#VALUE!</v>
      </c>
      <c r="EF13" t="e">
        <f>'Opportunity Qualification'!F11+"AM:!Jr"</f>
        <v>#VALUE!</v>
      </c>
      <c r="EG13" t="e">
        <f>'Opportunity Qualification'!G11+"AM:!Js"</f>
        <v>#VALUE!</v>
      </c>
      <c r="EH13" t="e">
        <f>'Opportunity Qualification'!H11+"AM:!Jt"</f>
        <v>#VALUE!</v>
      </c>
      <c r="EI13" t="e">
        <f>'Opportunity Qualification'!A13+"AM:!Ju"</f>
        <v>#VALUE!</v>
      </c>
      <c r="EJ13" t="e">
        <f>'Opportunity Qualification'!B13+"AM:!Jv"</f>
        <v>#VALUE!</v>
      </c>
      <c r="EK13" t="e">
        <f>'Opportunity Qualification'!C13+"AM:!Jw"</f>
        <v>#VALUE!</v>
      </c>
      <c r="EL13" t="e">
        <f>'Opportunity Qualification'!D13+"AM:!Jx"</f>
        <v>#VALUE!</v>
      </c>
      <c r="EM13" t="e">
        <f>'Opportunity Qualification'!E13+"AM:!Jy"</f>
        <v>#VALUE!</v>
      </c>
      <c r="EN13" t="e">
        <f>'Opportunity Qualification'!F13+"AM:!Jz"</f>
        <v>#VALUE!</v>
      </c>
      <c r="EO13" t="e">
        <f>'Opportunity Qualification'!G13+"AM:!J{"</f>
        <v>#VALUE!</v>
      </c>
      <c r="EP13" t="e">
        <f>'Opportunity Qualification'!H13+"AM:!J|"</f>
        <v>#VALUE!</v>
      </c>
      <c r="EQ13" t="e">
        <f>'Opportunity Qualification'!A14+"AM:!J}"</f>
        <v>#VALUE!</v>
      </c>
      <c r="ER13" t="e">
        <f>'Opportunity Qualification'!B14+"AM:!J~"</f>
        <v>#VALUE!</v>
      </c>
      <c r="ES13" t="e">
        <f>'Opportunity Qualification'!C14+"AM:!K#"</f>
        <v>#VALUE!</v>
      </c>
      <c r="ET13" t="e">
        <f>'Opportunity Qualification'!D14+"AM:!K$"</f>
        <v>#VALUE!</v>
      </c>
      <c r="EU13" t="e">
        <f>'Opportunity Qualification'!E14+"AM:!K%"</f>
        <v>#VALUE!</v>
      </c>
      <c r="EV13" t="e">
        <f>'Opportunity Qualification'!F14+"AM:!K&amp;"</f>
        <v>#VALUE!</v>
      </c>
      <c r="EW13" t="e">
        <f>'Opportunity Qualification'!G14+"AM:!K'"</f>
        <v>#VALUE!</v>
      </c>
      <c r="EX13" t="e">
        <f>'Opportunity Qualification'!H14+"AM:!K("</f>
        <v>#VALUE!</v>
      </c>
      <c r="EY13" t="e">
        <f>'Opportunity Qualification'!A15+"AM:!K)"</f>
        <v>#VALUE!</v>
      </c>
      <c r="EZ13" t="e">
        <f>'Opportunity Qualification'!B15+"AM:!K."</f>
        <v>#VALUE!</v>
      </c>
      <c r="FA13" t="e">
        <f>'Opportunity Qualification'!C15+"AM:!K/"</f>
        <v>#VALUE!</v>
      </c>
      <c r="FB13" t="e">
        <f>'Opportunity Qualification'!D15+"AM:!K0"</f>
        <v>#VALUE!</v>
      </c>
      <c r="FC13" t="e">
        <f>'Opportunity Qualification'!E15+"AM:!K1"</f>
        <v>#VALUE!</v>
      </c>
      <c r="FD13" t="e">
        <f>'Opportunity Qualification'!F15+"AM:!K2"</f>
        <v>#VALUE!</v>
      </c>
      <c r="FE13" t="e">
        <f>'Opportunity Qualification'!G15+"AM:!K3"</f>
        <v>#VALUE!</v>
      </c>
      <c r="FF13" t="e">
        <f>'Opportunity Qualification'!H15+"AM:!K4"</f>
        <v>#VALUE!</v>
      </c>
      <c r="FG13" t="e">
        <f>'Opportunity Qualification'!A16+"AM:!K5"</f>
        <v>#VALUE!</v>
      </c>
      <c r="FH13" t="e">
        <f>'Opportunity Qualification'!B16+"AM:!K6"</f>
        <v>#VALUE!</v>
      </c>
      <c r="FI13" t="e">
        <f>'Opportunity Qualification'!C16+"AM:!K7"</f>
        <v>#VALUE!</v>
      </c>
      <c r="FJ13" t="e">
        <f>'Opportunity Qualification'!D16+"AM:!K8"</f>
        <v>#VALUE!</v>
      </c>
      <c r="FK13" t="e">
        <f>'Opportunity Qualification'!E16+"AM:!K9"</f>
        <v>#VALUE!</v>
      </c>
      <c r="FL13" t="e">
        <f>'Opportunity Qualification'!F16+"AM:!K:"</f>
        <v>#VALUE!</v>
      </c>
      <c r="FM13" t="e">
        <f>'Opportunity Qualification'!G16+"AM:!K;"</f>
        <v>#VALUE!</v>
      </c>
      <c r="FN13" t="e">
        <f>'Opportunity Qualification'!H16+"AM:!K&lt;"</f>
        <v>#VALUE!</v>
      </c>
      <c r="FO13" t="e">
        <f>'Opportunity Qualification'!A17+"AM:!K="</f>
        <v>#VALUE!</v>
      </c>
      <c r="FP13" t="e">
        <f>'Opportunity Qualification'!B17+"AM:!K&gt;"</f>
        <v>#VALUE!</v>
      </c>
      <c r="FQ13" t="e">
        <f>'Opportunity Qualification'!C17+"AM:!K?"</f>
        <v>#VALUE!</v>
      </c>
      <c r="FR13" t="e">
        <f>'Opportunity Qualification'!D17+"AM:!K@"</f>
        <v>#VALUE!</v>
      </c>
      <c r="FS13" t="e">
        <f>'Opportunity Qualification'!E17+"AM:!KA"</f>
        <v>#VALUE!</v>
      </c>
      <c r="FT13" t="e">
        <f>'Opportunity Qualification'!F17+"AM:!KB"</f>
        <v>#VALUE!</v>
      </c>
      <c r="FU13" t="e">
        <f>'Opportunity Qualification'!G17+"AM:!KC"</f>
        <v>#VALUE!</v>
      </c>
      <c r="FV13" t="e">
        <f>'Opportunity Qualification'!H17+"AM:!KD"</f>
        <v>#VALUE!</v>
      </c>
      <c r="FW13" t="e">
        <f>'Opportunity Qualification'!A18+"AM:!KE"</f>
        <v>#VALUE!</v>
      </c>
      <c r="FX13" t="e">
        <f>'Opportunity Qualification'!B18+"AM:!KF"</f>
        <v>#VALUE!</v>
      </c>
      <c r="FY13" t="e">
        <f>'Opportunity Qualification'!C18+"AM:!KG"</f>
        <v>#VALUE!</v>
      </c>
      <c r="FZ13" t="e">
        <f>'Opportunity Qualification'!D18+"AM:!KH"</f>
        <v>#VALUE!</v>
      </c>
      <c r="GA13" t="e">
        <f>'Opportunity Qualification'!E18+"AM:!KI"</f>
        <v>#VALUE!</v>
      </c>
      <c r="GB13" t="e">
        <f>'Opportunity Qualification'!F18+"AM:!KJ"</f>
        <v>#VALUE!</v>
      </c>
      <c r="GC13" t="e">
        <f>'Opportunity Qualification'!G18+"AM:!KK"</f>
        <v>#VALUE!</v>
      </c>
      <c r="GD13" t="e">
        <f>'Opportunity Qualification'!H18+"AM:!KL"</f>
        <v>#VALUE!</v>
      </c>
      <c r="GE13" t="e">
        <f>'Opportunity Qualification'!A19+"AM:!KM"</f>
        <v>#VALUE!</v>
      </c>
      <c r="GF13" t="e">
        <f>'Opportunity Qualification'!B19+"AM:!KN"</f>
        <v>#VALUE!</v>
      </c>
      <c r="GG13" t="e">
        <f>'Opportunity Qualification'!C19+"AM:!KO"</f>
        <v>#VALUE!</v>
      </c>
      <c r="GH13" t="e">
        <f>'Opportunity Qualification'!D19+"AM:!KP"</f>
        <v>#VALUE!</v>
      </c>
      <c r="GI13" t="e">
        <f>'Opportunity Qualification'!E19+"AM:!KQ"</f>
        <v>#VALUE!</v>
      </c>
      <c r="GJ13" t="e">
        <f>'Opportunity Qualification'!F19+"AM:!KR"</f>
        <v>#VALUE!</v>
      </c>
      <c r="GK13" t="e">
        <f>'Opportunity Qualification'!G19+"AM:!KS"</f>
        <v>#VALUE!</v>
      </c>
      <c r="GL13" t="e">
        <f>'Opportunity Qualification'!H19+"AM:!KT"</f>
        <v>#VALUE!</v>
      </c>
      <c r="GM13" t="e">
        <f>'Opportunity Qualification'!A21+"AM:!KU"</f>
        <v>#VALUE!</v>
      </c>
      <c r="GN13" t="e">
        <f>'Opportunity Qualification'!B21+"AM:!KV"</f>
        <v>#VALUE!</v>
      </c>
      <c r="GO13" t="e">
        <f>'Opportunity Qualification'!C21+"AM:!KW"</f>
        <v>#VALUE!</v>
      </c>
      <c r="GP13" t="e">
        <f>'Opportunity Qualification'!D21+"AM:!KX"</f>
        <v>#VALUE!</v>
      </c>
      <c r="GQ13" t="e">
        <f>'Opportunity Qualification'!E21+"AM:!KY"</f>
        <v>#VALUE!</v>
      </c>
      <c r="GR13" t="e">
        <f>'Opportunity Qualification'!F21+"AM:!KZ"</f>
        <v>#VALUE!</v>
      </c>
      <c r="GS13" t="e">
        <f>'Opportunity Qualification'!G21+"AM:!K["</f>
        <v>#VALUE!</v>
      </c>
      <c r="GT13" t="e">
        <f>'Opportunity Qualification'!H21+"AM:!K\"</f>
        <v>#VALUE!</v>
      </c>
      <c r="GU13" t="e">
        <f>'Opportunity Qualification'!A22+"AM:!K]"</f>
        <v>#VALUE!</v>
      </c>
      <c r="GV13" t="e">
        <f>'Opportunity Qualification'!B22+"AM:!K^"</f>
        <v>#VALUE!</v>
      </c>
      <c r="GW13" t="e">
        <f>'Opportunity Qualification'!C22+"AM:!K_"</f>
        <v>#VALUE!</v>
      </c>
      <c r="GX13" t="e">
        <f>'Opportunity Qualification'!D22+"AM:!K`"</f>
        <v>#VALUE!</v>
      </c>
      <c r="GY13" t="e">
        <f>'Opportunity Qualification'!E22+"AM:!Ka"</f>
        <v>#VALUE!</v>
      </c>
      <c r="GZ13" t="e">
        <f>'Opportunity Qualification'!F22+"AM:!Kb"</f>
        <v>#VALUE!</v>
      </c>
      <c r="HA13" t="e">
        <f>'Opportunity Qualification'!G22+"AM:!Kc"</f>
        <v>#VALUE!</v>
      </c>
      <c r="HB13" t="e">
        <f>'Opportunity Qualification'!H22+"AM:!Kd"</f>
        <v>#VALUE!</v>
      </c>
      <c r="HC13" t="e">
        <f>'Opportunity Qualification'!A23+"AM:!Ke"</f>
        <v>#VALUE!</v>
      </c>
      <c r="HD13" t="e">
        <f>'Opportunity Qualification'!B23+"AM:!Kf"</f>
        <v>#VALUE!</v>
      </c>
      <c r="HE13" t="e">
        <f>'Opportunity Qualification'!C23+"AM:!Kg"</f>
        <v>#VALUE!</v>
      </c>
      <c r="HF13" t="e">
        <f>'Opportunity Qualification'!D23+"AM:!Kh"</f>
        <v>#VALUE!</v>
      </c>
      <c r="HG13" t="e">
        <f>'Opportunity Qualification'!E23+"AM:!Ki"</f>
        <v>#VALUE!</v>
      </c>
      <c r="HH13" t="e">
        <f>'Opportunity Qualification'!F23+"AM:!Kj"</f>
        <v>#VALUE!</v>
      </c>
      <c r="HI13" t="e">
        <f>'Opportunity Qualification'!G23+"AM:!Kk"</f>
        <v>#VALUE!</v>
      </c>
      <c r="HJ13" t="e">
        <f>'Opportunity Qualification'!H23+"AM:!Kl"</f>
        <v>#VALUE!</v>
      </c>
      <c r="HK13" t="e">
        <f>'Opportunity Qualification'!A25+"AM:!Km"</f>
        <v>#VALUE!</v>
      </c>
      <c r="HL13" t="e">
        <f>'Opportunity Qualification'!B25+"AM:!Kn"</f>
        <v>#VALUE!</v>
      </c>
      <c r="HM13" t="e">
        <f>'Opportunity Qualification'!C25+"AM:!Ko"</f>
        <v>#VALUE!</v>
      </c>
      <c r="HN13" t="e">
        <f>'Opportunity Qualification'!D25+"AM:!Kp"</f>
        <v>#VALUE!</v>
      </c>
      <c r="HO13" t="e">
        <f>'Opportunity Qualification'!E25+"AM:!Kq"</f>
        <v>#VALUE!</v>
      </c>
      <c r="HP13" t="e">
        <f>'Opportunity Qualification'!F25+"AM:!Kr"</f>
        <v>#VALUE!</v>
      </c>
      <c r="HQ13" t="e">
        <f>'Opportunity Qualification'!G25+"AM:!Ks"</f>
        <v>#VALUE!</v>
      </c>
      <c r="HR13" t="e">
        <f>'Opportunity Qualification'!H25+"AM:!Kt"</f>
        <v>#VALUE!</v>
      </c>
      <c r="HS13" t="e">
        <f>'Opportunity Qualification'!A26+"AM:!Ku"</f>
        <v>#VALUE!</v>
      </c>
      <c r="HT13" t="e">
        <f>'Opportunity Qualification'!B26+"AM:!Kv"</f>
        <v>#VALUE!</v>
      </c>
      <c r="HU13" t="e">
        <f>'Opportunity Qualification'!C26+"AM:!Kw"</f>
        <v>#VALUE!</v>
      </c>
      <c r="HV13" t="e">
        <f>'Opportunity Qualification'!D26+"AM:!Kx"</f>
        <v>#VALUE!</v>
      </c>
      <c r="HW13" t="e">
        <f>'Opportunity Qualification'!E26+"AM:!Ky"</f>
        <v>#VALUE!</v>
      </c>
      <c r="HX13" t="e">
        <f>'Opportunity Qualification'!F26+"AM:!Kz"</f>
        <v>#VALUE!</v>
      </c>
      <c r="HY13" t="e">
        <f>'Opportunity Qualification'!G26+"AM:!K{"</f>
        <v>#VALUE!</v>
      </c>
      <c r="HZ13" t="e">
        <f>'Opportunity Qualification'!H26+"AM:!K|"</f>
        <v>#VALUE!</v>
      </c>
      <c r="IA13" t="e">
        <f>'Opportunity Qualification'!A27+"AM:!K}"</f>
        <v>#VALUE!</v>
      </c>
      <c r="IB13" t="e">
        <f>'Opportunity Qualification'!B27+"AM:!K~"</f>
        <v>#VALUE!</v>
      </c>
      <c r="IC13" t="e">
        <f>'Opportunity Qualification'!C27+"AM:!L#"</f>
        <v>#VALUE!</v>
      </c>
      <c r="ID13" t="e">
        <f>'Opportunity Qualification'!D27+"AM:!L$"</f>
        <v>#VALUE!</v>
      </c>
      <c r="IE13" t="e">
        <f>'Opportunity Qualification'!E27+"AM:!L%"</f>
        <v>#VALUE!</v>
      </c>
      <c r="IF13" t="e">
        <f>'Opportunity Qualification'!F27+"AM:!L&amp;"</f>
        <v>#VALUE!</v>
      </c>
      <c r="IG13" t="e">
        <f>'Opportunity Qualification'!G27+"AM:!L'"</f>
        <v>#VALUE!</v>
      </c>
      <c r="IH13" t="e">
        <f>'Opportunity Qualification'!H27+"AM:!L("</f>
        <v>#VALUE!</v>
      </c>
      <c r="II13" t="e">
        <f>'Opportunity Qualification'!A28+"AM:!L)"</f>
        <v>#VALUE!</v>
      </c>
      <c r="IJ13" t="e">
        <f>'Opportunity Qualification'!B28+"AM:!L."</f>
        <v>#VALUE!</v>
      </c>
      <c r="IK13" t="e">
        <f>'Opportunity Qualification'!C28+"AM:!L/"</f>
        <v>#VALUE!</v>
      </c>
      <c r="IL13" t="e">
        <f>'Opportunity Qualification'!D28+"AM:!L0"</f>
        <v>#VALUE!</v>
      </c>
      <c r="IM13" t="e">
        <f>'Opportunity Qualification'!E28+"AM:!L1"</f>
        <v>#VALUE!</v>
      </c>
      <c r="IN13" t="e">
        <f>'Opportunity Qualification'!F28+"AM:!L2"</f>
        <v>#VALUE!</v>
      </c>
      <c r="IO13" t="e">
        <f>'Opportunity Qualification'!G28+"AM:!L3"</f>
        <v>#VALUE!</v>
      </c>
      <c r="IP13" t="e">
        <f>'Opportunity Qualification'!H28+"AM:!L4"</f>
        <v>#VALUE!</v>
      </c>
      <c r="IQ13" t="e">
        <f>'Opportunity Qualification'!A29+"AM:!L5"</f>
        <v>#VALUE!</v>
      </c>
      <c r="IR13" t="e">
        <f>'Opportunity Qualification'!B29+"AM:!L6"</f>
        <v>#VALUE!</v>
      </c>
      <c r="IS13" t="e">
        <f>'Opportunity Qualification'!C29+"AM:!L7"</f>
        <v>#VALUE!</v>
      </c>
      <c r="IT13" t="e">
        <f>'Opportunity Qualification'!D29+"AM:!L8"</f>
        <v>#VALUE!</v>
      </c>
      <c r="IU13" t="e">
        <f>'Opportunity Qualification'!E29+"AM:!L9"</f>
        <v>#VALUE!</v>
      </c>
      <c r="IV13" t="e">
        <f>'Opportunity Qualification'!F29+"AM:!L:"</f>
        <v>#VALUE!</v>
      </c>
    </row>
    <row r="14" spans="1:256">
      <c r="F14" t="e">
        <f>'Opportunity Qualification'!G29+"AM:!L;"</f>
        <v>#VALUE!</v>
      </c>
      <c r="G14" t="e">
        <f>'Opportunity Qualification'!H29+"AM:!L&lt;"</f>
        <v>#VALUE!</v>
      </c>
      <c r="H14" t="e">
        <f>'Opportunity Qualification'!A30+"AM:!L="</f>
        <v>#VALUE!</v>
      </c>
      <c r="I14" t="e">
        <f>'Opportunity Qualification'!B30+"AM:!L&gt;"</f>
        <v>#VALUE!</v>
      </c>
      <c r="J14" t="e">
        <f>'Opportunity Qualification'!C30+"AM:!L?"</f>
        <v>#VALUE!</v>
      </c>
      <c r="K14" t="e">
        <f>'Opportunity Qualification'!D30+"AM:!L@"</f>
        <v>#VALUE!</v>
      </c>
      <c r="L14" t="e">
        <f>'Opportunity Qualification'!E30+"AM:!LA"</f>
        <v>#VALUE!</v>
      </c>
      <c r="M14" t="e">
        <f>'Opportunity Qualification'!F30+"AM:!LB"</f>
        <v>#VALUE!</v>
      </c>
      <c r="N14" t="e">
        <f>'Opportunity Qualification'!G30+"AM:!LC"</f>
        <v>#VALUE!</v>
      </c>
      <c r="O14" t="e">
        <f>'Opportunity Qualification'!H30+"AM:!LD"</f>
        <v>#VALUE!</v>
      </c>
      <c r="P14" t="e">
        <f>'Opportunity Qualification'!A31+"AM:!LE"</f>
        <v>#VALUE!</v>
      </c>
      <c r="Q14" t="e">
        <f>'Opportunity Qualification'!B31+"AM:!LF"</f>
        <v>#VALUE!</v>
      </c>
      <c r="R14" t="e">
        <f>'Opportunity Qualification'!C31+"AM:!LG"</f>
        <v>#VALUE!</v>
      </c>
      <c r="S14" t="e">
        <f>'Opportunity Qualification'!D31+"AM:!LH"</f>
        <v>#VALUE!</v>
      </c>
      <c r="T14" t="e">
        <f>'Opportunity Qualification'!E31+"AM:!LI"</f>
        <v>#VALUE!</v>
      </c>
      <c r="U14" t="e">
        <f>'Opportunity Qualification'!F31+"AM:!LJ"</f>
        <v>#VALUE!</v>
      </c>
      <c r="V14" t="e">
        <f>'Opportunity Qualification'!G31+"AM:!LK"</f>
        <v>#VALUE!</v>
      </c>
      <c r="W14" t="e">
        <f>'Opportunity Qualification'!H31+"AM:!LL"</f>
        <v>#VALUE!</v>
      </c>
      <c r="X14" t="e">
        <f>'Opportunity Qualification'!A32+"AM:!LM"</f>
        <v>#VALUE!</v>
      </c>
      <c r="Y14" t="e">
        <f>'Opportunity Qualification'!B32+"AM:!LN"</f>
        <v>#VALUE!</v>
      </c>
      <c r="Z14" t="e">
        <f>'Opportunity Qualification'!C32+"AM:!LO"</f>
        <v>#VALUE!</v>
      </c>
      <c r="AA14" t="e">
        <f>'Opportunity Qualification'!D32+"AM:!LP"</f>
        <v>#VALUE!</v>
      </c>
      <c r="AB14" t="e">
        <f>'Opportunity Qualification'!E32+"AM:!LQ"</f>
        <v>#VALUE!</v>
      </c>
      <c r="AC14" t="e">
        <f>'Opportunity Qualification'!F32+"AM:!LR"</f>
        <v>#VALUE!</v>
      </c>
      <c r="AD14" t="e">
        <f>'Opportunity Qualification'!G32+"AM:!LS"</f>
        <v>#VALUE!</v>
      </c>
      <c r="AE14" t="e">
        <f>'Opportunity Qualification'!H32+"AM:!LT"</f>
        <v>#VALUE!</v>
      </c>
      <c r="AF14" t="e">
        <f>'Opportunity Qualification'!A33+"AM:!LU"</f>
        <v>#VALUE!</v>
      </c>
      <c r="AG14" t="e">
        <f>'Opportunity Qualification'!B33+"AM:!LV"</f>
        <v>#VALUE!</v>
      </c>
      <c r="AH14" t="e">
        <f>'Opportunity Qualification'!C33+"AM:!LW"</f>
        <v>#VALUE!</v>
      </c>
      <c r="AI14" t="e">
        <f>'Opportunity Qualification'!D33+"AM:!LX"</f>
        <v>#VALUE!</v>
      </c>
      <c r="AJ14" t="e">
        <f>'Opportunity Qualification'!E33+"AM:!LY"</f>
        <v>#VALUE!</v>
      </c>
      <c r="AK14" t="e">
        <f>'Opportunity Qualification'!F33+"AM:!LZ"</f>
        <v>#VALUE!</v>
      </c>
      <c r="AL14" t="e">
        <f>'Opportunity Qualification'!G33+"AM:!L["</f>
        <v>#VALUE!</v>
      </c>
      <c r="AM14" t="e">
        <f>'Opportunity Qualification'!H33+"AM:!L\"</f>
        <v>#VALUE!</v>
      </c>
      <c r="AN14" t="e">
        <f>'Opportunity Qualification'!A34+"AM:!L]"</f>
        <v>#VALUE!</v>
      </c>
      <c r="AO14" t="e">
        <f>'Opportunity Qualification'!B34+"AM:!L^"</f>
        <v>#VALUE!</v>
      </c>
      <c r="AP14" t="e">
        <f>'Opportunity Qualification'!C34+"AM:!L_"</f>
        <v>#VALUE!</v>
      </c>
      <c r="AQ14" t="e">
        <f>'Opportunity Qualification'!D34+"AM:!L`"</f>
        <v>#VALUE!</v>
      </c>
      <c r="AR14" t="e">
        <f>'Opportunity Qualification'!E34+"AM:!La"</f>
        <v>#VALUE!</v>
      </c>
      <c r="AS14" t="e">
        <f>'Opportunity Qualification'!F34+"AM:!Lb"</f>
        <v>#VALUE!</v>
      </c>
      <c r="AT14" t="e">
        <f>'Opportunity Qualification'!G34+"AM:!Lc"</f>
        <v>#VALUE!</v>
      </c>
      <c r="AU14" t="e">
        <f>'Opportunity Qualification'!H34+"AM:!Ld"</f>
        <v>#VALUE!</v>
      </c>
      <c r="AV14" t="e">
        <f>'Opportunity Qualification'!A35+"AM:!Le"</f>
        <v>#VALUE!</v>
      </c>
      <c r="AW14" t="e">
        <f>'Opportunity Qualification'!B35+"AM:!Lf"</f>
        <v>#VALUE!</v>
      </c>
      <c r="AX14" t="e">
        <f>'Opportunity Qualification'!C35+"AM:!Lg"</f>
        <v>#VALUE!</v>
      </c>
      <c r="AY14" t="e">
        <f>'Opportunity Qualification'!D35+"AM:!Lh"</f>
        <v>#VALUE!</v>
      </c>
      <c r="AZ14" t="e">
        <f>'Opportunity Qualification'!E35+"AM:!Li"</f>
        <v>#VALUE!</v>
      </c>
      <c r="BA14" t="e">
        <f>'Opportunity Qualification'!F35+"AM:!Lj"</f>
        <v>#VALUE!</v>
      </c>
      <c r="BB14" t="e">
        <f>'Opportunity Qualification'!G35+"AM:!Lk"</f>
        <v>#VALUE!</v>
      </c>
      <c r="BC14" t="e">
        <f>'Opportunity Qualification'!H35+"AM:!Ll"</f>
        <v>#VALUE!</v>
      </c>
      <c r="BD14" t="e">
        <f>'Opportunity Qualification'!A36+"AM:!Lm"</f>
        <v>#VALUE!</v>
      </c>
      <c r="BE14" t="e">
        <f>'Opportunity Qualification'!B36+"AM:!Ln"</f>
        <v>#VALUE!</v>
      </c>
      <c r="BF14" t="e">
        <f>'Opportunity Qualification'!C36+"AM:!Lo"</f>
        <v>#VALUE!</v>
      </c>
      <c r="BG14" t="e">
        <f>'Opportunity Qualification'!D36+"AM:!Lp"</f>
        <v>#VALUE!</v>
      </c>
      <c r="BH14" t="e">
        <f>'Opportunity Qualification'!E36+"AM:!Lq"</f>
        <v>#VALUE!</v>
      </c>
      <c r="BI14" t="e">
        <f>'Opportunity Qualification'!F36+"AM:!Lr"</f>
        <v>#VALUE!</v>
      </c>
      <c r="BJ14" t="e">
        <f>'Opportunity Qualification'!G36+"AM:!Ls"</f>
        <v>#VALUE!</v>
      </c>
      <c r="BK14" t="e">
        <f>'Opportunity Qualification'!H36+"AM:!Lt"</f>
        <v>#VALUE!</v>
      </c>
      <c r="BL14" t="e">
        <f>'Opportunity Qualification'!A37+"AM:!Lu"</f>
        <v>#VALUE!</v>
      </c>
      <c r="BM14" t="e">
        <f>'Opportunity Qualification'!B37+"AM:!Lv"</f>
        <v>#VALUE!</v>
      </c>
      <c r="BN14" t="e">
        <f>'Opportunity Qualification'!C37+"AM:!Lw"</f>
        <v>#VALUE!</v>
      </c>
      <c r="BO14" t="e">
        <f>'Opportunity Qualification'!D37+"AM:!Lx"</f>
        <v>#VALUE!</v>
      </c>
      <c r="BP14" t="e">
        <f>'Opportunity Qualification'!E37+"AM:!Ly"</f>
        <v>#VALUE!</v>
      </c>
      <c r="BQ14" t="e">
        <f>'Opportunity Qualification'!F37+"AM:!Lz"</f>
        <v>#VALUE!</v>
      </c>
      <c r="BR14" t="e">
        <f>'Opportunity Qualification'!G37+"AM:!L{"</f>
        <v>#VALUE!</v>
      </c>
      <c r="BS14" t="e">
        <f>'Opportunity Qualification'!H37+"AM:!L|"</f>
        <v>#VALUE!</v>
      </c>
      <c r="BT14" t="e">
        <f>'Opportunity Qualification'!A38+"AM:!L}"</f>
        <v>#VALUE!</v>
      </c>
      <c r="BU14" t="e">
        <f>'Opportunity Qualification'!B38+"AM:!L~"</f>
        <v>#VALUE!</v>
      </c>
      <c r="BV14" t="e">
        <f>'Opportunity Qualification'!C38+"AM:!M#"</f>
        <v>#VALUE!</v>
      </c>
      <c r="BW14" t="e">
        <f>'Opportunity Qualification'!D38+"AM:!M$"</f>
        <v>#VALUE!</v>
      </c>
      <c r="BX14" t="e">
        <f>'Opportunity Qualification'!E38+"AM:!M%"</f>
        <v>#VALUE!</v>
      </c>
      <c r="BY14" t="e">
        <f>'Opportunity Qualification'!F38+"AM:!M&amp;"</f>
        <v>#VALUE!</v>
      </c>
      <c r="BZ14" t="e">
        <f>'Opportunity Qualification'!G38+"AM:!M'"</f>
        <v>#VALUE!</v>
      </c>
      <c r="CA14" t="e">
        <f>'Opportunity Qualification'!H38+"AM:!M("</f>
        <v>#VALUE!</v>
      </c>
      <c r="CB14" t="e">
        <f>'Opportunity Qualification'!A39+"AM:!M)"</f>
        <v>#VALUE!</v>
      </c>
      <c r="CC14" t="e">
        <f>'Opportunity Qualification'!B39+"AM:!M."</f>
        <v>#VALUE!</v>
      </c>
      <c r="CD14" t="e">
        <f>'Opportunity Qualification'!C39+"AM:!M/"</f>
        <v>#VALUE!</v>
      </c>
      <c r="CE14" t="e">
        <f>'Opportunity Qualification'!D39+"AM:!M0"</f>
        <v>#VALUE!</v>
      </c>
      <c r="CF14" t="e">
        <f>'Opportunity Qualification'!E39+"AM:!M1"</f>
        <v>#VALUE!</v>
      </c>
      <c r="CG14" t="e">
        <f>'Opportunity Qualification'!F39+"AM:!M2"</f>
        <v>#VALUE!</v>
      </c>
      <c r="CH14" t="e">
        <f>'Opportunity Qualification'!G39+"AM:!M3"</f>
        <v>#VALUE!</v>
      </c>
      <c r="CI14" t="e">
        <f>'Opportunity Qualification'!H39+"AM:!M4"</f>
        <v>#VALUE!</v>
      </c>
      <c r="CJ14" t="e">
        <f>'Opportunity Qualification'!A40+"AM:!M5"</f>
        <v>#VALUE!</v>
      </c>
      <c r="CK14" t="e">
        <f>'Opportunity Qualification'!B40+"AM:!M6"</f>
        <v>#VALUE!</v>
      </c>
      <c r="CL14" t="e">
        <f>'Opportunity Qualification'!C40+"AM:!M7"</f>
        <v>#VALUE!</v>
      </c>
      <c r="CM14" t="e">
        <f>'Opportunity Qualification'!D40+"AM:!M8"</f>
        <v>#VALUE!</v>
      </c>
      <c r="CN14" t="e">
        <f>'Opportunity Qualification'!E40+"AM:!M9"</f>
        <v>#VALUE!</v>
      </c>
      <c r="CO14" t="e">
        <f>'Opportunity Qualification'!F40+"AM:!M:"</f>
        <v>#VALUE!</v>
      </c>
      <c r="CP14" t="e">
        <f>'Opportunity Qualification'!G40+"AM:!M;"</f>
        <v>#VALUE!</v>
      </c>
      <c r="CQ14" t="e">
        <f>'Opportunity Qualification'!H40+"AM:!M&lt;"</f>
        <v>#VALUE!</v>
      </c>
      <c r="CR14" t="e">
        <f>'Opportunity Qualification'!A41+"AM:!M="</f>
        <v>#VALUE!</v>
      </c>
      <c r="CS14" t="e">
        <f>'Opportunity Qualification'!B41+"AM:!M&gt;"</f>
        <v>#VALUE!</v>
      </c>
      <c r="CT14" t="e">
        <f>'Opportunity Qualification'!C41+"AM:!M?"</f>
        <v>#VALUE!</v>
      </c>
      <c r="CU14" t="e">
        <f>'Opportunity Qualification'!D41+"AM:!M@"</f>
        <v>#VALUE!</v>
      </c>
      <c r="CV14" t="e">
        <f>'Opportunity Qualification'!E41+"AM:!MA"</f>
        <v>#VALUE!</v>
      </c>
      <c r="CW14" t="e">
        <f>'Opportunity Qualification'!F41+"AM:!MB"</f>
        <v>#VALUE!</v>
      </c>
      <c r="CX14" t="e">
        <f>'Opportunity Qualification'!G41+"AM:!MC"</f>
        <v>#VALUE!</v>
      </c>
      <c r="CY14" t="e">
        <f>'Opportunity Qualification'!H41+"AM:!MD"</f>
        <v>#VALUE!</v>
      </c>
      <c r="CZ14" t="e">
        <f>'Opportunity Qualification'!A42+"AM:!ME"</f>
        <v>#VALUE!</v>
      </c>
      <c r="DA14" t="e">
        <f>'Opportunity Qualification'!B42+"AM:!MF"</f>
        <v>#VALUE!</v>
      </c>
      <c r="DB14" t="e">
        <f>'Opportunity Qualification'!C42+"AM:!MG"</f>
        <v>#VALUE!</v>
      </c>
      <c r="DC14" t="e">
        <f>'Opportunity Qualification'!D42+"AM:!MH"</f>
        <v>#VALUE!</v>
      </c>
      <c r="DD14" t="e">
        <f>'Opportunity Qualification'!E42+"AM:!MI"</f>
        <v>#VALUE!</v>
      </c>
      <c r="DE14" t="e">
        <f>'Opportunity Qualification'!F42+"AM:!MJ"</f>
        <v>#VALUE!</v>
      </c>
      <c r="DF14" t="e">
        <f>'Opportunity Qualification'!G42+"AM:!MK"</f>
        <v>#VALUE!</v>
      </c>
      <c r="DG14" t="e">
        <f>'Opportunity Qualification'!H42+"AM:!ML"</f>
        <v>#VALUE!</v>
      </c>
      <c r="DH14" t="e">
        <f>'Opportunity Qualification'!A43+"AM:!MM"</f>
        <v>#VALUE!</v>
      </c>
      <c r="DI14" t="e">
        <f>'Opportunity Qualification'!B43+"AM:!MN"</f>
        <v>#VALUE!</v>
      </c>
      <c r="DJ14" t="e">
        <f>'Opportunity Qualification'!C43+"AM:!MO"</f>
        <v>#VALUE!</v>
      </c>
      <c r="DK14" t="e">
        <f>'Opportunity Qualification'!D43+"AM:!MP"</f>
        <v>#VALUE!</v>
      </c>
      <c r="DL14" t="e">
        <f>'Opportunity Qualification'!E43+"AM:!MQ"</f>
        <v>#VALUE!</v>
      </c>
      <c r="DM14" t="e">
        <f>'Opportunity Qualification'!F43+"AM:!MR"</f>
        <v>#VALUE!</v>
      </c>
      <c r="DN14" t="e">
        <f>'Opportunity Qualification'!G43+"AM:!MS"</f>
        <v>#VALUE!</v>
      </c>
      <c r="DO14" t="e">
        <f>'Opportunity Qualification'!H43+"AM:!MT"</f>
        <v>#VALUE!</v>
      </c>
      <c r="DP14" t="e">
        <f>'Opportunity Qualification'!A44+"AM:!MU"</f>
        <v>#VALUE!</v>
      </c>
      <c r="DQ14" t="e">
        <f>'Opportunity Qualification'!B44+"AM:!MV"</f>
        <v>#VALUE!</v>
      </c>
      <c r="DR14" t="e">
        <f>'Opportunity Qualification'!C44+"AM:!MW"</f>
        <v>#VALUE!</v>
      </c>
      <c r="DS14" t="e">
        <f>'Opportunity Qualification'!D44+"AM:!MX"</f>
        <v>#VALUE!</v>
      </c>
      <c r="DT14" t="e">
        <f>'Opportunity Qualification'!E44+"AM:!MY"</f>
        <v>#VALUE!</v>
      </c>
      <c r="DU14" t="e">
        <f>'Opportunity Qualification'!F44+"AM:!MZ"</f>
        <v>#VALUE!</v>
      </c>
      <c r="DV14" t="e">
        <f>'Opportunity Qualification'!G44+"AM:!M["</f>
        <v>#VALUE!</v>
      </c>
      <c r="DW14" t="e">
        <f>'Opportunity Qualification'!H44+"AM:!M\"</f>
        <v>#VALUE!</v>
      </c>
      <c r="DX14" t="e">
        <f>'Opportunity Qualification'!A45+"AM:!M]"</f>
        <v>#VALUE!</v>
      </c>
      <c r="DY14" t="e">
        <f>'Opportunity Qualification'!B45+"AM:!M^"</f>
        <v>#VALUE!</v>
      </c>
      <c r="DZ14" t="e">
        <f>'Opportunity Qualification'!C45+"AM:!M_"</f>
        <v>#VALUE!</v>
      </c>
      <c r="EA14" t="e">
        <f>'Opportunity Qualification'!D45+"AM:!M`"</f>
        <v>#VALUE!</v>
      </c>
      <c r="EB14" t="e">
        <f>'Opportunity Qualification'!E45+"AM:!Ma"</f>
        <v>#VALUE!</v>
      </c>
      <c r="EC14" t="e">
        <f>'Opportunity Qualification'!F45+"AM:!Mb"</f>
        <v>#VALUE!</v>
      </c>
      <c r="ED14" t="e">
        <f>'Opportunity Qualification'!G45+"AM:!Mc"</f>
        <v>#VALUE!</v>
      </c>
      <c r="EE14" t="e">
        <f>'Opportunity Qualification'!H45+"AM:!Md"</f>
        <v>#VALUE!</v>
      </c>
      <c r="EF14" t="e">
        <f>'Opportunity Qualification'!A46+"AM:!Me"</f>
        <v>#VALUE!</v>
      </c>
      <c r="EG14" t="e">
        <f>'Opportunity Qualification'!B46+"AM:!Mf"</f>
        <v>#VALUE!</v>
      </c>
      <c r="EH14" t="e">
        <f>'Opportunity Qualification'!C46+"AM:!Mg"</f>
        <v>#VALUE!</v>
      </c>
      <c r="EI14" t="e">
        <f>'Opportunity Qualification'!D46+"AM:!Mh"</f>
        <v>#VALUE!</v>
      </c>
      <c r="EJ14" t="e">
        <f>'Opportunity Qualification'!E46+"AM:!Mi"</f>
        <v>#VALUE!</v>
      </c>
      <c r="EK14" t="e">
        <f>'Opportunity Qualification'!F46+"AM:!Mj"</f>
        <v>#VALUE!</v>
      </c>
      <c r="EL14" t="e">
        <f>'Opportunity Qualification'!G46+"AM:!Mk"</f>
        <v>#VALUE!</v>
      </c>
      <c r="EM14" t="e">
        <f>'Opportunity Qualification'!H46+"AM:!Ml"</f>
        <v>#VALUE!</v>
      </c>
      <c r="EN14" t="e">
        <f>'Opportunity Qualification'!A47+"AM:!Mm"</f>
        <v>#VALUE!</v>
      </c>
      <c r="EO14" t="e">
        <f>'Opportunity Qualification'!B47+"AM:!Mn"</f>
        <v>#VALUE!</v>
      </c>
      <c r="EP14" t="e">
        <f>'Opportunity Qualification'!C47+"AM:!Mo"</f>
        <v>#VALUE!</v>
      </c>
      <c r="EQ14" t="e">
        <f>'Opportunity Qualification'!D47+"AM:!Mp"</f>
        <v>#VALUE!</v>
      </c>
      <c r="ER14" t="e">
        <f>'Opportunity Qualification'!E47+"AM:!Mq"</f>
        <v>#VALUE!</v>
      </c>
      <c r="ES14" t="e">
        <f>'Opportunity Qualification'!F47+"AM:!Mr"</f>
        <v>#VALUE!</v>
      </c>
      <c r="ET14" t="e">
        <f>'Opportunity Qualification'!G47+"AM:!Ms"</f>
        <v>#VALUE!</v>
      </c>
      <c r="EU14" t="e">
        <f>'Opportunity Qualification'!H47+"AM:!Mt"</f>
        <v>#VALUE!</v>
      </c>
      <c r="EV14" t="e">
        <f>'Opportunity Qualification'!A48+"AM:!Mu"</f>
        <v>#VALUE!</v>
      </c>
      <c r="EW14" t="e">
        <f>'Opportunity Qualification'!B48+"AM:!Mv"</f>
        <v>#VALUE!</v>
      </c>
      <c r="EX14" t="e">
        <f>'Opportunity Qualification'!C48+"AM:!Mw"</f>
        <v>#VALUE!</v>
      </c>
      <c r="EY14" t="e">
        <f>'Opportunity Qualification'!D48+"AM:!Mx"</f>
        <v>#VALUE!</v>
      </c>
      <c r="EZ14" t="e">
        <f>'Opportunity Qualification'!E48+"AM:!My"</f>
        <v>#VALUE!</v>
      </c>
      <c r="FA14" t="e">
        <f>'Opportunity Qualification'!F48+"AM:!Mz"</f>
        <v>#VALUE!</v>
      </c>
      <c r="FB14" t="e">
        <f>'Opportunity Qualification'!G48+"AM:!M{"</f>
        <v>#VALUE!</v>
      </c>
      <c r="FC14" t="e">
        <f>'Opportunity Qualification'!H48+"AM:!M|"</f>
        <v>#VALUE!</v>
      </c>
      <c r="FD14" t="e">
        <f>'Opportunity Qualification'!A50+"AM:!M}"</f>
        <v>#VALUE!</v>
      </c>
      <c r="FE14" t="e">
        <f>'Opportunity Qualification'!B50+"AM:!M~"</f>
        <v>#VALUE!</v>
      </c>
      <c r="FF14" t="e">
        <f>'Opportunity Qualification'!C50+"AM:!N#"</f>
        <v>#VALUE!</v>
      </c>
      <c r="FG14" t="e">
        <f>'Opportunity Qualification'!D50+"AM:!N$"</f>
        <v>#VALUE!</v>
      </c>
      <c r="FH14" t="e">
        <f>'Opportunity Qualification'!E50+"AM:!N%"</f>
        <v>#VALUE!</v>
      </c>
      <c r="FI14" t="e">
        <f>'Opportunity Qualification'!F50+"AM:!N&amp;"</f>
        <v>#VALUE!</v>
      </c>
      <c r="FJ14" t="e">
        <f>'Opportunity Qualification'!G50+"AM:!N'"</f>
        <v>#VALUE!</v>
      </c>
      <c r="FK14" t="e">
        <f>'Opportunity Qualification'!H50+"AM:!N("</f>
        <v>#VALUE!</v>
      </c>
      <c r="FL14" t="e">
        <f>'Opportunity Qualification'!A51+"AM:!N)"</f>
        <v>#VALUE!</v>
      </c>
      <c r="FM14" t="e">
        <f>'Opportunity Qualification'!B51+"AM:!N."</f>
        <v>#VALUE!</v>
      </c>
      <c r="FN14" t="e">
        <f>'Opportunity Qualification'!C51+"AM:!N/"</f>
        <v>#VALUE!</v>
      </c>
      <c r="FO14" t="e">
        <f>'Opportunity Qualification'!D51+"AM:!N0"</f>
        <v>#VALUE!</v>
      </c>
      <c r="FP14" t="e">
        <f>'Opportunity Qualification'!E51+"AM:!N1"</f>
        <v>#VALUE!</v>
      </c>
      <c r="FQ14" t="e">
        <f>'Opportunity Qualification'!F51+"AM:!N2"</f>
        <v>#VALUE!</v>
      </c>
      <c r="FR14" t="e">
        <f>'Opportunity Qualification'!G51+"AM:!N3"</f>
        <v>#VALUE!</v>
      </c>
      <c r="FS14" t="e">
        <f>'Opportunity Qualification'!H51+"AM:!N4"</f>
        <v>#VALUE!</v>
      </c>
      <c r="FT14" t="e">
        <f>'Opportunity Qualification'!A52+"AM:!N5"</f>
        <v>#VALUE!</v>
      </c>
      <c r="FU14" t="e">
        <f>'Opportunity Qualification'!B52+"AM:!N6"</f>
        <v>#VALUE!</v>
      </c>
      <c r="FV14" t="e">
        <f>'Opportunity Qualification'!C52+"AM:!N7"</f>
        <v>#VALUE!</v>
      </c>
      <c r="FW14" t="e">
        <f>'Opportunity Qualification'!D52+"AM:!N8"</f>
        <v>#VALUE!</v>
      </c>
      <c r="FX14" t="e">
        <f>'Opportunity Qualification'!E52+"AM:!N9"</f>
        <v>#VALUE!</v>
      </c>
      <c r="FY14" t="e">
        <f>'Opportunity Qualification'!F52+"AM:!N:"</f>
        <v>#VALUE!</v>
      </c>
      <c r="FZ14" t="e">
        <f>'Opportunity Qualification'!G52+"AM:!N;"</f>
        <v>#VALUE!</v>
      </c>
      <c r="GA14" t="e">
        <f>'Opportunity Qualification'!H52+"AM:!N&lt;"</f>
        <v>#VALUE!</v>
      </c>
      <c r="GB14" t="e">
        <f>'Opportunity Qualification'!A53+"AM:!N="</f>
        <v>#VALUE!</v>
      </c>
      <c r="GC14" t="e">
        <f>'Opportunity Qualification'!B53+"AM:!N&gt;"</f>
        <v>#VALUE!</v>
      </c>
      <c r="GD14" t="e">
        <f>'Opportunity Qualification'!C53+"AM:!N?"</f>
        <v>#VALUE!</v>
      </c>
      <c r="GE14" t="e">
        <f>'Opportunity Qualification'!D53+"AM:!N@"</f>
        <v>#VALUE!</v>
      </c>
      <c r="GF14" t="e">
        <f>'Opportunity Qualification'!E53+"AM:!NA"</f>
        <v>#VALUE!</v>
      </c>
      <c r="GG14" t="e">
        <f>'Opportunity Qualification'!F53+"AM:!NB"</f>
        <v>#VALUE!</v>
      </c>
      <c r="GH14" t="e">
        <f>'Opportunity Qualification'!G53+"AM:!NC"</f>
        <v>#VALUE!</v>
      </c>
      <c r="GI14" t="e">
        <f>'Opportunity Qualification'!H53+"AM:!ND"</f>
        <v>#VALUE!</v>
      </c>
      <c r="GJ14" t="e">
        <f>'Opportunity Qualification'!A54+"AM:!NE"</f>
        <v>#VALUE!</v>
      </c>
      <c r="GK14" t="e">
        <f>'Opportunity Qualification'!B54+"AM:!NF"</f>
        <v>#VALUE!</v>
      </c>
      <c r="GL14" t="e">
        <f>'Opportunity Qualification'!C54+"AM:!NG"</f>
        <v>#VALUE!</v>
      </c>
      <c r="GM14" t="e">
        <f>'Opportunity Qualification'!D54+"AM:!NH"</f>
        <v>#VALUE!</v>
      </c>
      <c r="GN14" t="e">
        <f>'Opportunity Qualification'!E54+"AM:!NI"</f>
        <v>#VALUE!</v>
      </c>
      <c r="GO14" t="e">
        <f>'Opportunity Qualification'!F54+"AM:!NJ"</f>
        <v>#VALUE!</v>
      </c>
      <c r="GP14" t="e">
        <f>'Opportunity Qualification'!G54+"AM:!NK"</f>
        <v>#VALUE!</v>
      </c>
      <c r="GQ14" t="e">
        <f>'Opportunity Qualification'!H54+"AM:!NL"</f>
        <v>#VALUE!</v>
      </c>
      <c r="GR14" t="e">
        <f>'Opportunity Qualification'!A55+"AM:!NM"</f>
        <v>#VALUE!</v>
      </c>
      <c r="GS14" t="e">
        <f>'Opportunity Qualification'!B55+"AM:!NN"</f>
        <v>#VALUE!</v>
      </c>
      <c r="GT14" t="e">
        <f>'Opportunity Qualification'!C55+"AM:!NO"</f>
        <v>#VALUE!</v>
      </c>
      <c r="GU14" t="e">
        <f>'Opportunity Qualification'!D55+"AM:!NP"</f>
        <v>#VALUE!</v>
      </c>
      <c r="GV14" t="e">
        <f>'Opportunity Qualification'!E55+"AM:!NQ"</f>
        <v>#VALUE!</v>
      </c>
      <c r="GW14" t="e">
        <f>'Opportunity Qualification'!F55+"AM:!NR"</f>
        <v>#VALUE!</v>
      </c>
      <c r="GX14" t="e">
        <f>'Opportunity Qualification'!G55+"AM:!NS"</f>
        <v>#VALUE!</v>
      </c>
      <c r="GY14" t="e">
        <f>'Opportunity Qualification'!H55+"AM:!NT"</f>
        <v>#VALUE!</v>
      </c>
      <c r="GZ14" t="e">
        <f>'Opportunity Qualification'!A56+"AM:!NU"</f>
        <v>#VALUE!</v>
      </c>
      <c r="HA14" t="e">
        <f>'Opportunity Qualification'!B56+"AM:!NV"</f>
        <v>#VALUE!</v>
      </c>
      <c r="HB14" t="e">
        <f>'Opportunity Qualification'!C56+"AM:!NW"</f>
        <v>#VALUE!</v>
      </c>
      <c r="HC14" t="e">
        <f>'Opportunity Qualification'!D56+"AM:!NX"</f>
        <v>#VALUE!</v>
      </c>
      <c r="HD14" t="e">
        <f>'Opportunity Qualification'!E56+"AM:!NY"</f>
        <v>#VALUE!</v>
      </c>
      <c r="HE14" t="e">
        <f>'Opportunity Qualification'!F56+"AM:!NZ"</f>
        <v>#VALUE!</v>
      </c>
      <c r="HF14" t="e">
        <f>'Opportunity Qualification'!G56+"AM:!N["</f>
        <v>#VALUE!</v>
      </c>
      <c r="HG14" t="e">
        <f>'Opportunity Qualification'!H56+"AM:!N\"</f>
        <v>#VALUE!</v>
      </c>
      <c r="HH14" t="e">
        <f>'Opportunity Qualification'!A57+"AM:!N]"</f>
        <v>#VALUE!</v>
      </c>
      <c r="HI14" t="e">
        <f>'Opportunity Qualification'!B57+"AM:!N^"</f>
        <v>#VALUE!</v>
      </c>
      <c r="HJ14" t="e">
        <f>'Opportunity Qualification'!C57+"AM:!N_"</f>
        <v>#VALUE!</v>
      </c>
      <c r="HK14" t="e">
        <f>'Opportunity Qualification'!D57+"AM:!N`"</f>
        <v>#VALUE!</v>
      </c>
      <c r="HL14" t="e">
        <f>'Opportunity Qualification'!E57+"AM:!Na"</f>
        <v>#VALUE!</v>
      </c>
      <c r="HM14" t="e">
        <f>'Opportunity Qualification'!F57+"AM:!Nb"</f>
        <v>#VALUE!</v>
      </c>
      <c r="HN14" t="e">
        <f>'Opportunity Qualification'!G57+"AM:!Nc"</f>
        <v>#VALUE!</v>
      </c>
      <c r="HO14" t="e">
        <f>'Opportunity Qualification'!H57+"AM:!Nd"</f>
        <v>#VALUE!</v>
      </c>
      <c r="HP14" t="e">
        <f>'Opportunity Qualification'!A58+"AM:!Ne"</f>
        <v>#VALUE!</v>
      </c>
      <c r="HQ14" t="e">
        <f>'Opportunity Qualification'!B58+"AM:!Nf"</f>
        <v>#VALUE!</v>
      </c>
      <c r="HR14" t="e">
        <f>'Opportunity Qualification'!C58+"AM:!Ng"</f>
        <v>#VALUE!</v>
      </c>
      <c r="HS14" t="e">
        <f>'Opportunity Qualification'!D58+"AM:!Nh"</f>
        <v>#VALUE!</v>
      </c>
      <c r="HT14" t="e">
        <f>'Opportunity Qualification'!E58+"AM:!Ni"</f>
        <v>#VALUE!</v>
      </c>
      <c r="HU14" t="e">
        <f>'Opportunity Qualification'!F58+"AM:!Nj"</f>
        <v>#VALUE!</v>
      </c>
      <c r="HV14" t="e">
        <f>'Opportunity Qualification'!G58+"AM:!Nk"</f>
        <v>#VALUE!</v>
      </c>
      <c r="HW14" t="e">
        <f>'Opportunity Qualification'!H58+"AM:!Nl"</f>
        <v>#VALUE!</v>
      </c>
      <c r="HX14" t="e">
        <f>'Opportunity Qualification'!A59+"AM:!Nm"</f>
        <v>#VALUE!</v>
      </c>
      <c r="HY14" t="e">
        <f>'Opportunity Qualification'!B59+"AM:!Nn"</f>
        <v>#VALUE!</v>
      </c>
      <c r="HZ14" t="e">
        <f>'Opportunity Qualification'!C59+"AM:!No"</f>
        <v>#VALUE!</v>
      </c>
      <c r="IA14" t="e">
        <f>'Opportunity Qualification'!D59+"AM:!Np"</f>
        <v>#VALUE!</v>
      </c>
      <c r="IB14" t="e">
        <f>'Opportunity Qualification'!E59+"AM:!Nq"</f>
        <v>#VALUE!</v>
      </c>
      <c r="IC14" t="e">
        <f>'Opportunity Qualification'!F59+"AM:!Nr"</f>
        <v>#VALUE!</v>
      </c>
      <c r="ID14" t="e">
        <f>'Opportunity Qualification'!G59+"AM:!Ns"</f>
        <v>#VALUE!</v>
      </c>
      <c r="IE14" t="e">
        <f>'Opportunity Qualification'!H59+"AM:!Nt"</f>
        <v>#VALUE!</v>
      </c>
      <c r="IF14" t="e">
        <f>'Opportunity Qualification'!A61+"AM:!Nu"</f>
        <v>#VALUE!</v>
      </c>
      <c r="IG14" t="e">
        <f>'Opportunity Qualification'!B61+"AM:!Nv"</f>
        <v>#VALUE!</v>
      </c>
      <c r="IH14" t="e">
        <f>'Opportunity Qualification'!C61+"AM:!Nw"</f>
        <v>#VALUE!</v>
      </c>
      <c r="II14" t="e">
        <f>'Opportunity Qualification'!D61+"AM:!Nx"</f>
        <v>#VALUE!</v>
      </c>
      <c r="IJ14" t="e">
        <f>'Opportunity Qualification'!E61+"AM:!Ny"</f>
        <v>#VALUE!</v>
      </c>
      <c r="IK14" t="e">
        <f>'Opportunity Qualification'!F61+"AM:!Nz"</f>
        <v>#VALUE!</v>
      </c>
      <c r="IL14" t="e">
        <f>'Opportunity Qualification'!G61+"AM:!N{"</f>
        <v>#VALUE!</v>
      </c>
      <c r="IM14" t="e">
        <f>'Opportunity Qualification'!H61+"AM:!N|"</f>
        <v>#VALUE!</v>
      </c>
      <c r="IN14" t="e">
        <f>'Opportunity Qualification'!A62+"AM:!N}"</f>
        <v>#VALUE!</v>
      </c>
      <c r="IO14" t="e">
        <f>'Opportunity Qualification'!B62+"AM:!N~"</f>
        <v>#VALUE!</v>
      </c>
      <c r="IP14" t="e">
        <f>'Opportunity Qualification'!C62+"AM:!O#"</f>
        <v>#VALUE!</v>
      </c>
      <c r="IQ14" t="e">
        <f>'Opportunity Qualification'!D62+"AM:!O$"</f>
        <v>#VALUE!</v>
      </c>
      <c r="IR14" t="e">
        <f>'Opportunity Qualification'!E62+"AM:!O%"</f>
        <v>#VALUE!</v>
      </c>
      <c r="IS14" t="e">
        <f>'Opportunity Qualification'!F62+"AM:!O&amp;"</f>
        <v>#VALUE!</v>
      </c>
      <c r="IT14" t="e">
        <f>'Opportunity Qualification'!G62+"AM:!O'"</f>
        <v>#VALUE!</v>
      </c>
      <c r="IU14" t="e">
        <f>'Opportunity Qualification'!H62+"AM:!O("</f>
        <v>#VALUE!</v>
      </c>
      <c r="IV14" t="e">
        <f>'Opportunity Qualification'!A64+"AM:!O)"</f>
        <v>#VALUE!</v>
      </c>
    </row>
    <row r="15" spans="1:256">
      <c r="F15" t="e">
        <f>'Opportunity Qualification'!B64+"AM:!O."</f>
        <v>#VALUE!</v>
      </c>
      <c r="G15" t="e">
        <f>'Opportunity Qualification'!C64+"AM:!O/"</f>
        <v>#VALUE!</v>
      </c>
      <c r="H15" t="e">
        <f>'Opportunity Qualification'!D64+"AM:!O0"</f>
        <v>#VALUE!</v>
      </c>
      <c r="I15" t="e">
        <f>'Opportunity Qualification'!E64+"AM:!O1"</f>
        <v>#VALUE!</v>
      </c>
      <c r="J15" t="e">
        <f>'Opportunity Qualification'!F64+"AM:!O2"</f>
        <v>#VALUE!</v>
      </c>
      <c r="K15" t="e">
        <f>'Opportunity Qualification'!G64+"AM:!O3"</f>
        <v>#VALUE!</v>
      </c>
      <c r="L15" t="e">
        <f>'Opportunity Qualification'!H64+"AM:!O4"</f>
        <v>#VALUE!</v>
      </c>
      <c r="M15" t="e">
        <f>'Opportunity Qualification'!A65+"AM:!O5"</f>
        <v>#VALUE!</v>
      </c>
      <c r="N15" t="e">
        <f>'Opportunity Qualification'!B65+"AM:!O6"</f>
        <v>#VALUE!</v>
      </c>
      <c r="O15" t="e">
        <f>'Opportunity Qualification'!C65+"AM:!O7"</f>
        <v>#VALUE!</v>
      </c>
      <c r="P15" t="e">
        <f>'Opportunity Qualification'!D65+"AM:!O8"</f>
        <v>#VALUE!</v>
      </c>
      <c r="Q15" t="e">
        <f>'Opportunity Qualification'!E65+"AM:!O9"</f>
        <v>#VALUE!</v>
      </c>
      <c r="R15" t="e">
        <f>'Opportunity Qualification'!F65+"AM:!O:"</f>
        <v>#VALUE!</v>
      </c>
      <c r="S15" t="e">
        <f>'Opportunity Qualification'!G65+"AM:!O;"</f>
        <v>#VALUE!</v>
      </c>
      <c r="T15" t="e">
        <f>'Opportunity Qualification'!H65+"AM:!O&lt;"</f>
        <v>#VALUE!</v>
      </c>
      <c r="U15" t="e">
        <f>'Opportunity Qualification'!A66+"AM:!O="</f>
        <v>#VALUE!</v>
      </c>
      <c r="V15" t="e">
        <f>'Opportunity Qualification'!B66+"AM:!O&gt;"</f>
        <v>#VALUE!</v>
      </c>
      <c r="W15" t="e">
        <f>'Opportunity Qualification'!C66+"AM:!O?"</f>
        <v>#VALUE!</v>
      </c>
      <c r="X15" t="e">
        <f>'Opportunity Qualification'!D66+"AM:!O@"</f>
        <v>#VALUE!</v>
      </c>
      <c r="Y15" t="e">
        <f>'Opportunity Qualification'!E66+"AM:!OA"</f>
        <v>#VALUE!</v>
      </c>
      <c r="Z15" t="e">
        <f>'Opportunity Qualification'!F66+"AM:!OB"</f>
        <v>#VALUE!</v>
      </c>
      <c r="AA15" t="e">
        <f>'Opportunity Qualification'!G66+"AM:!OC"</f>
        <v>#VALUE!</v>
      </c>
      <c r="AB15" t="e">
        <f>'Opportunity Qualification'!H66+"AM:!OD"</f>
        <v>#VALUE!</v>
      </c>
      <c r="AC15" t="e">
        <f>'Opportunity Qualification'!A67+"AM:!OE"</f>
        <v>#VALUE!</v>
      </c>
      <c r="AD15" t="e">
        <f>'Opportunity Qualification'!B67+"AM:!OF"</f>
        <v>#VALUE!</v>
      </c>
      <c r="AE15" t="e">
        <f>'Opportunity Qualification'!C67+"AM:!OG"</f>
        <v>#VALUE!</v>
      </c>
      <c r="AF15" t="e">
        <f>'Opportunity Qualification'!D67+"AM:!OH"</f>
        <v>#VALUE!</v>
      </c>
      <c r="AG15" t="e">
        <f>'Opportunity Qualification'!E67+"AM:!OI"</f>
        <v>#VALUE!</v>
      </c>
      <c r="AH15" t="e">
        <f>'Opportunity Qualification'!F67+"AM:!OJ"</f>
        <v>#VALUE!</v>
      </c>
      <c r="AI15" t="e">
        <f>'Opportunity Qualification'!G67+"AM:!OK"</f>
        <v>#VALUE!</v>
      </c>
      <c r="AJ15" t="e">
        <f>'Opportunity Qualification'!H67+"AM:!OL"</f>
        <v>#VALUE!</v>
      </c>
      <c r="AK15" t="e">
        <f>'Opportunity Qualification'!A68+"AM:!OM"</f>
        <v>#VALUE!</v>
      </c>
      <c r="AL15" t="e">
        <f>'Opportunity Qualification'!B68+"AM:!ON"</f>
        <v>#VALUE!</v>
      </c>
      <c r="AM15" t="e">
        <f>'Opportunity Qualification'!C68+"AM:!OO"</f>
        <v>#VALUE!</v>
      </c>
      <c r="AN15" t="e">
        <f>'Opportunity Qualification'!D68+"AM:!OP"</f>
        <v>#VALUE!</v>
      </c>
      <c r="AO15" t="e">
        <f>'Opportunity Qualification'!E68+"AM:!OQ"</f>
        <v>#VALUE!</v>
      </c>
      <c r="AP15" t="e">
        <f>'Opportunity Qualification'!F68+"AM:!OR"</f>
        <v>#VALUE!</v>
      </c>
      <c r="AQ15" t="e">
        <f>'Opportunity Qualification'!G68+"AM:!OS"</f>
        <v>#VALUE!</v>
      </c>
      <c r="AR15" t="e">
        <f>'Opportunity Qualification'!H68+"AM:!OT"</f>
        <v>#VALUE!</v>
      </c>
      <c r="AS15" t="e">
        <f>'Effort Estimation'!A:A*"AM:!OW"</f>
        <v>#VALUE!</v>
      </c>
      <c r="AT15" t="e">
        <f>'Effort Estimation'!B:B*"AM:!OX"</f>
        <v>#VALUE!</v>
      </c>
      <c r="AU15" t="e">
        <f>'Effort Estimation'!C:C*"AM:!OY"</f>
        <v>#VALUE!</v>
      </c>
      <c r="AV15" t="e">
        <f>'Effort Estimation'!D:D*"AM:!OZ"</f>
        <v>#VALUE!</v>
      </c>
      <c r="AW15" t="e">
        <f>'Effort Estimation'!E:E*"AM:!O["</f>
        <v>#VALUE!</v>
      </c>
      <c r="AX15" t="e">
        <f>'Effort Estimation'!F:F*"AM:!O\"</f>
        <v>#VALUE!</v>
      </c>
      <c r="AY15" t="e">
        <f>'Effort Estimation'!G:G*"AM:!O]"</f>
        <v>#VALUE!</v>
      </c>
      <c r="AZ15" t="e">
        <f>'Effort Estimation'!H:H*"AM:!O^"</f>
        <v>#VALUE!</v>
      </c>
      <c r="BA15" t="e">
        <f>'Effort Estimation'!I:I*"AM:!O_"</f>
        <v>#VALUE!</v>
      </c>
      <c r="BB15" t="e">
        <f>'Effort Estimation'!J:J*"AM:!O`"</f>
        <v>#VALUE!</v>
      </c>
      <c r="BC15" t="e">
        <f>'Effort Estimation'!K:K*"AM:!Oa"</f>
        <v>#VALUE!</v>
      </c>
      <c r="BD15" t="e">
        <f>'Effort Estimation'!L:L*"AM:!Ob"</f>
        <v>#VALUE!</v>
      </c>
      <c r="BE15" t="e">
        <f>'Effort Estimation'!M:M*"AM:!Oc"</f>
        <v>#VALUE!</v>
      </c>
      <c r="BF15" t="e">
        <f>'Effort Estimation'!N:N*"AM:!Od"</f>
        <v>#VALUE!</v>
      </c>
      <c r="BG15" t="e">
        <f>'Effort Estimation'!O:O*"AM:!Oe"</f>
        <v>#VALUE!</v>
      </c>
      <c r="BH15" t="e">
        <f ca="1">'Effort Estimation'!P:P*"AM:!Of"</f>
        <v>#VALUE!</v>
      </c>
      <c r="BI15" t="e">
        <f ca="1">'Effort Estimation'!Q:Q*"AM:!Og"</f>
        <v>#VALUE!</v>
      </c>
      <c r="BJ15" t="e">
        <f>'Effort Estimation'!R:R*"AM:!Oh"</f>
        <v>#VALUE!</v>
      </c>
      <c r="BK15" t="e">
        <f>'Effort Estimation'!S:S*"AM:!Oi"</f>
        <v>#VALUE!</v>
      </c>
      <c r="BL15" t="e">
        <f>'Effort Estimation'!T:T*"AM:!Oj"</f>
        <v>#VALUE!</v>
      </c>
      <c r="BM15" t="e">
        <f>'Effort Estimation'!U:U*"AM:!Ok"</f>
        <v>#VALUE!</v>
      </c>
      <c r="BN15" t="e">
        <f>'Effort Estimation'!V:V*"AM:!Ol"</f>
        <v>#VALUE!</v>
      </c>
      <c r="BO15" t="e">
        <f>'Effort Estimation'!W:W*"AM:!Om"</f>
        <v>#VALUE!</v>
      </c>
      <c r="BP15" t="e">
        <f>'Effort Estimation'!X:X*"AM:!On"</f>
        <v>#VALUE!</v>
      </c>
      <c r="BQ15" t="e">
        <f>'Effort Estimation'!Y:Y*"AM:!Oo"</f>
        <v>#VALUE!</v>
      </c>
      <c r="BR15" t="e">
        <f>'Effort Estimation'!Z:Z*"AM:!Op"</f>
        <v>#VALUE!</v>
      </c>
      <c r="BS15" t="e">
        <f>'Effort Estimation'!AA:AA*"AM:!Oq"</f>
        <v>#VALUE!</v>
      </c>
      <c r="BT15" t="e">
        <f>'Effort Estimation'!AB:AB*"AM:!Or"</f>
        <v>#VALUE!</v>
      </c>
      <c r="BU15" t="e">
        <f>'Effort Estimation'!AC:AC*"AM:!Os"</f>
        <v>#VALUE!</v>
      </c>
      <c r="BV15" t="e">
        <f>'Effort Estimation'!AD:AD*"AM:!Ot"</f>
        <v>#VALUE!</v>
      </c>
      <c r="BW15" t="e">
        <f>'Effort Estimation'!AE:AE*"AM:!Ou"</f>
        <v>#VALUE!</v>
      </c>
      <c r="BX15" t="e">
        <f>'Effort Estimation'!AF:AF*"AM:!Ov"</f>
        <v>#VALUE!</v>
      </c>
      <c r="BY15" t="e">
        <f>'Effort Estimation'!AG:AG*"AM:!Ow"</f>
        <v>#VALUE!</v>
      </c>
      <c r="BZ15" t="e">
        <f>'Effort Estimation'!AH:AH*"AM:!Ox"</f>
        <v>#VALUE!</v>
      </c>
      <c r="CA15" t="e">
        <f>'Effort Estimation'!AI:AI*"AM:!Oy"</f>
        <v>#VALUE!</v>
      </c>
      <c r="CB15" t="e">
        <f>'Effort Estimation'!AJ:AJ*"AM:!Oz"</f>
        <v>#VALUE!</v>
      </c>
      <c r="CC15" t="e">
        <f>'Effort Estimation'!AK:AK*"AM:!O{"</f>
        <v>#VALUE!</v>
      </c>
      <c r="CD15" t="e">
        <f>'Effort Estimation'!AL:AL*"AM:!O|"</f>
        <v>#VALUE!</v>
      </c>
      <c r="CE15" t="e">
        <f>'Effort Estimation'!AM:AM*"AM:!O}"</f>
        <v>#VALUE!</v>
      </c>
      <c r="CF15" t="e">
        <f>'Effort Estimation'!AN:AN*"AM:!O~"</f>
        <v>#VALUE!</v>
      </c>
      <c r="CG15" t="e">
        <f>'Effort Estimation'!AO:AO*"AM:!P#"</f>
        <v>#VALUE!</v>
      </c>
      <c r="CH15" t="e">
        <f>'Effort Estimation'!AP:AP*"AM:!P$"</f>
        <v>#VALUE!</v>
      </c>
      <c r="CI15" t="e">
        <f>'Effort Estimation'!AQ:AQ*"AM:!P%"</f>
        <v>#VALUE!</v>
      </c>
      <c r="CJ15" t="e">
        <f>'Effort Estimation'!AR:AR*"AM:!P&amp;"</f>
        <v>#VALUE!</v>
      </c>
      <c r="CK15" t="e">
        <f>'Effort Estimation'!AS:AS*"AM:!P'"</f>
        <v>#VALUE!</v>
      </c>
      <c r="CL15" t="e">
        <f>'Effort Estimation'!AT:AT*"AM:!P("</f>
        <v>#VALUE!</v>
      </c>
      <c r="CM15" t="e">
        <f>'Effort Estimation'!AU:AU*"AM:!P)"</f>
        <v>#VALUE!</v>
      </c>
      <c r="CN15" t="e">
        <f>'Effort Estimation'!AV:AV*"AM:!P."</f>
        <v>#VALUE!</v>
      </c>
      <c r="CO15" t="e">
        <f>'Effort Estimation'!AW:AW*"AM:!P/"</f>
        <v>#VALUE!</v>
      </c>
      <c r="CP15" t="e">
        <f>'Effort Estimation'!AX:AX*"AM:!P0"</f>
        <v>#VALUE!</v>
      </c>
      <c r="CQ15" t="e">
        <f>'Effort Estimation'!AY:AY*"AM:!P1"</f>
        <v>#VALUE!</v>
      </c>
      <c r="CR15" t="e">
        <f>'Effort Estimation'!AZ:AZ*"AM:!P2"</f>
        <v>#VALUE!</v>
      </c>
      <c r="CS15" t="e">
        <f>'Effort Estimation'!BA:BA*"AM:!P3"</f>
        <v>#VALUE!</v>
      </c>
      <c r="CT15" t="e">
        <f>'Effort Estimation'!BB:BB*"AM:!P4"</f>
        <v>#VALUE!</v>
      </c>
      <c r="CU15" t="e">
        <f>'Effort Estimation'!BC:BC*"AM:!P5"</f>
        <v>#VALUE!</v>
      </c>
      <c r="CV15" t="e">
        <f>'Effort Estimation'!BD:BD*"AM:!P6"</f>
        <v>#VALUE!</v>
      </c>
      <c r="CW15" t="e">
        <f>'Effort Estimation'!BE:BE*"AM:!P7"</f>
        <v>#VALUE!</v>
      </c>
      <c r="CX15" t="e">
        <f>'Effort Estimation'!BF:BF*"AM:!P8"</f>
        <v>#VALUE!</v>
      </c>
      <c r="CY15" t="e">
        <f>'Effort Estimation'!BG:BG*"AM:!P9"</f>
        <v>#VALUE!</v>
      </c>
      <c r="CZ15" t="e">
        <f>'Effort Estimation'!BH:BH*"AM:!P:"</f>
        <v>#VALUE!</v>
      </c>
      <c r="DA15" t="e">
        <f>'Effort Estimation'!BI:BI*"AM:!P;"</f>
        <v>#VALUE!</v>
      </c>
      <c r="DB15" t="e">
        <f>'Effort Estimation'!BJ:BJ*"AM:!P&lt;"</f>
        <v>#VALUE!</v>
      </c>
      <c r="DC15" t="e">
        <f>'Effort Estimation'!BK:BK*"AM:!P="</f>
        <v>#VALUE!</v>
      </c>
      <c r="DD15" t="e">
        <f>'Effort Estimation'!BL:BL*"AM:!P&gt;"</f>
        <v>#VALUE!</v>
      </c>
      <c r="DE15" t="e">
        <f>'Effort Estimation'!BM:BM*"AM:!P?"</f>
        <v>#VALUE!</v>
      </c>
      <c r="DF15" t="e">
        <f>'Effort Estimation'!BN:BN*"AM:!P@"</f>
        <v>#VALUE!</v>
      </c>
      <c r="DG15" t="e">
        <f>'Effort Estimation'!BO:BO*"AM:!PA"</f>
        <v>#VALUE!</v>
      </c>
      <c r="DH15" t="e">
        <f>'Effort Estimation'!BP:BP*"AM:!PB"</f>
        <v>#VALUE!</v>
      </c>
      <c r="DI15" t="e">
        <f>'Effort Estimation'!BQ:BQ*"AM:!PC"</f>
        <v>#VALUE!</v>
      </c>
      <c r="DJ15" t="e">
        <f>'Effort Estimation'!BR:BR*"AM:!PD"</f>
        <v>#VALUE!</v>
      </c>
      <c r="DK15" t="e">
        <f>'Effort Estimation'!1:1-"AM:!PE"</f>
        <v>#VALUE!</v>
      </c>
      <c r="DL15" t="e">
        <f>'Effort Estimation'!2:2-"AM:!PF"</f>
        <v>#VALUE!</v>
      </c>
      <c r="DM15" t="e">
        <f>'Effort Estimation'!3:3-"AM:!PG"</f>
        <v>#VALUE!</v>
      </c>
      <c r="DN15" t="e">
        <f>'Effort Estimation'!4:4-"AM:!PH"</f>
        <v>#VALUE!</v>
      </c>
      <c r="DO15" t="e">
        <f>'Effort Estimation'!5:5-"AM:!PI"</f>
        <v>#VALUE!</v>
      </c>
      <c r="DP15" t="e">
        <f>'Effort Estimation'!6:6-"AM:!PJ"</f>
        <v>#VALUE!</v>
      </c>
      <c r="DQ15" t="e">
        <f>'Effort Estimation'!7:7-"AM:!PK"</f>
        <v>#VALUE!</v>
      </c>
      <c r="DR15" t="e">
        <f>'Effort Estimation'!8:8-"AM:!PL"</f>
        <v>#VALUE!</v>
      </c>
      <c r="DS15" t="e">
        <f>'Effort Estimation'!9:9-"AM:!PM"</f>
        <v>#VALUE!</v>
      </c>
      <c r="DT15" t="e">
        <f>'Effort Estimation'!10:10-"AM:!PN"</f>
        <v>#VALUE!</v>
      </c>
      <c r="DU15" t="e">
        <f>'Effort Estimation'!11:11-"AM:!PO"</f>
        <v>#VALUE!</v>
      </c>
      <c r="DV15" t="e">
        <f>'Effort Estimation'!12:12-"AM:!PP"</f>
        <v>#VALUE!</v>
      </c>
      <c r="DW15" t="e">
        <f>'Effort Estimation'!13:13-"AM:!PQ"</f>
        <v>#VALUE!</v>
      </c>
      <c r="DX15" t="e">
        <f>'Effort Estimation'!14:14-"AM:!PR"</f>
        <v>#VALUE!</v>
      </c>
      <c r="DY15" t="e">
        <f>'Effort Estimation'!15:15-"AM:!PS"</f>
        <v>#VALUE!</v>
      </c>
      <c r="DZ15" t="e">
        <f>'Effort Estimation'!16:16-"AM:!PT"</f>
        <v>#VALUE!</v>
      </c>
      <c r="EA15" t="e">
        <f>'Effort Estimation'!17:17-"AM:!PU"</f>
        <v>#VALUE!</v>
      </c>
      <c r="EB15" t="e">
        <f>'Effort Estimation'!18:18-"AM:!PV"</f>
        <v>#VALUE!</v>
      </c>
      <c r="EC15" t="e">
        <f>'Effort Estimation'!19:19-"AM:!PW"</f>
        <v>#VALUE!</v>
      </c>
      <c r="ED15" t="e">
        <f>'Effort Estimation'!20:20-"AM:!PX"</f>
        <v>#VALUE!</v>
      </c>
      <c r="EE15" t="e">
        <f>'Effort Estimation'!21:21-"AM:!PY"</f>
        <v>#VALUE!</v>
      </c>
      <c r="EF15" t="e">
        <f>'Effort Estimation'!22:22-"AM:!PZ"</f>
        <v>#VALUE!</v>
      </c>
      <c r="EG15" t="e">
        <f>'Effort Estimation'!23:23-"AM:!P["</f>
        <v>#VALUE!</v>
      </c>
      <c r="EH15" t="e">
        <f>'Effort Estimation'!24:24-"AM:!P\"</f>
        <v>#VALUE!</v>
      </c>
      <c r="EI15" t="e">
        <f>'Effort Estimation'!25:25-"AM:!P]"</f>
        <v>#VALUE!</v>
      </c>
      <c r="EJ15" t="e">
        <f>'Effort Estimation'!26:26-"AM:!P^"</f>
        <v>#VALUE!</v>
      </c>
      <c r="EK15" t="e">
        <f>'Effort Estimation'!27:27-"AM:!P_"</f>
        <v>#VALUE!</v>
      </c>
      <c r="EL15" t="e">
        <f>'Effort Estimation'!28:28-"AM:!P`"</f>
        <v>#VALUE!</v>
      </c>
      <c r="EM15" t="e">
        <f>'Effort Estimation'!29:29-"AM:!Pa"</f>
        <v>#VALUE!</v>
      </c>
      <c r="EN15" t="e">
        <f>'Effort Estimation'!30:30-"AM:!Pb"</f>
        <v>#VALUE!</v>
      </c>
      <c r="EO15" t="e">
        <f>'Effort Estimation'!31:31-"AM:!Pc"</f>
        <v>#VALUE!</v>
      </c>
      <c r="EP15" t="e">
        <f>'Effort Estimation'!32:32-"AM:!Pd"</f>
        <v>#VALUE!</v>
      </c>
      <c r="EQ15" t="e">
        <f>'Effort Estimation'!33:33-"AM:!Pe"</f>
        <v>#VALUE!</v>
      </c>
      <c r="ER15" t="e">
        <f>'Effort Estimation'!34:34-"AM:!Pf"</f>
        <v>#VALUE!</v>
      </c>
      <c r="ES15" t="e">
        <f>'Effort Estimation'!35:35-"AM:!Pg"</f>
        <v>#VALUE!</v>
      </c>
      <c r="ET15" t="e">
        <f>'Effort Estimation'!36:36-"AM:!Ph"</f>
        <v>#VALUE!</v>
      </c>
      <c r="EU15" t="e">
        <f>'Effort Estimation'!37:37-"AM:!Pi"</f>
        <v>#VALUE!</v>
      </c>
      <c r="EV15" t="e">
        <f>'Effort Estimation'!38:38-"AM:!Pj"</f>
        <v>#VALUE!</v>
      </c>
      <c r="EW15" t="e">
        <f>'Effort Estimation'!39:39-"AM:!Pk"</f>
        <v>#VALUE!</v>
      </c>
      <c r="EX15" t="e">
        <f>'Effort Estimation'!40:40-"AM:!Pl"</f>
        <v>#VALUE!</v>
      </c>
      <c r="EY15" t="e">
        <f>'Effort Estimation'!41:41-"AM:!Pm"</f>
        <v>#VALUE!</v>
      </c>
      <c r="EZ15" t="e">
        <f>'Effort Estimation'!42:42-"AM:!Pn"</f>
        <v>#VALUE!</v>
      </c>
      <c r="FA15" t="e">
        <f>'Effort Estimation'!43:43-"AM:!Po"</f>
        <v>#VALUE!</v>
      </c>
      <c r="FB15" t="e">
        <f>'Effort Estimation'!44:44-"AM:!Pp"</f>
        <v>#VALUE!</v>
      </c>
      <c r="FC15" t="e">
        <f>'Effort Estimation'!45:45-"AM:!Pq"</f>
        <v>#VALUE!</v>
      </c>
      <c r="FD15" t="e">
        <f>'Effort Estimation'!46:46-"AM:!Pr"</f>
        <v>#VALUE!</v>
      </c>
      <c r="FE15" t="e">
        <f>'Effort Estimation'!47:47-"AM:!Ps"</f>
        <v>#VALUE!</v>
      </c>
      <c r="FF15" t="e">
        <f>'Effort Estimation'!48:48-"AM:!Pt"</f>
        <v>#VALUE!</v>
      </c>
      <c r="FG15" t="e">
        <f>'Effort Estimation'!49:49-"AM:!Pu"</f>
        <v>#VALUE!</v>
      </c>
      <c r="FH15" t="e">
        <f>'Effort Estimation'!50:50-"AM:!Pv"</f>
        <v>#VALUE!</v>
      </c>
      <c r="FI15" t="e">
        <f>'Effort Estimation'!51:51-"AM:!Pw"</f>
        <v>#VALUE!</v>
      </c>
      <c r="FJ15" t="e">
        <f>'Effort Estimation'!52:52-"AM:!Px"</f>
        <v>#VALUE!</v>
      </c>
      <c r="FK15" t="e">
        <f>'Effort Estimation'!53:53-"AM:!Py"</f>
        <v>#VALUE!</v>
      </c>
      <c r="FL15" t="e">
        <f>'Effort Estimation'!54:54-"AM:!Pz"</f>
        <v>#VALUE!</v>
      </c>
      <c r="FM15" t="e">
        <f>'Effort Estimation'!55:55-"AM:!P{"</f>
        <v>#VALUE!</v>
      </c>
      <c r="FN15" t="e">
        <f>'Effort Estimation'!56:56-"AM:!P|"</f>
        <v>#VALUE!</v>
      </c>
      <c r="FO15" t="e">
        <f>'Effort Estimation'!57:57-"AM:!P}"</f>
        <v>#VALUE!</v>
      </c>
      <c r="FP15" t="e">
        <f>'Effort Estimation'!58:58-"AM:!P~"</f>
        <v>#VALUE!</v>
      </c>
      <c r="FQ15" t="e">
        <f>'Effort Estimation'!59:59-"AM:!Q#"</f>
        <v>#VALUE!</v>
      </c>
      <c r="FR15" t="e">
        <f>'Effort Estimation'!60:60-"AM:!Q$"</f>
        <v>#VALUE!</v>
      </c>
      <c r="FS15" t="e">
        <f>'Effort Estimation'!61:61-"AM:!Q%"</f>
        <v>#VALUE!</v>
      </c>
      <c r="FT15" t="e">
        <f>'Effort Estimation'!62:62-"AM:!Q&amp;"</f>
        <v>#VALUE!</v>
      </c>
      <c r="FU15" t="e">
        <f>'Effort Estimation'!63:63-"AM:!Q'"</f>
        <v>#VALUE!</v>
      </c>
      <c r="FV15" t="e">
        <f>'Effort Estimation'!64:64-"AM:!Q("</f>
        <v>#VALUE!</v>
      </c>
      <c r="FW15" t="e">
        <f>'Effort Estimation'!65:65-"AM:!Q)"</f>
        <v>#VALUE!</v>
      </c>
      <c r="FX15" t="e">
        <f>'Effort Estimation'!66:66-"AM:!Q."</f>
        <v>#VALUE!</v>
      </c>
      <c r="FY15" t="e">
        <f>'Effort Estimation'!67:67-"AM:!Q/"</f>
        <v>#VALUE!</v>
      </c>
      <c r="FZ15" t="e">
        <f>'Effort Estimation'!68:68-"AM:!Q0"</f>
        <v>#VALUE!</v>
      </c>
      <c r="GA15" t="e">
        <f>'Effort Estimation'!69:69-"AM:!Q1"</f>
        <v>#VALUE!</v>
      </c>
      <c r="GB15" t="e">
        <f>'Effort Estimation'!70:70-"AM:!Q2"</f>
        <v>#VALUE!</v>
      </c>
      <c r="GC15" t="e">
        <f>'Effort Estimation'!71:71-"AM:!Q3"</f>
        <v>#VALUE!</v>
      </c>
      <c r="GD15" t="e">
        <f>'Effort Estimation'!72:72-"AM:!Q4"</f>
        <v>#VALUE!</v>
      </c>
      <c r="GE15" t="e">
        <f>'Effort Estimation'!73:73-"AM:!Q5"</f>
        <v>#VALUE!</v>
      </c>
      <c r="GF15" t="e">
        <f>'Effort Estimation'!74:74-"AM:!Q6"</f>
        <v>#VALUE!</v>
      </c>
      <c r="GG15" t="e">
        <f>'Effort Estimation'!75:75-"AM:!Q7"</f>
        <v>#VALUE!</v>
      </c>
      <c r="GH15" t="e">
        <f>'Effort Estimation'!76:76-"AM:!Q8"</f>
        <v>#VALUE!</v>
      </c>
      <c r="GI15" t="e">
        <f>'Effort Estimation'!77:77-"AM:!Q9"</f>
        <v>#VALUE!</v>
      </c>
      <c r="GJ15" t="e">
        <f>'Effort Estimation'!78:78-"AM:!Q:"</f>
        <v>#VALUE!</v>
      </c>
      <c r="GK15" t="e">
        <f>'Effort Estimation'!79:79-"AM:!Q;"</f>
        <v>#VALUE!</v>
      </c>
      <c r="GL15" t="e">
        <f>'Effort Estimation'!80:80-"AM:!Q&lt;"</f>
        <v>#VALUE!</v>
      </c>
      <c r="GM15" t="e">
        <f>'Effort Estimation'!81:81-"AM:!Q="</f>
        <v>#VALUE!</v>
      </c>
      <c r="GN15" t="e">
        <f>'Effort Estimation'!82:82-"AM:!Q&gt;"</f>
        <v>#VALUE!</v>
      </c>
      <c r="GO15" t="e">
        <f>'Effort Estimation'!83:83-"AM:!Q?"</f>
        <v>#VALUE!</v>
      </c>
      <c r="GP15" t="e">
        <f>'Effort Estimation'!84:84-"AM:!Q@"</f>
        <v>#VALUE!</v>
      </c>
      <c r="GQ15" t="e">
        <f>'Effort Estimation'!85:85-"AM:!QA"</f>
        <v>#VALUE!</v>
      </c>
      <c r="GR15" t="e">
        <f>'Effort Estimation'!86:86-"AM:!QB"</f>
        <v>#VALUE!</v>
      </c>
      <c r="GS15" t="e">
        <f>'Effort Estimation'!87:87-"AM:!QC"</f>
        <v>#VALUE!</v>
      </c>
      <c r="GT15" t="e">
        <f>'Effort Estimation'!88:88-"AM:!QD"</f>
        <v>#VALUE!</v>
      </c>
      <c r="GU15" t="e">
        <f>'Effort Estimation'!89:89-"AM:!QE"</f>
        <v>#VALUE!</v>
      </c>
      <c r="GV15" t="e">
        <f>'Effort Estimation'!90:90-"AM:!QF"</f>
        <v>#VALUE!</v>
      </c>
      <c r="GW15" t="e">
        <f>'Effort Estimation'!91:91-"AM:!QG"</f>
        <v>#VALUE!</v>
      </c>
      <c r="GX15" t="e">
        <f>'Effort Estimation'!92:92-"AM:!QH"</f>
        <v>#VALUE!</v>
      </c>
      <c r="GY15" t="e">
        <f>'Effort Estimation'!93:93-"AM:!QI"</f>
        <v>#VALUE!</v>
      </c>
      <c r="GZ15" t="e">
        <f>'Effort Estimation'!94:94-"AM:!QJ"</f>
        <v>#VALUE!</v>
      </c>
      <c r="HA15" t="e">
        <f>'Effort Estimation'!95:95-"AM:!QK"</f>
        <v>#VALUE!</v>
      </c>
      <c r="HB15" t="e">
        <f>'Effort Estimation'!96:96-"AM:!QL"</f>
        <v>#VALUE!</v>
      </c>
      <c r="HC15" t="e">
        <f>'Effort Estimation'!97:97-"AM:!QM"</f>
        <v>#VALUE!</v>
      </c>
      <c r="HD15" t="e">
        <f>'Effort Estimation'!98:98-"AM:!QN"</f>
        <v>#VALUE!</v>
      </c>
      <c r="HE15" t="e">
        <f>'Effort Estimation'!99:99-"AM:!QO"</f>
        <v>#VALUE!</v>
      </c>
      <c r="HF15" t="e">
        <f>'Effort Estimation'!100:100-"AM:!QP"</f>
        <v>#VALUE!</v>
      </c>
      <c r="HG15" t="e">
        <f>'Effort Estimation'!101:101-"AM:!QQ"</f>
        <v>#VALUE!</v>
      </c>
      <c r="HH15" t="e">
        <f>'Effort Estimation'!102:102-"AM:!QR"</f>
        <v>#VALUE!</v>
      </c>
      <c r="HI15" t="e">
        <f>'Effort Estimation'!103:103-"AM:!QS"</f>
        <v>#VALUE!</v>
      </c>
      <c r="HJ15" t="e">
        <f>'Effort Estimation'!104:104-"AM:!QT"</f>
        <v>#VALUE!</v>
      </c>
      <c r="HK15" t="e">
        <f>'Effort Estimation'!105:105-"AM:!QU"</f>
        <v>#VALUE!</v>
      </c>
      <c r="HL15" t="e">
        <f>'Effort Estimation'!106:106-"AM:!QV"</f>
        <v>#VALUE!</v>
      </c>
      <c r="HM15" t="e">
        <f>'Effort Estimation'!107:107-"AM:!QW"</f>
        <v>#VALUE!</v>
      </c>
      <c r="HN15" t="e">
        <f>'Effort Estimation'!108:108-"AM:!QX"</f>
        <v>#VALUE!</v>
      </c>
      <c r="HO15" t="e">
        <f>'Effort Estimation'!109:109-"AM:!QY"</f>
        <v>#VALUE!</v>
      </c>
      <c r="HP15" t="e">
        <f>'Effort Estimation'!110:110-"AM:!QZ"</f>
        <v>#VALUE!</v>
      </c>
      <c r="HQ15" t="e">
        <f>'Effort Estimation'!111:111-"AM:!Q["</f>
        <v>#VALUE!</v>
      </c>
      <c r="HR15" t="e">
        <f>'Effort Estimation'!112:112-"AM:!Q\"</f>
        <v>#VALUE!</v>
      </c>
      <c r="HS15" t="e">
        <f>'Effort Estimation'!113:113-"AM:!Q]"</f>
        <v>#VALUE!</v>
      </c>
      <c r="HT15" t="e">
        <f>'Effort Estimation'!114:114-"AM:!Q^"</f>
        <v>#VALUE!</v>
      </c>
      <c r="HU15" t="e">
        <f>'Effort Estimation'!115:115-"AM:!Q_"</f>
        <v>#VALUE!</v>
      </c>
      <c r="HV15" t="e">
        <f>'Effort Estimation'!116:116-"AM:!Q`"</f>
        <v>#VALUE!</v>
      </c>
      <c r="HW15" t="e">
        <f>'Effort Estimation'!117:117-"AM:!Qa"</f>
        <v>#VALUE!</v>
      </c>
      <c r="HX15" t="e">
        <f>'Effort Estimation'!118:118-"AM:!Qb"</f>
        <v>#VALUE!</v>
      </c>
      <c r="HY15" t="e">
        <f>'Effort Estimation'!119:119-"AM:!Qc"</f>
        <v>#VALUE!</v>
      </c>
      <c r="HZ15" t="e">
        <f>'Effort Estimation'!120:120-"AM:!Qd"</f>
        <v>#VALUE!</v>
      </c>
      <c r="IA15" t="e">
        <f>'Effort Estimation'!121:121-"AM:!Qe"</f>
        <v>#VALUE!</v>
      </c>
      <c r="IB15" t="e">
        <f>'Effort Estimation'!122:122-"AM:!Qf"</f>
        <v>#VALUE!</v>
      </c>
      <c r="IC15" t="e">
        <f>'Effort Estimation'!123:123-"AM:!Qg"</f>
        <v>#VALUE!</v>
      </c>
      <c r="ID15" t="e">
        <f>'Effort Estimation'!124:124-"AM:!Qh"</f>
        <v>#VALUE!</v>
      </c>
      <c r="IE15" t="e">
        <f>'Effort Estimation'!125:125-"AM:!Qi"</f>
        <v>#VALUE!</v>
      </c>
      <c r="IF15" t="e">
        <f>'Effort Estimation'!126:126-"AM:!Qj"</f>
        <v>#VALUE!</v>
      </c>
      <c r="IG15" t="e">
        <f>'Effort Estimation'!127:127-"AM:!Qk"</f>
        <v>#VALUE!</v>
      </c>
      <c r="IH15" t="e">
        <f>'Effort Estimation'!128:128-"AM:!Ql"</f>
        <v>#VALUE!</v>
      </c>
      <c r="II15" t="e">
        <f>'Effort Estimation'!129:129-"AM:!Qm"</f>
        <v>#VALUE!</v>
      </c>
      <c r="IJ15" t="e">
        <f>'Effort Estimation'!130:130-"AM:!Qn"</f>
        <v>#VALUE!</v>
      </c>
      <c r="IK15" t="e">
        <f>'Effort Estimation'!131:131-"AM:!Qo"</f>
        <v>#VALUE!</v>
      </c>
      <c r="IL15" t="e">
        <f>'Effort Estimation'!132:132-"AM:!Qp"</f>
        <v>#VALUE!</v>
      </c>
      <c r="IM15" t="e">
        <f>'Effort Estimation'!133:133-"AM:!Qq"</f>
        <v>#VALUE!</v>
      </c>
      <c r="IN15" t="e">
        <f>'Effort Estimation'!134:134-"AM:!Qr"</f>
        <v>#VALUE!</v>
      </c>
      <c r="IO15" t="e">
        <f>'Effort Estimation'!135:135-"AM:!Qs"</f>
        <v>#VALUE!</v>
      </c>
      <c r="IP15" t="e">
        <f>'Effort Estimation'!136:136-"AM:!Qt"</f>
        <v>#VALUE!</v>
      </c>
      <c r="IQ15" t="e">
        <f>'Effort Estimation'!137:137-"AM:!Qu"</f>
        <v>#VALUE!</v>
      </c>
      <c r="IR15" t="e">
        <f>'Effort Estimation'!138:138-"AM:!Qv"</f>
        <v>#VALUE!</v>
      </c>
      <c r="IS15" t="e">
        <f>'Effort Estimation'!139:139-"AM:!Qw"</f>
        <v>#VALUE!</v>
      </c>
      <c r="IT15" t="e">
        <f>'Effort Estimation'!140:140-"AM:!Qx"</f>
        <v>#VALUE!</v>
      </c>
      <c r="IU15" t="e">
        <f>'Effort Estimation'!141:141-"AM:!Qy"</f>
        <v>#VALUE!</v>
      </c>
      <c r="IV15" t="e">
        <f>'Effort Estimation'!142:142-"AM:!Qz"</f>
        <v>#VALUE!</v>
      </c>
    </row>
    <row r="16" spans="1:256">
      <c r="F16" t="e">
        <f>'Effort Estimation'!143:143-"AM:!Q{"</f>
        <v>#VALUE!</v>
      </c>
      <c r="G16" t="e">
        <f>'Effort Estimation'!144:144-"AM:!Q|"</f>
        <v>#VALUE!</v>
      </c>
      <c r="H16" t="e">
        <f>'Effort Estimation'!145:145-"AM:!Q}"</f>
        <v>#VALUE!</v>
      </c>
      <c r="I16" t="e">
        <f>'Effort Estimation'!146:146-"AM:!Q~"</f>
        <v>#VALUE!</v>
      </c>
      <c r="J16" t="e">
        <f>'Effort Estimation'!147:147-"AM:!R#"</f>
        <v>#VALUE!</v>
      </c>
      <c r="K16" t="e">
        <f>'Effort Estimation'!148:148-"AM:!R$"</f>
        <v>#VALUE!</v>
      </c>
      <c r="L16" t="e">
        <f>'Effort Estimation'!149:149-"AM:!R%"</f>
        <v>#VALUE!</v>
      </c>
      <c r="M16" t="e">
        <f>'Effort Estimation'!150:150-"AM:!R&amp;"</f>
        <v>#VALUE!</v>
      </c>
      <c r="N16" t="e">
        <f>'Effort Estimation'!151:151-"AM:!R'"</f>
        <v>#VALUE!</v>
      </c>
      <c r="O16" t="e">
        <f>'Effort Estimation'!152:152-"AM:!R("</f>
        <v>#VALUE!</v>
      </c>
      <c r="P16" t="e">
        <f>'Effort Estimation'!153:153-"AM:!R)"</f>
        <v>#VALUE!</v>
      </c>
      <c r="Q16" t="e">
        <f>'Effort Estimation'!154:154-"AM:!R."</f>
        <v>#VALUE!</v>
      </c>
      <c r="R16" t="e">
        <f>'Effort Estimation'!155:155-"AM:!R/"</f>
        <v>#VALUE!</v>
      </c>
      <c r="S16" t="e">
        <f>'Effort Estimation'!156:156-"AM:!R0"</f>
        <v>#VALUE!</v>
      </c>
      <c r="T16" t="e">
        <f>'Effort Estimation'!157:157-"AM:!R1"</f>
        <v>#VALUE!</v>
      </c>
      <c r="U16" t="e">
        <f>'Effort Estimation'!158:158-"AM:!R2"</f>
        <v>#VALUE!</v>
      </c>
      <c r="V16" t="e">
        <f>'Effort Estimation'!159:159-"AM:!R3"</f>
        <v>#VALUE!</v>
      </c>
      <c r="W16" t="e">
        <f>'Effort Estimation'!160:160-"AM:!R4"</f>
        <v>#VALUE!</v>
      </c>
      <c r="X16" t="e">
        <f>'Effort Estimation'!161:161-"AM:!R5"</f>
        <v>#VALUE!</v>
      </c>
      <c r="Y16" t="e">
        <f>'Effort Estimation'!162:162-"AM:!R6"</f>
        <v>#VALUE!</v>
      </c>
      <c r="Z16" t="e">
        <f>'Effort Estimation'!163:163-"AM:!R7"</f>
        <v>#VALUE!</v>
      </c>
      <c r="AA16" t="e">
        <f>'Effort Estimation'!164:164-"AM:!R8"</f>
        <v>#VALUE!</v>
      </c>
      <c r="AB16" t="e">
        <f>'Effort Estimation'!165:165-"AM:!R9"</f>
        <v>#VALUE!</v>
      </c>
      <c r="AC16" t="e">
        <f>'Effort Estimation'!166:166-"AM:!R:"</f>
        <v>#VALUE!</v>
      </c>
      <c r="AD16" t="e">
        <f>'Effort Estimation'!167:167-"AM:!R;"</f>
        <v>#VALUE!</v>
      </c>
      <c r="AE16" t="e">
        <f>'Effort Estimation'!168:168-"AM:!R&lt;"</f>
        <v>#VALUE!</v>
      </c>
      <c r="AF16" t="e">
        <f>'Effort Estimation'!169:169-"AM:!R="</f>
        <v>#VALUE!</v>
      </c>
      <c r="AG16" t="e">
        <f>'Effort Estimation'!170:170-"AM:!R&gt;"</f>
        <v>#VALUE!</v>
      </c>
      <c r="AH16" t="e">
        <f>'Effort Estimation'!171:171-"AM:!R?"</f>
        <v>#VALUE!</v>
      </c>
      <c r="AI16" t="e">
        <f>'Effort Estimation'!172:172-"AM:!R@"</f>
        <v>#VALUE!</v>
      </c>
      <c r="AJ16" t="e">
        <f>'Effort Estimation'!173:173-"AM:!RA"</f>
        <v>#VALUE!</v>
      </c>
      <c r="AK16" t="e">
        <f>'Effort Estimation'!174:174-"AM:!RB"</f>
        <v>#VALUE!</v>
      </c>
      <c r="AL16" t="e">
        <f>'Effort Estimation'!175:175-"AM:!RC"</f>
        <v>#VALUE!</v>
      </c>
      <c r="AM16" t="e">
        <f>'Effort Estimation'!176:176-"AM:!RD"</f>
        <v>#VALUE!</v>
      </c>
      <c r="AN16" t="e">
        <f>'Effort Estimation'!177:177-"AM:!RE"</f>
        <v>#VALUE!</v>
      </c>
      <c r="AO16" t="e">
        <f>'Effort Estimation'!178:178-"AM:!RF"</f>
        <v>#VALUE!</v>
      </c>
      <c r="AP16" t="e">
        <f>'Effort Estimation'!179:179-"AM:!RG"</f>
        <v>#VALUE!</v>
      </c>
      <c r="AQ16" t="e">
        <f>'Effort Estimation'!180:180-"AM:!RH"</f>
        <v>#VALUE!</v>
      </c>
      <c r="AR16" t="e">
        <f>'Effort Estimation'!181:181-"AM:!RI"</f>
        <v>#VALUE!</v>
      </c>
      <c r="AS16" t="e">
        <f>'Effort Estimation'!182:182-"AM:!RJ"</f>
        <v>#VALUE!</v>
      </c>
      <c r="AT16" t="e">
        <f>'Effort Estimation'!183:183-"AM:!RK"</f>
        <v>#VALUE!</v>
      </c>
      <c r="AU16" t="e">
        <f>'Effort Estimation'!184:184-"AM:!RL"</f>
        <v>#VALUE!</v>
      </c>
      <c r="AV16" t="e">
        <f>'Effort Estimation'!185:185-"AM:!RM"</f>
        <v>#VALUE!</v>
      </c>
      <c r="AW16" t="e">
        <f>'Effort Estimation'!186:186-"AM:!RN"</f>
        <v>#VALUE!</v>
      </c>
      <c r="AX16" t="e">
        <f>'Effort Estimation'!187:187-"AM:!RO"</f>
        <v>#VALUE!</v>
      </c>
      <c r="AY16" t="e">
        <f>'Effort Estimation'!188:188-"AM:!RP"</f>
        <v>#VALUE!</v>
      </c>
      <c r="AZ16" t="e">
        <f>'Effort Estimation'!189:189-"AM:!RQ"</f>
        <v>#VALUE!</v>
      </c>
      <c r="BA16" t="e">
        <f>'Effort Estimation'!190:190-"AM:!RR"</f>
        <v>#VALUE!</v>
      </c>
      <c r="BB16" t="e">
        <f>'Effort Estimation'!191:191-"AM:!RS"</f>
        <v>#VALUE!</v>
      </c>
      <c r="BC16" t="e">
        <f>'Effort Estimation'!192:192-"AM:!RT"</f>
        <v>#VALUE!</v>
      </c>
      <c r="BD16" t="e">
        <f>'Effort Estimation'!193:193-"AM:!RU"</f>
        <v>#VALUE!</v>
      </c>
      <c r="BE16" t="e">
        <f>'Effort Estimation'!194:194-"AM:!RV"</f>
        <v>#VALUE!</v>
      </c>
      <c r="BF16" t="e">
        <f>'Effort Estimation'!195:195-"AM:!RW"</f>
        <v>#VALUE!</v>
      </c>
      <c r="BG16" t="e">
        <f>'Effort Estimation'!196:196-"AM:!RX"</f>
        <v>#VALUE!</v>
      </c>
      <c r="BH16" t="e">
        <f>'Effort Estimation'!197:197-"AM:!RY"</f>
        <v>#VALUE!</v>
      </c>
      <c r="BI16" t="e">
        <f>'Effort Estimation'!198:198-"AM:!RZ"</f>
        <v>#VALUE!</v>
      </c>
      <c r="BJ16" t="e">
        <f>'Effort Estimation'!199:199-"AM:!R["</f>
        <v>#VALUE!</v>
      </c>
      <c r="BK16" t="e">
        <f>'Effort Estimation'!200:200-"AM:!R\"</f>
        <v>#VALUE!</v>
      </c>
      <c r="BL16" t="e">
        <f>'Effort Estimation'!201:201-"AM:!R]"</f>
        <v>#VALUE!</v>
      </c>
      <c r="BM16" t="e">
        <f>'Effort Estimation'!202:202-"AM:!R^"</f>
        <v>#VALUE!</v>
      </c>
      <c r="BN16" t="e">
        <f>'Effort Estimation'!203:203-"AM:!R_"</f>
        <v>#VALUE!</v>
      </c>
      <c r="BO16" t="e">
        <f>'Effort Estimation'!204:204-"AM:!R`"</f>
        <v>#VALUE!</v>
      </c>
      <c r="BP16" t="e">
        <f>'Effort Estimation'!205:205-"AM:!Ra"</f>
        <v>#VALUE!</v>
      </c>
      <c r="BQ16" t="e">
        <f>'Effort Estimation'!206:206-"AM:!Rb"</f>
        <v>#VALUE!</v>
      </c>
      <c r="BR16" t="e">
        <f>'Effort Estimation'!207:207-"AM:!Rc"</f>
        <v>#VALUE!</v>
      </c>
      <c r="BS16" t="e">
        <f>'Effort Estimation'!208:208-"AM:!Rd"</f>
        <v>#VALUE!</v>
      </c>
      <c r="BT16" t="e">
        <f>'Effort Estimation'!209:209-"AM:!Re"</f>
        <v>#VALUE!</v>
      </c>
      <c r="BU16" t="e">
        <f>'Effort Estimation'!210:210-"AM:!Rf"</f>
        <v>#VALUE!</v>
      </c>
      <c r="BV16" t="e">
        <f>'Effort Estimation'!211:211-"AM:!Rg"</f>
        <v>#VALUE!</v>
      </c>
      <c r="BW16" t="e">
        <f>'Effort Estimation'!212:212-"AM:!Rh"</f>
        <v>#VALUE!</v>
      </c>
      <c r="BX16" t="e">
        <f>'Effort Estimation'!213:213-"AM:!Ri"</f>
        <v>#VALUE!</v>
      </c>
      <c r="BY16" t="e">
        <f>'Effort Estimation'!214:214-"AM:!Rj"</f>
        <v>#VALUE!</v>
      </c>
      <c r="BZ16" t="e">
        <f>'Effort Estimation'!215:215-"AM:!Rk"</f>
        <v>#VALUE!</v>
      </c>
      <c r="CA16" t="e">
        <f>'Effort Estimation'!216:216-"AM:!Rl"</f>
        <v>#VALUE!</v>
      </c>
      <c r="CB16" t="e">
        <f>'Effort Estimation'!217:217-"AM:!Rm"</f>
        <v>#VALUE!</v>
      </c>
      <c r="CC16" t="e">
        <f>'Effort Estimation'!218:218-"AM:!Rn"</f>
        <v>#VALUE!</v>
      </c>
      <c r="CD16" t="e">
        <f>'Effort Estimation'!219:219-"AM:!Ro"</f>
        <v>#VALUE!</v>
      </c>
      <c r="CE16" t="e">
        <f>'Effort Estimation'!220:220-"AM:!Rp"</f>
        <v>#VALUE!</v>
      </c>
      <c r="CF16" t="e">
        <f>'Effort Estimation'!221:221-"AM:!Rq"</f>
        <v>#VALUE!</v>
      </c>
      <c r="CG16" t="e">
        <f>'Effort Estimation'!222:222-"AM:!Rr"</f>
        <v>#VALUE!</v>
      </c>
      <c r="CH16" t="e">
        <f>'Effort Estimation'!223:223-"AM:!Rs"</f>
        <v>#VALUE!</v>
      </c>
      <c r="CI16" t="e">
        <f>'Effort Estimation'!224:224-"AM:!Rt"</f>
        <v>#VALUE!</v>
      </c>
      <c r="CJ16" t="e">
        <f>'Effort Estimation'!225:225-"AM:!Ru"</f>
        <v>#VALUE!</v>
      </c>
      <c r="CK16" t="e">
        <f>'Effort Estimation'!226:226-"AM:!Rv"</f>
        <v>#VALUE!</v>
      </c>
      <c r="CL16" t="e">
        <f>'Effort Estimation'!227:227-"AM:!Rw"</f>
        <v>#VALUE!</v>
      </c>
      <c r="CM16" t="e">
        <f>'Effort Estimation'!228:228-"AM:!Rx"</f>
        <v>#VALUE!</v>
      </c>
      <c r="CN16" t="e">
        <f>'Effort Estimation'!229:229-"AM:!Ry"</f>
        <v>#VALUE!</v>
      </c>
      <c r="CO16" t="e">
        <f>'Effort Estimation'!230:230-"AM:!Rz"</f>
        <v>#VALUE!</v>
      </c>
      <c r="CP16" t="e">
        <f>'Effort Estimation'!231:231-"AM:!R{"</f>
        <v>#VALUE!</v>
      </c>
      <c r="CQ16" t="e">
        <f>'Effort Estimation'!232:232-"AM:!R|"</f>
        <v>#VALUE!</v>
      </c>
      <c r="CR16" t="e">
        <f>'Effort Estimation'!233:233-"AM:!R}"</f>
        <v>#VALUE!</v>
      </c>
      <c r="CS16" t="e">
        <f>'Effort Estimation'!234:234-"AM:!R~"</f>
        <v>#VALUE!</v>
      </c>
      <c r="CT16" t="e">
        <f>'Effort Estimation'!235:235-"AM:!S#"</f>
        <v>#VALUE!</v>
      </c>
      <c r="CU16" t="e">
        <f>'Effort Estimation'!236:236-"AM:!S$"</f>
        <v>#VALUE!</v>
      </c>
      <c r="CV16" t="e">
        <f>'Effort Estimation'!237:237-"AM:!S%"</f>
        <v>#VALUE!</v>
      </c>
      <c r="CW16" t="e">
        <f>'Effort Estimation'!238:238-"AM:!S&amp;"</f>
        <v>#VALUE!</v>
      </c>
      <c r="CX16" t="e">
        <f>'Effort Estimation'!239:239-"AM:!S'"</f>
        <v>#VALUE!</v>
      </c>
      <c r="CY16" t="e">
        <f>'Effort Estimation'!240:240-"AM:!S("</f>
        <v>#VALUE!</v>
      </c>
      <c r="CZ16" t="e">
        <f>'Effort Estimation'!241:241-"AM:!S)"</f>
        <v>#VALUE!</v>
      </c>
      <c r="DA16" t="e">
        <f>'Effort Estimation'!242:242-"AM:!S."</f>
        <v>#VALUE!</v>
      </c>
      <c r="DB16" t="e">
        <f>'Effort Estimation'!243:243-"AM:!S/"</f>
        <v>#VALUE!</v>
      </c>
      <c r="DC16" t="e">
        <f>'Effort Estimation'!244:244-"AM:!S0"</f>
        <v>#VALUE!</v>
      </c>
      <c r="DD16" t="e">
        <f>'Effort Estimation'!245:245-"AM:!S1"</f>
        <v>#VALUE!</v>
      </c>
      <c r="DE16" t="e">
        <f>'Effort Estimation'!246:246-"AM:!S2"</f>
        <v>#VALUE!</v>
      </c>
      <c r="DF16" t="e">
        <f>'Effort Estimation'!247:247-"AM:!S3"</f>
        <v>#VALUE!</v>
      </c>
      <c r="DG16" t="e">
        <f>'Effort Estimation'!248:248-"AM:!S4"</f>
        <v>#VALUE!</v>
      </c>
      <c r="DH16" t="e">
        <f>'Effort Estimation'!249:249-"AM:!S5"</f>
        <v>#VALUE!</v>
      </c>
      <c r="DI16" t="e">
        <f>'Effort Estimation'!250:250-"AM:!S6"</f>
        <v>#VALUE!</v>
      </c>
      <c r="DJ16" t="e">
        <f>'Effort Estimation'!251:251-"AM:!S7"</f>
        <v>#VALUE!</v>
      </c>
      <c r="DK16" t="e">
        <f>'Effort Estimation'!252:252-"AM:!S8"</f>
        <v>#VALUE!</v>
      </c>
      <c r="DL16" t="e">
        <f>'Effort Estimation'!253:253-"AM:!S9"</f>
        <v>#VALUE!</v>
      </c>
      <c r="DM16" t="e">
        <f>'Effort Estimation'!254:254-"AM:!S:"</f>
        <v>#VALUE!</v>
      </c>
      <c r="DN16" t="e">
        <f>'Effort Estimation'!255:255-"AM:!S;"</f>
        <v>#VALUE!</v>
      </c>
      <c r="DO16" t="e">
        <f>'Effort Estimation'!256:256-"AM:!S&lt;"</f>
        <v>#VALUE!</v>
      </c>
      <c r="DP16" t="e">
        <f>'Effort Estimation'!257:257-"AM:!S="</f>
        <v>#VALUE!</v>
      </c>
      <c r="DQ16" t="e">
        <f>'Effort Estimation'!258:258-"AM:!S&gt;"</f>
        <v>#VALUE!</v>
      </c>
      <c r="DR16" t="e">
        <f>'Effort Estimation'!259:259-"AM:!S?"</f>
        <v>#VALUE!</v>
      </c>
      <c r="DS16" t="e">
        <f>'Effort Estimation'!260:260-"AM:!S@"</f>
        <v>#VALUE!</v>
      </c>
      <c r="DT16" t="e">
        <f>'Effort Estimation'!261:261-"AM:!SA"</f>
        <v>#VALUE!</v>
      </c>
      <c r="DU16" t="e">
        <f>'Effort Estimation'!262:262-"AM:!SB"</f>
        <v>#VALUE!</v>
      </c>
      <c r="DV16" t="e">
        <f>'Effort Estimation'!263:263-"AM:!SC"</f>
        <v>#VALUE!</v>
      </c>
      <c r="DW16" t="e">
        <f>'Effort Estimation'!264:264-"AM:!SD"</f>
        <v>#VALUE!</v>
      </c>
      <c r="DX16" t="e">
        <f>'Effort Estimation'!265:265-"AM:!SE"</f>
        <v>#VALUE!</v>
      </c>
      <c r="DY16" t="e">
        <f>'Effort Estimation'!266:266-"AM:!SF"</f>
        <v>#VALUE!</v>
      </c>
      <c r="DZ16" t="e">
        <f>'Effort Estimation'!267:267-"AM:!SG"</f>
        <v>#VALUE!</v>
      </c>
      <c r="EA16" t="e">
        <f>'Effort Estimation'!268:268-"AM:!SH"</f>
        <v>#VALUE!</v>
      </c>
      <c r="EB16" t="e">
        <f>'Effort Estimation'!269:269-"AM:!SI"</f>
        <v>#VALUE!</v>
      </c>
      <c r="EC16" t="e">
        <f>'Effort Estimation'!270:270-"AM:!SJ"</f>
        <v>#VALUE!</v>
      </c>
      <c r="ED16" t="e">
        <f>'Effort Estimation'!271:271-"AM:!SK"</f>
        <v>#VALUE!</v>
      </c>
      <c r="EE16" t="e">
        <f>'Effort Estimation'!272:272-"AM:!SL"</f>
        <v>#VALUE!</v>
      </c>
      <c r="EF16" t="e">
        <f>'Effort Estimation'!273:273-"AM:!SM"</f>
        <v>#VALUE!</v>
      </c>
      <c r="EG16" t="e">
        <f>'Effort Estimation'!274:274-"AM:!SN"</f>
        <v>#VALUE!</v>
      </c>
      <c r="EH16" t="e">
        <f>'Effort Estimation'!275:275-"AM:!SO"</f>
        <v>#VALUE!</v>
      </c>
      <c r="EI16" t="e">
        <f>'Effort Estimation'!276:276-"AM:!SP"</f>
        <v>#VALUE!</v>
      </c>
      <c r="EJ16" t="e">
        <f>'Effort Estimation'!277:277-"AM:!SQ"</f>
        <v>#VALUE!</v>
      </c>
      <c r="EK16" t="e">
        <f>'Effort Estimation'!278:278-"AM:!SR"</f>
        <v>#VALUE!</v>
      </c>
      <c r="EL16" t="e">
        <f>'Effort Estimation'!279:279-"AM:!SS"</f>
        <v>#VALUE!</v>
      </c>
      <c r="EM16" t="e">
        <f>'Effort Estimation'!280:280-"AM:!ST"</f>
        <v>#VALUE!</v>
      </c>
      <c r="EN16" t="e">
        <f>'Effort Estimation'!281:281-"AM:!SU"</f>
        <v>#VALUE!</v>
      </c>
      <c r="EO16" t="e">
        <f>'Effort Estimation'!282:282-"AM:!SV"</f>
        <v>#VALUE!</v>
      </c>
      <c r="EP16" t="e">
        <f>'Effort Estimation'!283:283-"AM:!SW"</f>
        <v>#VALUE!</v>
      </c>
      <c r="EQ16" t="e">
        <f>'Effort Estimation'!284:284-"AM:!SX"</f>
        <v>#VALUE!</v>
      </c>
      <c r="ER16" t="e">
        <f>'Effort Estimation'!285:285-"AM:!SY"</f>
        <v>#VALUE!</v>
      </c>
      <c r="ES16" t="e">
        <f>'Effort Estimation'!286:286-"AM:!SZ"</f>
        <v>#VALUE!</v>
      </c>
      <c r="ET16" t="e">
        <f>'Effort Estimation'!287:287-"AM:!S["</f>
        <v>#VALUE!</v>
      </c>
      <c r="EU16" t="e">
        <f>'Effort Estimation'!288:288-"AM:!S\"</f>
        <v>#VALUE!</v>
      </c>
      <c r="EV16" t="e">
        <f>'Effort Estimation'!289:289-"AM:!S]"</f>
        <v>#VALUE!</v>
      </c>
      <c r="EW16" t="e">
        <f>'Effort Estimation'!290:290-"AM:!S^"</f>
        <v>#VALUE!</v>
      </c>
      <c r="EX16" t="e">
        <f>'Effort Estimation'!291:291-"AM:!S_"</f>
        <v>#VALUE!</v>
      </c>
      <c r="EY16" t="e">
        <f>'Effort Estimation'!292:292-"AM:!S`"</f>
        <v>#VALUE!</v>
      </c>
      <c r="EZ16" t="e">
        <f>'Effort Estimation'!293:293-"AM:!Sa"</f>
        <v>#VALUE!</v>
      </c>
      <c r="FA16" t="e">
        <f>'Effort Estimation'!294:294-"AM:!Sb"</f>
        <v>#VALUE!</v>
      </c>
      <c r="FB16" t="e">
        <f>'Effort Estimation'!295:295-"AM:!Sc"</f>
        <v>#VALUE!</v>
      </c>
      <c r="FC16" t="e">
        <f>'Effort Estimation'!296:296-"AM:!Sd"</f>
        <v>#VALUE!</v>
      </c>
      <c r="FD16" t="e">
        <f>'Effort Estimation'!297:297-"AM:!Se"</f>
        <v>#VALUE!</v>
      </c>
      <c r="FE16" t="e">
        <f>'Effort Estimation'!298:298-"AM:!Sf"</f>
        <v>#VALUE!</v>
      </c>
      <c r="FF16" t="e">
        <f>'Effort Estimation'!299:299-"AM:!Sg"</f>
        <v>#VALUE!</v>
      </c>
      <c r="FG16" t="e">
        <f>'Effort Estimation'!300:300-"AM:!Sh"</f>
        <v>#VALUE!</v>
      </c>
      <c r="FH16" t="e">
        <f>'Effort Estimation'!301:301-"AM:!Si"</f>
        <v>#VALUE!</v>
      </c>
      <c r="FI16" t="e">
        <f>'Effort Estimation'!302:302-"AM:!Sj"</f>
        <v>#VALUE!</v>
      </c>
      <c r="FJ16" t="e">
        <f>'Effort Estimation'!303:303-"AM:!Sk"</f>
        <v>#VALUE!</v>
      </c>
      <c r="FK16" t="e">
        <f>'Effort Estimation'!304:304-"AM:!Sl"</f>
        <v>#VALUE!</v>
      </c>
      <c r="FL16" t="e">
        <f>'Effort Estimation'!305:305-"AM:!Sm"</f>
        <v>#VALUE!</v>
      </c>
      <c r="FM16" t="e">
        <f>'Effort Estimation'!306:306-"AM:!Sn"</f>
        <v>#VALUE!</v>
      </c>
      <c r="FN16" t="e">
        <f>'Effort Estimation'!307:307-"AM:!So"</f>
        <v>#VALUE!</v>
      </c>
      <c r="FO16" t="e">
        <f>'Effort Estimation'!308:308-"AM:!Sp"</f>
        <v>#VALUE!</v>
      </c>
      <c r="FP16" t="e">
        <f>'Effort Estimation'!309:309-"AM:!Sq"</f>
        <v>#VALUE!</v>
      </c>
      <c r="FQ16" t="e">
        <f>'Effort Estimation'!310:310-"AM:!Sr"</f>
        <v>#VALUE!</v>
      </c>
      <c r="FR16" t="e">
        <f>'Effort Estimation'!311:311-"AM:!Ss"</f>
        <v>#VALUE!</v>
      </c>
      <c r="FS16" t="e">
        <f>'Effort Estimation'!312:312-"AM:!St"</f>
        <v>#VALUE!</v>
      </c>
      <c r="FT16" t="e">
        <f>'Effort Estimation'!313:313-"AM:!Su"</f>
        <v>#VALUE!</v>
      </c>
      <c r="FU16" t="e">
        <f>'Effort Estimation'!314:314-"AM:!Sv"</f>
        <v>#VALUE!</v>
      </c>
      <c r="FV16" t="e">
        <f>'Effort Estimation'!315:315-"AM:!Sw"</f>
        <v>#VALUE!</v>
      </c>
      <c r="FW16" t="e">
        <f>'Effort Estimation'!316:316-"AM:!Sx"</f>
        <v>#VALUE!</v>
      </c>
      <c r="FX16" t="e">
        <f>'Effort Estimation'!317:317-"AM:!Sy"</f>
        <v>#VALUE!</v>
      </c>
      <c r="FY16" t="e">
        <f>'Effort Estimation'!318:318-"AM:!Sz"</f>
        <v>#VALUE!</v>
      </c>
      <c r="FZ16" t="e">
        <f>'Effort Estimation'!319:319-"AM:!S{"</f>
        <v>#VALUE!</v>
      </c>
      <c r="GA16" t="e">
        <f>'Effort Estimation'!320:320-"AM:!S|"</f>
        <v>#VALUE!</v>
      </c>
      <c r="GB16" t="e">
        <f>'Effort Estimation'!321:321-"AM:!S}"</f>
        <v>#VALUE!</v>
      </c>
      <c r="GC16" t="e">
        <f>'Effort Estimation'!322:322-"AM:!S~"</f>
        <v>#VALUE!</v>
      </c>
      <c r="GD16" t="e">
        <f>'Effort Estimation'!323:323-"AM:!T#"</f>
        <v>#VALUE!</v>
      </c>
      <c r="GE16" t="e">
        <f>'Effort Estimation'!324:324-"AM:!T$"</f>
        <v>#VALUE!</v>
      </c>
      <c r="GF16" t="e">
        <f>'Effort Estimation'!325:325-"AM:!T%"</f>
        <v>#VALUE!</v>
      </c>
      <c r="GG16" t="e">
        <f>'Effort Estimation'!326:326-"AM:!T&amp;"</f>
        <v>#VALUE!</v>
      </c>
      <c r="GH16" t="e">
        <f>'Effort Estimation'!327:327-"AM:!T'"</f>
        <v>#VALUE!</v>
      </c>
      <c r="GI16" t="e">
        <f>'Effort Estimation'!328:328-"AM:!T("</f>
        <v>#VALUE!</v>
      </c>
      <c r="GJ16" t="e">
        <f>'Effort Estimation'!329:329-"AM:!T)"</f>
        <v>#VALUE!</v>
      </c>
      <c r="GK16" t="e">
        <f>'Effort Estimation'!330:330-"AM:!T."</f>
        <v>#VALUE!</v>
      </c>
      <c r="GL16" t="e">
        <f>'Effort Estimation'!331:331-"AM:!T/"</f>
        <v>#VALUE!</v>
      </c>
      <c r="GM16" t="e">
        <f>'Effort Estimation'!332:332-"AM:!T0"</f>
        <v>#VALUE!</v>
      </c>
      <c r="GN16" t="e">
        <f>'Effort Estimation'!333:333-"AM:!T1"</f>
        <v>#VALUE!</v>
      </c>
      <c r="GO16" t="e">
        <f>'Effort Estimation'!334:334-"AM:!T2"</f>
        <v>#VALUE!</v>
      </c>
      <c r="GP16" t="e">
        <f>'Effort Estimation'!335:335-"AM:!T3"</f>
        <v>#VALUE!</v>
      </c>
      <c r="GQ16" t="e">
        <f>'Effort Estimation'!336:336-"AM:!T4"</f>
        <v>#VALUE!</v>
      </c>
      <c r="GR16" t="e">
        <f>'Effort Estimation'!337:337-"AM:!T5"</f>
        <v>#VALUE!</v>
      </c>
      <c r="GS16" t="e">
        <f>'Effort Estimation'!338:338-"AM:!T6"</f>
        <v>#VALUE!</v>
      </c>
      <c r="GT16" t="e">
        <f>'Effort Estimation'!339:339-"AM:!T7"</f>
        <v>#VALUE!</v>
      </c>
      <c r="GU16" t="e">
        <f>'Effort Estimation'!340:340-"AM:!T8"</f>
        <v>#VALUE!</v>
      </c>
      <c r="GV16" t="e">
        <f>'Effort Estimation'!341:341-"AM:!T9"</f>
        <v>#VALUE!</v>
      </c>
      <c r="GW16" t="e">
        <f>'Effort Estimation'!342:342-"AM:!T:"</f>
        <v>#VALUE!</v>
      </c>
      <c r="GX16" t="e">
        <f>'Effort Estimation'!343:343-"AM:!T;"</f>
        <v>#VALUE!</v>
      </c>
      <c r="GY16" t="e">
        <f>'Effort Estimation'!344:344-"AM:!T&lt;"</f>
        <v>#VALUE!</v>
      </c>
      <c r="GZ16" t="e">
        <f>'Effort Estimation'!345:345-"AM:!T="</f>
        <v>#VALUE!</v>
      </c>
      <c r="HA16" t="e">
        <f>'Effort Estimation'!346:346-"AM:!T&gt;"</f>
        <v>#VALUE!</v>
      </c>
      <c r="HB16" t="e">
        <f>'Effort Estimation'!347:347-"AM:!T?"</f>
        <v>#VALUE!</v>
      </c>
      <c r="HC16" t="e">
        <f>'Effort Estimation'!348:348-"AM:!T@"</f>
        <v>#VALUE!</v>
      </c>
      <c r="HD16" t="e">
        <f>'Effort Estimation'!349:349-"AM:!TA"</f>
        <v>#VALUE!</v>
      </c>
      <c r="HE16" t="e">
        <f>'Effort Estimation'!350:350-"AM:!TB"</f>
        <v>#VALUE!</v>
      </c>
      <c r="HF16" t="e">
        <f>'Effort Estimation'!351:351-"AM:!TC"</f>
        <v>#VALUE!</v>
      </c>
      <c r="HG16" t="e">
        <f>'Effort Estimation'!352:352-"AM:!TD"</f>
        <v>#VALUE!</v>
      </c>
      <c r="HH16" t="e">
        <f>'Effort Estimation'!353:353-"AM:!TE"</f>
        <v>#VALUE!</v>
      </c>
      <c r="HI16" t="e">
        <f>'Effort Estimation'!354:354-"AM:!TF"</f>
        <v>#VALUE!</v>
      </c>
      <c r="HJ16" t="e">
        <f>'Effort Estimation'!355:355-"AM:!TG"</f>
        <v>#VALUE!</v>
      </c>
      <c r="HK16" t="e">
        <f>'Effort Estimation'!356:356-"AM:!TH"</f>
        <v>#VALUE!</v>
      </c>
      <c r="HL16" t="e">
        <f>'Effort Estimation'!357:357-"AM:!TI"</f>
        <v>#VALUE!</v>
      </c>
      <c r="HM16" t="e">
        <f>'Effort Estimation'!358:358-"AM:!TJ"</f>
        <v>#VALUE!</v>
      </c>
      <c r="HN16" t="e">
        <f>'Effort Estimation'!359:359-"AM:!TK"</f>
        <v>#VALUE!</v>
      </c>
      <c r="HO16" t="e">
        <f>'Effort Estimation'!360:360-"AM:!TL"</f>
        <v>#VALUE!</v>
      </c>
      <c r="HP16" t="e">
        <f>'Effort Estimation'!361:361-"AM:!TM"</f>
        <v>#VALUE!</v>
      </c>
      <c r="HQ16" t="e">
        <f>'Effort Estimation'!362:362-"AM:!TN"</f>
        <v>#VALUE!</v>
      </c>
      <c r="HR16" t="e">
        <f>'Effort Estimation'!363:363-"AM:!TO"</f>
        <v>#VALUE!</v>
      </c>
      <c r="HS16" t="e">
        <f>'Effort Estimation'!364:364-"AM:!TP"</f>
        <v>#VALUE!</v>
      </c>
      <c r="HT16" t="e">
        <f>'Effort Estimation'!365:365-"AM:!TQ"</f>
        <v>#VALUE!</v>
      </c>
      <c r="HU16" t="e">
        <f>'Effort Estimation'!366:366-"AM:!TR"</f>
        <v>#VALUE!</v>
      </c>
      <c r="HV16" t="e">
        <f>'Effort Estimation'!367:367-"AM:!TS"</f>
        <v>#VALUE!</v>
      </c>
      <c r="HW16" t="e">
        <f>'Effort Estimation'!368:368-"AM:!TT"</f>
        <v>#VALUE!</v>
      </c>
      <c r="HX16" t="e">
        <f>'Effort Estimation'!369:369-"AM:!TU"</f>
        <v>#VALUE!</v>
      </c>
      <c r="HY16" t="e">
        <f>'Effort Estimation'!370:370-"AM:!TV"</f>
        <v>#VALUE!</v>
      </c>
      <c r="HZ16" t="e">
        <f>'Effort Estimation'!371:371-"AM:!TW"</f>
        <v>#VALUE!</v>
      </c>
      <c r="IA16" t="e">
        <f>'Effort Estimation'!372:372-"AM:!TX"</f>
        <v>#VALUE!</v>
      </c>
      <c r="IB16" t="e">
        <f>'Effort Estimation'!373:373-"AM:!TY"</f>
        <v>#VALUE!</v>
      </c>
      <c r="IC16" t="e">
        <f>'Effort Estimation'!374:374-"AM:!TZ"</f>
        <v>#VALUE!</v>
      </c>
      <c r="ID16" t="e">
        <f>'Effort Estimation'!375:375-"AM:!T["</f>
        <v>#VALUE!</v>
      </c>
      <c r="IE16" t="e">
        <f>'Effort Estimation'!376:376-"AM:!T\"</f>
        <v>#VALUE!</v>
      </c>
      <c r="IF16" t="e">
        <f>'Effort Estimation'!377:377-"AM:!T]"</f>
        <v>#VALUE!</v>
      </c>
      <c r="IG16" t="e">
        <f>'Effort Estimation'!378:378-"AM:!T^"</f>
        <v>#VALUE!</v>
      </c>
      <c r="IH16" t="e">
        <f>'Effort Estimation'!379:379-"AM:!T_"</f>
        <v>#VALUE!</v>
      </c>
      <c r="II16" t="e">
        <f>'Effort Estimation'!380:380-"AM:!T`"</f>
        <v>#VALUE!</v>
      </c>
      <c r="IJ16" t="e">
        <f>'Effort Estimation'!381:381-"AM:!Ta"</f>
        <v>#VALUE!</v>
      </c>
      <c r="IK16" t="e">
        <f>'Effort Estimation'!382:382-"AM:!Tb"</f>
        <v>#VALUE!</v>
      </c>
      <c r="IL16" t="e">
        <f>'Effort Estimation'!383:383-"AM:!Tc"</f>
        <v>#VALUE!</v>
      </c>
      <c r="IM16" t="e">
        <f>'Effort Estimation'!384:384-"AM:!Td"</f>
        <v>#VALUE!</v>
      </c>
      <c r="IN16" t="e">
        <f>'Effort Estimation'!385:385-"AM:!Te"</f>
        <v>#VALUE!</v>
      </c>
      <c r="IO16" t="e">
        <f>'Effort Estimation'!386:386-"AM:!Tf"</f>
        <v>#VALUE!</v>
      </c>
      <c r="IP16" t="e">
        <f>'Effort Estimation'!387:387-"AM:!Tg"</f>
        <v>#VALUE!</v>
      </c>
      <c r="IQ16" t="e">
        <f>'Effort Estimation'!388:388-"AM:!Th"</f>
        <v>#VALUE!</v>
      </c>
      <c r="IR16" t="e">
        <f>'Effort Estimation'!389:389-"AM:!Ti"</f>
        <v>#VALUE!</v>
      </c>
      <c r="IS16" t="e">
        <f>'Effort Estimation'!390:390-"AM:!Tj"</f>
        <v>#VALUE!</v>
      </c>
      <c r="IT16" t="e">
        <f>'Effort Estimation'!391:391-"AM:!Tk"</f>
        <v>#VALUE!</v>
      </c>
      <c r="IU16" t="e">
        <f>'Effort Estimation'!392:392-"AM:!Tl"</f>
        <v>#VALUE!</v>
      </c>
      <c r="IV16" t="e">
        <f>'Effort Estimation'!393:393-"AM:!Tm"</f>
        <v>#VALUE!</v>
      </c>
    </row>
    <row r="17" spans="6:256">
      <c r="F17" t="e">
        <f>'Effort Estimation'!394:394-"AM:!Tn"</f>
        <v>#VALUE!</v>
      </c>
      <c r="G17" t="e">
        <f>'Effort Estimation'!395:395-"AM:!To"</f>
        <v>#VALUE!</v>
      </c>
      <c r="H17" t="e">
        <f>'Effort Estimation'!396:396-"AM:!Tp"</f>
        <v>#VALUE!</v>
      </c>
      <c r="I17" t="e">
        <f>'Effort Estimation'!397:397-"AM:!Tq"</f>
        <v>#VALUE!</v>
      </c>
      <c r="J17" t="e">
        <f>'Effort Estimation'!398:398-"AM:!Tr"</f>
        <v>#VALUE!</v>
      </c>
      <c r="K17" t="e">
        <f>'Effort Estimation'!399:399-"AM:!Ts"</f>
        <v>#VALUE!</v>
      </c>
      <c r="L17" t="e">
        <f>'Effort Estimation'!400:400-"AM:!Tt"</f>
        <v>#VALUE!</v>
      </c>
      <c r="M17" t="e">
        <f>'Effort Estimation'!401:401-"AM:!Tu"</f>
        <v>#VALUE!</v>
      </c>
      <c r="N17" t="e">
        <f>'Effort Estimation'!402:402-"AM:!Tv"</f>
        <v>#VALUE!</v>
      </c>
      <c r="O17" t="e">
        <f>'Effort Estimation'!403:403-"AM:!Tw"</f>
        <v>#VALUE!</v>
      </c>
      <c r="P17" t="e">
        <f>'Effort Estimation'!404:404-"AM:!Tx"</f>
        <v>#VALUE!</v>
      </c>
      <c r="Q17" t="e">
        <f>'Effort Estimation'!405:405-"AM:!Ty"</f>
        <v>#VALUE!</v>
      </c>
      <c r="R17" t="e">
        <f>'Effort Estimation'!406:406-"AM:!Tz"</f>
        <v>#VALUE!</v>
      </c>
      <c r="S17" t="e">
        <f>'Effort Estimation'!407:407-"AM:!T{"</f>
        <v>#VALUE!</v>
      </c>
      <c r="T17" t="e">
        <f>'Effort Estimation'!408:408-"AM:!T|"</f>
        <v>#VALUE!</v>
      </c>
      <c r="U17" t="e">
        <f>'Effort Estimation'!409:409-"AM:!T}"</f>
        <v>#VALUE!</v>
      </c>
      <c r="V17" t="e">
        <f>'Effort Estimation'!410:410-"AM:!T~"</f>
        <v>#VALUE!</v>
      </c>
      <c r="W17" t="e">
        <f>'Effort Estimation'!411:411-"AM:!U#"</f>
        <v>#VALUE!</v>
      </c>
      <c r="X17" t="e">
        <f>'Effort Estimation'!412:412-"AM:!U$"</f>
        <v>#VALUE!</v>
      </c>
      <c r="Y17" t="e">
        <f>'Effort Estimation'!413:413-"AM:!U%"</f>
        <v>#VALUE!</v>
      </c>
      <c r="Z17" t="e">
        <f>'Effort Estimation'!414:414-"AM:!U&amp;"</f>
        <v>#VALUE!</v>
      </c>
      <c r="AA17" t="e">
        <f>'Effort Estimation'!415:415-"AM:!U'"</f>
        <v>#VALUE!</v>
      </c>
      <c r="AB17" t="e">
        <f>'Effort Estimation'!416:416-"AM:!U("</f>
        <v>#VALUE!</v>
      </c>
      <c r="AC17" t="e">
        <f>'Effort Estimation'!417:417-"AM:!U)"</f>
        <v>#VALUE!</v>
      </c>
      <c r="AD17" t="e">
        <f>'Effort Estimation'!418:418-"AM:!U."</f>
        <v>#VALUE!</v>
      </c>
      <c r="AE17" t="e">
        <f>'Effort Estimation'!419:419-"AM:!U/"</f>
        <v>#VALUE!</v>
      </c>
      <c r="AF17" t="e">
        <f>'Effort Estimation'!420:420-"AM:!U0"</f>
        <v>#VALUE!</v>
      </c>
      <c r="AG17" t="e">
        <f>'Effort Estimation'!421:421-"AM:!U1"</f>
        <v>#VALUE!</v>
      </c>
      <c r="AH17" t="e">
        <f>'Effort Estimation'!422:422-"AM:!U2"</f>
        <v>#VALUE!</v>
      </c>
      <c r="AI17" t="e">
        <f>'Effort Estimation'!423:423-"AM:!U3"</f>
        <v>#VALUE!</v>
      </c>
      <c r="AJ17" t="e">
        <f>'Effort Estimation'!424:424-"AM:!U4"</f>
        <v>#VALUE!</v>
      </c>
      <c r="AK17" t="e">
        <f>'Effort Estimation'!425:425-"AM:!U5"</f>
        <v>#VALUE!</v>
      </c>
      <c r="AL17" t="e">
        <f>'Effort Estimation'!426:426-"AM:!U6"</f>
        <v>#VALUE!</v>
      </c>
      <c r="AM17" t="e">
        <f>'Effort Estimation'!427:427-"AM:!U7"</f>
        <v>#VALUE!</v>
      </c>
      <c r="AN17" t="e">
        <f>'Effort Estimation'!428:428-"AM:!U8"</f>
        <v>#VALUE!</v>
      </c>
      <c r="AO17" t="e">
        <f>'Effort Estimation'!429:429-"AM:!U9"</f>
        <v>#VALUE!</v>
      </c>
      <c r="AP17" t="e">
        <f>'Effort Estimation'!430:430-"AM:!U:"</f>
        <v>#VALUE!</v>
      </c>
      <c r="AQ17" t="e">
        <f>'Effort Estimation'!431:431-"AM:!U;"</f>
        <v>#VALUE!</v>
      </c>
      <c r="AR17" t="e">
        <f>'Effort Estimation'!432:432-"AM:!U&lt;"</f>
        <v>#VALUE!</v>
      </c>
      <c r="AS17" t="e">
        <f>'Effort Estimation'!433:433-"AM:!U="</f>
        <v>#VALUE!</v>
      </c>
      <c r="AT17" t="e">
        <f>'Effort Estimation'!434:434-"AM:!U&gt;"</f>
        <v>#VALUE!</v>
      </c>
      <c r="AU17" t="e">
        <f>'Effort Estimation'!435:435-"AM:!U?"</f>
        <v>#VALUE!</v>
      </c>
      <c r="AV17" t="e">
        <f>'Effort Estimation'!436:436-"AM:!U@"</f>
        <v>#VALUE!</v>
      </c>
      <c r="AW17" t="e">
        <f>'Effort Estimation'!437:437-"AM:!UA"</f>
        <v>#VALUE!</v>
      </c>
      <c r="AX17" t="e">
        <f>'Effort Estimation'!438:438-"AM:!UB"</f>
        <v>#VALUE!</v>
      </c>
      <c r="AY17" t="e">
        <f>'Effort Estimation'!439:439-"AM:!UC"</f>
        <v>#VALUE!</v>
      </c>
      <c r="AZ17" t="e">
        <f>'Effort Estimation'!440:440-"AM:!UD"</f>
        <v>#VALUE!</v>
      </c>
      <c r="BA17" t="e">
        <f>'Effort Estimation'!441:441-"AM:!UE"</f>
        <v>#VALUE!</v>
      </c>
      <c r="BB17" t="e">
        <f>'Effort Estimation'!442:442-"AM:!UF"</f>
        <v>#VALUE!</v>
      </c>
      <c r="BC17" t="e">
        <f>'Effort Estimation'!443:443-"AM:!UG"</f>
        <v>#VALUE!</v>
      </c>
      <c r="BD17" t="e">
        <f>'Effort Estimation'!444:444-"AM:!UH"</f>
        <v>#VALUE!</v>
      </c>
      <c r="BE17" t="e">
        <f>'Effort Estimation'!445:445-"AM:!UI"</f>
        <v>#VALUE!</v>
      </c>
      <c r="BF17" t="e">
        <f>'Effort Estimation'!446:446-"AM:!UJ"</f>
        <v>#VALUE!</v>
      </c>
      <c r="BG17" t="e">
        <f>'Effort Estimation'!447:447-"AM:!UK"</f>
        <v>#VALUE!</v>
      </c>
      <c r="BH17" t="e">
        <f>'Effort Estimation'!448:448-"AM:!UL"</f>
        <v>#VALUE!</v>
      </c>
      <c r="BI17" t="e">
        <f>'Effort Estimation'!449:449-"AM:!UM"</f>
        <v>#VALUE!</v>
      </c>
      <c r="BJ17" t="e">
        <f>'Effort Estimation'!450:450-"AM:!UN"</f>
        <v>#VALUE!</v>
      </c>
      <c r="BK17" t="e">
        <f>'Effort Estimation'!451:451-"AM:!UO"</f>
        <v>#VALUE!</v>
      </c>
      <c r="BL17" t="e">
        <f>'Effort Estimation'!452:452-"AM:!UP"</f>
        <v>#VALUE!</v>
      </c>
      <c r="BM17" t="e">
        <f>'Effort Estimation'!453:453-"AM:!UQ"</f>
        <v>#VALUE!</v>
      </c>
      <c r="BN17" t="e">
        <f>'Effort Estimation'!454:454-"AM:!UR"</f>
        <v>#VALUE!</v>
      </c>
      <c r="BO17" t="e">
        <f>'Effort Estimation'!455:455-"AM:!US"</f>
        <v>#VALUE!</v>
      </c>
      <c r="BP17" t="e">
        <f>'Effort Estimation'!456:456-"AM:!UT"</f>
        <v>#VALUE!</v>
      </c>
      <c r="BQ17" t="e">
        <f>'Effort Estimation'!457:457-"AM:!UU"</f>
        <v>#VALUE!</v>
      </c>
      <c r="BR17" t="e">
        <f>'Effort Estimation'!458:458-"AM:!UV"</f>
        <v>#VALUE!</v>
      </c>
      <c r="BS17" t="e">
        <f>'Effort Estimation'!459:459-"AM:!UW"</f>
        <v>#VALUE!</v>
      </c>
      <c r="BT17" t="e">
        <f>'Effort Estimation'!460:460-"AM:!UX"</f>
        <v>#VALUE!</v>
      </c>
      <c r="BU17" t="e">
        <f>'Effort Estimation'!461:461-"AM:!UY"</f>
        <v>#VALUE!</v>
      </c>
      <c r="BV17" t="e">
        <f>'Effort Estimation'!462:462-"AM:!UZ"</f>
        <v>#VALUE!</v>
      </c>
      <c r="BW17" t="e">
        <f>'Effort Estimation'!463:463-"AM:!U["</f>
        <v>#VALUE!</v>
      </c>
      <c r="BX17" t="e">
        <f>'Effort Estimation'!464:464-"AM:!U\"</f>
        <v>#VALUE!</v>
      </c>
      <c r="BY17" t="e">
        <f>'Effort Estimation'!465:465-"AM:!U]"</f>
        <v>#VALUE!</v>
      </c>
      <c r="BZ17" t="e">
        <f>'Effort Estimation'!466:466-"AM:!U^"</f>
        <v>#VALUE!</v>
      </c>
      <c r="CA17" t="e">
        <f>'Effort Estimation'!467:467-"AM:!U_"</f>
        <v>#VALUE!</v>
      </c>
      <c r="CB17" t="e">
        <f>'Effort Estimation'!468:468-"AM:!U`"</f>
        <v>#VALUE!</v>
      </c>
      <c r="CC17" t="e">
        <f>'Effort Estimation'!469:469-"AM:!Ua"</f>
        <v>#VALUE!</v>
      </c>
      <c r="CD17" t="e">
        <f>'Effort Estimation'!470:470-"AM:!Ub"</f>
        <v>#VALUE!</v>
      </c>
      <c r="CE17" t="e">
        <f>'Effort Estimation'!471:471-"AM:!Uc"</f>
        <v>#VALUE!</v>
      </c>
      <c r="CF17" t="e">
        <f>'Effort Estimation'!472:472-"AM:!Ud"</f>
        <v>#VALUE!</v>
      </c>
      <c r="CG17" t="e">
        <f>'Effort Estimation'!473:473-"AM:!Ue"</f>
        <v>#VALUE!</v>
      </c>
      <c r="CH17" t="e">
        <f>'Effort Estimation'!474:474-"AM:!Uf"</f>
        <v>#VALUE!</v>
      </c>
      <c r="CI17" t="e">
        <f>'Effort Estimation'!475:475-"AM:!Ug"</f>
        <v>#VALUE!</v>
      </c>
      <c r="CJ17" t="e">
        <f>'Effort Estimation'!476:476-"AM:!Uh"</f>
        <v>#VALUE!</v>
      </c>
      <c r="CK17" t="e">
        <f>'Effort Estimation'!477:477-"AM:!Ui"</f>
        <v>#VALUE!</v>
      </c>
      <c r="CL17" t="e">
        <f>'Effort Estimation'!478:478-"AM:!Uj"</f>
        <v>#VALUE!</v>
      </c>
      <c r="CM17" t="e">
        <f>'Effort Estimation'!479:479-"AM:!Uk"</f>
        <v>#VALUE!</v>
      </c>
      <c r="CN17" t="e">
        <f>'Effort Estimation'!480:480-"AM:!Ul"</f>
        <v>#VALUE!</v>
      </c>
      <c r="CO17" t="e">
        <f>'Effort Estimation'!481:481-"AM:!Um"</f>
        <v>#VALUE!</v>
      </c>
      <c r="CP17" t="e">
        <f>'Effort Estimation'!482:482-"AM:!Un"</f>
        <v>#VALUE!</v>
      </c>
      <c r="CQ17" t="e">
        <f>'Effort Estimation'!483:483-"AM:!Uo"</f>
        <v>#VALUE!</v>
      </c>
      <c r="CR17" t="e">
        <f>'Effort Estimation'!484:484-"AM:!Up"</f>
        <v>#VALUE!</v>
      </c>
      <c r="CS17" t="e">
        <f>'Effort Estimation'!485:485-"AM:!Uq"</f>
        <v>#VALUE!</v>
      </c>
      <c r="CT17" t="e">
        <f>'Effort Estimation'!486:486-"AM:!Ur"</f>
        <v>#VALUE!</v>
      </c>
      <c r="CU17" t="e">
        <f>'Effort Estimation'!487:487-"AM:!Us"</f>
        <v>#VALUE!</v>
      </c>
      <c r="CV17" t="e">
        <f>'Effort Estimation'!488:488-"AM:!Ut"</f>
        <v>#VALUE!</v>
      </c>
      <c r="CW17" t="e">
        <f>'Effort Estimation'!489:489-"AM:!Uu"</f>
        <v>#VALUE!</v>
      </c>
      <c r="CX17" t="e">
        <f>'Effort Estimation'!490:490-"AM:!Uv"</f>
        <v>#VALUE!</v>
      </c>
      <c r="CY17" t="e">
        <f>'Effort Estimation'!491:491-"AM:!Uw"</f>
        <v>#VALUE!</v>
      </c>
      <c r="CZ17" t="e">
        <f>'Effort Estimation'!492:492-"AM:!Ux"</f>
        <v>#VALUE!</v>
      </c>
      <c r="DA17" t="e">
        <f>'Effort Estimation'!493:493-"AM:!Uy"</f>
        <v>#VALUE!</v>
      </c>
      <c r="DB17" t="e">
        <f>'Effort Estimation'!494:494-"AM:!Uz"</f>
        <v>#VALUE!</v>
      </c>
      <c r="DC17" t="e">
        <f>'Effort Estimation'!495:495-"AM:!U{"</f>
        <v>#VALUE!</v>
      </c>
      <c r="DD17" t="e">
        <f>'Effort Estimation'!496:496-"AM:!U|"</f>
        <v>#VALUE!</v>
      </c>
      <c r="DE17" t="e">
        <f>'Effort Estimation'!497:497-"AM:!U}"</f>
        <v>#VALUE!</v>
      </c>
      <c r="DF17" t="e">
        <f>'Effort Estimation'!498:498-"AM:!U~"</f>
        <v>#VALUE!</v>
      </c>
      <c r="DG17" t="e">
        <f>'Effort Estimation'!499:499-"AM:!V#"</f>
        <v>#VALUE!</v>
      </c>
      <c r="DH17" t="e">
        <f>'Effort Estimation'!500:500-"AM:!V$"</f>
        <v>#VALUE!</v>
      </c>
      <c r="DI17" t="e">
        <f>'Effort Estimation'!501:501-"AM:!V%"</f>
        <v>#VALUE!</v>
      </c>
      <c r="DJ17" t="e">
        <f>'Effort Estimation'!502:502-"AM:!V&amp;"</f>
        <v>#VALUE!</v>
      </c>
      <c r="DK17" t="e">
        <f>'Effort Estimation'!503:503-"AM:!V'"</f>
        <v>#VALUE!</v>
      </c>
      <c r="DL17" t="e">
        <f>'Effort Estimation'!504:504-"AM:!V("</f>
        <v>#VALUE!</v>
      </c>
      <c r="DM17" t="e">
        <f>'Effort Estimation'!505:505-"AM:!V)"</f>
        <v>#VALUE!</v>
      </c>
      <c r="DN17" t="e">
        <f>'Effort Estimation'!506:506-"AM:!V."</f>
        <v>#VALUE!</v>
      </c>
      <c r="DO17" t="e">
        <f>'Effort Estimation'!507:507-"AM:!V/"</f>
        <v>#VALUE!</v>
      </c>
      <c r="DP17" t="e">
        <f>'Effort Estimation'!508:508-"AM:!V0"</f>
        <v>#VALUE!</v>
      </c>
      <c r="DQ17" t="e">
        <f>'Effort Estimation'!509:509-"AM:!V1"</f>
        <v>#VALUE!</v>
      </c>
      <c r="DR17" t="e">
        <f>'Effort Estimation'!510:510-"AM:!V2"</f>
        <v>#VALUE!</v>
      </c>
      <c r="DS17" t="e">
        <f>'Effort Estimation'!511:511-"AM:!V3"</f>
        <v>#VALUE!</v>
      </c>
      <c r="DT17" t="e">
        <f>'Effort Estimation'!512:512-"AM:!V4"</f>
        <v>#VALUE!</v>
      </c>
      <c r="DU17" t="e">
        <f>'Effort Estimation'!513:513-"AM:!V5"</f>
        <v>#VALUE!</v>
      </c>
      <c r="DV17" t="e">
        <f>'Effort Estimation'!514:514-"AM:!V6"</f>
        <v>#VALUE!</v>
      </c>
      <c r="DW17" t="e">
        <f>'Effort Estimation'!515:515-"AM:!V7"</f>
        <v>#VALUE!</v>
      </c>
      <c r="DX17" t="e">
        <f>'Effort Estimation'!516:516-"AM:!V8"</f>
        <v>#VALUE!</v>
      </c>
      <c r="DY17" t="e">
        <f>'Effort Estimation'!517:517-"AM:!V9"</f>
        <v>#VALUE!</v>
      </c>
      <c r="DZ17" t="e">
        <f>'Effort Estimation'!518:518-"AM:!V:"</f>
        <v>#VALUE!</v>
      </c>
      <c r="EA17" t="e">
        <f>'Effort Estimation'!519:519-"AM:!V;"</f>
        <v>#VALUE!</v>
      </c>
      <c r="EB17" t="e">
        <f>'Effort Estimation'!520:520-"AM:!V&lt;"</f>
        <v>#VALUE!</v>
      </c>
      <c r="EC17" t="e">
        <f>'Effort Estimation'!521:521-"AM:!V="</f>
        <v>#VALUE!</v>
      </c>
      <c r="ED17" t="e">
        <f>'Effort Estimation'!522:522-"AM:!V&gt;"</f>
        <v>#VALUE!</v>
      </c>
      <c r="EE17" t="e">
        <f>'Effort Estimation'!523:523-"AM:!V?"</f>
        <v>#VALUE!</v>
      </c>
      <c r="EF17" t="e">
        <f>'Effort Estimation'!524:524-"AM:!V@"</f>
        <v>#VALUE!</v>
      </c>
      <c r="EG17" t="e">
        <f>'Effort Estimation'!525:525-"AM:!VA"</f>
        <v>#VALUE!</v>
      </c>
      <c r="EH17" t="e">
        <f>'Effort Estimation'!526:526-"AM:!VB"</f>
        <v>#VALUE!</v>
      </c>
      <c r="EI17" t="e">
        <f>'Effort Estimation'!527:527-"AM:!VC"</f>
        <v>#VALUE!</v>
      </c>
      <c r="EJ17" t="e">
        <f>'Effort Estimation'!528:528-"AM:!VD"</f>
        <v>#VALUE!</v>
      </c>
      <c r="EK17" t="e">
        <f>'Effort Estimation'!529:529-"AM:!VE"</f>
        <v>#VALUE!</v>
      </c>
      <c r="EL17" t="e">
        <f>'Effort Estimation'!530:530-"AM:!VF"</f>
        <v>#VALUE!</v>
      </c>
      <c r="EM17" t="e">
        <f>'Effort Estimation'!531:531-"AM:!VG"</f>
        <v>#VALUE!</v>
      </c>
      <c r="EN17" t="e">
        <f>'Effort Estimation'!532:532-"AM:!VH"</f>
        <v>#VALUE!</v>
      </c>
      <c r="EO17" t="e">
        <f>'Effort Estimation'!533:533-"AM:!VI"</f>
        <v>#VALUE!</v>
      </c>
      <c r="EP17" t="e">
        <f>'Effort Estimation'!534:534-"AM:!VJ"</f>
        <v>#VALUE!</v>
      </c>
      <c r="EQ17" t="e">
        <f>'Effort Estimation'!535:535-"AM:!VK"</f>
        <v>#VALUE!</v>
      </c>
      <c r="ER17" t="e">
        <f>'Effort Estimation'!536:536-"AM:!VL"</f>
        <v>#VALUE!</v>
      </c>
      <c r="ES17" t="e">
        <f>'Effort Estimation'!537:537-"AM:!VM"</f>
        <v>#VALUE!</v>
      </c>
      <c r="ET17" t="e">
        <f>'Effort Estimation'!538:538-"AM:!VN"</f>
        <v>#VALUE!</v>
      </c>
      <c r="EU17" t="e">
        <f>'Effort Estimation'!539:539-"AM:!VO"</f>
        <v>#VALUE!</v>
      </c>
      <c r="EV17" t="e">
        <f>'Effort Estimation'!540:540-"AM:!VP"</f>
        <v>#VALUE!</v>
      </c>
      <c r="EW17" t="e">
        <f>'Effort Estimation'!541:541-"AM:!VQ"</f>
        <v>#VALUE!</v>
      </c>
      <c r="EX17" t="e">
        <f>'Effort Estimation'!542:542-"AM:!VR"</f>
        <v>#VALUE!</v>
      </c>
      <c r="EY17" t="e">
        <f>'Effort Estimation'!543:543-"AM:!VS"</f>
        <v>#VALUE!</v>
      </c>
      <c r="EZ17" t="e">
        <f>'Effort Estimation'!544:544-"AM:!VT"</f>
        <v>#VALUE!</v>
      </c>
      <c r="FA17" t="e">
        <f>'Effort Estimation'!545:545-"AM:!VU"</f>
        <v>#VALUE!</v>
      </c>
      <c r="FB17" t="e">
        <f>'Effort Estimation'!546:546-"AM:!VV"</f>
        <v>#VALUE!</v>
      </c>
      <c r="FC17" t="e">
        <f>'Effort Estimation'!547:547-"AM:!VW"</f>
        <v>#VALUE!</v>
      </c>
      <c r="FD17" t="e">
        <f>'Effort Estimation'!548:548-"AM:!VX"</f>
        <v>#VALUE!</v>
      </c>
      <c r="FE17" t="e">
        <f>'Effort Estimation'!549:549-"AM:!VY"</f>
        <v>#VALUE!</v>
      </c>
      <c r="FF17" t="e">
        <f>'Effort Estimation'!550:550-"AM:!VZ"</f>
        <v>#VALUE!</v>
      </c>
      <c r="FG17" t="e">
        <f>'Effort Estimation'!551:551-"AM:!V["</f>
        <v>#VALUE!</v>
      </c>
      <c r="FH17" t="e">
        <f>'Effort Estimation'!552:552-"AM:!V\"</f>
        <v>#VALUE!</v>
      </c>
      <c r="FI17" t="e">
        <f>'Effort Estimation'!553:553-"AM:!V]"</f>
        <v>#VALUE!</v>
      </c>
      <c r="FJ17" t="e">
        <f>'Effort Estimation'!554:554-"AM:!V^"</f>
        <v>#VALUE!</v>
      </c>
      <c r="FK17" t="e">
        <f>'Effort Estimation'!555:555-"AM:!V_"</f>
        <v>#VALUE!</v>
      </c>
      <c r="FL17" t="e">
        <f>'Effort Estimation'!556:556-"AM:!V`"</f>
        <v>#VALUE!</v>
      </c>
      <c r="FM17" t="e">
        <f>'Effort Estimation'!557:557-"AM:!Va"</f>
        <v>#VALUE!</v>
      </c>
      <c r="FN17" t="e">
        <f>'Effort Estimation'!558:558-"AM:!Vb"</f>
        <v>#VALUE!</v>
      </c>
      <c r="FO17" t="e">
        <f>'Effort Estimation'!559:559-"AM:!Vc"</f>
        <v>#VALUE!</v>
      </c>
      <c r="FP17" t="e">
        <f>'Effort Estimation'!560:560-"AM:!Vd"</f>
        <v>#VALUE!</v>
      </c>
      <c r="FQ17" t="e">
        <f>'Effort Estimation'!561:561-"AM:!Ve"</f>
        <v>#VALUE!</v>
      </c>
      <c r="FR17" t="e">
        <f>'Effort Estimation'!562:562-"AM:!Vf"</f>
        <v>#VALUE!</v>
      </c>
      <c r="FS17" t="e">
        <f>'Effort Estimation'!563:563-"AM:!Vg"</f>
        <v>#VALUE!</v>
      </c>
      <c r="FT17" t="e">
        <f>'Effort Estimation'!564:564-"AM:!Vh"</f>
        <v>#VALUE!</v>
      </c>
      <c r="FU17" t="e">
        <f>'Effort Estimation'!565:565-"AM:!Vi"</f>
        <v>#VALUE!</v>
      </c>
      <c r="FV17" t="e">
        <f>'Effort Estimation'!566:566-"AM:!Vj"</f>
        <v>#VALUE!</v>
      </c>
      <c r="FW17" t="e">
        <f>'Effort Estimation'!567:567-"AM:!Vk"</f>
        <v>#VALUE!</v>
      </c>
      <c r="FX17" t="e">
        <f>'Effort Estimation'!568:568-"AM:!Vl"</f>
        <v>#VALUE!</v>
      </c>
      <c r="FY17" t="e">
        <f>'Effort Estimation'!569:569-"AM:!Vm"</f>
        <v>#VALUE!</v>
      </c>
      <c r="FZ17" t="e">
        <f>'Effort Estimation'!570:570-"AM:!Vn"</f>
        <v>#VALUE!</v>
      </c>
      <c r="GA17" t="e">
        <f>'Effort Estimation'!571:571-"AM:!Vo"</f>
        <v>#VALUE!</v>
      </c>
      <c r="GB17" t="e">
        <f>'Effort Estimation'!572:572-"AM:!Vp"</f>
        <v>#VALUE!</v>
      </c>
      <c r="GC17" t="e">
        <f>'Effort Estimation'!573:573-"AM:!Vq"</f>
        <v>#VALUE!</v>
      </c>
      <c r="GD17" t="e">
        <f>'Effort Estimation'!574:574-"AM:!Vr"</f>
        <v>#VALUE!</v>
      </c>
      <c r="GE17" t="e">
        <f>'Effort Estimation'!575:575-"AM:!Vs"</f>
        <v>#VALUE!</v>
      </c>
      <c r="GF17" t="e">
        <f>'Effort Estimation'!576:576-"AM:!Vt"</f>
        <v>#VALUE!</v>
      </c>
      <c r="GG17" t="e">
        <f>'Effort Estimation'!577:577-"AM:!Vu"</f>
        <v>#VALUE!</v>
      </c>
      <c r="GH17" t="e">
        <f>'Effort Estimation'!578:578-"AM:!Vv"</f>
        <v>#VALUE!</v>
      </c>
      <c r="GI17" t="e">
        <f>'Effort Estimation'!579:579-"AM:!Vw"</f>
        <v>#VALUE!</v>
      </c>
      <c r="GJ17" t="e">
        <f>'Effort Estimation'!580:580-"AM:!Vx"</f>
        <v>#VALUE!</v>
      </c>
      <c r="GK17" t="e">
        <f>'Effort Estimation'!581:581-"AM:!Vy"</f>
        <v>#VALUE!</v>
      </c>
      <c r="GL17" t="e">
        <f>'Effort Estimation'!582:582-"AM:!Vz"</f>
        <v>#VALUE!</v>
      </c>
      <c r="GM17" t="e">
        <f>'Effort Estimation'!583:583-"AM:!V{"</f>
        <v>#VALUE!</v>
      </c>
      <c r="GN17" t="e">
        <f>'Effort Estimation'!584:584-"AM:!V|"</f>
        <v>#VALUE!</v>
      </c>
      <c r="GO17" t="e">
        <f>'Effort Estimation'!585:585-"AM:!V}"</f>
        <v>#VALUE!</v>
      </c>
      <c r="GP17" t="e">
        <f>'Effort Estimation'!586:586-"AM:!V~"</f>
        <v>#VALUE!</v>
      </c>
      <c r="GQ17" t="e">
        <f>'Effort Estimation'!587:587-"AM:!W#"</f>
        <v>#VALUE!</v>
      </c>
      <c r="GR17" t="e">
        <f>'Effort Estimation'!588:588-"AM:!W$"</f>
        <v>#VALUE!</v>
      </c>
      <c r="GS17" t="e">
        <f>'Effort Estimation'!589:589-"AM:!W%"</f>
        <v>#VALUE!</v>
      </c>
      <c r="GT17" t="e">
        <f>'Effort Estimation'!590:590-"AM:!W&amp;"</f>
        <v>#VALUE!</v>
      </c>
      <c r="GU17" t="e">
        <f>'Effort Estimation'!591:591-"AM:!W'"</f>
        <v>#VALUE!</v>
      </c>
      <c r="GV17" t="e">
        <f>'Effort Estimation'!592:592-"AM:!W("</f>
        <v>#VALUE!</v>
      </c>
      <c r="GW17" t="e">
        <f>'Effort Estimation'!593:593-"AM:!W)"</f>
        <v>#VALUE!</v>
      </c>
      <c r="GX17" t="e">
        <f>'Effort Estimation'!594:594-"AM:!W."</f>
        <v>#VALUE!</v>
      </c>
      <c r="GY17" t="e">
        <f>'Effort Estimation'!595:595-"AM:!W/"</f>
        <v>#VALUE!</v>
      </c>
      <c r="GZ17" t="e">
        <f>'Effort Estimation'!596:596-"AM:!W0"</f>
        <v>#VALUE!</v>
      </c>
      <c r="HA17" t="e">
        <f>'Effort Estimation'!597:597-"AM:!W1"</f>
        <v>#VALUE!</v>
      </c>
      <c r="HB17" t="e">
        <f>'Effort Estimation'!598:598-"AM:!W2"</f>
        <v>#VALUE!</v>
      </c>
      <c r="HC17" t="e">
        <f>'Effort Estimation'!599:599-"AM:!W3"</f>
        <v>#VALUE!</v>
      </c>
      <c r="HD17" t="e">
        <f>'Effort Estimation'!600:600-"AM:!W4"</f>
        <v>#VALUE!</v>
      </c>
      <c r="HE17" t="e">
        <f>'Effort Estimation'!601:601-"AM:!W5"</f>
        <v>#VALUE!</v>
      </c>
      <c r="HF17" t="e">
        <f>'Effort Estimation'!602:602-"AM:!W6"</f>
        <v>#VALUE!</v>
      </c>
      <c r="HG17" t="e">
        <f>'Effort Estimation'!603:603-"AM:!W7"</f>
        <v>#VALUE!</v>
      </c>
      <c r="HH17" t="e">
        <f>'Effort Estimation'!604:604-"AM:!W8"</f>
        <v>#VALUE!</v>
      </c>
      <c r="HI17" t="e">
        <f>'Effort Estimation'!605:605-"AM:!W9"</f>
        <v>#VALUE!</v>
      </c>
      <c r="HJ17" t="e">
        <f>'Effort Estimation'!606:606-"AM:!W:"</f>
        <v>#VALUE!</v>
      </c>
      <c r="HK17" t="e">
        <f>'Effort Estimation'!607:607-"AM:!W;"</f>
        <v>#VALUE!</v>
      </c>
      <c r="HL17" t="e">
        <f>'Effort Estimation'!608:608-"AM:!W&lt;"</f>
        <v>#VALUE!</v>
      </c>
      <c r="HM17" t="e">
        <f>'Effort Estimation'!609:609-"AM:!W="</f>
        <v>#VALUE!</v>
      </c>
      <c r="HN17" t="e">
        <f>'Effort Estimation'!610:610-"AM:!W&gt;"</f>
        <v>#VALUE!</v>
      </c>
      <c r="HO17" t="e">
        <f>'Effort Estimation'!611:611-"AM:!W?"</f>
        <v>#VALUE!</v>
      </c>
      <c r="HP17" t="e">
        <f>'Effort Estimation'!612:612-"AM:!W@"</f>
        <v>#VALUE!</v>
      </c>
      <c r="HQ17" t="e">
        <f>'Effort Estimation'!613:613-"AM:!WA"</f>
        <v>#VALUE!</v>
      </c>
      <c r="HR17" t="e">
        <f>'Effort Estimation'!614:614-"AM:!WB"</f>
        <v>#VALUE!</v>
      </c>
      <c r="HS17" t="e">
        <f>'Effort Estimation'!615:615-"AM:!WC"</f>
        <v>#VALUE!</v>
      </c>
      <c r="HT17" t="e">
        <f>'Effort Estimation'!616:616-"AM:!WD"</f>
        <v>#VALUE!</v>
      </c>
      <c r="HU17" t="e">
        <f>'Effort Estimation'!617:617-"AM:!WE"</f>
        <v>#VALUE!</v>
      </c>
      <c r="HV17" t="e">
        <f>'Effort Estimation'!618:618-"AM:!WF"</f>
        <v>#VALUE!</v>
      </c>
      <c r="HW17" t="e">
        <f>'Effort Estimation'!619:619-"AM:!WG"</f>
        <v>#VALUE!</v>
      </c>
      <c r="HX17" t="e">
        <f>'Effort Estimation'!620:620-"AM:!WH"</f>
        <v>#VALUE!</v>
      </c>
      <c r="HY17" t="e">
        <f>'Effort Estimation'!621:621-"AM:!WI"</f>
        <v>#VALUE!</v>
      </c>
      <c r="HZ17" t="e">
        <f>'Effort Estimation'!622:622-"AM:!WJ"</f>
        <v>#VALUE!</v>
      </c>
      <c r="IA17" t="e">
        <f>'Effort Estimation'!623:623-"AM:!WK"</f>
        <v>#VALUE!</v>
      </c>
      <c r="IB17" t="e">
        <f>'Effort Estimation'!624:624-"AM:!WL"</f>
        <v>#VALUE!</v>
      </c>
      <c r="IC17" t="e">
        <f>'Effort Estimation'!625:625-"AM:!WM"</f>
        <v>#VALUE!</v>
      </c>
      <c r="ID17" t="e">
        <f>'Effort Estimation'!626:626-"AM:!WN"</f>
        <v>#VALUE!</v>
      </c>
      <c r="IE17" t="e">
        <f>'Effort Estimation'!627:627-"AM:!WO"</f>
        <v>#VALUE!</v>
      </c>
      <c r="IF17" t="e">
        <f>'Effort Estimation'!628:628-"AM:!WP"</f>
        <v>#VALUE!</v>
      </c>
      <c r="IG17" t="e">
        <f>'Effort Estimation'!629:629-"AM:!WQ"</f>
        <v>#VALUE!</v>
      </c>
      <c r="IH17" t="e">
        <f>'Effort Estimation'!630:630-"AM:!WR"</f>
        <v>#VALUE!</v>
      </c>
      <c r="II17" t="e">
        <f>'Effort Estimation'!631:631-"AM:!WS"</f>
        <v>#VALUE!</v>
      </c>
      <c r="IJ17" t="e">
        <f>'Effort Estimation'!632:632-"AM:!WT"</f>
        <v>#VALUE!</v>
      </c>
      <c r="IK17" t="e">
        <f>'Effort Estimation'!633:633-"AM:!WU"</f>
        <v>#VALUE!</v>
      </c>
      <c r="IL17" t="e">
        <f>'Effort Estimation'!634:634-"AM:!WV"</f>
        <v>#VALUE!</v>
      </c>
      <c r="IM17" t="e">
        <f>'Effort Estimation'!635:635-"AM:!WW"</f>
        <v>#VALUE!</v>
      </c>
      <c r="IN17" t="e">
        <f>'Effort Estimation'!636:636-"AM:!WX"</f>
        <v>#VALUE!</v>
      </c>
      <c r="IO17" t="e">
        <f>'Effort Estimation'!637:637-"AM:!WY"</f>
        <v>#VALUE!</v>
      </c>
      <c r="IP17" t="e">
        <f>'Effort Estimation'!638:638-"AM:!WZ"</f>
        <v>#VALUE!</v>
      </c>
      <c r="IQ17" t="e">
        <f>'Effort Estimation'!639:639-"AM:!W["</f>
        <v>#VALUE!</v>
      </c>
      <c r="IR17" t="e">
        <f>'Effort Estimation'!640:640-"AM:!W\"</f>
        <v>#VALUE!</v>
      </c>
      <c r="IS17" t="e">
        <f>'Effort Estimation'!641:641-"AM:!W]"</f>
        <v>#VALUE!</v>
      </c>
      <c r="IT17" t="e">
        <f>'Effort Estimation'!642:642-"AM:!W^"</f>
        <v>#VALUE!</v>
      </c>
      <c r="IU17" t="e">
        <f>'Effort Estimation'!643:643-"AM:!W_"</f>
        <v>#VALUE!</v>
      </c>
      <c r="IV17" t="e">
        <f>'Effort Estimation'!644:644-"AM:!W`"</f>
        <v>#VALUE!</v>
      </c>
    </row>
    <row r="18" spans="6:256">
      <c r="F18" t="e">
        <f>'Effort Estimation'!645:645-"AM:!Wa"</f>
        <v>#VALUE!</v>
      </c>
      <c r="G18" t="e">
        <f>'Effort Estimation'!646:646-"AM:!Wb"</f>
        <v>#VALUE!</v>
      </c>
      <c r="H18" t="e">
        <f>'Effort Estimation'!647:647-"AM:!Wc"</f>
        <v>#VALUE!</v>
      </c>
      <c r="I18" t="e">
        <f>'Effort Estimation'!648:648-"AM:!Wd"</f>
        <v>#VALUE!</v>
      </c>
      <c r="J18" t="e">
        <f>'Effort Estimation'!649:649-"AM:!We"</f>
        <v>#VALUE!</v>
      </c>
      <c r="K18" t="e">
        <f>'Effort Estimation'!650:650-"AM:!Wf"</f>
        <v>#VALUE!</v>
      </c>
      <c r="L18" t="e">
        <f>'Effort Estimation'!651:651-"AM:!Wg"</f>
        <v>#VALUE!</v>
      </c>
      <c r="M18" t="e">
        <f>'Effort Estimation'!652:652-"AM:!Wh"</f>
        <v>#VALUE!</v>
      </c>
      <c r="N18" t="e">
        <f>'Effort Estimation'!653:653-"AM:!Wi"</f>
        <v>#VALUE!</v>
      </c>
      <c r="O18" t="e">
        <f>'Effort Estimation'!654:654-"AM:!Wj"</f>
        <v>#VALUE!</v>
      </c>
      <c r="P18" t="e">
        <f>'Effort Estimation'!655:655-"AM:!Wk"</f>
        <v>#VALUE!</v>
      </c>
      <c r="Q18" t="e">
        <f>'Effort Estimation'!656:656-"AM:!Wl"</f>
        <v>#VALUE!</v>
      </c>
      <c r="R18" t="e">
        <f>'Effort Estimation'!657:657-"AM:!Wm"</f>
        <v>#VALUE!</v>
      </c>
      <c r="S18" t="e">
        <f>'Effort Estimation'!658:658-"AM:!Wn"</f>
        <v>#VALUE!</v>
      </c>
      <c r="T18" t="e">
        <f>'Effort Estimation'!659:659-"AM:!Wo"</f>
        <v>#VALUE!</v>
      </c>
      <c r="U18" t="e">
        <f>'Effort Estimation'!660:660-"AM:!Wp"</f>
        <v>#VALUE!</v>
      </c>
      <c r="V18" t="e">
        <f>'Effort Estimation'!661:661-"AM:!Wq"</f>
        <v>#VALUE!</v>
      </c>
      <c r="W18" t="e">
        <f>'Effort Estimation'!662:662-"AM:!Wr"</f>
        <v>#VALUE!</v>
      </c>
      <c r="X18" t="e">
        <f>'Effort Estimation'!663:663-"AM:!Ws"</f>
        <v>#VALUE!</v>
      </c>
      <c r="Y18" t="e">
        <f>'Effort Estimation'!664:664-"AM:!Wt"</f>
        <v>#VALUE!</v>
      </c>
      <c r="Z18" t="e">
        <f>'Effort Estimation'!665:665-"AM:!Wu"</f>
        <v>#VALUE!</v>
      </c>
      <c r="AA18" t="e">
        <f>'Effort Estimation'!666:666-"AM:!Wv"</f>
        <v>#VALUE!</v>
      </c>
      <c r="AB18" t="e">
        <f>'Effort Estimation'!667:667-"AM:!Ww"</f>
        <v>#VALUE!</v>
      </c>
      <c r="AC18" t="e">
        <f>'Effort Estimation'!668:668-"AM:!Wx"</f>
        <v>#VALUE!</v>
      </c>
      <c r="AD18" t="e">
        <f>'Effort Estimation'!669:669-"AM:!Wy"</f>
        <v>#VALUE!</v>
      </c>
      <c r="AE18" t="e">
        <f>'Effort Estimation'!670:670-"AM:!Wz"</f>
        <v>#VALUE!</v>
      </c>
      <c r="AF18" t="e">
        <f>'Effort Estimation'!671:671-"AM:!W{"</f>
        <v>#VALUE!</v>
      </c>
      <c r="AG18" t="e">
        <f>'Effort Estimation'!672:672-"AM:!W|"</f>
        <v>#VALUE!</v>
      </c>
      <c r="AH18" t="e">
        <f>'Effort Estimation'!673:673-"AM:!W}"</f>
        <v>#VALUE!</v>
      </c>
      <c r="AI18" t="e">
        <f>'Effort Estimation'!674:674-"AM:!W~"</f>
        <v>#VALUE!</v>
      </c>
      <c r="AJ18" t="e">
        <f>'Effort Estimation'!675:675-"AM:!X#"</f>
        <v>#VALUE!</v>
      </c>
      <c r="AK18" t="e">
        <f>'Effort Estimation'!676:676-"AM:!X$"</f>
        <v>#VALUE!</v>
      </c>
      <c r="AL18" t="e">
        <f>'Effort Estimation'!677:677-"AM:!X%"</f>
        <v>#VALUE!</v>
      </c>
      <c r="AM18" t="e">
        <f>'Effort Estimation'!678:678-"AM:!X&amp;"</f>
        <v>#VALUE!</v>
      </c>
      <c r="AN18" t="e">
        <f>'Effort Estimation'!679:679-"AM:!X'"</f>
        <v>#VALUE!</v>
      </c>
      <c r="AO18" t="e">
        <f>'Effort Estimation'!680:680-"AM:!X("</f>
        <v>#VALUE!</v>
      </c>
      <c r="AP18" t="e">
        <f>'Effort Estimation'!681:681-"AM:!X)"</f>
        <v>#VALUE!</v>
      </c>
      <c r="AQ18" t="e">
        <f>'Effort Estimation'!682:682-"AM:!X."</f>
        <v>#VALUE!</v>
      </c>
      <c r="AR18" t="e">
        <f>'Effort Estimation'!683:683-"AM:!X/"</f>
        <v>#VALUE!</v>
      </c>
      <c r="AS18" t="e">
        <f>'Effort Estimation'!684:684-"AM:!X0"</f>
        <v>#VALUE!</v>
      </c>
      <c r="AT18" t="e">
        <f>'Effort Estimation'!685:685-"AM:!X1"</f>
        <v>#VALUE!</v>
      </c>
      <c r="AU18" t="e">
        <f>'Effort Estimation'!686:686-"AM:!X2"</f>
        <v>#VALUE!</v>
      </c>
      <c r="AV18" t="e">
        <f>'Effort Estimation'!687:687-"AM:!X3"</f>
        <v>#VALUE!</v>
      </c>
      <c r="AW18" t="e">
        <f>'Effort Estimation'!688:688-"AM:!X4"</f>
        <v>#VALUE!</v>
      </c>
      <c r="AX18" t="e">
        <f>'Effort Estimation'!689:689-"AM:!X5"</f>
        <v>#VALUE!</v>
      </c>
      <c r="AY18" t="e">
        <f>'Effort Estimation'!690:690-"AM:!X6"</f>
        <v>#VALUE!</v>
      </c>
      <c r="AZ18" t="e">
        <f>'Effort Estimation'!691:691-"AM:!X7"</f>
        <v>#VALUE!</v>
      </c>
      <c r="BA18" t="e">
        <f>'Effort Estimation'!692:692-"AM:!X8"</f>
        <v>#VALUE!</v>
      </c>
      <c r="BB18" t="e">
        <f>'Effort Estimation'!693:693-"AM:!X9"</f>
        <v>#VALUE!</v>
      </c>
      <c r="BC18" t="e">
        <f>'Effort Estimation'!694:694-"AM:!X:"</f>
        <v>#VALUE!</v>
      </c>
      <c r="BD18" t="e">
        <f>'Effort Estimation'!695:695-"AM:!X;"</f>
        <v>#VALUE!</v>
      </c>
      <c r="BE18" t="e">
        <f>'Effort Estimation'!696:696-"AM:!X&lt;"</f>
        <v>#VALUE!</v>
      </c>
      <c r="BF18" t="e">
        <f>'Effort Estimation'!697:697-"AM:!X="</f>
        <v>#VALUE!</v>
      </c>
      <c r="BG18" t="e">
        <f>'Effort Estimation'!698:698-"AM:!X&gt;"</f>
        <v>#VALUE!</v>
      </c>
      <c r="BH18" t="e">
        <f>'Effort Estimation'!699:699-"AM:!X?"</f>
        <v>#VALUE!</v>
      </c>
      <c r="BI18" t="e">
        <f>'Effort Estimation'!700:700-"AM:!X@"</f>
        <v>#VALUE!</v>
      </c>
      <c r="BJ18" t="e">
        <f>'Effort Estimation'!701:701-"AM:!XA"</f>
        <v>#VALUE!</v>
      </c>
      <c r="BK18" t="e">
        <f>'Effort Estimation'!702:702-"AM:!XB"</f>
        <v>#VALUE!</v>
      </c>
      <c r="BL18" t="e">
        <f>'Effort Estimation'!703:703-"AM:!XC"</f>
        <v>#VALUE!</v>
      </c>
      <c r="BM18" t="e">
        <f>'Effort Estimation'!704:704-"AM:!XD"</f>
        <v>#VALUE!</v>
      </c>
      <c r="BN18" t="e">
        <f>'Effort Estimation'!705:705-"AM:!XE"</f>
        <v>#VALUE!</v>
      </c>
      <c r="BO18" t="e">
        <f>'Effort Estimation'!706:706-"AM:!XF"</f>
        <v>#VALUE!</v>
      </c>
      <c r="BP18" t="e">
        <f>'Effort Estimation'!707:707-"AM:!XG"</f>
        <v>#VALUE!</v>
      </c>
      <c r="BQ18" t="e">
        <f>'Effort Estimation'!708:708-"AM:!XH"</f>
        <v>#VALUE!</v>
      </c>
      <c r="BR18" t="e">
        <f>'Effort Estimation'!709:709-"AM:!XI"</f>
        <v>#VALUE!</v>
      </c>
      <c r="BS18" t="e">
        <f>'Effort Estimation'!710:710-"AM:!XJ"</f>
        <v>#VALUE!</v>
      </c>
      <c r="BT18" t="e">
        <f>'Effort Estimation'!711:711-"AM:!XK"</f>
        <v>#VALUE!</v>
      </c>
      <c r="BU18" t="e">
        <f>'Effort Estimation'!712:712-"AM:!XL"</f>
        <v>#VALUE!</v>
      </c>
      <c r="BV18" t="e">
        <f>'Effort Estimation'!713:713-"AM:!XM"</f>
        <v>#VALUE!</v>
      </c>
      <c r="BW18" t="e">
        <f>'Effort Estimation'!714:714-"AM:!XN"</f>
        <v>#VALUE!</v>
      </c>
      <c r="BX18" t="e">
        <f>'Effort Estimation'!715:715-"AM:!XO"</f>
        <v>#VALUE!</v>
      </c>
      <c r="BY18" t="e">
        <f>'Effort Estimation'!716:716-"AM:!XP"</f>
        <v>#VALUE!</v>
      </c>
      <c r="BZ18" t="e">
        <f>'Effort Estimation'!717:717-"AM:!XQ"</f>
        <v>#VALUE!</v>
      </c>
      <c r="CA18" t="e">
        <f>'Effort Estimation'!718:718-"AM:!XR"</f>
        <v>#VALUE!</v>
      </c>
      <c r="CB18" t="e">
        <f>'Effort Estimation'!719:719-"AM:!XS"</f>
        <v>#VALUE!</v>
      </c>
      <c r="CC18" t="e">
        <f>'Effort Estimation'!720:720-"AM:!XT"</f>
        <v>#VALUE!</v>
      </c>
      <c r="CD18" t="e">
        <f>'Effort Estimation'!721:721-"AM:!XU"</f>
        <v>#VALUE!</v>
      </c>
      <c r="CE18" t="e">
        <f>'Effort Estimation'!722:722-"AM:!XV"</f>
        <v>#VALUE!</v>
      </c>
      <c r="CF18" t="e">
        <f>'Effort Estimation'!723:723-"AM:!XW"</f>
        <v>#VALUE!</v>
      </c>
      <c r="CG18" t="e">
        <f>'Effort Estimation'!724:724-"AM:!XX"</f>
        <v>#VALUE!</v>
      </c>
      <c r="CH18" t="e">
        <f>'Effort Estimation'!725:725-"AM:!XY"</f>
        <v>#VALUE!</v>
      </c>
      <c r="CI18" t="e">
        <f>'Effort Estimation'!726:726-"AM:!XZ"</f>
        <v>#VALUE!</v>
      </c>
      <c r="CJ18" t="e">
        <f>'Effort Estimation'!727:727-"AM:!X["</f>
        <v>#VALUE!</v>
      </c>
      <c r="CK18" t="e">
        <f>'Effort Estimation'!728:728-"AM:!X\"</f>
        <v>#VALUE!</v>
      </c>
      <c r="CL18" t="e">
        <f>'Effort Estimation'!729:729-"AM:!X]"</f>
        <v>#VALUE!</v>
      </c>
      <c r="CM18" t="e">
        <f>'Effort Estimation'!730:730-"AM:!X^"</f>
        <v>#VALUE!</v>
      </c>
      <c r="CN18" t="e">
        <f>'Effort Estimation'!731:731-"AM:!X_"</f>
        <v>#VALUE!</v>
      </c>
      <c r="CO18" t="e">
        <f>'Effort Estimation'!732:732-"AM:!X`"</f>
        <v>#VALUE!</v>
      </c>
      <c r="CP18" t="e">
        <f>'Effort Estimation'!733:733-"AM:!Xa"</f>
        <v>#VALUE!</v>
      </c>
      <c r="CQ18" t="e">
        <f>'Effort Estimation'!734:734-"AM:!Xb"</f>
        <v>#VALUE!</v>
      </c>
      <c r="CR18" t="e">
        <f>'Effort Estimation'!735:735-"AM:!Xc"</f>
        <v>#VALUE!</v>
      </c>
      <c r="CS18" t="e">
        <f>'Effort Estimation'!736:736-"AM:!Xd"</f>
        <v>#VALUE!</v>
      </c>
      <c r="CT18" t="e">
        <f>'Effort Estimation'!737:737-"AM:!Xe"</f>
        <v>#VALUE!</v>
      </c>
      <c r="CU18" t="e">
        <f>'Effort Estimation'!738:738-"AM:!Xf"</f>
        <v>#VALUE!</v>
      </c>
      <c r="CV18" t="e">
        <f>'Effort Estimation'!739:739-"AM:!Xg"</f>
        <v>#VALUE!</v>
      </c>
      <c r="CW18" t="e">
        <f>'Effort Estimation'!740:740-"AM:!Xh"</f>
        <v>#VALUE!</v>
      </c>
      <c r="CX18" t="e">
        <f>'Effort Estimation'!741:741-"AM:!Xi"</f>
        <v>#VALUE!</v>
      </c>
      <c r="CY18" t="e">
        <f>'Effort Estimation'!742:742-"AM:!Xj"</f>
        <v>#VALUE!</v>
      </c>
      <c r="CZ18" t="e">
        <f>'Effort Estimation'!743:743-"AM:!Xk"</f>
        <v>#VALUE!</v>
      </c>
      <c r="DA18" t="e">
        <f>'Effort Estimation'!744:744-"AM:!Xl"</f>
        <v>#VALUE!</v>
      </c>
      <c r="DB18" t="e">
        <f>'Effort Estimation'!745:745-"AM:!Xm"</f>
        <v>#VALUE!</v>
      </c>
      <c r="DC18" t="e">
        <f>'Effort Estimation'!746:746-"AM:!Xn"</f>
        <v>#VALUE!</v>
      </c>
      <c r="DD18" t="e">
        <f>'Effort Estimation'!747:747-"AM:!Xo"</f>
        <v>#VALUE!</v>
      </c>
      <c r="DE18" t="e">
        <f>'Effort Estimation'!748:748-"AM:!Xp"</f>
        <v>#VALUE!</v>
      </c>
      <c r="DF18" t="e">
        <f>'Effort Estimation'!749:749-"AM:!Xq"</f>
        <v>#VALUE!</v>
      </c>
      <c r="DG18" t="e">
        <f>'Effort Estimation'!750:750-"AM:!Xr"</f>
        <v>#VALUE!</v>
      </c>
      <c r="DH18" t="e">
        <f>'Effort Estimation'!751:751-"AM:!Xs"</f>
        <v>#VALUE!</v>
      </c>
      <c r="DI18" t="e">
        <f>'Effort Estimation'!752:752-"AM:!Xt"</f>
        <v>#VALUE!</v>
      </c>
      <c r="DJ18" t="e">
        <f>'Effort Estimation'!753:753-"AM:!Xu"</f>
        <v>#VALUE!</v>
      </c>
      <c r="DK18" t="e">
        <f>'Effort Estimation'!754:754-"AM:!Xv"</f>
        <v>#VALUE!</v>
      </c>
      <c r="DL18" t="e">
        <f>'Effort Estimation'!755:755-"AM:!Xw"</f>
        <v>#VALUE!</v>
      </c>
      <c r="DM18" t="e">
        <f>'Effort Estimation'!756:756-"AM:!Xx"</f>
        <v>#VALUE!</v>
      </c>
      <c r="DN18" t="e">
        <f>'Effort Estimation'!757:757-"AM:!Xy"</f>
        <v>#VALUE!</v>
      </c>
      <c r="DO18" t="e">
        <f>'Effort Estimation'!758:758-"AM:!Xz"</f>
        <v>#VALUE!</v>
      </c>
      <c r="DP18" t="e">
        <f>'Effort Estimation'!759:759-"AM:!X{"</f>
        <v>#VALUE!</v>
      </c>
      <c r="DQ18" t="e">
        <f>'Effort Estimation'!760:760-"AM:!X|"</f>
        <v>#VALUE!</v>
      </c>
      <c r="DR18" t="e">
        <f>'Effort Estimation'!761:761-"AM:!X}"</f>
        <v>#VALUE!</v>
      </c>
      <c r="DS18" t="e">
        <f>'Effort Estimation'!762:762-"AM:!X~"</f>
        <v>#VALUE!</v>
      </c>
      <c r="DT18" t="e">
        <f>'Effort Estimation'!763:763-"AM:!Y#"</f>
        <v>#VALUE!</v>
      </c>
      <c r="DU18" t="e">
        <f>'Effort Estimation'!764:764-"AM:!Y$"</f>
        <v>#VALUE!</v>
      </c>
      <c r="DV18" t="e">
        <f>'Effort Estimation'!765:765-"AM:!Y%"</f>
        <v>#VALUE!</v>
      </c>
      <c r="DW18" t="e">
        <f>'Effort Estimation'!766:766-"AM:!Y&amp;"</f>
        <v>#VALUE!</v>
      </c>
      <c r="DX18" t="e">
        <f>'Effort Estimation'!767:767-"AM:!Y'"</f>
        <v>#VALUE!</v>
      </c>
      <c r="DY18" t="e">
        <f>'Effort Estimation'!768:768-"AM:!Y("</f>
        <v>#VALUE!</v>
      </c>
      <c r="DZ18" t="e">
        <f>'Effort Estimation'!769:769-"AM:!Y)"</f>
        <v>#VALUE!</v>
      </c>
      <c r="EA18" t="e">
        <f>'Effort Estimation'!770:770-"AM:!Y."</f>
        <v>#VALUE!</v>
      </c>
      <c r="EB18" t="e">
        <f>'Effort Estimation'!771:771-"AM:!Y/"</f>
        <v>#VALUE!</v>
      </c>
      <c r="EC18" t="e">
        <f>'Effort Estimation'!772:772-"AM:!Y0"</f>
        <v>#VALUE!</v>
      </c>
      <c r="ED18" t="e">
        <f>'Effort Estimation'!773:773-"AM:!Y1"</f>
        <v>#VALUE!</v>
      </c>
      <c r="EE18" t="e">
        <f>'Effort Estimation'!774:774-"AM:!Y2"</f>
        <v>#VALUE!</v>
      </c>
      <c r="EF18" t="e">
        <f>'Effort Estimation'!775:775-"AM:!Y3"</f>
        <v>#VALUE!</v>
      </c>
      <c r="EG18" t="e">
        <f>'Effort Estimation'!776:776-"AM:!Y4"</f>
        <v>#VALUE!</v>
      </c>
      <c r="EH18" t="e">
        <f>'Effort Estimation'!777:777-"AM:!Y5"</f>
        <v>#VALUE!</v>
      </c>
      <c r="EI18" t="e">
        <f>'Effort Estimation'!778:778-"AM:!Y6"</f>
        <v>#VALUE!</v>
      </c>
      <c r="EJ18" t="e">
        <f>'Effort Estimation'!779:779-"AM:!Y7"</f>
        <v>#VALUE!</v>
      </c>
      <c r="EK18" t="e">
        <f>'Effort Estimation'!780:780-"AM:!Y8"</f>
        <v>#VALUE!</v>
      </c>
      <c r="EL18" t="e">
        <f>'Effort Estimation'!781:781-"AM:!Y9"</f>
        <v>#VALUE!</v>
      </c>
      <c r="EM18" t="e">
        <f>'Effort Estimation'!782:782-"AM:!Y:"</f>
        <v>#VALUE!</v>
      </c>
      <c r="EN18" t="e">
        <f>'Effort Estimation'!783:783-"AM:!Y;"</f>
        <v>#VALUE!</v>
      </c>
      <c r="EO18" t="e">
        <f>'Effort Estimation'!784:784-"AM:!Y&lt;"</f>
        <v>#VALUE!</v>
      </c>
      <c r="EP18" t="e">
        <f>'Effort Estimation'!785:785-"AM:!Y="</f>
        <v>#VALUE!</v>
      </c>
      <c r="EQ18" t="e">
        <f>'Effort Estimation'!786:786-"AM:!Y&gt;"</f>
        <v>#VALUE!</v>
      </c>
      <c r="ER18" t="e">
        <f>'Effort Estimation'!787:787-"AM:!Y?"</f>
        <v>#VALUE!</v>
      </c>
      <c r="ES18" t="e">
        <f>'Effort Estimation'!788:788-"AM:!Y@"</f>
        <v>#VALUE!</v>
      </c>
      <c r="ET18" t="e">
        <f>'Effort Estimation'!789:789-"AM:!YA"</f>
        <v>#VALUE!</v>
      </c>
      <c r="EU18" t="e">
        <f>'Effort Estimation'!790:790-"AM:!YB"</f>
        <v>#VALUE!</v>
      </c>
      <c r="EV18" t="e">
        <f>'Effort Estimation'!791:791-"AM:!YC"</f>
        <v>#VALUE!</v>
      </c>
      <c r="EW18" t="e">
        <f>'Effort Estimation'!792:792-"AM:!YD"</f>
        <v>#VALUE!</v>
      </c>
      <c r="EX18" t="e">
        <f>'Effort Estimation'!793:793-"AM:!YE"</f>
        <v>#VALUE!</v>
      </c>
      <c r="EY18" t="e">
        <f>'Effort Estimation'!794:794-"AM:!YF"</f>
        <v>#VALUE!</v>
      </c>
      <c r="EZ18" t="e">
        <f>'Effort Estimation'!795:795-"AM:!YG"</f>
        <v>#VALUE!</v>
      </c>
      <c r="FA18" t="e">
        <f>'Effort Estimation'!796:796-"AM:!YH"</f>
        <v>#VALUE!</v>
      </c>
      <c r="FB18" t="e">
        <f>'Effort Estimation'!797:797-"AM:!YI"</f>
        <v>#VALUE!</v>
      </c>
      <c r="FC18" t="e">
        <f>'Effort Estimation'!798:798-"AM:!YJ"</f>
        <v>#VALUE!</v>
      </c>
      <c r="FD18" t="e">
        <f>'Effort Estimation'!799:799-"AM:!YK"</f>
        <v>#VALUE!</v>
      </c>
      <c r="FE18" t="e">
        <f>'Effort Estimation'!800:800-"AM:!YL"</f>
        <v>#VALUE!</v>
      </c>
      <c r="FF18" t="e">
        <f>'Effort Estimation'!801:801-"AM:!YM"</f>
        <v>#VALUE!</v>
      </c>
      <c r="FG18" t="e">
        <f>'Effort Estimation'!802:802-"AM:!YN"</f>
        <v>#VALUE!</v>
      </c>
      <c r="FH18" t="e">
        <f>'Effort Estimation'!803:803-"AM:!YO"</f>
        <v>#VALUE!</v>
      </c>
      <c r="FI18" t="e">
        <f>'Effort Estimation'!804:804-"AM:!YP"</f>
        <v>#VALUE!</v>
      </c>
      <c r="FJ18" t="e">
        <f>'Effort Estimation'!805:805-"AM:!YQ"</f>
        <v>#VALUE!</v>
      </c>
      <c r="FK18" t="e">
        <f>'Effort Estimation'!806:806-"AM:!YR"</f>
        <v>#VALUE!</v>
      </c>
      <c r="FL18" t="e">
        <f>'Effort Estimation'!807:807-"AM:!YS"</f>
        <v>#VALUE!</v>
      </c>
      <c r="FM18" t="e">
        <f>'Effort Estimation'!808:808-"AM:!YT"</f>
        <v>#VALUE!</v>
      </c>
      <c r="FN18" t="e">
        <f>'Effort Estimation'!809:809-"AM:!YU"</f>
        <v>#VALUE!</v>
      </c>
      <c r="FO18" t="e">
        <f>'Effort Estimation'!810:810-"AM:!YV"</f>
        <v>#VALUE!</v>
      </c>
      <c r="FP18" t="e">
        <f>'Effort Estimation'!811:811-"AM:!YW"</f>
        <v>#VALUE!</v>
      </c>
      <c r="FQ18" t="e">
        <f>'Effort Estimation'!812:812-"AM:!YX"</f>
        <v>#VALUE!</v>
      </c>
      <c r="FR18" t="e">
        <f>'Effort Estimation'!813:813-"AM:!YY"</f>
        <v>#VALUE!</v>
      </c>
      <c r="FS18" t="e">
        <f>'Effort Estimation'!814:814-"AM:!YZ"</f>
        <v>#VALUE!</v>
      </c>
      <c r="FT18" t="e">
        <f>'Effort Estimation'!815:815-"AM:!Y["</f>
        <v>#VALUE!</v>
      </c>
      <c r="FU18" t="e">
        <f>'Effort Estimation'!816:816-"AM:!Y\"</f>
        <v>#VALUE!</v>
      </c>
      <c r="FV18" t="e">
        <f>'Effort Estimation'!817:817-"AM:!Y]"</f>
        <v>#VALUE!</v>
      </c>
      <c r="FW18" t="e">
        <f>'Effort Estimation'!818:818-"AM:!Y^"</f>
        <v>#VALUE!</v>
      </c>
      <c r="FX18" t="e">
        <f>'Effort Estimation'!819:819-"AM:!Y_"</f>
        <v>#VALUE!</v>
      </c>
      <c r="FY18" t="e">
        <f>'Effort Estimation'!820:820-"AM:!Y`"</f>
        <v>#VALUE!</v>
      </c>
      <c r="FZ18" t="e">
        <f>'Effort Estimation'!821:821-"AM:!Ya"</f>
        <v>#VALUE!</v>
      </c>
      <c r="GA18" t="e">
        <f>'Effort Estimation'!822:822-"AM:!Yb"</f>
        <v>#VALUE!</v>
      </c>
      <c r="GB18" t="e">
        <f>'Effort Estimation'!823:823-"AM:!Yc"</f>
        <v>#VALUE!</v>
      </c>
      <c r="GC18" t="e">
        <f>'Effort Estimation'!824:824-"AM:!Yd"</f>
        <v>#VALUE!</v>
      </c>
      <c r="GD18" t="e">
        <f>'Effort Estimation'!825:825-"AM:!Ye"</f>
        <v>#VALUE!</v>
      </c>
      <c r="GE18" t="e">
        <f>'Effort Estimation'!826:826-"AM:!Yf"</f>
        <v>#VALUE!</v>
      </c>
      <c r="GF18" t="e">
        <f>'Effort Estimation'!827:827-"AM:!Yg"</f>
        <v>#VALUE!</v>
      </c>
      <c r="GG18" t="e">
        <f>'Effort Estimation'!828:828-"AM:!Yh"</f>
        <v>#VALUE!</v>
      </c>
      <c r="GH18" t="e">
        <f>'Effort Estimation'!829:829-"AM:!Yi"</f>
        <v>#VALUE!</v>
      </c>
      <c r="GI18" t="e">
        <f>'Effort Estimation'!830:830-"AM:!Yj"</f>
        <v>#VALUE!</v>
      </c>
      <c r="GJ18" t="e">
        <f>'Effort Estimation'!831:831-"AM:!Yk"</f>
        <v>#VALUE!</v>
      </c>
      <c r="GK18" t="e">
        <f>'Effort Estimation'!832:832-"AM:!Yl"</f>
        <v>#VALUE!</v>
      </c>
      <c r="GL18" t="e">
        <f>'Effort Estimation'!833:833-"AM:!Ym"</f>
        <v>#VALUE!</v>
      </c>
      <c r="GM18" t="e">
        <f>'Effort Estimation'!834:834-"AM:!Yn"</f>
        <v>#VALUE!</v>
      </c>
      <c r="GN18" t="e">
        <f>'Effort Estimation'!835:835-"AM:!Yo"</f>
        <v>#VALUE!</v>
      </c>
      <c r="GO18" t="e">
        <f>'Effort Estimation'!836:836-"AM:!Yp"</f>
        <v>#VALUE!</v>
      </c>
      <c r="GP18" t="e">
        <f>'Effort Estimation'!837:837-"AM:!Yq"</f>
        <v>#VALUE!</v>
      </c>
      <c r="GQ18" t="e">
        <f>'Effort Estimation'!838:838-"AM:!Yr"</f>
        <v>#VALUE!</v>
      </c>
      <c r="GR18" t="e">
        <f>'Effort Estimation'!839:839-"AM:!Ys"</f>
        <v>#VALUE!</v>
      </c>
      <c r="GS18" t="e">
        <f>'Effort Estimation'!A1+"AM:!Yt"</f>
        <v>#VALUE!</v>
      </c>
      <c r="GT18" t="e">
        <f>'Effort Estimation'!B1+"AM:!Yu"</f>
        <v>#VALUE!</v>
      </c>
      <c r="GU18" t="e">
        <f>'Effort Estimation'!C1+"AM:!Yv"</f>
        <v>#VALUE!</v>
      </c>
      <c r="GV18" t="e">
        <f>'Effort Estimation'!D1+"AM:!Yw"</f>
        <v>#VALUE!</v>
      </c>
      <c r="GW18" t="e">
        <f>'Effort Estimation'!E1+"AM:!Yx"</f>
        <v>#VALUE!</v>
      </c>
      <c r="GX18" t="e">
        <f>'Effort Estimation'!F1+"AM:!Yy"</f>
        <v>#VALUE!</v>
      </c>
      <c r="GY18" t="e">
        <f>'Effort Estimation'!G1+"AM:!Yz"</f>
        <v>#VALUE!</v>
      </c>
      <c r="GZ18" t="e">
        <f>'Effort Estimation'!H1+"AM:!Y{"</f>
        <v>#VALUE!</v>
      </c>
      <c r="HA18" t="e">
        <f>'Effort Estimation'!I1+"AM:!Y|"</f>
        <v>#VALUE!</v>
      </c>
      <c r="HB18" t="e">
        <f>'Effort Estimation'!J1+"AM:!Y}"</f>
        <v>#VALUE!</v>
      </c>
      <c r="HC18" t="e">
        <f>'Effort Estimation'!K1+"AM:!Y~"</f>
        <v>#VALUE!</v>
      </c>
      <c r="HD18" t="e">
        <f>'Effort Estimation'!L1+"AM:!Z#"</f>
        <v>#VALUE!</v>
      </c>
      <c r="HE18" t="e">
        <f>'Effort Estimation'!M1+"AM:!Z$"</f>
        <v>#VALUE!</v>
      </c>
      <c r="HF18" t="e">
        <f>'Effort Estimation'!N1+"AM:!Z%"</f>
        <v>#VALUE!</v>
      </c>
      <c r="HG18" t="e">
        <f>'Effort Estimation'!O1+"AM:!Z&amp;"</f>
        <v>#VALUE!</v>
      </c>
      <c r="HH18" t="e">
        <f>'Effort Estimation'!P1+"AM:!Z'"</f>
        <v>#VALUE!</v>
      </c>
      <c r="HI18" t="e">
        <f>'Effort Estimation'!Q1+"AM:!Z("</f>
        <v>#VALUE!</v>
      </c>
      <c r="HJ18" t="e">
        <f>'Effort Estimation'!R1+"AM:!Z)"</f>
        <v>#VALUE!</v>
      </c>
      <c r="HK18" t="e">
        <f>'Effort Estimation'!S1+"AM:!Z."</f>
        <v>#VALUE!</v>
      </c>
      <c r="HL18" t="e">
        <f>'Effort Estimation'!T1+"AM:!Z/"</f>
        <v>#VALUE!</v>
      </c>
      <c r="HM18" t="e">
        <f>'Effort Estimation'!A2+"AM:!Z0"</f>
        <v>#VALUE!</v>
      </c>
      <c r="HN18" t="e">
        <f>'Effort Estimation'!B2+"AM:!Z1"</f>
        <v>#VALUE!</v>
      </c>
      <c r="HO18" t="e">
        <f>'Effort Estimation'!C2+"AM:!Z2"</f>
        <v>#VALUE!</v>
      </c>
      <c r="HP18" t="e">
        <f>'Effort Estimation'!D2+"AM:!Z3"</f>
        <v>#VALUE!</v>
      </c>
      <c r="HQ18" t="e">
        <f>'Effort Estimation'!E2+"AM:!Z4"</f>
        <v>#VALUE!</v>
      </c>
      <c r="HR18" t="e">
        <f>'Effort Estimation'!F2+"AM:!Z5"</f>
        <v>#VALUE!</v>
      </c>
      <c r="HS18" t="e">
        <f>'Effort Estimation'!H2+"AM:!Z6"</f>
        <v>#VALUE!</v>
      </c>
      <c r="HT18" t="e">
        <f>'Effort Estimation'!I2+"AM:!Z7"</f>
        <v>#VALUE!</v>
      </c>
      <c r="HU18" t="e">
        <f>'Effort Estimation'!J2+"AM:!Z8"</f>
        <v>#VALUE!</v>
      </c>
      <c r="HV18" t="e">
        <f>'Effort Estimation'!K2+"AM:!Z9"</f>
        <v>#VALUE!</v>
      </c>
      <c r="HW18" t="e">
        <f>'Effort Estimation'!L2+"AM:!Z:"</f>
        <v>#VALUE!</v>
      </c>
      <c r="HX18" t="e">
        <f>'Effort Estimation'!M2+"AM:!Z;"</f>
        <v>#VALUE!</v>
      </c>
      <c r="HY18" t="e">
        <f>'Effort Estimation'!N2+"AM:!Z&lt;"</f>
        <v>#VALUE!</v>
      </c>
      <c r="HZ18" t="e">
        <f>'Effort Estimation'!O2+"AM:!Z="</f>
        <v>#VALUE!</v>
      </c>
      <c r="IA18" t="e">
        <f>'Effort Estimation'!P2+"AM:!Z&gt;"</f>
        <v>#VALUE!</v>
      </c>
      <c r="IB18" t="e">
        <f>'Effort Estimation'!Q2+"AM:!Z?"</f>
        <v>#VALUE!</v>
      </c>
      <c r="IC18" t="e">
        <f>'Effort Estimation'!R2+"AM:!Z@"</f>
        <v>#VALUE!</v>
      </c>
      <c r="ID18" t="e">
        <f>'Effort Estimation'!S2+"AM:!ZA"</f>
        <v>#VALUE!</v>
      </c>
      <c r="IE18" t="e">
        <f>'Effort Estimation'!T2+"AM:!ZB"</f>
        <v>#VALUE!</v>
      </c>
      <c r="IF18" t="e">
        <f>'Effort Estimation'!A3+"AM:!ZC"</f>
        <v>#VALUE!</v>
      </c>
      <c r="IG18" t="e">
        <f>'Effort Estimation'!B3+"AM:!ZD"</f>
        <v>#VALUE!</v>
      </c>
      <c r="IH18" t="e">
        <f>'Effort Estimation'!C3+"AM:!ZE"</f>
        <v>#VALUE!</v>
      </c>
      <c r="II18" t="e">
        <f>'Effort Estimation'!D3+"AM:!ZF"</f>
        <v>#VALUE!</v>
      </c>
      <c r="IJ18" t="e">
        <f>'Effort Estimation'!E3+"AM:!ZG"</f>
        <v>#VALUE!</v>
      </c>
      <c r="IK18" t="e">
        <f>'Effort Estimation'!F3+"AM:!ZH"</f>
        <v>#VALUE!</v>
      </c>
      <c r="IL18" t="e">
        <f>'Effort Estimation'!H3+"AM:!ZI"</f>
        <v>#VALUE!</v>
      </c>
      <c r="IM18" t="e">
        <f>'Effort Estimation'!I3+"AM:!ZJ"</f>
        <v>#VALUE!</v>
      </c>
      <c r="IN18" t="e">
        <f>'Effort Estimation'!J3+"AM:!ZK"</f>
        <v>#VALUE!</v>
      </c>
      <c r="IO18" t="e">
        <f>'Effort Estimation'!K3+"AM:!ZL"</f>
        <v>#VALUE!</v>
      </c>
      <c r="IP18" t="e">
        <f>'Effort Estimation'!L3+"AM:!ZM"</f>
        <v>#VALUE!</v>
      </c>
      <c r="IQ18" t="e">
        <f>'Effort Estimation'!M3+"AM:!ZN"</f>
        <v>#VALUE!</v>
      </c>
      <c r="IR18" t="e">
        <f>'Effort Estimation'!N3+"AM:!ZO"</f>
        <v>#VALUE!</v>
      </c>
      <c r="IS18" t="e">
        <f>'Effort Estimation'!O3+"AM:!ZP"</f>
        <v>#VALUE!</v>
      </c>
      <c r="IT18" t="e">
        <f>'Effort Estimation'!P3+"AM:!ZQ"</f>
        <v>#VALUE!</v>
      </c>
      <c r="IU18" t="e">
        <f>'Effort Estimation'!Q3+"AM:!ZR"</f>
        <v>#VALUE!</v>
      </c>
      <c r="IV18" t="e">
        <f>'Effort Estimation'!R3+"AM:!ZS"</f>
        <v>#VALUE!</v>
      </c>
    </row>
    <row r="19" spans="6:256">
      <c r="F19" t="e">
        <f>'Effort Estimation'!S3+"AM:!ZT"</f>
        <v>#VALUE!</v>
      </c>
      <c r="G19" t="e">
        <f>'Effort Estimation'!T3+"AM:!ZU"</f>
        <v>#VALUE!</v>
      </c>
      <c r="H19" t="e">
        <f>'Effort Estimation'!A4+"AM:!ZV"</f>
        <v>#VALUE!</v>
      </c>
      <c r="I19" t="e">
        <f>'Effort Estimation'!B4+"AM:!ZW"</f>
        <v>#VALUE!</v>
      </c>
      <c r="J19" t="e">
        <f>'Effort Estimation'!C4+"AM:!ZX"</f>
        <v>#VALUE!</v>
      </c>
      <c r="K19" t="e">
        <f>'Effort Estimation'!D4+"AM:!ZY"</f>
        <v>#VALUE!</v>
      </c>
      <c r="L19" t="e">
        <f>'Effort Estimation'!E4+"AM:!ZZ"</f>
        <v>#VALUE!</v>
      </c>
      <c r="M19" t="e">
        <f>'Effort Estimation'!F4+"AM:!Z["</f>
        <v>#VALUE!</v>
      </c>
      <c r="N19" t="e">
        <f>'Effort Estimation'!G4+"AM:!Z\"</f>
        <v>#VALUE!</v>
      </c>
      <c r="O19" t="e">
        <f>'Effort Estimation'!H4+"AM:!Z]"</f>
        <v>#VALUE!</v>
      </c>
      <c r="P19" t="e">
        <f>'Effort Estimation'!I4+"AM:!Z^"</f>
        <v>#VALUE!</v>
      </c>
      <c r="Q19" t="e">
        <f>'Effort Estimation'!J4+"AM:!Z_"</f>
        <v>#VALUE!</v>
      </c>
      <c r="R19" t="e">
        <f>'Effort Estimation'!K4+"AM:!Z`"</f>
        <v>#VALUE!</v>
      </c>
      <c r="S19" t="e">
        <f>'Effort Estimation'!L4+"AM:!Za"</f>
        <v>#VALUE!</v>
      </c>
      <c r="T19" t="e">
        <f>'Effort Estimation'!M4+"AM:!Zb"</f>
        <v>#VALUE!</v>
      </c>
      <c r="U19" t="e">
        <f>'Effort Estimation'!N4+"AM:!Zc"</f>
        <v>#VALUE!</v>
      </c>
      <c r="V19" t="e">
        <f>'Effort Estimation'!O4+"AM:!Zd"</f>
        <v>#VALUE!</v>
      </c>
      <c r="W19" t="e">
        <f>'Effort Estimation'!P4+"AM:!Ze"</f>
        <v>#VALUE!</v>
      </c>
      <c r="X19" t="e">
        <f>'Effort Estimation'!Q4+"AM:!Zf"</f>
        <v>#VALUE!</v>
      </c>
      <c r="Y19" t="e">
        <f>'Effort Estimation'!R4+"AM:!Zg"</f>
        <v>#VALUE!</v>
      </c>
      <c r="Z19" t="e">
        <f>'Effort Estimation'!S4+"AM:!Zh"</f>
        <v>#VALUE!</v>
      </c>
      <c r="AA19" t="e">
        <f>'Effort Estimation'!T4+"AM:!Zi"</f>
        <v>#VALUE!</v>
      </c>
      <c r="AB19" t="e">
        <f>'Effort Estimation'!A5+"AM:!Zj"</f>
        <v>#VALUE!</v>
      </c>
      <c r="AC19" t="e">
        <f>'Effort Estimation'!O5+"AM:!Zk"</f>
        <v>#VALUE!</v>
      </c>
      <c r="AD19" t="e">
        <f>'Effort Estimation'!A6+"AM:!Zl"</f>
        <v>#VALUE!</v>
      </c>
      <c r="AE19" t="e">
        <f>'Effort Estimation'!F6+"AM:!Zm"</f>
        <v>#VALUE!</v>
      </c>
      <c r="AF19" t="e">
        <f>'Effort Estimation'!G6+"AM:!Zn"</f>
        <v>#VALUE!</v>
      </c>
      <c r="AG19" t="e">
        <f>'Effort Estimation'!H6+"AM:!Zo"</f>
        <v>#VALUE!</v>
      </c>
      <c r="AH19" t="e">
        <f>'Effort Estimation'!I6+"AM:!Zp"</f>
        <v>#VALUE!</v>
      </c>
      <c r="AI19" t="e">
        <f>'Effort Estimation'!J6+"AM:!Zq"</f>
        <v>#VALUE!</v>
      </c>
      <c r="AJ19" t="e">
        <f>'Effort Estimation'!K6+"AM:!Zr"</f>
        <v>#VALUE!</v>
      </c>
      <c r="AK19" t="e">
        <f>'Effort Estimation'!L6+"AM:!Zs"</f>
        <v>#VALUE!</v>
      </c>
      <c r="AL19" t="e">
        <f>'Effort Estimation'!M6+"AM:!Zt"</f>
        <v>#VALUE!</v>
      </c>
      <c r="AM19" t="e">
        <f>'Effort Estimation'!N6+"AM:!Zu"</f>
        <v>#VALUE!</v>
      </c>
      <c r="AN19" t="e">
        <f>'Effort Estimation'!O6+"AM:!Zv"</f>
        <v>#VALUE!</v>
      </c>
      <c r="AO19" t="e">
        <f>'Effort Estimation'!P6+"AM:!Zw"</f>
        <v>#VALUE!</v>
      </c>
      <c r="AP19" t="e">
        <f>'Effort Estimation'!Q6+"AM:!Zx"</f>
        <v>#VALUE!</v>
      </c>
      <c r="AQ19" t="e">
        <f>'Effort Estimation'!A7+"AM:!Zy"</f>
        <v>#VALUE!</v>
      </c>
      <c r="AR19" t="e">
        <f>'Effort Estimation'!B7+"AM:!Zz"</f>
        <v>#VALUE!</v>
      </c>
      <c r="AS19" t="e">
        <f>'Effort Estimation'!C7+"AM:!Z{"</f>
        <v>#VALUE!</v>
      </c>
      <c r="AT19" t="e">
        <f>'Effort Estimation'!D7+"AM:!Z|"</f>
        <v>#VALUE!</v>
      </c>
      <c r="AU19" t="e">
        <f>'Effort Estimation'!E7+"AM:!Z}"</f>
        <v>#VALUE!</v>
      </c>
      <c r="AV19" t="e">
        <f>'Effort Estimation'!F7+"AM:!Z~"</f>
        <v>#VALUE!</v>
      </c>
      <c r="AW19" t="e">
        <f>'Effort Estimation'!G7+"AM:![#"</f>
        <v>#VALUE!</v>
      </c>
      <c r="AX19" t="e">
        <f>'Effort Estimation'!H7+"AM:![$"</f>
        <v>#VALUE!</v>
      </c>
      <c r="AY19" t="e">
        <f>'Effort Estimation'!I7+"AM:![%"</f>
        <v>#VALUE!</v>
      </c>
      <c r="AZ19" t="e">
        <f>'Effort Estimation'!J7+"AM:![&amp;"</f>
        <v>#VALUE!</v>
      </c>
      <c r="BA19" t="e">
        <f>'Effort Estimation'!K7+"AM:!['"</f>
        <v>#VALUE!</v>
      </c>
      <c r="BB19" t="e">
        <f>'Effort Estimation'!L7+"AM:![("</f>
        <v>#VALUE!</v>
      </c>
      <c r="BC19" t="e">
        <f>'Effort Estimation'!M7+"AM:![)"</f>
        <v>#VALUE!</v>
      </c>
      <c r="BD19" t="e">
        <f>'Effort Estimation'!N7+"AM:![."</f>
        <v>#VALUE!</v>
      </c>
      <c r="BE19" t="e">
        <f>'Effort Estimation'!O7+"AM:![/"</f>
        <v>#VALUE!</v>
      </c>
      <c r="BF19" t="e">
        <f>'Effort Estimation'!P7+"AM:![0"</f>
        <v>#VALUE!</v>
      </c>
      <c r="BG19" t="e">
        <f>'Effort Estimation'!Q7+"AM:![1"</f>
        <v>#VALUE!</v>
      </c>
      <c r="BH19" t="e">
        <f>'Effort Estimation'!R7+"AM:![2"</f>
        <v>#VALUE!</v>
      </c>
      <c r="BI19" t="e">
        <f>'Effort Estimation'!S7+"AM:![3"</f>
        <v>#VALUE!</v>
      </c>
      <c r="BJ19" t="e">
        <f>'Effort Estimation'!T7+"AM:![4"</f>
        <v>#VALUE!</v>
      </c>
      <c r="BK19" t="e">
        <f>'Effort Estimation'!A8+"AM:![5"</f>
        <v>#VALUE!</v>
      </c>
      <c r="BL19" t="e">
        <f>'Effort Estimation'!B8+"AM:![6"</f>
        <v>#VALUE!</v>
      </c>
      <c r="BM19" t="e">
        <f>'Effort Estimation'!C8+"AM:![7"</f>
        <v>#VALUE!</v>
      </c>
      <c r="BN19" t="e">
        <f>'Effort Estimation'!D8+"AM:![8"</f>
        <v>#VALUE!</v>
      </c>
      <c r="BO19" t="e">
        <f>'Effort Estimation'!E8+"AM:![9"</f>
        <v>#VALUE!</v>
      </c>
      <c r="BP19" t="e">
        <f>'Effort Estimation'!F8+"AM:![:"</f>
        <v>#VALUE!</v>
      </c>
      <c r="BQ19" t="e">
        <f>'Effort Estimation'!G8+"AM:![;"</f>
        <v>#VALUE!</v>
      </c>
      <c r="BR19" t="e">
        <f>'Effort Estimation'!H8+"AM:![&lt;"</f>
        <v>#VALUE!</v>
      </c>
      <c r="BS19" t="e">
        <f>'Effort Estimation'!I8+"AM:![="</f>
        <v>#VALUE!</v>
      </c>
      <c r="BT19" s="99" t="e">
        <f>'Effort Estimation'!J8+"AM:![&gt;"</f>
        <v>#VALUE!</v>
      </c>
      <c r="BU19" s="99" t="e">
        <f>'Effort Estimation'!K8+"AM:![?"</f>
        <v>#VALUE!</v>
      </c>
      <c r="BV19" s="99" t="e">
        <f>'Effort Estimation'!L8+"AM:![@"</f>
        <v>#VALUE!</v>
      </c>
      <c r="BW19" s="99" t="e">
        <f>'Effort Estimation'!M8+"AM:![A"</f>
        <v>#VALUE!</v>
      </c>
      <c r="BX19" s="99" t="e">
        <f>'Effort Estimation'!N8+"AM:![B"</f>
        <v>#VALUE!</v>
      </c>
      <c r="BY19" s="99" t="e">
        <f>'Effort Estimation'!O8+"AM:![C"</f>
        <v>#VALUE!</v>
      </c>
      <c r="BZ19" s="99" t="e">
        <f ca="1">'Effort Estimation'!P8+"AM:![D"</f>
        <v>#VALUE!</v>
      </c>
      <c r="CA19" s="99" t="e">
        <f ca="1">'Effort Estimation'!Q8+"AM:![E"</f>
        <v>#VALUE!</v>
      </c>
      <c r="CB19" t="e">
        <f>'Effort Estimation'!R8+"AM:![F"</f>
        <v>#VALUE!</v>
      </c>
      <c r="CC19" t="e">
        <f>'Effort Estimation'!S8+"AM:![G"</f>
        <v>#VALUE!</v>
      </c>
      <c r="CD19" t="e">
        <f>'Effort Estimation'!T8+"AM:![H"</f>
        <v>#VALUE!</v>
      </c>
      <c r="CE19" t="e">
        <f>'Effort Estimation'!A9+"AM:![I"</f>
        <v>#VALUE!</v>
      </c>
      <c r="CF19" t="e">
        <f>'Effort Estimation'!B9+"AM:![J"</f>
        <v>#VALUE!</v>
      </c>
      <c r="CG19" t="e">
        <f>'Effort Estimation'!C9+"AM:![K"</f>
        <v>#VALUE!</v>
      </c>
      <c r="CH19" t="e">
        <f>'Effort Estimation'!D9+"AM:![L"</f>
        <v>#VALUE!</v>
      </c>
      <c r="CI19" t="e">
        <f>'Effort Estimation'!E9+"AM:![M"</f>
        <v>#VALUE!</v>
      </c>
      <c r="CJ19" t="e">
        <f>'Effort Estimation'!F9+"AM:![N"</f>
        <v>#VALUE!</v>
      </c>
      <c r="CK19" t="e">
        <f>'Effort Estimation'!G9+"AM:![O"</f>
        <v>#VALUE!</v>
      </c>
      <c r="CL19" t="e">
        <f>'Effort Estimation'!H9+"AM:![P"</f>
        <v>#VALUE!</v>
      </c>
      <c r="CM19" t="e">
        <f>'Effort Estimation'!I9+"AM:![Q"</f>
        <v>#VALUE!</v>
      </c>
      <c r="CN19" s="99" t="e">
        <f>'Effort Estimation'!J9+"AM:![R"</f>
        <v>#VALUE!</v>
      </c>
      <c r="CO19" s="99" t="e">
        <f>'Effort Estimation'!K9+"AM:![S"</f>
        <v>#VALUE!</v>
      </c>
      <c r="CP19" s="99" t="e">
        <f>'Effort Estimation'!L9+"AM:![T"</f>
        <v>#VALUE!</v>
      </c>
      <c r="CQ19" s="99" t="e">
        <f>'Effort Estimation'!M9+"AM:![U"</f>
        <v>#VALUE!</v>
      </c>
      <c r="CR19" s="99" t="e">
        <f>'Effort Estimation'!N9+"AM:![V"</f>
        <v>#VALUE!</v>
      </c>
      <c r="CS19" s="99" t="e">
        <f>'Effort Estimation'!O9+"AM:![W"</f>
        <v>#VALUE!</v>
      </c>
      <c r="CT19" s="99" t="e">
        <f ca="1">'Effort Estimation'!P9+"AM:![X"</f>
        <v>#VALUE!</v>
      </c>
      <c r="CU19" s="99" t="e">
        <f ca="1">'Effort Estimation'!Q9+"AM:![Y"</f>
        <v>#VALUE!</v>
      </c>
      <c r="CV19" t="e">
        <f>'Effort Estimation'!R9+"AM:![Z"</f>
        <v>#VALUE!</v>
      </c>
      <c r="CW19" t="e">
        <f>'Effort Estimation'!S9+"AM:![["</f>
        <v>#VALUE!</v>
      </c>
      <c r="CX19" t="e">
        <f>'Effort Estimation'!T9+"AM:![\"</f>
        <v>#VALUE!</v>
      </c>
      <c r="CY19" t="e">
        <f>'Effort Estimation'!A10+"AM:![]"</f>
        <v>#VALUE!</v>
      </c>
      <c r="CZ19" t="e">
        <f>'Effort Estimation'!B10+"AM:![^"</f>
        <v>#VALUE!</v>
      </c>
      <c r="DA19" t="e">
        <f>'Effort Estimation'!C10+"AM:![_"</f>
        <v>#VALUE!</v>
      </c>
      <c r="DB19" t="e">
        <f>'Effort Estimation'!D10+"AM:![`"</f>
        <v>#VALUE!</v>
      </c>
      <c r="DC19" t="e">
        <f>'Effort Estimation'!E10+"AM:![a"</f>
        <v>#VALUE!</v>
      </c>
      <c r="DD19" t="e">
        <f>'Effort Estimation'!F10+"AM:![b"</f>
        <v>#VALUE!</v>
      </c>
      <c r="DE19" t="e">
        <f>'Effort Estimation'!G10+"AM:![c"</f>
        <v>#VALUE!</v>
      </c>
      <c r="DF19" t="e">
        <f>'Effort Estimation'!H10+"AM:![d"</f>
        <v>#VALUE!</v>
      </c>
      <c r="DG19" t="e">
        <f>'Effort Estimation'!I10+"AM:![e"</f>
        <v>#VALUE!</v>
      </c>
      <c r="DH19" s="99" t="e">
        <f>'Effort Estimation'!J10+"AM:![f"</f>
        <v>#VALUE!</v>
      </c>
      <c r="DI19" s="99" t="e">
        <f>'Effort Estimation'!K10+"AM:![g"</f>
        <v>#VALUE!</v>
      </c>
      <c r="DJ19" s="99" t="e">
        <f>'Effort Estimation'!L10+"AM:![h"</f>
        <v>#VALUE!</v>
      </c>
      <c r="DK19" s="99" t="e">
        <f>'Effort Estimation'!M10+"AM:![i"</f>
        <v>#VALUE!</v>
      </c>
      <c r="DL19" s="99" t="e">
        <f>'Effort Estimation'!N10+"AM:![j"</f>
        <v>#VALUE!</v>
      </c>
      <c r="DM19" s="99" t="e">
        <f>'Effort Estimation'!O10+"AM:![k"</f>
        <v>#VALUE!</v>
      </c>
      <c r="DN19" s="99" t="e">
        <f ca="1">'Effort Estimation'!P10+"AM:![l"</f>
        <v>#VALUE!</v>
      </c>
      <c r="DO19" s="99" t="e">
        <f ca="1">'Effort Estimation'!Q10+"AM:![m"</f>
        <v>#VALUE!</v>
      </c>
      <c r="DP19" t="e">
        <f>'Effort Estimation'!R10+"AM:![n"</f>
        <v>#VALUE!</v>
      </c>
      <c r="DQ19" t="e">
        <f>'Effort Estimation'!S10+"AM:![o"</f>
        <v>#VALUE!</v>
      </c>
      <c r="DR19" t="e">
        <f>'Effort Estimation'!T10+"AM:![p"</f>
        <v>#VALUE!</v>
      </c>
      <c r="DS19" t="e">
        <f>'Effort Estimation'!A11+"AM:![q"</f>
        <v>#VALUE!</v>
      </c>
      <c r="DT19" t="e">
        <f>'Effort Estimation'!B11+"AM:![r"</f>
        <v>#VALUE!</v>
      </c>
      <c r="DU19" t="e">
        <f>'Effort Estimation'!C11+"AM:![s"</f>
        <v>#VALUE!</v>
      </c>
      <c r="DV19" t="e">
        <f>'Effort Estimation'!D11+"AM:![t"</f>
        <v>#VALUE!</v>
      </c>
      <c r="DW19" t="e">
        <f>'Effort Estimation'!E11+"AM:![u"</f>
        <v>#VALUE!</v>
      </c>
      <c r="DX19" t="e">
        <f>'Effort Estimation'!F11+"AM:![v"</f>
        <v>#VALUE!</v>
      </c>
      <c r="DY19" t="e">
        <f>'Effort Estimation'!G11+"AM:![w"</f>
        <v>#VALUE!</v>
      </c>
      <c r="DZ19" t="e">
        <f>'Effort Estimation'!H11+"AM:![x"</f>
        <v>#VALUE!</v>
      </c>
      <c r="EA19" t="e">
        <f>'Effort Estimation'!I11+"AM:![y"</f>
        <v>#VALUE!</v>
      </c>
      <c r="EB19" s="99" t="e">
        <f>'Effort Estimation'!J11+"AM:![z"</f>
        <v>#VALUE!</v>
      </c>
      <c r="EC19" s="99" t="e">
        <f>'Effort Estimation'!K11+"AM:![{"</f>
        <v>#VALUE!</v>
      </c>
      <c r="ED19" s="99" t="e">
        <f>'Effort Estimation'!L11+"AM:![|"</f>
        <v>#VALUE!</v>
      </c>
      <c r="EE19" s="99" t="e">
        <f>'Effort Estimation'!M11+"AM:![}"</f>
        <v>#VALUE!</v>
      </c>
      <c r="EF19" s="99" t="e">
        <f>'Effort Estimation'!N11+"AM:![~"</f>
        <v>#VALUE!</v>
      </c>
      <c r="EG19" s="99" t="e">
        <f>'Effort Estimation'!O11+"AM:!\#"</f>
        <v>#VALUE!</v>
      </c>
      <c r="EH19" s="99" t="e">
        <f ca="1">'Effort Estimation'!P11+"AM:!\$"</f>
        <v>#VALUE!</v>
      </c>
      <c r="EI19" s="99" t="e">
        <f ca="1">'Effort Estimation'!Q11+"AM:!\%"</f>
        <v>#VALUE!</v>
      </c>
      <c r="EJ19" t="e">
        <f>'Effort Estimation'!R11+"AM:!\&amp;"</f>
        <v>#VALUE!</v>
      </c>
      <c r="EK19" t="e">
        <f>'Effort Estimation'!S11+"AM:!\'"</f>
        <v>#VALUE!</v>
      </c>
      <c r="EL19" t="e">
        <f>'Effort Estimation'!T11+"AM:!\("</f>
        <v>#VALUE!</v>
      </c>
      <c r="EM19" t="e">
        <f>'Effort Estimation'!A12+"AM:!\)"</f>
        <v>#VALUE!</v>
      </c>
      <c r="EN19" t="e">
        <f>'Effort Estimation'!B12+"AM:!\."</f>
        <v>#VALUE!</v>
      </c>
      <c r="EO19" t="e">
        <f>'Effort Estimation'!C12+"AM:!\/"</f>
        <v>#VALUE!</v>
      </c>
      <c r="EP19" t="e">
        <f>'Effort Estimation'!D12+"AM:!\0"</f>
        <v>#VALUE!</v>
      </c>
      <c r="EQ19" t="e">
        <f>'Effort Estimation'!E12+"AM:!\1"</f>
        <v>#VALUE!</v>
      </c>
      <c r="ER19" t="e">
        <f>'Effort Estimation'!F12+"AM:!\2"</f>
        <v>#VALUE!</v>
      </c>
      <c r="ES19" t="e">
        <f>'Effort Estimation'!G12+"AM:!\3"</f>
        <v>#VALUE!</v>
      </c>
      <c r="ET19" t="e">
        <f>'Effort Estimation'!H12+"AM:!\4"</f>
        <v>#VALUE!</v>
      </c>
      <c r="EU19" t="e">
        <f>'Effort Estimation'!I12+"AM:!\5"</f>
        <v>#VALUE!</v>
      </c>
      <c r="EV19" s="99" t="e">
        <f>'Effort Estimation'!J12+"AM:!\6"</f>
        <v>#VALUE!</v>
      </c>
      <c r="EW19" s="99" t="e">
        <f>'Effort Estimation'!K12+"AM:!\7"</f>
        <v>#VALUE!</v>
      </c>
      <c r="EX19" s="99" t="e">
        <f>'Effort Estimation'!L12+"AM:!\8"</f>
        <v>#VALUE!</v>
      </c>
      <c r="EY19" s="99" t="e">
        <f>'Effort Estimation'!M12+"AM:!\9"</f>
        <v>#VALUE!</v>
      </c>
      <c r="EZ19" s="99" t="e">
        <f>'Effort Estimation'!N12+"AM:!\:"</f>
        <v>#VALUE!</v>
      </c>
      <c r="FA19" s="99" t="e">
        <f>'Effort Estimation'!O12+"AM:!\;"</f>
        <v>#VALUE!</v>
      </c>
      <c r="FB19" s="99" t="e">
        <f ca="1">'Effort Estimation'!P12+"AM:!\&lt;"</f>
        <v>#VALUE!</v>
      </c>
      <c r="FC19" s="99" t="e">
        <f ca="1">'Effort Estimation'!Q12+"AM:!\="</f>
        <v>#VALUE!</v>
      </c>
      <c r="FD19" t="e">
        <f>'Effort Estimation'!R12+"AM:!\&gt;"</f>
        <v>#VALUE!</v>
      </c>
      <c r="FE19" t="e">
        <f>'Effort Estimation'!S12+"AM:!\?"</f>
        <v>#VALUE!</v>
      </c>
      <c r="FF19" t="e">
        <f>'Effort Estimation'!T12+"AM:!\@"</f>
        <v>#VALUE!</v>
      </c>
      <c r="FG19" t="e">
        <f>'Effort Estimation'!A13+"AM:!\A"</f>
        <v>#VALUE!</v>
      </c>
      <c r="FH19" t="e">
        <f>'Effort Estimation'!B13+"AM:!\B"</f>
        <v>#VALUE!</v>
      </c>
      <c r="FI19" t="e">
        <f>'Effort Estimation'!C13+"AM:!\C"</f>
        <v>#VALUE!</v>
      </c>
      <c r="FJ19" t="e">
        <f>'Effort Estimation'!D13+"AM:!\D"</f>
        <v>#VALUE!</v>
      </c>
      <c r="FK19" t="e">
        <f>'Effort Estimation'!E13+"AM:!\E"</f>
        <v>#VALUE!</v>
      </c>
      <c r="FL19" t="e">
        <f>'Effort Estimation'!F13+"AM:!\F"</f>
        <v>#VALUE!</v>
      </c>
      <c r="FM19" t="e">
        <f>'Effort Estimation'!G13+"AM:!\G"</f>
        <v>#VALUE!</v>
      </c>
      <c r="FN19" t="e">
        <f>'Effort Estimation'!H13+"AM:!\H"</f>
        <v>#VALUE!</v>
      </c>
      <c r="FO19" t="e">
        <f>'Effort Estimation'!I13+"AM:!\I"</f>
        <v>#VALUE!</v>
      </c>
      <c r="FP19" s="99" t="e">
        <f>'Effort Estimation'!J13+"AM:!\J"</f>
        <v>#VALUE!</v>
      </c>
      <c r="FQ19" s="99" t="e">
        <f>'Effort Estimation'!K13+"AM:!\K"</f>
        <v>#VALUE!</v>
      </c>
      <c r="FR19" s="99" t="e">
        <f>'Effort Estimation'!L13+"AM:!\L"</f>
        <v>#VALUE!</v>
      </c>
      <c r="FS19" s="99" t="e">
        <f>'Effort Estimation'!M13+"AM:!\M"</f>
        <v>#VALUE!</v>
      </c>
      <c r="FT19" s="99" t="e">
        <f>'Effort Estimation'!N13+"AM:!\N"</f>
        <v>#VALUE!</v>
      </c>
      <c r="FU19" s="99" t="e">
        <f>'Effort Estimation'!O13+"AM:!\O"</f>
        <v>#VALUE!</v>
      </c>
      <c r="FV19" s="99" t="e">
        <f ca="1">'Effort Estimation'!P13+"AM:!\P"</f>
        <v>#VALUE!</v>
      </c>
      <c r="FW19" s="99" t="e">
        <f ca="1">'Effort Estimation'!Q13+"AM:!\Q"</f>
        <v>#VALUE!</v>
      </c>
      <c r="FX19" t="e">
        <f>'Effort Estimation'!R13+"AM:!\R"</f>
        <v>#VALUE!</v>
      </c>
      <c r="FY19" t="e">
        <f>'Effort Estimation'!S13+"AM:!\S"</f>
        <v>#VALUE!</v>
      </c>
      <c r="FZ19" t="e">
        <f>'Effort Estimation'!T13+"AM:!\T"</f>
        <v>#VALUE!</v>
      </c>
      <c r="GA19" t="e">
        <f>'Effort Estimation'!A14+"AM:!\U"</f>
        <v>#VALUE!</v>
      </c>
      <c r="GB19" t="e">
        <f>'Effort Estimation'!B14+"AM:!\V"</f>
        <v>#VALUE!</v>
      </c>
      <c r="GC19" t="e">
        <f>'Effort Estimation'!C14+"AM:!\W"</f>
        <v>#VALUE!</v>
      </c>
      <c r="GD19" t="e">
        <f>'Effort Estimation'!D14+"AM:!\X"</f>
        <v>#VALUE!</v>
      </c>
      <c r="GE19" t="e">
        <f>'Effort Estimation'!E14+"AM:!\Y"</f>
        <v>#VALUE!</v>
      </c>
      <c r="GF19" t="e">
        <f>'Effort Estimation'!F14+"AM:!\Z"</f>
        <v>#VALUE!</v>
      </c>
      <c r="GG19" t="e">
        <f>'Effort Estimation'!G14+"AM:!\["</f>
        <v>#VALUE!</v>
      </c>
      <c r="GH19" t="e">
        <f>'Effort Estimation'!H14+"AM:!\\"</f>
        <v>#VALUE!</v>
      </c>
      <c r="GI19" t="e">
        <f>'Effort Estimation'!I14+"AM:!\]"</f>
        <v>#VALUE!</v>
      </c>
      <c r="GJ19" s="99" t="e">
        <f>'Effort Estimation'!J14+"AM:!\^"</f>
        <v>#VALUE!</v>
      </c>
      <c r="GK19" s="99" t="e">
        <f>'Effort Estimation'!K14+"AM:!\_"</f>
        <v>#VALUE!</v>
      </c>
      <c r="GL19" s="99" t="e">
        <f>'Effort Estimation'!L14+"AM:!\`"</f>
        <v>#VALUE!</v>
      </c>
      <c r="GM19" s="99" t="e">
        <f>'Effort Estimation'!M14+"AM:!\a"</f>
        <v>#VALUE!</v>
      </c>
      <c r="GN19" s="99" t="e">
        <f>'Effort Estimation'!N14+"AM:!\b"</f>
        <v>#VALUE!</v>
      </c>
      <c r="GO19" s="99" t="e">
        <f>'Effort Estimation'!O14+"AM:!\c"</f>
        <v>#VALUE!</v>
      </c>
      <c r="GP19" s="99" t="e">
        <f ca="1">'Effort Estimation'!P14+"AM:!\d"</f>
        <v>#VALUE!</v>
      </c>
      <c r="GQ19" s="99" t="e">
        <f ca="1">'Effort Estimation'!Q14+"AM:!\e"</f>
        <v>#VALUE!</v>
      </c>
      <c r="GR19" t="e">
        <f>'Effort Estimation'!R14+"AM:!\f"</f>
        <v>#VALUE!</v>
      </c>
      <c r="GS19" t="e">
        <f>'Effort Estimation'!S14+"AM:!\g"</f>
        <v>#VALUE!</v>
      </c>
      <c r="GT19" t="e">
        <f>'Effort Estimation'!T14+"AM:!\h"</f>
        <v>#VALUE!</v>
      </c>
      <c r="GU19" t="e">
        <f>'Effort Estimation'!A15+"AM:!\i"</f>
        <v>#VALUE!</v>
      </c>
      <c r="GV19" t="e">
        <f>'Effort Estimation'!B15+"AM:!\j"</f>
        <v>#VALUE!</v>
      </c>
      <c r="GW19" t="e">
        <f>'Effort Estimation'!C15+"AM:!\k"</f>
        <v>#VALUE!</v>
      </c>
      <c r="GX19" t="e">
        <f>'Effort Estimation'!D15+"AM:!\l"</f>
        <v>#VALUE!</v>
      </c>
      <c r="GY19" t="e">
        <f>'Effort Estimation'!E15+"AM:!\m"</f>
        <v>#VALUE!</v>
      </c>
      <c r="GZ19" t="e">
        <f>'Effort Estimation'!F15+"AM:!\n"</f>
        <v>#VALUE!</v>
      </c>
      <c r="HA19" t="e">
        <f>'Effort Estimation'!G15+"AM:!\o"</f>
        <v>#VALUE!</v>
      </c>
      <c r="HB19" t="e">
        <f>'Effort Estimation'!H15+"AM:!\p"</f>
        <v>#VALUE!</v>
      </c>
      <c r="HC19" t="e">
        <f>'Effort Estimation'!I15+"AM:!\q"</f>
        <v>#VALUE!</v>
      </c>
      <c r="HD19" s="99" t="e">
        <f>'Effort Estimation'!J15+"AM:!\r"</f>
        <v>#VALUE!</v>
      </c>
      <c r="HE19" s="99" t="e">
        <f>'Effort Estimation'!K15+"AM:!\s"</f>
        <v>#VALUE!</v>
      </c>
      <c r="HF19" s="99" t="e">
        <f>'Effort Estimation'!L15+"AM:!\t"</f>
        <v>#VALUE!</v>
      </c>
      <c r="HG19" s="99" t="e">
        <f>'Effort Estimation'!M15+"AM:!\u"</f>
        <v>#VALUE!</v>
      </c>
      <c r="HH19" s="99" t="e">
        <f>'Effort Estimation'!N15+"AM:!\v"</f>
        <v>#VALUE!</v>
      </c>
      <c r="HI19" s="99" t="e">
        <f>'Effort Estimation'!O15+"AM:!\w"</f>
        <v>#VALUE!</v>
      </c>
      <c r="HJ19" s="99" t="e">
        <f ca="1">'Effort Estimation'!P15+"AM:!\x"</f>
        <v>#VALUE!</v>
      </c>
      <c r="HK19" s="99" t="e">
        <f ca="1">'Effort Estimation'!Q15+"AM:!\y"</f>
        <v>#VALUE!</v>
      </c>
      <c r="HL19" t="e">
        <f>'Effort Estimation'!R15+"AM:!\z"</f>
        <v>#VALUE!</v>
      </c>
      <c r="HM19" t="e">
        <f>'Effort Estimation'!S15+"AM:!\{"</f>
        <v>#VALUE!</v>
      </c>
      <c r="HN19" t="e">
        <f>'Effort Estimation'!T15+"AM:!\|"</f>
        <v>#VALUE!</v>
      </c>
      <c r="HO19" t="e">
        <f>'Effort Estimation'!A16+"AM:!\}"</f>
        <v>#VALUE!</v>
      </c>
      <c r="HP19" t="e">
        <f>'Effort Estimation'!B16+"AM:!\~"</f>
        <v>#VALUE!</v>
      </c>
      <c r="HQ19" t="e">
        <f>'Effort Estimation'!C16+"AM:!]#"</f>
        <v>#VALUE!</v>
      </c>
      <c r="HR19" t="e">
        <f>'Effort Estimation'!D16+"AM:!]$"</f>
        <v>#VALUE!</v>
      </c>
      <c r="HS19" t="e">
        <f>'Effort Estimation'!E16+"AM:!]%"</f>
        <v>#VALUE!</v>
      </c>
      <c r="HT19" t="e">
        <f>'Effort Estimation'!F16+"AM:!]&amp;"</f>
        <v>#VALUE!</v>
      </c>
      <c r="HU19" t="e">
        <f>'Effort Estimation'!G16+"AM:!]'"</f>
        <v>#VALUE!</v>
      </c>
      <c r="HV19" t="e">
        <f>'Effort Estimation'!H16+"AM:!]("</f>
        <v>#VALUE!</v>
      </c>
      <c r="HW19" t="e">
        <f>'Effort Estimation'!I16+"AM:!])"</f>
        <v>#VALUE!</v>
      </c>
      <c r="HX19" s="99" t="e">
        <f>'Effort Estimation'!J16+"AM:!]."</f>
        <v>#VALUE!</v>
      </c>
      <c r="HY19" s="99" t="e">
        <f>'Effort Estimation'!K16+"AM:!]/"</f>
        <v>#VALUE!</v>
      </c>
      <c r="HZ19" s="99" t="e">
        <f>'Effort Estimation'!L16+"AM:!]0"</f>
        <v>#VALUE!</v>
      </c>
      <c r="IA19" s="99" t="e">
        <f>'Effort Estimation'!M16+"AM:!]1"</f>
        <v>#VALUE!</v>
      </c>
      <c r="IB19" s="99" t="e">
        <f>'Effort Estimation'!N16+"AM:!]2"</f>
        <v>#VALUE!</v>
      </c>
      <c r="IC19" s="99" t="e">
        <f>'Effort Estimation'!O16+"AM:!]3"</f>
        <v>#VALUE!</v>
      </c>
      <c r="ID19" s="99" t="e">
        <f ca="1">'Effort Estimation'!P16+"AM:!]4"</f>
        <v>#VALUE!</v>
      </c>
      <c r="IE19" s="99" t="e">
        <f ca="1">'Effort Estimation'!Q16+"AM:!]5"</f>
        <v>#VALUE!</v>
      </c>
      <c r="IF19" t="e">
        <f>'Effort Estimation'!R16+"AM:!]6"</f>
        <v>#VALUE!</v>
      </c>
      <c r="IG19" t="e">
        <f>'Effort Estimation'!S16+"AM:!]7"</f>
        <v>#VALUE!</v>
      </c>
      <c r="IH19" t="e">
        <f>'Effort Estimation'!T16+"AM:!]8"</f>
        <v>#VALUE!</v>
      </c>
      <c r="II19" t="e">
        <f>'Effort Estimation'!A17+"AM:!]9"</f>
        <v>#VALUE!</v>
      </c>
      <c r="IJ19" t="e">
        <f>'Effort Estimation'!B17+"AM:!]:"</f>
        <v>#VALUE!</v>
      </c>
      <c r="IK19" t="e">
        <f>'Effort Estimation'!C17+"AM:!];"</f>
        <v>#VALUE!</v>
      </c>
      <c r="IL19" t="e">
        <f>'Effort Estimation'!D17+"AM:!]&lt;"</f>
        <v>#VALUE!</v>
      </c>
      <c r="IM19" t="e">
        <f>'Effort Estimation'!E17+"AM:!]="</f>
        <v>#VALUE!</v>
      </c>
      <c r="IN19" t="e">
        <f>'Effort Estimation'!F17+"AM:!]&gt;"</f>
        <v>#VALUE!</v>
      </c>
      <c r="IO19" t="e">
        <f>'Effort Estimation'!G17+"AM:!]?"</f>
        <v>#VALUE!</v>
      </c>
      <c r="IP19" t="e">
        <f>'Effort Estimation'!H17+"AM:!]@"</f>
        <v>#VALUE!</v>
      </c>
      <c r="IQ19" t="e">
        <f>'Effort Estimation'!I17+"AM:!]A"</f>
        <v>#VALUE!</v>
      </c>
      <c r="IR19" s="99" t="e">
        <f>'Effort Estimation'!J17+"AM:!]B"</f>
        <v>#VALUE!</v>
      </c>
      <c r="IS19" s="99" t="e">
        <f>'Effort Estimation'!K17+"AM:!]C"</f>
        <v>#VALUE!</v>
      </c>
      <c r="IT19" s="99" t="e">
        <f>'Effort Estimation'!L17+"AM:!]D"</f>
        <v>#VALUE!</v>
      </c>
      <c r="IU19" s="99" t="e">
        <f>'Effort Estimation'!M17+"AM:!]E"</f>
        <v>#VALUE!</v>
      </c>
      <c r="IV19" s="99" t="e">
        <f>'Effort Estimation'!N17+"AM:!]F"</f>
        <v>#VALUE!</v>
      </c>
    </row>
    <row r="20" spans="6:256">
      <c r="F20" s="99" t="e">
        <f>'Effort Estimation'!O17+"AM:!]G"</f>
        <v>#VALUE!</v>
      </c>
      <c r="G20" s="99" t="e">
        <f>'Effort Estimation'!P17+"AM:!]H"</f>
        <v>#VALUE!</v>
      </c>
      <c r="H20" s="99" t="e">
        <f>'Effort Estimation'!Q17+"AM:!]I"</f>
        <v>#VALUE!</v>
      </c>
      <c r="I20" t="e">
        <f>'Effort Estimation'!R17+"AM:!]J"</f>
        <v>#VALUE!</v>
      </c>
      <c r="J20" t="e">
        <f>'Effort Estimation'!S17+"AM:!]K"</f>
        <v>#VALUE!</v>
      </c>
      <c r="K20" t="e">
        <f>'Effort Estimation'!T17+"AM:!]L"</f>
        <v>#VALUE!</v>
      </c>
      <c r="L20" t="e">
        <f>'Effort Estimation'!A18+"AM:!]M"</f>
        <v>#VALUE!</v>
      </c>
      <c r="M20" t="e">
        <f>'Effort Estimation'!B18+"AM:!]N"</f>
        <v>#VALUE!</v>
      </c>
      <c r="N20" t="e">
        <f>'Effort Estimation'!C18+"AM:!]O"</f>
        <v>#VALUE!</v>
      </c>
      <c r="O20" t="e">
        <f>'Effort Estimation'!D18+"AM:!]P"</f>
        <v>#VALUE!</v>
      </c>
      <c r="P20" t="e">
        <f>'Effort Estimation'!E18+"AM:!]Q"</f>
        <v>#VALUE!</v>
      </c>
      <c r="Q20" t="e">
        <f>'Effort Estimation'!F18+"AM:!]R"</f>
        <v>#VALUE!</v>
      </c>
      <c r="R20" t="e">
        <f>'Effort Estimation'!G18+"AM:!]S"</f>
        <v>#VALUE!</v>
      </c>
      <c r="S20" t="e">
        <f>'Effort Estimation'!H18+"AM:!]T"</f>
        <v>#VALUE!</v>
      </c>
      <c r="T20" t="e">
        <f>'Effort Estimation'!I18+"AM:!]U"</f>
        <v>#VALUE!</v>
      </c>
      <c r="U20" s="99" t="e">
        <f>'Effort Estimation'!J18+"AM:!]V"</f>
        <v>#VALUE!</v>
      </c>
      <c r="V20" s="99" t="e">
        <f>'Effort Estimation'!K18+"AM:!]W"</f>
        <v>#VALUE!</v>
      </c>
      <c r="W20" s="99" t="e">
        <f>'Effort Estimation'!L18+"AM:!]X"</f>
        <v>#VALUE!</v>
      </c>
      <c r="X20" s="99" t="e">
        <f>'Effort Estimation'!M18+"AM:!]Y"</f>
        <v>#VALUE!</v>
      </c>
      <c r="Y20" s="99" t="e">
        <f>'Effort Estimation'!N18+"AM:!]Z"</f>
        <v>#VALUE!</v>
      </c>
      <c r="Z20" s="99" t="e">
        <f>'Effort Estimation'!O18+"AM:!]["</f>
        <v>#VALUE!</v>
      </c>
      <c r="AA20" s="99" t="e">
        <f>'Effort Estimation'!P18+"AM:!]\"</f>
        <v>#VALUE!</v>
      </c>
      <c r="AB20" s="99" t="e">
        <f>'Effort Estimation'!Q18+"AM:!]]"</f>
        <v>#VALUE!</v>
      </c>
      <c r="AC20" t="e">
        <f>'Effort Estimation'!R18+"AM:!]^"</f>
        <v>#VALUE!</v>
      </c>
      <c r="AD20" t="e">
        <f>'Effort Estimation'!S18+"AM:!]_"</f>
        <v>#VALUE!</v>
      </c>
      <c r="AE20" t="e">
        <f>'Effort Estimation'!T18+"AM:!]`"</f>
        <v>#VALUE!</v>
      </c>
      <c r="AF20" t="e">
        <f>'Effort Estimation'!A19+"AM:!]a"</f>
        <v>#VALUE!</v>
      </c>
      <c r="AG20" t="e">
        <f>'Effort Estimation'!B19+"AM:!]b"</f>
        <v>#VALUE!</v>
      </c>
      <c r="AH20" t="e">
        <f>'Effort Estimation'!C19+"AM:!]c"</f>
        <v>#VALUE!</v>
      </c>
      <c r="AI20" t="e">
        <f>'Effort Estimation'!D19+"AM:!]d"</f>
        <v>#VALUE!</v>
      </c>
      <c r="AJ20" t="e">
        <f>'Effort Estimation'!E19+"AM:!]e"</f>
        <v>#VALUE!</v>
      </c>
      <c r="AK20" t="e">
        <f>'Effort Estimation'!F19+"AM:!]f"</f>
        <v>#VALUE!</v>
      </c>
      <c r="AL20" t="e">
        <f>'Effort Estimation'!G19+"AM:!]g"</f>
        <v>#VALUE!</v>
      </c>
      <c r="AM20" t="e">
        <f>'Effort Estimation'!H19+"AM:!]h"</f>
        <v>#VALUE!</v>
      </c>
      <c r="AN20" t="e">
        <f>'Effort Estimation'!I19+"AM:!]i"</f>
        <v>#VALUE!</v>
      </c>
      <c r="AO20" s="99" t="e">
        <f>'Effort Estimation'!J19+"AM:!]j"</f>
        <v>#VALUE!</v>
      </c>
      <c r="AP20" s="99" t="e">
        <f>'Effort Estimation'!K19+"AM:!]k"</f>
        <v>#VALUE!</v>
      </c>
      <c r="AQ20" s="99" t="e">
        <f>'Effort Estimation'!L19+"AM:!]l"</f>
        <v>#VALUE!</v>
      </c>
      <c r="AR20" s="99" t="e">
        <f>'Effort Estimation'!M19+"AM:!]m"</f>
        <v>#VALUE!</v>
      </c>
      <c r="AS20" s="99" t="e">
        <f>'Effort Estimation'!N19+"AM:!]n"</f>
        <v>#VALUE!</v>
      </c>
      <c r="AT20" s="99" t="e">
        <f>'Effort Estimation'!O19+"AM:!]o"</f>
        <v>#VALUE!</v>
      </c>
      <c r="AU20" s="99" t="e">
        <f>'Effort Estimation'!P19+"AM:!]p"</f>
        <v>#VALUE!</v>
      </c>
      <c r="AV20" s="99" t="e">
        <f>'Effort Estimation'!Q19+"AM:!]q"</f>
        <v>#VALUE!</v>
      </c>
      <c r="AW20" t="e">
        <f>'Effort Estimation'!R19+"AM:!]r"</f>
        <v>#VALUE!</v>
      </c>
      <c r="AX20" t="e">
        <f>'Effort Estimation'!S19+"AM:!]s"</f>
        <v>#VALUE!</v>
      </c>
      <c r="AY20" t="e">
        <f>'Effort Estimation'!T19+"AM:!]t"</f>
        <v>#VALUE!</v>
      </c>
      <c r="AZ20" t="e">
        <f>'Effort Estimation'!A20+"AM:!]u"</f>
        <v>#VALUE!</v>
      </c>
      <c r="BA20" t="e">
        <f>'Effort Estimation'!B20+"AM:!]v"</f>
        <v>#VALUE!</v>
      </c>
      <c r="BB20" t="e">
        <f>'Effort Estimation'!C20+"AM:!]w"</f>
        <v>#VALUE!</v>
      </c>
      <c r="BC20" t="e">
        <f>'Effort Estimation'!D20+"AM:!]x"</f>
        <v>#VALUE!</v>
      </c>
      <c r="BD20" t="e">
        <f>'Effort Estimation'!E20+"AM:!]y"</f>
        <v>#VALUE!</v>
      </c>
      <c r="BE20" t="e">
        <f>'Effort Estimation'!F20+"AM:!]z"</f>
        <v>#VALUE!</v>
      </c>
      <c r="BF20" t="e">
        <f>'Effort Estimation'!G20+"AM:!]{"</f>
        <v>#VALUE!</v>
      </c>
      <c r="BG20" t="e">
        <f>'Effort Estimation'!H20+"AM:!]|"</f>
        <v>#VALUE!</v>
      </c>
      <c r="BH20" t="e">
        <f>'Effort Estimation'!I20+"AM:!]}"</f>
        <v>#VALUE!</v>
      </c>
      <c r="BI20" s="99" t="e">
        <f>'Effort Estimation'!J20+"AM:!]~"</f>
        <v>#VALUE!</v>
      </c>
      <c r="BJ20" s="99" t="e">
        <f>'Effort Estimation'!K20+"AM:!^#"</f>
        <v>#VALUE!</v>
      </c>
      <c r="BK20" s="99" t="e">
        <f>'Effort Estimation'!L20+"AM:!^$"</f>
        <v>#VALUE!</v>
      </c>
      <c r="BL20" s="99" t="e">
        <f>'Effort Estimation'!M20+"AM:!^%"</f>
        <v>#VALUE!</v>
      </c>
      <c r="BM20" s="99" t="e">
        <f>'Effort Estimation'!N20+"AM:!^&amp;"</f>
        <v>#VALUE!</v>
      </c>
      <c r="BN20" s="99" t="e">
        <f>'Effort Estimation'!O20+"AM:!^'"</f>
        <v>#VALUE!</v>
      </c>
      <c r="BO20" s="99" t="e">
        <f>'Effort Estimation'!P20+"AM:!^("</f>
        <v>#VALUE!</v>
      </c>
      <c r="BP20" s="99" t="e">
        <f>'Effort Estimation'!Q20+"AM:!^)"</f>
        <v>#VALUE!</v>
      </c>
      <c r="BQ20" t="e">
        <f>'Effort Estimation'!R20+"AM:!^."</f>
        <v>#VALUE!</v>
      </c>
      <c r="BR20" t="e">
        <f>'Effort Estimation'!S20+"AM:!^/"</f>
        <v>#VALUE!</v>
      </c>
      <c r="BS20" t="e">
        <f>'Effort Estimation'!T20+"AM:!^0"</f>
        <v>#VALUE!</v>
      </c>
      <c r="BT20" t="e">
        <f>'Effort Estimation'!A21+"AM:!^1"</f>
        <v>#VALUE!</v>
      </c>
      <c r="BU20" t="e">
        <f>'Effort Estimation'!B21+"AM:!^2"</f>
        <v>#VALUE!</v>
      </c>
      <c r="BV20" t="e">
        <f>'Effort Estimation'!C21+"AM:!^3"</f>
        <v>#VALUE!</v>
      </c>
      <c r="BW20" t="e">
        <f>'Effort Estimation'!D21+"AM:!^4"</f>
        <v>#VALUE!</v>
      </c>
      <c r="BX20" t="e">
        <f>'Effort Estimation'!E21+"AM:!^5"</f>
        <v>#VALUE!</v>
      </c>
      <c r="BY20" t="e">
        <f>'Effort Estimation'!F21+"AM:!^6"</f>
        <v>#VALUE!</v>
      </c>
      <c r="BZ20" t="e">
        <f>'Effort Estimation'!G21+"AM:!^7"</f>
        <v>#VALUE!</v>
      </c>
      <c r="CA20" t="e">
        <f>'Effort Estimation'!H21+"AM:!^8"</f>
        <v>#VALUE!</v>
      </c>
      <c r="CB20" t="e">
        <f>'Effort Estimation'!I21+"AM:!^9"</f>
        <v>#VALUE!</v>
      </c>
      <c r="CC20" s="99" t="e">
        <f>'Effort Estimation'!J21+"AM:!^:"</f>
        <v>#VALUE!</v>
      </c>
      <c r="CD20" s="99" t="e">
        <f>'Effort Estimation'!K21+"AM:!^;"</f>
        <v>#VALUE!</v>
      </c>
      <c r="CE20" s="99" t="e">
        <f>'Effort Estimation'!L21+"AM:!^&lt;"</f>
        <v>#VALUE!</v>
      </c>
      <c r="CF20" s="99" t="e">
        <f>'Effort Estimation'!M21+"AM:!^="</f>
        <v>#VALUE!</v>
      </c>
      <c r="CG20" s="99" t="e">
        <f>'Effort Estimation'!N21+"AM:!^&gt;"</f>
        <v>#VALUE!</v>
      </c>
      <c r="CH20" s="99" t="e">
        <f>'Effort Estimation'!O21+"AM:!^?"</f>
        <v>#VALUE!</v>
      </c>
      <c r="CI20" s="99" t="e">
        <f>'Effort Estimation'!P21+"AM:!^@"</f>
        <v>#VALUE!</v>
      </c>
      <c r="CJ20" s="99" t="e">
        <f>'Effort Estimation'!Q21+"AM:!^A"</f>
        <v>#VALUE!</v>
      </c>
      <c r="CK20" t="e">
        <f>'Effort Estimation'!R21+"AM:!^B"</f>
        <v>#VALUE!</v>
      </c>
      <c r="CL20" t="e">
        <f>'Effort Estimation'!S21+"AM:!^C"</f>
        <v>#VALUE!</v>
      </c>
      <c r="CM20" t="e">
        <f>'Effort Estimation'!T21+"AM:!^D"</f>
        <v>#VALUE!</v>
      </c>
      <c r="CN20" t="e">
        <f>'Effort Estimation'!A22+"AM:!^E"</f>
        <v>#VALUE!</v>
      </c>
      <c r="CO20" t="e">
        <f>'Effort Estimation'!B22+"AM:!^F"</f>
        <v>#VALUE!</v>
      </c>
      <c r="CP20" t="e">
        <f>'Effort Estimation'!C22+"AM:!^G"</f>
        <v>#VALUE!</v>
      </c>
      <c r="CQ20" t="e">
        <f>'Effort Estimation'!D22+"AM:!^H"</f>
        <v>#VALUE!</v>
      </c>
      <c r="CR20" t="e">
        <f>'Effort Estimation'!E22+"AM:!^I"</f>
        <v>#VALUE!</v>
      </c>
      <c r="CS20" t="e">
        <f>'Effort Estimation'!F22+"AM:!^J"</f>
        <v>#VALUE!</v>
      </c>
      <c r="CT20" t="e">
        <f>'Effort Estimation'!G22+"AM:!^K"</f>
        <v>#VALUE!</v>
      </c>
      <c r="CU20" t="e">
        <f>'Effort Estimation'!H22+"AM:!^L"</f>
        <v>#VALUE!</v>
      </c>
      <c r="CV20" t="e">
        <f>'Effort Estimation'!I22+"AM:!^M"</f>
        <v>#VALUE!</v>
      </c>
      <c r="CW20" s="99" t="e">
        <f>'Effort Estimation'!J22+"AM:!^N"</f>
        <v>#VALUE!</v>
      </c>
      <c r="CX20" s="99" t="e">
        <f>'Effort Estimation'!K22+"AM:!^O"</f>
        <v>#VALUE!</v>
      </c>
      <c r="CY20" s="99" t="e">
        <f>'Effort Estimation'!L22+"AM:!^P"</f>
        <v>#VALUE!</v>
      </c>
      <c r="CZ20" s="99" t="e">
        <f>'Effort Estimation'!M22+"AM:!^Q"</f>
        <v>#VALUE!</v>
      </c>
      <c r="DA20" s="99" t="e">
        <f>'Effort Estimation'!N22+"AM:!^R"</f>
        <v>#VALUE!</v>
      </c>
      <c r="DB20" s="99" t="e">
        <f>'Effort Estimation'!O22+"AM:!^S"</f>
        <v>#VALUE!</v>
      </c>
      <c r="DC20" s="99" t="e">
        <f>'Effort Estimation'!P22+"AM:!^T"</f>
        <v>#VALUE!</v>
      </c>
      <c r="DD20" s="99" t="e">
        <f>'Effort Estimation'!Q22+"AM:!^U"</f>
        <v>#VALUE!</v>
      </c>
      <c r="DE20" t="e">
        <f>'Effort Estimation'!R22+"AM:!^V"</f>
        <v>#VALUE!</v>
      </c>
      <c r="DF20" t="e">
        <f>'Effort Estimation'!S22+"AM:!^W"</f>
        <v>#VALUE!</v>
      </c>
      <c r="DG20" t="e">
        <f>'Effort Estimation'!T22+"AM:!^X"</f>
        <v>#VALUE!</v>
      </c>
      <c r="DH20" t="e">
        <f>'Effort Estimation'!A23+"AM:!^Y"</f>
        <v>#VALUE!</v>
      </c>
      <c r="DI20" t="e">
        <f>'Effort Estimation'!B23+"AM:!^Z"</f>
        <v>#VALUE!</v>
      </c>
      <c r="DJ20" t="e">
        <f>'Effort Estimation'!C23+"AM:!^["</f>
        <v>#VALUE!</v>
      </c>
      <c r="DK20" t="e">
        <f>'Effort Estimation'!D23+"AM:!^\"</f>
        <v>#VALUE!</v>
      </c>
      <c r="DL20" t="e">
        <f>'Effort Estimation'!E23+"AM:!^]"</f>
        <v>#VALUE!</v>
      </c>
      <c r="DM20" t="e">
        <f>'Effort Estimation'!F23+"AM:!^^"</f>
        <v>#VALUE!</v>
      </c>
      <c r="DN20" t="e">
        <f>'Effort Estimation'!G23+"AM:!^_"</f>
        <v>#VALUE!</v>
      </c>
      <c r="DO20" t="e">
        <f>'Effort Estimation'!H23+"AM:!^`"</f>
        <v>#VALUE!</v>
      </c>
      <c r="DP20" t="e">
        <f>'Effort Estimation'!I23+"AM:!^a"</f>
        <v>#VALUE!</v>
      </c>
      <c r="DQ20" s="99" t="e">
        <f>'Effort Estimation'!J23+"AM:!^b"</f>
        <v>#VALUE!</v>
      </c>
      <c r="DR20" s="99" t="e">
        <f>'Effort Estimation'!K23+"AM:!^c"</f>
        <v>#VALUE!</v>
      </c>
      <c r="DS20" s="99" t="e">
        <f>'Effort Estimation'!L23+"AM:!^d"</f>
        <v>#VALUE!</v>
      </c>
      <c r="DT20" s="99" t="e">
        <f>'Effort Estimation'!M23+"AM:!^e"</f>
        <v>#VALUE!</v>
      </c>
      <c r="DU20" s="99" t="e">
        <f>'Effort Estimation'!N23+"AM:!^f"</f>
        <v>#VALUE!</v>
      </c>
      <c r="DV20" s="99" t="e">
        <f>'Effort Estimation'!O23+"AM:!^g"</f>
        <v>#VALUE!</v>
      </c>
      <c r="DW20" s="99" t="e">
        <f>'Effort Estimation'!P23+"AM:!^h"</f>
        <v>#VALUE!</v>
      </c>
      <c r="DX20" s="99" t="e">
        <f>'Effort Estimation'!Q23+"AM:!^i"</f>
        <v>#VALUE!</v>
      </c>
      <c r="DY20" t="e">
        <f>'Effort Estimation'!R23+"AM:!^j"</f>
        <v>#VALUE!</v>
      </c>
      <c r="DZ20" t="e">
        <f>'Effort Estimation'!S23+"AM:!^k"</f>
        <v>#VALUE!</v>
      </c>
      <c r="EA20" t="e">
        <f>'Effort Estimation'!T23+"AM:!^l"</f>
        <v>#VALUE!</v>
      </c>
      <c r="EB20" t="e">
        <f>'Effort Estimation'!A24+"AM:!^m"</f>
        <v>#VALUE!</v>
      </c>
      <c r="EC20" t="e">
        <f>'Effort Estimation'!B24+"AM:!^n"</f>
        <v>#VALUE!</v>
      </c>
      <c r="ED20" t="e">
        <f>'Effort Estimation'!C24+"AM:!^o"</f>
        <v>#VALUE!</v>
      </c>
      <c r="EE20" t="e">
        <f>'Effort Estimation'!D24+"AM:!^p"</f>
        <v>#VALUE!</v>
      </c>
      <c r="EF20" t="e">
        <f>'Effort Estimation'!E24+"AM:!^q"</f>
        <v>#VALUE!</v>
      </c>
      <c r="EG20" t="e">
        <f>'Effort Estimation'!F24+"AM:!^r"</f>
        <v>#VALUE!</v>
      </c>
      <c r="EH20" t="e">
        <f>'Effort Estimation'!G24+"AM:!^s"</f>
        <v>#VALUE!</v>
      </c>
      <c r="EI20" t="e">
        <f>'Effort Estimation'!H24+"AM:!^t"</f>
        <v>#VALUE!</v>
      </c>
      <c r="EJ20" t="e">
        <f>'Effort Estimation'!I24+"AM:!^u"</f>
        <v>#VALUE!</v>
      </c>
      <c r="EK20" s="99" t="e">
        <f>'Effort Estimation'!J24+"AM:!^v"</f>
        <v>#VALUE!</v>
      </c>
      <c r="EL20" s="99" t="e">
        <f>'Effort Estimation'!K24+"AM:!^w"</f>
        <v>#VALUE!</v>
      </c>
      <c r="EM20" s="99" t="e">
        <f>'Effort Estimation'!L24+"AM:!^x"</f>
        <v>#VALUE!</v>
      </c>
      <c r="EN20" s="99" t="e">
        <f>'Effort Estimation'!M24+"AM:!^y"</f>
        <v>#VALUE!</v>
      </c>
      <c r="EO20" s="99" t="e">
        <f>'Effort Estimation'!N24+"AM:!^z"</f>
        <v>#VALUE!</v>
      </c>
      <c r="EP20" s="99" t="e">
        <f>'Effort Estimation'!O24+"AM:!^{"</f>
        <v>#VALUE!</v>
      </c>
      <c r="EQ20" s="99" t="e">
        <f>'Effort Estimation'!P24+"AM:!^|"</f>
        <v>#VALUE!</v>
      </c>
      <c r="ER20" s="99" t="e">
        <f>'Effort Estimation'!Q24+"AM:!^}"</f>
        <v>#VALUE!</v>
      </c>
      <c r="ES20" t="e">
        <f>'Effort Estimation'!R24+"AM:!^~"</f>
        <v>#VALUE!</v>
      </c>
      <c r="ET20" t="e">
        <f>'Effort Estimation'!S24+"AM:!_#"</f>
        <v>#VALUE!</v>
      </c>
      <c r="EU20" t="e">
        <f>'Effort Estimation'!T24+"AM:!_$"</f>
        <v>#VALUE!</v>
      </c>
      <c r="EV20" t="e">
        <f>'Effort Estimation'!A25+"AM:!_%"</f>
        <v>#VALUE!</v>
      </c>
      <c r="EW20" t="e">
        <f>'Effort Estimation'!B25+"AM:!_&amp;"</f>
        <v>#VALUE!</v>
      </c>
      <c r="EX20" t="e">
        <f>'Effort Estimation'!C25+"AM:!_'"</f>
        <v>#VALUE!</v>
      </c>
      <c r="EY20" t="e">
        <f>'Effort Estimation'!D25+"AM:!_("</f>
        <v>#VALUE!</v>
      </c>
      <c r="EZ20" t="e">
        <f>'Effort Estimation'!E25+"AM:!_)"</f>
        <v>#VALUE!</v>
      </c>
      <c r="FA20" t="e">
        <f>'Effort Estimation'!F25+"AM:!_."</f>
        <v>#VALUE!</v>
      </c>
      <c r="FB20" t="e">
        <f>'Effort Estimation'!G25+"AM:!_/"</f>
        <v>#VALUE!</v>
      </c>
      <c r="FC20" t="e">
        <f>'Effort Estimation'!H25+"AM:!_0"</f>
        <v>#VALUE!</v>
      </c>
      <c r="FD20" t="e">
        <f>'Effort Estimation'!I25+"AM:!_1"</f>
        <v>#VALUE!</v>
      </c>
      <c r="FE20" s="99" t="e">
        <f>'Effort Estimation'!J25+"AM:!_2"</f>
        <v>#VALUE!</v>
      </c>
      <c r="FF20" s="99" t="e">
        <f>'Effort Estimation'!K25+"AM:!_3"</f>
        <v>#VALUE!</v>
      </c>
      <c r="FG20" s="99" t="e">
        <f>'Effort Estimation'!L25+"AM:!_4"</f>
        <v>#VALUE!</v>
      </c>
      <c r="FH20" s="99" t="e">
        <f>'Effort Estimation'!M25+"AM:!_5"</f>
        <v>#VALUE!</v>
      </c>
      <c r="FI20" s="99" t="e">
        <f>'Effort Estimation'!N25+"AM:!_6"</f>
        <v>#VALUE!</v>
      </c>
      <c r="FJ20" s="99" t="e">
        <f>'Effort Estimation'!O25+"AM:!_7"</f>
        <v>#VALUE!</v>
      </c>
      <c r="FK20" s="99" t="e">
        <f>'Effort Estimation'!P25+"AM:!_8"</f>
        <v>#VALUE!</v>
      </c>
      <c r="FL20" s="99" t="e">
        <f>'Effort Estimation'!Q25+"AM:!_9"</f>
        <v>#VALUE!</v>
      </c>
      <c r="FM20" t="e">
        <f>'Effort Estimation'!R25+"AM:!_:"</f>
        <v>#VALUE!</v>
      </c>
      <c r="FN20" t="e">
        <f>'Effort Estimation'!S25+"AM:!_;"</f>
        <v>#VALUE!</v>
      </c>
      <c r="FO20" t="e">
        <f>'Effort Estimation'!T25+"AM:!_&lt;"</f>
        <v>#VALUE!</v>
      </c>
      <c r="FP20" t="e">
        <f>'Effort Estimation'!A26+"AM:!_="</f>
        <v>#VALUE!</v>
      </c>
      <c r="FQ20" t="e">
        <f>'Effort Estimation'!B26+"AM:!_&gt;"</f>
        <v>#VALUE!</v>
      </c>
      <c r="FR20" t="e">
        <f>'Effort Estimation'!C26+"AM:!_?"</f>
        <v>#VALUE!</v>
      </c>
      <c r="FS20" t="e">
        <f>'Effort Estimation'!D26+"AM:!_@"</f>
        <v>#VALUE!</v>
      </c>
      <c r="FT20" t="e">
        <f>'Effort Estimation'!E26+"AM:!_A"</f>
        <v>#VALUE!</v>
      </c>
      <c r="FU20" t="e">
        <f>'Effort Estimation'!F26+"AM:!_B"</f>
        <v>#VALUE!</v>
      </c>
      <c r="FV20" t="e">
        <f>'Effort Estimation'!G26+"AM:!_C"</f>
        <v>#VALUE!</v>
      </c>
      <c r="FW20" t="e">
        <f>'Effort Estimation'!H26+"AM:!_D"</f>
        <v>#VALUE!</v>
      </c>
      <c r="FX20" t="e">
        <f>'Effort Estimation'!I26+"AM:!_E"</f>
        <v>#VALUE!</v>
      </c>
      <c r="FY20" s="99" t="e">
        <f>'Effort Estimation'!J26+"AM:!_F"</f>
        <v>#VALUE!</v>
      </c>
      <c r="FZ20" s="99" t="e">
        <f>'Effort Estimation'!K26+"AM:!_G"</f>
        <v>#VALUE!</v>
      </c>
      <c r="GA20" s="99" t="e">
        <f>'Effort Estimation'!L26+"AM:!_H"</f>
        <v>#VALUE!</v>
      </c>
      <c r="GB20" s="99" t="e">
        <f>'Effort Estimation'!M26+"AM:!_I"</f>
        <v>#VALUE!</v>
      </c>
      <c r="GC20" s="99" t="e">
        <f>'Effort Estimation'!N26+"AM:!_J"</f>
        <v>#VALUE!</v>
      </c>
      <c r="GD20" s="99" t="e">
        <f>'Effort Estimation'!O26+"AM:!_K"</f>
        <v>#VALUE!</v>
      </c>
      <c r="GE20" s="99" t="e">
        <f>'Effort Estimation'!P26+"AM:!_L"</f>
        <v>#VALUE!</v>
      </c>
      <c r="GF20" s="99" t="e">
        <f>'Effort Estimation'!Q26+"AM:!_M"</f>
        <v>#VALUE!</v>
      </c>
      <c r="GG20" t="e">
        <f>'Effort Estimation'!R26+"AM:!_N"</f>
        <v>#VALUE!</v>
      </c>
      <c r="GH20" t="e">
        <f>'Effort Estimation'!S26+"AM:!_O"</f>
        <v>#VALUE!</v>
      </c>
      <c r="GI20" t="e">
        <f>'Effort Estimation'!T26+"AM:!_P"</f>
        <v>#VALUE!</v>
      </c>
      <c r="GJ20" t="e">
        <f>'Effort Estimation'!A27+"AM:!_Q"</f>
        <v>#VALUE!</v>
      </c>
      <c r="GK20" t="e">
        <f>'Effort Estimation'!B27+"AM:!_R"</f>
        <v>#VALUE!</v>
      </c>
      <c r="GL20" t="e">
        <f>'Effort Estimation'!C27+"AM:!_S"</f>
        <v>#VALUE!</v>
      </c>
      <c r="GM20" t="e">
        <f>'Effort Estimation'!D27+"AM:!_T"</f>
        <v>#VALUE!</v>
      </c>
      <c r="GN20" t="e">
        <f>'Effort Estimation'!E27+"AM:!_U"</f>
        <v>#VALUE!</v>
      </c>
      <c r="GO20" t="e">
        <f>'Effort Estimation'!F27+"AM:!_V"</f>
        <v>#VALUE!</v>
      </c>
      <c r="GP20" t="e">
        <f>'Effort Estimation'!G27+"AM:!_W"</f>
        <v>#VALUE!</v>
      </c>
      <c r="GQ20" t="e">
        <f>'Effort Estimation'!H27+"AM:!_X"</f>
        <v>#VALUE!</v>
      </c>
      <c r="GR20" t="e">
        <f>'Effort Estimation'!I27+"AM:!_Y"</f>
        <v>#VALUE!</v>
      </c>
      <c r="GS20" s="99" t="e">
        <f>'Effort Estimation'!J27+"AM:!_Z"</f>
        <v>#VALUE!</v>
      </c>
      <c r="GT20" s="99" t="e">
        <f>'Effort Estimation'!K27+"AM:!_["</f>
        <v>#VALUE!</v>
      </c>
      <c r="GU20" s="99" t="e">
        <f>'Effort Estimation'!L27+"AM:!_\"</f>
        <v>#VALUE!</v>
      </c>
      <c r="GV20" s="99" t="e">
        <f>'Effort Estimation'!M27+"AM:!_]"</f>
        <v>#VALUE!</v>
      </c>
      <c r="GW20" s="99" t="e">
        <f>'Effort Estimation'!N27+"AM:!_^"</f>
        <v>#VALUE!</v>
      </c>
      <c r="GX20" s="99" t="e">
        <f>'Effort Estimation'!O27+"AM:!__"</f>
        <v>#VALUE!</v>
      </c>
      <c r="GY20" s="99" t="e">
        <f>'Effort Estimation'!P27+"AM:!_`"</f>
        <v>#VALUE!</v>
      </c>
      <c r="GZ20" s="99" t="e">
        <f>'Effort Estimation'!Q27+"AM:!_a"</f>
        <v>#VALUE!</v>
      </c>
      <c r="HA20" t="e">
        <f>'Effort Estimation'!R27+"AM:!_b"</f>
        <v>#VALUE!</v>
      </c>
      <c r="HB20" t="e">
        <f>'Effort Estimation'!S27+"AM:!_c"</f>
        <v>#VALUE!</v>
      </c>
      <c r="HC20" t="e">
        <f>'Effort Estimation'!T27+"AM:!_d"</f>
        <v>#VALUE!</v>
      </c>
      <c r="HD20" t="e">
        <f>'Effort Estimation'!A28+"AM:!_e"</f>
        <v>#VALUE!</v>
      </c>
      <c r="HE20" t="e">
        <f>'Effort Estimation'!B28+"AM:!_f"</f>
        <v>#VALUE!</v>
      </c>
      <c r="HF20" t="e">
        <f>'Effort Estimation'!C28+"AM:!_g"</f>
        <v>#VALUE!</v>
      </c>
      <c r="HG20" t="e">
        <f>'Effort Estimation'!D28+"AM:!_h"</f>
        <v>#VALUE!</v>
      </c>
      <c r="HH20" t="e">
        <f>'Effort Estimation'!E28+"AM:!_i"</f>
        <v>#VALUE!</v>
      </c>
      <c r="HI20" t="e">
        <f>'Effort Estimation'!F28+"AM:!_j"</f>
        <v>#VALUE!</v>
      </c>
      <c r="HJ20" t="e">
        <f>'Effort Estimation'!G28+"AM:!_k"</f>
        <v>#VALUE!</v>
      </c>
      <c r="HK20" t="e">
        <f>'Effort Estimation'!H28+"AM:!_l"</f>
        <v>#VALUE!</v>
      </c>
      <c r="HL20" t="e">
        <f>'Effort Estimation'!I28+"AM:!_m"</f>
        <v>#VALUE!</v>
      </c>
      <c r="HM20" s="99" t="e">
        <f>'Effort Estimation'!J28+"AM:!_n"</f>
        <v>#VALUE!</v>
      </c>
      <c r="HN20" s="99" t="e">
        <f>'Effort Estimation'!K28+"AM:!_o"</f>
        <v>#VALUE!</v>
      </c>
      <c r="HO20" s="99" t="e">
        <f>'Effort Estimation'!L28+"AM:!_p"</f>
        <v>#VALUE!</v>
      </c>
      <c r="HP20" s="99" t="e">
        <f>'Effort Estimation'!M28+"AM:!_q"</f>
        <v>#VALUE!</v>
      </c>
      <c r="HQ20" s="99" t="e">
        <f>'Effort Estimation'!N28+"AM:!_r"</f>
        <v>#VALUE!</v>
      </c>
      <c r="HR20" s="99" t="e">
        <f>'Effort Estimation'!O28+"AM:!_s"</f>
        <v>#VALUE!</v>
      </c>
      <c r="HS20" s="99" t="e">
        <f>'Effort Estimation'!P28+"AM:!_t"</f>
        <v>#VALUE!</v>
      </c>
      <c r="HT20" s="99" t="e">
        <f>'Effort Estimation'!Q28+"AM:!_u"</f>
        <v>#VALUE!</v>
      </c>
      <c r="HU20" t="e">
        <f>'Effort Estimation'!R28+"AM:!_v"</f>
        <v>#VALUE!</v>
      </c>
      <c r="HV20" t="e">
        <f>'Effort Estimation'!S28+"AM:!_w"</f>
        <v>#VALUE!</v>
      </c>
      <c r="HW20" t="e">
        <f>'Effort Estimation'!T28+"AM:!_x"</f>
        <v>#VALUE!</v>
      </c>
      <c r="HX20" t="e">
        <f>'Effort Estimation'!A29+"AM:!_y"</f>
        <v>#VALUE!</v>
      </c>
      <c r="HY20" t="e">
        <f>'Effort Estimation'!B29+"AM:!_z"</f>
        <v>#VALUE!</v>
      </c>
      <c r="HZ20" t="e">
        <f>'Effort Estimation'!C29+"AM:!_{"</f>
        <v>#VALUE!</v>
      </c>
      <c r="IA20" t="e">
        <f>'Effort Estimation'!D29+"AM:!_|"</f>
        <v>#VALUE!</v>
      </c>
      <c r="IB20" t="e">
        <f>'Effort Estimation'!E29+"AM:!_}"</f>
        <v>#VALUE!</v>
      </c>
      <c r="IC20" t="e">
        <f>'Effort Estimation'!F29+"AM:!_~"</f>
        <v>#VALUE!</v>
      </c>
      <c r="ID20" t="e">
        <f>'Effort Estimation'!G29+"AM:!`#"</f>
        <v>#VALUE!</v>
      </c>
      <c r="IE20" t="e">
        <f>'Effort Estimation'!H29+"AM:!`$"</f>
        <v>#VALUE!</v>
      </c>
      <c r="IF20" t="e">
        <f>'Effort Estimation'!I29+"AM:!`%"</f>
        <v>#VALUE!</v>
      </c>
      <c r="IG20" s="99" t="e">
        <f>'Effort Estimation'!J29+"AM:!`&amp;"</f>
        <v>#VALUE!</v>
      </c>
      <c r="IH20" s="99" t="e">
        <f>'Effort Estimation'!K29+"AM:!`'"</f>
        <v>#VALUE!</v>
      </c>
      <c r="II20" s="99" t="e">
        <f>'Effort Estimation'!L29+"AM:!`("</f>
        <v>#VALUE!</v>
      </c>
      <c r="IJ20" s="99" t="e">
        <f>'Effort Estimation'!M29+"AM:!`)"</f>
        <v>#VALUE!</v>
      </c>
      <c r="IK20" s="99" t="e">
        <f>'Effort Estimation'!N29+"AM:!`."</f>
        <v>#VALUE!</v>
      </c>
      <c r="IL20" s="99" t="e">
        <f>'Effort Estimation'!O29+"AM:!`/"</f>
        <v>#VALUE!</v>
      </c>
      <c r="IM20" s="99" t="e">
        <f>'Effort Estimation'!P29+"AM:!`0"</f>
        <v>#VALUE!</v>
      </c>
      <c r="IN20" s="99" t="e">
        <f>'Effort Estimation'!Q29+"AM:!`1"</f>
        <v>#VALUE!</v>
      </c>
      <c r="IO20" t="e">
        <f>'Effort Estimation'!R29+"AM:!`2"</f>
        <v>#VALUE!</v>
      </c>
      <c r="IP20" t="e">
        <f>'Effort Estimation'!S29+"AM:!`3"</f>
        <v>#VALUE!</v>
      </c>
      <c r="IQ20" t="e">
        <f>'Effort Estimation'!T29+"AM:!`4"</f>
        <v>#VALUE!</v>
      </c>
      <c r="IR20" t="e">
        <f>'Effort Estimation'!A30+"AM:!`5"</f>
        <v>#VALUE!</v>
      </c>
      <c r="IS20" t="e">
        <f>'Effort Estimation'!B30+"AM:!`6"</f>
        <v>#VALUE!</v>
      </c>
      <c r="IT20" t="e">
        <f>'Effort Estimation'!C30+"AM:!`7"</f>
        <v>#VALUE!</v>
      </c>
      <c r="IU20" t="e">
        <f>'Effort Estimation'!D30+"AM:!`8"</f>
        <v>#VALUE!</v>
      </c>
      <c r="IV20" t="e">
        <f>'Effort Estimation'!E30+"AM:!`9"</f>
        <v>#VALUE!</v>
      </c>
    </row>
    <row r="21" spans="6:256">
      <c r="F21" t="e">
        <f>'Effort Estimation'!F30+"AM:!`:"</f>
        <v>#VALUE!</v>
      </c>
      <c r="G21" t="e">
        <f>'Effort Estimation'!G30+"AM:!`;"</f>
        <v>#VALUE!</v>
      </c>
      <c r="H21" t="e">
        <f>'Effort Estimation'!H30+"AM:!`&lt;"</f>
        <v>#VALUE!</v>
      </c>
      <c r="I21" t="e">
        <f>'Effort Estimation'!I30+"AM:!`="</f>
        <v>#VALUE!</v>
      </c>
      <c r="J21" s="99" t="e">
        <f>'Effort Estimation'!J30+"AM:!`&gt;"</f>
        <v>#VALUE!</v>
      </c>
      <c r="K21" s="99" t="e">
        <f>'Effort Estimation'!K30+"AM:!`?"</f>
        <v>#VALUE!</v>
      </c>
      <c r="L21" s="99" t="e">
        <f>'Effort Estimation'!L30+"AM:!`@"</f>
        <v>#VALUE!</v>
      </c>
      <c r="M21" s="99" t="e">
        <f>'Effort Estimation'!M30+"AM:!`A"</f>
        <v>#VALUE!</v>
      </c>
      <c r="N21" s="99" t="e">
        <f>'Effort Estimation'!N30+"AM:!`B"</f>
        <v>#VALUE!</v>
      </c>
      <c r="O21" s="99" t="e">
        <f>'Effort Estimation'!O30+"AM:!`C"</f>
        <v>#VALUE!</v>
      </c>
      <c r="P21" s="99" t="e">
        <f>'Effort Estimation'!P30+"AM:!`D"</f>
        <v>#VALUE!</v>
      </c>
      <c r="Q21" s="99" t="e">
        <f>'Effort Estimation'!Q30+"AM:!`E"</f>
        <v>#VALUE!</v>
      </c>
      <c r="R21" t="e">
        <f>'Effort Estimation'!R30+"AM:!`F"</f>
        <v>#VALUE!</v>
      </c>
      <c r="S21" t="e">
        <f>'Effort Estimation'!S30+"AM:!`G"</f>
        <v>#VALUE!</v>
      </c>
      <c r="T21" t="e">
        <f>'Effort Estimation'!T30+"AM:!`H"</f>
        <v>#VALUE!</v>
      </c>
      <c r="U21" t="e">
        <f>'Effort Estimation'!A31+"AM:!`I"</f>
        <v>#VALUE!</v>
      </c>
      <c r="V21" t="e">
        <f>'Effort Estimation'!B31+"AM:!`J"</f>
        <v>#VALUE!</v>
      </c>
      <c r="W21" t="e">
        <f>'Effort Estimation'!C31+"AM:!`K"</f>
        <v>#VALUE!</v>
      </c>
      <c r="X21" t="e">
        <f>'Effort Estimation'!D31+"AM:!`L"</f>
        <v>#VALUE!</v>
      </c>
      <c r="Y21" t="e">
        <f>'Effort Estimation'!E31+"AM:!`M"</f>
        <v>#VALUE!</v>
      </c>
      <c r="Z21" t="e">
        <f>'Effort Estimation'!F31+"AM:!`N"</f>
        <v>#VALUE!</v>
      </c>
      <c r="AA21" t="e">
        <f>'Effort Estimation'!G31+"AM:!`O"</f>
        <v>#VALUE!</v>
      </c>
      <c r="AB21" t="e">
        <f>'Effort Estimation'!H31+"AM:!`P"</f>
        <v>#VALUE!</v>
      </c>
      <c r="AC21" t="e">
        <f>'Effort Estimation'!I31+"AM:!`Q"</f>
        <v>#VALUE!</v>
      </c>
      <c r="AD21" s="99" t="e">
        <f>'Effort Estimation'!J31+"AM:!`R"</f>
        <v>#VALUE!</v>
      </c>
      <c r="AE21" s="99" t="e">
        <f>'Effort Estimation'!K31+"AM:!`S"</f>
        <v>#VALUE!</v>
      </c>
      <c r="AF21" s="99" t="e">
        <f>'Effort Estimation'!L31+"AM:!`T"</f>
        <v>#VALUE!</v>
      </c>
      <c r="AG21" s="99" t="e">
        <f>'Effort Estimation'!M31+"AM:!`U"</f>
        <v>#VALUE!</v>
      </c>
      <c r="AH21" s="99" t="e">
        <f>'Effort Estimation'!N31+"AM:!`V"</f>
        <v>#VALUE!</v>
      </c>
      <c r="AI21" s="99" t="e">
        <f>'Effort Estimation'!O31+"AM:!`W"</f>
        <v>#VALUE!</v>
      </c>
      <c r="AJ21" s="99" t="e">
        <f>'Effort Estimation'!P31+"AM:!`X"</f>
        <v>#VALUE!</v>
      </c>
      <c r="AK21" s="99" t="e">
        <f>'Effort Estimation'!Q31+"AM:!`Y"</f>
        <v>#VALUE!</v>
      </c>
      <c r="AL21" t="e">
        <f>'Effort Estimation'!R31+"AM:!`Z"</f>
        <v>#VALUE!</v>
      </c>
      <c r="AM21" t="e">
        <f>'Effort Estimation'!S31+"AM:!`["</f>
        <v>#VALUE!</v>
      </c>
      <c r="AN21" t="e">
        <f>'Effort Estimation'!T31+"AM:!`\"</f>
        <v>#VALUE!</v>
      </c>
      <c r="AO21" t="e">
        <f>'Effort Estimation'!A32+"AM:!`]"</f>
        <v>#VALUE!</v>
      </c>
      <c r="AP21" t="e">
        <f>'Effort Estimation'!B32+"AM:!`^"</f>
        <v>#VALUE!</v>
      </c>
      <c r="AQ21" t="e">
        <f>'Effort Estimation'!C32+"AM:!`_"</f>
        <v>#VALUE!</v>
      </c>
      <c r="AR21" t="e">
        <f>'Effort Estimation'!D32+"AM:!``"</f>
        <v>#VALUE!</v>
      </c>
      <c r="AS21" t="e">
        <f>'Effort Estimation'!E32+"AM:!`a"</f>
        <v>#VALUE!</v>
      </c>
      <c r="AT21" t="e">
        <f>'Effort Estimation'!F32+"AM:!`b"</f>
        <v>#VALUE!</v>
      </c>
      <c r="AU21" t="e">
        <f>'Effort Estimation'!G32+"AM:!`c"</f>
        <v>#VALUE!</v>
      </c>
      <c r="AV21" t="e">
        <f>'Effort Estimation'!H32+"AM:!`d"</f>
        <v>#VALUE!</v>
      </c>
      <c r="AW21" t="e">
        <f>'Effort Estimation'!I32+"AM:!`e"</f>
        <v>#VALUE!</v>
      </c>
      <c r="AX21" s="99" t="e">
        <f>'Effort Estimation'!J32+"AM:!`f"</f>
        <v>#VALUE!</v>
      </c>
      <c r="AY21" s="99" t="e">
        <f>'Effort Estimation'!K32+"AM:!`g"</f>
        <v>#VALUE!</v>
      </c>
      <c r="AZ21" s="99" t="e">
        <f>'Effort Estimation'!L32+"AM:!`h"</f>
        <v>#VALUE!</v>
      </c>
      <c r="BA21" s="99" t="e">
        <f>'Effort Estimation'!M32+"AM:!`i"</f>
        <v>#VALUE!</v>
      </c>
      <c r="BB21" s="99" t="e">
        <f>'Effort Estimation'!N32+"AM:!`j"</f>
        <v>#VALUE!</v>
      </c>
      <c r="BC21" s="99" t="e">
        <f>'Effort Estimation'!O32+"AM:!`k"</f>
        <v>#VALUE!</v>
      </c>
      <c r="BD21" s="99" t="e">
        <f>'Effort Estimation'!P32+"AM:!`l"</f>
        <v>#VALUE!</v>
      </c>
      <c r="BE21" s="99" t="e">
        <f>'Effort Estimation'!Q32+"AM:!`m"</f>
        <v>#VALUE!</v>
      </c>
      <c r="BF21" t="e">
        <f>'Effort Estimation'!R32+"AM:!`n"</f>
        <v>#VALUE!</v>
      </c>
      <c r="BG21" t="e">
        <f>'Effort Estimation'!S32+"AM:!`o"</f>
        <v>#VALUE!</v>
      </c>
      <c r="BH21" t="e">
        <f>'Effort Estimation'!T32+"AM:!`p"</f>
        <v>#VALUE!</v>
      </c>
      <c r="BI21" t="e">
        <f>'Effort Estimation'!A33+"AM:!`q"</f>
        <v>#VALUE!</v>
      </c>
      <c r="BJ21" t="e">
        <f>'Effort Estimation'!B33+"AM:!`r"</f>
        <v>#VALUE!</v>
      </c>
      <c r="BK21" t="e">
        <f>'Effort Estimation'!C33+"AM:!`s"</f>
        <v>#VALUE!</v>
      </c>
      <c r="BL21" t="e">
        <f>'Effort Estimation'!D33+"AM:!`t"</f>
        <v>#VALUE!</v>
      </c>
      <c r="BM21" t="e">
        <f>'Effort Estimation'!E33+"AM:!`u"</f>
        <v>#VALUE!</v>
      </c>
      <c r="BN21" t="e">
        <f>'Effort Estimation'!F33+"AM:!`v"</f>
        <v>#VALUE!</v>
      </c>
      <c r="BO21" t="e">
        <f>'Effort Estimation'!G33+"AM:!`w"</f>
        <v>#VALUE!</v>
      </c>
      <c r="BP21" t="e">
        <f>'Effort Estimation'!H33+"AM:!`x"</f>
        <v>#VALUE!</v>
      </c>
      <c r="BQ21" t="e">
        <f>'Effort Estimation'!I33+"AM:!`y"</f>
        <v>#VALUE!</v>
      </c>
      <c r="BR21" s="99" t="e">
        <f>'Effort Estimation'!J33+"AM:!`z"</f>
        <v>#VALUE!</v>
      </c>
      <c r="BS21" s="99" t="e">
        <f>'Effort Estimation'!K33+"AM:!`{"</f>
        <v>#VALUE!</v>
      </c>
      <c r="BT21" s="99" t="e">
        <f>'Effort Estimation'!L33+"AM:!`|"</f>
        <v>#VALUE!</v>
      </c>
      <c r="BU21" s="99" t="e">
        <f>'Effort Estimation'!M33+"AM:!`}"</f>
        <v>#VALUE!</v>
      </c>
      <c r="BV21" s="99" t="e">
        <f>'Effort Estimation'!N33+"AM:!`~"</f>
        <v>#VALUE!</v>
      </c>
      <c r="BW21" s="99" t="e">
        <f>'Effort Estimation'!O33+"AM:!a#"</f>
        <v>#VALUE!</v>
      </c>
      <c r="BX21" s="99" t="e">
        <f>'Effort Estimation'!P33+"AM:!a$"</f>
        <v>#VALUE!</v>
      </c>
      <c r="BY21" s="99" t="e">
        <f>'Effort Estimation'!Q33+"AM:!a%"</f>
        <v>#VALUE!</v>
      </c>
      <c r="BZ21" t="e">
        <f>'Effort Estimation'!R33+"AM:!a&amp;"</f>
        <v>#VALUE!</v>
      </c>
      <c r="CA21" t="e">
        <f>'Effort Estimation'!S33+"AM:!a'"</f>
        <v>#VALUE!</v>
      </c>
      <c r="CB21" t="e">
        <f>'Effort Estimation'!T33+"AM:!a("</f>
        <v>#VALUE!</v>
      </c>
      <c r="CC21" t="e">
        <f>'Effort Estimation'!A34+"AM:!a)"</f>
        <v>#VALUE!</v>
      </c>
      <c r="CD21" t="e">
        <f>'Effort Estimation'!B34+"AM:!a."</f>
        <v>#VALUE!</v>
      </c>
      <c r="CE21" t="e">
        <f>'Effort Estimation'!C34+"AM:!a/"</f>
        <v>#VALUE!</v>
      </c>
      <c r="CF21" t="e">
        <f>'Effort Estimation'!D34+"AM:!a0"</f>
        <v>#VALUE!</v>
      </c>
      <c r="CG21" t="e">
        <f>'Effort Estimation'!E34+"AM:!a1"</f>
        <v>#VALUE!</v>
      </c>
      <c r="CH21" t="e">
        <f>'Effort Estimation'!F34+"AM:!a2"</f>
        <v>#VALUE!</v>
      </c>
      <c r="CI21" t="e">
        <f>'Effort Estimation'!G34+"AM:!a3"</f>
        <v>#VALUE!</v>
      </c>
      <c r="CJ21" t="e">
        <f>'Effort Estimation'!H34+"AM:!a4"</f>
        <v>#VALUE!</v>
      </c>
      <c r="CK21" t="e">
        <f>'Effort Estimation'!I34+"AM:!a5"</f>
        <v>#VALUE!</v>
      </c>
      <c r="CL21" s="99" t="e">
        <f>'Effort Estimation'!J34+"AM:!a6"</f>
        <v>#VALUE!</v>
      </c>
      <c r="CM21" s="99" t="e">
        <f>'Effort Estimation'!K34+"AM:!a7"</f>
        <v>#VALUE!</v>
      </c>
      <c r="CN21" s="99" t="e">
        <f>'Effort Estimation'!L34+"AM:!a8"</f>
        <v>#VALUE!</v>
      </c>
      <c r="CO21" s="99" t="e">
        <f>'Effort Estimation'!M34+"AM:!a9"</f>
        <v>#VALUE!</v>
      </c>
      <c r="CP21" s="99" t="e">
        <f>'Effort Estimation'!N34+"AM:!a:"</f>
        <v>#VALUE!</v>
      </c>
      <c r="CQ21" s="99" t="e">
        <f>'Effort Estimation'!O34+"AM:!a;"</f>
        <v>#VALUE!</v>
      </c>
      <c r="CR21" s="99" t="e">
        <f>'Effort Estimation'!P34+"AM:!a&lt;"</f>
        <v>#VALUE!</v>
      </c>
      <c r="CS21" s="99" t="e">
        <f>'Effort Estimation'!Q34+"AM:!a="</f>
        <v>#VALUE!</v>
      </c>
      <c r="CT21" t="e">
        <f>'Effort Estimation'!R34+"AM:!a&gt;"</f>
        <v>#VALUE!</v>
      </c>
      <c r="CU21" t="e">
        <f>'Effort Estimation'!S34+"AM:!a?"</f>
        <v>#VALUE!</v>
      </c>
      <c r="CV21" t="e">
        <f>'Effort Estimation'!T34+"AM:!a@"</f>
        <v>#VALUE!</v>
      </c>
      <c r="CW21" t="e">
        <f>'Effort Estimation'!A35+"AM:!aA"</f>
        <v>#VALUE!</v>
      </c>
      <c r="CX21" t="e">
        <f>'Effort Estimation'!B35+"AM:!aB"</f>
        <v>#VALUE!</v>
      </c>
      <c r="CY21" t="e">
        <f>'Effort Estimation'!C35+"AM:!aC"</f>
        <v>#VALUE!</v>
      </c>
      <c r="CZ21" t="e">
        <f>'Effort Estimation'!D35+"AM:!aD"</f>
        <v>#VALUE!</v>
      </c>
      <c r="DA21" t="e">
        <f>'Effort Estimation'!E35+"AM:!aE"</f>
        <v>#VALUE!</v>
      </c>
      <c r="DB21" t="e">
        <f>'Effort Estimation'!F35+"AM:!aF"</f>
        <v>#VALUE!</v>
      </c>
      <c r="DC21" t="e">
        <f>'Effort Estimation'!G35+"AM:!aG"</f>
        <v>#VALUE!</v>
      </c>
      <c r="DD21" t="e">
        <f>'Effort Estimation'!H35+"AM:!aH"</f>
        <v>#VALUE!</v>
      </c>
      <c r="DE21" t="e">
        <f>'Effort Estimation'!I35+"AM:!aI"</f>
        <v>#VALUE!</v>
      </c>
      <c r="DF21" s="99" t="e">
        <f>'Effort Estimation'!J35+"AM:!aJ"</f>
        <v>#VALUE!</v>
      </c>
      <c r="DG21" s="99" t="e">
        <f>'Effort Estimation'!K35+"AM:!aK"</f>
        <v>#VALUE!</v>
      </c>
      <c r="DH21" s="99" t="e">
        <f>'Effort Estimation'!L35+"AM:!aL"</f>
        <v>#VALUE!</v>
      </c>
      <c r="DI21" s="99" t="e">
        <f>'Effort Estimation'!M35+"AM:!aM"</f>
        <v>#VALUE!</v>
      </c>
      <c r="DJ21" s="99" t="e">
        <f>'Effort Estimation'!N35+"AM:!aN"</f>
        <v>#VALUE!</v>
      </c>
      <c r="DK21" s="99" t="e">
        <f>'Effort Estimation'!O35+"AM:!aO"</f>
        <v>#VALUE!</v>
      </c>
      <c r="DL21" s="99" t="e">
        <f>'Effort Estimation'!P35+"AM:!aP"</f>
        <v>#VALUE!</v>
      </c>
      <c r="DM21" s="99" t="e">
        <f>'Effort Estimation'!Q35+"AM:!aQ"</f>
        <v>#VALUE!</v>
      </c>
      <c r="DN21" t="e">
        <f>'Effort Estimation'!R35+"AM:!aR"</f>
        <v>#VALUE!</v>
      </c>
      <c r="DO21" t="e">
        <f>'Effort Estimation'!S35+"AM:!aS"</f>
        <v>#VALUE!</v>
      </c>
      <c r="DP21" t="e">
        <f>'Effort Estimation'!T35+"AM:!aT"</f>
        <v>#VALUE!</v>
      </c>
      <c r="DQ21" t="e">
        <f>'Effort Estimation'!A36+"AM:!aU"</f>
        <v>#VALUE!</v>
      </c>
      <c r="DR21" t="e">
        <f>'Effort Estimation'!B36+"AM:!aV"</f>
        <v>#VALUE!</v>
      </c>
      <c r="DS21" t="e">
        <f>'Effort Estimation'!C36+"AM:!aW"</f>
        <v>#VALUE!</v>
      </c>
      <c r="DT21" t="e">
        <f>'Effort Estimation'!D36+"AM:!aX"</f>
        <v>#VALUE!</v>
      </c>
      <c r="DU21" t="e">
        <f>'Effort Estimation'!E36+"AM:!aY"</f>
        <v>#VALUE!</v>
      </c>
      <c r="DV21" t="e">
        <f>'Effort Estimation'!F36+"AM:!aZ"</f>
        <v>#VALUE!</v>
      </c>
      <c r="DW21" t="e">
        <f>'Effort Estimation'!G36+"AM:!a["</f>
        <v>#VALUE!</v>
      </c>
      <c r="DX21" t="e">
        <f>'Effort Estimation'!H36+"AM:!a\"</f>
        <v>#VALUE!</v>
      </c>
      <c r="DY21" t="e">
        <f>'Effort Estimation'!I36+"AM:!a]"</f>
        <v>#VALUE!</v>
      </c>
      <c r="DZ21" s="99" t="e">
        <f>'Effort Estimation'!J36+"AM:!a^"</f>
        <v>#VALUE!</v>
      </c>
      <c r="EA21" s="99" t="e">
        <f>'Effort Estimation'!K36+"AM:!a_"</f>
        <v>#VALUE!</v>
      </c>
      <c r="EB21" s="99" t="e">
        <f>'Effort Estimation'!L36+"AM:!a`"</f>
        <v>#VALUE!</v>
      </c>
      <c r="EC21" s="99" t="e">
        <f>'Effort Estimation'!M36+"AM:!aa"</f>
        <v>#VALUE!</v>
      </c>
      <c r="ED21" s="99" t="e">
        <f>'Effort Estimation'!N36+"AM:!ab"</f>
        <v>#VALUE!</v>
      </c>
      <c r="EE21" s="99" t="e">
        <f>'Effort Estimation'!O36+"AM:!ac"</f>
        <v>#VALUE!</v>
      </c>
      <c r="EF21" s="99" t="e">
        <f>'Effort Estimation'!P36+"AM:!ad"</f>
        <v>#VALUE!</v>
      </c>
      <c r="EG21" s="99" t="e">
        <f>'Effort Estimation'!Q36+"AM:!ae"</f>
        <v>#VALUE!</v>
      </c>
      <c r="EH21" t="e">
        <f>'Effort Estimation'!R36+"AM:!af"</f>
        <v>#VALUE!</v>
      </c>
      <c r="EI21" t="e">
        <f>'Effort Estimation'!S36+"AM:!ag"</f>
        <v>#VALUE!</v>
      </c>
      <c r="EJ21" t="e">
        <f>'Effort Estimation'!T36+"AM:!ah"</f>
        <v>#VALUE!</v>
      </c>
      <c r="EK21" t="e">
        <f>'Effort Estimation'!A37+"AM:!ai"</f>
        <v>#VALUE!</v>
      </c>
      <c r="EL21" t="e">
        <f>'Effort Estimation'!B37+"AM:!aj"</f>
        <v>#VALUE!</v>
      </c>
      <c r="EM21" t="e">
        <f>'Effort Estimation'!C37+"AM:!ak"</f>
        <v>#VALUE!</v>
      </c>
      <c r="EN21" t="e">
        <f>'Effort Estimation'!D37+"AM:!al"</f>
        <v>#VALUE!</v>
      </c>
      <c r="EO21" t="e">
        <f>'Effort Estimation'!E37+"AM:!am"</f>
        <v>#VALUE!</v>
      </c>
      <c r="EP21" t="e">
        <f>'Effort Estimation'!F37+"AM:!an"</f>
        <v>#VALUE!</v>
      </c>
      <c r="EQ21" t="e">
        <f>'Effort Estimation'!G37+"AM:!ao"</f>
        <v>#VALUE!</v>
      </c>
      <c r="ER21" t="e">
        <f>'Effort Estimation'!H37+"AM:!ap"</f>
        <v>#VALUE!</v>
      </c>
      <c r="ES21" t="e">
        <f>'Effort Estimation'!I37+"AM:!aq"</f>
        <v>#VALUE!</v>
      </c>
      <c r="ET21" s="99" t="e">
        <f>'Effort Estimation'!J37+"AM:!ar"</f>
        <v>#VALUE!</v>
      </c>
      <c r="EU21" s="99" t="e">
        <f>'Effort Estimation'!K37+"AM:!as"</f>
        <v>#VALUE!</v>
      </c>
      <c r="EV21" s="99" t="e">
        <f>'Effort Estimation'!L37+"AM:!at"</f>
        <v>#VALUE!</v>
      </c>
      <c r="EW21" s="99" t="e">
        <f>'Effort Estimation'!M37+"AM:!au"</f>
        <v>#VALUE!</v>
      </c>
      <c r="EX21" s="99" t="e">
        <f>'Effort Estimation'!N37+"AM:!av"</f>
        <v>#VALUE!</v>
      </c>
      <c r="EY21" s="99" t="e">
        <f>'Effort Estimation'!O37+"AM:!aw"</f>
        <v>#VALUE!</v>
      </c>
      <c r="EZ21" s="99" t="e">
        <f>'Effort Estimation'!P37+"AM:!ax"</f>
        <v>#VALUE!</v>
      </c>
      <c r="FA21" s="99" t="e">
        <f>'Effort Estimation'!Q37+"AM:!ay"</f>
        <v>#VALUE!</v>
      </c>
      <c r="FB21" t="e">
        <f>'Effort Estimation'!R37+"AM:!az"</f>
        <v>#VALUE!</v>
      </c>
      <c r="FC21" t="e">
        <f>'Effort Estimation'!S37+"AM:!a{"</f>
        <v>#VALUE!</v>
      </c>
      <c r="FD21" t="e">
        <f>'Effort Estimation'!T37+"AM:!a|"</f>
        <v>#VALUE!</v>
      </c>
      <c r="FE21" t="e">
        <f>'Effort Estimation'!A38+"AM:!a}"</f>
        <v>#VALUE!</v>
      </c>
      <c r="FF21" t="e">
        <f>'Effort Estimation'!B38+"AM:!a~"</f>
        <v>#VALUE!</v>
      </c>
      <c r="FG21" t="e">
        <f>'Effort Estimation'!C38+"AM:!b#"</f>
        <v>#VALUE!</v>
      </c>
      <c r="FH21" t="e">
        <f>'Effort Estimation'!D38+"AM:!b$"</f>
        <v>#VALUE!</v>
      </c>
      <c r="FI21" t="e">
        <f>'Effort Estimation'!E38+"AM:!b%"</f>
        <v>#VALUE!</v>
      </c>
      <c r="FJ21" t="e">
        <f>'Effort Estimation'!F38+"AM:!b&amp;"</f>
        <v>#VALUE!</v>
      </c>
      <c r="FK21" t="e">
        <f>'Effort Estimation'!G38+"AM:!b'"</f>
        <v>#VALUE!</v>
      </c>
      <c r="FL21" t="e">
        <f>'Effort Estimation'!H38+"AM:!b("</f>
        <v>#VALUE!</v>
      </c>
      <c r="FM21" t="e">
        <f>'Effort Estimation'!I38+"AM:!b)"</f>
        <v>#VALUE!</v>
      </c>
      <c r="FN21" s="99" t="e">
        <f>'Effort Estimation'!J38+"AM:!b."</f>
        <v>#VALUE!</v>
      </c>
      <c r="FO21" s="99" t="e">
        <f>'Effort Estimation'!K38+"AM:!b/"</f>
        <v>#VALUE!</v>
      </c>
      <c r="FP21" s="99" t="e">
        <f>'Effort Estimation'!L38+"AM:!b0"</f>
        <v>#VALUE!</v>
      </c>
      <c r="FQ21" s="99" t="e">
        <f>'Effort Estimation'!M38+"AM:!b1"</f>
        <v>#VALUE!</v>
      </c>
      <c r="FR21" s="99" t="e">
        <f>'Effort Estimation'!N38+"AM:!b2"</f>
        <v>#VALUE!</v>
      </c>
      <c r="FS21" s="99" t="e">
        <f>'Effort Estimation'!O38+"AM:!b3"</f>
        <v>#VALUE!</v>
      </c>
      <c r="FT21" s="99" t="e">
        <f>'Effort Estimation'!P38+"AM:!b4"</f>
        <v>#VALUE!</v>
      </c>
      <c r="FU21" s="99" t="e">
        <f>'Effort Estimation'!Q38+"AM:!b5"</f>
        <v>#VALUE!</v>
      </c>
      <c r="FV21" t="e">
        <f>'Effort Estimation'!R38+"AM:!b6"</f>
        <v>#VALUE!</v>
      </c>
      <c r="FW21" t="e">
        <f>'Effort Estimation'!S38+"AM:!b7"</f>
        <v>#VALUE!</v>
      </c>
      <c r="FX21" t="e">
        <f>'Effort Estimation'!T38+"AM:!b8"</f>
        <v>#VALUE!</v>
      </c>
      <c r="FY21" t="e">
        <f>'Effort Estimation'!A39+"AM:!b9"</f>
        <v>#VALUE!</v>
      </c>
      <c r="FZ21" t="e">
        <f>'Effort Estimation'!B39+"AM:!b:"</f>
        <v>#VALUE!</v>
      </c>
      <c r="GA21" t="e">
        <f>'Effort Estimation'!C39+"AM:!b;"</f>
        <v>#VALUE!</v>
      </c>
      <c r="GB21" t="e">
        <f>'Effort Estimation'!D39+"AM:!b&lt;"</f>
        <v>#VALUE!</v>
      </c>
      <c r="GC21" t="e">
        <f>'Effort Estimation'!E39+"AM:!b="</f>
        <v>#VALUE!</v>
      </c>
      <c r="GD21" t="e">
        <f>'Effort Estimation'!F39+"AM:!b&gt;"</f>
        <v>#VALUE!</v>
      </c>
      <c r="GE21" t="e">
        <f>'Effort Estimation'!G39+"AM:!b?"</f>
        <v>#VALUE!</v>
      </c>
      <c r="GF21" t="e">
        <f>'Effort Estimation'!H39+"AM:!b@"</f>
        <v>#VALUE!</v>
      </c>
      <c r="GG21" t="e">
        <f>'Effort Estimation'!I39+"AM:!bA"</f>
        <v>#VALUE!</v>
      </c>
      <c r="GH21" s="99" t="e">
        <f>'Effort Estimation'!J39+"AM:!bB"</f>
        <v>#VALUE!</v>
      </c>
      <c r="GI21" s="99" t="e">
        <f>'Effort Estimation'!K39+"AM:!bC"</f>
        <v>#VALUE!</v>
      </c>
      <c r="GJ21" s="99" t="e">
        <f>'Effort Estimation'!L39+"AM:!bD"</f>
        <v>#VALUE!</v>
      </c>
      <c r="GK21" s="99" t="e">
        <f>'Effort Estimation'!M39+"AM:!bE"</f>
        <v>#VALUE!</v>
      </c>
      <c r="GL21" s="99" t="e">
        <f>'Effort Estimation'!N39+"AM:!bF"</f>
        <v>#VALUE!</v>
      </c>
      <c r="GM21" s="99" t="e">
        <f>'Effort Estimation'!O39+"AM:!bG"</f>
        <v>#VALUE!</v>
      </c>
      <c r="GN21" s="99" t="e">
        <f>'Effort Estimation'!P39+"AM:!bH"</f>
        <v>#VALUE!</v>
      </c>
      <c r="GO21" s="99" t="e">
        <f>'Effort Estimation'!Q39+"AM:!bI"</f>
        <v>#VALUE!</v>
      </c>
      <c r="GP21" t="e">
        <f>'Effort Estimation'!R39+"AM:!bJ"</f>
        <v>#VALUE!</v>
      </c>
      <c r="GQ21" t="e">
        <f>'Effort Estimation'!S39+"AM:!bK"</f>
        <v>#VALUE!</v>
      </c>
      <c r="GR21" t="e">
        <f>'Effort Estimation'!T39+"AM:!bL"</f>
        <v>#VALUE!</v>
      </c>
      <c r="GS21" t="e">
        <f>'Effort Estimation'!A40+"AM:!bM"</f>
        <v>#VALUE!</v>
      </c>
      <c r="GT21" t="e">
        <f>'Effort Estimation'!B40+"AM:!bN"</f>
        <v>#VALUE!</v>
      </c>
      <c r="GU21" t="e">
        <f>'Effort Estimation'!C40+"AM:!bO"</f>
        <v>#VALUE!</v>
      </c>
      <c r="GV21" t="e">
        <f>'Effort Estimation'!D40+"AM:!bP"</f>
        <v>#VALUE!</v>
      </c>
      <c r="GW21" t="e">
        <f>'Effort Estimation'!E40+"AM:!bQ"</f>
        <v>#VALUE!</v>
      </c>
      <c r="GX21" t="e">
        <f>'Effort Estimation'!F40+"AM:!bR"</f>
        <v>#VALUE!</v>
      </c>
      <c r="GY21" t="e">
        <f>'Effort Estimation'!G40+"AM:!bS"</f>
        <v>#VALUE!</v>
      </c>
      <c r="GZ21" t="e">
        <f>'Effort Estimation'!H40+"AM:!bT"</f>
        <v>#VALUE!</v>
      </c>
      <c r="HA21" t="e">
        <f>'Effort Estimation'!I40+"AM:!bU"</f>
        <v>#VALUE!</v>
      </c>
      <c r="HB21" s="99" t="e">
        <f>'Effort Estimation'!J40+"AM:!bV"</f>
        <v>#VALUE!</v>
      </c>
      <c r="HC21" s="99" t="e">
        <f>'Effort Estimation'!K40+"AM:!bW"</f>
        <v>#VALUE!</v>
      </c>
      <c r="HD21" s="99" t="e">
        <f>'Effort Estimation'!L40+"AM:!bX"</f>
        <v>#VALUE!</v>
      </c>
      <c r="HE21" s="99" t="e">
        <f>'Effort Estimation'!M40+"AM:!bY"</f>
        <v>#VALUE!</v>
      </c>
      <c r="HF21" s="99" t="e">
        <f>'Effort Estimation'!N40+"AM:!bZ"</f>
        <v>#VALUE!</v>
      </c>
      <c r="HG21" s="99" t="e">
        <f>'Effort Estimation'!O40+"AM:!b["</f>
        <v>#VALUE!</v>
      </c>
      <c r="HH21" s="99" t="e">
        <f>'Effort Estimation'!P40+"AM:!b\"</f>
        <v>#VALUE!</v>
      </c>
      <c r="HI21" s="99" t="e">
        <f>'Effort Estimation'!Q40+"AM:!b]"</f>
        <v>#VALUE!</v>
      </c>
      <c r="HJ21" t="e">
        <f>'Effort Estimation'!R40+"AM:!b^"</f>
        <v>#VALUE!</v>
      </c>
      <c r="HK21" t="e">
        <f>'Effort Estimation'!S40+"AM:!b_"</f>
        <v>#VALUE!</v>
      </c>
      <c r="HL21" t="e">
        <f>'Effort Estimation'!T40+"AM:!b`"</f>
        <v>#VALUE!</v>
      </c>
      <c r="HM21" t="e">
        <f>'Effort Estimation'!A41+"AM:!ba"</f>
        <v>#VALUE!</v>
      </c>
      <c r="HN21" t="e">
        <f>'Effort Estimation'!B41+"AM:!bb"</f>
        <v>#VALUE!</v>
      </c>
      <c r="HO21" t="e">
        <f>'Effort Estimation'!C41+"AM:!bc"</f>
        <v>#VALUE!</v>
      </c>
      <c r="HP21" t="e">
        <f>'Effort Estimation'!D41+"AM:!bd"</f>
        <v>#VALUE!</v>
      </c>
      <c r="HQ21" t="e">
        <f>'Effort Estimation'!E41+"AM:!be"</f>
        <v>#VALUE!</v>
      </c>
      <c r="HR21" t="e">
        <f>'Effort Estimation'!F41+"AM:!bf"</f>
        <v>#VALUE!</v>
      </c>
      <c r="HS21" t="e">
        <f>'Effort Estimation'!G41+"AM:!bg"</f>
        <v>#VALUE!</v>
      </c>
      <c r="HT21" t="e">
        <f>'Effort Estimation'!H41+"AM:!bh"</f>
        <v>#VALUE!</v>
      </c>
      <c r="HU21" t="e">
        <f>'Effort Estimation'!I41+"AM:!bi"</f>
        <v>#VALUE!</v>
      </c>
      <c r="HV21" s="99" t="e">
        <f>'Effort Estimation'!J41+"AM:!bj"</f>
        <v>#VALUE!</v>
      </c>
      <c r="HW21" s="99" t="e">
        <f>'Effort Estimation'!K41+"AM:!bk"</f>
        <v>#VALUE!</v>
      </c>
      <c r="HX21" s="99" t="e">
        <f>'Effort Estimation'!L41+"AM:!bl"</f>
        <v>#VALUE!</v>
      </c>
      <c r="HY21" s="99" t="e">
        <f>'Effort Estimation'!M41+"AM:!bm"</f>
        <v>#VALUE!</v>
      </c>
      <c r="HZ21" s="99" t="e">
        <f>'Effort Estimation'!N41+"AM:!bn"</f>
        <v>#VALUE!</v>
      </c>
      <c r="IA21" s="99" t="e">
        <f>'Effort Estimation'!O41+"AM:!bo"</f>
        <v>#VALUE!</v>
      </c>
      <c r="IB21" s="99" t="e">
        <f>'Effort Estimation'!P41+"AM:!bp"</f>
        <v>#VALUE!</v>
      </c>
      <c r="IC21" s="99" t="e">
        <f>'Effort Estimation'!Q41+"AM:!bq"</f>
        <v>#VALUE!</v>
      </c>
      <c r="ID21" t="e">
        <f>'Effort Estimation'!R41+"AM:!br"</f>
        <v>#VALUE!</v>
      </c>
      <c r="IE21" t="e">
        <f>'Effort Estimation'!S41+"AM:!bs"</f>
        <v>#VALUE!</v>
      </c>
      <c r="IF21" t="e">
        <f>'Effort Estimation'!T41+"AM:!bt"</f>
        <v>#VALUE!</v>
      </c>
      <c r="IG21" t="e">
        <f>'Effort Estimation'!A42+"AM:!bu"</f>
        <v>#VALUE!</v>
      </c>
      <c r="IH21" t="e">
        <f>'Effort Estimation'!B42+"AM:!bv"</f>
        <v>#VALUE!</v>
      </c>
      <c r="II21" t="e">
        <f>'Effort Estimation'!C42+"AM:!bw"</f>
        <v>#VALUE!</v>
      </c>
      <c r="IJ21" t="e">
        <f>'Effort Estimation'!D42+"AM:!bx"</f>
        <v>#VALUE!</v>
      </c>
      <c r="IK21" t="e">
        <f>'Effort Estimation'!E42+"AM:!by"</f>
        <v>#VALUE!</v>
      </c>
      <c r="IL21" t="e">
        <f>'Effort Estimation'!F42+"AM:!bz"</f>
        <v>#VALUE!</v>
      </c>
      <c r="IM21" t="e">
        <f>'Effort Estimation'!G42+"AM:!b{"</f>
        <v>#VALUE!</v>
      </c>
      <c r="IN21" t="e">
        <f>'Effort Estimation'!H42+"AM:!b|"</f>
        <v>#VALUE!</v>
      </c>
      <c r="IO21" t="e">
        <f>'Effort Estimation'!I42+"AM:!b}"</f>
        <v>#VALUE!</v>
      </c>
      <c r="IP21" s="99" t="e">
        <f>'Effort Estimation'!J42+"AM:!b~"</f>
        <v>#VALUE!</v>
      </c>
      <c r="IQ21" s="99" t="e">
        <f>'Effort Estimation'!K42+"AM:!c#"</f>
        <v>#VALUE!</v>
      </c>
      <c r="IR21" s="99" t="e">
        <f>'Effort Estimation'!L42+"AM:!c$"</f>
        <v>#VALUE!</v>
      </c>
      <c r="IS21" s="99" t="e">
        <f>'Effort Estimation'!M42+"AM:!c%"</f>
        <v>#VALUE!</v>
      </c>
      <c r="IT21" s="99" t="e">
        <f>'Effort Estimation'!N42+"AM:!c&amp;"</f>
        <v>#VALUE!</v>
      </c>
      <c r="IU21" s="99" t="e">
        <f>'Effort Estimation'!O42+"AM:!c'"</f>
        <v>#VALUE!</v>
      </c>
      <c r="IV21" s="99" t="e">
        <f>'Effort Estimation'!P42+"AM:!c("</f>
        <v>#VALUE!</v>
      </c>
    </row>
    <row r="22" spans="6:256">
      <c r="F22" s="99" t="e">
        <f>'Effort Estimation'!Q42+"AM:!c)"</f>
        <v>#VALUE!</v>
      </c>
      <c r="G22" t="e">
        <f>'Effort Estimation'!R42+"AM:!c."</f>
        <v>#VALUE!</v>
      </c>
      <c r="H22" t="e">
        <f>'Effort Estimation'!S42+"AM:!c/"</f>
        <v>#VALUE!</v>
      </c>
      <c r="I22" t="e">
        <f>'Effort Estimation'!T42+"AM:!c0"</f>
        <v>#VALUE!</v>
      </c>
      <c r="J22" t="e">
        <f>'Effort Estimation'!A43+"AM:!c1"</f>
        <v>#VALUE!</v>
      </c>
      <c r="K22" t="e">
        <f>'Effort Estimation'!B43+"AM:!c2"</f>
        <v>#VALUE!</v>
      </c>
      <c r="L22" t="e">
        <f>'Effort Estimation'!C43+"AM:!c3"</f>
        <v>#VALUE!</v>
      </c>
      <c r="M22" t="e">
        <f>'Effort Estimation'!D43+"AM:!c4"</f>
        <v>#VALUE!</v>
      </c>
      <c r="N22" t="e">
        <f>'Effort Estimation'!E43+"AM:!c5"</f>
        <v>#VALUE!</v>
      </c>
      <c r="O22" t="e">
        <f>'Effort Estimation'!F43+"AM:!c6"</f>
        <v>#VALUE!</v>
      </c>
      <c r="P22" t="e">
        <f>'Effort Estimation'!G43+"AM:!c7"</f>
        <v>#VALUE!</v>
      </c>
      <c r="Q22" t="e">
        <f>'Effort Estimation'!H43+"AM:!c8"</f>
        <v>#VALUE!</v>
      </c>
      <c r="R22" t="e">
        <f>'Effort Estimation'!I43+"AM:!c9"</f>
        <v>#VALUE!</v>
      </c>
      <c r="S22" s="99" t="e">
        <f>'Effort Estimation'!J43+"AM:!c:"</f>
        <v>#VALUE!</v>
      </c>
      <c r="T22" s="99" t="e">
        <f>'Effort Estimation'!K43+"AM:!c;"</f>
        <v>#VALUE!</v>
      </c>
      <c r="U22" s="99" t="e">
        <f>'Effort Estimation'!L43+"AM:!c&lt;"</f>
        <v>#VALUE!</v>
      </c>
      <c r="V22" s="99" t="e">
        <f>'Effort Estimation'!M43+"AM:!c="</f>
        <v>#VALUE!</v>
      </c>
      <c r="W22" s="99" t="e">
        <f>'Effort Estimation'!N43+"AM:!c&gt;"</f>
        <v>#VALUE!</v>
      </c>
      <c r="X22" s="99" t="e">
        <f>'Effort Estimation'!O43+"AM:!c?"</f>
        <v>#VALUE!</v>
      </c>
      <c r="Y22" s="99" t="e">
        <f>'Effort Estimation'!P43+"AM:!c@"</f>
        <v>#VALUE!</v>
      </c>
      <c r="Z22" s="99" t="e">
        <f>'Effort Estimation'!Q43+"AM:!cA"</f>
        <v>#VALUE!</v>
      </c>
      <c r="AA22" t="e">
        <f>'Effort Estimation'!R43+"AM:!cB"</f>
        <v>#VALUE!</v>
      </c>
      <c r="AB22" t="e">
        <f>'Effort Estimation'!S43+"AM:!cC"</f>
        <v>#VALUE!</v>
      </c>
      <c r="AC22" t="e">
        <f>'Effort Estimation'!T43+"AM:!cD"</f>
        <v>#VALUE!</v>
      </c>
      <c r="AD22" t="e">
        <f>'Effort Estimation'!A44+"AM:!cE"</f>
        <v>#VALUE!</v>
      </c>
      <c r="AE22" t="e">
        <f>'Effort Estimation'!B44+"AM:!cF"</f>
        <v>#VALUE!</v>
      </c>
      <c r="AF22" t="e">
        <f>'Effort Estimation'!C44+"AM:!cG"</f>
        <v>#VALUE!</v>
      </c>
      <c r="AG22" t="e">
        <f>'Effort Estimation'!D44+"AM:!cH"</f>
        <v>#VALUE!</v>
      </c>
      <c r="AH22" t="e">
        <f>'Effort Estimation'!E44+"AM:!cI"</f>
        <v>#VALUE!</v>
      </c>
      <c r="AI22" t="e">
        <f>'Effort Estimation'!F44+"AM:!cJ"</f>
        <v>#VALUE!</v>
      </c>
      <c r="AJ22" t="e">
        <f>'Effort Estimation'!G44+"AM:!cK"</f>
        <v>#VALUE!</v>
      </c>
      <c r="AK22" t="e">
        <f>'Effort Estimation'!H44+"AM:!cL"</f>
        <v>#VALUE!</v>
      </c>
      <c r="AL22" t="e">
        <f>'Effort Estimation'!I44+"AM:!cM"</f>
        <v>#VALUE!</v>
      </c>
      <c r="AM22" s="99" t="e">
        <f>'Effort Estimation'!J44+"AM:!cN"</f>
        <v>#VALUE!</v>
      </c>
      <c r="AN22" s="99" t="e">
        <f>'Effort Estimation'!K44+"AM:!cO"</f>
        <v>#VALUE!</v>
      </c>
      <c r="AO22" s="99" t="e">
        <f>'Effort Estimation'!L44+"AM:!cP"</f>
        <v>#VALUE!</v>
      </c>
      <c r="AP22" s="99" t="e">
        <f>'Effort Estimation'!M44+"AM:!cQ"</f>
        <v>#VALUE!</v>
      </c>
      <c r="AQ22" s="99" t="e">
        <f>'Effort Estimation'!N44+"AM:!cR"</f>
        <v>#VALUE!</v>
      </c>
      <c r="AR22" s="99" t="e">
        <f>'Effort Estimation'!O44+"AM:!cS"</f>
        <v>#VALUE!</v>
      </c>
      <c r="AS22" s="99" t="e">
        <f>'Effort Estimation'!P44+"AM:!cT"</f>
        <v>#VALUE!</v>
      </c>
      <c r="AT22" s="99" t="e">
        <f>'Effort Estimation'!Q44+"AM:!cU"</f>
        <v>#VALUE!</v>
      </c>
      <c r="AU22" t="e">
        <f>'Effort Estimation'!R44+"AM:!cV"</f>
        <v>#VALUE!</v>
      </c>
      <c r="AV22" t="e">
        <f>'Effort Estimation'!S44+"AM:!cW"</f>
        <v>#VALUE!</v>
      </c>
      <c r="AW22" t="e">
        <f>'Effort Estimation'!T44+"AM:!cX"</f>
        <v>#VALUE!</v>
      </c>
      <c r="AX22" t="e">
        <f>'Effort Estimation'!A45+"AM:!cY"</f>
        <v>#VALUE!</v>
      </c>
      <c r="AY22" t="e">
        <f>'Effort Estimation'!B45+"AM:!cZ"</f>
        <v>#VALUE!</v>
      </c>
      <c r="AZ22" t="e">
        <f>'Effort Estimation'!C45+"AM:!c["</f>
        <v>#VALUE!</v>
      </c>
      <c r="BA22" t="e">
        <f>'Effort Estimation'!D45+"AM:!c\"</f>
        <v>#VALUE!</v>
      </c>
      <c r="BB22" t="e">
        <f>'Effort Estimation'!E45+"AM:!c]"</f>
        <v>#VALUE!</v>
      </c>
      <c r="BC22" t="e">
        <f>'Effort Estimation'!F45+"AM:!c^"</f>
        <v>#VALUE!</v>
      </c>
      <c r="BD22" t="e">
        <f>'Effort Estimation'!G45+"AM:!c_"</f>
        <v>#VALUE!</v>
      </c>
      <c r="BE22" t="e">
        <f>'Effort Estimation'!H45+"AM:!c`"</f>
        <v>#VALUE!</v>
      </c>
      <c r="BF22" t="e">
        <f>'Effort Estimation'!I45+"AM:!ca"</f>
        <v>#VALUE!</v>
      </c>
      <c r="BG22" s="99" t="e">
        <f>'Effort Estimation'!J45+"AM:!cb"</f>
        <v>#VALUE!</v>
      </c>
      <c r="BH22" s="99" t="e">
        <f>'Effort Estimation'!K45+"AM:!cc"</f>
        <v>#VALUE!</v>
      </c>
      <c r="BI22" s="99" t="e">
        <f>'Effort Estimation'!L45+"AM:!cd"</f>
        <v>#VALUE!</v>
      </c>
      <c r="BJ22" s="99" t="e">
        <f>'Effort Estimation'!M45+"AM:!ce"</f>
        <v>#VALUE!</v>
      </c>
      <c r="BK22" s="99" t="e">
        <f>'Effort Estimation'!N45+"AM:!cf"</f>
        <v>#VALUE!</v>
      </c>
      <c r="BL22" s="99" t="e">
        <f>'Effort Estimation'!O45+"AM:!cg"</f>
        <v>#VALUE!</v>
      </c>
      <c r="BM22" s="99" t="e">
        <f>'Effort Estimation'!P45+"AM:!ch"</f>
        <v>#VALUE!</v>
      </c>
      <c r="BN22" s="99" t="e">
        <f>'Effort Estimation'!Q45+"AM:!ci"</f>
        <v>#VALUE!</v>
      </c>
      <c r="BO22" t="e">
        <f>'Effort Estimation'!R45+"AM:!cj"</f>
        <v>#VALUE!</v>
      </c>
      <c r="BP22" t="e">
        <f>'Effort Estimation'!S45+"AM:!ck"</f>
        <v>#VALUE!</v>
      </c>
      <c r="BQ22" t="e">
        <f>'Effort Estimation'!T45+"AM:!cl"</f>
        <v>#VALUE!</v>
      </c>
      <c r="BR22" t="e">
        <f>'Effort Estimation'!A46+"AM:!cm"</f>
        <v>#VALUE!</v>
      </c>
      <c r="BS22" t="e">
        <f>'Effort Estimation'!B46+"AM:!cn"</f>
        <v>#VALUE!</v>
      </c>
      <c r="BT22" t="e">
        <f>'Effort Estimation'!C46+"AM:!co"</f>
        <v>#VALUE!</v>
      </c>
      <c r="BU22" t="e">
        <f>'Effort Estimation'!D46+"AM:!cp"</f>
        <v>#VALUE!</v>
      </c>
      <c r="BV22" t="e">
        <f>'Effort Estimation'!E46+"AM:!cq"</f>
        <v>#VALUE!</v>
      </c>
      <c r="BW22" t="e">
        <f>'Effort Estimation'!F46+"AM:!cr"</f>
        <v>#VALUE!</v>
      </c>
      <c r="BX22" t="e">
        <f>'Effort Estimation'!G46+"AM:!cs"</f>
        <v>#VALUE!</v>
      </c>
      <c r="BY22" t="e">
        <f>'Effort Estimation'!H46+"AM:!ct"</f>
        <v>#VALUE!</v>
      </c>
      <c r="BZ22" t="e">
        <f>'Effort Estimation'!I46+"AM:!cu"</f>
        <v>#VALUE!</v>
      </c>
      <c r="CA22" s="99" t="e">
        <f>'Effort Estimation'!J46+"AM:!cv"</f>
        <v>#VALUE!</v>
      </c>
      <c r="CB22" s="99" t="e">
        <f>'Effort Estimation'!K46+"AM:!cw"</f>
        <v>#VALUE!</v>
      </c>
      <c r="CC22" s="99" t="e">
        <f>'Effort Estimation'!L46+"AM:!cx"</f>
        <v>#VALUE!</v>
      </c>
      <c r="CD22" s="99" t="e">
        <f>'Effort Estimation'!M46+"AM:!cy"</f>
        <v>#VALUE!</v>
      </c>
      <c r="CE22" s="99" t="e">
        <f>'Effort Estimation'!N46+"AM:!cz"</f>
        <v>#VALUE!</v>
      </c>
      <c r="CF22" s="99" t="e">
        <f>'Effort Estimation'!O46+"AM:!c{"</f>
        <v>#VALUE!</v>
      </c>
      <c r="CG22" s="99" t="e">
        <f>'Effort Estimation'!P46+"AM:!c|"</f>
        <v>#VALUE!</v>
      </c>
      <c r="CH22" s="99" t="e">
        <f>'Effort Estimation'!Q46+"AM:!c}"</f>
        <v>#VALUE!</v>
      </c>
      <c r="CI22" t="e">
        <f>'Effort Estimation'!R46+"AM:!c~"</f>
        <v>#VALUE!</v>
      </c>
      <c r="CJ22" t="e">
        <f>'Effort Estimation'!S46+"AM:!d#"</f>
        <v>#VALUE!</v>
      </c>
      <c r="CK22" t="e">
        <f>'Effort Estimation'!T46+"AM:!d$"</f>
        <v>#VALUE!</v>
      </c>
      <c r="CL22" t="e">
        <f>'Effort Estimation'!A47+"AM:!d%"</f>
        <v>#VALUE!</v>
      </c>
      <c r="CM22" t="e">
        <f>'Effort Estimation'!B47+"AM:!d&amp;"</f>
        <v>#VALUE!</v>
      </c>
      <c r="CN22" t="e">
        <f>'Effort Estimation'!C47+"AM:!d'"</f>
        <v>#VALUE!</v>
      </c>
      <c r="CO22" t="e">
        <f>'Effort Estimation'!D47+"AM:!d("</f>
        <v>#VALUE!</v>
      </c>
      <c r="CP22" t="e">
        <f>'Effort Estimation'!E47+"AM:!d)"</f>
        <v>#VALUE!</v>
      </c>
      <c r="CQ22" t="e">
        <f>'Effort Estimation'!F47+"AM:!d."</f>
        <v>#VALUE!</v>
      </c>
      <c r="CR22" t="e">
        <f>'Effort Estimation'!G47+"AM:!d/"</f>
        <v>#VALUE!</v>
      </c>
      <c r="CS22" t="e">
        <f>'Effort Estimation'!H47+"AM:!d0"</f>
        <v>#VALUE!</v>
      </c>
      <c r="CT22" t="e">
        <f>'Effort Estimation'!I47+"AM:!d1"</f>
        <v>#VALUE!</v>
      </c>
      <c r="CU22" s="99" t="e">
        <f>'Effort Estimation'!J47+"AM:!d2"</f>
        <v>#VALUE!</v>
      </c>
      <c r="CV22" s="99" t="e">
        <f>'Effort Estimation'!K47+"AM:!d3"</f>
        <v>#VALUE!</v>
      </c>
      <c r="CW22" s="99" t="e">
        <f>'Effort Estimation'!L47+"AM:!d4"</f>
        <v>#VALUE!</v>
      </c>
      <c r="CX22" s="99" t="e">
        <f>'Effort Estimation'!M47+"AM:!d5"</f>
        <v>#VALUE!</v>
      </c>
      <c r="CY22" s="99" t="e">
        <f>'Effort Estimation'!N47+"AM:!d6"</f>
        <v>#VALUE!</v>
      </c>
      <c r="CZ22" s="99" t="e">
        <f>'Effort Estimation'!O47+"AM:!d7"</f>
        <v>#VALUE!</v>
      </c>
      <c r="DA22" s="99" t="e">
        <f>'Effort Estimation'!P47+"AM:!d8"</f>
        <v>#VALUE!</v>
      </c>
      <c r="DB22" s="99" t="e">
        <f>'Effort Estimation'!Q47+"AM:!d9"</f>
        <v>#VALUE!</v>
      </c>
      <c r="DC22" t="e">
        <f>'Effort Estimation'!R47+"AM:!d:"</f>
        <v>#VALUE!</v>
      </c>
      <c r="DD22" t="e">
        <f>'Effort Estimation'!S47+"AM:!d;"</f>
        <v>#VALUE!</v>
      </c>
      <c r="DE22" t="e">
        <f>'Effort Estimation'!T47+"AM:!d&lt;"</f>
        <v>#VALUE!</v>
      </c>
      <c r="DF22" t="e">
        <f>'Effort Estimation'!A48+"AM:!d="</f>
        <v>#VALUE!</v>
      </c>
      <c r="DG22" t="e">
        <f>'Effort Estimation'!B48+"AM:!d&gt;"</f>
        <v>#VALUE!</v>
      </c>
      <c r="DH22" t="e">
        <f>'Effort Estimation'!C48+"AM:!d?"</f>
        <v>#VALUE!</v>
      </c>
      <c r="DI22" t="e">
        <f>'Effort Estimation'!D48+"AM:!d@"</f>
        <v>#VALUE!</v>
      </c>
      <c r="DJ22" t="e">
        <f>'Effort Estimation'!E48+"AM:!dA"</f>
        <v>#VALUE!</v>
      </c>
      <c r="DK22" t="e">
        <f>'Effort Estimation'!F48+"AM:!dB"</f>
        <v>#VALUE!</v>
      </c>
      <c r="DL22" t="e">
        <f>'Effort Estimation'!G48+"AM:!dC"</f>
        <v>#VALUE!</v>
      </c>
      <c r="DM22" t="e">
        <f>'Effort Estimation'!H48+"AM:!dD"</f>
        <v>#VALUE!</v>
      </c>
      <c r="DN22" t="e">
        <f>'Effort Estimation'!I48+"AM:!dE"</f>
        <v>#VALUE!</v>
      </c>
      <c r="DO22" s="99" t="e">
        <f>'Effort Estimation'!J48+"AM:!dF"</f>
        <v>#VALUE!</v>
      </c>
      <c r="DP22" s="99" t="e">
        <f>'Effort Estimation'!K48+"AM:!dG"</f>
        <v>#VALUE!</v>
      </c>
      <c r="DQ22" s="99" t="e">
        <f>'Effort Estimation'!L48+"AM:!dH"</f>
        <v>#VALUE!</v>
      </c>
      <c r="DR22" s="99" t="e">
        <f>'Effort Estimation'!M48+"AM:!dI"</f>
        <v>#VALUE!</v>
      </c>
      <c r="DS22" s="99" t="e">
        <f>'Effort Estimation'!N48+"AM:!dJ"</f>
        <v>#VALUE!</v>
      </c>
      <c r="DT22" s="99" t="e">
        <f>'Effort Estimation'!O48+"AM:!dK"</f>
        <v>#VALUE!</v>
      </c>
      <c r="DU22" s="99" t="e">
        <f>'Effort Estimation'!P48+"AM:!dL"</f>
        <v>#VALUE!</v>
      </c>
      <c r="DV22" s="99" t="e">
        <f>'Effort Estimation'!Q48+"AM:!dM"</f>
        <v>#VALUE!</v>
      </c>
      <c r="DW22" t="e">
        <f>'Effort Estimation'!R48+"AM:!dN"</f>
        <v>#VALUE!</v>
      </c>
      <c r="DX22" t="e">
        <f>'Effort Estimation'!S48+"AM:!dO"</f>
        <v>#VALUE!</v>
      </c>
      <c r="DY22" t="e">
        <f>'Effort Estimation'!T48+"AM:!dP"</f>
        <v>#VALUE!</v>
      </c>
      <c r="DZ22" t="e">
        <f>'Effort Estimation'!A49+"AM:!dQ"</f>
        <v>#VALUE!</v>
      </c>
      <c r="EA22" t="e">
        <f>'Effort Estimation'!B49+"AM:!dR"</f>
        <v>#VALUE!</v>
      </c>
      <c r="EB22" t="e">
        <f>'Effort Estimation'!C49+"AM:!dS"</f>
        <v>#VALUE!</v>
      </c>
      <c r="EC22" t="e">
        <f>'Effort Estimation'!D49+"AM:!dT"</f>
        <v>#VALUE!</v>
      </c>
      <c r="ED22" t="e">
        <f>'Effort Estimation'!E49+"AM:!dU"</f>
        <v>#VALUE!</v>
      </c>
      <c r="EE22" t="e">
        <f>'Effort Estimation'!F49+"AM:!dV"</f>
        <v>#VALUE!</v>
      </c>
      <c r="EF22" t="e">
        <f>'Effort Estimation'!G49+"AM:!dW"</f>
        <v>#VALUE!</v>
      </c>
      <c r="EG22" t="e">
        <f>'Effort Estimation'!H49+"AM:!dX"</f>
        <v>#VALUE!</v>
      </c>
      <c r="EH22" t="e">
        <f>'Effort Estimation'!I49+"AM:!dY"</f>
        <v>#VALUE!</v>
      </c>
      <c r="EI22" s="99" t="e">
        <f>'Effort Estimation'!J49+"AM:!dZ"</f>
        <v>#VALUE!</v>
      </c>
      <c r="EJ22" s="99" t="e">
        <f>'Effort Estimation'!K49+"AM:!d["</f>
        <v>#VALUE!</v>
      </c>
      <c r="EK22" s="99" t="e">
        <f>'Effort Estimation'!L49+"AM:!d\"</f>
        <v>#VALUE!</v>
      </c>
      <c r="EL22" s="99" t="e">
        <f>'Effort Estimation'!M49+"AM:!d]"</f>
        <v>#VALUE!</v>
      </c>
      <c r="EM22" s="99" t="e">
        <f>'Effort Estimation'!N49+"AM:!d^"</f>
        <v>#VALUE!</v>
      </c>
      <c r="EN22" s="99" t="e">
        <f>'Effort Estimation'!O49+"AM:!d_"</f>
        <v>#VALUE!</v>
      </c>
      <c r="EO22" s="99" t="e">
        <f>'Effort Estimation'!P49+"AM:!d`"</f>
        <v>#VALUE!</v>
      </c>
      <c r="EP22" s="99" t="e">
        <f>'Effort Estimation'!Q49+"AM:!da"</f>
        <v>#VALUE!</v>
      </c>
      <c r="EQ22" t="e">
        <f>'Effort Estimation'!R49+"AM:!db"</f>
        <v>#VALUE!</v>
      </c>
      <c r="ER22" t="e">
        <f>'Effort Estimation'!S49+"AM:!dc"</f>
        <v>#VALUE!</v>
      </c>
      <c r="ES22" t="e">
        <f>'Effort Estimation'!T49+"AM:!dd"</f>
        <v>#VALUE!</v>
      </c>
      <c r="ET22" t="e">
        <f>'Effort Estimation'!A50+"AM:!de"</f>
        <v>#VALUE!</v>
      </c>
      <c r="EU22" t="e">
        <f>'Effort Estimation'!B50+"AM:!df"</f>
        <v>#VALUE!</v>
      </c>
      <c r="EV22" t="e">
        <f>'Effort Estimation'!C50+"AM:!dg"</f>
        <v>#VALUE!</v>
      </c>
      <c r="EW22" t="e">
        <f>'Effort Estimation'!D50+"AM:!dh"</f>
        <v>#VALUE!</v>
      </c>
      <c r="EX22" t="e">
        <f>'Effort Estimation'!E50+"AM:!di"</f>
        <v>#VALUE!</v>
      </c>
      <c r="EY22" t="e">
        <f>'Effort Estimation'!F50+"AM:!dj"</f>
        <v>#VALUE!</v>
      </c>
      <c r="EZ22" t="e">
        <f>'Effort Estimation'!G50+"AM:!dk"</f>
        <v>#VALUE!</v>
      </c>
      <c r="FA22" t="e">
        <f>'Effort Estimation'!H50+"AM:!dl"</f>
        <v>#VALUE!</v>
      </c>
      <c r="FB22" t="e">
        <f>'Effort Estimation'!I50+"AM:!dm"</f>
        <v>#VALUE!</v>
      </c>
      <c r="FC22" s="99" t="e">
        <f>'Effort Estimation'!J50+"AM:!dn"</f>
        <v>#VALUE!</v>
      </c>
      <c r="FD22" s="99" t="e">
        <f>'Effort Estimation'!K50+"AM:!do"</f>
        <v>#VALUE!</v>
      </c>
      <c r="FE22" s="99" t="e">
        <f>'Effort Estimation'!L50+"AM:!dp"</f>
        <v>#VALUE!</v>
      </c>
      <c r="FF22" s="99" t="e">
        <f>'Effort Estimation'!M50+"AM:!dq"</f>
        <v>#VALUE!</v>
      </c>
      <c r="FG22" s="99" t="e">
        <f>'Effort Estimation'!N50+"AM:!dr"</f>
        <v>#VALUE!</v>
      </c>
      <c r="FH22" s="99" t="e">
        <f>'Effort Estimation'!O50+"AM:!ds"</f>
        <v>#VALUE!</v>
      </c>
      <c r="FI22" s="99" t="e">
        <f>'Effort Estimation'!P50+"AM:!dt"</f>
        <v>#VALUE!</v>
      </c>
      <c r="FJ22" s="99" t="e">
        <f>'Effort Estimation'!Q50+"AM:!du"</f>
        <v>#VALUE!</v>
      </c>
      <c r="FK22" t="e">
        <f>'Effort Estimation'!R50+"AM:!dv"</f>
        <v>#VALUE!</v>
      </c>
      <c r="FL22" t="e">
        <f>'Effort Estimation'!S50+"AM:!dw"</f>
        <v>#VALUE!</v>
      </c>
      <c r="FM22" t="e">
        <f>'Effort Estimation'!T50+"AM:!dx"</f>
        <v>#VALUE!</v>
      </c>
      <c r="FN22" t="e">
        <f>'Effort Estimation'!A51+"AM:!dy"</f>
        <v>#VALUE!</v>
      </c>
      <c r="FO22" t="e">
        <f>'Effort Estimation'!B51+"AM:!dz"</f>
        <v>#VALUE!</v>
      </c>
      <c r="FP22" t="e">
        <f>'Effort Estimation'!C51+"AM:!d{"</f>
        <v>#VALUE!</v>
      </c>
      <c r="FQ22" t="e">
        <f>'Effort Estimation'!D51+"AM:!d|"</f>
        <v>#VALUE!</v>
      </c>
      <c r="FR22" t="e">
        <f>'Effort Estimation'!E51+"AM:!d}"</f>
        <v>#VALUE!</v>
      </c>
      <c r="FS22" t="e">
        <f>'Effort Estimation'!F51+"AM:!d~"</f>
        <v>#VALUE!</v>
      </c>
      <c r="FT22" t="e">
        <f>'Effort Estimation'!G51+"AM:!e#"</f>
        <v>#VALUE!</v>
      </c>
      <c r="FU22" t="e">
        <f>'Effort Estimation'!H51+"AM:!e$"</f>
        <v>#VALUE!</v>
      </c>
      <c r="FV22" t="e">
        <f>'Effort Estimation'!I51+"AM:!e%"</f>
        <v>#VALUE!</v>
      </c>
      <c r="FW22" s="99" t="e">
        <f>'Effort Estimation'!J51+"AM:!e&amp;"</f>
        <v>#VALUE!</v>
      </c>
      <c r="FX22" s="99" t="e">
        <f>'Effort Estimation'!K51+"AM:!e'"</f>
        <v>#VALUE!</v>
      </c>
      <c r="FY22" s="99" t="e">
        <f>'Effort Estimation'!L51+"AM:!e("</f>
        <v>#VALUE!</v>
      </c>
      <c r="FZ22" s="99" t="e">
        <f>'Effort Estimation'!M51+"AM:!e)"</f>
        <v>#VALUE!</v>
      </c>
      <c r="GA22" s="99" t="e">
        <f>'Effort Estimation'!N51+"AM:!e."</f>
        <v>#VALUE!</v>
      </c>
      <c r="GB22" s="99" t="e">
        <f>'Effort Estimation'!O51+"AM:!e/"</f>
        <v>#VALUE!</v>
      </c>
      <c r="GC22" s="99" t="e">
        <f>'Effort Estimation'!P51+"AM:!e0"</f>
        <v>#VALUE!</v>
      </c>
      <c r="GD22" s="99" t="e">
        <f>'Effort Estimation'!Q51+"AM:!e1"</f>
        <v>#VALUE!</v>
      </c>
      <c r="GE22" t="e">
        <f>'Effort Estimation'!R51+"AM:!e2"</f>
        <v>#VALUE!</v>
      </c>
      <c r="GF22" t="e">
        <f>'Effort Estimation'!S51+"AM:!e3"</f>
        <v>#VALUE!</v>
      </c>
      <c r="GG22" t="e">
        <f>'Effort Estimation'!T51+"AM:!e4"</f>
        <v>#VALUE!</v>
      </c>
      <c r="GH22" t="e">
        <f>'Effort Estimation'!A52+"AM:!e5"</f>
        <v>#VALUE!</v>
      </c>
      <c r="GI22" t="e">
        <f>'Effort Estimation'!B52+"AM:!e6"</f>
        <v>#VALUE!</v>
      </c>
      <c r="GJ22" t="e">
        <f>'Effort Estimation'!C52+"AM:!e7"</f>
        <v>#VALUE!</v>
      </c>
      <c r="GK22" t="e">
        <f>'Effort Estimation'!D52+"AM:!e8"</f>
        <v>#VALUE!</v>
      </c>
      <c r="GL22" t="e">
        <f>'Effort Estimation'!E52+"AM:!e9"</f>
        <v>#VALUE!</v>
      </c>
      <c r="GM22" t="e">
        <f>'Effort Estimation'!F52+"AM:!e:"</f>
        <v>#VALUE!</v>
      </c>
      <c r="GN22" t="e">
        <f>'Effort Estimation'!G52+"AM:!e;"</f>
        <v>#VALUE!</v>
      </c>
      <c r="GO22" t="e">
        <f>'Effort Estimation'!H52+"AM:!e&lt;"</f>
        <v>#VALUE!</v>
      </c>
      <c r="GP22" t="e">
        <f>'Effort Estimation'!I52+"AM:!e="</f>
        <v>#VALUE!</v>
      </c>
      <c r="GQ22" s="99" t="e">
        <f>'Effort Estimation'!J52+"AM:!e&gt;"</f>
        <v>#VALUE!</v>
      </c>
      <c r="GR22" s="99" t="e">
        <f>'Effort Estimation'!K52+"AM:!e?"</f>
        <v>#VALUE!</v>
      </c>
      <c r="GS22" s="99" t="e">
        <f>'Effort Estimation'!L52+"AM:!e@"</f>
        <v>#VALUE!</v>
      </c>
      <c r="GT22" s="99" t="e">
        <f>'Effort Estimation'!M52+"AM:!eA"</f>
        <v>#VALUE!</v>
      </c>
      <c r="GU22" s="99" t="e">
        <f>'Effort Estimation'!N52+"AM:!eB"</f>
        <v>#VALUE!</v>
      </c>
      <c r="GV22" s="99" t="e">
        <f>'Effort Estimation'!O52+"AM:!eC"</f>
        <v>#VALUE!</v>
      </c>
      <c r="GW22" s="99" t="e">
        <f>'Effort Estimation'!P52+"AM:!eD"</f>
        <v>#VALUE!</v>
      </c>
      <c r="GX22" s="99" t="e">
        <f>'Effort Estimation'!Q52+"AM:!eE"</f>
        <v>#VALUE!</v>
      </c>
      <c r="GY22" t="e">
        <f>'Effort Estimation'!R52+"AM:!eF"</f>
        <v>#VALUE!</v>
      </c>
      <c r="GZ22" t="e">
        <f>'Effort Estimation'!S52+"AM:!eG"</f>
        <v>#VALUE!</v>
      </c>
      <c r="HA22" t="e">
        <f>'Effort Estimation'!T52+"AM:!eH"</f>
        <v>#VALUE!</v>
      </c>
      <c r="HB22" t="e">
        <f>'Effort Estimation'!A53+"AM:!eI"</f>
        <v>#VALUE!</v>
      </c>
      <c r="HC22" t="e">
        <f>'Effort Estimation'!B53+"AM:!eJ"</f>
        <v>#VALUE!</v>
      </c>
      <c r="HD22" t="e">
        <f>'Effort Estimation'!C53+"AM:!eK"</f>
        <v>#VALUE!</v>
      </c>
      <c r="HE22" t="e">
        <f>'Effort Estimation'!D53+"AM:!eL"</f>
        <v>#VALUE!</v>
      </c>
      <c r="HF22" t="e">
        <f>'Effort Estimation'!E53+"AM:!eM"</f>
        <v>#VALUE!</v>
      </c>
      <c r="HG22" t="e">
        <f>'Effort Estimation'!F53+"AM:!eN"</f>
        <v>#VALUE!</v>
      </c>
      <c r="HH22" t="e">
        <f>'Effort Estimation'!G53+"AM:!eO"</f>
        <v>#VALUE!</v>
      </c>
      <c r="HI22" t="e">
        <f>'Effort Estimation'!H53+"AM:!eP"</f>
        <v>#VALUE!</v>
      </c>
      <c r="HJ22" t="e">
        <f>'Effort Estimation'!I53+"AM:!eQ"</f>
        <v>#VALUE!</v>
      </c>
      <c r="HK22" s="99" t="e">
        <f>'Effort Estimation'!J53+"AM:!eR"</f>
        <v>#VALUE!</v>
      </c>
      <c r="HL22" s="99" t="e">
        <f>'Effort Estimation'!K53+"AM:!eS"</f>
        <v>#VALUE!</v>
      </c>
      <c r="HM22" s="99" t="e">
        <f>'Effort Estimation'!L53+"AM:!eT"</f>
        <v>#VALUE!</v>
      </c>
      <c r="HN22" s="99" t="e">
        <f>'Effort Estimation'!M53+"AM:!eU"</f>
        <v>#VALUE!</v>
      </c>
      <c r="HO22" s="99" t="e">
        <f>'Effort Estimation'!N53+"AM:!eV"</f>
        <v>#VALUE!</v>
      </c>
      <c r="HP22" s="99" t="e">
        <f>'Effort Estimation'!O53+"AM:!eW"</f>
        <v>#VALUE!</v>
      </c>
      <c r="HQ22" s="99" t="e">
        <f>'Effort Estimation'!P53+"AM:!eX"</f>
        <v>#VALUE!</v>
      </c>
      <c r="HR22" s="99" t="e">
        <f>'Effort Estimation'!Q53+"AM:!eY"</f>
        <v>#VALUE!</v>
      </c>
      <c r="HS22" t="e">
        <f>'Effort Estimation'!R53+"AM:!eZ"</f>
        <v>#VALUE!</v>
      </c>
      <c r="HT22" t="e">
        <f>'Effort Estimation'!S53+"AM:!e["</f>
        <v>#VALUE!</v>
      </c>
      <c r="HU22" t="e">
        <f>'Effort Estimation'!T53+"AM:!e\"</f>
        <v>#VALUE!</v>
      </c>
      <c r="HV22" t="e">
        <f>'Effort Estimation'!A54+"AM:!e]"</f>
        <v>#VALUE!</v>
      </c>
      <c r="HW22" t="e">
        <f>'Effort Estimation'!B54+"AM:!e^"</f>
        <v>#VALUE!</v>
      </c>
      <c r="HX22" t="e">
        <f>'Effort Estimation'!C54+"AM:!e_"</f>
        <v>#VALUE!</v>
      </c>
      <c r="HY22" t="e">
        <f>'Effort Estimation'!D54+"AM:!e`"</f>
        <v>#VALUE!</v>
      </c>
      <c r="HZ22" t="e">
        <f>'Effort Estimation'!E54+"AM:!ea"</f>
        <v>#VALUE!</v>
      </c>
      <c r="IA22" t="e">
        <f>'Effort Estimation'!F54+"AM:!eb"</f>
        <v>#VALUE!</v>
      </c>
      <c r="IB22" t="e">
        <f>'Effort Estimation'!G54+"AM:!ec"</f>
        <v>#VALUE!</v>
      </c>
      <c r="IC22" t="e">
        <f>'Effort Estimation'!H54+"AM:!ed"</f>
        <v>#VALUE!</v>
      </c>
      <c r="ID22" t="e">
        <f>'Effort Estimation'!I54+"AM:!ee"</f>
        <v>#VALUE!</v>
      </c>
      <c r="IE22" s="99" t="e">
        <f>'Effort Estimation'!J54+"AM:!ef"</f>
        <v>#VALUE!</v>
      </c>
      <c r="IF22" s="99" t="e">
        <f>'Effort Estimation'!K54+"AM:!eg"</f>
        <v>#VALUE!</v>
      </c>
      <c r="IG22" s="99" t="e">
        <f>'Effort Estimation'!L54+"AM:!eh"</f>
        <v>#VALUE!</v>
      </c>
      <c r="IH22" s="99" t="e">
        <f>'Effort Estimation'!M54+"AM:!ei"</f>
        <v>#VALUE!</v>
      </c>
      <c r="II22" s="99" t="e">
        <f>'Effort Estimation'!N54+"AM:!ej"</f>
        <v>#VALUE!</v>
      </c>
      <c r="IJ22" s="99" t="e">
        <f>'Effort Estimation'!O54+"AM:!ek"</f>
        <v>#VALUE!</v>
      </c>
      <c r="IK22" s="99" t="e">
        <f>'Effort Estimation'!P54+"AM:!el"</f>
        <v>#VALUE!</v>
      </c>
      <c r="IL22" s="99" t="e">
        <f>'Effort Estimation'!Q54+"AM:!em"</f>
        <v>#VALUE!</v>
      </c>
      <c r="IM22" t="e">
        <f>'Effort Estimation'!R54+"AM:!en"</f>
        <v>#VALUE!</v>
      </c>
      <c r="IN22" t="e">
        <f>'Effort Estimation'!S54+"AM:!eo"</f>
        <v>#VALUE!</v>
      </c>
      <c r="IO22" t="e">
        <f>'Effort Estimation'!T54+"AM:!ep"</f>
        <v>#VALUE!</v>
      </c>
      <c r="IP22" t="e">
        <f>'Effort Estimation'!A55+"AM:!eq"</f>
        <v>#VALUE!</v>
      </c>
      <c r="IQ22" t="e">
        <f>'Effort Estimation'!B55+"AM:!er"</f>
        <v>#VALUE!</v>
      </c>
      <c r="IR22" t="e">
        <f>'Effort Estimation'!C55+"AM:!es"</f>
        <v>#VALUE!</v>
      </c>
      <c r="IS22" t="e">
        <f>'Effort Estimation'!D55+"AM:!et"</f>
        <v>#VALUE!</v>
      </c>
      <c r="IT22" t="e">
        <f>'Effort Estimation'!E55+"AM:!eu"</f>
        <v>#VALUE!</v>
      </c>
      <c r="IU22" t="e">
        <f>'Effort Estimation'!F55+"AM:!ev"</f>
        <v>#VALUE!</v>
      </c>
      <c r="IV22" t="e">
        <f>'Effort Estimation'!G55+"AM:!ew"</f>
        <v>#VALUE!</v>
      </c>
    </row>
    <row r="23" spans="6:256">
      <c r="F23" t="e">
        <f>'Effort Estimation'!H55+"AM:!ex"</f>
        <v>#VALUE!</v>
      </c>
      <c r="G23" t="e">
        <f>'Effort Estimation'!I55+"AM:!ey"</f>
        <v>#VALUE!</v>
      </c>
      <c r="H23" s="99" t="e">
        <f>'Effort Estimation'!J55+"AM:!ez"</f>
        <v>#VALUE!</v>
      </c>
      <c r="I23" s="99" t="e">
        <f>'Effort Estimation'!K55+"AM:!e{"</f>
        <v>#VALUE!</v>
      </c>
      <c r="J23" s="99" t="e">
        <f>'Effort Estimation'!L55+"AM:!e|"</f>
        <v>#VALUE!</v>
      </c>
      <c r="K23" s="99" t="e">
        <f>'Effort Estimation'!M55+"AM:!e}"</f>
        <v>#VALUE!</v>
      </c>
      <c r="L23" s="99" t="e">
        <f>'Effort Estimation'!N55+"AM:!e~"</f>
        <v>#VALUE!</v>
      </c>
      <c r="M23" s="99" t="e">
        <f>'Effort Estimation'!O55+"AM:!f#"</f>
        <v>#VALUE!</v>
      </c>
      <c r="N23" s="99" t="e">
        <f>'Effort Estimation'!P55+"AM:!f$"</f>
        <v>#VALUE!</v>
      </c>
      <c r="O23" s="99" t="e">
        <f>'Effort Estimation'!Q55+"AM:!f%"</f>
        <v>#VALUE!</v>
      </c>
      <c r="P23" t="e">
        <f>'Effort Estimation'!R55+"AM:!f&amp;"</f>
        <v>#VALUE!</v>
      </c>
      <c r="Q23" t="e">
        <f>'Effort Estimation'!S55+"AM:!f'"</f>
        <v>#VALUE!</v>
      </c>
      <c r="R23" t="e">
        <f>'Effort Estimation'!T55+"AM:!f("</f>
        <v>#VALUE!</v>
      </c>
      <c r="S23" t="e">
        <f>'Effort Estimation'!A56+"AM:!f)"</f>
        <v>#VALUE!</v>
      </c>
      <c r="T23" t="e">
        <f>'Effort Estimation'!B56+"AM:!f."</f>
        <v>#VALUE!</v>
      </c>
      <c r="U23" t="e">
        <f>'Effort Estimation'!C56+"AM:!f/"</f>
        <v>#VALUE!</v>
      </c>
      <c r="V23" t="e">
        <f>'Effort Estimation'!D56+"AM:!f0"</f>
        <v>#VALUE!</v>
      </c>
      <c r="W23" t="e">
        <f>'Effort Estimation'!E56+"AM:!f1"</f>
        <v>#VALUE!</v>
      </c>
      <c r="X23" t="e">
        <f>'Effort Estimation'!F56+"AM:!f2"</f>
        <v>#VALUE!</v>
      </c>
      <c r="Y23" t="e">
        <f>'Effort Estimation'!G56+"AM:!f3"</f>
        <v>#VALUE!</v>
      </c>
      <c r="Z23" t="e">
        <f>'Effort Estimation'!H56+"AM:!f4"</f>
        <v>#VALUE!</v>
      </c>
      <c r="AA23" t="e">
        <f>'Effort Estimation'!I56+"AM:!f5"</f>
        <v>#VALUE!</v>
      </c>
      <c r="AB23" s="99" t="e">
        <f>'Effort Estimation'!J56+"AM:!f6"</f>
        <v>#VALUE!</v>
      </c>
      <c r="AC23" s="99" t="e">
        <f>'Effort Estimation'!K56+"AM:!f7"</f>
        <v>#VALUE!</v>
      </c>
      <c r="AD23" s="99" t="e">
        <f>'Effort Estimation'!L56+"AM:!f8"</f>
        <v>#VALUE!</v>
      </c>
      <c r="AE23" s="99" t="e">
        <f>'Effort Estimation'!M56+"AM:!f9"</f>
        <v>#VALUE!</v>
      </c>
      <c r="AF23" s="99" t="e">
        <f>'Effort Estimation'!N56+"AM:!f:"</f>
        <v>#VALUE!</v>
      </c>
      <c r="AG23" s="99" t="e">
        <f>'Effort Estimation'!O56+"AM:!f;"</f>
        <v>#VALUE!</v>
      </c>
      <c r="AH23" s="99" t="e">
        <f>'Effort Estimation'!P56+"AM:!f&lt;"</f>
        <v>#VALUE!</v>
      </c>
      <c r="AI23" s="99" t="e">
        <f>'Effort Estimation'!Q56+"AM:!f="</f>
        <v>#VALUE!</v>
      </c>
      <c r="AJ23" t="e">
        <f>'Effort Estimation'!R56+"AM:!f&gt;"</f>
        <v>#VALUE!</v>
      </c>
      <c r="AK23" t="e">
        <f>'Effort Estimation'!S56+"AM:!f?"</f>
        <v>#VALUE!</v>
      </c>
      <c r="AL23" t="e">
        <f>'Effort Estimation'!T56+"AM:!f@"</f>
        <v>#VALUE!</v>
      </c>
      <c r="AM23" t="e">
        <f>'Effort Estimation'!A57+"AM:!fA"</f>
        <v>#VALUE!</v>
      </c>
      <c r="AN23" t="e">
        <f>'Effort Estimation'!B57+"AM:!fB"</f>
        <v>#VALUE!</v>
      </c>
      <c r="AO23" t="e">
        <f>'Effort Estimation'!C57+"AM:!fC"</f>
        <v>#VALUE!</v>
      </c>
      <c r="AP23" t="e">
        <f>'Effort Estimation'!D57+"AM:!fD"</f>
        <v>#VALUE!</v>
      </c>
      <c r="AQ23" t="e">
        <f>'Effort Estimation'!E57+"AM:!fE"</f>
        <v>#VALUE!</v>
      </c>
      <c r="AR23" t="e">
        <f>'Effort Estimation'!F57+"AM:!fF"</f>
        <v>#VALUE!</v>
      </c>
      <c r="AS23" t="e">
        <f>'Effort Estimation'!G57+"AM:!fG"</f>
        <v>#VALUE!</v>
      </c>
      <c r="AT23" t="e">
        <f>'Effort Estimation'!H57+"AM:!fH"</f>
        <v>#VALUE!</v>
      </c>
      <c r="AU23" t="e">
        <f>'Effort Estimation'!I57+"AM:!fI"</f>
        <v>#VALUE!</v>
      </c>
      <c r="AV23" s="99" t="e">
        <f>'Effort Estimation'!J57+"AM:!fJ"</f>
        <v>#VALUE!</v>
      </c>
      <c r="AW23" s="99" t="e">
        <f>'Effort Estimation'!K57+"AM:!fK"</f>
        <v>#VALUE!</v>
      </c>
      <c r="AX23" s="99" t="e">
        <f>'Effort Estimation'!L57+"AM:!fL"</f>
        <v>#VALUE!</v>
      </c>
      <c r="AY23" s="99" t="e">
        <f>'Effort Estimation'!M57+"AM:!fM"</f>
        <v>#VALUE!</v>
      </c>
      <c r="AZ23" s="99" t="e">
        <f>'Effort Estimation'!N57+"AM:!fN"</f>
        <v>#VALUE!</v>
      </c>
      <c r="BA23" s="99" t="e">
        <f>'Effort Estimation'!O57+"AM:!fO"</f>
        <v>#VALUE!</v>
      </c>
      <c r="BB23" s="99" t="e">
        <f>'Effort Estimation'!P57+"AM:!fP"</f>
        <v>#VALUE!</v>
      </c>
      <c r="BC23" s="99" t="e">
        <f>'Effort Estimation'!Q57+"AM:!fQ"</f>
        <v>#VALUE!</v>
      </c>
      <c r="BD23" t="e">
        <f>'Effort Estimation'!R57+"AM:!fR"</f>
        <v>#VALUE!</v>
      </c>
      <c r="BE23" t="e">
        <f>'Effort Estimation'!S57+"AM:!fS"</f>
        <v>#VALUE!</v>
      </c>
      <c r="BF23" t="e">
        <f>'Effort Estimation'!T57+"AM:!fT"</f>
        <v>#VALUE!</v>
      </c>
      <c r="BG23" t="e">
        <f>'Effort Estimation'!A58+"AM:!fU"</f>
        <v>#VALUE!</v>
      </c>
      <c r="BH23" t="e">
        <f>'Effort Estimation'!B58+"AM:!fV"</f>
        <v>#VALUE!</v>
      </c>
      <c r="BI23" t="e">
        <f>'Effort Estimation'!C58+"AM:!fW"</f>
        <v>#VALUE!</v>
      </c>
      <c r="BJ23" t="e">
        <f>'Effort Estimation'!D58+"AM:!fX"</f>
        <v>#VALUE!</v>
      </c>
      <c r="BK23" t="e">
        <f>'Effort Estimation'!E58+"AM:!fY"</f>
        <v>#VALUE!</v>
      </c>
      <c r="BL23" t="e">
        <f>'Effort Estimation'!F58+"AM:!fZ"</f>
        <v>#VALUE!</v>
      </c>
      <c r="BM23" t="e">
        <f>'Effort Estimation'!G58+"AM:!f["</f>
        <v>#VALUE!</v>
      </c>
      <c r="BN23" t="e">
        <f>'Effort Estimation'!H58+"AM:!f\"</f>
        <v>#VALUE!</v>
      </c>
      <c r="BO23" t="e">
        <f>'Effort Estimation'!I58+"AM:!f]"</f>
        <v>#VALUE!</v>
      </c>
      <c r="BP23" s="99" t="e">
        <f>'Effort Estimation'!J58+"AM:!f^"</f>
        <v>#VALUE!</v>
      </c>
      <c r="BQ23" s="99" t="e">
        <f>'Effort Estimation'!K58+"AM:!f_"</f>
        <v>#VALUE!</v>
      </c>
      <c r="BR23" s="99" t="e">
        <f>'Effort Estimation'!L58+"AM:!f`"</f>
        <v>#VALUE!</v>
      </c>
      <c r="BS23" s="99" t="e">
        <f>'Effort Estimation'!M58+"AM:!fa"</f>
        <v>#VALUE!</v>
      </c>
      <c r="BT23" s="99" t="e">
        <f>'Effort Estimation'!N58+"AM:!fb"</f>
        <v>#VALUE!</v>
      </c>
      <c r="BU23" s="99" t="e">
        <f>'Effort Estimation'!O58+"AM:!fc"</f>
        <v>#VALUE!</v>
      </c>
      <c r="BV23" s="99" t="e">
        <f>'Effort Estimation'!P58+"AM:!fd"</f>
        <v>#VALUE!</v>
      </c>
      <c r="BW23" s="99" t="e">
        <f>'Effort Estimation'!Q58+"AM:!fe"</f>
        <v>#VALUE!</v>
      </c>
      <c r="BX23" t="e">
        <f>'Effort Estimation'!R58+"AM:!ff"</f>
        <v>#VALUE!</v>
      </c>
      <c r="BY23" t="e">
        <f>'Effort Estimation'!S58+"AM:!fg"</f>
        <v>#VALUE!</v>
      </c>
      <c r="BZ23" t="e">
        <f>'Effort Estimation'!T58+"AM:!fh"</f>
        <v>#VALUE!</v>
      </c>
      <c r="CA23" t="e">
        <f>'Effort Estimation'!A59+"AM:!fi"</f>
        <v>#VALUE!</v>
      </c>
      <c r="CB23" t="e">
        <f>'Effort Estimation'!B59+"AM:!fj"</f>
        <v>#VALUE!</v>
      </c>
      <c r="CC23" t="e">
        <f>'Effort Estimation'!C59+"AM:!fk"</f>
        <v>#VALUE!</v>
      </c>
      <c r="CD23" t="e">
        <f>'Effort Estimation'!D59+"AM:!fl"</f>
        <v>#VALUE!</v>
      </c>
      <c r="CE23" t="e">
        <f>'Effort Estimation'!E59+"AM:!fm"</f>
        <v>#VALUE!</v>
      </c>
      <c r="CF23" t="e">
        <f>'Effort Estimation'!F59+"AM:!fn"</f>
        <v>#VALUE!</v>
      </c>
      <c r="CG23" t="e">
        <f>'Effort Estimation'!G59+"AM:!fo"</f>
        <v>#VALUE!</v>
      </c>
      <c r="CH23" t="e">
        <f>'Effort Estimation'!H59+"AM:!fp"</f>
        <v>#VALUE!</v>
      </c>
      <c r="CI23" t="e">
        <f>'Effort Estimation'!I59+"AM:!fq"</f>
        <v>#VALUE!</v>
      </c>
      <c r="CJ23" s="99" t="e">
        <f>'Effort Estimation'!J59+"AM:!fr"</f>
        <v>#VALUE!</v>
      </c>
      <c r="CK23" s="99" t="e">
        <f>'Effort Estimation'!K59+"AM:!fs"</f>
        <v>#VALUE!</v>
      </c>
      <c r="CL23" s="99" t="e">
        <f>'Effort Estimation'!L59+"AM:!ft"</f>
        <v>#VALUE!</v>
      </c>
      <c r="CM23" s="99" t="e">
        <f>'Effort Estimation'!M59+"AM:!fu"</f>
        <v>#VALUE!</v>
      </c>
      <c r="CN23" s="99" t="e">
        <f>'Effort Estimation'!N59+"AM:!fv"</f>
        <v>#VALUE!</v>
      </c>
      <c r="CO23" s="99" t="e">
        <f>'Effort Estimation'!O59+"AM:!fw"</f>
        <v>#VALUE!</v>
      </c>
      <c r="CP23" s="99" t="e">
        <f>'Effort Estimation'!P59+"AM:!fx"</f>
        <v>#VALUE!</v>
      </c>
      <c r="CQ23" s="99" t="e">
        <f>'Effort Estimation'!Q59+"AM:!fy"</f>
        <v>#VALUE!</v>
      </c>
      <c r="CR23" t="e">
        <f>'Effort Estimation'!R59+"AM:!fz"</f>
        <v>#VALUE!</v>
      </c>
      <c r="CS23" t="e">
        <f>'Effort Estimation'!S59+"AM:!f{"</f>
        <v>#VALUE!</v>
      </c>
      <c r="CT23" t="e">
        <f>'Effort Estimation'!T59+"AM:!f|"</f>
        <v>#VALUE!</v>
      </c>
      <c r="CU23" t="e">
        <f>'Effort Estimation'!A60+"AM:!f}"</f>
        <v>#VALUE!</v>
      </c>
      <c r="CV23" t="e">
        <f>'Effort Estimation'!B60+"AM:!f~"</f>
        <v>#VALUE!</v>
      </c>
      <c r="CW23" t="e">
        <f>'Effort Estimation'!C60+"AM:!g#"</f>
        <v>#VALUE!</v>
      </c>
      <c r="CX23" t="e">
        <f>'Effort Estimation'!D60+"AM:!g$"</f>
        <v>#VALUE!</v>
      </c>
      <c r="CY23" t="e">
        <f>'Effort Estimation'!E60+"AM:!g%"</f>
        <v>#VALUE!</v>
      </c>
      <c r="CZ23" t="e">
        <f>'Effort Estimation'!F60+"AM:!g&amp;"</f>
        <v>#VALUE!</v>
      </c>
      <c r="DA23" t="e">
        <f>'Effort Estimation'!G60+"AM:!g'"</f>
        <v>#VALUE!</v>
      </c>
      <c r="DB23" t="e">
        <f>'Effort Estimation'!H60+"AM:!g("</f>
        <v>#VALUE!</v>
      </c>
      <c r="DC23" t="e">
        <f>'Effort Estimation'!I60+"AM:!g)"</f>
        <v>#VALUE!</v>
      </c>
      <c r="DD23" s="99" t="e">
        <f>'Effort Estimation'!J60+"AM:!g."</f>
        <v>#VALUE!</v>
      </c>
      <c r="DE23" s="99" t="e">
        <f>'Effort Estimation'!K60+"AM:!g/"</f>
        <v>#VALUE!</v>
      </c>
      <c r="DF23" s="99" t="e">
        <f>'Effort Estimation'!L60+"AM:!g0"</f>
        <v>#VALUE!</v>
      </c>
      <c r="DG23" s="99" t="e">
        <f>'Effort Estimation'!M60+"AM:!g1"</f>
        <v>#VALUE!</v>
      </c>
      <c r="DH23" s="99" t="e">
        <f>'Effort Estimation'!N60+"AM:!g2"</f>
        <v>#VALUE!</v>
      </c>
      <c r="DI23" s="99" t="e">
        <f>'Effort Estimation'!O60+"AM:!g3"</f>
        <v>#VALUE!</v>
      </c>
      <c r="DJ23" s="99" t="e">
        <f>'Effort Estimation'!P60+"AM:!g4"</f>
        <v>#VALUE!</v>
      </c>
      <c r="DK23" s="99" t="e">
        <f>'Effort Estimation'!Q60+"AM:!g5"</f>
        <v>#VALUE!</v>
      </c>
      <c r="DL23" t="e">
        <f>'Effort Estimation'!R60+"AM:!g6"</f>
        <v>#VALUE!</v>
      </c>
      <c r="DM23" t="e">
        <f>'Effort Estimation'!S60+"AM:!g7"</f>
        <v>#VALUE!</v>
      </c>
      <c r="DN23" t="e">
        <f>'Effort Estimation'!T60+"AM:!g8"</f>
        <v>#VALUE!</v>
      </c>
      <c r="DO23" t="e">
        <f>'Effort Estimation'!A61+"AM:!g9"</f>
        <v>#VALUE!</v>
      </c>
      <c r="DP23" t="e">
        <f>'Effort Estimation'!B61+"AM:!g:"</f>
        <v>#VALUE!</v>
      </c>
      <c r="DQ23" t="e">
        <f>'Effort Estimation'!C61+"AM:!g;"</f>
        <v>#VALUE!</v>
      </c>
      <c r="DR23" t="e">
        <f>'Effort Estimation'!D61+"AM:!g&lt;"</f>
        <v>#VALUE!</v>
      </c>
      <c r="DS23" t="e">
        <f>'Effort Estimation'!E61+"AM:!g="</f>
        <v>#VALUE!</v>
      </c>
      <c r="DT23" t="e">
        <f>'Effort Estimation'!F61+"AM:!g&gt;"</f>
        <v>#VALUE!</v>
      </c>
      <c r="DU23" t="e">
        <f>'Effort Estimation'!G61+"AM:!g?"</f>
        <v>#VALUE!</v>
      </c>
      <c r="DV23" t="e">
        <f>'Effort Estimation'!H61+"AM:!g@"</f>
        <v>#VALUE!</v>
      </c>
      <c r="DW23" t="e">
        <f>'Effort Estimation'!I61+"AM:!gA"</f>
        <v>#VALUE!</v>
      </c>
      <c r="DX23" s="99" t="e">
        <f>'Effort Estimation'!J61+"AM:!gB"</f>
        <v>#VALUE!</v>
      </c>
      <c r="DY23" s="99" t="e">
        <f>'Effort Estimation'!K61+"AM:!gC"</f>
        <v>#VALUE!</v>
      </c>
      <c r="DZ23" s="99" t="e">
        <f>'Effort Estimation'!L61+"AM:!gD"</f>
        <v>#VALUE!</v>
      </c>
      <c r="EA23" s="99" t="e">
        <f>'Effort Estimation'!M61+"AM:!gE"</f>
        <v>#VALUE!</v>
      </c>
      <c r="EB23" s="99" t="e">
        <f>'Effort Estimation'!N61+"AM:!gF"</f>
        <v>#VALUE!</v>
      </c>
      <c r="EC23" s="99" t="e">
        <f>'Effort Estimation'!O61+"AM:!gG"</f>
        <v>#VALUE!</v>
      </c>
      <c r="ED23" s="99" t="e">
        <f>'Effort Estimation'!P61+"AM:!gH"</f>
        <v>#VALUE!</v>
      </c>
      <c r="EE23" s="99" t="e">
        <f>'Effort Estimation'!Q61+"AM:!gI"</f>
        <v>#VALUE!</v>
      </c>
      <c r="EF23" t="e">
        <f>'Effort Estimation'!R61+"AM:!gJ"</f>
        <v>#VALUE!</v>
      </c>
      <c r="EG23" t="e">
        <f>'Effort Estimation'!S61+"AM:!gK"</f>
        <v>#VALUE!</v>
      </c>
      <c r="EH23" t="e">
        <f>'Effort Estimation'!T61+"AM:!gL"</f>
        <v>#VALUE!</v>
      </c>
      <c r="EI23" t="e">
        <f>'Effort Estimation'!A62+"AM:!gM"</f>
        <v>#VALUE!</v>
      </c>
      <c r="EJ23" t="e">
        <f>'Effort Estimation'!B62+"AM:!gN"</f>
        <v>#VALUE!</v>
      </c>
      <c r="EK23" t="e">
        <f>'Effort Estimation'!C62+"AM:!gO"</f>
        <v>#VALUE!</v>
      </c>
      <c r="EL23" t="e">
        <f>'Effort Estimation'!D62+"AM:!gP"</f>
        <v>#VALUE!</v>
      </c>
      <c r="EM23" t="e">
        <f>'Effort Estimation'!E62+"AM:!gQ"</f>
        <v>#VALUE!</v>
      </c>
      <c r="EN23" t="e">
        <f>'Effort Estimation'!F62+"AM:!gR"</f>
        <v>#VALUE!</v>
      </c>
      <c r="EO23" t="e">
        <f>'Effort Estimation'!G62+"AM:!gS"</f>
        <v>#VALUE!</v>
      </c>
      <c r="EP23" t="e">
        <f>'Effort Estimation'!H62+"AM:!gT"</f>
        <v>#VALUE!</v>
      </c>
      <c r="EQ23" t="e">
        <f>'Effort Estimation'!I62+"AM:!gU"</f>
        <v>#VALUE!</v>
      </c>
      <c r="ER23" s="99" t="e">
        <f>'Effort Estimation'!J62+"AM:!gV"</f>
        <v>#VALUE!</v>
      </c>
      <c r="ES23" s="99" t="e">
        <f>'Effort Estimation'!K62+"AM:!gW"</f>
        <v>#VALUE!</v>
      </c>
      <c r="ET23" s="99" t="e">
        <f>'Effort Estimation'!L62+"AM:!gX"</f>
        <v>#VALUE!</v>
      </c>
      <c r="EU23" s="99" t="e">
        <f>'Effort Estimation'!M62+"AM:!gY"</f>
        <v>#VALUE!</v>
      </c>
      <c r="EV23" s="99" t="e">
        <f>'Effort Estimation'!N62+"AM:!gZ"</f>
        <v>#VALUE!</v>
      </c>
      <c r="EW23" s="99" t="e">
        <f>'Effort Estimation'!O62+"AM:!g["</f>
        <v>#VALUE!</v>
      </c>
      <c r="EX23" s="99" t="e">
        <f>'Effort Estimation'!P62+"AM:!g\"</f>
        <v>#VALUE!</v>
      </c>
      <c r="EY23" s="99" t="e">
        <f>'Effort Estimation'!Q62+"AM:!g]"</f>
        <v>#VALUE!</v>
      </c>
      <c r="EZ23" t="e">
        <f>'Effort Estimation'!R62+"AM:!g^"</f>
        <v>#VALUE!</v>
      </c>
      <c r="FA23" t="e">
        <f>'Effort Estimation'!S62+"AM:!g_"</f>
        <v>#VALUE!</v>
      </c>
      <c r="FB23" t="e">
        <f>'Effort Estimation'!T62+"AM:!g`"</f>
        <v>#VALUE!</v>
      </c>
      <c r="FC23" t="e">
        <f>'Effort Estimation'!A63+"AM:!ga"</f>
        <v>#VALUE!</v>
      </c>
      <c r="FD23" t="e">
        <f>'Effort Estimation'!B63+"AM:!gb"</f>
        <v>#VALUE!</v>
      </c>
      <c r="FE23" t="e">
        <f>'Effort Estimation'!C63+"AM:!gc"</f>
        <v>#VALUE!</v>
      </c>
      <c r="FF23" t="e">
        <f>'Effort Estimation'!D63+"AM:!gd"</f>
        <v>#VALUE!</v>
      </c>
      <c r="FG23" t="e">
        <f>'Effort Estimation'!E63+"AM:!ge"</f>
        <v>#VALUE!</v>
      </c>
      <c r="FH23" t="e">
        <f>'Effort Estimation'!F63+"AM:!gf"</f>
        <v>#VALUE!</v>
      </c>
      <c r="FI23" t="e">
        <f>'Effort Estimation'!G63+"AM:!gg"</f>
        <v>#VALUE!</v>
      </c>
      <c r="FJ23" t="e">
        <f>'Effort Estimation'!H63+"AM:!gh"</f>
        <v>#VALUE!</v>
      </c>
      <c r="FK23" t="e">
        <f>'Effort Estimation'!I63+"AM:!gi"</f>
        <v>#VALUE!</v>
      </c>
      <c r="FL23" s="99" t="e">
        <f>'Effort Estimation'!J63+"AM:!gj"</f>
        <v>#VALUE!</v>
      </c>
      <c r="FM23" s="99" t="e">
        <f>'Effort Estimation'!K63+"AM:!gk"</f>
        <v>#VALUE!</v>
      </c>
      <c r="FN23" s="99" t="e">
        <f>'Effort Estimation'!L63+"AM:!gl"</f>
        <v>#VALUE!</v>
      </c>
      <c r="FO23" s="99" t="e">
        <f>'Effort Estimation'!M63+"AM:!gm"</f>
        <v>#VALUE!</v>
      </c>
      <c r="FP23" s="99" t="e">
        <f>'Effort Estimation'!N63+"AM:!gn"</f>
        <v>#VALUE!</v>
      </c>
      <c r="FQ23" s="99" t="e">
        <f>'Effort Estimation'!O63+"AM:!go"</f>
        <v>#VALUE!</v>
      </c>
      <c r="FR23" s="99" t="e">
        <f>'Effort Estimation'!P63+"AM:!gp"</f>
        <v>#VALUE!</v>
      </c>
      <c r="FS23" s="99" t="e">
        <f>'Effort Estimation'!Q63+"AM:!gq"</f>
        <v>#VALUE!</v>
      </c>
      <c r="FT23" t="e">
        <f>'Effort Estimation'!R63+"AM:!gr"</f>
        <v>#VALUE!</v>
      </c>
      <c r="FU23" t="e">
        <f>'Effort Estimation'!S63+"AM:!gs"</f>
        <v>#VALUE!</v>
      </c>
      <c r="FV23" t="e">
        <f>'Effort Estimation'!T63+"AM:!gt"</f>
        <v>#VALUE!</v>
      </c>
      <c r="FW23" t="e">
        <f>'Effort Estimation'!A64+"AM:!gu"</f>
        <v>#VALUE!</v>
      </c>
      <c r="FX23" t="e">
        <f>'Effort Estimation'!B64+"AM:!gv"</f>
        <v>#VALUE!</v>
      </c>
      <c r="FY23" t="e">
        <f>'Effort Estimation'!C64+"AM:!gw"</f>
        <v>#VALUE!</v>
      </c>
      <c r="FZ23" t="e">
        <f>'Effort Estimation'!D64+"AM:!gx"</f>
        <v>#VALUE!</v>
      </c>
      <c r="GA23" t="e">
        <f>'Effort Estimation'!E64+"AM:!gy"</f>
        <v>#VALUE!</v>
      </c>
      <c r="GB23" t="e">
        <f>'Effort Estimation'!F64+"AM:!gz"</f>
        <v>#VALUE!</v>
      </c>
      <c r="GC23" t="e">
        <f>'Effort Estimation'!G64+"AM:!g{"</f>
        <v>#VALUE!</v>
      </c>
      <c r="GD23" t="e">
        <f>'Effort Estimation'!H64+"AM:!g|"</f>
        <v>#VALUE!</v>
      </c>
      <c r="GE23" t="e">
        <f>'Effort Estimation'!I64+"AM:!g}"</f>
        <v>#VALUE!</v>
      </c>
      <c r="GF23" s="99" t="e">
        <f>'Effort Estimation'!J64+"AM:!g~"</f>
        <v>#VALUE!</v>
      </c>
      <c r="GG23" s="99" t="e">
        <f>'Effort Estimation'!K64+"AM:!h#"</f>
        <v>#VALUE!</v>
      </c>
      <c r="GH23" s="99" t="e">
        <f>'Effort Estimation'!L64+"AM:!h$"</f>
        <v>#VALUE!</v>
      </c>
      <c r="GI23" s="99" t="e">
        <f>'Effort Estimation'!M64+"AM:!h%"</f>
        <v>#VALUE!</v>
      </c>
      <c r="GJ23" s="99" t="e">
        <f>'Effort Estimation'!N64+"AM:!h&amp;"</f>
        <v>#VALUE!</v>
      </c>
      <c r="GK23" s="99" t="e">
        <f>'Effort Estimation'!O64+"AM:!h'"</f>
        <v>#VALUE!</v>
      </c>
      <c r="GL23" s="99" t="e">
        <f>'Effort Estimation'!P64+"AM:!h("</f>
        <v>#VALUE!</v>
      </c>
      <c r="GM23" s="99" t="e">
        <f>'Effort Estimation'!Q64+"AM:!h)"</f>
        <v>#VALUE!</v>
      </c>
      <c r="GN23" t="e">
        <f>'Effort Estimation'!R64+"AM:!h."</f>
        <v>#VALUE!</v>
      </c>
      <c r="GO23" t="e">
        <f>'Effort Estimation'!S64+"AM:!h/"</f>
        <v>#VALUE!</v>
      </c>
      <c r="GP23" t="e">
        <f>'Effort Estimation'!T64+"AM:!h0"</f>
        <v>#VALUE!</v>
      </c>
      <c r="GQ23" t="e">
        <f>'Effort Estimation'!A65+"AM:!h1"</f>
        <v>#VALUE!</v>
      </c>
      <c r="GR23" t="e">
        <f>'Effort Estimation'!B65+"AM:!h2"</f>
        <v>#VALUE!</v>
      </c>
      <c r="GS23" t="e">
        <f>'Effort Estimation'!C65+"AM:!h3"</f>
        <v>#VALUE!</v>
      </c>
      <c r="GT23" t="e">
        <f>'Effort Estimation'!D65+"AM:!h4"</f>
        <v>#VALUE!</v>
      </c>
      <c r="GU23" t="e">
        <f>'Effort Estimation'!E65+"AM:!h5"</f>
        <v>#VALUE!</v>
      </c>
      <c r="GV23" t="e">
        <f>'Effort Estimation'!F65+"AM:!h6"</f>
        <v>#VALUE!</v>
      </c>
      <c r="GW23" t="e">
        <f>'Effort Estimation'!G65+"AM:!h7"</f>
        <v>#VALUE!</v>
      </c>
      <c r="GX23" t="e">
        <f>'Effort Estimation'!H65+"AM:!h8"</f>
        <v>#VALUE!</v>
      </c>
      <c r="GY23" t="e">
        <f>'Effort Estimation'!I65+"AM:!h9"</f>
        <v>#VALUE!</v>
      </c>
      <c r="GZ23" s="99" t="e">
        <f>'Effort Estimation'!J65+"AM:!h:"</f>
        <v>#VALUE!</v>
      </c>
      <c r="HA23" s="99" t="e">
        <f>'Effort Estimation'!K65+"AM:!h;"</f>
        <v>#VALUE!</v>
      </c>
      <c r="HB23" s="99" t="e">
        <f>'Effort Estimation'!L65+"AM:!h&lt;"</f>
        <v>#VALUE!</v>
      </c>
      <c r="HC23" s="99" t="e">
        <f>'Effort Estimation'!M65+"AM:!h="</f>
        <v>#VALUE!</v>
      </c>
      <c r="HD23" s="99" t="e">
        <f>'Effort Estimation'!N65+"AM:!h&gt;"</f>
        <v>#VALUE!</v>
      </c>
      <c r="HE23" s="99" t="e">
        <f>'Effort Estimation'!O65+"AM:!h?"</f>
        <v>#VALUE!</v>
      </c>
      <c r="HF23" s="99" t="e">
        <f>'Effort Estimation'!P65+"AM:!h@"</f>
        <v>#VALUE!</v>
      </c>
      <c r="HG23" s="99" t="e">
        <f>'Effort Estimation'!Q65+"AM:!hA"</f>
        <v>#VALUE!</v>
      </c>
      <c r="HH23" t="e">
        <f>'Effort Estimation'!R65+"AM:!hB"</f>
        <v>#VALUE!</v>
      </c>
      <c r="HI23" t="e">
        <f>'Effort Estimation'!S65+"AM:!hC"</f>
        <v>#VALUE!</v>
      </c>
      <c r="HJ23" t="e">
        <f>'Effort Estimation'!T65+"AM:!hD"</f>
        <v>#VALUE!</v>
      </c>
      <c r="HK23" t="e">
        <f>'Effort Estimation'!A66+"AM:!hE"</f>
        <v>#VALUE!</v>
      </c>
      <c r="HL23" t="e">
        <f>'Effort Estimation'!B66+"AM:!hF"</f>
        <v>#VALUE!</v>
      </c>
      <c r="HM23" t="e">
        <f>'Effort Estimation'!C66+"AM:!hG"</f>
        <v>#VALUE!</v>
      </c>
      <c r="HN23" t="e">
        <f>'Effort Estimation'!D66+"AM:!hH"</f>
        <v>#VALUE!</v>
      </c>
      <c r="HO23" t="e">
        <f>'Effort Estimation'!E66+"AM:!hI"</f>
        <v>#VALUE!</v>
      </c>
      <c r="HP23" t="e">
        <f>'Effort Estimation'!F66+"AM:!hJ"</f>
        <v>#VALUE!</v>
      </c>
      <c r="HQ23" t="e">
        <f>'Effort Estimation'!G66+"AM:!hK"</f>
        <v>#VALUE!</v>
      </c>
      <c r="HR23" t="e">
        <f>'Effort Estimation'!H66+"AM:!hL"</f>
        <v>#VALUE!</v>
      </c>
      <c r="HS23" t="e">
        <f>'Effort Estimation'!I66+"AM:!hM"</f>
        <v>#VALUE!</v>
      </c>
      <c r="HT23" s="99" t="e">
        <f>'Effort Estimation'!J66+"AM:!hN"</f>
        <v>#VALUE!</v>
      </c>
      <c r="HU23" s="99" t="e">
        <f>'Effort Estimation'!K66+"AM:!hO"</f>
        <v>#VALUE!</v>
      </c>
      <c r="HV23" s="99" t="e">
        <f>'Effort Estimation'!L66+"AM:!hP"</f>
        <v>#VALUE!</v>
      </c>
      <c r="HW23" s="99" t="e">
        <f>'Effort Estimation'!M66+"AM:!hQ"</f>
        <v>#VALUE!</v>
      </c>
      <c r="HX23" s="99" t="e">
        <f>'Effort Estimation'!N66+"AM:!hR"</f>
        <v>#VALUE!</v>
      </c>
      <c r="HY23" s="99" t="e">
        <f>'Effort Estimation'!O66+"AM:!hS"</f>
        <v>#VALUE!</v>
      </c>
      <c r="HZ23" s="99" t="e">
        <f>'Effort Estimation'!P66+"AM:!hT"</f>
        <v>#VALUE!</v>
      </c>
      <c r="IA23" s="99" t="e">
        <f>'Effort Estimation'!Q66+"AM:!hU"</f>
        <v>#VALUE!</v>
      </c>
      <c r="IB23" t="e">
        <f>'Effort Estimation'!R66+"AM:!hV"</f>
        <v>#VALUE!</v>
      </c>
      <c r="IC23" t="e">
        <f>'Effort Estimation'!S66+"AM:!hW"</f>
        <v>#VALUE!</v>
      </c>
      <c r="ID23" t="e">
        <f>'Effort Estimation'!T66+"AM:!hX"</f>
        <v>#VALUE!</v>
      </c>
      <c r="IE23" t="e">
        <f>'Effort Estimation'!A67+"AM:!hY"</f>
        <v>#VALUE!</v>
      </c>
      <c r="IF23" t="e">
        <f>'Effort Estimation'!B67+"AM:!hZ"</f>
        <v>#VALUE!</v>
      </c>
      <c r="IG23" t="e">
        <f>'Effort Estimation'!C67+"AM:!h["</f>
        <v>#VALUE!</v>
      </c>
      <c r="IH23" t="e">
        <f>'Effort Estimation'!D67+"AM:!h\"</f>
        <v>#VALUE!</v>
      </c>
      <c r="II23" t="e">
        <f>'Effort Estimation'!E67+"AM:!h]"</f>
        <v>#VALUE!</v>
      </c>
      <c r="IJ23" t="e">
        <f>'Effort Estimation'!F67+"AM:!h^"</f>
        <v>#VALUE!</v>
      </c>
      <c r="IK23" t="e">
        <f>'Effort Estimation'!G67+"AM:!h_"</f>
        <v>#VALUE!</v>
      </c>
      <c r="IL23" t="e">
        <f>'Effort Estimation'!H67+"AM:!h`"</f>
        <v>#VALUE!</v>
      </c>
      <c r="IM23" t="e">
        <f>'Effort Estimation'!I67+"AM:!ha"</f>
        <v>#VALUE!</v>
      </c>
      <c r="IN23" s="99" t="e">
        <f>'Effort Estimation'!J67+"AM:!hb"</f>
        <v>#VALUE!</v>
      </c>
      <c r="IO23" s="99" t="e">
        <f>'Effort Estimation'!K67+"AM:!hc"</f>
        <v>#VALUE!</v>
      </c>
      <c r="IP23" s="99" t="e">
        <f>'Effort Estimation'!L67+"AM:!hd"</f>
        <v>#VALUE!</v>
      </c>
      <c r="IQ23" s="99" t="e">
        <f>'Effort Estimation'!M67+"AM:!he"</f>
        <v>#VALUE!</v>
      </c>
      <c r="IR23" s="99" t="e">
        <f>'Effort Estimation'!N67+"AM:!hf"</f>
        <v>#VALUE!</v>
      </c>
      <c r="IS23" s="99" t="e">
        <f>'Effort Estimation'!O67+"AM:!hg"</f>
        <v>#VALUE!</v>
      </c>
      <c r="IT23" s="99" t="e">
        <f>'Effort Estimation'!P67+"AM:!hh"</f>
        <v>#VALUE!</v>
      </c>
      <c r="IU23" s="99" t="e">
        <f>'Effort Estimation'!Q67+"AM:!hi"</f>
        <v>#VALUE!</v>
      </c>
      <c r="IV23" t="e">
        <f>'Effort Estimation'!R67+"AM:!hj"</f>
        <v>#VALUE!</v>
      </c>
    </row>
    <row r="24" spans="6:256">
      <c r="F24" t="e">
        <f>'Effort Estimation'!S67+"AM:!hk"</f>
        <v>#VALUE!</v>
      </c>
      <c r="G24" t="e">
        <f>'Effort Estimation'!T67+"AM:!hl"</f>
        <v>#VALUE!</v>
      </c>
      <c r="H24" t="e">
        <f>'Effort Estimation'!A68+"AM:!hm"</f>
        <v>#VALUE!</v>
      </c>
      <c r="I24" t="e">
        <f>'Effort Estimation'!B68+"AM:!hn"</f>
        <v>#VALUE!</v>
      </c>
      <c r="J24" t="e">
        <f>'Effort Estimation'!C68+"AM:!ho"</f>
        <v>#VALUE!</v>
      </c>
      <c r="K24" t="e">
        <f>'Effort Estimation'!D68+"AM:!hp"</f>
        <v>#VALUE!</v>
      </c>
      <c r="L24" t="e">
        <f>'Effort Estimation'!E68+"AM:!hq"</f>
        <v>#VALUE!</v>
      </c>
      <c r="M24" t="e">
        <f>'Effort Estimation'!F68+"AM:!hr"</f>
        <v>#VALUE!</v>
      </c>
      <c r="N24" t="e">
        <f>'Effort Estimation'!G68+"AM:!hs"</f>
        <v>#VALUE!</v>
      </c>
      <c r="O24" t="e">
        <f>'Effort Estimation'!H68+"AM:!ht"</f>
        <v>#VALUE!</v>
      </c>
      <c r="P24" t="e">
        <f>'Effort Estimation'!I68+"AM:!hu"</f>
        <v>#VALUE!</v>
      </c>
      <c r="Q24" s="99" t="e">
        <f>'Effort Estimation'!J68+"AM:!hv"</f>
        <v>#VALUE!</v>
      </c>
      <c r="R24" s="99" t="e">
        <f>'Effort Estimation'!K68+"AM:!hw"</f>
        <v>#VALUE!</v>
      </c>
      <c r="S24" s="99" t="e">
        <f>'Effort Estimation'!L68+"AM:!hx"</f>
        <v>#VALUE!</v>
      </c>
      <c r="T24" s="99" t="e">
        <f>'Effort Estimation'!M68+"AM:!hy"</f>
        <v>#VALUE!</v>
      </c>
      <c r="U24" s="99" t="e">
        <f>'Effort Estimation'!N68+"AM:!hz"</f>
        <v>#VALUE!</v>
      </c>
      <c r="V24" s="99" t="e">
        <f>'Effort Estimation'!O68+"AM:!h{"</f>
        <v>#VALUE!</v>
      </c>
      <c r="W24" s="99" t="e">
        <f>'Effort Estimation'!P68+"AM:!h|"</f>
        <v>#VALUE!</v>
      </c>
      <c r="X24" s="99" t="e">
        <f>'Effort Estimation'!Q68+"AM:!h}"</f>
        <v>#VALUE!</v>
      </c>
      <c r="Y24" t="e">
        <f>'Effort Estimation'!R68+"AM:!h~"</f>
        <v>#VALUE!</v>
      </c>
      <c r="Z24" t="e">
        <f>'Effort Estimation'!S68+"AM:!i#"</f>
        <v>#VALUE!</v>
      </c>
      <c r="AA24" t="e">
        <f>'Effort Estimation'!T68+"AM:!i$"</f>
        <v>#VALUE!</v>
      </c>
      <c r="AB24" t="e">
        <f>'Effort Estimation'!A69+"AM:!i%"</f>
        <v>#VALUE!</v>
      </c>
      <c r="AC24" t="e">
        <f>'Effort Estimation'!B69+"AM:!i&amp;"</f>
        <v>#VALUE!</v>
      </c>
      <c r="AD24" t="e">
        <f>'Effort Estimation'!C69+"AM:!i'"</f>
        <v>#VALUE!</v>
      </c>
      <c r="AE24" t="e">
        <f>'Effort Estimation'!D69+"AM:!i("</f>
        <v>#VALUE!</v>
      </c>
      <c r="AF24" t="e">
        <f>'Effort Estimation'!E69+"AM:!i)"</f>
        <v>#VALUE!</v>
      </c>
      <c r="AG24" t="e">
        <f>'Effort Estimation'!F69+"AM:!i."</f>
        <v>#VALUE!</v>
      </c>
      <c r="AH24" t="e">
        <f>'Effort Estimation'!G69+"AM:!i/"</f>
        <v>#VALUE!</v>
      </c>
      <c r="AI24" t="e">
        <f>'Effort Estimation'!H69+"AM:!i0"</f>
        <v>#VALUE!</v>
      </c>
      <c r="AJ24" t="e">
        <f>'Effort Estimation'!I69+"AM:!i1"</f>
        <v>#VALUE!</v>
      </c>
      <c r="AK24" s="99" t="e">
        <f>'Effort Estimation'!J69+"AM:!i2"</f>
        <v>#VALUE!</v>
      </c>
      <c r="AL24" s="99" t="e">
        <f>'Effort Estimation'!K69+"AM:!i3"</f>
        <v>#VALUE!</v>
      </c>
      <c r="AM24" s="99" t="e">
        <f>'Effort Estimation'!L69+"AM:!i4"</f>
        <v>#VALUE!</v>
      </c>
      <c r="AN24" s="99" t="e">
        <f>'Effort Estimation'!M69+"AM:!i5"</f>
        <v>#VALUE!</v>
      </c>
      <c r="AO24" s="99" t="e">
        <f>'Effort Estimation'!N69+"AM:!i6"</f>
        <v>#VALUE!</v>
      </c>
      <c r="AP24" s="99" t="e">
        <f>'Effort Estimation'!O69+"AM:!i7"</f>
        <v>#VALUE!</v>
      </c>
      <c r="AQ24" s="99" t="e">
        <f>'Effort Estimation'!P69+"AM:!i8"</f>
        <v>#VALUE!</v>
      </c>
      <c r="AR24" s="99" t="e">
        <f>'Effort Estimation'!Q69+"AM:!i9"</f>
        <v>#VALUE!</v>
      </c>
      <c r="AS24" t="e">
        <f>'Effort Estimation'!R69+"AM:!i:"</f>
        <v>#VALUE!</v>
      </c>
      <c r="AT24" t="e">
        <f>'Effort Estimation'!S69+"AM:!i;"</f>
        <v>#VALUE!</v>
      </c>
      <c r="AU24" t="e">
        <f>'Effort Estimation'!T69+"AM:!i&lt;"</f>
        <v>#VALUE!</v>
      </c>
      <c r="AV24" t="e">
        <f>'Effort Estimation'!A70+"AM:!i="</f>
        <v>#VALUE!</v>
      </c>
      <c r="AW24" t="e">
        <f>'Effort Estimation'!B70+"AM:!i&gt;"</f>
        <v>#VALUE!</v>
      </c>
      <c r="AX24" t="e">
        <f>'Effort Estimation'!C70+"AM:!i?"</f>
        <v>#VALUE!</v>
      </c>
      <c r="AY24" t="e">
        <f>'Effort Estimation'!D70+"AM:!i@"</f>
        <v>#VALUE!</v>
      </c>
      <c r="AZ24" t="e">
        <f>'Effort Estimation'!E70+"AM:!iA"</f>
        <v>#VALUE!</v>
      </c>
      <c r="BA24" t="e">
        <f>'Effort Estimation'!F70+"AM:!iB"</f>
        <v>#VALUE!</v>
      </c>
      <c r="BB24" t="e">
        <f>'Effort Estimation'!G70+"AM:!iC"</f>
        <v>#VALUE!</v>
      </c>
      <c r="BC24" t="e">
        <f>'Effort Estimation'!H70+"AM:!iD"</f>
        <v>#VALUE!</v>
      </c>
      <c r="BD24" t="e">
        <f>'Effort Estimation'!I70+"AM:!iE"</f>
        <v>#VALUE!</v>
      </c>
      <c r="BE24" s="99" t="e">
        <f>'Effort Estimation'!J70+"AM:!iF"</f>
        <v>#VALUE!</v>
      </c>
      <c r="BF24" s="99" t="e">
        <f>'Effort Estimation'!K70+"AM:!iG"</f>
        <v>#VALUE!</v>
      </c>
      <c r="BG24" s="99" t="e">
        <f>'Effort Estimation'!L70+"AM:!iH"</f>
        <v>#VALUE!</v>
      </c>
      <c r="BH24" s="99" t="e">
        <f>'Effort Estimation'!M70+"AM:!iI"</f>
        <v>#VALUE!</v>
      </c>
      <c r="BI24" s="99" t="e">
        <f>'Effort Estimation'!N70+"AM:!iJ"</f>
        <v>#VALUE!</v>
      </c>
      <c r="BJ24" s="99" t="e">
        <f>'Effort Estimation'!O70+"AM:!iK"</f>
        <v>#VALUE!</v>
      </c>
      <c r="BK24" s="99" t="e">
        <f>'Effort Estimation'!P70+"AM:!iL"</f>
        <v>#VALUE!</v>
      </c>
      <c r="BL24" s="99" t="e">
        <f>'Effort Estimation'!Q70+"AM:!iM"</f>
        <v>#VALUE!</v>
      </c>
      <c r="BM24" t="e">
        <f>'Effort Estimation'!R70+"AM:!iN"</f>
        <v>#VALUE!</v>
      </c>
      <c r="BN24" t="e">
        <f>'Effort Estimation'!S70+"AM:!iO"</f>
        <v>#VALUE!</v>
      </c>
      <c r="BO24" t="e">
        <f>'Effort Estimation'!T70+"AM:!iP"</f>
        <v>#VALUE!</v>
      </c>
      <c r="BP24" t="e">
        <f>'Effort Estimation'!A71+"AM:!iQ"</f>
        <v>#VALUE!</v>
      </c>
      <c r="BQ24" t="e">
        <f>'Effort Estimation'!B71+"AM:!iR"</f>
        <v>#VALUE!</v>
      </c>
      <c r="BR24" t="e">
        <f>'Effort Estimation'!C71+"AM:!iS"</f>
        <v>#VALUE!</v>
      </c>
      <c r="BS24" t="e">
        <f>'Effort Estimation'!D71+"AM:!iT"</f>
        <v>#VALUE!</v>
      </c>
      <c r="BT24" t="e">
        <f>'Effort Estimation'!E71+"AM:!iU"</f>
        <v>#VALUE!</v>
      </c>
      <c r="BU24" t="e">
        <f>'Effort Estimation'!F71+"AM:!iV"</f>
        <v>#VALUE!</v>
      </c>
      <c r="BV24" t="e">
        <f>'Effort Estimation'!G71+"AM:!iW"</f>
        <v>#VALUE!</v>
      </c>
      <c r="BW24" t="e">
        <f>'Effort Estimation'!H71+"AM:!iX"</f>
        <v>#VALUE!</v>
      </c>
      <c r="BX24" t="e">
        <f>'Effort Estimation'!I71+"AM:!iY"</f>
        <v>#VALUE!</v>
      </c>
      <c r="BY24" s="99" t="e">
        <f>'Effort Estimation'!J71+"AM:!iZ"</f>
        <v>#VALUE!</v>
      </c>
      <c r="BZ24" s="99" t="e">
        <f>'Effort Estimation'!K71+"AM:!i["</f>
        <v>#VALUE!</v>
      </c>
      <c r="CA24" s="99" t="e">
        <f>'Effort Estimation'!L71+"AM:!i\"</f>
        <v>#VALUE!</v>
      </c>
      <c r="CB24" s="99" t="e">
        <f>'Effort Estimation'!M71+"AM:!i]"</f>
        <v>#VALUE!</v>
      </c>
      <c r="CC24" s="99" t="e">
        <f>'Effort Estimation'!N71+"AM:!i^"</f>
        <v>#VALUE!</v>
      </c>
      <c r="CD24" s="99" t="e">
        <f>'Effort Estimation'!O71+"AM:!i_"</f>
        <v>#VALUE!</v>
      </c>
      <c r="CE24" s="99" t="e">
        <f>'Effort Estimation'!P71+"AM:!i`"</f>
        <v>#VALUE!</v>
      </c>
      <c r="CF24" s="99" t="e">
        <f>'Effort Estimation'!Q71+"AM:!ia"</f>
        <v>#VALUE!</v>
      </c>
      <c r="CG24" t="e">
        <f>'Effort Estimation'!R71+"AM:!ib"</f>
        <v>#VALUE!</v>
      </c>
      <c r="CH24" t="e">
        <f>'Effort Estimation'!S71+"AM:!ic"</f>
        <v>#VALUE!</v>
      </c>
      <c r="CI24" t="e">
        <f>'Effort Estimation'!T71+"AM:!id"</f>
        <v>#VALUE!</v>
      </c>
      <c r="CJ24" t="e">
        <f>'Effort Estimation'!A72+"AM:!ie"</f>
        <v>#VALUE!</v>
      </c>
      <c r="CK24" t="e">
        <f>'Effort Estimation'!B72+"AM:!if"</f>
        <v>#VALUE!</v>
      </c>
      <c r="CL24" t="e">
        <f>'Effort Estimation'!C72+"AM:!ig"</f>
        <v>#VALUE!</v>
      </c>
      <c r="CM24" t="e">
        <f>'Effort Estimation'!D72+"AM:!ih"</f>
        <v>#VALUE!</v>
      </c>
      <c r="CN24" t="e">
        <f>'Effort Estimation'!E72+"AM:!ii"</f>
        <v>#VALUE!</v>
      </c>
      <c r="CO24" t="e">
        <f>'Effort Estimation'!F72+"AM:!ij"</f>
        <v>#VALUE!</v>
      </c>
      <c r="CP24" t="e">
        <f>'Effort Estimation'!G72+"AM:!ik"</f>
        <v>#VALUE!</v>
      </c>
      <c r="CQ24" t="e">
        <f>'Effort Estimation'!H72+"AM:!il"</f>
        <v>#VALUE!</v>
      </c>
      <c r="CR24" t="e">
        <f>'Effort Estimation'!I72+"AM:!im"</f>
        <v>#VALUE!</v>
      </c>
      <c r="CS24" s="99" t="e">
        <f>'Effort Estimation'!J72+"AM:!in"</f>
        <v>#VALUE!</v>
      </c>
      <c r="CT24" s="99" t="e">
        <f>'Effort Estimation'!K72+"AM:!io"</f>
        <v>#VALUE!</v>
      </c>
      <c r="CU24" s="99" t="e">
        <f>'Effort Estimation'!L72+"AM:!ip"</f>
        <v>#VALUE!</v>
      </c>
      <c r="CV24" s="99" t="e">
        <f>'Effort Estimation'!M72+"AM:!iq"</f>
        <v>#VALUE!</v>
      </c>
      <c r="CW24" s="99" t="e">
        <f>'Effort Estimation'!N72+"AM:!ir"</f>
        <v>#VALUE!</v>
      </c>
      <c r="CX24" s="99" t="e">
        <f>'Effort Estimation'!O72+"AM:!is"</f>
        <v>#VALUE!</v>
      </c>
      <c r="CY24" s="99" t="e">
        <f>'Effort Estimation'!P72+"AM:!it"</f>
        <v>#VALUE!</v>
      </c>
      <c r="CZ24" s="99" t="e">
        <f>'Effort Estimation'!Q72+"AM:!iu"</f>
        <v>#VALUE!</v>
      </c>
      <c r="DA24" t="e">
        <f>'Effort Estimation'!R72+"AM:!iv"</f>
        <v>#VALUE!</v>
      </c>
      <c r="DB24" t="e">
        <f>'Effort Estimation'!S72+"AM:!iw"</f>
        <v>#VALUE!</v>
      </c>
      <c r="DC24" t="e">
        <f>'Effort Estimation'!T72+"AM:!ix"</f>
        <v>#VALUE!</v>
      </c>
      <c r="DD24" t="e">
        <f>'Effort Estimation'!A73+"AM:!iy"</f>
        <v>#VALUE!</v>
      </c>
      <c r="DE24" t="e">
        <f>'Effort Estimation'!B73+"AM:!iz"</f>
        <v>#VALUE!</v>
      </c>
      <c r="DF24" t="e">
        <f>'Effort Estimation'!C73+"AM:!i{"</f>
        <v>#VALUE!</v>
      </c>
      <c r="DG24" t="e">
        <f>'Effort Estimation'!D73+"AM:!i|"</f>
        <v>#VALUE!</v>
      </c>
      <c r="DH24" t="e">
        <f>'Effort Estimation'!E73+"AM:!i}"</f>
        <v>#VALUE!</v>
      </c>
      <c r="DI24" t="e">
        <f>'Effort Estimation'!F73+"AM:!i~"</f>
        <v>#VALUE!</v>
      </c>
      <c r="DJ24" t="e">
        <f>'Effort Estimation'!G73+"AM:!j#"</f>
        <v>#VALUE!</v>
      </c>
      <c r="DK24" t="e">
        <f>'Effort Estimation'!H73+"AM:!j$"</f>
        <v>#VALUE!</v>
      </c>
      <c r="DL24" t="e">
        <f>'Effort Estimation'!I73+"AM:!j%"</f>
        <v>#VALUE!</v>
      </c>
      <c r="DM24" s="99" t="e">
        <f>'Effort Estimation'!J73+"AM:!j&amp;"</f>
        <v>#VALUE!</v>
      </c>
      <c r="DN24" s="99" t="e">
        <f>'Effort Estimation'!K73+"AM:!j'"</f>
        <v>#VALUE!</v>
      </c>
      <c r="DO24" s="99" t="e">
        <f>'Effort Estimation'!L73+"AM:!j("</f>
        <v>#VALUE!</v>
      </c>
      <c r="DP24" s="99" t="e">
        <f>'Effort Estimation'!M73+"AM:!j)"</f>
        <v>#VALUE!</v>
      </c>
      <c r="DQ24" s="99" t="e">
        <f>'Effort Estimation'!N73+"AM:!j."</f>
        <v>#VALUE!</v>
      </c>
      <c r="DR24" s="99" t="e">
        <f>'Effort Estimation'!O73+"AM:!j/"</f>
        <v>#VALUE!</v>
      </c>
      <c r="DS24" s="99" t="e">
        <f>'Effort Estimation'!P73+"AM:!j0"</f>
        <v>#VALUE!</v>
      </c>
      <c r="DT24" s="99" t="e">
        <f>'Effort Estimation'!Q73+"AM:!j1"</f>
        <v>#VALUE!</v>
      </c>
      <c r="DU24" t="e">
        <f>'Effort Estimation'!R73+"AM:!j2"</f>
        <v>#VALUE!</v>
      </c>
      <c r="DV24" t="e">
        <f>'Effort Estimation'!S73+"AM:!j3"</f>
        <v>#VALUE!</v>
      </c>
      <c r="DW24" t="e">
        <f>'Effort Estimation'!T73+"AM:!j4"</f>
        <v>#VALUE!</v>
      </c>
      <c r="DX24" t="e">
        <f>'Effort Estimation'!A74+"AM:!j5"</f>
        <v>#VALUE!</v>
      </c>
      <c r="DY24" t="e">
        <f>'Effort Estimation'!B74+"AM:!j6"</f>
        <v>#VALUE!</v>
      </c>
      <c r="DZ24" t="e">
        <f>'Effort Estimation'!C74+"AM:!j7"</f>
        <v>#VALUE!</v>
      </c>
      <c r="EA24" t="e">
        <f>'Effort Estimation'!D74+"AM:!j8"</f>
        <v>#VALUE!</v>
      </c>
      <c r="EB24" t="e">
        <f>'Effort Estimation'!E74+"AM:!j9"</f>
        <v>#VALUE!</v>
      </c>
      <c r="EC24" t="e">
        <f>'Effort Estimation'!F74+"AM:!j:"</f>
        <v>#VALUE!</v>
      </c>
      <c r="ED24" t="e">
        <f>'Effort Estimation'!G74+"AM:!j;"</f>
        <v>#VALUE!</v>
      </c>
      <c r="EE24" t="e">
        <f>'Effort Estimation'!H74+"AM:!j&lt;"</f>
        <v>#VALUE!</v>
      </c>
      <c r="EF24" t="e">
        <f>'Effort Estimation'!I74+"AM:!j="</f>
        <v>#VALUE!</v>
      </c>
      <c r="EG24" s="99" t="e">
        <f>'Effort Estimation'!J74+"AM:!j&gt;"</f>
        <v>#VALUE!</v>
      </c>
      <c r="EH24" s="99" t="e">
        <f>'Effort Estimation'!K74+"AM:!j?"</f>
        <v>#VALUE!</v>
      </c>
      <c r="EI24" s="99" t="e">
        <f>'Effort Estimation'!L74+"AM:!j@"</f>
        <v>#VALUE!</v>
      </c>
      <c r="EJ24" s="99" t="e">
        <f>'Effort Estimation'!M74+"AM:!jA"</f>
        <v>#VALUE!</v>
      </c>
      <c r="EK24" s="99" t="e">
        <f>'Effort Estimation'!N74+"AM:!jB"</f>
        <v>#VALUE!</v>
      </c>
      <c r="EL24" s="99" t="e">
        <f>'Effort Estimation'!O74+"AM:!jC"</f>
        <v>#VALUE!</v>
      </c>
      <c r="EM24" s="99" t="e">
        <f>'Effort Estimation'!P74+"AM:!jD"</f>
        <v>#VALUE!</v>
      </c>
      <c r="EN24" s="99" t="e">
        <f>'Effort Estimation'!Q74+"AM:!jE"</f>
        <v>#VALUE!</v>
      </c>
      <c r="EO24" t="e">
        <f>'Effort Estimation'!R74+"AM:!jF"</f>
        <v>#VALUE!</v>
      </c>
      <c r="EP24" t="e">
        <f>'Effort Estimation'!S74+"AM:!jG"</f>
        <v>#VALUE!</v>
      </c>
      <c r="EQ24" t="e">
        <f>'Effort Estimation'!T74+"AM:!jH"</f>
        <v>#VALUE!</v>
      </c>
      <c r="ER24" t="e">
        <f>'Effort Estimation'!A75+"AM:!jI"</f>
        <v>#VALUE!</v>
      </c>
      <c r="ES24" t="e">
        <f>'Effort Estimation'!B75+"AM:!jJ"</f>
        <v>#VALUE!</v>
      </c>
      <c r="ET24" t="e">
        <f>'Effort Estimation'!C75+"AM:!jK"</f>
        <v>#VALUE!</v>
      </c>
      <c r="EU24" t="e">
        <f>'Effort Estimation'!D75+"AM:!jL"</f>
        <v>#VALUE!</v>
      </c>
      <c r="EV24" t="e">
        <f>'Effort Estimation'!E75+"AM:!jM"</f>
        <v>#VALUE!</v>
      </c>
      <c r="EW24" t="e">
        <f>'Effort Estimation'!F75+"AM:!jN"</f>
        <v>#VALUE!</v>
      </c>
      <c r="EX24" t="e">
        <f>'Effort Estimation'!G75+"AM:!jO"</f>
        <v>#VALUE!</v>
      </c>
      <c r="EY24" t="e">
        <f>'Effort Estimation'!H75+"AM:!jP"</f>
        <v>#VALUE!</v>
      </c>
      <c r="EZ24" t="e">
        <f>'Effort Estimation'!I75+"AM:!jQ"</f>
        <v>#VALUE!</v>
      </c>
      <c r="FA24" s="99" t="e">
        <f>'Effort Estimation'!J75+"AM:!jR"</f>
        <v>#VALUE!</v>
      </c>
      <c r="FB24" s="99" t="e">
        <f>'Effort Estimation'!K75+"AM:!jS"</f>
        <v>#VALUE!</v>
      </c>
      <c r="FC24" s="99" t="e">
        <f>'Effort Estimation'!L75+"AM:!jT"</f>
        <v>#VALUE!</v>
      </c>
      <c r="FD24" s="99" t="e">
        <f>'Effort Estimation'!M75+"AM:!jU"</f>
        <v>#VALUE!</v>
      </c>
      <c r="FE24" s="99" t="e">
        <f>'Effort Estimation'!N75+"AM:!jV"</f>
        <v>#VALUE!</v>
      </c>
      <c r="FF24" s="99" t="e">
        <f>'Effort Estimation'!O75+"AM:!jW"</f>
        <v>#VALUE!</v>
      </c>
      <c r="FG24" s="99" t="e">
        <f>'Effort Estimation'!P75+"AM:!jX"</f>
        <v>#VALUE!</v>
      </c>
      <c r="FH24" s="99" t="e">
        <f>'Effort Estimation'!Q75+"AM:!jY"</f>
        <v>#VALUE!</v>
      </c>
      <c r="FI24" t="e">
        <f>'Effort Estimation'!R75+"AM:!jZ"</f>
        <v>#VALUE!</v>
      </c>
      <c r="FJ24" t="e">
        <f>'Effort Estimation'!S75+"AM:!j["</f>
        <v>#VALUE!</v>
      </c>
      <c r="FK24" t="e">
        <f>'Effort Estimation'!T75+"AM:!j\"</f>
        <v>#VALUE!</v>
      </c>
      <c r="FL24" t="e">
        <f>'Effort Estimation'!A76+"AM:!j]"</f>
        <v>#VALUE!</v>
      </c>
      <c r="FM24" t="e">
        <f>'Effort Estimation'!B76+"AM:!j^"</f>
        <v>#VALUE!</v>
      </c>
      <c r="FN24" t="e">
        <f>'Effort Estimation'!C76+"AM:!j_"</f>
        <v>#VALUE!</v>
      </c>
      <c r="FO24" t="e">
        <f>'Effort Estimation'!D76+"AM:!j`"</f>
        <v>#VALUE!</v>
      </c>
      <c r="FP24" t="e">
        <f>'Effort Estimation'!E76+"AM:!ja"</f>
        <v>#VALUE!</v>
      </c>
      <c r="FQ24" t="e">
        <f>'Effort Estimation'!F76+"AM:!jb"</f>
        <v>#VALUE!</v>
      </c>
      <c r="FR24" t="e">
        <f>'Effort Estimation'!G76+"AM:!jc"</f>
        <v>#VALUE!</v>
      </c>
      <c r="FS24" t="e">
        <f>'Effort Estimation'!H76+"AM:!jd"</f>
        <v>#VALUE!</v>
      </c>
      <c r="FT24" t="e">
        <f>'Effort Estimation'!I76+"AM:!je"</f>
        <v>#VALUE!</v>
      </c>
      <c r="FU24" s="99" t="e">
        <f>'Effort Estimation'!J76+"AM:!jf"</f>
        <v>#VALUE!</v>
      </c>
      <c r="FV24" s="99" t="e">
        <f>'Effort Estimation'!K76+"AM:!jg"</f>
        <v>#VALUE!</v>
      </c>
      <c r="FW24" s="99" t="e">
        <f>'Effort Estimation'!L76+"AM:!jh"</f>
        <v>#VALUE!</v>
      </c>
      <c r="FX24" s="99" t="e">
        <f>'Effort Estimation'!M76+"AM:!ji"</f>
        <v>#VALUE!</v>
      </c>
      <c r="FY24" s="99" t="e">
        <f>'Effort Estimation'!N76+"AM:!jj"</f>
        <v>#VALUE!</v>
      </c>
      <c r="FZ24" s="99" t="e">
        <f>'Effort Estimation'!O76+"AM:!jk"</f>
        <v>#VALUE!</v>
      </c>
      <c r="GA24" s="99" t="e">
        <f>'Effort Estimation'!P76+"AM:!jl"</f>
        <v>#VALUE!</v>
      </c>
      <c r="GB24" s="99" t="e">
        <f>'Effort Estimation'!Q76+"AM:!jm"</f>
        <v>#VALUE!</v>
      </c>
      <c r="GC24" t="e">
        <f>'Effort Estimation'!R76+"AM:!jn"</f>
        <v>#VALUE!</v>
      </c>
      <c r="GD24" t="e">
        <f>'Effort Estimation'!S76+"AM:!jo"</f>
        <v>#VALUE!</v>
      </c>
      <c r="GE24" t="e">
        <f>'Effort Estimation'!T76+"AM:!jp"</f>
        <v>#VALUE!</v>
      </c>
      <c r="GF24" t="e">
        <f>'Effort Estimation'!A77+"AM:!jq"</f>
        <v>#VALUE!</v>
      </c>
      <c r="GG24" t="e">
        <f>'Effort Estimation'!B77+"AM:!jr"</f>
        <v>#VALUE!</v>
      </c>
      <c r="GH24" t="e">
        <f>'Effort Estimation'!C77+"AM:!js"</f>
        <v>#VALUE!</v>
      </c>
      <c r="GI24" t="e">
        <f>'Effort Estimation'!D77+"AM:!jt"</f>
        <v>#VALUE!</v>
      </c>
      <c r="GJ24" t="e">
        <f>'Effort Estimation'!E77+"AM:!ju"</f>
        <v>#VALUE!</v>
      </c>
      <c r="GK24" t="e">
        <f>'Effort Estimation'!F77+"AM:!jv"</f>
        <v>#VALUE!</v>
      </c>
      <c r="GL24" t="e">
        <f>'Effort Estimation'!G77+"AM:!jw"</f>
        <v>#VALUE!</v>
      </c>
      <c r="GM24" t="e">
        <f>'Effort Estimation'!H77+"AM:!jx"</f>
        <v>#VALUE!</v>
      </c>
      <c r="GN24" t="e">
        <f>'Effort Estimation'!I77+"AM:!jy"</f>
        <v>#VALUE!</v>
      </c>
      <c r="GO24" s="99" t="e">
        <f>'Effort Estimation'!J77+"AM:!jz"</f>
        <v>#VALUE!</v>
      </c>
      <c r="GP24" s="99" t="e">
        <f>'Effort Estimation'!K77+"AM:!j{"</f>
        <v>#VALUE!</v>
      </c>
      <c r="GQ24" s="99" t="e">
        <f>'Effort Estimation'!L77+"AM:!j|"</f>
        <v>#VALUE!</v>
      </c>
      <c r="GR24" s="99" t="e">
        <f>'Effort Estimation'!M77+"AM:!j}"</f>
        <v>#VALUE!</v>
      </c>
      <c r="GS24" s="99" t="e">
        <f>'Effort Estimation'!N77+"AM:!j~"</f>
        <v>#VALUE!</v>
      </c>
      <c r="GT24" s="99" t="e">
        <f>'Effort Estimation'!O77+"AM:!k#"</f>
        <v>#VALUE!</v>
      </c>
      <c r="GU24" s="99" t="e">
        <f>'Effort Estimation'!P77+"AM:!k$"</f>
        <v>#VALUE!</v>
      </c>
      <c r="GV24" s="99" t="e">
        <f>'Effort Estimation'!Q77+"AM:!k%"</f>
        <v>#VALUE!</v>
      </c>
      <c r="GW24" t="e">
        <f>'Effort Estimation'!R77+"AM:!k&amp;"</f>
        <v>#VALUE!</v>
      </c>
      <c r="GX24" t="e">
        <f>'Effort Estimation'!S77+"AM:!k'"</f>
        <v>#VALUE!</v>
      </c>
      <c r="GY24" t="e">
        <f>'Effort Estimation'!T77+"AM:!k("</f>
        <v>#VALUE!</v>
      </c>
      <c r="GZ24" t="e">
        <f>'Effort Estimation'!A78+"AM:!k)"</f>
        <v>#VALUE!</v>
      </c>
      <c r="HA24" t="e">
        <f>'Effort Estimation'!B78+"AM:!k."</f>
        <v>#VALUE!</v>
      </c>
      <c r="HB24" t="e">
        <f>'Effort Estimation'!C78+"AM:!k/"</f>
        <v>#VALUE!</v>
      </c>
      <c r="HC24" t="e">
        <f>'Effort Estimation'!D78+"AM:!k0"</f>
        <v>#VALUE!</v>
      </c>
      <c r="HD24" t="e">
        <f>'Effort Estimation'!E78+"AM:!k1"</f>
        <v>#VALUE!</v>
      </c>
      <c r="HE24" t="e">
        <f>'Effort Estimation'!F78+"AM:!k2"</f>
        <v>#VALUE!</v>
      </c>
      <c r="HF24" t="e">
        <f>'Effort Estimation'!G78+"AM:!k3"</f>
        <v>#VALUE!</v>
      </c>
      <c r="HG24" t="e">
        <f>'Effort Estimation'!H78+"AM:!k4"</f>
        <v>#VALUE!</v>
      </c>
      <c r="HH24" t="e">
        <f>'Effort Estimation'!I78+"AM:!k5"</f>
        <v>#VALUE!</v>
      </c>
      <c r="HI24" s="99" t="e">
        <f>'Effort Estimation'!J78+"AM:!k6"</f>
        <v>#VALUE!</v>
      </c>
      <c r="HJ24" s="99" t="e">
        <f>'Effort Estimation'!K78+"AM:!k7"</f>
        <v>#VALUE!</v>
      </c>
      <c r="HK24" s="99" t="e">
        <f>'Effort Estimation'!L78+"AM:!k8"</f>
        <v>#VALUE!</v>
      </c>
      <c r="HL24" s="99" t="e">
        <f>'Effort Estimation'!M78+"AM:!k9"</f>
        <v>#VALUE!</v>
      </c>
      <c r="HM24" s="99" t="e">
        <f>'Effort Estimation'!N78+"AM:!k:"</f>
        <v>#VALUE!</v>
      </c>
      <c r="HN24" s="99" t="e">
        <f>'Effort Estimation'!O78+"AM:!k;"</f>
        <v>#VALUE!</v>
      </c>
      <c r="HO24" s="99" t="e">
        <f>'Effort Estimation'!P78+"AM:!k&lt;"</f>
        <v>#VALUE!</v>
      </c>
      <c r="HP24" s="99" t="e">
        <f>'Effort Estimation'!Q78+"AM:!k="</f>
        <v>#VALUE!</v>
      </c>
      <c r="HQ24" t="e">
        <f>'Effort Estimation'!R78+"AM:!k&gt;"</f>
        <v>#VALUE!</v>
      </c>
      <c r="HR24" t="e">
        <f>'Effort Estimation'!S78+"AM:!k?"</f>
        <v>#VALUE!</v>
      </c>
      <c r="HS24" t="e">
        <f>'Effort Estimation'!T78+"AM:!k@"</f>
        <v>#VALUE!</v>
      </c>
      <c r="HT24" t="e">
        <f>'Effort Estimation'!A79+"AM:!kA"</f>
        <v>#VALUE!</v>
      </c>
      <c r="HU24" t="e">
        <f>'Effort Estimation'!B79+"AM:!kB"</f>
        <v>#VALUE!</v>
      </c>
      <c r="HV24" t="e">
        <f>'Effort Estimation'!C79+"AM:!kC"</f>
        <v>#VALUE!</v>
      </c>
      <c r="HW24" t="e">
        <f>'Effort Estimation'!D79+"AM:!kD"</f>
        <v>#VALUE!</v>
      </c>
      <c r="HX24" t="e">
        <f>'Effort Estimation'!E79+"AM:!kE"</f>
        <v>#VALUE!</v>
      </c>
      <c r="HY24" t="e">
        <f>'Effort Estimation'!F79+"AM:!kF"</f>
        <v>#VALUE!</v>
      </c>
      <c r="HZ24" t="e">
        <f>'Effort Estimation'!G79+"AM:!kG"</f>
        <v>#VALUE!</v>
      </c>
      <c r="IA24" t="e">
        <f>'Effort Estimation'!H79+"AM:!kH"</f>
        <v>#VALUE!</v>
      </c>
      <c r="IB24" t="e">
        <f>'Effort Estimation'!I79+"AM:!kI"</f>
        <v>#VALUE!</v>
      </c>
      <c r="IC24" s="99" t="e">
        <f>'Effort Estimation'!J79+"AM:!kJ"</f>
        <v>#VALUE!</v>
      </c>
      <c r="ID24" s="99" t="e">
        <f>'Effort Estimation'!K79+"AM:!kK"</f>
        <v>#VALUE!</v>
      </c>
      <c r="IE24" s="99" t="e">
        <f>'Effort Estimation'!L79+"AM:!kL"</f>
        <v>#VALUE!</v>
      </c>
      <c r="IF24" s="99" t="e">
        <f>'Effort Estimation'!M79+"AM:!kM"</f>
        <v>#VALUE!</v>
      </c>
      <c r="IG24" s="99" t="e">
        <f>'Effort Estimation'!N79+"AM:!kN"</f>
        <v>#VALUE!</v>
      </c>
      <c r="IH24" s="99" t="e">
        <f>'Effort Estimation'!O79+"AM:!kO"</f>
        <v>#VALUE!</v>
      </c>
      <c r="II24" s="99" t="e">
        <f>'Effort Estimation'!P79+"AM:!kP"</f>
        <v>#VALUE!</v>
      </c>
      <c r="IJ24" s="99" t="e">
        <f>'Effort Estimation'!Q79+"AM:!kQ"</f>
        <v>#VALUE!</v>
      </c>
      <c r="IK24" t="e">
        <f>'Effort Estimation'!R79+"AM:!kR"</f>
        <v>#VALUE!</v>
      </c>
      <c r="IL24" t="e">
        <f>'Effort Estimation'!S79+"AM:!kS"</f>
        <v>#VALUE!</v>
      </c>
      <c r="IM24" t="e">
        <f>'Effort Estimation'!T79+"AM:!kT"</f>
        <v>#VALUE!</v>
      </c>
      <c r="IN24" t="e">
        <f>'Effort Estimation'!A80+"AM:!kU"</f>
        <v>#VALUE!</v>
      </c>
      <c r="IO24" t="e">
        <f>'Effort Estimation'!B80+"AM:!kV"</f>
        <v>#VALUE!</v>
      </c>
      <c r="IP24" t="e">
        <f>'Effort Estimation'!C80+"AM:!kW"</f>
        <v>#VALUE!</v>
      </c>
      <c r="IQ24" t="e">
        <f>'Effort Estimation'!D80+"AM:!kX"</f>
        <v>#VALUE!</v>
      </c>
      <c r="IR24" t="e">
        <f>'Effort Estimation'!E80+"AM:!kY"</f>
        <v>#VALUE!</v>
      </c>
      <c r="IS24" t="e">
        <f>'Effort Estimation'!F80+"AM:!kZ"</f>
        <v>#VALUE!</v>
      </c>
      <c r="IT24" t="e">
        <f>'Effort Estimation'!G80+"AM:!k["</f>
        <v>#VALUE!</v>
      </c>
      <c r="IU24" t="e">
        <f>'Effort Estimation'!H80+"AM:!k\"</f>
        <v>#VALUE!</v>
      </c>
      <c r="IV24" t="e">
        <f>'Effort Estimation'!I80+"AM:!k]"</f>
        <v>#VALUE!</v>
      </c>
    </row>
    <row r="25" spans="6:256">
      <c r="F25" s="99" t="e">
        <f>'Effort Estimation'!J80+"AM:!k^"</f>
        <v>#VALUE!</v>
      </c>
      <c r="G25" s="99" t="e">
        <f>'Effort Estimation'!K80+"AM:!k_"</f>
        <v>#VALUE!</v>
      </c>
      <c r="H25" s="99" t="e">
        <f>'Effort Estimation'!L80+"AM:!k`"</f>
        <v>#VALUE!</v>
      </c>
      <c r="I25" s="99" t="e">
        <f>'Effort Estimation'!M80+"AM:!ka"</f>
        <v>#VALUE!</v>
      </c>
      <c r="J25" s="99" t="e">
        <f>'Effort Estimation'!N80+"AM:!kb"</f>
        <v>#VALUE!</v>
      </c>
      <c r="K25" s="99" t="e">
        <f>'Effort Estimation'!O80+"AM:!kc"</f>
        <v>#VALUE!</v>
      </c>
      <c r="L25" s="99" t="e">
        <f>'Effort Estimation'!P80+"AM:!kd"</f>
        <v>#VALUE!</v>
      </c>
      <c r="M25" s="99" t="e">
        <f>'Effort Estimation'!Q80+"AM:!ke"</f>
        <v>#VALUE!</v>
      </c>
      <c r="N25" t="e">
        <f>'Effort Estimation'!R80+"AM:!kf"</f>
        <v>#VALUE!</v>
      </c>
      <c r="O25" t="e">
        <f>'Effort Estimation'!S80+"AM:!kg"</f>
        <v>#VALUE!</v>
      </c>
      <c r="P25" t="e">
        <f>'Effort Estimation'!T80+"AM:!kh"</f>
        <v>#VALUE!</v>
      </c>
      <c r="Q25" t="e">
        <f>'Effort Estimation'!A81+"AM:!ki"</f>
        <v>#VALUE!</v>
      </c>
      <c r="R25" t="e">
        <f>'Effort Estimation'!B81+"AM:!kj"</f>
        <v>#VALUE!</v>
      </c>
      <c r="S25" t="e">
        <f>'Effort Estimation'!C81+"AM:!kk"</f>
        <v>#VALUE!</v>
      </c>
      <c r="T25" t="e">
        <f>'Effort Estimation'!D81+"AM:!kl"</f>
        <v>#VALUE!</v>
      </c>
      <c r="U25" t="e">
        <f>'Effort Estimation'!E81+"AM:!km"</f>
        <v>#VALUE!</v>
      </c>
      <c r="V25" t="e">
        <f>'Effort Estimation'!F81+"AM:!kn"</f>
        <v>#VALUE!</v>
      </c>
      <c r="W25" t="e">
        <f>'Effort Estimation'!G81+"AM:!ko"</f>
        <v>#VALUE!</v>
      </c>
      <c r="X25" t="e">
        <f>'Effort Estimation'!H81+"AM:!kp"</f>
        <v>#VALUE!</v>
      </c>
      <c r="Y25" t="e">
        <f>'Effort Estimation'!I81+"AM:!kq"</f>
        <v>#VALUE!</v>
      </c>
      <c r="Z25" s="99" t="e">
        <f>'Effort Estimation'!J81+"AM:!kr"</f>
        <v>#VALUE!</v>
      </c>
      <c r="AA25" s="99" t="e">
        <f>'Effort Estimation'!K81+"AM:!ks"</f>
        <v>#VALUE!</v>
      </c>
      <c r="AB25" s="99" t="e">
        <f>'Effort Estimation'!L81+"AM:!kt"</f>
        <v>#VALUE!</v>
      </c>
      <c r="AC25" s="99" t="e">
        <f>'Effort Estimation'!M81+"AM:!ku"</f>
        <v>#VALUE!</v>
      </c>
      <c r="AD25" s="99" t="e">
        <f>'Effort Estimation'!N81+"AM:!kv"</f>
        <v>#VALUE!</v>
      </c>
      <c r="AE25" s="99" t="e">
        <f>'Effort Estimation'!O81+"AM:!kw"</f>
        <v>#VALUE!</v>
      </c>
      <c r="AF25" s="99" t="e">
        <f>'Effort Estimation'!P81+"AM:!kx"</f>
        <v>#VALUE!</v>
      </c>
      <c r="AG25" s="99" t="e">
        <f>'Effort Estimation'!Q81+"AM:!ky"</f>
        <v>#VALUE!</v>
      </c>
      <c r="AH25" t="e">
        <f>'Effort Estimation'!R81+"AM:!kz"</f>
        <v>#VALUE!</v>
      </c>
      <c r="AI25" t="e">
        <f>'Effort Estimation'!S81+"AM:!k{"</f>
        <v>#VALUE!</v>
      </c>
      <c r="AJ25" t="e">
        <f>'Effort Estimation'!T81+"AM:!k|"</f>
        <v>#VALUE!</v>
      </c>
      <c r="AK25" t="e">
        <f>'Effort Estimation'!A82+"AM:!k}"</f>
        <v>#VALUE!</v>
      </c>
      <c r="AL25" t="e">
        <f>'Effort Estimation'!B82+"AM:!k~"</f>
        <v>#VALUE!</v>
      </c>
      <c r="AM25" t="e">
        <f>'Effort Estimation'!C82+"AM:!l#"</f>
        <v>#VALUE!</v>
      </c>
      <c r="AN25" t="e">
        <f>'Effort Estimation'!D82+"AM:!l$"</f>
        <v>#VALUE!</v>
      </c>
      <c r="AO25" t="e">
        <f>'Effort Estimation'!E82+"AM:!l%"</f>
        <v>#VALUE!</v>
      </c>
      <c r="AP25" t="e">
        <f>'Effort Estimation'!F82+"AM:!l&amp;"</f>
        <v>#VALUE!</v>
      </c>
      <c r="AQ25" t="e">
        <f>'Effort Estimation'!G82+"AM:!l'"</f>
        <v>#VALUE!</v>
      </c>
      <c r="AR25" t="e">
        <f>'Effort Estimation'!H82+"AM:!l("</f>
        <v>#VALUE!</v>
      </c>
      <c r="AS25" t="e">
        <f>'Effort Estimation'!I82+"AM:!l)"</f>
        <v>#VALUE!</v>
      </c>
      <c r="AT25" s="99" t="e">
        <f>'Effort Estimation'!J82+"AM:!l."</f>
        <v>#VALUE!</v>
      </c>
      <c r="AU25" s="99" t="e">
        <f>'Effort Estimation'!K82+"AM:!l/"</f>
        <v>#VALUE!</v>
      </c>
      <c r="AV25" s="99" t="e">
        <f>'Effort Estimation'!L82+"AM:!l0"</f>
        <v>#VALUE!</v>
      </c>
      <c r="AW25" s="99" t="e">
        <f>'Effort Estimation'!M82+"AM:!l1"</f>
        <v>#VALUE!</v>
      </c>
      <c r="AX25" s="99" t="e">
        <f>'Effort Estimation'!N82+"AM:!l2"</f>
        <v>#VALUE!</v>
      </c>
      <c r="AY25" s="99" t="e">
        <f>'Effort Estimation'!O82+"AM:!l3"</f>
        <v>#VALUE!</v>
      </c>
      <c r="AZ25" s="99" t="e">
        <f>'Effort Estimation'!P82+"AM:!l4"</f>
        <v>#VALUE!</v>
      </c>
      <c r="BA25" s="99" t="e">
        <f>'Effort Estimation'!Q82+"AM:!l5"</f>
        <v>#VALUE!</v>
      </c>
      <c r="BB25" t="e">
        <f>'Effort Estimation'!R82+"AM:!l6"</f>
        <v>#VALUE!</v>
      </c>
      <c r="BC25" t="e">
        <f>'Effort Estimation'!S82+"AM:!l7"</f>
        <v>#VALUE!</v>
      </c>
      <c r="BD25" t="e">
        <f>'Effort Estimation'!T82+"AM:!l8"</f>
        <v>#VALUE!</v>
      </c>
      <c r="BE25" t="e">
        <f>'Effort Estimation'!A83+"AM:!l9"</f>
        <v>#VALUE!</v>
      </c>
      <c r="BF25" t="e">
        <f>'Effort Estimation'!B83+"AM:!l:"</f>
        <v>#VALUE!</v>
      </c>
      <c r="BG25" t="e">
        <f>'Effort Estimation'!C83+"AM:!l;"</f>
        <v>#VALUE!</v>
      </c>
      <c r="BH25" t="e">
        <f>'Effort Estimation'!D83+"AM:!l&lt;"</f>
        <v>#VALUE!</v>
      </c>
      <c r="BI25" t="e">
        <f>'Effort Estimation'!E83+"AM:!l="</f>
        <v>#VALUE!</v>
      </c>
      <c r="BJ25" t="e">
        <f>'Effort Estimation'!F83+"AM:!l&gt;"</f>
        <v>#VALUE!</v>
      </c>
      <c r="BK25" t="e">
        <f>'Effort Estimation'!G83+"AM:!l?"</f>
        <v>#VALUE!</v>
      </c>
      <c r="BL25" t="e">
        <f>'Effort Estimation'!H83+"AM:!l@"</f>
        <v>#VALUE!</v>
      </c>
      <c r="BM25" t="e">
        <f>'Effort Estimation'!I83+"AM:!lA"</f>
        <v>#VALUE!</v>
      </c>
      <c r="BN25" s="99" t="e">
        <f>'Effort Estimation'!J83+"AM:!lB"</f>
        <v>#VALUE!</v>
      </c>
      <c r="BO25" s="99" t="e">
        <f>'Effort Estimation'!K83+"AM:!lC"</f>
        <v>#VALUE!</v>
      </c>
      <c r="BP25" s="99" t="e">
        <f>'Effort Estimation'!L83+"AM:!lD"</f>
        <v>#VALUE!</v>
      </c>
      <c r="BQ25" s="99" t="e">
        <f>'Effort Estimation'!M83+"AM:!lE"</f>
        <v>#VALUE!</v>
      </c>
      <c r="BR25" s="99" t="e">
        <f>'Effort Estimation'!N83+"AM:!lF"</f>
        <v>#VALUE!</v>
      </c>
      <c r="BS25" s="99" t="e">
        <f>'Effort Estimation'!O83+"AM:!lG"</f>
        <v>#VALUE!</v>
      </c>
      <c r="BT25" s="99" t="e">
        <f>'Effort Estimation'!P83+"AM:!lH"</f>
        <v>#VALUE!</v>
      </c>
      <c r="BU25" s="99" t="e">
        <f>'Effort Estimation'!Q83+"AM:!lI"</f>
        <v>#VALUE!</v>
      </c>
      <c r="BV25" t="e">
        <f>'Effort Estimation'!R83+"AM:!lJ"</f>
        <v>#VALUE!</v>
      </c>
      <c r="BW25" t="e">
        <f>'Effort Estimation'!S83+"AM:!lK"</f>
        <v>#VALUE!</v>
      </c>
      <c r="BX25" t="e">
        <f>'Effort Estimation'!T83+"AM:!lL"</f>
        <v>#VALUE!</v>
      </c>
      <c r="BY25" t="e">
        <f>'Effort Estimation'!A84+"AM:!lM"</f>
        <v>#VALUE!</v>
      </c>
      <c r="BZ25" t="e">
        <f>'Effort Estimation'!B84+"AM:!lN"</f>
        <v>#VALUE!</v>
      </c>
      <c r="CA25" t="e">
        <f>'Effort Estimation'!C84+"AM:!lO"</f>
        <v>#VALUE!</v>
      </c>
      <c r="CB25" t="e">
        <f>'Effort Estimation'!D84+"AM:!lP"</f>
        <v>#VALUE!</v>
      </c>
      <c r="CC25" t="e">
        <f>'Effort Estimation'!E84+"AM:!lQ"</f>
        <v>#VALUE!</v>
      </c>
      <c r="CD25" t="e">
        <f>'Effort Estimation'!F84+"AM:!lR"</f>
        <v>#VALUE!</v>
      </c>
      <c r="CE25" t="e">
        <f>'Effort Estimation'!G84+"AM:!lS"</f>
        <v>#VALUE!</v>
      </c>
      <c r="CF25" t="e">
        <f>'Effort Estimation'!H84+"AM:!lT"</f>
        <v>#VALUE!</v>
      </c>
      <c r="CG25" t="e">
        <f>'Effort Estimation'!I84+"AM:!lU"</f>
        <v>#VALUE!</v>
      </c>
      <c r="CH25" s="99" t="e">
        <f>'Effort Estimation'!J84+"AM:!lV"</f>
        <v>#VALUE!</v>
      </c>
      <c r="CI25" s="99" t="e">
        <f>'Effort Estimation'!K84+"AM:!lW"</f>
        <v>#VALUE!</v>
      </c>
      <c r="CJ25" s="99" t="e">
        <f>'Effort Estimation'!L84+"AM:!lX"</f>
        <v>#VALUE!</v>
      </c>
      <c r="CK25" s="99" t="e">
        <f>'Effort Estimation'!M84+"AM:!lY"</f>
        <v>#VALUE!</v>
      </c>
      <c r="CL25" s="99" t="e">
        <f>'Effort Estimation'!N84+"AM:!lZ"</f>
        <v>#VALUE!</v>
      </c>
      <c r="CM25" s="99" t="e">
        <f>'Effort Estimation'!O84+"AM:!l["</f>
        <v>#VALUE!</v>
      </c>
      <c r="CN25" s="99" t="e">
        <f>'Effort Estimation'!P84+"AM:!l\"</f>
        <v>#VALUE!</v>
      </c>
      <c r="CO25" s="99" t="e">
        <f>'Effort Estimation'!Q84+"AM:!l]"</f>
        <v>#VALUE!</v>
      </c>
      <c r="CP25" t="e">
        <f>'Effort Estimation'!R84+"AM:!l^"</f>
        <v>#VALUE!</v>
      </c>
      <c r="CQ25" t="e">
        <f>'Effort Estimation'!S84+"AM:!l_"</f>
        <v>#VALUE!</v>
      </c>
      <c r="CR25" t="e">
        <f>'Effort Estimation'!T84+"AM:!l`"</f>
        <v>#VALUE!</v>
      </c>
      <c r="CS25" t="e">
        <f>'Effort Estimation'!A85+"AM:!la"</f>
        <v>#VALUE!</v>
      </c>
      <c r="CT25" t="e">
        <f>'Effort Estimation'!B85+"AM:!lb"</f>
        <v>#VALUE!</v>
      </c>
      <c r="CU25" t="e">
        <f>'Effort Estimation'!C85+"AM:!lc"</f>
        <v>#VALUE!</v>
      </c>
      <c r="CV25" t="e">
        <f>'Effort Estimation'!D85+"AM:!ld"</f>
        <v>#VALUE!</v>
      </c>
      <c r="CW25" t="e">
        <f>'Effort Estimation'!E85+"AM:!le"</f>
        <v>#VALUE!</v>
      </c>
      <c r="CX25" t="e">
        <f>'Effort Estimation'!F85+"AM:!lf"</f>
        <v>#VALUE!</v>
      </c>
      <c r="CY25" t="e">
        <f>'Effort Estimation'!G85+"AM:!lg"</f>
        <v>#VALUE!</v>
      </c>
      <c r="CZ25" t="e">
        <f>'Effort Estimation'!H85+"AM:!lh"</f>
        <v>#VALUE!</v>
      </c>
      <c r="DA25" t="e">
        <f>'Effort Estimation'!I85+"AM:!li"</f>
        <v>#VALUE!</v>
      </c>
      <c r="DB25" s="99" t="e">
        <f>'Effort Estimation'!J85+"AM:!lj"</f>
        <v>#VALUE!</v>
      </c>
      <c r="DC25" s="99" t="e">
        <f>'Effort Estimation'!K85+"AM:!lk"</f>
        <v>#VALUE!</v>
      </c>
      <c r="DD25" s="99" t="e">
        <f>'Effort Estimation'!L85+"AM:!ll"</f>
        <v>#VALUE!</v>
      </c>
      <c r="DE25" s="99" t="e">
        <f>'Effort Estimation'!M85+"AM:!lm"</f>
        <v>#VALUE!</v>
      </c>
      <c r="DF25" s="99" t="e">
        <f>'Effort Estimation'!N85+"AM:!ln"</f>
        <v>#VALUE!</v>
      </c>
      <c r="DG25" s="99" t="e">
        <f>'Effort Estimation'!O85+"AM:!lo"</f>
        <v>#VALUE!</v>
      </c>
      <c r="DH25" s="99" t="e">
        <f>'Effort Estimation'!P85+"AM:!lp"</f>
        <v>#VALUE!</v>
      </c>
      <c r="DI25" s="99" t="e">
        <f>'Effort Estimation'!Q85+"AM:!lq"</f>
        <v>#VALUE!</v>
      </c>
      <c r="DJ25" t="e">
        <f>'Effort Estimation'!R85+"AM:!lr"</f>
        <v>#VALUE!</v>
      </c>
      <c r="DK25" t="e">
        <f>'Effort Estimation'!S85+"AM:!ls"</f>
        <v>#VALUE!</v>
      </c>
      <c r="DL25" t="e">
        <f>'Effort Estimation'!T85+"AM:!lt"</f>
        <v>#VALUE!</v>
      </c>
      <c r="DM25" t="e">
        <f>'Effort Estimation'!A86+"AM:!lu"</f>
        <v>#VALUE!</v>
      </c>
      <c r="DN25" t="e">
        <f>'Effort Estimation'!B86+"AM:!lv"</f>
        <v>#VALUE!</v>
      </c>
      <c r="DO25" t="e">
        <f>'Effort Estimation'!C86+"AM:!lw"</f>
        <v>#VALUE!</v>
      </c>
      <c r="DP25" t="e">
        <f>'Effort Estimation'!D86+"AM:!lx"</f>
        <v>#VALUE!</v>
      </c>
      <c r="DQ25" t="e">
        <f>'Effort Estimation'!E86+"AM:!ly"</f>
        <v>#VALUE!</v>
      </c>
      <c r="DR25" t="e">
        <f>'Effort Estimation'!F86+"AM:!lz"</f>
        <v>#VALUE!</v>
      </c>
      <c r="DS25" t="e">
        <f>'Effort Estimation'!G86+"AM:!l{"</f>
        <v>#VALUE!</v>
      </c>
      <c r="DT25" t="e">
        <f>'Effort Estimation'!H86+"AM:!l|"</f>
        <v>#VALUE!</v>
      </c>
      <c r="DU25" t="e">
        <f>'Effort Estimation'!I86+"AM:!l}"</f>
        <v>#VALUE!</v>
      </c>
      <c r="DV25" s="99" t="e">
        <f>'Effort Estimation'!J86+"AM:!l~"</f>
        <v>#VALUE!</v>
      </c>
      <c r="DW25" s="99" t="e">
        <f>'Effort Estimation'!K86+"AM:!m#"</f>
        <v>#VALUE!</v>
      </c>
      <c r="DX25" s="99" t="e">
        <f>'Effort Estimation'!L86+"AM:!m$"</f>
        <v>#VALUE!</v>
      </c>
      <c r="DY25" s="99" t="e">
        <f>'Effort Estimation'!M86+"AM:!m%"</f>
        <v>#VALUE!</v>
      </c>
      <c r="DZ25" s="99" t="e">
        <f>'Effort Estimation'!N86+"AM:!m&amp;"</f>
        <v>#VALUE!</v>
      </c>
      <c r="EA25" s="99" t="e">
        <f>'Effort Estimation'!O86+"AM:!m'"</f>
        <v>#VALUE!</v>
      </c>
      <c r="EB25" s="99" t="e">
        <f>'Effort Estimation'!P86+"AM:!m("</f>
        <v>#VALUE!</v>
      </c>
      <c r="EC25" s="99" t="e">
        <f>'Effort Estimation'!Q86+"AM:!m)"</f>
        <v>#VALUE!</v>
      </c>
      <c r="ED25" t="e">
        <f>'Effort Estimation'!R86+"AM:!m."</f>
        <v>#VALUE!</v>
      </c>
      <c r="EE25" t="e">
        <f>'Effort Estimation'!S86+"AM:!m/"</f>
        <v>#VALUE!</v>
      </c>
      <c r="EF25" t="e">
        <f>'Effort Estimation'!T86+"AM:!m0"</f>
        <v>#VALUE!</v>
      </c>
      <c r="EG25" t="e">
        <f>'Effort Estimation'!A87+"AM:!m1"</f>
        <v>#VALUE!</v>
      </c>
      <c r="EH25" t="e">
        <f>'Effort Estimation'!B87+"AM:!m2"</f>
        <v>#VALUE!</v>
      </c>
      <c r="EI25" t="e">
        <f>'Effort Estimation'!C87+"AM:!m3"</f>
        <v>#VALUE!</v>
      </c>
      <c r="EJ25" t="e">
        <f>'Effort Estimation'!D87+"AM:!m4"</f>
        <v>#VALUE!</v>
      </c>
      <c r="EK25" t="e">
        <f>'Effort Estimation'!E87+"AM:!m5"</f>
        <v>#VALUE!</v>
      </c>
      <c r="EL25" t="e">
        <f>'Effort Estimation'!F87+"AM:!m6"</f>
        <v>#VALUE!</v>
      </c>
      <c r="EM25" t="e">
        <f>'Effort Estimation'!G87+"AM:!m7"</f>
        <v>#VALUE!</v>
      </c>
      <c r="EN25" t="e">
        <f>'Effort Estimation'!H87+"AM:!m8"</f>
        <v>#VALUE!</v>
      </c>
      <c r="EO25" t="e">
        <f>'Effort Estimation'!I87+"AM:!m9"</f>
        <v>#VALUE!</v>
      </c>
      <c r="EP25" s="99" t="e">
        <f>'Effort Estimation'!J87+"AM:!m:"</f>
        <v>#VALUE!</v>
      </c>
      <c r="EQ25" s="99" t="e">
        <f>'Effort Estimation'!K87+"AM:!m;"</f>
        <v>#VALUE!</v>
      </c>
      <c r="ER25" s="99" t="e">
        <f>'Effort Estimation'!L87+"AM:!m&lt;"</f>
        <v>#VALUE!</v>
      </c>
      <c r="ES25" s="99" t="e">
        <f>'Effort Estimation'!M87+"AM:!m="</f>
        <v>#VALUE!</v>
      </c>
      <c r="ET25" s="99" t="e">
        <f>'Effort Estimation'!N87+"AM:!m&gt;"</f>
        <v>#VALUE!</v>
      </c>
      <c r="EU25" s="99" t="e">
        <f>'Effort Estimation'!O87+"AM:!m?"</f>
        <v>#VALUE!</v>
      </c>
      <c r="EV25" s="99" t="e">
        <f>'Effort Estimation'!P87+"AM:!m@"</f>
        <v>#VALUE!</v>
      </c>
      <c r="EW25" s="99" t="e">
        <f>'Effort Estimation'!Q87+"AM:!mA"</f>
        <v>#VALUE!</v>
      </c>
      <c r="EX25" t="e">
        <f>'Effort Estimation'!R87+"AM:!mB"</f>
        <v>#VALUE!</v>
      </c>
      <c r="EY25" t="e">
        <f>'Effort Estimation'!S87+"AM:!mC"</f>
        <v>#VALUE!</v>
      </c>
      <c r="EZ25" t="e">
        <f>'Effort Estimation'!T87+"AM:!mD"</f>
        <v>#VALUE!</v>
      </c>
      <c r="FA25" t="e">
        <f>'Effort Estimation'!A88+"AM:!mE"</f>
        <v>#VALUE!</v>
      </c>
      <c r="FB25" t="e">
        <f>'Effort Estimation'!B88+"AM:!mF"</f>
        <v>#VALUE!</v>
      </c>
      <c r="FC25" t="e">
        <f>'Effort Estimation'!C88+"AM:!mG"</f>
        <v>#VALUE!</v>
      </c>
      <c r="FD25" t="e">
        <f>'Effort Estimation'!D88+"AM:!mH"</f>
        <v>#VALUE!</v>
      </c>
      <c r="FE25" t="e">
        <f>'Effort Estimation'!E88+"AM:!mI"</f>
        <v>#VALUE!</v>
      </c>
      <c r="FF25" t="e">
        <f>'Effort Estimation'!F88+"AM:!mJ"</f>
        <v>#VALUE!</v>
      </c>
      <c r="FG25" t="e">
        <f>'Effort Estimation'!G88+"AM:!mK"</f>
        <v>#VALUE!</v>
      </c>
      <c r="FH25" t="e">
        <f>'Effort Estimation'!H88+"AM:!mL"</f>
        <v>#VALUE!</v>
      </c>
      <c r="FI25" t="e">
        <f>'Effort Estimation'!I88+"AM:!mM"</f>
        <v>#VALUE!</v>
      </c>
      <c r="FJ25" s="99" t="e">
        <f>'Effort Estimation'!J88+"AM:!mN"</f>
        <v>#VALUE!</v>
      </c>
      <c r="FK25" s="99" t="e">
        <f>'Effort Estimation'!K88+"AM:!mO"</f>
        <v>#VALUE!</v>
      </c>
      <c r="FL25" s="99" t="e">
        <f>'Effort Estimation'!L88+"AM:!mP"</f>
        <v>#VALUE!</v>
      </c>
      <c r="FM25" s="99" t="e">
        <f>'Effort Estimation'!M88+"AM:!mQ"</f>
        <v>#VALUE!</v>
      </c>
      <c r="FN25" s="99" t="e">
        <f>'Effort Estimation'!N88+"AM:!mR"</f>
        <v>#VALUE!</v>
      </c>
      <c r="FO25" s="99" t="e">
        <f>'Effort Estimation'!O88+"AM:!mS"</f>
        <v>#VALUE!</v>
      </c>
      <c r="FP25" s="99" t="e">
        <f>'Effort Estimation'!P88+"AM:!mT"</f>
        <v>#VALUE!</v>
      </c>
      <c r="FQ25" s="99" t="e">
        <f>'Effort Estimation'!Q88+"AM:!mU"</f>
        <v>#VALUE!</v>
      </c>
      <c r="FR25" t="e">
        <f>'Effort Estimation'!R88+"AM:!mV"</f>
        <v>#VALUE!</v>
      </c>
      <c r="FS25" t="e">
        <f>'Effort Estimation'!S88+"AM:!mW"</f>
        <v>#VALUE!</v>
      </c>
      <c r="FT25" t="e">
        <f>'Effort Estimation'!T88+"AM:!mX"</f>
        <v>#VALUE!</v>
      </c>
      <c r="FU25" t="e">
        <f>'Effort Estimation'!A89+"AM:!mY"</f>
        <v>#VALUE!</v>
      </c>
      <c r="FV25" t="e">
        <f>'Effort Estimation'!B89+"AM:!mZ"</f>
        <v>#VALUE!</v>
      </c>
      <c r="FW25" t="e">
        <f>'Effort Estimation'!C89+"AM:!m["</f>
        <v>#VALUE!</v>
      </c>
      <c r="FX25" t="e">
        <f>'Effort Estimation'!D89+"AM:!m\"</f>
        <v>#VALUE!</v>
      </c>
      <c r="FY25" t="e">
        <f>'Effort Estimation'!E89+"AM:!m]"</f>
        <v>#VALUE!</v>
      </c>
      <c r="FZ25" t="e">
        <f>'Effort Estimation'!F89+"AM:!m^"</f>
        <v>#VALUE!</v>
      </c>
      <c r="GA25" t="e">
        <f>'Effort Estimation'!G89+"AM:!m_"</f>
        <v>#VALUE!</v>
      </c>
      <c r="GB25" t="e">
        <f>'Effort Estimation'!H89+"AM:!m`"</f>
        <v>#VALUE!</v>
      </c>
      <c r="GC25" t="e">
        <f>'Effort Estimation'!I89+"AM:!ma"</f>
        <v>#VALUE!</v>
      </c>
      <c r="GD25" s="99" t="e">
        <f>'Effort Estimation'!J89+"AM:!mb"</f>
        <v>#VALUE!</v>
      </c>
      <c r="GE25" s="99" t="e">
        <f>'Effort Estimation'!K89+"AM:!mc"</f>
        <v>#VALUE!</v>
      </c>
      <c r="GF25" s="99" t="e">
        <f>'Effort Estimation'!L89+"AM:!md"</f>
        <v>#VALUE!</v>
      </c>
      <c r="GG25" s="99" t="e">
        <f>'Effort Estimation'!M89+"AM:!me"</f>
        <v>#VALUE!</v>
      </c>
      <c r="GH25" s="99" t="e">
        <f>'Effort Estimation'!N89+"AM:!mf"</f>
        <v>#VALUE!</v>
      </c>
      <c r="GI25" s="99" t="e">
        <f>'Effort Estimation'!O89+"AM:!mg"</f>
        <v>#VALUE!</v>
      </c>
      <c r="GJ25" s="99" t="e">
        <f>'Effort Estimation'!P89+"AM:!mh"</f>
        <v>#VALUE!</v>
      </c>
      <c r="GK25" s="99" t="e">
        <f>'Effort Estimation'!Q89+"AM:!mi"</f>
        <v>#VALUE!</v>
      </c>
      <c r="GL25" t="e">
        <f>'Effort Estimation'!R89+"AM:!mj"</f>
        <v>#VALUE!</v>
      </c>
      <c r="GM25" t="e">
        <f>'Effort Estimation'!S89+"AM:!mk"</f>
        <v>#VALUE!</v>
      </c>
      <c r="GN25" t="e">
        <f>'Effort Estimation'!T89+"AM:!ml"</f>
        <v>#VALUE!</v>
      </c>
      <c r="GO25" t="e">
        <f>'Effort Estimation'!A90+"AM:!mm"</f>
        <v>#VALUE!</v>
      </c>
      <c r="GP25" t="e">
        <f>'Effort Estimation'!B90+"AM:!mn"</f>
        <v>#VALUE!</v>
      </c>
      <c r="GQ25" t="e">
        <f>'Effort Estimation'!C90+"AM:!mo"</f>
        <v>#VALUE!</v>
      </c>
      <c r="GR25" t="e">
        <f>'Effort Estimation'!D90+"AM:!mp"</f>
        <v>#VALUE!</v>
      </c>
      <c r="GS25" t="e">
        <f>'Effort Estimation'!E90+"AM:!mq"</f>
        <v>#VALUE!</v>
      </c>
      <c r="GT25" t="e">
        <f>'Effort Estimation'!F90+"AM:!mr"</f>
        <v>#VALUE!</v>
      </c>
      <c r="GU25" t="e">
        <f>'Effort Estimation'!G90+"AM:!ms"</f>
        <v>#VALUE!</v>
      </c>
      <c r="GV25" t="e">
        <f>'Effort Estimation'!H90+"AM:!mt"</f>
        <v>#VALUE!</v>
      </c>
      <c r="GW25" t="e">
        <f>'Effort Estimation'!I90+"AM:!mu"</f>
        <v>#VALUE!</v>
      </c>
      <c r="GX25" s="99" t="e">
        <f>'Effort Estimation'!J90+"AM:!mv"</f>
        <v>#VALUE!</v>
      </c>
      <c r="GY25" s="99" t="e">
        <f>'Effort Estimation'!K90+"AM:!mw"</f>
        <v>#VALUE!</v>
      </c>
      <c r="GZ25" s="99" t="e">
        <f>'Effort Estimation'!L90+"AM:!mx"</f>
        <v>#VALUE!</v>
      </c>
      <c r="HA25" s="99" t="e">
        <f>'Effort Estimation'!M90+"AM:!my"</f>
        <v>#VALUE!</v>
      </c>
      <c r="HB25" s="99" t="e">
        <f>'Effort Estimation'!N90+"AM:!mz"</f>
        <v>#VALUE!</v>
      </c>
      <c r="HC25" s="99" t="e">
        <f>'Effort Estimation'!O90+"AM:!m{"</f>
        <v>#VALUE!</v>
      </c>
      <c r="HD25" s="99" t="e">
        <f>'Effort Estimation'!P90+"AM:!m|"</f>
        <v>#VALUE!</v>
      </c>
      <c r="HE25" s="99" t="e">
        <f>'Effort Estimation'!Q90+"AM:!m}"</f>
        <v>#VALUE!</v>
      </c>
      <c r="HF25" t="e">
        <f>'Effort Estimation'!R90+"AM:!m~"</f>
        <v>#VALUE!</v>
      </c>
      <c r="HG25" t="e">
        <f>'Effort Estimation'!S90+"AM:!n#"</f>
        <v>#VALUE!</v>
      </c>
      <c r="HH25" t="e">
        <f>'Effort Estimation'!T90+"AM:!n$"</f>
        <v>#VALUE!</v>
      </c>
      <c r="HI25" t="e">
        <f>'Effort Estimation'!A91+"AM:!n%"</f>
        <v>#VALUE!</v>
      </c>
      <c r="HJ25" t="e">
        <f>'Effort Estimation'!B91+"AM:!n&amp;"</f>
        <v>#VALUE!</v>
      </c>
      <c r="HK25" t="e">
        <f>'Effort Estimation'!C91+"AM:!n'"</f>
        <v>#VALUE!</v>
      </c>
      <c r="HL25" t="e">
        <f>'Effort Estimation'!D91+"AM:!n("</f>
        <v>#VALUE!</v>
      </c>
      <c r="HM25" t="e">
        <f>'Effort Estimation'!E91+"AM:!n)"</f>
        <v>#VALUE!</v>
      </c>
      <c r="HN25" t="e">
        <f>'Effort Estimation'!F91+"AM:!n."</f>
        <v>#VALUE!</v>
      </c>
      <c r="HO25" t="e">
        <f>'Effort Estimation'!G91+"AM:!n/"</f>
        <v>#VALUE!</v>
      </c>
      <c r="HP25" t="e">
        <f>'Effort Estimation'!H91+"AM:!n0"</f>
        <v>#VALUE!</v>
      </c>
      <c r="HQ25" t="e">
        <f>'Effort Estimation'!I91+"AM:!n1"</f>
        <v>#VALUE!</v>
      </c>
      <c r="HR25" s="99" t="e">
        <f>'Effort Estimation'!J91+"AM:!n2"</f>
        <v>#VALUE!</v>
      </c>
      <c r="HS25" s="99" t="e">
        <f>'Effort Estimation'!K91+"AM:!n3"</f>
        <v>#VALUE!</v>
      </c>
      <c r="HT25" s="99" t="e">
        <f>'Effort Estimation'!L91+"AM:!n4"</f>
        <v>#VALUE!</v>
      </c>
      <c r="HU25" s="99" t="e">
        <f>'Effort Estimation'!M91+"AM:!n5"</f>
        <v>#VALUE!</v>
      </c>
      <c r="HV25" s="99" t="e">
        <f>'Effort Estimation'!N91+"AM:!n6"</f>
        <v>#VALUE!</v>
      </c>
      <c r="HW25" s="99" t="e">
        <f>'Effort Estimation'!O91+"AM:!n7"</f>
        <v>#VALUE!</v>
      </c>
      <c r="HX25" s="99" t="e">
        <f>'Effort Estimation'!P91+"AM:!n8"</f>
        <v>#VALUE!</v>
      </c>
      <c r="HY25" s="99" t="e">
        <f>'Effort Estimation'!Q91+"AM:!n9"</f>
        <v>#VALUE!</v>
      </c>
      <c r="HZ25" t="e">
        <f>'Effort Estimation'!R91+"AM:!n:"</f>
        <v>#VALUE!</v>
      </c>
      <c r="IA25" t="e">
        <f>'Effort Estimation'!S91+"AM:!n;"</f>
        <v>#VALUE!</v>
      </c>
      <c r="IB25" t="e">
        <f>'Effort Estimation'!T91+"AM:!n&lt;"</f>
        <v>#VALUE!</v>
      </c>
      <c r="IC25" t="e">
        <f>'Effort Estimation'!A92+"AM:!n="</f>
        <v>#VALUE!</v>
      </c>
      <c r="ID25" t="e">
        <f>'Effort Estimation'!B92+"AM:!n&gt;"</f>
        <v>#VALUE!</v>
      </c>
      <c r="IE25" t="e">
        <f>'Effort Estimation'!C92+"AM:!n?"</f>
        <v>#VALUE!</v>
      </c>
      <c r="IF25" t="e">
        <f>'Effort Estimation'!D92+"AM:!n@"</f>
        <v>#VALUE!</v>
      </c>
      <c r="IG25" t="e">
        <f>'Effort Estimation'!E92+"AM:!nA"</f>
        <v>#VALUE!</v>
      </c>
      <c r="IH25" t="e">
        <f>'Effort Estimation'!F92+"AM:!nB"</f>
        <v>#VALUE!</v>
      </c>
      <c r="II25" t="e">
        <f>'Effort Estimation'!G92+"AM:!nC"</f>
        <v>#VALUE!</v>
      </c>
      <c r="IJ25" t="e">
        <f>'Effort Estimation'!H92+"AM:!nD"</f>
        <v>#VALUE!</v>
      </c>
      <c r="IK25" t="e">
        <f>'Effort Estimation'!I92+"AM:!nE"</f>
        <v>#VALUE!</v>
      </c>
      <c r="IL25" s="99" t="e">
        <f>'Effort Estimation'!J92+"AM:!nF"</f>
        <v>#VALUE!</v>
      </c>
      <c r="IM25" s="99" t="e">
        <f>'Effort Estimation'!K92+"AM:!nG"</f>
        <v>#VALUE!</v>
      </c>
      <c r="IN25" s="99" t="e">
        <f>'Effort Estimation'!L92+"AM:!nH"</f>
        <v>#VALUE!</v>
      </c>
      <c r="IO25" s="99" t="e">
        <f>'Effort Estimation'!M92+"AM:!nI"</f>
        <v>#VALUE!</v>
      </c>
      <c r="IP25" s="99" t="e">
        <f>'Effort Estimation'!N92+"AM:!nJ"</f>
        <v>#VALUE!</v>
      </c>
      <c r="IQ25" s="99" t="e">
        <f>'Effort Estimation'!O92+"AM:!nK"</f>
        <v>#VALUE!</v>
      </c>
      <c r="IR25" s="99" t="e">
        <f>'Effort Estimation'!P92+"AM:!nL"</f>
        <v>#VALUE!</v>
      </c>
      <c r="IS25" s="99" t="e">
        <f>'Effort Estimation'!Q92+"AM:!nM"</f>
        <v>#VALUE!</v>
      </c>
      <c r="IT25" t="e">
        <f>'Effort Estimation'!R92+"AM:!nN"</f>
        <v>#VALUE!</v>
      </c>
      <c r="IU25" t="e">
        <f>'Effort Estimation'!S92+"AM:!nO"</f>
        <v>#VALUE!</v>
      </c>
      <c r="IV25" t="e">
        <f>'Effort Estimation'!T92+"AM:!nP"</f>
        <v>#VALUE!</v>
      </c>
    </row>
    <row r="26" spans="6:256">
      <c r="F26" t="e">
        <f>'Effort Estimation'!A93+"AM:!nQ"</f>
        <v>#VALUE!</v>
      </c>
      <c r="G26" t="e">
        <f>'Effort Estimation'!B93+"AM:!nR"</f>
        <v>#VALUE!</v>
      </c>
      <c r="H26" t="e">
        <f>'Effort Estimation'!C93+"AM:!nS"</f>
        <v>#VALUE!</v>
      </c>
      <c r="I26" t="e">
        <f>'Effort Estimation'!D93+"AM:!nT"</f>
        <v>#VALUE!</v>
      </c>
      <c r="J26" t="e">
        <f>'Effort Estimation'!E93+"AM:!nU"</f>
        <v>#VALUE!</v>
      </c>
      <c r="K26" t="e">
        <f>'Effort Estimation'!F93+"AM:!nV"</f>
        <v>#VALUE!</v>
      </c>
      <c r="L26" t="e">
        <f>'Effort Estimation'!G93+"AM:!nW"</f>
        <v>#VALUE!</v>
      </c>
      <c r="M26" t="e">
        <f>'Effort Estimation'!H93+"AM:!nX"</f>
        <v>#VALUE!</v>
      </c>
      <c r="N26" t="e">
        <f>'Effort Estimation'!I93+"AM:!nY"</f>
        <v>#VALUE!</v>
      </c>
      <c r="O26" s="99" t="e">
        <f>'Effort Estimation'!J93+"AM:!nZ"</f>
        <v>#VALUE!</v>
      </c>
      <c r="P26" s="99" t="e">
        <f>'Effort Estimation'!K93+"AM:!n["</f>
        <v>#VALUE!</v>
      </c>
      <c r="Q26" s="99" t="e">
        <f>'Effort Estimation'!L93+"AM:!n\"</f>
        <v>#VALUE!</v>
      </c>
      <c r="R26" s="99" t="e">
        <f>'Effort Estimation'!M93+"AM:!n]"</f>
        <v>#VALUE!</v>
      </c>
      <c r="S26" s="99" t="e">
        <f>'Effort Estimation'!N93+"AM:!n^"</f>
        <v>#VALUE!</v>
      </c>
      <c r="T26" s="99" t="e">
        <f>'Effort Estimation'!O93+"AM:!n_"</f>
        <v>#VALUE!</v>
      </c>
      <c r="U26" s="99" t="e">
        <f>'Effort Estimation'!P93+"AM:!n`"</f>
        <v>#VALUE!</v>
      </c>
      <c r="V26" s="99" t="e">
        <f>'Effort Estimation'!Q93+"AM:!na"</f>
        <v>#VALUE!</v>
      </c>
      <c r="W26" t="e">
        <f>'Effort Estimation'!R93+"AM:!nb"</f>
        <v>#VALUE!</v>
      </c>
      <c r="X26" t="e">
        <f>'Effort Estimation'!S93+"AM:!nc"</f>
        <v>#VALUE!</v>
      </c>
      <c r="Y26" t="e">
        <f>'Effort Estimation'!T93+"AM:!nd"</f>
        <v>#VALUE!</v>
      </c>
      <c r="Z26" t="e">
        <f>'Effort Estimation'!A94+"AM:!ne"</f>
        <v>#VALUE!</v>
      </c>
      <c r="AA26" t="e">
        <f>'Effort Estimation'!B94+"AM:!nf"</f>
        <v>#VALUE!</v>
      </c>
      <c r="AB26" t="e">
        <f>'Effort Estimation'!C94+"AM:!ng"</f>
        <v>#VALUE!</v>
      </c>
      <c r="AC26" t="e">
        <f>'Effort Estimation'!D94+"AM:!nh"</f>
        <v>#VALUE!</v>
      </c>
      <c r="AD26" t="e">
        <f>'Effort Estimation'!E94+"AM:!ni"</f>
        <v>#VALUE!</v>
      </c>
      <c r="AE26" t="e">
        <f>'Effort Estimation'!F94+"AM:!nj"</f>
        <v>#VALUE!</v>
      </c>
      <c r="AF26" t="e">
        <f>'Effort Estimation'!G94+"AM:!nk"</f>
        <v>#VALUE!</v>
      </c>
      <c r="AG26" t="e">
        <f>'Effort Estimation'!H94+"AM:!nl"</f>
        <v>#VALUE!</v>
      </c>
      <c r="AH26" t="e">
        <f>'Effort Estimation'!I94+"AM:!nm"</f>
        <v>#VALUE!</v>
      </c>
      <c r="AI26" s="99" t="e">
        <f>'Effort Estimation'!J94+"AM:!nn"</f>
        <v>#VALUE!</v>
      </c>
      <c r="AJ26" s="99" t="e">
        <f>'Effort Estimation'!K94+"AM:!no"</f>
        <v>#VALUE!</v>
      </c>
      <c r="AK26" s="99" t="e">
        <f>'Effort Estimation'!L94+"AM:!np"</f>
        <v>#VALUE!</v>
      </c>
      <c r="AL26" s="99" t="e">
        <f>'Effort Estimation'!M94+"AM:!nq"</f>
        <v>#VALUE!</v>
      </c>
      <c r="AM26" s="99" t="e">
        <f>'Effort Estimation'!N94+"AM:!nr"</f>
        <v>#VALUE!</v>
      </c>
      <c r="AN26" s="99" t="e">
        <f>'Effort Estimation'!O94+"AM:!ns"</f>
        <v>#VALUE!</v>
      </c>
      <c r="AO26" s="99" t="e">
        <f>'Effort Estimation'!P94+"AM:!nt"</f>
        <v>#VALUE!</v>
      </c>
      <c r="AP26" s="99" t="e">
        <f>'Effort Estimation'!Q94+"AM:!nu"</f>
        <v>#VALUE!</v>
      </c>
      <c r="AQ26" t="e">
        <f>'Effort Estimation'!R94+"AM:!nv"</f>
        <v>#VALUE!</v>
      </c>
      <c r="AR26" t="e">
        <f>'Effort Estimation'!S94+"AM:!nw"</f>
        <v>#VALUE!</v>
      </c>
      <c r="AS26" t="e">
        <f>'Effort Estimation'!T94+"AM:!nx"</f>
        <v>#VALUE!</v>
      </c>
      <c r="AT26" t="e">
        <f>'Effort Estimation'!A95+"AM:!ny"</f>
        <v>#VALUE!</v>
      </c>
      <c r="AU26" t="e">
        <f>'Effort Estimation'!B95+"AM:!nz"</f>
        <v>#VALUE!</v>
      </c>
      <c r="AV26" t="e">
        <f>'Effort Estimation'!C95+"AM:!n{"</f>
        <v>#VALUE!</v>
      </c>
      <c r="AW26" t="e">
        <f>'Effort Estimation'!D95+"AM:!n|"</f>
        <v>#VALUE!</v>
      </c>
      <c r="AX26" t="e">
        <f>'Effort Estimation'!E95+"AM:!n}"</f>
        <v>#VALUE!</v>
      </c>
      <c r="AY26" t="e">
        <f>'Effort Estimation'!F95+"AM:!n~"</f>
        <v>#VALUE!</v>
      </c>
      <c r="AZ26" t="e">
        <f>'Effort Estimation'!G95+"AM:!o#"</f>
        <v>#VALUE!</v>
      </c>
      <c r="BA26" t="e">
        <f>'Effort Estimation'!H95+"AM:!o$"</f>
        <v>#VALUE!</v>
      </c>
      <c r="BB26" t="e">
        <f>'Effort Estimation'!I95+"AM:!o%"</f>
        <v>#VALUE!</v>
      </c>
      <c r="BC26" s="99" t="e">
        <f>'Effort Estimation'!J95+"AM:!o&amp;"</f>
        <v>#VALUE!</v>
      </c>
      <c r="BD26" s="99" t="e">
        <f>'Effort Estimation'!K95+"AM:!o'"</f>
        <v>#VALUE!</v>
      </c>
      <c r="BE26" s="99" t="e">
        <f>'Effort Estimation'!L95+"AM:!o("</f>
        <v>#VALUE!</v>
      </c>
      <c r="BF26" s="99" t="e">
        <f>'Effort Estimation'!M95+"AM:!o)"</f>
        <v>#VALUE!</v>
      </c>
      <c r="BG26" s="99" t="e">
        <f>'Effort Estimation'!N95+"AM:!o."</f>
        <v>#VALUE!</v>
      </c>
      <c r="BH26" s="99" t="e">
        <f>'Effort Estimation'!O95+"AM:!o/"</f>
        <v>#VALUE!</v>
      </c>
      <c r="BI26" s="99" t="e">
        <f>'Effort Estimation'!P95+"AM:!o0"</f>
        <v>#VALUE!</v>
      </c>
      <c r="BJ26" s="99" t="e">
        <f>'Effort Estimation'!Q95+"AM:!o1"</f>
        <v>#VALUE!</v>
      </c>
      <c r="BK26" t="e">
        <f>'Effort Estimation'!R95+"AM:!o2"</f>
        <v>#VALUE!</v>
      </c>
      <c r="BL26" t="e">
        <f>'Effort Estimation'!S95+"AM:!o3"</f>
        <v>#VALUE!</v>
      </c>
      <c r="BM26" t="e">
        <f>'Effort Estimation'!T95+"AM:!o4"</f>
        <v>#VALUE!</v>
      </c>
      <c r="BN26" t="e">
        <f>'Effort Estimation'!A96+"AM:!o5"</f>
        <v>#VALUE!</v>
      </c>
      <c r="BO26" t="e">
        <f>'Effort Estimation'!B96+"AM:!o6"</f>
        <v>#VALUE!</v>
      </c>
      <c r="BP26" t="e">
        <f>'Effort Estimation'!C96+"AM:!o7"</f>
        <v>#VALUE!</v>
      </c>
      <c r="BQ26" t="e">
        <f>'Effort Estimation'!D96+"AM:!o8"</f>
        <v>#VALUE!</v>
      </c>
      <c r="BR26" t="e">
        <f>'Effort Estimation'!E96+"AM:!o9"</f>
        <v>#VALUE!</v>
      </c>
      <c r="BS26" t="e">
        <f>'Effort Estimation'!F96+"AM:!o:"</f>
        <v>#VALUE!</v>
      </c>
      <c r="BT26" t="e">
        <f>'Effort Estimation'!G96+"AM:!o;"</f>
        <v>#VALUE!</v>
      </c>
      <c r="BU26" t="e">
        <f>'Effort Estimation'!H96+"AM:!o&lt;"</f>
        <v>#VALUE!</v>
      </c>
      <c r="BV26" t="e">
        <f>'Effort Estimation'!I96+"AM:!o="</f>
        <v>#VALUE!</v>
      </c>
      <c r="BW26" s="99" t="e">
        <f>'Effort Estimation'!J96+"AM:!o&gt;"</f>
        <v>#VALUE!</v>
      </c>
      <c r="BX26" s="99" t="e">
        <f>'Effort Estimation'!K96+"AM:!o?"</f>
        <v>#VALUE!</v>
      </c>
      <c r="BY26" s="99" t="e">
        <f>'Effort Estimation'!L96+"AM:!o@"</f>
        <v>#VALUE!</v>
      </c>
      <c r="BZ26" s="99" t="e">
        <f>'Effort Estimation'!M96+"AM:!oA"</f>
        <v>#VALUE!</v>
      </c>
      <c r="CA26" s="99" t="e">
        <f>'Effort Estimation'!N96+"AM:!oB"</f>
        <v>#VALUE!</v>
      </c>
      <c r="CB26" s="99" t="e">
        <f>'Effort Estimation'!O96+"AM:!oC"</f>
        <v>#VALUE!</v>
      </c>
      <c r="CC26" s="99" t="e">
        <f>'Effort Estimation'!P96+"AM:!oD"</f>
        <v>#VALUE!</v>
      </c>
      <c r="CD26" s="99" t="e">
        <f>'Effort Estimation'!Q96+"AM:!oE"</f>
        <v>#VALUE!</v>
      </c>
      <c r="CE26" t="e">
        <f>'Effort Estimation'!R96+"AM:!oF"</f>
        <v>#VALUE!</v>
      </c>
      <c r="CF26" t="e">
        <f>'Effort Estimation'!S96+"AM:!oG"</f>
        <v>#VALUE!</v>
      </c>
      <c r="CG26" t="e">
        <f>'Effort Estimation'!T96+"AM:!oH"</f>
        <v>#VALUE!</v>
      </c>
      <c r="CH26" t="e">
        <f>'Effort Estimation'!A97+"AM:!oI"</f>
        <v>#VALUE!</v>
      </c>
      <c r="CI26" t="e">
        <f>'Effort Estimation'!B97+"AM:!oJ"</f>
        <v>#VALUE!</v>
      </c>
      <c r="CJ26" t="e">
        <f>'Effort Estimation'!C97+"AM:!oK"</f>
        <v>#VALUE!</v>
      </c>
      <c r="CK26" t="e">
        <f>'Effort Estimation'!D97+"AM:!oL"</f>
        <v>#VALUE!</v>
      </c>
      <c r="CL26" t="e">
        <f>'Effort Estimation'!E97+"AM:!oM"</f>
        <v>#VALUE!</v>
      </c>
      <c r="CM26" t="e">
        <f>'Effort Estimation'!F97+"AM:!oN"</f>
        <v>#VALUE!</v>
      </c>
      <c r="CN26" t="e">
        <f>'Effort Estimation'!G97+"AM:!oO"</f>
        <v>#VALUE!</v>
      </c>
      <c r="CO26" t="e">
        <f>'Effort Estimation'!H97+"AM:!oP"</f>
        <v>#VALUE!</v>
      </c>
      <c r="CP26" t="e">
        <f>'Effort Estimation'!I97+"AM:!oQ"</f>
        <v>#VALUE!</v>
      </c>
      <c r="CQ26" s="99" t="e">
        <f>'Effort Estimation'!J97+"AM:!oR"</f>
        <v>#VALUE!</v>
      </c>
      <c r="CR26" s="99" t="e">
        <f>'Effort Estimation'!K97+"AM:!oS"</f>
        <v>#VALUE!</v>
      </c>
      <c r="CS26" s="99" t="e">
        <f>'Effort Estimation'!L97+"AM:!oT"</f>
        <v>#VALUE!</v>
      </c>
      <c r="CT26" s="99" t="e">
        <f>'Effort Estimation'!M97+"AM:!oU"</f>
        <v>#VALUE!</v>
      </c>
      <c r="CU26" s="99" t="e">
        <f>'Effort Estimation'!N97+"AM:!oV"</f>
        <v>#VALUE!</v>
      </c>
      <c r="CV26" s="99" t="e">
        <f>'Effort Estimation'!O97+"AM:!oW"</f>
        <v>#VALUE!</v>
      </c>
      <c r="CW26" s="99" t="e">
        <f>'Effort Estimation'!P97+"AM:!oX"</f>
        <v>#VALUE!</v>
      </c>
      <c r="CX26" s="99" t="e">
        <f>'Effort Estimation'!Q97+"AM:!oY"</f>
        <v>#VALUE!</v>
      </c>
      <c r="CY26" t="e">
        <f>'Effort Estimation'!R97+"AM:!oZ"</f>
        <v>#VALUE!</v>
      </c>
      <c r="CZ26" t="e">
        <f>'Effort Estimation'!S97+"AM:!o["</f>
        <v>#VALUE!</v>
      </c>
      <c r="DA26" t="e">
        <f>'Effort Estimation'!T97+"AM:!o\"</f>
        <v>#VALUE!</v>
      </c>
      <c r="DB26" t="e">
        <f>'Effort Estimation'!A98+"AM:!o]"</f>
        <v>#VALUE!</v>
      </c>
      <c r="DC26" t="e">
        <f>'Effort Estimation'!B98+"AM:!o^"</f>
        <v>#VALUE!</v>
      </c>
      <c r="DD26" t="e">
        <f>'Effort Estimation'!C98+"AM:!o_"</f>
        <v>#VALUE!</v>
      </c>
      <c r="DE26" t="e">
        <f>'Effort Estimation'!D98+"AM:!o`"</f>
        <v>#VALUE!</v>
      </c>
      <c r="DF26" t="e">
        <f>'Effort Estimation'!E98+"AM:!oa"</f>
        <v>#VALUE!</v>
      </c>
      <c r="DG26" t="e">
        <f>'Effort Estimation'!F98+"AM:!ob"</f>
        <v>#VALUE!</v>
      </c>
      <c r="DH26" t="e">
        <f>'Effort Estimation'!G98+"AM:!oc"</f>
        <v>#VALUE!</v>
      </c>
      <c r="DI26" t="e">
        <f>'Effort Estimation'!H98+"AM:!od"</f>
        <v>#VALUE!</v>
      </c>
      <c r="DJ26" t="e">
        <f>'Effort Estimation'!I98+"AM:!oe"</f>
        <v>#VALUE!</v>
      </c>
      <c r="DK26" s="99" t="e">
        <f>'Effort Estimation'!J98+"AM:!of"</f>
        <v>#VALUE!</v>
      </c>
      <c r="DL26" s="99" t="e">
        <f>'Effort Estimation'!K98+"AM:!og"</f>
        <v>#VALUE!</v>
      </c>
      <c r="DM26" s="99" t="e">
        <f>'Effort Estimation'!L98+"AM:!oh"</f>
        <v>#VALUE!</v>
      </c>
      <c r="DN26" s="99" t="e">
        <f>'Effort Estimation'!M98+"AM:!oi"</f>
        <v>#VALUE!</v>
      </c>
      <c r="DO26" s="99" t="e">
        <f>'Effort Estimation'!N98+"AM:!oj"</f>
        <v>#VALUE!</v>
      </c>
      <c r="DP26" s="99" t="e">
        <f>'Effort Estimation'!O98+"AM:!ok"</f>
        <v>#VALUE!</v>
      </c>
      <c r="DQ26" s="99" t="e">
        <f>'Effort Estimation'!P98+"AM:!ol"</f>
        <v>#VALUE!</v>
      </c>
      <c r="DR26" s="99" t="e">
        <f>'Effort Estimation'!Q98+"AM:!om"</f>
        <v>#VALUE!</v>
      </c>
      <c r="DS26" t="e">
        <f>'Effort Estimation'!R98+"AM:!on"</f>
        <v>#VALUE!</v>
      </c>
      <c r="DT26" t="e">
        <f>'Effort Estimation'!S98+"AM:!oo"</f>
        <v>#VALUE!</v>
      </c>
      <c r="DU26" t="e">
        <f>'Effort Estimation'!T98+"AM:!op"</f>
        <v>#VALUE!</v>
      </c>
      <c r="DV26" t="e">
        <f>'Effort Estimation'!A99+"AM:!oq"</f>
        <v>#VALUE!</v>
      </c>
      <c r="DW26" t="e">
        <f>'Effort Estimation'!B99+"AM:!or"</f>
        <v>#VALUE!</v>
      </c>
      <c r="DX26" t="e">
        <f>'Effort Estimation'!C99+"AM:!os"</f>
        <v>#VALUE!</v>
      </c>
      <c r="DY26" t="e">
        <f>'Effort Estimation'!D99+"AM:!ot"</f>
        <v>#VALUE!</v>
      </c>
      <c r="DZ26" t="e">
        <f>'Effort Estimation'!E99+"AM:!ou"</f>
        <v>#VALUE!</v>
      </c>
      <c r="EA26" t="e">
        <f>'Effort Estimation'!F99+"AM:!ov"</f>
        <v>#VALUE!</v>
      </c>
      <c r="EB26" t="e">
        <f>'Effort Estimation'!G99+"AM:!ow"</f>
        <v>#VALUE!</v>
      </c>
      <c r="EC26" t="e">
        <f>'Effort Estimation'!H99+"AM:!ox"</f>
        <v>#VALUE!</v>
      </c>
      <c r="ED26" t="e">
        <f>'Effort Estimation'!I99+"AM:!oy"</f>
        <v>#VALUE!</v>
      </c>
      <c r="EE26" s="99" t="e">
        <f>'Effort Estimation'!J99+"AM:!oz"</f>
        <v>#VALUE!</v>
      </c>
      <c r="EF26" s="99" t="e">
        <f>'Effort Estimation'!K99+"AM:!o{"</f>
        <v>#VALUE!</v>
      </c>
      <c r="EG26" s="99" t="e">
        <f>'Effort Estimation'!L99+"AM:!o|"</f>
        <v>#VALUE!</v>
      </c>
      <c r="EH26" s="99" t="e">
        <f>'Effort Estimation'!M99+"AM:!o}"</f>
        <v>#VALUE!</v>
      </c>
      <c r="EI26" s="99" t="e">
        <f>'Effort Estimation'!N99+"AM:!o~"</f>
        <v>#VALUE!</v>
      </c>
      <c r="EJ26" s="99" t="e">
        <f>'Effort Estimation'!O99+"AM:!p#"</f>
        <v>#VALUE!</v>
      </c>
      <c r="EK26" s="99" t="e">
        <f>'Effort Estimation'!P99+"AM:!p$"</f>
        <v>#VALUE!</v>
      </c>
      <c r="EL26" s="99" t="e">
        <f>'Effort Estimation'!Q99+"AM:!p%"</f>
        <v>#VALUE!</v>
      </c>
      <c r="EM26" t="e">
        <f>'Effort Estimation'!R99+"AM:!p&amp;"</f>
        <v>#VALUE!</v>
      </c>
      <c r="EN26" t="e">
        <f>'Effort Estimation'!S99+"AM:!p'"</f>
        <v>#VALUE!</v>
      </c>
      <c r="EO26" t="e">
        <f>'Effort Estimation'!T99+"AM:!p("</f>
        <v>#VALUE!</v>
      </c>
      <c r="EP26" t="e">
        <f>'Effort Estimation'!A100+"AM:!p)"</f>
        <v>#VALUE!</v>
      </c>
      <c r="EQ26" t="e">
        <f>'Effort Estimation'!B100+"AM:!p."</f>
        <v>#VALUE!</v>
      </c>
      <c r="ER26" t="e">
        <f>'Effort Estimation'!C100+"AM:!p/"</f>
        <v>#VALUE!</v>
      </c>
      <c r="ES26" t="e">
        <f>'Effort Estimation'!D100+"AM:!p0"</f>
        <v>#VALUE!</v>
      </c>
      <c r="ET26" t="e">
        <f>'Effort Estimation'!E100+"AM:!p1"</f>
        <v>#VALUE!</v>
      </c>
      <c r="EU26" t="e">
        <f>'Effort Estimation'!F100+"AM:!p2"</f>
        <v>#VALUE!</v>
      </c>
      <c r="EV26" t="e">
        <f>'Effort Estimation'!G100+"AM:!p3"</f>
        <v>#VALUE!</v>
      </c>
      <c r="EW26" t="e">
        <f>'Effort Estimation'!H100+"AM:!p4"</f>
        <v>#VALUE!</v>
      </c>
      <c r="EX26" t="e">
        <f>'Effort Estimation'!I100+"AM:!p5"</f>
        <v>#VALUE!</v>
      </c>
      <c r="EY26" s="99" t="e">
        <f>'Effort Estimation'!J100+"AM:!p6"</f>
        <v>#VALUE!</v>
      </c>
      <c r="EZ26" s="99" t="e">
        <f>'Effort Estimation'!K100+"AM:!p7"</f>
        <v>#VALUE!</v>
      </c>
      <c r="FA26" s="99" t="e">
        <f>'Effort Estimation'!L100+"AM:!p8"</f>
        <v>#VALUE!</v>
      </c>
      <c r="FB26" s="99" t="e">
        <f>'Effort Estimation'!M100+"AM:!p9"</f>
        <v>#VALUE!</v>
      </c>
      <c r="FC26" s="99" t="e">
        <f>'Effort Estimation'!N100+"AM:!p:"</f>
        <v>#VALUE!</v>
      </c>
      <c r="FD26" s="99" t="e">
        <f>'Effort Estimation'!O100+"AM:!p;"</f>
        <v>#VALUE!</v>
      </c>
      <c r="FE26" s="99" t="e">
        <f>'Effort Estimation'!P100+"AM:!p&lt;"</f>
        <v>#VALUE!</v>
      </c>
      <c r="FF26" s="99" t="e">
        <f>'Effort Estimation'!Q100+"AM:!p="</f>
        <v>#VALUE!</v>
      </c>
      <c r="FG26" t="e">
        <f>'Effort Estimation'!R100+"AM:!p&gt;"</f>
        <v>#VALUE!</v>
      </c>
      <c r="FH26" t="e">
        <f>'Effort Estimation'!S100+"AM:!p?"</f>
        <v>#VALUE!</v>
      </c>
      <c r="FI26" t="e">
        <f>'Effort Estimation'!T100+"AM:!p@"</f>
        <v>#VALUE!</v>
      </c>
      <c r="FJ26" t="e">
        <f>'Effort Estimation'!A101+"AM:!pA"</f>
        <v>#VALUE!</v>
      </c>
      <c r="FK26" t="e">
        <f>'Effort Estimation'!B101+"AM:!pB"</f>
        <v>#VALUE!</v>
      </c>
      <c r="FL26" t="e">
        <f>'Effort Estimation'!C101+"AM:!pC"</f>
        <v>#VALUE!</v>
      </c>
      <c r="FM26" t="e">
        <f>'Effort Estimation'!D101+"AM:!pD"</f>
        <v>#VALUE!</v>
      </c>
      <c r="FN26" t="e">
        <f>'Effort Estimation'!E101+"AM:!pE"</f>
        <v>#VALUE!</v>
      </c>
      <c r="FO26" t="e">
        <f>'Effort Estimation'!F101+"AM:!pF"</f>
        <v>#VALUE!</v>
      </c>
      <c r="FP26" t="e">
        <f>'Effort Estimation'!G101+"AM:!pG"</f>
        <v>#VALUE!</v>
      </c>
      <c r="FQ26" t="e">
        <f>'Effort Estimation'!H101+"AM:!pH"</f>
        <v>#VALUE!</v>
      </c>
      <c r="FR26" t="e">
        <f>'Effort Estimation'!I101+"AM:!pI"</f>
        <v>#VALUE!</v>
      </c>
      <c r="FS26" s="99" t="e">
        <f>'Effort Estimation'!J101+"AM:!pJ"</f>
        <v>#VALUE!</v>
      </c>
      <c r="FT26" s="99" t="e">
        <f>'Effort Estimation'!K101+"AM:!pK"</f>
        <v>#VALUE!</v>
      </c>
      <c r="FU26" s="99" t="e">
        <f>'Effort Estimation'!L101+"AM:!pL"</f>
        <v>#VALUE!</v>
      </c>
      <c r="FV26" s="99" t="e">
        <f>'Effort Estimation'!M101+"AM:!pM"</f>
        <v>#VALUE!</v>
      </c>
      <c r="FW26" s="99" t="e">
        <f>'Effort Estimation'!N101+"AM:!pN"</f>
        <v>#VALUE!</v>
      </c>
      <c r="FX26" s="99" t="e">
        <f>'Effort Estimation'!O101+"AM:!pO"</f>
        <v>#VALUE!</v>
      </c>
      <c r="FY26" s="99" t="e">
        <f>'Effort Estimation'!P101+"AM:!pP"</f>
        <v>#VALUE!</v>
      </c>
      <c r="FZ26" s="99" t="e">
        <f>'Effort Estimation'!Q101+"AM:!pQ"</f>
        <v>#VALUE!</v>
      </c>
      <c r="GA26" t="e">
        <f>'Effort Estimation'!R101+"AM:!pR"</f>
        <v>#VALUE!</v>
      </c>
      <c r="GB26" t="e">
        <f>'Effort Estimation'!S101+"AM:!pS"</f>
        <v>#VALUE!</v>
      </c>
      <c r="GC26" t="e">
        <f>'Effort Estimation'!T101+"AM:!pT"</f>
        <v>#VALUE!</v>
      </c>
      <c r="GD26" t="e">
        <f>'Effort Estimation'!A102+"AM:!pU"</f>
        <v>#VALUE!</v>
      </c>
      <c r="GE26" t="e">
        <f>'Effort Estimation'!B102+"AM:!pV"</f>
        <v>#VALUE!</v>
      </c>
      <c r="GF26" t="e">
        <f>'Effort Estimation'!C102+"AM:!pW"</f>
        <v>#VALUE!</v>
      </c>
      <c r="GG26" t="e">
        <f>'Effort Estimation'!D102+"AM:!pX"</f>
        <v>#VALUE!</v>
      </c>
      <c r="GH26" t="e">
        <f>'Effort Estimation'!E102+"AM:!pY"</f>
        <v>#VALUE!</v>
      </c>
      <c r="GI26" t="e">
        <f>'Effort Estimation'!F102+"AM:!pZ"</f>
        <v>#VALUE!</v>
      </c>
      <c r="GJ26" t="e">
        <f>'Effort Estimation'!G102+"AM:!p["</f>
        <v>#VALUE!</v>
      </c>
      <c r="GK26" t="e">
        <f>'Effort Estimation'!H102+"AM:!p\"</f>
        <v>#VALUE!</v>
      </c>
      <c r="GL26" t="e">
        <f>'Effort Estimation'!I102+"AM:!p]"</f>
        <v>#VALUE!</v>
      </c>
      <c r="GM26" s="99" t="e">
        <f>'Effort Estimation'!J102+"AM:!p^"</f>
        <v>#VALUE!</v>
      </c>
      <c r="GN26" s="99" t="e">
        <f>'Effort Estimation'!K102+"AM:!p_"</f>
        <v>#VALUE!</v>
      </c>
      <c r="GO26" s="99" t="e">
        <f>'Effort Estimation'!L102+"AM:!p`"</f>
        <v>#VALUE!</v>
      </c>
      <c r="GP26" s="99" t="e">
        <f>'Effort Estimation'!M102+"AM:!pa"</f>
        <v>#VALUE!</v>
      </c>
      <c r="GQ26" s="99" t="e">
        <f>'Effort Estimation'!N102+"AM:!pb"</f>
        <v>#VALUE!</v>
      </c>
      <c r="GR26" s="99" t="e">
        <f>'Effort Estimation'!O102+"AM:!pc"</f>
        <v>#VALUE!</v>
      </c>
      <c r="GS26" s="99" t="e">
        <f>'Effort Estimation'!P102+"AM:!pd"</f>
        <v>#VALUE!</v>
      </c>
      <c r="GT26" s="99" t="e">
        <f>'Effort Estimation'!Q102+"AM:!pe"</f>
        <v>#VALUE!</v>
      </c>
      <c r="GU26" t="e">
        <f>'Effort Estimation'!R102+"AM:!pf"</f>
        <v>#VALUE!</v>
      </c>
      <c r="GV26" t="e">
        <f>'Effort Estimation'!S102+"AM:!pg"</f>
        <v>#VALUE!</v>
      </c>
      <c r="GW26" t="e">
        <f>'Effort Estimation'!T102+"AM:!ph"</f>
        <v>#VALUE!</v>
      </c>
      <c r="GX26" t="e">
        <f>'Effort Estimation'!A103+"AM:!pi"</f>
        <v>#VALUE!</v>
      </c>
      <c r="GY26" t="e">
        <f>'Effort Estimation'!B103+"AM:!pj"</f>
        <v>#VALUE!</v>
      </c>
      <c r="GZ26" t="e">
        <f>'Effort Estimation'!C103+"AM:!pk"</f>
        <v>#VALUE!</v>
      </c>
      <c r="HA26" t="e">
        <f>'Effort Estimation'!D103+"AM:!pl"</f>
        <v>#VALUE!</v>
      </c>
      <c r="HB26" t="e">
        <f>'Effort Estimation'!E103+"AM:!pm"</f>
        <v>#VALUE!</v>
      </c>
      <c r="HC26" t="e">
        <f>'Effort Estimation'!F103+"AM:!pn"</f>
        <v>#VALUE!</v>
      </c>
      <c r="HD26" t="e">
        <f>'Effort Estimation'!G103+"AM:!po"</f>
        <v>#VALUE!</v>
      </c>
      <c r="HE26" t="e">
        <f>'Effort Estimation'!H103+"AM:!pp"</f>
        <v>#VALUE!</v>
      </c>
      <c r="HF26" t="e">
        <f>'Effort Estimation'!I103+"AM:!pq"</f>
        <v>#VALUE!</v>
      </c>
      <c r="HG26" s="99" t="e">
        <f>'Effort Estimation'!J103+"AM:!pr"</f>
        <v>#VALUE!</v>
      </c>
      <c r="HH26" s="99" t="e">
        <f>'Effort Estimation'!K103+"AM:!ps"</f>
        <v>#VALUE!</v>
      </c>
      <c r="HI26" s="99" t="e">
        <f>'Effort Estimation'!L103+"AM:!pt"</f>
        <v>#VALUE!</v>
      </c>
      <c r="HJ26" s="99" t="e">
        <f>'Effort Estimation'!M103+"AM:!pu"</f>
        <v>#VALUE!</v>
      </c>
      <c r="HK26" s="99" t="e">
        <f>'Effort Estimation'!N103+"AM:!pv"</f>
        <v>#VALUE!</v>
      </c>
      <c r="HL26" s="99" t="e">
        <f>'Effort Estimation'!O103+"AM:!pw"</f>
        <v>#VALUE!</v>
      </c>
      <c r="HM26" s="99" t="e">
        <f>'Effort Estimation'!P103+"AM:!px"</f>
        <v>#VALUE!</v>
      </c>
      <c r="HN26" s="99" t="e">
        <f>'Effort Estimation'!Q103+"AM:!py"</f>
        <v>#VALUE!</v>
      </c>
      <c r="HO26" t="e">
        <f>'Effort Estimation'!R103+"AM:!pz"</f>
        <v>#VALUE!</v>
      </c>
      <c r="HP26" t="e">
        <f>'Effort Estimation'!S103+"AM:!p{"</f>
        <v>#VALUE!</v>
      </c>
      <c r="HQ26" t="e">
        <f>'Effort Estimation'!T103+"AM:!p|"</f>
        <v>#VALUE!</v>
      </c>
      <c r="HR26" t="e">
        <f>'Effort Estimation'!A104+"AM:!p}"</f>
        <v>#VALUE!</v>
      </c>
      <c r="HS26" t="e">
        <f>'Effort Estimation'!B104+"AM:!p~"</f>
        <v>#VALUE!</v>
      </c>
      <c r="HT26" t="e">
        <f>'Effort Estimation'!C104+"AM:!q#"</f>
        <v>#VALUE!</v>
      </c>
      <c r="HU26" t="e">
        <f>'Effort Estimation'!D104+"AM:!q$"</f>
        <v>#VALUE!</v>
      </c>
      <c r="HV26" t="e">
        <f>'Effort Estimation'!E104+"AM:!q%"</f>
        <v>#VALUE!</v>
      </c>
      <c r="HW26" t="e">
        <f>'Effort Estimation'!F104+"AM:!q&amp;"</f>
        <v>#VALUE!</v>
      </c>
      <c r="HX26" t="e">
        <f>'Effort Estimation'!G104+"AM:!q'"</f>
        <v>#VALUE!</v>
      </c>
      <c r="HY26" t="e">
        <f>'Effort Estimation'!H104+"AM:!q("</f>
        <v>#VALUE!</v>
      </c>
      <c r="HZ26" t="e">
        <f>'Effort Estimation'!I104+"AM:!q)"</f>
        <v>#VALUE!</v>
      </c>
      <c r="IA26" s="99" t="e">
        <f>'Effort Estimation'!J104+"AM:!q."</f>
        <v>#VALUE!</v>
      </c>
      <c r="IB26" s="99" t="e">
        <f>'Effort Estimation'!K104+"AM:!q/"</f>
        <v>#VALUE!</v>
      </c>
      <c r="IC26" s="99" t="e">
        <f>'Effort Estimation'!L104+"AM:!q0"</f>
        <v>#VALUE!</v>
      </c>
      <c r="ID26" s="99" t="e">
        <f>'Effort Estimation'!M104+"AM:!q1"</f>
        <v>#VALUE!</v>
      </c>
      <c r="IE26" s="99" t="e">
        <f>'Effort Estimation'!N104+"AM:!q2"</f>
        <v>#VALUE!</v>
      </c>
      <c r="IF26" s="99" t="e">
        <f>'Effort Estimation'!O104+"AM:!q3"</f>
        <v>#VALUE!</v>
      </c>
      <c r="IG26" s="99" t="e">
        <f>'Effort Estimation'!P104+"AM:!q4"</f>
        <v>#VALUE!</v>
      </c>
      <c r="IH26" s="99" t="e">
        <f>'Effort Estimation'!Q104+"AM:!q5"</f>
        <v>#VALUE!</v>
      </c>
      <c r="II26" t="e">
        <f>'Effort Estimation'!R104+"AM:!q6"</f>
        <v>#VALUE!</v>
      </c>
      <c r="IJ26" t="e">
        <f>'Effort Estimation'!S104+"AM:!q7"</f>
        <v>#VALUE!</v>
      </c>
      <c r="IK26" t="e">
        <f>'Effort Estimation'!T104+"AM:!q8"</f>
        <v>#VALUE!</v>
      </c>
      <c r="IL26" t="e">
        <f>'Effort Estimation'!A105+"AM:!q9"</f>
        <v>#VALUE!</v>
      </c>
      <c r="IM26" t="e">
        <f>'Effort Estimation'!B105+"AM:!q:"</f>
        <v>#VALUE!</v>
      </c>
      <c r="IN26" t="e">
        <f>'Effort Estimation'!C105+"AM:!q;"</f>
        <v>#VALUE!</v>
      </c>
      <c r="IO26" t="e">
        <f>'Effort Estimation'!D105+"AM:!q&lt;"</f>
        <v>#VALUE!</v>
      </c>
      <c r="IP26" t="e">
        <f>'Effort Estimation'!E105+"AM:!q="</f>
        <v>#VALUE!</v>
      </c>
      <c r="IQ26" t="e">
        <f>'Effort Estimation'!F105+"AM:!q&gt;"</f>
        <v>#VALUE!</v>
      </c>
      <c r="IR26" t="e">
        <f>'Effort Estimation'!G105+"AM:!q?"</f>
        <v>#VALUE!</v>
      </c>
      <c r="IS26" t="e">
        <f>'Effort Estimation'!H105+"AM:!q@"</f>
        <v>#VALUE!</v>
      </c>
      <c r="IT26" t="e">
        <f>'Effort Estimation'!I105+"AM:!qA"</f>
        <v>#VALUE!</v>
      </c>
      <c r="IU26" s="99" t="e">
        <f>'Effort Estimation'!J105+"AM:!qB"</f>
        <v>#VALUE!</v>
      </c>
      <c r="IV26" s="99" t="e">
        <f>'Effort Estimation'!K105+"AM:!qC"</f>
        <v>#VALUE!</v>
      </c>
    </row>
    <row r="27" spans="6:256">
      <c r="F27" s="99" t="e">
        <f>'Effort Estimation'!L105+"AM:!qD"</f>
        <v>#VALUE!</v>
      </c>
      <c r="G27" s="99" t="e">
        <f>'Effort Estimation'!M105+"AM:!qE"</f>
        <v>#VALUE!</v>
      </c>
      <c r="H27" s="99" t="e">
        <f>'Effort Estimation'!N105+"AM:!qF"</f>
        <v>#VALUE!</v>
      </c>
      <c r="I27" s="99" t="e">
        <f>'Effort Estimation'!O105+"AM:!qG"</f>
        <v>#VALUE!</v>
      </c>
      <c r="J27" s="99" t="e">
        <f>'Effort Estimation'!P105+"AM:!qH"</f>
        <v>#VALUE!</v>
      </c>
      <c r="K27" s="99" t="e">
        <f>'Effort Estimation'!Q105+"AM:!qI"</f>
        <v>#VALUE!</v>
      </c>
      <c r="L27" t="e">
        <f>'Effort Estimation'!R105+"AM:!qJ"</f>
        <v>#VALUE!</v>
      </c>
      <c r="M27" t="e">
        <f>'Effort Estimation'!S105+"AM:!qK"</f>
        <v>#VALUE!</v>
      </c>
      <c r="N27" t="e">
        <f>'Effort Estimation'!T105+"AM:!qL"</f>
        <v>#VALUE!</v>
      </c>
      <c r="O27" t="e">
        <f>'Effort Estimation'!A106+"AM:!qM"</f>
        <v>#VALUE!</v>
      </c>
      <c r="P27" t="e">
        <f>'Effort Estimation'!B106+"AM:!qN"</f>
        <v>#VALUE!</v>
      </c>
      <c r="Q27" t="e">
        <f>'Effort Estimation'!C106+"AM:!qO"</f>
        <v>#VALUE!</v>
      </c>
      <c r="R27" t="e">
        <f>'Effort Estimation'!D106+"AM:!qP"</f>
        <v>#VALUE!</v>
      </c>
      <c r="S27" t="e">
        <f>'Effort Estimation'!E106+"AM:!qQ"</f>
        <v>#VALUE!</v>
      </c>
      <c r="T27" t="e">
        <f>'Effort Estimation'!F106+"AM:!qR"</f>
        <v>#VALUE!</v>
      </c>
      <c r="U27" t="e">
        <f>'Effort Estimation'!G106+"AM:!qS"</f>
        <v>#VALUE!</v>
      </c>
      <c r="V27" t="e">
        <f>'Effort Estimation'!H106+"AM:!qT"</f>
        <v>#VALUE!</v>
      </c>
      <c r="W27" t="e">
        <f>'Effort Estimation'!I106+"AM:!qU"</f>
        <v>#VALUE!</v>
      </c>
      <c r="X27" s="99" t="e">
        <f>'Effort Estimation'!J106+"AM:!qV"</f>
        <v>#VALUE!</v>
      </c>
      <c r="Y27" s="99" t="e">
        <f>'Effort Estimation'!K106+"AM:!qW"</f>
        <v>#VALUE!</v>
      </c>
      <c r="Z27" s="99" t="e">
        <f>'Effort Estimation'!L106+"AM:!qX"</f>
        <v>#VALUE!</v>
      </c>
      <c r="AA27" s="99" t="e">
        <f>'Effort Estimation'!M106+"AM:!qY"</f>
        <v>#VALUE!</v>
      </c>
      <c r="AB27" s="99" t="e">
        <f>'Effort Estimation'!N106+"AM:!qZ"</f>
        <v>#VALUE!</v>
      </c>
      <c r="AC27" s="99" t="e">
        <f>'Effort Estimation'!O106+"AM:!q["</f>
        <v>#VALUE!</v>
      </c>
      <c r="AD27" s="99" t="e">
        <f>'Effort Estimation'!P106+"AM:!q\"</f>
        <v>#VALUE!</v>
      </c>
      <c r="AE27" s="99" t="e">
        <f>'Effort Estimation'!Q106+"AM:!q]"</f>
        <v>#VALUE!</v>
      </c>
      <c r="AF27" t="e">
        <f>'Effort Estimation'!R106+"AM:!q^"</f>
        <v>#VALUE!</v>
      </c>
      <c r="AG27" t="e">
        <f>'Effort Estimation'!S106+"AM:!q_"</f>
        <v>#VALUE!</v>
      </c>
      <c r="AH27" t="e">
        <f>'Effort Estimation'!T106+"AM:!q`"</f>
        <v>#VALUE!</v>
      </c>
      <c r="AI27" t="e">
        <f>'Effort Estimation'!A107+"AM:!qa"</f>
        <v>#VALUE!</v>
      </c>
      <c r="AJ27" t="e">
        <f>'Effort Estimation'!B107+"AM:!qb"</f>
        <v>#VALUE!</v>
      </c>
      <c r="AK27" t="e">
        <f>'Effort Estimation'!C107+"AM:!qc"</f>
        <v>#VALUE!</v>
      </c>
      <c r="AL27" t="e">
        <f>'Effort Estimation'!D107+"AM:!qd"</f>
        <v>#VALUE!</v>
      </c>
      <c r="AM27" t="e">
        <f>'Effort Estimation'!E107+"AM:!qe"</f>
        <v>#VALUE!</v>
      </c>
      <c r="AN27" t="e">
        <f>'Effort Estimation'!F107+"AM:!qf"</f>
        <v>#VALUE!</v>
      </c>
      <c r="AO27" t="e">
        <f>'Effort Estimation'!G107+"AM:!qg"</f>
        <v>#VALUE!</v>
      </c>
      <c r="AP27" t="e">
        <f>'Effort Estimation'!H107+"AM:!qh"</f>
        <v>#VALUE!</v>
      </c>
      <c r="AQ27" t="e">
        <f>'Effort Estimation'!I107+"AM:!qi"</f>
        <v>#VALUE!</v>
      </c>
      <c r="AR27" s="99" t="e">
        <f>'Effort Estimation'!J107+"AM:!qj"</f>
        <v>#VALUE!</v>
      </c>
      <c r="AS27" s="99" t="e">
        <f>'Effort Estimation'!K107+"AM:!qk"</f>
        <v>#VALUE!</v>
      </c>
      <c r="AT27" s="99" t="e">
        <f>'Effort Estimation'!L107+"AM:!ql"</f>
        <v>#VALUE!</v>
      </c>
      <c r="AU27" s="99" t="e">
        <f>'Effort Estimation'!M107+"AM:!qm"</f>
        <v>#VALUE!</v>
      </c>
      <c r="AV27" s="99" t="e">
        <f>'Effort Estimation'!N107+"AM:!qn"</f>
        <v>#VALUE!</v>
      </c>
      <c r="AW27" s="99" t="e">
        <f>'Effort Estimation'!O107+"AM:!qo"</f>
        <v>#VALUE!</v>
      </c>
      <c r="AX27" s="99" t="e">
        <f>'Effort Estimation'!P107+"AM:!qp"</f>
        <v>#VALUE!</v>
      </c>
      <c r="AY27" s="99" t="e">
        <f>'Effort Estimation'!Q107+"AM:!qq"</f>
        <v>#VALUE!</v>
      </c>
      <c r="AZ27" t="e">
        <f>'Effort Estimation'!R107+"AM:!qr"</f>
        <v>#VALUE!</v>
      </c>
      <c r="BA27" t="e">
        <f>'Effort Estimation'!S107+"AM:!qs"</f>
        <v>#VALUE!</v>
      </c>
      <c r="BB27" t="e">
        <f>'Effort Estimation'!T107+"AM:!qt"</f>
        <v>#VALUE!</v>
      </c>
      <c r="BC27" t="e">
        <f>'Effort Estimation'!A108+"AM:!qu"</f>
        <v>#VALUE!</v>
      </c>
      <c r="BD27" t="e">
        <f>'Effort Estimation'!B108+"AM:!qv"</f>
        <v>#VALUE!</v>
      </c>
      <c r="BE27" t="e">
        <f>'Effort Estimation'!C108+"AM:!qw"</f>
        <v>#VALUE!</v>
      </c>
      <c r="BF27" t="e">
        <f>'Effort Estimation'!D108+"AM:!qx"</f>
        <v>#VALUE!</v>
      </c>
      <c r="BG27" t="e">
        <f>'Effort Estimation'!E108+"AM:!qy"</f>
        <v>#VALUE!</v>
      </c>
      <c r="BH27" t="e">
        <f>'Effort Estimation'!F108+"AM:!qz"</f>
        <v>#VALUE!</v>
      </c>
      <c r="BI27" t="e">
        <f>'Effort Estimation'!G108+"AM:!q{"</f>
        <v>#VALUE!</v>
      </c>
      <c r="BJ27" t="e">
        <f>'Effort Estimation'!H108+"AM:!q|"</f>
        <v>#VALUE!</v>
      </c>
      <c r="BK27" t="e">
        <f>'Effort Estimation'!I108+"AM:!q}"</f>
        <v>#VALUE!</v>
      </c>
      <c r="BL27" s="99" t="e">
        <f>'Effort Estimation'!J108+"AM:!q~"</f>
        <v>#VALUE!</v>
      </c>
      <c r="BM27" s="99" t="e">
        <f>'Effort Estimation'!K108+"AM:!r#"</f>
        <v>#VALUE!</v>
      </c>
      <c r="BN27" s="99" t="e">
        <f>'Effort Estimation'!L108+"AM:!r$"</f>
        <v>#VALUE!</v>
      </c>
      <c r="BO27" s="99" t="e">
        <f>'Effort Estimation'!M108+"AM:!r%"</f>
        <v>#VALUE!</v>
      </c>
      <c r="BP27" s="99" t="e">
        <f>'Effort Estimation'!N108+"AM:!r&amp;"</f>
        <v>#VALUE!</v>
      </c>
      <c r="BQ27" s="99" t="e">
        <f>'Effort Estimation'!O108+"AM:!r'"</f>
        <v>#VALUE!</v>
      </c>
      <c r="BR27" s="99" t="e">
        <f>'Effort Estimation'!P108+"AM:!r("</f>
        <v>#VALUE!</v>
      </c>
      <c r="BS27" s="99" t="e">
        <f>'Effort Estimation'!Q108+"AM:!r)"</f>
        <v>#VALUE!</v>
      </c>
      <c r="BT27" t="e">
        <f>'Effort Estimation'!R108+"AM:!r."</f>
        <v>#VALUE!</v>
      </c>
      <c r="BU27" t="e">
        <f>'Effort Estimation'!S108+"AM:!r/"</f>
        <v>#VALUE!</v>
      </c>
      <c r="BV27" t="e">
        <f>'Effort Estimation'!T108+"AM:!r0"</f>
        <v>#VALUE!</v>
      </c>
      <c r="BW27" t="e">
        <f>'Effort Estimation'!A109+"AM:!r1"</f>
        <v>#VALUE!</v>
      </c>
      <c r="BX27" t="e">
        <f>'Effort Estimation'!B109+"AM:!r2"</f>
        <v>#VALUE!</v>
      </c>
      <c r="BY27" t="e">
        <f>'Effort Estimation'!C109+"AM:!r3"</f>
        <v>#VALUE!</v>
      </c>
      <c r="BZ27" t="e">
        <f>'Effort Estimation'!D109+"AM:!r4"</f>
        <v>#VALUE!</v>
      </c>
      <c r="CA27" t="e">
        <f>'Effort Estimation'!E109+"AM:!r5"</f>
        <v>#VALUE!</v>
      </c>
      <c r="CB27" t="e">
        <f>'Effort Estimation'!F109+"AM:!r6"</f>
        <v>#VALUE!</v>
      </c>
      <c r="CC27" t="e">
        <f>'Effort Estimation'!G109+"AM:!r7"</f>
        <v>#VALUE!</v>
      </c>
      <c r="CD27" t="e">
        <f>'Effort Estimation'!H109+"AM:!r8"</f>
        <v>#VALUE!</v>
      </c>
      <c r="CE27" t="e">
        <f>'Effort Estimation'!I109+"AM:!r9"</f>
        <v>#VALUE!</v>
      </c>
      <c r="CF27" s="99" t="e">
        <f>'Effort Estimation'!J109+"AM:!r:"</f>
        <v>#VALUE!</v>
      </c>
      <c r="CG27" s="99" t="e">
        <f>'Effort Estimation'!K109+"AM:!r;"</f>
        <v>#VALUE!</v>
      </c>
      <c r="CH27" s="99" t="e">
        <f>'Effort Estimation'!L109+"AM:!r&lt;"</f>
        <v>#VALUE!</v>
      </c>
      <c r="CI27" s="99" t="e">
        <f>'Effort Estimation'!M109+"AM:!r="</f>
        <v>#VALUE!</v>
      </c>
      <c r="CJ27" s="99" t="e">
        <f>'Effort Estimation'!N109+"AM:!r&gt;"</f>
        <v>#VALUE!</v>
      </c>
      <c r="CK27" s="99" t="e">
        <f>'Effort Estimation'!O109+"AM:!r?"</f>
        <v>#VALUE!</v>
      </c>
      <c r="CL27" s="99" t="e">
        <f>'Effort Estimation'!P109+"AM:!r@"</f>
        <v>#VALUE!</v>
      </c>
      <c r="CM27" s="99" t="e">
        <f>'Effort Estimation'!Q109+"AM:!rA"</f>
        <v>#VALUE!</v>
      </c>
      <c r="CN27" t="e">
        <f>'Effort Estimation'!R109+"AM:!rB"</f>
        <v>#VALUE!</v>
      </c>
      <c r="CO27" t="e">
        <f>'Effort Estimation'!S109+"AM:!rC"</f>
        <v>#VALUE!</v>
      </c>
      <c r="CP27" t="e">
        <f>'Effort Estimation'!T109+"AM:!rD"</f>
        <v>#VALUE!</v>
      </c>
      <c r="CQ27" t="e">
        <f>'Effort Estimation'!A110+"AM:!rE"</f>
        <v>#VALUE!</v>
      </c>
      <c r="CR27" t="e">
        <f>'Effort Estimation'!B110+"AM:!rF"</f>
        <v>#VALUE!</v>
      </c>
      <c r="CS27" t="e">
        <f>'Effort Estimation'!C110+"AM:!rG"</f>
        <v>#VALUE!</v>
      </c>
      <c r="CT27" t="e">
        <f>'Effort Estimation'!D110+"AM:!rH"</f>
        <v>#VALUE!</v>
      </c>
      <c r="CU27" t="e">
        <f>'Effort Estimation'!E110+"AM:!rI"</f>
        <v>#VALUE!</v>
      </c>
      <c r="CV27" t="e">
        <f>'Effort Estimation'!F110+"AM:!rJ"</f>
        <v>#VALUE!</v>
      </c>
      <c r="CW27" t="e">
        <f>'Effort Estimation'!G110+"AM:!rK"</f>
        <v>#VALUE!</v>
      </c>
      <c r="CX27" t="e">
        <f>'Effort Estimation'!H110+"AM:!rL"</f>
        <v>#VALUE!</v>
      </c>
      <c r="CY27" t="e">
        <f>'Effort Estimation'!I110+"AM:!rM"</f>
        <v>#VALUE!</v>
      </c>
      <c r="CZ27" s="99" t="e">
        <f>'Effort Estimation'!J110+"AM:!rN"</f>
        <v>#VALUE!</v>
      </c>
      <c r="DA27" s="99" t="e">
        <f>'Effort Estimation'!K110+"AM:!rO"</f>
        <v>#VALUE!</v>
      </c>
      <c r="DB27" s="99" t="e">
        <f>'Effort Estimation'!L110+"AM:!rP"</f>
        <v>#VALUE!</v>
      </c>
      <c r="DC27" s="99" t="e">
        <f>'Effort Estimation'!M110+"AM:!rQ"</f>
        <v>#VALUE!</v>
      </c>
      <c r="DD27" s="99" t="e">
        <f>'Effort Estimation'!N110+"AM:!rR"</f>
        <v>#VALUE!</v>
      </c>
      <c r="DE27" s="99" t="e">
        <f>'Effort Estimation'!O110+"AM:!rS"</f>
        <v>#VALUE!</v>
      </c>
      <c r="DF27" s="99" t="e">
        <f>'Effort Estimation'!P110+"AM:!rT"</f>
        <v>#VALUE!</v>
      </c>
      <c r="DG27" s="99" t="e">
        <f>'Effort Estimation'!Q110+"AM:!rU"</f>
        <v>#VALUE!</v>
      </c>
      <c r="DH27" t="e">
        <f>'Effort Estimation'!R110+"AM:!rV"</f>
        <v>#VALUE!</v>
      </c>
      <c r="DI27" t="e">
        <f>'Effort Estimation'!S110+"AM:!rW"</f>
        <v>#VALUE!</v>
      </c>
      <c r="DJ27" t="e">
        <f>'Effort Estimation'!T110+"AM:!rX"</f>
        <v>#VALUE!</v>
      </c>
      <c r="DK27" t="e">
        <f>'Effort Estimation'!A111+"AM:!rY"</f>
        <v>#VALUE!</v>
      </c>
      <c r="DL27" t="e">
        <f>'Effort Estimation'!B111+"AM:!rZ"</f>
        <v>#VALUE!</v>
      </c>
      <c r="DM27" t="e">
        <f>'Effort Estimation'!C111+"AM:!r["</f>
        <v>#VALUE!</v>
      </c>
      <c r="DN27" t="e">
        <f>'Effort Estimation'!D111+"AM:!r\"</f>
        <v>#VALUE!</v>
      </c>
      <c r="DO27" t="e">
        <f>'Effort Estimation'!E111+"AM:!r]"</f>
        <v>#VALUE!</v>
      </c>
      <c r="DP27" t="e">
        <f>'Effort Estimation'!F111+"AM:!r^"</f>
        <v>#VALUE!</v>
      </c>
      <c r="DQ27" t="e">
        <f>'Effort Estimation'!G111+"AM:!r_"</f>
        <v>#VALUE!</v>
      </c>
      <c r="DR27" t="e">
        <f>'Effort Estimation'!H111+"AM:!r`"</f>
        <v>#VALUE!</v>
      </c>
      <c r="DS27" t="e">
        <f>'Effort Estimation'!I111+"AM:!ra"</f>
        <v>#VALUE!</v>
      </c>
      <c r="DT27" s="99" t="e">
        <f>'Effort Estimation'!J111+"AM:!rb"</f>
        <v>#VALUE!</v>
      </c>
      <c r="DU27" s="99" t="e">
        <f>'Effort Estimation'!K111+"AM:!rc"</f>
        <v>#VALUE!</v>
      </c>
      <c r="DV27" s="99" t="e">
        <f>'Effort Estimation'!L111+"AM:!rd"</f>
        <v>#VALUE!</v>
      </c>
      <c r="DW27" s="99" t="e">
        <f>'Effort Estimation'!M111+"AM:!re"</f>
        <v>#VALUE!</v>
      </c>
      <c r="DX27" s="99" t="e">
        <f>'Effort Estimation'!N111+"AM:!rf"</f>
        <v>#VALUE!</v>
      </c>
      <c r="DY27" s="99" t="e">
        <f>'Effort Estimation'!O111+"AM:!rg"</f>
        <v>#VALUE!</v>
      </c>
      <c r="DZ27" s="99" t="e">
        <f>'Effort Estimation'!P111+"AM:!rh"</f>
        <v>#VALUE!</v>
      </c>
      <c r="EA27" s="99" t="e">
        <f>'Effort Estimation'!Q111+"AM:!ri"</f>
        <v>#VALUE!</v>
      </c>
      <c r="EB27" t="e">
        <f>'Effort Estimation'!R111+"AM:!rj"</f>
        <v>#VALUE!</v>
      </c>
      <c r="EC27" t="e">
        <f>'Effort Estimation'!S111+"AM:!rk"</f>
        <v>#VALUE!</v>
      </c>
      <c r="ED27" t="e">
        <f>'Effort Estimation'!T111+"AM:!rl"</f>
        <v>#VALUE!</v>
      </c>
      <c r="EE27" t="e">
        <f>'Effort Estimation'!A112+"AM:!rm"</f>
        <v>#VALUE!</v>
      </c>
      <c r="EF27" t="e">
        <f>'Effort Estimation'!B112+"AM:!rn"</f>
        <v>#VALUE!</v>
      </c>
      <c r="EG27" t="e">
        <f>'Effort Estimation'!C112+"AM:!ro"</f>
        <v>#VALUE!</v>
      </c>
      <c r="EH27" t="e">
        <f>'Effort Estimation'!D112+"AM:!rp"</f>
        <v>#VALUE!</v>
      </c>
      <c r="EI27" t="e">
        <f>'Effort Estimation'!E112+"AM:!rq"</f>
        <v>#VALUE!</v>
      </c>
      <c r="EJ27" t="e">
        <f>'Effort Estimation'!F112+"AM:!rr"</f>
        <v>#VALUE!</v>
      </c>
      <c r="EK27" t="e">
        <f>'Effort Estimation'!G112+"AM:!rs"</f>
        <v>#VALUE!</v>
      </c>
      <c r="EL27" t="e">
        <f>'Effort Estimation'!H112+"AM:!rt"</f>
        <v>#VALUE!</v>
      </c>
      <c r="EM27" t="e">
        <f>'Effort Estimation'!I112+"AM:!ru"</f>
        <v>#VALUE!</v>
      </c>
      <c r="EN27" s="99" t="e">
        <f>'Effort Estimation'!J112+"AM:!rv"</f>
        <v>#VALUE!</v>
      </c>
      <c r="EO27" s="99" t="e">
        <f>'Effort Estimation'!K112+"AM:!rw"</f>
        <v>#VALUE!</v>
      </c>
      <c r="EP27" s="99" t="e">
        <f>'Effort Estimation'!L112+"AM:!rx"</f>
        <v>#VALUE!</v>
      </c>
      <c r="EQ27" s="99" t="e">
        <f>'Effort Estimation'!M112+"AM:!ry"</f>
        <v>#VALUE!</v>
      </c>
      <c r="ER27" s="99" t="e">
        <f>'Effort Estimation'!N112+"AM:!rz"</f>
        <v>#VALUE!</v>
      </c>
      <c r="ES27" s="99" t="e">
        <f>'Effort Estimation'!O112+"AM:!r{"</f>
        <v>#VALUE!</v>
      </c>
      <c r="ET27" s="99" t="e">
        <f>'Effort Estimation'!P112+"AM:!r|"</f>
        <v>#VALUE!</v>
      </c>
      <c r="EU27" s="99" t="e">
        <f>'Effort Estimation'!Q112+"AM:!r}"</f>
        <v>#VALUE!</v>
      </c>
      <c r="EV27" t="e">
        <f>'Effort Estimation'!R112+"AM:!r~"</f>
        <v>#VALUE!</v>
      </c>
      <c r="EW27" t="e">
        <f>'Effort Estimation'!S112+"AM:!s#"</f>
        <v>#VALUE!</v>
      </c>
      <c r="EX27" t="e">
        <f>'Effort Estimation'!T112+"AM:!s$"</f>
        <v>#VALUE!</v>
      </c>
      <c r="EY27" t="e">
        <f>'Effort Estimation'!A113+"AM:!s%"</f>
        <v>#VALUE!</v>
      </c>
      <c r="EZ27" t="e">
        <f>'Effort Estimation'!B113+"AM:!s&amp;"</f>
        <v>#VALUE!</v>
      </c>
      <c r="FA27" t="e">
        <f>'Effort Estimation'!C113+"AM:!s'"</f>
        <v>#VALUE!</v>
      </c>
      <c r="FB27" t="e">
        <f>'Effort Estimation'!D113+"AM:!s("</f>
        <v>#VALUE!</v>
      </c>
      <c r="FC27" t="e">
        <f>'Effort Estimation'!E113+"AM:!s)"</f>
        <v>#VALUE!</v>
      </c>
      <c r="FD27" t="e">
        <f>'Effort Estimation'!F113+"AM:!s."</f>
        <v>#VALUE!</v>
      </c>
      <c r="FE27" t="e">
        <f>'Effort Estimation'!G113+"AM:!s/"</f>
        <v>#VALUE!</v>
      </c>
      <c r="FF27" t="e">
        <f>'Effort Estimation'!H113+"AM:!s0"</f>
        <v>#VALUE!</v>
      </c>
      <c r="FG27" t="e">
        <f>'Effort Estimation'!I113+"AM:!s1"</f>
        <v>#VALUE!</v>
      </c>
      <c r="FH27" s="99" t="e">
        <f>'Effort Estimation'!J113+"AM:!s2"</f>
        <v>#VALUE!</v>
      </c>
      <c r="FI27" s="99" t="e">
        <f>'Effort Estimation'!K113+"AM:!s3"</f>
        <v>#VALUE!</v>
      </c>
      <c r="FJ27" s="99" t="e">
        <f>'Effort Estimation'!L113+"AM:!s4"</f>
        <v>#VALUE!</v>
      </c>
      <c r="FK27" s="99" t="e">
        <f>'Effort Estimation'!M113+"AM:!s5"</f>
        <v>#VALUE!</v>
      </c>
      <c r="FL27" s="99" t="e">
        <f>'Effort Estimation'!N113+"AM:!s6"</f>
        <v>#VALUE!</v>
      </c>
      <c r="FM27" s="99" t="e">
        <f>'Effort Estimation'!O113+"AM:!s7"</f>
        <v>#VALUE!</v>
      </c>
      <c r="FN27" s="99" t="e">
        <f>'Effort Estimation'!P113+"AM:!s8"</f>
        <v>#VALUE!</v>
      </c>
      <c r="FO27" s="99" t="e">
        <f>'Effort Estimation'!Q113+"AM:!s9"</f>
        <v>#VALUE!</v>
      </c>
      <c r="FP27" t="e">
        <f>'Effort Estimation'!R113+"AM:!s:"</f>
        <v>#VALUE!</v>
      </c>
      <c r="FQ27" t="e">
        <f>'Effort Estimation'!S113+"AM:!s;"</f>
        <v>#VALUE!</v>
      </c>
      <c r="FR27" t="e">
        <f>'Effort Estimation'!T113+"AM:!s&lt;"</f>
        <v>#VALUE!</v>
      </c>
      <c r="FS27" t="e">
        <f>'Effort Estimation'!A114+"AM:!s="</f>
        <v>#VALUE!</v>
      </c>
      <c r="FT27" t="e">
        <f>'Effort Estimation'!B114+"AM:!s&gt;"</f>
        <v>#VALUE!</v>
      </c>
      <c r="FU27" t="e">
        <f>'Effort Estimation'!C114+"AM:!s?"</f>
        <v>#VALUE!</v>
      </c>
      <c r="FV27" t="e">
        <f>'Effort Estimation'!D114+"AM:!s@"</f>
        <v>#VALUE!</v>
      </c>
      <c r="FW27" t="e">
        <f>'Effort Estimation'!E114+"AM:!sA"</f>
        <v>#VALUE!</v>
      </c>
      <c r="FX27" t="e">
        <f>'Effort Estimation'!F114+"AM:!sB"</f>
        <v>#VALUE!</v>
      </c>
      <c r="FY27" t="e">
        <f>'Effort Estimation'!G114+"AM:!sC"</f>
        <v>#VALUE!</v>
      </c>
      <c r="FZ27" t="e">
        <f>'Effort Estimation'!H114+"AM:!sD"</f>
        <v>#VALUE!</v>
      </c>
      <c r="GA27" t="e">
        <f>'Effort Estimation'!I114+"AM:!sE"</f>
        <v>#VALUE!</v>
      </c>
      <c r="GB27" s="99" t="e">
        <f>'Effort Estimation'!J114+"AM:!sF"</f>
        <v>#VALUE!</v>
      </c>
      <c r="GC27" s="99" t="e">
        <f>'Effort Estimation'!K114+"AM:!sG"</f>
        <v>#VALUE!</v>
      </c>
      <c r="GD27" s="99" t="e">
        <f>'Effort Estimation'!L114+"AM:!sH"</f>
        <v>#VALUE!</v>
      </c>
      <c r="GE27" s="99" t="e">
        <f>'Effort Estimation'!M114+"AM:!sI"</f>
        <v>#VALUE!</v>
      </c>
      <c r="GF27" s="99" t="e">
        <f>'Effort Estimation'!N114+"AM:!sJ"</f>
        <v>#VALUE!</v>
      </c>
      <c r="GG27" s="99" t="e">
        <f>'Effort Estimation'!O114+"AM:!sK"</f>
        <v>#VALUE!</v>
      </c>
      <c r="GH27" s="99" t="e">
        <f>'Effort Estimation'!P114+"AM:!sL"</f>
        <v>#VALUE!</v>
      </c>
      <c r="GI27" s="99" t="e">
        <f>'Effort Estimation'!Q114+"AM:!sM"</f>
        <v>#VALUE!</v>
      </c>
      <c r="GJ27" t="e">
        <f>'Effort Estimation'!R114+"AM:!sN"</f>
        <v>#VALUE!</v>
      </c>
      <c r="GK27" t="e">
        <f>'Effort Estimation'!S114+"AM:!sO"</f>
        <v>#VALUE!</v>
      </c>
      <c r="GL27" t="e">
        <f>'Effort Estimation'!T114+"AM:!sP"</f>
        <v>#VALUE!</v>
      </c>
      <c r="GM27" t="e">
        <f>'Effort Estimation'!A115+"AM:!sQ"</f>
        <v>#VALUE!</v>
      </c>
      <c r="GN27" t="e">
        <f>'Effort Estimation'!B115+"AM:!sR"</f>
        <v>#VALUE!</v>
      </c>
      <c r="GO27" t="e">
        <f>'Effort Estimation'!C115+"AM:!sS"</f>
        <v>#VALUE!</v>
      </c>
      <c r="GP27" t="e">
        <f>'Effort Estimation'!D115+"AM:!sT"</f>
        <v>#VALUE!</v>
      </c>
      <c r="GQ27" t="e">
        <f>'Effort Estimation'!E115+"AM:!sU"</f>
        <v>#VALUE!</v>
      </c>
      <c r="GR27" t="e">
        <f>'Effort Estimation'!F115+"AM:!sV"</f>
        <v>#VALUE!</v>
      </c>
      <c r="GS27" t="e">
        <f>'Effort Estimation'!G115+"AM:!sW"</f>
        <v>#VALUE!</v>
      </c>
      <c r="GT27" t="e">
        <f>'Effort Estimation'!H115+"AM:!sX"</f>
        <v>#VALUE!</v>
      </c>
      <c r="GU27" t="e">
        <f>'Effort Estimation'!I115+"AM:!sY"</f>
        <v>#VALUE!</v>
      </c>
      <c r="GV27" s="99" t="e">
        <f>'Effort Estimation'!J115+"AM:!sZ"</f>
        <v>#VALUE!</v>
      </c>
      <c r="GW27" s="99" t="e">
        <f>'Effort Estimation'!K115+"AM:!s["</f>
        <v>#VALUE!</v>
      </c>
      <c r="GX27" s="99" t="e">
        <f>'Effort Estimation'!L115+"AM:!s\"</f>
        <v>#VALUE!</v>
      </c>
      <c r="GY27" s="99" t="e">
        <f>'Effort Estimation'!M115+"AM:!s]"</f>
        <v>#VALUE!</v>
      </c>
      <c r="GZ27" s="99" t="e">
        <f>'Effort Estimation'!N115+"AM:!s^"</f>
        <v>#VALUE!</v>
      </c>
      <c r="HA27" s="99" t="e">
        <f>'Effort Estimation'!O115+"AM:!s_"</f>
        <v>#VALUE!</v>
      </c>
      <c r="HB27" s="99" t="e">
        <f>'Effort Estimation'!P115+"AM:!s`"</f>
        <v>#VALUE!</v>
      </c>
      <c r="HC27" s="99" t="e">
        <f>'Effort Estimation'!Q115+"AM:!sa"</f>
        <v>#VALUE!</v>
      </c>
      <c r="HD27" t="e">
        <f>'Effort Estimation'!R115+"AM:!sb"</f>
        <v>#VALUE!</v>
      </c>
      <c r="HE27" t="e">
        <f>'Effort Estimation'!S115+"AM:!sc"</f>
        <v>#VALUE!</v>
      </c>
      <c r="HF27" t="e">
        <f>'Effort Estimation'!T115+"AM:!sd"</f>
        <v>#VALUE!</v>
      </c>
      <c r="HG27" t="e">
        <f>'Effort Estimation'!A116+"AM:!se"</f>
        <v>#VALUE!</v>
      </c>
      <c r="HH27" t="e">
        <f>'Effort Estimation'!B116+"AM:!sf"</f>
        <v>#VALUE!</v>
      </c>
      <c r="HI27" t="e">
        <f>'Effort Estimation'!C116+"AM:!sg"</f>
        <v>#VALUE!</v>
      </c>
      <c r="HJ27" t="e">
        <f>'Effort Estimation'!D116+"AM:!sh"</f>
        <v>#VALUE!</v>
      </c>
      <c r="HK27" t="e">
        <f>'Effort Estimation'!E116+"AM:!si"</f>
        <v>#VALUE!</v>
      </c>
      <c r="HL27" t="e">
        <f>'Effort Estimation'!F116+"AM:!sj"</f>
        <v>#VALUE!</v>
      </c>
      <c r="HM27" t="e">
        <f>'Effort Estimation'!G116+"AM:!sk"</f>
        <v>#VALUE!</v>
      </c>
      <c r="HN27" t="e">
        <f>'Effort Estimation'!H116+"AM:!sl"</f>
        <v>#VALUE!</v>
      </c>
      <c r="HO27" t="e">
        <f>'Effort Estimation'!I116+"AM:!sm"</f>
        <v>#VALUE!</v>
      </c>
      <c r="HP27" s="99" t="e">
        <f>'Effort Estimation'!J116+"AM:!sn"</f>
        <v>#VALUE!</v>
      </c>
      <c r="HQ27" s="99" t="e">
        <f>'Effort Estimation'!K116+"AM:!so"</f>
        <v>#VALUE!</v>
      </c>
      <c r="HR27" s="99" t="e">
        <f>'Effort Estimation'!L116+"AM:!sp"</f>
        <v>#VALUE!</v>
      </c>
      <c r="HS27" s="99" t="e">
        <f>'Effort Estimation'!M116+"AM:!sq"</f>
        <v>#VALUE!</v>
      </c>
      <c r="HT27" s="99" t="e">
        <f>'Effort Estimation'!N116+"AM:!sr"</f>
        <v>#VALUE!</v>
      </c>
      <c r="HU27" s="99" t="e">
        <f>'Effort Estimation'!O116+"AM:!ss"</f>
        <v>#VALUE!</v>
      </c>
      <c r="HV27" s="99" t="e">
        <f>'Effort Estimation'!P116+"AM:!st"</f>
        <v>#VALUE!</v>
      </c>
      <c r="HW27" s="99" t="e">
        <f>'Effort Estimation'!Q116+"AM:!su"</f>
        <v>#VALUE!</v>
      </c>
      <c r="HX27" t="e">
        <f>'Effort Estimation'!R116+"AM:!sv"</f>
        <v>#VALUE!</v>
      </c>
      <c r="HY27" t="e">
        <f>'Effort Estimation'!S116+"AM:!sw"</f>
        <v>#VALUE!</v>
      </c>
      <c r="HZ27" t="e">
        <f>'Effort Estimation'!T116+"AM:!sx"</f>
        <v>#VALUE!</v>
      </c>
      <c r="IA27" t="e">
        <f>'Effort Estimation'!A117+"AM:!sy"</f>
        <v>#VALUE!</v>
      </c>
      <c r="IB27" t="e">
        <f>'Effort Estimation'!B117+"AM:!sz"</f>
        <v>#VALUE!</v>
      </c>
      <c r="IC27" t="e">
        <f>'Effort Estimation'!C117+"AM:!s{"</f>
        <v>#VALUE!</v>
      </c>
      <c r="ID27" t="e">
        <f>'Effort Estimation'!D117+"AM:!s|"</f>
        <v>#VALUE!</v>
      </c>
      <c r="IE27" t="e">
        <f>'Effort Estimation'!E117+"AM:!s}"</f>
        <v>#VALUE!</v>
      </c>
      <c r="IF27" t="e">
        <f>'Effort Estimation'!F117+"AM:!s~"</f>
        <v>#VALUE!</v>
      </c>
      <c r="IG27" t="e">
        <f>'Effort Estimation'!G117+"AM:!t#"</f>
        <v>#VALUE!</v>
      </c>
      <c r="IH27" t="e">
        <f>'Effort Estimation'!H117+"AM:!t$"</f>
        <v>#VALUE!</v>
      </c>
      <c r="II27" t="e">
        <f>'Effort Estimation'!I117+"AM:!t%"</f>
        <v>#VALUE!</v>
      </c>
      <c r="IJ27" s="99" t="e">
        <f>'Effort Estimation'!J117+"AM:!t&amp;"</f>
        <v>#VALUE!</v>
      </c>
      <c r="IK27" s="99" t="e">
        <f>'Effort Estimation'!K117+"AM:!t'"</f>
        <v>#VALUE!</v>
      </c>
      <c r="IL27" s="99" t="e">
        <f>'Effort Estimation'!L117+"AM:!t("</f>
        <v>#VALUE!</v>
      </c>
      <c r="IM27" s="99" t="e">
        <f>'Effort Estimation'!M117+"AM:!t)"</f>
        <v>#VALUE!</v>
      </c>
      <c r="IN27" s="99" t="e">
        <f>'Effort Estimation'!N117+"AM:!t."</f>
        <v>#VALUE!</v>
      </c>
      <c r="IO27" s="99" t="e">
        <f>'Effort Estimation'!O117+"AM:!t/"</f>
        <v>#VALUE!</v>
      </c>
      <c r="IP27" s="99" t="e">
        <f>'Effort Estimation'!P117+"AM:!t0"</f>
        <v>#VALUE!</v>
      </c>
      <c r="IQ27" s="99" t="e">
        <f>'Effort Estimation'!Q117+"AM:!t1"</f>
        <v>#VALUE!</v>
      </c>
      <c r="IR27" t="e">
        <f>'Effort Estimation'!R117+"AM:!t2"</f>
        <v>#VALUE!</v>
      </c>
      <c r="IS27" t="e">
        <f>'Effort Estimation'!S117+"AM:!t3"</f>
        <v>#VALUE!</v>
      </c>
      <c r="IT27" t="e">
        <f>'Effort Estimation'!T117+"AM:!t4"</f>
        <v>#VALUE!</v>
      </c>
      <c r="IU27" t="e">
        <f>'Effort Estimation'!A118+"AM:!t5"</f>
        <v>#VALUE!</v>
      </c>
      <c r="IV27" t="e">
        <f>'Effort Estimation'!B118+"AM:!t6"</f>
        <v>#VALUE!</v>
      </c>
    </row>
    <row r="28" spans="6:256">
      <c r="F28" t="e">
        <f>'Effort Estimation'!C118+"AM:!t7"</f>
        <v>#VALUE!</v>
      </c>
      <c r="G28" t="e">
        <f>'Effort Estimation'!D118+"AM:!t8"</f>
        <v>#VALUE!</v>
      </c>
      <c r="H28" t="e">
        <f>'Effort Estimation'!E118+"AM:!t9"</f>
        <v>#VALUE!</v>
      </c>
      <c r="I28" t="e">
        <f>'Effort Estimation'!F118+"AM:!t:"</f>
        <v>#VALUE!</v>
      </c>
      <c r="J28" t="e">
        <f>'Effort Estimation'!G118+"AM:!t;"</f>
        <v>#VALUE!</v>
      </c>
      <c r="K28" t="e">
        <f>'Effort Estimation'!H118+"AM:!t&lt;"</f>
        <v>#VALUE!</v>
      </c>
      <c r="L28" t="e">
        <f>'Effort Estimation'!I118+"AM:!t="</f>
        <v>#VALUE!</v>
      </c>
      <c r="M28" s="99" t="e">
        <f>'Effort Estimation'!J118+"AM:!t&gt;"</f>
        <v>#VALUE!</v>
      </c>
      <c r="N28" s="99" t="e">
        <f>'Effort Estimation'!K118+"AM:!t?"</f>
        <v>#VALUE!</v>
      </c>
      <c r="O28" s="99" t="e">
        <f>'Effort Estimation'!L118+"AM:!t@"</f>
        <v>#VALUE!</v>
      </c>
      <c r="P28" s="99" t="e">
        <f>'Effort Estimation'!M118+"AM:!tA"</f>
        <v>#VALUE!</v>
      </c>
      <c r="Q28" s="99" t="e">
        <f>'Effort Estimation'!N118+"AM:!tB"</f>
        <v>#VALUE!</v>
      </c>
      <c r="R28" s="99" t="e">
        <f>'Effort Estimation'!O118+"AM:!tC"</f>
        <v>#VALUE!</v>
      </c>
      <c r="S28" s="99" t="e">
        <f>'Effort Estimation'!P118+"AM:!tD"</f>
        <v>#VALUE!</v>
      </c>
      <c r="T28" s="99" t="e">
        <f>'Effort Estimation'!Q118+"AM:!tE"</f>
        <v>#VALUE!</v>
      </c>
      <c r="U28" t="e">
        <f>'Effort Estimation'!R118+"AM:!tF"</f>
        <v>#VALUE!</v>
      </c>
      <c r="V28" t="e">
        <f>'Effort Estimation'!S118+"AM:!tG"</f>
        <v>#VALUE!</v>
      </c>
      <c r="W28" t="e">
        <f>'Effort Estimation'!T118+"AM:!tH"</f>
        <v>#VALUE!</v>
      </c>
      <c r="X28" t="e">
        <f>'Effort Estimation'!A119+"AM:!tI"</f>
        <v>#VALUE!</v>
      </c>
      <c r="Y28" t="e">
        <f>'Effort Estimation'!B119+"AM:!tJ"</f>
        <v>#VALUE!</v>
      </c>
      <c r="Z28" t="e">
        <f>'Effort Estimation'!C119+"AM:!tK"</f>
        <v>#VALUE!</v>
      </c>
      <c r="AA28" t="e">
        <f>'Effort Estimation'!D119+"AM:!tL"</f>
        <v>#VALUE!</v>
      </c>
      <c r="AB28" t="e">
        <f>'Effort Estimation'!E119+"AM:!tM"</f>
        <v>#VALUE!</v>
      </c>
      <c r="AC28" t="e">
        <f>'Effort Estimation'!F119+"AM:!tN"</f>
        <v>#VALUE!</v>
      </c>
      <c r="AD28" t="e">
        <f>'Effort Estimation'!G119+"AM:!tO"</f>
        <v>#VALUE!</v>
      </c>
      <c r="AE28" t="e">
        <f>'Effort Estimation'!H119+"AM:!tP"</f>
        <v>#VALUE!</v>
      </c>
      <c r="AF28" t="e">
        <f>'Effort Estimation'!I119+"AM:!tQ"</f>
        <v>#VALUE!</v>
      </c>
      <c r="AG28" s="99" t="e">
        <f>'Effort Estimation'!J119+"AM:!tR"</f>
        <v>#VALUE!</v>
      </c>
      <c r="AH28" s="99" t="e">
        <f>'Effort Estimation'!K119+"AM:!tS"</f>
        <v>#VALUE!</v>
      </c>
      <c r="AI28" s="99" t="e">
        <f>'Effort Estimation'!L119+"AM:!tT"</f>
        <v>#VALUE!</v>
      </c>
      <c r="AJ28" s="99" t="e">
        <f>'Effort Estimation'!M119+"AM:!tU"</f>
        <v>#VALUE!</v>
      </c>
      <c r="AK28" s="99" t="e">
        <f>'Effort Estimation'!N119+"AM:!tV"</f>
        <v>#VALUE!</v>
      </c>
      <c r="AL28" s="99" t="e">
        <f>'Effort Estimation'!O119+"AM:!tW"</f>
        <v>#VALUE!</v>
      </c>
      <c r="AM28" s="99" t="e">
        <f>'Effort Estimation'!P119+"AM:!tX"</f>
        <v>#VALUE!</v>
      </c>
      <c r="AN28" s="99" t="e">
        <f>'Effort Estimation'!Q119+"AM:!tY"</f>
        <v>#VALUE!</v>
      </c>
      <c r="AO28" t="e">
        <f>'Effort Estimation'!R119+"AM:!tZ"</f>
        <v>#VALUE!</v>
      </c>
      <c r="AP28" t="e">
        <f>'Effort Estimation'!S119+"AM:!t["</f>
        <v>#VALUE!</v>
      </c>
      <c r="AQ28" t="e">
        <f>'Effort Estimation'!T119+"AM:!t\"</f>
        <v>#VALUE!</v>
      </c>
      <c r="AR28" t="e">
        <f>'Effort Estimation'!A120+"AM:!t]"</f>
        <v>#VALUE!</v>
      </c>
      <c r="AS28" t="e">
        <f>'Effort Estimation'!B120+"AM:!t^"</f>
        <v>#VALUE!</v>
      </c>
      <c r="AT28" t="e">
        <f>'Effort Estimation'!C120+"AM:!t_"</f>
        <v>#VALUE!</v>
      </c>
      <c r="AU28" t="e">
        <f>'Effort Estimation'!D120+"AM:!t`"</f>
        <v>#VALUE!</v>
      </c>
      <c r="AV28" t="e">
        <f>'Effort Estimation'!E120+"AM:!ta"</f>
        <v>#VALUE!</v>
      </c>
      <c r="AW28" t="e">
        <f>'Effort Estimation'!F120+"AM:!tb"</f>
        <v>#VALUE!</v>
      </c>
      <c r="AX28" t="e">
        <f>'Effort Estimation'!G120+"AM:!tc"</f>
        <v>#VALUE!</v>
      </c>
      <c r="AY28" t="e">
        <f>'Effort Estimation'!H120+"AM:!td"</f>
        <v>#VALUE!</v>
      </c>
      <c r="AZ28" t="e">
        <f>'Effort Estimation'!I120+"AM:!te"</f>
        <v>#VALUE!</v>
      </c>
      <c r="BA28" s="99" t="e">
        <f>'Effort Estimation'!J120+"AM:!tf"</f>
        <v>#VALUE!</v>
      </c>
      <c r="BB28" s="99" t="e">
        <f>'Effort Estimation'!K120+"AM:!tg"</f>
        <v>#VALUE!</v>
      </c>
      <c r="BC28" s="99" t="e">
        <f>'Effort Estimation'!L120+"AM:!th"</f>
        <v>#VALUE!</v>
      </c>
      <c r="BD28" s="99" t="e">
        <f>'Effort Estimation'!M120+"AM:!ti"</f>
        <v>#VALUE!</v>
      </c>
      <c r="BE28" s="99" t="e">
        <f>'Effort Estimation'!N120+"AM:!tj"</f>
        <v>#VALUE!</v>
      </c>
      <c r="BF28" s="99" t="e">
        <f>'Effort Estimation'!O120+"AM:!tk"</f>
        <v>#VALUE!</v>
      </c>
      <c r="BG28" s="99" t="e">
        <f>'Effort Estimation'!P120+"AM:!tl"</f>
        <v>#VALUE!</v>
      </c>
      <c r="BH28" s="99" t="e">
        <f>'Effort Estimation'!Q120+"AM:!tm"</f>
        <v>#VALUE!</v>
      </c>
      <c r="BI28" t="e">
        <f>'Effort Estimation'!R120+"AM:!tn"</f>
        <v>#VALUE!</v>
      </c>
      <c r="BJ28" t="e">
        <f>'Effort Estimation'!S120+"AM:!to"</f>
        <v>#VALUE!</v>
      </c>
      <c r="BK28" t="e">
        <f>'Effort Estimation'!T120+"AM:!tp"</f>
        <v>#VALUE!</v>
      </c>
      <c r="BL28" t="e">
        <f>'Effort Estimation'!A121+"AM:!tq"</f>
        <v>#VALUE!</v>
      </c>
      <c r="BM28" t="e">
        <f>'Effort Estimation'!B121+"AM:!tr"</f>
        <v>#VALUE!</v>
      </c>
      <c r="BN28" t="e">
        <f>'Effort Estimation'!C121+"AM:!ts"</f>
        <v>#VALUE!</v>
      </c>
      <c r="BO28" t="e">
        <f>'Effort Estimation'!D121+"AM:!tt"</f>
        <v>#VALUE!</v>
      </c>
      <c r="BP28" t="e">
        <f>'Effort Estimation'!E121+"AM:!tu"</f>
        <v>#VALUE!</v>
      </c>
      <c r="BQ28" t="e">
        <f>'Effort Estimation'!F121+"AM:!tv"</f>
        <v>#VALUE!</v>
      </c>
      <c r="BR28" t="e">
        <f>'Effort Estimation'!G121+"AM:!tw"</f>
        <v>#VALUE!</v>
      </c>
      <c r="BS28" t="e">
        <f>'Effort Estimation'!H121+"AM:!tx"</f>
        <v>#VALUE!</v>
      </c>
      <c r="BT28" t="e">
        <f>'Effort Estimation'!I121+"AM:!ty"</f>
        <v>#VALUE!</v>
      </c>
      <c r="BU28" s="99" t="e">
        <f>'Effort Estimation'!J121+"AM:!tz"</f>
        <v>#VALUE!</v>
      </c>
      <c r="BV28" s="99" t="e">
        <f>'Effort Estimation'!K121+"AM:!t{"</f>
        <v>#VALUE!</v>
      </c>
      <c r="BW28" s="99" t="e">
        <f>'Effort Estimation'!L121+"AM:!t|"</f>
        <v>#VALUE!</v>
      </c>
      <c r="BX28" s="99" t="e">
        <f>'Effort Estimation'!M121+"AM:!t}"</f>
        <v>#VALUE!</v>
      </c>
      <c r="BY28" s="99" t="e">
        <f>'Effort Estimation'!N121+"AM:!t~"</f>
        <v>#VALUE!</v>
      </c>
      <c r="BZ28" s="99" t="e">
        <f>'Effort Estimation'!O121+"AM:!u#"</f>
        <v>#VALUE!</v>
      </c>
      <c r="CA28" s="99" t="e">
        <f>'Effort Estimation'!P121+"AM:!u$"</f>
        <v>#VALUE!</v>
      </c>
      <c r="CB28" s="99" t="e">
        <f>'Effort Estimation'!Q121+"AM:!u%"</f>
        <v>#VALUE!</v>
      </c>
      <c r="CC28" t="e">
        <f>'Effort Estimation'!R121+"AM:!u&amp;"</f>
        <v>#VALUE!</v>
      </c>
      <c r="CD28" t="e">
        <f>'Effort Estimation'!S121+"AM:!u'"</f>
        <v>#VALUE!</v>
      </c>
      <c r="CE28" t="e">
        <f>'Effort Estimation'!T121+"AM:!u("</f>
        <v>#VALUE!</v>
      </c>
      <c r="CF28" t="e">
        <f>'Effort Estimation'!A122+"AM:!u)"</f>
        <v>#VALUE!</v>
      </c>
      <c r="CG28" t="e">
        <f>'Effort Estimation'!B122+"AM:!u."</f>
        <v>#VALUE!</v>
      </c>
      <c r="CH28" t="e">
        <f>'Effort Estimation'!C122+"AM:!u/"</f>
        <v>#VALUE!</v>
      </c>
      <c r="CI28" t="e">
        <f>'Effort Estimation'!D122+"AM:!u0"</f>
        <v>#VALUE!</v>
      </c>
      <c r="CJ28" t="e">
        <f>'Effort Estimation'!E122+"AM:!u1"</f>
        <v>#VALUE!</v>
      </c>
      <c r="CK28" t="e">
        <f>'Effort Estimation'!F122+"AM:!u2"</f>
        <v>#VALUE!</v>
      </c>
      <c r="CL28" t="e">
        <f>'Effort Estimation'!G122+"AM:!u3"</f>
        <v>#VALUE!</v>
      </c>
      <c r="CM28" t="e">
        <f>'Effort Estimation'!H122+"AM:!u4"</f>
        <v>#VALUE!</v>
      </c>
      <c r="CN28" t="e">
        <f>'Effort Estimation'!I122+"AM:!u5"</f>
        <v>#VALUE!</v>
      </c>
      <c r="CO28" s="99" t="e">
        <f>'Effort Estimation'!J122+"AM:!u6"</f>
        <v>#VALUE!</v>
      </c>
      <c r="CP28" s="99" t="e">
        <f>'Effort Estimation'!K122+"AM:!u7"</f>
        <v>#VALUE!</v>
      </c>
      <c r="CQ28" s="99" t="e">
        <f>'Effort Estimation'!L122+"AM:!u8"</f>
        <v>#VALUE!</v>
      </c>
      <c r="CR28" s="99" t="e">
        <f>'Effort Estimation'!M122+"AM:!u9"</f>
        <v>#VALUE!</v>
      </c>
      <c r="CS28" s="99" t="e">
        <f>'Effort Estimation'!N122+"AM:!u:"</f>
        <v>#VALUE!</v>
      </c>
      <c r="CT28" s="99" t="e">
        <f>'Effort Estimation'!O122+"AM:!u;"</f>
        <v>#VALUE!</v>
      </c>
      <c r="CU28" s="99" t="e">
        <f>'Effort Estimation'!P122+"AM:!u&lt;"</f>
        <v>#VALUE!</v>
      </c>
      <c r="CV28" s="99" t="e">
        <f>'Effort Estimation'!Q122+"AM:!u="</f>
        <v>#VALUE!</v>
      </c>
      <c r="CW28" t="e">
        <f>'Effort Estimation'!R122+"AM:!u&gt;"</f>
        <v>#VALUE!</v>
      </c>
      <c r="CX28" t="e">
        <f>'Effort Estimation'!S122+"AM:!u?"</f>
        <v>#VALUE!</v>
      </c>
      <c r="CY28" t="e">
        <f>'Effort Estimation'!T122+"AM:!u@"</f>
        <v>#VALUE!</v>
      </c>
      <c r="CZ28" t="e">
        <f>'Effort Estimation'!A123+"AM:!uA"</f>
        <v>#VALUE!</v>
      </c>
      <c r="DA28" t="e">
        <f>'Effort Estimation'!B123+"AM:!uB"</f>
        <v>#VALUE!</v>
      </c>
      <c r="DB28" t="e">
        <f>'Effort Estimation'!C123+"AM:!uC"</f>
        <v>#VALUE!</v>
      </c>
      <c r="DC28" t="e">
        <f>'Effort Estimation'!D123+"AM:!uD"</f>
        <v>#VALUE!</v>
      </c>
      <c r="DD28" t="e">
        <f>'Effort Estimation'!E123+"AM:!uE"</f>
        <v>#VALUE!</v>
      </c>
      <c r="DE28" t="e">
        <f>'Effort Estimation'!F123+"AM:!uF"</f>
        <v>#VALUE!</v>
      </c>
      <c r="DF28" t="e">
        <f>'Effort Estimation'!G123+"AM:!uG"</f>
        <v>#VALUE!</v>
      </c>
      <c r="DG28" t="e">
        <f>'Effort Estimation'!H123+"AM:!uH"</f>
        <v>#VALUE!</v>
      </c>
      <c r="DH28" t="e">
        <f>'Effort Estimation'!I123+"AM:!uI"</f>
        <v>#VALUE!</v>
      </c>
      <c r="DI28" s="99" t="e">
        <f>'Effort Estimation'!J123+"AM:!uJ"</f>
        <v>#VALUE!</v>
      </c>
      <c r="DJ28" s="99" t="e">
        <f>'Effort Estimation'!K123+"AM:!uK"</f>
        <v>#VALUE!</v>
      </c>
      <c r="DK28" s="99" t="e">
        <f>'Effort Estimation'!L123+"AM:!uL"</f>
        <v>#VALUE!</v>
      </c>
      <c r="DL28" s="99" t="e">
        <f>'Effort Estimation'!M123+"AM:!uM"</f>
        <v>#VALUE!</v>
      </c>
      <c r="DM28" s="99" t="e">
        <f>'Effort Estimation'!N123+"AM:!uN"</f>
        <v>#VALUE!</v>
      </c>
      <c r="DN28" s="99" t="e">
        <f>'Effort Estimation'!O123+"AM:!uO"</f>
        <v>#VALUE!</v>
      </c>
      <c r="DO28" s="99" t="e">
        <f>'Effort Estimation'!P123+"AM:!uP"</f>
        <v>#VALUE!</v>
      </c>
      <c r="DP28" s="99" t="e">
        <f>'Effort Estimation'!Q123+"AM:!uQ"</f>
        <v>#VALUE!</v>
      </c>
      <c r="DQ28" t="e">
        <f>'Effort Estimation'!R123+"AM:!uR"</f>
        <v>#VALUE!</v>
      </c>
      <c r="DR28" t="e">
        <f>'Effort Estimation'!S123+"AM:!uS"</f>
        <v>#VALUE!</v>
      </c>
      <c r="DS28" t="e">
        <f>'Effort Estimation'!T123+"AM:!uT"</f>
        <v>#VALUE!</v>
      </c>
      <c r="DT28" t="e">
        <f>'Effort Estimation'!A124+"AM:!uU"</f>
        <v>#VALUE!</v>
      </c>
      <c r="DU28" t="e">
        <f>'Effort Estimation'!B124+"AM:!uV"</f>
        <v>#VALUE!</v>
      </c>
      <c r="DV28" t="e">
        <f>'Effort Estimation'!C124+"AM:!uW"</f>
        <v>#VALUE!</v>
      </c>
      <c r="DW28" t="e">
        <f>'Effort Estimation'!D124+"AM:!uX"</f>
        <v>#VALUE!</v>
      </c>
      <c r="DX28" t="e">
        <f>'Effort Estimation'!E124+"AM:!uY"</f>
        <v>#VALUE!</v>
      </c>
      <c r="DY28" t="e">
        <f>'Effort Estimation'!F124+"AM:!uZ"</f>
        <v>#VALUE!</v>
      </c>
      <c r="DZ28" t="e">
        <f>'Effort Estimation'!G124+"AM:!u["</f>
        <v>#VALUE!</v>
      </c>
      <c r="EA28" t="e">
        <f>'Effort Estimation'!H124+"AM:!u\"</f>
        <v>#VALUE!</v>
      </c>
      <c r="EB28" t="e">
        <f>'Effort Estimation'!I124+"AM:!u]"</f>
        <v>#VALUE!</v>
      </c>
      <c r="EC28" s="99" t="e">
        <f>'Effort Estimation'!J124+"AM:!u^"</f>
        <v>#VALUE!</v>
      </c>
      <c r="ED28" s="99" t="e">
        <f>'Effort Estimation'!K124+"AM:!u_"</f>
        <v>#VALUE!</v>
      </c>
      <c r="EE28" s="99" t="e">
        <f>'Effort Estimation'!L124+"AM:!u`"</f>
        <v>#VALUE!</v>
      </c>
      <c r="EF28" s="99" t="e">
        <f>'Effort Estimation'!M124+"AM:!ua"</f>
        <v>#VALUE!</v>
      </c>
      <c r="EG28" s="99" t="e">
        <f>'Effort Estimation'!N124+"AM:!ub"</f>
        <v>#VALUE!</v>
      </c>
      <c r="EH28" s="99" t="e">
        <f>'Effort Estimation'!O124+"AM:!uc"</f>
        <v>#VALUE!</v>
      </c>
      <c r="EI28" s="99" t="e">
        <f>'Effort Estimation'!P124+"AM:!ud"</f>
        <v>#VALUE!</v>
      </c>
      <c r="EJ28" s="99" t="e">
        <f>'Effort Estimation'!Q124+"AM:!ue"</f>
        <v>#VALUE!</v>
      </c>
      <c r="EK28" t="e">
        <f>'Effort Estimation'!R124+"AM:!uf"</f>
        <v>#VALUE!</v>
      </c>
      <c r="EL28" t="e">
        <f>'Effort Estimation'!S124+"AM:!ug"</f>
        <v>#VALUE!</v>
      </c>
      <c r="EM28" t="e">
        <f>'Effort Estimation'!T124+"AM:!uh"</f>
        <v>#VALUE!</v>
      </c>
      <c r="EN28" t="e">
        <f>'Effort Estimation'!A125+"AM:!ui"</f>
        <v>#VALUE!</v>
      </c>
      <c r="EO28" t="e">
        <f>'Effort Estimation'!B125+"AM:!uj"</f>
        <v>#VALUE!</v>
      </c>
      <c r="EP28" t="e">
        <f>'Effort Estimation'!C125+"AM:!uk"</f>
        <v>#VALUE!</v>
      </c>
      <c r="EQ28" t="e">
        <f>'Effort Estimation'!D125+"AM:!ul"</f>
        <v>#VALUE!</v>
      </c>
      <c r="ER28" t="e">
        <f>'Effort Estimation'!E125+"AM:!um"</f>
        <v>#VALUE!</v>
      </c>
      <c r="ES28" t="e">
        <f>'Effort Estimation'!F125+"AM:!un"</f>
        <v>#VALUE!</v>
      </c>
      <c r="ET28" t="e">
        <f>'Effort Estimation'!G125+"AM:!uo"</f>
        <v>#VALUE!</v>
      </c>
      <c r="EU28" t="e">
        <f>'Effort Estimation'!H125+"AM:!up"</f>
        <v>#VALUE!</v>
      </c>
      <c r="EV28" t="e">
        <f>'Effort Estimation'!I125+"AM:!uq"</f>
        <v>#VALUE!</v>
      </c>
      <c r="EW28" s="99" t="e">
        <f>'Effort Estimation'!J125+"AM:!ur"</f>
        <v>#VALUE!</v>
      </c>
      <c r="EX28" s="99" t="e">
        <f>'Effort Estimation'!K125+"AM:!us"</f>
        <v>#VALUE!</v>
      </c>
      <c r="EY28" s="99" t="e">
        <f>'Effort Estimation'!L125+"AM:!ut"</f>
        <v>#VALUE!</v>
      </c>
      <c r="EZ28" s="99" t="e">
        <f>'Effort Estimation'!M125+"AM:!uu"</f>
        <v>#VALUE!</v>
      </c>
      <c r="FA28" s="99" t="e">
        <f>'Effort Estimation'!N125+"AM:!uv"</f>
        <v>#VALUE!</v>
      </c>
      <c r="FB28" s="99" t="e">
        <f>'Effort Estimation'!O125+"AM:!uw"</f>
        <v>#VALUE!</v>
      </c>
      <c r="FC28" s="99" t="e">
        <f>'Effort Estimation'!P125+"AM:!ux"</f>
        <v>#VALUE!</v>
      </c>
      <c r="FD28" s="99" t="e">
        <f>'Effort Estimation'!Q125+"AM:!uy"</f>
        <v>#VALUE!</v>
      </c>
      <c r="FE28" t="e">
        <f>'Effort Estimation'!R125+"AM:!uz"</f>
        <v>#VALUE!</v>
      </c>
      <c r="FF28" t="e">
        <f>'Effort Estimation'!S125+"AM:!u{"</f>
        <v>#VALUE!</v>
      </c>
      <c r="FG28" t="e">
        <f>'Effort Estimation'!T125+"AM:!u|"</f>
        <v>#VALUE!</v>
      </c>
      <c r="FH28" t="e">
        <f>'Effort Estimation'!A126+"AM:!u}"</f>
        <v>#VALUE!</v>
      </c>
      <c r="FI28" t="e">
        <f>'Effort Estimation'!B126+"AM:!u~"</f>
        <v>#VALUE!</v>
      </c>
      <c r="FJ28" t="e">
        <f>'Effort Estimation'!C126+"AM:!v#"</f>
        <v>#VALUE!</v>
      </c>
      <c r="FK28" t="e">
        <f>'Effort Estimation'!D126+"AM:!v$"</f>
        <v>#VALUE!</v>
      </c>
      <c r="FL28" t="e">
        <f>'Effort Estimation'!E126+"AM:!v%"</f>
        <v>#VALUE!</v>
      </c>
      <c r="FM28" t="e">
        <f>'Effort Estimation'!F126+"AM:!v&amp;"</f>
        <v>#VALUE!</v>
      </c>
      <c r="FN28" t="e">
        <f>'Effort Estimation'!G126+"AM:!v'"</f>
        <v>#VALUE!</v>
      </c>
      <c r="FO28" t="e">
        <f>'Effort Estimation'!H126+"AM:!v("</f>
        <v>#VALUE!</v>
      </c>
      <c r="FP28" t="e">
        <f>'Effort Estimation'!I126+"AM:!v)"</f>
        <v>#VALUE!</v>
      </c>
      <c r="FQ28" s="99" t="e">
        <f>'Effort Estimation'!J126+"AM:!v."</f>
        <v>#VALUE!</v>
      </c>
      <c r="FR28" s="99" t="e">
        <f>'Effort Estimation'!K126+"AM:!v/"</f>
        <v>#VALUE!</v>
      </c>
      <c r="FS28" s="99" t="e">
        <f>'Effort Estimation'!L126+"AM:!v0"</f>
        <v>#VALUE!</v>
      </c>
      <c r="FT28" s="99" t="e">
        <f>'Effort Estimation'!M126+"AM:!v1"</f>
        <v>#VALUE!</v>
      </c>
      <c r="FU28" s="99" t="e">
        <f>'Effort Estimation'!N126+"AM:!v2"</f>
        <v>#VALUE!</v>
      </c>
      <c r="FV28" s="99" t="e">
        <f>'Effort Estimation'!O126+"AM:!v3"</f>
        <v>#VALUE!</v>
      </c>
      <c r="FW28" s="99" t="e">
        <f>'Effort Estimation'!P126+"AM:!v4"</f>
        <v>#VALUE!</v>
      </c>
      <c r="FX28" s="99" t="e">
        <f>'Effort Estimation'!Q126+"AM:!v5"</f>
        <v>#VALUE!</v>
      </c>
      <c r="FY28" t="e">
        <f>'Effort Estimation'!R126+"AM:!v6"</f>
        <v>#VALUE!</v>
      </c>
      <c r="FZ28" t="e">
        <f>'Effort Estimation'!S126+"AM:!v7"</f>
        <v>#VALUE!</v>
      </c>
      <c r="GA28" t="e">
        <f>'Effort Estimation'!T126+"AM:!v8"</f>
        <v>#VALUE!</v>
      </c>
      <c r="GB28" t="e">
        <f>'Effort Estimation'!A127+"AM:!v9"</f>
        <v>#VALUE!</v>
      </c>
      <c r="GC28" t="e">
        <f>'Effort Estimation'!B127+"AM:!v:"</f>
        <v>#VALUE!</v>
      </c>
      <c r="GD28" t="e">
        <f>'Effort Estimation'!C127+"AM:!v;"</f>
        <v>#VALUE!</v>
      </c>
      <c r="GE28" t="e">
        <f>'Effort Estimation'!D127+"AM:!v&lt;"</f>
        <v>#VALUE!</v>
      </c>
      <c r="GF28" t="e">
        <f>'Effort Estimation'!E127+"AM:!v="</f>
        <v>#VALUE!</v>
      </c>
      <c r="GG28" t="e">
        <f>'Effort Estimation'!F127+"AM:!v&gt;"</f>
        <v>#VALUE!</v>
      </c>
      <c r="GH28" t="e">
        <f>'Effort Estimation'!G127+"AM:!v?"</f>
        <v>#VALUE!</v>
      </c>
      <c r="GI28" t="e">
        <f>'Effort Estimation'!H127+"AM:!v@"</f>
        <v>#VALUE!</v>
      </c>
      <c r="GJ28" t="e">
        <f>'Effort Estimation'!I127+"AM:!vA"</f>
        <v>#VALUE!</v>
      </c>
      <c r="GK28" s="99" t="e">
        <f>'Effort Estimation'!J127+"AM:!vB"</f>
        <v>#VALUE!</v>
      </c>
      <c r="GL28" s="99" t="e">
        <f>'Effort Estimation'!K127+"AM:!vC"</f>
        <v>#VALUE!</v>
      </c>
      <c r="GM28" s="99" t="e">
        <f>'Effort Estimation'!L127+"AM:!vD"</f>
        <v>#VALUE!</v>
      </c>
      <c r="GN28" s="99" t="e">
        <f>'Effort Estimation'!M127+"AM:!vE"</f>
        <v>#VALUE!</v>
      </c>
      <c r="GO28" s="99" t="e">
        <f>'Effort Estimation'!N127+"AM:!vF"</f>
        <v>#VALUE!</v>
      </c>
      <c r="GP28" s="99" t="e">
        <f>'Effort Estimation'!O127+"AM:!vG"</f>
        <v>#VALUE!</v>
      </c>
      <c r="GQ28" s="99" t="e">
        <f>'Effort Estimation'!P127+"AM:!vH"</f>
        <v>#VALUE!</v>
      </c>
      <c r="GR28" s="99" t="e">
        <f>'Effort Estimation'!Q127+"AM:!vI"</f>
        <v>#VALUE!</v>
      </c>
      <c r="GS28" t="e">
        <f>'Effort Estimation'!R127+"AM:!vJ"</f>
        <v>#VALUE!</v>
      </c>
      <c r="GT28" t="e">
        <f>'Effort Estimation'!S127+"AM:!vK"</f>
        <v>#VALUE!</v>
      </c>
      <c r="GU28" t="e">
        <f>'Effort Estimation'!T127+"AM:!vL"</f>
        <v>#VALUE!</v>
      </c>
      <c r="GV28" t="e">
        <f>'Effort Estimation'!A128+"AM:!vM"</f>
        <v>#VALUE!</v>
      </c>
      <c r="GW28" t="e">
        <f>'Effort Estimation'!B128+"AM:!vN"</f>
        <v>#VALUE!</v>
      </c>
      <c r="GX28" t="e">
        <f>'Effort Estimation'!C128+"AM:!vO"</f>
        <v>#VALUE!</v>
      </c>
      <c r="GY28" t="e">
        <f>'Effort Estimation'!D128+"AM:!vP"</f>
        <v>#VALUE!</v>
      </c>
      <c r="GZ28" t="e">
        <f>'Effort Estimation'!E128+"AM:!vQ"</f>
        <v>#VALUE!</v>
      </c>
      <c r="HA28" t="e">
        <f>'Effort Estimation'!F128+"AM:!vR"</f>
        <v>#VALUE!</v>
      </c>
      <c r="HB28" t="e">
        <f>'Effort Estimation'!G128+"AM:!vS"</f>
        <v>#VALUE!</v>
      </c>
      <c r="HC28" t="e">
        <f>'Effort Estimation'!H128+"AM:!vT"</f>
        <v>#VALUE!</v>
      </c>
      <c r="HD28" t="e">
        <f>'Effort Estimation'!I128+"AM:!vU"</f>
        <v>#VALUE!</v>
      </c>
      <c r="HE28" s="99" t="e">
        <f>'Effort Estimation'!J128+"AM:!vV"</f>
        <v>#VALUE!</v>
      </c>
      <c r="HF28" s="99" t="e">
        <f>'Effort Estimation'!K128+"AM:!vW"</f>
        <v>#VALUE!</v>
      </c>
      <c r="HG28" s="99" t="e">
        <f>'Effort Estimation'!L128+"AM:!vX"</f>
        <v>#VALUE!</v>
      </c>
      <c r="HH28" s="99" t="e">
        <f>'Effort Estimation'!M128+"AM:!vY"</f>
        <v>#VALUE!</v>
      </c>
      <c r="HI28" s="99" t="e">
        <f>'Effort Estimation'!N128+"AM:!vZ"</f>
        <v>#VALUE!</v>
      </c>
      <c r="HJ28" s="99" t="e">
        <f>'Effort Estimation'!O128+"AM:!v["</f>
        <v>#VALUE!</v>
      </c>
      <c r="HK28" s="99" t="e">
        <f>'Effort Estimation'!P128+"AM:!v\"</f>
        <v>#VALUE!</v>
      </c>
      <c r="HL28" s="99" t="e">
        <f>'Effort Estimation'!Q128+"AM:!v]"</f>
        <v>#VALUE!</v>
      </c>
      <c r="HM28" t="e">
        <f>'Effort Estimation'!R128+"AM:!v^"</f>
        <v>#VALUE!</v>
      </c>
      <c r="HN28" t="e">
        <f>'Effort Estimation'!S128+"AM:!v_"</f>
        <v>#VALUE!</v>
      </c>
      <c r="HO28" t="e">
        <f>'Effort Estimation'!T128+"AM:!v`"</f>
        <v>#VALUE!</v>
      </c>
      <c r="HP28" t="e">
        <f>'Effort Estimation'!A129+"AM:!va"</f>
        <v>#VALUE!</v>
      </c>
      <c r="HQ28" t="e">
        <f>'Effort Estimation'!B129+"AM:!vb"</f>
        <v>#VALUE!</v>
      </c>
      <c r="HR28" t="e">
        <f>'Effort Estimation'!C129+"AM:!vc"</f>
        <v>#VALUE!</v>
      </c>
      <c r="HS28" t="e">
        <f>'Effort Estimation'!D129+"AM:!vd"</f>
        <v>#VALUE!</v>
      </c>
      <c r="HT28" t="e">
        <f>'Effort Estimation'!E129+"AM:!ve"</f>
        <v>#VALUE!</v>
      </c>
      <c r="HU28" t="e">
        <f>'Effort Estimation'!F129+"AM:!vf"</f>
        <v>#VALUE!</v>
      </c>
      <c r="HV28" t="e">
        <f>'Effort Estimation'!G129+"AM:!vg"</f>
        <v>#VALUE!</v>
      </c>
      <c r="HW28" t="e">
        <f>'Effort Estimation'!H129+"AM:!vh"</f>
        <v>#VALUE!</v>
      </c>
      <c r="HX28" t="e">
        <f>'Effort Estimation'!I129+"AM:!vi"</f>
        <v>#VALUE!</v>
      </c>
      <c r="HY28" s="99" t="e">
        <f>'Effort Estimation'!J129+"AM:!vj"</f>
        <v>#VALUE!</v>
      </c>
      <c r="HZ28" s="99" t="e">
        <f>'Effort Estimation'!K129+"AM:!vk"</f>
        <v>#VALUE!</v>
      </c>
      <c r="IA28" s="99" t="e">
        <f>'Effort Estimation'!L129+"AM:!vl"</f>
        <v>#VALUE!</v>
      </c>
      <c r="IB28" s="99" t="e">
        <f>'Effort Estimation'!M129+"AM:!vm"</f>
        <v>#VALUE!</v>
      </c>
      <c r="IC28" s="99" t="e">
        <f>'Effort Estimation'!N129+"AM:!vn"</f>
        <v>#VALUE!</v>
      </c>
      <c r="ID28" s="99" t="e">
        <f>'Effort Estimation'!O129+"AM:!vo"</f>
        <v>#VALUE!</v>
      </c>
      <c r="IE28" s="99" t="e">
        <f>'Effort Estimation'!P129+"AM:!vp"</f>
        <v>#VALUE!</v>
      </c>
      <c r="IF28" s="99" t="e">
        <f>'Effort Estimation'!Q129+"AM:!vq"</f>
        <v>#VALUE!</v>
      </c>
      <c r="IG28" t="e">
        <f>'Effort Estimation'!R129+"AM:!vr"</f>
        <v>#VALUE!</v>
      </c>
      <c r="IH28" t="e">
        <f>'Effort Estimation'!S129+"AM:!vs"</f>
        <v>#VALUE!</v>
      </c>
      <c r="II28" t="e">
        <f>'Effort Estimation'!T129+"AM:!vt"</f>
        <v>#VALUE!</v>
      </c>
      <c r="IJ28" t="e">
        <f>'Effort Estimation'!A130+"AM:!vu"</f>
        <v>#VALUE!</v>
      </c>
      <c r="IK28" t="e">
        <f>'Effort Estimation'!B130+"AM:!vv"</f>
        <v>#VALUE!</v>
      </c>
      <c r="IL28" t="e">
        <f>'Effort Estimation'!C130+"AM:!vw"</f>
        <v>#VALUE!</v>
      </c>
      <c r="IM28" t="e">
        <f>'Effort Estimation'!D130+"AM:!vx"</f>
        <v>#VALUE!</v>
      </c>
      <c r="IN28" t="e">
        <f>'Effort Estimation'!E130+"AM:!vy"</f>
        <v>#VALUE!</v>
      </c>
      <c r="IO28" t="e">
        <f>'Effort Estimation'!F130+"AM:!vz"</f>
        <v>#VALUE!</v>
      </c>
      <c r="IP28" t="e">
        <f>'Effort Estimation'!G130+"AM:!v{"</f>
        <v>#VALUE!</v>
      </c>
      <c r="IQ28" t="e">
        <f>'Effort Estimation'!H130+"AM:!v|"</f>
        <v>#VALUE!</v>
      </c>
      <c r="IR28" t="e">
        <f>'Effort Estimation'!I130+"AM:!v}"</f>
        <v>#VALUE!</v>
      </c>
      <c r="IS28" s="99" t="e">
        <f>'Effort Estimation'!J130+"AM:!v~"</f>
        <v>#VALUE!</v>
      </c>
      <c r="IT28" s="99" t="e">
        <f>'Effort Estimation'!K130+"AM:!w#"</f>
        <v>#VALUE!</v>
      </c>
      <c r="IU28" s="99" t="e">
        <f>'Effort Estimation'!L130+"AM:!w$"</f>
        <v>#VALUE!</v>
      </c>
      <c r="IV28" s="99" t="e">
        <f>'Effort Estimation'!M130+"AM:!w%"</f>
        <v>#VALUE!</v>
      </c>
    </row>
    <row r="29" spans="6:256">
      <c r="F29" s="99" t="e">
        <f>'Effort Estimation'!N130+"AM:!w&amp;"</f>
        <v>#VALUE!</v>
      </c>
      <c r="G29" s="99" t="e">
        <f>'Effort Estimation'!O130+"AM:!w'"</f>
        <v>#VALUE!</v>
      </c>
      <c r="H29" s="99" t="e">
        <f>'Effort Estimation'!P130+"AM:!w("</f>
        <v>#VALUE!</v>
      </c>
      <c r="I29" s="99" t="e">
        <f>'Effort Estimation'!Q130+"AM:!w)"</f>
        <v>#VALUE!</v>
      </c>
      <c r="J29" t="e">
        <f>'Effort Estimation'!R130+"AM:!w."</f>
        <v>#VALUE!</v>
      </c>
      <c r="K29" t="e">
        <f>'Effort Estimation'!S130+"AM:!w/"</f>
        <v>#VALUE!</v>
      </c>
      <c r="L29" t="e">
        <f>'Effort Estimation'!T130+"AM:!w0"</f>
        <v>#VALUE!</v>
      </c>
      <c r="M29" t="e">
        <f>'Effort Estimation'!A131+"AM:!w1"</f>
        <v>#VALUE!</v>
      </c>
      <c r="N29" t="e">
        <f>'Effort Estimation'!B131+"AM:!w2"</f>
        <v>#VALUE!</v>
      </c>
      <c r="O29" t="e">
        <f>'Effort Estimation'!C131+"AM:!w3"</f>
        <v>#VALUE!</v>
      </c>
      <c r="P29" t="e">
        <f>'Effort Estimation'!D131+"AM:!w4"</f>
        <v>#VALUE!</v>
      </c>
      <c r="Q29" t="e">
        <f>'Effort Estimation'!E131+"AM:!w5"</f>
        <v>#VALUE!</v>
      </c>
      <c r="R29" t="e">
        <f>'Effort Estimation'!F131+"AM:!w6"</f>
        <v>#VALUE!</v>
      </c>
      <c r="S29" t="e">
        <f>'Effort Estimation'!G131+"AM:!w7"</f>
        <v>#VALUE!</v>
      </c>
      <c r="T29" t="e">
        <f>'Effort Estimation'!H131+"AM:!w8"</f>
        <v>#VALUE!</v>
      </c>
      <c r="U29" t="e">
        <f>'Effort Estimation'!I131+"AM:!w9"</f>
        <v>#VALUE!</v>
      </c>
      <c r="V29" s="99" t="e">
        <f>'Effort Estimation'!J131+"AM:!w:"</f>
        <v>#VALUE!</v>
      </c>
      <c r="W29" s="99" t="e">
        <f>'Effort Estimation'!K131+"AM:!w;"</f>
        <v>#VALUE!</v>
      </c>
      <c r="X29" s="99" t="e">
        <f>'Effort Estimation'!L131+"AM:!w&lt;"</f>
        <v>#VALUE!</v>
      </c>
      <c r="Y29" s="99" t="e">
        <f>'Effort Estimation'!M131+"AM:!w="</f>
        <v>#VALUE!</v>
      </c>
      <c r="Z29" s="99" t="e">
        <f>'Effort Estimation'!N131+"AM:!w&gt;"</f>
        <v>#VALUE!</v>
      </c>
      <c r="AA29" s="99" t="e">
        <f>'Effort Estimation'!O131+"AM:!w?"</f>
        <v>#VALUE!</v>
      </c>
      <c r="AB29" s="99" t="e">
        <f>'Effort Estimation'!P131+"AM:!w@"</f>
        <v>#VALUE!</v>
      </c>
      <c r="AC29" s="99" t="e">
        <f>'Effort Estimation'!Q131+"AM:!wA"</f>
        <v>#VALUE!</v>
      </c>
      <c r="AD29" t="e">
        <f>'Effort Estimation'!R131+"AM:!wB"</f>
        <v>#VALUE!</v>
      </c>
      <c r="AE29" t="e">
        <f>'Effort Estimation'!S131+"AM:!wC"</f>
        <v>#VALUE!</v>
      </c>
      <c r="AF29" t="e">
        <f>'Effort Estimation'!T131+"AM:!wD"</f>
        <v>#VALUE!</v>
      </c>
      <c r="AG29" t="e">
        <f>'Effort Estimation'!A132+"AM:!wE"</f>
        <v>#VALUE!</v>
      </c>
      <c r="AH29" t="e">
        <f>'Effort Estimation'!B132+"AM:!wF"</f>
        <v>#VALUE!</v>
      </c>
      <c r="AI29" t="e">
        <f>'Effort Estimation'!C132+"AM:!wG"</f>
        <v>#VALUE!</v>
      </c>
      <c r="AJ29" t="e">
        <f>'Effort Estimation'!D132+"AM:!wH"</f>
        <v>#VALUE!</v>
      </c>
      <c r="AK29" t="e">
        <f>'Effort Estimation'!E132+"AM:!wI"</f>
        <v>#VALUE!</v>
      </c>
      <c r="AL29" t="e">
        <f>'Effort Estimation'!F132+"AM:!wJ"</f>
        <v>#VALUE!</v>
      </c>
      <c r="AM29" t="e">
        <f>'Effort Estimation'!G132+"AM:!wK"</f>
        <v>#VALUE!</v>
      </c>
      <c r="AN29" t="e">
        <f>'Effort Estimation'!H132+"AM:!wL"</f>
        <v>#VALUE!</v>
      </c>
      <c r="AO29" t="e">
        <f>'Effort Estimation'!I132+"AM:!wM"</f>
        <v>#VALUE!</v>
      </c>
      <c r="AP29" s="99" t="e">
        <f>'Effort Estimation'!J132+"AM:!wN"</f>
        <v>#VALUE!</v>
      </c>
      <c r="AQ29" s="99" t="e">
        <f>'Effort Estimation'!K132+"AM:!wO"</f>
        <v>#VALUE!</v>
      </c>
      <c r="AR29" s="99" t="e">
        <f>'Effort Estimation'!L132+"AM:!wP"</f>
        <v>#VALUE!</v>
      </c>
      <c r="AS29" s="99" t="e">
        <f>'Effort Estimation'!M132+"AM:!wQ"</f>
        <v>#VALUE!</v>
      </c>
      <c r="AT29" s="99" t="e">
        <f>'Effort Estimation'!N132+"AM:!wR"</f>
        <v>#VALUE!</v>
      </c>
      <c r="AU29" s="99" t="e">
        <f>'Effort Estimation'!O132+"AM:!wS"</f>
        <v>#VALUE!</v>
      </c>
      <c r="AV29" s="99" t="e">
        <f>'Effort Estimation'!P132+"AM:!wT"</f>
        <v>#VALUE!</v>
      </c>
      <c r="AW29" s="99" t="e">
        <f>'Effort Estimation'!Q132+"AM:!wU"</f>
        <v>#VALUE!</v>
      </c>
      <c r="AX29" t="e">
        <f>'Effort Estimation'!R132+"AM:!wV"</f>
        <v>#VALUE!</v>
      </c>
      <c r="AY29" t="e">
        <f>'Effort Estimation'!S132+"AM:!wW"</f>
        <v>#VALUE!</v>
      </c>
      <c r="AZ29" t="e">
        <f>'Effort Estimation'!T132+"AM:!wX"</f>
        <v>#VALUE!</v>
      </c>
      <c r="BA29" t="e">
        <f>'Effort Estimation'!A133+"AM:!wY"</f>
        <v>#VALUE!</v>
      </c>
      <c r="BB29" t="e">
        <f>'Effort Estimation'!B133+"AM:!wZ"</f>
        <v>#VALUE!</v>
      </c>
      <c r="BC29" t="e">
        <f>'Effort Estimation'!C133+"AM:!w["</f>
        <v>#VALUE!</v>
      </c>
      <c r="BD29" t="e">
        <f>'Effort Estimation'!D133+"AM:!w\"</f>
        <v>#VALUE!</v>
      </c>
      <c r="BE29" t="e">
        <f>'Effort Estimation'!E133+"AM:!w]"</f>
        <v>#VALUE!</v>
      </c>
      <c r="BF29" t="e">
        <f>'Effort Estimation'!F133+"AM:!w^"</f>
        <v>#VALUE!</v>
      </c>
      <c r="BG29" t="e">
        <f>'Effort Estimation'!G133+"AM:!w_"</f>
        <v>#VALUE!</v>
      </c>
      <c r="BH29" t="e">
        <f>'Effort Estimation'!H133+"AM:!w`"</f>
        <v>#VALUE!</v>
      </c>
      <c r="BI29" t="e">
        <f>'Effort Estimation'!I133+"AM:!wa"</f>
        <v>#VALUE!</v>
      </c>
      <c r="BJ29" s="99" t="e">
        <f>'Effort Estimation'!J133+"AM:!wb"</f>
        <v>#VALUE!</v>
      </c>
      <c r="BK29" s="99" t="e">
        <f>'Effort Estimation'!K133+"AM:!wc"</f>
        <v>#VALUE!</v>
      </c>
      <c r="BL29" s="99" t="e">
        <f>'Effort Estimation'!L133+"AM:!wd"</f>
        <v>#VALUE!</v>
      </c>
      <c r="BM29" s="99" t="e">
        <f>'Effort Estimation'!M133+"AM:!we"</f>
        <v>#VALUE!</v>
      </c>
      <c r="BN29" s="99" t="e">
        <f>'Effort Estimation'!N133+"AM:!wf"</f>
        <v>#VALUE!</v>
      </c>
      <c r="BO29" s="99" t="e">
        <f>'Effort Estimation'!O133+"AM:!wg"</f>
        <v>#VALUE!</v>
      </c>
      <c r="BP29" s="99" t="e">
        <f>'Effort Estimation'!P133+"AM:!wh"</f>
        <v>#VALUE!</v>
      </c>
      <c r="BQ29" s="99" t="e">
        <f>'Effort Estimation'!Q133+"AM:!wi"</f>
        <v>#VALUE!</v>
      </c>
      <c r="BR29" t="e">
        <f>'Effort Estimation'!R133+"AM:!wj"</f>
        <v>#VALUE!</v>
      </c>
      <c r="BS29" t="e">
        <f>'Effort Estimation'!S133+"AM:!wk"</f>
        <v>#VALUE!</v>
      </c>
      <c r="BT29" t="e">
        <f>'Effort Estimation'!T133+"AM:!wl"</f>
        <v>#VALUE!</v>
      </c>
      <c r="BU29" t="e">
        <f>'Effort Estimation'!A134+"AM:!wm"</f>
        <v>#VALUE!</v>
      </c>
      <c r="BV29" t="e">
        <f>'Effort Estimation'!B134+"AM:!wn"</f>
        <v>#VALUE!</v>
      </c>
      <c r="BW29" t="e">
        <f>'Effort Estimation'!C134+"AM:!wo"</f>
        <v>#VALUE!</v>
      </c>
      <c r="BX29" t="e">
        <f>'Effort Estimation'!D134+"AM:!wp"</f>
        <v>#VALUE!</v>
      </c>
      <c r="BY29" t="e">
        <f>'Effort Estimation'!E134+"AM:!wq"</f>
        <v>#VALUE!</v>
      </c>
      <c r="BZ29" t="e">
        <f>'Effort Estimation'!F134+"AM:!wr"</f>
        <v>#VALUE!</v>
      </c>
      <c r="CA29" t="e">
        <f>'Effort Estimation'!G134+"AM:!ws"</f>
        <v>#VALUE!</v>
      </c>
      <c r="CB29" t="e">
        <f>'Effort Estimation'!H134+"AM:!wt"</f>
        <v>#VALUE!</v>
      </c>
      <c r="CC29" t="e">
        <f>'Effort Estimation'!I134+"AM:!wu"</f>
        <v>#VALUE!</v>
      </c>
      <c r="CD29" s="99" t="e">
        <f>'Effort Estimation'!J134+"AM:!wv"</f>
        <v>#VALUE!</v>
      </c>
      <c r="CE29" s="99" t="e">
        <f>'Effort Estimation'!K134+"AM:!ww"</f>
        <v>#VALUE!</v>
      </c>
      <c r="CF29" s="99" t="e">
        <f>'Effort Estimation'!L134+"AM:!wx"</f>
        <v>#VALUE!</v>
      </c>
      <c r="CG29" s="99" t="e">
        <f>'Effort Estimation'!M134+"AM:!wy"</f>
        <v>#VALUE!</v>
      </c>
      <c r="CH29" s="99" t="e">
        <f>'Effort Estimation'!N134+"AM:!wz"</f>
        <v>#VALUE!</v>
      </c>
      <c r="CI29" s="99" t="e">
        <f>'Effort Estimation'!O134+"AM:!w{"</f>
        <v>#VALUE!</v>
      </c>
      <c r="CJ29" s="99" t="e">
        <f>'Effort Estimation'!P134+"AM:!w|"</f>
        <v>#VALUE!</v>
      </c>
      <c r="CK29" s="99" t="e">
        <f>'Effort Estimation'!Q134+"AM:!w}"</f>
        <v>#VALUE!</v>
      </c>
      <c r="CL29" t="e">
        <f>'Effort Estimation'!R134+"AM:!w~"</f>
        <v>#VALUE!</v>
      </c>
      <c r="CM29" t="e">
        <f>'Effort Estimation'!S134+"AM:!x#"</f>
        <v>#VALUE!</v>
      </c>
      <c r="CN29" t="e">
        <f>'Effort Estimation'!T134+"AM:!x$"</f>
        <v>#VALUE!</v>
      </c>
      <c r="CO29" t="e">
        <f>'Effort Estimation'!A135+"AM:!x%"</f>
        <v>#VALUE!</v>
      </c>
      <c r="CP29" t="e">
        <f>'Effort Estimation'!B135+"AM:!x&amp;"</f>
        <v>#VALUE!</v>
      </c>
      <c r="CQ29" t="e">
        <f>'Effort Estimation'!C135+"AM:!x'"</f>
        <v>#VALUE!</v>
      </c>
      <c r="CR29" t="e">
        <f>'Effort Estimation'!D135+"AM:!x("</f>
        <v>#VALUE!</v>
      </c>
      <c r="CS29" t="e">
        <f>'Effort Estimation'!E135+"AM:!x)"</f>
        <v>#VALUE!</v>
      </c>
      <c r="CT29" t="e">
        <f>'Effort Estimation'!F135+"AM:!x."</f>
        <v>#VALUE!</v>
      </c>
      <c r="CU29" t="e">
        <f>'Effort Estimation'!G135+"AM:!x/"</f>
        <v>#VALUE!</v>
      </c>
      <c r="CV29" t="e">
        <f>'Effort Estimation'!H135+"AM:!x0"</f>
        <v>#VALUE!</v>
      </c>
      <c r="CW29" t="e">
        <f>'Effort Estimation'!I135+"AM:!x1"</f>
        <v>#VALUE!</v>
      </c>
      <c r="CX29" s="99" t="e">
        <f>'Effort Estimation'!J135+"AM:!x2"</f>
        <v>#VALUE!</v>
      </c>
      <c r="CY29" s="99" t="e">
        <f>'Effort Estimation'!K135+"AM:!x3"</f>
        <v>#VALUE!</v>
      </c>
      <c r="CZ29" s="99" t="e">
        <f>'Effort Estimation'!L135+"AM:!x4"</f>
        <v>#VALUE!</v>
      </c>
      <c r="DA29" s="99" t="e">
        <f>'Effort Estimation'!M135+"AM:!x5"</f>
        <v>#VALUE!</v>
      </c>
      <c r="DB29" s="99" t="e">
        <f>'Effort Estimation'!N135+"AM:!x6"</f>
        <v>#VALUE!</v>
      </c>
      <c r="DC29" s="99" t="e">
        <f>'Effort Estimation'!O135+"AM:!x7"</f>
        <v>#VALUE!</v>
      </c>
      <c r="DD29" s="99" t="e">
        <f>'Effort Estimation'!P135+"AM:!x8"</f>
        <v>#VALUE!</v>
      </c>
      <c r="DE29" s="99" t="e">
        <f>'Effort Estimation'!Q135+"AM:!x9"</f>
        <v>#VALUE!</v>
      </c>
      <c r="DF29" t="e">
        <f>'Effort Estimation'!R135+"AM:!x:"</f>
        <v>#VALUE!</v>
      </c>
      <c r="DG29" t="e">
        <f>'Effort Estimation'!S135+"AM:!x;"</f>
        <v>#VALUE!</v>
      </c>
      <c r="DH29" t="e">
        <f>'Effort Estimation'!T135+"AM:!x&lt;"</f>
        <v>#VALUE!</v>
      </c>
      <c r="DI29" t="e">
        <f>'Effort Estimation'!A136+"AM:!x="</f>
        <v>#VALUE!</v>
      </c>
      <c r="DJ29" t="e">
        <f>'Effort Estimation'!B136+"AM:!x&gt;"</f>
        <v>#VALUE!</v>
      </c>
      <c r="DK29" t="e">
        <f>'Effort Estimation'!C136+"AM:!x?"</f>
        <v>#VALUE!</v>
      </c>
      <c r="DL29" t="e">
        <f>'Effort Estimation'!D136+"AM:!x@"</f>
        <v>#VALUE!</v>
      </c>
      <c r="DM29" t="e">
        <f>'Effort Estimation'!E136+"AM:!xA"</f>
        <v>#VALUE!</v>
      </c>
      <c r="DN29" t="e">
        <f>'Effort Estimation'!F136+"AM:!xB"</f>
        <v>#VALUE!</v>
      </c>
      <c r="DO29" t="e">
        <f>'Effort Estimation'!G136+"AM:!xC"</f>
        <v>#VALUE!</v>
      </c>
      <c r="DP29" t="e">
        <f>'Effort Estimation'!H136+"AM:!xD"</f>
        <v>#VALUE!</v>
      </c>
      <c r="DQ29" t="e">
        <f>'Effort Estimation'!I136+"AM:!xE"</f>
        <v>#VALUE!</v>
      </c>
      <c r="DR29" s="99" t="e">
        <f>'Effort Estimation'!J136+"AM:!xF"</f>
        <v>#VALUE!</v>
      </c>
      <c r="DS29" s="99" t="e">
        <f>'Effort Estimation'!K136+"AM:!xG"</f>
        <v>#VALUE!</v>
      </c>
      <c r="DT29" s="99" t="e">
        <f>'Effort Estimation'!L136+"AM:!xH"</f>
        <v>#VALUE!</v>
      </c>
      <c r="DU29" s="99" t="e">
        <f>'Effort Estimation'!M136+"AM:!xI"</f>
        <v>#VALUE!</v>
      </c>
      <c r="DV29" s="99" t="e">
        <f>'Effort Estimation'!N136+"AM:!xJ"</f>
        <v>#VALUE!</v>
      </c>
      <c r="DW29" s="99" t="e">
        <f>'Effort Estimation'!O136+"AM:!xK"</f>
        <v>#VALUE!</v>
      </c>
      <c r="DX29" s="99" t="e">
        <f>'Effort Estimation'!P136+"AM:!xL"</f>
        <v>#VALUE!</v>
      </c>
      <c r="DY29" s="99" t="e">
        <f>'Effort Estimation'!Q136+"AM:!xM"</f>
        <v>#VALUE!</v>
      </c>
      <c r="DZ29" t="e">
        <f>'Effort Estimation'!R136+"AM:!xN"</f>
        <v>#VALUE!</v>
      </c>
      <c r="EA29" t="e">
        <f>'Effort Estimation'!S136+"AM:!xO"</f>
        <v>#VALUE!</v>
      </c>
      <c r="EB29" t="e">
        <f>'Effort Estimation'!T136+"AM:!xP"</f>
        <v>#VALUE!</v>
      </c>
      <c r="EC29" t="e">
        <f>'Effort Estimation'!A137+"AM:!xQ"</f>
        <v>#VALUE!</v>
      </c>
      <c r="ED29" t="e">
        <f>'Effort Estimation'!B137+"AM:!xR"</f>
        <v>#VALUE!</v>
      </c>
      <c r="EE29" t="e">
        <f>'Effort Estimation'!C137+"AM:!xS"</f>
        <v>#VALUE!</v>
      </c>
      <c r="EF29" t="e">
        <f>'Effort Estimation'!D137+"AM:!xT"</f>
        <v>#VALUE!</v>
      </c>
      <c r="EG29" t="e">
        <f>'Effort Estimation'!E137+"AM:!xU"</f>
        <v>#VALUE!</v>
      </c>
      <c r="EH29" t="e">
        <f>'Effort Estimation'!F137+"AM:!xV"</f>
        <v>#VALUE!</v>
      </c>
      <c r="EI29" t="e">
        <f>'Effort Estimation'!G137+"AM:!xW"</f>
        <v>#VALUE!</v>
      </c>
      <c r="EJ29" t="e">
        <f>'Effort Estimation'!H137+"AM:!xX"</f>
        <v>#VALUE!</v>
      </c>
      <c r="EK29" t="e">
        <f>'Effort Estimation'!I137+"AM:!xY"</f>
        <v>#VALUE!</v>
      </c>
      <c r="EL29" s="99" t="e">
        <f>'Effort Estimation'!J137+"AM:!xZ"</f>
        <v>#VALUE!</v>
      </c>
      <c r="EM29" s="99" t="e">
        <f>'Effort Estimation'!K137+"AM:!x["</f>
        <v>#VALUE!</v>
      </c>
      <c r="EN29" s="99" t="e">
        <f>'Effort Estimation'!L137+"AM:!x\"</f>
        <v>#VALUE!</v>
      </c>
      <c r="EO29" s="99" t="e">
        <f>'Effort Estimation'!M137+"AM:!x]"</f>
        <v>#VALUE!</v>
      </c>
      <c r="EP29" s="99" t="e">
        <f>'Effort Estimation'!N137+"AM:!x^"</f>
        <v>#VALUE!</v>
      </c>
      <c r="EQ29" s="99" t="e">
        <f>'Effort Estimation'!O137+"AM:!x_"</f>
        <v>#VALUE!</v>
      </c>
      <c r="ER29" s="99" t="e">
        <f>'Effort Estimation'!P137+"AM:!x`"</f>
        <v>#VALUE!</v>
      </c>
      <c r="ES29" s="99" t="e">
        <f>'Effort Estimation'!Q137+"AM:!xa"</f>
        <v>#VALUE!</v>
      </c>
      <c r="ET29" t="e">
        <f>'Effort Estimation'!R137+"AM:!xb"</f>
        <v>#VALUE!</v>
      </c>
      <c r="EU29" t="e">
        <f>'Effort Estimation'!S137+"AM:!xc"</f>
        <v>#VALUE!</v>
      </c>
      <c r="EV29" t="e">
        <f>'Effort Estimation'!T137+"AM:!xd"</f>
        <v>#VALUE!</v>
      </c>
      <c r="EW29" t="e">
        <f>'Effort Estimation'!A138+"AM:!xe"</f>
        <v>#VALUE!</v>
      </c>
      <c r="EX29" t="e">
        <f>'Effort Estimation'!B138+"AM:!xf"</f>
        <v>#VALUE!</v>
      </c>
      <c r="EY29" t="e">
        <f>'Effort Estimation'!C138+"AM:!xg"</f>
        <v>#VALUE!</v>
      </c>
      <c r="EZ29" t="e">
        <f>'Effort Estimation'!D138+"AM:!xh"</f>
        <v>#VALUE!</v>
      </c>
      <c r="FA29" t="e">
        <f>'Effort Estimation'!E138+"AM:!xi"</f>
        <v>#VALUE!</v>
      </c>
      <c r="FB29" t="e">
        <f>'Effort Estimation'!F138+"AM:!xj"</f>
        <v>#VALUE!</v>
      </c>
      <c r="FC29" t="e">
        <f>'Effort Estimation'!G138+"AM:!xk"</f>
        <v>#VALUE!</v>
      </c>
      <c r="FD29" t="e">
        <f>'Effort Estimation'!H138+"AM:!xl"</f>
        <v>#VALUE!</v>
      </c>
      <c r="FE29" t="e">
        <f>'Effort Estimation'!I138+"AM:!xm"</f>
        <v>#VALUE!</v>
      </c>
      <c r="FF29" s="99" t="e">
        <f>'Effort Estimation'!J138+"AM:!xn"</f>
        <v>#VALUE!</v>
      </c>
      <c r="FG29" s="99" t="e">
        <f>'Effort Estimation'!K138+"AM:!xo"</f>
        <v>#VALUE!</v>
      </c>
      <c r="FH29" s="99" t="e">
        <f>'Effort Estimation'!L138+"AM:!xp"</f>
        <v>#VALUE!</v>
      </c>
      <c r="FI29" s="99" t="e">
        <f>'Effort Estimation'!M138+"AM:!xq"</f>
        <v>#VALUE!</v>
      </c>
      <c r="FJ29" s="99" t="e">
        <f>'Effort Estimation'!N138+"AM:!xr"</f>
        <v>#VALUE!</v>
      </c>
      <c r="FK29" s="99" t="e">
        <f>'Effort Estimation'!O138+"AM:!xs"</f>
        <v>#VALUE!</v>
      </c>
      <c r="FL29" s="99" t="e">
        <f>'Effort Estimation'!P138+"AM:!xt"</f>
        <v>#VALUE!</v>
      </c>
      <c r="FM29" s="99" t="e">
        <f>'Effort Estimation'!Q138+"AM:!xu"</f>
        <v>#VALUE!</v>
      </c>
      <c r="FN29" t="e">
        <f>'Effort Estimation'!R138+"AM:!xv"</f>
        <v>#VALUE!</v>
      </c>
      <c r="FO29" t="e">
        <f>'Effort Estimation'!S138+"AM:!xw"</f>
        <v>#VALUE!</v>
      </c>
      <c r="FP29" t="e">
        <f>'Effort Estimation'!T138+"AM:!xx"</f>
        <v>#VALUE!</v>
      </c>
      <c r="FQ29" t="e">
        <f>'Effort Estimation'!A139+"AM:!xy"</f>
        <v>#VALUE!</v>
      </c>
      <c r="FR29" t="e">
        <f>'Effort Estimation'!B139+"AM:!xz"</f>
        <v>#VALUE!</v>
      </c>
      <c r="FS29" t="e">
        <f>'Effort Estimation'!C139+"AM:!x{"</f>
        <v>#VALUE!</v>
      </c>
      <c r="FT29" t="e">
        <f>'Effort Estimation'!D139+"AM:!x|"</f>
        <v>#VALUE!</v>
      </c>
      <c r="FU29" t="e">
        <f>'Effort Estimation'!E139+"AM:!x}"</f>
        <v>#VALUE!</v>
      </c>
      <c r="FV29" t="e">
        <f>'Effort Estimation'!F139+"AM:!x~"</f>
        <v>#VALUE!</v>
      </c>
      <c r="FW29" t="e">
        <f>'Effort Estimation'!G139+"AM:!y#"</f>
        <v>#VALUE!</v>
      </c>
      <c r="FX29" t="e">
        <f>'Effort Estimation'!H139+"AM:!y$"</f>
        <v>#VALUE!</v>
      </c>
      <c r="FY29" t="e">
        <f>'Effort Estimation'!I139+"AM:!y%"</f>
        <v>#VALUE!</v>
      </c>
      <c r="FZ29" s="99" t="e">
        <f>'Effort Estimation'!J139+"AM:!y&amp;"</f>
        <v>#VALUE!</v>
      </c>
      <c r="GA29" s="99" t="e">
        <f>'Effort Estimation'!K139+"AM:!y'"</f>
        <v>#VALUE!</v>
      </c>
      <c r="GB29" s="99" t="e">
        <f>'Effort Estimation'!L139+"AM:!y("</f>
        <v>#VALUE!</v>
      </c>
      <c r="GC29" s="99" t="e">
        <f>'Effort Estimation'!M139+"AM:!y)"</f>
        <v>#VALUE!</v>
      </c>
      <c r="GD29" s="99" t="e">
        <f>'Effort Estimation'!N139+"AM:!y."</f>
        <v>#VALUE!</v>
      </c>
      <c r="GE29" s="99" t="e">
        <f>'Effort Estimation'!O139+"AM:!y/"</f>
        <v>#VALUE!</v>
      </c>
      <c r="GF29" s="99" t="e">
        <f>'Effort Estimation'!P139+"AM:!y0"</f>
        <v>#VALUE!</v>
      </c>
      <c r="GG29" s="99" t="e">
        <f>'Effort Estimation'!Q139+"AM:!y1"</f>
        <v>#VALUE!</v>
      </c>
      <c r="GH29" t="e">
        <f>'Effort Estimation'!R139+"AM:!y2"</f>
        <v>#VALUE!</v>
      </c>
      <c r="GI29" t="e">
        <f>'Effort Estimation'!S139+"AM:!y3"</f>
        <v>#VALUE!</v>
      </c>
      <c r="GJ29" t="e">
        <f>'Effort Estimation'!T139+"AM:!y4"</f>
        <v>#VALUE!</v>
      </c>
      <c r="GK29" t="e">
        <f>'Effort Estimation'!A140+"AM:!y5"</f>
        <v>#VALUE!</v>
      </c>
      <c r="GL29" t="e">
        <f>'Effort Estimation'!B140+"AM:!y6"</f>
        <v>#VALUE!</v>
      </c>
      <c r="GM29" t="e">
        <f>'Effort Estimation'!C140+"AM:!y7"</f>
        <v>#VALUE!</v>
      </c>
      <c r="GN29" t="e">
        <f>'Effort Estimation'!D140+"AM:!y8"</f>
        <v>#VALUE!</v>
      </c>
      <c r="GO29" t="e">
        <f>'Effort Estimation'!E140+"AM:!y9"</f>
        <v>#VALUE!</v>
      </c>
      <c r="GP29" t="e">
        <f>'Effort Estimation'!F140+"AM:!y:"</f>
        <v>#VALUE!</v>
      </c>
      <c r="GQ29" t="e">
        <f>'Effort Estimation'!G140+"AM:!y;"</f>
        <v>#VALUE!</v>
      </c>
      <c r="GR29" t="e">
        <f>'Effort Estimation'!H140+"AM:!y&lt;"</f>
        <v>#VALUE!</v>
      </c>
      <c r="GS29" t="e">
        <f>'Effort Estimation'!I140+"AM:!y="</f>
        <v>#VALUE!</v>
      </c>
      <c r="GT29" s="99" t="e">
        <f>'Effort Estimation'!J140+"AM:!y&gt;"</f>
        <v>#VALUE!</v>
      </c>
      <c r="GU29" s="99" t="e">
        <f>'Effort Estimation'!K140+"AM:!y?"</f>
        <v>#VALUE!</v>
      </c>
      <c r="GV29" s="99" t="e">
        <f>'Effort Estimation'!L140+"AM:!y@"</f>
        <v>#VALUE!</v>
      </c>
      <c r="GW29" s="99" t="e">
        <f>'Effort Estimation'!M140+"AM:!yA"</f>
        <v>#VALUE!</v>
      </c>
      <c r="GX29" s="99" t="e">
        <f>'Effort Estimation'!N140+"AM:!yB"</f>
        <v>#VALUE!</v>
      </c>
      <c r="GY29" s="99" t="e">
        <f>'Effort Estimation'!O140+"AM:!yC"</f>
        <v>#VALUE!</v>
      </c>
      <c r="GZ29" s="99" t="e">
        <f>'Effort Estimation'!P140+"AM:!yD"</f>
        <v>#VALUE!</v>
      </c>
      <c r="HA29" s="99" t="e">
        <f>'Effort Estimation'!Q140+"AM:!yE"</f>
        <v>#VALUE!</v>
      </c>
      <c r="HB29" t="e">
        <f>'Effort Estimation'!R140+"AM:!yF"</f>
        <v>#VALUE!</v>
      </c>
      <c r="HC29" t="e">
        <f>'Effort Estimation'!S140+"AM:!yG"</f>
        <v>#VALUE!</v>
      </c>
      <c r="HD29" t="e">
        <f>'Effort Estimation'!T140+"AM:!yH"</f>
        <v>#VALUE!</v>
      </c>
      <c r="HE29" t="e">
        <f>'Effort Estimation'!A141+"AM:!yI"</f>
        <v>#VALUE!</v>
      </c>
      <c r="HF29" t="e">
        <f>'Effort Estimation'!B141+"AM:!yJ"</f>
        <v>#VALUE!</v>
      </c>
      <c r="HG29" t="e">
        <f>'Effort Estimation'!C141+"AM:!yK"</f>
        <v>#VALUE!</v>
      </c>
      <c r="HH29" t="e">
        <f>'Effort Estimation'!D141+"AM:!yL"</f>
        <v>#VALUE!</v>
      </c>
      <c r="HI29" t="e">
        <f>'Effort Estimation'!E141+"AM:!yM"</f>
        <v>#VALUE!</v>
      </c>
      <c r="HJ29" t="e">
        <f>'Effort Estimation'!F141+"AM:!yN"</f>
        <v>#VALUE!</v>
      </c>
      <c r="HK29" t="e">
        <f>'Effort Estimation'!G141+"AM:!yO"</f>
        <v>#VALUE!</v>
      </c>
      <c r="HL29" t="e">
        <f>'Effort Estimation'!H141+"AM:!yP"</f>
        <v>#VALUE!</v>
      </c>
      <c r="HM29" t="e">
        <f>'Effort Estimation'!I141+"AM:!yQ"</f>
        <v>#VALUE!</v>
      </c>
      <c r="HN29" s="99" t="e">
        <f>'Effort Estimation'!J141+"AM:!yR"</f>
        <v>#VALUE!</v>
      </c>
      <c r="HO29" s="99" t="e">
        <f>'Effort Estimation'!K141+"AM:!yS"</f>
        <v>#VALUE!</v>
      </c>
      <c r="HP29" s="99" t="e">
        <f>'Effort Estimation'!L141+"AM:!yT"</f>
        <v>#VALUE!</v>
      </c>
      <c r="HQ29" s="99" t="e">
        <f>'Effort Estimation'!M141+"AM:!yU"</f>
        <v>#VALUE!</v>
      </c>
      <c r="HR29" s="99" t="e">
        <f>'Effort Estimation'!N141+"AM:!yV"</f>
        <v>#VALUE!</v>
      </c>
      <c r="HS29" s="99" t="e">
        <f>'Effort Estimation'!O141+"AM:!yW"</f>
        <v>#VALUE!</v>
      </c>
      <c r="HT29" s="99" t="e">
        <f>'Effort Estimation'!P141+"AM:!yX"</f>
        <v>#VALUE!</v>
      </c>
      <c r="HU29" s="99" t="e">
        <f>'Effort Estimation'!Q141+"AM:!yY"</f>
        <v>#VALUE!</v>
      </c>
      <c r="HV29" t="e">
        <f>'Effort Estimation'!R141+"AM:!yZ"</f>
        <v>#VALUE!</v>
      </c>
      <c r="HW29" t="e">
        <f>'Effort Estimation'!S141+"AM:!y["</f>
        <v>#VALUE!</v>
      </c>
      <c r="HX29" t="e">
        <f>'Effort Estimation'!T141+"AM:!y\"</f>
        <v>#VALUE!</v>
      </c>
      <c r="HY29" t="e">
        <f>'Effort Estimation'!A142+"AM:!y]"</f>
        <v>#VALUE!</v>
      </c>
      <c r="HZ29" t="e">
        <f>'Effort Estimation'!B142+"AM:!y^"</f>
        <v>#VALUE!</v>
      </c>
      <c r="IA29" t="e">
        <f>'Effort Estimation'!C142+"AM:!y_"</f>
        <v>#VALUE!</v>
      </c>
      <c r="IB29" t="e">
        <f>'Effort Estimation'!D142+"AM:!y`"</f>
        <v>#VALUE!</v>
      </c>
      <c r="IC29" t="e">
        <f>'Effort Estimation'!E142+"AM:!ya"</f>
        <v>#VALUE!</v>
      </c>
      <c r="ID29" t="e">
        <f>'Effort Estimation'!F142+"AM:!yb"</f>
        <v>#VALUE!</v>
      </c>
      <c r="IE29" t="e">
        <f>'Effort Estimation'!G142+"AM:!yc"</f>
        <v>#VALUE!</v>
      </c>
      <c r="IF29" t="e">
        <f>'Effort Estimation'!H142+"AM:!yd"</f>
        <v>#VALUE!</v>
      </c>
      <c r="IG29" t="e">
        <f>'Effort Estimation'!I142+"AM:!ye"</f>
        <v>#VALUE!</v>
      </c>
      <c r="IH29" s="99" t="e">
        <f>'Effort Estimation'!J142+"AM:!yf"</f>
        <v>#VALUE!</v>
      </c>
      <c r="II29" s="99" t="e">
        <f>'Effort Estimation'!K142+"AM:!yg"</f>
        <v>#VALUE!</v>
      </c>
      <c r="IJ29" s="99" t="e">
        <f>'Effort Estimation'!L142+"AM:!yh"</f>
        <v>#VALUE!</v>
      </c>
      <c r="IK29" s="99" t="e">
        <f>'Effort Estimation'!M142+"AM:!yi"</f>
        <v>#VALUE!</v>
      </c>
      <c r="IL29" s="99" t="e">
        <f>'Effort Estimation'!N142+"AM:!yj"</f>
        <v>#VALUE!</v>
      </c>
      <c r="IM29" s="99" t="e">
        <f>'Effort Estimation'!O142+"AM:!yk"</f>
        <v>#VALUE!</v>
      </c>
      <c r="IN29" s="99" t="e">
        <f>'Effort Estimation'!P142+"AM:!yl"</f>
        <v>#VALUE!</v>
      </c>
      <c r="IO29" s="99" t="e">
        <f>'Effort Estimation'!Q142+"AM:!ym"</f>
        <v>#VALUE!</v>
      </c>
      <c r="IP29" t="e">
        <f>'Effort Estimation'!R142+"AM:!yn"</f>
        <v>#VALUE!</v>
      </c>
      <c r="IQ29" t="e">
        <f>'Effort Estimation'!S142+"AM:!yo"</f>
        <v>#VALUE!</v>
      </c>
      <c r="IR29" t="e">
        <f>'Effort Estimation'!T142+"AM:!yp"</f>
        <v>#VALUE!</v>
      </c>
      <c r="IS29" t="e">
        <f>'Effort Estimation'!A143+"AM:!yq"</f>
        <v>#VALUE!</v>
      </c>
      <c r="IT29" t="e">
        <f>'Effort Estimation'!B143+"AM:!yr"</f>
        <v>#VALUE!</v>
      </c>
      <c r="IU29" t="e">
        <f>'Effort Estimation'!C143+"AM:!ys"</f>
        <v>#VALUE!</v>
      </c>
      <c r="IV29" t="e">
        <f>'Effort Estimation'!D143+"AM:!yt"</f>
        <v>#VALUE!</v>
      </c>
    </row>
    <row r="30" spans="6:256">
      <c r="F30" t="e">
        <f>'Effort Estimation'!E143+"AM:!yu"</f>
        <v>#VALUE!</v>
      </c>
      <c r="G30" t="e">
        <f>'Effort Estimation'!F143+"AM:!yv"</f>
        <v>#VALUE!</v>
      </c>
      <c r="H30" t="e">
        <f>'Effort Estimation'!G143+"AM:!yw"</f>
        <v>#VALUE!</v>
      </c>
      <c r="I30" t="e">
        <f>'Effort Estimation'!H143+"AM:!yx"</f>
        <v>#VALUE!</v>
      </c>
      <c r="J30" t="e">
        <f>'Effort Estimation'!I143+"AM:!yy"</f>
        <v>#VALUE!</v>
      </c>
      <c r="K30" s="99" t="e">
        <f>'Effort Estimation'!J143+"AM:!yz"</f>
        <v>#VALUE!</v>
      </c>
      <c r="L30" s="99" t="e">
        <f>'Effort Estimation'!K143+"AM:!y{"</f>
        <v>#VALUE!</v>
      </c>
      <c r="M30" s="99" t="e">
        <f>'Effort Estimation'!L143+"AM:!y|"</f>
        <v>#VALUE!</v>
      </c>
      <c r="N30" s="99" t="e">
        <f>'Effort Estimation'!M143+"AM:!y}"</f>
        <v>#VALUE!</v>
      </c>
      <c r="O30" s="99" t="e">
        <f>'Effort Estimation'!N143+"AM:!y~"</f>
        <v>#VALUE!</v>
      </c>
      <c r="P30" s="99" t="e">
        <f>'Effort Estimation'!O143+"AM:!z#"</f>
        <v>#VALUE!</v>
      </c>
      <c r="Q30" s="99" t="e">
        <f>'Effort Estimation'!P143+"AM:!z$"</f>
        <v>#VALUE!</v>
      </c>
      <c r="R30" s="99" t="e">
        <f>'Effort Estimation'!Q143+"AM:!z%"</f>
        <v>#VALUE!</v>
      </c>
      <c r="S30" t="e">
        <f>'Effort Estimation'!R143+"AM:!z&amp;"</f>
        <v>#VALUE!</v>
      </c>
      <c r="T30" t="e">
        <f>'Effort Estimation'!S143+"AM:!z'"</f>
        <v>#VALUE!</v>
      </c>
      <c r="U30" t="e">
        <f>'Effort Estimation'!T143+"AM:!z("</f>
        <v>#VALUE!</v>
      </c>
      <c r="V30" t="e">
        <f>'Effort Estimation'!A144+"AM:!z)"</f>
        <v>#VALUE!</v>
      </c>
      <c r="W30" t="e">
        <f>'Effort Estimation'!B144+"AM:!z."</f>
        <v>#VALUE!</v>
      </c>
      <c r="X30" t="e">
        <f>'Effort Estimation'!C144+"AM:!z/"</f>
        <v>#VALUE!</v>
      </c>
      <c r="Y30" t="e">
        <f>'Effort Estimation'!D144+"AM:!z0"</f>
        <v>#VALUE!</v>
      </c>
      <c r="Z30" t="e">
        <f>'Effort Estimation'!E144+"AM:!z1"</f>
        <v>#VALUE!</v>
      </c>
      <c r="AA30" t="e">
        <f>'Effort Estimation'!F144+"AM:!z2"</f>
        <v>#VALUE!</v>
      </c>
      <c r="AB30" t="e">
        <f>'Effort Estimation'!G144+"AM:!z3"</f>
        <v>#VALUE!</v>
      </c>
      <c r="AC30" t="e">
        <f>'Effort Estimation'!H144+"AM:!z4"</f>
        <v>#VALUE!</v>
      </c>
      <c r="AD30" t="e">
        <f>'Effort Estimation'!I144+"AM:!z5"</f>
        <v>#VALUE!</v>
      </c>
      <c r="AE30" s="99" t="e">
        <f>'Effort Estimation'!J144+"AM:!z6"</f>
        <v>#VALUE!</v>
      </c>
      <c r="AF30" s="99" t="e">
        <f>'Effort Estimation'!K144+"AM:!z7"</f>
        <v>#VALUE!</v>
      </c>
      <c r="AG30" s="99" t="e">
        <f>'Effort Estimation'!L144+"AM:!z8"</f>
        <v>#VALUE!</v>
      </c>
      <c r="AH30" s="99" t="e">
        <f>'Effort Estimation'!M144+"AM:!z9"</f>
        <v>#VALUE!</v>
      </c>
      <c r="AI30" s="99" t="e">
        <f>'Effort Estimation'!N144+"AM:!z:"</f>
        <v>#VALUE!</v>
      </c>
      <c r="AJ30" s="99" t="e">
        <f>'Effort Estimation'!O144+"AM:!z;"</f>
        <v>#VALUE!</v>
      </c>
      <c r="AK30" s="99" t="e">
        <f>'Effort Estimation'!P144+"AM:!z&lt;"</f>
        <v>#VALUE!</v>
      </c>
      <c r="AL30" s="99" t="e">
        <f>'Effort Estimation'!Q144+"AM:!z="</f>
        <v>#VALUE!</v>
      </c>
      <c r="AM30" t="e">
        <f>'Effort Estimation'!R144+"AM:!z&gt;"</f>
        <v>#VALUE!</v>
      </c>
      <c r="AN30" t="e">
        <f>'Effort Estimation'!S144+"AM:!z?"</f>
        <v>#VALUE!</v>
      </c>
      <c r="AO30" t="e">
        <f>'Effort Estimation'!T144+"AM:!z@"</f>
        <v>#VALUE!</v>
      </c>
      <c r="AP30" t="e">
        <f>'Effort Estimation'!A145+"AM:!zA"</f>
        <v>#VALUE!</v>
      </c>
      <c r="AQ30" t="e">
        <f>'Effort Estimation'!B145+"AM:!zB"</f>
        <v>#VALUE!</v>
      </c>
      <c r="AR30" t="e">
        <f>'Effort Estimation'!C145+"AM:!zC"</f>
        <v>#VALUE!</v>
      </c>
      <c r="AS30" t="e">
        <f>'Effort Estimation'!D145+"AM:!zD"</f>
        <v>#VALUE!</v>
      </c>
      <c r="AT30" t="e">
        <f>'Effort Estimation'!E145+"AM:!zE"</f>
        <v>#VALUE!</v>
      </c>
      <c r="AU30" t="e">
        <f>'Effort Estimation'!F145+"AM:!zF"</f>
        <v>#VALUE!</v>
      </c>
      <c r="AV30" t="e">
        <f>'Effort Estimation'!G145+"AM:!zG"</f>
        <v>#VALUE!</v>
      </c>
      <c r="AW30" t="e">
        <f>'Effort Estimation'!H145+"AM:!zH"</f>
        <v>#VALUE!</v>
      </c>
      <c r="AX30" t="e">
        <f>'Effort Estimation'!I145+"AM:!zI"</f>
        <v>#VALUE!</v>
      </c>
      <c r="AY30" s="99" t="e">
        <f>'Effort Estimation'!J145+"AM:!zJ"</f>
        <v>#VALUE!</v>
      </c>
      <c r="AZ30" s="99" t="e">
        <f>'Effort Estimation'!K145+"AM:!zK"</f>
        <v>#VALUE!</v>
      </c>
      <c r="BA30" s="99" t="e">
        <f>'Effort Estimation'!L145+"AM:!zL"</f>
        <v>#VALUE!</v>
      </c>
      <c r="BB30" s="99" t="e">
        <f>'Effort Estimation'!M145+"AM:!zM"</f>
        <v>#VALUE!</v>
      </c>
      <c r="BC30" s="99" t="e">
        <f>'Effort Estimation'!N145+"AM:!zN"</f>
        <v>#VALUE!</v>
      </c>
      <c r="BD30" s="99" t="e">
        <f>'Effort Estimation'!O145+"AM:!zO"</f>
        <v>#VALUE!</v>
      </c>
      <c r="BE30" s="99" t="e">
        <f>'Effort Estimation'!P145+"AM:!zP"</f>
        <v>#VALUE!</v>
      </c>
      <c r="BF30" s="99" t="e">
        <f>'Effort Estimation'!Q145+"AM:!zQ"</f>
        <v>#VALUE!</v>
      </c>
      <c r="BG30" t="e">
        <f>'Effort Estimation'!R145+"AM:!zR"</f>
        <v>#VALUE!</v>
      </c>
      <c r="BH30" t="e">
        <f>'Effort Estimation'!S145+"AM:!zS"</f>
        <v>#VALUE!</v>
      </c>
      <c r="BI30" t="e">
        <f>'Effort Estimation'!T145+"AM:!zT"</f>
        <v>#VALUE!</v>
      </c>
      <c r="BJ30" t="e">
        <f>'Effort Estimation'!A146+"AM:!zU"</f>
        <v>#VALUE!</v>
      </c>
      <c r="BK30" t="e">
        <f>'Effort Estimation'!B146+"AM:!zV"</f>
        <v>#VALUE!</v>
      </c>
      <c r="BL30" t="e">
        <f>'Effort Estimation'!C146+"AM:!zW"</f>
        <v>#VALUE!</v>
      </c>
      <c r="BM30" t="e">
        <f>'Effort Estimation'!D146+"AM:!zX"</f>
        <v>#VALUE!</v>
      </c>
      <c r="BN30" t="e">
        <f>'Effort Estimation'!E146+"AM:!zY"</f>
        <v>#VALUE!</v>
      </c>
      <c r="BO30" t="e">
        <f>'Effort Estimation'!F146+"AM:!zZ"</f>
        <v>#VALUE!</v>
      </c>
      <c r="BP30" t="e">
        <f>'Effort Estimation'!G146+"AM:!z["</f>
        <v>#VALUE!</v>
      </c>
      <c r="BQ30" t="e">
        <f>'Effort Estimation'!H146+"AM:!z\"</f>
        <v>#VALUE!</v>
      </c>
      <c r="BR30" t="e">
        <f>'Effort Estimation'!I146+"AM:!z]"</f>
        <v>#VALUE!</v>
      </c>
      <c r="BS30" s="99" t="e">
        <f>'Effort Estimation'!J146+"AM:!z^"</f>
        <v>#VALUE!</v>
      </c>
      <c r="BT30" s="99" t="e">
        <f>'Effort Estimation'!K146+"AM:!z_"</f>
        <v>#VALUE!</v>
      </c>
      <c r="BU30" s="99" t="e">
        <f>'Effort Estimation'!L146+"AM:!z`"</f>
        <v>#VALUE!</v>
      </c>
      <c r="BV30" s="99" t="e">
        <f>'Effort Estimation'!M146+"AM:!za"</f>
        <v>#VALUE!</v>
      </c>
      <c r="BW30" s="99" t="e">
        <f>'Effort Estimation'!N146+"AM:!zb"</f>
        <v>#VALUE!</v>
      </c>
      <c r="BX30" s="99" t="e">
        <f>'Effort Estimation'!O146+"AM:!zc"</f>
        <v>#VALUE!</v>
      </c>
      <c r="BY30" s="99" t="e">
        <f>'Effort Estimation'!P146+"AM:!zd"</f>
        <v>#VALUE!</v>
      </c>
      <c r="BZ30" s="99" t="e">
        <f>'Effort Estimation'!Q146+"AM:!ze"</f>
        <v>#VALUE!</v>
      </c>
      <c r="CA30" t="e">
        <f>'Effort Estimation'!R146+"AM:!zf"</f>
        <v>#VALUE!</v>
      </c>
      <c r="CB30" t="e">
        <f>'Effort Estimation'!S146+"AM:!zg"</f>
        <v>#VALUE!</v>
      </c>
      <c r="CC30" t="e">
        <f>'Effort Estimation'!T146+"AM:!zh"</f>
        <v>#VALUE!</v>
      </c>
      <c r="CD30" t="e">
        <f>'Effort Estimation'!A147+"AM:!zi"</f>
        <v>#VALUE!</v>
      </c>
      <c r="CE30" t="e">
        <f>'Effort Estimation'!B147+"AM:!zj"</f>
        <v>#VALUE!</v>
      </c>
      <c r="CF30" t="e">
        <f>'Effort Estimation'!C147+"AM:!zk"</f>
        <v>#VALUE!</v>
      </c>
      <c r="CG30" t="e">
        <f>'Effort Estimation'!D147+"AM:!zl"</f>
        <v>#VALUE!</v>
      </c>
      <c r="CH30" t="e">
        <f>'Effort Estimation'!E147+"AM:!zm"</f>
        <v>#VALUE!</v>
      </c>
      <c r="CI30" t="e">
        <f>'Effort Estimation'!F147+"AM:!zn"</f>
        <v>#VALUE!</v>
      </c>
      <c r="CJ30" t="e">
        <f>'Effort Estimation'!G147+"AM:!zo"</f>
        <v>#VALUE!</v>
      </c>
      <c r="CK30" t="e">
        <f>'Effort Estimation'!H147+"AM:!zp"</f>
        <v>#VALUE!</v>
      </c>
      <c r="CL30" t="e">
        <f>'Effort Estimation'!I147+"AM:!zq"</f>
        <v>#VALUE!</v>
      </c>
      <c r="CM30" s="99" t="e">
        <f>'Effort Estimation'!J147+"AM:!zr"</f>
        <v>#VALUE!</v>
      </c>
      <c r="CN30" s="99" t="e">
        <f>'Effort Estimation'!K147+"AM:!zs"</f>
        <v>#VALUE!</v>
      </c>
      <c r="CO30" s="99" t="e">
        <f>'Effort Estimation'!L147+"AM:!zt"</f>
        <v>#VALUE!</v>
      </c>
      <c r="CP30" s="99" t="e">
        <f>'Effort Estimation'!M147+"AM:!zu"</f>
        <v>#VALUE!</v>
      </c>
      <c r="CQ30" s="99" t="e">
        <f>'Effort Estimation'!N147+"AM:!zv"</f>
        <v>#VALUE!</v>
      </c>
      <c r="CR30" s="99" t="e">
        <f>'Effort Estimation'!O147+"AM:!zw"</f>
        <v>#VALUE!</v>
      </c>
      <c r="CS30" s="99" t="e">
        <f>'Effort Estimation'!P147+"AM:!zx"</f>
        <v>#VALUE!</v>
      </c>
      <c r="CT30" s="99" t="e">
        <f>'Effort Estimation'!Q147+"AM:!zy"</f>
        <v>#VALUE!</v>
      </c>
      <c r="CU30" t="e">
        <f>'Effort Estimation'!R147+"AM:!zz"</f>
        <v>#VALUE!</v>
      </c>
      <c r="CV30" t="e">
        <f>'Effort Estimation'!S147+"AM:!z{"</f>
        <v>#VALUE!</v>
      </c>
      <c r="CW30" t="e">
        <f>'Effort Estimation'!T147+"AM:!z|"</f>
        <v>#VALUE!</v>
      </c>
      <c r="CX30" t="e">
        <f>'Effort Estimation'!A148+"AM:!z}"</f>
        <v>#VALUE!</v>
      </c>
      <c r="CY30" t="e">
        <f>'Effort Estimation'!B148+"AM:!z~"</f>
        <v>#VALUE!</v>
      </c>
      <c r="CZ30" t="e">
        <f>'Effort Estimation'!C148+"AM:!{#"</f>
        <v>#VALUE!</v>
      </c>
      <c r="DA30" t="e">
        <f>'Effort Estimation'!D148+"AM:!{$"</f>
        <v>#VALUE!</v>
      </c>
      <c r="DB30" t="e">
        <f>'Effort Estimation'!E148+"AM:!{%"</f>
        <v>#VALUE!</v>
      </c>
      <c r="DC30" t="e">
        <f>'Effort Estimation'!F148+"AM:!{&amp;"</f>
        <v>#VALUE!</v>
      </c>
      <c r="DD30" t="e">
        <f>'Effort Estimation'!G148+"AM:!{'"</f>
        <v>#VALUE!</v>
      </c>
      <c r="DE30" t="e">
        <f>'Effort Estimation'!H148+"AM:!{("</f>
        <v>#VALUE!</v>
      </c>
      <c r="DF30" t="e">
        <f>'Effort Estimation'!I148+"AM:!{)"</f>
        <v>#VALUE!</v>
      </c>
      <c r="DG30" s="99" t="e">
        <f>'Effort Estimation'!J148+"AM:!{."</f>
        <v>#VALUE!</v>
      </c>
      <c r="DH30" s="99" t="e">
        <f>'Effort Estimation'!K148+"AM:!{/"</f>
        <v>#VALUE!</v>
      </c>
      <c r="DI30" s="99" t="e">
        <f>'Effort Estimation'!L148+"AM:!{0"</f>
        <v>#VALUE!</v>
      </c>
      <c r="DJ30" s="99" t="e">
        <f>'Effort Estimation'!M148+"AM:!{1"</f>
        <v>#VALUE!</v>
      </c>
      <c r="DK30" s="99" t="e">
        <f>'Effort Estimation'!N148+"AM:!{2"</f>
        <v>#VALUE!</v>
      </c>
      <c r="DL30" s="99" t="e">
        <f>'Effort Estimation'!O148+"AM:!{3"</f>
        <v>#VALUE!</v>
      </c>
      <c r="DM30" s="99" t="e">
        <f>'Effort Estimation'!P148+"AM:!{4"</f>
        <v>#VALUE!</v>
      </c>
      <c r="DN30" s="99" t="e">
        <f>'Effort Estimation'!Q148+"AM:!{5"</f>
        <v>#VALUE!</v>
      </c>
      <c r="DO30" t="e">
        <f>'Effort Estimation'!R148+"AM:!{6"</f>
        <v>#VALUE!</v>
      </c>
      <c r="DP30" t="e">
        <f>'Effort Estimation'!S148+"AM:!{7"</f>
        <v>#VALUE!</v>
      </c>
      <c r="DQ30" t="e">
        <f>'Effort Estimation'!T148+"AM:!{8"</f>
        <v>#VALUE!</v>
      </c>
      <c r="DR30" t="e">
        <f>'Effort Estimation'!A149+"AM:!{9"</f>
        <v>#VALUE!</v>
      </c>
      <c r="DS30" t="e">
        <f>'Effort Estimation'!B149+"AM:!{:"</f>
        <v>#VALUE!</v>
      </c>
      <c r="DT30" t="e">
        <f>'Effort Estimation'!C149+"AM:!{;"</f>
        <v>#VALUE!</v>
      </c>
      <c r="DU30" t="e">
        <f>'Effort Estimation'!D149+"AM:!{&lt;"</f>
        <v>#VALUE!</v>
      </c>
      <c r="DV30" t="e">
        <f>'Effort Estimation'!E149+"AM:!{="</f>
        <v>#VALUE!</v>
      </c>
      <c r="DW30" t="e">
        <f>'Effort Estimation'!F149+"AM:!{&gt;"</f>
        <v>#VALUE!</v>
      </c>
      <c r="DX30" t="e">
        <f>'Effort Estimation'!G149+"AM:!{?"</f>
        <v>#VALUE!</v>
      </c>
      <c r="DY30" t="e">
        <f>'Effort Estimation'!H149+"AM:!{@"</f>
        <v>#VALUE!</v>
      </c>
      <c r="DZ30" t="e">
        <f>'Effort Estimation'!I149+"AM:!{A"</f>
        <v>#VALUE!</v>
      </c>
      <c r="EA30" s="99" t="e">
        <f>'Effort Estimation'!J149+"AM:!{B"</f>
        <v>#VALUE!</v>
      </c>
      <c r="EB30" s="99" t="e">
        <f>'Effort Estimation'!K149+"AM:!{C"</f>
        <v>#VALUE!</v>
      </c>
      <c r="EC30" s="99" t="e">
        <f>'Effort Estimation'!L149+"AM:!{D"</f>
        <v>#VALUE!</v>
      </c>
      <c r="ED30" s="99" t="e">
        <f>'Effort Estimation'!M149+"AM:!{E"</f>
        <v>#VALUE!</v>
      </c>
      <c r="EE30" s="99" t="e">
        <f>'Effort Estimation'!N149+"AM:!{F"</f>
        <v>#VALUE!</v>
      </c>
      <c r="EF30" s="99" t="e">
        <f>'Effort Estimation'!O149+"AM:!{G"</f>
        <v>#VALUE!</v>
      </c>
      <c r="EG30" s="99" t="e">
        <f>'Effort Estimation'!P149+"AM:!{H"</f>
        <v>#VALUE!</v>
      </c>
      <c r="EH30" s="99" t="e">
        <f>'Effort Estimation'!Q149+"AM:!{I"</f>
        <v>#VALUE!</v>
      </c>
      <c r="EI30" t="e">
        <f>'Effort Estimation'!R149+"AM:!{J"</f>
        <v>#VALUE!</v>
      </c>
      <c r="EJ30" t="e">
        <f>'Effort Estimation'!S149+"AM:!{K"</f>
        <v>#VALUE!</v>
      </c>
      <c r="EK30" t="e">
        <f>'Effort Estimation'!T149+"AM:!{L"</f>
        <v>#VALUE!</v>
      </c>
      <c r="EL30" t="e">
        <f>'Effort Estimation'!A150+"AM:!{M"</f>
        <v>#VALUE!</v>
      </c>
      <c r="EM30" t="e">
        <f>'Effort Estimation'!B150+"AM:!{N"</f>
        <v>#VALUE!</v>
      </c>
      <c r="EN30" t="e">
        <f>'Effort Estimation'!C150+"AM:!{O"</f>
        <v>#VALUE!</v>
      </c>
      <c r="EO30" t="e">
        <f>'Effort Estimation'!D150+"AM:!{P"</f>
        <v>#VALUE!</v>
      </c>
      <c r="EP30" t="e">
        <f>'Effort Estimation'!E150+"AM:!{Q"</f>
        <v>#VALUE!</v>
      </c>
      <c r="EQ30" t="e">
        <f>'Effort Estimation'!F150+"AM:!{R"</f>
        <v>#VALUE!</v>
      </c>
      <c r="ER30" t="e">
        <f>'Effort Estimation'!G150+"AM:!{S"</f>
        <v>#VALUE!</v>
      </c>
      <c r="ES30" t="e">
        <f>'Effort Estimation'!H150+"AM:!{T"</f>
        <v>#VALUE!</v>
      </c>
      <c r="ET30" t="e">
        <f>'Effort Estimation'!I150+"AM:!{U"</f>
        <v>#VALUE!</v>
      </c>
      <c r="EU30" s="99" t="e">
        <f>'Effort Estimation'!J150+"AM:!{V"</f>
        <v>#VALUE!</v>
      </c>
      <c r="EV30" s="99" t="e">
        <f>'Effort Estimation'!K150+"AM:!{W"</f>
        <v>#VALUE!</v>
      </c>
      <c r="EW30" s="99" t="e">
        <f>'Effort Estimation'!L150+"AM:!{X"</f>
        <v>#VALUE!</v>
      </c>
      <c r="EX30" s="99" t="e">
        <f>'Effort Estimation'!M150+"AM:!{Y"</f>
        <v>#VALUE!</v>
      </c>
      <c r="EY30" s="99" t="e">
        <f>'Effort Estimation'!N150+"AM:!{Z"</f>
        <v>#VALUE!</v>
      </c>
      <c r="EZ30" s="99" t="e">
        <f>'Effort Estimation'!O150+"AM:!{["</f>
        <v>#VALUE!</v>
      </c>
      <c r="FA30" s="99" t="e">
        <f>'Effort Estimation'!P150+"AM:!{\"</f>
        <v>#VALUE!</v>
      </c>
      <c r="FB30" s="99" t="e">
        <f>'Effort Estimation'!Q150+"AM:!{]"</f>
        <v>#VALUE!</v>
      </c>
      <c r="FC30" t="e">
        <f>'Effort Estimation'!R150+"AM:!{^"</f>
        <v>#VALUE!</v>
      </c>
      <c r="FD30" t="e">
        <f>'Effort Estimation'!S150+"AM:!{_"</f>
        <v>#VALUE!</v>
      </c>
      <c r="FE30" t="e">
        <f>'Effort Estimation'!T150+"AM:!{`"</f>
        <v>#VALUE!</v>
      </c>
      <c r="FF30" t="e">
        <f>'Effort Estimation'!A151+"AM:!{a"</f>
        <v>#VALUE!</v>
      </c>
      <c r="FG30" t="e">
        <f>'Effort Estimation'!B151+"AM:!{b"</f>
        <v>#VALUE!</v>
      </c>
      <c r="FH30" t="e">
        <f>'Effort Estimation'!C151+"AM:!{c"</f>
        <v>#VALUE!</v>
      </c>
      <c r="FI30" t="e">
        <f>'Effort Estimation'!D151+"AM:!{d"</f>
        <v>#VALUE!</v>
      </c>
      <c r="FJ30" t="e">
        <f>'Effort Estimation'!E151+"AM:!{e"</f>
        <v>#VALUE!</v>
      </c>
      <c r="FK30" t="e">
        <f>'Effort Estimation'!F151+"AM:!{f"</f>
        <v>#VALUE!</v>
      </c>
      <c r="FL30" t="e">
        <f>'Effort Estimation'!G151+"AM:!{g"</f>
        <v>#VALUE!</v>
      </c>
      <c r="FM30" t="e">
        <f>'Effort Estimation'!H151+"AM:!{h"</f>
        <v>#VALUE!</v>
      </c>
      <c r="FN30" t="e">
        <f>'Effort Estimation'!I151+"AM:!{i"</f>
        <v>#VALUE!</v>
      </c>
      <c r="FO30" s="99" t="e">
        <f>'Effort Estimation'!J151+"AM:!{j"</f>
        <v>#VALUE!</v>
      </c>
      <c r="FP30" s="99" t="e">
        <f>'Effort Estimation'!K151+"AM:!{k"</f>
        <v>#VALUE!</v>
      </c>
      <c r="FQ30" s="99" t="e">
        <f>'Effort Estimation'!L151+"AM:!{l"</f>
        <v>#VALUE!</v>
      </c>
      <c r="FR30" s="99" t="e">
        <f>'Effort Estimation'!M151+"AM:!{m"</f>
        <v>#VALUE!</v>
      </c>
      <c r="FS30" s="99" t="e">
        <f>'Effort Estimation'!N151+"AM:!{n"</f>
        <v>#VALUE!</v>
      </c>
      <c r="FT30" s="99" t="e">
        <f>'Effort Estimation'!O151+"AM:!{o"</f>
        <v>#VALUE!</v>
      </c>
      <c r="FU30" s="99" t="e">
        <f>'Effort Estimation'!P151+"AM:!{p"</f>
        <v>#VALUE!</v>
      </c>
      <c r="FV30" s="99" t="e">
        <f>'Effort Estimation'!Q151+"AM:!{q"</f>
        <v>#VALUE!</v>
      </c>
      <c r="FW30" t="e">
        <f>'Effort Estimation'!R151+"AM:!{r"</f>
        <v>#VALUE!</v>
      </c>
      <c r="FX30" t="e">
        <f>'Effort Estimation'!S151+"AM:!{s"</f>
        <v>#VALUE!</v>
      </c>
      <c r="FY30" t="e">
        <f>'Effort Estimation'!T151+"AM:!{t"</f>
        <v>#VALUE!</v>
      </c>
      <c r="FZ30" t="e">
        <f>'Effort Estimation'!A152+"AM:!{u"</f>
        <v>#VALUE!</v>
      </c>
      <c r="GA30" t="e">
        <f>'Effort Estimation'!B152+"AM:!{v"</f>
        <v>#VALUE!</v>
      </c>
      <c r="GB30" t="e">
        <f>'Effort Estimation'!C152+"AM:!{w"</f>
        <v>#VALUE!</v>
      </c>
      <c r="GC30" t="e">
        <f>'Effort Estimation'!D152+"AM:!{x"</f>
        <v>#VALUE!</v>
      </c>
      <c r="GD30" t="e">
        <f>'Effort Estimation'!E152+"AM:!{y"</f>
        <v>#VALUE!</v>
      </c>
      <c r="GE30" t="e">
        <f>'Effort Estimation'!F152+"AM:!{z"</f>
        <v>#VALUE!</v>
      </c>
      <c r="GF30" t="e">
        <f>'Effort Estimation'!G152+"AM:!{{"</f>
        <v>#VALUE!</v>
      </c>
      <c r="GG30" t="e">
        <f>'Effort Estimation'!H152+"AM:!{|"</f>
        <v>#VALUE!</v>
      </c>
      <c r="GH30" t="e">
        <f>'Effort Estimation'!I152+"AM:!{}"</f>
        <v>#VALUE!</v>
      </c>
      <c r="GI30" s="99" t="e">
        <f>'Effort Estimation'!J152+"AM:!{~"</f>
        <v>#VALUE!</v>
      </c>
      <c r="GJ30" s="99" t="e">
        <f>'Effort Estimation'!K152+"AM:!|#"</f>
        <v>#VALUE!</v>
      </c>
      <c r="GK30" s="99" t="e">
        <f>'Effort Estimation'!L152+"AM:!|$"</f>
        <v>#VALUE!</v>
      </c>
      <c r="GL30" s="99" t="e">
        <f>'Effort Estimation'!M152+"AM:!|%"</f>
        <v>#VALUE!</v>
      </c>
      <c r="GM30" s="99" t="e">
        <f>'Effort Estimation'!N152+"AM:!|&amp;"</f>
        <v>#VALUE!</v>
      </c>
      <c r="GN30" s="99" t="e">
        <f>'Effort Estimation'!O152+"AM:!|'"</f>
        <v>#VALUE!</v>
      </c>
      <c r="GO30" s="99" t="e">
        <f>'Effort Estimation'!P152+"AM:!|("</f>
        <v>#VALUE!</v>
      </c>
      <c r="GP30" s="99" t="e">
        <f>'Effort Estimation'!Q152+"AM:!|)"</f>
        <v>#VALUE!</v>
      </c>
      <c r="GQ30" t="e">
        <f>'Effort Estimation'!R152+"AM:!|."</f>
        <v>#VALUE!</v>
      </c>
      <c r="GR30" t="e">
        <f>'Effort Estimation'!S152+"AM:!|/"</f>
        <v>#VALUE!</v>
      </c>
      <c r="GS30" t="e">
        <f>'Effort Estimation'!T152+"AM:!|0"</f>
        <v>#VALUE!</v>
      </c>
      <c r="GT30" t="e">
        <f>'Effort Estimation'!A153+"AM:!|1"</f>
        <v>#VALUE!</v>
      </c>
      <c r="GU30" t="e">
        <f>'Effort Estimation'!B153+"AM:!|2"</f>
        <v>#VALUE!</v>
      </c>
      <c r="GV30" t="e">
        <f>'Effort Estimation'!C153+"AM:!|3"</f>
        <v>#VALUE!</v>
      </c>
      <c r="GW30" t="e">
        <f>'Effort Estimation'!D153+"AM:!|4"</f>
        <v>#VALUE!</v>
      </c>
      <c r="GX30" t="e">
        <f>'Effort Estimation'!E153+"AM:!|5"</f>
        <v>#VALUE!</v>
      </c>
      <c r="GY30" t="e">
        <f>'Effort Estimation'!F153+"AM:!|6"</f>
        <v>#VALUE!</v>
      </c>
      <c r="GZ30" t="e">
        <f>'Effort Estimation'!G153+"AM:!|7"</f>
        <v>#VALUE!</v>
      </c>
      <c r="HA30" t="e">
        <f>'Effort Estimation'!H153+"AM:!|8"</f>
        <v>#VALUE!</v>
      </c>
      <c r="HB30" t="e">
        <f>'Effort Estimation'!I153+"AM:!|9"</f>
        <v>#VALUE!</v>
      </c>
      <c r="HC30" s="99" t="e">
        <f>'Effort Estimation'!J153+"AM:!|:"</f>
        <v>#VALUE!</v>
      </c>
      <c r="HD30" s="99" t="e">
        <f>'Effort Estimation'!K153+"AM:!|;"</f>
        <v>#VALUE!</v>
      </c>
      <c r="HE30" s="99" t="e">
        <f>'Effort Estimation'!L153+"AM:!|&lt;"</f>
        <v>#VALUE!</v>
      </c>
      <c r="HF30" s="99" t="e">
        <f>'Effort Estimation'!M153+"AM:!|="</f>
        <v>#VALUE!</v>
      </c>
      <c r="HG30" s="99" t="e">
        <f>'Effort Estimation'!N153+"AM:!|&gt;"</f>
        <v>#VALUE!</v>
      </c>
      <c r="HH30" s="99" t="e">
        <f>'Effort Estimation'!O153+"AM:!|?"</f>
        <v>#VALUE!</v>
      </c>
      <c r="HI30" s="99" t="e">
        <f>'Effort Estimation'!P153+"AM:!|@"</f>
        <v>#VALUE!</v>
      </c>
      <c r="HJ30" s="99" t="e">
        <f>'Effort Estimation'!Q153+"AM:!|A"</f>
        <v>#VALUE!</v>
      </c>
      <c r="HK30" t="e">
        <f>'Effort Estimation'!R153+"AM:!|B"</f>
        <v>#VALUE!</v>
      </c>
      <c r="HL30" t="e">
        <f>'Effort Estimation'!S153+"AM:!|C"</f>
        <v>#VALUE!</v>
      </c>
      <c r="HM30" t="e">
        <f>'Effort Estimation'!T153+"AM:!|D"</f>
        <v>#VALUE!</v>
      </c>
      <c r="HN30" t="e">
        <f>'Effort Estimation'!A154+"AM:!|E"</f>
        <v>#VALUE!</v>
      </c>
      <c r="HO30" t="e">
        <f>'Effort Estimation'!B154+"AM:!|F"</f>
        <v>#VALUE!</v>
      </c>
      <c r="HP30" t="e">
        <f>'Effort Estimation'!C154+"AM:!|G"</f>
        <v>#VALUE!</v>
      </c>
      <c r="HQ30" t="e">
        <f>'Effort Estimation'!D154+"AM:!|H"</f>
        <v>#VALUE!</v>
      </c>
      <c r="HR30" t="e">
        <f>'Effort Estimation'!E154+"AM:!|I"</f>
        <v>#VALUE!</v>
      </c>
      <c r="HS30" t="e">
        <f>'Effort Estimation'!F154+"AM:!|J"</f>
        <v>#VALUE!</v>
      </c>
      <c r="HT30" t="e">
        <f>'Effort Estimation'!G154+"AM:!|K"</f>
        <v>#VALUE!</v>
      </c>
      <c r="HU30" t="e">
        <f>'Effort Estimation'!H154+"AM:!|L"</f>
        <v>#VALUE!</v>
      </c>
      <c r="HV30" t="e">
        <f>'Effort Estimation'!I154+"AM:!|M"</f>
        <v>#VALUE!</v>
      </c>
      <c r="HW30" s="99" t="e">
        <f>'Effort Estimation'!J154+"AM:!|N"</f>
        <v>#VALUE!</v>
      </c>
      <c r="HX30" s="99" t="e">
        <f>'Effort Estimation'!K154+"AM:!|O"</f>
        <v>#VALUE!</v>
      </c>
      <c r="HY30" s="99" t="e">
        <f>'Effort Estimation'!L154+"AM:!|P"</f>
        <v>#VALUE!</v>
      </c>
      <c r="HZ30" s="99" t="e">
        <f>'Effort Estimation'!M154+"AM:!|Q"</f>
        <v>#VALUE!</v>
      </c>
      <c r="IA30" s="99" t="e">
        <f>'Effort Estimation'!N154+"AM:!|R"</f>
        <v>#VALUE!</v>
      </c>
      <c r="IB30" s="99" t="e">
        <f>'Effort Estimation'!O154+"AM:!|S"</f>
        <v>#VALUE!</v>
      </c>
      <c r="IC30" s="99" t="e">
        <f>'Effort Estimation'!P154+"AM:!|T"</f>
        <v>#VALUE!</v>
      </c>
      <c r="ID30" s="99" t="e">
        <f>'Effort Estimation'!Q154+"AM:!|U"</f>
        <v>#VALUE!</v>
      </c>
      <c r="IE30" t="e">
        <f>'Effort Estimation'!R154+"AM:!|V"</f>
        <v>#VALUE!</v>
      </c>
      <c r="IF30" t="e">
        <f>'Effort Estimation'!S154+"AM:!|W"</f>
        <v>#VALUE!</v>
      </c>
      <c r="IG30" t="e">
        <f>'Effort Estimation'!T154+"AM:!|X"</f>
        <v>#VALUE!</v>
      </c>
      <c r="IH30" t="e">
        <f>'Effort Estimation'!A155+"AM:!|Y"</f>
        <v>#VALUE!</v>
      </c>
      <c r="II30" t="e">
        <f>'Effort Estimation'!B155+"AM:!|Z"</f>
        <v>#VALUE!</v>
      </c>
      <c r="IJ30" t="e">
        <f>'Effort Estimation'!C155+"AM:!|["</f>
        <v>#VALUE!</v>
      </c>
      <c r="IK30" t="e">
        <f>'Effort Estimation'!D155+"AM:!|\"</f>
        <v>#VALUE!</v>
      </c>
      <c r="IL30" t="e">
        <f>'Effort Estimation'!E155+"AM:!|]"</f>
        <v>#VALUE!</v>
      </c>
      <c r="IM30" t="e">
        <f>'Effort Estimation'!F155+"AM:!|^"</f>
        <v>#VALUE!</v>
      </c>
      <c r="IN30" t="e">
        <f>'Effort Estimation'!G155+"AM:!|_"</f>
        <v>#VALUE!</v>
      </c>
      <c r="IO30" t="e">
        <f>'Effort Estimation'!H155+"AM:!|`"</f>
        <v>#VALUE!</v>
      </c>
      <c r="IP30" t="e">
        <f>'Effort Estimation'!I155+"AM:!|a"</f>
        <v>#VALUE!</v>
      </c>
      <c r="IQ30" s="99" t="e">
        <f>'Effort Estimation'!J155+"AM:!|b"</f>
        <v>#VALUE!</v>
      </c>
      <c r="IR30" s="99" t="e">
        <f>'Effort Estimation'!K155+"AM:!|c"</f>
        <v>#VALUE!</v>
      </c>
      <c r="IS30" s="99" t="e">
        <f>'Effort Estimation'!L155+"AM:!|d"</f>
        <v>#VALUE!</v>
      </c>
      <c r="IT30" s="99" t="e">
        <f>'Effort Estimation'!M155+"AM:!|e"</f>
        <v>#VALUE!</v>
      </c>
      <c r="IU30" s="99" t="e">
        <f>'Effort Estimation'!N155+"AM:!|f"</f>
        <v>#VALUE!</v>
      </c>
      <c r="IV30" s="99" t="e">
        <f>'Effort Estimation'!O155+"AM:!|g"</f>
        <v>#VALUE!</v>
      </c>
    </row>
    <row r="31" spans="6:256">
      <c r="F31" s="99" t="e">
        <f>'Effort Estimation'!P155+"AM:!|h"</f>
        <v>#VALUE!</v>
      </c>
      <c r="G31" s="99" t="e">
        <f>'Effort Estimation'!Q155+"AM:!|i"</f>
        <v>#VALUE!</v>
      </c>
      <c r="H31" t="e">
        <f>'Effort Estimation'!R155+"AM:!|j"</f>
        <v>#VALUE!</v>
      </c>
      <c r="I31" t="e">
        <f>'Effort Estimation'!S155+"AM:!|k"</f>
        <v>#VALUE!</v>
      </c>
      <c r="J31" t="e">
        <f>'Effort Estimation'!T155+"AM:!|l"</f>
        <v>#VALUE!</v>
      </c>
      <c r="K31" t="e">
        <f>'Effort Estimation'!A156+"AM:!|m"</f>
        <v>#VALUE!</v>
      </c>
      <c r="L31" t="e">
        <f>'Effort Estimation'!B156+"AM:!|n"</f>
        <v>#VALUE!</v>
      </c>
      <c r="M31" t="e">
        <f>'Effort Estimation'!C156+"AM:!|o"</f>
        <v>#VALUE!</v>
      </c>
      <c r="N31" t="e">
        <f>'Effort Estimation'!D156+"AM:!|p"</f>
        <v>#VALUE!</v>
      </c>
      <c r="O31" t="e">
        <f>'Effort Estimation'!E156+"AM:!|q"</f>
        <v>#VALUE!</v>
      </c>
      <c r="P31" t="e">
        <f>'Effort Estimation'!F156+"AM:!|r"</f>
        <v>#VALUE!</v>
      </c>
      <c r="Q31" t="e">
        <f>'Effort Estimation'!G156+"AM:!|s"</f>
        <v>#VALUE!</v>
      </c>
      <c r="R31" t="e">
        <f>'Effort Estimation'!H156+"AM:!|t"</f>
        <v>#VALUE!</v>
      </c>
      <c r="S31" t="e">
        <f>'Effort Estimation'!I156+"AM:!|u"</f>
        <v>#VALUE!</v>
      </c>
      <c r="T31" s="99" t="e">
        <f>'Effort Estimation'!J156+"AM:!|v"</f>
        <v>#VALUE!</v>
      </c>
      <c r="U31" s="99" t="e">
        <f>'Effort Estimation'!K156+"AM:!|w"</f>
        <v>#VALUE!</v>
      </c>
      <c r="V31" s="99" t="e">
        <f>'Effort Estimation'!L156+"AM:!|x"</f>
        <v>#VALUE!</v>
      </c>
      <c r="W31" s="99" t="e">
        <f>'Effort Estimation'!M156+"AM:!|y"</f>
        <v>#VALUE!</v>
      </c>
      <c r="X31" s="99" t="e">
        <f>'Effort Estimation'!N156+"AM:!|z"</f>
        <v>#VALUE!</v>
      </c>
      <c r="Y31" s="99" t="e">
        <f>'Effort Estimation'!O156+"AM:!|{"</f>
        <v>#VALUE!</v>
      </c>
      <c r="Z31" s="99" t="e">
        <f>'Effort Estimation'!P156+"AM:!||"</f>
        <v>#VALUE!</v>
      </c>
      <c r="AA31" s="99" t="e">
        <f>'Effort Estimation'!Q156+"AM:!|}"</f>
        <v>#VALUE!</v>
      </c>
      <c r="AB31" t="e">
        <f>'Effort Estimation'!R156+"AM:!|~"</f>
        <v>#VALUE!</v>
      </c>
      <c r="AC31" t="e">
        <f>'Effort Estimation'!S156+"AM:!}#"</f>
        <v>#VALUE!</v>
      </c>
      <c r="AD31" t="e">
        <f>'Effort Estimation'!T156+"AM:!}$"</f>
        <v>#VALUE!</v>
      </c>
      <c r="AE31" t="e">
        <f>'Effort Estimation'!A157+"AM:!}%"</f>
        <v>#VALUE!</v>
      </c>
      <c r="AF31" t="e">
        <f>'Effort Estimation'!B157+"AM:!}&amp;"</f>
        <v>#VALUE!</v>
      </c>
      <c r="AG31" t="e">
        <f>'Effort Estimation'!C157+"AM:!}'"</f>
        <v>#VALUE!</v>
      </c>
      <c r="AH31" t="e">
        <f>'Effort Estimation'!D157+"AM:!}("</f>
        <v>#VALUE!</v>
      </c>
      <c r="AI31" t="e">
        <f>'Effort Estimation'!E157+"AM:!})"</f>
        <v>#VALUE!</v>
      </c>
      <c r="AJ31" t="e">
        <f>'Effort Estimation'!F157+"AM:!}."</f>
        <v>#VALUE!</v>
      </c>
      <c r="AK31" t="e">
        <f>'Effort Estimation'!G157+"AM:!}/"</f>
        <v>#VALUE!</v>
      </c>
      <c r="AL31" t="e">
        <f>'Effort Estimation'!H157+"AM:!}0"</f>
        <v>#VALUE!</v>
      </c>
      <c r="AM31" t="e">
        <f>'Effort Estimation'!I157+"AM:!}1"</f>
        <v>#VALUE!</v>
      </c>
      <c r="AN31" s="99" t="e">
        <f>'Effort Estimation'!J157+"AM:!}2"</f>
        <v>#VALUE!</v>
      </c>
      <c r="AO31" s="99" t="e">
        <f>'Effort Estimation'!K157+"AM:!}3"</f>
        <v>#VALUE!</v>
      </c>
      <c r="AP31" s="99" t="e">
        <f>'Effort Estimation'!L157+"AM:!}4"</f>
        <v>#VALUE!</v>
      </c>
      <c r="AQ31" s="99" t="e">
        <f>'Effort Estimation'!M157+"AM:!}5"</f>
        <v>#VALUE!</v>
      </c>
      <c r="AR31" s="99" t="e">
        <f>'Effort Estimation'!N157+"AM:!}6"</f>
        <v>#VALUE!</v>
      </c>
      <c r="AS31" s="99" t="e">
        <f>'Effort Estimation'!O157+"AM:!}7"</f>
        <v>#VALUE!</v>
      </c>
      <c r="AT31" s="99" t="e">
        <f>'Effort Estimation'!P157+"AM:!}8"</f>
        <v>#VALUE!</v>
      </c>
      <c r="AU31" s="99" t="e">
        <f>'Effort Estimation'!Q157+"AM:!}9"</f>
        <v>#VALUE!</v>
      </c>
      <c r="AV31" t="e">
        <f>'Effort Estimation'!R157+"AM:!}:"</f>
        <v>#VALUE!</v>
      </c>
      <c r="AW31" t="e">
        <f>'Effort Estimation'!S157+"AM:!};"</f>
        <v>#VALUE!</v>
      </c>
      <c r="AX31" t="e">
        <f>'Effort Estimation'!T157+"AM:!}&lt;"</f>
        <v>#VALUE!</v>
      </c>
      <c r="AY31" t="e">
        <f>'Effort Estimation'!A158+"AM:!}="</f>
        <v>#VALUE!</v>
      </c>
      <c r="AZ31" t="e">
        <f>'Effort Estimation'!B158+"AM:!}&gt;"</f>
        <v>#VALUE!</v>
      </c>
      <c r="BA31" t="e">
        <f>'Effort Estimation'!C158+"AM:!}?"</f>
        <v>#VALUE!</v>
      </c>
      <c r="BB31" t="e">
        <f>'Effort Estimation'!D158+"AM:!}@"</f>
        <v>#VALUE!</v>
      </c>
      <c r="BC31" t="e">
        <f>'Effort Estimation'!E158+"AM:!}A"</f>
        <v>#VALUE!</v>
      </c>
      <c r="BD31" t="e">
        <f>'Effort Estimation'!F158+"AM:!}B"</f>
        <v>#VALUE!</v>
      </c>
      <c r="BE31" t="e">
        <f>'Effort Estimation'!G158+"AM:!}C"</f>
        <v>#VALUE!</v>
      </c>
      <c r="BF31" t="e">
        <f>'Effort Estimation'!H158+"AM:!}D"</f>
        <v>#VALUE!</v>
      </c>
      <c r="BG31" t="e">
        <f>'Effort Estimation'!I158+"AM:!}E"</f>
        <v>#VALUE!</v>
      </c>
      <c r="BH31" s="99" t="e">
        <f>'Effort Estimation'!J158+"AM:!}F"</f>
        <v>#VALUE!</v>
      </c>
      <c r="BI31" s="99" t="e">
        <f>'Effort Estimation'!K158+"AM:!}G"</f>
        <v>#VALUE!</v>
      </c>
      <c r="BJ31" s="99" t="e">
        <f>'Effort Estimation'!L158+"AM:!}H"</f>
        <v>#VALUE!</v>
      </c>
      <c r="BK31" s="99" t="e">
        <f>'Effort Estimation'!M158+"AM:!}I"</f>
        <v>#VALUE!</v>
      </c>
      <c r="BL31" s="99" t="e">
        <f>'Effort Estimation'!N158+"AM:!}J"</f>
        <v>#VALUE!</v>
      </c>
      <c r="BM31" s="99" t="e">
        <f>'Effort Estimation'!O158+"AM:!}K"</f>
        <v>#VALUE!</v>
      </c>
      <c r="BN31" s="99" t="e">
        <f>'Effort Estimation'!P158+"AM:!}L"</f>
        <v>#VALUE!</v>
      </c>
      <c r="BO31" s="99" t="e">
        <f>'Effort Estimation'!Q158+"AM:!}M"</f>
        <v>#VALUE!</v>
      </c>
      <c r="BP31" t="e">
        <f>'Effort Estimation'!R158+"AM:!}N"</f>
        <v>#VALUE!</v>
      </c>
      <c r="BQ31" t="e">
        <f>'Effort Estimation'!S158+"AM:!}O"</f>
        <v>#VALUE!</v>
      </c>
      <c r="BR31" t="e">
        <f>'Effort Estimation'!T158+"AM:!}P"</f>
        <v>#VALUE!</v>
      </c>
      <c r="BS31" t="e">
        <f>'Effort Estimation'!A159+"AM:!}Q"</f>
        <v>#VALUE!</v>
      </c>
      <c r="BT31" t="e">
        <f>'Effort Estimation'!B159+"AM:!}R"</f>
        <v>#VALUE!</v>
      </c>
      <c r="BU31" t="e">
        <f>'Effort Estimation'!C159+"AM:!}S"</f>
        <v>#VALUE!</v>
      </c>
      <c r="BV31" t="e">
        <f>'Effort Estimation'!D159+"AM:!}T"</f>
        <v>#VALUE!</v>
      </c>
      <c r="BW31" t="e">
        <f>'Effort Estimation'!E159+"AM:!}U"</f>
        <v>#VALUE!</v>
      </c>
      <c r="BX31" t="e">
        <f>'Effort Estimation'!F159+"AM:!}V"</f>
        <v>#VALUE!</v>
      </c>
      <c r="BY31" t="e">
        <f>'Effort Estimation'!G159+"AM:!}W"</f>
        <v>#VALUE!</v>
      </c>
      <c r="BZ31" t="e">
        <f>'Effort Estimation'!H159+"AM:!}X"</f>
        <v>#VALUE!</v>
      </c>
      <c r="CA31" t="e">
        <f>'Effort Estimation'!I159+"AM:!}Y"</f>
        <v>#VALUE!</v>
      </c>
      <c r="CB31" s="99" t="e">
        <f>'Effort Estimation'!J159+"AM:!}Z"</f>
        <v>#VALUE!</v>
      </c>
      <c r="CC31" s="99" t="e">
        <f>'Effort Estimation'!K159+"AM:!}["</f>
        <v>#VALUE!</v>
      </c>
      <c r="CD31" s="99" t="e">
        <f>'Effort Estimation'!L159+"AM:!}\"</f>
        <v>#VALUE!</v>
      </c>
      <c r="CE31" s="99" t="e">
        <f>'Effort Estimation'!M159+"AM:!}]"</f>
        <v>#VALUE!</v>
      </c>
      <c r="CF31" s="99" t="e">
        <f>'Effort Estimation'!N159+"AM:!}^"</f>
        <v>#VALUE!</v>
      </c>
      <c r="CG31" s="99" t="e">
        <f>'Effort Estimation'!O159+"AM:!}_"</f>
        <v>#VALUE!</v>
      </c>
      <c r="CH31" s="99" t="e">
        <f>'Effort Estimation'!P159+"AM:!}`"</f>
        <v>#VALUE!</v>
      </c>
      <c r="CI31" s="99" t="e">
        <f>'Effort Estimation'!Q159+"AM:!}a"</f>
        <v>#VALUE!</v>
      </c>
      <c r="CJ31" t="e">
        <f>'Effort Estimation'!R159+"AM:!}b"</f>
        <v>#VALUE!</v>
      </c>
      <c r="CK31" t="e">
        <f>'Effort Estimation'!S159+"AM:!}c"</f>
        <v>#VALUE!</v>
      </c>
      <c r="CL31" t="e">
        <f>'Effort Estimation'!T159+"AM:!}d"</f>
        <v>#VALUE!</v>
      </c>
      <c r="CM31" t="e">
        <f>'Effort Estimation'!A160+"AM:!}e"</f>
        <v>#VALUE!</v>
      </c>
      <c r="CN31" t="e">
        <f>'Effort Estimation'!B160+"AM:!}f"</f>
        <v>#VALUE!</v>
      </c>
      <c r="CO31" t="e">
        <f>'Effort Estimation'!C160+"AM:!}g"</f>
        <v>#VALUE!</v>
      </c>
      <c r="CP31" t="e">
        <f>'Effort Estimation'!D160+"AM:!}h"</f>
        <v>#VALUE!</v>
      </c>
      <c r="CQ31" t="e">
        <f>'Effort Estimation'!E160+"AM:!}i"</f>
        <v>#VALUE!</v>
      </c>
      <c r="CR31" t="e">
        <f>'Effort Estimation'!F160+"AM:!}j"</f>
        <v>#VALUE!</v>
      </c>
      <c r="CS31" t="e">
        <f>'Effort Estimation'!G160+"AM:!}k"</f>
        <v>#VALUE!</v>
      </c>
      <c r="CT31" t="e">
        <f>'Effort Estimation'!H160+"AM:!}l"</f>
        <v>#VALUE!</v>
      </c>
      <c r="CU31" t="e">
        <f>'Effort Estimation'!I160+"AM:!}m"</f>
        <v>#VALUE!</v>
      </c>
      <c r="CV31" s="99" t="e">
        <f>'Effort Estimation'!J160+"AM:!}n"</f>
        <v>#VALUE!</v>
      </c>
      <c r="CW31" s="99" t="e">
        <f>'Effort Estimation'!K160+"AM:!}o"</f>
        <v>#VALUE!</v>
      </c>
      <c r="CX31" s="99" t="e">
        <f>'Effort Estimation'!L160+"AM:!}p"</f>
        <v>#VALUE!</v>
      </c>
      <c r="CY31" s="99" t="e">
        <f>'Effort Estimation'!M160+"AM:!}q"</f>
        <v>#VALUE!</v>
      </c>
      <c r="CZ31" s="99" t="e">
        <f>'Effort Estimation'!N160+"AM:!}r"</f>
        <v>#VALUE!</v>
      </c>
      <c r="DA31" s="99" t="e">
        <f>'Effort Estimation'!O160+"AM:!}s"</f>
        <v>#VALUE!</v>
      </c>
      <c r="DB31" s="99" t="e">
        <f>'Effort Estimation'!P160+"AM:!}t"</f>
        <v>#VALUE!</v>
      </c>
      <c r="DC31" s="99" t="e">
        <f>'Effort Estimation'!Q160+"AM:!}u"</f>
        <v>#VALUE!</v>
      </c>
      <c r="DD31" t="e">
        <f>'Effort Estimation'!R160+"AM:!}v"</f>
        <v>#VALUE!</v>
      </c>
      <c r="DE31" t="e">
        <f>'Effort Estimation'!S160+"AM:!}w"</f>
        <v>#VALUE!</v>
      </c>
      <c r="DF31" t="e">
        <f>'Effort Estimation'!T160+"AM:!}x"</f>
        <v>#VALUE!</v>
      </c>
      <c r="DG31" t="e">
        <f>'Effort Estimation'!A161+"AM:!}y"</f>
        <v>#VALUE!</v>
      </c>
      <c r="DH31" t="e">
        <f>'Effort Estimation'!B161+"AM:!}z"</f>
        <v>#VALUE!</v>
      </c>
      <c r="DI31" t="e">
        <f>'Effort Estimation'!C161+"AM:!}{"</f>
        <v>#VALUE!</v>
      </c>
      <c r="DJ31" t="e">
        <f>'Effort Estimation'!D161+"AM:!}|"</f>
        <v>#VALUE!</v>
      </c>
      <c r="DK31" t="e">
        <f>'Effort Estimation'!E161+"AM:!}}"</f>
        <v>#VALUE!</v>
      </c>
      <c r="DL31" t="e">
        <f>'Effort Estimation'!F161+"AM:!}~"</f>
        <v>#VALUE!</v>
      </c>
      <c r="DM31" t="e">
        <f>'Effort Estimation'!G161+"AM:!~#"</f>
        <v>#VALUE!</v>
      </c>
      <c r="DN31" t="e">
        <f>'Effort Estimation'!H161+"AM:!~$"</f>
        <v>#VALUE!</v>
      </c>
      <c r="DO31" t="e">
        <f>'Effort Estimation'!I161+"AM:!~%"</f>
        <v>#VALUE!</v>
      </c>
      <c r="DP31" s="99" t="e">
        <f>'Effort Estimation'!J161+"AM:!~&amp;"</f>
        <v>#VALUE!</v>
      </c>
      <c r="DQ31" s="99" t="e">
        <f>'Effort Estimation'!K161+"AM:!~'"</f>
        <v>#VALUE!</v>
      </c>
      <c r="DR31" s="99" t="e">
        <f>'Effort Estimation'!L161+"AM:!~("</f>
        <v>#VALUE!</v>
      </c>
      <c r="DS31" s="99" t="e">
        <f>'Effort Estimation'!M161+"AM:!~)"</f>
        <v>#VALUE!</v>
      </c>
      <c r="DT31" s="99" t="e">
        <f>'Effort Estimation'!N161+"AM:!~."</f>
        <v>#VALUE!</v>
      </c>
      <c r="DU31" s="99" t="e">
        <f>'Effort Estimation'!O161+"AM:!~/"</f>
        <v>#VALUE!</v>
      </c>
      <c r="DV31" s="99" t="e">
        <f>'Effort Estimation'!P161+"AM:!~0"</f>
        <v>#VALUE!</v>
      </c>
      <c r="DW31" s="99" t="e">
        <f>'Effort Estimation'!Q161+"AM:!~1"</f>
        <v>#VALUE!</v>
      </c>
      <c r="DX31" t="e">
        <f>'Effort Estimation'!R161+"AM:!~2"</f>
        <v>#VALUE!</v>
      </c>
      <c r="DY31" t="e">
        <f>'Effort Estimation'!S161+"AM:!~3"</f>
        <v>#VALUE!</v>
      </c>
      <c r="DZ31" t="e">
        <f>'Effort Estimation'!T161+"AM:!~4"</f>
        <v>#VALUE!</v>
      </c>
      <c r="EA31" t="e">
        <f>'Effort Estimation'!A162+"AM:!~5"</f>
        <v>#VALUE!</v>
      </c>
      <c r="EB31" t="e">
        <f>'Effort Estimation'!B162+"AM:!~6"</f>
        <v>#VALUE!</v>
      </c>
      <c r="EC31" t="e">
        <f>'Effort Estimation'!C162+"AM:!~7"</f>
        <v>#VALUE!</v>
      </c>
      <c r="ED31" t="e">
        <f>'Effort Estimation'!D162+"AM:!~8"</f>
        <v>#VALUE!</v>
      </c>
      <c r="EE31" t="e">
        <f>'Effort Estimation'!E162+"AM:!~9"</f>
        <v>#VALUE!</v>
      </c>
      <c r="EF31" t="e">
        <f>'Effort Estimation'!F162+"AM:!~:"</f>
        <v>#VALUE!</v>
      </c>
      <c r="EG31" t="e">
        <f>'Effort Estimation'!G162+"AM:!~;"</f>
        <v>#VALUE!</v>
      </c>
      <c r="EH31" t="e">
        <f>'Effort Estimation'!H162+"AM:!~&lt;"</f>
        <v>#VALUE!</v>
      </c>
      <c r="EI31" t="e">
        <f>'Effort Estimation'!I162+"AM:!~="</f>
        <v>#VALUE!</v>
      </c>
      <c r="EJ31" s="99" t="e">
        <f>'Effort Estimation'!J162+"AM:!~&gt;"</f>
        <v>#VALUE!</v>
      </c>
      <c r="EK31" s="99" t="e">
        <f>'Effort Estimation'!K162+"AM:!~?"</f>
        <v>#VALUE!</v>
      </c>
      <c r="EL31" s="99" t="e">
        <f>'Effort Estimation'!L162+"AM:!~@"</f>
        <v>#VALUE!</v>
      </c>
      <c r="EM31" s="99" t="e">
        <f>'Effort Estimation'!M162+"AM:!~A"</f>
        <v>#VALUE!</v>
      </c>
      <c r="EN31" s="99" t="e">
        <f>'Effort Estimation'!N162+"AM:!~B"</f>
        <v>#VALUE!</v>
      </c>
      <c r="EO31" s="99" t="e">
        <f>'Effort Estimation'!O162+"AM:!~C"</f>
        <v>#VALUE!</v>
      </c>
      <c r="EP31" s="99" t="e">
        <f>'Effort Estimation'!P162+"AM:!~D"</f>
        <v>#VALUE!</v>
      </c>
      <c r="EQ31" s="99" t="e">
        <f>'Effort Estimation'!Q162+"AM:!~E"</f>
        <v>#VALUE!</v>
      </c>
      <c r="ER31" t="e">
        <f>'Effort Estimation'!R162+"AM:!~F"</f>
        <v>#VALUE!</v>
      </c>
      <c r="ES31" t="e">
        <f>'Effort Estimation'!S162+"AM:!~G"</f>
        <v>#VALUE!</v>
      </c>
      <c r="ET31" t="e">
        <f>'Effort Estimation'!T162+"AM:!~H"</f>
        <v>#VALUE!</v>
      </c>
      <c r="EU31" t="e">
        <f>'Effort Estimation'!A163+"AM:!~I"</f>
        <v>#VALUE!</v>
      </c>
      <c r="EV31" t="e">
        <f>'Effort Estimation'!B163+"AM:!~J"</f>
        <v>#VALUE!</v>
      </c>
      <c r="EW31" t="e">
        <f>'Effort Estimation'!C163+"AM:!~K"</f>
        <v>#VALUE!</v>
      </c>
      <c r="EX31" t="e">
        <f>'Effort Estimation'!D163+"AM:!~L"</f>
        <v>#VALUE!</v>
      </c>
      <c r="EY31" t="e">
        <f>'Effort Estimation'!E163+"AM:!~M"</f>
        <v>#VALUE!</v>
      </c>
      <c r="EZ31" t="e">
        <f>'Effort Estimation'!F163+"AM:!~N"</f>
        <v>#VALUE!</v>
      </c>
      <c r="FA31" t="e">
        <f>'Effort Estimation'!G163+"AM:!~O"</f>
        <v>#VALUE!</v>
      </c>
      <c r="FB31" t="e">
        <f>'Effort Estimation'!H163+"AM:!~P"</f>
        <v>#VALUE!</v>
      </c>
      <c r="FC31" t="e">
        <f>'Effort Estimation'!I163+"AM:!~Q"</f>
        <v>#VALUE!</v>
      </c>
      <c r="FD31" s="99" t="e">
        <f>'Effort Estimation'!J163+"AM:!~R"</f>
        <v>#VALUE!</v>
      </c>
      <c r="FE31" s="99" t="e">
        <f>'Effort Estimation'!K163+"AM:!~S"</f>
        <v>#VALUE!</v>
      </c>
      <c r="FF31" s="99" t="e">
        <f>'Effort Estimation'!L163+"AM:!~T"</f>
        <v>#VALUE!</v>
      </c>
      <c r="FG31" s="99" t="e">
        <f>'Effort Estimation'!M163+"AM:!~U"</f>
        <v>#VALUE!</v>
      </c>
      <c r="FH31" s="99" t="e">
        <f>'Effort Estimation'!N163+"AM:!~V"</f>
        <v>#VALUE!</v>
      </c>
      <c r="FI31" s="99" t="e">
        <f>'Effort Estimation'!O163+"AM:!~W"</f>
        <v>#VALUE!</v>
      </c>
      <c r="FJ31" s="99" t="e">
        <f>'Effort Estimation'!P163+"AM:!~X"</f>
        <v>#VALUE!</v>
      </c>
      <c r="FK31" s="99" t="e">
        <f>'Effort Estimation'!Q163+"AM:!~Y"</f>
        <v>#VALUE!</v>
      </c>
      <c r="FL31" t="e">
        <f>'Effort Estimation'!R163+"AM:!~Z"</f>
        <v>#VALUE!</v>
      </c>
      <c r="FM31" t="e">
        <f>'Effort Estimation'!S163+"AM:!~["</f>
        <v>#VALUE!</v>
      </c>
      <c r="FN31" t="e">
        <f>'Effort Estimation'!T163+"AM:!~\"</f>
        <v>#VALUE!</v>
      </c>
      <c r="FO31" t="e">
        <f>'Effort Estimation'!A164+"AM:!~]"</f>
        <v>#VALUE!</v>
      </c>
      <c r="FP31" t="e">
        <f>'Effort Estimation'!B164+"AM:!~^"</f>
        <v>#VALUE!</v>
      </c>
      <c r="FQ31" t="e">
        <f>'Effort Estimation'!C164+"AM:!~_"</f>
        <v>#VALUE!</v>
      </c>
      <c r="FR31" t="e">
        <f>'Effort Estimation'!D164+"AM:!~`"</f>
        <v>#VALUE!</v>
      </c>
      <c r="FS31" t="e">
        <f>'Effort Estimation'!E164+"AM:!~a"</f>
        <v>#VALUE!</v>
      </c>
      <c r="FT31" t="e">
        <f>'Effort Estimation'!F164+"AM:!~b"</f>
        <v>#VALUE!</v>
      </c>
      <c r="FU31" t="e">
        <f>'Effort Estimation'!G164+"AM:!~c"</f>
        <v>#VALUE!</v>
      </c>
      <c r="FV31" t="e">
        <f>'Effort Estimation'!H164+"AM:!~d"</f>
        <v>#VALUE!</v>
      </c>
      <c r="FW31" t="e">
        <f>'Effort Estimation'!I164+"AM:!~e"</f>
        <v>#VALUE!</v>
      </c>
      <c r="FX31" s="99" t="e">
        <f>'Effort Estimation'!J164+"AM:!~f"</f>
        <v>#VALUE!</v>
      </c>
      <c r="FY31" s="99" t="e">
        <f>'Effort Estimation'!K164+"AM:!~g"</f>
        <v>#VALUE!</v>
      </c>
      <c r="FZ31" s="99" t="e">
        <f>'Effort Estimation'!L164+"AM:!~h"</f>
        <v>#VALUE!</v>
      </c>
      <c r="GA31" s="99" t="e">
        <f>'Effort Estimation'!M164+"AM:!~i"</f>
        <v>#VALUE!</v>
      </c>
      <c r="GB31" s="99" t="e">
        <f>'Effort Estimation'!N164+"AM:!~j"</f>
        <v>#VALUE!</v>
      </c>
      <c r="GC31" s="99" t="e">
        <f>'Effort Estimation'!O164+"AM:!~k"</f>
        <v>#VALUE!</v>
      </c>
      <c r="GD31" s="99" t="e">
        <f>'Effort Estimation'!P164+"AM:!~l"</f>
        <v>#VALUE!</v>
      </c>
      <c r="GE31" s="99" t="e">
        <f>'Effort Estimation'!Q164+"AM:!~m"</f>
        <v>#VALUE!</v>
      </c>
      <c r="GF31" t="e">
        <f>'Effort Estimation'!R164+"AM:!~n"</f>
        <v>#VALUE!</v>
      </c>
      <c r="GG31" t="e">
        <f>'Effort Estimation'!S164+"AM:!~o"</f>
        <v>#VALUE!</v>
      </c>
      <c r="GH31" t="e">
        <f>'Effort Estimation'!T164+"AM:!~p"</f>
        <v>#VALUE!</v>
      </c>
      <c r="GI31" t="e">
        <f>'Effort Estimation'!A165+"AM:!~q"</f>
        <v>#VALUE!</v>
      </c>
      <c r="GJ31" t="e">
        <f>'Effort Estimation'!B165+"AM:!~r"</f>
        <v>#VALUE!</v>
      </c>
      <c r="GK31" t="e">
        <f>'Effort Estimation'!C165+"AM:!~s"</f>
        <v>#VALUE!</v>
      </c>
      <c r="GL31" t="e">
        <f>'Effort Estimation'!D165+"AM:!~t"</f>
        <v>#VALUE!</v>
      </c>
      <c r="GM31" t="e">
        <f>'Effort Estimation'!E165+"AM:!~u"</f>
        <v>#VALUE!</v>
      </c>
      <c r="GN31" t="e">
        <f>'Effort Estimation'!F165+"AM:!~v"</f>
        <v>#VALUE!</v>
      </c>
      <c r="GO31" t="e">
        <f>'Effort Estimation'!G165+"AM:!~w"</f>
        <v>#VALUE!</v>
      </c>
      <c r="GP31" t="e">
        <f>'Effort Estimation'!H165+"AM:!~x"</f>
        <v>#VALUE!</v>
      </c>
      <c r="GQ31" t="e">
        <f>'Effort Estimation'!I165+"AM:!~y"</f>
        <v>#VALUE!</v>
      </c>
      <c r="GR31" s="99" t="e">
        <f>'Effort Estimation'!J165+"AM:!~z"</f>
        <v>#VALUE!</v>
      </c>
      <c r="GS31" s="99" t="e">
        <f>'Effort Estimation'!K165+"AM:!~{"</f>
        <v>#VALUE!</v>
      </c>
      <c r="GT31" s="99" t="e">
        <f>'Effort Estimation'!L165+"AM:!~|"</f>
        <v>#VALUE!</v>
      </c>
      <c r="GU31" s="99" t="e">
        <f>'Effort Estimation'!M165+"AM:!~}"</f>
        <v>#VALUE!</v>
      </c>
      <c r="GV31" s="99" t="e">
        <f>'Effort Estimation'!N165+"AM:!~~"</f>
        <v>#VALUE!</v>
      </c>
      <c r="GW31" s="99" t="e">
        <f>'Effort Estimation'!O165+"AM:!$##"</f>
        <v>#VALUE!</v>
      </c>
      <c r="GX31" s="99" t="e">
        <f>'Effort Estimation'!P165+"AM:!$#$"</f>
        <v>#VALUE!</v>
      </c>
      <c r="GY31" s="99" t="e">
        <f>'Effort Estimation'!Q165+"AM:!$#%"</f>
        <v>#VALUE!</v>
      </c>
      <c r="GZ31" t="e">
        <f>'Effort Estimation'!R165+"AM:!$#&amp;"</f>
        <v>#VALUE!</v>
      </c>
      <c r="HA31" t="e">
        <f>'Effort Estimation'!S165+"AM:!$#'"</f>
        <v>#VALUE!</v>
      </c>
      <c r="HB31" t="e">
        <f>'Effort Estimation'!T165+"AM:!$#("</f>
        <v>#VALUE!</v>
      </c>
      <c r="HC31" t="e">
        <f>'Effort Estimation'!A166+"AM:!$#)"</f>
        <v>#VALUE!</v>
      </c>
      <c r="HD31" t="e">
        <f>'Effort Estimation'!B166+"AM:!$#."</f>
        <v>#VALUE!</v>
      </c>
      <c r="HE31" t="e">
        <f>'Effort Estimation'!C166+"AM:!$#/"</f>
        <v>#VALUE!</v>
      </c>
      <c r="HF31" t="e">
        <f>'Effort Estimation'!D166+"AM:!$#0"</f>
        <v>#VALUE!</v>
      </c>
      <c r="HG31" t="e">
        <f>'Effort Estimation'!E166+"AM:!$#1"</f>
        <v>#VALUE!</v>
      </c>
      <c r="HH31" t="e">
        <f>'Effort Estimation'!F166+"AM:!$#2"</f>
        <v>#VALUE!</v>
      </c>
      <c r="HI31" t="e">
        <f>'Effort Estimation'!G166+"AM:!$#3"</f>
        <v>#VALUE!</v>
      </c>
      <c r="HJ31" t="e">
        <f>'Effort Estimation'!H166+"AM:!$#4"</f>
        <v>#VALUE!</v>
      </c>
      <c r="HK31" t="e">
        <f>'Effort Estimation'!I166+"AM:!$#5"</f>
        <v>#VALUE!</v>
      </c>
      <c r="HL31" s="99" t="e">
        <f>'Effort Estimation'!J166+"AM:!$#6"</f>
        <v>#VALUE!</v>
      </c>
      <c r="HM31" s="99" t="e">
        <f>'Effort Estimation'!K166+"AM:!$#7"</f>
        <v>#VALUE!</v>
      </c>
      <c r="HN31" s="99" t="e">
        <f>'Effort Estimation'!L166+"AM:!$#8"</f>
        <v>#VALUE!</v>
      </c>
      <c r="HO31" s="99" t="e">
        <f>'Effort Estimation'!M166+"AM:!$#9"</f>
        <v>#VALUE!</v>
      </c>
      <c r="HP31" s="99" t="e">
        <f>'Effort Estimation'!N166+"AM:!$#:"</f>
        <v>#VALUE!</v>
      </c>
      <c r="HQ31" s="99" t="e">
        <f>'Effort Estimation'!O166+"AM:!$#;"</f>
        <v>#VALUE!</v>
      </c>
      <c r="HR31" s="99" t="e">
        <f>'Effort Estimation'!P166+"AM:!$#&lt;"</f>
        <v>#VALUE!</v>
      </c>
      <c r="HS31" s="99" t="e">
        <f>'Effort Estimation'!Q166+"AM:!$#="</f>
        <v>#VALUE!</v>
      </c>
      <c r="HT31" t="e">
        <f>'Effort Estimation'!R166+"AM:!$#&gt;"</f>
        <v>#VALUE!</v>
      </c>
      <c r="HU31" t="e">
        <f>'Effort Estimation'!S166+"AM:!$#?"</f>
        <v>#VALUE!</v>
      </c>
      <c r="HV31" t="e">
        <f>'Effort Estimation'!T166+"AM:!$#@"</f>
        <v>#VALUE!</v>
      </c>
      <c r="HW31" t="e">
        <f>'Effort Estimation'!A167+"AM:!$#A"</f>
        <v>#VALUE!</v>
      </c>
      <c r="HX31" t="e">
        <f>'Effort Estimation'!B167+"AM:!$#B"</f>
        <v>#VALUE!</v>
      </c>
      <c r="HY31" t="e">
        <f>'Effort Estimation'!C167+"AM:!$#C"</f>
        <v>#VALUE!</v>
      </c>
      <c r="HZ31" t="e">
        <f>'Effort Estimation'!D167+"AM:!$#D"</f>
        <v>#VALUE!</v>
      </c>
      <c r="IA31" t="e">
        <f>'Effort Estimation'!E167+"AM:!$#E"</f>
        <v>#VALUE!</v>
      </c>
      <c r="IB31" t="e">
        <f>'Effort Estimation'!F167+"AM:!$#F"</f>
        <v>#VALUE!</v>
      </c>
      <c r="IC31" t="e">
        <f>'Effort Estimation'!G167+"AM:!$#G"</f>
        <v>#VALUE!</v>
      </c>
      <c r="ID31" t="e">
        <f>'Effort Estimation'!H167+"AM:!$#H"</f>
        <v>#VALUE!</v>
      </c>
      <c r="IE31" t="e">
        <f>'Effort Estimation'!I167+"AM:!$#I"</f>
        <v>#VALUE!</v>
      </c>
      <c r="IF31" s="99" t="e">
        <f>'Effort Estimation'!J167+"AM:!$#J"</f>
        <v>#VALUE!</v>
      </c>
      <c r="IG31" s="99" t="e">
        <f>'Effort Estimation'!K167+"AM:!$#K"</f>
        <v>#VALUE!</v>
      </c>
      <c r="IH31" s="99" t="e">
        <f>'Effort Estimation'!L167+"AM:!$#L"</f>
        <v>#VALUE!</v>
      </c>
      <c r="II31" s="99" t="e">
        <f>'Effort Estimation'!M167+"AM:!$#M"</f>
        <v>#VALUE!</v>
      </c>
      <c r="IJ31" s="99" t="e">
        <f>'Effort Estimation'!N167+"AM:!$#N"</f>
        <v>#VALUE!</v>
      </c>
      <c r="IK31" s="99" t="e">
        <f>'Effort Estimation'!O167+"AM:!$#O"</f>
        <v>#VALUE!</v>
      </c>
      <c r="IL31" s="99" t="e">
        <f>'Effort Estimation'!P167+"AM:!$#P"</f>
        <v>#VALUE!</v>
      </c>
      <c r="IM31" s="99" t="e">
        <f>'Effort Estimation'!Q167+"AM:!$#Q"</f>
        <v>#VALUE!</v>
      </c>
      <c r="IN31" t="e">
        <f>'Effort Estimation'!R167+"AM:!$#R"</f>
        <v>#VALUE!</v>
      </c>
      <c r="IO31" t="e">
        <f>'Effort Estimation'!S167+"AM:!$#S"</f>
        <v>#VALUE!</v>
      </c>
      <c r="IP31" t="e">
        <f>'Effort Estimation'!T167+"AM:!$#T"</f>
        <v>#VALUE!</v>
      </c>
      <c r="IQ31" t="e">
        <f>'Effort Estimation'!A168+"AM:!$#U"</f>
        <v>#VALUE!</v>
      </c>
      <c r="IR31" t="e">
        <f>'Effort Estimation'!B168+"AM:!$#V"</f>
        <v>#VALUE!</v>
      </c>
      <c r="IS31" t="e">
        <f>'Effort Estimation'!C168+"AM:!$#W"</f>
        <v>#VALUE!</v>
      </c>
      <c r="IT31" t="e">
        <f>'Effort Estimation'!D168+"AM:!$#X"</f>
        <v>#VALUE!</v>
      </c>
      <c r="IU31" t="e">
        <f>'Effort Estimation'!E168+"AM:!$#Y"</f>
        <v>#VALUE!</v>
      </c>
      <c r="IV31" t="e">
        <f>'Effort Estimation'!F168+"AM:!$#Z"</f>
        <v>#VALUE!</v>
      </c>
    </row>
    <row r="32" spans="6:256">
      <c r="F32" t="e">
        <f>'Effort Estimation'!G168+"AM:!$#["</f>
        <v>#VALUE!</v>
      </c>
      <c r="G32" t="e">
        <f>'Effort Estimation'!H168+"AM:!$#\"</f>
        <v>#VALUE!</v>
      </c>
      <c r="H32" t="e">
        <f>'Effort Estimation'!I168+"AM:!$#]"</f>
        <v>#VALUE!</v>
      </c>
      <c r="I32" s="99" t="e">
        <f>'Effort Estimation'!J168+"AM:!$#^"</f>
        <v>#VALUE!</v>
      </c>
      <c r="J32" s="99" t="e">
        <f>'Effort Estimation'!K168+"AM:!$#_"</f>
        <v>#VALUE!</v>
      </c>
      <c r="K32" s="99" t="e">
        <f>'Effort Estimation'!L168+"AM:!$#`"</f>
        <v>#VALUE!</v>
      </c>
      <c r="L32" s="99" t="e">
        <f>'Effort Estimation'!M168+"AM:!$#a"</f>
        <v>#VALUE!</v>
      </c>
      <c r="M32" s="99" t="e">
        <f>'Effort Estimation'!N168+"AM:!$#b"</f>
        <v>#VALUE!</v>
      </c>
      <c r="N32" s="99" t="e">
        <f>'Effort Estimation'!O168+"AM:!$#c"</f>
        <v>#VALUE!</v>
      </c>
      <c r="O32" s="99" t="e">
        <f>'Effort Estimation'!P168+"AM:!$#d"</f>
        <v>#VALUE!</v>
      </c>
      <c r="P32" s="99" t="e">
        <f>'Effort Estimation'!Q168+"AM:!$#e"</f>
        <v>#VALUE!</v>
      </c>
      <c r="Q32" t="e">
        <f>'Effort Estimation'!R168+"AM:!$#f"</f>
        <v>#VALUE!</v>
      </c>
      <c r="R32" t="e">
        <f>'Effort Estimation'!S168+"AM:!$#g"</f>
        <v>#VALUE!</v>
      </c>
      <c r="S32" t="e">
        <f>'Effort Estimation'!T168+"AM:!$#h"</f>
        <v>#VALUE!</v>
      </c>
      <c r="T32" t="e">
        <f>'Effort Estimation'!A169+"AM:!$#i"</f>
        <v>#VALUE!</v>
      </c>
      <c r="U32" t="e">
        <f>'Effort Estimation'!B169+"AM:!$#j"</f>
        <v>#VALUE!</v>
      </c>
      <c r="V32" t="e">
        <f>'Effort Estimation'!C169+"AM:!$#k"</f>
        <v>#VALUE!</v>
      </c>
      <c r="W32" t="e">
        <f>'Effort Estimation'!D169+"AM:!$#l"</f>
        <v>#VALUE!</v>
      </c>
      <c r="X32" t="e">
        <f>'Effort Estimation'!E169+"AM:!$#m"</f>
        <v>#VALUE!</v>
      </c>
      <c r="Y32" t="e">
        <f>'Effort Estimation'!F169+"AM:!$#n"</f>
        <v>#VALUE!</v>
      </c>
      <c r="Z32" t="e">
        <f>'Effort Estimation'!G169+"AM:!$#o"</f>
        <v>#VALUE!</v>
      </c>
      <c r="AA32" t="e">
        <f>'Effort Estimation'!H169+"AM:!$#p"</f>
        <v>#VALUE!</v>
      </c>
      <c r="AB32" t="e">
        <f>'Effort Estimation'!I169+"AM:!$#q"</f>
        <v>#VALUE!</v>
      </c>
      <c r="AC32" s="99" t="e">
        <f>'Effort Estimation'!J169+"AM:!$#r"</f>
        <v>#VALUE!</v>
      </c>
      <c r="AD32" s="99" t="e">
        <f>'Effort Estimation'!K169+"AM:!$#s"</f>
        <v>#VALUE!</v>
      </c>
      <c r="AE32" s="99" t="e">
        <f>'Effort Estimation'!L169+"AM:!$#t"</f>
        <v>#VALUE!</v>
      </c>
      <c r="AF32" s="99" t="e">
        <f>'Effort Estimation'!M169+"AM:!$#u"</f>
        <v>#VALUE!</v>
      </c>
      <c r="AG32" s="99" t="e">
        <f>'Effort Estimation'!N169+"AM:!$#v"</f>
        <v>#VALUE!</v>
      </c>
      <c r="AH32" s="99" t="e">
        <f>'Effort Estimation'!O169+"AM:!$#w"</f>
        <v>#VALUE!</v>
      </c>
      <c r="AI32" s="99" t="e">
        <f>'Effort Estimation'!P169+"AM:!$#x"</f>
        <v>#VALUE!</v>
      </c>
      <c r="AJ32" s="99" t="e">
        <f>'Effort Estimation'!Q169+"AM:!$#y"</f>
        <v>#VALUE!</v>
      </c>
      <c r="AK32" t="e">
        <f>'Effort Estimation'!R169+"AM:!$#z"</f>
        <v>#VALUE!</v>
      </c>
      <c r="AL32" t="e">
        <f>'Effort Estimation'!S169+"AM:!$#{"</f>
        <v>#VALUE!</v>
      </c>
      <c r="AM32" t="e">
        <f>'Effort Estimation'!T169+"AM:!$#|"</f>
        <v>#VALUE!</v>
      </c>
      <c r="AN32" t="e">
        <f>'Effort Estimation'!A170+"AM:!$#}"</f>
        <v>#VALUE!</v>
      </c>
      <c r="AO32" t="e">
        <f>'Effort Estimation'!B170+"AM:!$#~"</f>
        <v>#VALUE!</v>
      </c>
      <c r="AP32" t="e">
        <f>'Effort Estimation'!C170+"AM:!$$#"</f>
        <v>#VALUE!</v>
      </c>
      <c r="AQ32" t="e">
        <f>'Effort Estimation'!D170+"AM:!$$$"</f>
        <v>#VALUE!</v>
      </c>
      <c r="AR32" t="e">
        <f>'Effort Estimation'!E170+"AM:!$$%"</f>
        <v>#VALUE!</v>
      </c>
      <c r="AS32" t="e">
        <f>'Effort Estimation'!F170+"AM:!$$&amp;"</f>
        <v>#VALUE!</v>
      </c>
      <c r="AT32" t="e">
        <f>'Effort Estimation'!G170+"AM:!$$'"</f>
        <v>#VALUE!</v>
      </c>
      <c r="AU32" t="e">
        <f>'Effort Estimation'!H170+"AM:!$$("</f>
        <v>#VALUE!</v>
      </c>
      <c r="AV32" t="e">
        <f>'Effort Estimation'!I170+"AM:!$$)"</f>
        <v>#VALUE!</v>
      </c>
      <c r="AW32" s="99" t="e">
        <f>'Effort Estimation'!J170+"AM:!$$."</f>
        <v>#VALUE!</v>
      </c>
      <c r="AX32" s="99" t="e">
        <f>'Effort Estimation'!K170+"AM:!$$/"</f>
        <v>#VALUE!</v>
      </c>
      <c r="AY32" s="99" t="e">
        <f>'Effort Estimation'!L170+"AM:!$$0"</f>
        <v>#VALUE!</v>
      </c>
      <c r="AZ32" s="99" t="e">
        <f>'Effort Estimation'!M170+"AM:!$$1"</f>
        <v>#VALUE!</v>
      </c>
      <c r="BA32" s="99" t="e">
        <f>'Effort Estimation'!N170+"AM:!$$2"</f>
        <v>#VALUE!</v>
      </c>
      <c r="BB32" s="99" t="e">
        <f>'Effort Estimation'!O170+"AM:!$$3"</f>
        <v>#VALUE!</v>
      </c>
      <c r="BC32" s="99" t="e">
        <f>'Effort Estimation'!P170+"AM:!$$4"</f>
        <v>#VALUE!</v>
      </c>
      <c r="BD32" s="99" t="e">
        <f>'Effort Estimation'!Q170+"AM:!$$5"</f>
        <v>#VALUE!</v>
      </c>
      <c r="BE32" t="e">
        <f>'Effort Estimation'!R170+"AM:!$$6"</f>
        <v>#VALUE!</v>
      </c>
      <c r="BF32" t="e">
        <f>'Effort Estimation'!S170+"AM:!$$7"</f>
        <v>#VALUE!</v>
      </c>
      <c r="BG32" t="e">
        <f>'Effort Estimation'!T170+"AM:!$$8"</f>
        <v>#VALUE!</v>
      </c>
      <c r="BH32" t="e">
        <f>'Effort Estimation'!A171+"AM:!$$9"</f>
        <v>#VALUE!</v>
      </c>
      <c r="BI32" t="e">
        <f>'Effort Estimation'!B171+"AM:!$$:"</f>
        <v>#VALUE!</v>
      </c>
      <c r="BJ32" t="e">
        <f>'Effort Estimation'!C171+"AM:!$$;"</f>
        <v>#VALUE!</v>
      </c>
      <c r="BK32" t="e">
        <f>'Effort Estimation'!D171+"AM:!$$&lt;"</f>
        <v>#VALUE!</v>
      </c>
      <c r="BL32" t="e">
        <f>'Effort Estimation'!E171+"AM:!$$="</f>
        <v>#VALUE!</v>
      </c>
      <c r="BM32" t="e">
        <f>'Effort Estimation'!F171+"AM:!$$&gt;"</f>
        <v>#VALUE!</v>
      </c>
      <c r="BN32" t="e">
        <f>'Effort Estimation'!G171+"AM:!$$?"</f>
        <v>#VALUE!</v>
      </c>
      <c r="BO32" t="e">
        <f>'Effort Estimation'!H171+"AM:!$$@"</f>
        <v>#VALUE!</v>
      </c>
      <c r="BP32" t="e">
        <f>'Effort Estimation'!I171+"AM:!$$A"</f>
        <v>#VALUE!</v>
      </c>
      <c r="BQ32" s="99" t="e">
        <f>'Effort Estimation'!J171+"AM:!$$B"</f>
        <v>#VALUE!</v>
      </c>
      <c r="BR32" s="99" t="e">
        <f>'Effort Estimation'!K171+"AM:!$$C"</f>
        <v>#VALUE!</v>
      </c>
      <c r="BS32" s="99" t="e">
        <f>'Effort Estimation'!L171+"AM:!$$D"</f>
        <v>#VALUE!</v>
      </c>
      <c r="BT32" s="99" t="e">
        <f>'Effort Estimation'!M171+"AM:!$$E"</f>
        <v>#VALUE!</v>
      </c>
      <c r="BU32" s="99" t="e">
        <f>'Effort Estimation'!N171+"AM:!$$F"</f>
        <v>#VALUE!</v>
      </c>
      <c r="BV32" s="99" t="e">
        <f>'Effort Estimation'!O171+"AM:!$$G"</f>
        <v>#VALUE!</v>
      </c>
      <c r="BW32" s="99" t="e">
        <f>'Effort Estimation'!P171+"AM:!$$H"</f>
        <v>#VALUE!</v>
      </c>
      <c r="BX32" s="99" t="e">
        <f>'Effort Estimation'!Q171+"AM:!$$I"</f>
        <v>#VALUE!</v>
      </c>
      <c r="BY32" t="e">
        <f>'Effort Estimation'!R171+"AM:!$$J"</f>
        <v>#VALUE!</v>
      </c>
      <c r="BZ32" t="e">
        <f>'Effort Estimation'!S171+"AM:!$$K"</f>
        <v>#VALUE!</v>
      </c>
      <c r="CA32" t="e">
        <f>'Effort Estimation'!T171+"AM:!$$L"</f>
        <v>#VALUE!</v>
      </c>
      <c r="CB32" t="e">
        <f>'Effort Estimation'!A172+"AM:!$$M"</f>
        <v>#VALUE!</v>
      </c>
      <c r="CC32" t="e">
        <f>'Effort Estimation'!B172+"AM:!$$N"</f>
        <v>#VALUE!</v>
      </c>
      <c r="CD32" t="e">
        <f>'Effort Estimation'!C172+"AM:!$$O"</f>
        <v>#VALUE!</v>
      </c>
      <c r="CE32" t="e">
        <f>'Effort Estimation'!D172+"AM:!$$P"</f>
        <v>#VALUE!</v>
      </c>
      <c r="CF32" t="e">
        <f>'Effort Estimation'!E172+"AM:!$$Q"</f>
        <v>#VALUE!</v>
      </c>
      <c r="CG32" t="e">
        <f>'Effort Estimation'!F172+"AM:!$$R"</f>
        <v>#VALUE!</v>
      </c>
      <c r="CH32" t="e">
        <f>'Effort Estimation'!G172+"AM:!$$S"</f>
        <v>#VALUE!</v>
      </c>
      <c r="CI32" t="e">
        <f>'Effort Estimation'!H172+"AM:!$$T"</f>
        <v>#VALUE!</v>
      </c>
      <c r="CJ32" t="e">
        <f>'Effort Estimation'!I172+"AM:!$$U"</f>
        <v>#VALUE!</v>
      </c>
      <c r="CK32" s="99" t="e">
        <f>'Effort Estimation'!J172+"AM:!$$V"</f>
        <v>#VALUE!</v>
      </c>
      <c r="CL32" s="99" t="e">
        <f>'Effort Estimation'!K172+"AM:!$$W"</f>
        <v>#VALUE!</v>
      </c>
      <c r="CM32" s="99" t="e">
        <f>'Effort Estimation'!L172+"AM:!$$X"</f>
        <v>#VALUE!</v>
      </c>
      <c r="CN32" s="99" t="e">
        <f>'Effort Estimation'!M172+"AM:!$$Y"</f>
        <v>#VALUE!</v>
      </c>
      <c r="CO32" s="99" t="e">
        <f>'Effort Estimation'!N172+"AM:!$$Z"</f>
        <v>#VALUE!</v>
      </c>
      <c r="CP32" s="99" t="e">
        <f>'Effort Estimation'!O172+"AM:!$$["</f>
        <v>#VALUE!</v>
      </c>
      <c r="CQ32" s="99" t="e">
        <f>'Effort Estimation'!P172+"AM:!$$\"</f>
        <v>#VALUE!</v>
      </c>
      <c r="CR32" s="99" t="e">
        <f>'Effort Estimation'!Q172+"AM:!$$]"</f>
        <v>#VALUE!</v>
      </c>
      <c r="CS32" t="e">
        <f>'Effort Estimation'!R172+"AM:!$$^"</f>
        <v>#VALUE!</v>
      </c>
      <c r="CT32" t="e">
        <f>'Effort Estimation'!S172+"AM:!$$_"</f>
        <v>#VALUE!</v>
      </c>
      <c r="CU32" t="e">
        <f>'Effort Estimation'!T172+"AM:!$$`"</f>
        <v>#VALUE!</v>
      </c>
      <c r="CV32" t="e">
        <f>'Effort Estimation'!A173+"AM:!$$a"</f>
        <v>#VALUE!</v>
      </c>
      <c r="CW32" t="e">
        <f>'Effort Estimation'!B173+"AM:!$$b"</f>
        <v>#VALUE!</v>
      </c>
      <c r="CX32" t="e">
        <f>'Effort Estimation'!C173+"AM:!$$c"</f>
        <v>#VALUE!</v>
      </c>
      <c r="CY32" t="e">
        <f>'Effort Estimation'!D173+"AM:!$$d"</f>
        <v>#VALUE!</v>
      </c>
      <c r="CZ32" t="e">
        <f>'Effort Estimation'!E173+"AM:!$$e"</f>
        <v>#VALUE!</v>
      </c>
      <c r="DA32" t="e">
        <f>'Effort Estimation'!F173+"AM:!$$f"</f>
        <v>#VALUE!</v>
      </c>
      <c r="DB32" t="e">
        <f>'Effort Estimation'!G173+"AM:!$$g"</f>
        <v>#VALUE!</v>
      </c>
      <c r="DC32" t="e">
        <f>'Effort Estimation'!H173+"AM:!$$h"</f>
        <v>#VALUE!</v>
      </c>
      <c r="DD32" t="e">
        <f>'Effort Estimation'!I173+"AM:!$$i"</f>
        <v>#VALUE!</v>
      </c>
      <c r="DE32" s="99" t="e">
        <f>'Effort Estimation'!J173+"AM:!$$j"</f>
        <v>#VALUE!</v>
      </c>
      <c r="DF32" s="99" t="e">
        <f>'Effort Estimation'!K173+"AM:!$$k"</f>
        <v>#VALUE!</v>
      </c>
      <c r="DG32" s="99" t="e">
        <f>'Effort Estimation'!L173+"AM:!$$l"</f>
        <v>#VALUE!</v>
      </c>
      <c r="DH32" s="99" t="e">
        <f>'Effort Estimation'!M173+"AM:!$$m"</f>
        <v>#VALUE!</v>
      </c>
      <c r="DI32" s="99" t="e">
        <f>'Effort Estimation'!N173+"AM:!$$n"</f>
        <v>#VALUE!</v>
      </c>
      <c r="DJ32" s="99" t="e">
        <f>'Effort Estimation'!O173+"AM:!$$o"</f>
        <v>#VALUE!</v>
      </c>
      <c r="DK32" s="99" t="e">
        <f>'Effort Estimation'!P173+"AM:!$$p"</f>
        <v>#VALUE!</v>
      </c>
      <c r="DL32" s="99" t="e">
        <f>'Effort Estimation'!Q173+"AM:!$$q"</f>
        <v>#VALUE!</v>
      </c>
      <c r="DM32" t="e">
        <f>'Effort Estimation'!R173+"AM:!$$r"</f>
        <v>#VALUE!</v>
      </c>
      <c r="DN32" t="e">
        <f>'Effort Estimation'!S173+"AM:!$$s"</f>
        <v>#VALUE!</v>
      </c>
      <c r="DO32" t="e">
        <f>'Effort Estimation'!T173+"AM:!$$t"</f>
        <v>#VALUE!</v>
      </c>
      <c r="DP32" t="e">
        <f>'Effort Estimation'!A174+"AM:!$$u"</f>
        <v>#VALUE!</v>
      </c>
      <c r="DQ32" t="e">
        <f>'Effort Estimation'!B174+"AM:!$$v"</f>
        <v>#VALUE!</v>
      </c>
      <c r="DR32" t="e">
        <f>'Effort Estimation'!C174+"AM:!$$w"</f>
        <v>#VALUE!</v>
      </c>
      <c r="DS32" t="e">
        <f>'Effort Estimation'!D174+"AM:!$$x"</f>
        <v>#VALUE!</v>
      </c>
      <c r="DT32" t="e">
        <f>'Effort Estimation'!E174+"AM:!$$y"</f>
        <v>#VALUE!</v>
      </c>
      <c r="DU32" t="e">
        <f>'Effort Estimation'!F174+"AM:!$$z"</f>
        <v>#VALUE!</v>
      </c>
      <c r="DV32" t="e">
        <f>'Effort Estimation'!G174+"AM:!$${"</f>
        <v>#VALUE!</v>
      </c>
      <c r="DW32" t="e">
        <f>'Effort Estimation'!H174+"AM:!$$|"</f>
        <v>#VALUE!</v>
      </c>
      <c r="DX32" t="e">
        <f>'Effort Estimation'!I174+"AM:!$$}"</f>
        <v>#VALUE!</v>
      </c>
      <c r="DY32" s="99" t="e">
        <f>'Effort Estimation'!J174+"AM:!$$~"</f>
        <v>#VALUE!</v>
      </c>
      <c r="DZ32" s="99" t="e">
        <f>'Effort Estimation'!K174+"AM:!$%#"</f>
        <v>#VALUE!</v>
      </c>
      <c r="EA32" s="99" t="e">
        <f>'Effort Estimation'!L174+"AM:!$%$"</f>
        <v>#VALUE!</v>
      </c>
      <c r="EB32" s="99" t="e">
        <f>'Effort Estimation'!M174+"AM:!$%%"</f>
        <v>#VALUE!</v>
      </c>
      <c r="EC32" s="99" t="e">
        <f>'Effort Estimation'!N174+"AM:!$%&amp;"</f>
        <v>#VALUE!</v>
      </c>
      <c r="ED32" s="99" t="e">
        <f>'Effort Estimation'!O174+"AM:!$%'"</f>
        <v>#VALUE!</v>
      </c>
      <c r="EE32" s="99" t="e">
        <f>'Effort Estimation'!P174+"AM:!$%("</f>
        <v>#VALUE!</v>
      </c>
      <c r="EF32" s="99" t="e">
        <f>'Effort Estimation'!Q174+"AM:!$%)"</f>
        <v>#VALUE!</v>
      </c>
      <c r="EG32" t="e">
        <f>'Effort Estimation'!R174+"AM:!$%."</f>
        <v>#VALUE!</v>
      </c>
      <c r="EH32" t="e">
        <f>'Effort Estimation'!S174+"AM:!$%/"</f>
        <v>#VALUE!</v>
      </c>
      <c r="EI32" t="e">
        <f>'Effort Estimation'!T174+"AM:!$%0"</f>
        <v>#VALUE!</v>
      </c>
      <c r="EJ32" t="e">
        <f>'Effort Estimation'!A175+"AM:!$%1"</f>
        <v>#VALUE!</v>
      </c>
      <c r="EK32" t="e">
        <f>'Effort Estimation'!B175+"AM:!$%2"</f>
        <v>#VALUE!</v>
      </c>
      <c r="EL32" t="e">
        <f>'Effort Estimation'!C175+"AM:!$%3"</f>
        <v>#VALUE!</v>
      </c>
      <c r="EM32" t="e">
        <f>'Effort Estimation'!D175+"AM:!$%4"</f>
        <v>#VALUE!</v>
      </c>
      <c r="EN32" t="e">
        <f>'Effort Estimation'!E175+"AM:!$%5"</f>
        <v>#VALUE!</v>
      </c>
      <c r="EO32" t="e">
        <f>'Effort Estimation'!F175+"AM:!$%6"</f>
        <v>#VALUE!</v>
      </c>
      <c r="EP32" t="e">
        <f>'Effort Estimation'!G175+"AM:!$%7"</f>
        <v>#VALUE!</v>
      </c>
      <c r="EQ32" t="e">
        <f>'Effort Estimation'!H175+"AM:!$%8"</f>
        <v>#VALUE!</v>
      </c>
      <c r="ER32" t="e">
        <f>'Effort Estimation'!I175+"AM:!$%9"</f>
        <v>#VALUE!</v>
      </c>
      <c r="ES32" s="99" t="e">
        <f>'Effort Estimation'!J175+"AM:!$%:"</f>
        <v>#VALUE!</v>
      </c>
      <c r="ET32" s="99" t="e">
        <f>'Effort Estimation'!K175+"AM:!$%;"</f>
        <v>#VALUE!</v>
      </c>
      <c r="EU32" s="99" t="e">
        <f>'Effort Estimation'!L175+"AM:!$%&lt;"</f>
        <v>#VALUE!</v>
      </c>
      <c r="EV32" s="99" t="e">
        <f>'Effort Estimation'!M175+"AM:!$%="</f>
        <v>#VALUE!</v>
      </c>
      <c r="EW32" s="99" t="e">
        <f>'Effort Estimation'!N175+"AM:!$%&gt;"</f>
        <v>#VALUE!</v>
      </c>
      <c r="EX32" s="99" t="e">
        <f>'Effort Estimation'!O175+"AM:!$%?"</f>
        <v>#VALUE!</v>
      </c>
      <c r="EY32" s="99" t="e">
        <f>'Effort Estimation'!P175+"AM:!$%@"</f>
        <v>#VALUE!</v>
      </c>
      <c r="EZ32" s="99" t="e">
        <f>'Effort Estimation'!Q175+"AM:!$%A"</f>
        <v>#VALUE!</v>
      </c>
      <c r="FA32" t="e">
        <f>'Effort Estimation'!R175+"AM:!$%B"</f>
        <v>#VALUE!</v>
      </c>
      <c r="FB32" t="e">
        <f>'Effort Estimation'!S175+"AM:!$%C"</f>
        <v>#VALUE!</v>
      </c>
      <c r="FC32" t="e">
        <f>'Effort Estimation'!T175+"AM:!$%D"</f>
        <v>#VALUE!</v>
      </c>
      <c r="FD32" t="e">
        <f>'Effort Estimation'!A176+"AM:!$%E"</f>
        <v>#VALUE!</v>
      </c>
      <c r="FE32" t="e">
        <f>'Effort Estimation'!B176+"AM:!$%F"</f>
        <v>#VALUE!</v>
      </c>
      <c r="FF32" t="e">
        <f>'Effort Estimation'!C176+"AM:!$%G"</f>
        <v>#VALUE!</v>
      </c>
      <c r="FG32" t="e">
        <f>'Effort Estimation'!D176+"AM:!$%H"</f>
        <v>#VALUE!</v>
      </c>
      <c r="FH32" t="e">
        <f>'Effort Estimation'!E176+"AM:!$%I"</f>
        <v>#VALUE!</v>
      </c>
      <c r="FI32" t="e">
        <f>'Effort Estimation'!F176+"AM:!$%J"</f>
        <v>#VALUE!</v>
      </c>
      <c r="FJ32" t="e">
        <f>'Effort Estimation'!G176+"AM:!$%K"</f>
        <v>#VALUE!</v>
      </c>
      <c r="FK32" t="e">
        <f>'Effort Estimation'!H176+"AM:!$%L"</f>
        <v>#VALUE!</v>
      </c>
      <c r="FL32" t="e">
        <f>'Effort Estimation'!I176+"AM:!$%M"</f>
        <v>#VALUE!</v>
      </c>
      <c r="FM32" s="99" t="e">
        <f>'Effort Estimation'!J176+"AM:!$%N"</f>
        <v>#VALUE!</v>
      </c>
      <c r="FN32" s="99" t="e">
        <f>'Effort Estimation'!K176+"AM:!$%O"</f>
        <v>#VALUE!</v>
      </c>
      <c r="FO32" s="99" t="e">
        <f>'Effort Estimation'!L176+"AM:!$%P"</f>
        <v>#VALUE!</v>
      </c>
      <c r="FP32" s="99" t="e">
        <f>'Effort Estimation'!M176+"AM:!$%Q"</f>
        <v>#VALUE!</v>
      </c>
      <c r="FQ32" s="99" t="e">
        <f>'Effort Estimation'!N176+"AM:!$%R"</f>
        <v>#VALUE!</v>
      </c>
      <c r="FR32" s="99" t="e">
        <f>'Effort Estimation'!O176+"AM:!$%S"</f>
        <v>#VALUE!</v>
      </c>
      <c r="FS32" s="99" t="e">
        <f>'Effort Estimation'!P176+"AM:!$%T"</f>
        <v>#VALUE!</v>
      </c>
      <c r="FT32" s="99" t="e">
        <f>'Effort Estimation'!Q176+"AM:!$%U"</f>
        <v>#VALUE!</v>
      </c>
      <c r="FU32" t="e">
        <f>'Effort Estimation'!R176+"AM:!$%V"</f>
        <v>#VALUE!</v>
      </c>
      <c r="FV32" t="e">
        <f>'Effort Estimation'!S176+"AM:!$%W"</f>
        <v>#VALUE!</v>
      </c>
      <c r="FW32" t="e">
        <f>'Effort Estimation'!T176+"AM:!$%X"</f>
        <v>#VALUE!</v>
      </c>
      <c r="FX32" t="e">
        <f>'Effort Estimation'!A177+"AM:!$%Y"</f>
        <v>#VALUE!</v>
      </c>
      <c r="FY32" t="e">
        <f>'Effort Estimation'!B177+"AM:!$%Z"</f>
        <v>#VALUE!</v>
      </c>
      <c r="FZ32" t="e">
        <f>'Effort Estimation'!C177+"AM:!$%["</f>
        <v>#VALUE!</v>
      </c>
      <c r="GA32" t="e">
        <f>'Effort Estimation'!D177+"AM:!$%\"</f>
        <v>#VALUE!</v>
      </c>
      <c r="GB32" t="e">
        <f>'Effort Estimation'!E177+"AM:!$%]"</f>
        <v>#VALUE!</v>
      </c>
      <c r="GC32" t="e">
        <f>'Effort Estimation'!F177+"AM:!$%^"</f>
        <v>#VALUE!</v>
      </c>
      <c r="GD32" t="e">
        <f>'Effort Estimation'!G177+"AM:!$%_"</f>
        <v>#VALUE!</v>
      </c>
      <c r="GE32" t="e">
        <f>'Effort Estimation'!H177+"AM:!$%`"</f>
        <v>#VALUE!</v>
      </c>
      <c r="GF32" t="e">
        <f>'Effort Estimation'!I177+"AM:!$%a"</f>
        <v>#VALUE!</v>
      </c>
      <c r="GG32" s="99" t="e">
        <f>'Effort Estimation'!J177+"AM:!$%b"</f>
        <v>#VALUE!</v>
      </c>
      <c r="GH32" s="99" t="e">
        <f>'Effort Estimation'!K177+"AM:!$%c"</f>
        <v>#VALUE!</v>
      </c>
      <c r="GI32" s="99" t="e">
        <f>'Effort Estimation'!L177+"AM:!$%d"</f>
        <v>#VALUE!</v>
      </c>
      <c r="GJ32" s="99" t="e">
        <f>'Effort Estimation'!M177+"AM:!$%e"</f>
        <v>#VALUE!</v>
      </c>
      <c r="GK32" s="99" t="e">
        <f>'Effort Estimation'!N177+"AM:!$%f"</f>
        <v>#VALUE!</v>
      </c>
      <c r="GL32" s="99" t="e">
        <f>'Effort Estimation'!O177+"AM:!$%g"</f>
        <v>#VALUE!</v>
      </c>
      <c r="GM32" s="99" t="e">
        <f>'Effort Estimation'!P177+"AM:!$%h"</f>
        <v>#VALUE!</v>
      </c>
      <c r="GN32" s="99" t="e">
        <f>'Effort Estimation'!Q177+"AM:!$%i"</f>
        <v>#VALUE!</v>
      </c>
      <c r="GO32" t="e">
        <f>'Effort Estimation'!R177+"AM:!$%j"</f>
        <v>#VALUE!</v>
      </c>
      <c r="GP32" t="e">
        <f>'Effort Estimation'!S177+"AM:!$%k"</f>
        <v>#VALUE!</v>
      </c>
      <c r="GQ32" t="e">
        <f>'Effort Estimation'!T177+"AM:!$%l"</f>
        <v>#VALUE!</v>
      </c>
      <c r="GR32" t="e">
        <f>'Effort Estimation'!A178+"AM:!$%m"</f>
        <v>#VALUE!</v>
      </c>
      <c r="GS32" t="e">
        <f>'Effort Estimation'!B178+"AM:!$%n"</f>
        <v>#VALUE!</v>
      </c>
      <c r="GT32" t="e">
        <f>'Effort Estimation'!C178+"AM:!$%o"</f>
        <v>#VALUE!</v>
      </c>
      <c r="GU32" t="e">
        <f>'Effort Estimation'!D178+"AM:!$%p"</f>
        <v>#VALUE!</v>
      </c>
      <c r="GV32" t="e">
        <f>'Effort Estimation'!E178+"AM:!$%q"</f>
        <v>#VALUE!</v>
      </c>
      <c r="GW32" t="e">
        <f>'Effort Estimation'!F178+"AM:!$%r"</f>
        <v>#VALUE!</v>
      </c>
      <c r="GX32" t="e">
        <f>'Effort Estimation'!G178+"AM:!$%s"</f>
        <v>#VALUE!</v>
      </c>
      <c r="GY32" t="e">
        <f>'Effort Estimation'!H178+"AM:!$%t"</f>
        <v>#VALUE!</v>
      </c>
      <c r="GZ32" t="e">
        <f>'Effort Estimation'!I178+"AM:!$%u"</f>
        <v>#VALUE!</v>
      </c>
      <c r="HA32" s="99" t="e">
        <f>'Effort Estimation'!J178+"AM:!$%v"</f>
        <v>#VALUE!</v>
      </c>
      <c r="HB32" s="99" t="e">
        <f>'Effort Estimation'!K178+"AM:!$%w"</f>
        <v>#VALUE!</v>
      </c>
      <c r="HC32" s="99" t="e">
        <f>'Effort Estimation'!L178+"AM:!$%x"</f>
        <v>#VALUE!</v>
      </c>
      <c r="HD32" s="99" t="e">
        <f>'Effort Estimation'!M178+"AM:!$%y"</f>
        <v>#VALUE!</v>
      </c>
      <c r="HE32" s="99" t="e">
        <f>'Effort Estimation'!N178+"AM:!$%z"</f>
        <v>#VALUE!</v>
      </c>
      <c r="HF32" s="99" t="e">
        <f>'Effort Estimation'!O178+"AM:!$%{"</f>
        <v>#VALUE!</v>
      </c>
      <c r="HG32" s="99" t="e">
        <f>'Effort Estimation'!P178+"AM:!$%|"</f>
        <v>#VALUE!</v>
      </c>
      <c r="HH32" s="99" t="e">
        <f>'Effort Estimation'!Q178+"AM:!$%}"</f>
        <v>#VALUE!</v>
      </c>
      <c r="HI32" t="e">
        <f>'Effort Estimation'!R178+"AM:!$%~"</f>
        <v>#VALUE!</v>
      </c>
      <c r="HJ32" t="e">
        <f>'Effort Estimation'!S178+"AM:!$&amp;#"</f>
        <v>#VALUE!</v>
      </c>
      <c r="HK32" t="e">
        <f>'Effort Estimation'!T178+"AM:!$&amp;$"</f>
        <v>#VALUE!</v>
      </c>
      <c r="HL32" t="e">
        <f>'Effort Estimation'!A179+"AM:!$&amp;%"</f>
        <v>#VALUE!</v>
      </c>
      <c r="HM32" t="e">
        <f>'Effort Estimation'!B179+"AM:!$&amp;&amp;"</f>
        <v>#VALUE!</v>
      </c>
      <c r="HN32" t="e">
        <f>'Effort Estimation'!C179+"AM:!$&amp;'"</f>
        <v>#VALUE!</v>
      </c>
      <c r="HO32" t="e">
        <f>'Effort Estimation'!D179+"AM:!$&amp;("</f>
        <v>#VALUE!</v>
      </c>
      <c r="HP32" t="e">
        <f>'Effort Estimation'!E179+"AM:!$&amp;)"</f>
        <v>#VALUE!</v>
      </c>
      <c r="HQ32" t="e">
        <f>'Effort Estimation'!F179+"AM:!$&amp;."</f>
        <v>#VALUE!</v>
      </c>
      <c r="HR32" t="e">
        <f>'Effort Estimation'!G179+"AM:!$&amp;/"</f>
        <v>#VALUE!</v>
      </c>
      <c r="HS32" t="e">
        <f>'Effort Estimation'!H179+"AM:!$&amp;0"</f>
        <v>#VALUE!</v>
      </c>
      <c r="HT32" t="e">
        <f>'Effort Estimation'!I179+"AM:!$&amp;1"</f>
        <v>#VALUE!</v>
      </c>
      <c r="HU32" s="99" t="e">
        <f>'Effort Estimation'!J179+"AM:!$&amp;2"</f>
        <v>#VALUE!</v>
      </c>
      <c r="HV32" s="99" t="e">
        <f>'Effort Estimation'!K179+"AM:!$&amp;3"</f>
        <v>#VALUE!</v>
      </c>
      <c r="HW32" s="99" t="e">
        <f>'Effort Estimation'!L179+"AM:!$&amp;4"</f>
        <v>#VALUE!</v>
      </c>
      <c r="HX32" s="99" t="e">
        <f>'Effort Estimation'!M179+"AM:!$&amp;5"</f>
        <v>#VALUE!</v>
      </c>
      <c r="HY32" s="99" t="e">
        <f>'Effort Estimation'!N179+"AM:!$&amp;6"</f>
        <v>#VALUE!</v>
      </c>
      <c r="HZ32" s="99" t="e">
        <f>'Effort Estimation'!O179+"AM:!$&amp;7"</f>
        <v>#VALUE!</v>
      </c>
      <c r="IA32" s="99" t="e">
        <f>'Effort Estimation'!P179+"AM:!$&amp;8"</f>
        <v>#VALUE!</v>
      </c>
      <c r="IB32" s="99" t="e">
        <f>'Effort Estimation'!Q179+"AM:!$&amp;9"</f>
        <v>#VALUE!</v>
      </c>
      <c r="IC32" t="e">
        <f>'Effort Estimation'!R179+"AM:!$&amp;:"</f>
        <v>#VALUE!</v>
      </c>
      <c r="ID32" t="e">
        <f>'Effort Estimation'!S179+"AM:!$&amp;;"</f>
        <v>#VALUE!</v>
      </c>
      <c r="IE32" t="e">
        <f>'Effort Estimation'!T179+"AM:!$&amp;&lt;"</f>
        <v>#VALUE!</v>
      </c>
      <c r="IF32" t="e">
        <f>'Effort Estimation'!A180+"AM:!$&amp;="</f>
        <v>#VALUE!</v>
      </c>
      <c r="IG32" t="e">
        <f>'Effort Estimation'!B180+"AM:!$&amp;&gt;"</f>
        <v>#VALUE!</v>
      </c>
      <c r="IH32" t="e">
        <f>'Effort Estimation'!C180+"AM:!$&amp;?"</f>
        <v>#VALUE!</v>
      </c>
      <c r="II32" t="e">
        <f>'Effort Estimation'!D180+"AM:!$&amp;@"</f>
        <v>#VALUE!</v>
      </c>
      <c r="IJ32" t="e">
        <f>'Effort Estimation'!E180+"AM:!$&amp;A"</f>
        <v>#VALUE!</v>
      </c>
      <c r="IK32" t="e">
        <f>'Effort Estimation'!F180+"AM:!$&amp;B"</f>
        <v>#VALUE!</v>
      </c>
      <c r="IL32" t="e">
        <f>'Effort Estimation'!G180+"AM:!$&amp;C"</f>
        <v>#VALUE!</v>
      </c>
      <c r="IM32" t="e">
        <f>'Effort Estimation'!H180+"AM:!$&amp;D"</f>
        <v>#VALUE!</v>
      </c>
      <c r="IN32" t="e">
        <f>'Effort Estimation'!I180+"AM:!$&amp;E"</f>
        <v>#VALUE!</v>
      </c>
      <c r="IO32" s="99" t="e">
        <f>'Effort Estimation'!J180+"AM:!$&amp;F"</f>
        <v>#VALUE!</v>
      </c>
      <c r="IP32" s="99" t="e">
        <f>'Effort Estimation'!K180+"AM:!$&amp;G"</f>
        <v>#VALUE!</v>
      </c>
      <c r="IQ32" s="99" t="e">
        <f>'Effort Estimation'!L180+"AM:!$&amp;H"</f>
        <v>#VALUE!</v>
      </c>
      <c r="IR32" s="99" t="e">
        <f>'Effort Estimation'!M180+"AM:!$&amp;I"</f>
        <v>#VALUE!</v>
      </c>
      <c r="IS32" s="99" t="e">
        <f>'Effort Estimation'!N180+"AM:!$&amp;J"</f>
        <v>#VALUE!</v>
      </c>
      <c r="IT32" s="99" t="e">
        <f>'Effort Estimation'!O180+"AM:!$&amp;K"</f>
        <v>#VALUE!</v>
      </c>
      <c r="IU32" s="99" t="e">
        <f>'Effort Estimation'!P180+"AM:!$&amp;L"</f>
        <v>#VALUE!</v>
      </c>
      <c r="IV32" s="99" t="e">
        <f>'Effort Estimation'!Q180+"AM:!$&amp;M"</f>
        <v>#VALUE!</v>
      </c>
    </row>
    <row r="33" spans="6:256">
      <c r="F33" t="e">
        <f>'Effort Estimation'!R180+"AM:!$&amp;N"</f>
        <v>#VALUE!</v>
      </c>
      <c r="G33" t="e">
        <f>'Effort Estimation'!S180+"AM:!$&amp;O"</f>
        <v>#VALUE!</v>
      </c>
      <c r="H33" t="e">
        <f>'Effort Estimation'!T180+"AM:!$&amp;P"</f>
        <v>#VALUE!</v>
      </c>
      <c r="I33" t="e">
        <f>'Effort Estimation'!A181+"AM:!$&amp;Q"</f>
        <v>#VALUE!</v>
      </c>
      <c r="J33" t="e">
        <f>'Effort Estimation'!B181+"AM:!$&amp;R"</f>
        <v>#VALUE!</v>
      </c>
      <c r="K33" t="e">
        <f>'Effort Estimation'!C181+"AM:!$&amp;S"</f>
        <v>#VALUE!</v>
      </c>
      <c r="L33" t="e">
        <f>'Effort Estimation'!D181+"AM:!$&amp;T"</f>
        <v>#VALUE!</v>
      </c>
      <c r="M33" t="e">
        <f>'Effort Estimation'!E181+"AM:!$&amp;U"</f>
        <v>#VALUE!</v>
      </c>
      <c r="N33" t="e">
        <f>'Effort Estimation'!F181+"AM:!$&amp;V"</f>
        <v>#VALUE!</v>
      </c>
      <c r="O33" t="e">
        <f>'Effort Estimation'!G181+"AM:!$&amp;W"</f>
        <v>#VALUE!</v>
      </c>
      <c r="P33" t="e">
        <f>'Effort Estimation'!H181+"AM:!$&amp;X"</f>
        <v>#VALUE!</v>
      </c>
      <c r="Q33" t="e">
        <f>'Effort Estimation'!I181+"AM:!$&amp;Y"</f>
        <v>#VALUE!</v>
      </c>
      <c r="R33" s="99" t="e">
        <f>'Effort Estimation'!J181+"AM:!$&amp;Z"</f>
        <v>#VALUE!</v>
      </c>
      <c r="S33" s="99" t="e">
        <f>'Effort Estimation'!K181+"AM:!$&amp;["</f>
        <v>#VALUE!</v>
      </c>
      <c r="T33" s="99" t="e">
        <f>'Effort Estimation'!L181+"AM:!$&amp;\"</f>
        <v>#VALUE!</v>
      </c>
      <c r="U33" s="99" t="e">
        <f>'Effort Estimation'!M181+"AM:!$&amp;]"</f>
        <v>#VALUE!</v>
      </c>
      <c r="V33" s="99" t="e">
        <f>'Effort Estimation'!N181+"AM:!$&amp;^"</f>
        <v>#VALUE!</v>
      </c>
      <c r="W33" s="99" t="e">
        <f>'Effort Estimation'!O181+"AM:!$&amp;_"</f>
        <v>#VALUE!</v>
      </c>
      <c r="X33" s="99" t="e">
        <f>'Effort Estimation'!P181+"AM:!$&amp;`"</f>
        <v>#VALUE!</v>
      </c>
      <c r="Y33" s="99" t="e">
        <f>'Effort Estimation'!Q181+"AM:!$&amp;a"</f>
        <v>#VALUE!</v>
      </c>
      <c r="Z33" t="e">
        <f>'Effort Estimation'!R181+"AM:!$&amp;b"</f>
        <v>#VALUE!</v>
      </c>
      <c r="AA33" t="e">
        <f>'Effort Estimation'!S181+"AM:!$&amp;c"</f>
        <v>#VALUE!</v>
      </c>
      <c r="AB33" t="e">
        <f>'Effort Estimation'!T181+"AM:!$&amp;d"</f>
        <v>#VALUE!</v>
      </c>
      <c r="AC33" t="e">
        <f>'Effort Estimation'!A182+"AM:!$&amp;e"</f>
        <v>#VALUE!</v>
      </c>
      <c r="AD33" t="e">
        <f>'Effort Estimation'!B182+"AM:!$&amp;f"</f>
        <v>#VALUE!</v>
      </c>
      <c r="AE33" t="e">
        <f>'Effort Estimation'!C182+"AM:!$&amp;g"</f>
        <v>#VALUE!</v>
      </c>
      <c r="AF33" t="e">
        <f>'Effort Estimation'!D182+"AM:!$&amp;h"</f>
        <v>#VALUE!</v>
      </c>
      <c r="AG33" t="e">
        <f>'Effort Estimation'!E182+"AM:!$&amp;i"</f>
        <v>#VALUE!</v>
      </c>
      <c r="AH33" t="e">
        <f>'Effort Estimation'!F182+"AM:!$&amp;j"</f>
        <v>#VALUE!</v>
      </c>
      <c r="AI33" t="e">
        <f>'Effort Estimation'!G182+"AM:!$&amp;k"</f>
        <v>#VALUE!</v>
      </c>
      <c r="AJ33" t="e">
        <f>'Effort Estimation'!H182+"AM:!$&amp;l"</f>
        <v>#VALUE!</v>
      </c>
      <c r="AK33" t="e">
        <f>'Effort Estimation'!I182+"AM:!$&amp;m"</f>
        <v>#VALUE!</v>
      </c>
      <c r="AL33" s="99" t="e">
        <f>'Effort Estimation'!J182+"AM:!$&amp;n"</f>
        <v>#VALUE!</v>
      </c>
      <c r="AM33" s="99" t="e">
        <f>'Effort Estimation'!K182+"AM:!$&amp;o"</f>
        <v>#VALUE!</v>
      </c>
      <c r="AN33" s="99" t="e">
        <f>'Effort Estimation'!L182+"AM:!$&amp;p"</f>
        <v>#VALUE!</v>
      </c>
      <c r="AO33" s="99" t="e">
        <f>'Effort Estimation'!M182+"AM:!$&amp;q"</f>
        <v>#VALUE!</v>
      </c>
      <c r="AP33" s="99" t="e">
        <f>'Effort Estimation'!N182+"AM:!$&amp;r"</f>
        <v>#VALUE!</v>
      </c>
      <c r="AQ33" s="99" t="e">
        <f>'Effort Estimation'!O182+"AM:!$&amp;s"</f>
        <v>#VALUE!</v>
      </c>
      <c r="AR33" s="99" t="e">
        <f>'Effort Estimation'!P182+"AM:!$&amp;t"</f>
        <v>#VALUE!</v>
      </c>
      <c r="AS33" s="99" t="e">
        <f>'Effort Estimation'!Q182+"AM:!$&amp;u"</f>
        <v>#VALUE!</v>
      </c>
      <c r="AT33" t="e">
        <f>'Effort Estimation'!R182+"AM:!$&amp;v"</f>
        <v>#VALUE!</v>
      </c>
      <c r="AU33" t="e">
        <f>'Effort Estimation'!S182+"AM:!$&amp;w"</f>
        <v>#VALUE!</v>
      </c>
      <c r="AV33" t="e">
        <f>'Effort Estimation'!T182+"AM:!$&amp;x"</f>
        <v>#VALUE!</v>
      </c>
      <c r="AW33" t="e">
        <f>'Effort Estimation'!A183+"AM:!$&amp;y"</f>
        <v>#VALUE!</v>
      </c>
      <c r="AX33" t="e">
        <f>'Effort Estimation'!B183+"AM:!$&amp;z"</f>
        <v>#VALUE!</v>
      </c>
      <c r="AY33" t="e">
        <f>'Effort Estimation'!C183+"AM:!$&amp;{"</f>
        <v>#VALUE!</v>
      </c>
      <c r="AZ33" t="e">
        <f>'Effort Estimation'!D183+"AM:!$&amp;|"</f>
        <v>#VALUE!</v>
      </c>
      <c r="BA33" t="e">
        <f>'Effort Estimation'!E183+"AM:!$&amp;}"</f>
        <v>#VALUE!</v>
      </c>
      <c r="BB33" t="e">
        <f>'Effort Estimation'!F183+"AM:!$&amp;~"</f>
        <v>#VALUE!</v>
      </c>
      <c r="BC33" t="e">
        <f>'Effort Estimation'!G183+"AM:!$'#"</f>
        <v>#VALUE!</v>
      </c>
      <c r="BD33" t="e">
        <f>'Effort Estimation'!H183+"AM:!$'$"</f>
        <v>#VALUE!</v>
      </c>
      <c r="BE33" t="e">
        <f>'Effort Estimation'!I183+"AM:!$'%"</f>
        <v>#VALUE!</v>
      </c>
      <c r="BF33" s="99" t="e">
        <f>'Effort Estimation'!J183+"AM:!$'&amp;"</f>
        <v>#VALUE!</v>
      </c>
      <c r="BG33" s="99" t="e">
        <f>'Effort Estimation'!K183+"AM:!$''"</f>
        <v>#VALUE!</v>
      </c>
      <c r="BH33" s="99" t="e">
        <f>'Effort Estimation'!L183+"AM:!$'("</f>
        <v>#VALUE!</v>
      </c>
      <c r="BI33" s="99" t="e">
        <f>'Effort Estimation'!M183+"AM:!$')"</f>
        <v>#VALUE!</v>
      </c>
      <c r="BJ33" s="99" t="e">
        <f>'Effort Estimation'!N183+"AM:!$'."</f>
        <v>#VALUE!</v>
      </c>
      <c r="BK33" s="99" t="e">
        <f>'Effort Estimation'!O183+"AM:!$'/"</f>
        <v>#VALUE!</v>
      </c>
      <c r="BL33" s="99" t="e">
        <f>'Effort Estimation'!P183+"AM:!$'0"</f>
        <v>#VALUE!</v>
      </c>
      <c r="BM33" s="99" t="e">
        <f>'Effort Estimation'!Q183+"AM:!$'1"</f>
        <v>#VALUE!</v>
      </c>
      <c r="BN33" t="e">
        <f>'Effort Estimation'!R183+"AM:!$'2"</f>
        <v>#VALUE!</v>
      </c>
      <c r="BO33" t="e">
        <f>'Effort Estimation'!S183+"AM:!$'3"</f>
        <v>#VALUE!</v>
      </c>
      <c r="BP33" t="e">
        <f>'Effort Estimation'!T183+"AM:!$'4"</f>
        <v>#VALUE!</v>
      </c>
      <c r="BQ33" t="e">
        <f>'Effort Estimation'!A184+"AM:!$'5"</f>
        <v>#VALUE!</v>
      </c>
      <c r="BR33" t="e">
        <f>'Effort Estimation'!B184+"AM:!$'6"</f>
        <v>#VALUE!</v>
      </c>
      <c r="BS33" t="e">
        <f>'Effort Estimation'!C184+"AM:!$'7"</f>
        <v>#VALUE!</v>
      </c>
      <c r="BT33" t="e">
        <f>'Effort Estimation'!D184+"AM:!$'8"</f>
        <v>#VALUE!</v>
      </c>
      <c r="BU33" t="e">
        <f>'Effort Estimation'!E184+"AM:!$'9"</f>
        <v>#VALUE!</v>
      </c>
      <c r="BV33" t="e">
        <f>'Effort Estimation'!F184+"AM:!$':"</f>
        <v>#VALUE!</v>
      </c>
      <c r="BW33" t="e">
        <f>'Effort Estimation'!G184+"AM:!$';"</f>
        <v>#VALUE!</v>
      </c>
      <c r="BX33" t="e">
        <f>'Effort Estimation'!H184+"AM:!$'&lt;"</f>
        <v>#VALUE!</v>
      </c>
      <c r="BY33" t="e">
        <f>'Effort Estimation'!I184+"AM:!$'="</f>
        <v>#VALUE!</v>
      </c>
      <c r="BZ33" s="99" t="e">
        <f>'Effort Estimation'!J184+"AM:!$'&gt;"</f>
        <v>#VALUE!</v>
      </c>
      <c r="CA33" s="99" t="e">
        <f>'Effort Estimation'!K184+"AM:!$'?"</f>
        <v>#VALUE!</v>
      </c>
      <c r="CB33" s="99" t="e">
        <f>'Effort Estimation'!L184+"AM:!$'@"</f>
        <v>#VALUE!</v>
      </c>
      <c r="CC33" s="99" t="e">
        <f>'Effort Estimation'!M184+"AM:!$'A"</f>
        <v>#VALUE!</v>
      </c>
      <c r="CD33" s="99" t="e">
        <f>'Effort Estimation'!N184+"AM:!$'B"</f>
        <v>#VALUE!</v>
      </c>
      <c r="CE33" s="99" t="e">
        <f>'Effort Estimation'!O184+"AM:!$'C"</f>
        <v>#VALUE!</v>
      </c>
      <c r="CF33" s="99" t="e">
        <f>'Effort Estimation'!P184+"AM:!$'D"</f>
        <v>#VALUE!</v>
      </c>
      <c r="CG33" s="99" t="e">
        <f>'Effort Estimation'!Q184+"AM:!$'E"</f>
        <v>#VALUE!</v>
      </c>
      <c r="CH33" t="e">
        <f>'Effort Estimation'!R184+"AM:!$'F"</f>
        <v>#VALUE!</v>
      </c>
      <c r="CI33" t="e">
        <f>'Effort Estimation'!S184+"AM:!$'G"</f>
        <v>#VALUE!</v>
      </c>
      <c r="CJ33" t="e">
        <f>'Effort Estimation'!T184+"AM:!$'H"</f>
        <v>#VALUE!</v>
      </c>
      <c r="CK33" t="e">
        <f>'Effort Estimation'!A185+"AM:!$'I"</f>
        <v>#VALUE!</v>
      </c>
      <c r="CL33" t="e">
        <f>'Effort Estimation'!B185+"AM:!$'J"</f>
        <v>#VALUE!</v>
      </c>
      <c r="CM33" t="e">
        <f>'Effort Estimation'!C185+"AM:!$'K"</f>
        <v>#VALUE!</v>
      </c>
      <c r="CN33" t="e">
        <f>'Effort Estimation'!D185+"AM:!$'L"</f>
        <v>#VALUE!</v>
      </c>
      <c r="CO33" t="e">
        <f>'Effort Estimation'!E185+"AM:!$'M"</f>
        <v>#VALUE!</v>
      </c>
      <c r="CP33" t="e">
        <f>'Effort Estimation'!F185+"AM:!$'N"</f>
        <v>#VALUE!</v>
      </c>
      <c r="CQ33" t="e">
        <f>'Effort Estimation'!G185+"AM:!$'O"</f>
        <v>#VALUE!</v>
      </c>
      <c r="CR33" t="e">
        <f>'Effort Estimation'!H185+"AM:!$'P"</f>
        <v>#VALUE!</v>
      </c>
      <c r="CS33" t="e">
        <f>'Effort Estimation'!I185+"AM:!$'Q"</f>
        <v>#VALUE!</v>
      </c>
      <c r="CT33" s="99" t="e">
        <f>'Effort Estimation'!J185+"AM:!$'R"</f>
        <v>#VALUE!</v>
      </c>
      <c r="CU33" s="99" t="e">
        <f>'Effort Estimation'!K185+"AM:!$'S"</f>
        <v>#VALUE!</v>
      </c>
      <c r="CV33" s="99" t="e">
        <f>'Effort Estimation'!L185+"AM:!$'T"</f>
        <v>#VALUE!</v>
      </c>
      <c r="CW33" s="99" t="e">
        <f>'Effort Estimation'!M185+"AM:!$'U"</f>
        <v>#VALUE!</v>
      </c>
      <c r="CX33" s="99" t="e">
        <f>'Effort Estimation'!N185+"AM:!$'V"</f>
        <v>#VALUE!</v>
      </c>
      <c r="CY33" s="99" t="e">
        <f>'Effort Estimation'!O185+"AM:!$'W"</f>
        <v>#VALUE!</v>
      </c>
      <c r="CZ33" s="99" t="e">
        <f>'Effort Estimation'!P185+"AM:!$'X"</f>
        <v>#VALUE!</v>
      </c>
      <c r="DA33" s="99" t="e">
        <f>'Effort Estimation'!Q185+"AM:!$'Y"</f>
        <v>#VALUE!</v>
      </c>
      <c r="DB33" t="e">
        <f>'Effort Estimation'!R185+"AM:!$'Z"</f>
        <v>#VALUE!</v>
      </c>
      <c r="DC33" t="e">
        <f>'Effort Estimation'!S185+"AM:!$'["</f>
        <v>#VALUE!</v>
      </c>
      <c r="DD33" t="e">
        <f>'Effort Estimation'!T185+"AM:!$'\"</f>
        <v>#VALUE!</v>
      </c>
      <c r="DE33" t="e">
        <f>'Effort Estimation'!A186+"AM:!$']"</f>
        <v>#VALUE!</v>
      </c>
      <c r="DF33" t="e">
        <f>'Effort Estimation'!B186+"AM:!$'^"</f>
        <v>#VALUE!</v>
      </c>
      <c r="DG33" t="e">
        <f>'Effort Estimation'!C186+"AM:!$'_"</f>
        <v>#VALUE!</v>
      </c>
      <c r="DH33" t="e">
        <f>'Effort Estimation'!D186+"AM:!$'`"</f>
        <v>#VALUE!</v>
      </c>
      <c r="DI33" t="e">
        <f>'Effort Estimation'!E186+"AM:!$'a"</f>
        <v>#VALUE!</v>
      </c>
      <c r="DJ33" t="e">
        <f>'Effort Estimation'!F186+"AM:!$'b"</f>
        <v>#VALUE!</v>
      </c>
      <c r="DK33" t="e">
        <f>'Effort Estimation'!G186+"AM:!$'c"</f>
        <v>#VALUE!</v>
      </c>
      <c r="DL33" t="e">
        <f>'Effort Estimation'!H186+"AM:!$'d"</f>
        <v>#VALUE!</v>
      </c>
      <c r="DM33" t="e">
        <f>'Effort Estimation'!I186+"AM:!$'e"</f>
        <v>#VALUE!</v>
      </c>
      <c r="DN33" s="99" t="e">
        <f>'Effort Estimation'!J186+"AM:!$'f"</f>
        <v>#VALUE!</v>
      </c>
      <c r="DO33" s="99" t="e">
        <f>'Effort Estimation'!K186+"AM:!$'g"</f>
        <v>#VALUE!</v>
      </c>
      <c r="DP33" s="99" t="e">
        <f>'Effort Estimation'!L186+"AM:!$'h"</f>
        <v>#VALUE!</v>
      </c>
      <c r="DQ33" s="99" t="e">
        <f>'Effort Estimation'!M186+"AM:!$'i"</f>
        <v>#VALUE!</v>
      </c>
      <c r="DR33" s="99" t="e">
        <f>'Effort Estimation'!N186+"AM:!$'j"</f>
        <v>#VALUE!</v>
      </c>
      <c r="DS33" s="99" t="e">
        <f>'Effort Estimation'!O186+"AM:!$'k"</f>
        <v>#VALUE!</v>
      </c>
      <c r="DT33" s="99" t="e">
        <f>'Effort Estimation'!P186+"AM:!$'l"</f>
        <v>#VALUE!</v>
      </c>
      <c r="DU33" s="99" t="e">
        <f>'Effort Estimation'!Q186+"AM:!$'m"</f>
        <v>#VALUE!</v>
      </c>
      <c r="DV33" t="e">
        <f>'Effort Estimation'!R186+"AM:!$'n"</f>
        <v>#VALUE!</v>
      </c>
      <c r="DW33" t="e">
        <f>'Effort Estimation'!S186+"AM:!$'o"</f>
        <v>#VALUE!</v>
      </c>
      <c r="DX33" t="e">
        <f>'Effort Estimation'!T186+"AM:!$'p"</f>
        <v>#VALUE!</v>
      </c>
      <c r="DY33" t="e">
        <f>'Effort Estimation'!A187+"AM:!$'q"</f>
        <v>#VALUE!</v>
      </c>
      <c r="DZ33" t="e">
        <f>'Effort Estimation'!B187+"AM:!$'r"</f>
        <v>#VALUE!</v>
      </c>
      <c r="EA33" t="e">
        <f>'Effort Estimation'!C187+"AM:!$'s"</f>
        <v>#VALUE!</v>
      </c>
      <c r="EB33" t="e">
        <f>'Effort Estimation'!D187+"AM:!$'t"</f>
        <v>#VALUE!</v>
      </c>
      <c r="EC33" t="e">
        <f>'Effort Estimation'!E187+"AM:!$'u"</f>
        <v>#VALUE!</v>
      </c>
      <c r="ED33" t="e">
        <f>'Effort Estimation'!F187+"AM:!$'v"</f>
        <v>#VALUE!</v>
      </c>
      <c r="EE33" t="e">
        <f>'Effort Estimation'!G187+"AM:!$'w"</f>
        <v>#VALUE!</v>
      </c>
      <c r="EF33" t="e">
        <f>'Effort Estimation'!H187+"AM:!$'x"</f>
        <v>#VALUE!</v>
      </c>
      <c r="EG33" t="e">
        <f>'Effort Estimation'!I187+"AM:!$'y"</f>
        <v>#VALUE!</v>
      </c>
      <c r="EH33" s="99" t="e">
        <f>'Effort Estimation'!J187+"AM:!$'z"</f>
        <v>#VALUE!</v>
      </c>
      <c r="EI33" s="99" t="e">
        <f>'Effort Estimation'!K187+"AM:!$'{"</f>
        <v>#VALUE!</v>
      </c>
      <c r="EJ33" s="99" t="e">
        <f>'Effort Estimation'!L187+"AM:!$'|"</f>
        <v>#VALUE!</v>
      </c>
      <c r="EK33" s="99" t="e">
        <f>'Effort Estimation'!M187+"AM:!$'}"</f>
        <v>#VALUE!</v>
      </c>
      <c r="EL33" s="99" t="e">
        <f>'Effort Estimation'!N187+"AM:!$'~"</f>
        <v>#VALUE!</v>
      </c>
      <c r="EM33" s="99" t="e">
        <f>'Effort Estimation'!O187+"AM:!$(#"</f>
        <v>#VALUE!</v>
      </c>
      <c r="EN33" s="99" t="e">
        <f>'Effort Estimation'!P187+"AM:!$($"</f>
        <v>#VALUE!</v>
      </c>
      <c r="EO33" s="99" t="e">
        <f>'Effort Estimation'!Q187+"AM:!$(%"</f>
        <v>#VALUE!</v>
      </c>
      <c r="EP33" t="e">
        <f>'Effort Estimation'!R187+"AM:!$(&amp;"</f>
        <v>#VALUE!</v>
      </c>
      <c r="EQ33" t="e">
        <f>'Effort Estimation'!S187+"AM:!$('"</f>
        <v>#VALUE!</v>
      </c>
      <c r="ER33" t="e">
        <f>'Effort Estimation'!T187+"AM:!$(("</f>
        <v>#VALUE!</v>
      </c>
      <c r="ES33" t="e">
        <f>'Effort Estimation'!A188+"AM:!$()"</f>
        <v>#VALUE!</v>
      </c>
      <c r="ET33" t="e">
        <f>'Effort Estimation'!B188+"AM:!$(."</f>
        <v>#VALUE!</v>
      </c>
      <c r="EU33" t="e">
        <f>'Effort Estimation'!C188+"AM:!$(/"</f>
        <v>#VALUE!</v>
      </c>
      <c r="EV33" t="e">
        <f>'Effort Estimation'!D188+"AM:!$(0"</f>
        <v>#VALUE!</v>
      </c>
      <c r="EW33" t="e">
        <f>'Effort Estimation'!E188+"AM:!$(1"</f>
        <v>#VALUE!</v>
      </c>
      <c r="EX33" t="e">
        <f>'Effort Estimation'!F188+"AM:!$(2"</f>
        <v>#VALUE!</v>
      </c>
      <c r="EY33" t="e">
        <f>'Effort Estimation'!G188+"AM:!$(3"</f>
        <v>#VALUE!</v>
      </c>
      <c r="EZ33" t="e">
        <f>'Effort Estimation'!H188+"AM:!$(4"</f>
        <v>#VALUE!</v>
      </c>
      <c r="FA33" t="e">
        <f>'Effort Estimation'!I188+"AM:!$(5"</f>
        <v>#VALUE!</v>
      </c>
      <c r="FB33" s="99" t="e">
        <f>'Effort Estimation'!J188+"AM:!$(6"</f>
        <v>#VALUE!</v>
      </c>
      <c r="FC33" s="99" t="e">
        <f>'Effort Estimation'!K188+"AM:!$(7"</f>
        <v>#VALUE!</v>
      </c>
      <c r="FD33" s="99" t="e">
        <f>'Effort Estimation'!L188+"AM:!$(8"</f>
        <v>#VALUE!</v>
      </c>
      <c r="FE33" s="99" t="e">
        <f>'Effort Estimation'!M188+"AM:!$(9"</f>
        <v>#VALUE!</v>
      </c>
      <c r="FF33" s="99" t="e">
        <f>'Effort Estimation'!N188+"AM:!$(:"</f>
        <v>#VALUE!</v>
      </c>
      <c r="FG33" s="99" t="e">
        <f>'Effort Estimation'!O188+"AM:!$(;"</f>
        <v>#VALUE!</v>
      </c>
      <c r="FH33" s="99" t="e">
        <f>'Effort Estimation'!P188+"AM:!$(&lt;"</f>
        <v>#VALUE!</v>
      </c>
      <c r="FI33" s="99" t="e">
        <f>'Effort Estimation'!Q188+"AM:!$(="</f>
        <v>#VALUE!</v>
      </c>
      <c r="FJ33" t="e">
        <f>'Effort Estimation'!R188+"AM:!$(&gt;"</f>
        <v>#VALUE!</v>
      </c>
      <c r="FK33" t="e">
        <f>'Effort Estimation'!S188+"AM:!$(?"</f>
        <v>#VALUE!</v>
      </c>
      <c r="FL33" t="e">
        <f>'Effort Estimation'!T188+"AM:!$(@"</f>
        <v>#VALUE!</v>
      </c>
      <c r="FM33" t="e">
        <f>'Effort Estimation'!A189+"AM:!$(A"</f>
        <v>#VALUE!</v>
      </c>
      <c r="FN33" t="e">
        <f>'Effort Estimation'!B189+"AM:!$(B"</f>
        <v>#VALUE!</v>
      </c>
      <c r="FO33" t="e">
        <f>'Effort Estimation'!C189+"AM:!$(C"</f>
        <v>#VALUE!</v>
      </c>
      <c r="FP33" t="e">
        <f>'Effort Estimation'!D189+"AM:!$(D"</f>
        <v>#VALUE!</v>
      </c>
      <c r="FQ33" t="e">
        <f>'Effort Estimation'!E189+"AM:!$(E"</f>
        <v>#VALUE!</v>
      </c>
      <c r="FR33" t="e">
        <f>'Effort Estimation'!F189+"AM:!$(F"</f>
        <v>#VALUE!</v>
      </c>
      <c r="FS33" t="e">
        <f>'Effort Estimation'!G189+"AM:!$(G"</f>
        <v>#VALUE!</v>
      </c>
      <c r="FT33" t="e">
        <f>'Effort Estimation'!H189+"AM:!$(H"</f>
        <v>#VALUE!</v>
      </c>
      <c r="FU33" t="e">
        <f>'Effort Estimation'!I189+"AM:!$(I"</f>
        <v>#VALUE!</v>
      </c>
      <c r="FV33" s="99" t="e">
        <f>'Effort Estimation'!J189+"AM:!$(J"</f>
        <v>#VALUE!</v>
      </c>
      <c r="FW33" s="99" t="e">
        <f>'Effort Estimation'!K189+"AM:!$(K"</f>
        <v>#VALUE!</v>
      </c>
      <c r="FX33" s="99" t="e">
        <f>'Effort Estimation'!L189+"AM:!$(L"</f>
        <v>#VALUE!</v>
      </c>
      <c r="FY33" s="99" t="e">
        <f>'Effort Estimation'!M189+"AM:!$(M"</f>
        <v>#VALUE!</v>
      </c>
      <c r="FZ33" s="99" t="e">
        <f>'Effort Estimation'!N189+"AM:!$(N"</f>
        <v>#VALUE!</v>
      </c>
      <c r="GA33" s="99" t="e">
        <f>'Effort Estimation'!O189+"AM:!$(O"</f>
        <v>#VALUE!</v>
      </c>
      <c r="GB33" s="99" t="e">
        <f>'Effort Estimation'!P189+"AM:!$(P"</f>
        <v>#VALUE!</v>
      </c>
      <c r="GC33" s="99" t="e">
        <f>'Effort Estimation'!Q189+"AM:!$(Q"</f>
        <v>#VALUE!</v>
      </c>
      <c r="GD33" t="e">
        <f>'Effort Estimation'!R189+"AM:!$(R"</f>
        <v>#VALUE!</v>
      </c>
      <c r="GE33" t="e">
        <f>'Effort Estimation'!S189+"AM:!$(S"</f>
        <v>#VALUE!</v>
      </c>
      <c r="GF33" t="e">
        <f>'Effort Estimation'!T189+"AM:!$(T"</f>
        <v>#VALUE!</v>
      </c>
      <c r="GG33" t="e">
        <f>'Effort Estimation'!A190+"AM:!$(U"</f>
        <v>#VALUE!</v>
      </c>
      <c r="GH33" t="e">
        <f>'Effort Estimation'!B190+"AM:!$(V"</f>
        <v>#VALUE!</v>
      </c>
      <c r="GI33" t="e">
        <f>'Effort Estimation'!C190+"AM:!$(W"</f>
        <v>#VALUE!</v>
      </c>
      <c r="GJ33" t="e">
        <f>'Effort Estimation'!D190+"AM:!$(X"</f>
        <v>#VALUE!</v>
      </c>
      <c r="GK33" t="e">
        <f>'Effort Estimation'!E190+"AM:!$(Y"</f>
        <v>#VALUE!</v>
      </c>
      <c r="GL33" t="e">
        <f>'Effort Estimation'!F190+"AM:!$(Z"</f>
        <v>#VALUE!</v>
      </c>
      <c r="GM33" t="e">
        <f>'Effort Estimation'!G190+"AM:!$(["</f>
        <v>#VALUE!</v>
      </c>
      <c r="GN33" t="e">
        <f>'Effort Estimation'!H190+"AM:!$(\"</f>
        <v>#VALUE!</v>
      </c>
      <c r="GO33" t="e">
        <f>'Effort Estimation'!I190+"AM:!$(]"</f>
        <v>#VALUE!</v>
      </c>
      <c r="GP33" s="99" t="e">
        <f>'Effort Estimation'!J190+"AM:!$(^"</f>
        <v>#VALUE!</v>
      </c>
      <c r="GQ33" s="99" t="e">
        <f>'Effort Estimation'!K190+"AM:!$(_"</f>
        <v>#VALUE!</v>
      </c>
      <c r="GR33" s="99" t="e">
        <f>'Effort Estimation'!L190+"AM:!$(`"</f>
        <v>#VALUE!</v>
      </c>
      <c r="GS33" s="99" t="e">
        <f>'Effort Estimation'!M190+"AM:!$(a"</f>
        <v>#VALUE!</v>
      </c>
      <c r="GT33" s="99" t="e">
        <f>'Effort Estimation'!N190+"AM:!$(b"</f>
        <v>#VALUE!</v>
      </c>
      <c r="GU33" s="99" t="e">
        <f>'Effort Estimation'!O190+"AM:!$(c"</f>
        <v>#VALUE!</v>
      </c>
      <c r="GV33" s="99" t="e">
        <f>'Effort Estimation'!P190+"AM:!$(d"</f>
        <v>#VALUE!</v>
      </c>
      <c r="GW33" s="99" t="e">
        <f>'Effort Estimation'!Q190+"AM:!$(e"</f>
        <v>#VALUE!</v>
      </c>
      <c r="GX33" t="e">
        <f>'Effort Estimation'!R190+"AM:!$(f"</f>
        <v>#VALUE!</v>
      </c>
      <c r="GY33" t="e">
        <f>'Effort Estimation'!S190+"AM:!$(g"</f>
        <v>#VALUE!</v>
      </c>
      <c r="GZ33" t="e">
        <f>'Effort Estimation'!T190+"AM:!$(h"</f>
        <v>#VALUE!</v>
      </c>
      <c r="HA33" t="e">
        <f>'Effort Estimation'!A191+"AM:!$(i"</f>
        <v>#VALUE!</v>
      </c>
      <c r="HB33" t="e">
        <f>'Effort Estimation'!B191+"AM:!$(j"</f>
        <v>#VALUE!</v>
      </c>
      <c r="HC33" t="e">
        <f>'Effort Estimation'!C191+"AM:!$(k"</f>
        <v>#VALUE!</v>
      </c>
      <c r="HD33" t="e">
        <f>'Effort Estimation'!D191+"AM:!$(l"</f>
        <v>#VALUE!</v>
      </c>
      <c r="HE33" t="e">
        <f>'Effort Estimation'!E191+"AM:!$(m"</f>
        <v>#VALUE!</v>
      </c>
      <c r="HF33" t="e">
        <f>'Effort Estimation'!F191+"AM:!$(n"</f>
        <v>#VALUE!</v>
      </c>
      <c r="HG33" t="e">
        <f>'Effort Estimation'!G191+"AM:!$(o"</f>
        <v>#VALUE!</v>
      </c>
      <c r="HH33" t="e">
        <f>'Effort Estimation'!H191+"AM:!$(p"</f>
        <v>#VALUE!</v>
      </c>
      <c r="HI33" t="e">
        <f>'Effort Estimation'!I191+"AM:!$(q"</f>
        <v>#VALUE!</v>
      </c>
      <c r="HJ33" s="99" t="e">
        <f>'Effort Estimation'!J191+"AM:!$(r"</f>
        <v>#VALUE!</v>
      </c>
      <c r="HK33" s="99" t="e">
        <f>'Effort Estimation'!K191+"AM:!$(s"</f>
        <v>#VALUE!</v>
      </c>
      <c r="HL33" s="99" t="e">
        <f>'Effort Estimation'!L191+"AM:!$(t"</f>
        <v>#VALUE!</v>
      </c>
      <c r="HM33" s="99" t="e">
        <f>'Effort Estimation'!M191+"AM:!$(u"</f>
        <v>#VALUE!</v>
      </c>
      <c r="HN33" s="99" t="e">
        <f>'Effort Estimation'!N191+"AM:!$(v"</f>
        <v>#VALUE!</v>
      </c>
      <c r="HO33" s="99" t="e">
        <f>'Effort Estimation'!O191+"AM:!$(w"</f>
        <v>#VALUE!</v>
      </c>
      <c r="HP33" s="99" t="e">
        <f>'Effort Estimation'!P191+"AM:!$(x"</f>
        <v>#VALUE!</v>
      </c>
      <c r="HQ33" s="99" t="e">
        <f>'Effort Estimation'!Q191+"AM:!$(y"</f>
        <v>#VALUE!</v>
      </c>
      <c r="HR33" t="e">
        <f>'Effort Estimation'!R191+"AM:!$(z"</f>
        <v>#VALUE!</v>
      </c>
      <c r="HS33" t="e">
        <f>'Effort Estimation'!S191+"AM:!$({"</f>
        <v>#VALUE!</v>
      </c>
      <c r="HT33" t="e">
        <f>'Effort Estimation'!T191+"AM:!$(|"</f>
        <v>#VALUE!</v>
      </c>
      <c r="HU33" t="e">
        <f>'Effort Estimation'!A192+"AM:!$(}"</f>
        <v>#VALUE!</v>
      </c>
      <c r="HV33" t="e">
        <f>'Effort Estimation'!B192+"AM:!$(~"</f>
        <v>#VALUE!</v>
      </c>
      <c r="HW33" t="e">
        <f>'Effort Estimation'!C192+"AM:!$)#"</f>
        <v>#VALUE!</v>
      </c>
      <c r="HX33" t="e">
        <f>'Effort Estimation'!D192+"AM:!$)$"</f>
        <v>#VALUE!</v>
      </c>
      <c r="HY33" t="e">
        <f>'Effort Estimation'!E192+"AM:!$)%"</f>
        <v>#VALUE!</v>
      </c>
      <c r="HZ33" t="e">
        <f>'Effort Estimation'!F192+"AM:!$)&amp;"</f>
        <v>#VALUE!</v>
      </c>
      <c r="IA33" t="e">
        <f>'Effort Estimation'!G192+"AM:!$)'"</f>
        <v>#VALUE!</v>
      </c>
      <c r="IB33" t="e">
        <f>'Effort Estimation'!H192+"AM:!$)("</f>
        <v>#VALUE!</v>
      </c>
      <c r="IC33" t="e">
        <f>'Effort Estimation'!I192+"AM:!$))"</f>
        <v>#VALUE!</v>
      </c>
      <c r="ID33" s="99" t="e">
        <f>'Effort Estimation'!J192+"AM:!$)."</f>
        <v>#VALUE!</v>
      </c>
      <c r="IE33" s="99" t="e">
        <f>'Effort Estimation'!K192+"AM:!$)/"</f>
        <v>#VALUE!</v>
      </c>
      <c r="IF33" s="99" t="e">
        <f>'Effort Estimation'!L192+"AM:!$)0"</f>
        <v>#VALUE!</v>
      </c>
      <c r="IG33" s="99" t="e">
        <f>'Effort Estimation'!M192+"AM:!$)1"</f>
        <v>#VALUE!</v>
      </c>
      <c r="IH33" s="99" t="e">
        <f>'Effort Estimation'!N192+"AM:!$)2"</f>
        <v>#VALUE!</v>
      </c>
      <c r="II33" s="99" t="e">
        <f>'Effort Estimation'!O192+"AM:!$)3"</f>
        <v>#VALUE!</v>
      </c>
      <c r="IJ33" s="99" t="e">
        <f>'Effort Estimation'!P192+"AM:!$)4"</f>
        <v>#VALUE!</v>
      </c>
      <c r="IK33" s="99" t="e">
        <f>'Effort Estimation'!Q192+"AM:!$)5"</f>
        <v>#VALUE!</v>
      </c>
      <c r="IL33" t="e">
        <f>'Effort Estimation'!R192+"AM:!$)6"</f>
        <v>#VALUE!</v>
      </c>
      <c r="IM33" t="e">
        <f>'Effort Estimation'!S192+"AM:!$)7"</f>
        <v>#VALUE!</v>
      </c>
      <c r="IN33" t="e">
        <f>'Effort Estimation'!T192+"AM:!$)8"</f>
        <v>#VALUE!</v>
      </c>
      <c r="IO33" t="e">
        <f>'Effort Estimation'!A193+"AM:!$)9"</f>
        <v>#VALUE!</v>
      </c>
      <c r="IP33" t="e">
        <f>'Effort Estimation'!B193+"AM:!$):"</f>
        <v>#VALUE!</v>
      </c>
      <c r="IQ33" t="e">
        <f>'Effort Estimation'!C193+"AM:!$);"</f>
        <v>#VALUE!</v>
      </c>
      <c r="IR33" t="e">
        <f>'Effort Estimation'!D193+"AM:!$)&lt;"</f>
        <v>#VALUE!</v>
      </c>
      <c r="IS33" t="e">
        <f>'Effort Estimation'!E193+"AM:!$)="</f>
        <v>#VALUE!</v>
      </c>
      <c r="IT33" t="e">
        <f>'Effort Estimation'!F193+"AM:!$)&gt;"</f>
        <v>#VALUE!</v>
      </c>
      <c r="IU33" t="e">
        <f>'Effort Estimation'!G193+"AM:!$)?"</f>
        <v>#VALUE!</v>
      </c>
      <c r="IV33" t="e">
        <f>'Effort Estimation'!H193+"AM:!$)@"</f>
        <v>#VALUE!</v>
      </c>
    </row>
    <row r="34" spans="6:256">
      <c r="F34" t="e">
        <f>'Effort Estimation'!I193+"AM:!$)A"</f>
        <v>#VALUE!</v>
      </c>
      <c r="G34" s="99" t="e">
        <f>'Effort Estimation'!J193+"AM:!$)B"</f>
        <v>#VALUE!</v>
      </c>
      <c r="H34" s="99" t="e">
        <f>'Effort Estimation'!K193+"AM:!$)C"</f>
        <v>#VALUE!</v>
      </c>
      <c r="I34" s="99" t="e">
        <f>'Effort Estimation'!L193+"AM:!$)D"</f>
        <v>#VALUE!</v>
      </c>
      <c r="J34" s="99" t="e">
        <f>'Effort Estimation'!M193+"AM:!$)E"</f>
        <v>#VALUE!</v>
      </c>
      <c r="K34" s="99" t="e">
        <f>'Effort Estimation'!N193+"AM:!$)F"</f>
        <v>#VALUE!</v>
      </c>
      <c r="L34" s="99" t="e">
        <f>'Effort Estimation'!O193+"AM:!$)G"</f>
        <v>#VALUE!</v>
      </c>
      <c r="M34" s="99" t="e">
        <f>'Effort Estimation'!P193+"AM:!$)H"</f>
        <v>#VALUE!</v>
      </c>
      <c r="N34" s="99" t="e">
        <f>'Effort Estimation'!Q193+"AM:!$)I"</f>
        <v>#VALUE!</v>
      </c>
      <c r="O34" t="e">
        <f>'Effort Estimation'!R193+"AM:!$)J"</f>
        <v>#VALUE!</v>
      </c>
      <c r="P34" t="e">
        <f>'Effort Estimation'!S193+"AM:!$)K"</f>
        <v>#VALUE!</v>
      </c>
      <c r="Q34" t="e">
        <f>'Effort Estimation'!T193+"AM:!$)L"</f>
        <v>#VALUE!</v>
      </c>
      <c r="R34" t="e">
        <f>'Effort Estimation'!A194+"AM:!$)M"</f>
        <v>#VALUE!</v>
      </c>
      <c r="S34" t="e">
        <f>'Effort Estimation'!B194+"AM:!$)N"</f>
        <v>#VALUE!</v>
      </c>
      <c r="T34" t="e">
        <f>'Effort Estimation'!C194+"AM:!$)O"</f>
        <v>#VALUE!</v>
      </c>
      <c r="U34" t="e">
        <f>'Effort Estimation'!D194+"AM:!$)P"</f>
        <v>#VALUE!</v>
      </c>
      <c r="V34" t="e">
        <f>'Effort Estimation'!E194+"AM:!$)Q"</f>
        <v>#VALUE!</v>
      </c>
      <c r="W34" t="e">
        <f>'Effort Estimation'!F194+"AM:!$)R"</f>
        <v>#VALUE!</v>
      </c>
      <c r="X34" t="e">
        <f>'Effort Estimation'!G194+"AM:!$)S"</f>
        <v>#VALUE!</v>
      </c>
      <c r="Y34" t="e">
        <f>'Effort Estimation'!H194+"AM:!$)T"</f>
        <v>#VALUE!</v>
      </c>
      <c r="Z34" t="e">
        <f>'Effort Estimation'!I194+"AM:!$)U"</f>
        <v>#VALUE!</v>
      </c>
      <c r="AA34" s="99" t="e">
        <f>'Effort Estimation'!J194+"AM:!$)V"</f>
        <v>#VALUE!</v>
      </c>
      <c r="AB34" s="99" t="e">
        <f>'Effort Estimation'!K194+"AM:!$)W"</f>
        <v>#VALUE!</v>
      </c>
      <c r="AC34" s="99" t="e">
        <f>'Effort Estimation'!L194+"AM:!$)X"</f>
        <v>#VALUE!</v>
      </c>
      <c r="AD34" s="99" t="e">
        <f>'Effort Estimation'!M194+"AM:!$)Y"</f>
        <v>#VALUE!</v>
      </c>
      <c r="AE34" s="99" t="e">
        <f>'Effort Estimation'!N194+"AM:!$)Z"</f>
        <v>#VALUE!</v>
      </c>
      <c r="AF34" s="99" t="e">
        <f>'Effort Estimation'!O194+"AM:!$)["</f>
        <v>#VALUE!</v>
      </c>
      <c r="AG34" s="99" t="e">
        <f>'Effort Estimation'!P194+"AM:!$)\"</f>
        <v>#VALUE!</v>
      </c>
      <c r="AH34" s="99" t="e">
        <f>'Effort Estimation'!Q194+"AM:!$)]"</f>
        <v>#VALUE!</v>
      </c>
      <c r="AI34" t="e">
        <f>'Effort Estimation'!R194+"AM:!$)^"</f>
        <v>#VALUE!</v>
      </c>
      <c r="AJ34" t="e">
        <f>'Effort Estimation'!S194+"AM:!$)_"</f>
        <v>#VALUE!</v>
      </c>
      <c r="AK34" t="e">
        <f>'Effort Estimation'!T194+"AM:!$)`"</f>
        <v>#VALUE!</v>
      </c>
      <c r="AL34" t="e">
        <f>'Effort Estimation'!A195+"AM:!$)a"</f>
        <v>#VALUE!</v>
      </c>
      <c r="AM34" t="e">
        <f>'Effort Estimation'!B195+"AM:!$)b"</f>
        <v>#VALUE!</v>
      </c>
      <c r="AN34" t="e">
        <f>'Effort Estimation'!C195+"AM:!$)c"</f>
        <v>#VALUE!</v>
      </c>
      <c r="AO34" t="e">
        <f>'Effort Estimation'!D195+"AM:!$)d"</f>
        <v>#VALUE!</v>
      </c>
      <c r="AP34" t="e">
        <f>'Effort Estimation'!E195+"AM:!$)e"</f>
        <v>#VALUE!</v>
      </c>
      <c r="AQ34" t="e">
        <f>'Effort Estimation'!F195+"AM:!$)f"</f>
        <v>#VALUE!</v>
      </c>
      <c r="AR34" t="e">
        <f>'Effort Estimation'!G195+"AM:!$)g"</f>
        <v>#VALUE!</v>
      </c>
      <c r="AS34" t="e">
        <f>'Effort Estimation'!H195+"AM:!$)h"</f>
        <v>#VALUE!</v>
      </c>
      <c r="AT34" t="e">
        <f>'Effort Estimation'!I195+"AM:!$)i"</f>
        <v>#VALUE!</v>
      </c>
      <c r="AU34" s="99" t="e">
        <f>'Effort Estimation'!J195+"AM:!$)j"</f>
        <v>#VALUE!</v>
      </c>
      <c r="AV34" s="99" t="e">
        <f>'Effort Estimation'!K195+"AM:!$)k"</f>
        <v>#VALUE!</v>
      </c>
      <c r="AW34" s="99" t="e">
        <f>'Effort Estimation'!L195+"AM:!$)l"</f>
        <v>#VALUE!</v>
      </c>
      <c r="AX34" s="99" t="e">
        <f>'Effort Estimation'!M195+"AM:!$)m"</f>
        <v>#VALUE!</v>
      </c>
      <c r="AY34" s="99" t="e">
        <f>'Effort Estimation'!N195+"AM:!$)n"</f>
        <v>#VALUE!</v>
      </c>
      <c r="AZ34" s="99" t="e">
        <f>'Effort Estimation'!O195+"AM:!$)o"</f>
        <v>#VALUE!</v>
      </c>
      <c r="BA34" s="99" t="e">
        <f>'Effort Estimation'!P195+"AM:!$)p"</f>
        <v>#VALUE!</v>
      </c>
      <c r="BB34" s="99" t="e">
        <f>'Effort Estimation'!Q195+"AM:!$)q"</f>
        <v>#VALUE!</v>
      </c>
      <c r="BC34" t="e">
        <f>'Effort Estimation'!R195+"AM:!$)r"</f>
        <v>#VALUE!</v>
      </c>
      <c r="BD34" t="e">
        <f>'Effort Estimation'!S195+"AM:!$)s"</f>
        <v>#VALUE!</v>
      </c>
      <c r="BE34" t="e">
        <f>'Effort Estimation'!T195+"AM:!$)t"</f>
        <v>#VALUE!</v>
      </c>
      <c r="BF34" t="e">
        <f>'Effort Estimation'!A196+"AM:!$)u"</f>
        <v>#VALUE!</v>
      </c>
      <c r="BG34" t="e">
        <f>'Effort Estimation'!B196+"AM:!$)v"</f>
        <v>#VALUE!</v>
      </c>
      <c r="BH34" t="e">
        <f>'Effort Estimation'!C196+"AM:!$)w"</f>
        <v>#VALUE!</v>
      </c>
      <c r="BI34" t="e">
        <f>'Effort Estimation'!D196+"AM:!$)x"</f>
        <v>#VALUE!</v>
      </c>
      <c r="BJ34" t="e">
        <f>'Effort Estimation'!E196+"AM:!$)y"</f>
        <v>#VALUE!</v>
      </c>
      <c r="BK34" t="e">
        <f>'Effort Estimation'!F196+"AM:!$)z"</f>
        <v>#VALUE!</v>
      </c>
      <c r="BL34" t="e">
        <f>'Effort Estimation'!G196+"AM:!$){"</f>
        <v>#VALUE!</v>
      </c>
      <c r="BM34" t="e">
        <f>'Effort Estimation'!H196+"AM:!$)|"</f>
        <v>#VALUE!</v>
      </c>
      <c r="BN34" t="e">
        <f>'Effort Estimation'!I196+"AM:!$)}"</f>
        <v>#VALUE!</v>
      </c>
      <c r="BO34" s="99" t="e">
        <f>'Effort Estimation'!J196+"AM:!$)~"</f>
        <v>#VALUE!</v>
      </c>
      <c r="BP34" s="99" t="e">
        <f>'Effort Estimation'!K196+"AM:!$.#"</f>
        <v>#VALUE!</v>
      </c>
      <c r="BQ34" s="99" t="e">
        <f>'Effort Estimation'!L196+"AM:!$.$"</f>
        <v>#VALUE!</v>
      </c>
      <c r="BR34" s="99" t="e">
        <f>'Effort Estimation'!M196+"AM:!$.%"</f>
        <v>#VALUE!</v>
      </c>
      <c r="BS34" s="99" t="e">
        <f>'Effort Estimation'!N196+"AM:!$.&amp;"</f>
        <v>#VALUE!</v>
      </c>
      <c r="BT34" s="99" t="e">
        <f>'Effort Estimation'!O196+"AM:!$.'"</f>
        <v>#VALUE!</v>
      </c>
      <c r="BU34" s="99" t="e">
        <f>'Effort Estimation'!P196+"AM:!$.("</f>
        <v>#VALUE!</v>
      </c>
      <c r="BV34" s="99" t="e">
        <f>'Effort Estimation'!Q196+"AM:!$.)"</f>
        <v>#VALUE!</v>
      </c>
      <c r="BW34" t="e">
        <f>'Effort Estimation'!R196+"AM:!$.."</f>
        <v>#VALUE!</v>
      </c>
      <c r="BX34" t="e">
        <f>'Effort Estimation'!S196+"AM:!$./"</f>
        <v>#VALUE!</v>
      </c>
      <c r="BY34" t="e">
        <f>'Effort Estimation'!T196+"AM:!$.0"</f>
        <v>#VALUE!</v>
      </c>
      <c r="BZ34" t="e">
        <f>'Effort Estimation'!A197+"AM:!$.1"</f>
        <v>#VALUE!</v>
      </c>
      <c r="CA34" t="e">
        <f>'Effort Estimation'!B197+"AM:!$.2"</f>
        <v>#VALUE!</v>
      </c>
      <c r="CB34" t="e">
        <f>'Effort Estimation'!C197+"AM:!$.3"</f>
        <v>#VALUE!</v>
      </c>
      <c r="CC34" t="e">
        <f>'Effort Estimation'!D197+"AM:!$.4"</f>
        <v>#VALUE!</v>
      </c>
      <c r="CD34" t="e">
        <f>'Effort Estimation'!E197+"AM:!$.5"</f>
        <v>#VALUE!</v>
      </c>
      <c r="CE34" t="e">
        <f>'Effort Estimation'!F197+"AM:!$.6"</f>
        <v>#VALUE!</v>
      </c>
      <c r="CF34" t="e">
        <f>'Effort Estimation'!G197+"AM:!$.7"</f>
        <v>#VALUE!</v>
      </c>
      <c r="CG34" t="e">
        <f>'Effort Estimation'!H197+"AM:!$.8"</f>
        <v>#VALUE!</v>
      </c>
      <c r="CH34" t="e">
        <f>'Effort Estimation'!I197+"AM:!$.9"</f>
        <v>#VALUE!</v>
      </c>
      <c r="CI34" s="99" t="e">
        <f>'Effort Estimation'!J197+"AM:!$.:"</f>
        <v>#VALUE!</v>
      </c>
      <c r="CJ34" s="99" t="e">
        <f>'Effort Estimation'!K197+"AM:!$.;"</f>
        <v>#VALUE!</v>
      </c>
      <c r="CK34" s="99" t="e">
        <f>'Effort Estimation'!L197+"AM:!$.&lt;"</f>
        <v>#VALUE!</v>
      </c>
      <c r="CL34" s="99" t="e">
        <f>'Effort Estimation'!M197+"AM:!$.="</f>
        <v>#VALUE!</v>
      </c>
      <c r="CM34" s="99" t="e">
        <f>'Effort Estimation'!N197+"AM:!$.&gt;"</f>
        <v>#VALUE!</v>
      </c>
      <c r="CN34" s="99" t="e">
        <f>'Effort Estimation'!O197+"AM:!$.?"</f>
        <v>#VALUE!</v>
      </c>
      <c r="CO34" s="99" t="e">
        <f>'Effort Estimation'!P197+"AM:!$.@"</f>
        <v>#VALUE!</v>
      </c>
      <c r="CP34" s="99" t="e">
        <f>'Effort Estimation'!Q197+"AM:!$.A"</f>
        <v>#VALUE!</v>
      </c>
      <c r="CQ34" t="e">
        <f>'Effort Estimation'!R197+"AM:!$.B"</f>
        <v>#VALUE!</v>
      </c>
      <c r="CR34" t="e">
        <f>'Effort Estimation'!S197+"AM:!$.C"</f>
        <v>#VALUE!</v>
      </c>
      <c r="CS34" t="e">
        <f>'Effort Estimation'!T197+"AM:!$.D"</f>
        <v>#VALUE!</v>
      </c>
      <c r="CT34" t="e">
        <f>'Effort Estimation'!A198+"AM:!$.E"</f>
        <v>#VALUE!</v>
      </c>
      <c r="CU34" t="e">
        <f>'Effort Estimation'!B198+"AM:!$.F"</f>
        <v>#VALUE!</v>
      </c>
      <c r="CV34" t="e">
        <f>'Effort Estimation'!C198+"AM:!$.G"</f>
        <v>#VALUE!</v>
      </c>
      <c r="CW34" t="e">
        <f>'Effort Estimation'!D198+"AM:!$.H"</f>
        <v>#VALUE!</v>
      </c>
      <c r="CX34" t="e">
        <f>'Effort Estimation'!E198+"AM:!$.I"</f>
        <v>#VALUE!</v>
      </c>
      <c r="CY34" t="e">
        <f>'Effort Estimation'!F198+"AM:!$.J"</f>
        <v>#VALUE!</v>
      </c>
      <c r="CZ34" t="e">
        <f>'Effort Estimation'!G198+"AM:!$.K"</f>
        <v>#VALUE!</v>
      </c>
      <c r="DA34" t="e">
        <f>'Effort Estimation'!H198+"AM:!$.L"</f>
        <v>#VALUE!</v>
      </c>
      <c r="DB34" t="e">
        <f>'Effort Estimation'!I198+"AM:!$.M"</f>
        <v>#VALUE!</v>
      </c>
      <c r="DC34" s="99" t="e">
        <f>'Effort Estimation'!J198+"AM:!$.N"</f>
        <v>#VALUE!</v>
      </c>
      <c r="DD34" s="99" t="e">
        <f>'Effort Estimation'!K198+"AM:!$.O"</f>
        <v>#VALUE!</v>
      </c>
      <c r="DE34" s="99" t="e">
        <f>'Effort Estimation'!L198+"AM:!$.P"</f>
        <v>#VALUE!</v>
      </c>
      <c r="DF34" s="99" t="e">
        <f>'Effort Estimation'!M198+"AM:!$.Q"</f>
        <v>#VALUE!</v>
      </c>
      <c r="DG34" s="99" t="e">
        <f>'Effort Estimation'!N198+"AM:!$.R"</f>
        <v>#VALUE!</v>
      </c>
      <c r="DH34" s="99" t="e">
        <f>'Effort Estimation'!O198+"AM:!$.S"</f>
        <v>#VALUE!</v>
      </c>
      <c r="DI34" s="99" t="e">
        <f>'Effort Estimation'!P198+"AM:!$.T"</f>
        <v>#VALUE!</v>
      </c>
      <c r="DJ34" s="99" t="e">
        <f>'Effort Estimation'!Q198+"AM:!$.U"</f>
        <v>#VALUE!</v>
      </c>
      <c r="DK34" t="e">
        <f>'Effort Estimation'!R198+"AM:!$.V"</f>
        <v>#VALUE!</v>
      </c>
      <c r="DL34" t="e">
        <f>'Effort Estimation'!S198+"AM:!$.W"</f>
        <v>#VALUE!</v>
      </c>
      <c r="DM34" t="e">
        <f>'Effort Estimation'!T198+"AM:!$.X"</f>
        <v>#VALUE!</v>
      </c>
      <c r="DN34" t="e">
        <f>'Effort Estimation'!A199+"AM:!$.Y"</f>
        <v>#VALUE!</v>
      </c>
      <c r="DO34" t="e">
        <f>'Effort Estimation'!B199+"AM:!$.Z"</f>
        <v>#VALUE!</v>
      </c>
      <c r="DP34" t="e">
        <f>'Effort Estimation'!C199+"AM:!$.["</f>
        <v>#VALUE!</v>
      </c>
      <c r="DQ34" t="e">
        <f>'Effort Estimation'!D199+"AM:!$.\"</f>
        <v>#VALUE!</v>
      </c>
      <c r="DR34" t="e">
        <f>'Effort Estimation'!E199+"AM:!$.]"</f>
        <v>#VALUE!</v>
      </c>
      <c r="DS34" t="e">
        <f>'Effort Estimation'!F199+"AM:!$.^"</f>
        <v>#VALUE!</v>
      </c>
      <c r="DT34" t="e">
        <f>'Effort Estimation'!G199+"AM:!$._"</f>
        <v>#VALUE!</v>
      </c>
      <c r="DU34" t="e">
        <f>'Effort Estimation'!H199+"AM:!$.`"</f>
        <v>#VALUE!</v>
      </c>
      <c r="DV34" t="e">
        <f>'Effort Estimation'!I199+"AM:!$.a"</f>
        <v>#VALUE!</v>
      </c>
      <c r="DW34" s="99" t="e">
        <f>'Effort Estimation'!J199+"AM:!$.b"</f>
        <v>#VALUE!</v>
      </c>
      <c r="DX34" s="99" t="e">
        <f>'Effort Estimation'!K199+"AM:!$.c"</f>
        <v>#VALUE!</v>
      </c>
      <c r="DY34" s="99" t="e">
        <f>'Effort Estimation'!L199+"AM:!$.d"</f>
        <v>#VALUE!</v>
      </c>
      <c r="DZ34" s="99" t="e">
        <f>'Effort Estimation'!M199+"AM:!$.e"</f>
        <v>#VALUE!</v>
      </c>
      <c r="EA34" s="99" t="e">
        <f>'Effort Estimation'!N199+"AM:!$.f"</f>
        <v>#VALUE!</v>
      </c>
      <c r="EB34" s="99" t="e">
        <f>'Effort Estimation'!O199+"AM:!$.g"</f>
        <v>#VALUE!</v>
      </c>
      <c r="EC34" s="99" t="e">
        <f>'Effort Estimation'!P199+"AM:!$.h"</f>
        <v>#VALUE!</v>
      </c>
      <c r="ED34" s="99" t="e">
        <f>'Effort Estimation'!Q199+"AM:!$.i"</f>
        <v>#VALUE!</v>
      </c>
      <c r="EE34" t="e">
        <f>'Effort Estimation'!R199+"AM:!$.j"</f>
        <v>#VALUE!</v>
      </c>
      <c r="EF34" t="e">
        <f>'Effort Estimation'!S199+"AM:!$.k"</f>
        <v>#VALUE!</v>
      </c>
      <c r="EG34" t="e">
        <f>'Effort Estimation'!T199+"AM:!$.l"</f>
        <v>#VALUE!</v>
      </c>
      <c r="EH34" t="e">
        <f>'Effort Estimation'!A200+"AM:!$.m"</f>
        <v>#VALUE!</v>
      </c>
      <c r="EI34" t="e">
        <f>'Effort Estimation'!B200+"AM:!$.n"</f>
        <v>#VALUE!</v>
      </c>
      <c r="EJ34" t="e">
        <f>'Effort Estimation'!C200+"AM:!$.o"</f>
        <v>#VALUE!</v>
      </c>
      <c r="EK34" t="e">
        <f>'Effort Estimation'!D200+"AM:!$.p"</f>
        <v>#VALUE!</v>
      </c>
      <c r="EL34" t="e">
        <f>'Effort Estimation'!E200+"AM:!$.q"</f>
        <v>#VALUE!</v>
      </c>
      <c r="EM34" t="e">
        <f>'Effort Estimation'!F200+"AM:!$.r"</f>
        <v>#VALUE!</v>
      </c>
      <c r="EN34" t="e">
        <f>'Effort Estimation'!G200+"AM:!$.s"</f>
        <v>#VALUE!</v>
      </c>
      <c r="EO34" t="e">
        <f>'Effort Estimation'!H200+"AM:!$.t"</f>
        <v>#VALUE!</v>
      </c>
      <c r="EP34" t="e">
        <f>'Effort Estimation'!I200+"AM:!$.u"</f>
        <v>#VALUE!</v>
      </c>
      <c r="EQ34" s="99" t="e">
        <f>'Effort Estimation'!J200+"AM:!$.v"</f>
        <v>#VALUE!</v>
      </c>
      <c r="ER34" s="99" t="e">
        <f>'Effort Estimation'!K200+"AM:!$.w"</f>
        <v>#VALUE!</v>
      </c>
      <c r="ES34" s="99" t="e">
        <f>'Effort Estimation'!L200+"AM:!$.x"</f>
        <v>#VALUE!</v>
      </c>
      <c r="ET34" s="99" t="e">
        <f>'Effort Estimation'!M200+"AM:!$.y"</f>
        <v>#VALUE!</v>
      </c>
      <c r="EU34" s="99" t="e">
        <f>'Effort Estimation'!N200+"AM:!$.z"</f>
        <v>#VALUE!</v>
      </c>
      <c r="EV34" s="99" t="e">
        <f>'Effort Estimation'!O200+"AM:!$.{"</f>
        <v>#VALUE!</v>
      </c>
      <c r="EW34" s="99" t="e">
        <f>'Effort Estimation'!P200+"AM:!$.|"</f>
        <v>#VALUE!</v>
      </c>
      <c r="EX34" s="99" t="e">
        <f>'Effort Estimation'!Q200+"AM:!$.}"</f>
        <v>#VALUE!</v>
      </c>
      <c r="EY34" t="e">
        <f>'Effort Estimation'!R200+"AM:!$.~"</f>
        <v>#VALUE!</v>
      </c>
      <c r="EZ34" t="e">
        <f>'Effort Estimation'!S200+"AM:!$/#"</f>
        <v>#VALUE!</v>
      </c>
      <c r="FA34" t="e">
        <f>'Effort Estimation'!T200+"AM:!$/$"</f>
        <v>#VALUE!</v>
      </c>
      <c r="FB34" t="e">
        <f>'Effort Estimation'!A201+"AM:!$/%"</f>
        <v>#VALUE!</v>
      </c>
      <c r="FC34" t="e">
        <f>'Effort Estimation'!B201+"AM:!$/&amp;"</f>
        <v>#VALUE!</v>
      </c>
      <c r="FD34" t="e">
        <f>'Effort Estimation'!C201+"AM:!$/'"</f>
        <v>#VALUE!</v>
      </c>
      <c r="FE34" t="e">
        <f>'Effort Estimation'!D201+"AM:!$/("</f>
        <v>#VALUE!</v>
      </c>
      <c r="FF34" t="e">
        <f>'Effort Estimation'!E201+"AM:!$/)"</f>
        <v>#VALUE!</v>
      </c>
      <c r="FG34" t="e">
        <f>'Effort Estimation'!F201+"AM:!$/."</f>
        <v>#VALUE!</v>
      </c>
      <c r="FH34" t="e">
        <f>'Effort Estimation'!G201+"AM:!$//"</f>
        <v>#VALUE!</v>
      </c>
      <c r="FI34" t="e">
        <f>'Effort Estimation'!H201+"AM:!$/0"</f>
        <v>#VALUE!</v>
      </c>
      <c r="FJ34" t="e">
        <f>'Effort Estimation'!I201+"AM:!$/1"</f>
        <v>#VALUE!</v>
      </c>
      <c r="FK34" s="99" t="e">
        <f>'Effort Estimation'!J201+"AM:!$/2"</f>
        <v>#VALUE!</v>
      </c>
      <c r="FL34" s="99" t="e">
        <f>'Effort Estimation'!K201+"AM:!$/3"</f>
        <v>#VALUE!</v>
      </c>
      <c r="FM34" s="99" t="e">
        <f>'Effort Estimation'!L201+"AM:!$/4"</f>
        <v>#VALUE!</v>
      </c>
      <c r="FN34" s="99" t="e">
        <f>'Effort Estimation'!M201+"AM:!$/5"</f>
        <v>#VALUE!</v>
      </c>
      <c r="FO34" s="99" t="e">
        <f>'Effort Estimation'!N201+"AM:!$/6"</f>
        <v>#VALUE!</v>
      </c>
      <c r="FP34" s="99" t="e">
        <f>'Effort Estimation'!O201+"AM:!$/7"</f>
        <v>#VALUE!</v>
      </c>
      <c r="FQ34" s="99" t="e">
        <f>'Effort Estimation'!P201+"AM:!$/8"</f>
        <v>#VALUE!</v>
      </c>
      <c r="FR34" s="99" t="e">
        <f>'Effort Estimation'!Q201+"AM:!$/9"</f>
        <v>#VALUE!</v>
      </c>
      <c r="FS34" t="e">
        <f>'Effort Estimation'!R201+"AM:!$/:"</f>
        <v>#VALUE!</v>
      </c>
      <c r="FT34" t="e">
        <f>'Effort Estimation'!S201+"AM:!$/;"</f>
        <v>#VALUE!</v>
      </c>
      <c r="FU34" t="e">
        <f>'Effort Estimation'!T201+"AM:!$/&lt;"</f>
        <v>#VALUE!</v>
      </c>
      <c r="FV34" t="e">
        <f>'Effort Estimation'!A202+"AM:!$/="</f>
        <v>#VALUE!</v>
      </c>
      <c r="FW34" t="e">
        <f>'Effort Estimation'!B202+"AM:!$/&gt;"</f>
        <v>#VALUE!</v>
      </c>
      <c r="FX34" t="e">
        <f>'Effort Estimation'!C202+"AM:!$/?"</f>
        <v>#VALUE!</v>
      </c>
      <c r="FY34" t="e">
        <f>'Effort Estimation'!D202+"AM:!$/@"</f>
        <v>#VALUE!</v>
      </c>
      <c r="FZ34" t="e">
        <f>'Effort Estimation'!E202+"AM:!$/A"</f>
        <v>#VALUE!</v>
      </c>
      <c r="GA34" t="e">
        <f>'Effort Estimation'!F202+"AM:!$/B"</f>
        <v>#VALUE!</v>
      </c>
      <c r="GB34" t="e">
        <f>'Effort Estimation'!G202+"AM:!$/C"</f>
        <v>#VALUE!</v>
      </c>
      <c r="GC34" t="e">
        <f>'Effort Estimation'!H202+"AM:!$/D"</f>
        <v>#VALUE!</v>
      </c>
      <c r="GD34" t="e">
        <f>'Effort Estimation'!I202+"AM:!$/E"</f>
        <v>#VALUE!</v>
      </c>
      <c r="GE34" s="99" t="e">
        <f>'Effort Estimation'!J202+"AM:!$/F"</f>
        <v>#VALUE!</v>
      </c>
      <c r="GF34" s="99" t="e">
        <f>'Effort Estimation'!K202+"AM:!$/G"</f>
        <v>#VALUE!</v>
      </c>
      <c r="GG34" s="99" t="e">
        <f>'Effort Estimation'!L202+"AM:!$/H"</f>
        <v>#VALUE!</v>
      </c>
      <c r="GH34" s="99" t="e">
        <f>'Effort Estimation'!M202+"AM:!$/I"</f>
        <v>#VALUE!</v>
      </c>
      <c r="GI34" s="99" t="e">
        <f>'Effort Estimation'!N202+"AM:!$/J"</f>
        <v>#VALUE!</v>
      </c>
      <c r="GJ34" s="99" t="e">
        <f>'Effort Estimation'!O202+"AM:!$/K"</f>
        <v>#VALUE!</v>
      </c>
      <c r="GK34" s="99" t="e">
        <f>'Effort Estimation'!P202+"AM:!$/L"</f>
        <v>#VALUE!</v>
      </c>
      <c r="GL34" s="99" t="e">
        <f>'Effort Estimation'!Q202+"AM:!$/M"</f>
        <v>#VALUE!</v>
      </c>
      <c r="GM34" t="e">
        <f>'Effort Estimation'!R202+"AM:!$/N"</f>
        <v>#VALUE!</v>
      </c>
      <c r="GN34" t="e">
        <f>'Effort Estimation'!S202+"AM:!$/O"</f>
        <v>#VALUE!</v>
      </c>
      <c r="GO34" t="e">
        <f>'Effort Estimation'!T202+"AM:!$/P"</f>
        <v>#VALUE!</v>
      </c>
      <c r="GP34" t="e">
        <f>'Effort Estimation'!A203+"AM:!$/Q"</f>
        <v>#VALUE!</v>
      </c>
      <c r="GQ34" t="e">
        <f>'Effort Estimation'!B203+"AM:!$/R"</f>
        <v>#VALUE!</v>
      </c>
      <c r="GR34" t="e">
        <f>'Effort Estimation'!C203+"AM:!$/S"</f>
        <v>#VALUE!</v>
      </c>
      <c r="GS34" t="e">
        <f>'Effort Estimation'!D203+"AM:!$/T"</f>
        <v>#VALUE!</v>
      </c>
      <c r="GT34" t="e">
        <f>'Effort Estimation'!E203+"AM:!$/U"</f>
        <v>#VALUE!</v>
      </c>
      <c r="GU34" t="e">
        <f>'Effort Estimation'!F203+"AM:!$/V"</f>
        <v>#VALUE!</v>
      </c>
      <c r="GV34" t="e">
        <f>'Effort Estimation'!G203+"AM:!$/W"</f>
        <v>#VALUE!</v>
      </c>
      <c r="GW34" t="e">
        <f>'Effort Estimation'!H203+"AM:!$/X"</f>
        <v>#VALUE!</v>
      </c>
      <c r="GX34" t="e">
        <f>'Effort Estimation'!I203+"AM:!$/Y"</f>
        <v>#VALUE!</v>
      </c>
      <c r="GY34" s="99" t="e">
        <f>'Effort Estimation'!J203+"AM:!$/Z"</f>
        <v>#VALUE!</v>
      </c>
      <c r="GZ34" s="99" t="e">
        <f>'Effort Estimation'!K203+"AM:!$/["</f>
        <v>#VALUE!</v>
      </c>
      <c r="HA34" s="99" t="e">
        <f>'Effort Estimation'!L203+"AM:!$/\"</f>
        <v>#VALUE!</v>
      </c>
      <c r="HB34" s="99" t="e">
        <f>'Effort Estimation'!M203+"AM:!$/]"</f>
        <v>#VALUE!</v>
      </c>
      <c r="HC34" s="99" t="e">
        <f>'Effort Estimation'!N203+"AM:!$/^"</f>
        <v>#VALUE!</v>
      </c>
      <c r="HD34" s="99" t="e">
        <f>'Effort Estimation'!O203+"AM:!$/_"</f>
        <v>#VALUE!</v>
      </c>
      <c r="HE34" s="99" t="e">
        <f>'Effort Estimation'!P203+"AM:!$/`"</f>
        <v>#VALUE!</v>
      </c>
      <c r="HF34" s="99" t="e">
        <f>'Effort Estimation'!Q203+"AM:!$/a"</f>
        <v>#VALUE!</v>
      </c>
      <c r="HG34" t="e">
        <f>'Effort Estimation'!R203+"AM:!$/b"</f>
        <v>#VALUE!</v>
      </c>
      <c r="HH34" t="e">
        <f>'Effort Estimation'!S203+"AM:!$/c"</f>
        <v>#VALUE!</v>
      </c>
      <c r="HI34" t="e">
        <f>'Effort Estimation'!T203+"AM:!$/d"</f>
        <v>#VALUE!</v>
      </c>
      <c r="HJ34" t="e">
        <f>'Effort Estimation'!A204+"AM:!$/e"</f>
        <v>#VALUE!</v>
      </c>
      <c r="HK34" t="e">
        <f>'Effort Estimation'!B204+"AM:!$/f"</f>
        <v>#VALUE!</v>
      </c>
      <c r="HL34" t="e">
        <f>'Effort Estimation'!C204+"AM:!$/g"</f>
        <v>#VALUE!</v>
      </c>
      <c r="HM34" t="e">
        <f>'Effort Estimation'!D204+"AM:!$/h"</f>
        <v>#VALUE!</v>
      </c>
      <c r="HN34" t="e">
        <f>'Effort Estimation'!E204+"AM:!$/i"</f>
        <v>#VALUE!</v>
      </c>
      <c r="HO34" t="e">
        <f>'Effort Estimation'!F204+"AM:!$/j"</f>
        <v>#VALUE!</v>
      </c>
      <c r="HP34" t="e">
        <f>'Effort Estimation'!G204+"AM:!$/k"</f>
        <v>#VALUE!</v>
      </c>
      <c r="HQ34" t="e">
        <f>'Effort Estimation'!H204+"AM:!$/l"</f>
        <v>#VALUE!</v>
      </c>
      <c r="HR34" t="e">
        <f>'Effort Estimation'!I204+"AM:!$/m"</f>
        <v>#VALUE!</v>
      </c>
      <c r="HS34" s="99" t="e">
        <f>'Effort Estimation'!J204+"AM:!$/n"</f>
        <v>#VALUE!</v>
      </c>
      <c r="HT34" s="99" t="e">
        <f>'Effort Estimation'!K204+"AM:!$/o"</f>
        <v>#VALUE!</v>
      </c>
      <c r="HU34" s="99" t="e">
        <f>'Effort Estimation'!L204+"AM:!$/p"</f>
        <v>#VALUE!</v>
      </c>
      <c r="HV34" s="99" t="e">
        <f>'Effort Estimation'!M204+"AM:!$/q"</f>
        <v>#VALUE!</v>
      </c>
      <c r="HW34" s="99" t="e">
        <f>'Effort Estimation'!N204+"AM:!$/r"</f>
        <v>#VALUE!</v>
      </c>
      <c r="HX34" s="99" t="e">
        <f>'Effort Estimation'!O204+"AM:!$/s"</f>
        <v>#VALUE!</v>
      </c>
      <c r="HY34" s="99" t="e">
        <f>'Effort Estimation'!P204+"AM:!$/t"</f>
        <v>#VALUE!</v>
      </c>
      <c r="HZ34" s="99" t="e">
        <f>'Effort Estimation'!Q204+"AM:!$/u"</f>
        <v>#VALUE!</v>
      </c>
      <c r="IA34" t="e">
        <f>'Effort Estimation'!R204+"AM:!$/v"</f>
        <v>#VALUE!</v>
      </c>
      <c r="IB34" t="e">
        <f>'Effort Estimation'!S204+"AM:!$/w"</f>
        <v>#VALUE!</v>
      </c>
      <c r="IC34" t="e">
        <f>'Effort Estimation'!T204+"AM:!$/x"</f>
        <v>#VALUE!</v>
      </c>
      <c r="ID34" t="e">
        <f>'Effort Estimation'!A205+"AM:!$/y"</f>
        <v>#VALUE!</v>
      </c>
      <c r="IE34" t="e">
        <f>'Effort Estimation'!B205+"AM:!$/z"</f>
        <v>#VALUE!</v>
      </c>
      <c r="IF34" t="e">
        <f>'Effort Estimation'!C205+"AM:!$/{"</f>
        <v>#VALUE!</v>
      </c>
      <c r="IG34" t="e">
        <f>'Effort Estimation'!D205+"AM:!$/|"</f>
        <v>#VALUE!</v>
      </c>
      <c r="IH34" t="e">
        <f>'Effort Estimation'!E205+"AM:!$/}"</f>
        <v>#VALUE!</v>
      </c>
      <c r="II34" t="e">
        <f>'Effort Estimation'!F205+"AM:!$/~"</f>
        <v>#VALUE!</v>
      </c>
      <c r="IJ34" t="e">
        <f>'Effort Estimation'!G205+"AM:!$0#"</f>
        <v>#VALUE!</v>
      </c>
      <c r="IK34" t="e">
        <f>'Effort Estimation'!H205+"AM:!$0$"</f>
        <v>#VALUE!</v>
      </c>
      <c r="IL34" t="e">
        <f>'Effort Estimation'!I205+"AM:!$0%"</f>
        <v>#VALUE!</v>
      </c>
      <c r="IM34" s="99" t="e">
        <f>'Effort Estimation'!J205+"AM:!$0&amp;"</f>
        <v>#VALUE!</v>
      </c>
      <c r="IN34" s="99" t="e">
        <f>'Effort Estimation'!K205+"AM:!$0'"</f>
        <v>#VALUE!</v>
      </c>
      <c r="IO34" s="99" t="e">
        <f>'Effort Estimation'!L205+"AM:!$0("</f>
        <v>#VALUE!</v>
      </c>
      <c r="IP34" s="99" t="e">
        <f>'Effort Estimation'!M205+"AM:!$0)"</f>
        <v>#VALUE!</v>
      </c>
      <c r="IQ34" s="99" t="e">
        <f>'Effort Estimation'!N205+"AM:!$0."</f>
        <v>#VALUE!</v>
      </c>
      <c r="IR34" s="99" t="e">
        <f>'Effort Estimation'!O205+"AM:!$0/"</f>
        <v>#VALUE!</v>
      </c>
      <c r="IS34" s="99" t="e">
        <f>'Effort Estimation'!P205+"AM:!$00"</f>
        <v>#VALUE!</v>
      </c>
      <c r="IT34" s="99" t="e">
        <f>'Effort Estimation'!Q205+"AM:!$01"</f>
        <v>#VALUE!</v>
      </c>
      <c r="IU34" t="e">
        <f>'Effort Estimation'!R205+"AM:!$02"</f>
        <v>#VALUE!</v>
      </c>
      <c r="IV34" t="e">
        <f>'Effort Estimation'!S205+"AM:!$03"</f>
        <v>#VALUE!</v>
      </c>
    </row>
    <row r="35" spans="6:256">
      <c r="F35" t="e">
        <f>'Effort Estimation'!T205+"AM:!$04"</f>
        <v>#VALUE!</v>
      </c>
      <c r="G35" t="e">
        <f>'Effort Estimation'!A206+"AM:!$05"</f>
        <v>#VALUE!</v>
      </c>
      <c r="H35" t="e">
        <f>'Effort Estimation'!B206+"AM:!$06"</f>
        <v>#VALUE!</v>
      </c>
      <c r="I35" t="e">
        <f>'Effort Estimation'!C206+"AM:!$07"</f>
        <v>#VALUE!</v>
      </c>
      <c r="J35" t="e">
        <f>'Effort Estimation'!D206+"AM:!$08"</f>
        <v>#VALUE!</v>
      </c>
      <c r="K35" t="e">
        <f>'Effort Estimation'!E206+"AM:!$09"</f>
        <v>#VALUE!</v>
      </c>
      <c r="L35" t="e">
        <f>'Effort Estimation'!F206+"AM:!$0:"</f>
        <v>#VALUE!</v>
      </c>
      <c r="M35" t="e">
        <f>'Effort Estimation'!G206+"AM:!$0;"</f>
        <v>#VALUE!</v>
      </c>
      <c r="N35" t="e">
        <f>'Effort Estimation'!H206+"AM:!$0&lt;"</f>
        <v>#VALUE!</v>
      </c>
      <c r="O35" t="e">
        <f>'Effort Estimation'!I206+"AM:!$0="</f>
        <v>#VALUE!</v>
      </c>
      <c r="P35" s="99" t="e">
        <f>'Effort Estimation'!J206+"AM:!$0&gt;"</f>
        <v>#VALUE!</v>
      </c>
      <c r="Q35" s="99" t="e">
        <f>'Effort Estimation'!K206+"AM:!$0?"</f>
        <v>#VALUE!</v>
      </c>
      <c r="R35" s="99" t="e">
        <f>'Effort Estimation'!L206+"AM:!$0@"</f>
        <v>#VALUE!</v>
      </c>
      <c r="S35" s="99" t="e">
        <f>'Effort Estimation'!M206+"AM:!$0A"</f>
        <v>#VALUE!</v>
      </c>
      <c r="T35" s="99" t="e">
        <f>'Effort Estimation'!N206+"AM:!$0B"</f>
        <v>#VALUE!</v>
      </c>
      <c r="U35" s="99" t="e">
        <f>'Effort Estimation'!O206+"AM:!$0C"</f>
        <v>#VALUE!</v>
      </c>
      <c r="V35" s="99" t="e">
        <f>'Effort Estimation'!P206+"AM:!$0D"</f>
        <v>#VALUE!</v>
      </c>
      <c r="W35" s="99" t="e">
        <f>'Effort Estimation'!Q206+"AM:!$0E"</f>
        <v>#VALUE!</v>
      </c>
      <c r="X35" t="e">
        <f>'Effort Estimation'!R206+"AM:!$0F"</f>
        <v>#VALUE!</v>
      </c>
      <c r="Y35" t="e">
        <f>'Effort Estimation'!S206+"AM:!$0G"</f>
        <v>#VALUE!</v>
      </c>
      <c r="Z35" t="e">
        <f>'Effort Estimation'!T206+"AM:!$0H"</f>
        <v>#VALUE!</v>
      </c>
      <c r="AA35" t="e">
        <f>'Effort Estimation'!A207+"AM:!$0I"</f>
        <v>#VALUE!</v>
      </c>
      <c r="AB35" t="e">
        <f>'Effort Estimation'!B207+"AM:!$0J"</f>
        <v>#VALUE!</v>
      </c>
      <c r="AC35" t="e">
        <f>'Effort Estimation'!C207+"AM:!$0K"</f>
        <v>#VALUE!</v>
      </c>
      <c r="AD35" t="e">
        <f>'Effort Estimation'!D207+"AM:!$0L"</f>
        <v>#VALUE!</v>
      </c>
      <c r="AE35" t="e">
        <f>'Effort Estimation'!E207+"AM:!$0M"</f>
        <v>#VALUE!</v>
      </c>
      <c r="AF35" t="e">
        <f>'Effort Estimation'!F207+"AM:!$0N"</f>
        <v>#VALUE!</v>
      </c>
      <c r="AG35" t="e">
        <f>'Effort Estimation'!G207+"AM:!$0O"</f>
        <v>#VALUE!</v>
      </c>
      <c r="AH35" t="e">
        <f>'Effort Estimation'!H207+"AM:!$0P"</f>
        <v>#VALUE!</v>
      </c>
      <c r="AI35" t="e">
        <f>'Effort Estimation'!I207+"AM:!$0Q"</f>
        <v>#VALUE!</v>
      </c>
      <c r="AJ35" s="99" t="e">
        <f>'Effort Estimation'!J207+"AM:!$0R"</f>
        <v>#VALUE!</v>
      </c>
      <c r="AK35" s="99" t="e">
        <f>'Effort Estimation'!K207+"AM:!$0S"</f>
        <v>#VALUE!</v>
      </c>
      <c r="AL35" s="99" t="e">
        <f>'Effort Estimation'!L207+"AM:!$0T"</f>
        <v>#VALUE!</v>
      </c>
      <c r="AM35" s="99" t="e">
        <f>'Effort Estimation'!M207+"AM:!$0U"</f>
        <v>#VALUE!</v>
      </c>
      <c r="AN35" s="99" t="e">
        <f>'Effort Estimation'!N207+"AM:!$0V"</f>
        <v>#VALUE!</v>
      </c>
      <c r="AO35" s="99" t="e">
        <f>'Effort Estimation'!O207+"AM:!$0W"</f>
        <v>#VALUE!</v>
      </c>
      <c r="AP35" s="99" t="e">
        <f>'Effort Estimation'!P207+"AM:!$0X"</f>
        <v>#VALUE!</v>
      </c>
      <c r="AQ35" s="99" t="e">
        <f>'Effort Estimation'!Q207+"AM:!$0Y"</f>
        <v>#VALUE!</v>
      </c>
      <c r="AR35" t="e">
        <f>'Effort Estimation'!R207+"AM:!$0Z"</f>
        <v>#VALUE!</v>
      </c>
      <c r="AS35" t="e">
        <f>'Effort Estimation'!S207+"AM:!$0["</f>
        <v>#VALUE!</v>
      </c>
      <c r="AT35" t="e">
        <f>'Effort Estimation'!T207+"AM:!$0\"</f>
        <v>#VALUE!</v>
      </c>
      <c r="AU35" t="e">
        <f>'Effort Estimation'!A208+"AM:!$0]"</f>
        <v>#VALUE!</v>
      </c>
      <c r="AV35" t="e">
        <f>'Effort Estimation'!B208+"AM:!$0^"</f>
        <v>#VALUE!</v>
      </c>
      <c r="AW35" t="e">
        <f>'Effort Estimation'!C208+"AM:!$0_"</f>
        <v>#VALUE!</v>
      </c>
      <c r="AX35" t="e">
        <f>'Effort Estimation'!D208+"AM:!$0`"</f>
        <v>#VALUE!</v>
      </c>
      <c r="AY35" t="e">
        <f>'Effort Estimation'!E208+"AM:!$0a"</f>
        <v>#VALUE!</v>
      </c>
      <c r="AZ35" t="e">
        <f>'Effort Estimation'!F208+"AM:!$0b"</f>
        <v>#VALUE!</v>
      </c>
      <c r="BA35" t="e">
        <f>'Effort Estimation'!G208+"AM:!$0c"</f>
        <v>#VALUE!</v>
      </c>
      <c r="BB35" t="e">
        <f>'Effort Estimation'!H208+"AM:!$0d"</f>
        <v>#VALUE!</v>
      </c>
      <c r="BC35" t="e">
        <f>'Effort Estimation'!I208+"AM:!$0e"</f>
        <v>#VALUE!</v>
      </c>
      <c r="BD35" s="99" t="e">
        <f>'Effort Estimation'!J208+"AM:!$0f"</f>
        <v>#VALUE!</v>
      </c>
      <c r="BE35" s="99" t="e">
        <f>'Effort Estimation'!K208+"AM:!$0g"</f>
        <v>#VALUE!</v>
      </c>
      <c r="BF35" s="99" t="e">
        <f>'Effort Estimation'!L208+"AM:!$0h"</f>
        <v>#VALUE!</v>
      </c>
      <c r="BG35" s="99" t="e">
        <f>'Effort Estimation'!M208+"AM:!$0i"</f>
        <v>#VALUE!</v>
      </c>
      <c r="BH35" s="99" t="e">
        <f>'Effort Estimation'!N208+"AM:!$0j"</f>
        <v>#VALUE!</v>
      </c>
      <c r="BI35" s="99" t="e">
        <f>'Effort Estimation'!O208+"AM:!$0k"</f>
        <v>#VALUE!</v>
      </c>
      <c r="BJ35" s="99" t="e">
        <f>'Effort Estimation'!P208+"AM:!$0l"</f>
        <v>#VALUE!</v>
      </c>
      <c r="BK35" s="99" t="e">
        <f>'Effort Estimation'!Q208+"AM:!$0m"</f>
        <v>#VALUE!</v>
      </c>
      <c r="BL35" t="e">
        <f>'Effort Estimation'!R208+"AM:!$0n"</f>
        <v>#VALUE!</v>
      </c>
      <c r="BM35" t="e">
        <f>'Effort Estimation'!S208+"AM:!$0o"</f>
        <v>#VALUE!</v>
      </c>
      <c r="BN35" t="e">
        <f>'Effort Estimation'!T208+"AM:!$0p"</f>
        <v>#VALUE!</v>
      </c>
      <c r="BO35" t="e">
        <f>'Effort Estimation'!A209+"AM:!$0q"</f>
        <v>#VALUE!</v>
      </c>
      <c r="BP35" t="e">
        <f>'Effort Estimation'!B209+"AM:!$0r"</f>
        <v>#VALUE!</v>
      </c>
      <c r="BQ35" t="e">
        <f>'Effort Estimation'!C209+"AM:!$0s"</f>
        <v>#VALUE!</v>
      </c>
      <c r="BR35" t="e">
        <f>'Effort Estimation'!D209+"AM:!$0t"</f>
        <v>#VALUE!</v>
      </c>
      <c r="BS35" t="e">
        <f>'Effort Estimation'!E209+"AM:!$0u"</f>
        <v>#VALUE!</v>
      </c>
      <c r="BT35" t="e">
        <f>'Effort Estimation'!F209+"AM:!$0v"</f>
        <v>#VALUE!</v>
      </c>
      <c r="BU35" t="e">
        <f>'Effort Estimation'!G209+"AM:!$0w"</f>
        <v>#VALUE!</v>
      </c>
      <c r="BV35" t="e">
        <f>'Effort Estimation'!H209+"AM:!$0x"</f>
        <v>#VALUE!</v>
      </c>
      <c r="BW35" t="e">
        <f>'Effort Estimation'!I209+"AM:!$0y"</f>
        <v>#VALUE!</v>
      </c>
      <c r="BX35" s="99" t="e">
        <f>'Effort Estimation'!J209+"AM:!$0z"</f>
        <v>#VALUE!</v>
      </c>
      <c r="BY35" s="99" t="e">
        <f>'Effort Estimation'!K209+"AM:!$0{"</f>
        <v>#VALUE!</v>
      </c>
      <c r="BZ35" s="99" t="e">
        <f>'Effort Estimation'!L209+"AM:!$0|"</f>
        <v>#VALUE!</v>
      </c>
      <c r="CA35" s="99" t="e">
        <f>'Effort Estimation'!M209+"AM:!$0}"</f>
        <v>#VALUE!</v>
      </c>
      <c r="CB35" s="99" t="e">
        <f>'Effort Estimation'!N209+"AM:!$0~"</f>
        <v>#VALUE!</v>
      </c>
      <c r="CC35" s="99" t="e">
        <f>'Effort Estimation'!O209+"AM:!$1#"</f>
        <v>#VALUE!</v>
      </c>
      <c r="CD35" s="99" t="e">
        <f>'Effort Estimation'!P209+"AM:!$1$"</f>
        <v>#VALUE!</v>
      </c>
      <c r="CE35" s="99" t="e">
        <f>'Effort Estimation'!Q209+"AM:!$1%"</f>
        <v>#VALUE!</v>
      </c>
      <c r="CF35" t="e">
        <f>'Effort Estimation'!R209+"AM:!$1&amp;"</f>
        <v>#VALUE!</v>
      </c>
      <c r="CG35" t="e">
        <f>'Effort Estimation'!S209+"AM:!$1'"</f>
        <v>#VALUE!</v>
      </c>
      <c r="CH35" t="e">
        <f>'Effort Estimation'!T209+"AM:!$1("</f>
        <v>#VALUE!</v>
      </c>
      <c r="CI35" t="e">
        <f>'Effort Estimation'!A210+"AM:!$1)"</f>
        <v>#VALUE!</v>
      </c>
      <c r="CJ35" t="e">
        <f>'Effort Estimation'!B210+"AM:!$1."</f>
        <v>#VALUE!</v>
      </c>
      <c r="CK35" t="e">
        <f>'Effort Estimation'!C210+"AM:!$1/"</f>
        <v>#VALUE!</v>
      </c>
      <c r="CL35" t="e">
        <f>'Effort Estimation'!D210+"AM:!$10"</f>
        <v>#VALUE!</v>
      </c>
      <c r="CM35" t="e">
        <f>'Effort Estimation'!E210+"AM:!$11"</f>
        <v>#VALUE!</v>
      </c>
      <c r="CN35" t="e">
        <f>'Effort Estimation'!F210+"AM:!$12"</f>
        <v>#VALUE!</v>
      </c>
      <c r="CO35" t="e">
        <f>'Effort Estimation'!G210+"AM:!$13"</f>
        <v>#VALUE!</v>
      </c>
      <c r="CP35" t="e">
        <f>'Effort Estimation'!H210+"AM:!$14"</f>
        <v>#VALUE!</v>
      </c>
      <c r="CQ35" t="e">
        <f>'Effort Estimation'!I210+"AM:!$15"</f>
        <v>#VALUE!</v>
      </c>
      <c r="CR35" s="99" t="e">
        <f>'Effort Estimation'!J210+"AM:!$16"</f>
        <v>#VALUE!</v>
      </c>
      <c r="CS35" s="99" t="e">
        <f>'Effort Estimation'!K210+"AM:!$17"</f>
        <v>#VALUE!</v>
      </c>
      <c r="CT35" s="99" t="e">
        <f>'Effort Estimation'!L210+"AM:!$18"</f>
        <v>#VALUE!</v>
      </c>
      <c r="CU35" s="99" t="e">
        <f>'Effort Estimation'!M210+"AM:!$19"</f>
        <v>#VALUE!</v>
      </c>
      <c r="CV35" s="99" t="e">
        <f>'Effort Estimation'!N210+"AM:!$1:"</f>
        <v>#VALUE!</v>
      </c>
      <c r="CW35" s="99" t="e">
        <f>'Effort Estimation'!O210+"AM:!$1;"</f>
        <v>#VALUE!</v>
      </c>
      <c r="CX35" s="99" t="e">
        <f>'Effort Estimation'!P210+"AM:!$1&lt;"</f>
        <v>#VALUE!</v>
      </c>
      <c r="CY35" s="99" t="e">
        <f>'Effort Estimation'!Q210+"AM:!$1="</f>
        <v>#VALUE!</v>
      </c>
      <c r="CZ35" t="e">
        <f>'Effort Estimation'!R210+"AM:!$1&gt;"</f>
        <v>#VALUE!</v>
      </c>
      <c r="DA35" t="e">
        <f>'Effort Estimation'!S210+"AM:!$1?"</f>
        <v>#VALUE!</v>
      </c>
      <c r="DB35" t="e">
        <f>'Effort Estimation'!T210+"AM:!$1@"</f>
        <v>#VALUE!</v>
      </c>
      <c r="DC35" t="e">
        <f>'Effort Estimation'!A211+"AM:!$1A"</f>
        <v>#VALUE!</v>
      </c>
      <c r="DD35" t="e">
        <f>'Effort Estimation'!B211+"AM:!$1B"</f>
        <v>#VALUE!</v>
      </c>
      <c r="DE35" t="e">
        <f>'Effort Estimation'!C211+"AM:!$1C"</f>
        <v>#VALUE!</v>
      </c>
      <c r="DF35" t="e">
        <f>'Effort Estimation'!D211+"AM:!$1D"</f>
        <v>#VALUE!</v>
      </c>
      <c r="DG35" t="e">
        <f>'Effort Estimation'!E211+"AM:!$1E"</f>
        <v>#VALUE!</v>
      </c>
      <c r="DH35" t="e">
        <f>'Effort Estimation'!F211+"AM:!$1F"</f>
        <v>#VALUE!</v>
      </c>
      <c r="DI35" t="e">
        <f>'Effort Estimation'!G211+"AM:!$1G"</f>
        <v>#VALUE!</v>
      </c>
      <c r="DJ35" t="e">
        <f>'Effort Estimation'!H211+"AM:!$1H"</f>
        <v>#VALUE!</v>
      </c>
      <c r="DK35" t="e">
        <f>'Effort Estimation'!I211+"AM:!$1I"</f>
        <v>#VALUE!</v>
      </c>
      <c r="DL35" s="99" t="e">
        <f>'Effort Estimation'!J211+"AM:!$1J"</f>
        <v>#VALUE!</v>
      </c>
      <c r="DM35" s="99" t="e">
        <f>'Effort Estimation'!K211+"AM:!$1K"</f>
        <v>#VALUE!</v>
      </c>
      <c r="DN35" s="99" t="e">
        <f>'Effort Estimation'!L211+"AM:!$1L"</f>
        <v>#VALUE!</v>
      </c>
      <c r="DO35" s="99" t="e">
        <f>'Effort Estimation'!M211+"AM:!$1M"</f>
        <v>#VALUE!</v>
      </c>
      <c r="DP35" s="99" t="e">
        <f>'Effort Estimation'!N211+"AM:!$1N"</f>
        <v>#VALUE!</v>
      </c>
      <c r="DQ35" s="99" t="e">
        <f>'Effort Estimation'!O211+"AM:!$1O"</f>
        <v>#VALUE!</v>
      </c>
      <c r="DR35" s="99" t="e">
        <f>'Effort Estimation'!P211+"AM:!$1P"</f>
        <v>#VALUE!</v>
      </c>
      <c r="DS35" s="99" t="e">
        <f>'Effort Estimation'!Q211+"AM:!$1Q"</f>
        <v>#VALUE!</v>
      </c>
      <c r="DT35" t="e">
        <f>'Effort Estimation'!R211+"AM:!$1R"</f>
        <v>#VALUE!</v>
      </c>
      <c r="DU35" t="e">
        <f>'Effort Estimation'!S211+"AM:!$1S"</f>
        <v>#VALUE!</v>
      </c>
      <c r="DV35" t="e">
        <f>'Effort Estimation'!T211+"AM:!$1T"</f>
        <v>#VALUE!</v>
      </c>
      <c r="DW35" t="e">
        <f>'Effort Estimation'!A212+"AM:!$1U"</f>
        <v>#VALUE!</v>
      </c>
      <c r="DX35" t="e">
        <f>'Effort Estimation'!B212+"AM:!$1V"</f>
        <v>#VALUE!</v>
      </c>
      <c r="DY35" t="e">
        <f>'Effort Estimation'!C212+"AM:!$1W"</f>
        <v>#VALUE!</v>
      </c>
      <c r="DZ35" t="e">
        <f>'Effort Estimation'!D212+"AM:!$1X"</f>
        <v>#VALUE!</v>
      </c>
      <c r="EA35" t="e">
        <f>'Effort Estimation'!E212+"AM:!$1Y"</f>
        <v>#VALUE!</v>
      </c>
      <c r="EB35" t="e">
        <f>'Effort Estimation'!F212+"AM:!$1Z"</f>
        <v>#VALUE!</v>
      </c>
      <c r="EC35" t="e">
        <f>'Effort Estimation'!G212+"AM:!$1["</f>
        <v>#VALUE!</v>
      </c>
      <c r="ED35" t="e">
        <f>'Effort Estimation'!H212+"AM:!$1\"</f>
        <v>#VALUE!</v>
      </c>
      <c r="EE35" t="e">
        <f>'Effort Estimation'!I212+"AM:!$1]"</f>
        <v>#VALUE!</v>
      </c>
      <c r="EF35" s="99" t="e">
        <f>'Effort Estimation'!J212+"AM:!$1^"</f>
        <v>#VALUE!</v>
      </c>
      <c r="EG35" s="99" t="e">
        <f>'Effort Estimation'!K212+"AM:!$1_"</f>
        <v>#VALUE!</v>
      </c>
      <c r="EH35" s="99" t="e">
        <f>'Effort Estimation'!L212+"AM:!$1`"</f>
        <v>#VALUE!</v>
      </c>
      <c r="EI35" s="99" t="e">
        <f>'Effort Estimation'!M212+"AM:!$1a"</f>
        <v>#VALUE!</v>
      </c>
      <c r="EJ35" s="99" t="e">
        <f>'Effort Estimation'!N212+"AM:!$1b"</f>
        <v>#VALUE!</v>
      </c>
      <c r="EK35" s="99" t="e">
        <f>'Effort Estimation'!O212+"AM:!$1c"</f>
        <v>#VALUE!</v>
      </c>
      <c r="EL35" s="99" t="e">
        <f>'Effort Estimation'!P212+"AM:!$1d"</f>
        <v>#VALUE!</v>
      </c>
      <c r="EM35" s="99" t="e">
        <f>'Effort Estimation'!Q212+"AM:!$1e"</f>
        <v>#VALUE!</v>
      </c>
      <c r="EN35" t="e">
        <f>'Effort Estimation'!R212+"AM:!$1f"</f>
        <v>#VALUE!</v>
      </c>
      <c r="EO35" t="e">
        <f>'Effort Estimation'!S212+"AM:!$1g"</f>
        <v>#VALUE!</v>
      </c>
      <c r="EP35" t="e">
        <f>'Effort Estimation'!T212+"AM:!$1h"</f>
        <v>#VALUE!</v>
      </c>
      <c r="EQ35" t="e">
        <f>'Effort Estimation'!A213+"AM:!$1i"</f>
        <v>#VALUE!</v>
      </c>
      <c r="ER35" t="e">
        <f>'Effort Estimation'!B213+"AM:!$1j"</f>
        <v>#VALUE!</v>
      </c>
      <c r="ES35" t="e">
        <f>'Effort Estimation'!C213+"AM:!$1k"</f>
        <v>#VALUE!</v>
      </c>
      <c r="ET35" t="e">
        <f>'Effort Estimation'!D213+"AM:!$1l"</f>
        <v>#VALUE!</v>
      </c>
      <c r="EU35" t="e">
        <f>'Effort Estimation'!E213+"AM:!$1m"</f>
        <v>#VALUE!</v>
      </c>
      <c r="EV35" t="e">
        <f>'Effort Estimation'!F213+"AM:!$1n"</f>
        <v>#VALUE!</v>
      </c>
      <c r="EW35" t="e">
        <f>'Effort Estimation'!G213+"AM:!$1o"</f>
        <v>#VALUE!</v>
      </c>
      <c r="EX35" t="e">
        <f>'Effort Estimation'!H213+"AM:!$1p"</f>
        <v>#VALUE!</v>
      </c>
      <c r="EY35" t="e">
        <f>'Effort Estimation'!I213+"AM:!$1q"</f>
        <v>#VALUE!</v>
      </c>
      <c r="EZ35" s="99" t="e">
        <f>'Effort Estimation'!J213+"AM:!$1r"</f>
        <v>#VALUE!</v>
      </c>
      <c r="FA35" s="99" t="e">
        <f>'Effort Estimation'!K213+"AM:!$1s"</f>
        <v>#VALUE!</v>
      </c>
      <c r="FB35" s="99" t="e">
        <f>'Effort Estimation'!L213+"AM:!$1t"</f>
        <v>#VALUE!</v>
      </c>
      <c r="FC35" s="99" t="e">
        <f>'Effort Estimation'!M213+"AM:!$1u"</f>
        <v>#VALUE!</v>
      </c>
      <c r="FD35" s="99" t="e">
        <f>'Effort Estimation'!N213+"AM:!$1v"</f>
        <v>#VALUE!</v>
      </c>
      <c r="FE35" s="99" t="e">
        <f>'Effort Estimation'!O213+"AM:!$1w"</f>
        <v>#VALUE!</v>
      </c>
      <c r="FF35" s="99" t="e">
        <f>'Effort Estimation'!P213+"AM:!$1x"</f>
        <v>#VALUE!</v>
      </c>
      <c r="FG35" s="99" t="e">
        <f>'Effort Estimation'!Q213+"AM:!$1y"</f>
        <v>#VALUE!</v>
      </c>
      <c r="FH35" t="e">
        <f>'Effort Estimation'!R213+"AM:!$1z"</f>
        <v>#VALUE!</v>
      </c>
      <c r="FI35" t="e">
        <f>'Effort Estimation'!S213+"AM:!$1{"</f>
        <v>#VALUE!</v>
      </c>
      <c r="FJ35" t="e">
        <f>'Effort Estimation'!T213+"AM:!$1|"</f>
        <v>#VALUE!</v>
      </c>
      <c r="FK35" t="e">
        <f>'Effort Estimation'!A214+"AM:!$1}"</f>
        <v>#VALUE!</v>
      </c>
      <c r="FL35" t="e">
        <f>'Effort Estimation'!B214+"AM:!$1~"</f>
        <v>#VALUE!</v>
      </c>
      <c r="FM35" t="e">
        <f>'Effort Estimation'!C214+"AM:!$2#"</f>
        <v>#VALUE!</v>
      </c>
      <c r="FN35" t="e">
        <f>'Effort Estimation'!D214+"AM:!$2$"</f>
        <v>#VALUE!</v>
      </c>
      <c r="FO35" t="e">
        <f>'Effort Estimation'!E214+"AM:!$2%"</f>
        <v>#VALUE!</v>
      </c>
      <c r="FP35" t="e">
        <f>'Effort Estimation'!F214+"AM:!$2&amp;"</f>
        <v>#VALUE!</v>
      </c>
      <c r="FQ35" t="e">
        <f>'Effort Estimation'!G214+"AM:!$2'"</f>
        <v>#VALUE!</v>
      </c>
      <c r="FR35" t="e">
        <f>'Effort Estimation'!H214+"AM:!$2("</f>
        <v>#VALUE!</v>
      </c>
      <c r="FS35" t="e">
        <f>'Effort Estimation'!I214+"AM:!$2)"</f>
        <v>#VALUE!</v>
      </c>
      <c r="FT35" s="99" t="e">
        <f>'Effort Estimation'!J214+"AM:!$2."</f>
        <v>#VALUE!</v>
      </c>
      <c r="FU35" s="99" t="e">
        <f>'Effort Estimation'!K214+"AM:!$2/"</f>
        <v>#VALUE!</v>
      </c>
      <c r="FV35" s="99" t="e">
        <f>'Effort Estimation'!L214+"AM:!$20"</f>
        <v>#VALUE!</v>
      </c>
      <c r="FW35" s="99" t="e">
        <f>'Effort Estimation'!M214+"AM:!$21"</f>
        <v>#VALUE!</v>
      </c>
      <c r="FX35" s="99" t="e">
        <f>'Effort Estimation'!N214+"AM:!$22"</f>
        <v>#VALUE!</v>
      </c>
      <c r="FY35" s="99" t="e">
        <f>'Effort Estimation'!O214+"AM:!$23"</f>
        <v>#VALUE!</v>
      </c>
      <c r="FZ35" s="99" t="e">
        <f>'Effort Estimation'!P214+"AM:!$24"</f>
        <v>#VALUE!</v>
      </c>
      <c r="GA35" s="99" t="e">
        <f>'Effort Estimation'!Q214+"AM:!$25"</f>
        <v>#VALUE!</v>
      </c>
      <c r="GB35" t="e">
        <f>'Effort Estimation'!R214+"AM:!$26"</f>
        <v>#VALUE!</v>
      </c>
      <c r="GC35" t="e">
        <f>'Effort Estimation'!S214+"AM:!$27"</f>
        <v>#VALUE!</v>
      </c>
      <c r="GD35" t="e">
        <f>'Effort Estimation'!T214+"AM:!$28"</f>
        <v>#VALUE!</v>
      </c>
      <c r="GE35" t="e">
        <f>'Effort Estimation'!A215+"AM:!$29"</f>
        <v>#VALUE!</v>
      </c>
      <c r="GF35" t="e">
        <f>'Effort Estimation'!B215+"AM:!$2:"</f>
        <v>#VALUE!</v>
      </c>
      <c r="GG35" t="e">
        <f>'Effort Estimation'!C215+"AM:!$2;"</f>
        <v>#VALUE!</v>
      </c>
      <c r="GH35" t="e">
        <f>'Effort Estimation'!D215+"AM:!$2&lt;"</f>
        <v>#VALUE!</v>
      </c>
      <c r="GI35" t="e">
        <f>'Effort Estimation'!E215+"AM:!$2="</f>
        <v>#VALUE!</v>
      </c>
      <c r="GJ35" t="e">
        <f>'Effort Estimation'!F215+"AM:!$2&gt;"</f>
        <v>#VALUE!</v>
      </c>
      <c r="GK35" t="e">
        <f>'Effort Estimation'!G215+"AM:!$2?"</f>
        <v>#VALUE!</v>
      </c>
      <c r="GL35" t="e">
        <f>'Effort Estimation'!H215+"AM:!$2@"</f>
        <v>#VALUE!</v>
      </c>
      <c r="GM35" t="e">
        <f>'Effort Estimation'!I215+"AM:!$2A"</f>
        <v>#VALUE!</v>
      </c>
      <c r="GN35" s="99" t="e">
        <f>'Effort Estimation'!J215+"AM:!$2B"</f>
        <v>#VALUE!</v>
      </c>
      <c r="GO35" s="99" t="e">
        <f>'Effort Estimation'!K215+"AM:!$2C"</f>
        <v>#VALUE!</v>
      </c>
      <c r="GP35" s="99" t="e">
        <f>'Effort Estimation'!L215+"AM:!$2D"</f>
        <v>#VALUE!</v>
      </c>
      <c r="GQ35" s="99" t="e">
        <f>'Effort Estimation'!M215+"AM:!$2E"</f>
        <v>#VALUE!</v>
      </c>
      <c r="GR35" s="99" t="e">
        <f>'Effort Estimation'!N215+"AM:!$2F"</f>
        <v>#VALUE!</v>
      </c>
      <c r="GS35" s="99" t="e">
        <f>'Effort Estimation'!O215+"AM:!$2G"</f>
        <v>#VALUE!</v>
      </c>
      <c r="GT35" s="99" t="e">
        <f>'Effort Estimation'!P215+"AM:!$2H"</f>
        <v>#VALUE!</v>
      </c>
      <c r="GU35" s="99" t="e">
        <f>'Effort Estimation'!Q215+"AM:!$2I"</f>
        <v>#VALUE!</v>
      </c>
      <c r="GV35" t="e">
        <f>'Effort Estimation'!R215+"AM:!$2J"</f>
        <v>#VALUE!</v>
      </c>
      <c r="GW35" t="e">
        <f>'Effort Estimation'!S215+"AM:!$2K"</f>
        <v>#VALUE!</v>
      </c>
      <c r="GX35" t="e">
        <f>'Effort Estimation'!T215+"AM:!$2L"</f>
        <v>#VALUE!</v>
      </c>
      <c r="GY35" t="e">
        <f>'Effort Estimation'!A216+"AM:!$2M"</f>
        <v>#VALUE!</v>
      </c>
      <c r="GZ35" t="e">
        <f>'Effort Estimation'!B216+"AM:!$2N"</f>
        <v>#VALUE!</v>
      </c>
      <c r="HA35" t="e">
        <f>'Effort Estimation'!C216+"AM:!$2O"</f>
        <v>#VALUE!</v>
      </c>
      <c r="HB35" t="e">
        <f>'Effort Estimation'!D216+"AM:!$2P"</f>
        <v>#VALUE!</v>
      </c>
      <c r="HC35" t="e">
        <f>'Effort Estimation'!E216+"AM:!$2Q"</f>
        <v>#VALUE!</v>
      </c>
      <c r="HD35" t="e">
        <f>'Effort Estimation'!F216+"AM:!$2R"</f>
        <v>#VALUE!</v>
      </c>
      <c r="HE35" t="e">
        <f>'Effort Estimation'!G216+"AM:!$2S"</f>
        <v>#VALUE!</v>
      </c>
      <c r="HF35" t="e">
        <f>'Effort Estimation'!H216+"AM:!$2T"</f>
        <v>#VALUE!</v>
      </c>
      <c r="HG35" t="e">
        <f>'Effort Estimation'!I216+"AM:!$2U"</f>
        <v>#VALUE!</v>
      </c>
      <c r="HH35" s="99" t="e">
        <f>'Effort Estimation'!J216+"AM:!$2V"</f>
        <v>#VALUE!</v>
      </c>
      <c r="HI35" s="99" t="e">
        <f>'Effort Estimation'!K216+"AM:!$2W"</f>
        <v>#VALUE!</v>
      </c>
      <c r="HJ35" s="99" t="e">
        <f>'Effort Estimation'!L216+"AM:!$2X"</f>
        <v>#VALUE!</v>
      </c>
      <c r="HK35" s="99" t="e">
        <f>'Effort Estimation'!M216+"AM:!$2Y"</f>
        <v>#VALUE!</v>
      </c>
      <c r="HL35" s="99" t="e">
        <f>'Effort Estimation'!N216+"AM:!$2Z"</f>
        <v>#VALUE!</v>
      </c>
      <c r="HM35" s="99" t="e">
        <f>'Effort Estimation'!O216+"AM:!$2["</f>
        <v>#VALUE!</v>
      </c>
      <c r="HN35" s="99" t="e">
        <f>'Effort Estimation'!P216+"AM:!$2\"</f>
        <v>#VALUE!</v>
      </c>
      <c r="HO35" s="99" t="e">
        <f>'Effort Estimation'!Q216+"AM:!$2]"</f>
        <v>#VALUE!</v>
      </c>
      <c r="HP35" t="e">
        <f>'Effort Estimation'!R216+"AM:!$2^"</f>
        <v>#VALUE!</v>
      </c>
      <c r="HQ35" t="e">
        <f>'Effort Estimation'!S216+"AM:!$2_"</f>
        <v>#VALUE!</v>
      </c>
      <c r="HR35" t="e">
        <f>'Effort Estimation'!T216+"AM:!$2`"</f>
        <v>#VALUE!</v>
      </c>
      <c r="HS35" t="e">
        <f>'Effort Estimation'!A217+"AM:!$2a"</f>
        <v>#VALUE!</v>
      </c>
      <c r="HT35" t="e">
        <f>'Effort Estimation'!B217+"AM:!$2b"</f>
        <v>#VALUE!</v>
      </c>
      <c r="HU35" t="e">
        <f>'Effort Estimation'!C217+"AM:!$2c"</f>
        <v>#VALUE!</v>
      </c>
      <c r="HV35" t="e">
        <f>'Effort Estimation'!D217+"AM:!$2d"</f>
        <v>#VALUE!</v>
      </c>
      <c r="HW35" t="e">
        <f>'Effort Estimation'!E217+"AM:!$2e"</f>
        <v>#VALUE!</v>
      </c>
      <c r="HX35" t="e">
        <f>'Effort Estimation'!F217+"AM:!$2f"</f>
        <v>#VALUE!</v>
      </c>
      <c r="HY35" t="e">
        <f>'Effort Estimation'!G217+"AM:!$2g"</f>
        <v>#VALUE!</v>
      </c>
      <c r="HZ35" t="e">
        <f>'Effort Estimation'!H217+"AM:!$2h"</f>
        <v>#VALUE!</v>
      </c>
      <c r="IA35" t="e">
        <f>'Effort Estimation'!I217+"AM:!$2i"</f>
        <v>#VALUE!</v>
      </c>
      <c r="IB35" s="99" t="e">
        <f>'Effort Estimation'!J217+"AM:!$2j"</f>
        <v>#VALUE!</v>
      </c>
      <c r="IC35" s="99" t="e">
        <f>'Effort Estimation'!K217+"AM:!$2k"</f>
        <v>#VALUE!</v>
      </c>
      <c r="ID35" s="99" t="e">
        <f>'Effort Estimation'!L217+"AM:!$2l"</f>
        <v>#VALUE!</v>
      </c>
      <c r="IE35" s="99" t="e">
        <f>'Effort Estimation'!M217+"AM:!$2m"</f>
        <v>#VALUE!</v>
      </c>
      <c r="IF35" s="99" t="e">
        <f>'Effort Estimation'!N217+"AM:!$2n"</f>
        <v>#VALUE!</v>
      </c>
      <c r="IG35" s="99" t="e">
        <f>'Effort Estimation'!O217+"AM:!$2o"</f>
        <v>#VALUE!</v>
      </c>
      <c r="IH35" s="99" t="e">
        <f>'Effort Estimation'!P217+"AM:!$2p"</f>
        <v>#VALUE!</v>
      </c>
      <c r="II35" s="99" t="e">
        <f>'Effort Estimation'!Q217+"AM:!$2q"</f>
        <v>#VALUE!</v>
      </c>
      <c r="IJ35" t="e">
        <f>'Effort Estimation'!R217+"AM:!$2r"</f>
        <v>#VALUE!</v>
      </c>
      <c r="IK35" t="e">
        <f>'Effort Estimation'!S217+"AM:!$2s"</f>
        <v>#VALUE!</v>
      </c>
      <c r="IL35" t="e">
        <f>'Effort Estimation'!T217+"AM:!$2t"</f>
        <v>#VALUE!</v>
      </c>
      <c r="IM35" t="e">
        <f>'Effort Estimation'!A218+"AM:!$2u"</f>
        <v>#VALUE!</v>
      </c>
      <c r="IN35" t="e">
        <f>'Effort Estimation'!B218+"AM:!$2v"</f>
        <v>#VALUE!</v>
      </c>
      <c r="IO35" t="e">
        <f>'Effort Estimation'!C218+"AM:!$2w"</f>
        <v>#VALUE!</v>
      </c>
      <c r="IP35" t="e">
        <f>'Effort Estimation'!D218+"AM:!$2x"</f>
        <v>#VALUE!</v>
      </c>
      <c r="IQ35" t="e">
        <f>'Effort Estimation'!E218+"AM:!$2y"</f>
        <v>#VALUE!</v>
      </c>
      <c r="IR35" t="e">
        <f>'Effort Estimation'!F218+"AM:!$2z"</f>
        <v>#VALUE!</v>
      </c>
      <c r="IS35" t="e">
        <f>'Effort Estimation'!G218+"AM:!$2{"</f>
        <v>#VALUE!</v>
      </c>
      <c r="IT35" t="e">
        <f>'Effort Estimation'!H218+"AM:!$2|"</f>
        <v>#VALUE!</v>
      </c>
      <c r="IU35" t="e">
        <f>'Effort Estimation'!I218+"AM:!$2}"</f>
        <v>#VALUE!</v>
      </c>
      <c r="IV35" s="99" t="e">
        <f>'Effort Estimation'!J218+"AM:!$2~"</f>
        <v>#VALUE!</v>
      </c>
    </row>
    <row r="36" spans="6:256">
      <c r="F36" s="99" t="e">
        <f>'Effort Estimation'!K218+"AM:!$3#"</f>
        <v>#VALUE!</v>
      </c>
      <c r="G36" s="99" t="e">
        <f>'Effort Estimation'!L218+"AM:!$3$"</f>
        <v>#VALUE!</v>
      </c>
      <c r="H36" s="99" t="e">
        <f>'Effort Estimation'!M218+"AM:!$3%"</f>
        <v>#VALUE!</v>
      </c>
      <c r="I36" s="99" t="e">
        <f>'Effort Estimation'!N218+"AM:!$3&amp;"</f>
        <v>#VALUE!</v>
      </c>
      <c r="J36" s="99" t="e">
        <f>'Effort Estimation'!O218+"AM:!$3'"</f>
        <v>#VALUE!</v>
      </c>
      <c r="K36" s="99" t="e">
        <f>'Effort Estimation'!P218+"AM:!$3("</f>
        <v>#VALUE!</v>
      </c>
      <c r="L36" s="99" t="e">
        <f>'Effort Estimation'!Q218+"AM:!$3)"</f>
        <v>#VALUE!</v>
      </c>
      <c r="M36" t="e">
        <f>'Effort Estimation'!R218+"AM:!$3."</f>
        <v>#VALUE!</v>
      </c>
      <c r="N36" t="e">
        <f>'Effort Estimation'!S218+"AM:!$3/"</f>
        <v>#VALUE!</v>
      </c>
      <c r="O36" t="e">
        <f>'Effort Estimation'!T218+"AM:!$30"</f>
        <v>#VALUE!</v>
      </c>
      <c r="P36" t="e">
        <f>'Effort Estimation'!A219+"AM:!$31"</f>
        <v>#VALUE!</v>
      </c>
      <c r="Q36" t="e">
        <f>'Effort Estimation'!B219+"AM:!$32"</f>
        <v>#VALUE!</v>
      </c>
      <c r="R36" t="e">
        <f>'Effort Estimation'!C219+"AM:!$33"</f>
        <v>#VALUE!</v>
      </c>
      <c r="S36" t="e">
        <f>'Effort Estimation'!D219+"AM:!$34"</f>
        <v>#VALUE!</v>
      </c>
      <c r="T36" t="e">
        <f>'Effort Estimation'!E219+"AM:!$35"</f>
        <v>#VALUE!</v>
      </c>
      <c r="U36" t="e">
        <f>'Effort Estimation'!F219+"AM:!$36"</f>
        <v>#VALUE!</v>
      </c>
      <c r="V36" t="e">
        <f>'Effort Estimation'!G219+"AM:!$37"</f>
        <v>#VALUE!</v>
      </c>
      <c r="W36" t="e">
        <f>'Effort Estimation'!H219+"AM:!$38"</f>
        <v>#VALUE!</v>
      </c>
      <c r="X36" t="e">
        <f>'Effort Estimation'!I219+"AM:!$39"</f>
        <v>#VALUE!</v>
      </c>
      <c r="Y36" s="99" t="e">
        <f>'Effort Estimation'!J219+"AM:!$3:"</f>
        <v>#VALUE!</v>
      </c>
      <c r="Z36" s="99" t="e">
        <f>'Effort Estimation'!K219+"AM:!$3;"</f>
        <v>#VALUE!</v>
      </c>
      <c r="AA36" s="99" t="e">
        <f>'Effort Estimation'!L219+"AM:!$3&lt;"</f>
        <v>#VALUE!</v>
      </c>
      <c r="AB36" s="99" t="e">
        <f>'Effort Estimation'!M219+"AM:!$3="</f>
        <v>#VALUE!</v>
      </c>
      <c r="AC36" s="99" t="e">
        <f>'Effort Estimation'!N219+"AM:!$3&gt;"</f>
        <v>#VALUE!</v>
      </c>
      <c r="AD36" s="99" t="e">
        <f>'Effort Estimation'!O219+"AM:!$3?"</f>
        <v>#VALUE!</v>
      </c>
      <c r="AE36" s="99" t="e">
        <f>'Effort Estimation'!P219+"AM:!$3@"</f>
        <v>#VALUE!</v>
      </c>
      <c r="AF36" s="99" t="e">
        <f>'Effort Estimation'!Q219+"AM:!$3A"</f>
        <v>#VALUE!</v>
      </c>
      <c r="AG36" t="e">
        <f>'Effort Estimation'!R219+"AM:!$3B"</f>
        <v>#VALUE!</v>
      </c>
      <c r="AH36" t="e">
        <f>'Effort Estimation'!S219+"AM:!$3C"</f>
        <v>#VALUE!</v>
      </c>
      <c r="AI36" t="e">
        <f>'Effort Estimation'!T219+"AM:!$3D"</f>
        <v>#VALUE!</v>
      </c>
      <c r="AJ36" t="e">
        <f>'Effort Estimation'!A220+"AM:!$3E"</f>
        <v>#VALUE!</v>
      </c>
      <c r="AK36" t="e">
        <f>'Effort Estimation'!B220+"AM:!$3F"</f>
        <v>#VALUE!</v>
      </c>
      <c r="AL36" t="e">
        <f>'Effort Estimation'!C220+"AM:!$3G"</f>
        <v>#VALUE!</v>
      </c>
      <c r="AM36" t="e">
        <f>'Effort Estimation'!D220+"AM:!$3H"</f>
        <v>#VALUE!</v>
      </c>
      <c r="AN36" t="e">
        <f>'Effort Estimation'!E220+"AM:!$3I"</f>
        <v>#VALUE!</v>
      </c>
      <c r="AO36" t="e">
        <f>'Effort Estimation'!F220+"AM:!$3J"</f>
        <v>#VALUE!</v>
      </c>
      <c r="AP36" t="e">
        <f>'Effort Estimation'!G220+"AM:!$3K"</f>
        <v>#VALUE!</v>
      </c>
      <c r="AQ36" t="e">
        <f>'Effort Estimation'!H220+"AM:!$3L"</f>
        <v>#VALUE!</v>
      </c>
      <c r="AR36" t="e">
        <f>'Effort Estimation'!I220+"AM:!$3M"</f>
        <v>#VALUE!</v>
      </c>
      <c r="AS36" s="99" t="e">
        <f>'Effort Estimation'!J220+"AM:!$3N"</f>
        <v>#VALUE!</v>
      </c>
      <c r="AT36" s="99" t="e">
        <f>'Effort Estimation'!K220+"AM:!$3O"</f>
        <v>#VALUE!</v>
      </c>
      <c r="AU36" s="99" t="e">
        <f>'Effort Estimation'!L220+"AM:!$3P"</f>
        <v>#VALUE!</v>
      </c>
      <c r="AV36" s="99" t="e">
        <f>'Effort Estimation'!M220+"AM:!$3Q"</f>
        <v>#VALUE!</v>
      </c>
      <c r="AW36" s="99" t="e">
        <f>'Effort Estimation'!N220+"AM:!$3R"</f>
        <v>#VALUE!</v>
      </c>
      <c r="AX36" s="99" t="e">
        <f>'Effort Estimation'!O220+"AM:!$3S"</f>
        <v>#VALUE!</v>
      </c>
      <c r="AY36" s="99" t="e">
        <f>'Effort Estimation'!P220+"AM:!$3T"</f>
        <v>#VALUE!</v>
      </c>
      <c r="AZ36" s="99" t="e">
        <f>'Effort Estimation'!Q220+"AM:!$3U"</f>
        <v>#VALUE!</v>
      </c>
      <c r="BA36" t="e">
        <f>'Effort Estimation'!R220+"AM:!$3V"</f>
        <v>#VALUE!</v>
      </c>
      <c r="BB36" t="e">
        <f>'Effort Estimation'!S220+"AM:!$3W"</f>
        <v>#VALUE!</v>
      </c>
      <c r="BC36" t="e">
        <f>'Effort Estimation'!T220+"AM:!$3X"</f>
        <v>#VALUE!</v>
      </c>
      <c r="BD36" t="e">
        <f>'Effort Estimation'!A221+"AM:!$3Y"</f>
        <v>#VALUE!</v>
      </c>
      <c r="BE36" t="e">
        <f>'Effort Estimation'!B221+"AM:!$3Z"</f>
        <v>#VALUE!</v>
      </c>
      <c r="BF36" t="e">
        <f>'Effort Estimation'!C221+"AM:!$3["</f>
        <v>#VALUE!</v>
      </c>
      <c r="BG36" t="e">
        <f>'Effort Estimation'!D221+"AM:!$3\"</f>
        <v>#VALUE!</v>
      </c>
      <c r="BH36" t="e">
        <f>'Effort Estimation'!E221+"AM:!$3]"</f>
        <v>#VALUE!</v>
      </c>
      <c r="BI36" t="e">
        <f>'Effort Estimation'!F221+"AM:!$3^"</f>
        <v>#VALUE!</v>
      </c>
      <c r="BJ36" t="e">
        <f>'Effort Estimation'!G221+"AM:!$3_"</f>
        <v>#VALUE!</v>
      </c>
      <c r="BK36" t="e">
        <f>'Effort Estimation'!H221+"AM:!$3`"</f>
        <v>#VALUE!</v>
      </c>
      <c r="BL36" t="e">
        <f>'Effort Estimation'!I221+"AM:!$3a"</f>
        <v>#VALUE!</v>
      </c>
      <c r="BM36" s="99" t="e">
        <f>'Effort Estimation'!J221+"AM:!$3b"</f>
        <v>#VALUE!</v>
      </c>
      <c r="BN36" s="99" t="e">
        <f>'Effort Estimation'!K221+"AM:!$3c"</f>
        <v>#VALUE!</v>
      </c>
      <c r="BO36" s="99" t="e">
        <f>'Effort Estimation'!L221+"AM:!$3d"</f>
        <v>#VALUE!</v>
      </c>
      <c r="BP36" s="99" t="e">
        <f>'Effort Estimation'!M221+"AM:!$3e"</f>
        <v>#VALUE!</v>
      </c>
      <c r="BQ36" s="99" t="e">
        <f>'Effort Estimation'!N221+"AM:!$3f"</f>
        <v>#VALUE!</v>
      </c>
      <c r="BR36" s="99" t="e">
        <f>'Effort Estimation'!O221+"AM:!$3g"</f>
        <v>#VALUE!</v>
      </c>
      <c r="BS36" s="99" t="e">
        <f>'Effort Estimation'!P221+"AM:!$3h"</f>
        <v>#VALUE!</v>
      </c>
      <c r="BT36" s="99" t="e">
        <f>'Effort Estimation'!Q221+"AM:!$3i"</f>
        <v>#VALUE!</v>
      </c>
      <c r="BU36" t="e">
        <f>'Effort Estimation'!R221+"AM:!$3j"</f>
        <v>#VALUE!</v>
      </c>
      <c r="BV36" t="e">
        <f>'Effort Estimation'!S221+"AM:!$3k"</f>
        <v>#VALUE!</v>
      </c>
      <c r="BW36" t="e">
        <f>'Effort Estimation'!T221+"AM:!$3l"</f>
        <v>#VALUE!</v>
      </c>
      <c r="BX36" t="e">
        <f>'Effort Estimation'!A222+"AM:!$3m"</f>
        <v>#VALUE!</v>
      </c>
      <c r="BY36" t="e">
        <f>'Effort Estimation'!B222+"AM:!$3n"</f>
        <v>#VALUE!</v>
      </c>
      <c r="BZ36" t="e">
        <f>'Effort Estimation'!C222+"AM:!$3o"</f>
        <v>#VALUE!</v>
      </c>
      <c r="CA36" t="e">
        <f>'Effort Estimation'!D222+"AM:!$3p"</f>
        <v>#VALUE!</v>
      </c>
      <c r="CB36" t="e">
        <f>'Effort Estimation'!E222+"AM:!$3q"</f>
        <v>#VALUE!</v>
      </c>
      <c r="CC36" t="e">
        <f>'Effort Estimation'!F222+"AM:!$3r"</f>
        <v>#VALUE!</v>
      </c>
      <c r="CD36" t="e">
        <f>'Effort Estimation'!G222+"AM:!$3s"</f>
        <v>#VALUE!</v>
      </c>
      <c r="CE36" t="e">
        <f>'Effort Estimation'!H222+"AM:!$3t"</f>
        <v>#VALUE!</v>
      </c>
      <c r="CF36" t="e">
        <f>'Effort Estimation'!I222+"AM:!$3u"</f>
        <v>#VALUE!</v>
      </c>
      <c r="CG36" s="99" t="e">
        <f>'Effort Estimation'!J222+"AM:!$3v"</f>
        <v>#VALUE!</v>
      </c>
      <c r="CH36" s="99" t="e">
        <f>'Effort Estimation'!K222+"AM:!$3w"</f>
        <v>#VALUE!</v>
      </c>
      <c r="CI36" s="99" t="e">
        <f>'Effort Estimation'!L222+"AM:!$3x"</f>
        <v>#VALUE!</v>
      </c>
      <c r="CJ36" s="99" t="e">
        <f>'Effort Estimation'!M222+"AM:!$3y"</f>
        <v>#VALUE!</v>
      </c>
      <c r="CK36" s="99" t="e">
        <f>'Effort Estimation'!N222+"AM:!$3z"</f>
        <v>#VALUE!</v>
      </c>
      <c r="CL36" s="99" t="e">
        <f>'Effort Estimation'!O222+"AM:!$3{"</f>
        <v>#VALUE!</v>
      </c>
      <c r="CM36" s="99" t="e">
        <f>'Effort Estimation'!P222+"AM:!$3|"</f>
        <v>#VALUE!</v>
      </c>
      <c r="CN36" s="99" t="e">
        <f>'Effort Estimation'!Q222+"AM:!$3}"</f>
        <v>#VALUE!</v>
      </c>
      <c r="CO36" t="e">
        <f>'Effort Estimation'!R222+"AM:!$3~"</f>
        <v>#VALUE!</v>
      </c>
      <c r="CP36" t="e">
        <f>'Effort Estimation'!S222+"AM:!$4#"</f>
        <v>#VALUE!</v>
      </c>
      <c r="CQ36" t="e">
        <f>'Effort Estimation'!T222+"AM:!$4$"</f>
        <v>#VALUE!</v>
      </c>
      <c r="CR36" t="e">
        <f>'Effort Estimation'!A223+"AM:!$4%"</f>
        <v>#VALUE!</v>
      </c>
      <c r="CS36" t="e">
        <f>'Effort Estimation'!B223+"AM:!$4&amp;"</f>
        <v>#VALUE!</v>
      </c>
      <c r="CT36" t="e">
        <f>'Effort Estimation'!C223+"AM:!$4'"</f>
        <v>#VALUE!</v>
      </c>
      <c r="CU36" t="e">
        <f>'Effort Estimation'!D223+"AM:!$4("</f>
        <v>#VALUE!</v>
      </c>
      <c r="CV36" t="e">
        <f>'Effort Estimation'!E223+"AM:!$4)"</f>
        <v>#VALUE!</v>
      </c>
      <c r="CW36" t="e">
        <f>'Effort Estimation'!F223+"AM:!$4."</f>
        <v>#VALUE!</v>
      </c>
      <c r="CX36" t="e">
        <f>'Effort Estimation'!G223+"AM:!$4/"</f>
        <v>#VALUE!</v>
      </c>
      <c r="CY36" t="e">
        <f>'Effort Estimation'!H223+"AM:!$40"</f>
        <v>#VALUE!</v>
      </c>
      <c r="CZ36" t="e">
        <f>'Effort Estimation'!I223+"AM:!$41"</f>
        <v>#VALUE!</v>
      </c>
      <c r="DA36" s="99" t="e">
        <f>'Effort Estimation'!J223+"AM:!$42"</f>
        <v>#VALUE!</v>
      </c>
      <c r="DB36" s="99" t="e">
        <f>'Effort Estimation'!K223+"AM:!$43"</f>
        <v>#VALUE!</v>
      </c>
      <c r="DC36" s="99" t="e">
        <f>'Effort Estimation'!L223+"AM:!$44"</f>
        <v>#VALUE!</v>
      </c>
      <c r="DD36" s="99" t="e">
        <f>'Effort Estimation'!M223+"AM:!$45"</f>
        <v>#VALUE!</v>
      </c>
      <c r="DE36" s="99" t="e">
        <f>'Effort Estimation'!N223+"AM:!$46"</f>
        <v>#VALUE!</v>
      </c>
      <c r="DF36" s="99" t="e">
        <f>'Effort Estimation'!O223+"AM:!$47"</f>
        <v>#VALUE!</v>
      </c>
      <c r="DG36" s="99" t="e">
        <f>'Effort Estimation'!P223+"AM:!$48"</f>
        <v>#VALUE!</v>
      </c>
      <c r="DH36" s="99" t="e">
        <f>'Effort Estimation'!Q223+"AM:!$49"</f>
        <v>#VALUE!</v>
      </c>
      <c r="DI36" t="e">
        <f>'Effort Estimation'!R223+"AM:!$4:"</f>
        <v>#VALUE!</v>
      </c>
      <c r="DJ36" t="e">
        <f>'Effort Estimation'!S223+"AM:!$4;"</f>
        <v>#VALUE!</v>
      </c>
      <c r="DK36" t="e">
        <f>'Effort Estimation'!T223+"AM:!$4&lt;"</f>
        <v>#VALUE!</v>
      </c>
      <c r="DL36" t="e">
        <f>'Effort Estimation'!A224+"AM:!$4="</f>
        <v>#VALUE!</v>
      </c>
      <c r="DM36" t="e">
        <f>'Effort Estimation'!B224+"AM:!$4&gt;"</f>
        <v>#VALUE!</v>
      </c>
      <c r="DN36" t="e">
        <f>'Effort Estimation'!C224+"AM:!$4?"</f>
        <v>#VALUE!</v>
      </c>
      <c r="DO36" t="e">
        <f>'Effort Estimation'!D224+"AM:!$4@"</f>
        <v>#VALUE!</v>
      </c>
      <c r="DP36" t="e">
        <f>'Effort Estimation'!E224+"AM:!$4A"</f>
        <v>#VALUE!</v>
      </c>
      <c r="DQ36" t="e">
        <f>'Effort Estimation'!F224+"AM:!$4B"</f>
        <v>#VALUE!</v>
      </c>
      <c r="DR36" t="e">
        <f>'Effort Estimation'!G224+"AM:!$4C"</f>
        <v>#VALUE!</v>
      </c>
      <c r="DS36" t="e">
        <f>'Effort Estimation'!H224+"AM:!$4D"</f>
        <v>#VALUE!</v>
      </c>
      <c r="DT36" t="e">
        <f>'Effort Estimation'!I224+"AM:!$4E"</f>
        <v>#VALUE!</v>
      </c>
      <c r="DU36" s="99" t="e">
        <f>'Effort Estimation'!J224+"AM:!$4F"</f>
        <v>#VALUE!</v>
      </c>
      <c r="DV36" s="99" t="e">
        <f>'Effort Estimation'!K224+"AM:!$4G"</f>
        <v>#VALUE!</v>
      </c>
      <c r="DW36" s="99" t="e">
        <f>'Effort Estimation'!L224+"AM:!$4H"</f>
        <v>#VALUE!</v>
      </c>
      <c r="DX36" s="99" t="e">
        <f>'Effort Estimation'!M224+"AM:!$4I"</f>
        <v>#VALUE!</v>
      </c>
      <c r="DY36" s="99" t="e">
        <f>'Effort Estimation'!N224+"AM:!$4J"</f>
        <v>#VALUE!</v>
      </c>
      <c r="DZ36" s="99" t="e">
        <f>'Effort Estimation'!O224+"AM:!$4K"</f>
        <v>#VALUE!</v>
      </c>
      <c r="EA36" s="99" t="e">
        <f>'Effort Estimation'!P224+"AM:!$4L"</f>
        <v>#VALUE!</v>
      </c>
      <c r="EB36" s="99" t="e">
        <f>'Effort Estimation'!Q224+"AM:!$4M"</f>
        <v>#VALUE!</v>
      </c>
      <c r="EC36" t="e">
        <f>'Effort Estimation'!R224+"AM:!$4N"</f>
        <v>#VALUE!</v>
      </c>
      <c r="ED36" t="e">
        <f>'Effort Estimation'!S224+"AM:!$4O"</f>
        <v>#VALUE!</v>
      </c>
      <c r="EE36" t="e">
        <f>'Effort Estimation'!T224+"AM:!$4P"</f>
        <v>#VALUE!</v>
      </c>
      <c r="EF36" t="e">
        <f>'Effort Estimation'!A225+"AM:!$4Q"</f>
        <v>#VALUE!</v>
      </c>
      <c r="EG36" t="e">
        <f>'Effort Estimation'!B225+"AM:!$4R"</f>
        <v>#VALUE!</v>
      </c>
      <c r="EH36" t="e">
        <f>'Effort Estimation'!C225+"AM:!$4S"</f>
        <v>#VALUE!</v>
      </c>
      <c r="EI36" t="e">
        <f>'Effort Estimation'!D225+"AM:!$4T"</f>
        <v>#VALUE!</v>
      </c>
      <c r="EJ36" t="e">
        <f>'Effort Estimation'!E225+"AM:!$4U"</f>
        <v>#VALUE!</v>
      </c>
      <c r="EK36" t="e">
        <f>'Effort Estimation'!F225+"AM:!$4V"</f>
        <v>#VALUE!</v>
      </c>
      <c r="EL36" t="e">
        <f>'Effort Estimation'!G225+"AM:!$4W"</f>
        <v>#VALUE!</v>
      </c>
      <c r="EM36" t="e">
        <f>'Effort Estimation'!H225+"AM:!$4X"</f>
        <v>#VALUE!</v>
      </c>
      <c r="EN36" t="e">
        <f>'Effort Estimation'!I225+"AM:!$4Y"</f>
        <v>#VALUE!</v>
      </c>
      <c r="EO36" s="99" t="e">
        <f>'Effort Estimation'!J225+"AM:!$4Z"</f>
        <v>#VALUE!</v>
      </c>
      <c r="EP36" s="99" t="e">
        <f>'Effort Estimation'!K225+"AM:!$4["</f>
        <v>#VALUE!</v>
      </c>
      <c r="EQ36" s="99" t="e">
        <f>'Effort Estimation'!L225+"AM:!$4\"</f>
        <v>#VALUE!</v>
      </c>
      <c r="ER36" s="99" t="e">
        <f>'Effort Estimation'!M225+"AM:!$4]"</f>
        <v>#VALUE!</v>
      </c>
      <c r="ES36" s="99" t="e">
        <f>'Effort Estimation'!N225+"AM:!$4^"</f>
        <v>#VALUE!</v>
      </c>
      <c r="ET36" s="99" t="e">
        <f>'Effort Estimation'!O225+"AM:!$4_"</f>
        <v>#VALUE!</v>
      </c>
      <c r="EU36" s="99" t="e">
        <f>'Effort Estimation'!P225+"AM:!$4`"</f>
        <v>#VALUE!</v>
      </c>
      <c r="EV36" s="99" t="e">
        <f>'Effort Estimation'!Q225+"AM:!$4a"</f>
        <v>#VALUE!</v>
      </c>
      <c r="EW36" t="e">
        <f>'Effort Estimation'!R225+"AM:!$4b"</f>
        <v>#VALUE!</v>
      </c>
      <c r="EX36" t="e">
        <f>'Effort Estimation'!S225+"AM:!$4c"</f>
        <v>#VALUE!</v>
      </c>
      <c r="EY36" t="e">
        <f>'Effort Estimation'!T225+"AM:!$4d"</f>
        <v>#VALUE!</v>
      </c>
      <c r="EZ36" t="e">
        <f>'Effort Estimation'!A226+"AM:!$4e"</f>
        <v>#VALUE!</v>
      </c>
      <c r="FA36" t="e">
        <f>'Effort Estimation'!B226+"AM:!$4f"</f>
        <v>#VALUE!</v>
      </c>
      <c r="FB36" t="e">
        <f>'Effort Estimation'!C226+"AM:!$4g"</f>
        <v>#VALUE!</v>
      </c>
      <c r="FC36" t="e">
        <f>'Effort Estimation'!D226+"AM:!$4h"</f>
        <v>#VALUE!</v>
      </c>
      <c r="FD36" t="e">
        <f>'Effort Estimation'!E226+"AM:!$4i"</f>
        <v>#VALUE!</v>
      </c>
      <c r="FE36" t="e">
        <f>'Effort Estimation'!F226+"AM:!$4j"</f>
        <v>#VALUE!</v>
      </c>
      <c r="FF36" t="e">
        <f>'Effort Estimation'!G226+"AM:!$4k"</f>
        <v>#VALUE!</v>
      </c>
      <c r="FG36" t="e">
        <f>'Effort Estimation'!H226+"AM:!$4l"</f>
        <v>#VALUE!</v>
      </c>
      <c r="FH36" t="e">
        <f>'Effort Estimation'!I226+"AM:!$4m"</f>
        <v>#VALUE!</v>
      </c>
      <c r="FI36" s="99" t="e">
        <f>'Effort Estimation'!J226+"AM:!$4n"</f>
        <v>#VALUE!</v>
      </c>
      <c r="FJ36" s="99" t="e">
        <f>'Effort Estimation'!K226+"AM:!$4o"</f>
        <v>#VALUE!</v>
      </c>
      <c r="FK36" s="99" t="e">
        <f>'Effort Estimation'!L226+"AM:!$4p"</f>
        <v>#VALUE!</v>
      </c>
      <c r="FL36" s="99" t="e">
        <f>'Effort Estimation'!M226+"AM:!$4q"</f>
        <v>#VALUE!</v>
      </c>
      <c r="FM36" s="99" t="e">
        <f>'Effort Estimation'!N226+"AM:!$4r"</f>
        <v>#VALUE!</v>
      </c>
      <c r="FN36" s="99" t="e">
        <f>'Effort Estimation'!O226+"AM:!$4s"</f>
        <v>#VALUE!</v>
      </c>
      <c r="FO36" s="99" t="e">
        <f>'Effort Estimation'!P226+"AM:!$4t"</f>
        <v>#VALUE!</v>
      </c>
      <c r="FP36" s="99" t="e">
        <f>'Effort Estimation'!Q226+"AM:!$4u"</f>
        <v>#VALUE!</v>
      </c>
      <c r="FQ36" t="e">
        <f>'Effort Estimation'!R226+"AM:!$4v"</f>
        <v>#VALUE!</v>
      </c>
      <c r="FR36" t="e">
        <f>'Effort Estimation'!S226+"AM:!$4w"</f>
        <v>#VALUE!</v>
      </c>
      <c r="FS36" t="e">
        <f>'Effort Estimation'!T226+"AM:!$4x"</f>
        <v>#VALUE!</v>
      </c>
      <c r="FT36" t="e">
        <f>'Effort Estimation'!A227+"AM:!$4y"</f>
        <v>#VALUE!</v>
      </c>
      <c r="FU36" t="e">
        <f>'Effort Estimation'!B227+"AM:!$4z"</f>
        <v>#VALUE!</v>
      </c>
      <c r="FV36" t="e">
        <f>'Effort Estimation'!C227+"AM:!$4{"</f>
        <v>#VALUE!</v>
      </c>
      <c r="FW36" t="e">
        <f>'Effort Estimation'!D227+"AM:!$4|"</f>
        <v>#VALUE!</v>
      </c>
      <c r="FX36" t="e">
        <f>'Effort Estimation'!E227+"AM:!$4}"</f>
        <v>#VALUE!</v>
      </c>
      <c r="FY36" t="e">
        <f>'Effort Estimation'!F227+"AM:!$4~"</f>
        <v>#VALUE!</v>
      </c>
      <c r="FZ36" t="e">
        <f>'Effort Estimation'!G227+"AM:!$5#"</f>
        <v>#VALUE!</v>
      </c>
      <c r="GA36" t="e">
        <f>'Effort Estimation'!H227+"AM:!$5$"</f>
        <v>#VALUE!</v>
      </c>
      <c r="GB36" t="e">
        <f>'Effort Estimation'!I227+"AM:!$5%"</f>
        <v>#VALUE!</v>
      </c>
      <c r="GC36" s="99" t="e">
        <f>'Effort Estimation'!J227+"AM:!$5&amp;"</f>
        <v>#VALUE!</v>
      </c>
      <c r="GD36" s="99" t="e">
        <f>'Effort Estimation'!K227+"AM:!$5'"</f>
        <v>#VALUE!</v>
      </c>
      <c r="GE36" s="99" t="e">
        <f>'Effort Estimation'!L227+"AM:!$5("</f>
        <v>#VALUE!</v>
      </c>
      <c r="GF36" s="99" t="e">
        <f>'Effort Estimation'!M227+"AM:!$5)"</f>
        <v>#VALUE!</v>
      </c>
      <c r="GG36" s="99" t="e">
        <f>'Effort Estimation'!N227+"AM:!$5."</f>
        <v>#VALUE!</v>
      </c>
      <c r="GH36" s="99" t="e">
        <f>'Effort Estimation'!O227+"AM:!$5/"</f>
        <v>#VALUE!</v>
      </c>
      <c r="GI36" s="99" t="e">
        <f>'Effort Estimation'!P227+"AM:!$50"</f>
        <v>#VALUE!</v>
      </c>
      <c r="GJ36" s="99" t="e">
        <f>'Effort Estimation'!Q227+"AM:!$51"</f>
        <v>#VALUE!</v>
      </c>
      <c r="GK36" t="e">
        <f>'Effort Estimation'!R227+"AM:!$52"</f>
        <v>#VALUE!</v>
      </c>
      <c r="GL36" t="e">
        <f>'Effort Estimation'!S227+"AM:!$53"</f>
        <v>#VALUE!</v>
      </c>
      <c r="GM36" t="e">
        <f>'Effort Estimation'!T227+"AM:!$54"</f>
        <v>#VALUE!</v>
      </c>
      <c r="GN36" t="e">
        <f>'Effort Estimation'!A228+"AM:!$55"</f>
        <v>#VALUE!</v>
      </c>
      <c r="GO36" t="e">
        <f>'Effort Estimation'!B228+"AM:!$56"</f>
        <v>#VALUE!</v>
      </c>
      <c r="GP36" t="e">
        <f>'Effort Estimation'!C228+"AM:!$57"</f>
        <v>#VALUE!</v>
      </c>
      <c r="GQ36" t="e">
        <f>'Effort Estimation'!D228+"AM:!$58"</f>
        <v>#VALUE!</v>
      </c>
      <c r="GR36" t="e">
        <f>'Effort Estimation'!E228+"AM:!$59"</f>
        <v>#VALUE!</v>
      </c>
      <c r="GS36" t="e">
        <f>'Effort Estimation'!F228+"AM:!$5:"</f>
        <v>#VALUE!</v>
      </c>
      <c r="GT36" t="e">
        <f>'Effort Estimation'!G228+"AM:!$5;"</f>
        <v>#VALUE!</v>
      </c>
      <c r="GU36" t="e">
        <f>'Effort Estimation'!H228+"AM:!$5&lt;"</f>
        <v>#VALUE!</v>
      </c>
      <c r="GV36" t="e">
        <f>'Effort Estimation'!I228+"AM:!$5="</f>
        <v>#VALUE!</v>
      </c>
      <c r="GW36" s="99" t="e">
        <f>'Effort Estimation'!J228+"AM:!$5&gt;"</f>
        <v>#VALUE!</v>
      </c>
      <c r="GX36" s="99" t="e">
        <f>'Effort Estimation'!K228+"AM:!$5?"</f>
        <v>#VALUE!</v>
      </c>
      <c r="GY36" s="99" t="e">
        <f>'Effort Estimation'!L228+"AM:!$5@"</f>
        <v>#VALUE!</v>
      </c>
      <c r="GZ36" s="99" t="e">
        <f>'Effort Estimation'!M228+"AM:!$5A"</f>
        <v>#VALUE!</v>
      </c>
      <c r="HA36" s="99" t="e">
        <f>'Effort Estimation'!N228+"AM:!$5B"</f>
        <v>#VALUE!</v>
      </c>
      <c r="HB36" s="99" t="e">
        <f>'Effort Estimation'!O228+"AM:!$5C"</f>
        <v>#VALUE!</v>
      </c>
      <c r="HC36" s="99" t="e">
        <f>'Effort Estimation'!P228+"AM:!$5D"</f>
        <v>#VALUE!</v>
      </c>
      <c r="HD36" s="99" t="e">
        <f>'Effort Estimation'!Q228+"AM:!$5E"</f>
        <v>#VALUE!</v>
      </c>
      <c r="HE36" t="e">
        <f>'Effort Estimation'!R228+"AM:!$5F"</f>
        <v>#VALUE!</v>
      </c>
      <c r="HF36" t="e">
        <f>'Effort Estimation'!S228+"AM:!$5G"</f>
        <v>#VALUE!</v>
      </c>
      <c r="HG36" t="e">
        <f>'Effort Estimation'!T228+"AM:!$5H"</f>
        <v>#VALUE!</v>
      </c>
      <c r="HH36" t="e">
        <f>'Effort Estimation'!A229+"AM:!$5I"</f>
        <v>#VALUE!</v>
      </c>
      <c r="HI36" t="e">
        <f>'Effort Estimation'!B229+"AM:!$5J"</f>
        <v>#VALUE!</v>
      </c>
      <c r="HJ36" t="e">
        <f>'Effort Estimation'!C229+"AM:!$5K"</f>
        <v>#VALUE!</v>
      </c>
      <c r="HK36" t="e">
        <f>'Effort Estimation'!D229+"AM:!$5L"</f>
        <v>#VALUE!</v>
      </c>
      <c r="HL36" t="e">
        <f>'Effort Estimation'!E229+"AM:!$5M"</f>
        <v>#VALUE!</v>
      </c>
      <c r="HM36" t="e">
        <f>'Effort Estimation'!F229+"AM:!$5N"</f>
        <v>#VALUE!</v>
      </c>
      <c r="HN36" t="e">
        <f>'Effort Estimation'!G229+"AM:!$5O"</f>
        <v>#VALUE!</v>
      </c>
      <c r="HO36" t="e">
        <f>'Effort Estimation'!H229+"AM:!$5P"</f>
        <v>#VALUE!</v>
      </c>
      <c r="HP36" t="e">
        <f>'Effort Estimation'!I229+"AM:!$5Q"</f>
        <v>#VALUE!</v>
      </c>
      <c r="HQ36" s="99" t="e">
        <f>'Effort Estimation'!J229+"AM:!$5R"</f>
        <v>#VALUE!</v>
      </c>
      <c r="HR36" s="99" t="e">
        <f>'Effort Estimation'!K229+"AM:!$5S"</f>
        <v>#VALUE!</v>
      </c>
      <c r="HS36" s="99" t="e">
        <f>'Effort Estimation'!L229+"AM:!$5T"</f>
        <v>#VALUE!</v>
      </c>
      <c r="HT36" s="99" t="e">
        <f>'Effort Estimation'!M229+"AM:!$5U"</f>
        <v>#VALUE!</v>
      </c>
      <c r="HU36" s="99" t="e">
        <f>'Effort Estimation'!N229+"AM:!$5V"</f>
        <v>#VALUE!</v>
      </c>
      <c r="HV36" s="99" t="e">
        <f>'Effort Estimation'!O229+"AM:!$5W"</f>
        <v>#VALUE!</v>
      </c>
      <c r="HW36" s="99" t="e">
        <f>'Effort Estimation'!P229+"AM:!$5X"</f>
        <v>#VALUE!</v>
      </c>
      <c r="HX36" s="99" t="e">
        <f>'Effort Estimation'!Q229+"AM:!$5Y"</f>
        <v>#VALUE!</v>
      </c>
      <c r="HY36" t="e">
        <f>'Effort Estimation'!R229+"AM:!$5Z"</f>
        <v>#VALUE!</v>
      </c>
      <c r="HZ36" t="e">
        <f>'Effort Estimation'!S229+"AM:!$5["</f>
        <v>#VALUE!</v>
      </c>
      <c r="IA36" t="e">
        <f>'Effort Estimation'!T229+"AM:!$5\"</f>
        <v>#VALUE!</v>
      </c>
      <c r="IB36" t="e">
        <f>'Effort Estimation'!A230+"AM:!$5]"</f>
        <v>#VALUE!</v>
      </c>
      <c r="IC36" t="e">
        <f>'Effort Estimation'!B230+"AM:!$5^"</f>
        <v>#VALUE!</v>
      </c>
      <c r="ID36" t="e">
        <f>'Effort Estimation'!C230+"AM:!$5_"</f>
        <v>#VALUE!</v>
      </c>
      <c r="IE36" t="e">
        <f>'Effort Estimation'!D230+"AM:!$5`"</f>
        <v>#VALUE!</v>
      </c>
      <c r="IF36" t="e">
        <f>'Effort Estimation'!E230+"AM:!$5a"</f>
        <v>#VALUE!</v>
      </c>
      <c r="IG36" t="e">
        <f>'Effort Estimation'!F230+"AM:!$5b"</f>
        <v>#VALUE!</v>
      </c>
      <c r="IH36" t="e">
        <f>'Effort Estimation'!G230+"AM:!$5c"</f>
        <v>#VALUE!</v>
      </c>
      <c r="II36" t="e">
        <f>'Effort Estimation'!H230+"AM:!$5d"</f>
        <v>#VALUE!</v>
      </c>
      <c r="IJ36" t="e">
        <f>'Effort Estimation'!I230+"AM:!$5e"</f>
        <v>#VALUE!</v>
      </c>
      <c r="IK36" s="99" t="e">
        <f>'Effort Estimation'!J230+"AM:!$5f"</f>
        <v>#VALUE!</v>
      </c>
      <c r="IL36" s="99" t="e">
        <f>'Effort Estimation'!K230+"AM:!$5g"</f>
        <v>#VALUE!</v>
      </c>
      <c r="IM36" s="99" t="e">
        <f>'Effort Estimation'!L230+"AM:!$5h"</f>
        <v>#VALUE!</v>
      </c>
      <c r="IN36" s="99" t="e">
        <f>'Effort Estimation'!M230+"AM:!$5i"</f>
        <v>#VALUE!</v>
      </c>
      <c r="IO36" s="99" t="e">
        <f>'Effort Estimation'!N230+"AM:!$5j"</f>
        <v>#VALUE!</v>
      </c>
      <c r="IP36" s="99" t="e">
        <f>'Effort Estimation'!O230+"AM:!$5k"</f>
        <v>#VALUE!</v>
      </c>
      <c r="IQ36" s="99" t="e">
        <f>'Effort Estimation'!P230+"AM:!$5l"</f>
        <v>#VALUE!</v>
      </c>
      <c r="IR36" s="99" t="e">
        <f>'Effort Estimation'!Q230+"AM:!$5m"</f>
        <v>#VALUE!</v>
      </c>
      <c r="IS36" t="e">
        <f>'Effort Estimation'!R230+"AM:!$5n"</f>
        <v>#VALUE!</v>
      </c>
      <c r="IT36" t="e">
        <f>'Effort Estimation'!S230+"AM:!$5o"</f>
        <v>#VALUE!</v>
      </c>
      <c r="IU36" t="e">
        <f>'Effort Estimation'!T230+"AM:!$5p"</f>
        <v>#VALUE!</v>
      </c>
      <c r="IV36" t="e">
        <f>'Effort Estimation'!A231+"AM:!$5q"</f>
        <v>#VALUE!</v>
      </c>
    </row>
    <row r="37" spans="6:256">
      <c r="F37" t="e">
        <f>'Effort Estimation'!B231+"AM:!$5r"</f>
        <v>#VALUE!</v>
      </c>
      <c r="G37" t="e">
        <f>'Effort Estimation'!C231+"AM:!$5s"</f>
        <v>#VALUE!</v>
      </c>
      <c r="H37" t="e">
        <f>'Effort Estimation'!D231+"AM:!$5t"</f>
        <v>#VALUE!</v>
      </c>
      <c r="I37" t="e">
        <f>'Effort Estimation'!E231+"AM:!$5u"</f>
        <v>#VALUE!</v>
      </c>
      <c r="J37" t="e">
        <f>'Effort Estimation'!F231+"AM:!$5v"</f>
        <v>#VALUE!</v>
      </c>
      <c r="K37" t="e">
        <f>'Effort Estimation'!G231+"AM:!$5w"</f>
        <v>#VALUE!</v>
      </c>
      <c r="L37" t="e">
        <f>'Effort Estimation'!H231+"AM:!$5x"</f>
        <v>#VALUE!</v>
      </c>
      <c r="M37" t="e">
        <f>'Effort Estimation'!I231+"AM:!$5y"</f>
        <v>#VALUE!</v>
      </c>
      <c r="N37" s="99" t="e">
        <f>'Effort Estimation'!J231+"AM:!$5z"</f>
        <v>#VALUE!</v>
      </c>
      <c r="O37" s="99" t="e">
        <f>'Effort Estimation'!K231+"AM:!$5{"</f>
        <v>#VALUE!</v>
      </c>
      <c r="P37" s="99" t="e">
        <f>'Effort Estimation'!L231+"AM:!$5|"</f>
        <v>#VALUE!</v>
      </c>
      <c r="Q37" s="99" t="e">
        <f>'Effort Estimation'!M231+"AM:!$5}"</f>
        <v>#VALUE!</v>
      </c>
      <c r="R37" s="99" t="e">
        <f>'Effort Estimation'!N231+"AM:!$5~"</f>
        <v>#VALUE!</v>
      </c>
      <c r="S37" s="99" t="e">
        <f>'Effort Estimation'!O231+"AM:!$6#"</f>
        <v>#VALUE!</v>
      </c>
      <c r="T37" s="99" t="e">
        <f>'Effort Estimation'!P231+"AM:!$6$"</f>
        <v>#VALUE!</v>
      </c>
      <c r="U37" s="99" t="e">
        <f>'Effort Estimation'!Q231+"AM:!$6%"</f>
        <v>#VALUE!</v>
      </c>
      <c r="V37" t="e">
        <f>'Effort Estimation'!R231+"AM:!$6&amp;"</f>
        <v>#VALUE!</v>
      </c>
      <c r="W37" t="e">
        <f>'Effort Estimation'!S231+"AM:!$6'"</f>
        <v>#VALUE!</v>
      </c>
      <c r="X37" t="e">
        <f>'Effort Estimation'!T231+"AM:!$6("</f>
        <v>#VALUE!</v>
      </c>
      <c r="Y37" t="e">
        <f>'Effort Estimation'!A232+"AM:!$6)"</f>
        <v>#VALUE!</v>
      </c>
      <c r="Z37" t="e">
        <f>'Effort Estimation'!B232+"AM:!$6."</f>
        <v>#VALUE!</v>
      </c>
      <c r="AA37" t="e">
        <f>'Effort Estimation'!C232+"AM:!$6/"</f>
        <v>#VALUE!</v>
      </c>
      <c r="AB37" t="e">
        <f>'Effort Estimation'!D232+"AM:!$60"</f>
        <v>#VALUE!</v>
      </c>
      <c r="AC37" t="e">
        <f>'Effort Estimation'!E232+"AM:!$61"</f>
        <v>#VALUE!</v>
      </c>
      <c r="AD37" t="e">
        <f>'Effort Estimation'!F232+"AM:!$62"</f>
        <v>#VALUE!</v>
      </c>
      <c r="AE37" t="e">
        <f>'Effort Estimation'!G232+"AM:!$63"</f>
        <v>#VALUE!</v>
      </c>
      <c r="AF37" t="e">
        <f>'Effort Estimation'!H232+"AM:!$64"</f>
        <v>#VALUE!</v>
      </c>
      <c r="AG37" t="e">
        <f>'Effort Estimation'!I232+"AM:!$65"</f>
        <v>#VALUE!</v>
      </c>
      <c r="AH37" s="99" t="e">
        <f>'Effort Estimation'!J232+"AM:!$66"</f>
        <v>#VALUE!</v>
      </c>
      <c r="AI37" s="99" t="e">
        <f>'Effort Estimation'!K232+"AM:!$67"</f>
        <v>#VALUE!</v>
      </c>
      <c r="AJ37" s="99" t="e">
        <f>'Effort Estimation'!L232+"AM:!$68"</f>
        <v>#VALUE!</v>
      </c>
      <c r="AK37" s="99" t="e">
        <f>'Effort Estimation'!M232+"AM:!$69"</f>
        <v>#VALUE!</v>
      </c>
      <c r="AL37" s="99" t="e">
        <f>'Effort Estimation'!N232+"AM:!$6:"</f>
        <v>#VALUE!</v>
      </c>
      <c r="AM37" s="99" t="e">
        <f>'Effort Estimation'!O232+"AM:!$6;"</f>
        <v>#VALUE!</v>
      </c>
      <c r="AN37" s="99" t="e">
        <f>'Effort Estimation'!P232+"AM:!$6&lt;"</f>
        <v>#VALUE!</v>
      </c>
      <c r="AO37" s="99" t="e">
        <f>'Effort Estimation'!Q232+"AM:!$6="</f>
        <v>#VALUE!</v>
      </c>
      <c r="AP37" t="e">
        <f>'Effort Estimation'!R232+"AM:!$6&gt;"</f>
        <v>#VALUE!</v>
      </c>
      <c r="AQ37" t="e">
        <f>'Effort Estimation'!S232+"AM:!$6?"</f>
        <v>#VALUE!</v>
      </c>
      <c r="AR37" t="e">
        <f>'Effort Estimation'!T232+"AM:!$6@"</f>
        <v>#VALUE!</v>
      </c>
      <c r="AS37" t="e">
        <f>'Effort Estimation'!A233+"AM:!$6A"</f>
        <v>#VALUE!</v>
      </c>
      <c r="AT37" t="e">
        <f>'Effort Estimation'!B233+"AM:!$6B"</f>
        <v>#VALUE!</v>
      </c>
      <c r="AU37" t="e">
        <f>'Effort Estimation'!C233+"AM:!$6C"</f>
        <v>#VALUE!</v>
      </c>
      <c r="AV37" t="e">
        <f>'Effort Estimation'!D233+"AM:!$6D"</f>
        <v>#VALUE!</v>
      </c>
      <c r="AW37" t="e">
        <f>'Effort Estimation'!E233+"AM:!$6E"</f>
        <v>#VALUE!</v>
      </c>
      <c r="AX37" t="e">
        <f>'Effort Estimation'!F233+"AM:!$6F"</f>
        <v>#VALUE!</v>
      </c>
      <c r="AY37" t="e">
        <f>'Effort Estimation'!G233+"AM:!$6G"</f>
        <v>#VALUE!</v>
      </c>
      <c r="AZ37" t="e">
        <f>'Effort Estimation'!H233+"AM:!$6H"</f>
        <v>#VALUE!</v>
      </c>
      <c r="BA37" t="e">
        <f>'Effort Estimation'!I233+"AM:!$6I"</f>
        <v>#VALUE!</v>
      </c>
      <c r="BB37" s="99" t="e">
        <f>'Effort Estimation'!J233+"AM:!$6J"</f>
        <v>#VALUE!</v>
      </c>
      <c r="BC37" s="99" t="e">
        <f>'Effort Estimation'!K233+"AM:!$6K"</f>
        <v>#VALUE!</v>
      </c>
      <c r="BD37" s="99" t="e">
        <f>'Effort Estimation'!L233+"AM:!$6L"</f>
        <v>#VALUE!</v>
      </c>
      <c r="BE37" s="99" t="e">
        <f>'Effort Estimation'!M233+"AM:!$6M"</f>
        <v>#VALUE!</v>
      </c>
      <c r="BF37" s="99" t="e">
        <f>'Effort Estimation'!N233+"AM:!$6N"</f>
        <v>#VALUE!</v>
      </c>
      <c r="BG37" s="99" t="e">
        <f>'Effort Estimation'!O233+"AM:!$6O"</f>
        <v>#VALUE!</v>
      </c>
      <c r="BH37" s="99" t="e">
        <f>'Effort Estimation'!P233+"AM:!$6P"</f>
        <v>#VALUE!</v>
      </c>
      <c r="BI37" s="99" t="e">
        <f>'Effort Estimation'!Q233+"AM:!$6Q"</f>
        <v>#VALUE!</v>
      </c>
      <c r="BJ37" t="e">
        <f>'Effort Estimation'!R233+"AM:!$6R"</f>
        <v>#VALUE!</v>
      </c>
      <c r="BK37" t="e">
        <f>'Effort Estimation'!S233+"AM:!$6S"</f>
        <v>#VALUE!</v>
      </c>
      <c r="BL37" t="e">
        <f>'Effort Estimation'!T233+"AM:!$6T"</f>
        <v>#VALUE!</v>
      </c>
      <c r="BM37" t="e">
        <f>'Effort Estimation'!A234+"AM:!$6U"</f>
        <v>#VALUE!</v>
      </c>
      <c r="BN37" t="e">
        <f>'Effort Estimation'!B234+"AM:!$6V"</f>
        <v>#VALUE!</v>
      </c>
      <c r="BO37" t="e">
        <f>'Effort Estimation'!C234+"AM:!$6W"</f>
        <v>#VALUE!</v>
      </c>
      <c r="BP37" t="e">
        <f>'Effort Estimation'!D234+"AM:!$6X"</f>
        <v>#VALUE!</v>
      </c>
      <c r="BQ37" t="e">
        <f>'Effort Estimation'!E234+"AM:!$6Y"</f>
        <v>#VALUE!</v>
      </c>
      <c r="BR37" t="e">
        <f>'Effort Estimation'!F234+"AM:!$6Z"</f>
        <v>#VALUE!</v>
      </c>
      <c r="BS37" t="e">
        <f>'Effort Estimation'!G234+"AM:!$6["</f>
        <v>#VALUE!</v>
      </c>
      <c r="BT37" t="e">
        <f>'Effort Estimation'!H234+"AM:!$6\"</f>
        <v>#VALUE!</v>
      </c>
      <c r="BU37" t="e">
        <f>'Effort Estimation'!I234+"AM:!$6]"</f>
        <v>#VALUE!</v>
      </c>
      <c r="BV37" s="99" t="e">
        <f>'Effort Estimation'!J234+"AM:!$6^"</f>
        <v>#VALUE!</v>
      </c>
      <c r="BW37" s="99" t="e">
        <f>'Effort Estimation'!K234+"AM:!$6_"</f>
        <v>#VALUE!</v>
      </c>
      <c r="BX37" s="99" t="e">
        <f>'Effort Estimation'!L234+"AM:!$6`"</f>
        <v>#VALUE!</v>
      </c>
      <c r="BY37" s="99" t="e">
        <f>'Effort Estimation'!M234+"AM:!$6a"</f>
        <v>#VALUE!</v>
      </c>
      <c r="BZ37" s="99" t="e">
        <f>'Effort Estimation'!N234+"AM:!$6b"</f>
        <v>#VALUE!</v>
      </c>
      <c r="CA37" s="99" t="e">
        <f>'Effort Estimation'!O234+"AM:!$6c"</f>
        <v>#VALUE!</v>
      </c>
      <c r="CB37" s="99" t="e">
        <f>'Effort Estimation'!P234+"AM:!$6d"</f>
        <v>#VALUE!</v>
      </c>
      <c r="CC37" s="99" t="e">
        <f>'Effort Estimation'!Q234+"AM:!$6e"</f>
        <v>#VALUE!</v>
      </c>
      <c r="CD37" t="e">
        <f>'Effort Estimation'!R234+"AM:!$6f"</f>
        <v>#VALUE!</v>
      </c>
      <c r="CE37" t="e">
        <f>'Effort Estimation'!S234+"AM:!$6g"</f>
        <v>#VALUE!</v>
      </c>
      <c r="CF37" t="e">
        <f>'Effort Estimation'!T234+"AM:!$6h"</f>
        <v>#VALUE!</v>
      </c>
      <c r="CG37" t="e">
        <f>'Effort Estimation'!A235+"AM:!$6i"</f>
        <v>#VALUE!</v>
      </c>
      <c r="CH37" t="e">
        <f>'Effort Estimation'!B235+"AM:!$6j"</f>
        <v>#VALUE!</v>
      </c>
      <c r="CI37" t="e">
        <f>'Effort Estimation'!C235+"AM:!$6k"</f>
        <v>#VALUE!</v>
      </c>
      <c r="CJ37" t="e">
        <f>'Effort Estimation'!D235+"AM:!$6l"</f>
        <v>#VALUE!</v>
      </c>
      <c r="CK37" t="e">
        <f>'Effort Estimation'!E235+"AM:!$6m"</f>
        <v>#VALUE!</v>
      </c>
      <c r="CL37" t="e">
        <f>'Effort Estimation'!F235+"AM:!$6n"</f>
        <v>#VALUE!</v>
      </c>
      <c r="CM37" t="e">
        <f>'Effort Estimation'!G235+"AM:!$6o"</f>
        <v>#VALUE!</v>
      </c>
      <c r="CN37" t="e">
        <f>'Effort Estimation'!H235+"AM:!$6p"</f>
        <v>#VALUE!</v>
      </c>
      <c r="CO37" t="e">
        <f>'Effort Estimation'!I235+"AM:!$6q"</f>
        <v>#VALUE!</v>
      </c>
      <c r="CP37" s="99" t="e">
        <f>'Effort Estimation'!J235+"AM:!$6r"</f>
        <v>#VALUE!</v>
      </c>
      <c r="CQ37" s="99" t="e">
        <f>'Effort Estimation'!K235+"AM:!$6s"</f>
        <v>#VALUE!</v>
      </c>
      <c r="CR37" s="99" t="e">
        <f>'Effort Estimation'!L235+"AM:!$6t"</f>
        <v>#VALUE!</v>
      </c>
      <c r="CS37" s="99" t="e">
        <f>'Effort Estimation'!M235+"AM:!$6u"</f>
        <v>#VALUE!</v>
      </c>
      <c r="CT37" s="99" t="e">
        <f>'Effort Estimation'!N235+"AM:!$6v"</f>
        <v>#VALUE!</v>
      </c>
      <c r="CU37" s="99" t="e">
        <f>'Effort Estimation'!O235+"AM:!$6w"</f>
        <v>#VALUE!</v>
      </c>
      <c r="CV37" s="99" t="e">
        <f>'Effort Estimation'!P235+"AM:!$6x"</f>
        <v>#VALUE!</v>
      </c>
      <c r="CW37" s="99" t="e">
        <f>'Effort Estimation'!Q235+"AM:!$6y"</f>
        <v>#VALUE!</v>
      </c>
      <c r="CX37" t="e">
        <f>'Effort Estimation'!R235+"AM:!$6z"</f>
        <v>#VALUE!</v>
      </c>
      <c r="CY37" t="e">
        <f>'Effort Estimation'!S235+"AM:!$6{"</f>
        <v>#VALUE!</v>
      </c>
      <c r="CZ37" t="e">
        <f>'Effort Estimation'!T235+"AM:!$6|"</f>
        <v>#VALUE!</v>
      </c>
      <c r="DA37" t="e">
        <f>'Effort Estimation'!A236+"AM:!$6}"</f>
        <v>#VALUE!</v>
      </c>
      <c r="DB37" t="e">
        <f>'Effort Estimation'!B236+"AM:!$6~"</f>
        <v>#VALUE!</v>
      </c>
      <c r="DC37" t="e">
        <f>'Effort Estimation'!C236+"AM:!$7#"</f>
        <v>#VALUE!</v>
      </c>
      <c r="DD37" t="e">
        <f>'Effort Estimation'!D236+"AM:!$7$"</f>
        <v>#VALUE!</v>
      </c>
      <c r="DE37" t="e">
        <f>'Effort Estimation'!E236+"AM:!$7%"</f>
        <v>#VALUE!</v>
      </c>
      <c r="DF37" t="e">
        <f>'Effort Estimation'!F236+"AM:!$7&amp;"</f>
        <v>#VALUE!</v>
      </c>
      <c r="DG37" t="e">
        <f>'Effort Estimation'!G236+"AM:!$7'"</f>
        <v>#VALUE!</v>
      </c>
      <c r="DH37" t="e">
        <f>'Effort Estimation'!H236+"AM:!$7("</f>
        <v>#VALUE!</v>
      </c>
      <c r="DI37" t="e">
        <f>'Effort Estimation'!I236+"AM:!$7)"</f>
        <v>#VALUE!</v>
      </c>
      <c r="DJ37" s="99" t="e">
        <f>'Effort Estimation'!J236+"AM:!$7."</f>
        <v>#VALUE!</v>
      </c>
      <c r="DK37" s="99" t="e">
        <f>'Effort Estimation'!K236+"AM:!$7/"</f>
        <v>#VALUE!</v>
      </c>
      <c r="DL37" s="99" t="e">
        <f>'Effort Estimation'!L236+"AM:!$70"</f>
        <v>#VALUE!</v>
      </c>
      <c r="DM37" s="99" t="e">
        <f>'Effort Estimation'!M236+"AM:!$71"</f>
        <v>#VALUE!</v>
      </c>
      <c r="DN37" s="99" t="e">
        <f>'Effort Estimation'!N236+"AM:!$72"</f>
        <v>#VALUE!</v>
      </c>
      <c r="DO37" s="99" t="e">
        <f>'Effort Estimation'!O236+"AM:!$73"</f>
        <v>#VALUE!</v>
      </c>
      <c r="DP37" s="99" t="e">
        <f>'Effort Estimation'!P236+"AM:!$74"</f>
        <v>#VALUE!</v>
      </c>
      <c r="DQ37" s="99" t="e">
        <f>'Effort Estimation'!Q236+"AM:!$75"</f>
        <v>#VALUE!</v>
      </c>
      <c r="DR37" t="e">
        <f>'Effort Estimation'!R236+"AM:!$76"</f>
        <v>#VALUE!</v>
      </c>
      <c r="DS37" t="e">
        <f>'Effort Estimation'!S236+"AM:!$77"</f>
        <v>#VALUE!</v>
      </c>
      <c r="DT37" t="e">
        <f>'Effort Estimation'!T236+"AM:!$78"</f>
        <v>#VALUE!</v>
      </c>
      <c r="DU37" t="e">
        <f>'Effort Estimation'!A237+"AM:!$79"</f>
        <v>#VALUE!</v>
      </c>
      <c r="DV37" t="e">
        <f>'Effort Estimation'!B237+"AM:!$7:"</f>
        <v>#VALUE!</v>
      </c>
      <c r="DW37" t="e">
        <f>'Effort Estimation'!C237+"AM:!$7;"</f>
        <v>#VALUE!</v>
      </c>
      <c r="DX37" t="e">
        <f>'Effort Estimation'!D237+"AM:!$7&lt;"</f>
        <v>#VALUE!</v>
      </c>
      <c r="DY37" t="e">
        <f>'Effort Estimation'!E237+"AM:!$7="</f>
        <v>#VALUE!</v>
      </c>
      <c r="DZ37" t="e">
        <f>'Effort Estimation'!F237+"AM:!$7&gt;"</f>
        <v>#VALUE!</v>
      </c>
      <c r="EA37" t="e">
        <f>'Effort Estimation'!G237+"AM:!$7?"</f>
        <v>#VALUE!</v>
      </c>
      <c r="EB37" t="e">
        <f>'Effort Estimation'!H237+"AM:!$7@"</f>
        <v>#VALUE!</v>
      </c>
      <c r="EC37" t="e">
        <f>'Effort Estimation'!I237+"AM:!$7A"</f>
        <v>#VALUE!</v>
      </c>
      <c r="ED37" s="99" t="e">
        <f>'Effort Estimation'!J237+"AM:!$7B"</f>
        <v>#VALUE!</v>
      </c>
      <c r="EE37" s="99" t="e">
        <f>'Effort Estimation'!K237+"AM:!$7C"</f>
        <v>#VALUE!</v>
      </c>
      <c r="EF37" s="99" t="e">
        <f>'Effort Estimation'!L237+"AM:!$7D"</f>
        <v>#VALUE!</v>
      </c>
      <c r="EG37" s="99" t="e">
        <f>'Effort Estimation'!M237+"AM:!$7E"</f>
        <v>#VALUE!</v>
      </c>
      <c r="EH37" s="99" t="e">
        <f>'Effort Estimation'!N237+"AM:!$7F"</f>
        <v>#VALUE!</v>
      </c>
      <c r="EI37" s="99" t="e">
        <f>'Effort Estimation'!O237+"AM:!$7G"</f>
        <v>#VALUE!</v>
      </c>
      <c r="EJ37" s="99" t="e">
        <f>'Effort Estimation'!P237+"AM:!$7H"</f>
        <v>#VALUE!</v>
      </c>
      <c r="EK37" s="99" t="e">
        <f>'Effort Estimation'!Q237+"AM:!$7I"</f>
        <v>#VALUE!</v>
      </c>
      <c r="EL37" t="e">
        <f>'Effort Estimation'!R237+"AM:!$7J"</f>
        <v>#VALUE!</v>
      </c>
      <c r="EM37" t="e">
        <f>'Effort Estimation'!S237+"AM:!$7K"</f>
        <v>#VALUE!</v>
      </c>
      <c r="EN37" t="e">
        <f>'Effort Estimation'!T237+"AM:!$7L"</f>
        <v>#VALUE!</v>
      </c>
      <c r="EO37" t="e">
        <f>'Effort Estimation'!A238+"AM:!$7M"</f>
        <v>#VALUE!</v>
      </c>
      <c r="EP37" t="e">
        <f>'Effort Estimation'!B238+"AM:!$7N"</f>
        <v>#VALUE!</v>
      </c>
      <c r="EQ37" t="e">
        <f>'Effort Estimation'!C238+"AM:!$7O"</f>
        <v>#VALUE!</v>
      </c>
      <c r="ER37" t="e">
        <f>'Effort Estimation'!D238+"AM:!$7P"</f>
        <v>#VALUE!</v>
      </c>
      <c r="ES37" t="e">
        <f>'Effort Estimation'!E238+"AM:!$7Q"</f>
        <v>#VALUE!</v>
      </c>
      <c r="ET37" t="e">
        <f>'Effort Estimation'!F238+"AM:!$7R"</f>
        <v>#VALUE!</v>
      </c>
      <c r="EU37" t="e">
        <f>'Effort Estimation'!G238+"AM:!$7S"</f>
        <v>#VALUE!</v>
      </c>
      <c r="EV37" t="e">
        <f>'Effort Estimation'!H238+"AM:!$7T"</f>
        <v>#VALUE!</v>
      </c>
      <c r="EW37" t="e">
        <f>'Effort Estimation'!I238+"AM:!$7U"</f>
        <v>#VALUE!</v>
      </c>
      <c r="EX37" s="99" t="e">
        <f>'Effort Estimation'!J238+"AM:!$7V"</f>
        <v>#VALUE!</v>
      </c>
      <c r="EY37" s="99" t="e">
        <f>'Effort Estimation'!K238+"AM:!$7W"</f>
        <v>#VALUE!</v>
      </c>
      <c r="EZ37" s="99" t="e">
        <f>'Effort Estimation'!L238+"AM:!$7X"</f>
        <v>#VALUE!</v>
      </c>
      <c r="FA37" s="99" t="e">
        <f>'Effort Estimation'!M238+"AM:!$7Y"</f>
        <v>#VALUE!</v>
      </c>
      <c r="FB37" s="99" t="e">
        <f>'Effort Estimation'!N238+"AM:!$7Z"</f>
        <v>#VALUE!</v>
      </c>
      <c r="FC37" s="99" t="e">
        <f>'Effort Estimation'!O238+"AM:!$7["</f>
        <v>#VALUE!</v>
      </c>
      <c r="FD37" s="99" t="e">
        <f>'Effort Estimation'!P238+"AM:!$7\"</f>
        <v>#VALUE!</v>
      </c>
      <c r="FE37" s="99" t="e">
        <f>'Effort Estimation'!Q238+"AM:!$7]"</f>
        <v>#VALUE!</v>
      </c>
      <c r="FF37" t="e">
        <f>'Effort Estimation'!R238+"AM:!$7^"</f>
        <v>#VALUE!</v>
      </c>
      <c r="FG37" t="e">
        <f>'Effort Estimation'!S238+"AM:!$7_"</f>
        <v>#VALUE!</v>
      </c>
      <c r="FH37" t="e">
        <f>'Effort Estimation'!T238+"AM:!$7`"</f>
        <v>#VALUE!</v>
      </c>
      <c r="FI37" t="e">
        <f>'Effort Estimation'!A239+"AM:!$7a"</f>
        <v>#VALUE!</v>
      </c>
      <c r="FJ37" t="e">
        <f>'Effort Estimation'!B239+"AM:!$7b"</f>
        <v>#VALUE!</v>
      </c>
      <c r="FK37" t="e">
        <f>'Effort Estimation'!C239+"AM:!$7c"</f>
        <v>#VALUE!</v>
      </c>
      <c r="FL37" t="e">
        <f>'Effort Estimation'!D239+"AM:!$7d"</f>
        <v>#VALUE!</v>
      </c>
      <c r="FM37" t="e">
        <f>'Effort Estimation'!E239+"AM:!$7e"</f>
        <v>#VALUE!</v>
      </c>
      <c r="FN37" t="e">
        <f>'Effort Estimation'!F239+"AM:!$7f"</f>
        <v>#VALUE!</v>
      </c>
      <c r="FO37" t="e">
        <f>'Effort Estimation'!G239+"AM:!$7g"</f>
        <v>#VALUE!</v>
      </c>
      <c r="FP37" t="e">
        <f>'Effort Estimation'!H239+"AM:!$7h"</f>
        <v>#VALUE!</v>
      </c>
      <c r="FQ37" t="e">
        <f>'Effort Estimation'!I239+"AM:!$7i"</f>
        <v>#VALUE!</v>
      </c>
      <c r="FR37" s="99" t="e">
        <f>'Effort Estimation'!J239+"AM:!$7j"</f>
        <v>#VALUE!</v>
      </c>
      <c r="FS37" s="99" t="e">
        <f>'Effort Estimation'!K239+"AM:!$7k"</f>
        <v>#VALUE!</v>
      </c>
      <c r="FT37" s="99" t="e">
        <f>'Effort Estimation'!L239+"AM:!$7l"</f>
        <v>#VALUE!</v>
      </c>
      <c r="FU37" s="99" t="e">
        <f>'Effort Estimation'!M239+"AM:!$7m"</f>
        <v>#VALUE!</v>
      </c>
      <c r="FV37" s="99" t="e">
        <f>'Effort Estimation'!N239+"AM:!$7n"</f>
        <v>#VALUE!</v>
      </c>
      <c r="FW37" s="99" t="e">
        <f>'Effort Estimation'!O239+"AM:!$7o"</f>
        <v>#VALUE!</v>
      </c>
      <c r="FX37" s="99" t="e">
        <f>'Effort Estimation'!P239+"AM:!$7p"</f>
        <v>#VALUE!</v>
      </c>
      <c r="FY37" s="99" t="e">
        <f>'Effort Estimation'!Q239+"AM:!$7q"</f>
        <v>#VALUE!</v>
      </c>
      <c r="FZ37" t="e">
        <f>'Effort Estimation'!R239+"AM:!$7r"</f>
        <v>#VALUE!</v>
      </c>
      <c r="GA37" t="e">
        <f>'Effort Estimation'!S239+"AM:!$7s"</f>
        <v>#VALUE!</v>
      </c>
      <c r="GB37" t="e">
        <f>'Effort Estimation'!T239+"AM:!$7t"</f>
        <v>#VALUE!</v>
      </c>
      <c r="GC37" t="e">
        <f>'Effort Estimation'!A240+"AM:!$7u"</f>
        <v>#VALUE!</v>
      </c>
      <c r="GD37" t="e">
        <f>'Effort Estimation'!B240+"AM:!$7v"</f>
        <v>#VALUE!</v>
      </c>
      <c r="GE37" t="e">
        <f>'Effort Estimation'!C240+"AM:!$7w"</f>
        <v>#VALUE!</v>
      </c>
      <c r="GF37" t="e">
        <f>'Effort Estimation'!D240+"AM:!$7x"</f>
        <v>#VALUE!</v>
      </c>
      <c r="GG37" t="e">
        <f>'Effort Estimation'!E240+"AM:!$7y"</f>
        <v>#VALUE!</v>
      </c>
      <c r="GH37" t="e">
        <f>'Effort Estimation'!F240+"AM:!$7z"</f>
        <v>#VALUE!</v>
      </c>
      <c r="GI37" t="e">
        <f>'Effort Estimation'!G240+"AM:!$7{"</f>
        <v>#VALUE!</v>
      </c>
      <c r="GJ37" t="e">
        <f>'Effort Estimation'!H240+"AM:!$7|"</f>
        <v>#VALUE!</v>
      </c>
      <c r="GK37" t="e">
        <f>'Effort Estimation'!I240+"AM:!$7}"</f>
        <v>#VALUE!</v>
      </c>
      <c r="GL37" s="99" t="e">
        <f>'Effort Estimation'!J240+"AM:!$7~"</f>
        <v>#VALUE!</v>
      </c>
      <c r="GM37" s="99" t="e">
        <f>'Effort Estimation'!K240+"AM:!$8#"</f>
        <v>#VALUE!</v>
      </c>
      <c r="GN37" s="99" t="e">
        <f>'Effort Estimation'!L240+"AM:!$8$"</f>
        <v>#VALUE!</v>
      </c>
      <c r="GO37" s="99" t="e">
        <f>'Effort Estimation'!M240+"AM:!$8%"</f>
        <v>#VALUE!</v>
      </c>
      <c r="GP37" s="99" t="e">
        <f>'Effort Estimation'!N240+"AM:!$8&amp;"</f>
        <v>#VALUE!</v>
      </c>
      <c r="GQ37" s="99" t="e">
        <f>'Effort Estimation'!O240+"AM:!$8'"</f>
        <v>#VALUE!</v>
      </c>
      <c r="GR37" s="99" t="e">
        <f>'Effort Estimation'!P240+"AM:!$8("</f>
        <v>#VALUE!</v>
      </c>
      <c r="GS37" s="99" t="e">
        <f>'Effort Estimation'!Q240+"AM:!$8)"</f>
        <v>#VALUE!</v>
      </c>
      <c r="GT37" t="e">
        <f>'Effort Estimation'!R240+"AM:!$8."</f>
        <v>#VALUE!</v>
      </c>
      <c r="GU37" t="e">
        <f>'Effort Estimation'!S240+"AM:!$8/"</f>
        <v>#VALUE!</v>
      </c>
      <c r="GV37" t="e">
        <f>'Effort Estimation'!T240+"AM:!$80"</f>
        <v>#VALUE!</v>
      </c>
      <c r="GW37" t="e">
        <f>'Effort Estimation'!A241+"AM:!$81"</f>
        <v>#VALUE!</v>
      </c>
      <c r="GX37" t="e">
        <f>'Effort Estimation'!B241+"AM:!$82"</f>
        <v>#VALUE!</v>
      </c>
      <c r="GY37" t="e">
        <f>'Effort Estimation'!C241+"AM:!$83"</f>
        <v>#VALUE!</v>
      </c>
      <c r="GZ37" t="e">
        <f>'Effort Estimation'!D241+"AM:!$84"</f>
        <v>#VALUE!</v>
      </c>
      <c r="HA37" t="e">
        <f>'Effort Estimation'!E241+"AM:!$85"</f>
        <v>#VALUE!</v>
      </c>
      <c r="HB37" t="e">
        <f>'Effort Estimation'!F241+"AM:!$86"</f>
        <v>#VALUE!</v>
      </c>
      <c r="HC37" t="e">
        <f>'Effort Estimation'!G241+"AM:!$87"</f>
        <v>#VALUE!</v>
      </c>
      <c r="HD37" t="e">
        <f>'Effort Estimation'!H241+"AM:!$88"</f>
        <v>#VALUE!</v>
      </c>
      <c r="HE37" t="e">
        <f>'Effort Estimation'!I241+"AM:!$89"</f>
        <v>#VALUE!</v>
      </c>
      <c r="HF37" s="99" t="e">
        <f>'Effort Estimation'!J241+"AM:!$8:"</f>
        <v>#VALUE!</v>
      </c>
      <c r="HG37" s="99" t="e">
        <f>'Effort Estimation'!K241+"AM:!$8;"</f>
        <v>#VALUE!</v>
      </c>
      <c r="HH37" s="99" t="e">
        <f>'Effort Estimation'!L241+"AM:!$8&lt;"</f>
        <v>#VALUE!</v>
      </c>
      <c r="HI37" s="99" t="e">
        <f>'Effort Estimation'!M241+"AM:!$8="</f>
        <v>#VALUE!</v>
      </c>
      <c r="HJ37" s="99" t="e">
        <f>'Effort Estimation'!N241+"AM:!$8&gt;"</f>
        <v>#VALUE!</v>
      </c>
      <c r="HK37" s="99" t="e">
        <f>'Effort Estimation'!O241+"AM:!$8?"</f>
        <v>#VALUE!</v>
      </c>
      <c r="HL37" s="99" t="e">
        <f>'Effort Estimation'!P241+"AM:!$8@"</f>
        <v>#VALUE!</v>
      </c>
      <c r="HM37" s="99" t="e">
        <f>'Effort Estimation'!Q241+"AM:!$8A"</f>
        <v>#VALUE!</v>
      </c>
      <c r="HN37" t="e">
        <f>'Effort Estimation'!R241+"AM:!$8B"</f>
        <v>#VALUE!</v>
      </c>
      <c r="HO37" t="e">
        <f>'Effort Estimation'!S241+"AM:!$8C"</f>
        <v>#VALUE!</v>
      </c>
      <c r="HP37" t="e">
        <f>'Effort Estimation'!T241+"AM:!$8D"</f>
        <v>#VALUE!</v>
      </c>
      <c r="HQ37" t="e">
        <f>'Effort Estimation'!A242+"AM:!$8E"</f>
        <v>#VALUE!</v>
      </c>
      <c r="HR37" t="e">
        <f>'Effort Estimation'!B242+"AM:!$8F"</f>
        <v>#VALUE!</v>
      </c>
      <c r="HS37" t="e">
        <f>'Effort Estimation'!C242+"AM:!$8G"</f>
        <v>#VALUE!</v>
      </c>
      <c r="HT37" t="e">
        <f>'Effort Estimation'!D242+"AM:!$8H"</f>
        <v>#VALUE!</v>
      </c>
      <c r="HU37" t="e">
        <f>'Effort Estimation'!E242+"AM:!$8I"</f>
        <v>#VALUE!</v>
      </c>
      <c r="HV37" t="e">
        <f>'Effort Estimation'!F242+"AM:!$8J"</f>
        <v>#VALUE!</v>
      </c>
      <c r="HW37" t="e">
        <f>'Effort Estimation'!G242+"AM:!$8K"</f>
        <v>#VALUE!</v>
      </c>
      <c r="HX37" t="e">
        <f>'Effort Estimation'!H242+"AM:!$8L"</f>
        <v>#VALUE!</v>
      </c>
      <c r="HY37" t="e">
        <f>'Effort Estimation'!I242+"AM:!$8M"</f>
        <v>#VALUE!</v>
      </c>
      <c r="HZ37" s="99" t="e">
        <f>'Effort Estimation'!J242+"AM:!$8N"</f>
        <v>#VALUE!</v>
      </c>
      <c r="IA37" s="99" t="e">
        <f>'Effort Estimation'!K242+"AM:!$8O"</f>
        <v>#VALUE!</v>
      </c>
      <c r="IB37" s="99" t="e">
        <f>'Effort Estimation'!L242+"AM:!$8P"</f>
        <v>#VALUE!</v>
      </c>
      <c r="IC37" s="99" t="e">
        <f>'Effort Estimation'!M242+"AM:!$8Q"</f>
        <v>#VALUE!</v>
      </c>
      <c r="ID37" s="99" t="e">
        <f>'Effort Estimation'!N242+"AM:!$8R"</f>
        <v>#VALUE!</v>
      </c>
      <c r="IE37" s="99" t="e">
        <f>'Effort Estimation'!O242+"AM:!$8S"</f>
        <v>#VALUE!</v>
      </c>
      <c r="IF37" s="99" t="e">
        <f>'Effort Estimation'!P242+"AM:!$8T"</f>
        <v>#VALUE!</v>
      </c>
      <c r="IG37" s="99" t="e">
        <f>'Effort Estimation'!Q242+"AM:!$8U"</f>
        <v>#VALUE!</v>
      </c>
      <c r="IH37" t="e">
        <f>'Effort Estimation'!R242+"AM:!$8V"</f>
        <v>#VALUE!</v>
      </c>
      <c r="II37" t="e">
        <f>'Effort Estimation'!S242+"AM:!$8W"</f>
        <v>#VALUE!</v>
      </c>
      <c r="IJ37" t="e">
        <f>'Effort Estimation'!T242+"AM:!$8X"</f>
        <v>#VALUE!</v>
      </c>
      <c r="IK37" t="e">
        <f>'Effort Estimation'!A243+"AM:!$8Y"</f>
        <v>#VALUE!</v>
      </c>
      <c r="IL37" t="e">
        <f>'Effort Estimation'!B243+"AM:!$8Z"</f>
        <v>#VALUE!</v>
      </c>
      <c r="IM37" t="e">
        <f>'Effort Estimation'!C243+"AM:!$8["</f>
        <v>#VALUE!</v>
      </c>
      <c r="IN37" t="e">
        <f>'Effort Estimation'!D243+"AM:!$8\"</f>
        <v>#VALUE!</v>
      </c>
      <c r="IO37" t="e">
        <f>'Effort Estimation'!E243+"AM:!$8]"</f>
        <v>#VALUE!</v>
      </c>
      <c r="IP37" t="e">
        <f>'Effort Estimation'!F243+"AM:!$8^"</f>
        <v>#VALUE!</v>
      </c>
      <c r="IQ37" t="e">
        <f>'Effort Estimation'!G243+"AM:!$8_"</f>
        <v>#VALUE!</v>
      </c>
      <c r="IR37" t="e">
        <f>'Effort Estimation'!H243+"AM:!$8`"</f>
        <v>#VALUE!</v>
      </c>
      <c r="IS37" t="e">
        <f>'Effort Estimation'!I243+"AM:!$8a"</f>
        <v>#VALUE!</v>
      </c>
      <c r="IT37" s="99" t="e">
        <f>'Effort Estimation'!J243+"AM:!$8b"</f>
        <v>#VALUE!</v>
      </c>
      <c r="IU37" s="99" t="e">
        <f>'Effort Estimation'!K243+"AM:!$8c"</f>
        <v>#VALUE!</v>
      </c>
      <c r="IV37" s="99" t="e">
        <f>'Effort Estimation'!L243+"AM:!$8d"</f>
        <v>#VALUE!</v>
      </c>
    </row>
    <row r="38" spans="6:256">
      <c r="F38" s="99" t="e">
        <f>'Effort Estimation'!M243+"AM:!$8e"</f>
        <v>#VALUE!</v>
      </c>
      <c r="G38" s="99" t="e">
        <f>'Effort Estimation'!N243+"AM:!$8f"</f>
        <v>#VALUE!</v>
      </c>
      <c r="H38" s="99" t="e">
        <f>'Effort Estimation'!O243+"AM:!$8g"</f>
        <v>#VALUE!</v>
      </c>
      <c r="I38" s="99" t="e">
        <f>'Effort Estimation'!P243+"AM:!$8h"</f>
        <v>#VALUE!</v>
      </c>
      <c r="J38" s="99" t="e">
        <f>'Effort Estimation'!Q243+"AM:!$8i"</f>
        <v>#VALUE!</v>
      </c>
      <c r="K38" t="e">
        <f>'Effort Estimation'!R243+"AM:!$8j"</f>
        <v>#VALUE!</v>
      </c>
      <c r="L38" t="e">
        <f>'Effort Estimation'!S243+"AM:!$8k"</f>
        <v>#VALUE!</v>
      </c>
      <c r="M38" t="e">
        <f>'Effort Estimation'!T243+"AM:!$8l"</f>
        <v>#VALUE!</v>
      </c>
      <c r="N38" t="e">
        <f>'Effort Estimation'!A244+"AM:!$8m"</f>
        <v>#VALUE!</v>
      </c>
      <c r="O38" t="e">
        <f>'Effort Estimation'!B244+"AM:!$8n"</f>
        <v>#VALUE!</v>
      </c>
      <c r="P38" t="e">
        <f>'Effort Estimation'!C244+"AM:!$8o"</f>
        <v>#VALUE!</v>
      </c>
      <c r="Q38" t="e">
        <f>'Effort Estimation'!D244+"AM:!$8p"</f>
        <v>#VALUE!</v>
      </c>
      <c r="R38" t="e">
        <f>'Effort Estimation'!E244+"AM:!$8q"</f>
        <v>#VALUE!</v>
      </c>
      <c r="S38" t="e">
        <f>'Effort Estimation'!F244+"AM:!$8r"</f>
        <v>#VALUE!</v>
      </c>
      <c r="T38" t="e">
        <f>'Effort Estimation'!G244+"AM:!$8s"</f>
        <v>#VALUE!</v>
      </c>
      <c r="U38" t="e">
        <f>'Effort Estimation'!H244+"AM:!$8t"</f>
        <v>#VALUE!</v>
      </c>
      <c r="V38" t="e">
        <f>'Effort Estimation'!I244+"AM:!$8u"</f>
        <v>#VALUE!</v>
      </c>
      <c r="W38" s="99" t="e">
        <f>'Effort Estimation'!J244+"AM:!$8v"</f>
        <v>#VALUE!</v>
      </c>
      <c r="X38" s="99" t="e">
        <f>'Effort Estimation'!K244+"AM:!$8w"</f>
        <v>#VALUE!</v>
      </c>
      <c r="Y38" s="99" t="e">
        <f>'Effort Estimation'!L244+"AM:!$8x"</f>
        <v>#VALUE!</v>
      </c>
      <c r="Z38" s="99" t="e">
        <f>'Effort Estimation'!M244+"AM:!$8y"</f>
        <v>#VALUE!</v>
      </c>
      <c r="AA38" s="99" t="e">
        <f>'Effort Estimation'!N244+"AM:!$8z"</f>
        <v>#VALUE!</v>
      </c>
      <c r="AB38" s="99" t="e">
        <f>'Effort Estimation'!O244+"AM:!$8{"</f>
        <v>#VALUE!</v>
      </c>
      <c r="AC38" s="99" t="e">
        <f>'Effort Estimation'!P244+"AM:!$8|"</f>
        <v>#VALUE!</v>
      </c>
      <c r="AD38" s="99" t="e">
        <f>'Effort Estimation'!Q244+"AM:!$8}"</f>
        <v>#VALUE!</v>
      </c>
      <c r="AE38" t="e">
        <f>'Effort Estimation'!R244+"AM:!$8~"</f>
        <v>#VALUE!</v>
      </c>
      <c r="AF38" t="e">
        <f>'Effort Estimation'!S244+"AM:!$9#"</f>
        <v>#VALUE!</v>
      </c>
      <c r="AG38" t="e">
        <f>'Effort Estimation'!T244+"AM:!$9$"</f>
        <v>#VALUE!</v>
      </c>
      <c r="AH38" t="e">
        <f>'Effort Estimation'!A245+"AM:!$9%"</f>
        <v>#VALUE!</v>
      </c>
      <c r="AI38" t="e">
        <f>'Effort Estimation'!B245+"AM:!$9&amp;"</f>
        <v>#VALUE!</v>
      </c>
      <c r="AJ38" t="e">
        <f>'Effort Estimation'!C245+"AM:!$9'"</f>
        <v>#VALUE!</v>
      </c>
      <c r="AK38" t="e">
        <f>'Effort Estimation'!D245+"AM:!$9("</f>
        <v>#VALUE!</v>
      </c>
      <c r="AL38" t="e">
        <f>'Effort Estimation'!E245+"AM:!$9)"</f>
        <v>#VALUE!</v>
      </c>
      <c r="AM38" t="e">
        <f>'Effort Estimation'!F245+"AM:!$9."</f>
        <v>#VALUE!</v>
      </c>
      <c r="AN38" t="e">
        <f>'Effort Estimation'!G245+"AM:!$9/"</f>
        <v>#VALUE!</v>
      </c>
      <c r="AO38" t="e">
        <f>'Effort Estimation'!H245+"AM:!$90"</f>
        <v>#VALUE!</v>
      </c>
      <c r="AP38" t="e">
        <f>'Effort Estimation'!I245+"AM:!$91"</f>
        <v>#VALUE!</v>
      </c>
      <c r="AQ38" s="99" t="e">
        <f>'Effort Estimation'!J245+"AM:!$92"</f>
        <v>#VALUE!</v>
      </c>
      <c r="AR38" s="99" t="e">
        <f>'Effort Estimation'!K245+"AM:!$93"</f>
        <v>#VALUE!</v>
      </c>
      <c r="AS38" s="99" t="e">
        <f>'Effort Estimation'!L245+"AM:!$94"</f>
        <v>#VALUE!</v>
      </c>
      <c r="AT38" s="99" t="e">
        <f>'Effort Estimation'!M245+"AM:!$95"</f>
        <v>#VALUE!</v>
      </c>
      <c r="AU38" s="99" t="e">
        <f>'Effort Estimation'!N245+"AM:!$96"</f>
        <v>#VALUE!</v>
      </c>
      <c r="AV38" s="99" t="e">
        <f>'Effort Estimation'!O245+"AM:!$97"</f>
        <v>#VALUE!</v>
      </c>
      <c r="AW38" s="99" t="e">
        <f>'Effort Estimation'!P245+"AM:!$98"</f>
        <v>#VALUE!</v>
      </c>
      <c r="AX38" s="99" t="e">
        <f>'Effort Estimation'!Q245+"AM:!$99"</f>
        <v>#VALUE!</v>
      </c>
      <c r="AY38" t="e">
        <f>'Effort Estimation'!R245+"AM:!$9:"</f>
        <v>#VALUE!</v>
      </c>
      <c r="AZ38" t="e">
        <f>'Effort Estimation'!S245+"AM:!$9;"</f>
        <v>#VALUE!</v>
      </c>
      <c r="BA38" t="e">
        <f>'Effort Estimation'!T245+"AM:!$9&lt;"</f>
        <v>#VALUE!</v>
      </c>
      <c r="BB38" t="e">
        <f>'Effort Estimation'!A246+"AM:!$9="</f>
        <v>#VALUE!</v>
      </c>
      <c r="BC38" t="e">
        <f>'Effort Estimation'!B246+"AM:!$9&gt;"</f>
        <v>#VALUE!</v>
      </c>
      <c r="BD38" t="e">
        <f>'Effort Estimation'!C246+"AM:!$9?"</f>
        <v>#VALUE!</v>
      </c>
      <c r="BE38" t="e">
        <f>'Effort Estimation'!D246+"AM:!$9@"</f>
        <v>#VALUE!</v>
      </c>
      <c r="BF38" t="e">
        <f>'Effort Estimation'!E246+"AM:!$9A"</f>
        <v>#VALUE!</v>
      </c>
      <c r="BG38" t="e">
        <f>'Effort Estimation'!F246+"AM:!$9B"</f>
        <v>#VALUE!</v>
      </c>
      <c r="BH38" t="e">
        <f>'Effort Estimation'!G246+"AM:!$9C"</f>
        <v>#VALUE!</v>
      </c>
      <c r="BI38" t="e">
        <f>'Effort Estimation'!H246+"AM:!$9D"</f>
        <v>#VALUE!</v>
      </c>
      <c r="BJ38" t="e">
        <f>'Effort Estimation'!I246+"AM:!$9E"</f>
        <v>#VALUE!</v>
      </c>
      <c r="BK38" s="99" t="e">
        <f>'Effort Estimation'!J246+"AM:!$9F"</f>
        <v>#VALUE!</v>
      </c>
      <c r="BL38" s="99" t="e">
        <f>'Effort Estimation'!K246+"AM:!$9G"</f>
        <v>#VALUE!</v>
      </c>
      <c r="BM38" s="99" t="e">
        <f>'Effort Estimation'!L246+"AM:!$9H"</f>
        <v>#VALUE!</v>
      </c>
      <c r="BN38" s="99" t="e">
        <f>'Effort Estimation'!M246+"AM:!$9I"</f>
        <v>#VALUE!</v>
      </c>
      <c r="BO38" s="99" t="e">
        <f>'Effort Estimation'!N246+"AM:!$9J"</f>
        <v>#VALUE!</v>
      </c>
      <c r="BP38" s="99" t="e">
        <f>'Effort Estimation'!O246+"AM:!$9K"</f>
        <v>#VALUE!</v>
      </c>
      <c r="BQ38" s="99" t="e">
        <f>'Effort Estimation'!P246+"AM:!$9L"</f>
        <v>#VALUE!</v>
      </c>
      <c r="BR38" s="99" t="e">
        <f>'Effort Estimation'!Q246+"AM:!$9M"</f>
        <v>#VALUE!</v>
      </c>
      <c r="BS38" t="e">
        <f>'Effort Estimation'!R246+"AM:!$9N"</f>
        <v>#VALUE!</v>
      </c>
      <c r="BT38" t="e">
        <f>'Effort Estimation'!S246+"AM:!$9O"</f>
        <v>#VALUE!</v>
      </c>
      <c r="BU38" t="e">
        <f>'Effort Estimation'!T246+"AM:!$9P"</f>
        <v>#VALUE!</v>
      </c>
      <c r="BV38" t="e">
        <f>'Effort Estimation'!A247+"AM:!$9Q"</f>
        <v>#VALUE!</v>
      </c>
      <c r="BW38" t="e">
        <f>'Effort Estimation'!B247+"AM:!$9R"</f>
        <v>#VALUE!</v>
      </c>
      <c r="BX38" t="e">
        <f>'Effort Estimation'!C247+"AM:!$9S"</f>
        <v>#VALUE!</v>
      </c>
      <c r="BY38" t="e">
        <f>'Effort Estimation'!D247+"AM:!$9T"</f>
        <v>#VALUE!</v>
      </c>
      <c r="BZ38" t="e">
        <f>'Effort Estimation'!E247+"AM:!$9U"</f>
        <v>#VALUE!</v>
      </c>
      <c r="CA38" t="e">
        <f>'Effort Estimation'!F247+"AM:!$9V"</f>
        <v>#VALUE!</v>
      </c>
      <c r="CB38" t="e">
        <f>'Effort Estimation'!G247+"AM:!$9W"</f>
        <v>#VALUE!</v>
      </c>
      <c r="CC38" t="e">
        <f>'Effort Estimation'!H247+"AM:!$9X"</f>
        <v>#VALUE!</v>
      </c>
      <c r="CD38" t="e">
        <f>'Effort Estimation'!I247+"AM:!$9Y"</f>
        <v>#VALUE!</v>
      </c>
      <c r="CE38" s="99" t="e">
        <f>'Effort Estimation'!J247+"AM:!$9Z"</f>
        <v>#VALUE!</v>
      </c>
      <c r="CF38" s="99" t="e">
        <f>'Effort Estimation'!K247+"AM:!$9["</f>
        <v>#VALUE!</v>
      </c>
      <c r="CG38" s="99" t="e">
        <f>'Effort Estimation'!L247+"AM:!$9\"</f>
        <v>#VALUE!</v>
      </c>
      <c r="CH38" s="99" t="e">
        <f>'Effort Estimation'!M247+"AM:!$9]"</f>
        <v>#VALUE!</v>
      </c>
      <c r="CI38" s="99" t="e">
        <f>'Effort Estimation'!N247+"AM:!$9^"</f>
        <v>#VALUE!</v>
      </c>
      <c r="CJ38" s="99" t="e">
        <f>'Effort Estimation'!O247+"AM:!$9_"</f>
        <v>#VALUE!</v>
      </c>
      <c r="CK38" s="99" t="e">
        <f>'Effort Estimation'!P247+"AM:!$9`"</f>
        <v>#VALUE!</v>
      </c>
      <c r="CL38" s="99" t="e">
        <f>'Effort Estimation'!Q247+"AM:!$9a"</f>
        <v>#VALUE!</v>
      </c>
      <c r="CM38" t="e">
        <f>'Effort Estimation'!R247+"AM:!$9b"</f>
        <v>#VALUE!</v>
      </c>
      <c r="CN38" t="e">
        <f>'Effort Estimation'!S247+"AM:!$9c"</f>
        <v>#VALUE!</v>
      </c>
      <c r="CO38" t="e">
        <f>'Effort Estimation'!T247+"AM:!$9d"</f>
        <v>#VALUE!</v>
      </c>
      <c r="CP38" t="e">
        <f>'Effort Estimation'!A248+"AM:!$9e"</f>
        <v>#VALUE!</v>
      </c>
      <c r="CQ38" t="e">
        <f>'Effort Estimation'!B248+"AM:!$9f"</f>
        <v>#VALUE!</v>
      </c>
      <c r="CR38" t="e">
        <f>'Effort Estimation'!C248+"AM:!$9g"</f>
        <v>#VALUE!</v>
      </c>
      <c r="CS38" t="e">
        <f>'Effort Estimation'!D248+"AM:!$9h"</f>
        <v>#VALUE!</v>
      </c>
      <c r="CT38" t="e">
        <f>'Effort Estimation'!E248+"AM:!$9i"</f>
        <v>#VALUE!</v>
      </c>
      <c r="CU38" t="e">
        <f>'Effort Estimation'!F248+"AM:!$9j"</f>
        <v>#VALUE!</v>
      </c>
      <c r="CV38" t="e">
        <f>'Effort Estimation'!G248+"AM:!$9k"</f>
        <v>#VALUE!</v>
      </c>
      <c r="CW38" t="e">
        <f>'Effort Estimation'!H248+"AM:!$9l"</f>
        <v>#VALUE!</v>
      </c>
      <c r="CX38" t="e">
        <f>'Effort Estimation'!I248+"AM:!$9m"</f>
        <v>#VALUE!</v>
      </c>
      <c r="CY38" s="99" t="e">
        <f>'Effort Estimation'!J248+"AM:!$9n"</f>
        <v>#VALUE!</v>
      </c>
      <c r="CZ38" s="99" t="e">
        <f>'Effort Estimation'!K248+"AM:!$9o"</f>
        <v>#VALUE!</v>
      </c>
      <c r="DA38" s="99" t="e">
        <f>'Effort Estimation'!L248+"AM:!$9p"</f>
        <v>#VALUE!</v>
      </c>
      <c r="DB38" s="99" t="e">
        <f>'Effort Estimation'!M248+"AM:!$9q"</f>
        <v>#VALUE!</v>
      </c>
      <c r="DC38" s="99" t="e">
        <f>'Effort Estimation'!N248+"AM:!$9r"</f>
        <v>#VALUE!</v>
      </c>
      <c r="DD38" s="99" t="e">
        <f>'Effort Estimation'!O248+"AM:!$9s"</f>
        <v>#VALUE!</v>
      </c>
      <c r="DE38" s="99" t="e">
        <f>'Effort Estimation'!P248+"AM:!$9t"</f>
        <v>#VALUE!</v>
      </c>
      <c r="DF38" s="99" t="e">
        <f>'Effort Estimation'!Q248+"AM:!$9u"</f>
        <v>#VALUE!</v>
      </c>
      <c r="DG38" t="e">
        <f>'Effort Estimation'!R248+"AM:!$9v"</f>
        <v>#VALUE!</v>
      </c>
      <c r="DH38" t="e">
        <f>'Effort Estimation'!S248+"AM:!$9w"</f>
        <v>#VALUE!</v>
      </c>
      <c r="DI38" t="e">
        <f>'Effort Estimation'!T248+"AM:!$9x"</f>
        <v>#VALUE!</v>
      </c>
      <c r="DJ38" t="e">
        <f>'Effort Estimation'!A249+"AM:!$9y"</f>
        <v>#VALUE!</v>
      </c>
      <c r="DK38" t="e">
        <f>'Effort Estimation'!B249+"AM:!$9z"</f>
        <v>#VALUE!</v>
      </c>
      <c r="DL38" t="e">
        <f>'Effort Estimation'!C249+"AM:!$9{"</f>
        <v>#VALUE!</v>
      </c>
      <c r="DM38" t="e">
        <f>'Effort Estimation'!D249+"AM:!$9|"</f>
        <v>#VALUE!</v>
      </c>
      <c r="DN38" t="e">
        <f>'Effort Estimation'!E249+"AM:!$9}"</f>
        <v>#VALUE!</v>
      </c>
      <c r="DO38" t="e">
        <f>'Effort Estimation'!F249+"AM:!$9~"</f>
        <v>#VALUE!</v>
      </c>
      <c r="DP38" t="e">
        <f>'Effort Estimation'!G249+"AM:!$:#"</f>
        <v>#VALUE!</v>
      </c>
      <c r="DQ38" t="e">
        <f>'Effort Estimation'!H249+"AM:!$:$"</f>
        <v>#VALUE!</v>
      </c>
      <c r="DR38" t="e">
        <f>'Effort Estimation'!I249+"AM:!$:%"</f>
        <v>#VALUE!</v>
      </c>
      <c r="DS38" s="99" t="e">
        <f>'Effort Estimation'!J249+"AM:!$:&amp;"</f>
        <v>#VALUE!</v>
      </c>
      <c r="DT38" s="99" t="e">
        <f>'Effort Estimation'!K249+"AM:!$:'"</f>
        <v>#VALUE!</v>
      </c>
      <c r="DU38" s="99" t="e">
        <f>'Effort Estimation'!L249+"AM:!$:("</f>
        <v>#VALUE!</v>
      </c>
      <c r="DV38" s="99" t="e">
        <f>'Effort Estimation'!M249+"AM:!$:)"</f>
        <v>#VALUE!</v>
      </c>
      <c r="DW38" s="99" t="e">
        <f>'Effort Estimation'!N249+"AM:!$:."</f>
        <v>#VALUE!</v>
      </c>
      <c r="DX38" s="99" t="e">
        <f>'Effort Estimation'!O249+"AM:!$:/"</f>
        <v>#VALUE!</v>
      </c>
      <c r="DY38" s="99" t="e">
        <f>'Effort Estimation'!P249+"AM:!$:0"</f>
        <v>#VALUE!</v>
      </c>
      <c r="DZ38" s="99" t="e">
        <f>'Effort Estimation'!Q249+"AM:!$:1"</f>
        <v>#VALUE!</v>
      </c>
      <c r="EA38" t="e">
        <f>'Effort Estimation'!R249+"AM:!$:2"</f>
        <v>#VALUE!</v>
      </c>
      <c r="EB38" t="e">
        <f>'Effort Estimation'!S249+"AM:!$:3"</f>
        <v>#VALUE!</v>
      </c>
      <c r="EC38" t="e">
        <f>'Effort Estimation'!T249+"AM:!$:4"</f>
        <v>#VALUE!</v>
      </c>
      <c r="ED38" t="e">
        <f>'Effort Estimation'!A250+"AM:!$:5"</f>
        <v>#VALUE!</v>
      </c>
      <c r="EE38" t="e">
        <f>'Effort Estimation'!B250+"AM:!$:6"</f>
        <v>#VALUE!</v>
      </c>
      <c r="EF38" t="e">
        <f>'Effort Estimation'!C250+"AM:!$:7"</f>
        <v>#VALUE!</v>
      </c>
      <c r="EG38" t="e">
        <f>'Effort Estimation'!D250+"AM:!$:8"</f>
        <v>#VALUE!</v>
      </c>
      <c r="EH38" t="e">
        <f>'Effort Estimation'!E250+"AM:!$:9"</f>
        <v>#VALUE!</v>
      </c>
      <c r="EI38" t="e">
        <f>'Effort Estimation'!F250+"AM:!$::"</f>
        <v>#VALUE!</v>
      </c>
      <c r="EJ38" t="e">
        <f>'Effort Estimation'!G250+"AM:!$:;"</f>
        <v>#VALUE!</v>
      </c>
      <c r="EK38" t="e">
        <f>'Effort Estimation'!H250+"AM:!$:&lt;"</f>
        <v>#VALUE!</v>
      </c>
      <c r="EL38" t="e">
        <f>'Effort Estimation'!I250+"AM:!$:="</f>
        <v>#VALUE!</v>
      </c>
      <c r="EM38" s="99" t="e">
        <f>'Effort Estimation'!J250+"AM:!$:&gt;"</f>
        <v>#VALUE!</v>
      </c>
      <c r="EN38" s="99" t="e">
        <f>'Effort Estimation'!K250+"AM:!$:?"</f>
        <v>#VALUE!</v>
      </c>
      <c r="EO38" s="99" t="e">
        <f>'Effort Estimation'!L250+"AM:!$:@"</f>
        <v>#VALUE!</v>
      </c>
      <c r="EP38" s="99" t="e">
        <f>'Effort Estimation'!M250+"AM:!$:A"</f>
        <v>#VALUE!</v>
      </c>
      <c r="EQ38" s="99" t="e">
        <f>'Effort Estimation'!N250+"AM:!$:B"</f>
        <v>#VALUE!</v>
      </c>
      <c r="ER38" s="99" t="e">
        <f>'Effort Estimation'!O250+"AM:!$:C"</f>
        <v>#VALUE!</v>
      </c>
      <c r="ES38" s="99" t="e">
        <f>'Effort Estimation'!P250+"AM:!$:D"</f>
        <v>#VALUE!</v>
      </c>
      <c r="ET38" s="99" t="e">
        <f>'Effort Estimation'!Q250+"AM:!$:E"</f>
        <v>#VALUE!</v>
      </c>
      <c r="EU38" t="e">
        <f>'Effort Estimation'!R250+"AM:!$:F"</f>
        <v>#VALUE!</v>
      </c>
      <c r="EV38" t="e">
        <f>'Effort Estimation'!S250+"AM:!$:G"</f>
        <v>#VALUE!</v>
      </c>
      <c r="EW38" t="e">
        <f>'Effort Estimation'!T250+"AM:!$:H"</f>
        <v>#VALUE!</v>
      </c>
      <c r="EX38" t="e">
        <f>'Effort Estimation'!A251+"AM:!$:I"</f>
        <v>#VALUE!</v>
      </c>
      <c r="EY38" t="e">
        <f>'Effort Estimation'!B251+"AM:!$:J"</f>
        <v>#VALUE!</v>
      </c>
      <c r="EZ38" t="e">
        <f>'Effort Estimation'!C251+"AM:!$:K"</f>
        <v>#VALUE!</v>
      </c>
      <c r="FA38" t="e">
        <f>'Effort Estimation'!D251+"AM:!$:L"</f>
        <v>#VALUE!</v>
      </c>
      <c r="FB38" t="e">
        <f>'Effort Estimation'!E251+"AM:!$:M"</f>
        <v>#VALUE!</v>
      </c>
      <c r="FC38" t="e">
        <f>'Effort Estimation'!F251+"AM:!$:N"</f>
        <v>#VALUE!</v>
      </c>
      <c r="FD38" t="e">
        <f>'Effort Estimation'!G251+"AM:!$:O"</f>
        <v>#VALUE!</v>
      </c>
      <c r="FE38" t="e">
        <f>'Effort Estimation'!H251+"AM:!$:P"</f>
        <v>#VALUE!</v>
      </c>
      <c r="FF38" t="e">
        <f>'Effort Estimation'!I251+"AM:!$:Q"</f>
        <v>#VALUE!</v>
      </c>
      <c r="FG38" s="99" t="e">
        <f>'Effort Estimation'!J251+"AM:!$:R"</f>
        <v>#VALUE!</v>
      </c>
      <c r="FH38" s="99" t="e">
        <f>'Effort Estimation'!K251+"AM:!$:S"</f>
        <v>#VALUE!</v>
      </c>
      <c r="FI38" s="99" t="e">
        <f>'Effort Estimation'!L251+"AM:!$:T"</f>
        <v>#VALUE!</v>
      </c>
      <c r="FJ38" s="99" t="e">
        <f>'Effort Estimation'!M251+"AM:!$:U"</f>
        <v>#VALUE!</v>
      </c>
      <c r="FK38" s="99" t="e">
        <f>'Effort Estimation'!N251+"AM:!$:V"</f>
        <v>#VALUE!</v>
      </c>
      <c r="FL38" s="99" t="e">
        <f>'Effort Estimation'!O251+"AM:!$:W"</f>
        <v>#VALUE!</v>
      </c>
      <c r="FM38" s="99" t="e">
        <f>'Effort Estimation'!P251+"AM:!$:X"</f>
        <v>#VALUE!</v>
      </c>
      <c r="FN38" s="99" t="e">
        <f>'Effort Estimation'!Q251+"AM:!$:Y"</f>
        <v>#VALUE!</v>
      </c>
      <c r="FO38" t="e">
        <f>'Effort Estimation'!R251+"AM:!$:Z"</f>
        <v>#VALUE!</v>
      </c>
      <c r="FP38" t="e">
        <f>'Effort Estimation'!S251+"AM:!$:["</f>
        <v>#VALUE!</v>
      </c>
      <c r="FQ38" t="e">
        <f>'Effort Estimation'!T251+"AM:!$:\"</f>
        <v>#VALUE!</v>
      </c>
      <c r="FR38" t="e">
        <f>'Effort Estimation'!A252+"AM:!$:]"</f>
        <v>#VALUE!</v>
      </c>
      <c r="FS38" t="e">
        <f>'Effort Estimation'!B252+"AM:!$:^"</f>
        <v>#VALUE!</v>
      </c>
      <c r="FT38" t="e">
        <f>'Effort Estimation'!C252+"AM:!$:_"</f>
        <v>#VALUE!</v>
      </c>
      <c r="FU38" t="e">
        <f>'Effort Estimation'!D252+"AM:!$:`"</f>
        <v>#VALUE!</v>
      </c>
      <c r="FV38" t="e">
        <f>'Effort Estimation'!E252+"AM:!$:a"</f>
        <v>#VALUE!</v>
      </c>
      <c r="FW38" t="e">
        <f>'Effort Estimation'!F252+"AM:!$:b"</f>
        <v>#VALUE!</v>
      </c>
      <c r="FX38" t="e">
        <f>'Effort Estimation'!G252+"AM:!$:c"</f>
        <v>#VALUE!</v>
      </c>
      <c r="FY38" t="e">
        <f>'Effort Estimation'!H252+"AM:!$:d"</f>
        <v>#VALUE!</v>
      </c>
      <c r="FZ38" t="e">
        <f>'Effort Estimation'!I252+"AM:!$:e"</f>
        <v>#VALUE!</v>
      </c>
      <c r="GA38" s="99" t="e">
        <f>'Effort Estimation'!J252+"AM:!$:f"</f>
        <v>#VALUE!</v>
      </c>
      <c r="GB38" s="99" t="e">
        <f>'Effort Estimation'!K252+"AM:!$:g"</f>
        <v>#VALUE!</v>
      </c>
      <c r="GC38" s="99" t="e">
        <f>'Effort Estimation'!L252+"AM:!$:h"</f>
        <v>#VALUE!</v>
      </c>
      <c r="GD38" s="99" t="e">
        <f>'Effort Estimation'!M252+"AM:!$:i"</f>
        <v>#VALUE!</v>
      </c>
      <c r="GE38" s="99" t="e">
        <f>'Effort Estimation'!N252+"AM:!$:j"</f>
        <v>#VALUE!</v>
      </c>
      <c r="GF38" s="99" t="e">
        <f>'Effort Estimation'!O252+"AM:!$:k"</f>
        <v>#VALUE!</v>
      </c>
      <c r="GG38" s="99" t="e">
        <f>'Effort Estimation'!P252+"AM:!$:l"</f>
        <v>#VALUE!</v>
      </c>
      <c r="GH38" s="99" t="e">
        <f>'Effort Estimation'!Q252+"AM:!$:m"</f>
        <v>#VALUE!</v>
      </c>
      <c r="GI38" t="e">
        <f>'Effort Estimation'!R252+"AM:!$:n"</f>
        <v>#VALUE!</v>
      </c>
      <c r="GJ38" t="e">
        <f>'Effort Estimation'!S252+"AM:!$:o"</f>
        <v>#VALUE!</v>
      </c>
      <c r="GK38" t="e">
        <f>'Effort Estimation'!T252+"AM:!$:p"</f>
        <v>#VALUE!</v>
      </c>
      <c r="GL38" t="e">
        <f>'Effort Estimation'!A253+"AM:!$:q"</f>
        <v>#VALUE!</v>
      </c>
      <c r="GM38" t="e">
        <f>'Effort Estimation'!B253+"AM:!$:r"</f>
        <v>#VALUE!</v>
      </c>
      <c r="GN38" t="e">
        <f>'Effort Estimation'!C253+"AM:!$:s"</f>
        <v>#VALUE!</v>
      </c>
      <c r="GO38" t="e">
        <f>'Effort Estimation'!D253+"AM:!$:t"</f>
        <v>#VALUE!</v>
      </c>
      <c r="GP38" t="e">
        <f>'Effort Estimation'!E253+"AM:!$:u"</f>
        <v>#VALUE!</v>
      </c>
      <c r="GQ38" t="e">
        <f>'Effort Estimation'!F253+"AM:!$:v"</f>
        <v>#VALUE!</v>
      </c>
      <c r="GR38" t="e">
        <f>'Effort Estimation'!G253+"AM:!$:w"</f>
        <v>#VALUE!</v>
      </c>
      <c r="GS38" t="e">
        <f>'Effort Estimation'!H253+"AM:!$:x"</f>
        <v>#VALUE!</v>
      </c>
      <c r="GT38" t="e">
        <f>'Effort Estimation'!I253+"AM:!$:y"</f>
        <v>#VALUE!</v>
      </c>
      <c r="GU38" s="99" t="e">
        <f>'Effort Estimation'!J253+"AM:!$:z"</f>
        <v>#VALUE!</v>
      </c>
      <c r="GV38" s="99" t="e">
        <f>'Effort Estimation'!K253+"AM:!$:{"</f>
        <v>#VALUE!</v>
      </c>
      <c r="GW38" s="99" t="e">
        <f>'Effort Estimation'!L253+"AM:!$:|"</f>
        <v>#VALUE!</v>
      </c>
      <c r="GX38" s="99" t="e">
        <f>'Effort Estimation'!M253+"AM:!$:}"</f>
        <v>#VALUE!</v>
      </c>
      <c r="GY38" s="99" t="e">
        <f>'Effort Estimation'!N253+"AM:!$:~"</f>
        <v>#VALUE!</v>
      </c>
      <c r="GZ38" s="99" t="e">
        <f>'Effort Estimation'!O253+"AM:!$;#"</f>
        <v>#VALUE!</v>
      </c>
      <c r="HA38" s="99" t="e">
        <f>'Effort Estimation'!P253+"AM:!$;$"</f>
        <v>#VALUE!</v>
      </c>
      <c r="HB38" s="99" t="e">
        <f>'Effort Estimation'!Q253+"AM:!$;%"</f>
        <v>#VALUE!</v>
      </c>
      <c r="HC38" t="e">
        <f>'Effort Estimation'!R253+"AM:!$;&amp;"</f>
        <v>#VALUE!</v>
      </c>
      <c r="HD38" t="e">
        <f>'Effort Estimation'!S253+"AM:!$;'"</f>
        <v>#VALUE!</v>
      </c>
      <c r="HE38" t="e">
        <f>'Effort Estimation'!T253+"AM:!$;("</f>
        <v>#VALUE!</v>
      </c>
      <c r="HF38" t="e">
        <f>'Effort Estimation'!A254+"AM:!$;)"</f>
        <v>#VALUE!</v>
      </c>
      <c r="HG38" t="e">
        <f>'Effort Estimation'!B254+"AM:!$;."</f>
        <v>#VALUE!</v>
      </c>
      <c r="HH38" t="e">
        <f>'Effort Estimation'!C254+"AM:!$;/"</f>
        <v>#VALUE!</v>
      </c>
      <c r="HI38" t="e">
        <f>'Effort Estimation'!D254+"AM:!$;0"</f>
        <v>#VALUE!</v>
      </c>
      <c r="HJ38" t="e">
        <f>'Effort Estimation'!E254+"AM:!$;1"</f>
        <v>#VALUE!</v>
      </c>
      <c r="HK38" t="e">
        <f>'Effort Estimation'!F254+"AM:!$;2"</f>
        <v>#VALUE!</v>
      </c>
      <c r="HL38" t="e">
        <f>'Effort Estimation'!G254+"AM:!$;3"</f>
        <v>#VALUE!</v>
      </c>
      <c r="HM38" t="e">
        <f>'Effort Estimation'!H254+"AM:!$;4"</f>
        <v>#VALUE!</v>
      </c>
      <c r="HN38" t="e">
        <f>'Effort Estimation'!I254+"AM:!$;5"</f>
        <v>#VALUE!</v>
      </c>
      <c r="HO38" s="99" t="e">
        <f>'Effort Estimation'!J254+"AM:!$;6"</f>
        <v>#VALUE!</v>
      </c>
      <c r="HP38" s="99" t="e">
        <f>'Effort Estimation'!K254+"AM:!$;7"</f>
        <v>#VALUE!</v>
      </c>
      <c r="HQ38" s="99" t="e">
        <f>'Effort Estimation'!L254+"AM:!$;8"</f>
        <v>#VALUE!</v>
      </c>
      <c r="HR38" s="99" t="e">
        <f>'Effort Estimation'!M254+"AM:!$;9"</f>
        <v>#VALUE!</v>
      </c>
      <c r="HS38" s="99" t="e">
        <f>'Effort Estimation'!N254+"AM:!$;:"</f>
        <v>#VALUE!</v>
      </c>
      <c r="HT38" s="99" t="e">
        <f>'Effort Estimation'!O254+"AM:!$;;"</f>
        <v>#VALUE!</v>
      </c>
      <c r="HU38" s="99" t="e">
        <f>'Effort Estimation'!P254+"AM:!$;&lt;"</f>
        <v>#VALUE!</v>
      </c>
      <c r="HV38" s="99" t="e">
        <f>'Effort Estimation'!Q254+"AM:!$;="</f>
        <v>#VALUE!</v>
      </c>
      <c r="HW38" t="e">
        <f>'Effort Estimation'!R254+"AM:!$;&gt;"</f>
        <v>#VALUE!</v>
      </c>
      <c r="HX38" t="e">
        <f>'Effort Estimation'!S254+"AM:!$;?"</f>
        <v>#VALUE!</v>
      </c>
      <c r="HY38" t="e">
        <f>'Effort Estimation'!T254+"AM:!$;@"</f>
        <v>#VALUE!</v>
      </c>
      <c r="HZ38" t="e">
        <f>'Effort Estimation'!A255+"AM:!$;A"</f>
        <v>#VALUE!</v>
      </c>
      <c r="IA38" t="e">
        <f>'Effort Estimation'!B255+"AM:!$;B"</f>
        <v>#VALUE!</v>
      </c>
      <c r="IB38" t="e">
        <f>'Effort Estimation'!C255+"AM:!$;C"</f>
        <v>#VALUE!</v>
      </c>
      <c r="IC38" t="e">
        <f>'Effort Estimation'!D255+"AM:!$;D"</f>
        <v>#VALUE!</v>
      </c>
      <c r="ID38" t="e">
        <f>'Effort Estimation'!E255+"AM:!$;E"</f>
        <v>#VALUE!</v>
      </c>
      <c r="IE38" t="e">
        <f>'Effort Estimation'!F255+"AM:!$;F"</f>
        <v>#VALUE!</v>
      </c>
      <c r="IF38" t="e">
        <f>'Effort Estimation'!G255+"AM:!$;G"</f>
        <v>#VALUE!</v>
      </c>
      <c r="IG38" t="e">
        <f>'Effort Estimation'!H255+"AM:!$;H"</f>
        <v>#VALUE!</v>
      </c>
      <c r="IH38" t="e">
        <f>'Effort Estimation'!I255+"AM:!$;I"</f>
        <v>#VALUE!</v>
      </c>
      <c r="II38" s="99" t="e">
        <f>'Effort Estimation'!J255+"AM:!$;J"</f>
        <v>#VALUE!</v>
      </c>
      <c r="IJ38" s="99" t="e">
        <f>'Effort Estimation'!K255+"AM:!$;K"</f>
        <v>#VALUE!</v>
      </c>
      <c r="IK38" s="99" t="e">
        <f>'Effort Estimation'!L255+"AM:!$;L"</f>
        <v>#VALUE!</v>
      </c>
      <c r="IL38" s="99" t="e">
        <f>'Effort Estimation'!M255+"AM:!$;M"</f>
        <v>#VALUE!</v>
      </c>
      <c r="IM38" s="99" t="e">
        <f>'Effort Estimation'!N255+"AM:!$;N"</f>
        <v>#VALUE!</v>
      </c>
      <c r="IN38" s="99" t="e">
        <f>'Effort Estimation'!O255+"AM:!$;O"</f>
        <v>#VALUE!</v>
      </c>
      <c r="IO38" s="99" t="e">
        <f>'Effort Estimation'!P255+"AM:!$;P"</f>
        <v>#VALUE!</v>
      </c>
      <c r="IP38" s="99" t="e">
        <f>'Effort Estimation'!Q255+"AM:!$;Q"</f>
        <v>#VALUE!</v>
      </c>
      <c r="IQ38" t="e">
        <f>'Effort Estimation'!R255+"AM:!$;R"</f>
        <v>#VALUE!</v>
      </c>
      <c r="IR38" t="e">
        <f>'Effort Estimation'!S255+"AM:!$;S"</f>
        <v>#VALUE!</v>
      </c>
      <c r="IS38" t="e">
        <f>'Effort Estimation'!T255+"AM:!$;T"</f>
        <v>#VALUE!</v>
      </c>
      <c r="IT38" t="e">
        <f>'Effort Estimation'!A256+"AM:!$;U"</f>
        <v>#VALUE!</v>
      </c>
      <c r="IU38" t="e">
        <f>'Effort Estimation'!B256+"AM:!$;V"</f>
        <v>#VALUE!</v>
      </c>
      <c r="IV38" t="e">
        <f>'Effort Estimation'!C256+"AM:!$;W"</f>
        <v>#VALUE!</v>
      </c>
    </row>
    <row r="39" spans="6:256">
      <c r="F39" t="e">
        <f>'Effort Estimation'!D256+"AM:!$;X"</f>
        <v>#VALUE!</v>
      </c>
      <c r="G39" t="e">
        <f>'Effort Estimation'!E256+"AM:!$;Y"</f>
        <v>#VALUE!</v>
      </c>
      <c r="H39" t="e">
        <f>'Effort Estimation'!F256+"AM:!$;Z"</f>
        <v>#VALUE!</v>
      </c>
      <c r="I39" t="e">
        <f>'Effort Estimation'!G256+"AM:!$;["</f>
        <v>#VALUE!</v>
      </c>
      <c r="J39" t="e">
        <f>'Effort Estimation'!H256+"AM:!$;\"</f>
        <v>#VALUE!</v>
      </c>
      <c r="K39" t="e">
        <f>'Effort Estimation'!I256+"AM:!$;]"</f>
        <v>#VALUE!</v>
      </c>
      <c r="L39" s="99" t="e">
        <f>'Effort Estimation'!J256+"AM:!$;^"</f>
        <v>#VALUE!</v>
      </c>
      <c r="M39" s="99" t="e">
        <f>'Effort Estimation'!K256+"AM:!$;_"</f>
        <v>#VALUE!</v>
      </c>
      <c r="N39" s="99" t="e">
        <f>'Effort Estimation'!L256+"AM:!$;`"</f>
        <v>#VALUE!</v>
      </c>
      <c r="O39" s="99" t="e">
        <f>'Effort Estimation'!M256+"AM:!$;a"</f>
        <v>#VALUE!</v>
      </c>
      <c r="P39" s="99" t="e">
        <f>'Effort Estimation'!N256+"AM:!$;b"</f>
        <v>#VALUE!</v>
      </c>
      <c r="Q39" s="99" t="e">
        <f>'Effort Estimation'!O256+"AM:!$;c"</f>
        <v>#VALUE!</v>
      </c>
      <c r="R39" s="99" t="e">
        <f>'Effort Estimation'!P256+"AM:!$;d"</f>
        <v>#VALUE!</v>
      </c>
      <c r="S39" s="99" t="e">
        <f>'Effort Estimation'!Q256+"AM:!$;e"</f>
        <v>#VALUE!</v>
      </c>
      <c r="T39" t="e">
        <f>'Effort Estimation'!R256+"AM:!$;f"</f>
        <v>#VALUE!</v>
      </c>
      <c r="U39" t="e">
        <f>'Effort Estimation'!S256+"AM:!$;g"</f>
        <v>#VALUE!</v>
      </c>
      <c r="V39" t="e">
        <f>'Effort Estimation'!T256+"AM:!$;h"</f>
        <v>#VALUE!</v>
      </c>
      <c r="W39" t="e">
        <f>'Effort Estimation'!A257+"AM:!$;i"</f>
        <v>#VALUE!</v>
      </c>
      <c r="X39" t="e">
        <f>'Effort Estimation'!B257+"AM:!$;j"</f>
        <v>#VALUE!</v>
      </c>
      <c r="Y39" t="e">
        <f>'Effort Estimation'!C257+"AM:!$;k"</f>
        <v>#VALUE!</v>
      </c>
      <c r="Z39" t="e">
        <f>'Effort Estimation'!D257+"AM:!$;l"</f>
        <v>#VALUE!</v>
      </c>
      <c r="AA39" t="e">
        <f>'Effort Estimation'!E257+"AM:!$;m"</f>
        <v>#VALUE!</v>
      </c>
      <c r="AB39" t="e">
        <f>'Effort Estimation'!F257+"AM:!$;n"</f>
        <v>#VALUE!</v>
      </c>
      <c r="AC39" t="e">
        <f>'Effort Estimation'!G257+"AM:!$;o"</f>
        <v>#VALUE!</v>
      </c>
      <c r="AD39" t="e">
        <f>'Effort Estimation'!H257+"AM:!$;p"</f>
        <v>#VALUE!</v>
      </c>
      <c r="AE39" t="e">
        <f>'Effort Estimation'!I257+"AM:!$;q"</f>
        <v>#VALUE!</v>
      </c>
      <c r="AF39" s="99" t="e">
        <f>'Effort Estimation'!J257+"AM:!$;r"</f>
        <v>#VALUE!</v>
      </c>
      <c r="AG39" s="99" t="e">
        <f>'Effort Estimation'!K257+"AM:!$;s"</f>
        <v>#VALUE!</v>
      </c>
      <c r="AH39" s="99" t="e">
        <f>'Effort Estimation'!L257+"AM:!$;t"</f>
        <v>#VALUE!</v>
      </c>
      <c r="AI39" s="99" t="e">
        <f>'Effort Estimation'!M257+"AM:!$;u"</f>
        <v>#VALUE!</v>
      </c>
      <c r="AJ39" s="99" t="e">
        <f>'Effort Estimation'!N257+"AM:!$;v"</f>
        <v>#VALUE!</v>
      </c>
      <c r="AK39" s="99" t="e">
        <f>'Effort Estimation'!O257+"AM:!$;w"</f>
        <v>#VALUE!</v>
      </c>
      <c r="AL39" s="99" t="e">
        <f>'Effort Estimation'!P257+"AM:!$;x"</f>
        <v>#VALUE!</v>
      </c>
      <c r="AM39" s="99" t="e">
        <f>'Effort Estimation'!Q257+"AM:!$;y"</f>
        <v>#VALUE!</v>
      </c>
      <c r="AN39" t="e">
        <f>'Effort Estimation'!R257+"AM:!$;z"</f>
        <v>#VALUE!</v>
      </c>
      <c r="AO39" t="e">
        <f>'Effort Estimation'!S257+"AM:!$;{"</f>
        <v>#VALUE!</v>
      </c>
      <c r="AP39" t="e">
        <f>'Effort Estimation'!T257+"AM:!$;|"</f>
        <v>#VALUE!</v>
      </c>
      <c r="AQ39" t="e">
        <f>'Effort Estimation'!A258+"AM:!$;}"</f>
        <v>#VALUE!</v>
      </c>
      <c r="AR39" t="e">
        <f>'Effort Estimation'!B258+"AM:!$;~"</f>
        <v>#VALUE!</v>
      </c>
      <c r="AS39" t="e">
        <f>'Effort Estimation'!C258+"AM:!$&lt;#"</f>
        <v>#VALUE!</v>
      </c>
      <c r="AT39" t="e">
        <f>'Effort Estimation'!D258+"AM:!$&lt;$"</f>
        <v>#VALUE!</v>
      </c>
      <c r="AU39" t="e">
        <f>'Effort Estimation'!E258+"AM:!$&lt;%"</f>
        <v>#VALUE!</v>
      </c>
      <c r="AV39" t="e">
        <f>'Effort Estimation'!F258+"AM:!$&lt;&amp;"</f>
        <v>#VALUE!</v>
      </c>
      <c r="AW39" t="e">
        <f>'Effort Estimation'!G258+"AM:!$&lt;'"</f>
        <v>#VALUE!</v>
      </c>
      <c r="AX39" t="e">
        <f>'Effort Estimation'!H258+"AM:!$&lt;("</f>
        <v>#VALUE!</v>
      </c>
      <c r="AY39" t="e">
        <f>'Effort Estimation'!I258+"AM:!$&lt;)"</f>
        <v>#VALUE!</v>
      </c>
      <c r="AZ39" s="99" t="e">
        <f>'Effort Estimation'!J258+"AM:!$&lt;."</f>
        <v>#VALUE!</v>
      </c>
      <c r="BA39" s="99" t="e">
        <f>'Effort Estimation'!K258+"AM:!$&lt;/"</f>
        <v>#VALUE!</v>
      </c>
      <c r="BB39" s="99" t="e">
        <f>'Effort Estimation'!L258+"AM:!$&lt;0"</f>
        <v>#VALUE!</v>
      </c>
      <c r="BC39" s="99" t="e">
        <f>'Effort Estimation'!M258+"AM:!$&lt;1"</f>
        <v>#VALUE!</v>
      </c>
      <c r="BD39" s="99" t="e">
        <f>'Effort Estimation'!N258+"AM:!$&lt;2"</f>
        <v>#VALUE!</v>
      </c>
      <c r="BE39" s="99" t="e">
        <f>'Effort Estimation'!O258+"AM:!$&lt;3"</f>
        <v>#VALUE!</v>
      </c>
      <c r="BF39" s="99" t="e">
        <f>'Effort Estimation'!P258+"AM:!$&lt;4"</f>
        <v>#VALUE!</v>
      </c>
      <c r="BG39" s="99" t="e">
        <f>'Effort Estimation'!Q258+"AM:!$&lt;5"</f>
        <v>#VALUE!</v>
      </c>
      <c r="BH39" t="e">
        <f>'Effort Estimation'!R258+"AM:!$&lt;6"</f>
        <v>#VALUE!</v>
      </c>
      <c r="BI39" t="e">
        <f>'Effort Estimation'!S258+"AM:!$&lt;7"</f>
        <v>#VALUE!</v>
      </c>
      <c r="BJ39" t="e">
        <f>'Effort Estimation'!T258+"AM:!$&lt;8"</f>
        <v>#VALUE!</v>
      </c>
      <c r="BK39" t="e">
        <f>'Effort Estimation'!A259+"AM:!$&lt;9"</f>
        <v>#VALUE!</v>
      </c>
      <c r="BL39" t="e">
        <f>'Effort Estimation'!B259+"AM:!$&lt;:"</f>
        <v>#VALUE!</v>
      </c>
      <c r="BM39" t="e">
        <f>'Effort Estimation'!C259+"AM:!$&lt;;"</f>
        <v>#VALUE!</v>
      </c>
      <c r="BN39" t="e">
        <f>'Effort Estimation'!D259+"AM:!$&lt;&lt;"</f>
        <v>#VALUE!</v>
      </c>
      <c r="BO39" t="e">
        <f>'Effort Estimation'!E259+"AM:!$&lt;="</f>
        <v>#VALUE!</v>
      </c>
      <c r="BP39" t="e">
        <f>'Effort Estimation'!F259+"AM:!$&lt;&gt;"</f>
        <v>#VALUE!</v>
      </c>
      <c r="BQ39" t="e">
        <f>'Effort Estimation'!G259+"AM:!$&lt;?"</f>
        <v>#VALUE!</v>
      </c>
      <c r="BR39" t="e">
        <f>'Effort Estimation'!H259+"AM:!$&lt;@"</f>
        <v>#VALUE!</v>
      </c>
      <c r="BS39" t="e">
        <f>'Effort Estimation'!I259+"AM:!$&lt;A"</f>
        <v>#VALUE!</v>
      </c>
      <c r="BT39" s="99" t="e">
        <f>'Effort Estimation'!J259+"AM:!$&lt;B"</f>
        <v>#VALUE!</v>
      </c>
      <c r="BU39" s="99" t="e">
        <f>'Effort Estimation'!K259+"AM:!$&lt;C"</f>
        <v>#VALUE!</v>
      </c>
      <c r="BV39" s="99" t="e">
        <f>'Effort Estimation'!L259+"AM:!$&lt;D"</f>
        <v>#VALUE!</v>
      </c>
      <c r="BW39" s="99" t="e">
        <f>'Effort Estimation'!M259+"AM:!$&lt;E"</f>
        <v>#VALUE!</v>
      </c>
      <c r="BX39" s="99" t="e">
        <f>'Effort Estimation'!N259+"AM:!$&lt;F"</f>
        <v>#VALUE!</v>
      </c>
      <c r="BY39" s="99" t="e">
        <f>'Effort Estimation'!O259+"AM:!$&lt;G"</f>
        <v>#VALUE!</v>
      </c>
      <c r="BZ39" s="99" t="e">
        <f>'Effort Estimation'!P259+"AM:!$&lt;H"</f>
        <v>#VALUE!</v>
      </c>
      <c r="CA39" s="99" t="e">
        <f>'Effort Estimation'!Q259+"AM:!$&lt;I"</f>
        <v>#VALUE!</v>
      </c>
      <c r="CB39" t="e">
        <f>'Effort Estimation'!R259+"AM:!$&lt;J"</f>
        <v>#VALUE!</v>
      </c>
      <c r="CC39" t="e">
        <f>'Effort Estimation'!S259+"AM:!$&lt;K"</f>
        <v>#VALUE!</v>
      </c>
      <c r="CD39" t="e">
        <f>'Effort Estimation'!T259+"AM:!$&lt;L"</f>
        <v>#VALUE!</v>
      </c>
      <c r="CE39" t="e">
        <f>'Effort Estimation'!A260+"AM:!$&lt;M"</f>
        <v>#VALUE!</v>
      </c>
      <c r="CF39" t="e">
        <f>'Effort Estimation'!B260+"AM:!$&lt;N"</f>
        <v>#VALUE!</v>
      </c>
      <c r="CG39" t="e">
        <f>'Effort Estimation'!C260+"AM:!$&lt;O"</f>
        <v>#VALUE!</v>
      </c>
      <c r="CH39" t="e">
        <f>'Effort Estimation'!D260+"AM:!$&lt;P"</f>
        <v>#VALUE!</v>
      </c>
      <c r="CI39" t="e">
        <f>'Effort Estimation'!E260+"AM:!$&lt;Q"</f>
        <v>#VALUE!</v>
      </c>
      <c r="CJ39" t="e">
        <f>'Effort Estimation'!F260+"AM:!$&lt;R"</f>
        <v>#VALUE!</v>
      </c>
      <c r="CK39" t="e">
        <f>'Effort Estimation'!G260+"AM:!$&lt;S"</f>
        <v>#VALUE!</v>
      </c>
      <c r="CL39" t="e">
        <f>'Effort Estimation'!H260+"AM:!$&lt;T"</f>
        <v>#VALUE!</v>
      </c>
      <c r="CM39" t="e">
        <f>'Effort Estimation'!I260+"AM:!$&lt;U"</f>
        <v>#VALUE!</v>
      </c>
      <c r="CN39" s="99" t="e">
        <f>'Effort Estimation'!J260+"AM:!$&lt;V"</f>
        <v>#VALUE!</v>
      </c>
      <c r="CO39" s="99" t="e">
        <f>'Effort Estimation'!K260+"AM:!$&lt;W"</f>
        <v>#VALUE!</v>
      </c>
      <c r="CP39" s="99" t="e">
        <f>'Effort Estimation'!L260+"AM:!$&lt;X"</f>
        <v>#VALUE!</v>
      </c>
      <c r="CQ39" s="99" t="e">
        <f>'Effort Estimation'!M260+"AM:!$&lt;Y"</f>
        <v>#VALUE!</v>
      </c>
      <c r="CR39" s="99" t="e">
        <f>'Effort Estimation'!N260+"AM:!$&lt;Z"</f>
        <v>#VALUE!</v>
      </c>
      <c r="CS39" s="99" t="e">
        <f>'Effort Estimation'!O260+"AM:!$&lt;["</f>
        <v>#VALUE!</v>
      </c>
      <c r="CT39" s="99" t="e">
        <f>'Effort Estimation'!P260+"AM:!$&lt;\"</f>
        <v>#VALUE!</v>
      </c>
      <c r="CU39" s="99" t="e">
        <f>'Effort Estimation'!Q260+"AM:!$&lt;]"</f>
        <v>#VALUE!</v>
      </c>
      <c r="CV39" t="e">
        <f>'Effort Estimation'!R260+"AM:!$&lt;^"</f>
        <v>#VALUE!</v>
      </c>
      <c r="CW39" t="e">
        <f>'Effort Estimation'!S260+"AM:!$&lt;_"</f>
        <v>#VALUE!</v>
      </c>
      <c r="CX39" t="e">
        <f>'Effort Estimation'!T260+"AM:!$&lt;`"</f>
        <v>#VALUE!</v>
      </c>
      <c r="CY39" t="e">
        <f>'Effort Estimation'!A261+"AM:!$&lt;a"</f>
        <v>#VALUE!</v>
      </c>
      <c r="CZ39" t="e">
        <f>'Effort Estimation'!B261+"AM:!$&lt;b"</f>
        <v>#VALUE!</v>
      </c>
      <c r="DA39" t="e">
        <f>'Effort Estimation'!C261+"AM:!$&lt;c"</f>
        <v>#VALUE!</v>
      </c>
      <c r="DB39" t="e">
        <f>'Effort Estimation'!D261+"AM:!$&lt;d"</f>
        <v>#VALUE!</v>
      </c>
      <c r="DC39" t="e">
        <f>'Effort Estimation'!E261+"AM:!$&lt;e"</f>
        <v>#VALUE!</v>
      </c>
      <c r="DD39" t="e">
        <f>'Effort Estimation'!F261+"AM:!$&lt;f"</f>
        <v>#VALUE!</v>
      </c>
      <c r="DE39" t="e">
        <f>'Effort Estimation'!G261+"AM:!$&lt;g"</f>
        <v>#VALUE!</v>
      </c>
      <c r="DF39" t="e">
        <f>'Effort Estimation'!H261+"AM:!$&lt;h"</f>
        <v>#VALUE!</v>
      </c>
      <c r="DG39" t="e">
        <f>'Effort Estimation'!I261+"AM:!$&lt;i"</f>
        <v>#VALUE!</v>
      </c>
      <c r="DH39" s="99" t="e">
        <f>'Effort Estimation'!J261+"AM:!$&lt;j"</f>
        <v>#VALUE!</v>
      </c>
      <c r="DI39" s="99" t="e">
        <f>'Effort Estimation'!K261+"AM:!$&lt;k"</f>
        <v>#VALUE!</v>
      </c>
      <c r="DJ39" s="99" t="e">
        <f>'Effort Estimation'!L261+"AM:!$&lt;l"</f>
        <v>#VALUE!</v>
      </c>
      <c r="DK39" s="99" t="e">
        <f>'Effort Estimation'!M261+"AM:!$&lt;m"</f>
        <v>#VALUE!</v>
      </c>
      <c r="DL39" s="99" t="e">
        <f>'Effort Estimation'!N261+"AM:!$&lt;n"</f>
        <v>#VALUE!</v>
      </c>
      <c r="DM39" s="99" t="e">
        <f>'Effort Estimation'!O261+"AM:!$&lt;o"</f>
        <v>#VALUE!</v>
      </c>
      <c r="DN39" s="99" t="e">
        <f>'Effort Estimation'!P261+"AM:!$&lt;p"</f>
        <v>#VALUE!</v>
      </c>
      <c r="DO39" s="99" t="e">
        <f>'Effort Estimation'!Q261+"AM:!$&lt;q"</f>
        <v>#VALUE!</v>
      </c>
      <c r="DP39" t="e">
        <f>'Effort Estimation'!R261+"AM:!$&lt;r"</f>
        <v>#VALUE!</v>
      </c>
      <c r="DQ39" t="e">
        <f>'Effort Estimation'!S261+"AM:!$&lt;s"</f>
        <v>#VALUE!</v>
      </c>
      <c r="DR39" t="e">
        <f>'Effort Estimation'!T261+"AM:!$&lt;t"</f>
        <v>#VALUE!</v>
      </c>
      <c r="DS39" t="e">
        <f>'Effort Estimation'!A262+"AM:!$&lt;u"</f>
        <v>#VALUE!</v>
      </c>
      <c r="DT39" t="e">
        <f>'Effort Estimation'!B262+"AM:!$&lt;v"</f>
        <v>#VALUE!</v>
      </c>
      <c r="DU39" t="e">
        <f>'Effort Estimation'!C262+"AM:!$&lt;w"</f>
        <v>#VALUE!</v>
      </c>
      <c r="DV39" t="e">
        <f>'Effort Estimation'!D262+"AM:!$&lt;x"</f>
        <v>#VALUE!</v>
      </c>
      <c r="DW39" t="e">
        <f>'Effort Estimation'!E262+"AM:!$&lt;y"</f>
        <v>#VALUE!</v>
      </c>
      <c r="DX39" t="e">
        <f>'Effort Estimation'!F262+"AM:!$&lt;z"</f>
        <v>#VALUE!</v>
      </c>
      <c r="DY39" t="e">
        <f>'Effort Estimation'!G262+"AM:!$&lt;{"</f>
        <v>#VALUE!</v>
      </c>
      <c r="DZ39" t="e">
        <f>'Effort Estimation'!H262+"AM:!$&lt;|"</f>
        <v>#VALUE!</v>
      </c>
      <c r="EA39" t="e">
        <f>'Effort Estimation'!I262+"AM:!$&lt;}"</f>
        <v>#VALUE!</v>
      </c>
      <c r="EB39" s="99" t="e">
        <f>'Effort Estimation'!J262+"AM:!$&lt;~"</f>
        <v>#VALUE!</v>
      </c>
      <c r="EC39" s="99" t="e">
        <f>'Effort Estimation'!K262+"AM:!$=#"</f>
        <v>#VALUE!</v>
      </c>
      <c r="ED39" s="99" t="e">
        <f>'Effort Estimation'!L262+"AM:!$=$"</f>
        <v>#VALUE!</v>
      </c>
      <c r="EE39" s="99" t="e">
        <f>'Effort Estimation'!M262+"AM:!$=%"</f>
        <v>#VALUE!</v>
      </c>
      <c r="EF39" s="99" t="e">
        <f>'Effort Estimation'!N262+"AM:!$=&amp;"</f>
        <v>#VALUE!</v>
      </c>
      <c r="EG39" s="99" t="e">
        <f>'Effort Estimation'!O262+"AM:!$='"</f>
        <v>#VALUE!</v>
      </c>
      <c r="EH39" s="99" t="e">
        <f>'Effort Estimation'!P262+"AM:!$=("</f>
        <v>#VALUE!</v>
      </c>
      <c r="EI39" s="99" t="e">
        <f>'Effort Estimation'!Q262+"AM:!$=)"</f>
        <v>#VALUE!</v>
      </c>
      <c r="EJ39" t="e">
        <f>'Effort Estimation'!R262+"AM:!$=."</f>
        <v>#VALUE!</v>
      </c>
      <c r="EK39" t="e">
        <f>'Effort Estimation'!S262+"AM:!$=/"</f>
        <v>#VALUE!</v>
      </c>
      <c r="EL39" t="e">
        <f>'Effort Estimation'!T262+"AM:!$=0"</f>
        <v>#VALUE!</v>
      </c>
      <c r="EM39" t="e">
        <f>'Effort Estimation'!A263+"AM:!$=1"</f>
        <v>#VALUE!</v>
      </c>
      <c r="EN39" t="e">
        <f>'Effort Estimation'!B263+"AM:!$=2"</f>
        <v>#VALUE!</v>
      </c>
      <c r="EO39" t="e">
        <f>'Effort Estimation'!C263+"AM:!$=3"</f>
        <v>#VALUE!</v>
      </c>
      <c r="EP39" t="e">
        <f>'Effort Estimation'!D263+"AM:!$=4"</f>
        <v>#VALUE!</v>
      </c>
      <c r="EQ39" t="e">
        <f>'Effort Estimation'!E263+"AM:!$=5"</f>
        <v>#VALUE!</v>
      </c>
      <c r="ER39" t="e">
        <f>'Effort Estimation'!F263+"AM:!$=6"</f>
        <v>#VALUE!</v>
      </c>
      <c r="ES39" t="e">
        <f>'Effort Estimation'!G263+"AM:!$=7"</f>
        <v>#VALUE!</v>
      </c>
      <c r="ET39" t="e">
        <f>'Effort Estimation'!H263+"AM:!$=8"</f>
        <v>#VALUE!</v>
      </c>
      <c r="EU39" t="e">
        <f>'Effort Estimation'!I263+"AM:!$=9"</f>
        <v>#VALUE!</v>
      </c>
      <c r="EV39" s="99" t="e">
        <f>'Effort Estimation'!J263+"AM:!$=:"</f>
        <v>#VALUE!</v>
      </c>
      <c r="EW39" s="99" t="e">
        <f>'Effort Estimation'!K263+"AM:!$=;"</f>
        <v>#VALUE!</v>
      </c>
      <c r="EX39" s="99" t="e">
        <f>'Effort Estimation'!L263+"AM:!$=&lt;"</f>
        <v>#VALUE!</v>
      </c>
      <c r="EY39" s="99" t="e">
        <f>'Effort Estimation'!M263+"AM:!$=="</f>
        <v>#VALUE!</v>
      </c>
      <c r="EZ39" s="99" t="e">
        <f>'Effort Estimation'!N263+"AM:!$=&gt;"</f>
        <v>#VALUE!</v>
      </c>
      <c r="FA39" s="99" t="e">
        <f>'Effort Estimation'!O263+"AM:!$=?"</f>
        <v>#VALUE!</v>
      </c>
      <c r="FB39" s="99" t="e">
        <f>'Effort Estimation'!P263+"AM:!$=@"</f>
        <v>#VALUE!</v>
      </c>
      <c r="FC39" s="99" t="e">
        <f>'Effort Estimation'!Q263+"AM:!$=A"</f>
        <v>#VALUE!</v>
      </c>
      <c r="FD39" t="e">
        <f>'Effort Estimation'!R263+"AM:!$=B"</f>
        <v>#VALUE!</v>
      </c>
      <c r="FE39" t="e">
        <f>'Effort Estimation'!S263+"AM:!$=C"</f>
        <v>#VALUE!</v>
      </c>
      <c r="FF39" t="e">
        <f>'Effort Estimation'!T263+"AM:!$=D"</f>
        <v>#VALUE!</v>
      </c>
      <c r="FG39" t="e">
        <f>'Effort Estimation'!A264+"AM:!$=E"</f>
        <v>#VALUE!</v>
      </c>
      <c r="FH39" t="e">
        <f>'Effort Estimation'!B264+"AM:!$=F"</f>
        <v>#VALUE!</v>
      </c>
      <c r="FI39" t="e">
        <f>'Effort Estimation'!C264+"AM:!$=G"</f>
        <v>#VALUE!</v>
      </c>
      <c r="FJ39" t="e">
        <f>'Effort Estimation'!D264+"AM:!$=H"</f>
        <v>#VALUE!</v>
      </c>
      <c r="FK39" t="e">
        <f>'Effort Estimation'!E264+"AM:!$=I"</f>
        <v>#VALUE!</v>
      </c>
      <c r="FL39" t="e">
        <f>'Effort Estimation'!F264+"AM:!$=J"</f>
        <v>#VALUE!</v>
      </c>
      <c r="FM39" t="e">
        <f>'Effort Estimation'!G264+"AM:!$=K"</f>
        <v>#VALUE!</v>
      </c>
      <c r="FN39" t="e">
        <f>'Effort Estimation'!H264+"AM:!$=L"</f>
        <v>#VALUE!</v>
      </c>
      <c r="FO39" t="e">
        <f>'Effort Estimation'!I264+"AM:!$=M"</f>
        <v>#VALUE!</v>
      </c>
      <c r="FP39" s="99" t="e">
        <f>'Effort Estimation'!J264+"AM:!$=N"</f>
        <v>#VALUE!</v>
      </c>
      <c r="FQ39" s="99" t="e">
        <f>'Effort Estimation'!K264+"AM:!$=O"</f>
        <v>#VALUE!</v>
      </c>
      <c r="FR39" s="99" t="e">
        <f>'Effort Estimation'!L264+"AM:!$=P"</f>
        <v>#VALUE!</v>
      </c>
      <c r="FS39" s="99" t="e">
        <f>'Effort Estimation'!M264+"AM:!$=Q"</f>
        <v>#VALUE!</v>
      </c>
      <c r="FT39" s="99" t="e">
        <f>'Effort Estimation'!N264+"AM:!$=R"</f>
        <v>#VALUE!</v>
      </c>
      <c r="FU39" s="99" t="e">
        <f>'Effort Estimation'!O264+"AM:!$=S"</f>
        <v>#VALUE!</v>
      </c>
      <c r="FV39" s="99" t="e">
        <f>'Effort Estimation'!P264+"AM:!$=T"</f>
        <v>#VALUE!</v>
      </c>
      <c r="FW39" s="99" t="e">
        <f>'Effort Estimation'!Q264+"AM:!$=U"</f>
        <v>#VALUE!</v>
      </c>
      <c r="FX39" t="e">
        <f>'Effort Estimation'!R264+"AM:!$=V"</f>
        <v>#VALUE!</v>
      </c>
      <c r="FY39" t="e">
        <f>'Effort Estimation'!S264+"AM:!$=W"</f>
        <v>#VALUE!</v>
      </c>
      <c r="FZ39" t="e">
        <f>'Effort Estimation'!T264+"AM:!$=X"</f>
        <v>#VALUE!</v>
      </c>
      <c r="GA39" t="e">
        <f>'Effort Estimation'!A265+"AM:!$=Y"</f>
        <v>#VALUE!</v>
      </c>
      <c r="GB39" t="e">
        <f>'Effort Estimation'!B265+"AM:!$=Z"</f>
        <v>#VALUE!</v>
      </c>
      <c r="GC39" t="e">
        <f>'Effort Estimation'!C265+"AM:!$=["</f>
        <v>#VALUE!</v>
      </c>
      <c r="GD39" t="e">
        <f>'Effort Estimation'!D265+"AM:!$=\"</f>
        <v>#VALUE!</v>
      </c>
      <c r="GE39" t="e">
        <f>'Effort Estimation'!E265+"AM:!$=]"</f>
        <v>#VALUE!</v>
      </c>
      <c r="GF39" t="e">
        <f>'Effort Estimation'!F265+"AM:!$=^"</f>
        <v>#VALUE!</v>
      </c>
      <c r="GG39" t="e">
        <f>'Effort Estimation'!G265+"AM:!$=_"</f>
        <v>#VALUE!</v>
      </c>
      <c r="GH39" t="e">
        <f>'Effort Estimation'!H265+"AM:!$=`"</f>
        <v>#VALUE!</v>
      </c>
      <c r="GI39" t="e">
        <f>'Effort Estimation'!I265+"AM:!$=a"</f>
        <v>#VALUE!</v>
      </c>
      <c r="GJ39" s="99" t="e">
        <f>'Effort Estimation'!J265+"AM:!$=b"</f>
        <v>#VALUE!</v>
      </c>
      <c r="GK39" s="99" t="e">
        <f>'Effort Estimation'!K265+"AM:!$=c"</f>
        <v>#VALUE!</v>
      </c>
      <c r="GL39" s="99" t="e">
        <f>'Effort Estimation'!L265+"AM:!$=d"</f>
        <v>#VALUE!</v>
      </c>
      <c r="GM39" s="99" t="e">
        <f>'Effort Estimation'!M265+"AM:!$=e"</f>
        <v>#VALUE!</v>
      </c>
      <c r="GN39" s="99" t="e">
        <f>'Effort Estimation'!N265+"AM:!$=f"</f>
        <v>#VALUE!</v>
      </c>
      <c r="GO39" s="99" t="e">
        <f>'Effort Estimation'!O265+"AM:!$=g"</f>
        <v>#VALUE!</v>
      </c>
      <c r="GP39" s="99" t="e">
        <f>'Effort Estimation'!P265+"AM:!$=h"</f>
        <v>#VALUE!</v>
      </c>
      <c r="GQ39" s="99" t="e">
        <f>'Effort Estimation'!Q265+"AM:!$=i"</f>
        <v>#VALUE!</v>
      </c>
      <c r="GR39" t="e">
        <f>'Effort Estimation'!R265+"AM:!$=j"</f>
        <v>#VALUE!</v>
      </c>
      <c r="GS39" t="e">
        <f>'Effort Estimation'!S265+"AM:!$=k"</f>
        <v>#VALUE!</v>
      </c>
      <c r="GT39" t="e">
        <f>'Effort Estimation'!T265+"AM:!$=l"</f>
        <v>#VALUE!</v>
      </c>
      <c r="GU39" t="e">
        <f>'Effort Estimation'!A266+"AM:!$=m"</f>
        <v>#VALUE!</v>
      </c>
      <c r="GV39" t="e">
        <f>'Effort Estimation'!B266+"AM:!$=n"</f>
        <v>#VALUE!</v>
      </c>
      <c r="GW39" t="e">
        <f>'Effort Estimation'!C266+"AM:!$=o"</f>
        <v>#VALUE!</v>
      </c>
      <c r="GX39" t="e">
        <f>'Effort Estimation'!D266+"AM:!$=p"</f>
        <v>#VALUE!</v>
      </c>
      <c r="GY39" t="e">
        <f>'Effort Estimation'!E266+"AM:!$=q"</f>
        <v>#VALUE!</v>
      </c>
      <c r="GZ39" t="e">
        <f>'Effort Estimation'!F266+"AM:!$=r"</f>
        <v>#VALUE!</v>
      </c>
      <c r="HA39" t="e">
        <f>'Effort Estimation'!G266+"AM:!$=s"</f>
        <v>#VALUE!</v>
      </c>
      <c r="HB39" t="e">
        <f>'Effort Estimation'!H266+"AM:!$=t"</f>
        <v>#VALUE!</v>
      </c>
      <c r="HC39" t="e">
        <f>'Effort Estimation'!I266+"AM:!$=u"</f>
        <v>#VALUE!</v>
      </c>
      <c r="HD39" s="99" t="e">
        <f>'Effort Estimation'!J266+"AM:!$=v"</f>
        <v>#VALUE!</v>
      </c>
      <c r="HE39" s="99" t="e">
        <f>'Effort Estimation'!K266+"AM:!$=w"</f>
        <v>#VALUE!</v>
      </c>
      <c r="HF39" s="99" t="e">
        <f>'Effort Estimation'!L266+"AM:!$=x"</f>
        <v>#VALUE!</v>
      </c>
      <c r="HG39" s="99" t="e">
        <f>'Effort Estimation'!M266+"AM:!$=y"</f>
        <v>#VALUE!</v>
      </c>
      <c r="HH39" s="99" t="e">
        <f>'Effort Estimation'!N266+"AM:!$=z"</f>
        <v>#VALUE!</v>
      </c>
      <c r="HI39" s="99" t="e">
        <f>'Effort Estimation'!O266+"AM:!$={"</f>
        <v>#VALUE!</v>
      </c>
      <c r="HJ39" s="99" t="e">
        <f>'Effort Estimation'!P266+"AM:!$=|"</f>
        <v>#VALUE!</v>
      </c>
      <c r="HK39" s="99" t="e">
        <f>'Effort Estimation'!Q266+"AM:!$=}"</f>
        <v>#VALUE!</v>
      </c>
      <c r="HL39" t="e">
        <f>'Effort Estimation'!R266+"AM:!$=~"</f>
        <v>#VALUE!</v>
      </c>
      <c r="HM39" t="e">
        <f>'Effort Estimation'!S266+"AM:!$&gt;#"</f>
        <v>#VALUE!</v>
      </c>
      <c r="HN39" t="e">
        <f>'Effort Estimation'!T266+"AM:!$&gt;$"</f>
        <v>#VALUE!</v>
      </c>
      <c r="HO39" t="e">
        <f>'Effort Estimation'!A267+"AM:!$&gt;%"</f>
        <v>#VALUE!</v>
      </c>
      <c r="HP39" t="e">
        <f>'Effort Estimation'!B267+"AM:!$&gt;&amp;"</f>
        <v>#VALUE!</v>
      </c>
      <c r="HQ39" t="e">
        <f>'Effort Estimation'!C267+"AM:!$&gt;'"</f>
        <v>#VALUE!</v>
      </c>
      <c r="HR39" t="e">
        <f>'Effort Estimation'!D267+"AM:!$&gt;("</f>
        <v>#VALUE!</v>
      </c>
      <c r="HS39" t="e">
        <f>'Effort Estimation'!E267+"AM:!$&gt;)"</f>
        <v>#VALUE!</v>
      </c>
      <c r="HT39" t="e">
        <f>'Effort Estimation'!F267+"AM:!$&gt;."</f>
        <v>#VALUE!</v>
      </c>
      <c r="HU39" t="e">
        <f>'Effort Estimation'!G267+"AM:!$&gt;/"</f>
        <v>#VALUE!</v>
      </c>
      <c r="HV39" t="e">
        <f>'Effort Estimation'!H267+"AM:!$&gt;0"</f>
        <v>#VALUE!</v>
      </c>
      <c r="HW39" t="e">
        <f>'Effort Estimation'!I267+"AM:!$&gt;1"</f>
        <v>#VALUE!</v>
      </c>
      <c r="HX39" s="99" t="e">
        <f>'Effort Estimation'!J267+"AM:!$&gt;2"</f>
        <v>#VALUE!</v>
      </c>
      <c r="HY39" s="99" t="e">
        <f>'Effort Estimation'!K267+"AM:!$&gt;3"</f>
        <v>#VALUE!</v>
      </c>
      <c r="HZ39" s="99" t="e">
        <f>'Effort Estimation'!L267+"AM:!$&gt;4"</f>
        <v>#VALUE!</v>
      </c>
      <c r="IA39" s="99" t="e">
        <f>'Effort Estimation'!M267+"AM:!$&gt;5"</f>
        <v>#VALUE!</v>
      </c>
      <c r="IB39" s="99" t="e">
        <f>'Effort Estimation'!N267+"AM:!$&gt;6"</f>
        <v>#VALUE!</v>
      </c>
      <c r="IC39" s="99" t="e">
        <f>'Effort Estimation'!O267+"AM:!$&gt;7"</f>
        <v>#VALUE!</v>
      </c>
      <c r="ID39" s="99" t="e">
        <f>'Effort Estimation'!P267+"AM:!$&gt;8"</f>
        <v>#VALUE!</v>
      </c>
      <c r="IE39" s="99" t="e">
        <f>'Effort Estimation'!Q267+"AM:!$&gt;9"</f>
        <v>#VALUE!</v>
      </c>
      <c r="IF39" t="e">
        <f>'Effort Estimation'!R267+"AM:!$&gt;:"</f>
        <v>#VALUE!</v>
      </c>
      <c r="IG39" t="e">
        <f>'Effort Estimation'!S267+"AM:!$&gt;;"</f>
        <v>#VALUE!</v>
      </c>
      <c r="IH39" t="e">
        <f>'Effort Estimation'!T267+"AM:!$&gt;&lt;"</f>
        <v>#VALUE!</v>
      </c>
      <c r="II39" t="e">
        <f>'Effort Estimation'!A268+"AM:!$&gt;="</f>
        <v>#VALUE!</v>
      </c>
      <c r="IJ39" t="e">
        <f>'Effort Estimation'!B268+"AM:!$&gt;&gt;"</f>
        <v>#VALUE!</v>
      </c>
      <c r="IK39" t="e">
        <f>'Effort Estimation'!C268+"AM:!$&gt;?"</f>
        <v>#VALUE!</v>
      </c>
      <c r="IL39" t="e">
        <f>'Effort Estimation'!D268+"AM:!$&gt;@"</f>
        <v>#VALUE!</v>
      </c>
      <c r="IM39" t="e">
        <f>'Effort Estimation'!E268+"AM:!$&gt;A"</f>
        <v>#VALUE!</v>
      </c>
      <c r="IN39" t="e">
        <f>'Effort Estimation'!F268+"AM:!$&gt;B"</f>
        <v>#VALUE!</v>
      </c>
      <c r="IO39" t="e">
        <f>'Effort Estimation'!G268+"AM:!$&gt;C"</f>
        <v>#VALUE!</v>
      </c>
      <c r="IP39" t="e">
        <f>'Effort Estimation'!H268+"AM:!$&gt;D"</f>
        <v>#VALUE!</v>
      </c>
      <c r="IQ39" t="e">
        <f>'Effort Estimation'!I268+"AM:!$&gt;E"</f>
        <v>#VALUE!</v>
      </c>
      <c r="IR39" s="99" t="e">
        <f>'Effort Estimation'!J268+"AM:!$&gt;F"</f>
        <v>#VALUE!</v>
      </c>
      <c r="IS39" s="99" t="e">
        <f>'Effort Estimation'!K268+"AM:!$&gt;G"</f>
        <v>#VALUE!</v>
      </c>
      <c r="IT39" s="99" t="e">
        <f>'Effort Estimation'!L268+"AM:!$&gt;H"</f>
        <v>#VALUE!</v>
      </c>
      <c r="IU39" s="99" t="e">
        <f>'Effort Estimation'!M268+"AM:!$&gt;I"</f>
        <v>#VALUE!</v>
      </c>
      <c r="IV39" s="99" t="e">
        <f>'Effort Estimation'!N268+"AM:!$&gt;J"</f>
        <v>#VALUE!</v>
      </c>
    </row>
    <row r="40" spans="6:256">
      <c r="F40" s="99" t="e">
        <f>'Effort Estimation'!O268+"AM:!$&gt;K"</f>
        <v>#VALUE!</v>
      </c>
      <c r="G40" s="99" t="e">
        <f>'Effort Estimation'!P268+"AM:!$&gt;L"</f>
        <v>#VALUE!</v>
      </c>
      <c r="H40" s="99" t="e">
        <f>'Effort Estimation'!Q268+"AM:!$&gt;M"</f>
        <v>#VALUE!</v>
      </c>
      <c r="I40" t="e">
        <f>'Effort Estimation'!R268+"AM:!$&gt;N"</f>
        <v>#VALUE!</v>
      </c>
      <c r="J40" t="e">
        <f>'Effort Estimation'!S268+"AM:!$&gt;O"</f>
        <v>#VALUE!</v>
      </c>
      <c r="K40" t="e">
        <f>'Effort Estimation'!T268+"AM:!$&gt;P"</f>
        <v>#VALUE!</v>
      </c>
      <c r="L40" t="e">
        <f>'Effort Estimation'!A269+"AM:!$&gt;Q"</f>
        <v>#VALUE!</v>
      </c>
      <c r="M40" t="e">
        <f>'Effort Estimation'!B269+"AM:!$&gt;R"</f>
        <v>#VALUE!</v>
      </c>
      <c r="N40" t="e">
        <f>'Effort Estimation'!C269+"AM:!$&gt;S"</f>
        <v>#VALUE!</v>
      </c>
      <c r="O40" t="e">
        <f>'Effort Estimation'!D269+"AM:!$&gt;T"</f>
        <v>#VALUE!</v>
      </c>
      <c r="P40" t="e">
        <f>'Effort Estimation'!E269+"AM:!$&gt;U"</f>
        <v>#VALUE!</v>
      </c>
      <c r="Q40" t="e">
        <f>'Effort Estimation'!F269+"AM:!$&gt;V"</f>
        <v>#VALUE!</v>
      </c>
      <c r="R40" t="e">
        <f>'Effort Estimation'!G269+"AM:!$&gt;W"</f>
        <v>#VALUE!</v>
      </c>
      <c r="S40" t="e">
        <f>'Effort Estimation'!H269+"AM:!$&gt;X"</f>
        <v>#VALUE!</v>
      </c>
      <c r="T40" t="e">
        <f>'Effort Estimation'!I269+"AM:!$&gt;Y"</f>
        <v>#VALUE!</v>
      </c>
      <c r="U40" s="99" t="e">
        <f>'Effort Estimation'!J269+"AM:!$&gt;Z"</f>
        <v>#VALUE!</v>
      </c>
      <c r="V40" s="99" t="e">
        <f>'Effort Estimation'!K269+"AM:!$&gt;["</f>
        <v>#VALUE!</v>
      </c>
      <c r="W40" s="99" t="e">
        <f>'Effort Estimation'!L269+"AM:!$&gt;\"</f>
        <v>#VALUE!</v>
      </c>
      <c r="X40" s="99" t="e">
        <f>'Effort Estimation'!M269+"AM:!$&gt;]"</f>
        <v>#VALUE!</v>
      </c>
      <c r="Y40" s="99" t="e">
        <f>'Effort Estimation'!N269+"AM:!$&gt;^"</f>
        <v>#VALUE!</v>
      </c>
      <c r="Z40" s="99" t="e">
        <f>'Effort Estimation'!O269+"AM:!$&gt;_"</f>
        <v>#VALUE!</v>
      </c>
      <c r="AA40" s="99" t="e">
        <f>'Effort Estimation'!P269+"AM:!$&gt;`"</f>
        <v>#VALUE!</v>
      </c>
      <c r="AB40" s="99" t="e">
        <f>'Effort Estimation'!Q269+"AM:!$&gt;a"</f>
        <v>#VALUE!</v>
      </c>
      <c r="AC40" t="e">
        <f>'Effort Estimation'!R269+"AM:!$&gt;b"</f>
        <v>#VALUE!</v>
      </c>
      <c r="AD40" t="e">
        <f>'Effort Estimation'!S269+"AM:!$&gt;c"</f>
        <v>#VALUE!</v>
      </c>
      <c r="AE40" t="e">
        <f>'Effort Estimation'!T269+"AM:!$&gt;d"</f>
        <v>#VALUE!</v>
      </c>
      <c r="AF40" t="e">
        <f>'Effort Estimation'!A270+"AM:!$&gt;e"</f>
        <v>#VALUE!</v>
      </c>
      <c r="AG40" t="e">
        <f>'Effort Estimation'!B270+"AM:!$&gt;f"</f>
        <v>#VALUE!</v>
      </c>
      <c r="AH40" t="e">
        <f>'Effort Estimation'!C270+"AM:!$&gt;g"</f>
        <v>#VALUE!</v>
      </c>
      <c r="AI40" t="e">
        <f>'Effort Estimation'!D270+"AM:!$&gt;h"</f>
        <v>#VALUE!</v>
      </c>
      <c r="AJ40" t="e">
        <f>'Effort Estimation'!E270+"AM:!$&gt;i"</f>
        <v>#VALUE!</v>
      </c>
      <c r="AK40" t="e">
        <f>'Effort Estimation'!F270+"AM:!$&gt;j"</f>
        <v>#VALUE!</v>
      </c>
      <c r="AL40" t="e">
        <f>'Effort Estimation'!G270+"AM:!$&gt;k"</f>
        <v>#VALUE!</v>
      </c>
      <c r="AM40" t="e">
        <f>'Effort Estimation'!H270+"AM:!$&gt;l"</f>
        <v>#VALUE!</v>
      </c>
      <c r="AN40" t="e">
        <f>'Effort Estimation'!I270+"AM:!$&gt;m"</f>
        <v>#VALUE!</v>
      </c>
      <c r="AO40" s="99" t="e">
        <f>'Effort Estimation'!J270+"AM:!$&gt;n"</f>
        <v>#VALUE!</v>
      </c>
      <c r="AP40" s="99" t="e">
        <f>'Effort Estimation'!K270+"AM:!$&gt;o"</f>
        <v>#VALUE!</v>
      </c>
      <c r="AQ40" s="99" t="e">
        <f>'Effort Estimation'!L270+"AM:!$&gt;p"</f>
        <v>#VALUE!</v>
      </c>
      <c r="AR40" s="99" t="e">
        <f>'Effort Estimation'!M270+"AM:!$&gt;q"</f>
        <v>#VALUE!</v>
      </c>
      <c r="AS40" s="99" t="e">
        <f>'Effort Estimation'!N270+"AM:!$&gt;r"</f>
        <v>#VALUE!</v>
      </c>
      <c r="AT40" s="99" t="e">
        <f>'Effort Estimation'!O270+"AM:!$&gt;s"</f>
        <v>#VALUE!</v>
      </c>
      <c r="AU40" s="99" t="e">
        <f>'Effort Estimation'!P270+"AM:!$&gt;t"</f>
        <v>#VALUE!</v>
      </c>
      <c r="AV40" s="99" t="e">
        <f>'Effort Estimation'!Q270+"AM:!$&gt;u"</f>
        <v>#VALUE!</v>
      </c>
      <c r="AW40" t="e">
        <f>'Effort Estimation'!R270+"AM:!$&gt;v"</f>
        <v>#VALUE!</v>
      </c>
      <c r="AX40" t="e">
        <f>'Effort Estimation'!S270+"AM:!$&gt;w"</f>
        <v>#VALUE!</v>
      </c>
      <c r="AY40" t="e">
        <f>'Effort Estimation'!T270+"AM:!$&gt;x"</f>
        <v>#VALUE!</v>
      </c>
      <c r="AZ40" t="e">
        <f>'Effort Estimation'!A271+"AM:!$&gt;y"</f>
        <v>#VALUE!</v>
      </c>
      <c r="BA40" t="e">
        <f>'Effort Estimation'!B271+"AM:!$&gt;z"</f>
        <v>#VALUE!</v>
      </c>
      <c r="BB40" t="e">
        <f>'Effort Estimation'!C271+"AM:!$&gt;{"</f>
        <v>#VALUE!</v>
      </c>
      <c r="BC40" t="e">
        <f>'Effort Estimation'!D271+"AM:!$&gt;|"</f>
        <v>#VALUE!</v>
      </c>
      <c r="BD40" t="e">
        <f>'Effort Estimation'!E271+"AM:!$&gt;}"</f>
        <v>#VALUE!</v>
      </c>
      <c r="BE40" t="e">
        <f>'Effort Estimation'!F271+"AM:!$&gt;~"</f>
        <v>#VALUE!</v>
      </c>
      <c r="BF40" t="e">
        <f>'Effort Estimation'!G271+"AM:!$?#"</f>
        <v>#VALUE!</v>
      </c>
      <c r="BG40" t="e">
        <f>'Effort Estimation'!H271+"AM:!$?$"</f>
        <v>#VALUE!</v>
      </c>
      <c r="BH40" t="e">
        <f>'Effort Estimation'!I271+"AM:!$?%"</f>
        <v>#VALUE!</v>
      </c>
      <c r="BI40" s="99" t="e">
        <f>'Effort Estimation'!J271+"AM:!$?&amp;"</f>
        <v>#VALUE!</v>
      </c>
      <c r="BJ40" s="99" t="e">
        <f>'Effort Estimation'!K271+"AM:!$?'"</f>
        <v>#VALUE!</v>
      </c>
      <c r="BK40" s="99" t="e">
        <f>'Effort Estimation'!L271+"AM:!$?("</f>
        <v>#VALUE!</v>
      </c>
      <c r="BL40" s="99" t="e">
        <f>'Effort Estimation'!M271+"AM:!$?)"</f>
        <v>#VALUE!</v>
      </c>
      <c r="BM40" s="99" t="e">
        <f>'Effort Estimation'!N271+"AM:!$?."</f>
        <v>#VALUE!</v>
      </c>
      <c r="BN40" s="99" t="e">
        <f>'Effort Estimation'!O271+"AM:!$?/"</f>
        <v>#VALUE!</v>
      </c>
      <c r="BO40" s="99" t="e">
        <f>'Effort Estimation'!P271+"AM:!$?0"</f>
        <v>#VALUE!</v>
      </c>
      <c r="BP40" s="99" t="e">
        <f>'Effort Estimation'!Q271+"AM:!$?1"</f>
        <v>#VALUE!</v>
      </c>
      <c r="BQ40" t="e">
        <f>'Effort Estimation'!R271+"AM:!$?2"</f>
        <v>#VALUE!</v>
      </c>
      <c r="BR40" t="e">
        <f>'Effort Estimation'!S271+"AM:!$?3"</f>
        <v>#VALUE!</v>
      </c>
      <c r="BS40" t="e">
        <f>'Effort Estimation'!T271+"AM:!$?4"</f>
        <v>#VALUE!</v>
      </c>
      <c r="BT40" t="e">
        <f>'Effort Estimation'!A272+"AM:!$?5"</f>
        <v>#VALUE!</v>
      </c>
      <c r="BU40" t="e">
        <f>'Effort Estimation'!B272+"AM:!$?6"</f>
        <v>#VALUE!</v>
      </c>
      <c r="BV40" t="e">
        <f>'Effort Estimation'!C272+"AM:!$?7"</f>
        <v>#VALUE!</v>
      </c>
      <c r="BW40" t="e">
        <f>'Effort Estimation'!D272+"AM:!$?8"</f>
        <v>#VALUE!</v>
      </c>
      <c r="BX40" t="e">
        <f>'Effort Estimation'!E272+"AM:!$?9"</f>
        <v>#VALUE!</v>
      </c>
      <c r="BY40" t="e">
        <f>'Effort Estimation'!F272+"AM:!$?:"</f>
        <v>#VALUE!</v>
      </c>
      <c r="BZ40" t="e">
        <f>'Effort Estimation'!G272+"AM:!$?;"</f>
        <v>#VALUE!</v>
      </c>
      <c r="CA40" t="e">
        <f>'Effort Estimation'!H272+"AM:!$?&lt;"</f>
        <v>#VALUE!</v>
      </c>
      <c r="CB40" t="e">
        <f>'Effort Estimation'!I272+"AM:!$?="</f>
        <v>#VALUE!</v>
      </c>
      <c r="CC40" s="99" t="e">
        <f>'Effort Estimation'!J272+"AM:!$?&gt;"</f>
        <v>#VALUE!</v>
      </c>
      <c r="CD40" s="99" t="e">
        <f>'Effort Estimation'!K272+"AM:!$??"</f>
        <v>#VALUE!</v>
      </c>
      <c r="CE40" s="99" t="e">
        <f>'Effort Estimation'!L272+"AM:!$?@"</f>
        <v>#VALUE!</v>
      </c>
      <c r="CF40" s="99" t="e">
        <f>'Effort Estimation'!M272+"AM:!$?A"</f>
        <v>#VALUE!</v>
      </c>
      <c r="CG40" s="99" t="e">
        <f>'Effort Estimation'!N272+"AM:!$?B"</f>
        <v>#VALUE!</v>
      </c>
      <c r="CH40" s="99" t="e">
        <f>'Effort Estimation'!O272+"AM:!$?C"</f>
        <v>#VALUE!</v>
      </c>
      <c r="CI40" s="99" t="e">
        <f>'Effort Estimation'!P272+"AM:!$?D"</f>
        <v>#VALUE!</v>
      </c>
      <c r="CJ40" s="99" t="e">
        <f>'Effort Estimation'!Q272+"AM:!$?E"</f>
        <v>#VALUE!</v>
      </c>
      <c r="CK40" t="e">
        <f>'Effort Estimation'!R272+"AM:!$?F"</f>
        <v>#VALUE!</v>
      </c>
      <c r="CL40" t="e">
        <f>'Effort Estimation'!S272+"AM:!$?G"</f>
        <v>#VALUE!</v>
      </c>
      <c r="CM40" t="e">
        <f>'Effort Estimation'!T272+"AM:!$?H"</f>
        <v>#VALUE!</v>
      </c>
      <c r="CN40" t="e">
        <f>'Effort Estimation'!A273+"AM:!$?I"</f>
        <v>#VALUE!</v>
      </c>
      <c r="CO40" t="e">
        <f>'Effort Estimation'!B273+"AM:!$?J"</f>
        <v>#VALUE!</v>
      </c>
      <c r="CP40" t="e">
        <f>'Effort Estimation'!C273+"AM:!$?K"</f>
        <v>#VALUE!</v>
      </c>
      <c r="CQ40" t="e">
        <f>'Effort Estimation'!D273+"AM:!$?L"</f>
        <v>#VALUE!</v>
      </c>
      <c r="CR40" t="e">
        <f>'Effort Estimation'!E273+"AM:!$?M"</f>
        <v>#VALUE!</v>
      </c>
      <c r="CS40" t="e">
        <f>'Effort Estimation'!F273+"AM:!$?N"</f>
        <v>#VALUE!</v>
      </c>
      <c r="CT40" t="e">
        <f>'Effort Estimation'!G273+"AM:!$?O"</f>
        <v>#VALUE!</v>
      </c>
      <c r="CU40" t="e">
        <f>'Effort Estimation'!H273+"AM:!$?P"</f>
        <v>#VALUE!</v>
      </c>
      <c r="CV40" t="e">
        <f>'Effort Estimation'!I273+"AM:!$?Q"</f>
        <v>#VALUE!</v>
      </c>
      <c r="CW40" s="99" t="e">
        <f>'Effort Estimation'!J273+"AM:!$?R"</f>
        <v>#VALUE!</v>
      </c>
      <c r="CX40" s="99" t="e">
        <f>'Effort Estimation'!K273+"AM:!$?S"</f>
        <v>#VALUE!</v>
      </c>
      <c r="CY40" s="99" t="e">
        <f>'Effort Estimation'!L273+"AM:!$?T"</f>
        <v>#VALUE!</v>
      </c>
      <c r="CZ40" s="99" t="e">
        <f>'Effort Estimation'!M273+"AM:!$?U"</f>
        <v>#VALUE!</v>
      </c>
      <c r="DA40" s="99" t="e">
        <f>'Effort Estimation'!N273+"AM:!$?V"</f>
        <v>#VALUE!</v>
      </c>
      <c r="DB40" s="99" t="e">
        <f>'Effort Estimation'!O273+"AM:!$?W"</f>
        <v>#VALUE!</v>
      </c>
      <c r="DC40" s="99" t="e">
        <f>'Effort Estimation'!P273+"AM:!$?X"</f>
        <v>#VALUE!</v>
      </c>
      <c r="DD40" s="99" t="e">
        <f>'Effort Estimation'!Q273+"AM:!$?Y"</f>
        <v>#VALUE!</v>
      </c>
      <c r="DE40" t="e">
        <f>'Effort Estimation'!R273+"AM:!$?Z"</f>
        <v>#VALUE!</v>
      </c>
      <c r="DF40" t="e">
        <f>'Effort Estimation'!S273+"AM:!$?["</f>
        <v>#VALUE!</v>
      </c>
      <c r="DG40" t="e">
        <f>'Effort Estimation'!T273+"AM:!$?\"</f>
        <v>#VALUE!</v>
      </c>
      <c r="DH40" t="e">
        <f>'Effort Estimation'!A274+"AM:!$?]"</f>
        <v>#VALUE!</v>
      </c>
      <c r="DI40" t="e">
        <f>'Effort Estimation'!B274+"AM:!$?^"</f>
        <v>#VALUE!</v>
      </c>
      <c r="DJ40" t="e">
        <f>'Effort Estimation'!C274+"AM:!$?_"</f>
        <v>#VALUE!</v>
      </c>
      <c r="DK40" t="e">
        <f>'Effort Estimation'!D274+"AM:!$?`"</f>
        <v>#VALUE!</v>
      </c>
      <c r="DL40" t="e">
        <f>'Effort Estimation'!E274+"AM:!$?a"</f>
        <v>#VALUE!</v>
      </c>
      <c r="DM40" t="e">
        <f>'Effort Estimation'!F274+"AM:!$?b"</f>
        <v>#VALUE!</v>
      </c>
      <c r="DN40" t="e">
        <f>'Effort Estimation'!G274+"AM:!$?c"</f>
        <v>#VALUE!</v>
      </c>
      <c r="DO40" t="e">
        <f>'Effort Estimation'!H274+"AM:!$?d"</f>
        <v>#VALUE!</v>
      </c>
      <c r="DP40" t="e">
        <f>'Effort Estimation'!I274+"AM:!$?e"</f>
        <v>#VALUE!</v>
      </c>
      <c r="DQ40" s="99" t="e">
        <f>'Effort Estimation'!J274+"AM:!$?f"</f>
        <v>#VALUE!</v>
      </c>
      <c r="DR40" s="99" t="e">
        <f>'Effort Estimation'!K274+"AM:!$?g"</f>
        <v>#VALUE!</v>
      </c>
      <c r="DS40" s="99" t="e">
        <f>'Effort Estimation'!L274+"AM:!$?h"</f>
        <v>#VALUE!</v>
      </c>
      <c r="DT40" s="99" t="e">
        <f>'Effort Estimation'!M274+"AM:!$?i"</f>
        <v>#VALUE!</v>
      </c>
      <c r="DU40" s="99" t="e">
        <f>'Effort Estimation'!N274+"AM:!$?j"</f>
        <v>#VALUE!</v>
      </c>
      <c r="DV40" s="99" t="e">
        <f>'Effort Estimation'!O274+"AM:!$?k"</f>
        <v>#VALUE!</v>
      </c>
      <c r="DW40" s="99" t="e">
        <f>'Effort Estimation'!P274+"AM:!$?l"</f>
        <v>#VALUE!</v>
      </c>
      <c r="DX40" s="99" t="e">
        <f>'Effort Estimation'!Q274+"AM:!$?m"</f>
        <v>#VALUE!</v>
      </c>
      <c r="DY40" t="e">
        <f>'Effort Estimation'!R274+"AM:!$?n"</f>
        <v>#VALUE!</v>
      </c>
      <c r="DZ40" t="e">
        <f>'Effort Estimation'!S274+"AM:!$?o"</f>
        <v>#VALUE!</v>
      </c>
      <c r="EA40" t="e">
        <f>'Effort Estimation'!T274+"AM:!$?p"</f>
        <v>#VALUE!</v>
      </c>
      <c r="EB40" t="e">
        <f>'Effort Estimation'!A275+"AM:!$?q"</f>
        <v>#VALUE!</v>
      </c>
      <c r="EC40" t="e">
        <f>'Effort Estimation'!B275+"AM:!$?r"</f>
        <v>#VALUE!</v>
      </c>
      <c r="ED40" t="e">
        <f>'Effort Estimation'!C275+"AM:!$?s"</f>
        <v>#VALUE!</v>
      </c>
      <c r="EE40" t="e">
        <f>'Effort Estimation'!D275+"AM:!$?t"</f>
        <v>#VALUE!</v>
      </c>
      <c r="EF40" t="e">
        <f>'Effort Estimation'!E275+"AM:!$?u"</f>
        <v>#VALUE!</v>
      </c>
      <c r="EG40" t="e">
        <f>'Effort Estimation'!F275+"AM:!$?v"</f>
        <v>#VALUE!</v>
      </c>
      <c r="EH40" t="e">
        <f>'Effort Estimation'!G275+"AM:!$?w"</f>
        <v>#VALUE!</v>
      </c>
      <c r="EI40" t="e">
        <f>'Effort Estimation'!H275+"AM:!$?x"</f>
        <v>#VALUE!</v>
      </c>
      <c r="EJ40" t="e">
        <f>'Effort Estimation'!I275+"AM:!$?y"</f>
        <v>#VALUE!</v>
      </c>
      <c r="EK40" s="99" t="e">
        <f>'Effort Estimation'!J275+"AM:!$?z"</f>
        <v>#VALUE!</v>
      </c>
      <c r="EL40" s="99" t="e">
        <f>'Effort Estimation'!K275+"AM:!$?{"</f>
        <v>#VALUE!</v>
      </c>
      <c r="EM40" s="99" t="e">
        <f>'Effort Estimation'!L275+"AM:!$?|"</f>
        <v>#VALUE!</v>
      </c>
      <c r="EN40" s="99" t="e">
        <f>'Effort Estimation'!M275+"AM:!$?}"</f>
        <v>#VALUE!</v>
      </c>
      <c r="EO40" s="99" t="e">
        <f>'Effort Estimation'!N275+"AM:!$?~"</f>
        <v>#VALUE!</v>
      </c>
      <c r="EP40" s="99" t="e">
        <f>'Effort Estimation'!O275+"AM:!$@#"</f>
        <v>#VALUE!</v>
      </c>
      <c r="EQ40" s="99" t="e">
        <f>'Effort Estimation'!P275+"AM:!$@$"</f>
        <v>#VALUE!</v>
      </c>
      <c r="ER40" s="99" t="e">
        <f>'Effort Estimation'!Q275+"AM:!$@%"</f>
        <v>#VALUE!</v>
      </c>
      <c r="ES40" t="e">
        <f>'Effort Estimation'!R275+"AM:!$@&amp;"</f>
        <v>#VALUE!</v>
      </c>
      <c r="ET40" t="e">
        <f>'Effort Estimation'!S275+"AM:!$@'"</f>
        <v>#VALUE!</v>
      </c>
      <c r="EU40" t="e">
        <f>'Effort Estimation'!T275+"AM:!$@("</f>
        <v>#VALUE!</v>
      </c>
      <c r="EV40" t="e">
        <f>'Effort Estimation'!A276+"AM:!$@)"</f>
        <v>#VALUE!</v>
      </c>
      <c r="EW40" t="e">
        <f>'Effort Estimation'!B276+"AM:!$@."</f>
        <v>#VALUE!</v>
      </c>
      <c r="EX40" t="e">
        <f>'Effort Estimation'!C276+"AM:!$@/"</f>
        <v>#VALUE!</v>
      </c>
      <c r="EY40" t="e">
        <f>'Effort Estimation'!D276+"AM:!$@0"</f>
        <v>#VALUE!</v>
      </c>
      <c r="EZ40" t="e">
        <f>'Effort Estimation'!E276+"AM:!$@1"</f>
        <v>#VALUE!</v>
      </c>
      <c r="FA40" t="e">
        <f>'Effort Estimation'!F276+"AM:!$@2"</f>
        <v>#VALUE!</v>
      </c>
      <c r="FB40" t="e">
        <f>'Effort Estimation'!G276+"AM:!$@3"</f>
        <v>#VALUE!</v>
      </c>
      <c r="FC40" t="e">
        <f>'Effort Estimation'!H276+"AM:!$@4"</f>
        <v>#VALUE!</v>
      </c>
      <c r="FD40" t="e">
        <f>'Effort Estimation'!I276+"AM:!$@5"</f>
        <v>#VALUE!</v>
      </c>
      <c r="FE40" s="99" t="e">
        <f>'Effort Estimation'!J276+"AM:!$@6"</f>
        <v>#VALUE!</v>
      </c>
      <c r="FF40" s="99" t="e">
        <f>'Effort Estimation'!K276+"AM:!$@7"</f>
        <v>#VALUE!</v>
      </c>
      <c r="FG40" s="99" t="e">
        <f>'Effort Estimation'!L276+"AM:!$@8"</f>
        <v>#VALUE!</v>
      </c>
      <c r="FH40" s="99" t="e">
        <f>'Effort Estimation'!M276+"AM:!$@9"</f>
        <v>#VALUE!</v>
      </c>
      <c r="FI40" s="99" t="e">
        <f>'Effort Estimation'!N276+"AM:!$@:"</f>
        <v>#VALUE!</v>
      </c>
      <c r="FJ40" s="99" t="e">
        <f>'Effort Estimation'!O276+"AM:!$@;"</f>
        <v>#VALUE!</v>
      </c>
      <c r="FK40" s="99" t="e">
        <f>'Effort Estimation'!P276+"AM:!$@&lt;"</f>
        <v>#VALUE!</v>
      </c>
      <c r="FL40" s="99" t="e">
        <f>'Effort Estimation'!Q276+"AM:!$@="</f>
        <v>#VALUE!</v>
      </c>
      <c r="FM40" t="e">
        <f>'Effort Estimation'!R276+"AM:!$@&gt;"</f>
        <v>#VALUE!</v>
      </c>
      <c r="FN40" t="e">
        <f>'Effort Estimation'!S276+"AM:!$@?"</f>
        <v>#VALUE!</v>
      </c>
      <c r="FO40" t="e">
        <f>'Effort Estimation'!T276+"AM:!$@@"</f>
        <v>#VALUE!</v>
      </c>
      <c r="FP40" t="e">
        <f>'Effort Estimation'!A277+"AM:!$@A"</f>
        <v>#VALUE!</v>
      </c>
      <c r="FQ40" t="e">
        <f>'Effort Estimation'!B277+"AM:!$@B"</f>
        <v>#VALUE!</v>
      </c>
      <c r="FR40" t="e">
        <f>'Effort Estimation'!C277+"AM:!$@C"</f>
        <v>#VALUE!</v>
      </c>
      <c r="FS40" t="e">
        <f>'Effort Estimation'!D277+"AM:!$@D"</f>
        <v>#VALUE!</v>
      </c>
      <c r="FT40" t="e">
        <f>'Effort Estimation'!E277+"AM:!$@E"</f>
        <v>#VALUE!</v>
      </c>
      <c r="FU40" t="e">
        <f>'Effort Estimation'!F277+"AM:!$@F"</f>
        <v>#VALUE!</v>
      </c>
      <c r="FV40" t="e">
        <f>'Effort Estimation'!G277+"AM:!$@G"</f>
        <v>#VALUE!</v>
      </c>
      <c r="FW40" t="e">
        <f>'Effort Estimation'!H277+"AM:!$@H"</f>
        <v>#VALUE!</v>
      </c>
      <c r="FX40" t="e">
        <f>'Effort Estimation'!I277+"AM:!$@I"</f>
        <v>#VALUE!</v>
      </c>
      <c r="FY40" s="99" t="e">
        <f>'Effort Estimation'!J277+"AM:!$@J"</f>
        <v>#VALUE!</v>
      </c>
      <c r="FZ40" s="99" t="e">
        <f>'Effort Estimation'!K277+"AM:!$@K"</f>
        <v>#VALUE!</v>
      </c>
      <c r="GA40" s="99" t="e">
        <f>'Effort Estimation'!L277+"AM:!$@L"</f>
        <v>#VALUE!</v>
      </c>
      <c r="GB40" s="99" t="e">
        <f>'Effort Estimation'!M277+"AM:!$@M"</f>
        <v>#VALUE!</v>
      </c>
      <c r="GC40" s="99" t="e">
        <f>'Effort Estimation'!N277+"AM:!$@N"</f>
        <v>#VALUE!</v>
      </c>
      <c r="GD40" s="99" t="e">
        <f>'Effort Estimation'!O277+"AM:!$@O"</f>
        <v>#VALUE!</v>
      </c>
      <c r="GE40" s="99" t="e">
        <f>'Effort Estimation'!P277+"AM:!$@P"</f>
        <v>#VALUE!</v>
      </c>
      <c r="GF40" s="99" t="e">
        <f>'Effort Estimation'!Q277+"AM:!$@Q"</f>
        <v>#VALUE!</v>
      </c>
      <c r="GG40" t="e">
        <f>'Effort Estimation'!R277+"AM:!$@R"</f>
        <v>#VALUE!</v>
      </c>
      <c r="GH40" t="e">
        <f>'Effort Estimation'!S277+"AM:!$@S"</f>
        <v>#VALUE!</v>
      </c>
      <c r="GI40" t="e">
        <f>'Effort Estimation'!T277+"AM:!$@T"</f>
        <v>#VALUE!</v>
      </c>
      <c r="GJ40" t="e">
        <f>'Effort Estimation'!A278+"AM:!$@U"</f>
        <v>#VALUE!</v>
      </c>
      <c r="GK40" t="e">
        <f>'Effort Estimation'!B278+"AM:!$@V"</f>
        <v>#VALUE!</v>
      </c>
      <c r="GL40" t="e">
        <f>'Effort Estimation'!C278+"AM:!$@W"</f>
        <v>#VALUE!</v>
      </c>
      <c r="GM40" t="e">
        <f>'Effort Estimation'!D278+"AM:!$@X"</f>
        <v>#VALUE!</v>
      </c>
      <c r="GN40" t="e">
        <f>'Effort Estimation'!E278+"AM:!$@Y"</f>
        <v>#VALUE!</v>
      </c>
      <c r="GO40" t="e">
        <f>'Effort Estimation'!F278+"AM:!$@Z"</f>
        <v>#VALUE!</v>
      </c>
      <c r="GP40" t="e">
        <f>'Effort Estimation'!G278+"AM:!$@["</f>
        <v>#VALUE!</v>
      </c>
      <c r="GQ40" t="e">
        <f>'Effort Estimation'!H278+"AM:!$@\"</f>
        <v>#VALUE!</v>
      </c>
      <c r="GR40" t="e">
        <f>'Effort Estimation'!I278+"AM:!$@]"</f>
        <v>#VALUE!</v>
      </c>
      <c r="GS40" s="99" t="e">
        <f>'Effort Estimation'!J278+"AM:!$@^"</f>
        <v>#VALUE!</v>
      </c>
      <c r="GT40" s="99" t="e">
        <f>'Effort Estimation'!K278+"AM:!$@_"</f>
        <v>#VALUE!</v>
      </c>
      <c r="GU40" s="99" t="e">
        <f>'Effort Estimation'!L278+"AM:!$@`"</f>
        <v>#VALUE!</v>
      </c>
      <c r="GV40" s="99" t="e">
        <f>'Effort Estimation'!M278+"AM:!$@a"</f>
        <v>#VALUE!</v>
      </c>
      <c r="GW40" s="99" t="e">
        <f>'Effort Estimation'!N278+"AM:!$@b"</f>
        <v>#VALUE!</v>
      </c>
      <c r="GX40" s="99" t="e">
        <f>'Effort Estimation'!O278+"AM:!$@c"</f>
        <v>#VALUE!</v>
      </c>
      <c r="GY40" s="99" t="e">
        <f>'Effort Estimation'!P278+"AM:!$@d"</f>
        <v>#VALUE!</v>
      </c>
      <c r="GZ40" s="99" t="e">
        <f>'Effort Estimation'!Q278+"AM:!$@e"</f>
        <v>#VALUE!</v>
      </c>
      <c r="HA40" t="e">
        <f>'Effort Estimation'!R278+"AM:!$@f"</f>
        <v>#VALUE!</v>
      </c>
      <c r="HB40" t="e">
        <f>'Effort Estimation'!S278+"AM:!$@g"</f>
        <v>#VALUE!</v>
      </c>
      <c r="HC40" t="e">
        <f>'Effort Estimation'!T278+"AM:!$@h"</f>
        <v>#VALUE!</v>
      </c>
      <c r="HD40" t="e">
        <f>'Effort Estimation'!A279+"AM:!$@i"</f>
        <v>#VALUE!</v>
      </c>
      <c r="HE40" t="e">
        <f>'Effort Estimation'!B279+"AM:!$@j"</f>
        <v>#VALUE!</v>
      </c>
      <c r="HF40" t="e">
        <f>'Effort Estimation'!C279+"AM:!$@k"</f>
        <v>#VALUE!</v>
      </c>
      <c r="HG40" t="e">
        <f>'Effort Estimation'!D279+"AM:!$@l"</f>
        <v>#VALUE!</v>
      </c>
      <c r="HH40" t="e">
        <f>'Effort Estimation'!E279+"AM:!$@m"</f>
        <v>#VALUE!</v>
      </c>
      <c r="HI40" t="e">
        <f>'Effort Estimation'!F279+"AM:!$@n"</f>
        <v>#VALUE!</v>
      </c>
      <c r="HJ40" t="e">
        <f>'Effort Estimation'!G279+"AM:!$@o"</f>
        <v>#VALUE!</v>
      </c>
      <c r="HK40" t="e">
        <f>'Effort Estimation'!H279+"AM:!$@p"</f>
        <v>#VALUE!</v>
      </c>
      <c r="HL40" t="e">
        <f>'Effort Estimation'!I279+"AM:!$@q"</f>
        <v>#VALUE!</v>
      </c>
      <c r="HM40" s="99" t="e">
        <f>'Effort Estimation'!J279+"AM:!$@r"</f>
        <v>#VALUE!</v>
      </c>
      <c r="HN40" s="99" t="e">
        <f>'Effort Estimation'!K279+"AM:!$@s"</f>
        <v>#VALUE!</v>
      </c>
      <c r="HO40" s="99" t="e">
        <f>'Effort Estimation'!L279+"AM:!$@t"</f>
        <v>#VALUE!</v>
      </c>
      <c r="HP40" s="99" t="e">
        <f>'Effort Estimation'!M279+"AM:!$@u"</f>
        <v>#VALUE!</v>
      </c>
      <c r="HQ40" s="99" t="e">
        <f>'Effort Estimation'!N279+"AM:!$@v"</f>
        <v>#VALUE!</v>
      </c>
      <c r="HR40" s="99" t="e">
        <f>'Effort Estimation'!O279+"AM:!$@w"</f>
        <v>#VALUE!</v>
      </c>
      <c r="HS40" s="99" t="e">
        <f>'Effort Estimation'!P279+"AM:!$@x"</f>
        <v>#VALUE!</v>
      </c>
      <c r="HT40" s="99" t="e">
        <f>'Effort Estimation'!Q279+"AM:!$@y"</f>
        <v>#VALUE!</v>
      </c>
      <c r="HU40" t="e">
        <f>'Effort Estimation'!R279+"AM:!$@z"</f>
        <v>#VALUE!</v>
      </c>
      <c r="HV40" t="e">
        <f>'Effort Estimation'!S279+"AM:!$@{"</f>
        <v>#VALUE!</v>
      </c>
      <c r="HW40" t="e">
        <f>'Effort Estimation'!T279+"AM:!$@|"</f>
        <v>#VALUE!</v>
      </c>
      <c r="HX40" t="e">
        <f>'Effort Estimation'!A280+"AM:!$@}"</f>
        <v>#VALUE!</v>
      </c>
      <c r="HY40" t="e">
        <f>'Effort Estimation'!B280+"AM:!$@~"</f>
        <v>#VALUE!</v>
      </c>
      <c r="HZ40" t="e">
        <f>'Effort Estimation'!C280+"AM:!$A#"</f>
        <v>#VALUE!</v>
      </c>
      <c r="IA40" t="e">
        <f>'Effort Estimation'!D280+"AM:!$A$"</f>
        <v>#VALUE!</v>
      </c>
      <c r="IB40" t="e">
        <f>'Effort Estimation'!E280+"AM:!$A%"</f>
        <v>#VALUE!</v>
      </c>
      <c r="IC40" t="e">
        <f>'Effort Estimation'!F280+"AM:!$A&amp;"</f>
        <v>#VALUE!</v>
      </c>
      <c r="ID40" t="e">
        <f>'Effort Estimation'!G280+"AM:!$A'"</f>
        <v>#VALUE!</v>
      </c>
      <c r="IE40" t="e">
        <f>'Effort Estimation'!H280+"AM:!$A("</f>
        <v>#VALUE!</v>
      </c>
      <c r="IF40" t="e">
        <f>'Effort Estimation'!I280+"AM:!$A)"</f>
        <v>#VALUE!</v>
      </c>
      <c r="IG40" s="99" t="e">
        <f>'Effort Estimation'!J280+"AM:!$A."</f>
        <v>#VALUE!</v>
      </c>
      <c r="IH40" s="99" t="e">
        <f>'Effort Estimation'!K280+"AM:!$A/"</f>
        <v>#VALUE!</v>
      </c>
      <c r="II40" s="99" t="e">
        <f>'Effort Estimation'!L280+"AM:!$A0"</f>
        <v>#VALUE!</v>
      </c>
      <c r="IJ40" s="99" t="e">
        <f>'Effort Estimation'!M280+"AM:!$A1"</f>
        <v>#VALUE!</v>
      </c>
      <c r="IK40" s="99" t="e">
        <f>'Effort Estimation'!N280+"AM:!$A2"</f>
        <v>#VALUE!</v>
      </c>
      <c r="IL40" s="99" t="e">
        <f>'Effort Estimation'!O280+"AM:!$A3"</f>
        <v>#VALUE!</v>
      </c>
      <c r="IM40" s="99" t="e">
        <f>'Effort Estimation'!P280+"AM:!$A4"</f>
        <v>#VALUE!</v>
      </c>
      <c r="IN40" s="99" t="e">
        <f>'Effort Estimation'!Q280+"AM:!$A5"</f>
        <v>#VALUE!</v>
      </c>
      <c r="IO40" t="e">
        <f>'Effort Estimation'!R280+"AM:!$A6"</f>
        <v>#VALUE!</v>
      </c>
      <c r="IP40" t="e">
        <f>'Effort Estimation'!S280+"AM:!$A7"</f>
        <v>#VALUE!</v>
      </c>
      <c r="IQ40" t="e">
        <f>'Effort Estimation'!T280+"AM:!$A8"</f>
        <v>#VALUE!</v>
      </c>
      <c r="IR40" t="e">
        <f>'Effort Estimation'!A281+"AM:!$A9"</f>
        <v>#VALUE!</v>
      </c>
      <c r="IS40" t="e">
        <f>'Effort Estimation'!B281+"AM:!$A:"</f>
        <v>#VALUE!</v>
      </c>
      <c r="IT40" t="e">
        <f>'Effort Estimation'!C281+"AM:!$A;"</f>
        <v>#VALUE!</v>
      </c>
      <c r="IU40" t="e">
        <f>'Effort Estimation'!D281+"AM:!$A&lt;"</f>
        <v>#VALUE!</v>
      </c>
      <c r="IV40" t="e">
        <f>'Effort Estimation'!E281+"AM:!$A="</f>
        <v>#VALUE!</v>
      </c>
    </row>
    <row r="41" spans="6:256">
      <c r="F41" t="e">
        <f>'Effort Estimation'!F281+"AM:!$A&gt;"</f>
        <v>#VALUE!</v>
      </c>
      <c r="G41" t="e">
        <f>'Effort Estimation'!G281+"AM:!$A?"</f>
        <v>#VALUE!</v>
      </c>
      <c r="H41" t="e">
        <f>'Effort Estimation'!H281+"AM:!$A@"</f>
        <v>#VALUE!</v>
      </c>
      <c r="I41" t="e">
        <f>'Effort Estimation'!I281+"AM:!$AA"</f>
        <v>#VALUE!</v>
      </c>
      <c r="J41" s="99" t="e">
        <f>'Effort Estimation'!J281+"AM:!$AB"</f>
        <v>#VALUE!</v>
      </c>
      <c r="K41" s="99" t="e">
        <f>'Effort Estimation'!K281+"AM:!$AC"</f>
        <v>#VALUE!</v>
      </c>
      <c r="L41" s="99" t="e">
        <f>'Effort Estimation'!L281+"AM:!$AD"</f>
        <v>#VALUE!</v>
      </c>
      <c r="M41" s="99" t="e">
        <f>'Effort Estimation'!M281+"AM:!$AE"</f>
        <v>#VALUE!</v>
      </c>
      <c r="N41" s="99" t="e">
        <f>'Effort Estimation'!N281+"AM:!$AF"</f>
        <v>#VALUE!</v>
      </c>
      <c r="O41" s="99" t="e">
        <f>'Effort Estimation'!O281+"AM:!$AG"</f>
        <v>#VALUE!</v>
      </c>
      <c r="P41" s="99" t="e">
        <f>'Effort Estimation'!P281+"AM:!$AH"</f>
        <v>#VALUE!</v>
      </c>
      <c r="Q41" s="99" t="e">
        <f>'Effort Estimation'!Q281+"AM:!$AI"</f>
        <v>#VALUE!</v>
      </c>
      <c r="R41" t="e">
        <f>'Effort Estimation'!R281+"AM:!$AJ"</f>
        <v>#VALUE!</v>
      </c>
      <c r="S41" t="e">
        <f>'Effort Estimation'!S281+"AM:!$AK"</f>
        <v>#VALUE!</v>
      </c>
      <c r="T41" t="e">
        <f>'Effort Estimation'!T281+"AM:!$AL"</f>
        <v>#VALUE!</v>
      </c>
      <c r="U41" t="e">
        <f>'Effort Estimation'!A282+"AM:!$AM"</f>
        <v>#VALUE!</v>
      </c>
      <c r="V41" t="e">
        <f>'Effort Estimation'!B282+"AM:!$AN"</f>
        <v>#VALUE!</v>
      </c>
      <c r="W41" t="e">
        <f>'Effort Estimation'!C282+"AM:!$AO"</f>
        <v>#VALUE!</v>
      </c>
      <c r="X41" t="e">
        <f>'Effort Estimation'!D282+"AM:!$AP"</f>
        <v>#VALUE!</v>
      </c>
      <c r="Y41" t="e">
        <f>'Effort Estimation'!E282+"AM:!$AQ"</f>
        <v>#VALUE!</v>
      </c>
      <c r="Z41" t="e">
        <f>'Effort Estimation'!F282+"AM:!$AR"</f>
        <v>#VALUE!</v>
      </c>
      <c r="AA41" t="e">
        <f>'Effort Estimation'!G282+"AM:!$AS"</f>
        <v>#VALUE!</v>
      </c>
      <c r="AB41" t="e">
        <f>'Effort Estimation'!H282+"AM:!$AT"</f>
        <v>#VALUE!</v>
      </c>
      <c r="AC41" t="e">
        <f>'Effort Estimation'!I282+"AM:!$AU"</f>
        <v>#VALUE!</v>
      </c>
      <c r="AD41" s="99" t="e">
        <f>'Effort Estimation'!J282+"AM:!$AV"</f>
        <v>#VALUE!</v>
      </c>
      <c r="AE41" s="99" t="e">
        <f>'Effort Estimation'!K282+"AM:!$AW"</f>
        <v>#VALUE!</v>
      </c>
      <c r="AF41" s="99" t="e">
        <f>'Effort Estimation'!L282+"AM:!$AX"</f>
        <v>#VALUE!</v>
      </c>
      <c r="AG41" s="99" t="e">
        <f>'Effort Estimation'!M282+"AM:!$AY"</f>
        <v>#VALUE!</v>
      </c>
      <c r="AH41" s="99" t="e">
        <f>'Effort Estimation'!N282+"AM:!$AZ"</f>
        <v>#VALUE!</v>
      </c>
      <c r="AI41" s="99" t="e">
        <f>'Effort Estimation'!O282+"AM:!$A["</f>
        <v>#VALUE!</v>
      </c>
      <c r="AJ41" s="99" t="e">
        <f>'Effort Estimation'!P282+"AM:!$A\"</f>
        <v>#VALUE!</v>
      </c>
      <c r="AK41" s="99" t="e">
        <f>'Effort Estimation'!Q282+"AM:!$A]"</f>
        <v>#VALUE!</v>
      </c>
      <c r="AL41" t="e">
        <f>'Effort Estimation'!R282+"AM:!$A^"</f>
        <v>#VALUE!</v>
      </c>
      <c r="AM41" t="e">
        <f>'Effort Estimation'!S282+"AM:!$A_"</f>
        <v>#VALUE!</v>
      </c>
      <c r="AN41" t="e">
        <f>'Effort Estimation'!T282+"AM:!$A`"</f>
        <v>#VALUE!</v>
      </c>
      <c r="AO41" t="e">
        <f>'Effort Estimation'!A283+"AM:!$Aa"</f>
        <v>#VALUE!</v>
      </c>
      <c r="AP41" t="e">
        <f>'Effort Estimation'!B283+"AM:!$Ab"</f>
        <v>#VALUE!</v>
      </c>
      <c r="AQ41" t="e">
        <f>'Effort Estimation'!C283+"AM:!$Ac"</f>
        <v>#VALUE!</v>
      </c>
      <c r="AR41" t="e">
        <f>'Effort Estimation'!D283+"AM:!$Ad"</f>
        <v>#VALUE!</v>
      </c>
      <c r="AS41" t="e">
        <f>'Effort Estimation'!E283+"AM:!$Ae"</f>
        <v>#VALUE!</v>
      </c>
      <c r="AT41" t="e">
        <f>'Effort Estimation'!F283+"AM:!$Af"</f>
        <v>#VALUE!</v>
      </c>
      <c r="AU41" t="e">
        <f>'Effort Estimation'!G283+"AM:!$Ag"</f>
        <v>#VALUE!</v>
      </c>
      <c r="AV41" t="e">
        <f>'Effort Estimation'!H283+"AM:!$Ah"</f>
        <v>#VALUE!</v>
      </c>
      <c r="AW41" t="e">
        <f>'Effort Estimation'!I283+"AM:!$Ai"</f>
        <v>#VALUE!</v>
      </c>
      <c r="AX41" s="99" t="e">
        <f>'Effort Estimation'!J283+"AM:!$Aj"</f>
        <v>#VALUE!</v>
      </c>
      <c r="AY41" s="99" t="e">
        <f>'Effort Estimation'!K283+"AM:!$Ak"</f>
        <v>#VALUE!</v>
      </c>
      <c r="AZ41" s="99" t="e">
        <f>'Effort Estimation'!L283+"AM:!$Al"</f>
        <v>#VALUE!</v>
      </c>
      <c r="BA41" s="99" t="e">
        <f>'Effort Estimation'!M283+"AM:!$Am"</f>
        <v>#VALUE!</v>
      </c>
      <c r="BB41" s="99" t="e">
        <f>'Effort Estimation'!N283+"AM:!$An"</f>
        <v>#VALUE!</v>
      </c>
      <c r="BC41" s="99" t="e">
        <f>'Effort Estimation'!O283+"AM:!$Ao"</f>
        <v>#VALUE!</v>
      </c>
      <c r="BD41" s="99" t="e">
        <f>'Effort Estimation'!P283+"AM:!$Ap"</f>
        <v>#VALUE!</v>
      </c>
      <c r="BE41" s="99" t="e">
        <f>'Effort Estimation'!Q283+"AM:!$Aq"</f>
        <v>#VALUE!</v>
      </c>
      <c r="BF41" t="e">
        <f>'Effort Estimation'!R283+"AM:!$Ar"</f>
        <v>#VALUE!</v>
      </c>
      <c r="BG41" t="e">
        <f>'Effort Estimation'!S283+"AM:!$As"</f>
        <v>#VALUE!</v>
      </c>
      <c r="BH41" t="e">
        <f>'Effort Estimation'!T283+"AM:!$At"</f>
        <v>#VALUE!</v>
      </c>
      <c r="BI41" t="e">
        <f>'Effort Estimation'!A284+"AM:!$Au"</f>
        <v>#VALUE!</v>
      </c>
      <c r="BJ41" t="e">
        <f>'Effort Estimation'!B284+"AM:!$Av"</f>
        <v>#VALUE!</v>
      </c>
      <c r="BK41" t="e">
        <f>'Effort Estimation'!C284+"AM:!$Aw"</f>
        <v>#VALUE!</v>
      </c>
      <c r="BL41" t="e">
        <f>'Effort Estimation'!D284+"AM:!$Ax"</f>
        <v>#VALUE!</v>
      </c>
      <c r="BM41" t="e">
        <f>'Effort Estimation'!E284+"AM:!$Ay"</f>
        <v>#VALUE!</v>
      </c>
      <c r="BN41" t="e">
        <f>'Effort Estimation'!F284+"AM:!$Az"</f>
        <v>#VALUE!</v>
      </c>
      <c r="BO41" t="e">
        <f>'Effort Estimation'!G284+"AM:!$A{"</f>
        <v>#VALUE!</v>
      </c>
      <c r="BP41" t="e">
        <f>'Effort Estimation'!H284+"AM:!$A|"</f>
        <v>#VALUE!</v>
      </c>
      <c r="BQ41" t="e">
        <f>'Effort Estimation'!I284+"AM:!$A}"</f>
        <v>#VALUE!</v>
      </c>
      <c r="BR41" s="99" t="e">
        <f>'Effort Estimation'!J284+"AM:!$A~"</f>
        <v>#VALUE!</v>
      </c>
      <c r="BS41" s="99" t="e">
        <f>'Effort Estimation'!K284+"AM:!$B#"</f>
        <v>#VALUE!</v>
      </c>
      <c r="BT41" s="99" t="e">
        <f>'Effort Estimation'!L284+"AM:!$B$"</f>
        <v>#VALUE!</v>
      </c>
      <c r="BU41" s="99" t="e">
        <f>'Effort Estimation'!M284+"AM:!$B%"</f>
        <v>#VALUE!</v>
      </c>
      <c r="BV41" s="99" t="e">
        <f>'Effort Estimation'!N284+"AM:!$B&amp;"</f>
        <v>#VALUE!</v>
      </c>
      <c r="BW41" s="99" t="e">
        <f>'Effort Estimation'!O284+"AM:!$B'"</f>
        <v>#VALUE!</v>
      </c>
      <c r="BX41" s="99" t="e">
        <f>'Effort Estimation'!P284+"AM:!$B("</f>
        <v>#VALUE!</v>
      </c>
      <c r="BY41" s="99" t="e">
        <f>'Effort Estimation'!Q284+"AM:!$B)"</f>
        <v>#VALUE!</v>
      </c>
      <c r="BZ41" t="e">
        <f>'Effort Estimation'!R284+"AM:!$B."</f>
        <v>#VALUE!</v>
      </c>
      <c r="CA41" t="e">
        <f>'Effort Estimation'!S284+"AM:!$B/"</f>
        <v>#VALUE!</v>
      </c>
      <c r="CB41" t="e">
        <f>'Effort Estimation'!T284+"AM:!$B0"</f>
        <v>#VALUE!</v>
      </c>
      <c r="CC41" t="e">
        <f>'Effort Estimation'!A285+"AM:!$B1"</f>
        <v>#VALUE!</v>
      </c>
      <c r="CD41" t="e">
        <f>'Effort Estimation'!B285+"AM:!$B2"</f>
        <v>#VALUE!</v>
      </c>
      <c r="CE41" t="e">
        <f>'Effort Estimation'!C285+"AM:!$B3"</f>
        <v>#VALUE!</v>
      </c>
      <c r="CF41" t="e">
        <f>'Effort Estimation'!D285+"AM:!$B4"</f>
        <v>#VALUE!</v>
      </c>
      <c r="CG41" t="e">
        <f>'Effort Estimation'!E285+"AM:!$B5"</f>
        <v>#VALUE!</v>
      </c>
      <c r="CH41" t="e">
        <f>'Effort Estimation'!F285+"AM:!$B6"</f>
        <v>#VALUE!</v>
      </c>
      <c r="CI41" t="e">
        <f>'Effort Estimation'!G285+"AM:!$B7"</f>
        <v>#VALUE!</v>
      </c>
      <c r="CJ41" t="e">
        <f>'Effort Estimation'!H285+"AM:!$B8"</f>
        <v>#VALUE!</v>
      </c>
      <c r="CK41" t="e">
        <f>'Effort Estimation'!I285+"AM:!$B9"</f>
        <v>#VALUE!</v>
      </c>
      <c r="CL41" s="99" t="e">
        <f>'Effort Estimation'!J285+"AM:!$B:"</f>
        <v>#VALUE!</v>
      </c>
      <c r="CM41" s="99" t="e">
        <f>'Effort Estimation'!K285+"AM:!$B;"</f>
        <v>#VALUE!</v>
      </c>
      <c r="CN41" s="99" t="e">
        <f>'Effort Estimation'!L285+"AM:!$B&lt;"</f>
        <v>#VALUE!</v>
      </c>
      <c r="CO41" s="99" t="e">
        <f>'Effort Estimation'!M285+"AM:!$B="</f>
        <v>#VALUE!</v>
      </c>
      <c r="CP41" s="99" t="e">
        <f>'Effort Estimation'!N285+"AM:!$B&gt;"</f>
        <v>#VALUE!</v>
      </c>
      <c r="CQ41" s="99" t="e">
        <f>'Effort Estimation'!O285+"AM:!$B?"</f>
        <v>#VALUE!</v>
      </c>
      <c r="CR41" s="99" t="e">
        <f>'Effort Estimation'!P285+"AM:!$B@"</f>
        <v>#VALUE!</v>
      </c>
      <c r="CS41" s="99" t="e">
        <f>'Effort Estimation'!Q285+"AM:!$BA"</f>
        <v>#VALUE!</v>
      </c>
      <c r="CT41" t="e">
        <f>'Effort Estimation'!R285+"AM:!$BB"</f>
        <v>#VALUE!</v>
      </c>
      <c r="CU41" t="e">
        <f>'Effort Estimation'!S285+"AM:!$BC"</f>
        <v>#VALUE!</v>
      </c>
      <c r="CV41" t="e">
        <f>'Effort Estimation'!T285+"AM:!$BD"</f>
        <v>#VALUE!</v>
      </c>
      <c r="CW41" t="e">
        <f>'Effort Estimation'!A286+"AM:!$BE"</f>
        <v>#VALUE!</v>
      </c>
      <c r="CX41" t="e">
        <f>'Effort Estimation'!B286+"AM:!$BF"</f>
        <v>#VALUE!</v>
      </c>
      <c r="CY41" t="e">
        <f>'Effort Estimation'!C286+"AM:!$BG"</f>
        <v>#VALUE!</v>
      </c>
      <c r="CZ41" t="e">
        <f>'Effort Estimation'!D286+"AM:!$BH"</f>
        <v>#VALUE!</v>
      </c>
      <c r="DA41" t="e">
        <f>'Effort Estimation'!E286+"AM:!$BI"</f>
        <v>#VALUE!</v>
      </c>
      <c r="DB41" t="e">
        <f>'Effort Estimation'!F286+"AM:!$BJ"</f>
        <v>#VALUE!</v>
      </c>
      <c r="DC41" t="e">
        <f>'Effort Estimation'!G286+"AM:!$BK"</f>
        <v>#VALUE!</v>
      </c>
      <c r="DD41" t="e">
        <f>'Effort Estimation'!H286+"AM:!$BL"</f>
        <v>#VALUE!</v>
      </c>
      <c r="DE41" t="e">
        <f>'Effort Estimation'!I286+"AM:!$BM"</f>
        <v>#VALUE!</v>
      </c>
      <c r="DF41" s="99" t="e">
        <f>'Effort Estimation'!J286+"AM:!$BN"</f>
        <v>#VALUE!</v>
      </c>
      <c r="DG41" s="99" t="e">
        <f>'Effort Estimation'!K286+"AM:!$BO"</f>
        <v>#VALUE!</v>
      </c>
      <c r="DH41" s="99" t="e">
        <f>'Effort Estimation'!L286+"AM:!$BP"</f>
        <v>#VALUE!</v>
      </c>
      <c r="DI41" s="99" t="e">
        <f>'Effort Estimation'!M286+"AM:!$BQ"</f>
        <v>#VALUE!</v>
      </c>
      <c r="DJ41" s="99" t="e">
        <f>'Effort Estimation'!N286+"AM:!$BR"</f>
        <v>#VALUE!</v>
      </c>
      <c r="DK41" s="99" t="e">
        <f>'Effort Estimation'!O286+"AM:!$BS"</f>
        <v>#VALUE!</v>
      </c>
      <c r="DL41" s="99" t="e">
        <f>'Effort Estimation'!P286+"AM:!$BT"</f>
        <v>#VALUE!</v>
      </c>
      <c r="DM41" s="99" t="e">
        <f>'Effort Estimation'!Q286+"AM:!$BU"</f>
        <v>#VALUE!</v>
      </c>
      <c r="DN41" t="e">
        <f>'Effort Estimation'!R286+"AM:!$BV"</f>
        <v>#VALUE!</v>
      </c>
      <c r="DO41" t="e">
        <f>'Effort Estimation'!S286+"AM:!$BW"</f>
        <v>#VALUE!</v>
      </c>
      <c r="DP41" t="e">
        <f>'Effort Estimation'!T286+"AM:!$BX"</f>
        <v>#VALUE!</v>
      </c>
      <c r="DQ41" t="e">
        <f>'Effort Estimation'!A287+"AM:!$BY"</f>
        <v>#VALUE!</v>
      </c>
      <c r="DR41" t="e">
        <f>'Effort Estimation'!B287+"AM:!$BZ"</f>
        <v>#VALUE!</v>
      </c>
      <c r="DS41" t="e">
        <f>'Effort Estimation'!C287+"AM:!$B["</f>
        <v>#VALUE!</v>
      </c>
      <c r="DT41" t="e">
        <f>'Effort Estimation'!D287+"AM:!$B\"</f>
        <v>#VALUE!</v>
      </c>
      <c r="DU41" t="e">
        <f>'Effort Estimation'!E287+"AM:!$B]"</f>
        <v>#VALUE!</v>
      </c>
      <c r="DV41" t="e">
        <f>'Effort Estimation'!F287+"AM:!$B^"</f>
        <v>#VALUE!</v>
      </c>
      <c r="DW41" t="e">
        <f>'Effort Estimation'!G287+"AM:!$B_"</f>
        <v>#VALUE!</v>
      </c>
      <c r="DX41" t="e">
        <f>'Effort Estimation'!H287+"AM:!$B`"</f>
        <v>#VALUE!</v>
      </c>
      <c r="DY41" t="e">
        <f>'Effort Estimation'!I287+"AM:!$Ba"</f>
        <v>#VALUE!</v>
      </c>
      <c r="DZ41" s="99" t="e">
        <f>'Effort Estimation'!J287+"AM:!$Bb"</f>
        <v>#VALUE!</v>
      </c>
      <c r="EA41" s="99" t="e">
        <f>'Effort Estimation'!K287+"AM:!$Bc"</f>
        <v>#VALUE!</v>
      </c>
      <c r="EB41" s="99" t="e">
        <f>'Effort Estimation'!L287+"AM:!$Bd"</f>
        <v>#VALUE!</v>
      </c>
      <c r="EC41" s="99" t="e">
        <f>'Effort Estimation'!M287+"AM:!$Be"</f>
        <v>#VALUE!</v>
      </c>
      <c r="ED41" s="99" t="e">
        <f>'Effort Estimation'!N287+"AM:!$Bf"</f>
        <v>#VALUE!</v>
      </c>
      <c r="EE41" s="99" t="e">
        <f>'Effort Estimation'!O287+"AM:!$Bg"</f>
        <v>#VALUE!</v>
      </c>
      <c r="EF41" s="99" t="e">
        <f>'Effort Estimation'!P287+"AM:!$Bh"</f>
        <v>#VALUE!</v>
      </c>
      <c r="EG41" s="99" t="e">
        <f>'Effort Estimation'!Q287+"AM:!$Bi"</f>
        <v>#VALUE!</v>
      </c>
      <c r="EH41" t="e">
        <f>'Effort Estimation'!R287+"AM:!$Bj"</f>
        <v>#VALUE!</v>
      </c>
      <c r="EI41" t="e">
        <f>'Effort Estimation'!S287+"AM:!$Bk"</f>
        <v>#VALUE!</v>
      </c>
      <c r="EJ41" t="e">
        <f>'Effort Estimation'!T287+"AM:!$Bl"</f>
        <v>#VALUE!</v>
      </c>
      <c r="EK41" t="e">
        <f>'Effort Estimation'!A288+"AM:!$Bm"</f>
        <v>#VALUE!</v>
      </c>
      <c r="EL41" t="e">
        <f>'Effort Estimation'!B288+"AM:!$Bn"</f>
        <v>#VALUE!</v>
      </c>
      <c r="EM41" t="e">
        <f>'Effort Estimation'!C288+"AM:!$Bo"</f>
        <v>#VALUE!</v>
      </c>
      <c r="EN41" t="e">
        <f>'Effort Estimation'!D288+"AM:!$Bp"</f>
        <v>#VALUE!</v>
      </c>
      <c r="EO41" t="e">
        <f>'Effort Estimation'!E288+"AM:!$Bq"</f>
        <v>#VALUE!</v>
      </c>
      <c r="EP41" t="e">
        <f>'Effort Estimation'!F288+"AM:!$Br"</f>
        <v>#VALUE!</v>
      </c>
      <c r="EQ41" t="e">
        <f>'Effort Estimation'!G288+"AM:!$Bs"</f>
        <v>#VALUE!</v>
      </c>
      <c r="ER41" t="e">
        <f>'Effort Estimation'!H288+"AM:!$Bt"</f>
        <v>#VALUE!</v>
      </c>
      <c r="ES41" t="e">
        <f>'Effort Estimation'!I288+"AM:!$Bu"</f>
        <v>#VALUE!</v>
      </c>
      <c r="ET41" s="99" t="e">
        <f>'Effort Estimation'!J288+"AM:!$Bv"</f>
        <v>#VALUE!</v>
      </c>
      <c r="EU41" s="99" t="e">
        <f>'Effort Estimation'!K288+"AM:!$Bw"</f>
        <v>#VALUE!</v>
      </c>
      <c r="EV41" s="99" t="e">
        <f>'Effort Estimation'!L288+"AM:!$Bx"</f>
        <v>#VALUE!</v>
      </c>
      <c r="EW41" s="99" t="e">
        <f>'Effort Estimation'!M288+"AM:!$By"</f>
        <v>#VALUE!</v>
      </c>
      <c r="EX41" s="99" t="e">
        <f>'Effort Estimation'!N288+"AM:!$Bz"</f>
        <v>#VALUE!</v>
      </c>
      <c r="EY41" s="99" t="e">
        <f>'Effort Estimation'!O288+"AM:!$B{"</f>
        <v>#VALUE!</v>
      </c>
      <c r="EZ41" s="99" t="e">
        <f>'Effort Estimation'!P288+"AM:!$B|"</f>
        <v>#VALUE!</v>
      </c>
      <c r="FA41" s="99" t="e">
        <f>'Effort Estimation'!Q288+"AM:!$B}"</f>
        <v>#VALUE!</v>
      </c>
      <c r="FB41" t="e">
        <f>'Effort Estimation'!R288+"AM:!$B~"</f>
        <v>#VALUE!</v>
      </c>
      <c r="FC41" t="e">
        <f>'Effort Estimation'!S288+"AM:!$C#"</f>
        <v>#VALUE!</v>
      </c>
      <c r="FD41" t="e">
        <f>'Effort Estimation'!T288+"AM:!$C$"</f>
        <v>#VALUE!</v>
      </c>
      <c r="FE41" t="e">
        <f>'Effort Estimation'!A289+"AM:!$C%"</f>
        <v>#VALUE!</v>
      </c>
      <c r="FF41" t="e">
        <f>'Effort Estimation'!B289+"AM:!$C&amp;"</f>
        <v>#VALUE!</v>
      </c>
      <c r="FG41" t="e">
        <f>'Effort Estimation'!C289+"AM:!$C'"</f>
        <v>#VALUE!</v>
      </c>
      <c r="FH41" t="e">
        <f>'Effort Estimation'!D289+"AM:!$C("</f>
        <v>#VALUE!</v>
      </c>
      <c r="FI41" t="e">
        <f>'Effort Estimation'!E289+"AM:!$C)"</f>
        <v>#VALUE!</v>
      </c>
      <c r="FJ41" t="e">
        <f>'Effort Estimation'!F289+"AM:!$C."</f>
        <v>#VALUE!</v>
      </c>
      <c r="FK41" t="e">
        <f>'Effort Estimation'!G289+"AM:!$C/"</f>
        <v>#VALUE!</v>
      </c>
      <c r="FL41" t="e">
        <f>'Effort Estimation'!H289+"AM:!$C0"</f>
        <v>#VALUE!</v>
      </c>
      <c r="FM41" t="e">
        <f>'Effort Estimation'!I289+"AM:!$C1"</f>
        <v>#VALUE!</v>
      </c>
      <c r="FN41" s="99" t="e">
        <f>'Effort Estimation'!J289+"AM:!$C2"</f>
        <v>#VALUE!</v>
      </c>
      <c r="FO41" s="99" t="e">
        <f>'Effort Estimation'!K289+"AM:!$C3"</f>
        <v>#VALUE!</v>
      </c>
      <c r="FP41" s="99" t="e">
        <f>'Effort Estimation'!L289+"AM:!$C4"</f>
        <v>#VALUE!</v>
      </c>
      <c r="FQ41" s="99" t="e">
        <f>'Effort Estimation'!M289+"AM:!$C5"</f>
        <v>#VALUE!</v>
      </c>
      <c r="FR41" s="99" t="e">
        <f>'Effort Estimation'!N289+"AM:!$C6"</f>
        <v>#VALUE!</v>
      </c>
      <c r="FS41" s="99" t="e">
        <f>'Effort Estimation'!O289+"AM:!$C7"</f>
        <v>#VALUE!</v>
      </c>
      <c r="FT41" s="99" t="e">
        <f>'Effort Estimation'!P289+"AM:!$C8"</f>
        <v>#VALUE!</v>
      </c>
      <c r="FU41" s="99" t="e">
        <f>'Effort Estimation'!Q289+"AM:!$C9"</f>
        <v>#VALUE!</v>
      </c>
      <c r="FV41" t="e">
        <f>'Effort Estimation'!R289+"AM:!$C:"</f>
        <v>#VALUE!</v>
      </c>
      <c r="FW41" t="e">
        <f>'Effort Estimation'!S289+"AM:!$C;"</f>
        <v>#VALUE!</v>
      </c>
      <c r="FX41" t="e">
        <f>'Effort Estimation'!T289+"AM:!$C&lt;"</f>
        <v>#VALUE!</v>
      </c>
      <c r="FY41" t="e">
        <f>'Effort Estimation'!A290+"AM:!$C="</f>
        <v>#VALUE!</v>
      </c>
      <c r="FZ41" t="e">
        <f>'Effort Estimation'!B290+"AM:!$C&gt;"</f>
        <v>#VALUE!</v>
      </c>
      <c r="GA41" t="e">
        <f>'Effort Estimation'!C290+"AM:!$C?"</f>
        <v>#VALUE!</v>
      </c>
      <c r="GB41" t="e">
        <f>'Effort Estimation'!D290+"AM:!$C@"</f>
        <v>#VALUE!</v>
      </c>
      <c r="GC41" t="e">
        <f>'Effort Estimation'!E290+"AM:!$CA"</f>
        <v>#VALUE!</v>
      </c>
      <c r="GD41" t="e">
        <f>'Effort Estimation'!F290+"AM:!$CB"</f>
        <v>#VALUE!</v>
      </c>
      <c r="GE41" t="e">
        <f>'Effort Estimation'!G290+"AM:!$CC"</f>
        <v>#VALUE!</v>
      </c>
      <c r="GF41" t="e">
        <f>'Effort Estimation'!H290+"AM:!$CD"</f>
        <v>#VALUE!</v>
      </c>
      <c r="GG41" t="e">
        <f>'Effort Estimation'!I290+"AM:!$CE"</f>
        <v>#VALUE!</v>
      </c>
      <c r="GH41" s="99" t="e">
        <f>'Effort Estimation'!J290+"AM:!$CF"</f>
        <v>#VALUE!</v>
      </c>
      <c r="GI41" s="99" t="e">
        <f>'Effort Estimation'!K290+"AM:!$CG"</f>
        <v>#VALUE!</v>
      </c>
      <c r="GJ41" s="99" t="e">
        <f>'Effort Estimation'!L290+"AM:!$CH"</f>
        <v>#VALUE!</v>
      </c>
      <c r="GK41" s="99" t="e">
        <f>'Effort Estimation'!M290+"AM:!$CI"</f>
        <v>#VALUE!</v>
      </c>
      <c r="GL41" s="99" t="e">
        <f>'Effort Estimation'!N290+"AM:!$CJ"</f>
        <v>#VALUE!</v>
      </c>
      <c r="GM41" s="99" t="e">
        <f>'Effort Estimation'!O290+"AM:!$CK"</f>
        <v>#VALUE!</v>
      </c>
      <c r="GN41" s="99" t="e">
        <f>'Effort Estimation'!P290+"AM:!$CL"</f>
        <v>#VALUE!</v>
      </c>
      <c r="GO41" s="99" t="e">
        <f>'Effort Estimation'!Q290+"AM:!$CM"</f>
        <v>#VALUE!</v>
      </c>
      <c r="GP41" t="e">
        <f>'Effort Estimation'!R290+"AM:!$CN"</f>
        <v>#VALUE!</v>
      </c>
      <c r="GQ41" t="e">
        <f>'Effort Estimation'!S290+"AM:!$CO"</f>
        <v>#VALUE!</v>
      </c>
      <c r="GR41" t="e">
        <f>'Effort Estimation'!T290+"AM:!$CP"</f>
        <v>#VALUE!</v>
      </c>
      <c r="GS41" t="e">
        <f>'Effort Estimation'!A291+"AM:!$CQ"</f>
        <v>#VALUE!</v>
      </c>
      <c r="GT41" t="e">
        <f>'Effort Estimation'!B291+"AM:!$CR"</f>
        <v>#VALUE!</v>
      </c>
      <c r="GU41" t="e">
        <f>'Effort Estimation'!C291+"AM:!$CS"</f>
        <v>#VALUE!</v>
      </c>
      <c r="GV41" t="e">
        <f>'Effort Estimation'!D291+"AM:!$CT"</f>
        <v>#VALUE!</v>
      </c>
      <c r="GW41" t="e">
        <f>'Effort Estimation'!E291+"AM:!$CU"</f>
        <v>#VALUE!</v>
      </c>
      <c r="GX41" t="e">
        <f>'Effort Estimation'!F291+"AM:!$CV"</f>
        <v>#VALUE!</v>
      </c>
      <c r="GY41" t="e">
        <f>'Effort Estimation'!G291+"AM:!$CW"</f>
        <v>#VALUE!</v>
      </c>
      <c r="GZ41" t="e">
        <f>'Effort Estimation'!H291+"AM:!$CX"</f>
        <v>#VALUE!</v>
      </c>
      <c r="HA41" t="e">
        <f>'Effort Estimation'!I291+"AM:!$CY"</f>
        <v>#VALUE!</v>
      </c>
      <c r="HB41" s="99" t="e">
        <f>'Effort Estimation'!J291+"AM:!$CZ"</f>
        <v>#VALUE!</v>
      </c>
      <c r="HC41" s="99" t="e">
        <f>'Effort Estimation'!K291+"AM:!$C["</f>
        <v>#VALUE!</v>
      </c>
      <c r="HD41" s="99" t="e">
        <f>'Effort Estimation'!L291+"AM:!$C\"</f>
        <v>#VALUE!</v>
      </c>
      <c r="HE41" s="99" t="e">
        <f>'Effort Estimation'!M291+"AM:!$C]"</f>
        <v>#VALUE!</v>
      </c>
      <c r="HF41" s="99" t="e">
        <f>'Effort Estimation'!N291+"AM:!$C^"</f>
        <v>#VALUE!</v>
      </c>
      <c r="HG41" s="99" t="e">
        <f>'Effort Estimation'!O291+"AM:!$C_"</f>
        <v>#VALUE!</v>
      </c>
      <c r="HH41" s="99" t="e">
        <f>'Effort Estimation'!P291+"AM:!$C`"</f>
        <v>#VALUE!</v>
      </c>
      <c r="HI41" s="99" t="e">
        <f>'Effort Estimation'!Q291+"AM:!$Ca"</f>
        <v>#VALUE!</v>
      </c>
      <c r="HJ41" t="e">
        <f>'Effort Estimation'!R291+"AM:!$Cb"</f>
        <v>#VALUE!</v>
      </c>
      <c r="HK41" t="e">
        <f>'Effort Estimation'!S291+"AM:!$Cc"</f>
        <v>#VALUE!</v>
      </c>
      <c r="HL41" t="e">
        <f>'Effort Estimation'!T291+"AM:!$Cd"</f>
        <v>#VALUE!</v>
      </c>
      <c r="HM41" t="e">
        <f>'Effort Estimation'!A292+"AM:!$Ce"</f>
        <v>#VALUE!</v>
      </c>
      <c r="HN41" t="e">
        <f>'Effort Estimation'!B292+"AM:!$Cf"</f>
        <v>#VALUE!</v>
      </c>
      <c r="HO41" t="e">
        <f>'Effort Estimation'!C292+"AM:!$Cg"</f>
        <v>#VALUE!</v>
      </c>
      <c r="HP41" t="e">
        <f>'Effort Estimation'!D292+"AM:!$Ch"</f>
        <v>#VALUE!</v>
      </c>
      <c r="HQ41" t="e">
        <f>'Effort Estimation'!E292+"AM:!$Ci"</f>
        <v>#VALUE!</v>
      </c>
      <c r="HR41" t="e">
        <f>'Effort Estimation'!F292+"AM:!$Cj"</f>
        <v>#VALUE!</v>
      </c>
      <c r="HS41" t="e">
        <f>'Effort Estimation'!G292+"AM:!$Ck"</f>
        <v>#VALUE!</v>
      </c>
      <c r="HT41" t="e">
        <f>'Effort Estimation'!H292+"AM:!$Cl"</f>
        <v>#VALUE!</v>
      </c>
      <c r="HU41" t="e">
        <f>'Effort Estimation'!I292+"AM:!$Cm"</f>
        <v>#VALUE!</v>
      </c>
      <c r="HV41" s="99" t="e">
        <f>'Effort Estimation'!J292+"AM:!$Cn"</f>
        <v>#VALUE!</v>
      </c>
      <c r="HW41" s="99" t="e">
        <f>'Effort Estimation'!K292+"AM:!$Co"</f>
        <v>#VALUE!</v>
      </c>
      <c r="HX41" s="99" t="e">
        <f>'Effort Estimation'!L292+"AM:!$Cp"</f>
        <v>#VALUE!</v>
      </c>
      <c r="HY41" s="99" t="e">
        <f>'Effort Estimation'!M292+"AM:!$Cq"</f>
        <v>#VALUE!</v>
      </c>
      <c r="HZ41" s="99" t="e">
        <f>'Effort Estimation'!N292+"AM:!$Cr"</f>
        <v>#VALUE!</v>
      </c>
      <c r="IA41" s="99" t="e">
        <f>'Effort Estimation'!O292+"AM:!$Cs"</f>
        <v>#VALUE!</v>
      </c>
      <c r="IB41" s="99" t="e">
        <f>'Effort Estimation'!P292+"AM:!$Ct"</f>
        <v>#VALUE!</v>
      </c>
      <c r="IC41" s="99" t="e">
        <f>'Effort Estimation'!Q292+"AM:!$Cu"</f>
        <v>#VALUE!</v>
      </c>
      <c r="ID41" t="e">
        <f>'Effort Estimation'!R292+"AM:!$Cv"</f>
        <v>#VALUE!</v>
      </c>
      <c r="IE41" t="e">
        <f>'Effort Estimation'!S292+"AM:!$Cw"</f>
        <v>#VALUE!</v>
      </c>
      <c r="IF41" t="e">
        <f>'Effort Estimation'!T292+"AM:!$Cx"</f>
        <v>#VALUE!</v>
      </c>
      <c r="IG41" t="e">
        <f>'Effort Estimation'!A293+"AM:!$Cy"</f>
        <v>#VALUE!</v>
      </c>
      <c r="IH41" t="e">
        <f>'Effort Estimation'!B293+"AM:!$Cz"</f>
        <v>#VALUE!</v>
      </c>
      <c r="II41" t="e">
        <f>'Effort Estimation'!C293+"AM:!$C{"</f>
        <v>#VALUE!</v>
      </c>
      <c r="IJ41" t="e">
        <f>'Effort Estimation'!D293+"AM:!$C|"</f>
        <v>#VALUE!</v>
      </c>
      <c r="IK41" t="e">
        <f>'Effort Estimation'!E293+"AM:!$C}"</f>
        <v>#VALUE!</v>
      </c>
      <c r="IL41" t="e">
        <f>'Effort Estimation'!F293+"AM:!$C~"</f>
        <v>#VALUE!</v>
      </c>
      <c r="IM41" t="e">
        <f>'Effort Estimation'!G293+"AM:!$D#"</f>
        <v>#VALUE!</v>
      </c>
      <c r="IN41" t="e">
        <f>'Effort Estimation'!H293+"AM:!$D$"</f>
        <v>#VALUE!</v>
      </c>
      <c r="IO41" t="e">
        <f>'Effort Estimation'!I293+"AM:!$D%"</f>
        <v>#VALUE!</v>
      </c>
      <c r="IP41" s="99" t="e">
        <f>'Effort Estimation'!J293+"AM:!$D&amp;"</f>
        <v>#VALUE!</v>
      </c>
      <c r="IQ41" s="99" t="e">
        <f>'Effort Estimation'!K293+"AM:!$D'"</f>
        <v>#VALUE!</v>
      </c>
      <c r="IR41" s="99" t="e">
        <f>'Effort Estimation'!L293+"AM:!$D("</f>
        <v>#VALUE!</v>
      </c>
      <c r="IS41" s="99" t="e">
        <f>'Effort Estimation'!M293+"AM:!$D)"</f>
        <v>#VALUE!</v>
      </c>
      <c r="IT41" s="99" t="e">
        <f>'Effort Estimation'!N293+"AM:!$D."</f>
        <v>#VALUE!</v>
      </c>
      <c r="IU41" s="99" t="e">
        <f>'Effort Estimation'!O293+"AM:!$D/"</f>
        <v>#VALUE!</v>
      </c>
      <c r="IV41" s="99" t="e">
        <f>'Effort Estimation'!P293+"AM:!$D0"</f>
        <v>#VALUE!</v>
      </c>
    </row>
    <row r="42" spans="6:256">
      <c r="F42" s="99" t="e">
        <f>'Effort Estimation'!Q293+"AM:!$D1"</f>
        <v>#VALUE!</v>
      </c>
      <c r="G42" t="e">
        <f>'Effort Estimation'!R293+"AM:!$D2"</f>
        <v>#VALUE!</v>
      </c>
      <c r="H42" t="e">
        <f>'Effort Estimation'!S293+"AM:!$D3"</f>
        <v>#VALUE!</v>
      </c>
      <c r="I42" t="e">
        <f>'Effort Estimation'!T293+"AM:!$D4"</f>
        <v>#VALUE!</v>
      </c>
      <c r="J42" t="e">
        <f>'Effort Estimation'!A294+"AM:!$D5"</f>
        <v>#VALUE!</v>
      </c>
      <c r="K42" t="e">
        <f>'Effort Estimation'!B294+"AM:!$D6"</f>
        <v>#VALUE!</v>
      </c>
      <c r="L42" t="e">
        <f>'Effort Estimation'!C294+"AM:!$D7"</f>
        <v>#VALUE!</v>
      </c>
      <c r="M42" t="e">
        <f>'Effort Estimation'!D294+"AM:!$D8"</f>
        <v>#VALUE!</v>
      </c>
      <c r="N42" t="e">
        <f>'Effort Estimation'!E294+"AM:!$D9"</f>
        <v>#VALUE!</v>
      </c>
      <c r="O42" t="e">
        <f>'Effort Estimation'!F294+"AM:!$D:"</f>
        <v>#VALUE!</v>
      </c>
      <c r="P42" t="e">
        <f>'Effort Estimation'!G294+"AM:!$D;"</f>
        <v>#VALUE!</v>
      </c>
      <c r="Q42" t="e">
        <f>'Effort Estimation'!H294+"AM:!$D&lt;"</f>
        <v>#VALUE!</v>
      </c>
      <c r="R42" t="e">
        <f>'Effort Estimation'!I294+"AM:!$D="</f>
        <v>#VALUE!</v>
      </c>
      <c r="S42" s="99" t="e">
        <f>'Effort Estimation'!J294+"AM:!$D&gt;"</f>
        <v>#VALUE!</v>
      </c>
      <c r="T42" s="99" t="e">
        <f>'Effort Estimation'!K294+"AM:!$D?"</f>
        <v>#VALUE!</v>
      </c>
      <c r="U42" s="99" t="e">
        <f>'Effort Estimation'!L294+"AM:!$D@"</f>
        <v>#VALUE!</v>
      </c>
      <c r="V42" s="99" t="e">
        <f>'Effort Estimation'!M294+"AM:!$DA"</f>
        <v>#VALUE!</v>
      </c>
      <c r="W42" s="99" t="e">
        <f>'Effort Estimation'!N294+"AM:!$DB"</f>
        <v>#VALUE!</v>
      </c>
      <c r="X42" s="99" t="e">
        <f>'Effort Estimation'!O294+"AM:!$DC"</f>
        <v>#VALUE!</v>
      </c>
      <c r="Y42" s="99" t="e">
        <f>'Effort Estimation'!P294+"AM:!$DD"</f>
        <v>#VALUE!</v>
      </c>
      <c r="Z42" s="99" t="e">
        <f>'Effort Estimation'!Q294+"AM:!$DE"</f>
        <v>#VALUE!</v>
      </c>
      <c r="AA42" t="e">
        <f>'Effort Estimation'!R294+"AM:!$DF"</f>
        <v>#VALUE!</v>
      </c>
      <c r="AB42" t="e">
        <f>'Effort Estimation'!S294+"AM:!$DG"</f>
        <v>#VALUE!</v>
      </c>
      <c r="AC42" t="e">
        <f>'Effort Estimation'!T294+"AM:!$DH"</f>
        <v>#VALUE!</v>
      </c>
      <c r="AD42" t="e">
        <f>'Effort Estimation'!A295+"AM:!$DI"</f>
        <v>#VALUE!</v>
      </c>
      <c r="AE42" t="e">
        <f>'Effort Estimation'!B295+"AM:!$DJ"</f>
        <v>#VALUE!</v>
      </c>
      <c r="AF42" t="e">
        <f>'Effort Estimation'!C295+"AM:!$DK"</f>
        <v>#VALUE!</v>
      </c>
      <c r="AG42" t="e">
        <f>'Effort Estimation'!D295+"AM:!$DL"</f>
        <v>#VALUE!</v>
      </c>
      <c r="AH42" t="e">
        <f>'Effort Estimation'!E295+"AM:!$DM"</f>
        <v>#VALUE!</v>
      </c>
      <c r="AI42" t="e">
        <f>'Effort Estimation'!F295+"AM:!$DN"</f>
        <v>#VALUE!</v>
      </c>
      <c r="AJ42" t="e">
        <f>'Effort Estimation'!G295+"AM:!$DO"</f>
        <v>#VALUE!</v>
      </c>
      <c r="AK42" t="e">
        <f>'Effort Estimation'!H295+"AM:!$DP"</f>
        <v>#VALUE!</v>
      </c>
      <c r="AL42" t="e">
        <f>'Effort Estimation'!I295+"AM:!$DQ"</f>
        <v>#VALUE!</v>
      </c>
      <c r="AM42" s="99" t="e">
        <f>'Effort Estimation'!J295+"AM:!$DR"</f>
        <v>#VALUE!</v>
      </c>
      <c r="AN42" s="99" t="e">
        <f>'Effort Estimation'!K295+"AM:!$DS"</f>
        <v>#VALUE!</v>
      </c>
      <c r="AO42" s="99" t="e">
        <f>'Effort Estimation'!L295+"AM:!$DT"</f>
        <v>#VALUE!</v>
      </c>
      <c r="AP42" s="99" t="e">
        <f>'Effort Estimation'!M295+"AM:!$DU"</f>
        <v>#VALUE!</v>
      </c>
      <c r="AQ42" s="99" t="e">
        <f>'Effort Estimation'!N295+"AM:!$DV"</f>
        <v>#VALUE!</v>
      </c>
      <c r="AR42" s="99" t="e">
        <f>'Effort Estimation'!O295+"AM:!$DW"</f>
        <v>#VALUE!</v>
      </c>
      <c r="AS42" s="99" t="e">
        <f>'Effort Estimation'!P295+"AM:!$DX"</f>
        <v>#VALUE!</v>
      </c>
      <c r="AT42" s="99" t="e">
        <f>'Effort Estimation'!Q295+"AM:!$DY"</f>
        <v>#VALUE!</v>
      </c>
      <c r="AU42" t="e">
        <f>'Effort Estimation'!R295+"AM:!$DZ"</f>
        <v>#VALUE!</v>
      </c>
      <c r="AV42" t="e">
        <f>'Effort Estimation'!S295+"AM:!$D["</f>
        <v>#VALUE!</v>
      </c>
      <c r="AW42" t="e">
        <f>'Effort Estimation'!T295+"AM:!$D\"</f>
        <v>#VALUE!</v>
      </c>
      <c r="AX42" t="e">
        <f>'Effort Estimation'!A296+"AM:!$D]"</f>
        <v>#VALUE!</v>
      </c>
      <c r="AY42" t="e">
        <f>'Effort Estimation'!B296+"AM:!$D^"</f>
        <v>#VALUE!</v>
      </c>
      <c r="AZ42" t="e">
        <f>'Effort Estimation'!C296+"AM:!$D_"</f>
        <v>#VALUE!</v>
      </c>
      <c r="BA42" t="e">
        <f>'Effort Estimation'!D296+"AM:!$D`"</f>
        <v>#VALUE!</v>
      </c>
      <c r="BB42" t="e">
        <f>'Effort Estimation'!E296+"AM:!$Da"</f>
        <v>#VALUE!</v>
      </c>
      <c r="BC42" t="e">
        <f>'Effort Estimation'!F296+"AM:!$Db"</f>
        <v>#VALUE!</v>
      </c>
      <c r="BD42" t="e">
        <f>'Effort Estimation'!G296+"AM:!$Dc"</f>
        <v>#VALUE!</v>
      </c>
      <c r="BE42" t="e">
        <f>'Effort Estimation'!H296+"AM:!$Dd"</f>
        <v>#VALUE!</v>
      </c>
      <c r="BF42" t="e">
        <f>'Effort Estimation'!I296+"AM:!$De"</f>
        <v>#VALUE!</v>
      </c>
      <c r="BG42" s="99" t="e">
        <f>'Effort Estimation'!J296+"AM:!$Df"</f>
        <v>#VALUE!</v>
      </c>
      <c r="BH42" s="99" t="e">
        <f>'Effort Estimation'!K296+"AM:!$Dg"</f>
        <v>#VALUE!</v>
      </c>
      <c r="BI42" s="99" t="e">
        <f>'Effort Estimation'!L296+"AM:!$Dh"</f>
        <v>#VALUE!</v>
      </c>
      <c r="BJ42" s="99" t="e">
        <f>'Effort Estimation'!M296+"AM:!$Di"</f>
        <v>#VALUE!</v>
      </c>
      <c r="BK42" s="99" t="e">
        <f>'Effort Estimation'!N296+"AM:!$Dj"</f>
        <v>#VALUE!</v>
      </c>
      <c r="BL42" s="99" t="e">
        <f>'Effort Estimation'!O296+"AM:!$Dk"</f>
        <v>#VALUE!</v>
      </c>
      <c r="BM42" s="99" t="e">
        <f>'Effort Estimation'!P296+"AM:!$Dl"</f>
        <v>#VALUE!</v>
      </c>
      <c r="BN42" s="99" t="e">
        <f>'Effort Estimation'!Q296+"AM:!$Dm"</f>
        <v>#VALUE!</v>
      </c>
      <c r="BO42" t="e">
        <f>'Effort Estimation'!R296+"AM:!$Dn"</f>
        <v>#VALUE!</v>
      </c>
      <c r="BP42" t="e">
        <f>'Effort Estimation'!S296+"AM:!$Do"</f>
        <v>#VALUE!</v>
      </c>
      <c r="BQ42" t="e">
        <f>'Effort Estimation'!T296+"AM:!$Dp"</f>
        <v>#VALUE!</v>
      </c>
      <c r="BR42" t="e">
        <f>'Effort Estimation'!A297+"AM:!$Dq"</f>
        <v>#VALUE!</v>
      </c>
      <c r="BS42" t="e">
        <f>'Effort Estimation'!B297+"AM:!$Dr"</f>
        <v>#VALUE!</v>
      </c>
      <c r="BT42" t="e">
        <f>'Effort Estimation'!C297+"AM:!$Ds"</f>
        <v>#VALUE!</v>
      </c>
      <c r="BU42" t="e">
        <f>'Effort Estimation'!D297+"AM:!$Dt"</f>
        <v>#VALUE!</v>
      </c>
      <c r="BV42" t="e">
        <f>'Effort Estimation'!E297+"AM:!$Du"</f>
        <v>#VALUE!</v>
      </c>
      <c r="BW42" t="e">
        <f>'Effort Estimation'!F297+"AM:!$Dv"</f>
        <v>#VALUE!</v>
      </c>
      <c r="BX42" t="e">
        <f>'Effort Estimation'!G297+"AM:!$Dw"</f>
        <v>#VALUE!</v>
      </c>
      <c r="BY42" t="e">
        <f>'Effort Estimation'!H297+"AM:!$Dx"</f>
        <v>#VALUE!</v>
      </c>
      <c r="BZ42" t="e">
        <f>'Effort Estimation'!I297+"AM:!$Dy"</f>
        <v>#VALUE!</v>
      </c>
      <c r="CA42" s="99" t="e">
        <f>'Effort Estimation'!J297+"AM:!$Dz"</f>
        <v>#VALUE!</v>
      </c>
      <c r="CB42" s="99" t="e">
        <f>'Effort Estimation'!K297+"AM:!$D{"</f>
        <v>#VALUE!</v>
      </c>
      <c r="CC42" s="99" t="e">
        <f>'Effort Estimation'!L297+"AM:!$D|"</f>
        <v>#VALUE!</v>
      </c>
      <c r="CD42" s="99" t="e">
        <f>'Effort Estimation'!M297+"AM:!$D}"</f>
        <v>#VALUE!</v>
      </c>
      <c r="CE42" s="99" t="e">
        <f>'Effort Estimation'!N297+"AM:!$D~"</f>
        <v>#VALUE!</v>
      </c>
      <c r="CF42" s="99" t="e">
        <f>'Effort Estimation'!O297+"AM:!$E#"</f>
        <v>#VALUE!</v>
      </c>
      <c r="CG42" s="99" t="e">
        <f>'Effort Estimation'!P297+"AM:!$E$"</f>
        <v>#VALUE!</v>
      </c>
      <c r="CH42" s="99" t="e">
        <f>'Effort Estimation'!Q297+"AM:!$E%"</f>
        <v>#VALUE!</v>
      </c>
      <c r="CI42" t="e">
        <f>'Effort Estimation'!R297+"AM:!$E&amp;"</f>
        <v>#VALUE!</v>
      </c>
      <c r="CJ42" t="e">
        <f>'Effort Estimation'!S297+"AM:!$E'"</f>
        <v>#VALUE!</v>
      </c>
      <c r="CK42" t="e">
        <f>'Effort Estimation'!T297+"AM:!$E("</f>
        <v>#VALUE!</v>
      </c>
      <c r="CL42" t="e">
        <f>'Effort Estimation'!A298+"AM:!$E)"</f>
        <v>#VALUE!</v>
      </c>
      <c r="CM42" t="e">
        <f>'Effort Estimation'!B298+"AM:!$E."</f>
        <v>#VALUE!</v>
      </c>
      <c r="CN42" t="e">
        <f>'Effort Estimation'!C298+"AM:!$E/"</f>
        <v>#VALUE!</v>
      </c>
      <c r="CO42" t="e">
        <f>'Effort Estimation'!D298+"AM:!$E0"</f>
        <v>#VALUE!</v>
      </c>
      <c r="CP42" t="e">
        <f>'Effort Estimation'!E298+"AM:!$E1"</f>
        <v>#VALUE!</v>
      </c>
      <c r="CQ42" t="e">
        <f>'Effort Estimation'!F298+"AM:!$E2"</f>
        <v>#VALUE!</v>
      </c>
      <c r="CR42" t="e">
        <f>'Effort Estimation'!G298+"AM:!$E3"</f>
        <v>#VALUE!</v>
      </c>
      <c r="CS42" t="e">
        <f>'Effort Estimation'!H298+"AM:!$E4"</f>
        <v>#VALUE!</v>
      </c>
      <c r="CT42" t="e">
        <f>'Effort Estimation'!I298+"AM:!$E5"</f>
        <v>#VALUE!</v>
      </c>
      <c r="CU42" s="99" t="e">
        <f>'Effort Estimation'!J298+"AM:!$E6"</f>
        <v>#VALUE!</v>
      </c>
      <c r="CV42" s="99" t="e">
        <f>'Effort Estimation'!K298+"AM:!$E7"</f>
        <v>#VALUE!</v>
      </c>
      <c r="CW42" s="99" t="e">
        <f>'Effort Estimation'!L298+"AM:!$E8"</f>
        <v>#VALUE!</v>
      </c>
      <c r="CX42" s="99" t="e">
        <f>'Effort Estimation'!M298+"AM:!$E9"</f>
        <v>#VALUE!</v>
      </c>
      <c r="CY42" s="99" t="e">
        <f>'Effort Estimation'!N298+"AM:!$E:"</f>
        <v>#VALUE!</v>
      </c>
      <c r="CZ42" s="99" t="e">
        <f>'Effort Estimation'!O298+"AM:!$E;"</f>
        <v>#VALUE!</v>
      </c>
      <c r="DA42" s="99" t="e">
        <f>'Effort Estimation'!P298+"AM:!$E&lt;"</f>
        <v>#VALUE!</v>
      </c>
      <c r="DB42" s="99" t="e">
        <f>'Effort Estimation'!Q298+"AM:!$E="</f>
        <v>#VALUE!</v>
      </c>
      <c r="DC42" t="e">
        <f>'Effort Estimation'!R298+"AM:!$E&gt;"</f>
        <v>#VALUE!</v>
      </c>
      <c r="DD42" t="e">
        <f>'Effort Estimation'!S298+"AM:!$E?"</f>
        <v>#VALUE!</v>
      </c>
      <c r="DE42" t="e">
        <f>'Effort Estimation'!T298+"AM:!$E@"</f>
        <v>#VALUE!</v>
      </c>
      <c r="DF42" t="e">
        <f>'Effort Estimation'!A299+"AM:!$EA"</f>
        <v>#VALUE!</v>
      </c>
      <c r="DG42" t="e">
        <f>'Effort Estimation'!B299+"AM:!$EB"</f>
        <v>#VALUE!</v>
      </c>
      <c r="DH42" t="e">
        <f>'Effort Estimation'!C299+"AM:!$EC"</f>
        <v>#VALUE!</v>
      </c>
      <c r="DI42" t="e">
        <f>'Effort Estimation'!D299+"AM:!$ED"</f>
        <v>#VALUE!</v>
      </c>
      <c r="DJ42" t="e">
        <f>'Effort Estimation'!E299+"AM:!$EE"</f>
        <v>#VALUE!</v>
      </c>
      <c r="DK42" t="e">
        <f>'Effort Estimation'!F299+"AM:!$EF"</f>
        <v>#VALUE!</v>
      </c>
      <c r="DL42" t="e">
        <f>'Effort Estimation'!G299+"AM:!$EG"</f>
        <v>#VALUE!</v>
      </c>
      <c r="DM42" t="e">
        <f>'Effort Estimation'!H299+"AM:!$EH"</f>
        <v>#VALUE!</v>
      </c>
      <c r="DN42" t="e">
        <f>'Effort Estimation'!I299+"AM:!$EI"</f>
        <v>#VALUE!</v>
      </c>
      <c r="DO42" s="99" t="e">
        <f>'Effort Estimation'!J299+"AM:!$EJ"</f>
        <v>#VALUE!</v>
      </c>
      <c r="DP42" s="99" t="e">
        <f>'Effort Estimation'!K299+"AM:!$EK"</f>
        <v>#VALUE!</v>
      </c>
      <c r="DQ42" s="99" t="e">
        <f>'Effort Estimation'!L299+"AM:!$EL"</f>
        <v>#VALUE!</v>
      </c>
      <c r="DR42" s="99" t="e">
        <f>'Effort Estimation'!M299+"AM:!$EM"</f>
        <v>#VALUE!</v>
      </c>
      <c r="DS42" s="99" t="e">
        <f>'Effort Estimation'!N299+"AM:!$EN"</f>
        <v>#VALUE!</v>
      </c>
      <c r="DT42" s="99" t="e">
        <f>'Effort Estimation'!O299+"AM:!$EO"</f>
        <v>#VALUE!</v>
      </c>
      <c r="DU42" s="99" t="e">
        <f>'Effort Estimation'!P299+"AM:!$EP"</f>
        <v>#VALUE!</v>
      </c>
      <c r="DV42" s="99" t="e">
        <f>'Effort Estimation'!Q299+"AM:!$EQ"</f>
        <v>#VALUE!</v>
      </c>
      <c r="DW42" t="e">
        <f>'Effort Estimation'!R299+"AM:!$ER"</f>
        <v>#VALUE!</v>
      </c>
      <c r="DX42" t="e">
        <f>'Effort Estimation'!S299+"AM:!$ES"</f>
        <v>#VALUE!</v>
      </c>
      <c r="DY42" t="e">
        <f>'Effort Estimation'!T299+"AM:!$ET"</f>
        <v>#VALUE!</v>
      </c>
      <c r="DZ42" t="e">
        <f>'Effort Estimation'!A300+"AM:!$EU"</f>
        <v>#VALUE!</v>
      </c>
      <c r="EA42" t="e">
        <f>'Effort Estimation'!B300+"AM:!$EV"</f>
        <v>#VALUE!</v>
      </c>
      <c r="EB42" t="e">
        <f>'Effort Estimation'!C300+"AM:!$EW"</f>
        <v>#VALUE!</v>
      </c>
      <c r="EC42" t="e">
        <f>'Effort Estimation'!D300+"AM:!$EX"</f>
        <v>#VALUE!</v>
      </c>
      <c r="ED42" t="e">
        <f>'Effort Estimation'!E300+"AM:!$EY"</f>
        <v>#VALUE!</v>
      </c>
      <c r="EE42" t="e">
        <f>'Effort Estimation'!F300+"AM:!$EZ"</f>
        <v>#VALUE!</v>
      </c>
      <c r="EF42" t="e">
        <f>'Effort Estimation'!G300+"AM:!$E["</f>
        <v>#VALUE!</v>
      </c>
      <c r="EG42" t="e">
        <f>'Effort Estimation'!H300+"AM:!$E\"</f>
        <v>#VALUE!</v>
      </c>
      <c r="EH42" t="e">
        <f>'Effort Estimation'!I300+"AM:!$E]"</f>
        <v>#VALUE!</v>
      </c>
      <c r="EI42" s="99" t="e">
        <f>'Effort Estimation'!J300+"AM:!$E^"</f>
        <v>#VALUE!</v>
      </c>
      <c r="EJ42" s="99" t="e">
        <f>'Effort Estimation'!K300+"AM:!$E_"</f>
        <v>#VALUE!</v>
      </c>
      <c r="EK42" s="99" t="e">
        <f>'Effort Estimation'!L300+"AM:!$E`"</f>
        <v>#VALUE!</v>
      </c>
      <c r="EL42" s="99" t="e">
        <f>'Effort Estimation'!M300+"AM:!$Ea"</f>
        <v>#VALUE!</v>
      </c>
      <c r="EM42" s="99" t="e">
        <f>'Effort Estimation'!N300+"AM:!$Eb"</f>
        <v>#VALUE!</v>
      </c>
      <c r="EN42" s="99" t="e">
        <f>'Effort Estimation'!O300+"AM:!$Ec"</f>
        <v>#VALUE!</v>
      </c>
      <c r="EO42" s="99" t="e">
        <f>'Effort Estimation'!P300+"AM:!$Ed"</f>
        <v>#VALUE!</v>
      </c>
      <c r="EP42" s="99" t="e">
        <f>'Effort Estimation'!Q300+"AM:!$Ee"</f>
        <v>#VALUE!</v>
      </c>
      <c r="EQ42" t="e">
        <f>'Effort Estimation'!R300+"AM:!$Ef"</f>
        <v>#VALUE!</v>
      </c>
      <c r="ER42" t="e">
        <f>'Effort Estimation'!S300+"AM:!$Eg"</f>
        <v>#VALUE!</v>
      </c>
      <c r="ES42" t="e">
        <f>'Effort Estimation'!T300+"AM:!$Eh"</f>
        <v>#VALUE!</v>
      </c>
      <c r="ET42" t="e">
        <f>'Effort Estimation'!A301+"AM:!$Ei"</f>
        <v>#VALUE!</v>
      </c>
      <c r="EU42" t="e">
        <f>'Effort Estimation'!B301+"AM:!$Ej"</f>
        <v>#VALUE!</v>
      </c>
      <c r="EV42" t="e">
        <f>'Effort Estimation'!C301+"AM:!$Ek"</f>
        <v>#VALUE!</v>
      </c>
      <c r="EW42" t="e">
        <f>'Effort Estimation'!D301+"AM:!$El"</f>
        <v>#VALUE!</v>
      </c>
      <c r="EX42" t="e">
        <f>'Effort Estimation'!E301+"AM:!$Em"</f>
        <v>#VALUE!</v>
      </c>
      <c r="EY42" t="e">
        <f>'Effort Estimation'!F301+"AM:!$En"</f>
        <v>#VALUE!</v>
      </c>
      <c r="EZ42" t="e">
        <f>'Effort Estimation'!G301+"AM:!$Eo"</f>
        <v>#VALUE!</v>
      </c>
      <c r="FA42" t="e">
        <f>'Effort Estimation'!H301+"AM:!$Ep"</f>
        <v>#VALUE!</v>
      </c>
      <c r="FB42" t="e">
        <f>'Effort Estimation'!I301+"AM:!$Eq"</f>
        <v>#VALUE!</v>
      </c>
      <c r="FC42" s="99" t="e">
        <f>'Effort Estimation'!J301+"AM:!$Er"</f>
        <v>#VALUE!</v>
      </c>
      <c r="FD42" s="99" t="e">
        <f>'Effort Estimation'!K301+"AM:!$Es"</f>
        <v>#VALUE!</v>
      </c>
      <c r="FE42" s="99" t="e">
        <f>'Effort Estimation'!L301+"AM:!$Et"</f>
        <v>#VALUE!</v>
      </c>
      <c r="FF42" s="99" t="e">
        <f>'Effort Estimation'!M301+"AM:!$Eu"</f>
        <v>#VALUE!</v>
      </c>
      <c r="FG42" s="99" t="e">
        <f>'Effort Estimation'!N301+"AM:!$Ev"</f>
        <v>#VALUE!</v>
      </c>
      <c r="FH42" s="99" t="e">
        <f>'Effort Estimation'!O301+"AM:!$Ew"</f>
        <v>#VALUE!</v>
      </c>
      <c r="FI42" s="99" t="e">
        <f>'Effort Estimation'!P301+"AM:!$Ex"</f>
        <v>#VALUE!</v>
      </c>
      <c r="FJ42" s="99" t="e">
        <f>'Effort Estimation'!Q301+"AM:!$Ey"</f>
        <v>#VALUE!</v>
      </c>
      <c r="FK42" t="e">
        <f>'Effort Estimation'!R301+"AM:!$Ez"</f>
        <v>#VALUE!</v>
      </c>
      <c r="FL42" t="e">
        <f>'Effort Estimation'!S301+"AM:!$E{"</f>
        <v>#VALUE!</v>
      </c>
      <c r="FM42" t="e">
        <f>'Effort Estimation'!T301+"AM:!$E|"</f>
        <v>#VALUE!</v>
      </c>
      <c r="FN42" t="e">
        <f>'Effort Estimation'!A302+"AM:!$E}"</f>
        <v>#VALUE!</v>
      </c>
      <c r="FO42" t="e">
        <f>'Effort Estimation'!B302+"AM:!$E~"</f>
        <v>#VALUE!</v>
      </c>
      <c r="FP42" t="e">
        <f>'Effort Estimation'!C302+"AM:!$F#"</f>
        <v>#VALUE!</v>
      </c>
      <c r="FQ42" t="e">
        <f>'Effort Estimation'!D302+"AM:!$F$"</f>
        <v>#VALUE!</v>
      </c>
      <c r="FR42" t="e">
        <f>'Effort Estimation'!E302+"AM:!$F%"</f>
        <v>#VALUE!</v>
      </c>
      <c r="FS42" t="e">
        <f>'Effort Estimation'!F302+"AM:!$F&amp;"</f>
        <v>#VALUE!</v>
      </c>
      <c r="FT42" t="e">
        <f>'Effort Estimation'!G302+"AM:!$F'"</f>
        <v>#VALUE!</v>
      </c>
      <c r="FU42" t="e">
        <f>'Effort Estimation'!H302+"AM:!$F("</f>
        <v>#VALUE!</v>
      </c>
      <c r="FV42" t="e">
        <f>'Effort Estimation'!I302+"AM:!$F)"</f>
        <v>#VALUE!</v>
      </c>
      <c r="FW42" s="99" t="e">
        <f>'Effort Estimation'!J302+"AM:!$F."</f>
        <v>#VALUE!</v>
      </c>
      <c r="FX42" s="99" t="e">
        <f>'Effort Estimation'!K302+"AM:!$F/"</f>
        <v>#VALUE!</v>
      </c>
      <c r="FY42" s="99" t="e">
        <f>'Effort Estimation'!L302+"AM:!$F0"</f>
        <v>#VALUE!</v>
      </c>
      <c r="FZ42" s="99" t="e">
        <f>'Effort Estimation'!M302+"AM:!$F1"</f>
        <v>#VALUE!</v>
      </c>
      <c r="GA42" s="99" t="e">
        <f>'Effort Estimation'!N302+"AM:!$F2"</f>
        <v>#VALUE!</v>
      </c>
      <c r="GB42" s="99" t="e">
        <f>'Effort Estimation'!O302+"AM:!$F3"</f>
        <v>#VALUE!</v>
      </c>
      <c r="GC42" s="99" t="e">
        <f>'Effort Estimation'!P302+"AM:!$F4"</f>
        <v>#VALUE!</v>
      </c>
      <c r="GD42" s="99" t="e">
        <f>'Effort Estimation'!Q302+"AM:!$F5"</f>
        <v>#VALUE!</v>
      </c>
      <c r="GE42" t="e">
        <f>'Effort Estimation'!R302+"AM:!$F6"</f>
        <v>#VALUE!</v>
      </c>
      <c r="GF42" t="e">
        <f>'Effort Estimation'!S302+"AM:!$F7"</f>
        <v>#VALUE!</v>
      </c>
      <c r="GG42" t="e">
        <f>'Effort Estimation'!T302+"AM:!$F8"</f>
        <v>#VALUE!</v>
      </c>
      <c r="GH42" t="e">
        <f>'Effort Estimation'!A303+"AM:!$F9"</f>
        <v>#VALUE!</v>
      </c>
      <c r="GI42" t="e">
        <f>'Effort Estimation'!B303+"AM:!$F:"</f>
        <v>#VALUE!</v>
      </c>
      <c r="GJ42" t="e">
        <f>'Effort Estimation'!C303+"AM:!$F;"</f>
        <v>#VALUE!</v>
      </c>
      <c r="GK42" t="e">
        <f>'Effort Estimation'!D303+"AM:!$F&lt;"</f>
        <v>#VALUE!</v>
      </c>
      <c r="GL42" t="e">
        <f>'Effort Estimation'!E303+"AM:!$F="</f>
        <v>#VALUE!</v>
      </c>
      <c r="GM42" t="e">
        <f>'Effort Estimation'!F303+"AM:!$F&gt;"</f>
        <v>#VALUE!</v>
      </c>
      <c r="GN42" t="e">
        <f>'Effort Estimation'!G303+"AM:!$F?"</f>
        <v>#VALUE!</v>
      </c>
      <c r="GO42" t="e">
        <f>'Effort Estimation'!H303+"AM:!$F@"</f>
        <v>#VALUE!</v>
      </c>
      <c r="GP42" t="e">
        <f>'Effort Estimation'!I303+"AM:!$FA"</f>
        <v>#VALUE!</v>
      </c>
      <c r="GQ42" s="99" t="e">
        <f>'Effort Estimation'!J303+"AM:!$FB"</f>
        <v>#VALUE!</v>
      </c>
      <c r="GR42" s="99" t="e">
        <f>'Effort Estimation'!K303+"AM:!$FC"</f>
        <v>#VALUE!</v>
      </c>
      <c r="GS42" s="99" t="e">
        <f>'Effort Estimation'!L303+"AM:!$FD"</f>
        <v>#VALUE!</v>
      </c>
      <c r="GT42" s="99" t="e">
        <f>'Effort Estimation'!M303+"AM:!$FE"</f>
        <v>#VALUE!</v>
      </c>
      <c r="GU42" s="99" t="e">
        <f>'Effort Estimation'!N303+"AM:!$FF"</f>
        <v>#VALUE!</v>
      </c>
      <c r="GV42" s="99" t="e">
        <f>'Effort Estimation'!O303+"AM:!$FG"</f>
        <v>#VALUE!</v>
      </c>
      <c r="GW42" s="99" t="e">
        <f>'Effort Estimation'!P303+"AM:!$FH"</f>
        <v>#VALUE!</v>
      </c>
      <c r="GX42" s="99" t="e">
        <f>'Effort Estimation'!Q303+"AM:!$FI"</f>
        <v>#VALUE!</v>
      </c>
      <c r="GY42" t="e">
        <f>'Effort Estimation'!R303+"AM:!$FJ"</f>
        <v>#VALUE!</v>
      </c>
      <c r="GZ42" t="e">
        <f>'Effort Estimation'!S303+"AM:!$FK"</f>
        <v>#VALUE!</v>
      </c>
      <c r="HA42" t="e">
        <f>'Effort Estimation'!T303+"AM:!$FL"</f>
        <v>#VALUE!</v>
      </c>
      <c r="HB42" t="e">
        <f>'Effort Estimation'!A304+"AM:!$FM"</f>
        <v>#VALUE!</v>
      </c>
      <c r="HC42" t="e">
        <f>'Effort Estimation'!B304+"AM:!$FN"</f>
        <v>#VALUE!</v>
      </c>
      <c r="HD42" t="e">
        <f>'Effort Estimation'!C304+"AM:!$FO"</f>
        <v>#VALUE!</v>
      </c>
      <c r="HE42" t="e">
        <f>'Effort Estimation'!D304+"AM:!$FP"</f>
        <v>#VALUE!</v>
      </c>
      <c r="HF42" t="e">
        <f>'Effort Estimation'!E304+"AM:!$FQ"</f>
        <v>#VALUE!</v>
      </c>
      <c r="HG42" t="e">
        <f>'Effort Estimation'!F304+"AM:!$FR"</f>
        <v>#VALUE!</v>
      </c>
      <c r="HH42" t="e">
        <f>'Effort Estimation'!G304+"AM:!$FS"</f>
        <v>#VALUE!</v>
      </c>
      <c r="HI42" t="e">
        <f>'Effort Estimation'!H304+"AM:!$FT"</f>
        <v>#VALUE!</v>
      </c>
      <c r="HJ42" t="e">
        <f>'Effort Estimation'!I304+"AM:!$FU"</f>
        <v>#VALUE!</v>
      </c>
      <c r="HK42" s="99" t="e">
        <f>'Effort Estimation'!J304+"AM:!$FV"</f>
        <v>#VALUE!</v>
      </c>
      <c r="HL42" s="99" t="e">
        <f>'Effort Estimation'!K304+"AM:!$FW"</f>
        <v>#VALUE!</v>
      </c>
      <c r="HM42" s="99" t="e">
        <f>'Effort Estimation'!L304+"AM:!$FX"</f>
        <v>#VALUE!</v>
      </c>
      <c r="HN42" s="99" t="e">
        <f>'Effort Estimation'!M304+"AM:!$FY"</f>
        <v>#VALUE!</v>
      </c>
      <c r="HO42" s="99" t="e">
        <f>'Effort Estimation'!N304+"AM:!$FZ"</f>
        <v>#VALUE!</v>
      </c>
      <c r="HP42" s="99" t="e">
        <f>'Effort Estimation'!O304+"AM:!$F["</f>
        <v>#VALUE!</v>
      </c>
      <c r="HQ42" s="99" t="e">
        <f>'Effort Estimation'!P304+"AM:!$F\"</f>
        <v>#VALUE!</v>
      </c>
      <c r="HR42" s="99" t="e">
        <f>'Effort Estimation'!Q304+"AM:!$F]"</f>
        <v>#VALUE!</v>
      </c>
      <c r="HS42" t="e">
        <f>'Effort Estimation'!R304+"AM:!$F^"</f>
        <v>#VALUE!</v>
      </c>
      <c r="HT42" t="e">
        <f>'Effort Estimation'!S304+"AM:!$F_"</f>
        <v>#VALUE!</v>
      </c>
      <c r="HU42" t="e">
        <f>'Effort Estimation'!T304+"AM:!$F`"</f>
        <v>#VALUE!</v>
      </c>
      <c r="HV42" t="e">
        <f>'Effort Estimation'!A305+"AM:!$Fa"</f>
        <v>#VALUE!</v>
      </c>
      <c r="HW42" t="e">
        <f>'Effort Estimation'!B305+"AM:!$Fb"</f>
        <v>#VALUE!</v>
      </c>
      <c r="HX42" t="e">
        <f>'Effort Estimation'!C305+"AM:!$Fc"</f>
        <v>#VALUE!</v>
      </c>
      <c r="HY42" t="e">
        <f>'Effort Estimation'!D305+"AM:!$Fd"</f>
        <v>#VALUE!</v>
      </c>
      <c r="HZ42" t="e">
        <f>'Effort Estimation'!E305+"AM:!$Fe"</f>
        <v>#VALUE!</v>
      </c>
      <c r="IA42" t="e">
        <f>'Effort Estimation'!F305+"AM:!$Ff"</f>
        <v>#VALUE!</v>
      </c>
      <c r="IB42" t="e">
        <f>'Effort Estimation'!G305+"AM:!$Fg"</f>
        <v>#VALUE!</v>
      </c>
      <c r="IC42" t="e">
        <f>'Effort Estimation'!H305+"AM:!$Fh"</f>
        <v>#VALUE!</v>
      </c>
      <c r="ID42" t="e">
        <f>'Effort Estimation'!I305+"AM:!$Fi"</f>
        <v>#VALUE!</v>
      </c>
      <c r="IE42" s="99" t="e">
        <f>'Effort Estimation'!J305+"AM:!$Fj"</f>
        <v>#VALUE!</v>
      </c>
      <c r="IF42" s="99" t="e">
        <f>'Effort Estimation'!K305+"AM:!$Fk"</f>
        <v>#VALUE!</v>
      </c>
      <c r="IG42" s="99" t="e">
        <f>'Effort Estimation'!L305+"AM:!$Fl"</f>
        <v>#VALUE!</v>
      </c>
      <c r="IH42" s="99" t="e">
        <f>'Effort Estimation'!M305+"AM:!$Fm"</f>
        <v>#VALUE!</v>
      </c>
      <c r="II42" s="99" t="e">
        <f>'Effort Estimation'!N305+"AM:!$Fn"</f>
        <v>#VALUE!</v>
      </c>
      <c r="IJ42" s="99" t="e">
        <f>'Effort Estimation'!O305+"AM:!$Fo"</f>
        <v>#VALUE!</v>
      </c>
      <c r="IK42" s="99" t="e">
        <f>'Effort Estimation'!P305+"AM:!$Fp"</f>
        <v>#VALUE!</v>
      </c>
      <c r="IL42" s="99" t="e">
        <f>'Effort Estimation'!Q305+"AM:!$Fq"</f>
        <v>#VALUE!</v>
      </c>
      <c r="IM42" t="e">
        <f>'Effort Estimation'!R305+"AM:!$Fr"</f>
        <v>#VALUE!</v>
      </c>
      <c r="IN42" t="e">
        <f>'Effort Estimation'!S305+"AM:!$Fs"</f>
        <v>#VALUE!</v>
      </c>
      <c r="IO42" t="e">
        <f>'Effort Estimation'!T305+"AM:!$Ft"</f>
        <v>#VALUE!</v>
      </c>
      <c r="IP42" t="e">
        <f>'Effort Estimation'!A306+"AM:!$Fu"</f>
        <v>#VALUE!</v>
      </c>
      <c r="IQ42" t="e">
        <f>'Effort Estimation'!B306+"AM:!$Fv"</f>
        <v>#VALUE!</v>
      </c>
      <c r="IR42" t="e">
        <f>'Effort Estimation'!C306+"AM:!$Fw"</f>
        <v>#VALUE!</v>
      </c>
      <c r="IS42" t="e">
        <f>'Effort Estimation'!D306+"AM:!$Fx"</f>
        <v>#VALUE!</v>
      </c>
      <c r="IT42" t="e">
        <f>'Effort Estimation'!E306+"AM:!$Fy"</f>
        <v>#VALUE!</v>
      </c>
      <c r="IU42" t="e">
        <f>'Effort Estimation'!F306+"AM:!$Fz"</f>
        <v>#VALUE!</v>
      </c>
      <c r="IV42" t="e">
        <f>'Effort Estimation'!G306+"AM:!$F{"</f>
        <v>#VALUE!</v>
      </c>
    </row>
    <row r="43" spans="6:256">
      <c r="F43" t="e">
        <f>'Effort Estimation'!H306+"AM:!$F|"</f>
        <v>#VALUE!</v>
      </c>
      <c r="G43" t="e">
        <f>'Effort Estimation'!I306+"AM:!$F}"</f>
        <v>#VALUE!</v>
      </c>
      <c r="H43" s="99" t="e">
        <f>'Effort Estimation'!J306+"AM:!$F~"</f>
        <v>#VALUE!</v>
      </c>
      <c r="I43" s="99" t="e">
        <f>'Effort Estimation'!K306+"AM:!$G#"</f>
        <v>#VALUE!</v>
      </c>
      <c r="J43" s="99" t="e">
        <f>'Effort Estimation'!L306+"AM:!$G$"</f>
        <v>#VALUE!</v>
      </c>
      <c r="K43" s="99" t="e">
        <f>'Effort Estimation'!M306+"AM:!$G%"</f>
        <v>#VALUE!</v>
      </c>
      <c r="L43" s="99" t="e">
        <f>'Effort Estimation'!N306+"AM:!$G&amp;"</f>
        <v>#VALUE!</v>
      </c>
      <c r="M43" s="99" t="e">
        <f>'Effort Estimation'!O306+"AM:!$G'"</f>
        <v>#VALUE!</v>
      </c>
      <c r="N43" s="99" t="e">
        <f>'Effort Estimation'!P306+"AM:!$G("</f>
        <v>#VALUE!</v>
      </c>
      <c r="O43" s="99" t="e">
        <f>'Effort Estimation'!Q306+"AM:!$G)"</f>
        <v>#VALUE!</v>
      </c>
      <c r="P43" t="e">
        <f>'Effort Estimation'!R306+"AM:!$G."</f>
        <v>#VALUE!</v>
      </c>
      <c r="Q43" t="e">
        <f>'Effort Estimation'!S306+"AM:!$G/"</f>
        <v>#VALUE!</v>
      </c>
      <c r="R43" t="e">
        <f>'Effort Estimation'!T306+"AM:!$G0"</f>
        <v>#VALUE!</v>
      </c>
      <c r="S43" t="e">
        <f>'Effort Estimation'!A307+"AM:!$G1"</f>
        <v>#VALUE!</v>
      </c>
      <c r="T43" t="e">
        <f>'Effort Estimation'!B307+"AM:!$G2"</f>
        <v>#VALUE!</v>
      </c>
      <c r="U43" t="e">
        <f>'Effort Estimation'!C307+"AM:!$G3"</f>
        <v>#VALUE!</v>
      </c>
      <c r="V43" t="e">
        <f>'Effort Estimation'!D307+"AM:!$G4"</f>
        <v>#VALUE!</v>
      </c>
      <c r="W43" t="e">
        <f>'Effort Estimation'!E307+"AM:!$G5"</f>
        <v>#VALUE!</v>
      </c>
      <c r="X43" t="e">
        <f>'Effort Estimation'!F307+"AM:!$G6"</f>
        <v>#VALUE!</v>
      </c>
      <c r="Y43" t="e">
        <f>'Effort Estimation'!G307+"AM:!$G7"</f>
        <v>#VALUE!</v>
      </c>
      <c r="Z43" t="e">
        <f>'Effort Estimation'!H307+"AM:!$G8"</f>
        <v>#VALUE!</v>
      </c>
      <c r="AA43" t="e">
        <f>'Effort Estimation'!I307+"AM:!$G9"</f>
        <v>#VALUE!</v>
      </c>
      <c r="AB43" s="99" t="e">
        <f>'Effort Estimation'!J307+"AM:!$G:"</f>
        <v>#VALUE!</v>
      </c>
      <c r="AC43" s="99" t="e">
        <f>'Effort Estimation'!K307+"AM:!$G;"</f>
        <v>#VALUE!</v>
      </c>
      <c r="AD43" s="99" t="e">
        <f>'Effort Estimation'!L307+"AM:!$G&lt;"</f>
        <v>#VALUE!</v>
      </c>
      <c r="AE43" s="99" t="e">
        <f>'Effort Estimation'!M307+"AM:!$G="</f>
        <v>#VALUE!</v>
      </c>
      <c r="AF43" s="99" t="e">
        <f>'Effort Estimation'!N307+"AM:!$G&gt;"</f>
        <v>#VALUE!</v>
      </c>
      <c r="AG43" s="99" t="e">
        <f>'Effort Estimation'!O307+"AM:!$G?"</f>
        <v>#VALUE!</v>
      </c>
      <c r="AH43" s="99" t="e">
        <f>'Effort Estimation'!P307+"AM:!$G@"</f>
        <v>#VALUE!</v>
      </c>
      <c r="AI43" s="99" t="e">
        <f>'Effort Estimation'!Q307+"AM:!$GA"</f>
        <v>#VALUE!</v>
      </c>
      <c r="AJ43" t="e">
        <f>'Effort Estimation'!R307+"AM:!$GB"</f>
        <v>#VALUE!</v>
      </c>
      <c r="AK43" t="e">
        <f>'Effort Estimation'!S307+"AM:!$GC"</f>
        <v>#VALUE!</v>
      </c>
      <c r="AL43" t="e">
        <f>'Effort Estimation'!T307+"AM:!$GD"</f>
        <v>#VALUE!</v>
      </c>
      <c r="AM43" t="e">
        <f>'Effort Estimation'!A308+"AM:!$GE"</f>
        <v>#VALUE!</v>
      </c>
      <c r="AN43" t="e">
        <f>'Effort Estimation'!B308+"AM:!$GF"</f>
        <v>#VALUE!</v>
      </c>
      <c r="AO43" t="e">
        <f>'Effort Estimation'!C308+"AM:!$GG"</f>
        <v>#VALUE!</v>
      </c>
      <c r="AP43" t="e">
        <f>'Effort Estimation'!D308+"AM:!$GH"</f>
        <v>#VALUE!</v>
      </c>
      <c r="AQ43" t="e">
        <f>'Effort Estimation'!E308+"AM:!$GI"</f>
        <v>#VALUE!</v>
      </c>
      <c r="AR43" t="e">
        <f>'Effort Estimation'!F308+"AM:!$GJ"</f>
        <v>#VALUE!</v>
      </c>
      <c r="AS43" t="e">
        <f>'Effort Estimation'!G308+"AM:!$GK"</f>
        <v>#VALUE!</v>
      </c>
      <c r="AT43" t="e">
        <f>'Effort Estimation'!H308+"AM:!$GL"</f>
        <v>#VALUE!</v>
      </c>
      <c r="AU43" t="e">
        <f>'Effort Estimation'!I308+"AM:!$GM"</f>
        <v>#VALUE!</v>
      </c>
      <c r="AV43" s="99" t="e">
        <f>'Effort Estimation'!J308+"AM:!$GN"</f>
        <v>#VALUE!</v>
      </c>
      <c r="AW43" s="99" t="e">
        <f>'Effort Estimation'!K308+"AM:!$GO"</f>
        <v>#VALUE!</v>
      </c>
      <c r="AX43" s="99" t="e">
        <f>'Effort Estimation'!L308+"AM:!$GP"</f>
        <v>#VALUE!</v>
      </c>
      <c r="AY43" s="99" t="e">
        <f>'Effort Estimation'!M308+"AM:!$GQ"</f>
        <v>#VALUE!</v>
      </c>
      <c r="AZ43" s="99" t="e">
        <f>'Effort Estimation'!N308+"AM:!$GR"</f>
        <v>#VALUE!</v>
      </c>
      <c r="BA43" s="99" t="e">
        <f>'Effort Estimation'!O308+"AM:!$GS"</f>
        <v>#VALUE!</v>
      </c>
      <c r="BB43" s="99" t="e">
        <f>'Effort Estimation'!P308+"AM:!$GT"</f>
        <v>#VALUE!</v>
      </c>
      <c r="BC43" s="99" t="e">
        <f>'Effort Estimation'!Q308+"AM:!$GU"</f>
        <v>#VALUE!</v>
      </c>
      <c r="BD43" t="e">
        <f>'Effort Estimation'!R308+"AM:!$GV"</f>
        <v>#VALUE!</v>
      </c>
      <c r="BE43" t="e">
        <f>'Effort Estimation'!S308+"AM:!$GW"</f>
        <v>#VALUE!</v>
      </c>
      <c r="BF43" t="e">
        <f>'Effort Estimation'!T308+"AM:!$GX"</f>
        <v>#VALUE!</v>
      </c>
      <c r="BG43" t="e">
        <f>'Effort Estimation'!A309+"AM:!$GY"</f>
        <v>#VALUE!</v>
      </c>
      <c r="BH43" t="e">
        <f>'Effort Estimation'!B309+"AM:!$GZ"</f>
        <v>#VALUE!</v>
      </c>
      <c r="BI43" t="e">
        <f>'Effort Estimation'!C309+"AM:!$G["</f>
        <v>#VALUE!</v>
      </c>
      <c r="BJ43" t="e">
        <f>'Effort Estimation'!D309+"AM:!$G\"</f>
        <v>#VALUE!</v>
      </c>
      <c r="BK43" t="e">
        <f>'Effort Estimation'!E309+"AM:!$G]"</f>
        <v>#VALUE!</v>
      </c>
      <c r="BL43" t="e">
        <f>'Effort Estimation'!F309+"AM:!$G^"</f>
        <v>#VALUE!</v>
      </c>
      <c r="BM43" t="e">
        <f>'Effort Estimation'!G309+"AM:!$G_"</f>
        <v>#VALUE!</v>
      </c>
      <c r="BN43" t="e">
        <f>'Effort Estimation'!H309+"AM:!$G`"</f>
        <v>#VALUE!</v>
      </c>
      <c r="BO43" t="e">
        <f>'Effort Estimation'!I309+"AM:!$Ga"</f>
        <v>#VALUE!</v>
      </c>
      <c r="BP43" s="99" t="e">
        <f>'Effort Estimation'!J309+"AM:!$Gb"</f>
        <v>#VALUE!</v>
      </c>
      <c r="BQ43" s="99" t="e">
        <f>'Effort Estimation'!K309+"AM:!$Gc"</f>
        <v>#VALUE!</v>
      </c>
      <c r="BR43" s="99" t="e">
        <f>'Effort Estimation'!L309+"AM:!$Gd"</f>
        <v>#VALUE!</v>
      </c>
      <c r="BS43" s="99" t="e">
        <f>'Effort Estimation'!M309+"AM:!$Ge"</f>
        <v>#VALUE!</v>
      </c>
      <c r="BT43" s="99" t="e">
        <f>'Effort Estimation'!N309+"AM:!$Gf"</f>
        <v>#VALUE!</v>
      </c>
      <c r="BU43" s="99" t="e">
        <f>'Effort Estimation'!O309+"AM:!$Gg"</f>
        <v>#VALUE!</v>
      </c>
      <c r="BV43" s="99" t="e">
        <f>'Effort Estimation'!P309+"AM:!$Gh"</f>
        <v>#VALUE!</v>
      </c>
      <c r="BW43" s="99" t="e">
        <f>'Effort Estimation'!Q309+"AM:!$Gi"</f>
        <v>#VALUE!</v>
      </c>
      <c r="BX43" t="e">
        <f>'Effort Estimation'!R309+"AM:!$Gj"</f>
        <v>#VALUE!</v>
      </c>
      <c r="BY43" t="e">
        <f>'Effort Estimation'!S309+"AM:!$Gk"</f>
        <v>#VALUE!</v>
      </c>
      <c r="BZ43" t="e">
        <f>'Effort Estimation'!T309+"AM:!$Gl"</f>
        <v>#VALUE!</v>
      </c>
      <c r="CA43" t="e">
        <f>'Effort Estimation'!A310+"AM:!$Gm"</f>
        <v>#VALUE!</v>
      </c>
      <c r="CB43" t="e">
        <f>'Effort Estimation'!B310+"AM:!$Gn"</f>
        <v>#VALUE!</v>
      </c>
      <c r="CC43" t="e">
        <f>'Effort Estimation'!C310+"AM:!$Go"</f>
        <v>#VALUE!</v>
      </c>
      <c r="CD43" t="e">
        <f>'Effort Estimation'!D310+"AM:!$Gp"</f>
        <v>#VALUE!</v>
      </c>
      <c r="CE43" t="e">
        <f>'Effort Estimation'!E310+"AM:!$Gq"</f>
        <v>#VALUE!</v>
      </c>
      <c r="CF43" t="e">
        <f>'Effort Estimation'!F310+"AM:!$Gr"</f>
        <v>#VALUE!</v>
      </c>
      <c r="CG43" t="e">
        <f>'Effort Estimation'!G310+"AM:!$Gs"</f>
        <v>#VALUE!</v>
      </c>
      <c r="CH43" t="e">
        <f>'Effort Estimation'!H310+"AM:!$Gt"</f>
        <v>#VALUE!</v>
      </c>
      <c r="CI43" t="e">
        <f>'Effort Estimation'!I310+"AM:!$Gu"</f>
        <v>#VALUE!</v>
      </c>
      <c r="CJ43" s="99" t="e">
        <f>'Effort Estimation'!J310+"AM:!$Gv"</f>
        <v>#VALUE!</v>
      </c>
      <c r="CK43" s="99" t="e">
        <f>'Effort Estimation'!K310+"AM:!$Gw"</f>
        <v>#VALUE!</v>
      </c>
      <c r="CL43" s="99" t="e">
        <f>'Effort Estimation'!L310+"AM:!$Gx"</f>
        <v>#VALUE!</v>
      </c>
      <c r="CM43" s="99" t="e">
        <f>'Effort Estimation'!M310+"AM:!$Gy"</f>
        <v>#VALUE!</v>
      </c>
      <c r="CN43" s="99" t="e">
        <f>'Effort Estimation'!N310+"AM:!$Gz"</f>
        <v>#VALUE!</v>
      </c>
      <c r="CO43" s="99" t="e">
        <f>'Effort Estimation'!O310+"AM:!$G{"</f>
        <v>#VALUE!</v>
      </c>
      <c r="CP43" s="99" t="e">
        <f>'Effort Estimation'!P310+"AM:!$G|"</f>
        <v>#VALUE!</v>
      </c>
      <c r="CQ43" s="99" t="e">
        <f>'Effort Estimation'!Q310+"AM:!$G}"</f>
        <v>#VALUE!</v>
      </c>
      <c r="CR43" t="e">
        <f>'Effort Estimation'!R310+"AM:!$G~"</f>
        <v>#VALUE!</v>
      </c>
      <c r="CS43" t="e">
        <f>'Effort Estimation'!S310+"AM:!$H#"</f>
        <v>#VALUE!</v>
      </c>
      <c r="CT43" t="e">
        <f>'Effort Estimation'!T310+"AM:!$H$"</f>
        <v>#VALUE!</v>
      </c>
      <c r="CU43" t="e">
        <f>'Effort Estimation'!A311+"AM:!$H%"</f>
        <v>#VALUE!</v>
      </c>
      <c r="CV43" t="e">
        <f>'Effort Estimation'!B311+"AM:!$H&amp;"</f>
        <v>#VALUE!</v>
      </c>
      <c r="CW43" t="e">
        <f>'Effort Estimation'!C311+"AM:!$H'"</f>
        <v>#VALUE!</v>
      </c>
      <c r="CX43" t="e">
        <f>'Effort Estimation'!D311+"AM:!$H("</f>
        <v>#VALUE!</v>
      </c>
      <c r="CY43" t="e">
        <f>'Effort Estimation'!E311+"AM:!$H)"</f>
        <v>#VALUE!</v>
      </c>
      <c r="CZ43" t="e">
        <f>'Effort Estimation'!F311+"AM:!$H."</f>
        <v>#VALUE!</v>
      </c>
      <c r="DA43" t="e">
        <f>'Effort Estimation'!G311+"AM:!$H/"</f>
        <v>#VALUE!</v>
      </c>
      <c r="DB43" t="e">
        <f>'Effort Estimation'!H311+"AM:!$H0"</f>
        <v>#VALUE!</v>
      </c>
      <c r="DC43" t="e">
        <f>'Effort Estimation'!I311+"AM:!$H1"</f>
        <v>#VALUE!</v>
      </c>
      <c r="DD43" s="99" t="e">
        <f>'Effort Estimation'!J311+"AM:!$H2"</f>
        <v>#VALUE!</v>
      </c>
      <c r="DE43" s="99" t="e">
        <f>'Effort Estimation'!K311+"AM:!$H3"</f>
        <v>#VALUE!</v>
      </c>
      <c r="DF43" s="99" t="e">
        <f>'Effort Estimation'!L311+"AM:!$H4"</f>
        <v>#VALUE!</v>
      </c>
      <c r="DG43" s="99" t="e">
        <f>'Effort Estimation'!M311+"AM:!$H5"</f>
        <v>#VALUE!</v>
      </c>
      <c r="DH43" s="99" t="e">
        <f>'Effort Estimation'!N311+"AM:!$H6"</f>
        <v>#VALUE!</v>
      </c>
      <c r="DI43" s="99" t="e">
        <f>'Effort Estimation'!O311+"AM:!$H7"</f>
        <v>#VALUE!</v>
      </c>
      <c r="DJ43" s="99" t="e">
        <f>'Effort Estimation'!P311+"AM:!$H8"</f>
        <v>#VALUE!</v>
      </c>
      <c r="DK43" s="99" t="e">
        <f>'Effort Estimation'!Q311+"AM:!$H9"</f>
        <v>#VALUE!</v>
      </c>
      <c r="DL43" t="e">
        <f>'Effort Estimation'!R311+"AM:!$H:"</f>
        <v>#VALUE!</v>
      </c>
      <c r="DM43" t="e">
        <f>'Effort Estimation'!S311+"AM:!$H;"</f>
        <v>#VALUE!</v>
      </c>
      <c r="DN43" t="e">
        <f>'Effort Estimation'!T311+"AM:!$H&lt;"</f>
        <v>#VALUE!</v>
      </c>
      <c r="DO43" t="e">
        <f>'Effort Estimation'!A312+"AM:!$H="</f>
        <v>#VALUE!</v>
      </c>
      <c r="DP43" t="e">
        <f>'Effort Estimation'!B312+"AM:!$H&gt;"</f>
        <v>#VALUE!</v>
      </c>
      <c r="DQ43" t="e">
        <f>'Effort Estimation'!C312+"AM:!$H?"</f>
        <v>#VALUE!</v>
      </c>
      <c r="DR43" t="e">
        <f>'Effort Estimation'!D312+"AM:!$H@"</f>
        <v>#VALUE!</v>
      </c>
      <c r="DS43" t="e">
        <f>'Effort Estimation'!E312+"AM:!$HA"</f>
        <v>#VALUE!</v>
      </c>
      <c r="DT43" t="e">
        <f>'Effort Estimation'!F312+"AM:!$HB"</f>
        <v>#VALUE!</v>
      </c>
      <c r="DU43" t="e">
        <f>'Effort Estimation'!G312+"AM:!$HC"</f>
        <v>#VALUE!</v>
      </c>
      <c r="DV43" t="e">
        <f>'Effort Estimation'!H312+"AM:!$HD"</f>
        <v>#VALUE!</v>
      </c>
      <c r="DW43" t="e">
        <f>'Effort Estimation'!I312+"AM:!$HE"</f>
        <v>#VALUE!</v>
      </c>
      <c r="DX43" s="99" t="e">
        <f>'Effort Estimation'!J312+"AM:!$HF"</f>
        <v>#VALUE!</v>
      </c>
      <c r="DY43" s="99" t="e">
        <f>'Effort Estimation'!K312+"AM:!$HG"</f>
        <v>#VALUE!</v>
      </c>
      <c r="DZ43" s="99" t="e">
        <f>'Effort Estimation'!L312+"AM:!$HH"</f>
        <v>#VALUE!</v>
      </c>
      <c r="EA43" s="99" t="e">
        <f>'Effort Estimation'!M312+"AM:!$HI"</f>
        <v>#VALUE!</v>
      </c>
      <c r="EB43" s="99" t="e">
        <f>'Effort Estimation'!N312+"AM:!$HJ"</f>
        <v>#VALUE!</v>
      </c>
      <c r="EC43" s="99" t="e">
        <f>'Effort Estimation'!O312+"AM:!$HK"</f>
        <v>#VALUE!</v>
      </c>
      <c r="ED43" s="99" t="e">
        <f>'Effort Estimation'!P312+"AM:!$HL"</f>
        <v>#VALUE!</v>
      </c>
      <c r="EE43" s="99" t="e">
        <f>'Effort Estimation'!Q312+"AM:!$HM"</f>
        <v>#VALUE!</v>
      </c>
      <c r="EF43" t="e">
        <f>'Effort Estimation'!R312+"AM:!$HN"</f>
        <v>#VALUE!</v>
      </c>
      <c r="EG43" t="e">
        <f>'Effort Estimation'!S312+"AM:!$HO"</f>
        <v>#VALUE!</v>
      </c>
      <c r="EH43" t="e">
        <f>'Effort Estimation'!T312+"AM:!$HP"</f>
        <v>#VALUE!</v>
      </c>
      <c r="EI43" t="e">
        <f>'Effort Estimation'!A313+"AM:!$HQ"</f>
        <v>#VALUE!</v>
      </c>
      <c r="EJ43" t="e">
        <f>'Effort Estimation'!B313+"AM:!$HR"</f>
        <v>#VALUE!</v>
      </c>
      <c r="EK43" t="e">
        <f>'Effort Estimation'!C313+"AM:!$HS"</f>
        <v>#VALUE!</v>
      </c>
      <c r="EL43" t="e">
        <f>'Effort Estimation'!D313+"AM:!$HT"</f>
        <v>#VALUE!</v>
      </c>
      <c r="EM43" t="e">
        <f>'Effort Estimation'!E313+"AM:!$HU"</f>
        <v>#VALUE!</v>
      </c>
      <c r="EN43" t="e">
        <f>'Effort Estimation'!F313+"AM:!$HV"</f>
        <v>#VALUE!</v>
      </c>
      <c r="EO43" t="e">
        <f>'Effort Estimation'!G313+"AM:!$HW"</f>
        <v>#VALUE!</v>
      </c>
      <c r="EP43" t="e">
        <f>'Effort Estimation'!H313+"AM:!$HX"</f>
        <v>#VALUE!</v>
      </c>
      <c r="EQ43" t="e">
        <f>'Effort Estimation'!I313+"AM:!$HY"</f>
        <v>#VALUE!</v>
      </c>
      <c r="ER43" s="99" t="e">
        <f>'Effort Estimation'!J313+"AM:!$HZ"</f>
        <v>#VALUE!</v>
      </c>
      <c r="ES43" s="99" t="e">
        <f>'Effort Estimation'!K313+"AM:!$H["</f>
        <v>#VALUE!</v>
      </c>
      <c r="ET43" s="99" t="e">
        <f>'Effort Estimation'!L313+"AM:!$H\"</f>
        <v>#VALUE!</v>
      </c>
      <c r="EU43" s="99" t="e">
        <f>'Effort Estimation'!M313+"AM:!$H]"</f>
        <v>#VALUE!</v>
      </c>
      <c r="EV43" s="99" t="e">
        <f>'Effort Estimation'!N313+"AM:!$H^"</f>
        <v>#VALUE!</v>
      </c>
      <c r="EW43" s="99" t="e">
        <f>'Effort Estimation'!O313+"AM:!$H_"</f>
        <v>#VALUE!</v>
      </c>
      <c r="EX43" s="99" t="e">
        <f>'Effort Estimation'!P313+"AM:!$H`"</f>
        <v>#VALUE!</v>
      </c>
      <c r="EY43" s="99" t="e">
        <f>'Effort Estimation'!Q313+"AM:!$Ha"</f>
        <v>#VALUE!</v>
      </c>
      <c r="EZ43" t="e">
        <f>'Effort Estimation'!R313+"AM:!$Hb"</f>
        <v>#VALUE!</v>
      </c>
      <c r="FA43" t="e">
        <f>'Effort Estimation'!S313+"AM:!$Hc"</f>
        <v>#VALUE!</v>
      </c>
      <c r="FB43" t="e">
        <f>'Effort Estimation'!T313+"AM:!$Hd"</f>
        <v>#VALUE!</v>
      </c>
      <c r="FC43" t="e">
        <f>'Effort Estimation'!A314+"AM:!$He"</f>
        <v>#VALUE!</v>
      </c>
      <c r="FD43" t="e">
        <f>'Effort Estimation'!B314+"AM:!$Hf"</f>
        <v>#VALUE!</v>
      </c>
      <c r="FE43" t="e">
        <f>'Effort Estimation'!C314+"AM:!$Hg"</f>
        <v>#VALUE!</v>
      </c>
      <c r="FF43" t="e">
        <f>'Effort Estimation'!D314+"AM:!$Hh"</f>
        <v>#VALUE!</v>
      </c>
      <c r="FG43" t="e">
        <f>'Effort Estimation'!E314+"AM:!$Hi"</f>
        <v>#VALUE!</v>
      </c>
      <c r="FH43" t="e">
        <f>'Effort Estimation'!F314+"AM:!$Hj"</f>
        <v>#VALUE!</v>
      </c>
      <c r="FI43" t="e">
        <f>'Effort Estimation'!G314+"AM:!$Hk"</f>
        <v>#VALUE!</v>
      </c>
      <c r="FJ43" t="e">
        <f>'Effort Estimation'!H314+"AM:!$Hl"</f>
        <v>#VALUE!</v>
      </c>
      <c r="FK43" t="e">
        <f>'Effort Estimation'!I314+"AM:!$Hm"</f>
        <v>#VALUE!</v>
      </c>
      <c r="FL43" s="99" t="e">
        <f>'Effort Estimation'!J314+"AM:!$Hn"</f>
        <v>#VALUE!</v>
      </c>
      <c r="FM43" s="99" t="e">
        <f>'Effort Estimation'!K314+"AM:!$Ho"</f>
        <v>#VALUE!</v>
      </c>
      <c r="FN43" s="99" t="e">
        <f>'Effort Estimation'!L314+"AM:!$Hp"</f>
        <v>#VALUE!</v>
      </c>
      <c r="FO43" s="99" t="e">
        <f>'Effort Estimation'!M314+"AM:!$Hq"</f>
        <v>#VALUE!</v>
      </c>
      <c r="FP43" s="99" t="e">
        <f>'Effort Estimation'!N314+"AM:!$Hr"</f>
        <v>#VALUE!</v>
      </c>
      <c r="FQ43" s="99" t="e">
        <f>'Effort Estimation'!O314+"AM:!$Hs"</f>
        <v>#VALUE!</v>
      </c>
      <c r="FR43" s="99" t="e">
        <f>'Effort Estimation'!P314+"AM:!$Ht"</f>
        <v>#VALUE!</v>
      </c>
      <c r="FS43" s="99" t="e">
        <f>'Effort Estimation'!Q314+"AM:!$Hu"</f>
        <v>#VALUE!</v>
      </c>
      <c r="FT43" t="e">
        <f>'Effort Estimation'!R314+"AM:!$Hv"</f>
        <v>#VALUE!</v>
      </c>
      <c r="FU43" t="e">
        <f>'Effort Estimation'!S314+"AM:!$Hw"</f>
        <v>#VALUE!</v>
      </c>
      <c r="FV43" t="e">
        <f>'Effort Estimation'!T314+"AM:!$Hx"</f>
        <v>#VALUE!</v>
      </c>
      <c r="FW43" t="e">
        <f>'Effort Estimation'!A315+"AM:!$Hy"</f>
        <v>#VALUE!</v>
      </c>
      <c r="FX43" t="e">
        <f>'Effort Estimation'!B315+"AM:!$Hz"</f>
        <v>#VALUE!</v>
      </c>
      <c r="FY43" t="e">
        <f>'Effort Estimation'!C315+"AM:!$H{"</f>
        <v>#VALUE!</v>
      </c>
      <c r="FZ43" t="e">
        <f>'Effort Estimation'!D315+"AM:!$H|"</f>
        <v>#VALUE!</v>
      </c>
      <c r="GA43" t="e">
        <f>'Effort Estimation'!E315+"AM:!$H}"</f>
        <v>#VALUE!</v>
      </c>
      <c r="GB43" t="e">
        <f>'Effort Estimation'!F315+"AM:!$H~"</f>
        <v>#VALUE!</v>
      </c>
      <c r="GC43" t="e">
        <f>'Effort Estimation'!G315+"AM:!$I#"</f>
        <v>#VALUE!</v>
      </c>
      <c r="GD43" t="e">
        <f>'Effort Estimation'!H315+"AM:!$I$"</f>
        <v>#VALUE!</v>
      </c>
      <c r="GE43" t="e">
        <f>'Effort Estimation'!I315+"AM:!$I%"</f>
        <v>#VALUE!</v>
      </c>
      <c r="GF43" s="99" t="e">
        <f>'Effort Estimation'!J315+"AM:!$I&amp;"</f>
        <v>#VALUE!</v>
      </c>
      <c r="GG43" s="99" t="e">
        <f>'Effort Estimation'!K315+"AM:!$I'"</f>
        <v>#VALUE!</v>
      </c>
      <c r="GH43" s="99" t="e">
        <f>'Effort Estimation'!L315+"AM:!$I("</f>
        <v>#VALUE!</v>
      </c>
      <c r="GI43" s="99" t="e">
        <f>'Effort Estimation'!M315+"AM:!$I)"</f>
        <v>#VALUE!</v>
      </c>
      <c r="GJ43" s="99" t="e">
        <f>'Effort Estimation'!N315+"AM:!$I."</f>
        <v>#VALUE!</v>
      </c>
      <c r="GK43" s="99" t="e">
        <f>'Effort Estimation'!O315+"AM:!$I/"</f>
        <v>#VALUE!</v>
      </c>
      <c r="GL43" s="99" t="e">
        <f>'Effort Estimation'!P315+"AM:!$I0"</f>
        <v>#VALUE!</v>
      </c>
      <c r="GM43" s="99" t="e">
        <f>'Effort Estimation'!Q315+"AM:!$I1"</f>
        <v>#VALUE!</v>
      </c>
      <c r="GN43" t="e">
        <f>'Effort Estimation'!R315+"AM:!$I2"</f>
        <v>#VALUE!</v>
      </c>
      <c r="GO43" t="e">
        <f>'Effort Estimation'!S315+"AM:!$I3"</f>
        <v>#VALUE!</v>
      </c>
      <c r="GP43" t="e">
        <f>'Effort Estimation'!T315+"AM:!$I4"</f>
        <v>#VALUE!</v>
      </c>
      <c r="GQ43" t="e">
        <f>'Effort Estimation'!A316+"AM:!$I5"</f>
        <v>#VALUE!</v>
      </c>
      <c r="GR43" t="e">
        <f>'Effort Estimation'!B316+"AM:!$I6"</f>
        <v>#VALUE!</v>
      </c>
      <c r="GS43" t="e">
        <f>'Effort Estimation'!C316+"AM:!$I7"</f>
        <v>#VALUE!</v>
      </c>
      <c r="GT43" t="e">
        <f>'Effort Estimation'!D316+"AM:!$I8"</f>
        <v>#VALUE!</v>
      </c>
      <c r="GU43" t="e">
        <f>'Effort Estimation'!E316+"AM:!$I9"</f>
        <v>#VALUE!</v>
      </c>
      <c r="GV43" t="e">
        <f>'Effort Estimation'!F316+"AM:!$I:"</f>
        <v>#VALUE!</v>
      </c>
      <c r="GW43" t="e">
        <f>'Effort Estimation'!G316+"AM:!$I;"</f>
        <v>#VALUE!</v>
      </c>
      <c r="GX43" t="e">
        <f>'Effort Estimation'!H316+"AM:!$I&lt;"</f>
        <v>#VALUE!</v>
      </c>
      <c r="GY43" t="e">
        <f>'Effort Estimation'!I316+"AM:!$I="</f>
        <v>#VALUE!</v>
      </c>
      <c r="GZ43" s="99" t="e">
        <f>'Effort Estimation'!J316+"AM:!$I&gt;"</f>
        <v>#VALUE!</v>
      </c>
      <c r="HA43" s="99" t="e">
        <f>'Effort Estimation'!K316+"AM:!$I?"</f>
        <v>#VALUE!</v>
      </c>
      <c r="HB43" s="99" t="e">
        <f>'Effort Estimation'!L316+"AM:!$I@"</f>
        <v>#VALUE!</v>
      </c>
      <c r="HC43" s="99" t="e">
        <f>'Effort Estimation'!M316+"AM:!$IA"</f>
        <v>#VALUE!</v>
      </c>
      <c r="HD43" s="99" t="e">
        <f>'Effort Estimation'!N316+"AM:!$IB"</f>
        <v>#VALUE!</v>
      </c>
      <c r="HE43" s="99" t="e">
        <f>'Effort Estimation'!O316+"AM:!$IC"</f>
        <v>#VALUE!</v>
      </c>
      <c r="HF43" s="99" t="e">
        <f>'Effort Estimation'!P316+"AM:!$ID"</f>
        <v>#VALUE!</v>
      </c>
      <c r="HG43" s="99" t="e">
        <f>'Effort Estimation'!Q316+"AM:!$IE"</f>
        <v>#VALUE!</v>
      </c>
      <c r="HH43" t="e">
        <f>'Effort Estimation'!R316+"AM:!$IF"</f>
        <v>#VALUE!</v>
      </c>
      <c r="HI43" t="e">
        <f>'Effort Estimation'!S316+"AM:!$IG"</f>
        <v>#VALUE!</v>
      </c>
      <c r="HJ43" t="e">
        <f>'Effort Estimation'!T316+"AM:!$IH"</f>
        <v>#VALUE!</v>
      </c>
      <c r="HK43" t="e">
        <f>'Effort Estimation'!A317+"AM:!$II"</f>
        <v>#VALUE!</v>
      </c>
      <c r="HL43" t="e">
        <f>'Effort Estimation'!B317+"AM:!$IJ"</f>
        <v>#VALUE!</v>
      </c>
      <c r="HM43" t="e">
        <f>'Effort Estimation'!C317+"AM:!$IK"</f>
        <v>#VALUE!</v>
      </c>
      <c r="HN43" t="e">
        <f>'Effort Estimation'!D317+"AM:!$IL"</f>
        <v>#VALUE!</v>
      </c>
      <c r="HO43" t="e">
        <f>'Effort Estimation'!E317+"AM:!$IM"</f>
        <v>#VALUE!</v>
      </c>
      <c r="HP43" t="e">
        <f>'Effort Estimation'!F317+"AM:!$IN"</f>
        <v>#VALUE!</v>
      </c>
      <c r="HQ43" t="e">
        <f>'Effort Estimation'!G317+"AM:!$IO"</f>
        <v>#VALUE!</v>
      </c>
      <c r="HR43" t="e">
        <f>'Effort Estimation'!H317+"AM:!$IP"</f>
        <v>#VALUE!</v>
      </c>
      <c r="HS43" t="e">
        <f>'Effort Estimation'!I317+"AM:!$IQ"</f>
        <v>#VALUE!</v>
      </c>
      <c r="HT43" s="99" t="e">
        <f>'Effort Estimation'!J317+"AM:!$IR"</f>
        <v>#VALUE!</v>
      </c>
      <c r="HU43" s="99" t="e">
        <f>'Effort Estimation'!K317+"AM:!$IS"</f>
        <v>#VALUE!</v>
      </c>
      <c r="HV43" s="99" t="e">
        <f>'Effort Estimation'!L317+"AM:!$IT"</f>
        <v>#VALUE!</v>
      </c>
      <c r="HW43" s="99" t="e">
        <f>'Effort Estimation'!M317+"AM:!$IU"</f>
        <v>#VALUE!</v>
      </c>
      <c r="HX43" s="99" t="e">
        <f>'Effort Estimation'!N317+"AM:!$IV"</f>
        <v>#VALUE!</v>
      </c>
      <c r="HY43" s="99" t="e">
        <f>'Effort Estimation'!O317+"AM:!$IW"</f>
        <v>#VALUE!</v>
      </c>
      <c r="HZ43" s="99" t="e">
        <f>'Effort Estimation'!P317+"AM:!$IX"</f>
        <v>#VALUE!</v>
      </c>
      <c r="IA43" s="99" t="e">
        <f>'Effort Estimation'!Q317+"AM:!$IY"</f>
        <v>#VALUE!</v>
      </c>
      <c r="IB43" t="e">
        <f>'Effort Estimation'!R317+"AM:!$IZ"</f>
        <v>#VALUE!</v>
      </c>
      <c r="IC43" t="e">
        <f>'Effort Estimation'!S317+"AM:!$I["</f>
        <v>#VALUE!</v>
      </c>
      <c r="ID43" t="e">
        <f>'Effort Estimation'!T317+"AM:!$I\"</f>
        <v>#VALUE!</v>
      </c>
      <c r="IE43" t="e">
        <f>'Effort Estimation'!A318+"AM:!$I]"</f>
        <v>#VALUE!</v>
      </c>
      <c r="IF43" t="e">
        <f>'Effort Estimation'!B318+"AM:!$I^"</f>
        <v>#VALUE!</v>
      </c>
      <c r="IG43" t="e">
        <f>'Effort Estimation'!C318+"AM:!$I_"</f>
        <v>#VALUE!</v>
      </c>
      <c r="IH43" t="e">
        <f>'Effort Estimation'!D318+"AM:!$I`"</f>
        <v>#VALUE!</v>
      </c>
      <c r="II43" t="e">
        <f>'Effort Estimation'!E318+"AM:!$Ia"</f>
        <v>#VALUE!</v>
      </c>
      <c r="IJ43" t="e">
        <f>'Effort Estimation'!F318+"AM:!$Ib"</f>
        <v>#VALUE!</v>
      </c>
      <c r="IK43" t="e">
        <f>'Effort Estimation'!G318+"AM:!$Ic"</f>
        <v>#VALUE!</v>
      </c>
      <c r="IL43" t="e">
        <f>'Effort Estimation'!H318+"AM:!$Id"</f>
        <v>#VALUE!</v>
      </c>
      <c r="IM43" t="e">
        <f>'Effort Estimation'!I318+"AM:!$Ie"</f>
        <v>#VALUE!</v>
      </c>
      <c r="IN43" s="99" t="e">
        <f>'Effort Estimation'!J318+"AM:!$If"</f>
        <v>#VALUE!</v>
      </c>
      <c r="IO43" s="99" t="e">
        <f>'Effort Estimation'!K318+"AM:!$Ig"</f>
        <v>#VALUE!</v>
      </c>
      <c r="IP43" s="99" t="e">
        <f>'Effort Estimation'!L318+"AM:!$Ih"</f>
        <v>#VALUE!</v>
      </c>
      <c r="IQ43" s="99" t="e">
        <f>'Effort Estimation'!M318+"AM:!$Ii"</f>
        <v>#VALUE!</v>
      </c>
      <c r="IR43" s="99" t="e">
        <f>'Effort Estimation'!N318+"AM:!$Ij"</f>
        <v>#VALUE!</v>
      </c>
      <c r="IS43" s="99" t="e">
        <f>'Effort Estimation'!O318+"AM:!$Ik"</f>
        <v>#VALUE!</v>
      </c>
      <c r="IT43" s="99" t="e">
        <f>'Effort Estimation'!P318+"AM:!$Il"</f>
        <v>#VALUE!</v>
      </c>
      <c r="IU43" s="99" t="e">
        <f>'Effort Estimation'!Q318+"AM:!$Im"</f>
        <v>#VALUE!</v>
      </c>
      <c r="IV43" t="e">
        <f>'Effort Estimation'!R318+"AM:!$In"</f>
        <v>#VALUE!</v>
      </c>
    </row>
    <row r="44" spans="6:256">
      <c r="F44" t="e">
        <f>'Effort Estimation'!S318+"AM:!$Io"</f>
        <v>#VALUE!</v>
      </c>
      <c r="G44" t="e">
        <f>'Effort Estimation'!T318+"AM:!$Ip"</f>
        <v>#VALUE!</v>
      </c>
      <c r="H44" t="e">
        <f>'Effort Estimation'!A319+"AM:!$Iq"</f>
        <v>#VALUE!</v>
      </c>
      <c r="I44" t="e">
        <f>'Effort Estimation'!B319+"AM:!$Ir"</f>
        <v>#VALUE!</v>
      </c>
      <c r="J44" t="e">
        <f>'Effort Estimation'!C319+"AM:!$Is"</f>
        <v>#VALUE!</v>
      </c>
      <c r="K44" t="e">
        <f>'Effort Estimation'!D319+"AM:!$It"</f>
        <v>#VALUE!</v>
      </c>
      <c r="L44" t="e">
        <f>'Effort Estimation'!E319+"AM:!$Iu"</f>
        <v>#VALUE!</v>
      </c>
      <c r="M44" t="e">
        <f>'Effort Estimation'!F319+"AM:!$Iv"</f>
        <v>#VALUE!</v>
      </c>
      <c r="N44" t="e">
        <f>'Effort Estimation'!G319+"AM:!$Iw"</f>
        <v>#VALUE!</v>
      </c>
      <c r="O44" t="e">
        <f>'Effort Estimation'!H319+"AM:!$Ix"</f>
        <v>#VALUE!</v>
      </c>
      <c r="P44" t="e">
        <f>'Effort Estimation'!I319+"AM:!$Iy"</f>
        <v>#VALUE!</v>
      </c>
      <c r="Q44" s="99" t="e">
        <f>'Effort Estimation'!J319+"AM:!$Iz"</f>
        <v>#VALUE!</v>
      </c>
      <c r="R44" s="99" t="e">
        <f>'Effort Estimation'!K319+"AM:!$I{"</f>
        <v>#VALUE!</v>
      </c>
      <c r="S44" s="99" t="e">
        <f>'Effort Estimation'!L319+"AM:!$I|"</f>
        <v>#VALUE!</v>
      </c>
      <c r="T44" s="99" t="e">
        <f>'Effort Estimation'!M319+"AM:!$I}"</f>
        <v>#VALUE!</v>
      </c>
      <c r="U44" s="99" t="e">
        <f>'Effort Estimation'!N319+"AM:!$I~"</f>
        <v>#VALUE!</v>
      </c>
      <c r="V44" s="99" t="e">
        <f>'Effort Estimation'!O319+"AM:!$J#"</f>
        <v>#VALUE!</v>
      </c>
      <c r="W44" s="99" t="e">
        <f>'Effort Estimation'!P319+"AM:!$J$"</f>
        <v>#VALUE!</v>
      </c>
      <c r="X44" s="99" t="e">
        <f>'Effort Estimation'!Q319+"AM:!$J%"</f>
        <v>#VALUE!</v>
      </c>
      <c r="Y44" t="e">
        <f>'Effort Estimation'!R319+"AM:!$J&amp;"</f>
        <v>#VALUE!</v>
      </c>
      <c r="Z44" t="e">
        <f>'Effort Estimation'!S319+"AM:!$J'"</f>
        <v>#VALUE!</v>
      </c>
      <c r="AA44" t="e">
        <f>'Effort Estimation'!T319+"AM:!$J("</f>
        <v>#VALUE!</v>
      </c>
      <c r="AB44" t="e">
        <f>'Effort Estimation'!A320+"AM:!$J)"</f>
        <v>#VALUE!</v>
      </c>
      <c r="AC44" t="e">
        <f>'Effort Estimation'!B320+"AM:!$J."</f>
        <v>#VALUE!</v>
      </c>
      <c r="AD44" t="e">
        <f>'Effort Estimation'!C320+"AM:!$J/"</f>
        <v>#VALUE!</v>
      </c>
      <c r="AE44" t="e">
        <f>'Effort Estimation'!D320+"AM:!$J0"</f>
        <v>#VALUE!</v>
      </c>
      <c r="AF44" t="e">
        <f>'Effort Estimation'!E320+"AM:!$J1"</f>
        <v>#VALUE!</v>
      </c>
      <c r="AG44" t="e">
        <f>'Effort Estimation'!F320+"AM:!$J2"</f>
        <v>#VALUE!</v>
      </c>
      <c r="AH44" t="e">
        <f>'Effort Estimation'!G320+"AM:!$J3"</f>
        <v>#VALUE!</v>
      </c>
      <c r="AI44" t="e">
        <f>'Effort Estimation'!H320+"AM:!$J4"</f>
        <v>#VALUE!</v>
      </c>
      <c r="AJ44" t="e">
        <f>'Effort Estimation'!I320+"AM:!$J5"</f>
        <v>#VALUE!</v>
      </c>
      <c r="AK44" s="99" t="e">
        <f>'Effort Estimation'!J320+"AM:!$J6"</f>
        <v>#VALUE!</v>
      </c>
      <c r="AL44" s="99" t="e">
        <f>'Effort Estimation'!K320+"AM:!$J7"</f>
        <v>#VALUE!</v>
      </c>
      <c r="AM44" s="99" t="e">
        <f>'Effort Estimation'!L320+"AM:!$J8"</f>
        <v>#VALUE!</v>
      </c>
      <c r="AN44" s="99" t="e">
        <f>'Effort Estimation'!M320+"AM:!$J9"</f>
        <v>#VALUE!</v>
      </c>
      <c r="AO44" s="99" t="e">
        <f>'Effort Estimation'!N320+"AM:!$J:"</f>
        <v>#VALUE!</v>
      </c>
      <c r="AP44" s="99" t="e">
        <f>'Effort Estimation'!O320+"AM:!$J;"</f>
        <v>#VALUE!</v>
      </c>
      <c r="AQ44" s="99" t="e">
        <f>'Effort Estimation'!P320+"AM:!$J&lt;"</f>
        <v>#VALUE!</v>
      </c>
      <c r="AR44" s="99" t="e">
        <f>'Effort Estimation'!Q320+"AM:!$J="</f>
        <v>#VALUE!</v>
      </c>
      <c r="AS44" t="e">
        <f>'Effort Estimation'!R320+"AM:!$J&gt;"</f>
        <v>#VALUE!</v>
      </c>
      <c r="AT44" t="e">
        <f>'Effort Estimation'!S320+"AM:!$J?"</f>
        <v>#VALUE!</v>
      </c>
      <c r="AU44" t="e">
        <f>'Effort Estimation'!T320+"AM:!$J@"</f>
        <v>#VALUE!</v>
      </c>
      <c r="AV44" t="e">
        <f>'Effort Estimation'!A321+"AM:!$JA"</f>
        <v>#VALUE!</v>
      </c>
      <c r="AW44" t="e">
        <f>'Effort Estimation'!B321+"AM:!$JB"</f>
        <v>#VALUE!</v>
      </c>
      <c r="AX44" t="e">
        <f>'Effort Estimation'!C321+"AM:!$JC"</f>
        <v>#VALUE!</v>
      </c>
      <c r="AY44" t="e">
        <f>'Effort Estimation'!D321+"AM:!$JD"</f>
        <v>#VALUE!</v>
      </c>
      <c r="AZ44" t="e">
        <f>'Effort Estimation'!E321+"AM:!$JE"</f>
        <v>#VALUE!</v>
      </c>
      <c r="BA44" t="e">
        <f>'Effort Estimation'!F321+"AM:!$JF"</f>
        <v>#VALUE!</v>
      </c>
      <c r="BB44" t="e">
        <f>'Effort Estimation'!G321+"AM:!$JG"</f>
        <v>#VALUE!</v>
      </c>
      <c r="BC44" t="e">
        <f>'Effort Estimation'!H321+"AM:!$JH"</f>
        <v>#VALUE!</v>
      </c>
      <c r="BD44" t="e">
        <f>'Effort Estimation'!I321+"AM:!$JI"</f>
        <v>#VALUE!</v>
      </c>
      <c r="BE44" s="99" t="e">
        <f>'Effort Estimation'!J321+"AM:!$JJ"</f>
        <v>#VALUE!</v>
      </c>
      <c r="BF44" s="99" t="e">
        <f>'Effort Estimation'!K321+"AM:!$JK"</f>
        <v>#VALUE!</v>
      </c>
      <c r="BG44" s="99" t="e">
        <f>'Effort Estimation'!L321+"AM:!$JL"</f>
        <v>#VALUE!</v>
      </c>
      <c r="BH44" s="99" t="e">
        <f>'Effort Estimation'!M321+"AM:!$JM"</f>
        <v>#VALUE!</v>
      </c>
      <c r="BI44" s="99" t="e">
        <f>'Effort Estimation'!N321+"AM:!$JN"</f>
        <v>#VALUE!</v>
      </c>
      <c r="BJ44" s="99" t="e">
        <f>'Effort Estimation'!O321+"AM:!$JO"</f>
        <v>#VALUE!</v>
      </c>
      <c r="BK44" s="99" t="e">
        <f>'Effort Estimation'!P321+"AM:!$JP"</f>
        <v>#VALUE!</v>
      </c>
      <c r="BL44" s="99" t="e">
        <f>'Effort Estimation'!Q321+"AM:!$JQ"</f>
        <v>#VALUE!</v>
      </c>
      <c r="BM44" t="e">
        <f>'Effort Estimation'!R321+"AM:!$JR"</f>
        <v>#VALUE!</v>
      </c>
      <c r="BN44" t="e">
        <f>'Effort Estimation'!S321+"AM:!$JS"</f>
        <v>#VALUE!</v>
      </c>
      <c r="BO44" t="e">
        <f>'Effort Estimation'!T321+"AM:!$JT"</f>
        <v>#VALUE!</v>
      </c>
      <c r="BP44" t="e">
        <f>'Effort Estimation'!A322+"AM:!$JU"</f>
        <v>#VALUE!</v>
      </c>
      <c r="BQ44" t="e">
        <f>'Effort Estimation'!B322+"AM:!$JV"</f>
        <v>#VALUE!</v>
      </c>
      <c r="BR44" t="e">
        <f>'Effort Estimation'!C322+"AM:!$JW"</f>
        <v>#VALUE!</v>
      </c>
      <c r="BS44" t="e">
        <f>'Effort Estimation'!D322+"AM:!$JX"</f>
        <v>#VALUE!</v>
      </c>
      <c r="BT44" t="e">
        <f>'Effort Estimation'!E322+"AM:!$JY"</f>
        <v>#VALUE!</v>
      </c>
      <c r="BU44" t="e">
        <f>'Effort Estimation'!F322+"AM:!$JZ"</f>
        <v>#VALUE!</v>
      </c>
      <c r="BV44" t="e">
        <f>'Effort Estimation'!G322+"AM:!$J["</f>
        <v>#VALUE!</v>
      </c>
      <c r="BW44" t="e">
        <f>'Effort Estimation'!H322+"AM:!$J\"</f>
        <v>#VALUE!</v>
      </c>
      <c r="BX44" t="e">
        <f>'Effort Estimation'!I322+"AM:!$J]"</f>
        <v>#VALUE!</v>
      </c>
      <c r="BY44" s="99" t="e">
        <f>'Effort Estimation'!J322+"AM:!$J^"</f>
        <v>#VALUE!</v>
      </c>
      <c r="BZ44" s="99" t="e">
        <f>'Effort Estimation'!K322+"AM:!$J_"</f>
        <v>#VALUE!</v>
      </c>
      <c r="CA44" s="99" t="e">
        <f>'Effort Estimation'!L322+"AM:!$J`"</f>
        <v>#VALUE!</v>
      </c>
      <c r="CB44" s="99" t="e">
        <f>'Effort Estimation'!M322+"AM:!$Ja"</f>
        <v>#VALUE!</v>
      </c>
      <c r="CC44" s="99" t="e">
        <f>'Effort Estimation'!N322+"AM:!$Jb"</f>
        <v>#VALUE!</v>
      </c>
      <c r="CD44" s="99" t="e">
        <f>'Effort Estimation'!O322+"AM:!$Jc"</f>
        <v>#VALUE!</v>
      </c>
      <c r="CE44" s="99" t="e">
        <f>'Effort Estimation'!P322+"AM:!$Jd"</f>
        <v>#VALUE!</v>
      </c>
      <c r="CF44" s="99" t="e">
        <f>'Effort Estimation'!Q322+"AM:!$Je"</f>
        <v>#VALUE!</v>
      </c>
      <c r="CG44" t="e">
        <f>'Effort Estimation'!R322+"AM:!$Jf"</f>
        <v>#VALUE!</v>
      </c>
      <c r="CH44" t="e">
        <f>'Effort Estimation'!S322+"AM:!$Jg"</f>
        <v>#VALUE!</v>
      </c>
      <c r="CI44" t="e">
        <f>'Effort Estimation'!T322+"AM:!$Jh"</f>
        <v>#VALUE!</v>
      </c>
      <c r="CJ44" t="e">
        <f>'Effort Estimation'!A323+"AM:!$Ji"</f>
        <v>#VALUE!</v>
      </c>
      <c r="CK44" t="e">
        <f>'Effort Estimation'!B323+"AM:!$Jj"</f>
        <v>#VALUE!</v>
      </c>
      <c r="CL44" t="e">
        <f>'Effort Estimation'!C323+"AM:!$Jk"</f>
        <v>#VALUE!</v>
      </c>
      <c r="CM44" t="e">
        <f>'Effort Estimation'!D323+"AM:!$Jl"</f>
        <v>#VALUE!</v>
      </c>
      <c r="CN44" t="e">
        <f>'Effort Estimation'!E323+"AM:!$Jm"</f>
        <v>#VALUE!</v>
      </c>
      <c r="CO44" t="e">
        <f>'Effort Estimation'!F323+"AM:!$Jn"</f>
        <v>#VALUE!</v>
      </c>
      <c r="CP44" t="e">
        <f>'Effort Estimation'!G323+"AM:!$Jo"</f>
        <v>#VALUE!</v>
      </c>
      <c r="CQ44" t="e">
        <f>'Effort Estimation'!H323+"AM:!$Jp"</f>
        <v>#VALUE!</v>
      </c>
      <c r="CR44" t="e">
        <f>'Effort Estimation'!I323+"AM:!$Jq"</f>
        <v>#VALUE!</v>
      </c>
      <c r="CS44" s="99" t="e">
        <f>'Effort Estimation'!J323+"AM:!$Jr"</f>
        <v>#VALUE!</v>
      </c>
      <c r="CT44" s="99" t="e">
        <f>'Effort Estimation'!K323+"AM:!$Js"</f>
        <v>#VALUE!</v>
      </c>
      <c r="CU44" s="99" t="e">
        <f>'Effort Estimation'!L323+"AM:!$Jt"</f>
        <v>#VALUE!</v>
      </c>
      <c r="CV44" s="99" t="e">
        <f>'Effort Estimation'!M323+"AM:!$Ju"</f>
        <v>#VALUE!</v>
      </c>
      <c r="CW44" s="99" t="e">
        <f>'Effort Estimation'!N323+"AM:!$Jv"</f>
        <v>#VALUE!</v>
      </c>
      <c r="CX44" s="99" t="e">
        <f>'Effort Estimation'!O323+"AM:!$Jw"</f>
        <v>#VALUE!</v>
      </c>
      <c r="CY44" s="99" t="e">
        <f>'Effort Estimation'!P323+"AM:!$Jx"</f>
        <v>#VALUE!</v>
      </c>
      <c r="CZ44" s="99" t="e">
        <f>'Effort Estimation'!Q323+"AM:!$Jy"</f>
        <v>#VALUE!</v>
      </c>
      <c r="DA44" t="e">
        <f>'Effort Estimation'!R323+"AM:!$Jz"</f>
        <v>#VALUE!</v>
      </c>
      <c r="DB44" t="e">
        <f>'Effort Estimation'!S323+"AM:!$J{"</f>
        <v>#VALUE!</v>
      </c>
      <c r="DC44" t="e">
        <f>'Effort Estimation'!T323+"AM:!$J|"</f>
        <v>#VALUE!</v>
      </c>
      <c r="DD44" t="e">
        <f>'Effort Estimation'!A324+"AM:!$J}"</f>
        <v>#VALUE!</v>
      </c>
      <c r="DE44" t="e">
        <f>'Effort Estimation'!B324+"AM:!$J~"</f>
        <v>#VALUE!</v>
      </c>
      <c r="DF44" t="e">
        <f>'Effort Estimation'!C324+"AM:!$K#"</f>
        <v>#VALUE!</v>
      </c>
      <c r="DG44" t="e">
        <f>'Effort Estimation'!D324+"AM:!$K$"</f>
        <v>#VALUE!</v>
      </c>
      <c r="DH44" t="e">
        <f>'Effort Estimation'!E324+"AM:!$K%"</f>
        <v>#VALUE!</v>
      </c>
      <c r="DI44" t="e">
        <f>'Effort Estimation'!F324+"AM:!$K&amp;"</f>
        <v>#VALUE!</v>
      </c>
      <c r="DJ44" t="e">
        <f>'Effort Estimation'!G324+"AM:!$K'"</f>
        <v>#VALUE!</v>
      </c>
      <c r="DK44" t="e">
        <f>'Effort Estimation'!H324+"AM:!$K("</f>
        <v>#VALUE!</v>
      </c>
      <c r="DL44" t="e">
        <f>'Effort Estimation'!I324+"AM:!$K)"</f>
        <v>#VALUE!</v>
      </c>
      <c r="DM44" s="99" t="e">
        <f>'Effort Estimation'!J324+"AM:!$K."</f>
        <v>#VALUE!</v>
      </c>
      <c r="DN44" s="99" t="e">
        <f>'Effort Estimation'!K324+"AM:!$K/"</f>
        <v>#VALUE!</v>
      </c>
      <c r="DO44" s="99" t="e">
        <f>'Effort Estimation'!L324+"AM:!$K0"</f>
        <v>#VALUE!</v>
      </c>
      <c r="DP44" s="99" t="e">
        <f>'Effort Estimation'!M324+"AM:!$K1"</f>
        <v>#VALUE!</v>
      </c>
      <c r="DQ44" s="99" t="e">
        <f>'Effort Estimation'!N324+"AM:!$K2"</f>
        <v>#VALUE!</v>
      </c>
      <c r="DR44" s="99" t="e">
        <f>'Effort Estimation'!O324+"AM:!$K3"</f>
        <v>#VALUE!</v>
      </c>
      <c r="DS44" s="99" t="e">
        <f>'Effort Estimation'!P324+"AM:!$K4"</f>
        <v>#VALUE!</v>
      </c>
      <c r="DT44" s="99" t="e">
        <f>'Effort Estimation'!Q324+"AM:!$K5"</f>
        <v>#VALUE!</v>
      </c>
      <c r="DU44" t="e">
        <f>'Effort Estimation'!R324+"AM:!$K6"</f>
        <v>#VALUE!</v>
      </c>
      <c r="DV44" t="e">
        <f>'Effort Estimation'!S324+"AM:!$K7"</f>
        <v>#VALUE!</v>
      </c>
      <c r="DW44" t="e">
        <f>'Effort Estimation'!T324+"AM:!$K8"</f>
        <v>#VALUE!</v>
      </c>
      <c r="DX44" t="e">
        <f>'Effort Estimation'!A325+"AM:!$K9"</f>
        <v>#VALUE!</v>
      </c>
      <c r="DY44" t="e">
        <f>'Effort Estimation'!B325+"AM:!$K:"</f>
        <v>#VALUE!</v>
      </c>
      <c r="DZ44" t="e">
        <f>'Effort Estimation'!C325+"AM:!$K;"</f>
        <v>#VALUE!</v>
      </c>
      <c r="EA44" t="e">
        <f>'Effort Estimation'!D325+"AM:!$K&lt;"</f>
        <v>#VALUE!</v>
      </c>
      <c r="EB44" t="e">
        <f>'Effort Estimation'!E325+"AM:!$K="</f>
        <v>#VALUE!</v>
      </c>
      <c r="EC44" t="e">
        <f>'Effort Estimation'!F325+"AM:!$K&gt;"</f>
        <v>#VALUE!</v>
      </c>
      <c r="ED44" t="e">
        <f>'Effort Estimation'!G325+"AM:!$K?"</f>
        <v>#VALUE!</v>
      </c>
      <c r="EE44" t="e">
        <f>'Effort Estimation'!H325+"AM:!$K@"</f>
        <v>#VALUE!</v>
      </c>
      <c r="EF44" t="e">
        <f>'Effort Estimation'!I325+"AM:!$KA"</f>
        <v>#VALUE!</v>
      </c>
      <c r="EG44" s="99" t="e">
        <f>'Effort Estimation'!J325+"AM:!$KB"</f>
        <v>#VALUE!</v>
      </c>
      <c r="EH44" s="99" t="e">
        <f>'Effort Estimation'!K325+"AM:!$KC"</f>
        <v>#VALUE!</v>
      </c>
      <c r="EI44" s="99" t="e">
        <f>'Effort Estimation'!L325+"AM:!$KD"</f>
        <v>#VALUE!</v>
      </c>
      <c r="EJ44" s="99" t="e">
        <f>'Effort Estimation'!M325+"AM:!$KE"</f>
        <v>#VALUE!</v>
      </c>
      <c r="EK44" s="99" t="e">
        <f>'Effort Estimation'!N325+"AM:!$KF"</f>
        <v>#VALUE!</v>
      </c>
      <c r="EL44" s="99" t="e">
        <f>'Effort Estimation'!O325+"AM:!$KG"</f>
        <v>#VALUE!</v>
      </c>
      <c r="EM44" s="99" t="e">
        <f>'Effort Estimation'!P325+"AM:!$KH"</f>
        <v>#VALUE!</v>
      </c>
      <c r="EN44" s="99" t="e">
        <f>'Effort Estimation'!Q325+"AM:!$KI"</f>
        <v>#VALUE!</v>
      </c>
      <c r="EO44" t="e">
        <f>'Effort Estimation'!R325+"AM:!$KJ"</f>
        <v>#VALUE!</v>
      </c>
      <c r="EP44" t="e">
        <f>'Effort Estimation'!S325+"AM:!$KK"</f>
        <v>#VALUE!</v>
      </c>
      <c r="EQ44" t="e">
        <f>'Effort Estimation'!T325+"AM:!$KL"</f>
        <v>#VALUE!</v>
      </c>
      <c r="ER44" t="e">
        <f>'Effort Estimation'!A326+"AM:!$KM"</f>
        <v>#VALUE!</v>
      </c>
      <c r="ES44" t="e">
        <f>'Effort Estimation'!B326+"AM:!$KN"</f>
        <v>#VALUE!</v>
      </c>
      <c r="ET44" t="e">
        <f>'Effort Estimation'!C326+"AM:!$KO"</f>
        <v>#VALUE!</v>
      </c>
      <c r="EU44" t="e">
        <f>'Effort Estimation'!D326+"AM:!$KP"</f>
        <v>#VALUE!</v>
      </c>
      <c r="EV44" t="e">
        <f>'Effort Estimation'!E326+"AM:!$KQ"</f>
        <v>#VALUE!</v>
      </c>
      <c r="EW44" t="e">
        <f>'Effort Estimation'!F326+"AM:!$KR"</f>
        <v>#VALUE!</v>
      </c>
      <c r="EX44" t="e">
        <f>'Effort Estimation'!G326+"AM:!$KS"</f>
        <v>#VALUE!</v>
      </c>
      <c r="EY44" t="e">
        <f>'Effort Estimation'!H326+"AM:!$KT"</f>
        <v>#VALUE!</v>
      </c>
      <c r="EZ44" t="e">
        <f>'Effort Estimation'!I326+"AM:!$KU"</f>
        <v>#VALUE!</v>
      </c>
      <c r="FA44" s="99" t="e">
        <f>'Effort Estimation'!J326+"AM:!$KV"</f>
        <v>#VALUE!</v>
      </c>
      <c r="FB44" s="99" t="e">
        <f>'Effort Estimation'!K326+"AM:!$KW"</f>
        <v>#VALUE!</v>
      </c>
      <c r="FC44" s="99" t="e">
        <f>'Effort Estimation'!L326+"AM:!$KX"</f>
        <v>#VALUE!</v>
      </c>
      <c r="FD44" s="99" t="e">
        <f>'Effort Estimation'!M326+"AM:!$KY"</f>
        <v>#VALUE!</v>
      </c>
      <c r="FE44" s="99" t="e">
        <f>'Effort Estimation'!N326+"AM:!$KZ"</f>
        <v>#VALUE!</v>
      </c>
      <c r="FF44" s="99" t="e">
        <f>'Effort Estimation'!O326+"AM:!$K["</f>
        <v>#VALUE!</v>
      </c>
      <c r="FG44" s="99" t="e">
        <f>'Effort Estimation'!P326+"AM:!$K\"</f>
        <v>#VALUE!</v>
      </c>
      <c r="FH44" s="99" t="e">
        <f>'Effort Estimation'!Q326+"AM:!$K]"</f>
        <v>#VALUE!</v>
      </c>
      <c r="FI44" t="e">
        <f>'Effort Estimation'!R326+"AM:!$K^"</f>
        <v>#VALUE!</v>
      </c>
      <c r="FJ44" t="e">
        <f>'Effort Estimation'!S326+"AM:!$K_"</f>
        <v>#VALUE!</v>
      </c>
      <c r="FK44" t="e">
        <f>'Effort Estimation'!T326+"AM:!$K`"</f>
        <v>#VALUE!</v>
      </c>
      <c r="FL44" t="e">
        <f>'Effort Estimation'!A327+"AM:!$Ka"</f>
        <v>#VALUE!</v>
      </c>
      <c r="FM44" t="e">
        <f>'Effort Estimation'!B327+"AM:!$Kb"</f>
        <v>#VALUE!</v>
      </c>
      <c r="FN44" t="e">
        <f>'Effort Estimation'!C327+"AM:!$Kc"</f>
        <v>#VALUE!</v>
      </c>
      <c r="FO44" t="e">
        <f>'Effort Estimation'!D327+"AM:!$Kd"</f>
        <v>#VALUE!</v>
      </c>
      <c r="FP44" t="e">
        <f>'Effort Estimation'!E327+"AM:!$Ke"</f>
        <v>#VALUE!</v>
      </c>
      <c r="FQ44" t="e">
        <f>'Effort Estimation'!F327+"AM:!$Kf"</f>
        <v>#VALUE!</v>
      </c>
      <c r="FR44" t="e">
        <f>'Effort Estimation'!G327+"AM:!$Kg"</f>
        <v>#VALUE!</v>
      </c>
      <c r="FS44" t="e">
        <f>'Effort Estimation'!H327+"AM:!$Kh"</f>
        <v>#VALUE!</v>
      </c>
      <c r="FT44" t="e">
        <f>'Effort Estimation'!I327+"AM:!$Ki"</f>
        <v>#VALUE!</v>
      </c>
      <c r="FU44" s="99" t="e">
        <f>'Effort Estimation'!J327+"AM:!$Kj"</f>
        <v>#VALUE!</v>
      </c>
      <c r="FV44" s="99" t="e">
        <f>'Effort Estimation'!K327+"AM:!$Kk"</f>
        <v>#VALUE!</v>
      </c>
      <c r="FW44" s="99" t="e">
        <f>'Effort Estimation'!L327+"AM:!$Kl"</f>
        <v>#VALUE!</v>
      </c>
      <c r="FX44" s="99" t="e">
        <f>'Effort Estimation'!M327+"AM:!$Km"</f>
        <v>#VALUE!</v>
      </c>
      <c r="FY44" s="99" t="e">
        <f>'Effort Estimation'!N327+"AM:!$Kn"</f>
        <v>#VALUE!</v>
      </c>
      <c r="FZ44" s="99" t="e">
        <f>'Effort Estimation'!O327+"AM:!$Ko"</f>
        <v>#VALUE!</v>
      </c>
      <c r="GA44" s="99" t="e">
        <f>'Effort Estimation'!P327+"AM:!$Kp"</f>
        <v>#VALUE!</v>
      </c>
      <c r="GB44" s="99" t="e">
        <f>'Effort Estimation'!Q327+"AM:!$Kq"</f>
        <v>#VALUE!</v>
      </c>
      <c r="GC44" t="e">
        <f>'Effort Estimation'!R327+"AM:!$Kr"</f>
        <v>#VALUE!</v>
      </c>
      <c r="GD44" t="e">
        <f>'Effort Estimation'!S327+"AM:!$Ks"</f>
        <v>#VALUE!</v>
      </c>
      <c r="GE44" t="e">
        <f>'Effort Estimation'!T327+"AM:!$Kt"</f>
        <v>#VALUE!</v>
      </c>
      <c r="GF44" t="e">
        <f>'Effort Estimation'!A328+"AM:!$Ku"</f>
        <v>#VALUE!</v>
      </c>
      <c r="GG44" t="e">
        <f>'Effort Estimation'!B328+"AM:!$Kv"</f>
        <v>#VALUE!</v>
      </c>
      <c r="GH44" t="e">
        <f>'Effort Estimation'!C328+"AM:!$Kw"</f>
        <v>#VALUE!</v>
      </c>
      <c r="GI44" t="e">
        <f>'Effort Estimation'!D328+"AM:!$Kx"</f>
        <v>#VALUE!</v>
      </c>
      <c r="GJ44" t="e">
        <f>'Effort Estimation'!E328+"AM:!$Ky"</f>
        <v>#VALUE!</v>
      </c>
      <c r="GK44" t="e">
        <f>'Effort Estimation'!F328+"AM:!$Kz"</f>
        <v>#VALUE!</v>
      </c>
      <c r="GL44" t="e">
        <f>'Effort Estimation'!G328+"AM:!$K{"</f>
        <v>#VALUE!</v>
      </c>
      <c r="GM44" t="e">
        <f>'Effort Estimation'!H328+"AM:!$K|"</f>
        <v>#VALUE!</v>
      </c>
      <c r="GN44" t="e">
        <f>'Effort Estimation'!I328+"AM:!$K}"</f>
        <v>#VALUE!</v>
      </c>
      <c r="GO44" s="99" t="e">
        <f>'Effort Estimation'!J328+"AM:!$K~"</f>
        <v>#VALUE!</v>
      </c>
      <c r="GP44" s="99" t="e">
        <f>'Effort Estimation'!K328+"AM:!$L#"</f>
        <v>#VALUE!</v>
      </c>
      <c r="GQ44" s="99" t="e">
        <f>'Effort Estimation'!L328+"AM:!$L$"</f>
        <v>#VALUE!</v>
      </c>
      <c r="GR44" s="99" t="e">
        <f>'Effort Estimation'!M328+"AM:!$L%"</f>
        <v>#VALUE!</v>
      </c>
      <c r="GS44" s="99" t="e">
        <f>'Effort Estimation'!N328+"AM:!$L&amp;"</f>
        <v>#VALUE!</v>
      </c>
      <c r="GT44" s="99" t="e">
        <f>'Effort Estimation'!O328+"AM:!$L'"</f>
        <v>#VALUE!</v>
      </c>
      <c r="GU44" s="99" t="e">
        <f>'Effort Estimation'!P328+"AM:!$L("</f>
        <v>#VALUE!</v>
      </c>
      <c r="GV44" s="99" t="e">
        <f>'Effort Estimation'!Q328+"AM:!$L)"</f>
        <v>#VALUE!</v>
      </c>
      <c r="GW44" t="e">
        <f>'Effort Estimation'!R328+"AM:!$L."</f>
        <v>#VALUE!</v>
      </c>
      <c r="GX44" t="e">
        <f>'Effort Estimation'!S328+"AM:!$L/"</f>
        <v>#VALUE!</v>
      </c>
      <c r="GY44" t="e">
        <f>'Effort Estimation'!T328+"AM:!$L0"</f>
        <v>#VALUE!</v>
      </c>
      <c r="GZ44" t="e">
        <f>'Effort Estimation'!A329+"AM:!$L1"</f>
        <v>#VALUE!</v>
      </c>
      <c r="HA44" t="e">
        <f>'Effort Estimation'!B329+"AM:!$L2"</f>
        <v>#VALUE!</v>
      </c>
      <c r="HB44" t="e">
        <f>'Effort Estimation'!C329+"AM:!$L3"</f>
        <v>#VALUE!</v>
      </c>
      <c r="HC44" t="e">
        <f>'Effort Estimation'!D329+"AM:!$L4"</f>
        <v>#VALUE!</v>
      </c>
      <c r="HD44" t="e">
        <f>'Effort Estimation'!E329+"AM:!$L5"</f>
        <v>#VALUE!</v>
      </c>
      <c r="HE44" t="e">
        <f>'Effort Estimation'!F329+"AM:!$L6"</f>
        <v>#VALUE!</v>
      </c>
      <c r="HF44" t="e">
        <f>'Effort Estimation'!G329+"AM:!$L7"</f>
        <v>#VALUE!</v>
      </c>
      <c r="HG44" t="e">
        <f>'Effort Estimation'!H329+"AM:!$L8"</f>
        <v>#VALUE!</v>
      </c>
      <c r="HH44" t="e">
        <f>'Effort Estimation'!I329+"AM:!$L9"</f>
        <v>#VALUE!</v>
      </c>
      <c r="HI44" s="99" t="e">
        <f>'Effort Estimation'!J329+"AM:!$L:"</f>
        <v>#VALUE!</v>
      </c>
      <c r="HJ44" s="99" t="e">
        <f>'Effort Estimation'!K329+"AM:!$L;"</f>
        <v>#VALUE!</v>
      </c>
      <c r="HK44" s="99" t="e">
        <f>'Effort Estimation'!L329+"AM:!$L&lt;"</f>
        <v>#VALUE!</v>
      </c>
      <c r="HL44" s="99" t="e">
        <f>'Effort Estimation'!M329+"AM:!$L="</f>
        <v>#VALUE!</v>
      </c>
      <c r="HM44" s="99" t="e">
        <f>'Effort Estimation'!N329+"AM:!$L&gt;"</f>
        <v>#VALUE!</v>
      </c>
      <c r="HN44" s="99" t="e">
        <f>'Effort Estimation'!O329+"AM:!$L?"</f>
        <v>#VALUE!</v>
      </c>
      <c r="HO44" s="99" t="e">
        <f>'Effort Estimation'!P329+"AM:!$L@"</f>
        <v>#VALUE!</v>
      </c>
      <c r="HP44" s="99" t="e">
        <f>'Effort Estimation'!Q329+"AM:!$LA"</f>
        <v>#VALUE!</v>
      </c>
      <c r="HQ44" t="e">
        <f>'Effort Estimation'!R329+"AM:!$LB"</f>
        <v>#VALUE!</v>
      </c>
      <c r="HR44" t="e">
        <f>'Effort Estimation'!S329+"AM:!$LC"</f>
        <v>#VALUE!</v>
      </c>
      <c r="HS44" t="e">
        <f>'Effort Estimation'!T329+"AM:!$LD"</f>
        <v>#VALUE!</v>
      </c>
      <c r="HT44" t="e">
        <f>'Effort Estimation'!A330+"AM:!$LE"</f>
        <v>#VALUE!</v>
      </c>
      <c r="HU44" t="e">
        <f>'Effort Estimation'!B330+"AM:!$LF"</f>
        <v>#VALUE!</v>
      </c>
      <c r="HV44" t="e">
        <f>'Effort Estimation'!C330+"AM:!$LG"</f>
        <v>#VALUE!</v>
      </c>
      <c r="HW44" t="e">
        <f>'Effort Estimation'!D330+"AM:!$LH"</f>
        <v>#VALUE!</v>
      </c>
      <c r="HX44" t="e">
        <f>'Effort Estimation'!E330+"AM:!$LI"</f>
        <v>#VALUE!</v>
      </c>
      <c r="HY44" t="e">
        <f>'Effort Estimation'!F330+"AM:!$LJ"</f>
        <v>#VALUE!</v>
      </c>
      <c r="HZ44" t="e">
        <f>'Effort Estimation'!G330+"AM:!$LK"</f>
        <v>#VALUE!</v>
      </c>
      <c r="IA44" t="e">
        <f>'Effort Estimation'!H330+"AM:!$LL"</f>
        <v>#VALUE!</v>
      </c>
      <c r="IB44" t="e">
        <f>'Effort Estimation'!I330+"AM:!$LM"</f>
        <v>#VALUE!</v>
      </c>
      <c r="IC44" s="99" t="e">
        <f>'Effort Estimation'!J330+"AM:!$LN"</f>
        <v>#VALUE!</v>
      </c>
      <c r="ID44" s="99" t="e">
        <f>'Effort Estimation'!K330+"AM:!$LO"</f>
        <v>#VALUE!</v>
      </c>
      <c r="IE44" s="99" t="e">
        <f>'Effort Estimation'!L330+"AM:!$LP"</f>
        <v>#VALUE!</v>
      </c>
      <c r="IF44" s="99" t="e">
        <f>'Effort Estimation'!M330+"AM:!$LQ"</f>
        <v>#VALUE!</v>
      </c>
      <c r="IG44" s="99" t="e">
        <f>'Effort Estimation'!N330+"AM:!$LR"</f>
        <v>#VALUE!</v>
      </c>
      <c r="IH44" s="99" t="e">
        <f>'Effort Estimation'!O330+"AM:!$LS"</f>
        <v>#VALUE!</v>
      </c>
      <c r="II44" s="99" t="e">
        <f>'Effort Estimation'!P330+"AM:!$LT"</f>
        <v>#VALUE!</v>
      </c>
      <c r="IJ44" s="99" t="e">
        <f>'Effort Estimation'!Q330+"AM:!$LU"</f>
        <v>#VALUE!</v>
      </c>
      <c r="IK44" t="e">
        <f>'Effort Estimation'!R330+"AM:!$LV"</f>
        <v>#VALUE!</v>
      </c>
      <c r="IL44" t="e">
        <f>'Effort Estimation'!S330+"AM:!$LW"</f>
        <v>#VALUE!</v>
      </c>
      <c r="IM44" t="e">
        <f>'Effort Estimation'!T330+"AM:!$LX"</f>
        <v>#VALUE!</v>
      </c>
      <c r="IN44" t="e">
        <f>'Effort Estimation'!A331+"AM:!$LY"</f>
        <v>#VALUE!</v>
      </c>
      <c r="IO44" t="e">
        <f>'Effort Estimation'!B331+"AM:!$LZ"</f>
        <v>#VALUE!</v>
      </c>
      <c r="IP44" t="e">
        <f>'Effort Estimation'!C331+"AM:!$L["</f>
        <v>#VALUE!</v>
      </c>
      <c r="IQ44" t="e">
        <f>'Effort Estimation'!D331+"AM:!$L\"</f>
        <v>#VALUE!</v>
      </c>
      <c r="IR44" t="e">
        <f>'Effort Estimation'!E331+"AM:!$L]"</f>
        <v>#VALUE!</v>
      </c>
      <c r="IS44" t="e">
        <f>'Effort Estimation'!F331+"AM:!$L^"</f>
        <v>#VALUE!</v>
      </c>
      <c r="IT44" t="e">
        <f>'Effort Estimation'!G331+"AM:!$L_"</f>
        <v>#VALUE!</v>
      </c>
      <c r="IU44" t="e">
        <f>'Effort Estimation'!H331+"AM:!$L`"</f>
        <v>#VALUE!</v>
      </c>
      <c r="IV44" t="e">
        <f>'Effort Estimation'!I331+"AM:!$La"</f>
        <v>#VALUE!</v>
      </c>
    </row>
    <row r="45" spans="6:256">
      <c r="F45" s="99" t="e">
        <f>'Effort Estimation'!J331+"AM:!$Lb"</f>
        <v>#VALUE!</v>
      </c>
      <c r="G45" s="99" t="e">
        <f>'Effort Estimation'!K331+"AM:!$Lc"</f>
        <v>#VALUE!</v>
      </c>
      <c r="H45" s="99" t="e">
        <f>'Effort Estimation'!L331+"AM:!$Ld"</f>
        <v>#VALUE!</v>
      </c>
      <c r="I45" s="99" t="e">
        <f>'Effort Estimation'!M331+"AM:!$Le"</f>
        <v>#VALUE!</v>
      </c>
      <c r="J45" s="99" t="e">
        <f>'Effort Estimation'!N331+"AM:!$Lf"</f>
        <v>#VALUE!</v>
      </c>
      <c r="K45" s="99" t="e">
        <f>'Effort Estimation'!O331+"AM:!$Lg"</f>
        <v>#VALUE!</v>
      </c>
      <c r="L45" s="99" t="e">
        <f>'Effort Estimation'!P331+"AM:!$Lh"</f>
        <v>#VALUE!</v>
      </c>
      <c r="M45" s="99" t="e">
        <f>'Effort Estimation'!Q331+"AM:!$Li"</f>
        <v>#VALUE!</v>
      </c>
      <c r="N45" t="e">
        <f>'Effort Estimation'!R331+"AM:!$Lj"</f>
        <v>#VALUE!</v>
      </c>
      <c r="O45" t="e">
        <f>'Effort Estimation'!S331+"AM:!$Lk"</f>
        <v>#VALUE!</v>
      </c>
      <c r="P45" t="e">
        <f>'Effort Estimation'!T331+"AM:!$Ll"</f>
        <v>#VALUE!</v>
      </c>
      <c r="Q45" t="e">
        <f>'Effort Estimation'!A332+"AM:!$Lm"</f>
        <v>#VALUE!</v>
      </c>
      <c r="R45" t="e">
        <f>'Effort Estimation'!B332+"AM:!$Ln"</f>
        <v>#VALUE!</v>
      </c>
      <c r="S45" t="e">
        <f>'Effort Estimation'!C332+"AM:!$Lo"</f>
        <v>#VALUE!</v>
      </c>
      <c r="T45" t="e">
        <f>'Effort Estimation'!D332+"AM:!$Lp"</f>
        <v>#VALUE!</v>
      </c>
      <c r="U45" t="e">
        <f>'Effort Estimation'!E332+"AM:!$Lq"</f>
        <v>#VALUE!</v>
      </c>
      <c r="V45" t="e">
        <f>'Effort Estimation'!F332+"AM:!$Lr"</f>
        <v>#VALUE!</v>
      </c>
      <c r="W45" t="e">
        <f>'Effort Estimation'!G332+"AM:!$Ls"</f>
        <v>#VALUE!</v>
      </c>
      <c r="X45" t="e">
        <f>'Effort Estimation'!H332+"AM:!$Lt"</f>
        <v>#VALUE!</v>
      </c>
      <c r="Y45" t="e">
        <f>'Effort Estimation'!I332+"AM:!$Lu"</f>
        <v>#VALUE!</v>
      </c>
      <c r="Z45" s="99" t="e">
        <f>'Effort Estimation'!J332+"AM:!$Lv"</f>
        <v>#VALUE!</v>
      </c>
      <c r="AA45" s="99" t="e">
        <f>'Effort Estimation'!K332+"AM:!$Lw"</f>
        <v>#VALUE!</v>
      </c>
      <c r="AB45" s="99" t="e">
        <f>'Effort Estimation'!L332+"AM:!$Lx"</f>
        <v>#VALUE!</v>
      </c>
      <c r="AC45" s="99" t="e">
        <f>'Effort Estimation'!M332+"AM:!$Ly"</f>
        <v>#VALUE!</v>
      </c>
      <c r="AD45" s="99" t="e">
        <f>'Effort Estimation'!N332+"AM:!$Lz"</f>
        <v>#VALUE!</v>
      </c>
      <c r="AE45" s="99" t="e">
        <f>'Effort Estimation'!O332+"AM:!$L{"</f>
        <v>#VALUE!</v>
      </c>
      <c r="AF45" s="99" t="e">
        <f>'Effort Estimation'!P332+"AM:!$L|"</f>
        <v>#VALUE!</v>
      </c>
      <c r="AG45" s="99" t="e">
        <f>'Effort Estimation'!Q332+"AM:!$L}"</f>
        <v>#VALUE!</v>
      </c>
      <c r="AH45" t="e">
        <f>'Effort Estimation'!R332+"AM:!$L~"</f>
        <v>#VALUE!</v>
      </c>
      <c r="AI45" t="e">
        <f>'Effort Estimation'!S332+"AM:!$M#"</f>
        <v>#VALUE!</v>
      </c>
      <c r="AJ45" t="e">
        <f>'Effort Estimation'!T332+"AM:!$M$"</f>
        <v>#VALUE!</v>
      </c>
      <c r="AK45" t="e">
        <f>'Effort Estimation'!A333+"AM:!$M%"</f>
        <v>#VALUE!</v>
      </c>
      <c r="AL45" t="e">
        <f>'Effort Estimation'!B333+"AM:!$M&amp;"</f>
        <v>#VALUE!</v>
      </c>
      <c r="AM45" t="e">
        <f>'Effort Estimation'!C333+"AM:!$M'"</f>
        <v>#VALUE!</v>
      </c>
      <c r="AN45" t="e">
        <f>'Effort Estimation'!D333+"AM:!$M("</f>
        <v>#VALUE!</v>
      </c>
      <c r="AO45" t="e">
        <f>'Effort Estimation'!E333+"AM:!$M)"</f>
        <v>#VALUE!</v>
      </c>
      <c r="AP45" t="e">
        <f>'Effort Estimation'!F333+"AM:!$M."</f>
        <v>#VALUE!</v>
      </c>
      <c r="AQ45" t="e">
        <f>'Effort Estimation'!G333+"AM:!$M/"</f>
        <v>#VALUE!</v>
      </c>
      <c r="AR45" t="e">
        <f>'Effort Estimation'!H333+"AM:!$M0"</f>
        <v>#VALUE!</v>
      </c>
      <c r="AS45" t="e">
        <f>'Effort Estimation'!I333+"AM:!$M1"</f>
        <v>#VALUE!</v>
      </c>
      <c r="AT45" s="99" t="e">
        <f>'Effort Estimation'!J333+"AM:!$M2"</f>
        <v>#VALUE!</v>
      </c>
      <c r="AU45" s="99" t="e">
        <f>'Effort Estimation'!K333+"AM:!$M3"</f>
        <v>#VALUE!</v>
      </c>
      <c r="AV45" s="99" t="e">
        <f>'Effort Estimation'!L333+"AM:!$M4"</f>
        <v>#VALUE!</v>
      </c>
      <c r="AW45" s="99" t="e">
        <f>'Effort Estimation'!M333+"AM:!$M5"</f>
        <v>#VALUE!</v>
      </c>
      <c r="AX45" s="99" t="e">
        <f>'Effort Estimation'!N333+"AM:!$M6"</f>
        <v>#VALUE!</v>
      </c>
      <c r="AY45" s="99" t="e">
        <f>'Effort Estimation'!O333+"AM:!$M7"</f>
        <v>#VALUE!</v>
      </c>
      <c r="AZ45" s="99" t="e">
        <f>'Effort Estimation'!P333+"AM:!$M8"</f>
        <v>#VALUE!</v>
      </c>
      <c r="BA45" s="99" t="e">
        <f>'Effort Estimation'!Q333+"AM:!$M9"</f>
        <v>#VALUE!</v>
      </c>
      <c r="BB45" t="e">
        <f>'Effort Estimation'!R333+"AM:!$M:"</f>
        <v>#VALUE!</v>
      </c>
      <c r="BC45" t="e">
        <f>'Effort Estimation'!S333+"AM:!$M;"</f>
        <v>#VALUE!</v>
      </c>
      <c r="BD45" t="e">
        <f>'Effort Estimation'!T333+"AM:!$M&lt;"</f>
        <v>#VALUE!</v>
      </c>
      <c r="BE45" t="e">
        <f>'Effort Estimation'!A334+"AM:!$M="</f>
        <v>#VALUE!</v>
      </c>
      <c r="BF45" t="e">
        <f>'Effort Estimation'!B334+"AM:!$M&gt;"</f>
        <v>#VALUE!</v>
      </c>
      <c r="BG45" t="e">
        <f>'Effort Estimation'!C334+"AM:!$M?"</f>
        <v>#VALUE!</v>
      </c>
      <c r="BH45" t="e">
        <f>'Effort Estimation'!D334+"AM:!$M@"</f>
        <v>#VALUE!</v>
      </c>
      <c r="BI45" t="e">
        <f>'Effort Estimation'!E334+"AM:!$MA"</f>
        <v>#VALUE!</v>
      </c>
      <c r="BJ45" t="e">
        <f>'Effort Estimation'!F334+"AM:!$MB"</f>
        <v>#VALUE!</v>
      </c>
      <c r="BK45" t="e">
        <f>'Effort Estimation'!G334+"AM:!$MC"</f>
        <v>#VALUE!</v>
      </c>
      <c r="BL45" t="e">
        <f>'Effort Estimation'!H334+"AM:!$MD"</f>
        <v>#VALUE!</v>
      </c>
      <c r="BM45" t="e">
        <f>'Effort Estimation'!I334+"AM:!$ME"</f>
        <v>#VALUE!</v>
      </c>
      <c r="BN45" s="99" t="e">
        <f>'Effort Estimation'!J334+"AM:!$MF"</f>
        <v>#VALUE!</v>
      </c>
      <c r="BO45" s="99" t="e">
        <f>'Effort Estimation'!K334+"AM:!$MG"</f>
        <v>#VALUE!</v>
      </c>
      <c r="BP45" s="99" t="e">
        <f>'Effort Estimation'!L334+"AM:!$MH"</f>
        <v>#VALUE!</v>
      </c>
      <c r="BQ45" s="99" t="e">
        <f>'Effort Estimation'!M334+"AM:!$MI"</f>
        <v>#VALUE!</v>
      </c>
      <c r="BR45" s="99" t="e">
        <f>'Effort Estimation'!N334+"AM:!$MJ"</f>
        <v>#VALUE!</v>
      </c>
      <c r="BS45" s="99" t="e">
        <f>'Effort Estimation'!O334+"AM:!$MK"</f>
        <v>#VALUE!</v>
      </c>
      <c r="BT45" s="99" t="e">
        <f>'Effort Estimation'!P334+"AM:!$ML"</f>
        <v>#VALUE!</v>
      </c>
      <c r="BU45" s="99" t="e">
        <f>'Effort Estimation'!Q334+"AM:!$MM"</f>
        <v>#VALUE!</v>
      </c>
      <c r="BV45" t="e">
        <f>'Effort Estimation'!R334+"AM:!$MN"</f>
        <v>#VALUE!</v>
      </c>
      <c r="BW45" t="e">
        <f>'Effort Estimation'!S334+"AM:!$MO"</f>
        <v>#VALUE!</v>
      </c>
      <c r="BX45" t="e">
        <f>'Effort Estimation'!T334+"AM:!$MP"</f>
        <v>#VALUE!</v>
      </c>
      <c r="BY45" t="e">
        <f>'Effort Estimation'!A335+"AM:!$MQ"</f>
        <v>#VALUE!</v>
      </c>
      <c r="BZ45" t="e">
        <f>'Effort Estimation'!B335+"AM:!$MR"</f>
        <v>#VALUE!</v>
      </c>
      <c r="CA45" t="e">
        <f>'Effort Estimation'!C335+"AM:!$MS"</f>
        <v>#VALUE!</v>
      </c>
      <c r="CB45" t="e">
        <f>'Effort Estimation'!D335+"AM:!$MT"</f>
        <v>#VALUE!</v>
      </c>
      <c r="CC45" t="e">
        <f>'Effort Estimation'!E335+"AM:!$MU"</f>
        <v>#VALUE!</v>
      </c>
      <c r="CD45" t="e">
        <f>'Effort Estimation'!F335+"AM:!$MV"</f>
        <v>#VALUE!</v>
      </c>
      <c r="CE45" t="e">
        <f>'Effort Estimation'!G335+"AM:!$MW"</f>
        <v>#VALUE!</v>
      </c>
      <c r="CF45" t="e">
        <f>'Effort Estimation'!H335+"AM:!$MX"</f>
        <v>#VALUE!</v>
      </c>
      <c r="CG45" t="e">
        <f>'Effort Estimation'!I335+"AM:!$MY"</f>
        <v>#VALUE!</v>
      </c>
      <c r="CH45" s="99" t="e">
        <f>'Effort Estimation'!J335+"AM:!$MZ"</f>
        <v>#VALUE!</v>
      </c>
      <c r="CI45" s="99" t="e">
        <f>'Effort Estimation'!K335+"AM:!$M["</f>
        <v>#VALUE!</v>
      </c>
      <c r="CJ45" s="99" t="e">
        <f>'Effort Estimation'!L335+"AM:!$M\"</f>
        <v>#VALUE!</v>
      </c>
      <c r="CK45" s="99" t="e">
        <f>'Effort Estimation'!M335+"AM:!$M]"</f>
        <v>#VALUE!</v>
      </c>
      <c r="CL45" s="99" t="e">
        <f>'Effort Estimation'!N335+"AM:!$M^"</f>
        <v>#VALUE!</v>
      </c>
      <c r="CM45" s="99" t="e">
        <f>'Effort Estimation'!O335+"AM:!$M_"</f>
        <v>#VALUE!</v>
      </c>
      <c r="CN45" s="99" t="e">
        <f>'Effort Estimation'!P335+"AM:!$M`"</f>
        <v>#VALUE!</v>
      </c>
      <c r="CO45" s="99" t="e">
        <f>'Effort Estimation'!Q335+"AM:!$Ma"</f>
        <v>#VALUE!</v>
      </c>
      <c r="CP45" t="e">
        <f>'Effort Estimation'!R335+"AM:!$Mb"</f>
        <v>#VALUE!</v>
      </c>
      <c r="CQ45" t="e">
        <f>'Effort Estimation'!S335+"AM:!$Mc"</f>
        <v>#VALUE!</v>
      </c>
      <c r="CR45" t="e">
        <f>'Effort Estimation'!T335+"AM:!$Md"</f>
        <v>#VALUE!</v>
      </c>
      <c r="CS45" t="e">
        <f>'Effort Estimation'!A336+"AM:!$Me"</f>
        <v>#VALUE!</v>
      </c>
      <c r="CT45" t="e">
        <f>'Effort Estimation'!B336+"AM:!$Mf"</f>
        <v>#VALUE!</v>
      </c>
      <c r="CU45" t="e">
        <f>'Effort Estimation'!C336+"AM:!$Mg"</f>
        <v>#VALUE!</v>
      </c>
      <c r="CV45" t="e">
        <f>'Effort Estimation'!D336+"AM:!$Mh"</f>
        <v>#VALUE!</v>
      </c>
      <c r="CW45" t="e">
        <f>'Effort Estimation'!E336+"AM:!$Mi"</f>
        <v>#VALUE!</v>
      </c>
      <c r="CX45" t="e">
        <f>'Effort Estimation'!F336+"AM:!$Mj"</f>
        <v>#VALUE!</v>
      </c>
      <c r="CY45" t="e">
        <f>'Effort Estimation'!G336+"AM:!$Mk"</f>
        <v>#VALUE!</v>
      </c>
      <c r="CZ45" t="e">
        <f>'Effort Estimation'!H336+"AM:!$Ml"</f>
        <v>#VALUE!</v>
      </c>
      <c r="DA45" t="e">
        <f>'Effort Estimation'!I336+"AM:!$Mm"</f>
        <v>#VALUE!</v>
      </c>
      <c r="DB45" s="99" t="e">
        <f>'Effort Estimation'!J336+"AM:!$Mn"</f>
        <v>#VALUE!</v>
      </c>
      <c r="DC45" s="99" t="e">
        <f>'Effort Estimation'!K336+"AM:!$Mo"</f>
        <v>#VALUE!</v>
      </c>
      <c r="DD45" s="99" t="e">
        <f>'Effort Estimation'!L336+"AM:!$Mp"</f>
        <v>#VALUE!</v>
      </c>
      <c r="DE45" s="99" t="e">
        <f>'Effort Estimation'!M336+"AM:!$Mq"</f>
        <v>#VALUE!</v>
      </c>
      <c r="DF45" s="99" t="e">
        <f>'Effort Estimation'!N336+"AM:!$Mr"</f>
        <v>#VALUE!</v>
      </c>
      <c r="DG45" s="99" t="e">
        <f>'Effort Estimation'!O336+"AM:!$Ms"</f>
        <v>#VALUE!</v>
      </c>
      <c r="DH45" s="99" t="e">
        <f>'Effort Estimation'!P336+"AM:!$Mt"</f>
        <v>#VALUE!</v>
      </c>
      <c r="DI45" s="99" t="e">
        <f>'Effort Estimation'!Q336+"AM:!$Mu"</f>
        <v>#VALUE!</v>
      </c>
      <c r="DJ45" t="e">
        <f>'Effort Estimation'!R336+"AM:!$Mv"</f>
        <v>#VALUE!</v>
      </c>
      <c r="DK45" t="e">
        <f>'Effort Estimation'!S336+"AM:!$Mw"</f>
        <v>#VALUE!</v>
      </c>
      <c r="DL45" t="e">
        <f>'Effort Estimation'!T336+"AM:!$Mx"</f>
        <v>#VALUE!</v>
      </c>
      <c r="DM45" t="e">
        <f>'Effort Estimation'!A337+"AM:!$My"</f>
        <v>#VALUE!</v>
      </c>
      <c r="DN45" t="e">
        <f>'Effort Estimation'!B337+"AM:!$Mz"</f>
        <v>#VALUE!</v>
      </c>
      <c r="DO45" t="e">
        <f>'Effort Estimation'!C337+"AM:!$M{"</f>
        <v>#VALUE!</v>
      </c>
      <c r="DP45" t="e">
        <f>'Effort Estimation'!D337+"AM:!$M|"</f>
        <v>#VALUE!</v>
      </c>
      <c r="DQ45" t="e">
        <f>'Effort Estimation'!E337+"AM:!$M}"</f>
        <v>#VALUE!</v>
      </c>
      <c r="DR45" t="e">
        <f>'Effort Estimation'!F337+"AM:!$M~"</f>
        <v>#VALUE!</v>
      </c>
      <c r="DS45" t="e">
        <f>'Effort Estimation'!G337+"AM:!$N#"</f>
        <v>#VALUE!</v>
      </c>
      <c r="DT45" t="e">
        <f>'Effort Estimation'!H337+"AM:!$N$"</f>
        <v>#VALUE!</v>
      </c>
      <c r="DU45" t="e">
        <f>'Effort Estimation'!I337+"AM:!$N%"</f>
        <v>#VALUE!</v>
      </c>
      <c r="DV45" s="99" t="e">
        <f>'Effort Estimation'!J337+"AM:!$N&amp;"</f>
        <v>#VALUE!</v>
      </c>
      <c r="DW45" s="99" t="e">
        <f>'Effort Estimation'!K337+"AM:!$N'"</f>
        <v>#VALUE!</v>
      </c>
      <c r="DX45" s="99" t="e">
        <f>'Effort Estimation'!L337+"AM:!$N("</f>
        <v>#VALUE!</v>
      </c>
      <c r="DY45" s="99" t="e">
        <f>'Effort Estimation'!M337+"AM:!$N)"</f>
        <v>#VALUE!</v>
      </c>
      <c r="DZ45" s="99" t="e">
        <f>'Effort Estimation'!N337+"AM:!$N."</f>
        <v>#VALUE!</v>
      </c>
      <c r="EA45" s="99" t="e">
        <f>'Effort Estimation'!O337+"AM:!$N/"</f>
        <v>#VALUE!</v>
      </c>
      <c r="EB45" s="99" t="e">
        <f>'Effort Estimation'!P337+"AM:!$N0"</f>
        <v>#VALUE!</v>
      </c>
      <c r="EC45" s="99" t="e">
        <f>'Effort Estimation'!Q337+"AM:!$N1"</f>
        <v>#VALUE!</v>
      </c>
      <c r="ED45" t="e">
        <f>'Effort Estimation'!R337+"AM:!$N2"</f>
        <v>#VALUE!</v>
      </c>
      <c r="EE45" t="e">
        <f>'Effort Estimation'!S337+"AM:!$N3"</f>
        <v>#VALUE!</v>
      </c>
      <c r="EF45" t="e">
        <f>'Effort Estimation'!T337+"AM:!$N4"</f>
        <v>#VALUE!</v>
      </c>
      <c r="EG45" t="e">
        <f>'Effort Estimation'!A338+"AM:!$N5"</f>
        <v>#VALUE!</v>
      </c>
      <c r="EH45" t="e">
        <f>'Effort Estimation'!B338+"AM:!$N6"</f>
        <v>#VALUE!</v>
      </c>
      <c r="EI45" t="e">
        <f>'Effort Estimation'!C338+"AM:!$N7"</f>
        <v>#VALUE!</v>
      </c>
      <c r="EJ45" t="e">
        <f>'Effort Estimation'!D338+"AM:!$N8"</f>
        <v>#VALUE!</v>
      </c>
      <c r="EK45" t="e">
        <f>'Effort Estimation'!E338+"AM:!$N9"</f>
        <v>#VALUE!</v>
      </c>
      <c r="EL45" t="e">
        <f>'Effort Estimation'!F338+"AM:!$N:"</f>
        <v>#VALUE!</v>
      </c>
      <c r="EM45" t="e">
        <f>'Effort Estimation'!G338+"AM:!$N;"</f>
        <v>#VALUE!</v>
      </c>
      <c r="EN45" t="e">
        <f>'Effort Estimation'!H338+"AM:!$N&lt;"</f>
        <v>#VALUE!</v>
      </c>
      <c r="EO45" t="e">
        <f>'Effort Estimation'!I338+"AM:!$N="</f>
        <v>#VALUE!</v>
      </c>
      <c r="EP45" s="99" t="e">
        <f>'Effort Estimation'!J338+"AM:!$N&gt;"</f>
        <v>#VALUE!</v>
      </c>
      <c r="EQ45" s="99" t="e">
        <f>'Effort Estimation'!K338+"AM:!$N?"</f>
        <v>#VALUE!</v>
      </c>
      <c r="ER45" s="99" t="e">
        <f>'Effort Estimation'!L338+"AM:!$N@"</f>
        <v>#VALUE!</v>
      </c>
      <c r="ES45" s="99" t="e">
        <f>'Effort Estimation'!M338+"AM:!$NA"</f>
        <v>#VALUE!</v>
      </c>
      <c r="ET45" s="99" t="e">
        <f>'Effort Estimation'!N338+"AM:!$NB"</f>
        <v>#VALUE!</v>
      </c>
      <c r="EU45" s="99" t="e">
        <f>'Effort Estimation'!O338+"AM:!$NC"</f>
        <v>#VALUE!</v>
      </c>
      <c r="EV45" s="99" t="e">
        <f>'Effort Estimation'!P338+"AM:!$ND"</f>
        <v>#VALUE!</v>
      </c>
      <c r="EW45" s="99" t="e">
        <f>'Effort Estimation'!Q338+"AM:!$NE"</f>
        <v>#VALUE!</v>
      </c>
      <c r="EX45" t="e">
        <f>'Effort Estimation'!R338+"AM:!$NF"</f>
        <v>#VALUE!</v>
      </c>
      <c r="EY45" t="e">
        <f>'Effort Estimation'!S338+"AM:!$NG"</f>
        <v>#VALUE!</v>
      </c>
      <c r="EZ45" t="e">
        <f>'Effort Estimation'!T338+"AM:!$NH"</f>
        <v>#VALUE!</v>
      </c>
      <c r="FA45" t="e">
        <f>'Effort Estimation'!A339+"AM:!$NI"</f>
        <v>#VALUE!</v>
      </c>
      <c r="FB45" t="e">
        <f>'Effort Estimation'!B339+"AM:!$NJ"</f>
        <v>#VALUE!</v>
      </c>
      <c r="FC45" t="e">
        <f>'Effort Estimation'!C339+"AM:!$NK"</f>
        <v>#VALUE!</v>
      </c>
      <c r="FD45" t="e">
        <f>'Effort Estimation'!D339+"AM:!$NL"</f>
        <v>#VALUE!</v>
      </c>
      <c r="FE45" t="e">
        <f>'Effort Estimation'!E339+"AM:!$NM"</f>
        <v>#VALUE!</v>
      </c>
      <c r="FF45" t="e">
        <f>'Effort Estimation'!F339+"AM:!$NN"</f>
        <v>#VALUE!</v>
      </c>
      <c r="FG45" t="e">
        <f>'Effort Estimation'!G339+"AM:!$NO"</f>
        <v>#VALUE!</v>
      </c>
      <c r="FH45" t="e">
        <f>'Effort Estimation'!H339+"AM:!$NP"</f>
        <v>#VALUE!</v>
      </c>
      <c r="FI45" t="e">
        <f>'Effort Estimation'!I339+"AM:!$NQ"</f>
        <v>#VALUE!</v>
      </c>
      <c r="FJ45" s="99" t="e">
        <f>'Effort Estimation'!J339+"AM:!$NR"</f>
        <v>#VALUE!</v>
      </c>
      <c r="FK45" s="99" t="e">
        <f>'Effort Estimation'!K339+"AM:!$NS"</f>
        <v>#VALUE!</v>
      </c>
      <c r="FL45" s="99" t="e">
        <f>'Effort Estimation'!L339+"AM:!$NT"</f>
        <v>#VALUE!</v>
      </c>
      <c r="FM45" s="99" t="e">
        <f>'Effort Estimation'!M339+"AM:!$NU"</f>
        <v>#VALUE!</v>
      </c>
      <c r="FN45" s="99" t="e">
        <f>'Effort Estimation'!N339+"AM:!$NV"</f>
        <v>#VALUE!</v>
      </c>
      <c r="FO45" s="99" t="e">
        <f>'Effort Estimation'!O339+"AM:!$NW"</f>
        <v>#VALUE!</v>
      </c>
      <c r="FP45" s="99" t="e">
        <f>'Effort Estimation'!P339+"AM:!$NX"</f>
        <v>#VALUE!</v>
      </c>
      <c r="FQ45" s="99" t="e">
        <f>'Effort Estimation'!Q339+"AM:!$NY"</f>
        <v>#VALUE!</v>
      </c>
      <c r="FR45" t="e">
        <f>'Effort Estimation'!R339+"AM:!$NZ"</f>
        <v>#VALUE!</v>
      </c>
      <c r="FS45" t="e">
        <f>'Effort Estimation'!S339+"AM:!$N["</f>
        <v>#VALUE!</v>
      </c>
      <c r="FT45" t="e">
        <f>'Effort Estimation'!T339+"AM:!$N\"</f>
        <v>#VALUE!</v>
      </c>
      <c r="FU45" t="e">
        <f>'Effort Estimation'!A340+"AM:!$N]"</f>
        <v>#VALUE!</v>
      </c>
      <c r="FV45" t="e">
        <f>'Effort Estimation'!B340+"AM:!$N^"</f>
        <v>#VALUE!</v>
      </c>
      <c r="FW45" t="e">
        <f>'Effort Estimation'!C340+"AM:!$N_"</f>
        <v>#VALUE!</v>
      </c>
      <c r="FX45" t="e">
        <f>'Effort Estimation'!D340+"AM:!$N`"</f>
        <v>#VALUE!</v>
      </c>
      <c r="FY45" t="e">
        <f>'Effort Estimation'!E340+"AM:!$Na"</f>
        <v>#VALUE!</v>
      </c>
      <c r="FZ45" t="e">
        <f>'Effort Estimation'!F340+"AM:!$Nb"</f>
        <v>#VALUE!</v>
      </c>
      <c r="GA45" t="e">
        <f>'Effort Estimation'!G340+"AM:!$Nc"</f>
        <v>#VALUE!</v>
      </c>
      <c r="GB45" t="e">
        <f>'Effort Estimation'!H340+"AM:!$Nd"</f>
        <v>#VALUE!</v>
      </c>
      <c r="GC45" t="e">
        <f>'Effort Estimation'!I340+"AM:!$Ne"</f>
        <v>#VALUE!</v>
      </c>
      <c r="GD45" s="99" t="e">
        <f>'Effort Estimation'!J340+"AM:!$Nf"</f>
        <v>#VALUE!</v>
      </c>
      <c r="GE45" s="99" t="e">
        <f>'Effort Estimation'!K340+"AM:!$Ng"</f>
        <v>#VALUE!</v>
      </c>
      <c r="GF45" s="99" t="e">
        <f>'Effort Estimation'!L340+"AM:!$Nh"</f>
        <v>#VALUE!</v>
      </c>
      <c r="GG45" s="99" t="e">
        <f>'Effort Estimation'!M340+"AM:!$Ni"</f>
        <v>#VALUE!</v>
      </c>
      <c r="GH45" s="99" t="e">
        <f>'Effort Estimation'!N340+"AM:!$Nj"</f>
        <v>#VALUE!</v>
      </c>
      <c r="GI45" s="99" t="e">
        <f>'Effort Estimation'!O340+"AM:!$Nk"</f>
        <v>#VALUE!</v>
      </c>
      <c r="GJ45" s="99" t="e">
        <f>'Effort Estimation'!P340+"AM:!$Nl"</f>
        <v>#VALUE!</v>
      </c>
      <c r="GK45" s="99" t="e">
        <f>'Effort Estimation'!Q340+"AM:!$Nm"</f>
        <v>#VALUE!</v>
      </c>
      <c r="GL45" t="e">
        <f>'Effort Estimation'!R340+"AM:!$Nn"</f>
        <v>#VALUE!</v>
      </c>
      <c r="GM45" t="e">
        <f>'Effort Estimation'!S340+"AM:!$No"</f>
        <v>#VALUE!</v>
      </c>
      <c r="GN45" t="e">
        <f>'Effort Estimation'!T340+"AM:!$Np"</f>
        <v>#VALUE!</v>
      </c>
      <c r="GO45" t="e">
        <f>'Effort Estimation'!A341+"AM:!$Nq"</f>
        <v>#VALUE!</v>
      </c>
      <c r="GP45" t="e">
        <f>'Effort Estimation'!B341+"AM:!$Nr"</f>
        <v>#VALUE!</v>
      </c>
      <c r="GQ45" t="e">
        <f>'Effort Estimation'!C341+"AM:!$Ns"</f>
        <v>#VALUE!</v>
      </c>
      <c r="GR45" t="e">
        <f>'Effort Estimation'!D341+"AM:!$Nt"</f>
        <v>#VALUE!</v>
      </c>
      <c r="GS45" t="e">
        <f>'Effort Estimation'!E341+"AM:!$Nu"</f>
        <v>#VALUE!</v>
      </c>
      <c r="GT45" t="e">
        <f>'Effort Estimation'!F341+"AM:!$Nv"</f>
        <v>#VALUE!</v>
      </c>
      <c r="GU45" t="e">
        <f>'Effort Estimation'!G341+"AM:!$Nw"</f>
        <v>#VALUE!</v>
      </c>
      <c r="GV45" t="e">
        <f>'Effort Estimation'!H341+"AM:!$Nx"</f>
        <v>#VALUE!</v>
      </c>
      <c r="GW45" t="e">
        <f>'Effort Estimation'!I341+"AM:!$Ny"</f>
        <v>#VALUE!</v>
      </c>
      <c r="GX45" s="99" t="e">
        <f>'Effort Estimation'!J341+"AM:!$Nz"</f>
        <v>#VALUE!</v>
      </c>
      <c r="GY45" s="99" t="e">
        <f>'Effort Estimation'!K341+"AM:!$N{"</f>
        <v>#VALUE!</v>
      </c>
      <c r="GZ45" s="99" t="e">
        <f>'Effort Estimation'!L341+"AM:!$N|"</f>
        <v>#VALUE!</v>
      </c>
      <c r="HA45" s="99" t="e">
        <f>'Effort Estimation'!M341+"AM:!$N}"</f>
        <v>#VALUE!</v>
      </c>
      <c r="HB45" s="99" t="e">
        <f>'Effort Estimation'!N341+"AM:!$N~"</f>
        <v>#VALUE!</v>
      </c>
      <c r="HC45" s="99" t="e">
        <f>'Effort Estimation'!O341+"AM:!$O#"</f>
        <v>#VALUE!</v>
      </c>
      <c r="HD45" s="99" t="e">
        <f>'Effort Estimation'!P341+"AM:!$O$"</f>
        <v>#VALUE!</v>
      </c>
      <c r="HE45" s="99" t="e">
        <f>'Effort Estimation'!Q341+"AM:!$O%"</f>
        <v>#VALUE!</v>
      </c>
      <c r="HF45" t="e">
        <f>'Effort Estimation'!R341+"AM:!$O&amp;"</f>
        <v>#VALUE!</v>
      </c>
      <c r="HG45" t="e">
        <f>'Effort Estimation'!S341+"AM:!$O'"</f>
        <v>#VALUE!</v>
      </c>
      <c r="HH45" t="e">
        <f>'Effort Estimation'!T341+"AM:!$O("</f>
        <v>#VALUE!</v>
      </c>
      <c r="HI45" t="e">
        <f>'Effort Estimation'!A342+"AM:!$O)"</f>
        <v>#VALUE!</v>
      </c>
      <c r="HJ45" t="e">
        <f>'Effort Estimation'!B342+"AM:!$O."</f>
        <v>#VALUE!</v>
      </c>
      <c r="HK45" t="e">
        <f>'Effort Estimation'!C342+"AM:!$O/"</f>
        <v>#VALUE!</v>
      </c>
      <c r="HL45" t="e">
        <f>'Effort Estimation'!D342+"AM:!$O0"</f>
        <v>#VALUE!</v>
      </c>
      <c r="HM45" t="e">
        <f>'Effort Estimation'!E342+"AM:!$O1"</f>
        <v>#VALUE!</v>
      </c>
      <c r="HN45" t="e">
        <f>'Effort Estimation'!F342+"AM:!$O2"</f>
        <v>#VALUE!</v>
      </c>
      <c r="HO45" t="e">
        <f>'Effort Estimation'!G342+"AM:!$O3"</f>
        <v>#VALUE!</v>
      </c>
      <c r="HP45" t="e">
        <f>'Effort Estimation'!H342+"AM:!$O4"</f>
        <v>#VALUE!</v>
      </c>
      <c r="HQ45" t="e">
        <f>'Effort Estimation'!I342+"AM:!$O5"</f>
        <v>#VALUE!</v>
      </c>
      <c r="HR45" s="99" t="e">
        <f>'Effort Estimation'!J342+"AM:!$O6"</f>
        <v>#VALUE!</v>
      </c>
      <c r="HS45" s="99" t="e">
        <f>'Effort Estimation'!K342+"AM:!$O7"</f>
        <v>#VALUE!</v>
      </c>
      <c r="HT45" s="99" t="e">
        <f>'Effort Estimation'!L342+"AM:!$O8"</f>
        <v>#VALUE!</v>
      </c>
      <c r="HU45" s="99" t="e">
        <f>'Effort Estimation'!M342+"AM:!$O9"</f>
        <v>#VALUE!</v>
      </c>
      <c r="HV45" s="99" t="e">
        <f>'Effort Estimation'!N342+"AM:!$O:"</f>
        <v>#VALUE!</v>
      </c>
      <c r="HW45" s="99" t="e">
        <f>'Effort Estimation'!O342+"AM:!$O;"</f>
        <v>#VALUE!</v>
      </c>
      <c r="HX45" s="99" t="e">
        <f>'Effort Estimation'!P342+"AM:!$O&lt;"</f>
        <v>#VALUE!</v>
      </c>
      <c r="HY45" s="99" t="e">
        <f>'Effort Estimation'!Q342+"AM:!$O="</f>
        <v>#VALUE!</v>
      </c>
      <c r="HZ45" t="e">
        <f>'Effort Estimation'!R342+"AM:!$O&gt;"</f>
        <v>#VALUE!</v>
      </c>
      <c r="IA45" t="e">
        <f>'Effort Estimation'!S342+"AM:!$O?"</f>
        <v>#VALUE!</v>
      </c>
      <c r="IB45" t="e">
        <f>'Effort Estimation'!T342+"AM:!$O@"</f>
        <v>#VALUE!</v>
      </c>
      <c r="IC45" t="e">
        <f>'Effort Estimation'!A343+"AM:!$OA"</f>
        <v>#VALUE!</v>
      </c>
      <c r="ID45" t="e">
        <f>'Effort Estimation'!B343+"AM:!$OB"</f>
        <v>#VALUE!</v>
      </c>
      <c r="IE45" t="e">
        <f>'Effort Estimation'!C343+"AM:!$OC"</f>
        <v>#VALUE!</v>
      </c>
      <c r="IF45" t="e">
        <f>'Effort Estimation'!D343+"AM:!$OD"</f>
        <v>#VALUE!</v>
      </c>
      <c r="IG45" t="e">
        <f>'Effort Estimation'!E343+"AM:!$OE"</f>
        <v>#VALUE!</v>
      </c>
      <c r="IH45" t="e">
        <f>'Effort Estimation'!F343+"AM:!$OF"</f>
        <v>#VALUE!</v>
      </c>
      <c r="II45" t="e">
        <f>'Effort Estimation'!G343+"AM:!$OG"</f>
        <v>#VALUE!</v>
      </c>
      <c r="IJ45" t="e">
        <f>'Effort Estimation'!H343+"AM:!$OH"</f>
        <v>#VALUE!</v>
      </c>
      <c r="IK45" t="e">
        <f>'Effort Estimation'!I343+"AM:!$OI"</f>
        <v>#VALUE!</v>
      </c>
      <c r="IL45" s="99" t="e">
        <f>'Effort Estimation'!J343+"AM:!$OJ"</f>
        <v>#VALUE!</v>
      </c>
      <c r="IM45" s="99" t="e">
        <f>'Effort Estimation'!K343+"AM:!$OK"</f>
        <v>#VALUE!</v>
      </c>
      <c r="IN45" s="99" t="e">
        <f>'Effort Estimation'!L343+"AM:!$OL"</f>
        <v>#VALUE!</v>
      </c>
      <c r="IO45" s="99" t="e">
        <f>'Effort Estimation'!M343+"AM:!$OM"</f>
        <v>#VALUE!</v>
      </c>
      <c r="IP45" s="99" t="e">
        <f>'Effort Estimation'!N343+"AM:!$ON"</f>
        <v>#VALUE!</v>
      </c>
      <c r="IQ45" s="99" t="e">
        <f>'Effort Estimation'!O343+"AM:!$OO"</f>
        <v>#VALUE!</v>
      </c>
      <c r="IR45" s="99" t="e">
        <f>'Effort Estimation'!P343+"AM:!$OP"</f>
        <v>#VALUE!</v>
      </c>
      <c r="IS45" s="99" t="e">
        <f>'Effort Estimation'!Q343+"AM:!$OQ"</f>
        <v>#VALUE!</v>
      </c>
      <c r="IT45" t="e">
        <f>'Effort Estimation'!R343+"AM:!$OR"</f>
        <v>#VALUE!</v>
      </c>
      <c r="IU45" t="e">
        <f>'Effort Estimation'!S343+"AM:!$OS"</f>
        <v>#VALUE!</v>
      </c>
      <c r="IV45" t="e">
        <f>'Effort Estimation'!T343+"AM:!$OT"</f>
        <v>#VALUE!</v>
      </c>
    </row>
    <row r="46" spans="6:256">
      <c r="F46" t="e">
        <f>'Effort Estimation'!A344+"AM:!$OU"</f>
        <v>#VALUE!</v>
      </c>
      <c r="G46" t="e">
        <f>'Effort Estimation'!B344+"AM:!$OV"</f>
        <v>#VALUE!</v>
      </c>
      <c r="H46" t="e">
        <f>'Effort Estimation'!C344+"AM:!$OW"</f>
        <v>#VALUE!</v>
      </c>
      <c r="I46" t="e">
        <f>'Effort Estimation'!D344+"AM:!$OX"</f>
        <v>#VALUE!</v>
      </c>
      <c r="J46" t="e">
        <f>'Effort Estimation'!E344+"AM:!$OY"</f>
        <v>#VALUE!</v>
      </c>
      <c r="K46" t="e">
        <f>'Effort Estimation'!F344+"AM:!$OZ"</f>
        <v>#VALUE!</v>
      </c>
      <c r="L46" t="e">
        <f>'Effort Estimation'!G344+"AM:!$O["</f>
        <v>#VALUE!</v>
      </c>
      <c r="M46" t="e">
        <f>'Effort Estimation'!H344+"AM:!$O\"</f>
        <v>#VALUE!</v>
      </c>
      <c r="N46" t="e">
        <f>'Effort Estimation'!I344+"AM:!$O]"</f>
        <v>#VALUE!</v>
      </c>
      <c r="O46" s="99" t="e">
        <f>'Effort Estimation'!J344+"AM:!$O^"</f>
        <v>#VALUE!</v>
      </c>
      <c r="P46" s="99" t="e">
        <f>'Effort Estimation'!K344+"AM:!$O_"</f>
        <v>#VALUE!</v>
      </c>
      <c r="Q46" s="99" t="e">
        <f>'Effort Estimation'!L344+"AM:!$O`"</f>
        <v>#VALUE!</v>
      </c>
      <c r="R46" s="99" t="e">
        <f>'Effort Estimation'!M344+"AM:!$Oa"</f>
        <v>#VALUE!</v>
      </c>
      <c r="S46" s="99" t="e">
        <f>'Effort Estimation'!N344+"AM:!$Ob"</f>
        <v>#VALUE!</v>
      </c>
      <c r="T46" s="99" t="e">
        <f>'Effort Estimation'!O344+"AM:!$Oc"</f>
        <v>#VALUE!</v>
      </c>
      <c r="U46" s="99" t="e">
        <f>'Effort Estimation'!P344+"AM:!$Od"</f>
        <v>#VALUE!</v>
      </c>
      <c r="V46" s="99" t="e">
        <f>'Effort Estimation'!Q344+"AM:!$Oe"</f>
        <v>#VALUE!</v>
      </c>
      <c r="W46" t="e">
        <f>'Effort Estimation'!R344+"AM:!$Of"</f>
        <v>#VALUE!</v>
      </c>
      <c r="X46" t="e">
        <f>'Effort Estimation'!S344+"AM:!$Og"</f>
        <v>#VALUE!</v>
      </c>
      <c r="Y46" t="e">
        <f>'Effort Estimation'!T344+"AM:!$Oh"</f>
        <v>#VALUE!</v>
      </c>
      <c r="Z46" t="e">
        <f>'Effort Estimation'!A345+"AM:!$Oi"</f>
        <v>#VALUE!</v>
      </c>
      <c r="AA46" t="e">
        <f>'Effort Estimation'!B345+"AM:!$Oj"</f>
        <v>#VALUE!</v>
      </c>
      <c r="AB46" t="e">
        <f>'Effort Estimation'!C345+"AM:!$Ok"</f>
        <v>#VALUE!</v>
      </c>
      <c r="AC46" t="e">
        <f>'Effort Estimation'!D345+"AM:!$Ol"</f>
        <v>#VALUE!</v>
      </c>
      <c r="AD46" t="e">
        <f>'Effort Estimation'!E345+"AM:!$Om"</f>
        <v>#VALUE!</v>
      </c>
      <c r="AE46" t="e">
        <f>'Effort Estimation'!F345+"AM:!$On"</f>
        <v>#VALUE!</v>
      </c>
      <c r="AF46" t="e">
        <f>'Effort Estimation'!G345+"AM:!$Oo"</f>
        <v>#VALUE!</v>
      </c>
      <c r="AG46" t="e">
        <f>'Effort Estimation'!H345+"AM:!$Op"</f>
        <v>#VALUE!</v>
      </c>
      <c r="AH46" t="e">
        <f>'Effort Estimation'!I345+"AM:!$Oq"</f>
        <v>#VALUE!</v>
      </c>
      <c r="AI46" s="99" t="e">
        <f>'Effort Estimation'!J345+"AM:!$Or"</f>
        <v>#VALUE!</v>
      </c>
      <c r="AJ46" s="99" t="e">
        <f>'Effort Estimation'!K345+"AM:!$Os"</f>
        <v>#VALUE!</v>
      </c>
      <c r="AK46" s="99" t="e">
        <f>'Effort Estimation'!L345+"AM:!$Ot"</f>
        <v>#VALUE!</v>
      </c>
      <c r="AL46" s="99" t="e">
        <f>'Effort Estimation'!M345+"AM:!$Ou"</f>
        <v>#VALUE!</v>
      </c>
      <c r="AM46" s="99" t="e">
        <f>'Effort Estimation'!N345+"AM:!$Ov"</f>
        <v>#VALUE!</v>
      </c>
      <c r="AN46" s="99" t="e">
        <f>'Effort Estimation'!O345+"AM:!$Ow"</f>
        <v>#VALUE!</v>
      </c>
      <c r="AO46" s="99" t="e">
        <f>'Effort Estimation'!P345+"AM:!$Ox"</f>
        <v>#VALUE!</v>
      </c>
      <c r="AP46" s="99" t="e">
        <f>'Effort Estimation'!Q345+"AM:!$Oy"</f>
        <v>#VALUE!</v>
      </c>
      <c r="AQ46" t="e">
        <f>'Effort Estimation'!R345+"AM:!$Oz"</f>
        <v>#VALUE!</v>
      </c>
      <c r="AR46" t="e">
        <f>'Effort Estimation'!S345+"AM:!$O{"</f>
        <v>#VALUE!</v>
      </c>
      <c r="AS46" t="e">
        <f>'Effort Estimation'!T345+"AM:!$O|"</f>
        <v>#VALUE!</v>
      </c>
      <c r="AT46" t="e">
        <f>'Effort Estimation'!A346+"AM:!$O}"</f>
        <v>#VALUE!</v>
      </c>
      <c r="AU46" t="e">
        <f>'Effort Estimation'!B346+"AM:!$O~"</f>
        <v>#VALUE!</v>
      </c>
      <c r="AV46" t="e">
        <f>'Effort Estimation'!C346+"AM:!$P#"</f>
        <v>#VALUE!</v>
      </c>
      <c r="AW46" t="e">
        <f>'Effort Estimation'!D346+"AM:!$P$"</f>
        <v>#VALUE!</v>
      </c>
      <c r="AX46" t="e">
        <f>'Effort Estimation'!E346+"AM:!$P%"</f>
        <v>#VALUE!</v>
      </c>
      <c r="AY46" t="e">
        <f>'Effort Estimation'!F346+"AM:!$P&amp;"</f>
        <v>#VALUE!</v>
      </c>
      <c r="AZ46" t="e">
        <f>'Effort Estimation'!G346+"AM:!$P'"</f>
        <v>#VALUE!</v>
      </c>
      <c r="BA46" t="e">
        <f>'Effort Estimation'!H346+"AM:!$P("</f>
        <v>#VALUE!</v>
      </c>
      <c r="BB46" t="e">
        <f>'Effort Estimation'!I346+"AM:!$P)"</f>
        <v>#VALUE!</v>
      </c>
      <c r="BC46" s="99" t="e">
        <f>'Effort Estimation'!J346+"AM:!$P."</f>
        <v>#VALUE!</v>
      </c>
      <c r="BD46" s="99" t="e">
        <f>'Effort Estimation'!K346+"AM:!$P/"</f>
        <v>#VALUE!</v>
      </c>
      <c r="BE46" s="99" t="e">
        <f>'Effort Estimation'!L346+"AM:!$P0"</f>
        <v>#VALUE!</v>
      </c>
      <c r="BF46" s="99" t="e">
        <f>'Effort Estimation'!M346+"AM:!$P1"</f>
        <v>#VALUE!</v>
      </c>
      <c r="BG46" s="99" t="e">
        <f>'Effort Estimation'!N346+"AM:!$P2"</f>
        <v>#VALUE!</v>
      </c>
      <c r="BH46" s="99" t="e">
        <f>'Effort Estimation'!O346+"AM:!$P3"</f>
        <v>#VALUE!</v>
      </c>
      <c r="BI46" s="99" t="e">
        <f>'Effort Estimation'!P346+"AM:!$P4"</f>
        <v>#VALUE!</v>
      </c>
      <c r="BJ46" s="99" t="e">
        <f>'Effort Estimation'!Q346+"AM:!$P5"</f>
        <v>#VALUE!</v>
      </c>
      <c r="BK46" t="e">
        <f>'Effort Estimation'!R346+"AM:!$P6"</f>
        <v>#VALUE!</v>
      </c>
      <c r="BL46" t="e">
        <f>'Effort Estimation'!S346+"AM:!$P7"</f>
        <v>#VALUE!</v>
      </c>
      <c r="BM46" t="e">
        <f>'Effort Estimation'!T346+"AM:!$P8"</f>
        <v>#VALUE!</v>
      </c>
      <c r="BN46" t="e">
        <f>'Effort Estimation'!A347+"AM:!$P9"</f>
        <v>#VALUE!</v>
      </c>
      <c r="BO46" t="e">
        <f>'Effort Estimation'!B347+"AM:!$P:"</f>
        <v>#VALUE!</v>
      </c>
      <c r="BP46" t="e">
        <f>'Effort Estimation'!C347+"AM:!$P;"</f>
        <v>#VALUE!</v>
      </c>
      <c r="BQ46" t="e">
        <f>'Effort Estimation'!D347+"AM:!$P&lt;"</f>
        <v>#VALUE!</v>
      </c>
      <c r="BR46" t="e">
        <f>'Effort Estimation'!E347+"AM:!$P="</f>
        <v>#VALUE!</v>
      </c>
      <c r="BS46" t="e">
        <f>'Effort Estimation'!F347+"AM:!$P&gt;"</f>
        <v>#VALUE!</v>
      </c>
      <c r="BT46" t="e">
        <f>'Effort Estimation'!G347+"AM:!$P?"</f>
        <v>#VALUE!</v>
      </c>
      <c r="BU46" t="e">
        <f>'Effort Estimation'!H347+"AM:!$P@"</f>
        <v>#VALUE!</v>
      </c>
      <c r="BV46" t="e">
        <f>'Effort Estimation'!I347+"AM:!$PA"</f>
        <v>#VALUE!</v>
      </c>
      <c r="BW46" s="99" t="e">
        <f>'Effort Estimation'!J347+"AM:!$PB"</f>
        <v>#VALUE!</v>
      </c>
      <c r="BX46" s="99" t="e">
        <f>'Effort Estimation'!K347+"AM:!$PC"</f>
        <v>#VALUE!</v>
      </c>
      <c r="BY46" s="99" t="e">
        <f>'Effort Estimation'!L347+"AM:!$PD"</f>
        <v>#VALUE!</v>
      </c>
      <c r="BZ46" s="99" t="e">
        <f>'Effort Estimation'!M347+"AM:!$PE"</f>
        <v>#VALUE!</v>
      </c>
      <c r="CA46" s="99" t="e">
        <f>'Effort Estimation'!N347+"AM:!$PF"</f>
        <v>#VALUE!</v>
      </c>
      <c r="CB46" s="99" t="e">
        <f>'Effort Estimation'!O347+"AM:!$PG"</f>
        <v>#VALUE!</v>
      </c>
      <c r="CC46" s="99" t="e">
        <f>'Effort Estimation'!P347+"AM:!$PH"</f>
        <v>#VALUE!</v>
      </c>
      <c r="CD46" s="99" t="e">
        <f>'Effort Estimation'!Q347+"AM:!$PI"</f>
        <v>#VALUE!</v>
      </c>
      <c r="CE46" t="e">
        <f>'Effort Estimation'!R347+"AM:!$PJ"</f>
        <v>#VALUE!</v>
      </c>
      <c r="CF46" t="e">
        <f>'Effort Estimation'!S347+"AM:!$PK"</f>
        <v>#VALUE!</v>
      </c>
      <c r="CG46" t="e">
        <f>'Effort Estimation'!T347+"AM:!$PL"</f>
        <v>#VALUE!</v>
      </c>
      <c r="CH46" t="e">
        <f>'Effort Estimation'!A348+"AM:!$PM"</f>
        <v>#VALUE!</v>
      </c>
      <c r="CI46" t="e">
        <f>'Effort Estimation'!B348+"AM:!$PN"</f>
        <v>#VALUE!</v>
      </c>
      <c r="CJ46" t="e">
        <f>'Effort Estimation'!C348+"AM:!$PO"</f>
        <v>#VALUE!</v>
      </c>
      <c r="CK46" t="e">
        <f>'Effort Estimation'!D348+"AM:!$PP"</f>
        <v>#VALUE!</v>
      </c>
      <c r="CL46" t="e">
        <f>'Effort Estimation'!E348+"AM:!$PQ"</f>
        <v>#VALUE!</v>
      </c>
      <c r="CM46" t="e">
        <f>'Effort Estimation'!F348+"AM:!$PR"</f>
        <v>#VALUE!</v>
      </c>
      <c r="CN46" t="e">
        <f>'Effort Estimation'!G348+"AM:!$PS"</f>
        <v>#VALUE!</v>
      </c>
      <c r="CO46" t="e">
        <f>'Effort Estimation'!H348+"AM:!$PT"</f>
        <v>#VALUE!</v>
      </c>
      <c r="CP46" t="e">
        <f>'Effort Estimation'!I348+"AM:!$PU"</f>
        <v>#VALUE!</v>
      </c>
      <c r="CQ46" s="99" t="e">
        <f>'Effort Estimation'!J348+"AM:!$PV"</f>
        <v>#VALUE!</v>
      </c>
      <c r="CR46" s="99" t="e">
        <f>'Effort Estimation'!K348+"AM:!$PW"</f>
        <v>#VALUE!</v>
      </c>
      <c r="CS46" s="99" t="e">
        <f>'Effort Estimation'!L348+"AM:!$PX"</f>
        <v>#VALUE!</v>
      </c>
      <c r="CT46" s="99" t="e">
        <f>'Effort Estimation'!M348+"AM:!$PY"</f>
        <v>#VALUE!</v>
      </c>
      <c r="CU46" s="99" t="e">
        <f>'Effort Estimation'!N348+"AM:!$PZ"</f>
        <v>#VALUE!</v>
      </c>
      <c r="CV46" s="99" t="e">
        <f>'Effort Estimation'!O348+"AM:!$P["</f>
        <v>#VALUE!</v>
      </c>
      <c r="CW46" s="99" t="e">
        <f>'Effort Estimation'!P348+"AM:!$P\"</f>
        <v>#VALUE!</v>
      </c>
      <c r="CX46" s="99" t="e">
        <f>'Effort Estimation'!Q348+"AM:!$P]"</f>
        <v>#VALUE!</v>
      </c>
      <c r="CY46" t="e">
        <f>'Effort Estimation'!R348+"AM:!$P^"</f>
        <v>#VALUE!</v>
      </c>
      <c r="CZ46" t="e">
        <f>'Effort Estimation'!S348+"AM:!$P_"</f>
        <v>#VALUE!</v>
      </c>
      <c r="DA46" t="e">
        <f>'Effort Estimation'!T348+"AM:!$P`"</f>
        <v>#VALUE!</v>
      </c>
      <c r="DB46" t="e">
        <f>'Effort Estimation'!A349+"AM:!$Pa"</f>
        <v>#VALUE!</v>
      </c>
      <c r="DC46" t="e">
        <f>'Effort Estimation'!B349+"AM:!$Pb"</f>
        <v>#VALUE!</v>
      </c>
      <c r="DD46" t="e">
        <f>'Effort Estimation'!C349+"AM:!$Pc"</f>
        <v>#VALUE!</v>
      </c>
      <c r="DE46" t="e">
        <f>'Effort Estimation'!D349+"AM:!$Pd"</f>
        <v>#VALUE!</v>
      </c>
      <c r="DF46" t="e">
        <f>'Effort Estimation'!E349+"AM:!$Pe"</f>
        <v>#VALUE!</v>
      </c>
      <c r="DG46" t="e">
        <f>'Effort Estimation'!F349+"AM:!$Pf"</f>
        <v>#VALUE!</v>
      </c>
      <c r="DH46" t="e">
        <f>'Effort Estimation'!G349+"AM:!$Pg"</f>
        <v>#VALUE!</v>
      </c>
      <c r="DI46" t="e">
        <f>'Effort Estimation'!H349+"AM:!$Ph"</f>
        <v>#VALUE!</v>
      </c>
      <c r="DJ46" t="e">
        <f>'Effort Estimation'!I349+"AM:!$Pi"</f>
        <v>#VALUE!</v>
      </c>
      <c r="DK46" s="99" t="e">
        <f>'Effort Estimation'!J349+"AM:!$Pj"</f>
        <v>#VALUE!</v>
      </c>
      <c r="DL46" s="99" t="e">
        <f>'Effort Estimation'!K349+"AM:!$Pk"</f>
        <v>#VALUE!</v>
      </c>
      <c r="DM46" s="99" t="e">
        <f>'Effort Estimation'!L349+"AM:!$Pl"</f>
        <v>#VALUE!</v>
      </c>
      <c r="DN46" s="99" t="e">
        <f>'Effort Estimation'!M349+"AM:!$Pm"</f>
        <v>#VALUE!</v>
      </c>
      <c r="DO46" s="99" t="e">
        <f>'Effort Estimation'!N349+"AM:!$Pn"</f>
        <v>#VALUE!</v>
      </c>
      <c r="DP46" s="99" t="e">
        <f>'Effort Estimation'!O349+"AM:!$Po"</f>
        <v>#VALUE!</v>
      </c>
      <c r="DQ46" s="99" t="e">
        <f>'Effort Estimation'!P349+"AM:!$Pp"</f>
        <v>#VALUE!</v>
      </c>
      <c r="DR46" s="99" t="e">
        <f>'Effort Estimation'!Q349+"AM:!$Pq"</f>
        <v>#VALUE!</v>
      </c>
      <c r="DS46" t="e">
        <f>'Effort Estimation'!R349+"AM:!$Pr"</f>
        <v>#VALUE!</v>
      </c>
      <c r="DT46" t="e">
        <f>'Effort Estimation'!S349+"AM:!$Ps"</f>
        <v>#VALUE!</v>
      </c>
      <c r="DU46" t="e">
        <f>'Effort Estimation'!T349+"AM:!$Pt"</f>
        <v>#VALUE!</v>
      </c>
      <c r="DV46" t="e">
        <f>'Effort Estimation'!A350+"AM:!$Pu"</f>
        <v>#VALUE!</v>
      </c>
      <c r="DW46" t="e">
        <f>'Effort Estimation'!B350+"AM:!$Pv"</f>
        <v>#VALUE!</v>
      </c>
      <c r="DX46" t="e">
        <f>'Effort Estimation'!C350+"AM:!$Pw"</f>
        <v>#VALUE!</v>
      </c>
      <c r="DY46" t="e">
        <f>'Effort Estimation'!D350+"AM:!$Px"</f>
        <v>#VALUE!</v>
      </c>
      <c r="DZ46" t="e">
        <f>'Effort Estimation'!E350+"AM:!$Py"</f>
        <v>#VALUE!</v>
      </c>
      <c r="EA46" t="e">
        <f>'Effort Estimation'!F350+"AM:!$Pz"</f>
        <v>#VALUE!</v>
      </c>
      <c r="EB46" t="e">
        <f>'Effort Estimation'!G350+"AM:!$P{"</f>
        <v>#VALUE!</v>
      </c>
      <c r="EC46" t="e">
        <f>'Effort Estimation'!H350+"AM:!$P|"</f>
        <v>#VALUE!</v>
      </c>
      <c r="ED46" t="e">
        <f>'Effort Estimation'!I350+"AM:!$P}"</f>
        <v>#VALUE!</v>
      </c>
      <c r="EE46" s="99" t="e">
        <f>'Effort Estimation'!J350+"AM:!$P~"</f>
        <v>#VALUE!</v>
      </c>
      <c r="EF46" s="99" t="e">
        <f>'Effort Estimation'!K350+"AM:!$Q#"</f>
        <v>#VALUE!</v>
      </c>
      <c r="EG46" s="99" t="e">
        <f>'Effort Estimation'!L350+"AM:!$Q$"</f>
        <v>#VALUE!</v>
      </c>
      <c r="EH46" s="99" t="e">
        <f>'Effort Estimation'!M350+"AM:!$Q%"</f>
        <v>#VALUE!</v>
      </c>
      <c r="EI46" s="99" t="e">
        <f>'Effort Estimation'!N350+"AM:!$Q&amp;"</f>
        <v>#VALUE!</v>
      </c>
      <c r="EJ46" s="99" t="e">
        <f>'Effort Estimation'!O350+"AM:!$Q'"</f>
        <v>#VALUE!</v>
      </c>
      <c r="EK46" s="99" t="e">
        <f>'Effort Estimation'!P350+"AM:!$Q("</f>
        <v>#VALUE!</v>
      </c>
      <c r="EL46" s="99" t="e">
        <f>'Effort Estimation'!Q350+"AM:!$Q)"</f>
        <v>#VALUE!</v>
      </c>
      <c r="EM46" t="e">
        <f>'Effort Estimation'!R350+"AM:!$Q."</f>
        <v>#VALUE!</v>
      </c>
      <c r="EN46" t="e">
        <f>'Effort Estimation'!S350+"AM:!$Q/"</f>
        <v>#VALUE!</v>
      </c>
      <c r="EO46" t="e">
        <f>'Effort Estimation'!T350+"AM:!$Q0"</f>
        <v>#VALUE!</v>
      </c>
      <c r="EP46" t="e">
        <f>'Effort Estimation'!A351+"AM:!$Q1"</f>
        <v>#VALUE!</v>
      </c>
      <c r="EQ46" t="e">
        <f>'Effort Estimation'!B351+"AM:!$Q2"</f>
        <v>#VALUE!</v>
      </c>
      <c r="ER46" t="e">
        <f>'Effort Estimation'!C351+"AM:!$Q3"</f>
        <v>#VALUE!</v>
      </c>
      <c r="ES46" t="e">
        <f>'Effort Estimation'!D351+"AM:!$Q4"</f>
        <v>#VALUE!</v>
      </c>
      <c r="ET46" t="e">
        <f>'Effort Estimation'!E351+"AM:!$Q5"</f>
        <v>#VALUE!</v>
      </c>
      <c r="EU46" t="e">
        <f>'Effort Estimation'!F351+"AM:!$Q6"</f>
        <v>#VALUE!</v>
      </c>
      <c r="EV46" t="e">
        <f>'Effort Estimation'!G351+"AM:!$Q7"</f>
        <v>#VALUE!</v>
      </c>
      <c r="EW46" t="e">
        <f>'Effort Estimation'!H351+"AM:!$Q8"</f>
        <v>#VALUE!</v>
      </c>
      <c r="EX46" t="e">
        <f>'Effort Estimation'!I351+"AM:!$Q9"</f>
        <v>#VALUE!</v>
      </c>
      <c r="EY46" s="99" t="e">
        <f>'Effort Estimation'!J351+"AM:!$Q:"</f>
        <v>#VALUE!</v>
      </c>
      <c r="EZ46" s="99" t="e">
        <f>'Effort Estimation'!K351+"AM:!$Q;"</f>
        <v>#VALUE!</v>
      </c>
      <c r="FA46" s="99" t="e">
        <f>'Effort Estimation'!L351+"AM:!$Q&lt;"</f>
        <v>#VALUE!</v>
      </c>
      <c r="FB46" s="99" t="e">
        <f>'Effort Estimation'!M351+"AM:!$Q="</f>
        <v>#VALUE!</v>
      </c>
      <c r="FC46" s="99" t="e">
        <f>'Effort Estimation'!N351+"AM:!$Q&gt;"</f>
        <v>#VALUE!</v>
      </c>
      <c r="FD46" s="99" t="e">
        <f>'Effort Estimation'!O351+"AM:!$Q?"</f>
        <v>#VALUE!</v>
      </c>
      <c r="FE46" s="99" t="e">
        <f>'Effort Estimation'!P351+"AM:!$Q@"</f>
        <v>#VALUE!</v>
      </c>
      <c r="FF46" s="99" t="e">
        <f>'Effort Estimation'!Q351+"AM:!$QA"</f>
        <v>#VALUE!</v>
      </c>
      <c r="FG46" t="e">
        <f>'Effort Estimation'!R351+"AM:!$QB"</f>
        <v>#VALUE!</v>
      </c>
      <c r="FH46" t="e">
        <f>'Effort Estimation'!S351+"AM:!$QC"</f>
        <v>#VALUE!</v>
      </c>
      <c r="FI46" t="e">
        <f>'Effort Estimation'!T351+"AM:!$QD"</f>
        <v>#VALUE!</v>
      </c>
      <c r="FJ46" t="e">
        <f>'Effort Estimation'!A352+"AM:!$QE"</f>
        <v>#VALUE!</v>
      </c>
      <c r="FK46" t="e">
        <f>'Effort Estimation'!B352+"AM:!$QF"</f>
        <v>#VALUE!</v>
      </c>
      <c r="FL46" t="e">
        <f>'Effort Estimation'!C352+"AM:!$QG"</f>
        <v>#VALUE!</v>
      </c>
      <c r="FM46" t="e">
        <f>'Effort Estimation'!D352+"AM:!$QH"</f>
        <v>#VALUE!</v>
      </c>
      <c r="FN46" t="e">
        <f>'Effort Estimation'!E352+"AM:!$QI"</f>
        <v>#VALUE!</v>
      </c>
      <c r="FO46" t="e">
        <f>'Effort Estimation'!F352+"AM:!$QJ"</f>
        <v>#VALUE!</v>
      </c>
      <c r="FP46" t="e">
        <f>'Effort Estimation'!G352+"AM:!$QK"</f>
        <v>#VALUE!</v>
      </c>
      <c r="FQ46" t="e">
        <f>'Effort Estimation'!H352+"AM:!$QL"</f>
        <v>#VALUE!</v>
      </c>
      <c r="FR46" t="e">
        <f>'Effort Estimation'!I352+"AM:!$QM"</f>
        <v>#VALUE!</v>
      </c>
      <c r="FS46" s="99" t="e">
        <f>'Effort Estimation'!J352+"AM:!$QN"</f>
        <v>#VALUE!</v>
      </c>
      <c r="FT46" s="99" t="e">
        <f>'Effort Estimation'!K352+"AM:!$QO"</f>
        <v>#VALUE!</v>
      </c>
      <c r="FU46" s="99" t="e">
        <f>'Effort Estimation'!L352+"AM:!$QP"</f>
        <v>#VALUE!</v>
      </c>
      <c r="FV46" s="99" t="e">
        <f>'Effort Estimation'!M352+"AM:!$QQ"</f>
        <v>#VALUE!</v>
      </c>
      <c r="FW46" s="99" t="e">
        <f>'Effort Estimation'!N352+"AM:!$QR"</f>
        <v>#VALUE!</v>
      </c>
      <c r="FX46" s="99" t="e">
        <f>'Effort Estimation'!O352+"AM:!$QS"</f>
        <v>#VALUE!</v>
      </c>
      <c r="FY46" s="99" t="e">
        <f>'Effort Estimation'!P352+"AM:!$QT"</f>
        <v>#VALUE!</v>
      </c>
      <c r="FZ46" s="99" t="e">
        <f>'Effort Estimation'!Q352+"AM:!$QU"</f>
        <v>#VALUE!</v>
      </c>
      <c r="GA46" t="e">
        <f>'Effort Estimation'!R352+"AM:!$QV"</f>
        <v>#VALUE!</v>
      </c>
      <c r="GB46" t="e">
        <f>'Effort Estimation'!S352+"AM:!$QW"</f>
        <v>#VALUE!</v>
      </c>
      <c r="GC46" t="e">
        <f>'Effort Estimation'!T352+"AM:!$QX"</f>
        <v>#VALUE!</v>
      </c>
      <c r="GD46" t="e">
        <f>'Effort Estimation'!A353+"AM:!$QY"</f>
        <v>#VALUE!</v>
      </c>
      <c r="GE46" t="e">
        <f>'Effort Estimation'!B353+"AM:!$QZ"</f>
        <v>#VALUE!</v>
      </c>
      <c r="GF46" t="e">
        <f>'Effort Estimation'!C353+"AM:!$Q["</f>
        <v>#VALUE!</v>
      </c>
      <c r="GG46" t="e">
        <f>'Effort Estimation'!D353+"AM:!$Q\"</f>
        <v>#VALUE!</v>
      </c>
      <c r="GH46" t="e">
        <f>'Effort Estimation'!E353+"AM:!$Q]"</f>
        <v>#VALUE!</v>
      </c>
      <c r="GI46" t="e">
        <f>'Effort Estimation'!F353+"AM:!$Q^"</f>
        <v>#VALUE!</v>
      </c>
      <c r="GJ46" t="e">
        <f>'Effort Estimation'!G353+"AM:!$Q_"</f>
        <v>#VALUE!</v>
      </c>
      <c r="GK46" t="e">
        <f>'Effort Estimation'!H353+"AM:!$Q`"</f>
        <v>#VALUE!</v>
      </c>
      <c r="GL46" t="e">
        <f>'Effort Estimation'!I353+"AM:!$Qa"</f>
        <v>#VALUE!</v>
      </c>
      <c r="GM46" s="99" t="e">
        <f>'Effort Estimation'!J353+"AM:!$Qb"</f>
        <v>#VALUE!</v>
      </c>
      <c r="GN46" s="99" t="e">
        <f>'Effort Estimation'!K353+"AM:!$Qc"</f>
        <v>#VALUE!</v>
      </c>
      <c r="GO46" s="99" t="e">
        <f>'Effort Estimation'!L353+"AM:!$Qd"</f>
        <v>#VALUE!</v>
      </c>
      <c r="GP46" s="99" t="e">
        <f>'Effort Estimation'!M353+"AM:!$Qe"</f>
        <v>#VALUE!</v>
      </c>
      <c r="GQ46" s="99" t="e">
        <f>'Effort Estimation'!N353+"AM:!$Qf"</f>
        <v>#VALUE!</v>
      </c>
      <c r="GR46" s="99" t="e">
        <f>'Effort Estimation'!O353+"AM:!$Qg"</f>
        <v>#VALUE!</v>
      </c>
      <c r="GS46" s="99" t="e">
        <f>'Effort Estimation'!P353+"AM:!$Qh"</f>
        <v>#VALUE!</v>
      </c>
      <c r="GT46" s="99" t="e">
        <f>'Effort Estimation'!Q353+"AM:!$Qi"</f>
        <v>#VALUE!</v>
      </c>
      <c r="GU46" t="e">
        <f>'Effort Estimation'!R353+"AM:!$Qj"</f>
        <v>#VALUE!</v>
      </c>
      <c r="GV46" t="e">
        <f>'Effort Estimation'!S353+"AM:!$Qk"</f>
        <v>#VALUE!</v>
      </c>
      <c r="GW46" t="e">
        <f>'Effort Estimation'!T353+"AM:!$Ql"</f>
        <v>#VALUE!</v>
      </c>
      <c r="GX46" t="e">
        <f>'Effort Estimation'!A354+"AM:!$Qm"</f>
        <v>#VALUE!</v>
      </c>
      <c r="GY46" t="e">
        <f>'Effort Estimation'!B354+"AM:!$Qn"</f>
        <v>#VALUE!</v>
      </c>
      <c r="GZ46" t="e">
        <f>'Effort Estimation'!C354+"AM:!$Qo"</f>
        <v>#VALUE!</v>
      </c>
      <c r="HA46" t="e">
        <f>'Effort Estimation'!D354+"AM:!$Qp"</f>
        <v>#VALUE!</v>
      </c>
      <c r="HB46" t="e">
        <f>'Effort Estimation'!E354+"AM:!$Qq"</f>
        <v>#VALUE!</v>
      </c>
      <c r="HC46" t="e">
        <f>'Effort Estimation'!F354+"AM:!$Qr"</f>
        <v>#VALUE!</v>
      </c>
      <c r="HD46" t="e">
        <f>'Effort Estimation'!G354+"AM:!$Qs"</f>
        <v>#VALUE!</v>
      </c>
      <c r="HE46" t="e">
        <f>'Effort Estimation'!H354+"AM:!$Qt"</f>
        <v>#VALUE!</v>
      </c>
      <c r="HF46" t="e">
        <f>'Effort Estimation'!I354+"AM:!$Qu"</f>
        <v>#VALUE!</v>
      </c>
      <c r="HG46" s="99" t="e">
        <f>'Effort Estimation'!J354+"AM:!$Qv"</f>
        <v>#VALUE!</v>
      </c>
      <c r="HH46" s="99" t="e">
        <f>'Effort Estimation'!K354+"AM:!$Qw"</f>
        <v>#VALUE!</v>
      </c>
      <c r="HI46" s="99" t="e">
        <f>'Effort Estimation'!L354+"AM:!$Qx"</f>
        <v>#VALUE!</v>
      </c>
      <c r="HJ46" s="99" t="e">
        <f>'Effort Estimation'!M354+"AM:!$Qy"</f>
        <v>#VALUE!</v>
      </c>
      <c r="HK46" s="99" t="e">
        <f>'Effort Estimation'!N354+"AM:!$Qz"</f>
        <v>#VALUE!</v>
      </c>
      <c r="HL46" s="99" t="e">
        <f>'Effort Estimation'!O354+"AM:!$Q{"</f>
        <v>#VALUE!</v>
      </c>
      <c r="HM46" s="99" t="e">
        <f>'Effort Estimation'!P354+"AM:!$Q|"</f>
        <v>#VALUE!</v>
      </c>
      <c r="HN46" s="99" t="e">
        <f>'Effort Estimation'!Q354+"AM:!$Q}"</f>
        <v>#VALUE!</v>
      </c>
      <c r="HO46" t="e">
        <f>'Effort Estimation'!R354+"AM:!$Q~"</f>
        <v>#VALUE!</v>
      </c>
      <c r="HP46" t="e">
        <f>'Effort Estimation'!S354+"AM:!$R#"</f>
        <v>#VALUE!</v>
      </c>
      <c r="HQ46" t="e">
        <f>'Effort Estimation'!T354+"AM:!$R$"</f>
        <v>#VALUE!</v>
      </c>
      <c r="HR46" t="e">
        <f>'Effort Estimation'!A355+"AM:!$R%"</f>
        <v>#VALUE!</v>
      </c>
      <c r="HS46" t="e">
        <f>'Effort Estimation'!B355+"AM:!$R&amp;"</f>
        <v>#VALUE!</v>
      </c>
      <c r="HT46" t="e">
        <f>'Effort Estimation'!C355+"AM:!$R'"</f>
        <v>#VALUE!</v>
      </c>
      <c r="HU46" t="e">
        <f>'Effort Estimation'!D355+"AM:!$R("</f>
        <v>#VALUE!</v>
      </c>
      <c r="HV46" t="e">
        <f>'Effort Estimation'!E355+"AM:!$R)"</f>
        <v>#VALUE!</v>
      </c>
      <c r="HW46" t="e">
        <f>'Effort Estimation'!F355+"AM:!$R."</f>
        <v>#VALUE!</v>
      </c>
      <c r="HX46" t="e">
        <f>'Effort Estimation'!G355+"AM:!$R/"</f>
        <v>#VALUE!</v>
      </c>
      <c r="HY46" t="e">
        <f>'Effort Estimation'!H355+"AM:!$R0"</f>
        <v>#VALUE!</v>
      </c>
      <c r="HZ46" t="e">
        <f>'Effort Estimation'!I355+"AM:!$R1"</f>
        <v>#VALUE!</v>
      </c>
      <c r="IA46" s="99" t="e">
        <f>'Effort Estimation'!J355+"AM:!$R2"</f>
        <v>#VALUE!</v>
      </c>
      <c r="IB46" s="99" t="e">
        <f>'Effort Estimation'!K355+"AM:!$R3"</f>
        <v>#VALUE!</v>
      </c>
      <c r="IC46" s="99" t="e">
        <f>'Effort Estimation'!L355+"AM:!$R4"</f>
        <v>#VALUE!</v>
      </c>
      <c r="ID46" s="99" t="e">
        <f>'Effort Estimation'!M355+"AM:!$R5"</f>
        <v>#VALUE!</v>
      </c>
      <c r="IE46" s="99" t="e">
        <f>'Effort Estimation'!N355+"AM:!$R6"</f>
        <v>#VALUE!</v>
      </c>
      <c r="IF46" s="99" t="e">
        <f>'Effort Estimation'!O355+"AM:!$R7"</f>
        <v>#VALUE!</v>
      </c>
      <c r="IG46" s="99" t="e">
        <f>'Effort Estimation'!P355+"AM:!$R8"</f>
        <v>#VALUE!</v>
      </c>
      <c r="IH46" s="99" t="e">
        <f>'Effort Estimation'!Q355+"AM:!$R9"</f>
        <v>#VALUE!</v>
      </c>
      <c r="II46" t="e">
        <f>'Effort Estimation'!R355+"AM:!$R:"</f>
        <v>#VALUE!</v>
      </c>
      <c r="IJ46" t="e">
        <f>'Effort Estimation'!S355+"AM:!$R;"</f>
        <v>#VALUE!</v>
      </c>
      <c r="IK46" t="e">
        <f>'Effort Estimation'!T355+"AM:!$R&lt;"</f>
        <v>#VALUE!</v>
      </c>
      <c r="IL46" t="e">
        <f>'Effort Estimation'!A356+"AM:!$R="</f>
        <v>#VALUE!</v>
      </c>
      <c r="IM46" t="e">
        <f>'Effort Estimation'!B356+"AM:!$R&gt;"</f>
        <v>#VALUE!</v>
      </c>
      <c r="IN46" t="e">
        <f>'Effort Estimation'!C356+"AM:!$R?"</f>
        <v>#VALUE!</v>
      </c>
      <c r="IO46" t="e">
        <f>'Effort Estimation'!D356+"AM:!$R@"</f>
        <v>#VALUE!</v>
      </c>
      <c r="IP46" t="e">
        <f>'Effort Estimation'!E356+"AM:!$RA"</f>
        <v>#VALUE!</v>
      </c>
      <c r="IQ46" t="e">
        <f>'Effort Estimation'!F356+"AM:!$RB"</f>
        <v>#VALUE!</v>
      </c>
      <c r="IR46" t="e">
        <f>'Effort Estimation'!G356+"AM:!$RC"</f>
        <v>#VALUE!</v>
      </c>
      <c r="IS46" t="e">
        <f>'Effort Estimation'!H356+"AM:!$RD"</f>
        <v>#VALUE!</v>
      </c>
      <c r="IT46" t="e">
        <f>'Effort Estimation'!I356+"AM:!$RE"</f>
        <v>#VALUE!</v>
      </c>
      <c r="IU46" s="99" t="e">
        <f>'Effort Estimation'!J356+"AM:!$RF"</f>
        <v>#VALUE!</v>
      </c>
      <c r="IV46" s="99" t="e">
        <f>'Effort Estimation'!K356+"AM:!$RG"</f>
        <v>#VALUE!</v>
      </c>
    </row>
    <row r="47" spans="6:256">
      <c r="F47" s="99" t="e">
        <f>'Effort Estimation'!L356+"AM:!$RH"</f>
        <v>#VALUE!</v>
      </c>
      <c r="G47" s="99" t="e">
        <f>'Effort Estimation'!M356+"AM:!$RI"</f>
        <v>#VALUE!</v>
      </c>
      <c r="H47" s="99" t="e">
        <f>'Effort Estimation'!N356+"AM:!$RJ"</f>
        <v>#VALUE!</v>
      </c>
      <c r="I47" s="99" t="e">
        <f>'Effort Estimation'!O356+"AM:!$RK"</f>
        <v>#VALUE!</v>
      </c>
      <c r="J47" s="99" t="e">
        <f>'Effort Estimation'!P356+"AM:!$RL"</f>
        <v>#VALUE!</v>
      </c>
      <c r="K47" s="99" t="e">
        <f>'Effort Estimation'!Q356+"AM:!$RM"</f>
        <v>#VALUE!</v>
      </c>
      <c r="L47" t="e">
        <f>'Effort Estimation'!R356+"AM:!$RN"</f>
        <v>#VALUE!</v>
      </c>
      <c r="M47" t="e">
        <f>'Effort Estimation'!S356+"AM:!$RO"</f>
        <v>#VALUE!</v>
      </c>
      <c r="N47" t="e">
        <f>'Effort Estimation'!T356+"AM:!$RP"</f>
        <v>#VALUE!</v>
      </c>
      <c r="O47" t="e">
        <f>'Effort Estimation'!A357+"AM:!$RQ"</f>
        <v>#VALUE!</v>
      </c>
      <c r="P47" t="e">
        <f>'Effort Estimation'!B357+"AM:!$RR"</f>
        <v>#VALUE!</v>
      </c>
      <c r="Q47" t="e">
        <f>'Effort Estimation'!C357+"AM:!$RS"</f>
        <v>#VALUE!</v>
      </c>
      <c r="R47" t="e">
        <f>'Effort Estimation'!D357+"AM:!$RT"</f>
        <v>#VALUE!</v>
      </c>
      <c r="S47" t="e">
        <f>'Effort Estimation'!E357+"AM:!$RU"</f>
        <v>#VALUE!</v>
      </c>
      <c r="T47" t="e">
        <f>'Effort Estimation'!F357+"AM:!$RV"</f>
        <v>#VALUE!</v>
      </c>
      <c r="U47" t="e">
        <f>'Effort Estimation'!G357+"AM:!$RW"</f>
        <v>#VALUE!</v>
      </c>
      <c r="V47" t="e">
        <f>'Effort Estimation'!H357+"AM:!$RX"</f>
        <v>#VALUE!</v>
      </c>
      <c r="W47" t="e">
        <f>'Effort Estimation'!I357+"AM:!$RY"</f>
        <v>#VALUE!</v>
      </c>
      <c r="X47" s="99" t="e">
        <f>'Effort Estimation'!J357+"AM:!$RZ"</f>
        <v>#VALUE!</v>
      </c>
      <c r="Y47" s="99" t="e">
        <f>'Effort Estimation'!K357+"AM:!$R["</f>
        <v>#VALUE!</v>
      </c>
      <c r="Z47" s="99" t="e">
        <f>'Effort Estimation'!L357+"AM:!$R\"</f>
        <v>#VALUE!</v>
      </c>
      <c r="AA47" s="99" t="e">
        <f>'Effort Estimation'!M357+"AM:!$R]"</f>
        <v>#VALUE!</v>
      </c>
      <c r="AB47" s="99" t="e">
        <f>'Effort Estimation'!N357+"AM:!$R^"</f>
        <v>#VALUE!</v>
      </c>
      <c r="AC47" s="99" t="e">
        <f>'Effort Estimation'!O357+"AM:!$R_"</f>
        <v>#VALUE!</v>
      </c>
      <c r="AD47" s="99" t="e">
        <f>'Effort Estimation'!P357+"AM:!$R`"</f>
        <v>#VALUE!</v>
      </c>
      <c r="AE47" s="99" t="e">
        <f>'Effort Estimation'!Q357+"AM:!$Ra"</f>
        <v>#VALUE!</v>
      </c>
      <c r="AF47" t="e">
        <f>'Effort Estimation'!R357+"AM:!$Rb"</f>
        <v>#VALUE!</v>
      </c>
      <c r="AG47" t="e">
        <f>'Effort Estimation'!S357+"AM:!$Rc"</f>
        <v>#VALUE!</v>
      </c>
      <c r="AH47" t="e">
        <f>'Effort Estimation'!T357+"AM:!$Rd"</f>
        <v>#VALUE!</v>
      </c>
      <c r="AI47" t="e">
        <f>'Effort Estimation'!A358+"AM:!$Re"</f>
        <v>#VALUE!</v>
      </c>
      <c r="AJ47" t="e">
        <f>'Effort Estimation'!B358+"AM:!$Rf"</f>
        <v>#VALUE!</v>
      </c>
      <c r="AK47" t="e">
        <f>'Effort Estimation'!C358+"AM:!$Rg"</f>
        <v>#VALUE!</v>
      </c>
      <c r="AL47" t="e">
        <f>'Effort Estimation'!D358+"AM:!$Rh"</f>
        <v>#VALUE!</v>
      </c>
      <c r="AM47" t="e">
        <f>'Effort Estimation'!E358+"AM:!$Ri"</f>
        <v>#VALUE!</v>
      </c>
      <c r="AN47" t="e">
        <f>'Effort Estimation'!F358+"AM:!$Rj"</f>
        <v>#VALUE!</v>
      </c>
      <c r="AO47" t="e">
        <f>'Effort Estimation'!G358+"AM:!$Rk"</f>
        <v>#VALUE!</v>
      </c>
      <c r="AP47" t="e">
        <f>'Effort Estimation'!H358+"AM:!$Rl"</f>
        <v>#VALUE!</v>
      </c>
      <c r="AQ47" t="e">
        <f>'Effort Estimation'!I358+"AM:!$Rm"</f>
        <v>#VALUE!</v>
      </c>
      <c r="AR47" s="99" t="e">
        <f>'Effort Estimation'!J358+"AM:!$Rn"</f>
        <v>#VALUE!</v>
      </c>
      <c r="AS47" s="99" t="e">
        <f>'Effort Estimation'!K358+"AM:!$Ro"</f>
        <v>#VALUE!</v>
      </c>
      <c r="AT47" s="99" t="e">
        <f>'Effort Estimation'!L358+"AM:!$Rp"</f>
        <v>#VALUE!</v>
      </c>
      <c r="AU47" s="99" t="e">
        <f>'Effort Estimation'!M358+"AM:!$Rq"</f>
        <v>#VALUE!</v>
      </c>
      <c r="AV47" s="99" t="e">
        <f>'Effort Estimation'!N358+"AM:!$Rr"</f>
        <v>#VALUE!</v>
      </c>
      <c r="AW47" s="99" t="e">
        <f>'Effort Estimation'!O358+"AM:!$Rs"</f>
        <v>#VALUE!</v>
      </c>
      <c r="AX47" s="99" t="e">
        <f>'Effort Estimation'!P358+"AM:!$Rt"</f>
        <v>#VALUE!</v>
      </c>
      <c r="AY47" s="99" t="e">
        <f>'Effort Estimation'!Q358+"AM:!$Ru"</f>
        <v>#VALUE!</v>
      </c>
      <c r="AZ47" t="e">
        <f>'Effort Estimation'!R358+"AM:!$Rv"</f>
        <v>#VALUE!</v>
      </c>
      <c r="BA47" t="e">
        <f>'Effort Estimation'!S358+"AM:!$Rw"</f>
        <v>#VALUE!</v>
      </c>
      <c r="BB47" t="e">
        <f>'Effort Estimation'!T358+"AM:!$Rx"</f>
        <v>#VALUE!</v>
      </c>
      <c r="BC47" t="e">
        <f>'Effort Estimation'!A359+"AM:!$Ry"</f>
        <v>#VALUE!</v>
      </c>
      <c r="BD47" t="e">
        <f>'Effort Estimation'!B359+"AM:!$Rz"</f>
        <v>#VALUE!</v>
      </c>
      <c r="BE47" t="e">
        <f>'Effort Estimation'!C359+"AM:!$R{"</f>
        <v>#VALUE!</v>
      </c>
      <c r="BF47" t="e">
        <f>'Effort Estimation'!D359+"AM:!$R|"</f>
        <v>#VALUE!</v>
      </c>
      <c r="BG47" t="e">
        <f>'Effort Estimation'!E359+"AM:!$R}"</f>
        <v>#VALUE!</v>
      </c>
      <c r="BH47" t="e">
        <f>'Effort Estimation'!F359+"AM:!$R~"</f>
        <v>#VALUE!</v>
      </c>
      <c r="BI47" t="e">
        <f>'Effort Estimation'!G359+"AM:!$S#"</f>
        <v>#VALUE!</v>
      </c>
      <c r="BJ47" t="e">
        <f>'Effort Estimation'!H359+"AM:!$S$"</f>
        <v>#VALUE!</v>
      </c>
      <c r="BK47" t="e">
        <f>'Effort Estimation'!I359+"AM:!$S%"</f>
        <v>#VALUE!</v>
      </c>
      <c r="BL47" s="99" t="e">
        <f>'Effort Estimation'!J359+"AM:!$S&amp;"</f>
        <v>#VALUE!</v>
      </c>
      <c r="BM47" s="99" t="e">
        <f>'Effort Estimation'!K359+"AM:!$S'"</f>
        <v>#VALUE!</v>
      </c>
      <c r="BN47" s="99" t="e">
        <f>'Effort Estimation'!L359+"AM:!$S("</f>
        <v>#VALUE!</v>
      </c>
      <c r="BO47" s="99" t="e">
        <f>'Effort Estimation'!M359+"AM:!$S)"</f>
        <v>#VALUE!</v>
      </c>
      <c r="BP47" s="99" t="e">
        <f>'Effort Estimation'!N359+"AM:!$S."</f>
        <v>#VALUE!</v>
      </c>
      <c r="BQ47" s="99" t="e">
        <f>'Effort Estimation'!O359+"AM:!$S/"</f>
        <v>#VALUE!</v>
      </c>
      <c r="BR47" s="99" t="e">
        <f>'Effort Estimation'!P359+"AM:!$S0"</f>
        <v>#VALUE!</v>
      </c>
      <c r="BS47" s="99" t="e">
        <f>'Effort Estimation'!Q359+"AM:!$S1"</f>
        <v>#VALUE!</v>
      </c>
      <c r="BT47" t="e">
        <f>'Effort Estimation'!R359+"AM:!$S2"</f>
        <v>#VALUE!</v>
      </c>
      <c r="BU47" t="e">
        <f>'Effort Estimation'!S359+"AM:!$S3"</f>
        <v>#VALUE!</v>
      </c>
      <c r="BV47" t="e">
        <f>'Effort Estimation'!T359+"AM:!$S4"</f>
        <v>#VALUE!</v>
      </c>
      <c r="BW47" t="e">
        <f>'Effort Estimation'!A360+"AM:!$S5"</f>
        <v>#VALUE!</v>
      </c>
      <c r="BX47" t="e">
        <f>'Effort Estimation'!B360+"AM:!$S6"</f>
        <v>#VALUE!</v>
      </c>
      <c r="BY47" t="e">
        <f>'Effort Estimation'!C360+"AM:!$S7"</f>
        <v>#VALUE!</v>
      </c>
      <c r="BZ47" t="e">
        <f>'Effort Estimation'!D360+"AM:!$S8"</f>
        <v>#VALUE!</v>
      </c>
      <c r="CA47" t="e">
        <f>'Effort Estimation'!E360+"AM:!$S9"</f>
        <v>#VALUE!</v>
      </c>
      <c r="CB47" t="e">
        <f>'Effort Estimation'!F360+"AM:!$S:"</f>
        <v>#VALUE!</v>
      </c>
      <c r="CC47" t="e">
        <f>'Effort Estimation'!G360+"AM:!$S;"</f>
        <v>#VALUE!</v>
      </c>
      <c r="CD47" t="e">
        <f>'Effort Estimation'!H360+"AM:!$S&lt;"</f>
        <v>#VALUE!</v>
      </c>
      <c r="CE47" t="e">
        <f>'Effort Estimation'!I360+"AM:!$S="</f>
        <v>#VALUE!</v>
      </c>
      <c r="CF47" s="99" t="e">
        <f>'Effort Estimation'!J360+"AM:!$S&gt;"</f>
        <v>#VALUE!</v>
      </c>
      <c r="CG47" s="99" t="e">
        <f>'Effort Estimation'!K360+"AM:!$S?"</f>
        <v>#VALUE!</v>
      </c>
      <c r="CH47" s="99" t="e">
        <f>'Effort Estimation'!L360+"AM:!$S@"</f>
        <v>#VALUE!</v>
      </c>
      <c r="CI47" s="99" t="e">
        <f>'Effort Estimation'!M360+"AM:!$SA"</f>
        <v>#VALUE!</v>
      </c>
      <c r="CJ47" s="99" t="e">
        <f>'Effort Estimation'!N360+"AM:!$SB"</f>
        <v>#VALUE!</v>
      </c>
      <c r="CK47" s="99" t="e">
        <f>'Effort Estimation'!O360+"AM:!$SC"</f>
        <v>#VALUE!</v>
      </c>
      <c r="CL47" s="99" t="e">
        <f>'Effort Estimation'!P360+"AM:!$SD"</f>
        <v>#VALUE!</v>
      </c>
      <c r="CM47" s="99" t="e">
        <f>'Effort Estimation'!Q360+"AM:!$SE"</f>
        <v>#VALUE!</v>
      </c>
      <c r="CN47" t="e">
        <f>'Effort Estimation'!R360+"AM:!$SF"</f>
        <v>#VALUE!</v>
      </c>
      <c r="CO47" t="e">
        <f>'Effort Estimation'!S360+"AM:!$SG"</f>
        <v>#VALUE!</v>
      </c>
      <c r="CP47" t="e">
        <f>'Effort Estimation'!T360+"AM:!$SH"</f>
        <v>#VALUE!</v>
      </c>
      <c r="CQ47" t="e">
        <f>'Effort Estimation'!A361+"AM:!$SI"</f>
        <v>#VALUE!</v>
      </c>
      <c r="CR47" t="e">
        <f>'Effort Estimation'!B361+"AM:!$SJ"</f>
        <v>#VALUE!</v>
      </c>
      <c r="CS47" t="e">
        <f>'Effort Estimation'!C361+"AM:!$SK"</f>
        <v>#VALUE!</v>
      </c>
      <c r="CT47" t="e">
        <f>'Effort Estimation'!D361+"AM:!$SL"</f>
        <v>#VALUE!</v>
      </c>
      <c r="CU47" t="e">
        <f>'Effort Estimation'!E361+"AM:!$SM"</f>
        <v>#VALUE!</v>
      </c>
      <c r="CV47" t="e">
        <f>'Effort Estimation'!F361+"AM:!$SN"</f>
        <v>#VALUE!</v>
      </c>
      <c r="CW47" t="e">
        <f>'Effort Estimation'!G361+"AM:!$SO"</f>
        <v>#VALUE!</v>
      </c>
      <c r="CX47" t="e">
        <f>'Effort Estimation'!H361+"AM:!$SP"</f>
        <v>#VALUE!</v>
      </c>
      <c r="CY47" t="e">
        <f>'Effort Estimation'!I361+"AM:!$SQ"</f>
        <v>#VALUE!</v>
      </c>
      <c r="CZ47" s="99" t="e">
        <f>'Effort Estimation'!J361+"AM:!$SR"</f>
        <v>#VALUE!</v>
      </c>
      <c r="DA47" s="99" t="e">
        <f>'Effort Estimation'!K361+"AM:!$SS"</f>
        <v>#VALUE!</v>
      </c>
      <c r="DB47" s="99" t="e">
        <f>'Effort Estimation'!L361+"AM:!$ST"</f>
        <v>#VALUE!</v>
      </c>
      <c r="DC47" s="99" t="e">
        <f>'Effort Estimation'!M361+"AM:!$SU"</f>
        <v>#VALUE!</v>
      </c>
      <c r="DD47" s="99" t="e">
        <f>'Effort Estimation'!N361+"AM:!$SV"</f>
        <v>#VALUE!</v>
      </c>
      <c r="DE47" s="99" t="e">
        <f>'Effort Estimation'!O361+"AM:!$SW"</f>
        <v>#VALUE!</v>
      </c>
      <c r="DF47" s="99" t="e">
        <f>'Effort Estimation'!P361+"AM:!$SX"</f>
        <v>#VALUE!</v>
      </c>
      <c r="DG47" s="99" t="e">
        <f>'Effort Estimation'!Q361+"AM:!$SY"</f>
        <v>#VALUE!</v>
      </c>
      <c r="DH47" t="e">
        <f>'Effort Estimation'!R361+"AM:!$SZ"</f>
        <v>#VALUE!</v>
      </c>
      <c r="DI47" t="e">
        <f>'Effort Estimation'!S361+"AM:!$S["</f>
        <v>#VALUE!</v>
      </c>
      <c r="DJ47" t="e">
        <f>'Effort Estimation'!T361+"AM:!$S\"</f>
        <v>#VALUE!</v>
      </c>
      <c r="DK47" t="e">
        <f>'Effort Estimation'!A362+"AM:!$S]"</f>
        <v>#VALUE!</v>
      </c>
      <c r="DL47" t="e">
        <f>'Effort Estimation'!B362+"AM:!$S^"</f>
        <v>#VALUE!</v>
      </c>
      <c r="DM47" t="e">
        <f>'Effort Estimation'!C362+"AM:!$S_"</f>
        <v>#VALUE!</v>
      </c>
      <c r="DN47" t="e">
        <f>'Effort Estimation'!D362+"AM:!$S`"</f>
        <v>#VALUE!</v>
      </c>
      <c r="DO47" t="e">
        <f>'Effort Estimation'!E362+"AM:!$Sa"</f>
        <v>#VALUE!</v>
      </c>
      <c r="DP47" t="e">
        <f>'Effort Estimation'!F362+"AM:!$Sb"</f>
        <v>#VALUE!</v>
      </c>
      <c r="DQ47" t="e">
        <f>'Effort Estimation'!G362+"AM:!$Sc"</f>
        <v>#VALUE!</v>
      </c>
      <c r="DR47" t="e">
        <f>'Effort Estimation'!H362+"AM:!$Sd"</f>
        <v>#VALUE!</v>
      </c>
      <c r="DS47" t="e">
        <f>'Effort Estimation'!I362+"AM:!$Se"</f>
        <v>#VALUE!</v>
      </c>
      <c r="DT47" s="99" t="e">
        <f>'Effort Estimation'!J362+"AM:!$Sf"</f>
        <v>#VALUE!</v>
      </c>
      <c r="DU47" s="99" t="e">
        <f>'Effort Estimation'!K362+"AM:!$Sg"</f>
        <v>#VALUE!</v>
      </c>
      <c r="DV47" s="99" t="e">
        <f>'Effort Estimation'!L362+"AM:!$Sh"</f>
        <v>#VALUE!</v>
      </c>
      <c r="DW47" s="99" t="e">
        <f>'Effort Estimation'!M362+"AM:!$Si"</f>
        <v>#VALUE!</v>
      </c>
      <c r="DX47" s="99" t="e">
        <f>'Effort Estimation'!N362+"AM:!$Sj"</f>
        <v>#VALUE!</v>
      </c>
      <c r="DY47" s="99" t="e">
        <f>'Effort Estimation'!O362+"AM:!$Sk"</f>
        <v>#VALUE!</v>
      </c>
      <c r="DZ47" s="99" t="e">
        <f>'Effort Estimation'!P362+"AM:!$Sl"</f>
        <v>#VALUE!</v>
      </c>
      <c r="EA47" s="99" t="e">
        <f>'Effort Estimation'!Q362+"AM:!$Sm"</f>
        <v>#VALUE!</v>
      </c>
      <c r="EB47" t="e">
        <f>'Effort Estimation'!R362+"AM:!$Sn"</f>
        <v>#VALUE!</v>
      </c>
      <c r="EC47" t="e">
        <f>'Effort Estimation'!S362+"AM:!$So"</f>
        <v>#VALUE!</v>
      </c>
      <c r="ED47" t="e">
        <f>'Effort Estimation'!T362+"AM:!$Sp"</f>
        <v>#VALUE!</v>
      </c>
      <c r="EE47" t="e">
        <f>'Effort Estimation'!A363+"AM:!$Sq"</f>
        <v>#VALUE!</v>
      </c>
      <c r="EF47" t="e">
        <f>'Effort Estimation'!B363+"AM:!$Sr"</f>
        <v>#VALUE!</v>
      </c>
      <c r="EG47" t="e">
        <f>'Effort Estimation'!C363+"AM:!$Ss"</f>
        <v>#VALUE!</v>
      </c>
      <c r="EH47" t="e">
        <f>'Effort Estimation'!D363+"AM:!$St"</f>
        <v>#VALUE!</v>
      </c>
      <c r="EI47" t="e">
        <f>'Effort Estimation'!E363+"AM:!$Su"</f>
        <v>#VALUE!</v>
      </c>
      <c r="EJ47" t="e">
        <f>'Effort Estimation'!F363+"AM:!$Sv"</f>
        <v>#VALUE!</v>
      </c>
      <c r="EK47" t="e">
        <f>'Effort Estimation'!G363+"AM:!$Sw"</f>
        <v>#VALUE!</v>
      </c>
      <c r="EL47" t="e">
        <f>'Effort Estimation'!H363+"AM:!$Sx"</f>
        <v>#VALUE!</v>
      </c>
      <c r="EM47" t="e">
        <f>'Effort Estimation'!I363+"AM:!$Sy"</f>
        <v>#VALUE!</v>
      </c>
      <c r="EN47" s="99" t="e">
        <f>'Effort Estimation'!J363+"AM:!$Sz"</f>
        <v>#VALUE!</v>
      </c>
      <c r="EO47" s="99" t="e">
        <f>'Effort Estimation'!K363+"AM:!$S{"</f>
        <v>#VALUE!</v>
      </c>
      <c r="EP47" s="99" t="e">
        <f>'Effort Estimation'!L363+"AM:!$S|"</f>
        <v>#VALUE!</v>
      </c>
      <c r="EQ47" s="99" t="e">
        <f>'Effort Estimation'!M363+"AM:!$S}"</f>
        <v>#VALUE!</v>
      </c>
      <c r="ER47" s="99" t="e">
        <f>'Effort Estimation'!N363+"AM:!$S~"</f>
        <v>#VALUE!</v>
      </c>
      <c r="ES47" s="99" t="e">
        <f>'Effort Estimation'!O363+"AM:!$T#"</f>
        <v>#VALUE!</v>
      </c>
      <c r="ET47" s="99" t="e">
        <f>'Effort Estimation'!P363+"AM:!$T$"</f>
        <v>#VALUE!</v>
      </c>
      <c r="EU47" s="99" t="e">
        <f>'Effort Estimation'!Q363+"AM:!$T%"</f>
        <v>#VALUE!</v>
      </c>
      <c r="EV47" t="e">
        <f>'Effort Estimation'!R363+"AM:!$T&amp;"</f>
        <v>#VALUE!</v>
      </c>
      <c r="EW47" t="e">
        <f>'Effort Estimation'!S363+"AM:!$T'"</f>
        <v>#VALUE!</v>
      </c>
      <c r="EX47" t="e">
        <f>'Effort Estimation'!T363+"AM:!$T("</f>
        <v>#VALUE!</v>
      </c>
      <c r="EY47" t="e">
        <f>'Effort Estimation'!A364+"AM:!$T)"</f>
        <v>#VALUE!</v>
      </c>
      <c r="EZ47" t="e">
        <f>'Effort Estimation'!B364+"AM:!$T."</f>
        <v>#VALUE!</v>
      </c>
      <c r="FA47" t="e">
        <f>'Effort Estimation'!C364+"AM:!$T/"</f>
        <v>#VALUE!</v>
      </c>
      <c r="FB47" t="e">
        <f>'Effort Estimation'!D364+"AM:!$T0"</f>
        <v>#VALUE!</v>
      </c>
      <c r="FC47" t="e">
        <f>'Effort Estimation'!E364+"AM:!$T1"</f>
        <v>#VALUE!</v>
      </c>
      <c r="FD47" t="e">
        <f>'Effort Estimation'!F364+"AM:!$T2"</f>
        <v>#VALUE!</v>
      </c>
      <c r="FE47" t="e">
        <f>'Effort Estimation'!G364+"AM:!$T3"</f>
        <v>#VALUE!</v>
      </c>
      <c r="FF47" t="e">
        <f>'Effort Estimation'!H364+"AM:!$T4"</f>
        <v>#VALUE!</v>
      </c>
      <c r="FG47" t="e">
        <f>'Effort Estimation'!I364+"AM:!$T5"</f>
        <v>#VALUE!</v>
      </c>
      <c r="FH47" s="99" t="e">
        <f>'Effort Estimation'!J364+"AM:!$T6"</f>
        <v>#VALUE!</v>
      </c>
      <c r="FI47" s="99" t="e">
        <f>'Effort Estimation'!K364+"AM:!$T7"</f>
        <v>#VALUE!</v>
      </c>
      <c r="FJ47" s="99" t="e">
        <f>'Effort Estimation'!L364+"AM:!$T8"</f>
        <v>#VALUE!</v>
      </c>
      <c r="FK47" s="99" t="e">
        <f>'Effort Estimation'!M364+"AM:!$T9"</f>
        <v>#VALUE!</v>
      </c>
      <c r="FL47" s="99" t="e">
        <f>'Effort Estimation'!N364+"AM:!$T:"</f>
        <v>#VALUE!</v>
      </c>
      <c r="FM47" s="99" t="e">
        <f>'Effort Estimation'!O364+"AM:!$T;"</f>
        <v>#VALUE!</v>
      </c>
      <c r="FN47" s="99" t="e">
        <f>'Effort Estimation'!P364+"AM:!$T&lt;"</f>
        <v>#VALUE!</v>
      </c>
      <c r="FO47" s="99" t="e">
        <f>'Effort Estimation'!Q364+"AM:!$T="</f>
        <v>#VALUE!</v>
      </c>
      <c r="FP47" t="e">
        <f>'Effort Estimation'!R364+"AM:!$T&gt;"</f>
        <v>#VALUE!</v>
      </c>
      <c r="FQ47" t="e">
        <f>'Effort Estimation'!S364+"AM:!$T?"</f>
        <v>#VALUE!</v>
      </c>
      <c r="FR47" t="e">
        <f>'Effort Estimation'!T364+"AM:!$T@"</f>
        <v>#VALUE!</v>
      </c>
      <c r="FS47" t="e">
        <f>'Effort Estimation'!A365+"AM:!$TA"</f>
        <v>#VALUE!</v>
      </c>
      <c r="FT47" t="e">
        <f>'Effort Estimation'!B365+"AM:!$TB"</f>
        <v>#VALUE!</v>
      </c>
      <c r="FU47" t="e">
        <f>'Effort Estimation'!C365+"AM:!$TC"</f>
        <v>#VALUE!</v>
      </c>
      <c r="FV47" t="e">
        <f>'Effort Estimation'!D365+"AM:!$TD"</f>
        <v>#VALUE!</v>
      </c>
      <c r="FW47" t="e">
        <f>'Effort Estimation'!E365+"AM:!$TE"</f>
        <v>#VALUE!</v>
      </c>
      <c r="FX47" t="e">
        <f>'Effort Estimation'!F365+"AM:!$TF"</f>
        <v>#VALUE!</v>
      </c>
      <c r="FY47" t="e">
        <f>'Effort Estimation'!G365+"AM:!$TG"</f>
        <v>#VALUE!</v>
      </c>
      <c r="FZ47" t="e">
        <f>'Effort Estimation'!H365+"AM:!$TH"</f>
        <v>#VALUE!</v>
      </c>
      <c r="GA47" t="e">
        <f>'Effort Estimation'!I365+"AM:!$TI"</f>
        <v>#VALUE!</v>
      </c>
      <c r="GB47" s="99" t="e">
        <f>'Effort Estimation'!J365+"AM:!$TJ"</f>
        <v>#VALUE!</v>
      </c>
      <c r="GC47" s="99" t="e">
        <f>'Effort Estimation'!K365+"AM:!$TK"</f>
        <v>#VALUE!</v>
      </c>
      <c r="GD47" s="99" t="e">
        <f>'Effort Estimation'!L365+"AM:!$TL"</f>
        <v>#VALUE!</v>
      </c>
      <c r="GE47" s="99" t="e">
        <f>'Effort Estimation'!M365+"AM:!$TM"</f>
        <v>#VALUE!</v>
      </c>
      <c r="GF47" s="99" t="e">
        <f>'Effort Estimation'!N365+"AM:!$TN"</f>
        <v>#VALUE!</v>
      </c>
      <c r="GG47" s="99" t="e">
        <f>'Effort Estimation'!O365+"AM:!$TO"</f>
        <v>#VALUE!</v>
      </c>
      <c r="GH47" s="99" t="e">
        <f>'Effort Estimation'!P365+"AM:!$TP"</f>
        <v>#VALUE!</v>
      </c>
      <c r="GI47" s="99" t="e">
        <f>'Effort Estimation'!Q365+"AM:!$TQ"</f>
        <v>#VALUE!</v>
      </c>
      <c r="GJ47" t="e">
        <f>'Effort Estimation'!R365+"AM:!$TR"</f>
        <v>#VALUE!</v>
      </c>
      <c r="GK47" t="e">
        <f>'Effort Estimation'!S365+"AM:!$TS"</f>
        <v>#VALUE!</v>
      </c>
      <c r="GL47" t="e">
        <f>'Effort Estimation'!T365+"AM:!$TT"</f>
        <v>#VALUE!</v>
      </c>
      <c r="GM47" t="e">
        <f>'Effort Estimation'!A366+"AM:!$TU"</f>
        <v>#VALUE!</v>
      </c>
      <c r="GN47" t="e">
        <f>'Effort Estimation'!B366+"AM:!$TV"</f>
        <v>#VALUE!</v>
      </c>
      <c r="GO47" t="e">
        <f>'Effort Estimation'!C366+"AM:!$TW"</f>
        <v>#VALUE!</v>
      </c>
      <c r="GP47" t="e">
        <f>'Effort Estimation'!D366+"AM:!$TX"</f>
        <v>#VALUE!</v>
      </c>
      <c r="GQ47" t="e">
        <f>'Effort Estimation'!E366+"AM:!$TY"</f>
        <v>#VALUE!</v>
      </c>
      <c r="GR47" t="e">
        <f>'Effort Estimation'!F366+"AM:!$TZ"</f>
        <v>#VALUE!</v>
      </c>
      <c r="GS47" t="e">
        <f>'Effort Estimation'!G366+"AM:!$T["</f>
        <v>#VALUE!</v>
      </c>
      <c r="GT47" t="e">
        <f>'Effort Estimation'!H366+"AM:!$T\"</f>
        <v>#VALUE!</v>
      </c>
      <c r="GU47" t="e">
        <f>'Effort Estimation'!I366+"AM:!$T]"</f>
        <v>#VALUE!</v>
      </c>
      <c r="GV47" s="99" t="e">
        <f>'Effort Estimation'!J366+"AM:!$T^"</f>
        <v>#VALUE!</v>
      </c>
      <c r="GW47" s="99" t="e">
        <f>'Effort Estimation'!K366+"AM:!$T_"</f>
        <v>#VALUE!</v>
      </c>
      <c r="GX47" s="99" t="e">
        <f>'Effort Estimation'!L366+"AM:!$T`"</f>
        <v>#VALUE!</v>
      </c>
      <c r="GY47" s="99" t="e">
        <f>'Effort Estimation'!M366+"AM:!$Ta"</f>
        <v>#VALUE!</v>
      </c>
      <c r="GZ47" s="99" t="e">
        <f>'Effort Estimation'!N366+"AM:!$Tb"</f>
        <v>#VALUE!</v>
      </c>
      <c r="HA47" s="99" t="e">
        <f>'Effort Estimation'!O366+"AM:!$Tc"</f>
        <v>#VALUE!</v>
      </c>
      <c r="HB47" s="99" t="e">
        <f>'Effort Estimation'!P366+"AM:!$Td"</f>
        <v>#VALUE!</v>
      </c>
      <c r="HC47" s="99" t="e">
        <f>'Effort Estimation'!Q366+"AM:!$Te"</f>
        <v>#VALUE!</v>
      </c>
      <c r="HD47" t="e">
        <f>'Effort Estimation'!R366+"AM:!$Tf"</f>
        <v>#VALUE!</v>
      </c>
      <c r="HE47" t="e">
        <f>'Effort Estimation'!S366+"AM:!$Tg"</f>
        <v>#VALUE!</v>
      </c>
      <c r="HF47" t="e">
        <f>'Effort Estimation'!T366+"AM:!$Th"</f>
        <v>#VALUE!</v>
      </c>
      <c r="HG47" t="e">
        <f>'Effort Estimation'!A367+"AM:!$Ti"</f>
        <v>#VALUE!</v>
      </c>
      <c r="HH47" t="e">
        <f>'Effort Estimation'!B367+"AM:!$Tj"</f>
        <v>#VALUE!</v>
      </c>
      <c r="HI47" t="e">
        <f>'Effort Estimation'!C367+"AM:!$Tk"</f>
        <v>#VALUE!</v>
      </c>
      <c r="HJ47" t="e">
        <f>'Effort Estimation'!D367+"AM:!$Tl"</f>
        <v>#VALUE!</v>
      </c>
      <c r="HK47" t="e">
        <f>'Effort Estimation'!E367+"AM:!$Tm"</f>
        <v>#VALUE!</v>
      </c>
      <c r="HL47" t="e">
        <f>'Effort Estimation'!F367+"AM:!$Tn"</f>
        <v>#VALUE!</v>
      </c>
      <c r="HM47" t="e">
        <f>'Effort Estimation'!G367+"AM:!$To"</f>
        <v>#VALUE!</v>
      </c>
      <c r="HN47" t="e">
        <f>'Effort Estimation'!H367+"AM:!$Tp"</f>
        <v>#VALUE!</v>
      </c>
      <c r="HO47" t="e">
        <f>'Effort Estimation'!I367+"AM:!$Tq"</f>
        <v>#VALUE!</v>
      </c>
      <c r="HP47" s="99" t="e">
        <f>'Effort Estimation'!J367+"AM:!$Tr"</f>
        <v>#VALUE!</v>
      </c>
      <c r="HQ47" s="99" t="e">
        <f>'Effort Estimation'!K367+"AM:!$Ts"</f>
        <v>#VALUE!</v>
      </c>
      <c r="HR47" s="99" t="e">
        <f>'Effort Estimation'!L367+"AM:!$Tt"</f>
        <v>#VALUE!</v>
      </c>
      <c r="HS47" s="99" t="e">
        <f>'Effort Estimation'!M367+"AM:!$Tu"</f>
        <v>#VALUE!</v>
      </c>
      <c r="HT47" s="99" t="e">
        <f>'Effort Estimation'!N367+"AM:!$Tv"</f>
        <v>#VALUE!</v>
      </c>
      <c r="HU47" s="99" t="e">
        <f>'Effort Estimation'!O367+"AM:!$Tw"</f>
        <v>#VALUE!</v>
      </c>
      <c r="HV47" s="99" t="e">
        <f>'Effort Estimation'!P367+"AM:!$Tx"</f>
        <v>#VALUE!</v>
      </c>
      <c r="HW47" s="99" t="e">
        <f>'Effort Estimation'!Q367+"AM:!$Ty"</f>
        <v>#VALUE!</v>
      </c>
      <c r="HX47" t="e">
        <f>'Effort Estimation'!R367+"AM:!$Tz"</f>
        <v>#VALUE!</v>
      </c>
      <c r="HY47" t="e">
        <f>'Effort Estimation'!S367+"AM:!$T{"</f>
        <v>#VALUE!</v>
      </c>
      <c r="HZ47" t="e">
        <f>'Effort Estimation'!T367+"AM:!$T|"</f>
        <v>#VALUE!</v>
      </c>
      <c r="IA47" t="e">
        <f>'Effort Estimation'!A368+"AM:!$T}"</f>
        <v>#VALUE!</v>
      </c>
      <c r="IB47" t="e">
        <f>'Effort Estimation'!B368+"AM:!$T~"</f>
        <v>#VALUE!</v>
      </c>
      <c r="IC47" t="e">
        <f>'Effort Estimation'!C368+"AM:!$U#"</f>
        <v>#VALUE!</v>
      </c>
      <c r="ID47" t="e">
        <f>'Effort Estimation'!D368+"AM:!$U$"</f>
        <v>#VALUE!</v>
      </c>
      <c r="IE47" t="e">
        <f>'Effort Estimation'!E368+"AM:!$U%"</f>
        <v>#VALUE!</v>
      </c>
      <c r="IF47" t="e">
        <f>'Effort Estimation'!F368+"AM:!$U&amp;"</f>
        <v>#VALUE!</v>
      </c>
      <c r="IG47" t="e">
        <f>'Effort Estimation'!G368+"AM:!$U'"</f>
        <v>#VALUE!</v>
      </c>
      <c r="IH47" t="e">
        <f>'Effort Estimation'!H368+"AM:!$U("</f>
        <v>#VALUE!</v>
      </c>
      <c r="II47" t="e">
        <f>'Effort Estimation'!I368+"AM:!$U)"</f>
        <v>#VALUE!</v>
      </c>
      <c r="IJ47" s="99" t="e">
        <f>'Effort Estimation'!J368+"AM:!$U."</f>
        <v>#VALUE!</v>
      </c>
      <c r="IK47" s="99" t="e">
        <f>'Effort Estimation'!K368+"AM:!$U/"</f>
        <v>#VALUE!</v>
      </c>
      <c r="IL47" s="99" t="e">
        <f>'Effort Estimation'!L368+"AM:!$U0"</f>
        <v>#VALUE!</v>
      </c>
      <c r="IM47" s="99" t="e">
        <f>'Effort Estimation'!M368+"AM:!$U1"</f>
        <v>#VALUE!</v>
      </c>
      <c r="IN47" s="99" t="e">
        <f>'Effort Estimation'!N368+"AM:!$U2"</f>
        <v>#VALUE!</v>
      </c>
      <c r="IO47" s="99" t="e">
        <f>'Effort Estimation'!O368+"AM:!$U3"</f>
        <v>#VALUE!</v>
      </c>
      <c r="IP47" s="99" t="e">
        <f>'Effort Estimation'!P368+"AM:!$U4"</f>
        <v>#VALUE!</v>
      </c>
      <c r="IQ47" s="99" t="e">
        <f>'Effort Estimation'!Q368+"AM:!$U5"</f>
        <v>#VALUE!</v>
      </c>
      <c r="IR47" t="e">
        <f>'Effort Estimation'!R368+"AM:!$U6"</f>
        <v>#VALUE!</v>
      </c>
      <c r="IS47" t="e">
        <f>'Effort Estimation'!S368+"AM:!$U7"</f>
        <v>#VALUE!</v>
      </c>
      <c r="IT47" t="e">
        <f>'Effort Estimation'!T368+"AM:!$U8"</f>
        <v>#VALUE!</v>
      </c>
      <c r="IU47" t="e">
        <f>'Effort Estimation'!A369+"AM:!$U9"</f>
        <v>#VALUE!</v>
      </c>
      <c r="IV47" t="e">
        <f>'Effort Estimation'!B369+"AM:!$U:"</f>
        <v>#VALUE!</v>
      </c>
    </row>
    <row r="48" spans="6:256">
      <c r="F48" t="e">
        <f>'Effort Estimation'!C369+"AM:!$U;"</f>
        <v>#VALUE!</v>
      </c>
      <c r="G48" t="e">
        <f>'Effort Estimation'!D369+"AM:!$U&lt;"</f>
        <v>#VALUE!</v>
      </c>
      <c r="H48" t="e">
        <f>'Effort Estimation'!E369+"AM:!$U="</f>
        <v>#VALUE!</v>
      </c>
      <c r="I48" t="e">
        <f>'Effort Estimation'!F369+"AM:!$U&gt;"</f>
        <v>#VALUE!</v>
      </c>
      <c r="J48" t="e">
        <f>'Effort Estimation'!G369+"AM:!$U?"</f>
        <v>#VALUE!</v>
      </c>
      <c r="K48" t="e">
        <f>'Effort Estimation'!H369+"AM:!$U@"</f>
        <v>#VALUE!</v>
      </c>
      <c r="L48" t="e">
        <f>'Effort Estimation'!I369+"AM:!$UA"</f>
        <v>#VALUE!</v>
      </c>
      <c r="M48" s="99" t="e">
        <f>'Effort Estimation'!J369+"AM:!$UB"</f>
        <v>#VALUE!</v>
      </c>
      <c r="N48" s="99" t="e">
        <f>'Effort Estimation'!K369+"AM:!$UC"</f>
        <v>#VALUE!</v>
      </c>
      <c r="O48" s="99" t="e">
        <f>'Effort Estimation'!L369+"AM:!$UD"</f>
        <v>#VALUE!</v>
      </c>
      <c r="P48" s="99" t="e">
        <f>'Effort Estimation'!M369+"AM:!$UE"</f>
        <v>#VALUE!</v>
      </c>
      <c r="Q48" s="99" t="e">
        <f>'Effort Estimation'!N369+"AM:!$UF"</f>
        <v>#VALUE!</v>
      </c>
      <c r="R48" s="99" t="e">
        <f>'Effort Estimation'!O369+"AM:!$UG"</f>
        <v>#VALUE!</v>
      </c>
      <c r="S48" s="99" t="e">
        <f>'Effort Estimation'!P369+"AM:!$UH"</f>
        <v>#VALUE!</v>
      </c>
      <c r="T48" s="99" t="e">
        <f>'Effort Estimation'!Q369+"AM:!$UI"</f>
        <v>#VALUE!</v>
      </c>
      <c r="U48" t="e">
        <f>'Effort Estimation'!R369+"AM:!$UJ"</f>
        <v>#VALUE!</v>
      </c>
      <c r="V48" t="e">
        <f>'Effort Estimation'!S369+"AM:!$UK"</f>
        <v>#VALUE!</v>
      </c>
      <c r="W48" t="e">
        <f>'Effort Estimation'!T369+"AM:!$UL"</f>
        <v>#VALUE!</v>
      </c>
      <c r="X48" t="e">
        <f>'Effort Estimation'!A370+"AM:!$UM"</f>
        <v>#VALUE!</v>
      </c>
      <c r="Y48" t="e">
        <f>'Effort Estimation'!B370+"AM:!$UN"</f>
        <v>#VALUE!</v>
      </c>
      <c r="Z48" t="e">
        <f>'Effort Estimation'!C370+"AM:!$UO"</f>
        <v>#VALUE!</v>
      </c>
      <c r="AA48" t="e">
        <f>'Effort Estimation'!D370+"AM:!$UP"</f>
        <v>#VALUE!</v>
      </c>
      <c r="AB48" t="e">
        <f>'Effort Estimation'!E370+"AM:!$UQ"</f>
        <v>#VALUE!</v>
      </c>
      <c r="AC48" t="e">
        <f>'Effort Estimation'!F370+"AM:!$UR"</f>
        <v>#VALUE!</v>
      </c>
      <c r="AD48" t="e">
        <f>'Effort Estimation'!G370+"AM:!$US"</f>
        <v>#VALUE!</v>
      </c>
      <c r="AE48" t="e">
        <f>'Effort Estimation'!H370+"AM:!$UT"</f>
        <v>#VALUE!</v>
      </c>
      <c r="AF48" t="e">
        <f>'Effort Estimation'!I370+"AM:!$UU"</f>
        <v>#VALUE!</v>
      </c>
      <c r="AG48" s="99" t="e">
        <f>'Effort Estimation'!J370+"AM:!$UV"</f>
        <v>#VALUE!</v>
      </c>
      <c r="AH48" s="99" t="e">
        <f>'Effort Estimation'!K370+"AM:!$UW"</f>
        <v>#VALUE!</v>
      </c>
      <c r="AI48" s="99" t="e">
        <f>'Effort Estimation'!L370+"AM:!$UX"</f>
        <v>#VALUE!</v>
      </c>
      <c r="AJ48" s="99" t="e">
        <f>'Effort Estimation'!M370+"AM:!$UY"</f>
        <v>#VALUE!</v>
      </c>
      <c r="AK48" s="99" t="e">
        <f>'Effort Estimation'!N370+"AM:!$UZ"</f>
        <v>#VALUE!</v>
      </c>
      <c r="AL48" s="99" t="e">
        <f>'Effort Estimation'!O370+"AM:!$U["</f>
        <v>#VALUE!</v>
      </c>
      <c r="AM48" s="99" t="e">
        <f>'Effort Estimation'!P370+"AM:!$U\"</f>
        <v>#VALUE!</v>
      </c>
      <c r="AN48" s="99" t="e">
        <f>'Effort Estimation'!Q370+"AM:!$U]"</f>
        <v>#VALUE!</v>
      </c>
      <c r="AO48" t="e">
        <f>'Effort Estimation'!R370+"AM:!$U^"</f>
        <v>#VALUE!</v>
      </c>
      <c r="AP48" t="e">
        <f>'Effort Estimation'!S370+"AM:!$U_"</f>
        <v>#VALUE!</v>
      </c>
      <c r="AQ48" t="e">
        <f>'Effort Estimation'!T370+"AM:!$U`"</f>
        <v>#VALUE!</v>
      </c>
      <c r="AR48" t="e">
        <f>'Effort Estimation'!A371+"AM:!$Ua"</f>
        <v>#VALUE!</v>
      </c>
      <c r="AS48" t="e">
        <f>'Effort Estimation'!B371+"AM:!$Ub"</f>
        <v>#VALUE!</v>
      </c>
      <c r="AT48" t="e">
        <f>'Effort Estimation'!C371+"AM:!$Uc"</f>
        <v>#VALUE!</v>
      </c>
      <c r="AU48" t="e">
        <f>'Effort Estimation'!D371+"AM:!$Ud"</f>
        <v>#VALUE!</v>
      </c>
      <c r="AV48" t="e">
        <f>'Effort Estimation'!E371+"AM:!$Ue"</f>
        <v>#VALUE!</v>
      </c>
      <c r="AW48" t="e">
        <f>'Effort Estimation'!F371+"AM:!$Uf"</f>
        <v>#VALUE!</v>
      </c>
      <c r="AX48" t="e">
        <f>'Effort Estimation'!G371+"AM:!$Ug"</f>
        <v>#VALUE!</v>
      </c>
      <c r="AY48" t="e">
        <f>'Effort Estimation'!H371+"AM:!$Uh"</f>
        <v>#VALUE!</v>
      </c>
      <c r="AZ48" t="e">
        <f>'Effort Estimation'!I371+"AM:!$Ui"</f>
        <v>#VALUE!</v>
      </c>
      <c r="BA48" s="99" t="e">
        <f>'Effort Estimation'!J371+"AM:!$Uj"</f>
        <v>#VALUE!</v>
      </c>
      <c r="BB48" s="99" t="e">
        <f>'Effort Estimation'!K371+"AM:!$Uk"</f>
        <v>#VALUE!</v>
      </c>
      <c r="BC48" s="99" t="e">
        <f>'Effort Estimation'!L371+"AM:!$Ul"</f>
        <v>#VALUE!</v>
      </c>
      <c r="BD48" s="99" t="e">
        <f>'Effort Estimation'!M371+"AM:!$Um"</f>
        <v>#VALUE!</v>
      </c>
      <c r="BE48" s="99" t="e">
        <f>'Effort Estimation'!N371+"AM:!$Un"</f>
        <v>#VALUE!</v>
      </c>
      <c r="BF48" s="99" t="e">
        <f>'Effort Estimation'!O371+"AM:!$Uo"</f>
        <v>#VALUE!</v>
      </c>
      <c r="BG48" s="99" t="e">
        <f>'Effort Estimation'!P371+"AM:!$Up"</f>
        <v>#VALUE!</v>
      </c>
      <c r="BH48" s="99" t="e">
        <f>'Effort Estimation'!Q371+"AM:!$Uq"</f>
        <v>#VALUE!</v>
      </c>
      <c r="BI48" t="e">
        <f>'Effort Estimation'!R371+"AM:!$Ur"</f>
        <v>#VALUE!</v>
      </c>
      <c r="BJ48" t="e">
        <f>'Effort Estimation'!S371+"AM:!$Us"</f>
        <v>#VALUE!</v>
      </c>
      <c r="BK48" t="e">
        <f>'Effort Estimation'!T371+"AM:!$Ut"</f>
        <v>#VALUE!</v>
      </c>
      <c r="BL48" t="e">
        <f>'Effort Estimation'!A372+"AM:!$Uu"</f>
        <v>#VALUE!</v>
      </c>
      <c r="BM48" t="e">
        <f>'Effort Estimation'!B372+"AM:!$Uv"</f>
        <v>#VALUE!</v>
      </c>
      <c r="BN48" t="e">
        <f>'Effort Estimation'!C372+"AM:!$Uw"</f>
        <v>#VALUE!</v>
      </c>
      <c r="BO48" t="e">
        <f>'Effort Estimation'!D372+"AM:!$Ux"</f>
        <v>#VALUE!</v>
      </c>
      <c r="BP48" t="e">
        <f>'Effort Estimation'!E372+"AM:!$Uy"</f>
        <v>#VALUE!</v>
      </c>
      <c r="BQ48" t="e">
        <f>'Effort Estimation'!F372+"AM:!$Uz"</f>
        <v>#VALUE!</v>
      </c>
      <c r="BR48" t="e">
        <f>'Effort Estimation'!G372+"AM:!$U{"</f>
        <v>#VALUE!</v>
      </c>
      <c r="BS48" t="e">
        <f>'Effort Estimation'!H372+"AM:!$U|"</f>
        <v>#VALUE!</v>
      </c>
      <c r="BT48" t="e">
        <f>'Effort Estimation'!I372+"AM:!$U}"</f>
        <v>#VALUE!</v>
      </c>
      <c r="BU48" s="99" t="e">
        <f>'Effort Estimation'!J372+"AM:!$U~"</f>
        <v>#VALUE!</v>
      </c>
      <c r="BV48" s="99" t="e">
        <f>'Effort Estimation'!K372+"AM:!$V#"</f>
        <v>#VALUE!</v>
      </c>
      <c r="BW48" s="99" t="e">
        <f>'Effort Estimation'!L372+"AM:!$V$"</f>
        <v>#VALUE!</v>
      </c>
      <c r="BX48" s="99" t="e">
        <f>'Effort Estimation'!M372+"AM:!$V%"</f>
        <v>#VALUE!</v>
      </c>
      <c r="BY48" s="99" t="e">
        <f>'Effort Estimation'!N372+"AM:!$V&amp;"</f>
        <v>#VALUE!</v>
      </c>
      <c r="BZ48" s="99" t="e">
        <f>'Effort Estimation'!O372+"AM:!$V'"</f>
        <v>#VALUE!</v>
      </c>
      <c r="CA48" s="99" t="e">
        <f>'Effort Estimation'!P372+"AM:!$V("</f>
        <v>#VALUE!</v>
      </c>
      <c r="CB48" s="99" t="e">
        <f>'Effort Estimation'!Q372+"AM:!$V)"</f>
        <v>#VALUE!</v>
      </c>
      <c r="CC48" t="e">
        <f>'Effort Estimation'!R372+"AM:!$V."</f>
        <v>#VALUE!</v>
      </c>
      <c r="CD48" t="e">
        <f>'Effort Estimation'!S372+"AM:!$V/"</f>
        <v>#VALUE!</v>
      </c>
      <c r="CE48" t="e">
        <f>'Effort Estimation'!T372+"AM:!$V0"</f>
        <v>#VALUE!</v>
      </c>
      <c r="CF48" t="e">
        <f>'Effort Estimation'!A373+"AM:!$V1"</f>
        <v>#VALUE!</v>
      </c>
      <c r="CG48" t="e">
        <f>'Effort Estimation'!B373+"AM:!$V2"</f>
        <v>#VALUE!</v>
      </c>
      <c r="CH48" t="e">
        <f>'Effort Estimation'!C373+"AM:!$V3"</f>
        <v>#VALUE!</v>
      </c>
      <c r="CI48" t="e">
        <f>'Effort Estimation'!D373+"AM:!$V4"</f>
        <v>#VALUE!</v>
      </c>
      <c r="CJ48" t="e">
        <f>'Effort Estimation'!E373+"AM:!$V5"</f>
        <v>#VALUE!</v>
      </c>
      <c r="CK48" t="e">
        <f>'Effort Estimation'!F373+"AM:!$V6"</f>
        <v>#VALUE!</v>
      </c>
      <c r="CL48" t="e">
        <f>'Effort Estimation'!G373+"AM:!$V7"</f>
        <v>#VALUE!</v>
      </c>
      <c r="CM48" t="e">
        <f>'Effort Estimation'!H373+"AM:!$V8"</f>
        <v>#VALUE!</v>
      </c>
      <c r="CN48" t="e">
        <f>'Effort Estimation'!I373+"AM:!$V9"</f>
        <v>#VALUE!</v>
      </c>
      <c r="CO48" s="99" t="e">
        <f>'Effort Estimation'!J373+"AM:!$V:"</f>
        <v>#VALUE!</v>
      </c>
      <c r="CP48" s="99" t="e">
        <f>'Effort Estimation'!K373+"AM:!$V;"</f>
        <v>#VALUE!</v>
      </c>
      <c r="CQ48" s="99" t="e">
        <f>'Effort Estimation'!L373+"AM:!$V&lt;"</f>
        <v>#VALUE!</v>
      </c>
      <c r="CR48" s="99" t="e">
        <f>'Effort Estimation'!M373+"AM:!$V="</f>
        <v>#VALUE!</v>
      </c>
      <c r="CS48" s="99" t="e">
        <f>'Effort Estimation'!N373+"AM:!$V&gt;"</f>
        <v>#VALUE!</v>
      </c>
      <c r="CT48" s="99" t="e">
        <f>'Effort Estimation'!O373+"AM:!$V?"</f>
        <v>#VALUE!</v>
      </c>
      <c r="CU48" s="99" t="e">
        <f>'Effort Estimation'!P373+"AM:!$V@"</f>
        <v>#VALUE!</v>
      </c>
      <c r="CV48" s="99" t="e">
        <f>'Effort Estimation'!Q373+"AM:!$VA"</f>
        <v>#VALUE!</v>
      </c>
      <c r="CW48" t="e">
        <f>'Effort Estimation'!R373+"AM:!$VB"</f>
        <v>#VALUE!</v>
      </c>
      <c r="CX48" t="e">
        <f>'Effort Estimation'!S373+"AM:!$VC"</f>
        <v>#VALUE!</v>
      </c>
      <c r="CY48" t="e">
        <f>'Effort Estimation'!T373+"AM:!$VD"</f>
        <v>#VALUE!</v>
      </c>
      <c r="CZ48" t="e">
        <f>'Effort Estimation'!A374+"AM:!$VE"</f>
        <v>#VALUE!</v>
      </c>
      <c r="DA48" t="e">
        <f>'Effort Estimation'!B374+"AM:!$VF"</f>
        <v>#VALUE!</v>
      </c>
      <c r="DB48" t="e">
        <f>'Effort Estimation'!C374+"AM:!$VG"</f>
        <v>#VALUE!</v>
      </c>
      <c r="DC48" t="e">
        <f>'Effort Estimation'!D374+"AM:!$VH"</f>
        <v>#VALUE!</v>
      </c>
      <c r="DD48" t="e">
        <f>'Effort Estimation'!E374+"AM:!$VI"</f>
        <v>#VALUE!</v>
      </c>
      <c r="DE48" t="e">
        <f>'Effort Estimation'!F374+"AM:!$VJ"</f>
        <v>#VALUE!</v>
      </c>
      <c r="DF48" t="e">
        <f>'Effort Estimation'!G374+"AM:!$VK"</f>
        <v>#VALUE!</v>
      </c>
      <c r="DG48" t="e">
        <f>'Effort Estimation'!H374+"AM:!$VL"</f>
        <v>#VALUE!</v>
      </c>
      <c r="DH48" t="e">
        <f>'Effort Estimation'!I374+"AM:!$VM"</f>
        <v>#VALUE!</v>
      </c>
      <c r="DI48" s="99" t="e">
        <f>'Effort Estimation'!J374+"AM:!$VN"</f>
        <v>#VALUE!</v>
      </c>
      <c r="DJ48" s="99" t="e">
        <f>'Effort Estimation'!K374+"AM:!$VO"</f>
        <v>#VALUE!</v>
      </c>
      <c r="DK48" s="99" t="e">
        <f>'Effort Estimation'!L374+"AM:!$VP"</f>
        <v>#VALUE!</v>
      </c>
      <c r="DL48" s="99" t="e">
        <f>'Effort Estimation'!M374+"AM:!$VQ"</f>
        <v>#VALUE!</v>
      </c>
      <c r="DM48" s="99" t="e">
        <f>'Effort Estimation'!N374+"AM:!$VR"</f>
        <v>#VALUE!</v>
      </c>
      <c r="DN48" s="99" t="e">
        <f>'Effort Estimation'!O374+"AM:!$VS"</f>
        <v>#VALUE!</v>
      </c>
      <c r="DO48" s="99" t="e">
        <f>'Effort Estimation'!P374+"AM:!$VT"</f>
        <v>#VALUE!</v>
      </c>
      <c r="DP48" s="99" t="e">
        <f>'Effort Estimation'!Q374+"AM:!$VU"</f>
        <v>#VALUE!</v>
      </c>
      <c r="DQ48" t="e">
        <f>'Effort Estimation'!R374+"AM:!$VV"</f>
        <v>#VALUE!</v>
      </c>
      <c r="DR48" t="e">
        <f>'Effort Estimation'!S374+"AM:!$VW"</f>
        <v>#VALUE!</v>
      </c>
      <c r="DS48" t="e">
        <f>'Effort Estimation'!T374+"AM:!$VX"</f>
        <v>#VALUE!</v>
      </c>
      <c r="DT48" t="e">
        <f>'Effort Estimation'!A375+"AM:!$VY"</f>
        <v>#VALUE!</v>
      </c>
      <c r="DU48" t="e">
        <f>'Effort Estimation'!B375+"AM:!$VZ"</f>
        <v>#VALUE!</v>
      </c>
      <c r="DV48" t="e">
        <f>'Effort Estimation'!C375+"AM:!$V["</f>
        <v>#VALUE!</v>
      </c>
      <c r="DW48" t="e">
        <f>'Effort Estimation'!D375+"AM:!$V\"</f>
        <v>#VALUE!</v>
      </c>
      <c r="DX48" t="e">
        <f>'Effort Estimation'!E375+"AM:!$V]"</f>
        <v>#VALUE!</v>
      </c>
      <c r="DY48" t="e">
        <f>'Effort Estimation'!F375+"AM:!$V^"</f>
        <v>#VALUE!</v>
      </c>
      <c r="DZ48" t="e">
        <f>'Effort Estimation'!G375+"AM:!$V_"</f>
        <v>#VALUE!</v>
      </c>
      <c r="EA48" t="e">
        <f>'Effort Estimation'!H375+"AM:!$V`"</f>
        <v>#VALUE!</v>
      </c>
      <c r="EB48" t="e">
        <f>'Effort Estimation'!I375+"AM:!$Va"</f>
        <v>#VALUE!</v>
      </c>
      <c r="EC48" s="99" t="e">
        <f>'Effort Estimation'!J375+"AM:!$Vb"</f>
        <v>#VALUE!</v>
      </c>
      <c r="ED48" s="99" t="e">
        <f>'Effort Estimation'!K375+"AM:!$Vc"</f>
        <v>#VALUE!</v>
      </c>
      <c r="EE48" s="99" t="e">
        <f>'Effort Estimation'!L375+"AM:!$Vd"</f>
        <v>#VALUE!</v>
      </c>
      <c r="EF48" s="99" t="e">
        <f>'Effort Estimation'!M375+"AM:!$Ve"</f>
        <v>#VALUE!</v>
      </c>
      <c r="EG48" s="99" t="e">
        <f>'Effort Estimation'!N375+"AM:!$Vf"</f>
        <v>#VALUE!</v>
      </c>
      <c r="EH48" s="99" t="e">
        <f>'Effort Estimation'!O375+"AM:!$Vg"</f>
        <v>#VALUE!</v>
      </c>
      <c r="EI48" s="99" t="e">
        <f>'Effort Estimation'!P375+"AM:!$Vh"</f>
        <v>#VALUE!</v>
      </c>
      <c r="EJ48" s="99" t="e">
        <f>'Effort Estimation'!Q375+"AM:!$Vi"</f>
        <v>#VALUE!</v>
      </c>
      <c r="EK48" t="e">
        <f>'Effort Estimation'!R375+"AM:!$Vj"</f>
        <v>#VALUE!</v>
      </c>
      <c r="EL48" t="e">
        <f>'Effort Estimation'!S375+"AM:!$Vk"</f>
        <v>#VALUE!</v>
      </c>
      <c r="EM48" t="e">
        <f>'Effort Estimation'!T375+"AM:!$Vl"</f>
        <v>#VALUE!</v>
      </c>
      <c r="EN48" t="e">
        <f>'Effort Estimation'!A376+"AM:!$Vm"</f>
        <v>#VALUE!</v>
      </c>
      <c r="EO48" t="e">
        <f>'Effort Estimation'!B376+"AM:!$Vn"</f>
        <v>#VALUE!</v>
      </c>
      <c r="EP48" t="e">
        <f>'Effort Estimation'!C376+"AM:!$Vo"</f>
        <v>#VALUE!</v>
      </c>
      <c r="EQ48" t="e">
        <f>'Effort Estimation'!D376+"AM:!$Vp"</f>
        <v>#VALUE!</v>
      </c>
      <c r="ER48" t="e">
        <f>'Effort Estimation'!E376+"AM:!$Vq"</f>
        <v>#VALUE!</v>
      </c>
      <c r="ES48" t="e">
        <f>'Effort Estimation'!F376+"AM:!$Vr"</f>
        <v>#VALUE!</v>
      </c>
      <c r="ET48" t="e">
        <f>'Effort Estimation'!G376+"AM:!$Vs"</f>
        <v>#VALUE!</v>
      </c>
      <c r="EU48" t="e">
        <f>'Effort Estimation'!H376+"AM:!$Vt"</f>
        <v>#VALUE!</v>
      </c>
      <c r="EV48" t="e">
        <f>'Effort Estimation'!I376+"AM:!$Vu"</f>
        <v>#VALUE!</v>
      </c>
      <c r="EW48" s="99" t="e">
        <f>'Effort Estimation'!J376+"AM:!$Vv"</f>
        <v>#VALUE!</v>
      </c>
      <c r="EX48" s="99" t="e">
        <f>'Effort Estimation'!K376+"AM:!$Vw"</f>
        <v>#VALUE!</v>
      </c>
      <c r="EY48" s="99" t="e">
        <f>'Effort Estimation'!L376+"AM:!$Vx"</f>
        <v>#VALUE!</v>
      </c>
      <c r="EZ48" s="99" t="e">
        <f>'Effort Estimation'!M376+"AM:!$Vy"</f>
        <v>#VALUE!</v>
      </c>
      <c r="FA48" s="99" t="e">
        <f>'Effort Estimation'!N376+"AM:!$Vz"</f>
        <v>#VALUE!</v>
      </c>
      <c r="FB48" s="99" t="e">
        <f>'Effort Estimation'!O376+"AM:!$V{"</f>
        <v>#VALUE!</v>
      </c>
      <c r="FC48" s="99" t="e">
        <f>'Effort Estimation'!P376+"AM:!$V|"</f>
        <v>#VALUE!</v>
      </c>
      <c r="FD48" s="99" t="e">
        <f>'Effort Estimation'!Q376+"AM:!$V}"</f>
        <v>#VALUE!</v>
      </c>
      <c r="FE48" t="e">
        <f>'Effort Estimation'!R376+"AM:!$V~"</f>
        <v>#VALUE!</v>
      </c>
      <c r="FF48" t="e">
        <f>'Effort Estimation'!S376+"AM:!$W#"</f>
        <v>#VALUE!</v>
      </c>
      <c r="FG48" t="e">
        <f>'Effort Estimation'!T376+"AM:!$W$"</f>
        <v>#VALUE!</v>
      </c>
      <c r="FH48" t="e">
        <f>'Effort Estimation'!A377+"AM:!$W%"</f>
        <v>#VALUE!</v>
      </c>
      <c r="FI48" t="e">
        <f>'Effort Estimation'!B377+"AM:!$W&amp;"</f>
        <v>#VALUE!</v>
      </c>
      <c r="FJ48" t="e">
        <f>'Effort Estimation'!C377+"AM:!$W'"</f>
        <v>#VALUE!</v>
      </c>
      <c r="FK48" t="e">
        <f>'Effort Estimation'!D377+"AM:!$W("</f>
        <v>#VALUE!</v>
      </c>
      <c r="FL48" t="e">
        <f>'Effort Estimation'!E377+"AM:!$W)"</f>
        <v>#VALUE!</v>
      </c>
      <c r="FM48" t="e">
        <f>'Effort Estimation'!F377+"AM:!$W."</f>
        <v>#VALUE!</v>
      </c>
      <c r="FN48" t="e">
        <f>'Effort Estimation'!G377+"AM:!$W/"</f>
        <v>#VALUE!</v>
      </c>
      <c r="FO48" t="e">
        <f>'Effort Estimation'!H377+"AM:!$W0"</f>
        <v>#VALUE!</v>
      </c>
      <c r="FP48" t="e">
        <f>'Effort Estimation'!I377+"AM:!$W1"</f>
        <v>#VALUE!</v>
      </c>
      <c r="FQ48" s="99" t="e">
        <f>'Effort Estimation'!J377+"AM:!$W2"</f>
        <v>#VALUE!</v>
      </c>
      <c r="FR48" s="99" t="e">
        <f>'Effort Estimation'!K377+"AM:!$W3"</f>
        <v>#VALUE!</v>
      </c>
      <c r="FS48" s="99" t="e">
        <f>'Effort Estimation'!L377+"AM:!$W4"</f>
        <v>#VALUE!</v>
      </c>
      <c r="FT48" s="99" t="e">
        <f>'Effort Estimation'!M377+"AM:!$W5"</f>
        <v>#VALUE!</v>
      </c>
      <c r="FU48" s="99" t="e">
        <f>'Effort Estimation'!N377+"AM:!$W6"</f>
        <v>#VALUE!</v>
      </c>
      <c r="FV48" s="99" t="e">
        <f>'Effort Estimation'!O377+"AM:!$W7"</f>
        <v>#VALUE!</v>
      </c>
      <c r="FW48" s="99" t="e">
        <f>'Effort Estimation'!P377+"AM:!$W8"</f>
        <v>#VALUE!</v>
      </c>
      <c r="FX48" s="99" t="e">
        <f>'Effort Estimation'!Q377+"AM:!$W9"</f>
        <v>#VALUE!</v>
      </c>
      <c r="FY48" t="e">
        <f>'Effort Estimation'!R377+"AM:!$W:"</f>
        <v>#VALUE!</v>
      </c>
      <c r="FZ48" t="e">
        <f>'Effort Estimation'!S377+"AM:!$W;"</f>
        <v>#VALUE!</v>
      </c>
      <c r="GA48" t="e">
        <f>'Effort Estimation'!T377+"AM:!$W&lt;"</f>
        <v>#VALUE!</v>
      </c>
      <c r="GB48" t="e">
        <f>'Effort Estimation'!A378+"AM:!$W="</f>
        <v>#VALUE!</v>
      </c>
      <c r="GC48" t="e">
        <f>'Effort Estimation'!B378+"AM:!$W&gt;"</f>
        <v>#VALUE!</v>
      </c>
      <c r="GD48" t="e">
        <f>'Effort Estimation'!C378+"AM:!$W?"</f>
        <v>#VALUE!</v>
      </c>
      <c r="GE48" t="e">
        <f>'Effort Estimation'!D378+"AM:!$W@"</f>
        <v>#VALUE!</v>
      </c>
      <c r="GF48" t="e">
        <f>'Effort Estimation'!E378+"AM:!$WA"</f>
        <v>#VALUE!</v>
      </c>
      <c r="GG48" t="e">
        <f>'Effort Estimation'!F378+"AM:!$WB"</f>
        <v>#VALUE!</v>
      </c>
      <c r="GH48" t="e">
        <f>'Effort Estimation'!G378+"AM:!$WC"</f>
        <v>#VALUE!</v>
      </c>
      <c r="GI48" t="e">
        <f>'Effort Estimation'!H378+"AM:!$WD"</f>
        <v>#VALUE!</v>
      </c>
      <c r="GJ48" t="e">
        <f>'Effort Estimation'!I378+"AM:!$WE"</f>
        <v>#VALUE!</v>
      </c>
      <c r="GK48" s="99" t="e">
        <f>'Effort Estimation'!J378+"AM:!$WF"</f>
        <v>#VALUE!</v>
      </c>
      <c r="GL48" s="99" t="e">
        <f>'Effort Estimation'!K378+"AM:!$WG"</f>
        <v>#VALUE!</v>
      </c>
      <c r="GM48" s="99" t="e">
        <f>'Effort Estimation'!L378+"AM:!$WH"</f>
        <v>#VALUE!</v>
      </c>
      <c r="GN48" s="99" t="e">
        <f>'Effort Estimation'!M378+"AM:!$WI"</f>
        <v>#VALUE!</v>
      </c>
      <c r="GO48" s="99" t="e">
        <f>'Effort Estimation'!N378+"AM:!$WJ"</f>
        <v>#VALUE!</v>
      </c>
      <c r="GP48" s="99" t="e">
        <f>'Effort Estimation'!O378+"AM:!$WK"</f>
        <v>#VALUE!</v>
      </c>
      <c r="GQ48" s="99" t="e">
        <f>'Effort Estimation'!P378+"AM:!$WL"</f>
        <v>#VALUE!</v>
      </c>
      <c r="GR48" s="99" t="e">
        <f>'Effort Estimation'!Q378+"AM:!$WM"</f>
        <v>#VALUE!</v>
      </c>
      <c r="GS48" t="e">
        <f>'Effort Estimation'!R378+"AM:!$WN"</f>
        <v>#VALUE!</v>
      </c>
      <c r="GT48" t="e">
        <f>'Effort Estimation'!S378+"AM:!$WO"</f>
        <v>#VALUE!</v>
      </c>
      <c r="GU48" t="e">
        <f>'Effort Estimation'!T378+"AM:!$WP"</f>
        <v>#VALUE!</v>
      </c>
      <c r="GV48" t="e">
        <f>'Effort Estimation'!A379+"AM:!$WQ"</f>
        <v>#VALUE!</v>
      </c>
      <c r="GW48" t="e">
        <f>'Effort Estimation'!B379+"AM:!$WR"</f>
        <v>#VALUE!</v>
      </c>
      <c r="GX48" t="e">
        <f>'Effort Estimation'!C379+"AM:!$WS"</f>
        <v>#VALUE!</v>
      </c>
      <c r="GY48" t="e">
        <f>'Effort Estimation'!D379+"AM:!$WT"</f>
        <v>#VALUE!</v>
      </c>
      <c r="GZ48" t="e">
        <f>'Effort Estimation'!E379+"AM:!$WU"</f>
        <v>#VALUE!</v>
      </c>
      <c r="HA48" t="e">
        <f>'Effort Estimation'!F379+"AM:!$WV"</f>
        <v>#VALUE!</v>
      </c>
      <c r="HB48" t="e">
        <f>'Effort Estimation'!G379+"AM:!$WW"</f>
        <v>#VALUE!</v>
      </c>
      <c r="HC48" t="e">
        <f>'Effort Estimation'!H379+"AM:!$WX"</f>
        <v>#VALUE!</v>
      </c>
      <c r="HD48" t="e">
        <f>'Effort Estimation'!I379+"AM:!$WY"</f>
        <v>#VALUE!</v>
      </c>
      <c r="HE48" s="99" t="e">
        <f>'Effort Estimation'!J379+"AM:!$WZ"</f>
        <v>#VALUE!</v>
      </c>
      <c r="HF48" s="99" t="e">
        <f>'Effort Estimation'!K379+"AM:!$W["</f>
        <v>#VALUE!</v>
      </c>
      <c r="HG48" s="99" t="e">
        <f>'Effort Estimation'!L379+"AM:!$W\"</f>
        <v>#VALUE!</v>
      </c>
      <c r="HH48" s="99" t="e">
        <f>'Effort Estimation'!M379+"AM:!$W]"</f>
        <v>#VALUE!</v>
      </c>
      <c r="HI48" s="99" t="e">
        <f>'Effort Estimation'!N379+"AM:!$W^"</f>
        <v>#VALUE!</v>
      </c>
      <c r="HJ48" s="99" t="e">
        <f>'Effort Estimation'!O379+"AM:!$W_"</f>
        <v>#VALUE!</v>
      </c>
      <c r="HK48" s="99" t="e">
        <f>'Effort Estimation'!P379+"AM:!$W`"</f>
        <v>#VALUE!</v>
      </c>
      <c r="HL48" s="99" t="e">
        <f>'Effort Estimation'!Q379+"AM:!$Wa"</f>
        <v>#VALUE!</v>
      </c>
      <c r="HM48" t="e">
        <f>'Effort Estimation'!R379+"AM:!$Wb"</f>
        <v>#VALUE!</v>
      </c>
      <c r="HN48" t="e">
        <f>'Effort Estimation'!S379+"AM:!$Wc"</f>
        <v>#VALUE!</v>
      </c>
      <c r="HO48" t="e">
        <f>'Effort Estimation'!T379+"AM:!$Wd"</f>
        <v>#VALUE!</v>
      </c>
      <c r="HP48" t="e">
        <f>'Effort Estimation'!A380+"AM:!$We"</f>
        <v>#VALUE!</v>
      </c>
      <c r="HQ48" t="e">
        <f>'Effort Estimation'!B380+"AM:!$Wf"</f>
        <v>#VALUE!</v>
      </c>
      <c r="HR48" t="e">
        <f>'Effort Estimation'!C380+"AM:!$Wg"</f>
        <v>#VALUE!</v>
      </c>
      <c r="HS48" t="e">
        <f>'Effort Estimation'!D380+"AM:!$Wh"</f>
        <v>#VALUE!</v>
      </c>
      <c r="HT48" t="e">
        <f>'Effort Estimation'!E380+"AM:!$Wi"</f>
        <v>#VALUE!</v>
      </c>
      <c r="HU48" t="e">
        <f>'Effort Estimation'!F380+"AM:!$Wj"</f>
        <v>#VALUE!</v>
      </c>
      <c r="HV48" t="e">
        <f>'Effort Estimation'!G380+"AM:!$Wk"</f>
        <v>#VALUE!</v>
      </c>
      <c r="HW48" t="e">
        <f>'Effort Estimation'!H380+"AM:!$Wl"</f>
        <v>#VALUE!</v>
      </c>
      <c r="HX48" t="e">
        <f>'Effort Estimation'!I380+"AM:!$Wm"</f>
        <v>#VALUE!</v>
      </c>
      <c r="HY48" s="99" t="e">
        <f>'Effort Estimation'!J380+"AM:!$Wn"</f>
        <v>#VALUE!</v>
      </c>
      <c r="HZ48" s="99" t="e">
        <f>'Effort Estimation'!K380+"AM:!$Wo"</f>
        <v>#VALUE!</v>
      </c>
      <c r="IA48" s="99" t="e">
        <f>'Effort Estimation'!L380+"AM:!$Wp"</f>
        <v>#VALUE!</v>
      </c>
      <c r="IB48" s="99" t="e">
        <f>'Effort Estimation'!M380+"AM:!$Wq"</f>
        <v>#VALUE!</v>
      </c>
      <c r="IC48" s="99" t="e">
        <f>'Effort Estimation'!N380+"AM:!$Wr"</f>
        <v>#VALUE!</v>
      </c>
      <c r="ID48" s="99" t="e">
        <f>'Effort Estimation'!O380+"AM:!$Ws"</f>
        <v>#VALUE!</v>
      </c>
      <c r="IE48" s="99" t="e">
        <f>'Effort Estimation'!P380+"AM:!$Wt"</f>
        <v>#VALUE!</v>
      </c>
      <c r="IF48" s="99" t="e">
        <f>'Effort Estimation'!Q380+"AM:!$Wu"</f>
        <v>#VALUE!</v>
      </c>
      <c r="IG48" t="e">
        <f>'Effort Estimation'!R380+"AM:!$Wv"</f>
        <v>#VALUE!</v>
      </c>
      <c r="IH48" t="e">
        <f>'Effort Estimation'!S380+"AM:!$Ww"</f>
        <v>#VALUE!</v>
      </c>
      <c r="II48" t="e">
        <f>'Effort Estimation'!T380+"AM:!$Wx"</f>
        <v>#VALUE!</v>
      </c>
      <c r="IJ48" t="e">
        <f>'Effort Estimation'!A381+"AM:!$Wy"</f>
        <v>#VALUE!</v>
      </c>
      <c r="IK48" t="e">
        <f>'Effort Estimation'!B381+"AM:!$Wz"</f>
        <v>#VALUE!</v>
      </c>
      <c r="IL48" t="e">
        <f>'Effort Estimation'!C381+"AM:!$W{"</f>
        <v>#VALUE!</v>
      </c>
      <c r="IM48" t="e">
        <f>'Effort Estimation'!D381+"AM:!$W|"</f>
        <v>#VALUE!</v>
      </c>
      <c r="IN48" t="e">
        <f>'Effort Estimation'!E381+"AM:!$W}"</f>
        <v>#VALUE!</v>
      </c>
      <c r="IO48" t="e">
        <f>'Effort Estimation'!F381+"AM:!$W~"</f>
        <v>#VALUE!</v>
      </c>
      <c r="IP48" t="e">
        <f>'Effort Estimation'!G381+"AM:!$X#"</f>
        <v>#VALUE!</v>
      </c>
      <c r="IQ48" t="e">
        <f>'Effort Estimation'!H381+"AM:!$X$"</f>
        <v>#VALUE!</v>
      </c>
      <c r="IR48" t="e">
        <f>'Effort Estimation'!I381+"AM:!$X%"</f>
        <v>#VALUE!</v>
      </c>
      <c r="IS48" s="99" t="e">
        <f>'Effort Estimation'!J381+"AM:!$X&amp;"</f>
        <v>#VALUE!</v>
      </c>
      <c r="IT48" s="99" t="e">
        <f>'Effort Estimation'!K381+"AM:!$X'"</f>
        <v>#VALUE!</v>
      </c>
      <c r="IU48" s="99" t="e">
        <f>'Effort Estimation'!L381+"AM:!$X("</f>
        <v>#VALUE!</v>
      </c>
      <c r="IV48" s="99" t="e">
        <f>'Effort Estimation'!M381+"AM:!$X)"</f>
        <v>#VALUE!</v>
      </c>
    </row>
    <row r="49" spans="6:256">
      <c r="F49" s="99" t="e">
        <f>'Effort Estimation'!N381+"AM:!$X."</f>
        <v>#VALUE!</v>
      </c>
      <c r="G49" s="99" t="e">
        <f>'Effort Estimation'!O381+"AM:!$X/"</f>
        <v>#VALUE!</v>
      </c>
      <c r="H49" s="99" t="e">
        <f>'Effort Estimation'!P381+"AM:!$X0"</f>
        <v>#VALUE!</v>
      </c>
      <c r="I49" s="99" t="e">
        <f>'Effort Estimation'!Q381+"AM:!$X1"</f>
        <v>#VALUE!</v>
      </c>
      <c r="J49" t="e">
        <f>'Effort Estimation'!R381+"AM:!$X2"</f>
        <v>#VALUE!</v>
      </c>
      <c r="K49" t="e">
        <f>'Effort Estimation'!S381+"AM:!$X3"</f>
        <v>#VALUE!</v>
      </c>
      <c r="L49" t="e">
        <f>'Effort Estimation'!T381+"AM:!$X4"</f>
        <v>#VALUE!</v>
      </c>
      <c r="M49" t="e">
        <f>'Effort Estimation'!A382+"AM:!$X5"</f>
        <v>#VALUE!</v>
      </c>
      <c r="N49" t="e">
        <f>'Effort Estimation'!B382+"AM:!$X6"</f>
        <v>#VALUE!</v>
      </c>
      <c r="O49" t="e">
        <f>'Effort Estimation'!C382+"AM:!$X7"</f>
        <v>#VALUE!</v>
      </c>
      <c r="P49" t="e">
        <f>'Effort Estimation'!D382+"AM:!$X8"</f>
        <v>#VALUE!</v>
      </c>
      <c r="Q49" t="e">
        <f>'Effort Estimation'!E382+"AM:!$X9"</f>
        <v>#VALUE!</v>
      </c>
      <c r="R49" t="e">
        <f>'Effort Estimation'!F382+"AM:!$X:"</f>
        <v>#VALUE!</v>
      </c>
      <c r="S49" t="e">
        <f>'Effort Estimation'!G382+"AM:!$X;"</f>
        <v>#VALUE!</v>
      </c>
      <c r="T49" t="e">
        <f>'Effort Estimation'!H382+"AM:!$X&lt;"</f>
        <v>#VALUE!</v>
      </c>
      <c r="U49" t="e">
        <f>'Effort Estimation'!I382+"AM:!$X="</f>
        <v>#VALUE!</v>
      </c>
      <c r="V49" s="99" t="e">
        <f>'Effort Estimation'!J382+"AM:!$X&gt;"</f>
        <v>#VALUE!</v>
      </c>
      <c r="W49" s="99" t="e">
        <f>'Effort Estimation'!K382+"AM:!$X?"</f>
        <v>#VALUE!</v>
      </c>
      <c r="X49" s="99" t="e">
        <f>'Effort Estimation'!L382+"AM:!$X@"</f>
        <v>#VALUE!</v>
      </c>
      <c r="Y49" s="99" t="e">
        <f>'Effort Estimation'!M382+"AM:!$XA"</f>
        <v>#VALUE!</v>
      </c>
      <c r="Z49" s="99" t="e">
        <f>'Effort Estimation'!N382+"AM:!$XB"</f>
        <v>#VALUE!</v>
      </c>
      <c r="AA49" s="99" t="e">
        <f>'Effort Estimation'!O382+"AM:!$XC"</f>
        <v>#VALUE!</v>
      </c>
      <c r="AB49" s="99" t="e">
        <f>'Effort Estimation'!P382+"AM:!$XD"</f>
        <v>#VALUE!</v>
      </c>
      <c r="AC49" s="99" t="e">
        <f>'Effort Estimation'!Q382+"AM:!$XE"</f>
        <v>#VALUE!</v>
      </c>
      <c r="AD49" t="e">
        <f>'Effort Estimation'!R382+"AM:!$XF"</f>
        <v>#VALUE!</v>
      </c>
      <c r="AE49" t="e">
        <f>'Effort Estimation'!S382+"AM:!$XG"</f>
        <v>#VALUE!</v>
      </c>
      <c r="AF49" t="e">
        <f>'Effort Estimation'!T382+"AM:!$XH"</f>
        <v>#VALUE!</v>
      </c>
      <c r="AG49" t="e">
        <f>'Effort Estimation'!A383+"AM:!$XI"</f>
        <v>#VALUE!</v>
      </c>
      <c r="AH49" t="e">
        <f>'Effort Estimation'!B383+"AM:!$XJ"</f>
        <v>#VALUE!</v>
      </c>
      <c r="AI49" t="e">
        <f>'Effort Estimation'!C383+"AM:!$XK"</f>
        <v>#VALUE!</v>
      </c>
      <c r="AJ49" t="e">
        <f>'Effort Estimation'!D383+"AM:!$XL"</f>
        <v>#VALUE!</v>
      </c>
      <c r="AK49" t="e">
        <f>'Effort Estimation'!E383+"AM:!$XM"</f>
        <v>#VALUE!</v>
      </c>
      <c r="AL49" t="e">
        <f>'Effort Estimation'!F383+"AM:!$XN"</f>
        <v>#VALUE!</v>
      </c>
      <c r="AM49" t="e">
        <f>'Effort Estimation'!G383+"AM:!$XO"</f>
        <v>#VALUE!</v>
      </c>
      <c r="AN49" t="e">
        <f>'Effort Estimation'!H383+"AM:!$XP"</f>
        <v>#VALUE!</v>
      </c>
      <c r="AO49" t="e">
        <f>'Effort Estimation'!I383+"AM:!$XQ"</f>
        <v>#VALUE!</v>
      </c>
      <c r="AP49" s="99" t="e">
        <f>'Effort Estimation'!J383+"AM:!$XR"</f>
        <v>#VALUE!</v>
      </c>
      <c r="AQ49" s="99" t="e">
        <f>'Effort Estimation'!K383+"AM:!$XS"</f>
        <v>#VALUE!</v>
      </c>
      <c r="AR49" s="99" t="e">
        <f>'Effort Estimation'!L383+"AM:!$XT"</f>
        <v>#VALUE!</v>
      </c>
      <c r="AS49" s="99" t="e">
        <f>'Effort Estimation'!M383+"AM:!$XU"</f>
        <v>#VALUE!</v>
      </c>
      <c r="AT49" s="99" t="e">
        <f>'Effort Estimation'!N383+"AM:!$XV"</f>
        <v>#VALUE!</v>
      </c>
      <c r="AU49" s="99" t="e">
        <f>'Effort Estimation'!O383+"AM:!$XW"</f>
        <v>#VALUE!</v>
      </c>
      <c r="AV49" s="99" t="e">
        <f>'Effort Estimation'!P383+"AM:!$XX"</f>
        <v>#VALUE!</v>
      </c>
      <c r="AW49" s="99" t="e">
        <f>'Effort Estimation'!Q383+"AM:!$XY"</f>
        <v>#VALUE!</v>
      </c>
      <c r="AX49" t="e">
        <f>'Effort Estimation'!R383+"AM:!$XZ"</f>
        <v>#VALUE!</v>
      </c>
      <c r="AY49" t="e">
        <f>'Effort Estimation'!S383+"AM:!$X["</f>
        <v>#VALUE!</v>
      </c>
      <c r="AZ49" t="e">
        <f>'Effort Estimation'!T383+"AM:!$X\"</f>
        <v>#VALUE!</v>
      </c>
      <c r="BA49" t="e">
        <f>'Effort Estimation'!A384+"AM:!$X]"</f>
        <v>#VALUE!</v>
      </c>
      <c r="BB49" t="e">
        <f>'Effort Estimation'!B384+"AM:!$X^"</f>
        <v>#VALUE!</v>
      </c>
      <c r="BC49" t="e">
        <f>'Effort Estimation'!C384+"AM:!$X_"</f>
        <v>#VALUE!</v>
      </c>
      <c r="BD49" t="e">
        <f>'Effort Estimation'!D384+"AM:!$X`"</f>
        <v>#VALUE!</v>
      </c>
      <c r="BE49" t="e">
        <f>'Effort Estimation'!E384+"AM:!$Xa"</f>
        <v>#VALUE!</v>
      </c>
      <c r="BF49" t="e">
        <f>'Effort Estimation'!F384+"AM:!$Xb"</f>
        <v>#VALUE!</v>
      </c>
      <c r="BG49" t="e">
        <f>'Effort Estimation'!G384+"AM:!$Xc"</f>
        <v>#VALUE!</v>
      </c>
      <c r="BH49" t="e">
        <f>'Effort Estimation'!H384+"AM:!$Xd"</f>
        <v>#VALUE!</v>
      </c>
      <c r="BI49" t="e">
        <f>'Effort Estimation'!I384+"AM:!$Xe"</f>
        <v>#VALUE!</v>
      </c>
      <c r="BJ49" s="99" t="e">
        <f>'Effort Estimation'!J384+"AM:!$Xf"</f>
        <v>#VALUE!</v>
      </c>
      <c r="BK49" s="99" t="e">
        <f>'Effort Estimation'!K384+"AM:!$Xg"</f>
        <v>#VALUE!</v>
      </c>
      <c r="BL49" s="99" t="e">
        <f>'Effort Estimation'!L384+"AM:!$Xh"</f>
        <v>#VALUE!</v>
      </c>
      <c r="BM49" s="99" t="e">
        <f>'Effort Estimation'!M384+"AM:!$Xi"</f>
        <v>#VALUE!</v>
      </c>
      <c r="BN49" s="99" t="e">
        <f>'Effort Estimation'!N384+"AM:!$Xj"</f>
        <v>#VALUE!</v>
      </c>
      <c r="BO49" s="99" t="e">
        <f>'Effort Estimation'!O384+"AM:!$Xk"</f>
        <v>#VALUE!</v>
      </c>
      <c r="BP49" s="99" t="e">
        <f>'Effort Estimation'!P384+"AM:!$Xl"</f>
        <v>#VALUE!</v>
      </c>
      <c r="BQ49" s="99" t="e">
        <f>'Effort Estimation'!Q384+"AM:!$Xm"</f>
        <v>#VALUE!</v>
      </c>
      <c r="BR49" t="e">
        <f>'Effort Estimation'!R384+"AM:!$Xn"</f>
        <v>#VALUE!</v>
      </c>
      <c r="BS49" t="e">
        <f>'Effort Estimation'!S384+"AM:!$Xo"</f>
        <v>#VALUE!</v>
      </c>
      <c r="BT49" t="e">
        <f>'Effort Estimation'!T384+"AM:!$Xp"</f>
        <v>#VALUE!</v>
      </c>
      <c r="BU49" t="e">
        <f>'Effort Estimation'!A385+"AM:!$Xq"</f>
        <v>#VALUE!</v>
      </c>
      <c r="BV49" t="e">
        <f>'Effort Estimation'!B385+"AM:!$Xr"</f>
        <v>#VALUE!</v>
      </c>
      <c r="BW49" t="e">
        <f>'Effort Estimation'!C385+"AM:!$Xs"</f>
        <v>#VALUE!</v>
      </c>
      <c r="BX49" t="e">
        <f>'Effort Estimation'!D385+"AM:!$Xt"</f>
        <v>#VALUE!</v>
      </c>
      <c r="BY49" t="e">
        <f>'Effort Estimation'!E385+"AM:!$Xu"</f>
        <v>#VALUE!</v>
      </c>
      <c r="BZ49" t="e">
        <f>'Effort Estimation'!F385+"AM:!$Xv"</f>
        <v>#VALUE!</v>
      </c>
      <c r="CA49" t="e">
        <f>'Effort Estimation'!G385+"AM:!$Xw"</f>
        <v>#VALUE!</v>
      </c>
      <c r="CB49" t="e">
        <f>'Effort Estimation'!H385+"AM:!$Xx"</f>
        <v>#VALUE!</v>
      </c>
      <c r="CC49" t="e">
        <f>'Effort Estimation'!I385+"AM:!$Xy"</f>
        <v>#VALUE!</v>
      </c>
      <c r="CD49" s="99" t="e">
        <f>'Effort Estimation'!J385+"AM:!$Xz"</f>
        <v>#VALUE!</v>
      </c>
      <c r="CE49" s="99" t="e">
        <f>'Effort Estimation'!K385+"AM:!$X{"</f>
        <v>#VALUE!</v>
      </c>
      <c r="CF49" s="99" t="e">
        <f>'Effort Estimation'!L385+"AM:!$X|"</f>
        <v>#VALUE!</v>
      </c>
      <c r="CG49" s="99" t="e">
        <f>'Effort Estimation'!M385+"AM:!$X}"</f>
        <v>#VALUE!</v>
      </c>
      <c r="CH49" s="99" t="e">
        <f>'Effort Estimation'!N385+"AM:!$X~"</f>
        <v>#VALUE!</v>
      </c>
      <c r="CI49" s="99" t="e">
        <f>'Effort Estimation'!O385+"AM:!$Y#"</f>
        <v>#VALUE!</v>
      </c>
      <c r="CJ49" s="99" t="e">
        <f>'Effort Estimation'!P385+"AM:!$Y$"</f>
        <v>#VALUE!</v>
      </c>
      <c r="CK49" s="99" t="e">
        <f>'Effort Estimation'!Q385+"AM:!$Y%"</f>
        <v>#VALUE!</v>
      </c>
      <c r="CL49" t="e">
        <f>'Effort Estimation'!R385+"AM:!$Y&amp;"</f>
        <v>#VALUE!</v>
      </c>
      <c r="CM49" t="e">
        <f>'Effort Estimation'!S385+"AM:!$Y'"</f>
        <v>#VALUE!</v>
      </c>
      <c r="CN49" t="e">
        <f>'Effort Estimation'!T385+"AM:!$Y("</f>
        <v>#VALUE!</v>
      </c>
      <c r="CO49" t="e">
        <f>'Effort Estimation'!A386+"AM:!$Y)"</f>
        <v>#VALUE!</v>
      </c>
      <c r="CP49" t="e">
        <f>'Effort Estimation'!B386+"AM:!$Y."</f>
        <v>#VALUE!</v>
      </c>
      <c r="CQ49" t="e">
        <f>'Effort Estimation'!C386+"AM:!$Y/"</f>
        <v>#VALUE!</v>
      </c>
      <c r="CR49" t="e">
        <f>'Effort Estimation'!D386+"AM:!$Y0"</f>
        <v>#VALUE!</v>
      </c>
      <c r="CS49" t="e">
        <f>'Effort Estimation'!E386+"AM:!$Y1"</f>
        <v>#VALUE!</v>
      </c>
      <c r="CT49" t="e">
        <f>'Effort Estimation'!F386+"AM:!$Y2"</f>
        <v>#VALUE!</v>
      </c>
      <c r="CU49" t="e">
        <f>'Effort Estimation'!G386+"AM:!$Y3"</f>
        <v>#VALUE!</v>
      </c>
      <c r="CV49" t="e">
        <f>'Effort Estimation'!H386+"AM:!$Y4"</f>
        <v>#VALUE!</v>
      </c>
      <c r="CW49" t="e">
        <f>'Effort Estimation'!I386+"AM:!$Y5"</f>
        <v>#VALUE!</v>
      </c>
      <c r="CX49" s="99" t="e">
        <f>'Effort Estimation'!J386+"AM:!$Y6"</f>
        <v>#VALUE!</v>
      </c>
      <c r="CY49" s="99" t="e">
        <f>'Effort Estimation'!K386+"AM:!$Y7"</f>
        <v>#VALUE!</v>
      </c>
      <c r="CZ49" s="99" t="e">
        <f>'Effort Estimation'!L386+"AM:!$Y8"</f>
        <v>#VALUE!</v>
      </c>
      <c r="DA49" s="99" t="e">
        <f>'Effort Estimation'!M386+"AM:!$Y9"</f>
        <v>#VALUE!</v>
      </c>
      <c r="DB49" s="99" t="e">
        <f>'Effort Estimation'!N386+"AM:!$Y:"</f>
        <v>#VALUE!</v>
      </c>
      <c r="DC49" s="99" t="e">
        <f>'Effort Estimation'!O386+"AM:!$Y;"</f>
        <v>#VALUE!</v>
      </c>
      <c r="DD49" s="99" t="e">
        <f>'Effort Estimation'!P386+"AM:!$Y&lt;"</f>
        <v>#VALUE!</v>
      </c>
      <c r="DE49" s="99" t="e">
        <f>'Effort Estimation'!Q386+"AM:!$Y="</f>
        <v>#VALUE!</v>
      </c>
      <c r="DF49" t="e">
        <f>'Effort Estimation'!R386+"AM:!$Y&gt;"</f>
        <v>#VALUE!</v>
      </c>
      <c r="DG49" t="e">
        <f>'Effort Estimation'!S386+"AM:!$Y?"</f>
        <v>#VALUE!</v>
      </c>
      <c r="DH49" t="e">
        <f>'Effort Estimation'!T386+"AM:!$Y@"</f>
        <v>#VALUE!</v>
      </c>
      <c r="DI49" t="e">
        <f>'Effort Estimation'!A387+"AM:!$YA"</f>
        <v>#VALUE!</v>
      </c>
      <c r="DJ49" t="e">
        <f>'Effort Estimation'!B387+"AM:!$YB"</f>
        <v>#VALUE!</v>
      </c>
      <c r="DK49" t="e">
        <f>'Effort Estimation'!C387+"AM:!$YC"</f>
        <v>#VALUE!</v>
      </c>
      <c r="DL49" t="e">
        <f>'Effort Estimation'!D387+"AM:!$YD"</f>
        <v>#VALUE!</v>
      </c>
      <c r="DM49" t="e">
        <f>'Effort Estimation'!E387+"AM:!$YE"</f>
        <v>#VALUE!</v>
      </c>
      <c r="DN49" t="e">
        <f>'Effort Estimation'!F387+"AM:!$YF"</f>
        <v>#VALUE!</v>
      </c>
      <c r="DO49" t="e">
        <f>'Effort Estimation'!G387+"AM:!$YG"</f>
        <v>#VALUE!</v>
      </c>
      <c r="DP49" t="e">
        <f>'Effort Estimation'!H387+"AM:!$YH"</f>
        <v>#VALUE!</v>
      </c>
      <c r="DQ49" t="e">
        <f>'Effort Estimation'!I387+"AM:!$YI"</f>
        <v>#VALUE!</v>
      </c>
      <c r="DR49" s="99" t="e">
        <f>'Effort Estimation'!J387+"AM:!$YJ"</f>
        <v>#VALUE!</v>
      </c>
      <c r="DS49" s="99" t="e">
        <f>'Effort Estimation'!K387+"AM:!$YK"</f>
        <v>#VALUE!</v>
      </c>
      <c r="DT49" s="99" t="e">
        <f>'Effort Estimation'!L387+"AM:!$YL"</f>
        <v>#VALUE!</v>
      </c>
      <c r="DU49" s="99" t="e">
        <f>'Effort Estimation'!M387+"AM:!$YM"</f>
        <v>#VALUE!</v>
      </c>
      <c r="DV49" s="99" t="e">
        <f>'Effort Estimation'!N387+"AM:!$YN"</f>
        <v>#VALUE!</v>
      </c>
      <c r="DW49" s="99" t="e">
        <f>'Effort Estimation'!O387+"AM:!$YO"</f>
        <v>#VALUE!</v>
      </c>
      <c r="DX49" s="99" t="e">
        <f>'Effort Estimation'!P387+"AM:!$YP"</f>
        <v>#VALUE!</v>
      </c>
      <c r="DY49" s="99" t="e">
        <f>'Effort Estimation'!Q387+"AM:!$YQ"</f>
        <v>#VALUE!</v>
      </c>
      <c r="DZ49" t="e">
        <f>'Effort Estimation'!R387+"AM:!$YR"</f>
        <v>#VALUE!</v>
      </c>
      <c r="EA49" t="e">
        <f>'Effort Estimation'!S387+"AM:!$YS"</f>
        <v>#VALUE!</v>
      </c>
      <c r="EB49" t="e">
        <f>'Effort Estimation'!T387+"AM:!$YT"</f>
        <v>#VALUE!</v>
      </c>
      <c r="EC49" t="e">
        <f>'Effort Estimation'!A388+"AM:!$YU"</f>
        <v>#VALUE!</v>
      </c>
      <c r="ED49" t="e">
        <f>'Effort Estimation'!B388+"AM:!$YV"</f>
        <v>#VALUE!</v>
      </c>
      <c r="EE49" t="e">
        <f>'Effort Estimation'!C388+"AM:!$YW"</f>
        <v>#VALUE!</v>
      </c>
      <c r="EF49" t="e">
        <f>'Effort Estimation'!D388+"AM:!$YX"</f>
        <v>#VALUE!</v>
      </c>
      <c r="EG49" t="e">
        <f>'Effort Estimation'!E388+"AM:!$YY"</f>
        <v>#VALUE!</v>
      </c>
      <c r="EH49" t="e">
        <f>'Effort Estimation'!F388+"AM:!$YZ"</f>
        <v>#VALUE!</v>
      </c>
      <c r="EI49" t="e">
        <f>'Effort Estimation'!G388+"AM:!$Y["</f>
        <v>#VALUE!</v>
      </c>
      <c r="EJ49" t="e">
        <f>'Effort Estimation'!H388+"AM:!$Y\"</f>
        <v>#VALUE!</v>
      </c>
      <c r="EK49" t="e">
        <f>'Effort Estimation'!I388+"AM:!$Y]"</f>
        <v>#VALUE!</v>
      </c>
      <c r="EL49" s="99" t="e">
        <f>'Effort Estimation'!J388+"AM:!$Y^"</f>
        <v>#VALUE!</v>
      </c>
      <c r="EM49" s="99" t="e">
        <f>'Effort Estimation'!K388+"AM:!$Y_"</f>
        <v>#VALUE!</v>
      </c>
      <c r="EN49" s="99" t="e">
        <f>'Effort Estimation'!L388+"AM:!$Y`"</f>
        <v>#VALUE!</v>
      </c>
      <c r="EO49" s="99" t="e">
        <f>'Effort Estimation'!M388+"AM:!$Ya"</f>
        <v>#VALUE!</v>
      </c>
      <c r="EP49" s="99" t="e">
        <f>'Effort Estimation'!N388+"AM:!$Yb"</f>
        <v>#VALUE!</v>
      </c>
      <c r="EQ49" s="99" t="e">
        <f>'Effort Estimation'!O388+"AM:!$Yc"</f>
        <v>#VALUE!</v>
      </c>
      <c r="ER49" s="99" t="e">
        <f>'Effort Estimation'!P388+"AM:!$Yd"</f>
        <v>#VALUE!</v>
      </c>
      <c r="ES49" s="99" t="e">
        <f>'Effort Estimation'!Q388+"AM:!$Ye"</f>
        <v>#VALUE!</v>
      </c>
      <c r="ET49" t="e">
        <f>'Effort Estimation'!R388+"AM:!$Yf"</f>
        <v>#VALUE!</v>
      </c>
      <c r="EU49" t="e">
        <f>'Effort Estimation'!S388+"AM:!$Yg"</f>
        <v>#VALUE!</v>
      </c>
      <c r="EV49" t="e">
        <f>'Effort Estimation'!T388+"AM:!$Yh"</f>
        <v>#VALUE!</v>
      </c>
      <c r="EW49" t="e">
        <f>'Effort Estimation'!A389+"AM:!$Yi"</f>
        <v>#VALUE!</v>
      </c>
      <c r="EX49" t="e">
        <f>'Effort Estimation'!B389+"AM:!$Yj"</f>
        <v>#VALUE!</v>
      </c>
      <c r="EY49" t="e">
        <f>'Effort Estimation'!C389+"AM:!$Yk"</f>
        <v>#VALUE!</v>
      </c>
      <c r="EZ49" t="e">
        <f>'Effort Estimation'!D389+"AM:!$Yl"</f>
        <v>#VALUE!</v>
      </c>
      <c r="FA49" t="e">
        <f>'Effort Estimation'!E389+"AM:!$Ym"</f>
        <v>#VALUE!</v>
      </c>
      <c r="FB49" t="e">
        <f>'Effort Estimation'!F389+"AM:!$Yn"</f>
        <v>#VALUE!</v>
      </c>
      <c r="FC49" t="e">
        <f>'Effort Estimation'!G389+"AM:!$Yo"</f>
        <v>#VALUE!</v>
      </c>
      <c r="FD49" t="e">
        <f>'Effort Estimation'!H389+"AM:!$Yp"</f>
        <v>#VALUE!</v>
      </c>
      <c r="FE49" t="e">
        <f>'Effort Estimation'!I389+"AM:!$Yq"</f>
        <v>#VALUE!</v>
      </c>
      <c r="FF49" s="99" t="e">
        <f>'Effort Estimation'!J389+"AM:!$Yr"</f>
        <v>#VALUE!</v>
      </c>
      <c r="FG49" s="99" t="e">
        <f>'Effort Estimation'!K389+"AM:!$Ys"</f>
        <v>#VALUE!</v>
      </c>
      <c r="FH49" s="99" t="e">
        <f>'Effort Estimation'!L389+"AM:!$Yt"</f>
        <v>#VALUE!</v>
      </c>
      <c r="FI49" s="99" t="e">
        <f>'Effort Estimation'!M389+"AM:!$Yu"</f>
        <v>#VALUE!</v>
      </c>
      <c r="FJ49" s="99" t="e">
        <f>'Effort Estimation'!N389+"AM:!$Yv"</f>
        <v>#VALUE!</v>
      </c>
      <c r="FK49" s="99" t="e">
        <f>'Effort Estimation'!O389+"AM:!$Yw"</f>
        <v>#VALUE!</v>
      </c>
      <c r="FL49" s="99" t="e">
        <f>'Effort Estimation'!P389+"AM:!$Yx"</f>
        <v>#VALUE!</v>
      </c>
      <c r="FM49" s="99" t="e">
        <f>'Effort Estimation'!Q389+"AM:!$Yy"</f>
        <v>#VALUE!</v>
      </c>
      <c r="FN49" t="e">
        <f>'Effort Estimation'!R389+"AM:!$Yz"</f>
        <v>#VALUE!</v>
      </c>
      <c r="FO49" t="e">
        <f>'Effort Estimation'!S389+"AM:!$Y{"</f>
        <v>#VALUE!</v>
      </c>
      <c r="FP49" t="e">
        <f>'Effort Estimation'!T389+"AM:!$Y|"</f>
        <v>#VALUE!</v>
      </c>
      <c r="FQ49" t="e">
        <f>'Effort Estimation'!A390+"AM:!$Y}"</f>
        <v>#VALUE!</v>
      </c>
      <c r="FR49" t="e">
        <f>'Effort Estimation'!B390+"AM:!$Y~"</f>
        <v>#VALUE!</v>
      </c>
      <c r="FS49" t="e">
        <f>'Effort Estimation'!C390+"AM:!$Z#"</f>
        <v>#VALUE!</v>
      </c>
      <c r="FT49" t="e">
        <f>'Effort Estimation'!D390+"AM:!$Z$"</f>
        <v>#VALUE!</v>
      </c>
      <c r="FU49" t="e">
        <f>'Effort Estimation'!E390+"AM:!$Z%"</f>
        <v>#VALUE!</v>
      </c>
      <c r="FV49" t="e">
        <f>'Effort Estimation'!F390+"AM:!$Z&amp;"</f>
        <v>#VALUE!</v>
      </c>
      <c r="FW49" t="e">
        <f>'Effort Estimation'!G390+"AM:!$Z'"</f>
        <v>#VALUE!</v>
      </c>
      <c r="FX49" t="e">
        <f>'Effort Estimation'!H390+"AM:!$Z("</f>
        <v>#VALUE!</v>
      </c>
      <c r="FY49" t="e">
        <f>'Effort Estimation'!I390+"AM:!$Z)"</f>
        <v>#VALUE!</v>
      </c>
      <c r="FZ49" s="99" t="e">
        <f>'Effort Estimation'!J390+"AM:!$Z."</f>
        <v>#VALUE!</v>
      </c>
      <c r="GA49" s="99" t="e">
        <f>'Effort Estimation'!K390+"AM:!$Z/"</f>
        <v>#VALUE!</v>
      </c>
      <c r="GB49" s="99" t="e">
        <f>'Effort Estimation'!L390+"AM:!$Z0"</f>
        <v>#VALUE!</v>
      </c>
      <c r="GC49" s="99" t="e">
        <f>'Effort Estimation'!M390+"AM:!$Z1"</f>
        <v>#VALUE!</v>
      </c>
      <c r="GD49" s="99" t="e">
        <f>'Effort Estimation'!N390+"AM:!$Z2"</f>
        <v>#VALUE!</v>
      </c>
      <c r="GE49" s="99" t="e">
        <f>'Effort Estimation'!O390+"AM:!$Z3"</f>
        <v>#VALUE!</v>
      </c>
      <c r="GF49" s="99" t="e">
        <f>'Effort Estimation'!P390+"AM:!$Z4"</f>
        <v>#VALUE!</v>
      </c>
      <c r="GG49" s="99" t="e">
        <f>'Effort Estimation'!Q390+"AM:!$Z5"</f>
        <v>#VALUE!</v>
      </c>
      <c r="GH49" t="e">
        <f>'Effort Estimation'!R390+"AM:!$Z6"</f>
        <v>#VALUE!</v>
      </c>
      <c r="GI49" t="e">
        <f>'Effort Estimation'!S390+"AM:!$Z7"</f>
        <v>#VALUE!</v>
      </c>
      <c r="GJ49" t="e">
        <f>'Effort Estimation'!T390+"AM:!$Z8"</f>
        <v>#VALUE!</v>
      </c>
      <c r="GK49" t="e">
        <f>'Effort Estimation'!A391+"AM:!$Z9"</f>
        <v>#VALUE!</v>
      </c>
      <c r="GL49" t="e">
        <f>'Effort Estimation'!B391+"AM:!$Z:"</f>
        <v>#VALUE!</v>
      </c>
      <c r="GM49" t="e">
        <f>'Effort Estimation'!C391+"AM:!$Z;"</f>
        <v>#VALUE!</v>
      </c>
      <c r="GN49" t="e">
        <f>'Effort Estimation'!D391+"AM:!$Z&lt;"</f>
        <v>#VALUE!</v>
      </c>
      <c r="GO49" t="e">
        <f>'Effort Estimation'!E391+"AM:!$Z="</f>
        <v>#VALUE!</v>
      </c>
      <c r="GP49" t="e">
        <f>'Effort Estimation'!F391+"AM:!$Z&gt;"</f>
        <v>#VALUE!</v>
      </c>
      <c r="GQ49" t="e">
        <f>'Effort Estimation'!G391+"AM:!$Z?"</f>
        <v>#VALUE!</v>
      </c>
      <c r="GR49" t="e">
        <f>'Effort Estimation'!H391+"AM:!$Z@"</f>
        <v>#VALUE!</v>
      </c>
      <c r="GS49" t="e">
        <f>'Effort Estimation'!I391+"AM:!$ZA"</f>
        <v>#VALUE!</v>
      </c>
      <c r="GT49" s="99" t="e">
        <f>'Effort Estimation'!J391+"AM:!$ZB"</f>
        <v>#VALUE!</v>
      </c>
      <c r="GU49" s="99" t="e">
        <f>'Effort Estimation'!K391+"AM:!$ZC"</f>
        <v>#VALUE!</v>
      </c>
      <c r="GV49" s="99" t="e">
        <f>'Effort Estimation'!L391+"AM:!$ZD"</f>
        <v>#VALUE!</v>
      </c>
      <c r="GW49" s="99" t="e">
        <f>'Effort Estimation'!M391+"AM:!$ZE"</f>
        <v>#VALUE!</v>
      </c>
      <c r="GX49" s="99" t="e">
        <f>'Effort Estimation'!N391+"AM:!$ZF"</f>
        <v>#VALUE!</v>
      </c>
      <c r="GY49" s="99" t="e">
        <f>'Effort Estimation'!O391+"AM:!$ZG"</f>
        <v>#VALUE!</v>
      </c>
      <c r="GZ49" s="99" t="e">
        <f>'Effort Estimation'!P391+"AM:!$ZH"</f>
        <v>#VALUE!</v>
      </c>
      <c r="HA49" s="99" t="e">
        <f>'Effort Estimation'!Q391+"AM:!$ZI"</f>
        <v>#VALUE!</v>
      </c>
      <c r="HB49" t="e">
        <f>'Effort Estimation'!R391+"AM:!$ZJ"</f>
        <v>#VALUE!</v>
      </c>
      <c r="HC49" t="e">
        <f>'Effort Estimation'!S391+"AM:!$ZK"</f>
        <v>#VALUE!</v>
      </c>
      <c r="HD49" t="e">
        <f>'Effort Estimation'!T391+"AM:!$ZL"</f>
        <v>#VALUE!</v>
      </c>
      <c r="HE49" t="e">
        <f>'Effort Estimation'!A392+"AM:!$ZM"</f>
        <v>#VALUE!</v>
      </c>
      <c r="HF49" t="e">
        <f>'Effort Estimation'!B392+"AM:!$ZN"</f>
        <v>#VALUE!</v>
      </c>
      <c r="HG49" t="e">
        <f>'Effort Estimation'!C392+"AM:!$ZO"</f>
        <v>#VALUE!</v>
      </c>
      <c r="HH49" t="e">
        <f>'Effort Estimation'!D392+"AM:!$ZP"</f>
        <v>#VALUE!</v>
      </c>
      <c r="HI49" t="e">
        <f>'Effort Estimation'!E392+"AM:!$ZQ"</f>
        <v>#VALUE!</v>
      </c>
      <c r="HJ49" t="e">
        <f>'Effort Estimation'!F392+"AM:!$ZR"</f>
        <v>#VALUE!</v>
      </c>
      <c r="HK49" t="e">
        <f>'Effort Estimation'!G392+"AM:!$ZS"</f>
        <v>#VALUE!</v>
      </c>
      <c r="HL49" t="e">
        <f>'Effort Estimation'!H392+"AM:!$ZT"</f>
        <v>#VALUE!</v>
      </c>
      <c r="HM49" t="e">
        <f>'Effort Estimation'!I392+"AM:!$ZU"</f>
        <v>#VALUE!</v>
      </c>
      <c r="HN49" s="99" t="e">
        <f>'Effort Estimation'!J392+"AM:!$ZV"</f>
        <v>#VALUE!</v>
      </c>
      <c r="HO49" s="99" t="e">
        <f>'Effort Estimation'!K392+"AM:!$ZW"</f>
        <v>#VALUE!</v>
      </c>
      <c r="HP49" s="99" t="e">
        <f>'Effort Estimation'!L392+"AM:!$ZX"</f>
        <v>#VALUE!</v>
      </c>
      <c r="HQ49" s="99" t="e">
        <f>'Effort Estimation'!M392+"AM:!$ZY"</f>
        <v>#VALUE!</v>
      </c>
      <c r="HR49" s="99" t="e">
        <f>'Effort Estimation'!N392+"AM:!$ZZ"</f>
        <v>#VALUE!</v>
      </c>
      <c r="HS49" s="99" t="e">
        <f>'Effort Estimation'!O392+"AM:!$Z["</f>
        <v>#VALUE!</v>
      </c>
      <c r="HT49" s="99" t="e">
        <f>'Effort Estimation'!P392+"AM:!$Z\"</f>
        <v>#VALUE!</v>
      </c>
      <c r="HU49" s="99" t="e">
        <f>'Effort Estimation'!Q392+"AM:!$Z]"</f>
        <v>#VALUE!</v>
      </c>
      <c r="HV49" t="e">
        <f>'Effort Estimation'!R392+"AM:!$Z^"</f>
        <v>#VALUE!</v>
      </c>
      <c r="HW49" t="e">
        <f>'Effort Estimation'!S392+"AM:!$Z_"</f>
        <v>#VALUE!</v>
      </c>
      <c r="HX49" t="e">
        <f>'Effort Estimation'!T392+"AM:!$Z`"</f>
        <v>#VALUE!</v>
      </c>
      <c r="HY49" t="e">
        <f>'Effort Estimation'!A393+"AM:!$Za"</f>
        <v>#VALUE!</v>
      </c>
      <c r="HZ49" t="e">
        <f>'Effort Estimation'!B393+"AM:!$Zb"</f>
        <v>#VALUE!</v>
      </c>
      <c r="IA49" t="e">
        <f>'Effort Estimation'!C393+"AM:!$Zc"</f>
        <v>#VALUE!</v>
      </c>
      <c r="IB49" t="e">
        <f>'Effort Estimation'!D393+"AM:!$Zd"</f>
        <v>#VALUE!</v>
      </c>
      <c r="IC49" t="e">
        <f>'Effort Estimation'!E393+"AM:!$Ze"</f>
        <v>#VALUE!</v>
      </c>
      <c r="ID49" t="e">
        <f>'Effort Estimation'!F393+"AM:!$Zf"</f>
        <v>#VALUE!</v>
      </c>
      <c r="IE49" t="e">
        <f>'Effort Estimation'!G393+"AM:!$Zg"</f>
        <v>#VALUE!</v>
      </c>
      <c r="IF49" t="e">
        <f>'Effort Estimation'!H393+"AM:!$Zh"</f>
        <v>#VALUE!</v>
      </c>
      <c r="IG49" t="e">
        <f>'Effort Estimation'!I393+"AM:!$Zi"</f>
        <v>#VALUE!</v>
      </c>
      <c r="IH49" s="99" t="e">
        <f>'Effort Estimation'!J393+"AM:!$Zj"</f>
        <v>#VALUE!</v>
      </c>
      <c r="II49" s="99" t="e">
        <f>'Effort Estimation'!K393+"AM:!$Zk"</f>
        <v>#VALUE!</v>
      </c>
      <c r="IJ49" s="99" t="e">
        <f>'Effort Estimation'!L393+"AM:!$Zl"</f>
        <v>#VALUE!</v>
      </c>
      <c r="IK49" s="99" t="e">
        <f>'Effort Estimation'!M393+"AM:!$Zm"</f>
        <v>#VALUE!</v>
      </c>
      <c r="IL49" s="99" t="e">
        <f>'Effort Estimation'!N393+"AM:!$Zn"</f>
        <v>#VALUE!</v>
      </c>
      <c r="IM49" s="99" t="e">
        <f>'Effort Estimation'!O393+"AM:!$Zo"</f>
        <v>#VALUE!</v>
      </c>
      <c r="IN49" s="99" t="e">
        <f>'Effort Estimation'!P393+"AM:!$Zp"</f>
        <v>#VALUE!</v>
      </c>
      <c r="IO49" s="99" t="e">
        <f>'Effort Estimation'!Q393+"AM:!$Zq"</f>
        <v>#VALUE!</v>
      </c>
      <c r="IP49" t="e">
        <f>'Effort Estimation'!R393+"AM:!$Zr"</f>
        <v>#VALUE!</v>
      </c>
      <c r="IQ49" t="e">
        <f>'Effort Estimation'!S393+"AM:!$Zs"</f>
        <v>#VALUE!</v>
      </c>
      <c r="IR49" t="e">
        <f>'Effort Estimation'!T393+"AM:!$Zt"</f>
        <v>#VALUE!</v>
      </c>
      <c r="IS49" t="e">
        <f>'Effort Estimation'!A394+"AM:!$Zu"</f>
        <v>#VALUE!</v>
      </c>
      <c r="IT49" t="e">
        <f>'Effort Estimation'!B394+"AM:!$Zv"</f>
        <v>#VALUE!</v>
      </c>
      <c r="IU49" t="e">
        <f>'Effort Estimation'!C394+"AM:!$Zw"</f>
        <v>#VALUE!</v>
      </c>
      <c r="IV49" t="e">
        <f>'Effort Estimation'!D394+"AM:!$Zx"</f>
        <v>#VALUE!</v>
      </c>
    </row>
    <row r="50" spans="6:256">
      <c r="F50" t="e">
        <f>'Effort Estimation'!E394+"AM:!$Zy"</f>
        <v>#VALUE!</v>
      </c>
      <c r="G50" t="e">
        <f>'Effort Estimation'!F394+"AM:!$Zz"</f>
        <v>#VALUE!</v>
      </c>
      <c r="H50" t="e">
        <f>'Effort Estimation'!G394+"AM:!$Z{"</f>
        <v>#VALUE!</v>
      </c>
      <c r="I50" t="e">
        <f>'Effort Estimation'!H394+"AM:!$Z|"</f>
        <v>#VALUE!</v>
      </c>
      <c r="J50" t="e">
        <f>'Effort Estimation'!I394+"AM:!$Z}"</f>
        <v>#VALUE!</v>
      </c>
      <c r="K50" s="99" t="e">
        <f>'Effort Estimation'!J394+"AM:!$Z~"</f>
        <v>#VALUE!</v>
      </c>
      <c r="L50" s="99" t="e">
        <f>'Effort Estimation'!K394+"AM:!$[#"</f>
        <v>#VALUE!</v>
      </c>
      <c r="M50" s="99" t="e">
        <f>'Effort Estimation'!L394+"AM:!$[$"</f>
        <v>#VALUE!</v>
      </c>
      <c r="N50" s="99" t="e">
        <f>'Effort Estimation'!M394+"AM:!$[%"</f>
        <v>#VALUE!</v>
      </c>
      <c r="O50" s="99" t="e">
        <f>'Effort Estimation'!N394+"AM:!$[&amp;"</f>
        <v>#VALUE!</v>
      </c>
      <c r="P50" s="99" t="e">
        <f>'Effort Estimation'!O394+"AM:!$['"</f>
        <v>#VALUE!</v>
      </c>
      <c r="Q50" s="99" t="e">
        <f>'Effort Estimation'!P394+"AM:!$[("</f>
        <v>#VALUE!</v>
      </c>
      <c r="R50" s="99" t="e">
        <f>'Effort Estimation'!Q394+"AM:!$[)"</f>
        <v>#VALUE!</v>
      </c>
      <c r="S50" t="e">
        <f>'Effort Estimation'!R394+"AM:!$[."</f>
        <v>#VALUE!</v>
      </c>
      <c r="T50" t="e">
        <f>'Effort Estimation'!S394+"AM:!$[/"</f>
        <v>#VALUE!</v>
      </c>
      <c r="U50" t="e">
        <f>'Effort Estimation'!T394+"AM:!$[0"</f>
        <v>#VALUE!</v>
      </c>
      <c r="V50" t="e">
        <f>'Effort Estimation'!A395+"AM:!$[1"</f>
        <v>#VALUE!</v>
      </c>
      <c r="W50" t="e">
        <f>'Effort Estimation'!B395+"AM:!$[2"</f>
        <v>#VALUE!</v>
      </c>
      <c r="X50" t="e">
        <f>'Effort Estimation'!C395+"AM:!$[3"</f>
        <v>#VALUE!</v>
      </c>
      <c r="Y50" t="e">
        <f>'Effort Estimation'!D395+"AM:!$[4"</f>
        <v>#VALUE!</v>
      </c>
      <c r="Z50" t="e">
        <f>'Effort Estimation'!E395+"AM:!$[5"</f>
        <v>#VALUE!</v>
      </c>
      <c r="AA50" t="e">
        <f>'Effort Estimation'!F395+"AM:!$[6"</f>
        <v>#VALUE!</v>
      </c>
      <c r="AB50" t="e">
        <f>'Effort Estimation'!G395+"AM:!$[7"</f>
        <v>#VALUE!</v>
      </c>
      <c r="AC50" t="e">
        <f>'Effort Estimation'!H395+"AM:!$[8"</f>
        <v>#VALUE!</v>
      </c>
      <c r="AD50" t="e">
        <f>'Effort Estimation'!I395+"AM:!$[9"</f>
        <v>#VALUE!</v>
      </c>
      <c r="AE50" s="99" t="e">
        <f>'Effort Estimation'!J395+"AM:!$[:"</f>
        <v>#VALUE!</v>
      </c>
      <c r="AF50" s="99" t="e">
        <f>'Effort Estimation'!K395+"AM:!$[;"</f>
        <v>#VALUE!</v>
      </c>
      <c r="AG50" s="99" t="e">
        <f>'Effort Estimation'!L395+"AM:!$[&lt;"</f>
        <v>#VALUE!</v>
      </c>
      <c r="AH50" s="99" t="e">
        <f>'Effort Estimation'!M395+"AM:!$[="</f>
        <v>#VALUE!</v>
      </c>
      <c r="AI50" s="99" t="e">
        <f>'Effort Estimation'!N395+"AM:!$[&gt;"</f>
        <v>#VALUE!</v>
      </c>
      <c r="AJ50" s="99" t="e">
        <f>'Effort Estimation'!O395+"AM:!$[?"</f>
        <v>#VALUE!</v>
      </c>
      <c r="AK50" s="99" t="e">
        <f>'Effort Estimation'!P395+"AM:!$[@"</f>
        <v>#VALUE!</v>
      </c>
      <c r="AL50" s="99" t="e">
        <f>'Effort Estimation'!Q395+"AM:!$[A"</f>
        <v>#VALUE!</v>
      </c>
      <c r="AM50" t="e">
        <f>'Effort Estimation'!R395+"AM:!$[B"</f>
        <v>#VALUE!</v>
      </c>
      <c r="AN50" t="e">
        <f>'Effort Estimation'!S395+"AM:!$[C"</f>
        <v>#VALUE!</v>
      </c>
      <c r="AO50" t="e">
        <f>'Effort Estimation'!T395+"AM:!$[D"</f>
        <v>#VALUE!</v>
      </c>
      <c r="AP50" t="e">
        <f>'Effort Estimation'!A396+"AM:!$[E"</f>
        <v>#VALUE!</v>
      </c>
      <c r="AQ50" t="e">
        <f>'Effort Estimation'!B396+"AM:!$[F"</f>
        <v>#VALUE!</v>
      </c>
      <c r="AR50" t="e">
        <f>'Effort Estimation'!C396+"AM:!$[G"</f>
        <v>#VALUE!</v>
      </c>
      <c r="AS50" t="e">
        <f>'Effort Estimation'!D396+"AM:!$[H"</f>
        <v>#VALUE!</v>
      </c>
      <c r="AT50" t="e">
        <f>'Effort Estimation'!E396+"AM:!$[I"</f>
        <v>#VALUE!</v>
      </c>
      <c r="AU50" t="e">
        <f>'Effort Estimation'!F396+"AM:!$[J"</f>
        <v>#VALUE!</v>
      </c>
      <c r="AV50" t="e">
        <f>'Effort Estimation'!G396+"AM:!$[K"</f>
        <v>#VALUE!</v>
      </c>
      <c r="AW50" t="e">
        <f>'Effort Estimation'!H396+"AM:!$[L"</f>
        <v>#VALUE!</v>
      </c>
      <c r="AX50" t="e">
        <f>'Effort Estimation'!I396+"AM:!$[M"</f>
        <v>#VALUE!</v>
      </c>
      <c r="AY50" s="99" t="e">
        <f>'Effort Estimation'!J396+"AM:!$[N"</f>
        <v>#VALUE!</v>
      </c>
      <c r="AZ50" s="99" t="e">
        <f>'Effort Estimation'!K396+"AM:!$[O"</f>
        <v>#VALUE!</v>
      </c>
      <c r="BA50" s="99" t="e">
        <f>'Effort Estimation'!L396+"AM:!$[P"</f>
        <v>#VALUE!</v>
      </c>
      <c r="BB50" s="99" t="e">
        <f>'Effort Estimation'!M396+"AM:!$[Q"</f>
        <v>#VALUE!</v>
      </c>
      <c r="BC50" s="99" t="e">
        <f>'Effort Estimation'!N396+"AM:!$[R"</f>
        <v>#VALUE!</v>
      </c>
      <c r="BD50" s="99" t="e">
        <f>'Effort Estimation'!O396+"AM:!$[S"</f>
        <v>#VALUE!</v>
      </c>
      <c r="BE50" s="99" t="e">
        <f>'Effort Estimation'!P396+"AM:!$[T"</f>
        <v>#VALUE!</v>
      </c>
      <c r="BF50" s="99" t="e">
        <f>'Effort Estimation'!Q396+"AM:!$[U"</f>
        <v>#VALUE!</v>
      </c>
      <c r="BG50" t="e">
        <f>'Effort Estimation'!R396+"AM:!$[V"</f>
        <v>#VALUE!</v>
      </c>
      <c r="BH50" t="e">
        <f>'Effort Estimation'!S396+"AM:!$[W"</f>
        <v>#VALUE!</v>
      </c>
      <c r="BI50" t="e">
        <f>'Effort Estimation'!T396+"AM:!$[X"</f>
        <v>#VALUE!</v>
      </c>
      <c r="BJ50" t="e">
        <f>'Effort Estimation'!A397+"AM:!$[Y"</f>
        <v>#VALUE!</v>
      </c>
      <c r="BK50" t="e">
        <f>'Effort Estimation'!B397+"AM:!$[Z"</f>
        <v>#VALUE!</v>
      </c>
      <c r="BL50" t="e">
        <f>'Effort Estimation'!C397+"AM:!$[["</f>
        <v>#VALUE!</v>
      </c>
      <c r="BM50" t="e">
        <f>'Effort Estimation'!D397+"AM:!$[\"</f>
        <v>#VALUE!</v>
      </c>
      <c r="BN50" t="e">
        <f>'Effort Estimation'!E397+"AM:!$[]"</f>
        <v>#VALUE!</v>
      </c>
      <c r="BO50" t="e">
        <f>'Effort Estimation'!F397+"AM:!$[^"</f>
        <v>#VALUE!</v>
      </c>
      <c r="BP50" t="e">
        <f>'Effort Estimation'!G397+"AM:!$[_"</f>
        <v>#VALUE!</v>
      </c>
      <c r="BQ50" t="e">
        <f>'Effort Estimation'!H397+"AM:!$[`"</f>
        <v>#VALUE!</v>
      </c>
      <c r="BR50" t="e">
        <f>'Effort Estimation'!I397+"AM:!$[a"</f>
        <v>#VALUE!</v>
      </c>
      <c r="BS50" s="99" t="e">
        <f>'Effort Estimation'!J397+"AM:!$[b"</f>
        <v>#VALUE!</v>
      </c>
      <c r="BT50" s="99" t="e">
        <f>'Effort Estimation'!K397+"AM:!$[c"</f>
        <v>#VALUE!</v>
      </c>
      <c r="BU50" s="99" t="e">
        <f>'Effort Estimation'!L397+"AM:!$[d"</f>
        <v>#VALUE!</v>
      </c>
      <c r="BV50" s="99" t="e">
        <f>'Effort Estimation'!M397+"AM:!$[e"</f>
        <v>#VALUE!</v>
      </c>
      <c r="BW50" s="99" t="e">
        <f>'Effort Estimation'!N397+"AM:!$[f"</f>
        <v>#VALUE!</v>
      </c>
      <c r="BX50" s="99" t="e">
        <f>'Effort Estimation'!O397+"AM:!$[g"</f>
        <v>#VALUE!</v>
      </c>
      <c r="BY50" s="99" t="e">
        <f>'Effort Estimation'!P397+"AM:!$[h"</f>
        <v>#VALUE!</v>
      </c>
      <c r="BZ50" s="99" t="e">
        <f>'Effort Estimation'!Q397+"AM:!$[i"</f>
        <v>#VALUE!</v>
      </c>
      <c r="CA50" t="e">
        <f>'Effort Estimation'!R397+"AM:!$[j"</f>
        <v>#VALUE!</v>
      </c>
      <c r="CB50" t="e">
        <f>'Effort Estimation'!S397+"AM:!$[k"</f>
        <v>#VALUE!</v>
      </c>
      <c r="CC50" t="e">
        <f>'Effort Estimation'!T397+"AM:!$[l"</f>
        <v>#VALUE!</v>
      </c>
      <c r="CD50" t="e">
        <f>'Effort Estimation'!A398+"AM:!$[m"</f>
        <v>#VALUE!</v>
      </c>
      <c r="CE50" t="e">
        <f>'Effort Estimation'!B398+"AM:!$[n"</f>
        <v>#VALUE!</v>
      </c>
      <c r="CF50" t="e">
        <f>'Effort Estimation'!C398+"AM:!$[o"</f>
        <v>#VALUE!</v>
      </c>
      <c r="CG50" t="e">
        <f>'Effort Estimation'!D398+"AM:!$[p"</f>
        <v>#VALUE!</v>
      </c>
      <c r="CH50" t="e">
        <f>'Effort Estimation'!E398+"AM:!$[q"</f>
        <v>#VALUE!</v>
      </c>
      <c r="CI50" t="e">
        <f>'Effort Estimation'!F398+"AM:!$[r"</f>
        <v>#VALUE!</v>
      </c>
      <c r="CJ50" t="e">
        <f>'Effort Estimation'!G398+"AM:!$[s"</f>
        <v>#VALUE!</v>
      </c>
      <c r="CK50" t="e">
        <f>'Effort Estimation'!H398+"AM:!$[t"</f>
        <v>#VALUE!</v>
      </c>
      <c r="CL50" t="e">
        <f>'Effort Estimation'!I398+"AM:!$[u"</f>
        <v>#VALUE!</v>
      </c>
      <c r="CM50" s="99" t="e">
        <f>'Effort Estimation'!J398+"AM:!$[v"</f>
        <v>#VALUE!</v>
      </c>
      <c r="CN50" s="99" t="e">
        <f>'Effort Estimation'!K398+"AM:!$[w"</f>
        <v>#VALUE!</v>
      </c>
      <c r="CO50" s="99" t="e">
        <f>'Effort Estimation'!L398+"AM:!$[x"</f>
        <v>#VALUE!</v>
      </c>
      <c r="CP50" s="99" t="e">
        <f>'Effort Estimation'!M398+"AM:!$[y"</f>
        <v>#VALUE!</v>
      </c>
      <c r="CQ50" s="99" t="e">
        <f>'Effort Estimation'!N398+"AM:!$[z"</f>
        <v>#VALUE!</v>
      </c>
      <c r="CR50" s="99" t="e">
        <f>'Effort Estimation'!O398+"AM:!$[{"</f>
        <v>#VALUE!</v>
      </c>
      <c r="CS50" s="99" t="e">
        <f>'Effort Estimation'!P398+"AM:!$[|"</f>
        <v>#VALUE!</v>
      </c>
      <c r="CT50" s="99" t="e">
        <f>'Effort Estimation'!Q398+"AM:!$[}"</f>
        <v>#VALUE!</v>
      </c>
      <c r="CU50" t="e">
        <f>'Effort Estimation'!R398+"AM:!$[~"</f>
        <v>#VALUE!</v>
      </c>
      <c r="CV50" t="e">
        <f>'Effort Estimation'!S398+"AM:!$\#"</f>
        <v>#VALUE!</v>
      </c>
      <c r="CW50" t="e">
        <f>'Effort Estimation'!T398+"AM:!$\$"</f>
        <v>#VALUE!</v>
      </c>
      <c r="CX50" t="e">
        <f>'Effort Estimation'!A399+"AM:!$\%"</f>
        <v>#VALUE!</v>
      </c>
      <c r="CY50" t="e">
        <f>'Effort Estimation'!B399+"AM:!$\&amp;"</f>
        <v>#VALUE!</v>
      </c>
      <c r="CZ50" t="e">
        <f>'Effort Estimation'!C399+"AM:!$\'"</f>
        <v>#VALUE!</v>
      </c>
      <c r="DA50" t="e">
        <f>'Effort Estimation'!D399+"AM:!$\("</f>
        <v>#VALUE!</v>
      </c>
      <c r="DB50" t="e">
        <f>'Effort Estimation'!E399+"AM:!$\)"</f>
        <v>#VALUE!</v>
      </c>
      <c r="DC50" t="e">
        <f>'Effort Estimation'!F399+"AM:!$\."</f>
        <v>#VALUE!</v>
      </c>
      <c r="DD50" t="e">
        <f>'Effort Estimation'!G399+"AM:!$\/"</f>
        <v>#VALUE!</v>
      </c>
      <c r="DE50" t="e">
        <f>'Effort Estimation'!H399+"AM:!$\0"</f>
        <v>#VALUE!</v>
      </c>
      <c r="DF50" t="e">
        <f>'Effort Estimation'!I399+"AM:!$\1"</f>
        <v>#VALUE!</v>
      </c>
      <c r="DG50" s="99" t="e">
        <f>'Effort Estimation'!J399+"AM:!$\2"</f>
        <v>#VALUE!</v>
      </c>
      <c r="DH50" s="99" t="e">
        <f>'Effort Estimation'!K399+"AM:!$\3"</f>
        <v>#VALUE!</v>
      </c>
      <c r="DI50" s="99" t="e">
        <f>'Effort Estimation'!L399+"AM:!$\4"</f>
        <v>#VALUE!</v>
      </c>
      <c r="DJ50" s="99" t="e">
        <f>'Effort Estimation'!M399+"AM:!$\5"</f>
        <v>#VALUE!</v>
      </c>
      <c r="DK50" s="99" t="e">
        <f>'Effort Estimation'!N399+"AM:!$\6"</f>
        <v>#VALUE!</v>
      </c>
      <c r="DL50" s="99" t="e">
        <f>'Effort Estimation'!O399+"AM:!$\7"</f>
        <v>#VALUE!</v>
      </c>
      <c r="DM50" s="99" t="e">
        <f>'Effort Estimation'!P399+"AM:!$\8"</f>
        <v>#VALUE!</v>
      </c>
      <c r="DN50" s="99" t="e">
        <f>'Effort Estimation'!Q399+"AM:!$\9"</f>
        <v>#VALUE!</v>
      </c>
      <c r="DO50" t="e">
        <f>'Effort Estimation'!R399+"AM:!$\:"</f>
        <v>#VALUE!</v>
      </c>
      <c r="DP50" t="e">
        <f>'Effort Estimation'!S399+"AM:!$\;"</f>
        <v>#VALUE!</v>
      </c>
      <c r="DQ50" t="e">
        <f>'Effort Estimation'!T399+"AM:!$\&lt;"</f>
        <v>#VALUE!</v>
      </c>
      <c r="DR50" t="e">
        <f>'Effort Estimation'!A400+"AM:!$\="</f>
        <v>#VALUE!</v>
      </c>
      <c r="DS50" t="e">
        <f>'Effort Estimation'!B400+"AM:!$\&gt;"</f>
        <v>#VALUE!</v>
      </c>
      <c r="DT50" t="e">
        <f>'Effort Estimation'!C400+"AM:!$\?"</f>
        <v>#VALUE!</v>
      </c>
      <c r="DU50" t="e">
        <f>'Effort Estimation'!D400+"AM:!$\@"</f>
        <v>#VALUE!</v>
      </c>
      <c r="DV50" t="e">
        <f>'Effort Estimation'!E400+"AM:!$\A"</f>
        <v>#VALUE!</v>
      </c>
      <c r="DW50" t="e">
        <f>'Effort Estimation'!F400+"AM:!$\B"</f>
        <v>#VALUE!</v>
      </c>
      <c r="DX50" t="e">
        <f>'Effort Estimation'!G400+"AM:!$\C"</f>
        <v>#VALUE!</v>
      </c>
      <c r="DY50" t="e">
        <f>'Effort Estimation'!H400+"AM:!$\D"</f>
        <v>#VALUE!</v>
      </c>
      <c r="DZ50" t="e">
        <f>'Effort Estimation'!I400+"AM:!$\E"</f>
        <v>#VALUE!</v>
      </c>
      <c r="EA50" s="99" t="e">
        <f>'Effort Estimation'!J400+"AM:!$\F"</f>
        <v>#VALUE!</v>
      </c>
      <c r="EB50" s="99" t="e">
        <f>'Effort Estimation'!K400+"AM:!$\G"</f>
        <v>#VALUE!</v>
      </c>
      <c r="EC50" s="99" t="e">
        <f>'Effort Estimation'!L400+"AM:!$\H"</f>
        <v>#VALUE!</v>
      </c>
      <c r="ED50" s="99" t="e">
        <f>'Effort Estimation'!M400+"AM:!$\I"</f>
        <v>#VALUE!</v>
      </c>
      <c r="EE50" s="99" t="e">
        <f>'Effort Estimation'!N400+"AM:!$\J"</f>
        <v>#VALUE!</v>
      </c>
      <c r="EF50" s="99" t="e">
        <f>'Effort Estimation'!O400+"AM:!$\K"</f>
        <v>#VALUE!</v>
      </c>
      <c r="EG50" s="99" t="e">
        <f>'Effort Estimation'!P400+"AM:!$\L"</f>
        <v>#VALUE!</v>
      </c>
      <c r="EH50" s="99" t="e">
        <f>'Effort Estimation'!Q400+"AM:!$\M"</f>
        <v>#VALUE!</v>
      </c>
      <c r="EI50" t="e">
        <f>'Effort Estimation'!R400+"AM:!$\N"</f>
        <v>#VALUE!</v>
      </c>
      <c r="EJ50" t="e">
        <f>'Effort Estimation'!S400+"AM:!$\O"</f>
        <v>#VALUE!</v>
      </c>
      <c r="EK50" t="e">
        <f>'Effort Estimation'!T400+"AM:!$\P"</f>
        <v>#VALUE!</v>
      </c>
      <c r="EL50" t="e">
        <f>'Effort Estimation'!A401+"AM:!$\Q"</f>
        <v>#VALUE!</v>
      </c>
      <c r="EM50" t="e">
        <f>'Effort Estimation'!B401+"AM:!$\R"</f>
        <v>#VALUE!</v>
      </c>
      <c r="EN50" t="e">
        <f>'Effort Estimation'!C401+"AM:!$\S"</f>
        <v>#VALUE!</v>
      </c>
      <c r="EO50" t="e">
        <f>'Effort Estimation'!D401+"AM:!$\T"</f>
        <v>#VALUE!</v>
      </c>
      <c r="EP50" t="e">
        <f>'Effort Estimation'!E401+"AM:!$\U"</f>
        <v>#VALUE!</v>
      </c>
      <c r="EQ50" t="e">
        <f>'Effort Estimation'!F401+"AM:!$\V"</f>
        <v>#VALUE!</v>
      </c>
      <c r="ER50" t="e">
        <f>'Effort Estimation'!G401+"AM:!$\W"</f>
        <v>#VALUE!</v>
      </c>
      <c r="ES50" t="e">
        <f>'Effort Estimation'!H401+"AM:!$\X"</f>
        <v>#VALUE!</v>
      </c>
      <c r="ET50" t="e">
        <f>'Effort Estimation'!I401+"AM:!$\Y"</f>
        <v>#VALUE!</v>
      </c>
      <c r="EU50" s="99" t="e">
        <f>'Effort Estimation'!J401+"AM:!$\Z"</f>
        <v>#VALUE!</v>
      </c>
      <c r="EV50" s="99" t="e">
        <f>'Effort Estimation'!K401+"AM:!$\["</f>
        <v>#VALUE!</v>
      </c>
      <c r="EW50" s="99" t="e">
        <f>'Effort Estimation'!L401+"AM:!$\\"</f>
        <v>#VALUE!</v>
      </c>
      <c r="EX50" s="99" t="e">
        <f>'Effort Estimation'!M401+"AM:!$\]"</f>
        <v>#VALUE!</v>
      </c>
      <c r="EY50" s="99" t="e">
        <f>'Effort Estimation'!N401+"AM:!$\^"</f>
        <v>#VALUE!</v>
      </c>
      <c r="EZ50" s="99" t="e">
        <f>'Effort Estimation'!O401+"AM:!$\_"</f>
        <v>#VALUE!</v>
      </c>
      <c r="FA50" s="99" t="e">
        <f>'Effort Estimation'!P401+"AM:!$\`"</f>
        <v>#VALUE!</v>
      </c>
      <c r="FB50" s="99" t="e">
        <f>'Effort Estimation'!Q401+"AM:!$\a"</f>
        <v>#VALUE!</v>
      </c>
      <c r="FC50" t="e">
        <f>'Effort Estimation'!R401+"AM:!$\b"</f>
        <v>#VALUE!</v>
      </c>
      <c r="FD50" t="e">
        <f>'Effort Estimation'!S401+"AM:!$\c"</f>
        <v>#VALUE!</v>
      </c>
      <c r="FE50" t="e">
        <f>'Effort Estimation'!T401+"AM:!$\d"</f>
        <v>#VALUE!</v>
      </c>
      <c r="FF50" t="e">
        <f>'Effort Estimation'!A402+"AM:!$\e"</f>
        <v>#VALUE!</v>
      </c>
      <c r="FG50" t="e">
        <f>'Effort Estimation'!B402+"AM:!$\f"</f>
        <v>#VALUE!</v>
      </c>
      <c r="FH50" t="e">
        <f>'Effort Estimation'!C402+"AM:!$\g"</f>
        <v>#VALUE!</v>
      </c>
      <c r="FI50" t="e">
        <f>'Effort Estimation'!D402+"AM:!$\h"</f>
        <v>#VALUE!</v>
      </c>
      <c r="FJ50" t="e">
        <f>'Effort Estimation'!E402+"AM:!$\i"</f>
        <v>#VALUE!</v>
      </c>
      <c r="FK50" t="e">
        <f>'Effort Estimation'!F402+"AM:!$\j"</f>
        <v>#VALUE!</v>
      </c>
      <c r="FL50" t="e">
        <f>'Effort Estimation'!G402+"AM:!$\k"</f>
        <v>#VALUE!</v>
      </c>
      <c r="FM50" t="e">
        <f>'Effort Estimation'!H402+"AM:!$\l"</f>
        <v>#VALUE!</v>
      </c>
      <c r="FN50" t="e">
        <f>'Effort Estimation'!I402+"AM:!$\m"</f>
        <v>#VALUE!</v>
      </c>
      <c r="FO50" s="99" t="e">
        <f>'Effort Estimation'!J402+"AM:!$\n"</f>
        <v>#VALUE!</v>
      </c>
      <c r="FP50" s="99" t="e">
        <f>'Effort Estimation'!K402+"AM:!$\o"</f>
        <v>#VALUE!</v>
      </c>
      <c r="FQ50" s="99" t="e">
        <f>'Effort Estimation'!L402+"AM:!$\p"</f>
        <v>#VALUE!</v>
      </c>
      <c r="FR50" s="99" t="e">
        <f>'Effort Estimation'!M402+"AM:!$\q"</f>
        <v>#VALUE!</v>
      </c>
      <c r="FS50" s="99" t="e">
        <f>'Effort Estimation'!N402+"AM:!$\r"</f>
        <v>#VALUE!</v>
      </c>
      <c r="FT50" s="99" t="e">
        <f>'Effort Estimation'!O402+"AM:!$\s"</f>
        <v>#VALUE!</v>
      </c>
      <c r="FU50" s="99" t="e">
        <f>'Effort Estimation'!P402+"AM:!$\t"</f>
        <v>#VALUE!</v>
      </c>
      <c r="FV50" s="99" t="e">
        <f>'Effort Estimation'!Q402+"AM:!$\u"</f>
        <v>#VALUE!</v>
      </c>
      <c r="FW50" t="e">
        <f>'Effort Estimation'!R402+"AM:!$\v"</f>
        <v>#VALUE!</v>
      </c>
      <c r="FX50" t="e">
        <f>'Effort Estimation'!S402+"AM:!$\w"</f>
        <v>#VALUE!</v>
      </c>
      <c r="FY50" t="e">
        <f>'Effort Estimation'!T402+"AM:!$\x"</f>
        <v>#VALUE!</v>
      </c>
      <c r="FZ50" t="e">
        <f>'Effort Estimation'!A403+"AM:!$\y"</f>
        <v>#VALUE!</v>
      </c>
      <c r="GA50" t="e">
        <f>'Effort Estimation'!B403+"AM:!$\z"</f>
        <v>#VALUE!</v>
      </c>
      <c r="GB50" t="e">
        <f>'Effort Estimation'!C403+"AM:!$\{"</f>
        <v>#VALUE!</v>
      </c>
      <c r="GC50" t="e">
        <f>'Effort Estimation'!D403+"AM:!$\|"</f>
        <v>#VALUE!</v>
      </c>
      <c r="GD50" t="e">
        <f>'Effort Estimation'!E403+"AM:!$\}"</f>
        <v>#VALUE!</v>
      </c>
      <c r="GE50" t="e">
        <f>'Effort Estimation'!F403+"AM:!$\~"</f>
        <v>#VALUE!</v>
      </c>
      <c r="GF50" t="e">
        <f>'Effort Estimation'!G403+"AM:!$]#"</f>
        <v>#VALUE!</v>
      </c>
      <c r="GG50" t="e">
        <f>'Effort Estimation'!H403+"AM:!$]$"</f>
        <v>#VALUE!</v>
      </c>
      <c r="GH50" t="e">
        <f>'Effort Estimation'!I403+"AM:!$]%"</f>
        <v>#VALUE!</v>
      </c>
      <c r="GI50" s="99" t="e">
        <f>'Effort Estimation'!J403+"AM:!$]&amp;"</f>
        <v>#VALUE!</v>
      </c>
      <c r="GJ50" s="99" t="e">
        <f>'Effort Estimation'!K403+"AM:!$]'"</f>
        <v>#VALUE!</v>
      </c>
      <c r="GK50" s="99" t="e">
        <f>'Effort Estimation'!L403+"AM:!$]("</f>
        <v>#VALUE!</v>
      </c>
      <c r="GL50" s="99" t="e">
        <f>'Effort Estimation'!M403+"AM:!$])"</f>
        <v>#VALUE!</v>
      </c>
      <c r="GM50" s="99" t="e">
        <f>'Effort Estimation'!N403+"AM:!$]."</f>
        <v>#VALUE!</v>
      </c>
      <c r="GN50" s="99" t="e">
        <f>'Effort Estimation'!O403+"AM:!$]/"</f>
        <v>#VALUE!</v>
      </c>
      <c r="GO50" s="99" t="e">
        <f>'Effort Estimation'!P403+"AM:!$]0"</f>
        <v>#VALUE!</v>
      </c>
      <c r="GP50" s="99" t="e">
        <f>'Effort Estimation'!Q403+"AM:!$]1"</f>
        <v>#VALUE!</v>
      </c>
      <c r="GQ50" t="e">
        <f>'Effort Estimation'!R403+"AM:!$]2"</f>
        <v>#VALUE!</v>
      </c>
      <c r="GR50" t="e">
        <f>'Effort Estimation'!S403+"AM:!$]3"</f>
        <v>#VALUE!</v>
      </c>
      <c r="GS50" t="e">
        <f>'Effort Estimation'!T403+"AM:!$]4"</f>
        <v>#VALUE!</v>
      </c>
      <c r="GT50" t="e">
        <f>'Effort Estimation'!A404+"AM:!$]5"</f>
        <v>#VALUE!</v>
      </c>
      <c r="GU50" t="e">
        <f>'Effort Estimation'!B404+"AM:!$]6"</f>
        <v>#VALUE!</v>
      </c>
      <c r="GV50" t="e">
        <f>'Effort Estimation'!C404+"AM:!$]7"</f>
        <v>#VALUE!</v>
      </c>
      <c r="GW50" t="e">
        <f>'Effort Estimation'!D404+"AM:!$]8"</f>
        <v>#VALUE!</v>
      </c>
      <c r="GX50" t="e">
        <f>'Effort Estimation'!E404+"AM:!$]9"</f>
        <v>#VALUE!</v>
      </c>
      <c r="GY50" t="e">
        <f>'Effort Estimation'!F404+"AM:!$]:"</f>
        <v>#VALUE!</v>
      </c>
      <c r="GZ50" t="e">
        <f>'Effort Estimation'!G404+"AM:!$];"</f>
        <v>#VALUE!</v>
      </c>
      <c r="HA50" t="e">
        <f>'Effort Estimation'!H404+"AM:!$]&lt;"</f>
        <v>#VALUE!</v>
      </c>
      <c r="HB50" t="e">
        <f>'Effort Estimation'!I404+"AM:!$]="</f>
        <v>#VALUE!</v>
      </c>
      <c r="HC50" s="99" t="e">
        <f>'Effort Estimation'!J404+"AM:!$]&gt;"</f>
        <v>#VALUE!</v>
      </c>
      <c r="HD50" s="99" t="e">
        <f>'Effort Estimation'!K404+"AM:!$]?"</f>
        <v>#VALUE!</v>
      </c>
      <c r="HE50" s="99" t="e">
        <f>'Effort Estimation'!L404+"AM:!$]@"</f>
        <v>#VALUE!</v>
      </c>
      <c r="HF50" s="99" t="e">
        <f>'Effort Estimation'!M404+"AM:!$]A"</f>
        <v>#VALUE!</v>
      </c>
      <c r="HG50" s="99" t="e">
        <f>'Effort Estimation'!N404+"AM:!$]B"</f>
        <v>#VALUE!</v>
      </c>
      <c r="HH50" s="99" t="e">
        <f>'Effort Estimation'!O404+"AM:!$]C"</f>
        <v>#VALUE!</v>
      </c>
      <c r="HI50" s="99" t="e">
        <f>'Effort Estimation'!P404+"AM:!$]D"</f>
        <v>#VALUE!</v>
      </c>
      <c r="HJ50" s="99" t="e">
        <f>'Effort Estimation'!Q404+"AM:!$]E"</f>
        <v>#VALUE!</v>
      </c>
      <c r="HK50" t="e">
        <f>'Effort Estimation'!R404+"AM:!$]F"</f>
        <v>#VALUE!</v>
      </c>
      <c r="HL50" t="e">
        <f>'Effort Estimation'!S404+"AM:!$]G"</f>
        <v>#VALUE!</v>
      </c>
      <c r="HM50" t="e">
        <f>'Effort Estimation'!T404+"AM:!$]H"</f>
        <v>#VALUE!</v>
      </c>
      <c r="HN50" t="e">
        <f>'Effort Estimation'!A405+"AM:!$]I"</f>
        <v>#VALUE!</v>
      </c>
      <c r="HO50" t="e">
        <f>'Effort Estimation'!B405+"AM:!$]J"</f>
        <v>#VALUE!</v>
      </c>
      <c r="HP50" t="e">
        <f>'Effort Estimation'!C405+"AM:!$]K"</f>
        <v>#VALUE!</v>
      </c>
      <c r="HQ50" t="e">
        <f>'Effort Estimation'!D405+"AM:!$]L"</f>
        <v>#VALUE!</v>
      </c>
      <c r="HR50" t="e">
        <f>'Effort Estimation'!E405+"AM:!$]M"</f>
        <v>#VALUE!</v>
      </c>
      <c r="HS50" t="e">
        <f>'Effort Estimation'!F405+"AM:!$]N"</f>
        <v>#VALUE!</v>
      </c>
      <c r="HT50" t="e">
        <f>'Effort Estimation'!G405+"AM:!$]O"</f>
        <v>#VALUE!</v>
      </c>
      <c r="HU50" t="e">
        <f>'Effort Estimation'!H405+"AM:!$]P"</f>
        <v>#VALUE!</v>
      </c>
      <c r="HV50" t="e">
        <f>'Effort Estimation'!I405+"AM:!$]Q"</f>
        <v>#VALUE!</v>
      </c>
      <c r="HW50" s="99" t="e">
        <f>'Effort Estimation'!J405+"AM:!$]R"</f>
        <v>#VALUE!</v>
      </c>
      <c r="HX50" s="99" t="e">
        <f>'Effort Estimation'!K405+"AM:!$]S"</f>
        <v>#VALUE!</v>
      </c>
      <c r="HY50" s="99" t="e">
        <f>'Effort Estimation'!L405+"AM:!$]T"</f>
        <v>#VALUE!</v>
      </c>
      <c r="HZ50" s="99" t="e">
        <f>'Effort Estimation'!M405+"AM:!$]U"</f>
        <v>#VALUE!</v>
      </c>
      <c r="IA50" s="99" t="e">
        <f>'Effort Estimation'!N405+"AM:!$]V"</f>
        <v>#VALUE!</v>
      </c>
      <c r="IB50" s="99" t="e">
        <f>'Effort Estimation'!O405+"AM:!$]W"</f>
        <v>#VALUE!</v>
      </c>
      <c r="IC50" s="99" t="e">
        <f>'Effort Estimation'!P405+"AM:!$]X"</f>
        <v>#VALUE!</v>
      </c>
      <c r="ID50" s="99" t="e">
        <f>'Effort Estimation'!Q405+"AM:!$]Y"</f>
        <v>#VALUE!</v>
      </c>
      <c r="IE50" t="e">
        <f>'Effort Estimation'!R405+"AM:!$]Z"</f>
        <v>#VALUE!</v>
      </c>
      <c r="IF50" t="e">
        <f>'Effort Estimation'!S405+"AM:!$]["</f>
        <v>#VALUE!</v>
      </c>
      <c r="IG50" t="e">
        <f>'Effort Estimation'!T405+"AM:!$]\"</f>
        <v>#VALUE!</v>
      </c>
      <c r="IH50" t="e">
        <f>'Effort Estimation'!A406+"AM:!$]]"</f>
        <v>#VALUE!</v>
      </c>
      <c r="II50" t="e">
        <f>'Effort Estimation'!B406+"AM:!$]^"</f>
        <v>#VALUE!</v>
      </c>
      <c r="IJ50" t="e">
        <f>'Effort Estimation'!C406+"AM:!$]_"</f>
        <v>#VALUE!</v>
      </c>
      <c r="IK50" t="e">
        <f>'Effort Estimation'!D406+"AM:!$]`"</f>
        <v>#VALUE!</v>
      </c>
      <c r="IL50" t="e">
        <f>'Effort Estimation'!E406+"AM:!$]a"</f>
        <v>#VALUE!</v>
      </c>
      <c r="IM50" t="e">
        <f>'Effort Estimation'!F406+"AM:!$]b"</f>
        <v>#VALUE!</v>
      </c>
      <c r="IN50" t="e">
        <f>'Effort Estimation'!G406+"AM:!$]c"</f>
        <v>#VALUE!</v>
      </c>
      <c r="IO50" t="e">
        <f>'Effort Estimation'!H406+"AM:!$]d"</f>
        <v>#VALUE!</v>
      </c>
      <c r="IP50" t="e">
        <f>'Effort Estimation'!I406+"AM:!$]e"</f>
        <v>#VALUE!</v>
      </c>
      <c r="IQ50" s="99" t="e">
        <f>'Effort Estimation'!J406+"AM:!$]f"</f>
        <v>#VALUE!</v>
      </c>
      <c r="IR50" s="99" t="e">
        <f>'Effort Estimation'!K406+"AM:!$]g"</f>
        <v>#VALUE!</v>
      </c>
      <c r="IS50" s="99" t="e">
        <f>'Effort Estimation'!L406+"AM:!$]h"</f>
        <v>#VALUE!</v>
      </c>
      <c r="IT50" s="99" t="e">
        <f>'Effort Estimation'!M406+"AM:!$]i"</f>
        <v>#VALUE!</v>
      </c>
      <c r="IU50" s="99" t="e">
        <f>'Effort Estimation'!N406+"AM:!$]j"</f>
        <v>#VALUE!</v>
      </c>
      <c r="IV50" s="99" t="e">
        <f>'Effort Estimation'!O406+"AM:!$]k"</f>
        <v>#VALUE!</v>
      </c>
    </row>
    <row r="51" spans="6:256">
      <c r="F51" s="99" t="e">
        <f>'Effort Estimation'!P406+"AM:!$]l"</f>
        <v>#VALUE!</v>
      </c>
      <c r="G51" s="99" t="e">
        <f>'Effort Estimation'!Q406+"AM:!$]m"</f>
        <v>#VALUE!</v>
      </c>
      <c r="H51" t="e">
        <f>'Effort Estimation'!R406+"AM:!$]n"</f>
        <v>#VALUE!</v>
      </c>
      <c r="I51" t="e">
        <f>'Effort Estimation'!S406+"AM:!$]o"</f>
        <v>#VALUE!</v>
      </c>
      <c r="J51" t="e">
        <f>'Effort Estimation'!T406+"AM:!$]p"</f>
        <v>#VALUE!</v>
      </c>
      <c r="K51" t="e">
        <f>'Effort Estimation'!A407+"AM:!$]q"</f>
        <v>#VALUE!</v>
      </c>
      <c r="L51" t="e">
        <f>'Effort Estimation'!B407+"AM:!$]r"</f>
        <v>#VALUE!</v>
      </c>
      <c r="M51" t="e">
        <f>'Effort Estimation'!C407+"AM:!$]s"</f>
        <v>#VALUE!</v>
      </c>
      <c r="N51" t="e">
        <f>'Effort Estimation'!D407+"AM:!$]t"</f>
        <v>#VALUE!</v>
      </c>
      <c r="O51" t="e">
        <f>'Effort Estimation'!E407+"AM:!$]u"</f>
        <v>#VALUE!</v>
      </c>
      <c r="P51" t="e">
        <f>'Effort Estimation'!F407+"AM:!$]v"</f>
        <v>#VALUE!</v>
      </c>
      <c r="Q51" t="e">
        <f>'Effort Estimation'!G407+"AM:!$]w"</f>
        <v>#VALUE!</v>
      </c>
      <c r="R51" t="e">
        <f>'Effort Estimation'!H407+"AM:!$]x"</f>
        <v>#VALUE!</v>
      </c>
      <c r="S51" t="e">
        <f>'Effort Estimation'!I407+"AM:!$]y"</f>
        <v>#VALUE!</v>
      </c>
      <c r="T51" s="99" t="e">
        <f>'Effort Estimation'!J407+"AM:!$]z"</f>
        <v>#VALUE!</v>
      </c>
      <c r="U51" s="99" t="e">
        <f>'Effort Estimation'!K407+"AM:!$]{"</f>
        <v>#VALUE!</v>
      </c>
      <c r="V51" s="99" t="e">
        <f>'Effort Estimation'!L407+"AM:!$]|"</f>
        <v>#VALUE!</v>
      </c>
      <c r="W51" s="99" t="e">
        <f>'Effort Estimation'!M407+"AM:!$]}"</f>
        <v>#VALUE!</v>
      </c>
      <c r="X51" s="99" t="e">
        <f>'Effort Estimation'!N407+"AM:!$]~"</f>
        <v>#VALUE!</v>
      </c>
      <c r="Y51" s="99" t="e">
        <f>'Effort Estimation'!O407+"AM:!$^#"</f>
        <v>#VALUE!</v>
      </c>
      <c r="Z51" s="99" t="e">
        <f>'Effort Estimation'!P407+"AM:!$^$"</f>
        <v>#VALUE!</v>
      </c>
      <c r="AA51" s="99" t="e">
        <f>'Effort Estimation'!Q407+"AM:!$^%"</f>
        <v>#VALUE!</v>
      </c>
      <c r="AB51" t="e">
        <f>'Effort Estimation'!R407+"AM:!$^&amp;"</f>
        <v>#VALUE!</v>
      </c>
      <c r="AC51" t="e">
        <f>'Effort Estimation'!S407+"AM:!$^'"</f>
        <v>#VALUE!</v>
      </c>
      <c r="AD51" t="e">
        <f>'Effort Estimation'!T407+"AM:!$^("</f>
        <v>#VALUE!</v>
      </c>
      <c r="AE51" t="e">
        <f>'Effort Estimation'!A408+"AM:!$^)"</f>
        <v>#VALUE!</v>
      </c>
      <c r="AF51" t="e">
        <f>'Effort Estimation'!B408+"AM:!$^."</f>
        <v>#VALUE!</v>
      </c>
      <c r="AG51" t="e">
        <f>'Effort Estimation'!C408+"AM:!$^/"</f>
        <v>#VALUE!</v>
      </c>
      <c r="AH51" t="e">
        <f>'Effort Estimation'!D408+"AM:!$^0"</f>
        <v>#VALUE!</v>
      </c>
      <c r="AI51" t="e">
        <f>'Effort Estimation'!E408+"AM:!$^1"</f>
        <v>#VALUE!</v>
      </c>
      <c r="AJ51" t="e">
        <f>'Effort Estimation'!F408+"AM:!$^2"</f>
        <v>#VALUE!</v>
      </c>
      <c r="AK51" t="e">
        <f>'Effort Estimation'!G408+"AM:!$^3"</f>
        <v>#VALUE!</v>
      </c>
      <c r="AL51" t="e">
        <f>'Effort Estimation'!H408+"AM:!$^4"</f>
        <v>#VALUE!</v>
      </c>
      <c r="AM51" t="e">
        <f>'Effort Estimation'!I408+"AM:!$^5"</f>
        <v>#VALUE!</v>
      </c>
      <c r="AN51" s="99" t="e">
        <f>'Effort Estimation'!J408+"AM:!$^6"</f>
        <v>#VALUE!</v>
      </c>
      <c r="AO51" s="99" t="e">
        <f>'Effort Estimation'!K408+"AM:!$^7"</f>
        <v>#VALUE!</v>
      </c>
      <c r="AP51" s="99" t="e">
        <f>'Effort Estimation'!L408+"AM:!$^8"</f>
        <v>#VALUE!</v>
      </c>
      <c r="AQ51" s="99" t="e">
        <f>'Effort Estimation'!M408+"AM:!$^9"</f>
        <v>#VALUE!</v>
      </c>
      <c r="AR51" s="99" t="e">
        <f>'Effort Estimation'!N408+"AM:!$^:"</f>
        <v>#VALUE!</v>
      </c>
      <c r="AS51" s="99" t="e">
        <f>'Effort Estimation'!O408+"AM:!$^;"</f>
        <v>#VALUE!</v>
      </c>
      <c r="AT51" s="99" t="e">
        <f>'Effort Estimation'!P408+"AM:!$^&lt;"</f>
        <v>#VALUE!</v>
      </c>
      <c r="AU51" s="99" t="e">
        <f>'Effort Estimation'!Q408+"AM:!$^="</f>
        <v>#VALUE!</v>
      </c>
      <c r="AV51" t="e">
        <f>'Effort Estimation'!R408+"AM:!$^&gt;"</f>
        <v>#VALUE!</v>
      </c>
      <c r="AW51" t="e">
        <f>'Effort Estimation'!S408+"AM:!$^?"</f>
        <v>#VALUE!</v>
      </c>
      <c r="AX51" t="e">
        <f>'Effort Estimation'!T408+"AM:!$^@"</f>
        <v>#VALUE!</v>
      </c>
      <c r="AY51" t="e">
        <f>'Effort Estimation'!A409+"AM:!$^A"</f>
        <v>#VALUE!</v>
      </c>
      <c r="AZ51" t="e">
        <f>'Effort Estimation'!B409+"AM:!$^B"</f>
        <v>#VALUE!</v>
      </c>
      <c r="BA51" t="e">
        <f>'Effort Estimation'!C409+"AM:!$^C"</f>
        <v>#VALUE!</v>
      </c>
      <c r="BB51" t="e">
        <f>'Effort Estimation'!D409+"AM:!$^D"</f>
        <v>#VALUE!</v>
      </c>
      <c r="BC51" t="e">
        <f>'Effort Estimation'!E409+"AM:!$^E"</f>
        <v>#VALUE!</v>
      </c>
      <c r="BD51" t="e">
        <f>'Effort Estimation'!F409+"AM:!$^F"</f>
        <v>#VALUE!</v>
      </c>
      <c r="BE51" t="e">
        <f>'Effort Estimation'!G409+"AM:!$^G"</f>
        <v>#VALUE!</v>
      </c>
      <c r="BF51" t="e">
        <f>'Effort Estimation'!H409+"AM:!$^H"</f>
        <v>#VALUE!</v>
      </c>
      <c r="BG51" t="e">
        <f>'Effort Estimation'!I409+"AM:!$^I"</f>
        <v>#VALUE!</v>
      </c>
      <c r="BH51" s="99" t="e">
        <f>'Effort Estimation'!J409+"AM:!$^J"</f>
        <v>#VALUE!</v>
      </c>
      <c r="BI51" s="99" t="e">
        <f>'Effort Estimation'!K409+"AM:!$^K"</f>
        <v>#VALUE!</v>
      </c>
      <c r="BJ51" s="99" t="e">
        <f>'Effort Estimation'!L409+"AM:!$^L"</f>
        <v>#VALUE!</v>
      </c>
      <c r="BK51" s="99" t="e">
        <f>'Effort Estimation'!M409+"AM:!$^M"</f>
        <v>#VALUE!</v>
      </c>
      <c r="BL51" s="99" t="e">
        <f>'Effort Estimation'!N409+"AM:!$^N"</f>
        <v>#VALUE!</v>
      </c>
      <c r="BM51" s="99" t="e">
        <f>'Effort Estimation'!O409+"AM:!$^O"</f>
        <v>#VALUE!</v>
      </c>
      <c r="BN51" s="99" t="e">
        <f>'Effort Estimation'!P409+"AM:!$^P"</f>
        <v>#VALUE!</v>
      </c>
      <c r="BO51" s="99" t="e">
        <f>'Effort Estimation'!Q409+"AM:!$^Q"</f>
        <v>#VALUE!</v>
      </c>
      <c r="BP51" t="e">
        <f>'Effort Estimation'!R409+"AM:!$^R"</f>
        <v>#VALUE!</v>
      </c>
      <c r="BQ51" t="e">
        <f>'Effort Estimation'!S409+"AM:!$^S"</f>
        <v>#VALUE!</v>
      </c>
      <c r="BR51" t="e">
        <f>'Effort Estimation'!T409+"AM:!$^T"</f>
        <v>#VALUE!</v>
      </c>
      <c r="BS51" t="e">
        <f>'Effort Estimation'!A410+"AM:!$^U"</f>
        <v>#VALUE!</v>
      </c>
      <c r="BT51" t="e">
        <f>'Effort Estimation'!B410+"AM:!$^V"</f>
        <v>#VALUE!</v>
      </c>
      <c r="BU51" t="e">
        <f>'Effort Estimation'!C410+"AM:!$^W"</f>
        <v>#VALUE!</v>
      </c>
      <c r="BV51" t="e">
        <f>'Effort Estimation'!D410+"AM:!$^X"</f>
        <v>#VALUE!</v>
      </c>
      <c r="BW51" t="e">
        <f>'Effort Estimation'!E410+"AM:!$^Y"</f>
        <v>#VALUE!</v>
      </c>
      <c r="BX51" t="e">
        <f>'Effort Estimation'!F410+"AM:!$^Z"</f>
        <v>#VALUE!</v>
      </c>
      <c r="BY51" t="e">
        <f>'Effort Estimation'!G410+"AM:!$^["</f>
        <v>#VALUE!</v>
      </c>
      <c r="BZ51" t="e">
        <f>'Effort Estimation'!H410+"AM:!$^\"</f>
        <v>#VALUE!</v>
      </c>
      <c r="CA51" t="e">
        <f>'Effort Estimation'!I410+"AM:!$^]"</f>
        <v>#VALUE!</v>
      </c>
      <c r="CB51" s="99" t="e">
        <f>'Effort Estimation'!J410+"AM:!$^^"</f>
        <v>#VALUE!</v>
      </c>
      <c r="CC51" s="99" t="e">
        <f>'Effort Estimation'!K410+"AM:!$^_"</f>
        <v>#VALUE!</v>
      </c>
      <c r="CD51" s="99" t="e">
        <f>'Effort Estimation'!L410+"AM:!$^`"</f>
        <v>#VALUE!</v>
      </c>
      <c r="CE51" s="99" t="e">
        <f>'Effort Estimation'!M410+"AM:!$^a"</f>
        <v>#VALUE!</v>
      </c>
      <c r="CF51" s="99" t="e">
        <f>'Effort Estimation'!N410+"AM:!$^b"</f>
        <v>#VALUE!</v>
      </c>
      <c r="CG51" s="99" t="e">
        <f>'Effort Estimation'!O410+"AM:!$^c"</f>
        <v>#VALUE!</v>
      </c>
      <c r="CH51" s="99" t="e">
        <f>'Effort Estimation'!P410+"AM:!$^d"</f>
        <v>#VALUE!</v>
      </c>
      <c r="CI51" s="99" t="e">
        <f>'Effort Estimation'!Q410+"AM:!$^e"</f>
        <v>#VALUE!</v>
      </c>
      <c r="CJ51" t="e">
        <f>'Effort Estimation'!R410+"AM:!$^f"</f>
        <v>#VALUE!</v>
      </c>
      <c r="CK51" t="e">
        <f>'Effort Estimation'!S410+"AM:!$^g"</f>
        <v>#VALUE!</v>
      </c>
      <c r="CL51" t="e">
        <f>'Effort Estimation'!T410+"AM:!$^h"</f>
        <v>#VALUE!</v>
      </c>
      <c r="CM51" t="e">
        <f>'Effort Estimation'!A411+"AM:!$^i"</f>
        <v>#VALUE!</v>
      </c>
      <c r="CN51" t="e">
        <f>'Effort Estimation'!B411+"AM:!$^j"</f>
        <v>#VALUE!</v>
      </c>
      <c r="CO51" t="e">
        <f>'Effort Estimation'!C411+"AM:!$^k"</f>
        <v>#VALUE!</v>
      </c>
      <c r="CP51" t="e">
        <f>'Effort Estimation'!D411+"AM:!$^l"</f>
        <v>#VALUE!</v>
      </c>
      <c r="CQ51" t="e">
        <f>'Effort Estimation'!E411+"AM:!$^m"</f>
        <v>#VALUE!</v>
      </c>
      <c r="CR51" t="e">
        <f>'Effort Estimation'!F411+"AM:!$^n"</f>
        <v>#VALUE!</v>
      </c>
      <c r="CS51" t="e">
        <f>'Effort Estimation'!G411+"AM:!$^o"</f>
        <v>#VALUE!</v>
      </c>
      <c r="CT51" t="e">
        <f>'Effort Estimation'!H411+"AM:!$^p"</f>
        <v>#VALUE!</v>
      </c>
      <c r="CU51" t="e">
        <f>'Effort Estimation'!I411+"AM:!$^q"</f>
        <v>#VALUE!</v>
      </c>
      <c r="CV51" s="99" t="e">
        <f>'Effort Estimation'!J411+"AM:!$^r"</f>
        <v>#VALUE!</v>
      </c>
      <c r="CW51" s="99" t="e">
        <f>'Effort Estimation'!K411+"AM:!$^s"</f>
        <v>#VALUE!</v>
      </c>
      <c r="CX51" s="99" t="e">
        <f>'Effort Estimation'!L411+"AM:!$^t"</f>
        <v>#VALUE!</v>
      </c>
      <c r="CY51" s="99" t="e">
        <f>'Effort Estimation'!M411+"AM:!$^u"</f>
        <v>#VALUE!</v>
      </c>
      <c r="CZ51" s="99" t="e">
        <f>'Effort Estimation'!N411+"AM:!$^v"</f>
        <v>#VALUE!</v>
      </c>
      <c r="DA51" s="99" t="e">
        <f>'Effort Estimation'!O411+"AM:!$^w"</f>
        <v>#VALUE!</v>
      </c>
      <c r="DB51" s="99" t="e">
        <f>'Effort Estimation'!P411+"AM:!$^x"</f>
        <v>#VALUE!</v>
      </c>
      <c r="DC51" s="99" t="e">
        <f>'Effort Estimation'!Q411+"AM:!$^y"</f>
        <v>#VALUE!</v>
      </c>
      <c r="DD51" t="e">
        <f>'Effort Estimation'!R411+"AM:!$^z"</f>
        <v>#VALUE!</v>
      </c>
      <c r="DE51" t="e">
        <f>'Effort Estimation'!S411+"AM:!$^{"</f>
        <v>#VALUE!</v>
      </c>
      <c r="DF51" t="e">
        <f>'Effort Estimation'!T411+"AM:!$^|"</f>
        <v>#VALUE!</v>
      </c>
      <c r="DG51" t="e">
        <f>'Effort Estimation'!A412+"AM:!$^}"</f>
        <v>#VALUE!</v>
      </c>
      <c r="DH51" t="e">
        <f>'Effort Estimation'!B412+"AM:!$^~"</f>
        <v>#VALUE!</v>
      </c>
      <c r="DI51" t="e">
        <f>'Effort Estimation'!C412+"AM:!$_#"</f>
        <v>#VALUE!</v>
      </c>
      <c r="DJ51" t="e">
        <f>'Effort Estimation'!D412+"AM:!$_$"</f>
        <v>#VALUE!</v>
      </c>
      <c r="DK51" t="e">
        <f>'Effort Estimation'!E412+"AM:!$_%"</f>
        <v>#VALUE!</v>
      </c>
      <c r="DL51" t="e">
        <f>'Effort Estimation'!F412+"AM:!$_&amp;"</f>
        <v>#VALUE!</v>
      </c>
      <c r="DM51" t="e">
        <f>'Effort Estimation'!G412+"AM:!$_'"</f>
        <v>#VALUE!</v>
      </c>
      <c r="DN51" t="e">
        <f>'Effort Estimation'!H412+"AM:!$_("</f>
        <v>#VALUE!</v>
      </c>
      <c r="DO51" t="e">
        <f>'Effort Estimation'!I412+"AM:!$_)"</f>
        <v>#VALUE!</v>
      </c>
      <c r="DP51" s="99" t="e">
        <f>'Effort Estimation'!J412+"AM:!$_."</f>
        <v>#VALUE!</v>
      </c>
      <c r="DQ51" s="99" t="e">
        <f>'Effort Estimation'!K412+"AM:!$_/"</f>
        <v>#VALUE!</v>
      </c>
      <c r="DR51" s="99" t="e">
        <f>'Effort Estimation'!L412+"AM:!$_0"</f>
        <v>#VALUE!</v>
      </c>
      <c r="DS51" s="99" t="e">
        <f>'Effort Estimation'!M412+"AM:!$_1"</f>
        <v>#VALUE!</v>
      </c>
      <c r="DT51" s="99" t="e">
        <f>'Effort Estimation'!N412+"AM:!$_2"</f>
        <v>#VALUE!</v>
      </c>
      <c r="DU51" s="99" t="e">
        <f>'Effort Estimation'!O412+"AM:!$_3"</f>
        <v>#VALUE!</v>
      </c>
      <c r="DV51" s="99" t="e">
        <f>'Effort Estimation'!P412+"AM:!$_4"</f>
        <v>#VALUE!</v>
      </c>
      <c r="DW51" s="99" t="e">
        <f>'Effort Estimation'!Q412+"AM:!$_5"</f>
        <v>#VALUE!</v>
      </c>
      <c r="DX51" t="e">
        <f>'Effort Estimation'!R412+"AM:!$_6"</f>
        <v>#VALUE!</v>
      </c>
      <c r="DY51" t="e">
        <f>'Effort Estimation'!S412+"AM:!$_7"</f>
        <v>#VALUE!</v>
      </c>
      <c r="DZ51" t="e">
        <f>'Effort Estimation'!T412+"AM:!$_8"</f>
        <v>#VALUE!</v>
      </c>
      <c r="EA51" t="e">
        <f>'Effort Estimation'!A413+"AM:!$_9"</f>
        <v>#VALUE!</v>
      </c>
      <c r="EB51" t="e">
        <f>'Effort Estimation'!B413+"AM:!$_:"</f>
        <v>#VALUE!</v>
      </c>
      <c r="EC51" t="e">
        <f>'Effort Estimation'!C413+"AM:!$_;"</f>
        <v>#VALUE!</v>
      </c>
      <c r="ED51" t="e">
        <f>'Effort Estimation'!D413+"AM:!$_&lt;"</f>
        <v>#VALUE!</v>
      </c>
      <c r="EE51" t="e">
        <f>'Effort Estimation'!E413+"AM:!$_="</f>
        <v>#VALUE!</v>
      </c>
      <c r="EF51" t="e">
        <f>'Effort Estimation'!F413+"AM:!$_&gt;"</f>
        <v>#VALUE!</v>
      </c>
      <c r="EG51" t="e">
        <f>'Effort Estimation'!G413+"AM:!$_?"</f>
        <v>#VALUE!</v>
      </c>
      <c r="EH51" t="e">
        <f>'Effort Estimation'!H413+"AM:!$_@"</f>
        <v>#VALUE!</v>
      </c>
      <c r="EI51" t="e">
        <f>'Effort Estimation'!I413+"AM:!$_A"</f>
        <v>#VALUE!</v>
      </c>
      <c r="EJ51" s="99" t="e">
        <f>'Effort Estimation'!J413+"AM:!$_B"</f>
        <v>#VALUE!</v>
      </c>
      <c r="EK51" s="99" t="e">
        <f>'Effort Estimation'!K413+"AM:!$_C"</f>
        <v>#VALUE!</v>
      </c>
      <c r="EL51" s="99" t="e">
        <f>'Effort Estimation'!L413+"AM:!$_D"</f>
        <v>#VALUE!</v>
      </c>
      <c r="EM51" s="99" t="e">
        <f>'Effort Estimation'!M413+"AM:!$_E"</f>
        <v>#VALUE!</v>
      </c>
      <c r="EN51" s="99" t="e">
        <f>'Effort Estimation'!N413+"AM:!$_F"</f>
        <v>#VALUE!</v>
      </c>
      <c r="EO51" s="99" t="e">
        <f>'Effort Estimation'!O413+"AM:!$_G"</f>
        <v>#VALUE!</v>
      </c>
      <c r="EP51" s="99" t="e">
        <f>'Effort Estimation'!P413+"AM:!$_H"</f>
        <v>#VALUE!</v>
      </c>
      <c r="EQ51" s="99" t="e">
        <f>'Effort Estimation'!Q413+"AM:!$_I"</f>
        <v>#VALUE!</v>
      </c>
      <c r="ER51" t="e">
        <f>'Effort Estimation'!R413+"AM:!$_J"</f>
        <v>#VALUE!</v>
      </c>
      <c r="ES51" t="e">
        <f>'Effort Estimation'!S413+"AM:!$_K"</f>
        <v>#VALUE!</v>
      </c>
      <c r="ET51" t="e">
        <f>'Effort Estimation'!T413+"AM:!$_L"</f>
        <v>#VALUE!</v>
      </c>
      <c r="EU51" t="e">
        <f>'Effort Estimation'!A414+"AM:!$_M"</f>
        <v>#VALUE!</v>
      </c>
      <c r="EV51" t="e">
        <f>'Effort Estimation'!B414+"AM:!$_N"</f>
        <v>#VALUE!</v>
      </c>
      <c r="EW51" t="e">
        <f>'Effort Estimation'!C414+"AM:!$_O"</f>
        <v>#VALUE!</v>
      </c>
      <c r="EX51" t="e">
        <f>'Effort Estimation'!D414+"AM:!$_P"</f>
        <v>#VALUE!</v>
      </c>
      <c r="EY51" t="e">
        <f>'Effort Estimation'!E414+"AM:!$_Q"</f>
        <v>#VALUE!</v>
      </c>
      <c r="EZ51" t="e">
        <f>'Effort Estimation'!F414+"AM:!$_R"</f>
        <v>#VALUE!</v>
      </c>
      <c r="FA51" t="e">
        <f>'Effort Estimation'!G414+"AM:!$_S"</f>
        <v>#VALUE!</v>
      </c>
      <c r="FB51" t="e">
        <f>'Effort Estimation'!H414+"AM:!$_T"</f>
        <v>#VALUE!</v>
      </c>
      <c r="FC51" t="e">
        <f>'Effort Estimation'!I414+"AM:!$_U"</f>
        <v>#VALUE!</v>
      </c>
      <c r="FD51" s="99" t="e">
        <f>'Effort Estimation'!J414+"AM:!$_V"</f>
        <v>#VALUE!</v>
      </c>
      <c r="FE51" s="99" t="e">
        <f>'Effort Estimation'!K414+"AM:!$_W"</f>
        <v>#VALUE!</v>
      </c>
      <c r="FF51" s="99" t="e">
        <f>'Effort Estimation'!L414+"AM:!$_X"</f>
        <v>#VALUE!</v>
      </c>
      <c r="FG51" s="99" t="e">
        <f>'Effort Estimation'!M414+"AM:!$_Y"</f>
        <v>#VALUE!</v>
      </c>
      <c r="FH51" s="99" t="e">
        <f>'Effort Estimation'!N414+"AM:!$_Z"</f>
        <v>#VALUE!</v>
      </c>
      <c r="FI51" s="99" t="e">
        <f>'Effort Estimation'!O414+"AM:!$_["</f>
        <v>#VALUE!</v>
      </c>
      <c r="FJ51" s="99" t="e">
        <f>'Effort Estimation'!P414+"AM:!$_\"</f>
        <v>#VALUE!</v>
      </c>
      <c r="FK51" s="99" t="e">
        <f>'Effort Estimation'!Q414+"AM:!$_]"</f>
        <v>#VALUE!</v>
      </c>
      <c r="FL51" t="e">
        <f>'Effort Estimation'!R414+"AM:!$_^"</f>
        <v>#VALUE!</v>
      </c>
      <c r="FM51" t="e">
        <f>'Effort Estimation'!S414+"AM:!$__"</f>
        <v>#VALUE!</v>
      </c>
      <c r="FN51" t="e">
        <f>'Effort Estimation'!T414+"AM:!$_`"</f>
        <v>#VALUE!</v>
      </c>
      <c r="FO51" t="e">
        <f>'Effort Estimation'!A415+"AM:!$_a"</f>
        <v>#VALUE!</v>
      </c>
      <c r="FP51" t="e">
        <f>'Effort Estimation'!B415+"AM:!$_b"</f>
        <v>#VALUE!</v>
      </c>
      <c r="FQ51" t="e">
        <f>'Effort Estimation'!C415+"AM:!$_c"</f>
        <v>#VALUE!</v>
      </c>
      <c r="FR51" t="e">
        <f>'Effort Estimation'!D415+"AM:!$_d"</f>
        <v>#VALUE!</v>
      </c>
      <c r="FS51" t="e">
        <f>'Effort Estimation'!E415+"AM:!$_e"</f>
        <v>#VALUE!</v>
      </c>
      <c r="FT51" t="e">
        <f>'Effort Estimation'!F415+"AM:!$_f"</f>
        <v>#VALUE!</v>
      </c>
      <c r="FU51" t="e">
        <f>'Effort Estimation'!G415+"AM:!$_g"</f>
        <v>#VALUE!</v>
      </c>
      <c r="FV51" t="e">
        <f>'Effort Estimation'!H415+"AM:!$_h"</f>
        <v>#VALUE!</v>
      </c>
      <c r="FW51" t="e">
        <f>'Effort Estimation'!I415+"AM:!$_i"</f>
        <v>#VALUE!</v>
      </c>
      <c r="FX51" s="99" t="e">
        <f>'Effort Estimation'!J415+"AM:!$_j"</f>
        <v>#VALUE!</v>
      </c>
      <c r="FY51" s="99" t="e">
        <f>'Effort Estimation'!K415+"AM:!$_k"</f>
        <v>#VALUE!</v>
      </c>
      <c r="FZ51" s="99" t="e">
        <f>'Effort Estimation'!L415+"AM:!$_l"</f>
        <v>#VALUE!</v>
      </c>
      <c r="GA51" s="99" t="e">
        <f>'Effort Estimation'!M415+"AM:!$_m"</f>
        <v>#VALUE!</v>
      </c>
      <c r="GB51" s="99" t="e">
        <f>'Effort Estimation'!N415+"AM:!$_n"</f>
        <v>#VALUE!</v>
      </c>
      <c r="GC51" s="99" t="e">
        <f>'Effort Estimation'!O415+"AM:!$_o"</f>
        <v>#VALUE!</v>
      </c>
      <c r="GD51" s="99" t="e">
        <f>'Effort Estimation'!P415+"AM:!$_p"</f>
        <v>#VALUE!</v>
      </c>
      <c r="GE51" s="99" t="e">
        <f>'Effort Estimation'!Q415+"AM:!$_q"</f>
        <v>#VALUE!</v>
      </c>
      <c r="GF51" t="e">
        <f>'Effort Estimation'!R415+"AM:!$_r"</f>
        <v>#VALUE!</v>
      </c>
      <c r="GG51" t="e">
        <f>'Effort Estimation'!S415+"AM:!$_s"</f>
        <v>#VALUE!</v>
      </c>
      <c r="GH51" t="e">
        <f>'Effort Estimation'!T415+"AM:!$_t"</f>
        <v>#VALUE!</v>
      </c>
      <c r="GI51" t="e">
        <f>'Effort Estimation'!A416+"AM:!$_u"</f>
        <v>#VALUE!</v>
      </c>
      <c r="GJ51" t="e">
        <f>'Effort Estimation'!B416+"AM:!$_v"</f>
        <v>#VALUE!</v>
      </c>
      <c r="GK51" t="e">
        <f>'Effort Estimation'!C416+"AM:!$_w"</f>
        <v>#VALUE!</v>
      </c>
      <c r="GL51" t="e">
        <f>'Effort Estimation'!D416+"AM:!$_x"</f>
        <v>#VALUE!</v>
      </c>
      <c r="GM51" t="e">
        <f>'Effort Estimation'!E416+"AM:!$_y"</f>
        <v>#VALUE!</v>
      </c>
      <c r="GN51" t="e">
        <f>'Effort Estimation'!F416+"AM:!$_z"</f>
        <v>#VALUE!</v>
      </c>
      <c r="GO51" t="e">
        <f>'Effort Estimation'!G416+"AM:!$_{"</f>
        <v>#VALUE!</v>
      </c>
      <c r="GP51" t="e">
        <f>'Effort Estimation'!H416+"AM:!$_|"</f>
        <v>#VALUE!</v>
      </c>
      <c r="GQ51" t="e">
        <f>'Effort Estimation'!I416+"AM:!$_}"</f>
        <v>#VALUE!</v>
      </c>
      <c r="GR51" s="99" t="e">
        <f>'Effort Estimation'!J416+"AM:!$_~"</f>
        <v>#VALUE!</v>
      </c>
      <c r="GS51" s="99" t="e">
        <f>'Effort Estimation'!K416+"AM:!$`#"</f>
        <v>#VALUE!</v>
      </c>
      <c r="GT51" s="99" t="e">
        <f>'Effort Estimation'!L416+"AM:!$`$"</f>
        <v>#VALUE!</v>
      </c>
      <c r="GU51" s="99" t="e">
        <f>'Effort Estimation'!M416+"AM:!$`%"</f>
        <v>#VALUE!</v>
      </c>
      <c r="GV51" s="99" t="e">
        <f>'Effort Estimation'!N416+"AM:!$`&amp;"</f>
        <v>#VALUE!</v>
      </c>
      <c r="GW51" s="99" t="e">
        <f>'Effort Estimation'!O416+"AM:!$`'"</f>
        <v>#VALUE!</v>
      </c>
      <c r="GX51" s="99" t="e">
        <f>'Effort Estimation'!P416+"AM:!$`("</f>
        <v>#VALUE!</v>
      </c>
      <c r="GY51" s="99" t="e">
        <f>'Effort Estimation'!Q416+"AM:!$`)"</f>
        <v>#VALUE!</v>
      </c>
      <c r="GZ51" t="e">
        <f>'Effort Estimation'!R416+"AM:!$`."</f>
        <v>#VALUE!</v>
      </c>
      <c r="HA51" t="e">
        <f>'Effort Estimation'!S416+"AM:!$`/"</f>
        <v>#VALUE!</v>
      </c>
      <c r="HB51" t="e">
        <f>'Effort Estimation'!T416+"AM:!$`0"</f>
        <v>#VALUE!</v>
      </c>
      <c r="HC51" t="e">
        <f>'Effort Estimation'!A417+"AM:!$`1"</f>
        <v>#VALUE!</v>
      </c>
      <c r="HD51" t="e">
        <f>'Effort Estimation'!B417+"AM:!$`2"</f>
        <v>#VALUE!</v>
      </c>
      <c r="HE51" t="e">
        <f>'Effort Estimation'!C417+"AM:!$`3"</f>
        <v>#VALUE!</v>
      </c>
      <c r="HF51" t="e">
        <f>'Effort Estimation'!D417+"AM:!$`4"</f>
        <v>#VALUE!</v>
      </c>
      <c r="HG51" t="e">
        <f>'Effort Estimation'!E417+"AM:!$`5"</f>
        <v>#VALUE!</v>
      </c>
      <c r="HH51" t="e">
        <f>'Effort Estimation'!F417+"AM:!$`6"</f>
        <v>#VALUE!</v>
      </c>
      <c r="HI51" t="e">
        <f>'Effort Estimation'!G417+"AM:!$`7"</f>
        <v>#VALUE!</v>
      </c>
      <c r="HJ51" t="e">
        <f>'Effort Estimation'!H417+"AM:!$`8"</f>
        <v>#VALUE!</v>
      </c>
      <c r="HK51" t="e">
        <f>'Effort Estimation'!I417+"AM:!$`9"</f>
        <v>#VALUE!</v>
      </c>
      <c r="HL51" s="99" t="e">
        <f>'Effort Estimation'!J417+"AM:!$`:"</f>
        <v>#VALUE!</v>
      </c>
      <c r="HM51" s="99" t="e">
        <f>'Effort Estimation'!K417+"AM:!$`;"</f>
        <v>#VALUE!</v>
      </c>
      <c r="HN51" s="99" t="e">
        <f>'Effort Estimation'!L417+"AM:!$`&lt;"</f>
        <v>#VALUE!</v>
      </c>
      <c r="HO51" s="99" t="e">
        <f>'Effort Estimation'!M417+"AM:!$`="</f>
        <v>#VALUE!</v>
      </c>
      <c r="HP51" s="99" t="e">
        <f>'Effort Estimation'!N417+"AM:!$`&gt;"</f>
        <v>#VALUE!</v>
      </c>
      <c r="HQ51" s="99" t="e">
        <f>'Effort Estimation'!O417+"AM:!$`?"</f>
        <v>#VALUE!</v>
      </c>
      <c r="HR51" s="99" t="e">
        <f>'Effort Estimation'!P417+"AM:!$`@"</f>
        <v>#VALUE!</v>
      </c>
      <c r="HS51" s="99" t="e">
        <f>'Effort Estimation'!Q417+"AM:!$`A"</f>
        <v>#VALUE!</v>
      </c>
      <c r="HT51" t="e">
        <f>'Effort Estimation'!R417+"AM:!$`B"</f>
        <v>#VALUE!</v>
      </c>
      <c r="HU51" t="e">
        <f>'Effort Estimation'!S417+"AM:!$`C"</f>
        <v>#VALUE!</v>
      </c>
      <c r="HV51" t="e">
        <f>'Effort Estimation'!T417+"AM:!$`D"</f>
        <v>#VALUE!</v>
      </c>
      <c r="HW51" t="e">
        <f>'Effort Estimation'!A418+"AM:!$`E"</f>
        <v>#VALUE!</v>
      </c>
      <c r="HX51" t="e">
        <f>'Effort Estimation'!B418+"AM:!$`F"</f>
        <v>#VALUE!</v>
      </c>
      <c r="HY51" t="e">
        <f>'Effort Estimation'!C418+"AM:!$`G"</f>
        <v>#VALUE!</v>
      </c>
      <c r="HZ51" t="e">
        <f>'Effort Estimation'!D418+"AM:!$`H"</f>
        <v>#VALUE!</v>
      </c>
      <c r="IA51" t="e">
        <f>'Effort Estimation'!E418+"AM:!$`I"</f>
        <v>#VALUE!</v>
      </c>
      <c r="IB51" t="e">
        <f>'Effort Estimation'!F418+"AM:!$`J"</f>
        <v>#VALUE!</v>
      </c>
      <c r="IC51" t="e">
        <f>'Effort Estimation'!G418+"AM:!$`K"</f>
        <v>#VALUE!</v>
      </c>
      <c r="ID51" t="e">
        <f>'Effort Estimation'!H418+"AM:!$`L"</f>
        <v>#VALUE!</v>
      </c>
      <c r="IE51" t="e">
        <f>'Effort Estimation'!I418+"AM:!$`M"</f>
        <v>#VALUE!</v>
      </c>
      <c r="IF51" s="99" t="e">
        <f>'Effort Estimation'!J418+"AM:!$`N"</f>
        <v>#VALUE!</v>
      </c>
      <c r="IG51" s="99" t="e">
        <f>'Effort Estimation'!K418+"AM:!$`O"</f>
        <v>#VALUE!</v>
      </c>
      <c r="IH51" s="99" t="e">
        <f>'Effort Estimation'!L418+"AM:!$`P"</f>
        <v>#VALUE!</v>
      </c>
      <c r="II51" s="99" t="e">
        <f>'Effort Estimation'!M418+"AM:!$`Q"</f>
        <v>#VALUE!</v>
      </c>
      <c r="IJ51" s="99" t="e">
        <f>'Effort Estimation'!N418+"AM:!$`R"</f>
        <v>#VALUE!</v>
      </c>
      <c r="IK51" s="99" t="e">
        <f>'Effort Estimation'!O418+"AM:!$`S"</f>
        <v>#VALUE!</v>
      </c>
      <c r="IL51" s="99" t="e">
        <f>'Effort Estimation'!P418+"AM:!$`T"</f>
        <v>#VALUE!</v>
      </c>
      <c r="IM51" s="99" t="e">
        <f>'Effort Estimation'!Q418+"AM:!$`U"</f>
        <v>#VALUE!</v>
      </c>
      <c r="IN51" t="e">
        <f>'Effort Estimation'!R418+"AM:!$`V"</f>
        <v>#VALUE!</v>
      </c>
      <c r="IO51" t="e">
        <f>'Effort Estimation'!S418+"AM:!$`W"</f>
        <v>#VALUE!</v>
      </c>
      <c r="IP51" t="e">
        <f>'Effort Estimation'!T418+"AM:!$`X"</f>
        <v>#VALUE!</v>
      </c>
      <c r="IQ51" t="e">
        <f>'Effort Estimation'!A419+"AM:!$`Y"</f>
        <v>#VALUE!</v>
      </c>
      <c r="IR51" t="e">
        <f>'Effort Estimation'!B419+"AM:!$`Z"</f>
        <v>#VALUE!</v>
      </c>
      <c r="IS51" t="e">
        <f>'Effort Estimation'!C419+"AM:!$`["</f>
        <v>#VALUE!</v>
      </c>
      <c r="IT51" t="e">
        <f>'Effort Estimation'!D419+"AM:!$`\"</f>
        <v>#VALUE!</v>
      </c>
      <c r="IU51" t="e">
        <f>'Effort Estimation'!E419+"AM:!$`]"</f>
        <v>#VALUE!</v>
      </c>
      <c r="IV51" t="e">
        <f>'Effort Estimation'!F419+"AM:!$`^"</f>
        <v>#VALUE!</v>
      </c>
    </row>
    <row r="52" spans="6:256">
      <c r="F52" t="e">
        <f>'Effort Estimation'!G419+"AM:!$`_"</f>
        <v>#VALUE!</v>
      </c>
      <c r="G52" t="e">
        <f>'Effort Estimation'!H419+"AM:!$``"</f>
        <v>#VALUE!</v>
      </c>
      <c r="H52" t="e">
        <f>'Effort Estimation'!I419+"AM:!$`a"</f>
        <v>#VALUE!</v>
      </c>
      <c r="I52" s="99" t="e">
        <f>'Effort Estimation'!J419+"AM:!$`b"</f>
        <v>#VALUE!</v>
      </c>
      <c r="J52" s="99" t="e">
        <f>'Effort Estimation'!K419+"AM:!$`c"</f>
        <v>#VALUE!</v>
      </c>
      <c r="K52" s="99" t="e">
        <f>'Effort Estimation'!L419+"AM:!$`d"</f>
        <v>#VALUE!</v>
      </c>
      <c r="L52" s="99" t="e">
        <f>'Effort Estimation'!M419+"AM:!$`e"</f>
        <v>#VALUE!</v>
      </c>
      <c r="M52" s="99" t="e">
        <f>'Effort Estimation'!N419+"AM:!$`f"</f>
        <v>#VALUE!</v>
      </c>
      <c r="N52" s="99" t="e">
        <f>'Effort Estimation'!O419+"AM:!$`g"</f>
        <v>#VALUE!</v>
      </c>
      <c r="O52" s="99" t="e">
        <f>'Effort Estimation'!P419+"AM:!$`h"</f>
        <v>#VALUE!</v>
      </c>
      <c r="P52" s="99" t="e">
        <f>'Effort Estimation'!Q419+"AM:!$`i"</f>
        <v>#VALUE!</v>
      </c>
      <c r="Q52" t="e">
        <f>'Effort Estimation'!R419+"AM:!$`j"</f>
        <v>#VALUE!</v>
      </c>
      <c r="R52" t="e">
        <f>'Effort Estimation'!S419+"AM:!$`k"</f>
        <v>#VALUE!</v>
      </c>
      <c r="S52" t="e">
        <f>'Effort Estimation'!T419+"AM:!$`l"</f>
        <v>#VALUE!</v>
      </c>
      <c r="T52" t="e">
        <f>'Effort Estimation'!A420+"AM:!$`m"</f>
        <v>#VALUE!</v>
      </c>
      <c r="U52" t="e">
        <f>'Effort Estimation'!B420+"AM:!$`n"</f>
        <v>#VALUE!</v>
      </c>
      <c r="V52" t="e">
        <f>'Effort Estimation'!C420+"AM:!$`o"</f>
        <v>#VALUE!</v>
      </c>
      <c r="W52" t="e">
        <f>'Effort Estimation'!D420+"AM:!$`p"</f>
        <v>#VALUE!</v>
      </c>
      <c r="X52" t="e">
        <f>'Effort Estimation'!E420+"AM:!$`q"</f>
        <v>#VALUE!</v>
      </c>
      <c r="Y52" t="e">
        <f>'Effort Estimation'!F420+"AM:!$`r"</f>
        <v>#VALUE!</v>
      </c>
      <c r="Z52" t="e">
        <f>'Effort Estimation'!G420+"AM:!$`s"</f>
        <v>#VALUE!</v>
      </c>
      <c r="AA52" t="e">
        <f>'Effort Estimation'!H420+"AM:!$`t"</f>
        <v>#VALUE!</v>
      </c>
      <c r="AB52" t="e">
        <f>'Effort Estimation'!I420+"AM:!$`u"</f>
        <v>#VALUE!</v>
      </c>
      <c r="AC52" s="99" t="e">
        <f>'Effort Estimation'!J420+"AM:!$`v"</f>
        <v>#VALUE!</v>
      </c>
      <c r="AD52" s="99" t="e">
        <f>'Effort Estimation'!K420+"AM:!$`w"</f>
        <v>#VALUE!</v>
      </c>
      <c r="AE52" s="99" t="e">
        <f>'Effort Estimation'!L420+"AM:!$`x"</f>
        <v>#VALUE!</v>
      </c>
      <c r="AF52" s="99" t="e">
        <f>'Effort Estimation'!M420+"AM:!$`y"</f>
        <v>#VALUE!</v>
      </c>
      <c r="AG52" s="99" t="e">
        <f>'Effort Estimation'!N420+"AM:!$`z"</f>
        <v>#VALUE!</v>
      </c>
      <c r="AH52" s="99" t="e">
        <f>'Effort Estimation'!O420+"AM:!$`{"</f>
        <v>#VALUE!</v>
      </c>
      <c r="AI52" s="99" t="e">
        <f>'Effort Estimation'!P420+"AM:!$`|"</f>
        <v>#VALUE!</v>
      </c>
      <c r="AJ52" s="99" t="e">
        <f>'Effort Estimation'!Q420+"AM:!$`}"</f>
        <v>#VALUE!</v>
      </c>
      <c r="AK52" t="e">
        <f>'Effort Estimation'!R420+"AM:!$`~"</f>
        <v>#VALUE!</v>
      </c>
      <c r="AL52" t="e">
        <f>'Effort Estimation'!S420+"AM:!$a#"</f>
        <v>#VALUE!</v>
      </c>
      <c r="AM52" t="e">
        <f>'Effort Estimation'!T420+"AM:!$a$"</f>
        <v>#VALUE!</v>
      </c>
      <c r="AN52" t="e">
        <f>'Effort Estimation'!A421+"AM:!$a%"</f>
        <v>#VALUE!</v>
      </c>
      <c r="AO52" t="e">
        <f>'Effort Estimation'!B421+"AM:!$a&amp;"</f>
        <v>#VALUE!</v>
      </c>
      <c r="AP52" t="e">
        <f>'Effort Estimation'!C421+"AM:!$a'"</f>
        <v>#VALUE!</v>
      </c>
      <c r="AQ52" t="e">
        <f>'Effort Estimation'!D421+"AM:!$a("</f>
        <v>#VALUE!</v>
      </c>
      <c r="AR52" t="e">
        <f>'Effort Estimation'!E421+"AM:!$a)"</f>
        <v>#VALUE!</v>
      </c>
      <c r="AS52" t="e">
        <f>'Effort Estimation'!F421+"AM:!$a."</f>
        <v>#VALUE!</v>
      </c>
      <c r="AT52" t="e">
        <f>'Effort Estimation'!G421+"AM:!$a/"</f>
        <v>#VALUE!</v>
      </c>
      <c r="AU52" t="e">
        <f>'Effort Estimation'!H421+"AM:!$a0"</f>
        <v>#VALUE!</v>
      </c>
      <c r="AV52" t="e">
        <f>'Effort Estimation'!I421+"AM:!$a1"</f>
        <v>#VALUE!</v>
      </c>
      <c r="AW52" s="99" t="e">
        <f>'Effort Estimation'!J421+"AM:!$a2"</f>
        <v>#VALUE!</v>
      </c>
      <c r="AX52" s="99" t="e">
        <f>'Effort Estimation'!K421+"AM:!$a3"</f>
        <v>#VALUE!</v>
      </c>
      <c r="AY52" s="99" t="e">
        <f>'Effort Estimation'!L421+"AM:!$a4"</f>
        <v>#VALUE!</v>
      </c>
      <c r="AZ52" s="99" t="e">
        <f>'Effort Estimation'!M421+"AM:!$a5"</f>
        <v>#VALUE!</v>
      </c>
      <c r="BA52" s="99" t="e">
        <f>'Effort Estimation'!N421+"AM:!$a6"</f>
        <v>#VALUE!</v>
      </c>
      <c r="BB52" s="99" t="e">
        <f>'Effort Estimation'!O421+"AM:!$a7"</f>
        <v>#VALUE!</v>
      </c>
      <c r="BC52" s="99" t="e">
        <f>'Effort Estimation'!P421+"AM:!$a8"</f>
        <v>#VALUE!</v>
      </c>
      <c r="BD52" s="99" t="e">
        <f>'Effort Estimation'!Q421+"AM:!$a9"</f>
        <v>#VALUE!</v>
      </c>
      <c r="BE52" t="e">
        <f>'Effort Estimation'!R421+"AM:!$a:"</f>
        <v>#VALUE!</v>
      </c>
      <c r="BF52" t="e">
        <f>'Effort Estimation'!S421+"AM:!$a;"</f>
        <v>#VALUE!</v>
      </c>
      <c r="BG52" t="e">
        <f>'Effort Estimation'!T421+"AM:!$a&lt;"</f>
        <v>#VALUE!</v>
      </c>
      <c r="BH52" t="e">
        <f>'Effort Estimation'!A422+"AM:!$a="</f>
        <v>#VALUE!</v>
      </c>
      <c r="BI52" t="e">
        <f>'Effort Estimation'!B422+"AM:!$a&gt;"</f>
        <v>#VALUE!</v>
      </c>
      <c r="BJ52" t="e">
        <f>'Effort Estimation'!C422+"AM:!$a?"</f>
        <v>#VALUE!</v>
      </c>
      <c r="BK52" t="e">
        <f>'Effort Estimation'!D422+"AM:!$a@"</f>
        <v>#VALUE!</v>
      </c>
      <c r="BL52" t="e">
        <f>'Effort Estimation'!E422+"AM:!$aA"</f>
        <v>#VALUE!</v>
      </c>
      <c r="BM52" t="e">
        <f>'Effort Estimation'!F422+"AM:!$aB"</f>
        <v>#VALUE!</v>
      </c>
      <c r="BN52" t="e">
        <f>'Effort Estimation'!G422+"AM:!$aC"</f>
        <v>#VALUE!</v>
      </c>
      <c r="BO52" t="e">
        <f>'Effort Estimation'!H422+"AM:!$aD"</f>
        <v>#VALUE!</v>
      </c>
      <c r="BP52" t="e">
        <f>'Effort Estimation'!I422+"AM:!$aE"</f>
        <v>#VALUE!</v>
      </c>
      <c r="BQ52" s="99" t="e">
        <f>'Effort Estimation'!J422+"AM:!$aF"</f>
        <v>#VALUE!</v>
      </c>
      <c r="BR52" s="99" t="e">
        <f>'Effort Estimation'!K422+"AM:!$aG"</f>
        <v>#VALUE!</v>
      </c>
      <c r="BS52" s="99" t="e">
        <f>'Effort Estimation'!L422+"AM:!$aH"</f>
        <v>#VALUE!</v>
      </c>
      <c r="BT52" s="99" t="e">
        <f>'Effort Estimation'!M422+"AM:!$aI"</f>
        <v>#VALUE!</v>
      </c>
      <c r="BU52" s="99" t="e">
        <f>'Effort Estimation'!N422+"AM:!$aJ"</f>
        <v>#VALUE!</v>
      </c>
      <c r="BV52" s="99" t="e">
        <f>'Effort Estimation'!O422+"AM:!$aK"</f>
        <v>#VALUE!</v>
      </c>
      <c r="BW52" s="99" t="e">
        <f>'Effort Estimation'!P422+"AM:!$aL"</f>
        <v>#VALUE!</v>
      </c>
      <c r="BX52" s="99" t="e">
        <f>'Effort Estimation'!Q422+"AM:!$aM"</f>
        <v>#VALUE!</v>
      </c>
      <c r="BY52" t="e">
        <f>'Effort Estimation'!R422+"AM:!$aN"</f>
        <v>#VALUE!</v>
      </c>
      <c r="BZ52" t="e">
        <f>'Effort Estimation'!S422+"AM:!$aO"</f>
        <v>#VALUE!</v>
      </c>
      <c r="CA52" t="e">
        <f>'Effort Estimation'!T422+"AM:!$aP"</f>
        <v>#VALUE!</v>
      </c>
      <c r="CB52" t="e">
        <f>'Effort Estimation'!A423+"AM:!$aQ"</f>
        <v>#VALUE!</v>
      </c>
      <c r="CC52" t="e">
        <f>'Effort Estimation'!B423+"AM:!$aR"</f>
        <v>#VALUE!</v>
      </c>
      <c r="CD52" t="e">
        <f>'Effort Estimation'!C423+"AM:!$aS"</f>
        <v>#VALUE!</v>
      </c>
      <c r="CE52" t="e">
        <f>'Effort Estimation'!D423+"AM:!$aT"</f>
        <v>#VALUE!</v>
      </c>
      <c r="CF52" t="e">
        <f>'Effort Estimation'!E423+"AM:!$aU"</f>
        <v>#VALUE!</v>
      </c>
      <c r="CG52" t="e">
        <f>'Effort Estimation'!F423+"AM:!$aV"</f>
        <v>#VALUE!</v>
      </c>
      <c r="CH52" t="e">
        <f>'Effort Estimation'!G423+"AM:!$aW"</f>
        <v>#VALUE!</v>
      </c>
      <c r="CI52" t="e">
        <f>'Effort Estimation'!H423+"AM:!$aX"</f>
        <v>#VALUE!</v>
      </c>
      <c r="CJ52" t="e">
        <f>'Effort Estimation'!I423+"AM:!$aY"</f>
        <v>#VALUE!</v>
      </c>
      <c r="CK52" s="99" t="e">
        <f>'Effort Estimation'!J423+"AM:!$aZ"</f>
        <v>#VALUE!</v>
      </c>
      <c r="CL52" s="99" t="e">
        <f>'Effort Estimation'!K423+"AM:!$a["</f>
        <v>#VALUE!</v>
      </c>
      <c r="CM52" s="99" t="e">
        <f>'Effort Estimation'!L423+"AM:!$a\"</f>
        <v>#VALUE!</v>
      </c>
      <c r="CN52" s="99" t="e">
        <f>'Effort Estimation'!M423+"AM:!$a]"</f>
        <v>#VALUE!</v>
      </c>
      <c r="CO52" s="99" t="e">
        <f>'Effort Estimation'!N423+"AM:!$a^"</f>
        <v>#VALUE!</v>
      </c>
      <c r="CP52" s="99" t="e">
        <f>'Effort Estimation'!O423+"AM:!$a_"</f>
        <v>#VALUE!</v>
      </c>
      <c r="CQ52" s="99" t="e">
        <f>'Effort Estimation'!P423+"AM:!$a`"</f>
        <v>#VALUE!</v>
      </c>
      <c r="CR52" s="99" t="e">
        <f>'Effort Estimation'!Q423+"AM:!$aa"</f>
        <v>#VALUE!</v>
      </c>
      <c r="CS52" t="e">
        <f>'Effort Estimation'!R423+"AM:!$ab"</f>
        <v>#VALUE!</v>
      </c>
      <c r="CT52" t="e">
        <f>'Effort Estimation'!S423+"AM:!$ac"</f>
        <v>#VALUE!</v>
      </c>
      <c r="CU52" t="e">
        <f>'Effort Estimation'!T423+"AM:!$ad"</f>
        <v>#VALUE!</v>
      </c>
      <c r="CV52" t="e">
        <f>'Effort Estimation'!A424+"AM:!$ae"</f>
        <v>#VALUE!</v>
      </c>
      <c r="CW52" t="e">
        <f>'Effort Estimation'!B424+"AM:!$af"</f>
        <v>#VALUE!</v>
      </c>
      <c r="CX52" t="e">
        <f>'Effort Estimation'!C424+"AM:!$ag"</f>
        <v>#VALUE!</v>
      </c>
      <c r="CY52" t="e">
        <f>'Effort Estimation'!D424+"AM:!$ah"</f>
        <v>#VALUE!</v>
      </c>
      <c r="CZ52" t="e">
        <f>'Effort Estimation'!E424+"AM:!$ai"</f>
        <v>#VALUE!</v>
      </c>
      <c r="DA52" t="e">
        <f>'Effort Estimation'!F424+"AM:!$aj"</f>
        <v>#VALUE!</v>
      </c>
      <c r="DB52" t="e">
        <f>'Effort Estimation'!G424+"AM:!$ak"</f>
        <v>#VALUE!</v>
      </c>
      <c r="DC52" t="e">
        <f>'Effort Estimation'!H424+"AM:!$al"</f>
        <v>#VALUE!</v>
      </c>
      <c r="DD52" t="e">
        <f>'Effort Estimation'!I424+"AM:!$am"</f>
        <v>#VALUE!</v>
      </c>
      <c r="DE52" s="99" t="e">
        <f>'Effort Estimation'!J424+"AM:!$an"</f>
        <v>#VALUE!</v>
      </c>
      <c r="DF52" s="99" t="e">
        <f>'Effort Estimation'!K424+"AM:!$ao"</f>
        <v>#VALUE!</v>
      </c>
      <c r="DG52" s="99" t="e">
        <f>'Effort Estimation'!L424+"AM:!$ap"</f>
        <v>#VALUE!</v>
      </c>
      <c r="DH52" s="99" t="e">
        <f>'Effort Estimation'!M424+"AM:!$aq"</f>
        <v>#VALUE!</v>
      </c>
      <c r="DI52" s="99" t="e">
        <f>'Effort Estimation'!N424+"AM:!$ar"</f>
        <v>#VALUE!</v>
      </c>
      <c r="DJ52" s="99" t="e">
        <f>'Effort Estimation'!O424+"AM:!$as"</f>
        <v>#VALUE!</v>
      </c>
      <c r="DK52" s="99" t="e">
        <f>'Effort Estimation'!P424+"AM:!$at"</f>
        <v>#VALUE!</v>
      </c>
      <c r="DL52" s="99" t="e">
        <f>'Effort Estimation'!Q424+"AM:!$au"</f>
        <v>#VALUE!</v>
      </c>
      <c r="DM52" t="e">
        <f>'Effort Estimation'!R424+"AM:!$av"</f>
        <v>#VALUE!</v>
      </c>
      <c r="DN52" t="e">
        <f>'Effort Estimation'!S424+"AM:!$aw"</f>
        <v>#VALUE!</v>
      </c>
      <c r="DO52" t="e">
        <f>'Effort Estimation'!T424+"AM:!$ax"</f>
        <v>#VALUE!</v>
      </c>
      <c r="DP52" t="e">
        <f>'Effort Estimation'!A425+"AM:!$ay"</f>
        <v>#VALUE!</v>
      </c>
      <c r="DQ52" t="e">
        <f>'Effort Estimation'!B425+"AM:!$az"</f>
        <v>#VALUE!</v>
      </c>
      <c r="DR52" t="e">
        <f>'Effort Estimation'!C425+"AM:!$a{"</f>
        <v>#VALUE!</v>
      </c>
      <c r="DS52" t="e">
        <f>'Effort Estimation'!D425+"AM:!$a|"</f>
        <v>#VALUE!</v>
      </c>
      <c r="DT52" t="e">
        <f>'Effort Estimation'!E425+"AM:!$a}"</f>
        <v>#VALUE!</v>
      </c>
      <c r="DU52" t="e">
        <f>'Effort Estimation'!F425+"AM:!$a~"</f>
        <v>#VALUE!</v>
      </c>
      <c r="DV52" t="e">
        <f>'Effort Estimation'!G425+"AM:!$b#"</f>
        <v>#VALUE!</v>
      </c>
      <c r="DW52" t="e">
        <f>'Effort Estimation'!H425+"AM:!$b$"</f>
        <v>#VALUE!</v>
      </c>
      <c r="DX52" t="e">
        <f>'Effort Estimation'!I425+"AM:!$b%"</f>
        <v>#VALUE!</v>
      </c>
      <c r="DY52" s="99" t="e">
        <f>'Effort Estimation'!J425+"AM:!$b&amp;"</f>
        <v>#VALUE!</v>
      </c>
      <c r="DZ52" s="99" t="e">
        <f>'Effort Estimation'!K425+"AM:!$b'"</f>
        <v>#VALUE!</v>
      </c>
      <c r="EA52" s="99" t="e">
        <f>'Effort Estimation'!L425+"AM:!$b("</f>
        <v>#VALUE!</v>
      </c>
      <c r="EB52" s="99" t="e">
        <f>'Effort Estimation'!M425+"AM:!$b)"</f>
        <v>#VALUE!</v>
      </c>
      <c r="EC52" s="99" t="e">
        <f>'Effort Estimation'!N425+"AM:!$b."</f>
        <v>#VALUE!</v>
      </c>
      <c r="ED52" s="99" t="e">
        <f>'Effort Estimation'!O425+"AM:!$b/"</f>
        <v>#VALUE!</v>
      </c>
      <c r="EE52" s="99" t="e">
        <f>'Effort Estimation'!P425+"AM:!$b0"</f>
        <v>#VALUE!</v>
      </c>
      <c r="EF52" s="99" t="e">
        <f>'Effort Estimation'!Q425+"AM:!$b1"</f>
        <v>#VALUE!</v>
      </c>
      <c r="EG52" t="e">
        <f>'Effort Estimation'!R425+"AM:!$b2"</f>
        <v>#VALUE!</v>
      </c>
      <c r="EH52" t="e">
        <f>'Effort Estimation'!S425+"AM:!$b3"</f>
        <v>#VALUE!</v>
      </c>
      <c r="EI52" t="e">
        <f>'Effort Estimation'!T425+"AM:!$b4"</f>
        <v>#VALUE!</v>
      </c>
      <c r="EJ52" t="e">
        <f>'Effort Estimation'!A426+"AM:!$b5"</f>
        <v>#VALUE!</v>
      </c>
      <c r="EK52" t="e">
        <f>'Effort Estimation'!B426+"AM:!$b6"</f>
        <v>#VALUE!</v>
      </c>
      <c r="EL52" t="e">
        <f>'Effort Estimation'!C426+"AM:!$b7"</f>
        <v>#VALUE!</v>
      </c>
      <c r="EM52" t="e">
        <f>'Effort Estimation'!D426+"AM:!$b8"</f>
        <v>#VALUE!</v>
      </c>
      <c r="EN52" t="e">
        <f>'Effort Estimation'!E426+"AM:!$b9"</f>
        <v>#VALUE!</v>
      </c>
      <c r="EO52" t="e">
        <f>'Effort Estimation'!F426+"AM:!$b:"</f>
        <v>#VALUE!</v>
      </c>
      <c r="EP52" t="e">
        <f>'Effort Estimation'!G426+"AM:!$b;"</f>
        <v>#VALUE!</v>
      </c>
      <c r="EQ52" t="e">
        <f>'Effort Estimation'!H426+"AM:!$b&lt;"</f>
        <v>#VALUE!</v>
      </c>
      <c r="ER52" t="e">
        <f>'Effort Estimation'!I426+"AM:!$b="</f>
        <v>#VALUE!</v>
      </c>
      <c r="ES52" s="99" t="e">
        <f>'Effort Estimation'!J426+"AM:!$b&gt;"</f>
        <v>#VALUE!</v>
      </c>
      <c r="ET52" s="99" t="e">
        <f>'Effort Estimation'!K426+"AM:!$b?"</f>
        <v>#VALUE!</v>
      </c>
      <c r="EU52" s="99" t="e">
        <f>'Effort Estimation'!L426+"AM:!$b@"</f>
        <v>#VALUE!</v>
      </c>
      <c r="EV52" s="99" t="e">
        <f>'Effort Estimation'!M426+"AM:!$bA"</f>
        <v>#VALUE!</v>
      </c>
      <c r="EW52" s="99" t="e">
        <f>'Effort Estimation'!N426+"AM:!$bB"</f>
        <v>#VALUE!</v>
      </c>
      <c r="EX52" s="99" t="e">
        <f>'Effort Estimation'!O426+"AM:!$bC"</f>
        <v>#VALUE!</v>
      </c>
      <c r="EY52" s="99" t="e">
        <f>'Effort Estimation'!P426+"AM:!$bD"</f>
        <v>#VALUE!</v>
      </c>
      <c r="EZ52" s="99" t="e">
        <f>'Effort Estimation'!Q426+"AM:!$bE"</f>
        <v>#VALUE!</v>
      </c>
      <c r="FA52" t="e">
        <f>'Effort Estimation'!R426+"AM:!$bF"</f>
        <v>#VALUE!</v>
      </c>
      <c r="FB52" t="e">
        <f>'Effort Estimation'!S426+"AM:!$bG"</f>
        <v>#VALUE!</v>
      </c>
      <c r="FC52" t="e">
        <f>'Effort Estimation'!T426+"AM:!$bH"</f>
        <v>#VALUE!</v>
      </c>
      <c r="FD52" t="e">
        <f>'Effort Estimation'!A427+"AM:!$bI"</f>
        <v>#VALUE!</v>
      </c>
      <c r="FE52" t="e">
        <f>'Effort Estimation'!B427+"AM:!$bJ"</f>
        <v>#VALUE!</v>
      </c>
      <c r="FF52" t="e">
        <f>'Effort Estimation'!C427+"AM:!$bK"</f>
        <v>#VALUE!</v>
      </c>
      <c r="FG52" t="e">
        <f>'Effort Estimation'!D427+"AM:!$bL"</f>
        <v>#VALUE!</v>
      </c>
      <c r="FH52" t="e">
        <f>'Effort Estimation'!E427+"AM:!$bM"</f>
        <v>#VALUE!</v>
      </c>
      <c r="FI52" t="e">
        <f>'Effort Estimation'!F427+"AM:!$bN"</f>
        <v>#VALUE!</v>
      </c>
      <c r="FJ52" t="e">
        <f>'Effort Estimation'!G427+"AM:!$bO"</f>
        <v>#VALUE!</v>
      </c>
      <c r="FK52" t="e">
        <f>'Effort Estimation'!H427+"AM:!$bP"</f>
        <v>#VALUE!</v>
      </c>
      <c r="FL52" t="e">
        <f>'Effort Estimation'!I427+"AM:!$bQ"</f>
        <v>#VALUE!</v>
      </c>
      <c r="FM52" s="99" t="e">
        <f>'Effort Estimation'!J427+"AM:!$bR"</f>
        <v>#VALUE!</v>
      </c>
      <c r="FN52" s="99" t="e">
        <f>'Effort Estimation'!K427+"AM:!$bS"</f>
        <v>#VALUE!</v>
      </c>
      <c r="FO52" s="99" t="e">
        <f>'Effort Estimation'!L427+"AM:!$bT"</f>
        <v>#VALUE!</v>
      </c>
      <c r="FP52" s="99" t="e">
        <f>'Effort Estimation'!M427+"AM:!$bU"</f>
        <v>#VALUE!</v>
      </c>
      <c r="FQ52" s="99" t="e">
        <f>'Effort Estimation'!N427+"AM:!$bV"</f>
        <v>#VALUE!</v>
      </c>
      <c r="FR52" s="99" t="e">
        <f>'Effort Estimation'!O427+"AM:!$bW"</f>
        <v>#VALUE!</v>
      </c>
      <c r="FS52" s="99" t="e">
        <f>'Effort Estimation'!P427+"AM:!$bX"</f>
        <v>#VALUE!</v>
      </c>
      <c r="FT52" s="99" t="e">
        <f>'Effort Estimation'!Q427+"AM:!$bY"</f>
        <v>#VALUE!</v>
      </c>
      <c r="FU52" t="e">
        <f>'Effort Estimation'!R427+"AM:!$bZ"</f>
        <v>#VALUE!</v>
      </c>
      <c r="FV52" t="e">
        <f>'Effort Estimation'!S427+"AM:!$b["</f>
        <v>#VALUE!</v>
      </c>
      <c r="FW52" t="e">
        <f>'Effort Estimation'!T427+"AM:!$b\"</f>
        <v>#VALUE!</v>
      </c>
      <c r="FX52" t="e">
        <f>'Effort Estimation'!A428+"AM:!$b]"</f>
        <v>#VALUE!</v>
      </c>
      <c r="FY52" t="e">
        <f>'Effort Estimation'!B428+"AM:!$b^"</f>
        <v>#VALUE!</v>
      </c>
      <c r="FZ52" t="e">
        <f>'Effort Estimation'!C428+"AM:!$b_"</f>
        <v>#VALUE!</v>
      </c>
      <c r="GA52" t="e">
        <f>'Effort Estimation'!D428+"AM:!$b`"</f>
        <v>#VALUE!</v>
      </c>
      <c r="GB52" t="e">
        <f>'Effort Estimation'!E428+"AM:!$ba"</f>
        <v>#VALUE!</v>
      </c>
      <c r="GC52" t="e">
        <f>'Effort Estimation'!F428+"AM:!$bb"</f>
        <v>#VALUE!</v>
      </c>
      <c r="GD52" t="e">
        <f>'Effort Estimation'!G428+"AM:!$bc"</f>
        <v>#VALUE!</v>
      </c>
      <c r="GE52" t="e">
        <f>'Effort Estimation'!H428+"AM:!$bd"</f>
        <v>#VALUE!</v>
      </c>
      <c r="GF52" t="e">
        <f>'Effort Estimation'!I428+"AM:!$be"</f>
        <v>#VALUE!</v>
      </c>
      <c r="GG52" s="99" t="e">
        <f>'Effort Estimation'!J428+"AM:!$bf"</f>
        <v>#VALUE!</v>
      </c>
      <c r="GH52" s="99" t="e">
        <f>'Effort Estimation'!K428+"AM:!$bg"</f>
        <v>#VALUE!</v>
      </c>
      <c r="GI52" s="99" t="e">
        <f>'Effort Estimation'!L428+"AM:!$bh"</f>
        <v>#VALUE!</v>
      </c>
      <c r="GJ52" s="99" t="e">
        <f>'Effort Estimation'!M428+"AM:!$bi"</f>
        <v>#VALUE!</v>
      </c>
      <c r="GK52" s="99" t="e">
        <f>'Effort Estimation'!N428+"AM:!$bj"</f>
        <v>#VALUE!</v>
      </c>
      <c r="GL52" s="99" t="e">
        <f>'Effort Estimation'!O428+"AM:!$bk"</f>
        <v>#VALUE!</v>
      </c>
      <c r="GM52" s="99" t="e">
        <f>'Effort Estimation'!P428+"AM:!$bl"</f>
        <v>#VALUE!</v>
      </c>
      <c r="GN52" s="99" t="e">
        <f>'Effort Estimation'!Q428+"AM:!$bm"</f>
        <v>#VALUE!</v>
      </c>
      <c r="GO52" t="e">
        <f>'Effort Estimation'!R428+"AM:!$bn"</f>
        <v>#VALUE!</v>
      </c>
      <c r="GP52" t="e">
        <f>'Effort Estimation'!S428+"AM:!$bo"</f>
        <v>#VALUE!</v>
      </c>
      <c r="GQ52" t="e">
        <f>'Effort Estimation'!T428+"AM:!$bp"</f>
        <v>#VALUE!</v>
      </c>
      <c r="GR52" t="e">
        <f>'Effort Estimation'!A429+"AM:!$bq"</f>
        <v>#VALUE!</v>
      </c>
      <c r="GS52" t="e">
        <f>'Effort Estimation'!B429+"AM:!$br"</f>
        <v>#VALUE!</v>
      </c>
      <c r="GT52" t="e">
        <f>'Effort Estimation'!C429+"AM:!$bs"</f>
        <v>#VALUE!</v>
      </c>
      <c r="GU52" t="e">
        <f>'Effort Estimation'!D429+"AM:!$bt"</f>
        <v>#VALUE!</v>
      </c>
      <c r="GV52" t="e">
        <f>'Effort Estimation'!E429+"AM:!$bu"</f>
        <v>#VALUE!</v>
      </c>
      <c r="GW52" t="e">
        <f>'Effort Estimation'!F429+"AM:!$bv"</f>
        <v>#VALUE!</v>
      </c>
      <c r="GX52" t="e">
        <f>'Effort Estimation'!G429+"AM:!$bw"</f>
        <v>#VALUE!</v>
      </c>
      <c r="GY52" t="e">
        <f>'Effort Estimation'!H429+"AM:!$bx"</f>
        <v>#VALUE!</v>
      </c>
      <c r="GZ52" t="e">
        <f>'Effort Estimation'!I429+"AM:!$by"</f>
        <v>#VALUE!</v>
      </c>
      <c r="HA52" s="99" t="e">
        <f>'Effort Estimation'!J429+"AM:!$bz"</f>
        <v>#VALUE!</v>
      </c>
      <c r="HB52" s="99" t="e">
        <f>'Effort Estimation'!K429+"AM:!$b{"</f>
        <v>#VALUE!</v>
      </c>
      <c r="HC52" s="99" t="e">
        <f>'Effort Estimation'!L429+"AM:!$b|"</f>
        <v>#VALUE!</v>
      </c>
      <c r="HD52" s="99" t="e">
        <f>'Effort Estimation'!M429+"AM:!$b}"</f>
        <v>#VALUE!</v>
      </c>
      <c r="HE52" s="99" t="e">
        <f>'Effort Estimation'!N429+"AM:!$b~"</f>
        <v>#VALUE!</v>
      </c>
      <c r="HF52" s="99" t="e">
        <f>'Effort Estimation'!O429+"AM:!$c#"</f>
        <v>#VALUE!</v>
      </c>
      <c r="HG52" s="99" t="e">
        <f>'Effort Estimation'!P429+"AM:!$c$"</f>
        <v>#VALUE!</v>
      </c>
      <c r="HH52" s="99" t="e">
        <f>'Effort Estimation'!Q429+"AM:!$c%"</f>
        <v>#VALUE!</v>
      </c>
      <c r="HI52" t="e">
        <f>'Effort Estimation'!R429+"AM:!$c&amp;"</f>
        <v>#VALUE!</v>
      </c>
      <c r="HJ52" t="e">
        <f>'Effort Estimation'!S429+"AM:!$c'"</f>
        <v>#VALUE!</v>
      </c>
      <c r="HK52" t="e">
        <f>'Effort Estimation'!T429+"AM:!$c("</f>
        <v>#VALUE!</v>
      </c>
      <c r="HL52" t="e">
        <f>'Effort Estimation'!A430+"AM:!$c)"</f>
        <v>#VALUE!</v>
      </c>
      <c r="HM52" t="e">
        <f>'Effort Estimation'!B430+"AM:!$c."</f>
        <v>#VALUE!</v>
      </c>
      <c r="HN52" t="e">
        <f>'Effort Estimation'!C430+"AM:!$c/"</f>
        <v>#VALUE!</v>
      </c>
      <c r="HO52" t="e">
        <f>'Effort Estimation'!D430+"AM:!$c0"</f>
        <v>#VALUE!</v>
      </c>
      <c r="HP52" t="e">
        <f>'Effort Estimation'!E430+"AM:!$c1"</f>
        <v>#VALUE!</v>
      </c>
      <c r="HQ52" t="e">
        <f>'Effort Estimation'!F430+"AM:!$c2"</f>
        <v>#VALUE!</v>
      </c>
      <c r="HR52" t="e">
        <f>'Effort Estimation'!G430+"AM:!$c3"</f>
        <v>#VALUE!</v>
      </c>
      <c r="HS52" t="e">
        <f>'Effort Estimation'!H430+"AM:!$c4"</f>
        <v>#VALUE!</v>
      </c>
      <c r="HT52" t="e">
        <f>'Effort Estimation'!I430+"AM:!$c5"</f>
        <v>#VALUE!</v>
      </c>
      <c r="HU52" s="99" t="e">
        <f>'Effort Estimation'!J430+"AM:!$c6"</f>
        <v>#VALUE!</v>
      </c>
      <c r="HV52" s="99" t="e">
        <f>'Effort Estimation'!K430+"AM:!$c7"</f>
        <v>#VALUE!</v>
      </c>
      <c r="HW52" s="99" t="e">
        <f>'Effort Estimation'!L430+"AM:!$c8"</f>
        <v>#VALUE!</v>
      </c>
      <c r="HX52" s="99" t="e">
        <f>'Effort Estimation'!M430+"AM:!$c9"</f>
        <v>#VALUE!</v>
      </c>
      <c r="HY52" s="99" t="e">
        <f>'Effort Estimation'!N430+"AM:!$c:"</f>
        <v>#VALUE!</v>
      </c>
      <c r="HZ52" s="99" t="e">
        <f>'Effort Estimation'!O430+"AM:!$c;"</f>
        <v>#VALUE!</v>
      </c>
      <c r="IA52" s="99" t="e">
        <f>'Effort Estimation'!P430+"AM:!$c&lt;"</f>
        <v>#VALUE!</v>
      </c>
      <c r="IB52" s="99" t="e">
        <f>'Effort Estimation'!Q430+"AM:!$c="</f>
        <v>#VALUE!</v>
      </c>
      <c r="IC52" t="e">
        <f>'Effort Estimation'!R430+"AM:!$c&gt;"</f>
        <v>#VALUE!</v>
      </c>
      <c r="ID52" t="e">
        <f>'Effort Estimation'!S430+"AM:!$c?"</f>
        <v>#VALUE!</v>
      </c>
      <c r="IE52" t="e">
        <f>'Effort Estimation'!T430+"AM:!$c@"</f>
        <v>#VALUE!</v>
      </c>
      <c r="IF52" t="e">
        <f>'Effort Estimation'!A431+"AM:!$cA"</f>
        <v>#VALUE!</v>
      </c>
      <c r="IG52" t="e">
        <f>'Effort Estimation'!B431+"AM:!$cB"</f>
        <v>#VALUE!</v>
      </c>
      <c r="IH52" t="e">
        <f>'Effort Estimation'!C431+"AM:!$cC"</f>
        <v>#VALUE!</v>
      </c>
      <c r="II52" t="e">
        <f>'Effort Estimation'!D431+"AM:!$cD"</f>
        <v>#VALUE!</v>
      </c>
      <c r="IJ52" t="e">
        <f>'Effort Estimation'!E431+"AM:!$cE"</f>
        <v>#VALUE!</v>
      </c>
      <c r="IK52" t="e">
        <f>'Effort Estimation'!F431+"AM:!$cF"</f>
        <v>#VALUE!</v>
      </c>
      <c r="IL52" t="e">
        <f>'Effort Estimation'!G431+"AM:!$cG"</f>
        <v>#VALUE!</v>
      </c>
      <c r="IM52" t="e">
        <f>'Effort Estimation'!H431+"AM:!$cH"</f>
        <v>#VALUE!</v>
      </c>
      <c r="IN52" t="e">
        <f>'Effort Estimation'!I431+"AM:!$cI"</f>
        <v>#VALUE!</v>
      </c>
      <c r="IO52" s="99" t="e">
        <f>'Effort Estimation'!J431+"AM:!$cJ"</f>
        <v>#VALUE!</v>
      </c>
      <c r="IP52" s="99" t="e">
        <f>'Effort Estimation'!K431+"AM:!$cK"</f>
        <v>#VALUE!</v>
      </c>
      <c r="IQ52" s="99" t="e">
        <f>'Effort Estimation'!L431+"AM:!$cL"</f>
        <v>#VALUE!</v>
      </c>
      <c r="IR52" s="99" t="e">
        <f>'Effort Estimation'!M431+"AM:!$cM"</f>
        <v>#VALUE!</v>
      </c>
      <c r="IS52" s="99" t="e">
        <f>'Effort Estimation'!N431+"AM:!$cN"</f>
        <v>#VALUE!</v>
      </c>
      <c r="IT52" s="99" t="e">
        <f>'Effort Estimation'!O431+"AM:!$cO"</f>
        <v>#VALUE!</v>
      </c>
      <c r="IU52" s="99" t="e">
        <f>'Effort Estimation'!P431+"AM:!$cP"</f>
        <v>#VALUE!</v>
      </c>
      <c r="IV52" s="99" t="e">
        <f>'Effort Estimation'!Q431+"AM:!$cQ"</f>
        <v>#VALUE!</v>
      </c>
    </row>
    <row r="53" spans="6:256">
      <c r="F53" t="e">
        <f>'Effort Estimation'!R431+"AM:!$cR"</f>
        <v>#VALUE!</v>
      </c>
      <c r="G53" t="e">
        <f>'Effort Estimation'!S431+"AM:!$cS"</f>
        <v>#VALUE!</v>
      </c>
      <c r="H53" t="e">
        <f>'Effort Estimation'!T431+"AM:!$cT"</f>
        <v>#VALUE!</v>
      </c>
      <c r="I53" t="e">
        <f>'Effort Estimation'!A432+"AM:!$cU"</f>
        <v>#VALUE!</v>
      </c>
      <c r="J53" t="e">
        <f>'Effort Estimation'!B432+"AM:!$cV"</f>
        <v>#VALUE!</v>
      </c>
      <c r="K53" t="e">
        <f>'Effort Estimation'!C432+"AM:!$cW"</f>
        <v>#VALUE!</v>
      </c>
      <c r="L53" t="e">
        <f>'Effort Estimation'!D432+"AM:!$cX"</f>
        <v>#VALUE!</v>
      </c>
      <c r="M53" t="e">
        <f>'Effort Estimation'!E432+"AM:!$cY"</f>
        <v>#VALUE!</v>
      </c>
      <c r="N53" t="e">
        <f>'Effort Estimation'!F432+"AM:!$cZ"</f>
        <v>#VALUE!</v>
      </c>
      <c r="O53" t="e">
        <f>'Effort Estimation'!G432+"AM:!$c["</f>
        <v>#VALUE!</v>
      </c>
      <c r="P53" t="e">
        <f>'Effort Estimation'!H432+"AM:!$c\"</f>
        <v>#VALUE!</v>
      </c>
      <c r="Q53" t="e">
        <f>'Effort Estimation'!I432+"AM:!$c]"</f>
        <v>#VALUE!</v>
      </c>
      <c r="R53" s="99" t="e">
        <f>'Effort Estimation'!J432+"AM:!$c^"</f>
        <v>#VALUE!</v>
      </c>
      <c r="S53" s="99" t="e">
        <f>'Effort Estimation'!K432+"AM:!$c_"</f>
        <v>#VALUE!</v>
      </c>
      <c r="T53" s="99" t="e">
        <f>'Effort Estimation'!L432+"AM:!$c`"</f>
        <v>#VALUE!</v>
      </c>
      <c r="U53" s="99" t="e">
        <f>'Effort Estimation'!M432+"AM:!$ca"</f>
        <v>#VALUE!</v>
      </c>
      <c r="V53" s="99" t="e">
        <f>'Effort Estimation'!N432+"AM:!$cb"</f>
        <v>#VALUE!</v>
      </c>
      <c r="W53" s="99" t="e">
        <f>'Effort Estimation'!O432+"AM:!$cc"</f>
        <v>#VALUE!</v>
      </c>
      <c r="X53" s="99" t="e">
        <f>'Effort Estimation'!P432+"AM:!$cd"</f>
        <v>#VALUE!</v>
      </c>
      <c r="Y53" s="99" t="e">
        <f>'Effort Estimation'!Q432+"AM:!$ce"</f>
        <v>#VALUE!</v>
      </c>
      <c r="Z53" t="e">
        <f>'Effort Estimation'!R432+"AM:!$cf"</f>
        <v>#VALUE!</v>
      </c>
      <c r="AA53" t="e">
        <f>'Effort Estimation'!S432+"AM:!$cg"</f>
        <v>#VALUE!</v>
      </c>
      <c r="AB53" t="e">
        <f>'Effort Estimation'!T432+"AM:!$ch"</f>
        <v>#VALUE!</v>
      </c>
      <c r="AC53" t="e">
        <f>'Effort Estimation'!A433+"AM:!$ci"</f>
        <v>#VALUE!</v>
      </c>
      <c r="AD53" t="e">
        <f>'Effort Estimation'!B433+"AM:!$cj"</f>
        <v>#VALUE!</v>
      </c>
      <c r="AE53" t="e">
        <f>'Effort Estimation'!C433+"AM:!$ck"</f>
        <v>#VALUE!</v>
      </c>
      <c r="AF53" t="e">
        <f>'Effort Estimation'!D433+"AM:!$cl"</f>
        <v>#VALUE!</v>
      </c>
      <c r="AG53" t="e">
        <f>'Effort Estimation'!E433+"AM:!$cm"</f>
        <v>#VALUE!</v>
      </c>
      <c r="AH53" t="e">
        <f>'Effort Estimation'!F433+"AM:!$cn"</f>
        <v>#VALUE!</v>
      </c>
      <c r="AI53" t="e">
        <f>'Effort Estimation'!G433+"AM:!$co"</f>
        <v>#VALUE!</v>
      </c>
      <c r="AJ53" t="e">
        <f>'Effort Estimation'!H433+"AM:!$cp"</f>
        <v>#VALUE!</v>
      </c>
      <c r="AK53" t="e">
        <f>'Effort Estimation'!I433+"AM:!$cq"</f>
        <v>#VALUE!</v>
      </c>
      <c r="AL53" s="99" t="e">
        <f>'Effort Estimation'!J433+"AM:!$cr"</f>
        <v>#VALUE!</v>
      </c>
      <c r="AM53" s="99" t="e">
        <f>'Effort Estimation'!K433+"AM:!$cs"</f>
        <v>#VALUE!</v>
      </c>
      <c r="AN53" s="99" t="e">
        <f>'Effort Estimation'!L433+"AM:!$ct"</f>
        <v>#VALUE!</v>
      </c>
      <c r="AO53" s="99" t="e">
        <f>'Effort Estimation'!M433+"AM:!$cu"</f>
        <v>#VALUE!</v>
      </c>
      <c r="AP53" s="99" t="e">
        <f>'Effort Estimation'!N433+"AM:!$cv"</f>
        <v>#VALUE!</v>
      </c>
      <c r="AQ53" s="99" t="e">
        <f>'Effort Estimation'!O433+"AM:!$cw"</f>
        <v>#VALUE!</v>
      </c>
      <c r="AR53" s="99" t="e">
        <f>'Effort Estimation'!P433+"AM:!$cx"</f>
        <v>#VALUE!</v>
      </c>
      <c r="AS53" s="99" t="e">
        <f>'Effort Estimation'!Q433+"AM:!$cy"</f>
        <v>#VALUE!</v>
      </c>
      <c r="AT53" t="e">
        <f>'Effort Estimation'!R433+"AM:!$cz"</f>
        <v>#VALUE!</v>
      </c>
      <c r="AU53" t="e">
        <f>'Effort Estimation'!S433+"AM:!$c{"</f>
        <v>#VALUE!</v>
      </c>
      <c r="AV53" t="e">
        <f>'Effort Estimation'!T433+"AM:!$c|"</f>
        <v>#VALUE!</v>
      </c>
      <c r="AW53" t="e">
        <f>'Effort Estimation'!A434+"AM:!$c}"</f>
        <v>#VALUE!</v>
      </c>
      <c r="AX53" t="e">
        <f>'Effort Estimation'!B434+"AM:!$c~"</f>
        <v>#VALUE!</v>
      </c>
      <c r="AY53" t="e">
        <f>'Effort Estimation'!C434+"AM:!$d#"</f>
        <v>#VALUE!</v>
      </c>
      <c r="AZ53" t="e">
        <f>'Effort Estimation'!D434+"AM:!$d$"</f>
        <v>#VALUE!</v>
      </c>
      <c r="BA53" t="e">
        <f>'Effort Estimation'!E434+"AM:!$d%"</f>
        <v>#VALUE!</v>
      </c>
      <c r="BB53" t="e">
        <f>'Effort Estimation'!F434+"AM:!$d&amp;"</f>
        <v>#VALUE!</v>
      </c>
      <c r="BC53" t="e">
        <f>'Effort Estimation'!G434+"AM:!$d'"</f>
        <v>#VALUE!</v>
      </c>
      <c r="BD53" t="e">
        <f>'Effort Estimation'!H434+"AM:!$d("</f>
        <v>#VALUE!</v>
      </c>
      <c r="BE53" t="e">
        <f>'Effort Estimation'!I434+"AM:!$d)"</f>
        <v>#VALUE!</v>
      </c>
      <c r="BF53" s="99" t="e">
        <f>'Effort Estimation'!J434+"AM:!$d."</f>
        <v>#VALUE!</v>
      </c>
      <c r="BG53" s="99" t="e">
        <f>'Effort Estimation'!K434+"AM:!$d/"</f>
        <v>#VALUE!</v>
      </c>
      <c r="BH53" s="99" t="e">
        <f>'Effort Estimation'!L434+"AM:!$d0"</f>
        <v>#VALUE!</v>
      </c>
      <c r="BI53" s="99" t="e">
        <f>'Effort Estimation'!M434+"AM:!$d1"</f>
        <v>#VALUE!</v>
      </c>
      <c r="BJ53" s="99" t="e">
        <f>'Effort Estimation'!N434+"AM:!$d2"</f>
        <v>#VALUE!</v>
      </c>
      <c r="BK53" s="99" t="e">
        <f>'Effort Estimation'!O434+"AM:!$d3"</f>
        <v>#VALUE!</v>
      </c>
      <c r="BL53" s="99" t="e">
        <f>'Effort Estimation'!P434+"AM:!$d4"</f>
        <v>#VALUE!</v>
      </c>
      <c r="BM53" s="99" t="e">
        <f>'Effort Estimation'!Q434+"AM:!$d5"</f>
        <v>#VALUE!</v>
      </c>
      <c r="BN53" t="e">
        <f>'Effort Estimation'!R434+"AM:!$d6"</f>
        <v>#VALUE!</v>
      </c>
      <c r="BO53" t="e">
        <f>'Effort Estimation'!S434+"AM:!$d7"</f>
        <v>#VALUE!</v>
      </c>
      <c r="BP53" t="e">
        <f>'Effort Estimation'!T434+"AM:!$d8"</f>
        <v>#VALUE!</v>
      </c>
      <c r="BQ53" t="e">
        <f>'Effort Estimation'!A435+"AM:!$d9"</f>
        <v>#VALUE!</v>
      </c>
      <c r="BR53" t="e">
        <f>'Effort Estimation'!B435+"AM:!$d:"</f>
        <v>#VALUE!</v>
      </c>
      <c r="BS53" t="e">
        <f>'Effort Estimation'!C435+"AM:!$d;"</f>
        <v>#VALUE!</v>
      </c>
      <c r="BT53" t="e">
        <f>'Effort Estimation'!D435+"AM:!$d&lt;"</f>
        <v>#VALUE!</v>
      </c>
      <c r="BU53" t="e">
        <f>'Effort Estimation'!E435+"AM:!$d="</f>
        <v>#VALUE!</v>
      </c>
      <c r="BV53" t="e">
        <f>'Effort Estimation'!F435+"AM:!$d&gt;"</f>
        <v>#VALUE!</v>
      </c>
      <c r="BW53" t="e">
        <f>'Effort Estimation'!G435+"AM:!$d?"</f>
        <v>#VALUE!</v>
      </c>
      <c r="BX53" t="e">
        <f>'Effort Estimation'!H435+"AM:!$d@"</f>
        <v>#VALUE!</v>
      </c>
      <c r="BY53" t="e">
        <f>'Effort Estimation'!I435+"AM:!$dA"</f>
        <v>#VALUE!</v>
      </c>
      <c r="BZ53" s="99" t="e">
        <f>'Effort Estimation'!J435+"AM:!$dB"</f>
        <v>#VALUE!</v>
      </c>
      <c r="CA53" s="99" t="e">
        <f>'Effort Estimation'!K435+"AM:!$dC"</f>
        <v>#VALUE!</v>
      </c>
      <c r="CB53" s="99" t="e">
        <f>'Effort Estimation'!L435+"AM:!$dD"</f>
        <v>#VALUE!</v>
      </c>
      <c r="CC53" s="99" t="e">
        <f>'Effort Estimation'!M435+"AM:!$dE"</f>
        <v>#VALUE!</v>
      </c>
      <c r="CD53" s="99" t="e">
        <f>'Effort Estimation'!N435+"AM:!$dF"</f>
        <v>#VALUE!</v>
      </c>
      <c r="CE53" s="99" t="e">
        <f>'Effort Estimation'!O435+"AM:!$dG"</f>
        <v>#VALUE!</v>
      </c>
      <c r="CF53" s="99" t="e">
        <f>'Effort Estimation'!P435+"AM:!$dH"</f>
        <v>#VALUE!</v>
      </c>
      <c r="CG53" s="99" t="e">
        <f>'Effort Estimation'!Q435+"AM:!$dI"</f>
        <v>#VALUE!</v>
      </c>
      <c r="CH53" t="e">
        <f>'Effort Estimation'!R435+"AM:!$dJ"</f>
        <v>#VALUE!</v>
      </c>
      <c r="CI53" t="e">
        <f>'Effort Estimation'!S435+"AM:!$dK"</f>
        <v>#VALUE!</v>
      </c>
      <c r="CJ53" t="e">
        <f>'Effort Estimation'!T435+"AM:!$dL"</f>
        <v>#VALUE!</v>
      </c>
      <c r="CK53" t="e">
        <f>'Effort Estimation'!A436+"AM:!$dM"</f>
        <v>#VALUE!</v>
      </c>
      <c r="CL53" t="e">
        <f>'Effort Estimation'!B436+"AM:!$dN"</f>
        <v>#VALUE!</v>
      </c>
      <c r="CM53" t="e">
        <f>'Effort Estimation'!C436+"AM:!$dO"</f>
        <v>#VALUE!</v>
      </c>
      <c r="CN53" t="e">
        <f>'Effort Estimation'!D436+"AM:!$dP"</f>
        <v>#VALUE!</v>
      </c>
      <c r="CO53" t="e">
        <f>'Effort Estimation'!E436+"AM:!$dQ"</f>
        <v>#VALUE!</v>
      </c>
      <c r="CP53" t="e">
        <f>'Effort Estimation'!F436+"AM:!$dR"</f>
        <v>#VALUE!</v>
      </c>
      <c r="CQ53" t="e">
        <f>'Effort Estimation'!G436+"AM:!$dS"</f>
        <v>#VALUE!</v>
      </c>
      <c r="CR53" t="e">
        <f>'Effort Estimation'!H436+"AM:!$dT"</f>
        <v>#VALUE!</v>
      </c>
      <c r="CS53" t="e">
        <f>'Effort Estimation'!I436+"AM:!$dU"</f>
        <v>#VALUE!</v>
      </c>
      <c r="CT53" s="99" t="e">
        <f>'Effort Estimation'!J436+"AM:!$dV"</f>
        <v>#VALUE!</v>
      </c>
      <c r="CU53" s="99" t="e">
        <f>'Effort Estimation'!K436+"AM:!$dW"</f>
        <v>#VALUE!</v>
      </c>
      <c r="CV53" s="99" t="e">
        <f>'Effort Estimation'!L436+"AM:!$dX"</f>
        <v>#VALUE!</v>
      </c>
      <c r="CW53" s="99" t="e">
        <f>'Effort Estimation'!M436+"AM:!$dY"</f>
        <v>#VALUE!</v>
      </c>
      <c r="CX53" s="99" t="e">
        <f>'Effort Estimation'!N436+"AM:!$dZ"</f>
        <v>#VALUE!</v>
      </c>
      <c r="CY53" s="99" t="e">
        <f>'Effort Estimation'!O436+"AM:!$d["</f>
        <v>#VALUE!</v>
      </c>
      <c r="CZ53" s="99" t="e">
        <f>'Effort Estimation'!P436+"AM:!$d\"</f>
        <v>#VALUE!</v>
      </c>
      <c r="DA53" s="99" t="e">
        <f>'Effort Estimation'!Q436+"AM:!$d]"</f>
        <v>#VALUE!</v>
      </c>
      <c r="DB53" t="e">
        <f>'Effort Estimation'!R436+"AM:!$d^"</f>
        <v>#VALUE!</v>
      </c>
      <c r="DC53" t="e">
        <f>'Effort Estimation'!S436+"AM:!$d_"</f>
        <v>#VALUE!</v>
      </c>
      <c r="DD53" t="e">
        <f>'Effort Estimation'!T436+"AM:!$d`"</f>
        <v>#VALUE!</v>
      </c>
      <c r="DE53" t="e">
        <f>'Effort Estimation'!A437+"AM:!$da"</f>
        <v>#VALUE!</v>
      </c>
      <c r="DF53" t="e">
        <f>'Effort Estimation'!B437+"AM:!$db"</f>
        <v>#VALUE!</v>
      </c>
      <c r="DG53" t="e">
        <f>'Effort Estimation'!C437+"AM:!$dc"</f>
        <v>#VALUE!</v>
      </c>
      <c r="DH53" t="e">
        <f>'Effort Estimation'!D437+"AM:!$dd"</f>
        <v>#VALUE!</v>
      </c>
      <c r="DI53" t="e">
        <f>'Effort Estimation'!E437+"AM:!$de"</f>
        <v>#VALUE!</v>
      </c>
      <c r="DJ53" t="e">
        <f>'Effort Estimation'!F437+"AM:!$df"</f>
        <v>#VALUE!</v>
      </c>
      <c r="DK53" t="e">
        <f>'Effort Estimation'!G437+"AM:!$dg"</f>
        <v>#VALUE!</v>
      </c>
      <c r="DL53" t="e">
        <f>'Effort Estimation'!H437+"AM:!$dh"</f>
        <v>#VALUE!</v>
      </c>
      <c r="DM53" t="e">
        <f>'Effort Estimation'!I437+"AM:!$di"</f>
        <v>#VALUE!</v>
      </c>
      <c r="DN53" s="99" t="e">
        <f>'Effort Estimation'!J437+"AM:!$dj"</f>
        <v>#VALUE!</v>
      </c>
      <c r="DO53" s="99" t="e">
        <f>'Effort Estimation'!K437+"AM:!$dk"</f>
        <v>#VALUE!</v>
      </c>
      <c r="DP53" s="99" t="e">
        <f>'Effort Estimation'!L437+"AM:!$dl"</f>
        <v>#VALUE!</v>
      </c>
      <c r="DQ53" s="99" t="e">
        <f>'Effort Estimation'!M437+"AM:!$dm"</f>
        <v>#VALUE!</v>
      </c>
      <c r="DR53" s="99" t="e">
        <f>'Effort Estimation'!N437+"AM:!$dn"</f>
        <v>#VALUE!</v>
      </c>
      <c r="DS53" s="99" t="e">
        <f>'Effort Estimation'!O437+"AM:!$do"</f>
        <v>#VALUE!</v>
      </c>
      <c r="DT53" s="99" t="e">
        <f>'Effort Estimation'!P437+"AM:!$dp"</f>
        <v>#VALUE!</v>
      </c>
      <c r="DU53" s="99" t="e">
        <f>'Effort Estimation'!Q437+"AM:!$dq"</f>
        <v>#VALUE!</v>
      </c>
      <c r="DV53" t="e">
        <f>'Effort Estimation'!R437+"AM:!$dr"</f>
        <v>#VALUE!</v>
      </c>
      <c r="DW53" t="e">
        <f>'Effort Estimation'!S437+"AM:!$ds"</f>
        <v>#VALUE!</v>
      </c>
      <c r="DX53" t="e">
        <f>'Effort Estimation'!T437+"AM:!$dt"</f>
        <v>#VALUE!</v>
      </c>
      <c r="DY53" t="e">
        <f>'Effort Estimation'!A438+"AM:!$du"</f>
        <v>#VALUE!</v>
      </c>
      <c r="DZ53" t="e">
        <f>'Effort Estimation'!B438+"AM:!$dv"</f>
        <v>#VALUE!</v>
      </c>
      <c r="EA53" t="e">
        <f>'Effort Estimation'!C438+"AM:!$dw"</f>
        <v>#VALUE!</v>
      </c>
      <c r="EB53" t="e">
        <f>'Effort Estimation'!D438+"AM:!$dx"</f>
        <v>#VALUE!</v>
      </c>
      <c r="EC53" t="e">
        <f>'Effort Estimation'!E438+"AM:!$dy"</f>
        <v>#VALUE!</v>
      </c>
      <c r="ED53" t="e">
        <f>'Effort Estimation'!F438+"AM:!$dz"</f>
        <v>#VALUE!</v>
      </c>
      <c r="EE53" t="e">
        <f>'Effort Estimation'!G438+"AM:!$d{"</f>
        <v>#VALUE!</v>
      </c>
      <c r="EF53" t="e">
        <f>'Effort Estimation'!H438+"AM:!$d|"</f>
        <v>#VALUE!</v>
      </c>
      <c r="EG53" t="e">
        <f>'Effort Estimation'!I438+"AM:!$d}"</f>
        <v>#VALUE!</v>
      </c>
      <c r="EH53" s="99" t="e">
        <f>'Effort Estimation'!J438+"AM:!$d~"</f>
        <v>#VALUE!</v>
      </c>
      <c r="EI53" s="99" t="e">
        <f>'Effort Estimation'!K438+"AM:!$e#"</f>
        <v>#VALUE!</v>
      </c>
      <c r="EJ53" s="99" t="e">
        <f>'Effort Estimation'!L438+"AM:!$e$"</f>
        <v>#VALUE!</v>
      </c>
      <c r="EK53" s="99" t="e">
        <f>'Effort Estimation'!M438+"AM:!$e%"</f>
        <v>#VALUE!</v>
      </c>
      <c r="EL53" s="99" t="e">
        <f>'Effort Estimation'!N438+"AM:!$e&amp;"</f>
        <v>#VALUE!</v>
      </c>
      <c r="EM53" s="99" t="e">
        <f>'Effort Estimation'!O438+"AM:!$e'"</f>
        <v>#VALUE!</v>
      </c>
      <c r="EN53" s="99" t="e">
        <f>'Effort Estimation'!P438+"AM:!$e("</f>
        <v>#VALUE!</v>
      </c>
      <c r="EO53" s="99" t="e">
        <f>'Effort Estimation'!Q438+"AM:!$e)"</f>
        <v>#VALUE!</v>
      </c>
      <c r="EP53" t="e">
        <f>'Effort Estimation'!R438+"AM:!$e."</f>
        <v>#VALUE!</v>
      </c>
      <c r="EQ53" t="e">
        <f>'Effort Estimation'!S438+"AM:!$e/"</f>
        <v>#VALUE!</v>
      </c>
      <c r="ER53" t="e">
        <f>'Effort Estimation'!T438+"AM:!$e0"</f>
        <v>#VALUE!</v>
      </c>
      <c r="ES53" t="e">
        <f>'Effort Estimation'!A439+"AM:!$e1"</f>
        <v>#VALUE!</v>
      </c>
      <c r="ET53" t="e">
        <f>'Effort Estimation'!B439+"AM:!$e2"</f>
        <v>#VALUE!</v>
      </c>
      <c r="EU53" t="e">
        <f>'Effort Estimation'!C439+"AM:!$e3"</f>
        <v>#VALUE!</v>
      </c>
      <c r="EV53" t="e">
        <f>'Effort Estimation'!D439+"AM:!$e4"</f>
        <v>#VALUE!</v>
      </c>
      <c r="EW53" t="e">
        <f>'Effort Estimation'!E439+"AM:!$e5"</f>
        <v>#VALUE!</v>
      </c>
      <c r="EX53" t="e">
        <f>'Effort Estimation'!F439+"AM:!$e6"</f>
        <v>#VALUE!</v>
      </c>
      <c r="EY53" t="e">
        <f>'Effort Estimation'!G439+"AM:!$e7"</f>
        <v>#VALUE!</v>
      </c>
      <c r="EZ53" t="e">
        <f>'Effort Estimation'!H439+"AM:!$e8"</f>
        <v>#VALUE!</v>
      </c>
      <c r="FA53" t="e">
        <f>'Effort Estimation'!I439+"AM:!$e9"</f>
        <v>#VALUE!</v>
      </c>
      <c r="FB53" s="99" t="e">
        <f>'Effort Estimation'!J439+"AM:!$e:"</f>
        <v>#VALUE!</v>
      </c>
      <c r="FC53" s="99" t="e">
        <f>'Effort Estimation'!K439+"AM:!$e;"</f>
        <v>#VALUE!</v>
      </c>
      <c r="FD53" s="99" t="e">
        <f>'Effort Estimation'!L439+"AM:!$e&lt;"</f>
        <v>#VALUE!</v>
      </c>
      <c r="FE53" s="99" t="e">
        <f>'Effort Estimation'!M439+"AM:!$e="</f>
        <v>#VALUE!</v>
      </c>
      <c r="FF53" s="99" t="e">
        <f>'Effort Estimation'!N439+"AM:!$e&gt;"</f>
        <v>#VALUE!</v>
      </c>
      <c r="FG53" s="99" t="e">
        <f>'Effort Estimation'!O439+"AM:!$e?"</f>
        <v>#VALUE!</v>
      </c>
      <c r="FH53" s="99" t="e">
        <f>'Effort Estimation'!P439+"AM:!$e@"</f>
        <v>#VALUE!</v>
      </c>
      <c r="FI53" s="99" t="e">
        <f>'Effort Estimation'!Q439+"AM:!$eA"</f>
        <v>#VALUE!</v>
      </c>
      <c r="FJ53" t="e">
        <f>'Effort Estimation'!R439+"AM:!$eB"</f>
        <v>#VALUE!</v>
      </c>
      <c r="FK53" t="e">
        <f>'Effort Estimation'!S439+"AM:!$eC"</f>
        <v>#VALUE!</v>
      </c>
      <c r="FL53" t="e">
        <f>'Effort Estimation'!T439+"AM:!$eD"</f>
        <v>#VALUE!</v>
      </c>
      <c r="FM53" t="e">
        <f>'Effort Estimation'!A440+"AM:!$eE"</f>
        <v>#VALUE!</v>
      </c>
      <c r="FN53" t="e">
        <f>'Effort Estimation'!B440+"AM:!$eF"</f>
        <v>#VALUE!</v>
      </c>
      <c r="FO53" t="e">
        <f>'Effort Estimation'!C440+"AM:!$eG"</f>
        <v>#VALUE!</v>
      </c>
      <c r="FP53" t="e">
        <f>'Effort Estimation'!D440+"AM:!$eH"</f>
        <v>#VALUE!</v>
      </c>
      <c r="FQ53" t="e">
        <f>'Effort Estimation'!E440+"AM:!$eI"</f>
        <v>#VALUE!</v>
      </c>
      <c r="FR53" t="e">
        <f>'Effort Estimation'!F440+"AM:!$eJ"</f>
        <v>#VALUE!</v>
      </c>
      <c r="FS53" t="e">
        <f>'Effort Estimation'!G440+"AM:!$eK"</f>
        <v>#VALUE!</v>
      </c>
      <c r="FT53" t="e">
        <f>'Effort Estimation'!H440+"AM:!$eL"</f>
        <v>#VALUE!</v>
      </c>
      <c r="FU53" t="e">
        <f>'Effort Estimation'!I440+"AM:!$eM"</f>
        <v>#VALUE!</v>
      </c>
      <c r="FV53" s="99" t="e">
        <f>'Effort Estimation'!J440+"AM:!$eN"</f>
        <v>#VALUE!</v>
      </c>
      <c r="FW53" s="99" t="e">
        <f>'Effort Estimation'!K440+"AM:!$eO"</f>
        <v>#VALUE!</v>
      </c>
      <c r="FX53" s="99" t="e">
        <f>'Effort Estimation'!L440+"AM:!$eP"</f>
        <v>#VALUE!</v>
      </c>
      <c r="FY53" s="99" t="e">
        <f>'Effort Estimation'!M440+"AM:!$eQ"</f>
        <v>#VALUE!</v>
      </c>
      <c r="FZ53" s="99" t="e">
        <f>'Effort Estimation'!N440+"AM:!$eR"</f>
        <v>#VALUE!</v>
      </c>
      <c r="GA53" s="99" t="e">
        <f>'Effort Estimation'!O440+"AM:!$eS"</f>
        <v>#VALUE!</v>
      </c>
      <c r="GB53" s="99" t="e">
        <f>'Effort Estimation'!P440+"AM:!$eT"</f>
        <v>#VALUE!</v>
      </c>
      <c r="GC53" s="99" t="e">
        <f>'Effort Estimation'!Q440+"AM:!$eU"</f>
        <v>#VALUE!</v>
      </c>
      <c r="GD53" t="e">
        <f>'Effort Estimation'!R440+"AM:!$eV"</f>
        <v>#VALUE!</v>
      </c>
      <c r="GE53" t="e">
        <f>'Effort Estimation'!S440+"AM:!$eW"</f>
        <v>#VALUE!</v>
      </c>
      <c r="GF53" t="e">
        <f>'Effort Estimation'!T440+"AM:!$eX"</f>
        <v>#VALUE!</v>
      </c>
      <c r="GG53" t="e">
        <f>'Effort Estimation'!A441+"AM:!$eY"</f>
        <v>#VALUE!</v>
      </c>
      <c r="GH53" t="e">
        <f>'Effort Estimation'!B441+"AM:!$eZ"</f>
        <v>#VALUE!</v>
      </c>
      <c r="GI53" t="e">
        <f>'Effort Estimation'!C441+"AM:!$e["</f>
        <v>#VALUE!</v>
      </c>
      <c r="GJ53" t="e">
        <f>'Effort Estimation'!D441+"AM:!$e\"</f>
        <v>#VALUE!</v>
      </c>
      <c r="GK53" t="e">
        <f>'Effort Estimation'!E441+"AM:!$e]"</f>
        <v>#VALUE!</v>
      </c>
      <c r="GL53" t="e">
        <f>'Effort Estimation'!F441+"AM:!$e^"</f>
        <v>#VALUE!</v>
      </c>
      <c r="GM53" t="e">
        <f>'Effort Estimation'!G441+"AM:!$e_"</f>
        <v>#VALUE!</v>
      </c>
      <c r="GN53" t="e">
        <f>'Effort Estimation'!H441+"AM:!$e`"</f>
        <v>#VALUE!</v>
      </c>
      <c r="GO53" t="e">
        <f>'Effort Estimation'!I441+"AM:!$ea"</f>
        <v>#VALUE!</v>
      </c>
      <c r="GP53" s="99" t="e">
        <f>'Effort Estimation'!J441+"AM:!$eb"</f>
        <v>#VALUE!</v>
      </c>
      <c r="GQ53" s="99" t="e">
        <f>'Effort Estimation'!K441+"AM:!$ec"</f>
        <v>#VALUE!</v>
      </c>
      <c r="GR53" s="99" t="e">
        <f>'Effort Estimation'!L441+"AM:!$ed"</f>
        <v>#VALUE!</v>
      </c>
      <c r="GS53" s="99" t="e">
        <f>'Effort Estimation'!M441+"AM:!$ee"</f>
        <v>#VALUE!</v>
      </c>
      <c r="GT53" s="99" t="e">
        <f>'Effort Estimation'!N441+"AM:!$ef"</f>
        <v>#VALUE!</v>
      </c>
      <c r="GU53" s="99" t="e">
        <f>'Effort Estimation'!O441+"AM:!$eg"</f>
        <v>#VALUE!</v>
      </c>
      <c r="GV53" s="99" t="e">
        <f>'Effort Estimation'!P441+"AM:!$eh"</f>
        <v>#VALUE!</v>
      </c>
      <c r="GW53" s="99" t="e">
        <f>'Effort Estimation'!Q441+"AM:!$ei"</f>
        <v>#VALUE!</v>
      </c>
      <c r="GX53" t="e">
        <f>'Effort Estimation'!R441+"AM:!$ej"</f>
        <v>#VALUE!</v>
      </c>
      <c r="GY53" t="e">
        <f>'Effort Estimation'!S441+"AM:!$ek"</f>
        <v>#VALUE!</v>
      </c>
      <c r="GZ53" t="e">
        <f>'Effort Estimation'!T441+"AM:!$el"</f>
        <v>#VALUE!</v>
      </c>
      <c r="HA53" t="e">
        <f>'Effort Estimation'!A442+"AM:!$em"</f>
        <v>#VALUE!</v>
      </c>
      <c r="HB53" t="e">
        <f>'Effort Estimation'!B442+"AM:!$en"</f>
        <v>#VALUE!</v>
      </c>
      <c r="HC53" t="e">
        <f>'Effort Estimation'!C442+"AM:!$eo"</f>
        <v>#VALUE!</v>
      </c>
      <c r="HD53" t="e">
        <f>'Effort Estimation'!D442+"AM:!$ep"</f>
        <v>#VALUE!</v>
      </c>
      <c r="HE53" t="e">
        <f>'Effort Estimation'!E442+"AM:!$eq"</f>
        <v>#VALUE!</v>
      </c>
      <c r="HF53" t="e">
        <f>'Effort Estimation'!F442+"AM:!$er"</f>
        <v>#VALUE!</v>
      </c>
      <c r="HG53" t="e">
        <f>'Effort Estimation'!G442+"AM:!$es"</f>
        <v>#VALUE!</v>
      </c>
      <c r="HH53" t="e">
        <f>'Effort Estimation'!H442+"AM:!$et"</f>
        <v>#VALUE!</v>
      </c>
      <c r="HI53" t="e">
        <f>'Effort Estimation'!I442+"AM:!$eu"</f>
        <v>#VALUE!</v>
      </c>
      <c r="HJ53" s="99" t="e">
        <f>'Effort Estimation'!J442+"AM:!$ev"</f>
        <v>#VALUE!</v>
      </c>
      <c r="HK53" s="99" t="e">
        <f>'Effort Estimation'!K442+"AM:!$ew"</f>
        <v>#VALUE!</v>
      </c>
      <c r="HL53" s="99" t="e">
        <f>'Effort Estimation'!L442+"AM:!$ex"</f>
        <v>#VALUE!</v>
      </c>
      <c r="HM53" s="99" t="e">
        <f>'Effort Estimation'!M442+"AM:!$ey"</f>
        <v>#VALUE!</v>
      </c>
      <c r="HN53" s="99" t="e">
        <f>'Effort Estimation'!N442+"AM:!$ez"</f>
        <v>#VALUE!</v>
      </c>
      <c r="HO53" s="99" t="e">
        <f>'Effort Estimation'!O442+"AM:!$e{"</f>
        <v>#VALUE!</v>
      </c>
      <c r="HP53" s="99" t="e">
        <f>'Effort Estimation'!P442+"AM:!$e|"</f>
        <v>#VALUE!</v>
      </c>
      <c r="HQ53" s="99" t="e">
        <f>'Effort Estimation'!Q442+"AM:!$e}"</f>
        <v>#VALUE!</v>
      </c>
      <c r="HR53" t="e">
        <f>'Effort Estimation'!R442+"AM:!$e~"</f>
        <v>#VALUE!</v>
      </c>
      <c r="HS53" t="e">
        <f>'Effort Estimation'!S442+"AM:!$f#"</f>
        <v>#VALUE!</v>
      </c>
      <c r="HT53" t="e">
        <f>'Effort Estimation'!T442+"AM:!$f$"</f>
        <v>#VALUE!</v>
      </c>
      <c r="HU53" t="e">
        <f>'Effort Estimation'!A443+"AM:!$f%"</f>
        <v>#VALUE!</v>
      </c>
      <c r="HV53" t="e">
        <f>'Effort Estimation'!B443+"AM:!$f&amp;"</f>
        <v>#VALUE!</v>
      </c>
      <c r="HW53" t="e">
        <f>'Effort Estimation'!C443+"AM:!$f'"</f>
        <v>#VALUE!</v>
      </c>
      <c r="HX53" t="e">
        <f>'Effort Estimation'!D443+"AM:!$f("</f>
        <v>#VALUE!</v>
      </c>
      <c r="HY53" t="e">
        <f>'Effort Estimation'!E443+"AM:!$f)"</f>
        <v>#VALUE!</v>
      </c>
      <c r="HZ53" t="e">
        <f>'Effort Estimation'!F443+"AM:!$f."</f>
        <v>#VALUE!</v>
      </c>
      <c r="IA53" t="e">
        <f>'Effort Estimation'!G443+"AM:!$f/"</f>
        <v>#VALUE!</v>
      </c>
      <c r="IB53" t="e">
        <f>'Effort Estimation'!H443+"AM:!$f0"</f>
        <v>#VALUE!</v>
      </c>
      <c r="IC53" t="e">
        <f>'Effort Estimation'!I443+"AM:!$f1"</f>
        <v>#VALUE!</v>
      </c>
      <c r="ID53" s="99" t="e">
        <f>'Effort Estimation'!J443+"AM:!$f2"</f>
        <v>#VALUE!</v>
      </c>
      <c r="IE53" s="99" t="e">
        <f>'Effort Estimation'!K443+"AM:!$f3"</f>
        <v>#VALUE!</v>
      </c>
      <c r="IF53" s="99" t="e">
        <f>'Effort Estimation'!L443+"AM:!$f4"</f>
        <v>#VALUE!</v>
      </c>
      <c r="IG53" s="99" t="e">
        <f>'Effort Estimation'!M443+"AM:!$f5"</f>
        <v>#VALUE!</v>
      </c>
      <c r="IH53" s="99" t="e">
        <f>'Effort Estimation'!N443+"AM:!$f6"</f>
        <v>#VALUE!</v>
      </c>
      <c r="II53" s="99" t="e">
        <f>'Effort Estimation'!O443+"AM:!$f7"</f>
        <v>#VALUE!</v>
      </c>
      <c r="IJ53" s="99" t="e">
        <f>'Effort Estimation'!P443+"AM:!$f8"</f>
        <v>#VALUE!</v>
      </c>
      <c r="IK53" s="99" t="e">
        <f>'Effort Estimation'!Q443+"AM:!$f9"</f>
        <v>#VALUE!</v>
      </c>
      <c r="IL53" t="e">
        <f>'Effort Estimation'!R443+"AM:!$f:"</f>
        <v>#VALUE!</v>
      </c>
      <c r="IM53" t="e">
        <f>'Effort Estimation'!S443+"AM:!$f;"</f>
        <v>#VALUE!</v>
      </c>
      <c r="IN53" t="e">
        <f>'Effort Estimation'!T443+"AM:!$f&lt;"</f>
        <v>#VALUE!</v>
      </c>
      <c r="IO53" t="e">
        <f>'Effort Estimation'!A444+"AM:!$f="</f>
        <v>#VALUE!</v>
      </c>
      <c r="IP53" t="e">
        <f>'Effort Estimation'!B444+"AM:!$f&gt;"</f>
        <v>#VALUE!</v>
      </c>
      <c r="IQ53" t="e">
        <f>'Effort Estimation'!C444+"AM:!$f?"</f>
        <v>#VALUE!</v>
      </c>
      <c r="IR53" t="e">
        <f>'Effort Estimation'!D444+"AM:!$f@"</f>
        <v>#VALUE!</v>
      </c>
      <c r="IS53" t="e">
        <f>'Effort Estimation'!E444+"AM:!$fA"</f>
        <v>#VALUE!</v>
      </c>
      <c r="IT53" t="e">
        <f>'Effort Estimation'!F444+"AM:!$fB"</f>
        <v>#VALUE!</v>
      </c>
      <c r="IU53" t="e">
        <f>'Effort Estimation'!G444+"AM:!$fC"</f>
        <v>#VALUE!</v>
      </c>
      <c r="IV53" t="e">
        <f>'Effort Estimation'!H444+"AM:!$fD"</f>
        <v>#VALUE!</v>
      </c>
    </row>
    <row r="54" spans="6:256">
      <c r="F54" t="e">
        <f>'Effort Estimation'!I444+"AM:!$fE"</f>
        <v>#VALUE!</v>
      </c>
      <c r="G54" s="99" t="e">
        <f>'Effort Estimation'!J444+"AM:!$fF"</f>
        <v>#VALUE!</v>
      </c>
      <c r="H54" s="99" t="e">
        <f>'Effort Estimation'!K444+"AM:!$fG"</f>
        <v>#VALUE!</v>
      </c>
      <c r="I54" s="99" t="e">
        <f>'Effort Estimation'!L444+"AM:!$fH"</f>
        <v>#VALUE!</v>
      </c>
      <c r="J54" s="99" t="e">
        <f>'Effort Estimation'!M444+"AM:!$fI"</f>
        <v>#VALUE!</v>
      </c>
      <c r="K54" s="99" t="e">
        <f>'Effort Estimation'!N444+"AM:!$fJ"</f>
        <v>#VALUE!</v>
      </c>
      <c r="L54" s="99" t="e">
        <f>'Effort Estimation'!O444+"AM:!$fK"</f>
        <v>#VALUE!</v>
      </c>
      <c r="M54" s="99" t="e">
        <f>'Effort Estimation'!P444+"AM:!$fL"</f>
        <v>#VALUE!</v>
      </c>
      <c r="N54" s="99" t="e">
        <f>'Effort Estimation'!Q444+"AM:!$fM"</f>
        <v>#VALUE!</v>
      </c>
      <c r="O54" t="e">
        <f>'Effort Estimation'!R444+"AM:!$fN"</f>
        <v>#VALUE!</v>
      </c>
      <c r="P54" t="e">
        <f>'Effort Estimation'!S444+"AM:!$fO"</f>
        <v>#VALUE!</v>
      </c>
      <c r="Q54" t="e">
        <f>'Effort Estimation'!T444+"AM:!$fP"</f>
        <v>#VALUE!</v>
      </c>
      <c r="R54" t="e">
        <f>'Effort Estimation'!A445+"AM:!$fQ"</f>
        <v>#VALUE!</v>
      </c>
      <c r="S54" t="e">
        <f>'Effort Estimation'!B445+"AM:!$fR"</f>
        <v>#VALUE!</v>
      </c>
      <c r="T54" t="e">
        <f>'Effort Estimation'!C445+"AM:!$fS"</f>
        <v>#VALUE!</v>
      </c>
      <c r="U54" t="e">
        <f>'Effort Estimation'!D445+"AM:!$fT"</f>
        <v>#VALUE!</v>
      </c>
      <c r="V54" t="e">
        <f>'Effort Estimation'!E445+"AM:!$fU"</f>
        <v>#VALUE!</v>
      </c>
      <c r="W54" t="e">
        <f>'Effort Estimation'!F445+"AM:!$fV"</f>
        <v>#VALUE!</v>
      </c>
      <c r="X54" t="e">
        <f>'Effort Estimation'!G445+"AM:!$fW"</f>
        <v>#VALUE!</v>
      </c>
      <c r="Y54" t="e">
        <f>'Effort Estimation'!H445+"AM:!$fX"</f>
        <v>#VALUE!</v>
      </c>
      <c r="Z54" t="e">
        <f>'Effort Estimation'!I445+"AM:!$fY"</f>
        <v>#VALUE!</v>
      </c>
      <c r="AA54" s="99" t="e">
        <f>'Effort Estimation'!J445+"AM:!$fZ"</f>
        <v>#VALUE!</v>
      </c>
      <c r="AB54" s="99" t="e">
        <f>'Effort Estimation'!K445+"AM:!$f["</f>
        <v>#VALUE!</v>
      </c>
      <c r="AC54" s="99" t="e">
        <f>'Effort Estimation'!L445+"AM:!$f\"</f>
        <v>#VALUE!</v>
      </c>
      <c r="AD54" s="99" t="e">
        <f>'Effort Estimation'!M445+"AM:!$f]"</f>
        <v>#VALUE!</v>
      </c>
      <c r="AE54" s="99" t="e">
        <f>'Effort Estimation'!N445+"AM:!$f^"</f>
        <v>#VALUE!</v>
      </c>
      <c r="AF54" s="99" t="e">
        <f>'Effort Estimation'!O445+"AM:!$f_"</f>
        <v>#VALUE!</v>
      </c>
      <c r="AG54" s="99" t="e">
        <f>'Effort Estimation'!P445+"AM:!$f`"</f>
        <v>#VALUE!</v>
      </c>
      <c r="AH54" s="99" t="e">
        <f>'Effort Estimation'!Q445+"AM:!$fa"</f>
        <v>#VALUE!</v>
      </c>
      <c r="AI54" t="e">
        <f>'Effort Estimation'!R445+"AM:!$fb"</f>
        <v>#VALUE!</v>
      </c>
      <c r="AJ54" t="e">
        <f>'Effort Estimation'!S445+"AM:!$fc"</f>
        <v>#VALUE!</v>
      </c>
      <c r="AK54" t="e">
        <f>'Effort Estimation'!T445+"AM:!$fd"</f>
        <v>#VALUE!</v>
      </c>
      <c r="AL54" t="e">
        <f>'Effort Estimation'!A446+"AM:!$fe"</f>
        <v>#VALUE!</v>
      </c>
      <c r="AM54" t="e">
        <f>'Effort Estimation'!B446+"AM:!$ff"</f>
        <v>#VALUE!</v>
      </c>
      <c r="AN54" t="e">
        <f>'Effort Estimation'!C446+"AM:!$fg"</f>
        <v>#VALUE!</v>
      </c>
      <c r="AO54" t="e">
        <f>'Effort Estimation'!D446+"AM:!$fh"</f>
        <v>#VALUE!</v>
      </c>
      <c r="AP54" t="e">
        <f>'Effort Estimation'!E446+"AM:!$fi"</f>
        <v>#VALUE!</v>
      </c>
      <c r="AQ54" t="e">
        <f>'Effort Estimation'!F446+"AM:!$fj"</f>
        <v>#VALUE!</v>
      </c>
      <c r="AR54" t="e">
        <f>'Effort Estimation'!G446+"AM:!$fk"</f>
        <v>#VALUE!</v>
      </c>
      <c r="AS54" t="e">
        <f>'Effort Estimation'!H446+"AM:!$fl"</f>
        <v>#VALUE!</v>
      </c>
      <c r="AT54" t="e">
        <f>'Effort Estimation'!I446+"AM:!$fm"</f>
        <v>#VALUE!</v>
      </c>
      <c r="AU54" s="99" t="e">
        <f>'Effort Estimation'!J446+"AM:!$fn"</f>
        <v>#VALUE!</v>
      </c>
      <c r="AV54" s="99" t="e">
        <f>'Effort Estimation'!K446+"AM:!$fo"</f>
        <v>#VALUE!</v>
      </c>
      <c r="AW54" s="99" t="e">
        <f>'Effort Estimation'!L446+"AM:!$fp"</f>
        <v>#VALUE!</v>
      </c>
      <c r="AX54" s="99" t="e">
        <f>'Effort Estimation'!M446+"AM:!$fq"</f>
        <v>#VALUE!</v>
      </c>
      <c r="AY54" s="99" t="e">
        <f>'Effort Estimation'!N446+"AM:!$fr"</f>
        <v>#VALUE!</v>
      </c>
      <c r="AZ54" s="99" t="e">
        <f>'Effort Estimation'!O446+"AM:!$fs"</f>
        <v>#VALUE!</v>
      </c>
      <c r="BA54" s="99" t="e">
        <f>'Effort Estimation'!P446+"AM:!$ft"</f>
        <v>#VALUE!</v>
      </c>
      <c r="BB54" s="99" t="e">
        <f>'Effort Estimation'!Q446+"AM:!$fu"</f>
        <v>#VALUE!</v>
      </c>
      <c r="BC54" t="e">
        <f>'Effort Estimation'!R446+"AM:!$fv"</f>
        <v>#VALUE!</v>
      </c>
      <c r="BD54" t="e">
        <f>'Effort Estimation'!S446+"AM:!$fw"</f>
        <v>#VALUE!</v>
      </c>
      <c r="BE54" t="e">
        <f>'Effort Estimation'!T446+"AM:!$fx"</f>
        <v>#VALUE!</v>
      </c>
      <c r="BF54" t="e">
        <f>'Effort Estimation'!A447+"AM:!$fy"</f>
        <v>#VALUE!</v>
      </c>
      <c r="BG54" t="e">
        <f>'Effort Estimation'!B447+"AM:!$fz"</f>
        <v>#VALUE!</v>
      </c>
      <c r="BH54" t="e">
        <f>'Effort Estimation'!C447+"AM:!$f{"</f>
        <v>#VALUE!</v>
      </c>
      <c r="BI54" t="e">
        <f>'Effort Estimation'!D447+"AM:!$f|"</f>
        <v>#VALUE!</v>
      </c>
      <c r="BJ54" t="e">
        <f>'Effort Estimation'!E447+"AM:!$f}"</f>
        <v>#VALUE!</v>
      </c>
      <c r="BK54" t="e">
        <f>'Effort Estimation'!F447+"AM:!$f~"</f>
        <v>#VALUE!</v>
      </c>
      <c r="BL54" t="e">
        <f>'Effort Estimation'!G447+"AM:!$g#"</f>
        <v>#VALUE!</v>
      </c>
      <c r="BM54" t="e">
        <f>'Effort Estimation'!H447+"AM:!$g$"</f>
        <v>#VALUE!</v>
      </c>
      <c r="BN54" t="e">
        <f>'Effort Estimation'!I447+"AM:!$g%"</f>
        <v>#VALUE!</v>
      </c>
      <c r="BO54" s="99" t="e">
        <f>'Effort Estimation'!J447+"AM:!$g&amp;"</f>
        <v>#VALUE!</v>
      </c>
      <c r="BP54" s="99" t="e">
        <f>'Effort Estimation'!K447+"AM:!$g'"</f>
        <v>#VALUE!</v>
      </c>
      <c r="BQ54" s="99" t="e">
        <f>'Effort Estimation'!L447+"AM:!$g("</f>
        <v>#VALUE!</v>
      </c>
      <c r="BR54" s="99" t="e">
        <f>'Effort Estimation'!M447+"AM:!$g)"</f>
        <v>#VALUE!</v>
      </c>
      <c r="BS54" s="99" t="e">
        <f>'Effort Estimation'!N447+"AM:!$g."</f>
        <v>#VALUE!</v>
      </c>
      <c r="BT54" s="99" t="e">
        <f>'Effort Estimation'!O447+"AM:!$g/"</f>
        <v>#VALUE!</v>
      </c>
      <c r="BU54" s="99" t="e">
        <f>'Effort Estimation'!P447+"AM:!$g0"</f>
        <v>#VALUE!</v>
      </c>
      <c r="BV54" s="99" t="e">
        <f>'Effort Estimation'!Q447+"AM:!$g1"</f>
        <v>#VALUE!</v>
      </c>
      <c r="BW54" t="e">
        <f>'Effort Estimation'!R447+"AM:!$g2"</f>
        <v>#VALUE!</v>
      </c>
      <c r="BX54" t="e">
        <f>'Effort Estimation'!S447+"AM:!$g3"</f>
        <v>#VALUE!</v>
      </c>
      <c r="BY54" t="e">
        <f>'Effort Estimation'!T447+"AM:!$g4"</f>
        <v>#VALUE!</v>
      </c>
      <c r="BZ54" t="e">
        <f>'Effort Estimation'!A448+"AM:!$g5"</f>
        <v>#VALUE!</v>
      </c>
      <c r="CA54" t="e">
        <f>'Effort Estimation'!B448+"AM:!$g6"</f>
        <v>#VALUE!</v>
      </c>
      <c r="CB54" t="e">
        <f>'Effort Estimation'!C448+"AM:!$g7"</f>
        <v>#VALUE!</v>
      </c>
      <c r="CC54" t="e">
        <f>'Effort Estimation'!D448+"AM:!$g8"</f>
        <v>#VALUE!</v>
      </c>
      <c r="CD54" t="e">
        <f>'Effort Estimation'!E448+"AM:!$g9"</f>
        <v>#VALUE!</v>
      </c>
      <c r="CE54" t="e">
        <f>'Effort Estimation'!F448+"AM:!$g:"</f>
        <v>#VALUE!</v>
      </c>
      <c r="CF54" t="e">
        <f>'Effort Estimation'!G448+"AM:!$g;"</f>
        <v>#VALUE!</v>
      </c>
      <c r="CG54" t="e">
        <f>'Effort Estimation'!H448+"AM:!$g&lt;"</f>
        <v>#VALUE!</v>
      </c>
      <c r="CH54" t="e">
        <f>'Effort Estimation'!I448+"AM:!$g="</f>
        <v>#VALUE!</v>
      </c>
      <c r="CI54" s="99" t="e">
        <f>'Effort Estimation'!J448+"AM:!$g&gt;"</f>
        <v>#VALUE!</v>
      </c>
      <c r="CJ54" s="99" t="e">
        <f>'Effort Estimation'!K448+"AM:!$g?"</f>
        <v>#VALUE!</v>
      </c>
      <c r="CK54" s="99" t="e">
        <f>'Effort Estimation'!L448+"AM:!$g@"</f>
        <v>#VALUE!</v>
      </c>
      <c r="CL54" s="99" t="e">
        <f>'Effort Estimation'!M448+"AM:!$gA"</f>
        <v>#VALUE!</v>
      </c>
      <c r="CM54" s="99" t="e">
        <f>'Effort Estimation'!N448+"AM:!$gB"</f>
        <v>#VALUE!</v>
      </c>
      <c r="CN54" s="99" t="e">
        <f>'Effort Estimation'!O448+"AM:!$gC"</f>
        <v>#VALUE!</v>
      </c>
      <c r="CO54" s="99" t="e">
        <f>'Effort Estimation'!P448+"AM:!$gD"</f>
        <v>#VALUE!</v>
      </c>
      <c r="CP54" s="99" t="e">
        <f>'Effort Estimation'!Q448+"AM:!$gE"</f>
        <v>#VALUE!</v>
      </c>
      <c r="CQ54" t="e">
        <f>'Effort Estimation'!R448+"AM:!$gF"</f>
        <v>#VALUE!</v>
      </c>
      <c r="CR54" t="e">
        <f>'Effort Estimation'!S448+"AM:!$gG"</f>
        <v>#VALUE!</v>
      </c>
      <c r="CS54" t="e">
        <f>'Effort Estimation'!T448+"AM:!$gH"</f>
        <v>#VALUE!</v>
      </c>
      <c r="CT54" t="e">
        <f>'Effort Estimation'!A449+"AM:!$gI"</f>
        <v>#VALUE!</v>
      </c>
      <c r="CU54" t="e">
        <f>'Effort Estimation'!B449+"AM:!$gJ"</f>
        <v>#VALUE!</v>
      </c>
      <c r="CV54" t="e">
        <f>'Effort Estimation'!C449+"AM:!$gK"</f>
        <v>#VALUE!</v>
      </c>
      <c r="CW54" t="e">
        <f>'Effort Estimation'!D449+"AM:!$gL"</f>
        <v>#VALUE!</v>
      </c>
      <c r="CX54" t="e">
        <f>'Effort Estimation'!E449+"AM:!$gM"</f>
        <v>#VALUE!</v>
      </c>
      <c r="CY54" t="e">
        <f>'Effort Estimation'!F449+"AM:!$gN"</f>
        <v>#VALUE!</v>
      </c>
      <c r="CZ54" t="e">
        <f>'Effort Estimation'!G449+"AM:!$gO"</f>
        <v>#VALUE!</v>
      </c>
      <c r="DA54" t="e">
        <f>'Effort Estimation'!H449+"AM:!$gP"</f>
        <v>#VALUE!</v>
      </c>
      <c r="DB54" t="e">
        <f>'Effort Estimation'!I449+"AM:!$gQ"</f>
        <v>#VALUE!</v>
      </c>
      <c r="DC54" s="99" t="e">
        <f>'Effort Estimation'!J449+"AM:!$gR"</f>
        <v>#VALUE!</v>
      </c>
      <c r="DD54" s="99" t="e">
        <f>'Effort Estimation'!K449+"AM:!$gS"</f>
        <v>#VALUE!</v>
      </c>
      <c r="DE54" s="99" t="e">
        <f>'Effort Estimation'!L449+"AM:!$gT"</f>
        <v>#VALUE!</v>
      </c>
      <c r="DF54" s="99" t="e">
        <f>'Effort Estimation'!M449+"AM:!$gU"</f>
        <v>#VALUE!</v>
      </c>
      <c r="DG54" s="99" t="e">
        <f>'Effort Estimation'!N449+"AM:!$gV"</f>
        <v>#VALUE!</v>
      </c>
      <c r="DH54" s="99" t="e">
        <f>'Effort Estimation'!O449+"AM:!$gW"</f>
        <v>#VALUE!</v>
      </c>
      <c r="DI54" s="99" t="e">
        <f>'Effort Estimation'!P449+"AM:!$gX"</f>
        <v>#VALUE!</v>
      </c>
      <c r="DJ54" s="99" t="e">
        <f>'Effort Estimation'!Q449+"AM:!$gY"</f>
        <v>#VALUE!</v>
      </c>
      <c r="DK54" t="e">
        <f>'Effort Estimation'!R449+"AM:!$gZ"</f>
        <v>#VALUE!</v>
      </c>
      <c r="DL54" t="e">
        <f>'Effort Estimation'!S449+"AM:!$g["</f>
        <v>#VALUE!</v>
      </c>
      <c r="DM54" t="e">
        <f>'Effort Estimation'!T449+"AM:!$g\"</f>
        <v>#VALUE!</v>
      </c>
      <c r="DN54" t="e">
        <f>'Effort Estimation'!A450+"AM:!$g]"</f>
        <v>#VALUE!</v>
      </c>
      <c r="DO54" t="e">
        <f>'Effort Estimation'!B450+"AM:!$g^"</f>
        <v>#VALUE!</v>
      </c>
      <c r="DP54" t="e">
        <f>'Effort Estimation'!C450+"AM:!$g_"</f>
        <v>#VALUE!</v>
      </c>
      <c r="DQ54" t="e">
        <f>'Effort Estimation'!D450+"AM:!$g`"</f>
        <v>#VALUE!</v>
      </c>
      <c r="DR54" t="e">
        <f>'Effort Estimation'!E450+"AM:!$ga"</f>
        <v>#VALUE!</v>
      </c>
      <c r="DS54" t="e">
        <f>'Effort Estimation'!F450+"AM:!$gb"</f>
        <v>#VALUE!</v>
      </c>
      <c r="DT54" t="e">
        <f>'Effort Estimation'!G450+"AM:!$gc"</f>
        <v>#VALUE!</v>
      </c>
      <c r="DU54" t="e">
        <f>'Effort Estimation'!H450+"AM:!$gd"</f>
        <v>#VALUE!</v>
      </c>
      <c r="DV54" t="e">
        <f>'Effort Estimation'!I450+"AM:!$ge"</f>
        <v>#VALUE!</v>
      </c>
      <c r="DW54" s="99" t="e">
        <f>'Effort Estimation'!J450+"AM:!$gf"</f>
        <v>#VALUE!</v>
      </c>
      <c r="DX54" s="99" t="e">
        <f>'Effort Estimation'!K450+"AM:!$gg"</f>
        <v>#VALUE!</v>
      </c>
      <c r="DY54" s="99" t="e">
        <f>'Effort Estimation'!L450+"AM:!$gh"</f>
        <v>#VALUE!</v>
      </c>
      <c r="DZ54" s="99" t="e">
        <f>'Effort Estimation'!M450+"AM:!$gi"</f>
        <v>#VALUE!</v>
      </c>
      <c r="EA54" s="99" t="e">
        <f>'Effort Estimation'!N450+"AM:!$gj"</f>
        <v>#VALUE!</v>
      </c>
      <c r="EB54" s="99" t="e">
        <f>'Effort Estimation'!O450+"AM:!$gk"</f>
        <v>#VALUE!</v>
      </c>
      <c r="EC54" s="99" t="e">
        <f>'Effort Estimation'!P450+"AM:!$gl"</f>
        <v>#VALUE!</v>
      </c>
      <c r="ED54" s="99" t="e">
        <f>'Effort Estimation'!Q450+"AM:!$gm"</f>
        <v>#VALUE!</v>
      </c>
      <c r="EE54" t="e">
        <f>'Effort Estimation'!R450+"AM:!$gn"</f>
        <v>#VALUE!</v>
      </c>
      <c r="EF54" t="e">
        <f>'Effort Estimation'!S450+"AM:!$go"</f>
        <v>#VALUE!</v>
      </c>
      <c r="EG54" t="e">
        <f>'Effort Estimation'!T450+"AM:!$gp"</f>
        <v>#VALUE!</v>
      </c>
      <c r="EH54" t="e">
        <f>'Effort Estimation'!A451+"AM:!$gq"</f>
        <v>#VALUE!</v>
      </c>
      <c r="EI54" t="e">
        <f>'Effort Estimation'!B451+"AM:!$gr"</f>
        <v>#VALUE!</v>
      </c>
      <c r="EJ54" t="e">
        <f>'Effort Estimation'!C451+"AM:!$gs"</f>
        <v>#VALUE!</v>
      </c>
      <c r="EK54" t="e">
        <f>'Effort Estimation'!D451+"AM:!$gt"</f>
        <v>#VALUE!</v>
      </c>
      <c r="EL54" t="e">
        <f>'Effort Estimation'!E451+"AM:!$gu"</f>
        <v>#VALUE!</v>
      </c>
      <c r="EM54" t="e">
        <f>'Effort Estimation'!F451+"AM:!$gv"</f>
        <v>#VALUE!</v>
      </c>
      <c r="EN54" t="e">
        <f>'Effort Estimation'!G451+"AM:!$gw"</f>
        <v>#VALUE!</v>
      </c>
      <c r="EO54" t="e">
        <f>'Effort Estimation'!H451+"AM:!$gx"</f>
        <v>#VALUE!</v>
      </c>
      <c r="EP54" t="e">
        <f>'Effort Estimation'!I451+"AM:!$gy"</f>
        <v>#VALUE!</v>
      </c>
      <c r="EQ54" s="99" t="e">
        <f>'Effort Estimation'!J451+"AM:!$gz"</f>
        <v>#VALUE!</v>
      </c>
      <c r="ER54" s="99" t="e">
        <f>'Effort Estimation'!K451+"AM:!$g{"</f>
        <v>#VALUE!</v>
      </c>
      <c r="ES54" s="99" t="e">
        <f>'Effort Estimation'!L451+"AM:!$g|"</f>
        <v>#VALUE!</v>
      </c>
      <c r="ET54" s="99" t="e">
        <f>'Effort Estimation'!M451+"AM:!$g}"</f>
        <v>#VALUE!</v>
      </c>
      <c r="EU54" s="99" t="e">
        <f>'Effort Estimation'!N451+"AM:!$g~"</f>
        <v>#VALUE!</v>
      </c>
      <c r="EV54" s="99" t="e">
        <f>'Effort Estimation'!O451+"AM:!$h#"</f>
        <v>#VALUE!</v>
      </c>
      <c r="EW54" s="99" t="e">
        <f>'Effort Estimation'!P451+"AM:!$h$"</f>
        <v>#VALUE!</v>
      </c>
      <c r="EX54" s="99" t="e">
        <f>'Effort Estimation'!Q451+"AM:!$h%"</f>
        <v>#VALUE!</v>
      </c>
      <c r="EY54" t="e">
        <f>'Effort Estimation'!R451+"AM:!$h&amp;"</f>
        <v>#VALUE!</v>
      </c>
      <c r="EZ54" t="e">
        <f>'Effort Estimation'!S451+"AM:!$h'"</f>
        <v>#VALUE!</v>
      </c>
      <c r="FA54" t="e">
        <f>'Effort Estimation'!T451+"AM:!$h("</f>
        <v>#VALUE!</v>
      </c>
      <c r="FB54" t="e">
        <f>'Effort Estimation'!A452+"AM:!$h)"</f>
        <v>#VALUE!</v>
      </c>
      <c r="FC54" t="e">
        <f>'Effort Estimation'!B452+"AM:!$h."</f>
        <v>#VALUE!</v>
      </c>
      <c r="FD54" t="e">
        <f>'Effort Estimation'!C452+"AM:!$h/"</f>
        <v>#VALUE!</v>
      </c>
      <c r="FE54" t="e">
        <f>'Effort Estimation'!D452+"AM:!$h0"</f>
        <v>#VALUE!</v>
      </c>
      <c r="FF54" t="e">
        <f>'Effort Estimation'!E452+"AM:!$h1"</f>
        <v>#VALUE!</v>
      </c>
      <c r="FG54" t="e">
        <f>'Effort Estimation'!F452+"AM:!$h2"</f>
        <v>#VALUE!</v>
      </c>
      <c r="FH54" t="e">
        <f>'Effort Estimation'!G452+"AM:!$h3"</f>
        <v>#VALUE!</v>
      </c>
      <c r="FI54" t="e">
        <f>'Effort Estimation'!H452+"AM:!$h4"</f>
        <v>#VALUE!</v>
      </c>
      <c r="FJ54" t="e">
        <f>'Effort Estimation'!I452+"AM:!$h5"</f>
        <v>#VALUE!</v>
      </c>
      <c r="FK54" s="99" t="e">
        <f>'Effort Estimation'!J452+"AM:!$h6"</f>
        <v>#VALUE!</v>
      </c>
      <c r="FL54" s="99" t="e">
        <f>'Effort Estimation'!K452+"AM:!$h7"</f>
        <v>#VALUE!</v>
      </c>
      <c r="FM54" s="99" t="e">
        <f>'Effort Estimation'!L452+"AM:!$h8"</f>
        <v>#VALUE!</v>
      </c>
      <c r="FN54" s="99" t="e">
        <f>'Effort Estimation'!M452+"AM:!$h9"</f>
        <v>#VALUE!</v>
      </c>
      <c r="FO54" s="99" t="e">
        <f>'Effort Estimation'!N452+"AM:!$h:"</f>
        <v>#VALUE!</v>
      </c>
      <c r="FP54" s="99" t="e">
        <f>'Effort Estimation'!O452+"AM:!$h;"</f>
        <v>#VALUE!</v>
      </c>
      <c r="FQ54" s="99" t="e">
        <f>'Effort Estimation'!P452+"AM:!$h&lt;"</f>
        <v>#VALUE!</v>
      </c>
      <c r="FR54" s="99" t="e">
        <f>'Effort Estimation'!Q452+"AM:!$h="</f>
        <v>#VALUE!</v>
      </c>
      <c r="FS54" t="e">
        <f>'Effort Estimation'!R452+"AM:!$h&gt;"</f>
        <v>#VALUE!</v>
      </c>
      <c r="FT54" t="e">
        <f>'Effort Estimation'!S452+"AM:!$h?"</f>
        <v>#VALUE!</v>
      </c>
      <c r="FU54" t="e">
        <f>'Effort Estimation'!T452+"AM:!$h@"</f>
        <v>#VALUE!</v>
      </c>
      <c r="FV54" t="e">
        <f>'Effort Estimation'!A453+"AM:!$hA"</f>
        <v>#VALUE!</v>
      </c>
      <c r="FW54" t="e">
        <f>'Effort Estimation'!B453+"AM:!$hB"</f>
        <v>#VALUE!</v>
      </c>
      <c r="FX54" t="e">
        <f>'Effort Estimation'!C453+"AM:!$hC"</f>
        <v>#VALUE!</v>
      </c>
      <c r="FY54" t="e">
        <f>'Effort Estimation'!D453+"AM:!$hD"</f>
        <v>#VALUE!</v>
      </c>
      <c r="FZ54" t="e">
        <f>'Effort Estimation'!E453+"AM:!$hE"</f>
        <v>#VALUE!</v>
      </c>
      <c r="GA54" t="e">
        <f>'Effort Estimation'!F453+"AM:!$hF"</f>
        <v>#VALUE!</v>
      </c>
      <c r="GB54" t="e">
        <f>'Effort Estimation'!G453+"AM:!$hG"</f>
        <v>#VALUE!</v>
      </c>
      <c r="GC54" t="e">
        <f>'Effort Estimation'!H453+"AM:!$hH"</f>
        <v>#VALUE!</v>
      </c>
      <c r="GD54" t="e">
        <f>'Effort Estimation'!I453+"AM:!$hI"</f>
        <v>#VALUE!</v>
      </c>
      <c r="GE54" s="99" t="e">
        <f>'Effort Estimation'!J453+"AM:!$hJ"</f>
        <v>#VALUE!</v>
      </c>
      <c r="GF54" s="99" t="e">
        <f>'Effort Estimation'!K453+"AM:!$hK"</f>
        <v>#VALUE!</v>
      </c>
      <c r="GG54" s="99" t="e">
        <f>'Effort Estimation'!L453+"AM:!$hL"</f>
        <v>#VALUE!</v>
      </c>
      <c r="GH54" s="99" t="e">
        <f>'Effort Estimation'!M453+"AM:!$hM"</f>
        <v>#VALUE!</v>
      </c>
      <c r="GI54" s="99" t="e">
        <f>'Effort Estimation'!N453+"AM:!$hN"</f>
        <v>#VALUE!</v>
      </c>
      <c r="GJ54" s="99" t="e">
        <f>'Effort Estimation'!O453+"AM:!$hO"</f>
        <v>#VALUE!</v>
      </c>
      <c r="GK54" s="99" t="e">
        <f>'Effort Estimation'!P453+"AM:!$hP"</f>
        <v>#VALUE!</v>
      </c>
      <c r="GL54" s="99" t="e">
        <f>'Effort Estimation'!Q453+"AM:!$hQ"</f>
        <v>#VALUE!</v>
      </c>
      <c r="GM54" t="e">
        <f>'Effort Estimation'!R453+"AM:!$hR"</f>
        <v>#VALUE!</v>
      </c>
      <c r="GN54" t="e">
        <f>'Effort Estimation'!S453+"AM:!$hS"</f>
        <v>#VALUE!</v>
      </c>
      <c r="GO54" t="e">
        <f>'Effort Estimation'!T453+"AM:!$hT"</f>
        <v>#VALUE!</v>
      </c>
      <c r="GP54" t="e">
        <f>'Effort Estimation'!A454+"AM:!$hU"</f>
        <v>#VALUE!</v>
      </c>
      <c r="GQ54" t="e">
        <f>'Effort Estimation'!B454+"AM:!$hV"</f>
        <v>#VALUE!</v>
      </c>
      <c r="GR54" t="e">
        <f>'Effort Estimation'!C454+"AM:!$hW"</f>
        <v>#VALUE!</v>
      </c>
      <c r="GS54" t="e">
        <f>'Effort Estimation'!D454+"AM:!$hX"</f>
        <v>#VALUE!</v>
      </c>
      <c r="GT54" t="e">
        <f>'Effort Estimation'!E454+"AM:!$hY"</f>
        <v>#VALUE!</v>
      </c>
      <c r="GU54" t="e">
        <f>'Effort Estimation'!F454+"AM:!$hZ"</f>
        <v>#VALUE!</v>
      </c>
      <c r="GV54" t="e">
        <f>'Effort Estimation'!G454+"AM:!$h["</f>
        <v>#VALUE!</v>
      </c>
      <c r="GW54" t="e">
        <f>'Effort Estimation'!H454+"AM:!$h\"</f>
        <v>#VALUE!</v>
      </c>
      <c r="GX54" t="e">
        <f>'Effort Estimation'!I454+"AM:!$h]"</f>
        <v>#VALUE!</v>
      </c>
      <c r="GY54" s="99" t="e">
        <f>'Effort Estimation'!J454+"AM:!$h^"</f>
        <v>#VALUE!</v>
      </c>
      <c r="GZ54" s="99" t="e">
        <f>'Effort Estimation'!K454+"AM:!$h_"</f>
        <v>#VALUE!</v>
      </c>
      <c r="HA54" s="99" t="e">
        <f>'Effort Estimation'!L454+"AM:!$h`"</f>
        <v>#VALUE!</v>
      </c>
      <c r="HB54" s="99" t="e">
        <f>'Effort Estimation'!M454+"AM:!$ha"</f>
        <v>#VALUE!</v>
      </c>
      <c r="HC54" s="99" t="e">
        <f>'Effort Estimation'!N454+"AM:!$hb"</f>
        <v>#VALUE!</v>
      </c>
      <c r="HD54" s="99" t="e">
        <f>'Effort Estimation'!O454+"AM:!$hc"</f>
        <v>#VALUE!</v>
      </c>
      <c r="HE54" s="99" t="e">
        <f>'Effort Estimation'!P454+"AM:!$hd"</f>
        <v>#VALUE!</v>
      </c>
      <c r="HF54" s="99" t="e">
        <f>'Effort Estimation'!Q454+"AM:!$he"</f>
        <v>#VALUE!</v>
      </c>
      <c r="HG54" t="e">
        <f>'Effort Estimation'!R454+"AM:!$hf"</f>
        <v>#VALUE!</v>
      </c>
      <c r="HH54" t="e">
        <f>'Effort Estimation'!S454+"AM:!$hg"</f>
        <v>#VALUE!</v>
      </c>
      <c r="HI54" t="e">
        <f>'Effort Estimation'!T454+"AM:!$hh"</f>
        <v>#VALUE!</v>
      </c>
      <c r="HJ54" t="e">
        <f>'Effort Estimation'!A455+"AM:!$hi"</f>
        <v>#VALUE!</v>
      </c>
      <c r="HK54" t="e">
        <f>'Effort Estimation'!B455+"AM:!$hj"</f>
        <v>#VALUE!</v>
      </c>
      <c r="HL54" t="e">
        <f>'Effort Estimation'!C455+"AM:!$hk"</f>
        <v>#VALUE!</v>
      </c>
      <c r="HM54" t="e">
        <f>'Effort Estimation'!D455+"AM:!$hl"</f>
        <v>#VALUE!</v>
      </c>
      <c r="HN54" t="e">
        <f>'Effort Estimation'!E455+"AM:!$hm"</f>
        <v>#VALUE!</v>
      </c>
      <c r="HO54" t="e">
        <f>'Effort Estimation'!F455+"AM:!$hn"</f>
        <v>#VALUE!</v>
      </c>
      <c r="HP54" t="e">
        <f>'Effort Estimation'!G455+"AM:!$ho"</f>
        <v>#VALUE!</v>
      </c>
      <c r="HQ54" t="e">
        <f>'Effort Estimation'!H455+"AM:!$hp"</f>
        <v>#VALUE!</v>
      </c>
      <c r="HR54" t="e">
        <f>'Effort Estimation'!I455+"AM:!$hq"</f>
        <v>#VALUE!</v>
      </c>
      <c r="HS54" s="99" t="e">
        <f>'Effort Estimation'!J455+"AM:!$hr"</f>
        <v>#VALUE!</v>
      </c>
      <c r="HT54" s="99" t="e">
        <f>'Effort Estimation'!K455+"AM:!$hs"</f>
        <v>#VALUE!</v>
      </c>
      <c r="HU54" s="99" t="e">
        <f>'Effort Estimation'!L455+"AM:!$ht"</f>
        <v>#VALUE!</v>
      </c>
      <c r="HV54" s="99" t="e">
        <f>'Effort Estimation'!M455+"AM:!$hu"</f>
        <v>#VALUE!</v>
      </c>
      <c r="HW54" s="99" t="e">
        <f>'Effort Estimation'!N455+"AM:!$hv"</f>
        <v>#VALUE!</v>
      </c>
      <c r="HX54" s="99" t="e">
        <f>'Effort Estimation'!O455+"AM:!$hw"</f>
        <v>#VALUE!</v>
      </c>
      <c r="HY54" s="99" t="e">
        <f>'Effort Estimation'!P455+"AM:!$hx"</f>
        <v>#VALUE!</v>
      </c>
      <c r="HZ54" s="99" t="e">
        <f>'Effort Estimation'!Q455+"AM:!$hy"</f>
        <v>#VALUE!</v>
      </c>
      <c r="IA54" t="e">
        <f>'Effort Estimation'!R455+"AM:!$hz"</f>
        <v>#VALUE!</v>
      </c>
      <c r="IB54" t="e">
        <f>'Effort Estimation'!S455+"AM:!$h{"</f>
        <v>#VALUE!</v>
      </c>
      <c r="IC54" t="e">
        <f>'Effort Estimation'!T455+"AM:!$h|"</f>
        <v>#VALUE!</v>
      </c>
      <c r="ID54" t="e">
        <f>'Effort Estimation'!A456+"AM:!$h}"</f>
        <v>#VALUE!</v>
      </c>
      <c r="IE54" t="e">
        <f>'Effort Estimation'!B456+"AM:!$h~"</f>
        <v>#VALUE!</v>
      </c>
      <c r="IF54" t="e">
        <f>'Effort Estimation'!C456+"AM:!$i#"</f>
        <v>#VALUE!</v>
      </c>
      <c r="IG54" t="e">
        <f>'Effort Estimation'!D456+"AM:!$i$"</f>
        <v>#VALUE!</v>
      </c>
      <c r="IH54" t="e">
        <f>'Effort Estimation'!E456+"AM:!$i%"</f>
        <v>#VALUE!</v>
      </c>
      <c r="II54" t="e">
        <f>'Effort Estimation'!F456+"AM:!$i&amp;"</f>
        <v>#VALUE!</v>
      </c>
      <c r="IJ54" t="e">
        <f>'Effort Estimation'!G456+"AM:!$i'"</f>
        <v>#VALUE!</v>
      </c>
      <c r="IK54" t="e">
        <f>'Effort Estimation'!H456+"AM:!$i("</f>
        <v>#VALUE!</v>
      </c>
      <c r="IL54" t="e">
        <f>'Effort Estimation'!I456+"AM:!$i)"</f>
        <v>#VALUE!</v>
      </c>
      <c r="IM54" s="99" t="e">
        <f>'Effort Estimation'!J456+"AM:!$i."</f>
        <v>#VALUE!</v>
      </c>
      <c r="IN54" s="99" t="e">
        <f>'Effort Estimation'!K456+"AM:!$i/"</f>
        <v>#VALUE!</v>
      </c>
      <c r="IO54" s="99" t="e">
        <f>'Effort Estimation'!L456+"AM:!$i0"</f>
        <v>#VALUE!</v>
      </c>
      <c r="IP54" s="99" t="e">
        <f>'Effort Estimation'!M456+"AM:!$i1"</f>
        <v>#VALUE!</v>
      </c>
      <c r="IQ54" s="99" t="e">
        <f>'Effort Estimation'!N456+"AM:!$i2"</f>
        <v>#VALUE!</v>
      </c>
      <c r="IR54" s="99" t="e">
        <f>'Effort Estimation'!O456+"AM:!$i3"</f>
        <v>#VALUE!</v>
      </c>
      <c r="IS54" s="99" t="e">
        <f>'Effort Estimation'!P456+"AM:!$i4"</f>
        <v>#VALUE!</v>
      </c>
      <c r="IT54" s="99" t="e">
        <f>'Effort Estimation'!Q456+"AM:!$i5"</f>
        <v>#VALUE!</v>
      </c>
      <c r="IU54" t="e">
        <f>'Effort Estimation'!R456+"AM:!$i6"</f>
        <v>#VALUE!</v>
      </c>
      <c r="IV54" t="e">
        <f>'Effort Estimation'!S456+"AM:!$i7"</f>
        <v>#VALUE!</v>
      </c>
    </row>
    <row r="55" spans="6:256">
      <c r="F55" t="e">
        <f>'Effort Estimation'!T456+"AM:!$i8"</f>
        <v>#VALUE!</v>
      </c>
      <c r="G55" t="e">
        <f>'Effort Estimation'!A457+"AM:!$i9"</f>
        <v>#VALUE!</v>
      </c>
      <c r="H55" t="e">
        <f>'Effort Estimation'!B457+"AM:!$i:"</f>
        <v>#VALUE!</v>
      </c>
      <c r="I55" t="e">
        <f>'Effort Estimation'!C457+"AM:!$i;"</f>
        <v>#VALUE!</v>
      </c>
      <c r="J55" t="e">
        <f>'Effort Estimation'!D457+"AM:!$i&lt;"</f>
        <v>#VALUE!</v>
      </c>
      <c r="K55" t="e">
        <f>'Effort Estimation'!E457+"AM:!$i="</f>
        <v>#VALUE!</v>
      </c>
      <c r="L55" t="e">
        <f>'Effort Estimation'!F457+"AM:!$i&gt;"</f>
        <v>#VALUE!</v>
      </c>
      <c r="M55" t="e">
        <f>'Effort Estimation'!G457+"AM:!$i?"</f>
        <v>#VALUE!</v>
      </c>
      <c r="N55" t="e">
        <f>'Effort Estimation'!H457+"AM:!$i@"</f>
        <v>#VALUE!</v>
      </c>
      <c r="O55" t="e">
        <f>'Effort Estimation'!I457+"AM:!$iA"</f>
        <v>#VALUE!</v>
      </c>
      <c r="P55" s="99" t="e">
        <f>'Effort Estimation'!J457+"AM:!$iB"</f>
        <v>#VALUE!</v>
      </c>
      <c r="Q55" s="99" t="e">
        <f>'Effort Estimation'!K457+"AM:!$iC"</f>
        <v>#VALUE!</v>
      </c>
      <c r="R55" s="99" t="e">
        <f>'Effort Estimation'!L457+"AM:!$iD"</f>
        <v>#VALUE!</v>
      </c>
      <c r="S55" s="99" t="e">
        <f>'Effort Estimation'!M457+"AM:!$iE"</f>
        <v>#VALUE!</v>
      </c>
      <c r="T55" s="99" t="e">
        <f>'Effort Estimation'!N457+"AM:!$iF"</f>
        <v>#VALUE!</v>
      </c>
      <c r="U55" s="99" t="e">
        <f>'Effort Estimation'!O457+"AM:!$iG"</f>
        <v>#VALUE!</v>
      </c>
      <c r="V55" s="99" t="e">
        <f>'Effort Estimation'!P457+"AM:!$iH"</f>
        <v>#VALUE!</v>
      </c>
      <c r="W55" s="99" t="e">
        <f>'Effort Estimation'!Q457+"AM:!$iI"</f>
        <v>#VALUE!</v>
      </c>
      <c r="X55" t="e">
        <f>'Effort Estimation'!R457+"AM:!$iJ"</f>
        <v>#VALUE!</v>
      </c>
      <c r="Y55" t="e">
        <f>'Effort Estimation'!S457+"AM:!$iK"</f>
        <v>#VALUE!</v>
      </c>
      <c r="Z55" t="e">
        <f>'Effort Estimation'!T457+"AM:!$iL"</f>
        <v>#VALUE!</v>
      </c>
      <c r="AA55" t="e">
        <f>'Effort Estimation'!A458+"AM:!$iM"</f>
        <v>#VALUE!</v>
      </c>
      <c r="AB55" t="e">
        <f>'Effort Estimation'!B458+"AM:!$iN"</f>
        <v>#VALUE!</v>
      </c>
      <c r="AC55" t="e">
        <f>'Effort Estimation'!C458+"AM:!$iO"</f>
        <v>#VALUE!</v>
      </c>
      <c r="AD55" t="e">
        <f>'Effort Estimation'!D458+"AM:!$iP"</f>
        <v>#VALUE!</v>
      </c>
      <c r="AE55" t="e">
        <f>'Effort Estimation'!E458+"AM:!$iQ"</f>
        <v>#VALUE!</v>
      </c>
      <c r="AF55" t="e">
        <f>'Effort Estimation'!F458+"AM:!$iR"</f>
        <v>#VALUE!</v>
      </c>
      <c r="AG55" t="e">
        <f>'Effort Estimation'!G458+"AM:!$iS"</f>
        <v>#VALUE!</v>
      </c>
      <c r="AH55" t="e">
        <f>'Effort Estimation'!H458+"AM:!$iT"</f>
        <v>#VALUE!</v>
      </c>
      <c r="AI55" t="e">
        <f>'Effort Estimation'!I458+"AM:!$iU"</f>
        <v>#VALUE!</v>
      </c>
      <c r="AJ55" s="99" t="e">
        <f>'Effort Estimation'!J458+"AM:!$iV"</f>
        <v>#VALUE!</v>
      </c>
      <c r="AK55" s="99" t="e">
        <f>'Effort Estimation'!K458+"AM:!$iW"</f>
        <v>#VALUE!</v>
      </c>
      <c r="AL55" s="99" t="e">
        <f>'Effort Estimation'!L458+"AM:!$iX"</f>
        <v>#VALUE!</v>
      </c>
      <c r="AM55" s="99" t="e">
        <f>'Effort Estimation'!M458+"AM:!$iY"</f>
        <v>#VALUE!</v>
      </c>
      <c r="AN55" s="99" t="e">
        <f>'Effort Estimation'!N458+"AM:!$iZ"</f>
        <v>#VALUE!</v>
      </c>
      <c r="AO55" s="99" t="e">
        <f>'Effort Estimation'!O458+"AM:!$i["</f>
        <v>#VALUE!</v>
      </c>
      <c r="AP55" s="99" t="e">
        <f>'Effort Estimation'!P458+"AM:!$i\"</f>
        <v>#VALUE!</v>
      </c>
      <c r="AQ55" s="99" t="e">
        <f>'Effort Estimation'!Q458+"AM:!$i]"</f>
        <v>#VALUE!</v>
      </c>
      <c r="AR55" t="e">
        <f>'Effort Estimation'!R458+"AM:!$i^"</f>
        <v>#VALUE!</v>
      </c>
      <c r="AS55" t="e">
        <f>'Effort Estimation'!S458+"AM:!$i_"</f>
        <v>#VALUE!</v>
      </c>
      <c r="AT55" t="e">
        <f>'Effort Estimation'!T458+"AM:!$i`"</f>
        <v>#VALUE!</v>
      </c>
      <c r="AU55" t="e">
        <f>'Effort Estimation'!A459+"AM:!$ia"</f>
        <v>#VALUE!</v>
      </c>
      <c r="AV55" t="e">
        <f>'Effort Estimation'!B459+"AM:!$ib"</f>
        <v>#VALUE!</v>
      </c>
      <c r="AW55" t="e">
        <f>'Effort Estimation'!C459+"AM:!$ic"</f>
        <v>#VALUE!</v>
      </c>
      <c r="AX55" t="e">
        <f>'Effort Estimation'!D459+"AM:!$id"</f>
        <v>#VALUE!</v>
      </c>
      <c r="AY55" t="e">
        <f>'Effort Estimation'!E459+"AM:!$ie"</f>
        <v>#VALUE!</v>
      </c>
      <c r="AZ55" t="e">
        <f>'Effort Estimation'!F459+"AM:!$if"</f>
        <v>#VALUE!</v>
      </c>
      <c r="BA55" t="e">
        <f>'Effort Estimation'!G459+"AM:!$ig"</f>
        <v>#VALUE!</v>
      </c>
      <c r="BB55" t="e">
        <f>'Effort Estimation'!H459+"AM:!$ih"</f>
        <v>#VALUE!</v>
      </c>
      <c r="BC55" t="e">
        <f>'Effort Estimation'!I459+"AM:!$ii"</f>
        <v>#VALUE!</v>
      </c>
      <c r="BD55" s="99" t="e">
        <f>'Effort Estimation'!J459+"AM:!$ij"</f>
        <v>#VALUE!</v>
      </c>
      <c r="BE55" s="99" t="e">
        <f>'Effort Estimation'!K459+"AM:!$ik"</f>
        <v>#VALUE!</v>
      </c>
      <c r="BF55" s="99" t="e">
        <f>'Effort Estimation'!L459+"AM:!$il"</f>
        <v>#VALUE!</v>
      </c>
      <c r="BG55" s="99" t="e">
        <f>'Effort Estimation'!M459+"AM:!$im"</f>
        <v>#VALUE!</v>
      </c>
      <c r="BH55" s="99" t="e">
        <f>'Effort Estimation'!N459+"AM:!$in"</f>
        <v>#VALUE!</v>
      </c>
      <c r="BI55" s="99" t="e">
        <f>'Effort Estimation'!O459+"AM:!$io"</f>
        <v>#VALUE!</v>
      </c>
      <c r="BJ55" s="99" t="e">
        <f>'Effort Estimation'!P459+"AM:!$ip"</f>
        <v>#VALUE!</v>
      </c>
      <c r="BK55" s="99" t="e">
        <f>'Effort Estimation'!Q459+"AM:!$iq"</f>
        <v>#VALUE!</v>
      </c>
      <c r="BL55" t="e">
        <f>'Effort Estimation'!R459+"AM:!$ir"</f>
        <v>#VALUE!</v>
      </c>
      <c r="BM55" t="e">
        <f>'Effort Estimation'!S459+"AM:!$is"</f>
        <v>#VALUE!</v>
      </c>
      <c r="BN55" t="e">
        <f>'Effort Estimation'!T459+"AM:!$it"</f>
        <v>#VALUE!</v>
      </c>
      <c r="BO55" t="e">
        <f>'Effort Estimation'!A460+"AM:!$iu"</f>
        <v>#VALUE!</v>
      </c>
      <c r="BP55" t="e">
        <f>'Effort Estimation'!B460+"AM:!$iv"</f>
        <v>#VALUE!</v>
      </c>
      <c r="BQ55" t="e">
        <f>'Effort Estimation'!C460+"AM:!$iw"</f>
        <v>#VALUE!</v>
      </c>
      <c r="BR55" t="e">
        <f>'Effort Estimation'!D460+"AM:!$ix"</f>
        <v>#VALUE!</v>
      </c>
      <c r="BS55" t="e">
        <f>'Effort Estimation'!E460+"AM:!$iy"</f>
        <v>#VALUE!</v>
      </c>
      <c r="BT55" t="e">
        <f>'Effort Estimation'!F460+"AM:!$iz"</f>
        <v>#VALUE!</v>
      </c>
      <c r="BU55" t="e">
        <f>'Effort Estimation'!G460+"AM:!$i{"</f>
        <v>#VALUE!</v>
      </c>
      <c r="BV55" t="e">
        <f>'Effort Estimation'!H460+"AM:!$i|"</f>
        <v>#VALUE!</v>
      </c>
      <c r="BW55" t="e">
        <f>'Effort Estimation'!I460+"AM:!$i}"</f>
        <v>#VALUE!</v>
      </c>
      <c r="BX55" s="99" t="e">
        <f>'Effort Estimation'!J460+"AM:!$i~"</f>
        <v>#VALUE!</v>
      </c>
      <c r="BY55" s="99" t="e">
        <f>'Effort Estimation'!K460+"AM:!$j#"</f>
        <v>#VALUE!</v>
      </c>
      <c r="BZ55" s="99" t="e">
        <f>'Effort Estimation'!L460+"AM:!$j$"</f>
        <v>#VALUE!</v>
      </c>
      <c r="CA55" s="99" t="e">
        <f>'Effort Estimation'!M460+"AM:!$j%"</f>
        <v>#VALUE!</v>
      </c>
      <c r="CB55" s="99" t="e">
        <f>'Effort Estimation'!N460+"AM:!$j&amp;"</f>
        <v>#VALUE!</v>
      </c>
      <c r="CC55" s="99" t="e">
        <f>'Effort Estimation'!O460+"AM:!$j'"</f>
        <v>#VALUE!</v>
      </c>
      <c r="CD55" s="99" t="e">
        <f>'Effort Estimation'!P460+"AM:!$j("</f>
        <v>#VALUE!</v>
      </c>
      <c r="CE55" s="99" t="e">
        <f>'Effort Estimation'!Q460+"AM:!$j)"</f>
        <v>#VALUE!</v>
      </c>
      <c r="CF55" t="e">
        <f>'Effort Estimation'!R460+"AM:!$j."</f>
        <v>#VALUE!</v>
      </c>
      <c r="CG55" t="e">
        <f>'Effort Estimation'!S460+"AM:!$j/"</f>
        <v>#VALUE!</v>
      </c>
      <c r="CH55" t="e">
        <f>'Effort Estimation'!T460+"AM:!$j0"</f>
        <v>#VALUE!</v>
      </c>
      <c r="CI55" t="e">
        <f>'Effort Estimation'!A461+"AM:!$j1"</f>
        <v>#VALUE!</v>
      </c>
      <c r="CJ55" t="e">
        <f>'Effort Estimation'!B461+"AM:!$j2"</f>
        <v>#VALUE!</v>
      </c>
      <c r="CK55" t="e">
        <f>'Effort Estimation'!C461+"AM:!$j3"</f>
        <v>#VALUE!</v>
      </c>
      <c r="CL55" t="e">
        <f>'Effort Estimation'!D461+"AM:!$j4"</f>
        <v>#VALUE!</v>
      </c>
      <c r="CM55" t="e">
        <f>'Effort Estimation'!E461+"AM:!$j5"</f>
        <v>#VALUE!</v>
      </c>
      <c r="CN55" t="e">
        <f>'Effort Estimation'!F461+"AM:!$j6"</f>
        <v>#VALUE!</v>
      </c>
      <c r="CO55" t="e">
        <f>'Effort Estimation'!G461+"AM:!$j7"</f>
        <v>#VALUE!</v>
      </c>
      <c r="CP55" t="e">
        <f>'Effort Estimation'!H461+"AM:!$j8"</f>
        <v>#VALUE!</v>
      </c>
      <c r="CQ55" t="e">
        <f>'Effort Estimation'!I461+"AM:!$j9"</f>
        <v>#VALUE!</v>
      </c>
      <c r="CR55" s="99" t="e">
        <f>'Effort Estimation'!J461+"AM:!$j:"</f>
        <v>#VALUE!</v>
      </c>
      <c r="CS55" s="99" t="e">
        <f>'Effort Estimation'!K461+"AM:!$j;"</f>
        <v>#VALUE!</v>
      </c>
      <c r="CT55" s="99" t="e">
        <f>'Effort Estimation'!L461+"AM:!$j&lt;"</f>
        <v>#VALUE!</v>
      </c>
      <c r="CU55" s="99" t="e">
        <f>'Effort Estimation'!M461+"AM:!$j="</f>
        <v>#VALUE!</v>
      </c>
      <c r="CV55" s="99" t="e">
        <f>'Effort Estimation'!N461+"AM:!$j&gt;"</f>
        <v>#VALUE!</v>
      </c>
      <c r="CW55" s="99" t="e">
        <f>'Effort Estimation'!O461+"AM:!$j?"</f>
        <v>#VALUE!</v>
      </c>
      <c r="CX55" s="99" t="e">
        <f>'Effort Estimation'!P461+"AM:!$j@"</f>
        <v>#VALUE!</v>
      </c>
      <c r="CY55" s="99" t="e">
        <f>'Effort Estimation'!Q461+"AM:!$jA"</f>
        <v>#VALUE!</v>
      </c>
      <c r="CZ55" t="e">
        <f>'Effort Estimation'!R461+"AM:!$jB"</f>
        <v>#VALUE!</v>
      </c>
      <c r="DA55" t="e">
        <f>'Effort Estimation'!S461+"AM:!$jC"</f>
        <v>#VALUE!</v>
      </c>
      <c r="DB55" t="e">
        <f>'Effort Estimation'!T461+"AM:!$jD"</f>
        <v>#VALUE!</v>
      </c>
      <c r="DC55" t="e">
        <f>'Effort Estimation'!A462+"AM:!$jE"</f>
        <v>#VALUE!</v>
      </c>
      <c r="DD55" t="e">
        <f>'Effort Estimation'!B462+"AM:!$jF"</f>
        <v>#VALUE!</v>
      </c>
      <c r="DE55" t="e">
        <f>'Effort Estimation'!C462+"AM:!$jG"</f>
        <v>#VALUE!</v>
      </c>
      <c r="DF55" t="e">
        <f>'Effort Estimation'!D462+"AM:!$jH"</f>
        <v>#VALUE!</v>
      </c>
      <c r="DG55" t="e">
        <f>'Effort Estimation'!E462+"AM:!$jI"</f>
        <v>#VALUE!</v>
      </c>
      <c r="DH55" t="e">
        <f>'Effort Estimation'!F462+"AM:!$jJ"</f>
        <v>#VALUE!</v>
      </c>
      <c r="DI55" t="e">
        <f>'Effort Estimation'!G462+"AM:!$jK"</f>
        <v>#VALUE!</v>
      </c>
      <c r="DJ55" t="e">
        <f>'Effort Estimation'!H462+"AM:!$jL"</f>
        <v>#VALUE!</v>
      </c>
      <c r="DK55" t="e">
        <f>'Effort Estimation'!I462+"AM:!$jM"</f>
        <v>#VALUE!</v>
      </c>
      <c r="DL55" s="99" t="e">
        <f>'Effort Estimation'!J462+"AM:!$jN"</f>
        <v>#VALUE!</v>
      </c>
      <c r="DM55" s="99" t="e">
        <f>'Effort Estimation'!K462+"AM:!$jO"</f>
        <v>#VALUE!</v>
      </c>
      <c r="DN55" s="99" t="e">
        <f>'Effort Estimation'!L462+"AM:!$jP"</f>
        <v>#VALUE!</v>
      </c>
      <c r="DO55" s="99" t="e">
        <f>'Effort Estimation'!M462+"AM:!$jQ"</f>
        <v>#VALUE!</v>
      </c>
      <c r="DP55" s="99" t="e">
        <f>'Effort Estimation'!N462+"AM:!$jR"</f>
        <v>#VALUE!</v>
      </c>
      <c r="DQ55" s="99" t="e">
        <f>'Effort Estimation'!O462+"AM:!$jS"</f>
        <v>#VALUE!</v>
      </c>
      <c r="DR55" s="99" t="e">
        <f>'Effort Estimation'!P462+"AM:!$jT"</f>
        <v>#VALUE!</v>
      </c>
      <c r="DS55" s="99" t="e">
        <f>'Effort Estimation'!Q462+"AM:!$jU"</f>
        <v>#VALUE!</v>
      </c>
      <c r="DT55" t="e">
        <f>'Effort Estimation'!R462+"AM:!$jV"</f>
        <v>#VALUE!</v>
      </c>
      <c r="DU55" t="e">
        <f>'Effort Estimation'!S462+"AM:!$jW"</f>
        <v>#VALUE!</v>
      </c>
      <c r="DV55" t="e">
        <f>'Effort Estimation'!T462+"AM:!$jX"</f>
        <v>#VALUE!</v>
      </c>
      <c r="DW55" t="e">
        <f>'Effort Estimation'!A463+"AM:!$jY"</f>
        <v>#VALUE!</v>
      </c>
      <c r="DX55" t="e">
        <f>'Effort Estimation'!B463+"AM:!$jZ"</f>
        <v>#VALUE!</v>
      </c>
      <c r="DY55" t="e">
        <f>'Effort Estimation'!C463+"AM:!$j["</f>
        <v>#VALUE!</v>
      </c>
      <c r="DZ55" t="e">
        <f>'Effort Estimation'!D463+"AM:!$j\"</f>
        <v>#VALUE!</v>
      </c>
      <c r="EA55" t="e">
        <f>'Effort Estimation'!E463+"AM:!$j]"</f>
        <v>#VALUE!</v>
      </c>
      <c r="EB55" t="e">
        <f>'Effort Estimation'!F463+"AM:!$j^"</f>
        <v>#VALUE!</v>
      </c>
      <c r="EC55" t="e">
        <f>'Effort Estimation'!G463+"AM:!$j_"</f>
        <v>#VALUE!</v>
      </c>
      <c r="ED55" t="e">
        <f>'Effort Estimation'!H463+"AM:!$j`"</f>
        <v>#VALUE!</v>
      </c>
      <c r="EE55" t="e">
        <f>'Effort Estimation'!I463+"AM:!$ja"</f>
        <v>#VALUE!</v>
      </c>
      <c r="EF55" s="99" t="e">
        <f>'Effort Estimation'!J463+"AM:!$jb"</f>
        <v>#VALUE!</v>
      </c>
      <c r="EG55" s="99" t="e">
        <f>'Effort Estimation'!K463+"AM:!$jc"</f>
        <v>#VALUE!</v>
      </c>
      <c r="EH55" s="99" t="e">
        <f>'Effort Estimation'!L463+"AM:!$jd"</f>
        <v>#VALUE!</v>
      </c>
      <c r="EI55" s="99" t="e">
        <f>'Effort Estimation'!M463+"AM:!$je"</f>
        <v>#VALUE!</v>
      </c>
      <c r="EJ55" s="99" t="e">
        <f>'Effort Estimation'!N463+"AM:!$jf"</f>
        <v>#VALUE!</v>
      </c>
      <c r="EK55" s="99" t="e">
        <f>'Effort Estimation'!O463+"AM:!$jg"</f>
        <v>#VALUE!</v>
      </c>
      <c r="EL55" s="99" t="e">
        <f>'Effort Estimation'!P463+"AM:!$jh"</f>
        <v>#VALUE!</v>
      </c>
      <c r="EM55" s="99" t="e">
        <f>'Effort Estimation'!Q463+"AM:!$ji"</f>
        <v>#VALUE!</v>
      </c>
      <c r="EN55" t="e">
        <f>'Effort Estimation'!R463+"AM:!$jj"</f>
        <v>#VALUE!</v>
      </c>
      <c r="EO55" t="e">
        <f>'Effort Estimation'!S463+"AM:!$jk"</f>
        <v>#VALUE!</v>
      </c>
      <c r="EP55" t="e">
        <f>'Effort Estimation'!T463+"AM:!$jl"</f>
        <v>#VALUE!</v>
      </c>
      <c r="EQ55" t="e">
        <f>'Effort Estimation'!A464+"AM:!$jm"</f>
        <v>#VALUE!</v>
      </c>
      <c r="ER55" t="e">
        <f>'Effort Estimation'!B464+"AM:!$jn"</f>
        <v>#VALUE!</v>
      </c>
      <c r="ES55" t="e">
        <f>'Effort Estimation'!C464+"AM:!$jo"</f>
        <v>#VALUE!</v>
      </c>
      <c r="ET55" t="e">
        <f>'Effort Estimation'!D464+"AM:!$jp"</f>
        <v>#VALUE!</v>
      </c>
      <c r="EU55" t="e">
        <f>'Effort Estimation'!E464+"AM:!$jq"</f>
        <v>#VALUE!</v>
      </c>
      <c r="EV55" t="e">
        <f>'Effort Estimation'!F464+"AM:!$jr"</f>
        <v>#VALUE!</v>
      </c>
      <c r="EW55" t="e">
        <f>'Effort Estimation'!G464+"AM:!$js"</f>
        <v>#VALUE!</v>
      </c>
      <c r="EX55" t="e">
        <f>'Effort Estimation'!H464+"AM:!$jt"</f>
        <v>#VALUE!</v>
      </c>
      <c r="EY55" t="e">
        <f>'Effort Estimation'!I464+"AM:!$ju"</f>
        <v>#VALUE!</v>
      </c>
      <c r="EZ55" s="99" t="e">
        <f>'Effort Estimation'!J464+"AM:!$jv"</f>
        <v>#VALUE!</v>
      </c>
      <c r="FA55" s="99" t="e">
        <f>'Effort Estimation'!K464+"AM:!$jw"</f>
        <v>#VALUE!</v>
      </c>
      <c r="FB55" s="99" t="e">
        <f>'Effort Estimation'!L464+"AM:!$jx"</f>
        <v>#VALUE!</v>
      </c>
      <c r="FC55" s="99" t="e">
        <f>'Effort Estimation'!M464+"AM:!$jy"</f>
        <v>#VALUE!</v>
      </c>
      <c r="FD55" s="99" t="e">
        <f>'Effort Estimation'!N464+"AM:!$jz"</f>
        <v>#VALUE!</v>
      </c>
      <c r="FE55" s="99" t="e">
        <f>'Effort Estimation'!O464+"AM:!$j{"</f>
        <v>#VALUE!</v>
      </c>
      <c r="FF55" s="99" t="e">
        <f>'Effort Estimation'!P464+"AM:!$j|"</f>
        <v>#VALUE!</v>
      </c>
      <c r="FG55" s="99" t="e">
        <f>'Effort Estimation'!Q464+"AM:!$j}"</f>
        <v>#VALUE!</v>
      </c>
      <c r="FH55" t="e">
        <f>'Effort Estimation'!R464+"AM:!$j~"</f>
        <v>#VALUE!</v>
      </c>
      <c r="FI55" t="e">
        <f>'Effort Estimation'!S464+"AM:!$k#"</f>
        <v>#VALUE!</v>
      </c>
      <c r="FJ55" t="e">
        <f>'Effort Estimation'!T464+"AM:!$k$"</f>
        <v>#VALUE!</v>
      </c>
      <c r="FK55" t="e">
        <f>'Effort Estimation'!A465+"AM:!$k%"</f>
        <v>#VALUE!</v>
      </c>
      <c r="FL55" t="e">
        <f>'Effort Estimation'!B465+"AM:!$k&amp;"</f>
        <v>#VALUE!</v>
      </c>
      <c r="FM55" t="e">
        <f>'Effort Estimation'!C465+"AM:!$k'"</f>
        <v>#VALUE!</v>
      </c>
      <c r="FN55" t="e">
        <f>'Effort Estimation'!D465+"AM:!$k("</f>
        <v>#VALUE!</v>
      </c>
      <c r="FO55" t="e">
        <f>'Effort Estimation'!E465+"AM:!$k)"</f>
        <v>#VALUE!</v>
      </c>
      <c r="FP55" t="e">
        <f>'Effort Estimation'!F465+"AM:!$k."</f>
        <v>#VALUE!</v>
      </c>
      <c r="FQ55" t="e">
        <f>'Effort Estimation'!G465+"AM:!$k/"</f>
        <v>#VALUE!</v>
      </c>
      <c r="FR55" t="e">
        <f>'Effort Estimation'!H465+"AM:!$k0"</f>
        <v>#VALUE!</v>
      </c>
      <c r="FS55" t="e">
        <f>'Effort Estimation'!I465+"AM:!$k1"</f>
        <v>#VALUE!</v>
      </c>
      <c r="FT55" s="99" t="e">
        <f>'Effort Estimation'!J465+"AM:!$k2"</f>
        <v>#VALUE!</v>
      </c>
      <c r="FU55" s="99" t="e">
        <f>'Effort Estimation'!K465+"AM:!$k3"</f>
        <v>#VALUE!</v>
      </c>
      <c r="FV55" s="99" t="e">
        <f>'Effort Estimation'!L465+"AM:!$k4"</f>
        <v>#VALUE!</v>
      </c>
      <c r="FW55" s="99" t="e">
        <f>'Effort Estimation'!M465+"AM:!$k5"</f>
        <v>#VALUE!</v>
      </c>
      <c r="FX55" s="99" t="e">
        <f>'Effort Estimation'!N465+"AM:!$k6"</f>
        <v>#VALUE!</v>
      </c>
      <c r="FY55" s="99" t="e">
        <f>'Effort Estimation'!O465+"AM:!$k7"</f>
        <v>#VALUE!</v>
      </c>
      <c r="FZ55" s="99" t="e">
        <f>'Effort Estimation'!P465+"AM:!$k8"</f>
        <v>#VALUE!</v>
      </c>
      <c r="GA55" s="99" t="e">
        <f>'Effort Estimation'!Q465+"AM:!$k9"</f>
        <v>#VALUE!</v>
      </c>
      <c r="GB55" t="e">
        <f>'Effort Estimation'!R465+"AM:!$k:"</f>
        <v>#VALUE!</v>
      </c>
      <c r="GC55" t="e">
        <f>'Effort Estimation'!S465+"AM:!$k;"</f>
        <v>#VALUE!</v>
      </c>
      <c r="GD55" t="e">
        <f>'Effort Estimation'!T465+"AM:!$k&lt;"</f>
        <v>#VALUE!</v>
      </c>
      <c r="GE55" t="e">
        <f>'Effort Estimation'!A466+"AM:!$k="</f>
        <v>#VALUE!</v>
      </c>
      <c r="GF55" t="e">
        <f>'Effort Estimation'!B466+"AM:!$k&gt;"</f>
        <v>#VALUE!</v>
      </c>
      <c r="GG55" t="e">
        <f>'Effort Estimation'!C466+"AM:!$k?"</f>
        <v>#VALUE!</v>
      </c>
      <c r="GH55" t="e">
        <f>'Effort Estimation'!D466+"AM:!$k@"</f>
        <v>#VALUE!</v>
      </c>
      <c r="GI55" t="e">
        <f>'Effort Estimation'!E466+"AM:!$kA"</f>
        <v>#VALUE!</v>
      </c>
      <c r="GJ55" t="e">
        <f>'Effort Estimation'!F466+"AM:!$kB"</f>
        <v>#VALUE!</v>
      </c>
      <c r="GK55" t="e">
        <f>'Effort Estimation'!G466+"AM:!$kC"</f>
        <v>#VALUE!</v>
      </c>
      <c r="GL55" t="e">
        <f>'Effort Estimation'!H466+"AM:!$kD"</f>
        <v>#VALUE!</v>
      </c>
      <c r="GM55" t="e">
        <f>'Effort Estimation'!I466+"AM:!$kE"</f>
        <v>#VALUE!</v>
      </c>
      <c r="GN55" s="99" t="e">
        <f>'Effort Estimation'!J466+"AM:!$kF"</f>
        <v>#VALUE!</v>
      </c>
      <c r="GO55" s="99" t="e">
        <f>'Effort Estimation'!K466+"AM:!$kG"</f>
        <v>#VALUE!</v>
      </c>
      <c r="GP55" s="99" t="e">
        <f>'Effort Estimation'!L466+"AM:!$kH"</f>
        <v>#VALUE!</v>
      </c>
      <c r="GQ55" s="99" t="e">
        <f>'Effort Estimation'!M466+"AM:!$kI"</f>
        <v>#VALUE!</v>
      </c>
      <c r="GR55" s="99" t="e">
        <f>'Effort Estimation'!N466+"AM:!$kJ"</f>
        <v>#VALUE!</v>
      </c>
      <c r="GS55" s="99" t="e">
        <f>'Effort Estimation'!O466+"AM:!$kK"</f>
        <v>#VALUE!</v>
      </c>
      <c r="GT55" s="99" t="e">
        <f>'Effort Estimation'!P466+"AM:!$kL"</f>
        <v>#VALUE!</v>
      </c>
      <c r="GU55" s="99" t="e">
        <f>'Effort Estimation'!Q466+"AM:!$kM"</f>
        <v>#VALUE!</v>
      </c>
      <c r="GV55" t="e">
        <f>'Effort Estimation'!R466+"AM:!$kN"</f>
        <v>#VALUE!</v>
      </c>
      <c r="GW55" t="e">
        <f>'Effort Estimation'!S466+"AM:!$kO"</f>
        <v>#VALUE!</v>
      </c>
      <c r="GX55" t="e">
        <f>'Effort Estimation'!T466+"AM:!$kP"</f>
        <v>#VALUE!</v>
      </c>
      <c r="GY55" t="e">
        <f>'Effort Estimation'!A467+"AM:!$kQ"</f>
        <v>#VALUE!</v>
      </c>
      <c r="GZ55" t="e">
        <f>'Effort Estimation'!B467+"AM:!$kR"</f>
        <v>#VALUE!</v>
      </c>
      <c r="HA55" t="e">
        <f>'Effort Estimation'!C467+"AM:!$kS"</f>
        <v>#VALUE!</v>
      </c>
      <c r="HB55" t="e">
        <f>'Effort Estimation'!D467+"AM:!$kT"</f>
        <v>#VALUE!</v>
      </c>
      <c r="HC55" t="e">
        <f>'Effort Estimation'!E467+"AM:!$kU"</f>
        <v>#VALUE!</v>
      </c>
      <c r="HD55" t="e">
        <f>'Effort Estimation'!F467+"AM:!$kV"</f>
        <v>#VALUE!</v>
      </c>
      <c r="HE55" t="e">
        <f>'Effort Estimation'!G467+"AM:!$kW"</f>
        <v>#VALUE!</v>
      </c>
      <c r="HF55" t="e">
        <f>'Effort Estimation'!H467+"AM:!$kX"</f>
        <v>#VALUE!</v>
      </c>
      <c r="HG55" t="e">
        <f>'Effort Estimation'!I467+"AM:!$kY"</f>
        <v>#VALUE!</v>
      </c>
      <c r="HH55" s="99" t="e">
        <f>'Effort Estimation'!J467+"AM:!$kZ"</f>
        <v>#VALUE!</v>
      </c>
      <c r="HI55" s="99" t="e">
        <f>'Effort Estimation'!K467+"AM:!$k["</f>
        <v>#VALUE!</v>
      </c>
      <c r="HJ55" s="99" t="e">
        <f>'Effort Estimation'!L467+"AM:!$k\"</f>
        <v>#VALUE!</v>
      </c>
      <c r="HK55" s="99" t="e">
        <f>'Effort Estimation'!M467+"AM:!$k]"</f>
        <v>#VALUE!</v>
      </c>
      <c r="HL55" s="99" t="e">
        <f>'Effort Estimation'!N467+"AM:!$k^"</f>
        <v>#VALUE!</v>
      </c>
      <c r="HM55" s="99" t="e">
        <f>'Effort Estimation'!O467+"AM:!$k_"</f>
        <v>#VALUE!</v>
      </c>
      <c r="HN55" s="99" t="e">
        <f>'Effort Estimation'!P467+"AM:!$k`"</f>
        <v>#VALUE!</v>
      </c>
      <c r="HO55" s="99" t="e">
        <f>'Effort Estimation'!Q467+"AM:!$ka"</f>
        <v>#VALUE!</v>
      </c>
      <c r="HP55" t="e">
        <f>'Effort Estimation'!R467+"AM:!$kb"</f>
        <v>#VALUE!</v>
      </c>
      <c r="HQ55" t="e">
        <f>'Effort Estimation'!S467+"AM:!$kc"</f>
        <v>#VALUE!</v>
      </c>
      <c r="HR55" t="e">
        <f>'Effort Estimation'!T467+"AM:!$kd"</f>
        <v>#VALUE!</v>
      </c>
      <c r="HS55" t="e">
        <f>'Effort Estimation'!A468+"AM:!$ke"</f>
        <v>#VALUE!</v>
      </c>
      <c r="HT55" t="e">
        <f>'Effort Estimation'!B468+"AM:!$kf"</f>
        <v>#VALUE!</v>
      </c>
      <c r="HU55" t="e">
        <f>'Effort Estimation'!C468+"AM:!$kg"</f>
        <v>#VALUE!</v>
      </c>
      <c r="HV55" t="e">
        <f>'Effort Estimation'!D468+"AM:!$kh"</f>
        <v>#VALUE!</v>
      </c>
      <c r="HW55" t="e">
        <f>'Effort Estimation'!E468+"AM:!$ki"</f>
        <v>#VALUE!</v>
      </c>
      <c r="HX55" t="e">
        <f>'Effort Estimation'!F468+"AM:!$kj"</f>
        <v>#VALUE!</v>
      </c>
      <c r="HY55" t="e">
        <f>'Effort Estimation'!G468+"AM:!$kk"</f>
        <v>#VALUE!</v>
      </c>
      <c r="HZ55" t="e">
        <f>'Effort Estimation'!H468+"AM:!$kl"</f>
        <v>#VALUE!</v>
      </c>
      <c r="IA55" t="e">
        <f>'Effort Estimation'!I468+"AM:!$km"</f>
        <v>#VALUE!</v>
      </c>
      <c r="IB55" s="99" t="e">
        <f>'Effort Estimation'!J468+"AM:!$kn"</f>
        <v>#VALUE!</v>
      </c>
      <c r="IC55" s="99" t="e">
        <f>'Effort Estimation'!K468+"AM:!$ko"</f>
        <v>#VALUE!</v>
      </c>
      <c r="ID55" s="99" t="e">
        <f>'Effort Estimation'!L468+"AM:!$kp"</f>
        <v>#VALUE!</v>
      </c>
      <c r="IE55" s="99" t="e">
        <f>'Effort Estimation'!M468+"AM:!$kq"</f>
        <v>#VALUE!</v>
      </c>
      <c r="IF55" s="99" t="e">
        <f>'Effort Estimation'!N468+"AM:!$kr"</f>
        <v>#VALUE!</v>
      </c>
      <c r="IG55" s="99" t="e">
        <f>'Effort Estimation'!O468+"AM:!$ks"</f>
        <v>#VALUE!</v>
      </c>
      <c r="IH55" s="99" t="e">
        <f>'Effort Estimation'!P468+"AM:!$kt"</f>
        <v>#VALUE!</v>
      </c>
      <c r="II55" s="99" t="e">
        <f>'Effort Estimation'!Q468+"AM:!$ku"</f>
        <v>#VALUE!</v>
      </c>
      <c r="IJ55" t="e">
        <f>'Effort Estimation'!R468+"AM:!$kv"</f>
        <v>#VALUE!</v>
      </c>
      <c r="IK55" t="e">
        <f>'Effort Estimation'!S468+"AM:!$kw"</f>
        <v>#VALUE!</v>
      </c>
      <c r="IL55" t="e">
        <f>'Effort Estimation'!T468+"AM:!$kx"</f>
        <v>#VALUE!</v>
      </c>
      <c r="IM55" t="e">
        <f>'Effort Estimation'!A469+"AM:!$ky"</f>
        <v>#VALUE!</v>
      </c>
      <c r="IN55" t="e">
        <f>'Effort Estimation'!B469+"AM:!$kz"</f>
        <v>#VALUE!</v>
      </c>
      <c r="IO55" t="e">
        <f>'Effort Estimation'!C469+"AM:!$k{"</f>
        <v>#VALUE!</v>
      </c>
      <c r="IP55" t="e">
        <f>'Effort Estimation'!D469+"AM:!$k|"</f>
        <v>#VALUE!</v>
      </c>
      <c r="IQ55" t="e">
        <f>'Effort Estimation'!E469+"AM:!$k}"</f>
        <v>#VALUE!</v>
      </c>
      <c r="IR55" t="e">
        <f>'Effort Estimation'!F469+"AM:!$k~"</f>
        <v>#VALUE!</v>
      </c>
      <c r="IS55" t="e">
        <f>'Effort Estimation'!G469+"AM:!$l#"</f>
        <v>#VALUE!</v>
      </c>
      <c r="IT55" t="e">
        <f>'Effort Estimation'!H469+"AM:!$l$"</f>
        <v>#VALUE!</v>
      </c>
      <c r="IU55" t="e">
        <f>'Effort Estimation'!I469+"AM:!$l%"</f>
        <v>#VALUE!</v>
      </c>
      <c r="IV55" s="99" t="e">
        <f>'Effort Estimation'!J469+"AM:!$l&amp;"</f>
        <v>#VALUE!</v>
      </c>
    </row>
    <row r="56" spans="6:256">
      <c r="F56" s="99" t="e">
        <f>'Effort Estimation'!K469+"AM:!$l'"</f>
        <v>#VALUE!</v>
      </c>
      <c r="G56" s="99" t="e">
        <f>'Effort Estimation'!L469+"AM:!$l("</f>
        <v>#VALUE!</v>
      </c>
      <c r="H56" s="99" t="e">
        <f>'Effort Estimation'!M469+"AM:!$l)"</f>
        <v>#VALUE!</v>
      </c>
      <c r="I56" s="99" t="e">
        <f>'Effort Estimation'!N469+"AM:!$l."</f>
        <v>#VALUE!</v>
      </c>
      <c r="J56" s="99" t="e">
        <f>'Effort Estimation'!O469+"AM:!$l/"</f>
        <v>#VALUE!</v>
      </c>
      <c r="K56" s="99" t="e">
        <f>'Effort Estimation'!P469+"AM:!$l0"</f>
        <v>#VALUE!</v>
      </c>
      <c r="L56" s="99" t="e">
        <f>'Effort Estimation'!Q469+"AM:!$l1"</f>
        <v>#VALUE!</v>
      </c>
      <c r="M56" t="e">
        <f>'Effort Estimation'!R469+"AM:!$l2"</f>
        <v>#VALUE!</v>
      </c>
      <c r="N56" t="e">
        <f>'Effort Estimation'!S469+"AM:!$l3"</f>
        <v>#VALUE!</v>
      </c>
      <c r="O56" t="e">
        <f>'Effort Estimation'!T469+"AM:!$l4"</f>
        <v>#VALUE!</v>
      </c>
      <c r="P56" t="e">
        <f>'Effort Estimation'!A470+"AM:!$l5"</f>
        <v>#VALUE!</v>
      </c>
      <c r="Q56" t="e">
        <f>'Effort Estimation'!B470+"AM:!$l6"</f>
        <v>#VALUE!</v>
      </c>
      <c r="R56" t="e">
        <f>'Effort Estimation'!C470+"AM:!$l7"</f>
        <v>#VALUE!</v>
      </c>
      <c r="S56" t="e">
        <f>'Effort Estimation'!D470+"AM:!$l8"</f>
        <v>#VALUE!</v>
      </c>
      <c r="T56" t="e">
        <f>'Effort Estimation'!E470+"AM:!$l9"</f>
        <v>#VALUE!</v>
      </c>
      <c r="U56" t="e">
        <f>'Effort Estimation'!F470+"AM:!$l:"</f>
        <v>#VALUE!</v>
      </c>
      <c r="V56" t="e">
        <f>'Effort Estimation'!G470+"AM:!$l;"</f>
        <v>#VALUE!</v>
      </c>
      <c r="W56" t="e">
        <f>'Effort Estimation'!H470+"AM:!$l&lt;"</f>
        <v>#VALUE!</v>
      </c>
      <c r="X56" t="e">
        <f>'Effort Estimation'!I470+"AM:!$l="</f>
        <v>#VALUE!</v>
      </c>
      <c r="Y56" s="99" t="e">
        <f>'Effort Estimation'!J470+"AM:!$l&gt;"</f>
        <v>#VALUE!</v>
      </c>
      <c r="Z56" s="99" t="e">
        <f>'Effort Estimation'!K470+"AM:!$l?"</f>
        <v>#VALUE!</v>
      </c>
      <c r="AA56" s="99" t="e">
        <f>'Effort Estimation'!L470+"AM:!$l@"</f>
        <v>#VALUE!</v>
      </c>
      <c r="AB56" s="99" t="e">
        <f>'Effort Estimation'!M470+"AM:!$lA"</f>
        <v>#VALUE!</v>
      </c>
      <c r="AC56" s="99" t="e">
        <f>'Effort Estimation'!N470+"AM:!$lB"</f>
        <v>#VALUE!</v>
      </c>
      <c r="AD56" s="99" t="e">
        <f>'Effort Estimation'!O470+"AM:!$lC"</f>
        <v>#VALUE!</v>
      </c>
      <c r="AE56" s="99" t="e">
        <f>'Effort Estimation'!P470+"AM:!$lD"</f>
        <v>#VALUE!</v>
      </c>
      <c r="AF56" s="99" t="e">
        <f>'Effort Estimation'!Q470+"AM:!$lE"</f>
        <v>#VALUE!</v>
      </c>
      <c r="AG56" t="e">
        <f>'Effort Estimation'!R470+"AM:!$lF"</f>
        <v>#VALUE!</v>
      </c>
      <c r="AH56" t="e">
        <f>'Effort Estimation'!S470+"AM:!$lG"</f>
        <v>#VALUE!</v>
      </c>
      <c r="AI56" t="e">
        <f>'Effort Estimation'!T470+"AM:!$lH"</f>
        <v>#VALUE!</v>
      </c>
      <c r="AJ56" t="e">
        <f>'Effort Estimation'!A471+"AM:!$lI"</f>
        <v>#VALUE!</v>
      </c>
      <c r="AK56" t="e">
        <f>'Effort Estimation'!B471+"AM:!$lJ"</f>
        <v>#VALUE!</v>
      </c>
      <c r="AL56" t="e">
        <f>'Effort Estimation'!C471+"AM:!$lK"</f>
        <v>#VALUE!</v>
      </c>
      <c r="AM56" t="e">
        <f>'Effort Estimation'!D471+"AM:!$lL"</f>
        <v>#VALUE!</v>
      </c>
      <c r="AN56" t="e">
        <f>'Effort Estimation'!E471+"AM:!$lM"</f>
        <v>#VALUE!</v>
      </c>
      <c r="AO56" t="e">
        <f>'Effort Estimation'!F471+"AM:!$lN"</f>
        <v>#VALUE!</v>
      </c>
      <c r="AP56" t="e">
        <f>'Effort Estimation'!G471+"AM:!$lO"</f>
        <v>#VALUE!</v>
      </c>
      <c r="AQ56" t="e">
        <f>'Effort Estimation'!H471+"AM:!$lP"</f>
        <v>#VALUE!</v>
      </c>
      <c r="AR56" t="e">
        <f>'Effort Estimation'!I471+"AM:!$lQ"</f>
        <v>#VALUE!</v>
      </c>
      <c r="AS56" s="99" t="e">
        <f>'Effort Estimation'!J471+"AM:!$lR"</f>
        <v>#VALUE!</v>
      </c>
      <c r="AT56" s="99" t="e">
        <f>'Effort Estimation'!K471+"AM:!$lS"</f>
        <v>#VALUE!</v>
      </c>
      <c r="AU56" s="99" t="e">
        <f>'Effort Estimation'!L471+"AM:!$lT"</f>
        <v>#VALUE!</v>
      </c>
      <c r="AV56" s="99" t="e">
        <f>'Effort Estimation'!M471+"AM:!$lU"</f>
        <v>#VALUE!</v>
      </c>
      <c r="AW56" s="99" t="e">
        <f>'Effort Estimation'!N471+"AM:!$lV"</f>
        <v>#VALUE!</v>
      </c>
      <c r="AX56" s="99" t="e">
        <f>'Effort Estimation'!O471+"AM:!$lW"</f>
        <v>#VALUE!</v>
      </c>
      <c r="AY56" s="99" t="e">
        <f>'Effort Estimation'!P471+"AM:!$lX"</f>
        <v>#VALUE!</v>
      </c>
      <c r="AZ56" s="99" t="e">
        <f>'Effort Estimation'!Q471+"AM:!$lY"</f>
        <v>#VALUE!</v>
      </c>
      <c r="BA56" t="e">
        <f>'Effort Estimation'!R471+"AM:!$lZ"</f>
        <v>#VALUE!</v>
      </c>
      <c r="BB56" t="e">
        <f>'Effort Estimation'!S471+"AM:!$l["</f>
        <v>#VALUE!</v>
      </c>
      <c r="BC56" t="e">
        <f>'Effort Estimation'!T471+"AM:!$l\"</f>
        <v>#VALUE!</v>
      </c>
      <c r="BD56" t="e">
        <f>'Effort Estimation'!A472+"AM:!$l]"</f>
        <v>#VALUE!</v>
      </c>
      <c r="BE56" t="e">
        <f>'Effort Estimation'!B472+"AM:!$l^"</f>
        <v>#VALUE!</v>
      </c>
      <c r="BF56" t="e">
        <f>'Effort Estimation'!C472+"AM:!$l_"</f>
        <v>#VALUE!</v>
      </c>
      <c r="BG56" t="e">
        <f>'Effort Estimation'!D472+"AM:!$l`"</f>
        <v>#VALUE!</v>
      </c>
      <c r="BH56" t="e">
        <f>'Effort Estimation'!E472+"AM:!$la"</f>
        <v>#VALUE!</v>
      </c>
      <c r="BI56" t="e">
        <f>'Effort Estimation'!F472+"AM:!$lb"</f>
        <v>#VALUE!</v>
      </c>
      <c r="BJ56" t="e">
        <f>'Effort Estimation'!G472+"AM:!$lc"</f>
        <v>#VALUE!</v>
      </c>
      <c r="BK56" t="e">
        <f>'Effort Estimation'!H472+"AM:!$ld"</f>
        <v>#VALUE!</v>
      </c>
      <c r="BL56" t="e">
        <f>'Effort Estimation'!I472+"AM:!$le"</f>
        <v>#VALUE!</v>
      </c>
      <c r="BM56" s="99" t="e">
        <f>'Effort Estimation'!J472+"AM:!$lf"</f>
        <v>#VALUE!</v>
      </c>
      <c r="BN56" s="99" t="e">
        <f>'Effort Estimation'!K472+"AM:!$lg"</f>
        <v>#VALUE!</v>
      </c>
      <c r="BO56" s="99" t="e">
        <f>'Effort Estimation'!L472+"AM:!$lh"</f>
        <v>#VALUE!</v>
      </c>
      <c r="BP56" s="99" t="e">
        <f>'Effort Estimation'!M472+"AM:!$li"</f>
        <v>#VALUE!</v>
      </c>
      <c r="BQ56" s="99" t="e">
        <f>'Effort Estimation'!N472+"AM:!$lj"</f>
        <v>#VALUE!</v>
      </c>
      <c r="BR56" s="99" t="e">
        <f>'Effort Estimation'!O472+"AM:!$lk"</f>
        <v>#VALUE!</v>
      </c>
      <c r="BS56" s="99" t="e">
        <f>'Effort Estimation'!P472+"AM:!$ll"</f>
        <v>#VALUE!</v>
      </c>
      <c r="BT56" s="99" t="e">
        <f>'Effort Estimation'!Q472+"AM:!$lm"</f>
        <v>#VALUE!</v>
      </c>
      <c r="BU56" t="e">
        <f>'Effort Estimation'!R472+"AM:!$ln"</f>
        <v>#VALUE!</v>
      </c>
      <c r="BV56" t="e">
        <f>'Effort Estimation'!S472+"AM:!$lo"</f>
        <v>#VALUE!</v>
      </c>
      <c r="BW56" t="e">
        <f>'Effort Estimation'!T472+"AM:!$lp"</f>
        <v>#VALUE!</v>
      </c>
      <c r="BX56" t="e">
        <f>'Effort Estimation'!A473+"AM:!$lq"</f>
        <v>#VALUE!</v>
      </c>
      <c r="BY56" t="e">
        <f>'Effort Estimation'!B473+"AM:!$lr"</f>
        <v>#VALUE!</v>
      </c>
      <c r="BZ56" t="e">
        <f>'Effort Estimation'!C473+"AM:!$ls"</f>
        <v>#VALUE!</v>
      </c>
      <c r="CA56" t="e">
        <f>'Effort Estimation'!D473+"AM:!$lt"</f>
        <v>#VALUE!</v>
      </c>
      <c r="CB56" t="e">
        <f>'Effort Estimation'!E473+"AM:!$lu"</f>
        <v>#VALUE!</v>
      </c>
      <c r="CC56" t="e">
        <f>'Effort Estimation'!F473+"AM:!$lv"</f>
        <v>#VALUE!</v>
      </c>
      <c r="CD56" t="e">
        <f>'Effort Estimation'!G473+"AM:!$lw"</f>
        <v>#VALUE!</v>
      </c>
      <c r="CE56" t="e">
        <f>'Effort Estimation'!H473+"AM:!$lx"</f>
        <v>#VALUE!</v>
      </c>
      <c r="CF56" t="e">
        <f>'Effort Estimation'!I473+"AM:!$ly"</f>
        <v>#VALUE!</v>
      </c>
      <c r="CG56" s="99" t="e">
        <f>'Effort Estimation'!J473+"AM:!$lz"</f>
        <v>#VALUE!</v>
      </c>
      <c r="CH56" s="99" t="e">
        <f>'Effort Estimation'!K473+"AM:!$l{"</f>
        <v>#VALUE!</v>
      </c>
      <c r="CI56" s="99" t="e">
        <f>'Effort Estimation'!L473+"AM:!$l|"</f>
        <v>#VALUE!</v>
      </c>
      <c r="CJ56" s="99" t="e">
        <f>'Effort Estimation'!M473+"AM:!$l}"</f>
        <v>#VALUE!</v>
      </c>
      <c r="CK56" s="99" t="e">
        <f>'Effort Estimation'!N473+"AM:!$l~"</f>
        <v>#VALUE!</v>
      </c>
      <c r="CL56" s="99" t="e">
        <f>'Effort Estimation'!O473+"AM:!$m#"</f>
        <v>#VALUE!</v>
      </c>
      <c r="CM56" s="99" t="e">
        <f>'Effort Estimation'!P473+"AM:!$m$"</f>
        <v>#VALUE!</v>
      </c>
      <c r="CN56" s="99" t="e">
        <f>'Effort Estimation'!Q473+"AM:!$m%"</f>
        <v>#VALUE!</v>
      </c>
      <c r="CO56" t="e">
        <f>'Effort Estimation'!R473+"AM:!$m&amp;"</f>
        <v>#VALUE!</v>
      </c>
      <c r="CP56" t="e">
        <f>'Effort Estimation'!S473+"AM:!$m'"</f>
        <v>#VALUE!</v>
      </c>
      <c r="CQ56" t="e">
        <f>'Effort Estimation'!T473+"AM:!$m("</f>
        <v>#VALUE!</v>
      </c>
      <c r="CR56" t="e">
        <f>'Effort Estimation'!A474+"AM:!$m)"</f>
        <v>#VALUE!</v>
      </c>
      <c r="CS56" t="e">
        <f>'Effort Estimation'!B474+"AM:!$m."</f>
        <v>#VALUE!</v>
      </c>
      <c r="CT56" t="e">
        <f>'Effort Estimation'!C474+"AM:!$m/"</f>
        <v>#VALUE!</v>
      </c>
      <c r="CU56" t="e">
        <f>'Effort Estimation'!D474+"AM:!$m0"</f>
        <v>#VALUE!</v>
      </c>
      <c r="CV56" t="e">
        <f>'Effort Estimation'!E474+"AM:!$m1"</f>
        <v>#VALUE!</v>
      </c>
      <c r="CW56" t="e">
        <f>'Effort Estimation'!F474+"AM:!$m2"</f>
        <v>#VALUE!</v>
      </c>
      <c r="CX56" t="e">
        <f>'Effort Estimation'!G474+"AM:!$m3"</f>
        <v>#VALUE!</v>
      </c>
      <c r="CY56" t="e">
        <f>'Effort Estimation'!H474+"AM:!$m4"</f>
        <v>#VALUE!</v>
      </c>
      <c r="CZ56" t="e">
        <f>'Effort Estimation'!I474+"AM:!$m5"</f>
        <v>#VALUE!</v>
      </c>
      <c r="DA56" s="99" t="e">
        <f>'Effort Estimation'!J474+"AM:!$m6"</f>
        <v>#VALUE!</v>
      </c>
      <c r="DB56" s="99" t="e">
        <f>'Effort Estimation'!K474+"AM:!$m7"</f>
        <v>#VALUE!</v>
      </c>
      <c r="DC56" s="99" t="e">
        <f>'Effort Estimation'!L474+"AM:!$m8"</f>
        <v>#VALUE!</v>
      </c>
      <c r="DD56" s="99" t="e">
        <f>'Effort Estimation'!M474+"AM:!$m9"</f>
        <v>#VALUE!</v>
      </c>
      <c r="DE56" s="99" t="e">
        <f>'Effort Estimation'!N474+"AM:!$m:"</f>
        <v>#VALUE!</v>
      </c>
      <c r="DF56" s="99" t="e">
        <f>'Effort Estimation'!O474+"AM:!$m;"</f>
        <v>#VALUE!</v>
      </c>
      <c r="DG56" s="99" t="e">
        <f>'Effort Estimation'!P474+"AM:!$m&lt;"</f>
        <v>#VALUE!</v>
      </c>
      <c r="DH56" s="99" t="e">
        <f>'Effort Estimation'!Q474+"AM:!$m="</f>
        <v>#VALUE!</v>
      </c>
      <c r="DI56" t="e">
        <f>'Effort Estimation'!R474+"AM:!$m&gt;"</f>
        <v>#VALUE!</v>
      </c>
      <c r="DJ56" t="e">
        <f>'Effort Estimation'!S474+"AM:!$m?"</f>
        <v>#VALUE!</v>
      </c>
      <c r="DK56" t="e">
        <f>'Effort Estimation'!T474+"AM:!$m@"</f>
        <v>#VALUE!</v>
      </c>
      <c r="DL56" t="e">
        <f>'Effort Estimation'!A475+"AM:!$mA"</f>
        <v>#VALUE!</v>
      </c>
      <c r="DM56" t="e">
        <f>'Effort Estimation'!B475+"AM:!$mB"</f>
        <v>#VALUE!</v>
      </c>
      <c r="DN56" t="e">
        <f>'Effort Estimation'!C475+"AM:!$mC"</f>
        <v>#VALUE!</v>
      </c>
      <c r="DO56" t="e">
        <f>'Effort Estimation'!D475+"AM:!$mD"</f>
        <v>#VALUE!</v>
      </c>
      <c r="DP56" t="e">
        <f>'Effort Estimation'!E475+"AM:!$mE"</f>
        <v>#VALUE!</v>
      </c>
      <c r="DQ56" t="e">
        <f>'Effort Estimation'!F475+"AM:!$mF"</f>
        <v>#VALUE!</v>
      </c>
      <c r="DR56" t="e">
        <f>'Effort Estimation'!G475+"AM:!$mG"</f>
        <v>#VALUE!</v>
      </c>
      <c r="DS56" t="e">
        <f>'Effort Estimation'!H475+"AM:!$mH"</f>
        <v>#VALUE!</v>
      </c>
      <c r="DT56" t="e">
        <f>'Effort Estimation'!I475+"AM:!$mI"</f>
        <v>#VALUE!</v>
      </c>
      <c r="DU56" s="99" t="e">
        <f>'Effort Estimation'!J475+"AM:!$mJ"</f>
        <v>#VALUE!</v>
      </c>
      <c r="DV56" s="99" t="e">
        <f>'Effort Estimation'!K475+"AM:!$mK"</f>
        <v>#VALUE!</v>
      </c>
      <c r="DW56" s="99" t="e">
        <f>'Effort Estimation'!L475+"AM:!$mL"</f>
        <v>#VALUE!</v>
      </c>
      <c r="DX56" s="99" t="e">
        <f>'Effort Estimation'!M475+"AM:!$mM"</f>
        <v>#VALUE!</v>
      </c>
      <c r="DY56" s="99" t="e">
        <f>'Effort Estimation'!N475+"AM:!$mN"</f>
        <v>#VALUE!</v>
      </c>
      <c r="DZ56" s="99" t="e">
        <f>'Effort Estimation'!O475+"AM:!$mO"</f>
        <v>#VALUE!</v>
      </c>
      <c r="EA56" s="99" t="e">
        <f>'Effort Estimation'!P475+"AM:!$mP"</f>
        <v>#VALUE!</v>
      </c>
      <c r="EB56" s="99" t="e">
        <f>'Effort Estimation'!Q475+"AM:!$mQ"</f>
        <v>#VALUE!</v>
      </c>
      <c r="EC56" t="e">
        <f>'Effort Estimation'!R475+"AM:!$mR"</f>
        <v>#VALUE!</v>
      </c>
      <c r="ED56" t="e">
        <f>'Effort Estimation'!S475+"AM:!$mS"</f>
        <v>#VALUE!</v>
      </c>
      <c r="EE56" t="e">
        <f>'Effort Estimation'!T475+"AM:!$mT"</f>
        <v>#VALUE!</v>
      </c>
      <c r="EF56" t="e">
        <f>'Effort Estimation'!A476+"AM:!$mU"</f>
        <v>#VALUE!</v>
      </c>
      <c r="EG56" t="e">
        <f>'Effort Estimation'!B476+"AM:!$mV"</f>
        <v>#VALUE!</v>
      </c>
      <c r="EH56" t="e">
        <f>'Effort Estimation'!C476+"AM:!$mW"</f>
        <v>#VALUE!</v>
      </c>
      <c r="EI56" t="e">
        <f>'Effort Estimation'!D476+"AM:!$mX"</f>
        <v>#VALUE!</v>
      </c>
      <c r="EJ56" t="e">
        <f>'Effort Estimation'!E476+"AM:!$mY"</f>
        <v>#VALUE!</v>
      </c>
      <c r="EK56" t="e">
        <f>'Effort Estimation'!F476+"AM:!$mZ"</f>
        <v>#VALUE!</v>
      </c>
      <c r="EL56" t="e">
        <f>'Effort Estimation'!G476+"AM:!$m["</f>
        <v>#VALUE!</v>
      </c>
      <c r="EM56" t="e">
        <f>'Effort Estimation'!H476+"AM:!$m\"</f>
        <v>#VALUE!</v>
      </c>
      <c r="EN56" t="e">
        <f>'Effort Estimation'!I476+"AM:!$m]"</f>
        <v>#VALUE!</v>
      </c>
      <c r="EO56" s="99" t="e">
        <f>'Effort Estimation'!J476+"AM:!$m^"</f>
        <v>#VALUE!</v>
      </c>
      <c r="EP56" s="99" t="e">
        <f>'Effort Estimation'!K476+"AM:!$m_"</f>
        <v>#VALUE!</v>
      </c>
      <c r="EQ56" s="99" t="e">
        <f>'Effort Estimation'!L476+"AM:!$m`"</f>
        <v>#VALUE!</v>
      </c>
      <c r="ER56" s="99" t="e">
        <f>'Effort Estimation'!M476+"AM:!$ma"</f>
        <v>#VALUE!</v>
      </c>
      <c r="ES56" s="99" t="e">
        <f>'Effort Estimation'!N476+"AM:!$mb"</f>
        <v>#VALUE!</v>
      </c>
      <c r="ET56" s="99" t="e">
        <f>'Effort Estimation'!O476+"AM:!$mc"</f>
        <v>#VALUE!</v>
      </c>
      <c r="EU56" s="99" t="e">
        <f>'Effort Estimation'!P476+"AM:!$md"</f>
        <v>#VALUE!</v>
      </c>
      <c r="EV56" s="99" t="e">
        <f>'Effort Estimation'!Q476+"AM:!$me"</f>
        <v>#VALUE!</v>
      </c>
      <c r="EW56" t="e">
        <f>'Effort Estimation'!R476+"AM:!$mf"</f>
        <v>#VALUE!</v>
      </c>
      <c r="EX56" t="e">
        <f>'Effort Estimation'!S476+"AM:!$mg"</f>
        <v>#VALUE!</v>
      </c>
      <c r="EY56" t="e">
        <f>'Effort Estimation'!T476+"AM:!$mh"</f>
        <v>#VALUE!</v>
      </c>
      <c r="EZ56" t="e">
        <f>'Effort Estimation'!A477+"AM:!$mi"</f>
        <v>#VALUE!</v>
      </c>
      <c r="FA56" t="e">
        <f>'Effort Estimation'!B477+"AM:!$mj"</f>
        <v>#VALUE!</v>
      </c>
      <c r="FB56" t="e">
        <f>'Effort Estimation'!C477+"AM:!$mk"</f>
        <v>#VALUE!</v>
      </c>
      <c r="FC56" t="e">
        <f>'Effort Estimation'!D477+"AM:!$ml"</f>
        <v>#VALUE!</v>
      </c>
      <c r="FD56" t="e">
        <f>'Effort Estimation'!E477+"AM:!$mm"</f>
        <v>#VALUE!</v>
      </c>
      <c r="FE56" t="e">
        <f>'Effort Estimation'!F477+"AM:!$mn"</f>
        <v>#VALUE!</v>
      </c>
      <c r="FF56" t="e">
        <f>'Effort Estimation'!G477+"AM:!$mo"</f>
        <v>#VALUE!</v>
      </c>
      <c r="FG56" t="e">
        <f>'Effort Estimation'!H477+"AM:!$mp"</f>
        <v>#VALUE!</v>
      </c>
      <c r="FH56" t="e">
        <f>'Effort Estimation'!I477+"AM:!$mq"</f>
        <v>#VALUE!</v>
      </c>
      <c r="FI56" s="99" t="e">
        <f>'Effort Estimation'!J477+"AM:!$mr"</f>
        <v>#VALUE!</v>
      </c>
      <c r="FJ56" s="99" t="e">
        <f>'Effort Estimation'!K477+"AM:!$ms"</f>
        <v>#VALUE!</v>
      </c>
      <c r="FK56" s="99" t="e">
        <f>'Effort Estimation'!L477+"AM:!$mt"</f>
        <v>#VALUE!</v>
      </c>
      <c r="FL56" s="99" t="e">
        <f>'Effort Estimation'!M477+"AM:!$mu"</f>
        <v>#VALUE!</v>
      </c>
      <c r="FM56" s="99" t="e">
        <f>'Effort Estimation'!N477+"AM:!$mv"</f>
        <v>#VALUE!</v>
      </c>
      <c r="FN56" s="99" t="e">
        <f>'Effort Estimation'!O477+"AM:!$mw"</f>
        <v>#VALUE!</v>
      </c>
      <c r="FO56" s="99" t="e">
        <f>'Effort Estimation'!P477+"AM:!$mx"</f>
        <v>#VALUE!</v>
      </c>
      <c r="FP56" s="99" t="e">
        <f>'Effort Estimation'!Q477+"AM:!$my"</f>
        <v>#VALUE!</v>
      </c>
      <c r="FQ56" t="e">
        <f>'Effort Estimation'!R477+"AM:!$mz"</f>
        <v>#VALUE!</v>
      </c>
      <c r="FR56" t="e">
        <f>'Effort Estimation'!S477+"AM:!$m{"</f>
        <v>#VALUE!</v>
      </c>
      <c r="FS56" t="e">
        <f>'Effort Estimation'!T477+"AM:!$m|"</f>
        <v>#VALUE!</v>
      </c>
      <c r="FT56" t="e">
        <f>'Effort Estimation'!A478+"AM:!$m}"</f>
        <v>#VALUE!</v>
      </c>
      <c r="FU56" t="e">
        <f>'Effort Estimation'!B478+"AM:!$m~"</f>
        <v>#VALUE!</v>
      </c>
      <c r="FV56" t="e">
        <f>'Effort Estimation'!C478+"AM:!$n#"</f>
        <v>#VALUE!</v>
      </c>
      <c r="FW56" t="e">
        <f>'Effort Estimation'!D478+"AM:!$n$"</f>
        <v>#VALUE!</v>
      </c>
      <c r="FX56" t="e">
        <f>'Effort Estimation'!E478+"AM:!$n%"</f>
        <v>#VALUE!</v>
      </c>
      <c r="FY56" t="e">
        <f>'Effort Estimation'!F478+"AM:!$n&amp;"</f>
        <v>#VALUE!</v>
      </c>
      <c r="FZ56" t="e">
        <f>'Effort Estimation'!G478+"AM:!$n'"</f>
        <v>#VALUE!</v>
      </c>
      <c r="GA56" t="e">
        <f>'Effort Estimation'!H478+"AM:!$n("</f>
        <v>#VALUE!</v>
      </c>
      <c r="GB56" t="e">
        <f>'Effort Estimation'!I478+"AM:!$n)"</f>
        <v>#VALUE!</v>
      </c>
      <c r="GC56" s="99" t="e">
        <f>'Effort Estimation'!J478+"AM:!$n."</f>
        <v>#VALUE!</v>
      </c>
      <c r="GD56" s="99" t="e">
        <f>'Effort Estimation'!K478+"AM:!$n/"</f>
        <v>#VALUE!</v>
      </c>
      <c r="GE56" s="99" t="e">
        <f>'Effort Estimation'!L478+"AM:!$n0"</f>
        <v>#VALUE!</v>
      </c>
      <c r="GF56" s="99" t="e">
        <f>'Effort Estimation'!M478+"AM:!$n1"</f>
        <v>#VALUE!</v>
      </c>
      <c r="GG56" s="99" t="e">
        <f>'Effort Estimation'!N478+"AM:!$n2"</f>
        <v>#VALUE!</v>
      </c>
      <c r="GH56" s="99" t="e">
        <f>'Effort Estimation'!O478+"AM:!$n3"</f>
        <v>#VALUE!</v>
      </c>
      <c r="GI56" s="99" t="e">
        <f>'Effort Estimation'!P478+"AM:!$n4"</f>
        <v>#VALUE!</v>
      </c>
      <c r="GJ56" s="99" t="e">
        <f>'Effort Estimation'!Q478+"AM:!$n5"</f>
        <v>#VALUE!</v>
      </c>
      <c r="GK56" t="e">
        <f>'Effort Estimation'!R478+"AM:!$n6"</f>
        <v>#VALUE!</v>
      </c>
      <c r="GL56" t="e">
        <f>'Effort Estimation'!S478+"AM:!$n7"</f>
        <v>#VALUE!</v>
      </c>
      <c r="GM56" t="e">
        <f>'Effort Estimation'!T478+"AM:!$n8"</f>
        <v>#VALUE!</v>
      </c>
      <c r="GN56" t="e">
        <f>'Effort Estimation'!A479+"AM:!$n9"</f>
        <v>#VALUE!</v>
      </c>
      <c r="GO56" t="e">
        <f>'Effort Estimation'!B479+"AM:!$n:"</f>
        <v>#VALUE!</v>
      </c>
      <c r="GP56" t="e">
        <f>'Effort Estimation'!C479+"AM:!$n;"</f>
        <v>#VALUE!</v>
      </c>
      <c r="GQ56" t="e">
        <f>'Effort Estimation'!D479+"AM:!$n&lt;"</f>
        <v>#VALUE!</v>
      </c>
      <c r="GR56" t="e">
        <f>'Effort Estimation'!E479+"AM:!$n="</f>
        <v>#VALUE!</v>
      </c>
      <c r="GS56" t="e">
        <f>'Effort Estimation'!F479+"AM:!$n&gt;"</f>
        <v>#VALUE!</v>
      </c>
      <c r="GT56" t="e">
        <f>'Effort Estimation'!G479+"AM:!$n?"</f>
        <v>#VALUE!</v>
      </c>
      <c r="GU56" t="e">
        <f>'Effort Estimation'!H479+"AM:!$n@"</f>
        <v>#VALUE!</v>
      </c>
      <c r="GV56" t="e">
        <f>'Effort Estimation'!I479+"AM:!$nA"</f>
        <v>#VALUE!</v>
      </c>
      <c r="GW56" s="99" t="e">
        <f>'Effort Estimation'!J479+"AM:!$nB"</f>
        <v>#VALUE!</v>
      </c>
      <c r="GX56" s="99" t="e">
        <f>'Effort Estimation'!K479+"AM:!$nC"</f>
        <v>#VALUE!</v>
      </c>
      <c r="GY56" s="99" t="e">
        <f>'Effort Estimation'!L479+"AM:!$nD"</f>
        <v>#VALUE!</v>
      </c>
      <c r="GZ56" s="99" t="e">
        <f>'Effort Estimation'!M479+"AM:!$nE"</f>
        <v>#VALUE!</v>
      </c>
      <c r="HA56" s="99" t="e">
        <f>'Effort Estimation'!N479+"AM:!$nF"</f>
        <v>#VALUE!</v>
      </c>
      <c r="HB56" s="99" t="e">
        <f>'Effort Estimation'!O479+"AM:!$nG"</f>
        <v>#VALUE!</v>
      </c>
      <c r="HC56" s="99" t="e">
        <f>'Effort Estimation'!P479+"AM:!$nH"</f>
        <v>#VALUE!</v>
      </c>
      <c r="HD56" s="99" t="e">
        <f>'Effort Estimation'!Q479+"AM:!$nI"</f>
        <v>#VALUE!</v>
      </c>
      <c r="HE56" t="e">
        <f>'Effort Estimation'!R479+"AM:!$nJ"</f>
        <v>#VALUE!</v>
      </c>
      <c r="HF56" t="e">
        <f>'Effort Estimation'!S479+"AM:!$nK"</f>
        <v>#VALUE!</v>
      </c>
      <c r="HG56" t="e">
        <f>'Effort Estimation'!T479+"AM:!$nL"</f>
        <v>#VALUE!</v>
      </c>
      <c r="HH56" t="e">
        <f>'Effort Estimation'!A480+"AM:!$nM"</f>
        <v>#VALUE!</v>
      </c>
      <c r="HI56" t="e">
        <f>'Effort Estimation'!B480+"AM:!$nN"</f>
        <v>#VALUE!</v>
      </c>
      <c r="HJ56" t="e">
        <f>'Effort Estimation'!C480+"AM:!$nO"</f>
        <v>#VALUE!</v>
      </c>
      <c r="HK56" t="e">
        <f>'Effort Estimation'!D480+"AM:!$nP"</f>
        <v>#VALUE!</v>
      </c>
      <c r="HL56" t="e">
        <f>'Effort Estimation'!E480+"AM:!$nQ"</f>
        <v>#VALUE!</v>
      </c>
      <c r="HM56" t="e">
        <f>'Effort Estimation'!F480+"AM:!$nR"</f>
        <v>#VALUE!</v>
      </c>
      <c r="HN56" t="e">
        <f>'Effort Estimation'!G480+"AM:!$nS"</f>
        <v>#VALUE!</v>
      </c>
      <c r="HO56" t="e">
        <f>'Effort Estimation'!H480+"AM:!$nT"</f>
        <v>#VALUE!</v>
      </c>
      <c r="HP56" t="e">
        <f>'Effort Estimation'!I480+"AM:!$nU"</f>
        <v>#VALUE!</v>
      </c>
      <c r="HQ56" s="99" t="e">
        <f>'Effort Estimation'!J480+"AM:!$nV"</f>
        <v>#VALUE!</v>
      </c>
      <c r="HR56" s="99" t="e">
        <f>'Effort Estimation'!K480+"AM:!$nW"</f>
        <v>#VALUE!</v>
      </c>
      <c r="HS56" s="99" t="e">
        <f>'Effort Estimation'!L480+"AM:!$nX"</f>
        <v>#VALUE!</v>
      </c>
      <c r="HT56" s="99" t="e">
        <f>'Effort Estimation'!M480+"AM:!$nY"</f>
        <v>#VALUE!</v>
      </c>
      <c r="HU56" s="99" t="e">
        <f>'Effort Estimation'!N480+"AM:!$nZ"</f>
        <v>#VALUE!</v>
      </c>
      <c r="HV56" s="99" t="e">
        <f>'Effort Estimation'!O480+"AM:!$n["</f>
        <v>#VALUE!</v>
      </c>
      <c r="HW56" s="99" t="e">
        <f>'Effort Estimation'!P480+"AM:!$n\"</f>
        <v>#VALUE!</v>
      </c>
      <c r="HX56" s="99" t="e">
        <f>'Effort Estimation'!Q480+"AM:!$n]"</f>
        <v>#VALUE!</v>
      </c>
      <c r="HY56" t="e">
        <f>'Effort Estimation'!R480+"AM:!$n^"</f>
        <v>#VALUE!</v>
      </c>
      <c r="HZ56" t="e">
        <f>'Effort Estimation'!S480+"AM:!$n_"</f>
        <v>#VALUE!</v>
      </c>
      <c r="IA56" t="e">
        <f>'Effort Estimation'!T480+"AM:!$n`"</f>
        <v>#VALUE!</v>
      </c>
      <c r="IB56" t="e">
        <f>'Effort Estimation'!A481+"AM:!$na"</f>
        <v>#VALUE!</v>
      </c>
      <c r="IC56" t="e">
        <f>'Effort Estimation'!B481+"AM:!$nb"</f>
        <v>#VALUE!</v>
      </c>
      <c r="ID56" t="e">
        <f>'Effort Estimation'!C481+"AM:!$nc"</f>
        <v>#VALUE!</v>
      </c>
      <c r="IE56" t="e">
        <f>'Effort Estimation'!D481+"AM:!$nd"</f>
        <v>#VALUE!</v>
      </c>
      <c r="IF56" t="e">
        <f>'Effort Estimation'!E481+"AM:!$ne"</f>
        <v>#VALUE!</v>
      </c>
      <c r="IG56" t="e">
        <f>'Effort Estimation'!F481+"AM:!$nf"</f>
        <v>#VALUE!</v>
      </c>
      <c r="IH56" t="e">
        <f>'Effort Estimation'!G481+"AM:!$ng"</f>
        <v>#VALUE!</v>
      </c>
      <c r="II56" t="e">
        <f>'Effort Estimation'!H481+"AM:!$nh"</f>
        <v>#VALUE!</v>
      </c>
      <c r="IJ56" t="e">
        <f>'Effort Estimation'!I481+"AM:!$ni"</f>
        <v>#VALUE!</v>
      </c>
      <c r="IK56" s="99" t="e">
        <f>'Effort Estimation'!J481+"AM:!$nj"</f>
        <v>#VALUE!</v>
      </c>
      <c r="IL56" s="99" t="e">
        <f>'Effort Estimation'!K481+"AM:!$nk"</f>
        <v>#VALUE!</v>
      </c>
      <c r="IM56" s="99" t="e">
        <f>'Effort Estimation'!L481+"AM:!$nl"</f>
        <v>#VALUE!</v>
      </c>
      <c r="IN56" s="99" t="e">
        <f>'Effort Estimation'!M481+"AM:!$nm"</f>
        <v>#VALUE!</v>
      </c>
      <c r="IO56" s="99" t="e">
        <f>'Effort Estimation'!N481+"AM:!$nn"</f>
        <v>#VALUE!</v>
      </c>
      <c r="IP56" s="99" t="e">
        <f>'Effort Estimation'!O481+"AM:!$no"</f>
        <v>#VALUE!</v>
      </c>
      <c r="IQ56" s="99" t="e">
        <f>'Effort Estimation'!P481+"AM:!$np"</f>
        <v>#VALUE!</v>
      </c>
      <c r="IR56" s="99" t="e">
        <f>'Effort Estimation'!Q481+"AM:!$nq"</f>
        <v>#VALUE!</v>
      </c>
      <c r="IS56" t="e">
        <f>'Effort Estimation'!R481+"AM:!$nr"</f>
        <v>#VALUE!</v>
      </c>
      <c r="IT56" t="e">
        <f>'Effort Estimation'!S481+"AM:!$ns"</f>
        <v>#VALUE!</v>
      </c>
      <c r="IU56" t="e">
        <f>'Effort Estimation'!T481+"AM:!$nt"</f>
        <v>#VALUE!</v>
      </c>
      <c r="IV56" t="e">
        <f>'Effort Estimation'!A482+"AM:!$nu"</f>
        <v>#VALUE!</v>
      </c>
    </row>
    <row r="57" spans="6:256">
      <c r="F57" t="e">
        <f>'Effort Estimation'!B482+"AM:!$nv"</f>
        <v>#VALUE!</v>
      </c>
      <c r="G57" t="e">
        <f>'Effort Estimation'!C482+"AM:!$nw"</f>
        <v>#VALUE!</v>
      </c>
      <c r="H57" t="e">
        <f>'Effort Estimation'!D482+"AM:!$nx"</f>
        <v>#VALUE!</v>
      </c>
      <c r="I57" t="e">
        <f>'Effort Estimation'!E482+"AM:!$ny"</f>
        <v>#VALUE!</v>
      </c>
      <c r="J57" t="e">
        <f>'Effort Estimation'!F482+"AM:!$nz"</f>
        <v>#VALUE!</v>
      </c>
      <c r="K57" t="e">
        <f>'Effort Estimation'!G482+"AM:!$n{"</f>
        <v>#VALUE!</v>
      </c>
      <c r="L57" t="e">
        <f>'Effort Estimation'!H482+"AM:!$n|"</f>
        <v>#VALUE!</v>
      </c>
      <c r="M57" t="e">
        <f>'Effort Estimation'!I482+"AM:!$n}"</f>
        <v>#VALUE!</v>
      </c>
      <c r="N57" s="99" t="e">
        <f>'Effort Estimation'!J482+"AM:!$n~"</f>
        <v>#VALUE!</v>
      </c>
      <c r="O57" s="99" t="e">
        <f>'Effort Estimation'!K482+"AM:!$o#"</f>
        <v>#VALUE!</v>
      </c>
      <c r="P57" s="99" t="e">
        <f>'Effort Estimation'!L482+"AM:!$o$"</f>
        <v>#VALUE!</v>
      </c>
      <c r="Q57" s="99" t="e">
        <f>'Effort Estimation'!M482+"AM:!$o%"</f>
        <v>#VALUE!</v>
      </c>
      <c r="R57" s="99" t="e">
        <f>'Effort Estimation'!N482+"AM:!$o&amp;"</f>
        <v>#VALUE!</v>
      </c>
      <c r="S57" s="99" t="e">
        <f>'Effort Estimation'!O482+"AM:!$o'"</f>
        <v>#VALUE!</v>
      </c>
      <c r="T57" s="99" t="e">
        <f>'Effort Estimation'!P482+"AM:!$o("</f>
        <v>#VALUE!</v>
      </c>
      <c r="U57" s="99" t="e">
        <f>'Effort Estimation'!Q482+"AM:!$o)"</f>
        <v>#VALUE!</v>
      </c>
      <c r="V57" t="e">
        <f>'Effort Estimation'!R482+"AM:!$o."</f>
        <v>#VALUE!</v>
      </c>
      <c r="W57" t="e">
        <f>'Effort Estimation'!S482+"AM:!$o/"</f>
        <v>#VALUE!</v>
      </c>
      <c r="X57" t="e">
        <f>'Effort Estimation'!T482+"AM:!$o0"</f>
        <v>#VALUE!</v>
      </c>
      <c r="Y57" t="e">
        <f>'Effort Estimation'!A483+"AM:!$o1"</f>
        <v>#VALUE!</v>
      </c>
      <c r="Z57" t="e">
        <f>'Effort Estimation'!B483+"AM:!$o2"</f>
        <v>#VALUE!</v>
      </c>
      <c r="AA57" t="e">
        <f>'Effort Estimation'!C483+"AM:!$o3"</f>
        <v>#VALUE!</v>
      </c>
      <c r="AB57" t="e">
        <f>'Effort Estimation'!D483+"AM:!$o4"</f>
        <v>#VALUE!</v>
      </c>
      <c r="AC57" t="e">
        <f>'Effort Estimation'!E483+"AM:!$o5"</f>
        <v>#VALUE!</v>
      </c>
      <c r="AD57" t="e">
        <f>'Effort Estimation'!F483+"AM:!$o6"</f>
        <v>#VALUE!</v>
      </c>
      <c r="AE57" t="e">
        <f>'Effort Estimation'!G483+"AM:!$o7"</f>
        <v>#VALUE!</v>
      </c>
      <c r="AF57" t="e">
        <f>'Effort Estimation'!H483+"AM:!$o8"</f>
        <v>#VALUE!</v>
      </c>
      <c r="AG57" t="e">
        <f>'Effort Estimation'!I483+"AM:!$o9"</f>
        <v>#VALUE!</v>
      </c>
      <c r="AH57" s="99" t="e">
        <f>'Effort Estimation'!J483+"AM:!$o:"</f>
        <v>#VALUE!</v>
      </c>
      <c r="AI57" s="99" t="e">
        <f>'Effort Estimation'!K483+"AM:!$o;"</f>
        <v>#VALUE!</v>
      </c>
      <c r="AJ57" s="99" t="e">
        <f>'Effort Estimation'!L483+"AM:!$o&lt;"</f>
        <v>#VALUE!</v>
      </c>
      <c r="AK57" s="99" t="e">
        <f>'Effort Estimation'!M483+"AM:!$o="</f>
        <v>#VALUE!</v>
      </c>
      <c r="AL57" s="99" t="e">
        <f>'Effort Estimation'!N483+"AM:!$o&gt;"</f>
        <v>#VALUE!</v>
      </c>
      <c r="AM57" s="99" t="e">
        <f>'Effort Estimation'!O483+"AM:!$o?"</f>
        <v>#VALUE!</v>
      </c>
      <c r="AN57" s="99" t="e">
        <f>'Effort Estimation'!P483+"AM:!$o@"</f>
        <v>#VALUE!</v>
      </c>
      <c r="AO57" s="99" t="e">
        <f>'Effort Estimation'!Q483+"AM:!$oA"</f>
        <v>#VALUE!</v>
      </c>
      <c r="AP57" t="e">
        <f>'Effort Estimation'!R483+"AM:!$oB"</f>
        <v>#VALUE!</v>
      </c>
      <c r="AQ57" t="e">
        <f>'Effort Estimation'!S483+"AM:!$oC"</f>
        <v>#VALUE!</v>
      </c>
      <c r="AR57" t="e">
        <f>'Effort Estimation'!T483+"AM:!$oD"</f>
        <v>#VALUE!</v>
      </c>
      <c r="AS57" t="e">
        <f>'Effort Estimation'!A484+"AM:!$oE"</f>
        <v>#VALUE!</v>
      </c>
      <c r="AT57" t="e">
        <f>'Effort Estimation'!B484+"AM:!$oF"</f>
        <v>#VALUE!</v>
      </c>
      <c r="AU57" t="e">
        <f>'Effort Estimation'!C484+"AM:!$oG"</f>
        <v>#VALUE!</v>
      </c>
      <c r="AV57" t="e">
        <f>'Effort Estimation'!D484+"AM:!$oH"</f>
        <v>#VALUE!</v>
      </c>
      <c r="AW57" t="e">
        <f>'Effort Estimation'!E484+"AM:!$oI"</f>
        <v>#VALUE!</v>
      </c>
      <c r="AX57" t="e">
        <f>'Effort Estimation'!F484+"AM:!$oJ"</f>
        <v>#VALUE!</v>
      </c>
      <c r="AY57" t="e">
        <f>'Effort Estimation'!G484+"AM:!$oK"</f>
        <v>#VALUE!</v>
      </c>
      <c r="AZ57" t="e">
        <f>'Effort Estimation'!H484+"AM:!$oL"</f>
        <v>#VALUE!</v>
      </c>
      <c r="BA57" t="e">
        <f>'Effort Estimation'!I484+"AM:!$oM"</f>
        <v>#VALUE!</v>
      </c>
      <c r="BB57" s="99" t="e">
        <f>'Effort Estimation'!J484+"AM:!$oN"</f>
        <v>#VALUE!</v>
      </c>
      <c r="BC57" s="99" t="e">
        <f>'Effort Estimation'!K484+"AM:!$oO"</f>
        <v>#VALUE!</v>
      </c>
      <c r="BD57" s="99" t="e">
        <f>'Effort Estimation'!L484+"AM:!$oP"</f>
        <v>#VALUE!</v>
      </c>
      <c r="BE57" s="99" t="e">
        <f>'Effort Estimation'!M484+"AM:!$oQ"</f>
        <v>#VALUE!</v>
      </c>
      <c r="BF57" s="99" t="e">
        <f>'Effort Estimation'!N484+"AM:!$oR"</f>
        <v>#VALUE!</v>
      </c>
      <c r="BG57" s="99" t="e">
        <f>'Effort Estimation'!O484+"AM:!$oS"</f>
        <v>#VALUE!</v>
      </c>
      <c r="BH57" s="99" t="e">
        <f>'Effort Estimation'!P484+"AM:!$oT"</f>
        <v>#VALUE!</v>
      </c>
      <c r="BI57" s="99" t="e">
        <f>'Effort Estimation'!Q484+"AM:!$oU"</f>
        <v>#VALUE!</v>
      </c>
      <c r="BJ57" t="e">
        <f>'Effort Estimation'!R484+"AM:!$oV"</f>
        <v>#VALUE!</v>
      </c>
      <c r="BK57" t="e">
        <f>'Effort Estimation'!S484+"AM:!$oW"</f>
        <v>#VALUE!</v>
      </c>
      <c r="BL57" t="e">
        <f>'Effort Estimation'!T484+"AM:!$oX"</f>
        <v>#VALUE!</v>
      </c>
      <c r="BM57" t="e">
        <f>'Effort Estimation'!A485+"AM:!$oY"</f>
        <v>#VALUE!</v>
      </c>
      <c r="BN57" t="e">
        <f>'Effort Estimation'!B485+"AM:!$oZ"</f>
        <v>#VALUE!</v>
      </c>
      <c r="BO57" t="e">
        <f>'Effort Estimation'!C485+"AM:!$o["</f>
        <v>#VALUE!</v>
      </c>
      <c r="BP57" t="e">
        <f>'Effort Estimation'!D485+"AM:!$o\"</f>
        <v>#VALUE!</v>
      </c>
      <c r="BQ57" t="e">
        <f>'Effort Estimation'!E485+"AM:!$o]"</f>
        <v>#VALUE!</v>
      </c>
      <c r="BR57" t="e">
        <f>'Effort Estimation'!F485+"AM:!$o^"</f>
        <v>#VALUE!</v>
      </c>
      <c r="BS57" t="e">
        <f>'Effort Estimation'!G485+"AM:!$o_"</f>
        <v>#VALUE!</v>
      </c>
      <c r="BT57" t="e">
        <f>'Effort Estimation'!H485+"AM:!$o`"</f>
        <v>#VALUE!</v>
      </c>
      <c r="BU57" t="e">
        <f>'Effort Estimation'!I485+"AM:!$oa"</f>
        <v>#VALUE!</v>
      </c>
      <c r="BV57" s="99" t="e">
        <f>'Effort Estimation'!J485+"AM:!$ob"</f>
        <v>#VALUE!</v>
      </c>
      <c r="BW57" s="99" t="e">
        <f>'Effort Estimation'!K485+"AM:!$oc"</f>
        <v>#VALUE!</v>
      </c>
      <c r="BX57" s="99" t="e">
        <f>'Effort Estimation'!L485+"AM:!$od"</f>
        <v>#VALUE!</v>
      </c>
      <c r="BY57" s="99" t="e">
        <f>'Effort Estimation'!M485+"AM:!$oe"</f>
        <v>#VALUE!</v>
      </c>
      <c r="BZ57" s="99" t="e">
        <f>'Effort Estimation'!N485+"AM:!$of"</f>
        <v>#VALUE!</v>
      </c>
      <c r="CA57" s="99" t="e">
        <f>'Effort Estimation'!O485+"AM:!$og"</f>
        <v>#VALUE!</v>
      </c>
      <c r="CB57" s="99" t="e">
        <f>'Effort Estimation'!P485+"AM:!$oh"</f>
        <v>#VALUE!</v>
      </c>
      <c r="CC57" s="99" t="e">
        <f>'Effort Estimation'!Q485+"AM:!$oi"</f>
        <v>#VALUE!</v>
      </c>
      <c r="CD57" t="e">
        <f>'Effort Estimation'!R485+"AM:!$oj"</f>
        <v>#VALUE!</v>
      </c>
      <c r="CE57" t="e">
        <f>'Effort Estimation'!S485+"AM:!$ok"</f>
        <v>#VALUE!</v>
      </c>
      <c r="CF57" t="e">
        <f>'Effort Estimation'!T485+"AM:!$ol"</f>
        <v>#VALUE!</v>
      </c>
      <c r="CG57" t="e">
        <f>'Effort Estimation'!A486+"AM:!$om"</f>
        <v>#VALUE!</v>
      </c>
      <c r="CH57" t="e">
        <f>'Effort Estimation'!B486+"AM:!$on"</f>
        <v>#VALUE!</v>
      </c>
      <c r="CI57" t="e">
        <f>'Effort Estimation'!C486+"AM:!$oo"</f>
        <v>#VALUE!</v>
      </c>
      <c r="CJ57" t="e">
        <f>'Effort Estimation'!D486+"AM:!$op"</f>
        <v>#VALUE!</v>
      </c>
      <c r="CK57" t="e">
        <f>'Effort Estimation'!E486+"AM:!$oq"</f>
        <v>#VALUE!</v>
      </c>
      <c r="CL57" t="e">
        <f>'Effort Estimation'!F486+"AM:!$or"</f>
        <v>#VALUE!</v>
      </c>
      <c r="CM57" t="e">
        <f>'Effort Estimation'!G486+"AM:!$os"</f>
        <v>#VALUE!</v>
      </c>
      <c r="CN57" t="e">
        <f>'Effort Estimation'!H486+"AM:!$ot"</f>
        <v>#VALUE!</v>
      </c>
      <c r="CO57" t="e">
        <f>'Effort Estimation'!I486+"AM:!$ou"</f>
        <v>#VALUE!</v>
      </c>
      <c r="CP57" s="99" t="e">
        <f>'Effort Estimation'!J486+"AM:!$ov"</f>
        <v>#VALUE!</v>
      </c>
      <c r="CQ57" s="99" t="e">
        <f>'Effort Estimation'!K486+"AM:!$ow"</f>
        <v>#VALUE!</v>
      </c>
      <c r="CR57" s="99" t="e">
        <f>'Effort Estimation'!L486+"AM:!$ox"</f>
        <v>#VALUE!</v>
      </c>
      <c r="CS57" s="99" t="e">
        <f>'Effort Estimation'!M486+"AM:!$oy"</f>
        <v>#VALUE!</v>
      </c>
      <c r="CT57" s="99" t="e">
        <f>'Effort Estimation'!N486+"AM:!$oz"</f>
        <v>#VALUE!</v>
      </c>
      <c r="CU57" s="99" t="e">
        <f>'Effort Estimation'!O486+"AM:!$o{"</f>
        <v>#VALUE!</v>
      </c>
      <c r="CV57" s="99" t="e">
        <f>'Effort Estimation'!P486+"AM:!$o|"</f>
        <v>#VALUE!</v>
      </c>
      <c r="CW57" s="99" t="e">
        <f>'Effort Estimation'!Q486+"AM:!$o}"</f>
        <v>#VALUE!</v>
      </c>
      <c r="CX57" t="e">
        <f>'Effort Estimation'!R486+"AM:!$o~"</f>
        <v>#VALUE!</v>
      </c>
      <c r="CY57" t="e">
        <f>'Effort Estimation'!S486+"AM:!$p#"</f>
        <v>#VALUE!</v>
      </c>
      <c r="CZ57" t="e">
        <f>'Effort Estimation'!T486+"AM:!$p$"</f>
        <v>#VALUE!</v>
      </c>
      <c r="DA57" t="e">
        <f>'Effort Estimation'!A487+"AM:!$p%"</f>
        <v>#VALUE!</v>
      </c>
      <c r="DB57" t="e">
        <f>'Effort Estimation'!B487+"AM:!$p&amp;"</f>
        <v>#VALUE!</v>
      </c>
      <c r="DC57" t="e">
        <f>'Effort Estimation'!C487+"AM:!$p'"</f>
        <v>#VALUE!</v>
      </c>
      <c r="DD57" t="e">
        <f>'Effort Estimation'!D487+"AM:!$p("</f>
        <v>#VALUE!</v>
      </c>
      <c r="DE57" t="e">
        <f>'Effort Estimation'!E487+"AM:!$p)"</f>
        <v>#VALUE!</v>
      </c>
      <c r="DF57" t="e">
        <f>'Effort Estimation'!F487+"AM:!$p."</f>
        <v>#VALUE!</v>
      </c>
      <c r="DG57" t="e">
        <f>'Effort Estimation'!G487+"AM:!$p/"</f>
        <v>#VALUE!</v>
      </c>
      <c r="DH57" t="e">
        <f>'Effort Estimation'!H487+"AM:!$p0"</f>
        <v>#VALUE!</v>
      </c>
      <c r="DI57" t="e">
        <f>'Effort Estimation'!I487+"AM:!$p1"</f>
        <v>#VALUE!</v>
      </c>
      <c r="DJ57" s="99" t="e">
        <f>'Effort Estimation'!J487+"AM:!$p2"</f>
        <v>#VALUE!</v>
      </c>
      <c r="DK57" s="99" t="e">
        <f>'Effort Estimation'!K487+"AM:!$p3"</f>
        <v>#VALUE!</v>
      </c>
      <c r="DL57" s="99" t="e">
        <f>'Effort Estimation'!L487+"AM:!$p4"</f>
        <v>#VALUE!</v>
      </c>
      <c r="DM57" s="99" t="e">
        <f>'Effort Estimation'!M487+"AM:!$p5"</f>
        <v>#VALUE!</v>
      </c>
      <c r="DN57" s="99" t="e">
        <f>'Effort Estimation'!N487+"AM:!$p6"</f>
        <v>#VALUE!</v>
      </c>
      <c r="DO57" s="99" t="e">
        <f>'Effort Estimation'!O487+"AM:!$p7"</f>
        <v>#VALUE!</v>
      </c>
      <c r="DP57" s="99" t="e">
        <f>'Effort Estimation'!P487+"AM:!$p8"</f>
        <v>#VALUE!</v>
      </c>
      <c r="DQ57" s="99" t="e">
        <f>'Effort Estimation'!Q487+"AM:!$p9"</f>
        <v>#VALUE!</v>
      </c>
      <c r="DR57" t="e">
        <f>'Effort Estimation'!R487+"AM:!$p:"</f>
        <v>#VALUE!</v>
      </c>
      <c r="DS57" t="e">
        <f>'Effort Estimation'!S487+"AM:!$p;"</f>
        <v>#VALUE!</v>
      </c>
      <c r="DT57" t="e">
        <f>'Effort Estimation'!T487+"AM:!$p&lt;"</f>
        <v>#VALUE!</v>
      </c>
      <c r="DU57" t="e">
        <f>'Effort Estimation'!A488+"AM:!$p="</f>
        <v>#VALUE!</v>
      </c>
      <c r="DV57" t="e">
        <f>'Effort Estimation'!B488+"AM:!$p&gt;"</f>
        <v>#VALUE!</v>
      </c>
      <c r="DW57" t="e">
        <f>'Effort Estimation'!C488+"AM:!$p?"</f>
        <v>#VALUE!</v>
      </c>
      <c r="DX57" t="e">
        <f>'Effort Estimation'!D488+"AM:!$p@"</f>
        <v>#VALUE!</v>
      </c>
      <c r="DY57" t="e">
        <f>'Effort Estimation'!E488+"AM:!$pA"</f>
        <v>#VALUE!</v>
      </c>
      <c r="DZ57" t="e">
        <f>'Effort Estimation'!F488+"AM:!$pB"</f>
        <v>#VALUE!</v>
      </c>
      <c r="EA57" t="e">
        <f>'Effort Estimation'!G488+"AM:!$pC"</f>
        <v>#VALUE!</v>
      </c>
      <c r="EB57" t="e">
        <f>'Effort Estimation'!H488+"AM:!$pD"</f>
        <v>#VALUE!</v>
      </c>
      <c r="EC57" t="e">
        <f>'Effort Estimation'!I488+"AM:!$pE"</f>
        <v>#VALUE!</v>
      </c>
      <c r="ED57" s="99" t="e">
        <f>'Effort Estimation'!J488+"AM:!$pF"</f>
        <v>#VALUE!</v>
      </c>
      <c r="EE57" s="99" t="e">
        <f>'Effort Estimation'!K488+"AM:!$pG"</f>
        <v>#VALUE!</v>
      </c>
      <c r="EF57" s="99" t="e">
        <f>'Effort Estimation'!L488+"AM:!$pH"</f>
        <v>#VALUE!</v>
      </c>
      <c r="EG57" s="99" t="e">
        <f>'Effort Estimation'!M488+"AM:!$pI"</f>
        <v>#VALUE!</v>
      </c>
      <c r="EH57" s="99" t="e">
        <f>'Effort Estimation'!N488+"AM:!$pJ"</f>
        <v>#VALUE!</v>
      </c>
      <c r="EI57" s="99" t="e">
        <f>'Effort Estimation'!O488+"AM:!$pK"</f>
        <v>#VALUE!</v>
      </c>
      <c r="EJ57" s="99" t="e">
        <f>'Effort Estimation'!P488+"AM:!$pL"</f>
        <v>#VALUE!</v>
      </c>
      <c r="EK57" s="99" t="e">
        <f>'Effort Estimation'!Q488+"AM:!$pM"</f>
        <v>#VALUE!</v>
      </c>
      <c r="EL57" t="e">
        <f>'Effort Estimation'!R488+"AM:!$pN"</f>
        <v>#VALUE!</v>
      </c>
      <c r="EM57" t="e">
        <f>'Effort Estimation'!S488+"AM:!$pO"</f>
        <v>#VALUE!</v>
      </c>
      <c r="EN57" t="e">
        <f>'Effort Estimation'!T488+"AM:!$pP"</f>
        <v>#VALUE!</v>
      </c>
      <c r="EO57" t="e">
        <f>'Effort Estimation'!A489+"AM:!$pQ"</f>
        <v>#VALUE!</v>
      </c>
      <c r="EP57" t="e">
        <f>'Effort Estimation'!B489+"AM:!$pR"</f>
        <v>#VALUE!</v>
      </c>
      <c r="EQ57" t="e">
        <f>'Effort Estimation'!C489+"AM:!$pS"</f>
        <v>#VALUE!</v>
      </c>
      <c r="ER57" t="e">
        <f>'Effort Estimation'!D489+"AM:!$pT"</f>
        <v>#VALUE!</v>
      </c>
      <c r="ES57" t="e">
        <f>'Effort Estimation'!E489+"AM:!$pU"</f>
        <v>#VALUE!</v>
      </c>
      <c r="ET57" t="e">
        <f>'Effort Estimation'!F489+"AM:!$pV"</f>
        <v>#VALUE!</v>
      </c>
      <c r="EU57" t="e">
        <f>'Effort Estimation'!G489+"AM:!$pW"</f>
        <v>#VALUE!</v>
      </c>
      <c r="EV57" t="e">
        <f>'Effort Estimation'!H489+"AM:!$pX"</f>
        <v>#VALUE!</v>
      </c>
      <c r="EW57" t="e">
        <f>'Effort Estimation'!I489+"AM:!$pY"</f>
        <v>#VALUE!</v>
      </c>
      <c r="EX57" s="99" t="e">
        <f>'Effort Estimation'!J489+"AM:!$pZ"</f>
        <v>#VALUE!</v>
      </c>
      <c r="EY57" s="99" t="e">
        <f>'Effort Estimation'!K489+"AM:!$p["</f>
        <v>#VALUE!</v>
      </c>
      <c r="EZ57" s="99" t="e">
        <f>'Effort Estimation'!L489+"AM:!$p\"</f>
        <v>#VALUE!</v>
      </c>
      <c r="FA57" s="99" t="e">
        <f>'Effort Estimation'!M489+"AM:!$p]"</f>
        <v>#VALUE!</v>
      </c>
      <c r="FB57" s="99" t="e">
        <f>'Effort Estimation'!N489+"AM:!$p^"</f>
        <v>#VALUE!</v>
      </c>
      <c r="FC57" s="99" t="e">
        <f>'Effort Estimation'!O489+"AM:!$p_"</f>
        <v>#VALUE!</v>
      </c>
      <c r="FD57" s="99" t="e">
        <f>'Effort Estimation'!P489+"AM:!$p`"</f>
        <v>#VALUE!</v>
      </c>
      <c r="FE57" s="99" t="e">
        <f>'Effort Estimation'!Q489+"AM:!$pa"</f>
        <v>#VALUE!</v>
      </c>
      <c r="FF57" t="e">
        <f>'Effort Estimation'!R489+"AM:!$pb"</f>
        <v>#VALUE!</v>
      </c>
      <c r="FG57" t="e">
        <f>'Effort Estimation'!S489+"AM:!$pc"</f>
        <v>#VALUE!</v>
      </c>
      <c r="FH57" t="e">
        <f>'Effort Estimation'!T489+"AM:!$pd"</f>
        <v>#VALUE!</v>
      </c>
      <c r="FI57" t="e">
        <f>'Effort Estimation'!A490+"AM:!$pe"</f>
        <v>#VALUE!</v>
      </c>
      <c r="FJ57" t="e">
        <f>'Effort Estimation'!B490+"AM:!$pf"</f>
        <v>#VALUE!</v>
      </c>
      <c r="FK57" t="e">
        <f>'Effort Estimation'!C490+"AM:!$pg"</f>
        <v>#VALUE!</v>
      </c>
      <c r="FL57" t="e">
        <f>'Effort Estimation'!D490+"AM:!$ph"</f>
        <v>#VALUE!</v>
      </c>
      <c r="FM57" t="e">
        <f>'Effort Estimation'!E490+"AM:!$pi"</f>
        <v>#VALUE!</v>
      </c>
      <c r="FN57" t="e">
        <f>'Effort Estimation'!F490+"AM:!$pj"</f>
        <v>#VALUE!</v>
      </c>
      <c r="FO57" t="e">
        <f>'Effort Estimation'!G490+"AM:!$pk"</f>
        <v>#VALUE!</v>
      </c>
      <c r="FP57" t="e">
        <f>'Effort Estimation'!H490+"AM:!$pl"</f>
        <v>#VALUE!</v>
      </c>
      <c r="FQ57" t="e">
        <f>'Effort Estimation'!I490+"AM:!$pm"</f>
        <v>#VALUE!</v>
      </c>
      <c r="FR57" s="99" t="e">
        <f>'Effort Estimation'!J490+"AM:!$pn"</f>
        <v>#VALUE!</v>
      </c>
      <c r="FS57" s="99" t="e">
        <f>'Effort Estimation'!K490+"AM:!$po"</f>
        <v>#VALUE!</v>
      </c>
      <c r="FT57" s="99" t="e">
        <f>'Effort Estimation'!L490+"AM:!$pp"</f>
        <v>#VALUE!</v>
      </c>
      <c r="FU57" s="99" t="e">
        <f>'Effort Estimation'!M490+"AM:!$pq"</f>
        <v>#VALUE!</v>
      </c>
      <c r="FV57" s="99" t="e">
        <f>'Effort Estimation'!N490+"AM:!$pr"</f>
        <v>#VALUE!</v>
      </c>
      <c r="FW57" s="99" t="e">
        <f>'Effort Estimation'!O490+"AM:!$ps"</f>
        <v>#VALUE!</v>
      </c>
      <c r="FX57" s="99" t="e">
        <f>'Effort Estimation'!P490+"AM:!$pt"</f>
        <v>#VALUE!</v>
      </c>
      <c r="FY57" s="99" t="e">
        <f>'Effort Estimation'!Q490+"AM:!$pu"</f>
        <v>#VALUE!</v>
      </c>
      <c r="FZ57" t="e">
        <f>'Effort Estimation'!R490+"AM:!$pv"</f>
        <v>#VALUE!</v>
      </c>
      <c r="GA57" t="e">
        <f>'Effort Estimation'!S490+"AM:!$pw"</f>
        <v>#VALUE!</v>
      </c>
      <c r="GB57" t="e">
        <f>'Effort Estimation'!T490+"AM:!$px"</f>
        <v>#VALUE!</v>
      </c>
      <c r="GC57" t="e">
        <f>'Effort Estimation'!A491+"AM:!$py"</f>
        <v>#VALUE!</v>
      </c>
      <c r="GD57" t="e">
        <f>'Effort Estimation'!B491+"AM:!$pz"</f>
        <v>#VALUE!</v>
      </c>
      <c r="GE57" t="e">
        <f>'Effort Estimation'!C491+"AM:!$p{"</f>
        <v>#VALUE!</v>
      </c>
      <c r="GF57" t="e">
        <f>'Effort Estimation'!D491+"AM:!$p|"</f>
        <v>#VALUE!</v>
      </c>
      <c r="GG57" t="e">
        <f>'Effort Estimation'!E491+"AM:!$p}"</f>
        <v>#VALUE!</v>
      </c>
      <c r="GH57" t="e">
        <f>'Effort Estimation'!F491+"AM:!$p~"</f>
        <v>#VALUE!</v>
      </c>
      <c r="GI57" t="e">
        <f>'Effort Estimation'!G491+"AM:!$q#"</f>
        <v>#VALUE!</v>
      </c>
      <c r="GJ57" t="e">
        <f>'Effort Estimation'!H491+"AM:!$q$"</f>
        <v>#VALUE!</v>
      </c>
      <c r="GK57" t="e">
        <f>'Effort Estimation'!I491+"AM:!$q%"</f>
        <v>#VALUE!</v>
      </c>
      <c r="GL57" s="99" t="e">
        <f>'Effort Estimation'!J491+"AM:!$q&amp;"</f>
        <v>#VALUE!</v>
      </c>
      <c r="GM57" s="99" t="e">
        <f>'Effort Estimation'!K491+"AM:!$q'"</f>
        <v>#VALUE!</v>
      </c>
      <c r="GN57" s="99" t="e">
        <f>'Effort Estimation'!L491+"AM:!$q("</f>
        <v>#VALUE!</v>
      </c>
      <c r="GO57" s="99" t="e">
        <f>'Effort Estimation'!M491+"AM:!$q)"</f>
        <v>#VALUE!</v>
      </c>
      <c r="GP57" s="99" t="e">
        <f>'Effort Estimation'!N491+"AM:!$q."</f>
        <v>#VALUE!</v>
      </c>
      <c r="GQ57" s="99" t="e">
        <f>'Effort Estimation'!O491+"AM:!$q/"</f>
        <v>#VALUE!</v>
      </c>
      <c r="GR57" s="99" t="e">
        <f>'Effort Estimation'!P491+"AM:!$q0"</f>
        <v>#VALUE!</v>
      </c>
      <c r="GS57" s="99" t="e">
        <f>'Effort Estimation'!Q491+"AM:!$q1"</f>
        <v>#VALUE!</v>
      </c>
      <c r="GT57" t="e">
        <f>'Effort Estimation'!R491+"AM:!$q2"</f>
        <v>#VALUE!</v>
      </c>
      <c r="GU57" t="e">
        <f>'Effort Estimation'!S491+"AM:!$q3"</f>
        <v>#VALUE!</v>
      </c>
      <c r="GV57" t="e">
        <f>'Effort Estimation'!T491+"AM:!$q4"</f>
        <v>#VALUE!</v>
      </c>
      <c r="GW57" t="e">
        <f>'Effort Estimation'!A492+"AM:!$q5"</f>
        <v>#VALUE!</v>
      </c>
      <c r="GX57" t="e">
        <f>'Effort Estimation'!B492+"AM:!$q6"</f>
        <v>#VALUE!</v>
      </c>
      <c r="GY57" t="e">
        <f>'Effort Estimation'!C492+"AM:!$q7"</f>
        <v>#VALUE!</v>
      </c>
      <c r="GZ57" t="e">
        <f>'Effort Estimation'!D492+"AM:!$q8"</f>
        <v>#VALUE!</v>
      </c>
      <c r="HA57" t="e">
        <f>'Effort Estimation'!E492+"AM:!$q9"</f>
        <v>#VALUE!</v>
      </c>
      <c r="HB57" t="e">
        <f>'Effort Estimation'!F492+"AM:!$q:"</f>
        <v>#VALUE!</v>
      </c>
      <c r="HC57" t="e">
        <f>'Effort Estimation'!G492+"AM:!$q;"</f>
        <v>#VALUE!</v>
      </c>
      <c r="HD57" t="e">
        <f>'Effort Estimation'!H492+"AM:!$q&lt;"</f>
        <v>#VALUE!</v>
      </c>
      <c r="HE57" t="e">
        <f>'Effort Estimation'!I492+"AM:!$q="</f>
        <v>#VALUE!</v>
      </c>
      <c r="HF57" s="99" t="e">
        <f>'Effort Estimation'!J492+"AM:!$q&gt;"</f>
        <v>#VALUE!</v>
      </c>
      <c r="HG57" s="99" t="e">
        <f>'Effort Estimation'!K492+"AM:!$q?"</f>
        <v>#VALUE!</v>
      </c>
      <c r="HH57" s="99" t="e">
        <f>'Effort Estimation'!L492+"AM:!$q@"</f>
        <v>#VALUE!</v>
      </c>
      <c r="HI57" s="99" t="e">
        <f>'Effort Estimation'!M492+"AM:!$qA"</f>
        <v>#VALUE!</v>
      </c>
      <c r="HJ57" s="99" t="e">
        <f>'Effort Estimation'!N492+"AM:!$qB"</f>
        <v>#VALUE!</v>
      </c>
      <c r="HK57" s="99" t="e">
        <f>'Effort Estimation'!O492+"AM:!$qC"</f>
        <v>#VALUE!</v>
      </c>
      <c r="HL57" s="99" t="e">
        <f>'Effort Estimation'!P492+"AM:!$qD"</f>
        <v>#VALUE!</v>
      </c>
      <c r="HM57" s="99" t="e">
        <f>'Effort Estimation'!Q492+"AM:!$qE"</f>
        <v>#VALUE!</v>
      </c>
      <c r="HN57" t="e">
        <f>'Effort Estimation'!R492+"AM:!$qF"</f>
        <v>#VALUE!</v>
      </c>
      <c r="HO57" t="e">
        <f>'Effort Estimation'!S492+"AM:!$qG"</f>
        <v>#VALUE!</v>
      </c>
      <c r="HP57" t="e">
        <f>'Effort Estimation'!T492+"AM:!$qH"</f>
        <v>#VALUE!</v>
      </c>
      <c r="HQ57" t="e">
        <f>'Effort Estimation'!A493+"AM:!$qI"</f>
        <v>#VALUE!</v>
      </c>
      <c r="HR57" t="e">
        <f>'Effort Estimation'!B493+"AM:!$qJ"</f>
        <v>#VALUE!</v>
      </c>
      <c r="HS57" t="e">
        <f>'Effort Estimation'!C493+"AM:!$qK"</f>
        <v>#VALUE!</v>
      </c>
      <c r="HT57" t="e">
        <f>'Effort Estimation'!D493+"AM:!$qL"</f>
        <v>#VALUE!</v>
      </c>
      <c r="HU57" t="e">
        <f>'Effort Estimation'!E493+"AM:!$qM"</f>
        <v>#VALUE!</v>
      </c>
      <c r="HV57" t="e">
        <f>'Effort Estimation'!F493+"AM:!$qN"</f>
        <v>#VALUE!</v>
      </c>
      <c r="HW57" t="e">
        <f>'Effort Estimation'!G493+"AM:!$qO"</f>
        <v>#VALUE!</v>
      </c>
      <c r="HX57" t="e">
        <f>'Effort Estimation'!H493+"AM:!$qP"</f>
        <v>#VALUE!</v>
      </c>
      <c r="HY57" t="e">
        <f>'Effort Estimation'!I493+"AM:!$qQ"</f>
        <v>#VALUE!</v>
      </c>
      <c r="HZ57" s="99" t="e">
        <f>'Effort Estimation'!J493+"AM:!$qR"</f>
        <v>#VALUE!</v>
      </c>
      <c r="IA57" s="99" t="e">
        <f>'Effort Estimation'!K493+"AM:!$qS"</f>
        <v>#VALUE!</v>
      </c>
      <c r="IB57" s="99" t="e">
        <f>'Effort Estimation'!L493+"AM:!$qT"</f>
        <v>#VALUE!</v>
      </c>
      <c r="IC57" s="99" t="e">
        <f>'Effort Estimation'!M493+"AM:!$qU"</f>
        <v>#VALUE!</v>
      </c>
      <c r="ID57" s="99" t="e">
        <f>'Effort Estimation'!N493+"AM:!$qV"</f>
        <v>#VALUE!</v>
      </c>
      <c r="IE57" s="99" t="e">
        <f>'Effort Estimation'!O493+"AM:!$qW"</f>
        <v>#VALUE!</v>
      </c>
      <c r="IF57" s="99" t="e">
        <f>'Effort Estimation'!P493+"AM:!$qX"</f>
        <v>#VALUE!</v>
      </c>
      <c r="IG57" s="99" t="e">
        <f>'Effort Estimation'!Q493+"AM:!$qY"</f>
        <v>#VALUE!</v>
      </c>
      <c r="IH57" t="e">
        <f>'Effort Estimation'!R493+"AM:!$qZ"</f>
        <v>#VALUE!</v>
      </c>
      <c r="II57" t="e">
        <f>'Effort Estimation'!S493+"AM:!$q["</f>
        <v>#VALUE!</v>
      </c>
      <c r="IJ57" t="e">
        <f>'Effort Estimation'!T493+"AM:!$q\"</f>
        <v>#VALUE!</v>
      </c>
      <c r="IK57" t="e">
        <f>'Effort Estimation'!A494+"AM:!$q]"</f>
        <v>#VALUE!</v>
      </c>
      <c r="IL57" t="e">
        <f>'Effort Estimation'!B494+"AM:!$q^"</f>
        <v>#VALUE!</v>
      </c>
      <c r="IM57" t="e">
        <f>'Effort Estimation'!C494+"AM:!$q_"</f>
        <v>#VALUE!</v>
      </c>
      <c r="IN57" t="e">
        <f>'Effort Estimation'!D494+"AM:!$q`"</f>
        <v>#VALUE!</v>
      </c>
      <c r="IO57" t="e">
        <f>'Effort Estimation'!E494+"AM:!$qa"</f>
        <v>#VALUE!</v>
      </c>
      <c r="IP57" t="e">
        <f>'Effort Estimation'!F494+"AM:!$qb"</f>
        <v>#VALUE!</v>
      </c>
      <c r="IQ57" t="e">
        <f>'Effort Estimation'!G494+"AM:!$qc"</f>
        <v>#VALUE!</v>
      </c>
      <c r="IR57" t="e">
        <f>'Effort Estimation'!H494+"AM:!$qd"</f>
        <v>#VALUE!</v>
      </c>
      <c r="IS57" t="e">
        <f>'Effort Estimation'!I494+"AM:!$qe"</f>
        <v>#VALUE!</v>
      </c>
      <c r="IT57" s="99" t="e">
        <f>'Effort Estimation'!J494+"AM:!$qf"</f>
        <v>#VALUE!</v>
      </c>
      <c r="IU57" s="99" t="e">
        <f>'Effort Estimation'!K494+"AM:!$qg"</f>
        <v>#VALUE!</v>
      </c>
      <c r="IV57" s="99" t="e">
        <f>'Effort Estimation'!L494+"AM:!$qh"</f>
        <v>#VALUE!</v>
      </c>
    </row>
    <row r="58" spans="6:256">
      <c r="F58" s="99" t="e">
        <f>'Effort Estimation'!M494+"AM:!$qi"</f>
        <v>#VALUE!</v>
      </c>
      <c r="G58" s="99" t="e">
        <f>'Effort Estimation'!N494+"AM:!$qj"</f>
        <v>#VALUE!</v>
      </c>
      <c r="H58" s="99" t="e">
        <f>'Effort Estimation'!O494+"AM:!$qk"</f>
        <v>#VALUE!</v>
      </c>
      <c r="I58" s="99" t="e">
        <f>'Effort Estimation'!P494+"AM:!$ql"</f>
        <v>#VALUE!</v>
      </c>
      <c r="J58" s="99" t="e">
        <f>'Effort Estimation'!Q494+"AM:!$qm"</f>
        <v>#VALUE!</v>
      </c>
      <c r="K58" t="e">
        <f>'Effort Estimation'!R494+"AM:!$qn"</f>
        <v>#VALUE!</v>
      </c>
      <c r="L58" t="e">
        <f>'Effort Estimation'!S494+"AM:!$qo"</f>
        <v>#VALUE!</v>
      </c>
      <c r="M58" t="e">
        <f>'Effort Estimation'!T494+"AM:!$qp"</f>
        <v>#VALUE!</v>
      </c>
      <c r="N58" t="e">
        <f>'Effort Estimation'!A495+"AM:!$qq"</f>
        <v>#VALUE!</v>
      </c>
      <c r="O58" t="e">
        <f>'Effort Estimation'!B495+"AM:!$qr"</f>
        <v>#VALUE!</v>
      </c>
      <c r="P58" t="e">
        <f>'Effort Estimation'!C495+"AM:!$qs"</f>
        <v>#VALUE!</v>
      </c>
      <c r="Q58" t="e">
        <f>'Effort Estimation'!D495+"AM:!$qt"</f>
        <v>#VALUE!</v>
      </c>
      <c r="R58" t="e">
        <f>'Effort Estimation'!E495+"AM:!$qu"</f>
        <v>#VALUE!</v>
      </c>
      <c r="S58" t="e">
        <f>'Effort Estimation'!F495+"AM:!$qv"</f>
        <v>#VALUE!</v>
      </c>
      <c r="T58" t="e">
        <f>'Effort Estimation'!G495+"AM:!$qw"</f>
        <v>#VALUE!</v>
      </c>
      <c r="U58" t="e">
        <f>'Effort Estimation'!H495+"AM:!$qx"</f>
        <v>#VALUE!</v>
      </c>
      <c r="V58" t="e">
        <f>'Effort Estimation'!I495+"AM:!$qy"</f>
        <v>#VALUE!</v>
      </c>
      <c r="W58" s="99" t="e">
        <f>'Effort Estimation'!J495+"AM:!$qz"</f>
        <v>#VALUE!</v>
      </c>
      <c r="X58" s="99" t="e">
        <f>'Effort Estimation'!K495+"AM:!$q{"</f>
        <v>#VALUE!</v>
      </c>
      <c r="Y58" s="99" t="e">
        <f>'Effort Estimation'!L495+"AM:!$q|"</f>
        <v>#VALUE!</v>
      </c>
      <c r="Z58" s="99" t="e">
        <f>'Effort Estimation'!M495+"AM:!$q}"</f>
        <v>#VALUE!</v>
      </c>
      <c r="AA58" s="99" t="e">
        <f>'Effort Estimation'!N495+"AM:!$q~"</f>
        <v>#VALUE!</v>
      </c>
      <c r="AB58" s="99" t="e">
        <f>'Effort Estimation'!O495+"AM:!$r#"</f>
        <v>#VALUE!</v>
      </c>
      <c r="AC58" s="99" t="e">
        <f>'Effort Estimation'!P495+"AM:!$r$"</f>
        <v>#VALUE!</v>
      </c>
      <c r="AD58" s="99" t="e">
        <f>'Effort Estimation'!Q495+"AM:!$r%"</f>
        <v>#VALUE!</v>
      </c>
      <c r="AE58" t="e">
        <f>'Effort Estimation'!R495+"AM:!$r&amp;"</f>
        <v>#VALUE!</v>
      </c>
      <c r="AF58" t="e">
        <f>'Effort Estimation'!S495+"AM:!$r'"</f>
        <v>#VALUE!</v>
      </c>
      <c r="AG58" t="e">
        <f>'Effort Estimation'!T495+"AM:!$r("</f>
        <v>#VALUE!</v>
      </c>
      <c r="AH58" t="e">
        <f>'Effort Estimation'!A496+"AM:!$r)"</f>
        <v>#VALUE!</v>
      </c>
      <c r="AI58" t="e">
        <f>'Effort Estimation'!B496+"AM:!$r."</f>
        <v>#VALUE!</v>
      </c>
      <c r="AJ58" t="e">
        <f>'Effort Estimation'!C496+"AM:!$r/"</f>
        <v>#VALUE!</v>
      </c>
      <c r="AK58" t="e">
        <f>'Effort Estimation'!D496+"AM:!$r0"</f>
        <v>#VALUE!</v>
      </c>
      <c r="AL58" t="e">
        <f>'Effort Estimation'!E496+"AM:!$r1"</f>
        <v>#VALUE!</v>
      </c>
      <c r="AM58" t="e">
        <f>'Effort Estimation'!F496+"AM:!$r2"</f>
        <v>#VALUE!</v>
      </c>
      <c r="AN58" t="e">
        <f>'Effort Estimation'!G496+"AM:!$r3"</f>
        <v>#VALUE!</v>
      </c>
      <c r="AO58" t="e">
        <f>'Effort Estimation'!H496+"AM:!$r4"</f>
        <v>#VALUE!</v>
      </c>
      <c r="AP58" t="e">
        <f>'Effort Estimation'!I496+"AM:!$r5"</f>
        <v>#VALUE!</v>
      </c>
      <c r="AQ58" s="99" t="e">
        <f>'Effort Estimation'!J496+"AM:!$r6"</f>
        <v>#VALUE!</v>
      </c>
      <c r="AR58" s="99" t="e">
        <f>'Effort Estimation'!K496+"AM:!$r7"</f>
        <v>#VALUE!</v>
      </c>
      <c r="AS58" s="99" t="e">
        <f>'Effort Estimation'!L496+"AM:!$r8"</f>
        <v>#VALUE!</v>
      </c>
      <c r="AT58" s="99" t="e">
        <f>'Effort Estimation'!M496+"AM:!$r9"</f>
        <v>#VALUE!</v>
      </c>
      <c r="AU58" s="99" t="e">
        <f>'Effort Estimation'!N496+"AM:!$r:"</f>
        <v>#VALUE!</v>
      </c>
      <c r="AV58" s="99" t="e">
        <f>'Effort Estimation'!O496+"AM:!$r;"</f>
        <v>#VALUE!</v>
      </c>
      <c r="AW58" s="99" t="e">
        <f>'Effort Estimation'!P496+"AM:!$r&lt;"</f>
        <v>#VALUE!</v>
      </c>
      <c r="AX58" s="99" t="e">
        <f>'Effort Estimation'!Q496+"AM:!$r="</f>
        <v>#VALUE!</v>
      </c>
      <c r="AY58" t="e">
        <f>'Effort Estimation'!R496+"AM:!$r&gt;"</f>
        <v>#VALUE!</v>
      </c>
      <c r="AZ58" t="e">
        <f>'Effort Estimation'!S496+"AM:!$r?"</f>
        <v>#VALUE!</v>
      </c>
      <c r="BA58" t="e">
        <f>'Effort Estimation'!T496+"AM:!$r@"</f>
        <v>#VALUE!</v>
      </c>
      <c r="BB58" t="e">
        <f>'Effort Estimation'!A497+"AM:!$rA"</f>
        <v>#VALUE!</v>
      </c>
      <c r="BC58" t="e">
        <f>'Effort Estimation'!B497+"AM:!$rB"</f>
        <v>#VALUE!</v>
      </c>
      <c r="BD58" t="e">
        <f>'Effort Estimation'!C497+"AM:!$rC"</f>
        <v>#VALUE!</v>
      </c>
      <c r="BE58" t="e">
        <f>'Effort Estimation'!D497+"AM:!$rD"</f>
        <v>#VALUE!</v>
      </c>
      <c r="BF58" t="e">
        <f>'Effort Estimation'!E497+"AM:!$rE"</f>
        <v>#VALUE!</v>
      </c>
      <c r="BG58" t="e">
        <f>'Effort Estimation'!F497+"AM:!$rF"</f>
        <v>#VALUE!</v>
      </c>
      <c r="BH58" t="e">
        <f>'Effort Estimation'!G497+"AM:!$rG"</f>
        <v>#VALUE!</v>
      </c>
      <c r="BI58" t="e">
        <f>'Effort Estimation'!H497+"AM:!$rH"</f>
        <v>#VALUE!</v>
      </c>
      <c r="BJ58" t="e">
        <f>'Effort Estimation'!I497+"AM:!$rI"</f>
        <v>#VALUE!</v>
      </c>
      <c r="BK58" s="99" t="e">
        <f>'Effort Estimation'!J497+"AM:!$rJ"</f>
        <v>#VALUE!</v>
      </c>
      <c r="BL58" s="99" t="e">
        <f>'Effort Estimation'!K497+"AM:!$rK"</f>
        <v>#VALUE!</v>
      </c>
      <c r="BM58" s="99" t="e">
        <f>'Effort Estimation'!L497+"AM:!$rL"</f>
        <v>#VALUE!</v>
      </c>
      <c r="BN58" s="99" t="e">
        <f>'Effort Estimation'!M497+"AM:!$rM"</f>
        <v>#VALUE!</v>
      </c>
      <c r="BO58" s="99" t="e">
        <f>'Effort Estimation'!N497+"AM:!$rN"</f>
        <v>#VALUE!</v>
      </c>
      <c r="BP58" s="99" t="e">
        <f>'Effort Estimation'!O497+"AM:!$rO"</f>
        <v>#VALUE!</v>
      </c>
      <c r="BQ58" s="99" t="e">
        <f>'Effort Estimation'!P497+"AM:!$rP"</f>
        <v>#VALUE!</v>
      </c>
      <c r="BR58" s="99" t="e">
        <f>'Effort Estimation'!Q497+"AM:!$rQ"</f>
        <v>#VALUE!</v>
      </c>
      <c r="BS58" t="e">
        <f>'Effort Estimation'!R497+"AM:!$rR"</f>
        <v>#VALUE!</v>
      </c>
      <c r="BT58" t="e">
        <f>'Effort Estimation'!S497+"AM:!$rS"</f>
        <v>#VALUE!</v>
      </c>
      <c r="BU58" t="e">
        <f>'Effort Estimation'!T497+"AM:!$rT"</f>
        <v>#VALUE!</v>
      </c>
      <c r="BV58" t="e">
        <f>'Effort Estimation'!A498+"AM:!$rU"</f>
        <v>#VALUE!</v>
      </c>
      <c r="BW58" t="e">
        <f>'Effort Estimation'!B498+"AM:!$rV"</f>
        <v>#VALUE!</v>
      </c>
      <c r="BX58" t="e">
        <f>'Effort Estimation'!C498+"AM:!$rW"</f>
        <v>#VALUE!</v>
      </c>
      <c r="BY58" t="e">
        <f>'Effort Estimation'!D498+"AM:!$rX"</f>
        <v>#VALUE!</v>
      </c>
      <c r="BZ58" t="e">
        <f>'Effort Estimation'!E498+"AM:!$rY"</f>
        <v>#VALUE!</v>
      </c>
      <c r="CA58" t="e">
        <f>'Effort Estimation'!F498+"AM:!$rZ"</f>
        <v>#VALUE!</v>
      </c>
      <c r="CB58" t="e">
        <f>'Effort Estimation'!G498+"AM:!$r["</f>
        <v>#VALUE!</v>
      </c>
      <c r="CC58" t="e">
        <f>'Effort Estimation'!H498+"AM:!$r\"</f>
        <v>#VALUE!</v>
      </c>
      <c r="CD58" t="e">
        <f>'Effort Estimation'!I498+"AM:!$r]"</f>
        <v>#VALUE!</v>
      </c>
      <c r="CE58" s="99" t="e">
        <f>'Effort Estimation'!J498+"AM:!$r^"</f>
        <v>#VALUE!</v>
      </c>
      <c r="CF58" s="99" t="e">
        <f>'Effort Estimation'!K498+"AM:!$r_"</f>
        <v>#VALUE!</v>
      </c>
      <c r="CG58" s="99" t="e">
        <f>'Effort Estimation'!L498+"AM:!$r`"</f>
        <v>#VALUE!</v>
      </c>
      <c r="CH58" s="99" t="e">
        <f>'Effort Estimation'!M498+"AM:!$ra"</f>
        <v>#VALUE!</v>
      </c>
      <c r="CI58" s="99" t="e">
        <f>'Effort Estimation'!N498+"AM:!$rb"</f>
        <v>#VALUE!</v>
      </c>
      <c r="CJ58" s="99" t="e">
        <f>'Effort Estimation'!O498+"AM:!$rc"</f>
        <v>#VALUE!</v>
      </c>
      <c r="CK58" s="99" t="e">
        <f>'Effort Estimation'!P498+"AM:!$rd"</f>
        <v>#VALUE!</v>
      </c>
      <c r="CL58" s="99" t="e">
        <f>'Effort Estimation'!Q498+"AM:!$re"</f>
        <v>#VALUE!</v>
      </c>
      <c r="CM58" t="e">
        <f>'Effort Estimation'!R498+"AM:!$rf"</f>
        <v>#VALUE!</v>
      </c>
      <c r="CN58" t="e">
        <f>'Effort Estimation'!S498+"AM:!$rg"</f>
        <v>#VALUE!</v>
      </c>
      <c r="CO58" t="e">
        <f>'Effort Estimation'!T498+"AM:!$rh"</f>
        <v>#VALUE!</v>
      </c>
      <c r="CP58" t="e">
        <f>'Effort Estimation'!A499+"AM:!$ri"</f>
        <v>#VALUE!</v>
      </c>
      <c r="CQ58" t="e">
        <f>'Effort Estimation'!B499+"AM:!$rj"</f>
        <v>#VALUE!</v>
      </c>
      <c r="CR58" t="e">
        <f>'Effort Estimation'!C499+"AM:!$rk"</f>
        <v>#VALUE!</v>
      </c>
      <c r="CS58" t="e">
        <f>'Effort Estimation'!D499+"AM:!$rl"</f>
        <v>#VALUE!</v>
      </c>
      <c r="CT58" t="e">
        <f>'Effort Estimation'!E499+"AM:!$rm"</f>
        <v>#VALUE!</v>
      </c>
      <c r="CU58" t="e">
        <f>'Effort Estimation'!F499+"AM:!$rn"</f>
        <v>#VALUE!</v>
      </c>
      <c r="CV58" t="e">
        <f>'Effort Estimation'!G499+"AM:!$ro"</f>
        <v>#VALUE!</v>
      </c>
      <c r="CW58" t="e">
        <f>'Effort Estimation'!H499+"AM:!$rp"</f>
        <v>#VALUE!</v>
      </c>
      <c r="CX58" t="e">
        <f>'Effort Estimation'!I499+"AM:!$rq"</f>
        <v>#VALUE!</v>
      </c>
      <c r="CY58" s="99" t="e">
        <f>'Effort Estimation'!J499+"AM:!$rr"</f>
        <v>#VALUE!</v>
      </c>
      <c r="CZ58" s="99" t="e">
        <f>'Effort Estimation'!K499+"AM:!$rs"</f>
        <v>#VALUE!</v>
      </c>
      <c r="DA58" s="99" t="e">
        <f>'Effort Estimation'!L499+"AM:!$rt"</f>
        <v>#VALUE!</v>
      </c>
      <c r="DB58" s="99" t="e">
        <f>'Effort Estimation'!M499+"AM:!$ru"</f>
        <v>#VALUE!</v>
      </c>
      <c r="DC58" s="99" t="e">
        <f>'Effort Estimation'!N499+"AM:!$rv"</f>
        <v>#VALUE!</v>
      </c>
      <c r="DD58" s="99" t="e">
        <f>'Effort Estimation'!O499+"AM:!$rw"</f>
        <v>#VALUE!</v>
      </c>
      <c r="DE58" s="99" t="e">
        <f>'Effort Estimation'!P499+"AM:!$rx"</f>
        <v>#VALUE!</v>
      </c>
      <c r="DF58" s="99" t="e">
        <f>'Effort Estimation'!Q499+"AM:!$ry"</f>
        <v>#VALUE!</v>
      </c>
      <c r="DG58" t="e">
        <f>'Effort Estimation'!R499+"AM:!$rz"</f>
        <v>#VALUE!</v>
      </c>
      <c r="DH58" t="e">
        <f>'Effort Estimation'!S499+"AM:!$r{"</f>
        <v>#VALUE!</v>
      </c>
      <c r="DI58" t="e">
        <f>'Effort Estimation'!T499+"AM:!$r|"</f>
        <v>#VALUE!</v>
      </c>
      <c r="DJ58" t="e">
        <f>'Effort Estimation'!A500+"AM:!$r}"</f>
        <v>#VALUE!</v>
      </c>
      <c r="DK58" t="e">
        <f>'Effort Estimation'!B500+"AM:!$r~"</f>
        <v>#VALUE!</v>
      </c>
      <c r="DL58" t="e">
        <f>'Effort Estimation'!C500+"AM:!$s#"</f>
        <v>#VALUE!</v>
      </c>
      <c r="DM58" t="e">
        <f>'Effort Estimation'!D500+"AM:!$s$"</f>
        <v>#VALUE!</v>
      </c>
      <c r="DN58" t="e">
        <f>'Effort Estimation'!E500+"AM:!$s%"</f>
        <v>#VALUE!</v>
      </c>
      <c r="DO58" t="e">
        <f>'Effort Estimation'!F500+"AM:!$s&amp;"</f>
        <v>#VALUE!</v>
      </c>
      <c r="DP58" t="e">
        <f>'Effort Estimation'!G500+"AM:!$s'"</f>
        <v>#VALUE!</v>
      </c>
      <c r="DQ58" t="e">
        <f>'Effort Estimation'!H500+"AM:!$s("</f>
        <v>#VALUE!</v>
      </c>
      <c r="DR58" t="e">
        <f>'Effort Estimation'!I500+"AM:!$s)"</f>
        <v>#VALUE!</v>
      </c>
      <c r="DS58" s="99" t="e">
        <f>'Effort Estimation'!J500+"AM:!$s."</f>
        <v>#VALUE!</v>
      </c>
      <c r="DT58" s="99" t="e">
        <f>'Effort Estimation'!K500+"AM:!$s/"</f>
        <v>#VALUE!</v>
      </c>
      <c r="DU58" s="99" t="e">
        <f>'Effort Estimation'!L500+"AM:!$s0"</f>
        <v>#VALUE!</v>
      </c>
      <c r="DV58" s="99" t="e">
        <f>'Effort Estimation'!M500+"AM:!$s1"</f>
        <v>#VALUE!</v>
      </c>
      <c r="DW58" s="99" t="e">
        <f>'Effort Estimation'!N500+"AM:!$s2"</f>
        <v>#VALUE!</v>
      </c>
      <c r="DX58" s="99" t="e">
        <f>'Effort Estimation'!O500+"AM:!$s3"</f>
        <v>#VALUE!</v>
      </c>
      <c r="DY58" s="99" t="e">
        <f>'Effort Estimation'!P500+"AM:!$s4"</f>
        <v>#VALUE!</v>
      </c>
      <c r="DZ58" s="99" t="e">
        <f>'Effort Estimation'!Q500+"AM:!$s5"</f>
        <v>#VALUE!</v>
      </c>
      <c r="EA58" t="e">
        <f>'Effort Estimation'!R500+"AM:!$s6"</f>
        <v>#VALUE!</v>
      </c>
      <c r="EB58" t="e">
        <f>'Effort Estimation'!S500+"AM:!$s7"</f>
        <v>#VALUE!</v>
      </c>
      <c r="EC58" t="e">
        <f>'Effort Estimation'!T500+"AM:!$s8"</f>
        <v>#VALUE!</v>
      </c>
      <c r="ED58" t="e">
        <f>'Effort Estimation'!A501+"AM:!$s9"</f>
        <v>#VALUE!</v>
      </c>
      <c r="EE58" t="e">
        <f>'Effort Estimation'!B501+"AM:!$s:"</f>
        <v>#VALUE!</v>
      </c>
      <c r="EF58" t="e">
        <f>'Effort Estimation'!C501+"AM:!$s;"</f>
        <v>#VALUE!</v>
      </c>
      <c r="EG58" t="e">
        <f>'Effort Estimation'!D501+"AM:!$s&lt;"</f>
        <v>#VALUE!</v>
      </c>
      <c r="EH58" t="e">
        <f>'Effort Estimation'!E501+"AM:!$s="</f>
        <v>#VALUE!</v>
      </c>
      <c r="EI58" t="e">
        <f>'Effort Estimation'!F501+"AM:!$s&gt;"</f>
        <v>#VALUE!</v>
      </c>
      <c r="EJ58" t="e">
        <f>'Effort Estimation'!G501+"AM:!$s?"</f>
        <v>#VALUE!</v>
      </c>
      <c r="EK58" t="e">
        <f>'Effort Estimation'!H501+"AM:!$s@"</f>
        <v>#VALUE!</v>
      </c>
      <c r="EL58" t="e">
        <f>'Effort Estimation'!I501+"AM:!$sA"</f>
        <v>#VALUE!</v>
      </c>
      <c r="EM58" s="99" t="e">
        <f>'Effort Estimation'!J501+"AM:!$sB"</f>
        <v>#VALUE!</v>
      </c>
      <c r="EN58" s="99" t="e">
        <f>'Effort Estimation'!K501+"AM:!$sC"</f>
        <v>#VALUE!</v>
      </c>
      <c r="EO58" s="99" t="e">
        <f>'Effort Estimation'!L501+"AM:!$sD"</f>
        <v>#VALUE!</v>
      </c>
      <c r="EP58" s="99" t="e">
        <f>'Effort Estimation'!M501+"AM:!$sE"</f>
        <v>#VALUE!</v>
      </c>
      <c r="EQ58" s="99" t="e">
        <f>'Effort Estimation'!N501+"AM:!$sF"</f>
        <v>#VALUE!</v>
      </c>
      <c r="ER58" s="99" t="e">
        <f>'Effort Estimation'!O501+"AM:!$sG"</f>
        <v>#VALUE!</v>
      </c>
      <c r="ES58" s="99" t="e">
        <f>'Effort Estimation'!P501+"AM:!$sH"</f>
        <v>#VALUE!</v>
      </c>
      <c r="ET58" s="99" t="e">
        <f>'Effort Estimation'!Q501+"AM:!$sI"</f>
        <v>#VALUE!</v>
      </c>
      <c r="EU58" t="e">
        <f>'Effort Estimation'!R501+"AM:!$sJ"</f>
        <v>#VALUE!</v>
      </c>
      <c r="EV58" t="e">
        <f>'Effort Estimation'!S501+"AM:!$sK"</f>
        <v>#VALUE!</v>
      </c>
      <c r="EW58" t="e">
        <f>'Effort Estimation'!T501+"AM:!$sL"</f>
        <v>#VALUE!</v>
      </c>
      <c r="EX58" t="e">
        <f>'Effort Estimation'!A502+"AM:!$sM"</f>
        <v>#VALUE!</v>
      </c>
      <c r="EY58" t="e">
        <f>'Effort Estimation'!B502+"AM:!$sN"</f>
        <v>#VALUE!</v>
      </c>
      <c r="EZ58" t="e">
        <f>'Effort Estimation'!C502+"AM:!$sO"</f>
        <v>#VALUE!</v>
      </c>
      <c r="FA58" t="e">
        <f>'Effort Estimation'!D502+"AM:!$sP"</f>
        <v>#VALUE!</v>
      </c>
      <c r="FB58" t="e">
        <f>'Effort Estimation'!E502+"AM:!$sQ"</f>
        <v>#VALUE!</v>
      </c>
      <c r="FC58" t="e">
        <f>'Effort Estimation'!F502+"AM:!$sR"</f>
        <v>#VALUE!</v>
      </c>
      <c r="FD58" t="e">
        <f>'Effort Estimation'!G502+"AM:!$sS"</f>
        <v>#VALUE!</v>
      </c>
      <c r="FE58" t="e">
        <f>'Effort Estimation'!H502+"AM:!$sT"</f>
        <v>#VALUE!</v>
      </c>
      <c r="FF58" t="e">
        <f>'Effort Estimation'!I502+"AM:!$sU"</f>
        <v>#VALUE!</v>
      </c>
      <c r="FG58" s="99" t="e">
        <f>'Effort Estimation'!J502+"AM:!$sV"</f>
        <v>#VALUE!</v>
      </c>
      <c r="FH58" s="99" t="e">
        <f>'Effort Estimation'!K502+"AM:!$sW"</f>
        <v>#VALUE!</v>
      </c>
      <c r="FI58" s="99" t="e">
        <f>'Effort Estimation'!L502+"AM:!$sX"</f>
        <v>#VALUE!</v>
      </c>
      <c r="FJ58" s="99" t="e">
        <f>'Effort Estimation'!M502+"AM:!$sY"</f>
        <v>#VALUE!</v>
      </c>
      <c r="FK58" s="99" t="e">
        <f>'Effort Estimation'!N502+"AM:!$sZ"</f>
        <v>#VALUE!</v>
      </c>
      <c r="FL58" s="99" t="e">
        <f>'Effort Estimation'!O502+"AM:!$s["</f>
        <v>#VALUE!</v>
      </c>
      <c r="FM58" s="99" t="e">
        <f>'Effort Estimation'!P502+"AM:!$s\"</f>
        <v>#VALUE!</v>
      </c>
      <c r="FN58" s="99" t="e">
        <f>'Effort Estimation'!Q502+"AM:!$s]"</f>
        <v>#VALUE!</v>
      </c>
      <c r="FO58" t="e">
        <f>'Effort Estimation'!R502+"AM:!$s^"</f>
        <v>#VALUE!</v>
      </c>
      <c r="FP58" t="e">
        <f>'Effort Estimation'!S502+"AM:!$s_"</f>
        <v>#VALUE!</v>
      </c>
      <c r="FQ58" t="e">
        <f>'Effort Estimation'!T502+"AM:!$s`"</f>
        <v>#VALUE!</v>
      </c>
      <c r="FR58" t="e">
        <f>'Effort Estimation'!A503+"AM:!$sa"</f>
        <v>#VALUE!</v>
      </c>
      <c r="FS58" t="e">
        <f>'Effort Estimation'!B503+"AM:!$sb"</f>
        <v>#VALUE!</v>
      </c>
      <c r="FT58" t="e">
        <f>'Effort Estimation'!C503+"AM:!$sc"</f>
        <v>#VALUE!</v>
      </c>
      <c r="FU58" t="e">
        <f>'Effort Estimation'!D503+"AM:!$sd"</f>
        <v>#VALUE!</v>
      </c>
      <c r="FV58" t="e">
        <f>'Effort Estimation'!E503+"AM:!$se"</f>
        <v>#VALUE!</v>
      </c>
      <c r="FW58" t="e">
        <f>'Effort Estimation'!F503+"AM:!$sf"</f>
        <v>#VALUE!</v>
      </c>
      <c r="FX58" t="e">
        <f>'Effort Estimation'!G503+"AM:!$sg"</f>
        <v>#VALUE!</v>
      </c>
      <c r="FY58" t="e">
        <f>'Effort Estimation'!H503+"AM:!$sh"</f>
        <v>#VALUE!</v>
      </c>
      <c r="FZ58" t="e">
        <f>'Effort Estimation'!I503+"AM:!$si"</f>
        <v>#VALUE!</v>
      </c>
      <c r="GA58" s="99" t="e">
        <f>'Effort Estimation'!J503+"AM:!$sj"</f>
        <v>#VALUE!</v>
      </c>
      <c r="GB58" s="99" t="e">
        <f>'Effort Estimation'!K503+"AM:!$sk"</f>
        <v>#VALUE!</v>
      </c>
      <c r="GC58" s="99" t="e">
        <f>'Effort Estimation'!L503+"AM:!$sl"</f>
        <v>#VALUE!</v>
      </c>
      <c r="GD58" s="99" t="e">
        <f>'Effort Estimation'!M503+"AM:!$sm"</f>
        <v>#VALUE!</v>
      </c>
      <c r="GE58" s="99" t="e">
        <f>'Effort Estimation'!N503+"AM:!$sn"</f>
        <v>#VALUE!</v>
      </c>
      <c r="GF58" s="99" t="e">
        <f>'Effort Estimation'!O503+"AM:!$so"</f>
        <v>#VALUE!</v>
      </c>
      <c r="GG58" s="99" t="e">
        <f>'Effort Estimation'!P503+"AM:!$sp"</f>
        <v>#VALUE!</v>
      </c>
      <c r="GH58" s="99" t="e">
        <f>'Effort Estimation'!Q503+"AM:!$sq"</f>
        <v>#VALUE!</v>
      </c>
      <c r="GI58" t="e">
        <f>'Effort Estimation'!R503+"AM:!$sr"</f>
        <v>#VALUE!</v>
      </c>
      <c r="GJ58" t="e">
        <f>'Effort Estimation'!S503+"AM:!$ss"</f>
        <v>#VALUE!</v>
      </c>
      <c r="GK58" t="e">
        <f>'Effort Estimation'!T503+"AM:!$st"</f>
        <v>#VALUE!</v>
      </c>
      <c r="GL58" t="e">
        <f>'Effort Estimation'!A504+"AM:!$su"</f>
        <v>#VALUE!</v>
      </c>
      <c r="GM58" t="e">
        <f>'Effort Estimation'!B504+"AM:!$sv"</f>
        <v>#VALUE!</v>
      </c>
      <c r="GN58" t="e">
        <f>'Effort Estimation'!C504+"AM:!$sw"</f>
        <v>#VALUE!</v>
      </c>
      <c r="GO58" t="e">
        <f>'Effort Estimation'!D504+"AM:!$sx"</f>
        <v>#VALUE!</v>
      </c>
      <c r="GP58" t="e">
        <f>'Effort Estimation'!E504+"AM:!$sy"</f>
        <v>#VALUE!</v>
      </c>
      <c r="GQ58" t="e">
        <f>'Effort Estimation'!F504+"AM:!$sz"</f>
        <v>#VALUE!</v>
      </c>
      <c r="GR58" t="e">
        <f>'Effort Estimation'!G504+"AM:!$s{"</f>
        <v>#VALUE!</v>
      </c>
      <c r="GS58" t="e">
        <f>'Effort Estimation'!H504+"AM:!$s|"</f>
        <v>#VALUE!</v>
      </c>
      <c r="GT58" t="e">
        <f>'Effort Estimation'!I504+"AM:!$s}"</f>
        <v>#VALUE!</v>
      </c>
      <c r="GU58" s="99" t="e">
        <f>'Effort Estimation'!J504+"AM:!$s~"</f>
        <v>#VALUE!</v>
      </c>
      <c r="GV58" s="99" t="e">
        <f>'Effort Estimation'!K504+"AM:!$t#"</f>
        <v>#VALUE!</v>
      </c>
      <c r="GW58" s="99" t="e">
        <f>'Effort Estimation'!L504+"AM:!$t$"</f>
        <v>#VALUE!</v>
      </c>
      <c r="GX58" s="99" t="e">
        <f>'Effort Estimation'!M504+"AM:!$t%"</f>
        <v>#VALUE!</v>
      </c>
      <c r="GY58" s="99" t="e">
        <f>'Effort Estimation'!N504+"AM:!$t&amp;"</f>
        <v>#VALUE!</v>
      </c>
      <c r="GZ58" s="99" t="e">
        <f>'Effort Estimation'!O504+"AM:!$t'"</f>
        <v>#VALUE!</v>
      </c>
      <c r="HA58" s="99" t="e">
        <f>'Effort Estimation'!P504+"AM:!$t("</f>
        <v>#VALUE!</v>
      </c>
      <c r="HB58" s="99" t="e">
        <f>'Effort Estimation'!Q504+"AM:!$t)"</f>
        <v>#VALUE!</v>
      </c>
      <c r="HC58" t="e">
        <f>'Effort Estimation'!R504+"AM:!$t."</f>
        <v>#VALUE!</v>
      </c>
      <c r="HD58" t="e">
        <f>'Effort Estimation'!S504+"AM:!$t/"</f>
        <v>#VALUE!</v>
      </c>
      <c r="HE58" t="e">
        <f>'Effort Estimation'!T504+"AM:!$t0"</f>
        <v>#VALUE!</v>
      </c>
      <c r="HF58" t="e">
        <f>'Effort Estimation'!A505+"AM:!$t1"</f>
        <v>#VALUE!</v>
      </c>
      <c r="HG58" t="e">
        <f>'Effort Estimation'!B505+"AM:!$t2"</f>
        <v>#VALUE!</v>
      </c>
      <c r="HH58" t="e">
        <f>'Effort Estimation'!C505+"AM:!$t3"</f>
        <v>#VALUE!</v>
      </c>
      <c r="HI58" t="e">
        <f>'Effort Estimation'!D505+"AM:!$t4"</f>
        <v>#VALUE!</v>
      </c>
      <c r="HJ58" t="e">
        <f>'Effort Estimation'!E505+"AM:!$t5"</f>
        <v>#VALUE!</v>
      </c>
      <c r="HK58" t="e">
        <f>'Effort Estimation'!F505+"AM:!$t6"</f>
        <v>#VALUE!</v>
      </c>
      <c r="HL58" t="e">
        <f>'Effort Estimation'!G505+"AM:!$t7"</f>
        <v>#VALUE!</v>
      </c>
      <c r="HM58" t="e">
        <f>'Effort Estimation'!H505+"AM:!$t8"</f>
        <v>#VALUE!</v>
      </c>
      <c r="HN58" t="e">
        <f>'Effort Estimation'!I505+"AM:!$t9"</f>
        <v>#VALUE!</v>
      </c>
      <c r="HO58" s="99" t="e">
        <f>'Effort Estimation'!J505+"AM:!$t:"</f>
        <v>#VALUE!</v>
      </c>
      <c r="HP58" s="99" t="e">
        <f>'Effort Estimation'!K505+"AM:!$t;"</f>
        <v>#VALUE!</v>
      </c>
      <c r="HQ58" s="99" t="e">
        <f>'Effort Estimation'!L505+"AM:!$t&lt;"</f>
        <v>#VALUE!</v>
      </c>
      <c r="HR58" s="99" t="e">
        <f>'Effort Estimation'!M505+"AM:!$t="</f>
        <v>#VALUE!</v>
      </c>
      <c r="HS58" s="99" t="e">
        <f>'Effort Estimation'!N505+"AM:!$t&gt;"</f>
        <v>#VALUE!</v>
      </c>
      <c r="HT58" s="99" t="e">
        <f>'Effort Estimation'!O505+"AM:!$t?"</f>
        <v>#VALUE!</v>
      </c>
      <c r="HU58" s="99" t="e">
        <f>'Effort Estimation'!P505+"AM:!$t@"</f>
        <v>#VALUE!</v>
      </c>
      <c r="HV58" s="99" t="e">
        <f>'Effort Estimation'!Q505+"AM:!$tA"</f>
        <v>#VALUE!</v>
      </c>
      <c r="HW58" t="e">
        <f>'Effort Estimation'!R505+"AM:!$tB"</f>
        <v>#VALUE!</v>
      </c>
      <c r="HX58" t="e">
        <f>'Effort Estimation'!S505+"AM:!$tC"</f>
        <v>#VALUE!</v>
      </c>
      <c r="HY58" t="e">
        <f>'Effort Estimation'!T505+"AM:!$tD"</f>
        <v>#VALUE!</v>
      </c>
      <c r="HZ58" t="e">
        <f>'Effort Estimation'!A506+"AM:!$tE"</f>
        <v>#VALUE!</v>
      </c>
      <c r="IA58" t="e">
        <f>'Effort Estimation'!B506+"AM:!$tF"</f>
        <v>#VALUE!</v>
      </c>
      <c r="IB58" t="e">
        <f>'Effort Estimation'!C506+"AM:!$tG"</f>
        <v>#VALUE!</v>
      </c>
      <c r="IC58" t="e">
        <f>'Effort Estimation'!D506+"AM:!$tH"</f>
        <v>#VALUE!</v>
      </c>
      <c r="ID58" t="e">
        <f>'Effort Estimation'!E506+"AM:!$tI"</f>
        <v>#VALUE!</v>
      </c>
      <c r="IE58" t="e">
        <f>'Effort Estimation'!F506+"AM:!$tJ"</f>
        <v>#VALUE!</v>
      </c>
      <c r="IF58" t="e">
        <f>'Effort Estimation'!G506+"AM:!$tK"</f>
        <v>#VALUE!</v>
      </c>
      <c r="IG58" t="e">
        <f>'Effort Estimation'!H506+"AM:!$tL"</f>
        <v>#VALUE!</v>
      </c>
      <c r="IH58" t="e">
        <f>'Effort Estimation'!I506+"AM:!$tM"</f>
        <v>#VALUE!</v>
      </c>
      <c r="II58" s="99" t="e">
        <f>'Effort Estimation'!J506+"AM:!$tN"</f>
        <v>#VALUE!</v>
      </c>
      <c r="IJ58" s="99" t="e">
        <f>'Effort Estimation'!K506+"AM:!$tO"</f>
        <v>#VALUE!</v>
      </c>
      <c r="IK58" s="99" t="e">
        <f>'Effort Estimation'!L506+"AM:!$tP"</f>
        <v>#VALUE!</v>
      </c>
      <c r="IL58" s="99" t="e">
        <f>'Effort Estimation'!M506+"AM:!$tQ"</f>
        <v>#VALUE!</v>
      </c>
      <c r="IM58" s="99" t="e">
        <f>'Effort Estimation'!N506+"AM:!$tR"</f>
        <v>#VALUE!</v>
      </c>
      <c r="IN58" s="99" t="e">
        <f>'Effort Estimation'!O506+"AM:!$tS"</f>
        <v>#VALUE!</v>
      </c>
      <c r="IO58" s="99" t="e">
        <f>'Effort Estimation'!P506+"AM:!$tT"</f>
        <v>#VALUE!</v>
      </c>
      <c r="IP58" s="99" t="e">
        <f>'Effort Estimation'!Q506+"AM:!$tU"</f>
        <v>#VALUE!</v>
      </c>
      <c r="IQ58" t="e">
        <f>'Effort Estimation'!R506+"AM:!$tV"</f>
        <v>#VALUE!</v>
      </c>
      <c r="IR58" t="e">
        <f>'Effort Estimation'!S506+"AM:!$tW"</f>
        <v>#VALUE!</v>
      </c>
      <c r="IS58" t="e">
        <f>'Effort Estimation'!T506+"AM:!$tX"</f>
        <v>#VALUE!</v>
      </c>
      <c r="IT58" t="e">
        <f>'Effort Estimation'!A507+"AM:!$tY"</f>
        <v>#VALUE!</v>
      </c>
      <c r="IU58" t="e">
        <f>'Effort Estimation'!B507+"AM:!$tZ"</f>
        <v>#VALUE!</v>
      </c>
      <c r="IV58" t="e">
        <f>'Effort Estimation'!C507+"AM:!$t["</f>
        <v>#VALUE!</v>
      </c>
    </row>
    <row r="59" spans="6:256">
      <c r="F59" t="e">
        <f>'Effort Estimation'!D507+"AM:!$t\"</f>
        <v>#VALUE!</v>
      </c>
      <c r="G59" t="e">
        <f>'Effort Estimation'!E507+"AM:!$t]"</f>
        <v>#VALUE!</v>
      </c>
      <c r="H59" t="e">
        <f>'Effort Estimation'!F507+"AM:!$t^"</f>
        <v>#VALUE!</v>
      </c>
      <c r="I59" t="e">
        <f>'Effort Estimation'!G507+"AM:!$t_"</f>
        <v>#VALUE!</v>
      </c>
      <c r="J59" t="e">
        <f>'Effort Estimation'!H507+"AM:!$t`"</f>
        <v>#VALUE!</v>
      </c>
      <c r="K59" t="e">
        <f>'Effort Estimation'!I507+"AM:!$ta"</f>
        <v>#VALUE!</v>
      </c>
      <c r="L59" s="99" t="e">
        <f>'Effort Estimation'!J507+"AM:!$tb"</f>
        <v>#VALUE!</v>
      </c>
      <c r="M59" s="99" t="e">
        <f>'Effort Estimation'!K507+"AM:!$tc"</f>
        <v>#VALUE!</v>
      </c>
      <c r="N59" s="99" t="e">
        <f>'Effort Estimation'!L507+"AM:!$td"</f>
        <v>#VALUE!</v>
      </c>
      <c r="O59" s="99" t="e">
        <f>'Effort Estimation'!M507+"AM:!$te"</f>
        <v>#VALUE!</v>
      </c>
      <c r="P59" s="99" t="e">
        <f>'Effort Estimation'!N507+"AM:!$tf"</f>
        <v>#VALUE!</v>
      </c>
      <c r="Q59" s="99" t="e">
        <f>'Effort Estimation'!O507+"AM:!$tg"</f>
        <v>#VALUE!</v>
      </c>
      <c r="R59" s="99" t="e">
        <f>'Effort Estimation'!P507+"AM:!$th"</f>
        <v>#VALUE!</v>
      </c>
      <c r="S59" s="99" t="e">
        <f>'Effort Estimation'!Q507+"AM:!$ti"</f>
        <v>#VALUE!</v>
      </c>
      <c r="T59" t="e">
        <f>'Effort Estimation'!R507+"AM:!$tj"</f>
        <v>#VALUE!</v>
      </c>
      <c r="U59" t="e">
        <f>'Effort Estimation'!S507+"AM:!$tk"</f>
        <v>#VALUE!</v>
      </c>
      <c r="V59" t="e">
        <f>'Effort Estimation'!T507+"AM:!$tl"</f>
        <v>#VALUE!</v>
      </c>
      <c r="W59" t="e">
        <f>'Effort Estimation'!A508+"AM:!$tm"</f>
        <v>#VALUE!</v>
      </c>
      <c r="X59" t="e">
        <f>'Effort Estimation'!B508+"AM:!$tn"</f>
        <v>#VALUE!</v>
      </c>
      <c r="Y59" t="e">
        <f>'Effort Estimation'!C508+"AM:!$to"</f>
        <v>#VALUE!</v>
      </c>
      <c r="Z59" t="e">
        <f>'Effort Estimation'!D508+"AM:!$tp"</f>
        <v>#VALUE!</v>
      </c>
      <c r="AA59" t="e">
        <f>'Effort Estimation'!E508+"AM:!$tq"</f>
        <v>#VALUE!</v>
      </c>
      <c r="AB59" t="e">
        <f>'Effort Estimation'!F508+"AM:!$tr"</f>
        <v>#VALUE!</v>
      </c>
      <c r="AC59" t="e">
        <f>'Effort Estimation'!G508+"AM:!$ts"</f>
        <v>#VALUE!</v>
      </c>
      <c r="AD59" t="e">
        <f>'Effort Estimation'!H508+"AM:!$tt"</f>
        <v>#VALUE!</v>
      </c>
      <c r="AE59" t="e">
        <f>'Effort Estimation'!I508+"AM:!$tu"</f>
        <v>#VALUE!</v>
      </c>
      <c r="AF59" s="99" t="e">
        <f>'Effort Estimation'!J508+"AM:!$tv"</f>
        <v>#VALUE!</v>
      </c>
      <c r="AG59" s="99" t="e">
        <f>'Effort Estimation'!K508+"AM:!$tw"</f>
        <v>#VALUE!</v>
      </c>
      <c r="AH59" s="99" t="e">
        <f>'Effort Estimation'!L508+"AM:!$tx"</f>
        <v>#VALUE!</v>
      </c>
      <c r="AI59" s="99" t="e">
        <f>'Effort Estimation'!M508+"AM:!$ty"</f>
        <v>#VALUE!</v>
      </c>
      <c r="AJ59" s="99" t="e">
        <f>'Effort Estimation'!N508+"AM:!$tz"</f>
        <v>#VALUE!</v>
      </c>
      <c r="AK59" s="99" t="e">
        <f>'Effort Estimation'!O508+"AM:!$t{"</f>
        <v>#VALUE!</v>
      </c>
      <c r="AL59" s="99" t="e">
        <f>'Effort Estimation'!P508+"AM:!$t|"</f>
        <v>#VALUE!</v>
      </c>
      <c r="AM59" s="99" t="e">
        <f>'Effort Estimation'!Q508+"AM:!$t}"</f>
        <v>#VALUE!</v>
      </c>
      <c r="AN59" t="e">
        <f>'Effort Estimation'!R508+"AM:!$t~"</f>
        <v>#VALUE!</v>
      </c>
      <c r="AO59" t="e">
        <f>'Effort Estimation'!S508+"AM:!$u#"</f>
        <v>#VALUE!</v>
      </c>
      <c r="AP59" t="e">
        <f>'Effort Estimation'!T508+"AM:!$u$"</f>
        <v>#VALUE!</v>
      </c>
      <c r="AQ59" t="e">
        <f>'Effort Estimation'!A509+"AM:!$u%"</f>
        <v>#VALUE!</v>
      </c>
      <c r="AR59" t="e">
        <f>'Effort Estimation'!B509+"AM:!$u&amp;"</f>
        <v>#VALUE!</v>
      </c>
      <c r="AS59" t="e">
        <f>'Effort Estimation'!C509+"AM:!$u'"</f>
        <v>#VALUE!</v>
      </c>
      <c r="AT59" t="e">
        <f>'Effort Estimation'!D509+"AM:!$u("</f>
        <v>#VALUE!</v>
      </c>
      <c r="AU59" t="e">
        <f>'Effort Estimation'!E509+"AM:!$u)"</f>
        <v>#VALUE!</v>
      </c>
      <c r="AV59" t="e">
        <f>'Effort Estimation'!F509+"AM:!$u."</f>
        <v>#VALUE!</v>
      </c>
      <c r="AW59" t="e">
        <f>'Effort Estimation'!G509+"AM:!$u/"</f>
        <v>#VALUE!</v>
      </c>
      <c r="AX59" t="e">
        <f>'Effort Estimation'!H509+"AM:!$u0"</f>
        <v>#VALUE!</v>
      </c>
      <c r="AY59" t="e">
        <f>'Effort Estimation'!I509+"AM:!$u1"</f>
        <v>#VALUE!</v>
      </c>
      <c r="AZ59" s="99" t="e">
        <f>'Effort Estimation'!J509+"AM:!$u2"</f>
        <v>#VALUE!</v>
      </c>
      <c r="BA59" s="99" t="e">
        <f>'Effort Estimation'!K509+"AM:!$u3"</f>
        <v>#VALUE!</v>
      </c>
      <c r="BB59" s="99" t="e">
        <f>'Effort Estimation'!L509+"AM:!$u4"</f>
        <v>#VALUE!</v>
      </c>
      <c r="BC59" s="99" t="e">
        <f>'Effort Estimation'!M509+"AM:!$u5"</f>
        <v>#VALUE!</v>
      </c>
      <c r="BD59" s="99" t="e">
        <f>'Effort Estimation'!N509+"AM:!$u6"</f>
        <v>#VALUE!</v>
      </c>
      <c r="BE59" s="99" t="e">
        <f>'Effort Estimation'!O509+"AM:!$u7"</f>
        <v>#VALUE!</v>
      </c>
      <c r="BF59" s="99" t="e">
        <f>'Effort Estimation'!P509+"AM:!$u8"</f>
        <v>#VALUE!</v>
      </c>
      <c r="BG59" s="99" t="e">
        <f>'Effort Estimation'!Q509+"AM:!$u9"</f>
        <v>#VALUE!</v>
      </c>
      <c r="BH59" t="e">
        <f>'Effort Estimation'!R509+"AM:!$u:"</f>
        <v>#VALUE!</v>
      </c>
      <c r="BI59" t="e">
        <f>'Effort Estimation'!S509+"AM:!$u;"</f>
        <v>#VALUE!</v>
      </c>
      <c r="BJ59" t="e">
        <f>'Effort Estimation'!T509+"AM:!$u&lt;"</f>
        <v>#VALUE!</v>
      </c>
      <c r="BK59" t="e">
        <f>'Effort Estimation'!A510+"AM:!$u="</f>
        <v>#VALUE!</v>
      </c>
      <c r="BL59" t="e">
        <f>'Effort Estimation'!B510+"AM:!$u&gt;"</f>
        <v>#VALUE!</v>
      </c>
      <c r="BM59" t="e">
        <f>'Effort Estimation'!C510+"AM:!$u?"</f>
        <v>#VALUE!</v>
      </c>
      <c r="BN59" t="e">
        <f>'Effort Estimation'!D510+"AM:!$u@"</f>
        <v>#VALUE!</v>
      </c>
      <c r="BO59" t="e">
        <f>'Effort Estimation'!E510+"AM:!$uA"</f>
        <v>#VALUE!</v>
      </c>
      <c r="BP59" t="e">
        <f>'Effort Estimation'!F510+"AM:!$uB"</f>
        <v>#VALUE!</v>
      </c>
      <c r="BQ59" t="e">
        <f>'Effort Estimation'!G510+"AM:!$uC"</f>
        <v>#VALUE!</v>
      </c>
      <c r="BR59" t="e">
        <f>'Effort Estimation'!H510+"AM:!$uD"</f>
        <v>#VALUE!</v>
      </c>
      <c r="BS59" t="e">
        <f>'Effort Estimation'!I510+"AM:!$uE"</f>
        <v>#VALUE!</v>
      </c>
      <c r="BT59" s="99" t="e">
        <f>'Effort Estimation'!J510+"AM:!$uF"</f>
        <v>#VALUE!</v>
      </c>
      <c r="BU59" s="99" t="e">
        <f>'Effort Estimation'!K510+"AM:!$uG"</f>
        <v>#VALUE!</v>
      </c>
      <c r="BV59" s="99" t="e">
        <f>'Effort Estimation'!L510+"AM:!$uH"</f>
        <v>#VALUE!</v>
      </c>
      <c r="BW59" s="99" t="e">
        <f>'Effort Estimation'!M510+"AM:!$uI"</f>
        <v>#VALUE!</v>
      </c>
      <c r="BX59" s="99" t="e">
        <f>'Effort Estimation'!N510+"AM:!$uJ"</f>
        <v>#VALUE!</v>
      </c>
      <c r="BY59" s="99" t="e">
        <f>'Effort Estimation'!O510+"AM:!$uK"</f>
        <v>#VALUE!</v>
      </c>
      <c r="BZ59" s="99" t="e">
        <f>'Effort Estimation'!P510+"AM:!$uL"</f>
        <v>#VALUE!</v>
      </c>
      <c r="CA59" s="99" t="e">
        <f>'Effort Estimation'!Q510+"AM:!$uM"</f>
        <v>#VALUE!</v>
      </c>
      <c r="CB59" t="e">
        <f>'Effort Estimation'!R510+"AM:!$uN"</f>
        <v>#VALUE!</v>
      </c>
      <c r="CC59" t="e">
        <f>'Effort Estimation'!S510+"AM:!$uO"</f>
        <v>#VALUE!</v>
      </c>
      <c r="CD59" t="e">
        <f>'Effort Estimation'!T510+"AM:!$uP"</f>
        <v>#VALUE!</v>
      </c>
      <c r="CE59" t="e">
        <f>'Effort Estimation'!A511+"AM:!$uQ"</f>
        <v>#VALUE!</v>
      </c>
      <c r="CF59" t="e">
        <f>'Effort Estimation'!B511+"AM:!$uR"</f>
        <v>#VALUE!</v>
      </c>
      <c r="CG59" t="e">
        <f>'Effort Estimation'!C511+"AM:!$uS"</f>
        <v>#VALUE!</v>
      </c>
      <c r="CH59" t="e">
        <f>'Effort Estimation'!D511+"AM:!$uT"</f>
        <v>#VALUE!</v>
      </c>
      <c r="CI59" t="e">
        <f>'Effort Estimation'!E511+"AM:!$uU"</f>
        <v>#VALUE!</v>
      </c>
      <c r="CJ59" t="e">
        <f>'Effort Estimation'!F511+"AM:!$uV"</f>
        <v>#VALUE!</v>
      </c>
      <c r="CK59" t="e">
        <f>'Effort Estimation'!G511+"AM:!$uW"</f>
        <v>#VALUE!</v>
      </c>
      <c r="CL59" t="e">
        <f>'Effort Estimation'!H511+"AM:!$uX"</f>
        <v>#VALUE!</v>
      </c>
      <c r="CM59" t="e">
        <f>'Effort Estimation'!I511+"AM:!$uY"</f>
        <v>#VALUE!</v>
      </c>
      <c r="CN59" s="99" t="e">
        <f>'Effort Estimation'!J511+"AM:!$uZ"</f>
        <v>#VALUE!</v>
      </c>
      <c r="CO59" s="99" t="e">
        <f>'Effort Estimation'!K511+"AM:!$u["</f>
        <v>#VALUE!</v>
      </c>
      <c r="CP59" s="99" t="e">
        <f>'Effort Estimation'!L511+"AM:!$u\"</f>
        <v>#VALUE!</v>
      </c>
      <c r="CQ59" s="99" t="e">
        <f>'Effort Estimation'!M511+"AM:!$u]"</f>
        <v>#VALUE!</v>
      </c>
      <c r="CR59" s="99" t="e">
        <f>'Effort Estimation'!N511+"AM:!$u^"</f>
        <v>#VALUE!</v>
      </c>
      <c r="CS59" s="99" t="e">
        <f>'Effort Estimation'!O511+"AM:!$u_"</f>
        <v>#VALUE!</v>
      </c>
      <c r="CT59" s="99" t="e">
        <f>'Effort Estimation'!P511+"AM:!$u`"</f>
        <v>#VALUE!</v>
      </c>
      <c r="CU59" s="99" t="e">
        <f>'Effort Estimation'!Q511+"AM:!$ua"</f>
        <v>#VALUE!</v>
      </c>
      <c r="CV59" t="e">
        <f>'Effort Estimation'!R511+"AM:!$ub"</f>
        <v>#VALUE!</v>
      </c>
      <c r="CW59" t="e">
        <f>'Effort Estimation'!S511+"AM:!$uc"</f>
        <v>#VALUE!</v>
      </c>
      <c r="CX59" t="e">
        <f>'Effort Estimation'!T511+"AM:!$ud"</f>
        <v>#VALUE!</v>
      </c>
      <c r="CY59" t="e">
        <f>'Effort Estimation'!A512+"AM:!$ue"</f>
        <v>#VALUE!</v>
      </c>
      <c r="CZ59" t="e">
        <f>'Effort Estimation'!B512+"AM:!$uf"</f>
        <v>#VALUE!</v>
      </c>
      <c r="DA59" t="e">
        <f>'Effort Estimation'!C512+"AM:!$ug"</f>
        <v>#VALUE!</v>
      </c>
      <c r="DB59" t="e">
        <f>'Effort Estimation'!D512+"AM:!$uh"</f>
        <v>#VALUE!</v>
      </c>
      <c r="DC59" t="e">
        <f>'Effort Estimation'!E512+"AM:!$ui"</f>
        <v>#VALUE!</v>
      </c>
      <c r="DD59" t="e">
        <f>'Effort Estimation'!F512+"AM:!$uj"</f>
        <v>#VALUE!</v>
      </c>
      <c r="DE59" t="e">
        <f>'Effort Estimation'!G512+"AM:!$uk"</f>
        <v>#VALUE!</v>
      </c>
      <c r="DF59" t="e">
        <f>'Effort Estimation'!H512+"AM:!$ul"</f>
        <v>#VALUE!</v>
      </c>
      <c r="DG59" t="e">
        <f>'Effort Estimation'!I512+"AM:!$um"</f>
        <v>#VALUE!</v>
      </c>
      <c r="DH59" s="99" t="e">
        <f>'Effort Estimation'!J512+"AM:!$un"</f>
        <v>#VALUE!</v>
      </c>
      <c r="DI59" s="99" t="e">
        <f>'Effort Estimation'!K512+"AM:!$uo"</f>
        <v>#VALUE!</v>
      </c>
      <c r="DJ59" s="99" t="e">
        <f>'Effort Estimation'!L512+"AM:!$up"</f>
        <v>#VALUE!</v>
      </c>
      <c r="DK59" s="99" t="e">
        <f>'Effort Estimation'!M512+"AM:!$uq"</f>
        <v>#VALUE!</v>
      </c>
      <c r="DL59" s="99" t="e">
        <f>'Effort Estimation'!N512+"AM:!$ur"</f>
        <v>#VALUE!</v>
      </c>
      <c r="DM59" s="99" t="e">
        <f>'Effort Estimation'!O512+"AM:!$us"</f>
        <v>#VALUE!</v>
      </c>
      <c r="DN59" s="99" t="e">
        <f>'Effort Estimation'!P512+"AM:!$ut"</f>
        <v>#VALUE!</v>
      </c>
      <c r="DO59" s="99" t="e">
        <f>'Effort Estimation'!Q512+"AM:!$uu"</f>
        <v>#VALUE!</v>
      </c>
      <c r="DP59" t="e">
        <f>'Effort Estimation'!R512+"AM:!$uv"</f>
        <v>#VALUE!</v>
      </c>
      <c r="DQ59" t="e">
        <f>'Effort Estimation'!S512+"AM:!$uw"</f>
        <v>#VALUE!</v>
      </c>
      <c r="DR59" t="e">
        <f>'Effort Estimation'!T512+"AM:!$ux"</f>
        <v>#VALUE!</v>
      </c>
      <c r="DS59" t="e">
        <f>'Effort Estimation'!A513+"AM:!$uy"</f>
        <v>#VALUE!</v>
      </c>
      <c r="DT59" t="e">
        <f>'Effort Estimation'!B513+"AM:!$uz"</f>
        <v>#VALUE!</v>
      </c>
      <c r="DU59" t="e">
        <f>'Effort Estimation'!C513+"AM:!$u{"</f>
        <v>#VALUE!</v>
      </c>
      <c r="DV59" t="e">
        <f>'Effort Estimation'!D513+"AM:!$u|"</f>
        <v>#VALUE!</v>
      </c>
      <c r="DW59" t="e">
        <f>'Effort Estimation'!E513+"AM:!$u}"</f>
        <v>#VALUE!</v>
      </c>
      <c r="DX59" t="e">
        <f>'Effort Estimation'!F513+"AM:!$u~"</f>
        <v>#VALUE!</v>
      </c>
      <c r="DY59" t="e">
        <f>'Effort Estimation'!G513+"AM:!$v#"</f>
        <v>#VALUE!</v>
      </c>
      <c r="DZ59" t="e">
        <f>'Effort Estimation'!H513+"AM:!$v$"</f>
        <v>#VALUE!</v>
      </c>
      <c r="EA59" t="e">
        <f>'Effort Estimation'!I513+"AM:!$v%"</f>
        <v>#VALUE!</v>
      </c>
      <c r="EB59" s="99" t="e">
        <f>'Effort Estimation'!J513+"AM:!$v&amp;"</f>
        <v>#VALUE!</v>
      </c>
      <c r="EC59" s="99" t="e">
        <f>'Effort Estimation'!K513+"AM:!$v'"</f>
        <v>#VALUE!</v>
      </c>
      <c r="ED59" s="99" t="e">
        <f>'Effort Estimation'!L513+"AM:!$v("</f>
        <v>#VALUE!</v>
      </c>
      <c r="EE59" s="99" t="e">
        <f>'Effort Estimation'!M513+"AM:!$v)"</f>
        <v>#VALUE!</v>
      </c>
      <c r="EF59" s="99" t="e">
        <f>'Effort Estimation'!N513+"AM:!$v."</f>
        <v>#VALUE!</v>
      </c>
      <c r="EG59" s="99" t="e">
        <f>'Effort Estimation'!O513+"AM:!$v/"</f>
        <v>#VALUE!</v>
      </c>
      <c r="EH59" s="99" t="e">
        <f>'Effort Estimation'!P513+"AM:!$v0"</f>
        <v>#VALUE!</v>
      </c>
      <c r="EI59" s="99" t="e">
        <f>'Effort Estimation'!Q513+"AM:!$v1"</f>
        <v>#VALUE!</v>
      </c>
      <c r="EJ59" t="e">
        <f>'Effort Estimation'!R513+"AM:!$v2"</f>
        <v>#VALUE!</v>
      </c>
      <c r="EK59" t="e">
        <f>'Effort Estimation'!S513+"AM:!$v3"</f>
        <v>#VALUE!</v>
      </c>
      <c r="EL59" t="e">
        <f>'Effort Estimation'!T513+"AM:!$v4"</f>
        <v>#VALUE!</v>
      </c>
      <c r="EM59" t="e">
        <f>'Effort Estimation'!A514+"AM:!$v5"</f>
        <v>#VALUE!</v>
      </c>
      <c r="EN59" t="e">
        <f>'Effort Estimation'!B514+"AM:!$v6"</f>
        <v>#VALUE!</v>
      </c>
      <c r="EO59" t="e">
        <f>'Effort Estimation'!C514+"AM:!$v7"</f>
        <v>#VALUE!</v>
      </c>
      <c r="EP59" t="e">
        <f>'Effort Estimation'!D514+"AM:!$v8"</f>
        <v>#VALUE!</v>
      </c>
      <c r="EQ59" t="e">
        <f>'Effort Estimation'!E514+"AM:!$v9"</f>
        <v>#VALUE!</v>
      </c>
      <c r="ER59" t="e">
        <f>'Effort Estimation'!F514+"AM:!$v:"</f>
        <v>#VALUE!</v>
      </c>
      <c r="ES59" t="e">
        <f>'Effort Estimation'!G514+"AM:!$v;"</f>
        <v>#VALUE!</v>
      </c>
      <c r="ET59" t="e">
        <f>'Effort Estimation'!H514+"AM:!$v&lt;"</f>
        <v>#VALUE!</v>
      </c>
      <c r="EU59" t="e">
        <f>'Effort Estimation'!I514+"AM:!$v="</f>
        <v>#VALUE!</v>
      </c>
      <c r="EV59" s="99" t="e">
        <f>'Effort Estimation'!J514+"AM:!$v&gt;"</f>
        <v>#VALUE!</v>
      </c>
      <c r="EW59" s="99" t="e">
        <f>'Effort Estimation'!K514+"AM:!$v?"</f>
        <v>#VALUE!</v>
      </c>
      <c r="EX59" s="99" t="e">
        <f>'Effort Estimation'!L514+"AM:!$v@"</f>
        <v>#VALUE!</v>
      </c>
      <c r="EY59" s="99" t="e">
        <f>'Effort Estimation'!M514+"AM:!$vA"</f>
        <v>#VALUE!</v>
      </c>
      <c r="EZ59" s="99" t="e">
        <f>'Effort Estimation'!N514+"AM:!$vB"</f>
        <v>#VALUE!</v>
      </c>
      <c r="FA59" s="99" t="e">
        <f>'Effort Estimation'!O514+"AM:!$vC"</f>
        <v>#VALUE!</v>
      </c>
      <c r="FB59" s="99" t="e">
        <f>'Effort Estimation'!P514+"AM:!$vD"</f>
        <v>#VALUE!</v>
      </c>
      <c r="FC59" s="99" t="e">
        <f>'Effort Estimation'!Q514+"AM:!$vE"</f>
        <v>#VALUE!</v>
      </c>
      <c r="FD59" t="e">
        <f>'Effort Estimation'!R514+"AM:!$vF"</f>
        <v>#VALUE!</v>
      </c>
      <c r="FE59" t="e">
        <f>'Effort Estimation'!S514+"AM:!$vG"</f>
        <v>#VALUE!</v>
      </c>
      <c r="FF59" t="e">
        <f>'Effort Estimation'!T514+"AM:!$vH"</f>
        <v>#VALUE!</v>
      </c>
      <c r="FG59" t="e">
        <f>'Effort Estimation'!A515+"AM:!$vI"</f>
        <v>#VALUE!</v>
      </c>
      <c r="FH59" t="e">
        <f>'Effort Estimation'!B515+"AM:!$vJ"</f>
        <v>#VALUE!</v>
      </c>
      <c r="FI59" t="e">
        <f>'Effort Estimation'!C515+"AM:!$vK"</f>
        <v>#VALUE!</v>
      </c>
      <c r="FJ59" t="e">
        <f>'Effort Estimation'!D515+"AM:!$vL"</f>
        <v>#VALUE!</v>
      </c>
      <c r="FK59" t="e">
        <f>'Effort Estimation'!E515+"AM:!$vM"</f>
        <v>#VALUE!</v>
      </c>
      <c r="FL59" t="e">
        <f>'Effort Estimation'!F515+"AM:!$vN"</f>
        <v>#VALUE!</v>
      </c>
      <c r="FM59" t="e">
        <f>'Effort Estimation'!G515+"AM:!$vO"</f>
        <v>#VALUE!</v>
      </c>
      <c r="FN59" t="e">
        <f>'Effort Estimation'!H515+"AM:!$vP"</f>
        <v>#VALUE!</v>
      </c>
      <c r="FO59" t="e">
        <f>'Effort Estimation'!I515+"AM:!$vQ"</f>
        <v>#VALUE!</v>
      </c>
      <c r="FP59" s="99" t="e">
        <f>'Effort Estimation'!J515+"AM:!$vR"</f>
        <v>#VALUE!</v>
      </c>
      <c r="FQ59" s="99" t="e">
        <f>'Effort Estimation'!K515+"AM:!$vS"</f>
        <v>#VALUE!</v>
      </c>
      <c r="FR59" s="99" t="e">
        <f>'Effort Estimation'!L515+"AM:!$vT"</f>
        <v>#VALUE!</v>
      </c>
      <c r="FS59" s="99" t="e">
        <f>'Effort Estimation'!M515+"AM:!$vU"</f>
        <v>#VALUE!</v>
      </c>
      <c r="FT59" s="99" t="e">
        <f>'Effort Estimation'!N515+"AM:!$vV"</f>
        <v>#VALUE!</v>
      </c>
      <c r="FU59" s="99" t="e">
        <f>'Effort Estimation'!O515+"AM:!$vW"</f>
        <v>#VALUE!</v>
      </c>
      <c r="FV59" s="99" t="e">
        <f>'Effort Estimation'!P515+"AM:!$vX"</f>
        <v>#VALUE!</v>
      </c>
      <c r="FW59" s="99" t="e">
        <f>'Effort Estimation'!Q515+"AM:!$vY"</f>
        <v>#VALUE!</v>
      </c>
      <c r="FX59" t="e">
        <f>'Effort Estimation'!R515+"AM:!$vZ"</f>
        <v>#VALUE!</v>
      </c>
      <c r="FY59" t="e">
        <f>'Effort Estimation'!S515+"AM:!$v["</f>
        <v>#VALUE!</v>
      </c>
      <c r="FZ59" t="e">
        <f>'Effort Estimation'!T515+"AM:!$v\"</f>
        <v>#VALUE!</v>
      </c>
      <c r="GA59" t="e">
        <f>'Effort Estimation'!A516+"AM:!$v]"</f>
        <v>#VALUE!</v>
      </c>
      <c r="GB59" t="e">
        <f>'Effort Estimation'!B516+"AM:!$v^"</f>
        <v>#VALUE!</v>
      </c>
      <c r="GC59" t="e">
        <f>'Effort Estimation'!C516+"AM:!$v_"</f>
        <v>#VALUE!</v>
      </c>
      <c r="GD59" t="e">
        <f>'Effort Estimation'!D516+"AM:!$v`"</f>
        <v>#VALUE!</v>
      </c>
      <c r="GE59" t="e">
        <f>'Effort Estimation'!E516+"AM:!$va"</f>
        <v>#VALUE!</v>
      </c>
      <c r="GF59" t="e">
        <f>'Effort Estimation'!F516+"AM:!$vb"</f>
        <v>#VALUE!</v>
      </c>
      <c r="GG59" t="e">
        <f>'Effort Estimation'!G516+"AM:!$vc"</f>
        <v>#VALUE!</v>
      </c>
      <c r="GH59" t="e">
        <f>'Effort Estimation'!H516+"AM:!$vd"</f>
        <v>#VALUE!</v>
      </c>
      <c r="GI59" t="e">
        <f>'Effort Estimation'!I516+"AM:!$ve"</f>
        <v>#VALUE!</v>
      </c>
      <c r="GJ59" s="99" t="e">
        <f>'Effort Estimation'!J516+"AM:!$vf"</f>
        <v>#VALUE!</v>
      </c>
      <c r="GK59" s="99" t="e">
        <f>'Effort Estimation'!K516+"AM:!$vg"</f>
        <v>#VALUE!</v>
      </c>
      <c r="GL59" s="99" t="e">
        <f>'Effort Estimation'!L516+"AM:!$vh"</f>
        <v>#VALUE!</v>
      </c>
      <c r="GM59" s="99" t="e">
        <f>'Effort Estimation'!M516+"AM:!$vi"</f>
        <v>#VALUE!</v>
      </c>
      <c r="GN59" s="99" t="e">
        <f>'Effort Estimation'!N516+"AM:!$vj"</f>
        <v>#VALUE!</v>
      </c>
      <c r="GO59" s="99" t="e">
        <f>'Effort Estimation'!O516+"AM:!$vk"</f>
        <v>#VALUE!</v>
      </c>
      <c r="GP59" s="99" t="e">
        <f>'Effort Estimation'!P516+"AM:!$vl"</f>
        <v>#VALUE!</v>
      </c>
      <c r="GQ59" s="99" t="e">
        <f>'Effort Estimation'!Q516+"AM:!$vm"</f>
        <v>#VALUE!</v>
      </c>
      <c r="GR59" t="e">
        <f>'Effort Estimation'!R516+"AM:!$vn"</f>
        <v>#VALUE!</v>
      </c>
      <c r="GS59" t="e">
        <f>'Effort Estimation'!S516+"AM:!$vo"</f>
        <v>#VALUE!</v>
      </c>
      <c r="GT59" t="e">
        <f>'Effort Estimation'!T516+"AM:!$vp"</f>
        <v>#VALUE!</v>
      </c>
      <c r="GU59" t="e">
        <f>'Effort Estimation'!A517+"AM:!$vq"</f>
        <v>#VALUE!</v>
      </c>
      <c r="GV59" t="e">
        <f>'Effort Estimation'!B517+"AM:!$vr"</f>
        <v>#VALUE!</v>
      </c>
      <c r="GW59" t="e">
        <f>'Effort Estimation'!C517+"AM:!$vs"</f>
        <v>#VALUE!</v>
      </c>
      <c r="GX59" t="e">
        <f>'Effort Estimation'!D517+"AM:!$vt"</f>
        <v>#VALUE!</v>
      </c>
      <c r="GY59" t="e">
        <f>'Effort Estimation'!E517+"AM:!$vu"</f>
        <v>#VALUE!</v>
      </c>
      <c r="GZ59" t="e">
        <f>'Effort Estimation'!F517+"AM:!$vv"</f>
        <v>#VALUE!</v>
      </c>
      <c r="HA59" t="e">
        <f>'Effort Estimation'!G517+"AM:!$vw"</f>
        <v>#VALUE!</v>
      </c>
      <c r="HB59" t="e">
        <f>'Effort Estimation'!H517+"AM:!$vx"</f>
        <v>#VALUE!</v>
      </c>
      <c r="HC59" t="e">
        <f>'Effort Estimation'!I517+"AM:!$vy"</f>
        <v>#VALUE!</v>
      </c>
      <c r="HD59" s="99" t="e">
        <f>'Effort Estimation'!J517+"AM:!$vz"</f>
        <v>#VALUE!</v>
      </c>
      <c r="HE59" s="99" t="e">
        <f>'Effort Estimation'!K517+"AM:!$v{"</f>
        <v>#VALUE!</v>
      </c>
      <c r="HF59" s="99" t="e">
        <f>'Effort Estimation'!L517+"AM:!$v|"</f>
        <v>#VALUE!</v>
      </c>
      <c r="HG59" s="99" t="e">
        <f>'Effort Estimation'!M517+"AM:!$v}"</f>
        <v>#VALUE!</v>
      </c>
      <c r="HH59" s="99" t="e">
        <f>'Effort Estimation'!N517+"AM:!$v~"</f>
        <v>#VALUE!</v>
      </c>
      <c r="HI59" s="99" t="e">
        <f>'Effort Estimation'!O517+"AM:!$w#"</f>
        <v>#VALUE!</v>
      </c>
      <c r="HJ59" s="99" t="e">
        <f>'Effort Estimation'!P517+"AM:!$w$"</f>
        <v>#VALUE!</v>
      </c>
      <c r="HK59" s="99" t="e">
        <f>'Effort Estimation'!Q517+"AM:!$w%"</f>
        <v>#VALUE!</v>
      </c>
      <c r="HL59" t="e">
        <f>'Effort Estimation'!R517+"AM:!$w&amp;"</f>
        <v>#VALUE!</v>
      </c>
      <c r="HM59" t="e">
        <f>'Effort Estimation'!S517+"AM:!$w'"</f>
        <v>#VALUE!</v>
      </c>
      <c r="HN59" t="e">
        <f>'Effort Estimation'!T517+"AM:!$w("</f>
        <v>#VALUE!</v>
      </c>
      <c r="HO59" t="e">
        <f>'Effort Estimation'!A518+"AM:!$w)"</f>
        <v>#VALUE!</v>
      </c>
      <c r="HP59" t="e">
        <f>'Effort Estimation'!B518+"AM:!$w."</f>
        <v>#VALUE!</v>
      </c>
      <c r="HQ59" t="e">
        <f>'Effort Estimation'!C518+"AM:!$w/"</f>
        <v>#VALUE!</v>
      </c>
      <c r="HR59" t="e">
        <f>'Effort Estimation'!D518+"AM:!$w0"</f>
        <v>#VALUE!</v>
      </c>
      <c r="HS59" t="e">
        <f>'Effort Estimation'!E518+"AM:!$w1"</f>
        <v>#VALUE!</v>
      </c>
      <c r="HT59" t="e">
        <f>'Effort Estimation'!F518+"AM:!$w2"</f>
        <v>#VALUE!</v>
      </c>
      <c r="HU59" t="e">
        <f>'Effort Estimation'!G518+"AM:!$w3"</f>
        <v>#VALUE!</v>
      </c>
      <c r="HV59" t="e">
        <f>'Effort Estimation'!H518+"AM:!$w4"</f>
        <v>#VALUE!</v>
      </c>
      <c r="HW59" t="e">
        <f>'Effort Estimation'!I518+"AM:!$w5"</f>
        <v>#VALUE!</v>
      </c>
      <c r="HX59" s="99" t="e">
        <f>'Effort Estimation'!J518+"AM:!$w6"</f>
        <v>#VALUE!</v>
      </c>
      <c r="HY59" s="99" t="e">
        <f>'Effort Estimation'!K518+"AM:!$w7"</f>
        <v>#VALUE!</v>
      </c>
      <c r="HZ59" s="99" t="e">
        <f>'Effort Estimation'!L518+"AM:!$w8"</f>
        <v>#VALUE!</v>
      </c>
      <c r="IA59" s="99" t="e">
        <f>'Effort Estimation'!M518+"AM:!$w9"</f>
        <v>#VALUE!</v>
      </c>
      <c r="IB59" s="99" t="e">
        <f>'Effort Estimation'!N518+"AM:!$w:"</f>
        <v>#VALUE!</v>
      </c>
      <c r="IC59" s="99" t="e">
        <f>'Effort Estimation'!O518+"AM:!$w;"</f>
        <v>#VALUE!</v>
      </c>
      <c r="ID59" s="99" t="e">
        <f>'Effort Estimation'!P518+"AM:!$w&lt;"</f>
        <v>#VALUE!</v>
      </c>
      <c r="IE59" s="99" t="e">
        <f>'Effort Estimation'!Q518+"AM:!$w="</f>
        <v>#VALUE!</v>
      </c>
      <c r="IF59" t="e">
        <f>'Effort Estimation'!R518+"AM:!$w&gt;"</f>
        <v>#VALUE!</v>
      </c>
      <c r="IG59" t="e">
        <f>'Effort Estimation'!S518+"AM:!$w?"</f>
        <v>#VALUE!</v>
      </c>
      <c r="IH59" t="e">
        <f>'Effort Estimation'!T518+"AM:!$w@"</f>
        <v>#VALUE!</v>
      </c>
      <c r="II59" t="e">
        <f>'Effort Estimation'!A519+"AM:!$wA"</f>
        <v>#VALUE!</v>
      </c>
      <c r="IJ59" t="e">
        <f>'Effort Estimation'!B519+"AM:!$wB"</f>
        <v>#VALUE!</v>
      </c>
      <c r="IK59" t="e">
        <f>'Effort Estimation'!C519+"AM:!$wC"</f>
        <v>#VALUE!</v>
      </c>
      <c r="IL59" t="e">
        <f>'Effort Estimation'!D519+"AM:!$wD"</f>
        <v>#VALUE!</v>
      </c>
      <c r="IM59" t="e">
        <f>'Effort Estimation'!E519+"AM:!$wE"</f>
        <v>#VALUE!</v>
      </c>
      <c r="IN59" t="e">
        <f>'Effort Estimation'!F519+"AM:!$wF"</f>
        <v>#VALUE!</v>
      </c>
      <c r="IO59" t="e">
        <f>'Effort Estimation'!G519+"AM:!$wG"</f>
        <v>#VALUE!</v>
      </c>
      <c r="IP59" t="e">
        <f>'Effort Estimation'!H519+"AM:!$wH"</f>
        <v>#VALUE!</v>
      </c>
      <c r="IQ59" t="e">
        <f>'Effort Estimation'!I519+"AM:!$wI"</f>
        <v>#VALUE!</v>
      </c>
      <c r="IR59" s="99" t="e">
        <f>'Effort Estimation'!J519+"AM:!$wJ"</f>
        <v>#VALUE!</v>
      </c>
      <c r="IS59" s="99" t="e">
        <f>'Effort Estimation'!K519+"AM:!$wK"</f>
        <v>#VALUE!</v>
      </c>
      <c r="IT59" s="99" t="e">
        <f>'Effort Estimation'!L519+"AM:!$wL"</f>
        <v>#VALUE!</v>
      </c>
      <c r="IU59" s="99" t="e">
        <f>'Effort Estimation'!M519+"AM:!$wM"</f>
        <v>#VALUE!</v>
      </c>
      <c r="IV59" s="99" t="e">
        <f>'Effort Estimation'!N519+"AM:!$wN"</f>
        <v>#VALUE!</v>
      </c>
    </row>
    <row r="60" spans="6:256">
      <c r="F60" s="99" t="e">
        <f>'Effort Estimation'!O519+"AM:!$wO"</f>
        <v>#VALUE!</v>
      </c>
      <c r="G60" s="99" t="e">
        <f>'Effort Estimation'!P519+"AM:!$wP"</f>
        <v>#VALUE!</v>
      </c>
      <c r="H60" s="99" t="e">
        <f>'Effort Estimation'!Q519+"AM:!$wQ"</f>
        <v>#VALUE!</v>
      </c>
      <c r="I60" t="e">
        <f>'Effort Estimation'!R519+"AM:!$wR"</f>
        <v>#VALUE!</v>
      </c>
      <c r="J60" t="e">
        <f>'Effort Estimation'!S519+"AM:!$wS"</f>
        <v>#VALUE!</v>
      </c>
      <c r="K60" t="e">
        <f>'Effort Estimation'!T519+"AM:!$wT"</f>
        <v>#VALUE!</v>
      </c>
      <c r="L60" t="e">
        <f>'Effort Estimation'!A520+"AM:!$wU"</f>
        <v>#VALUE!</v>
      </c>
      <c r="M60" t="e">
        <f>'Effort Estimation'!B520+"AM:!$wV"</f>
        <v>#VALUE!</v>
      </c>
      <c r="N60" t="e">
        <f>'Effort Estimation'!C520+"AM:!$wW"</f>
        <v>#VALUE!</v>
      </c>
      <c r="O60" t="e">
        <f>'Effort Estimation'!D520+"AM:!$wX"</f>
        <v>#VALUE!</v>
      </c>
      <c r="P60" t="e">
        <f>'Effort Estimation'!E520+"AM:!$wY"</f>
        <v>#VALUE!</v>
      </c>
      <c r="Q60" t="e">
        <f>'Effort Estimation'!F520+"AM:!$wZ"</f>
        <v>#VALUE!</v>
      </c>
      <c r="R60" t="e">
        <f>'Effort Estimation'!G520+"AM:!$w["</f>
        <v>#VALUE!</v>
      </c>
      <c r="S60" t="e">
        <f>'Effort Estimation'!H520+"AM:!$w\"</f>
        <v>#VALUE!</v>
      </c>
      <c r="T60" t="e">
        <f>'Effort Estimation'!I520+"AM:!$w]"</f>
        <v>#VALUE!</v>
      </c>
      <c r="U60" s="99" t="e">
        <f>'Effort Estimation'!J520+"AM:!$w^"</f>
        <v>#VALUE!</v>
      </c>
      <c r="V60" s="99" t="e">
        <f>'Effort Estimation'!K520+"AM:!$w_"</f>
        <v>#VALUE!</v>
      </c>
      <c r="W60" s="99" t="e">
        <f>'Effort Estimation'!L520+"AM:!$w`"</f>
        <v>#VALUE!</v>
      </c>
      <c r="X60" s="99" t="e">
        <f>'Effort Estimation'!M520+"AM:!$wa"</f>
        <v>#VALUE!</v>
      </c>
      <c r="Y60" s="99" t="e">
        <f>'Effort Estimation'!N520+"AM:!$wb"</f>
        <v>#VALUE!</v>
      </c>
      <c r="Z60" s="99" t="e">
        <f>'Effort Estimation'!O520+"AM:!$wc"</f>
        <v>#VALUE!</v>
      </c>
      <c r="AA60" s="99" t="e">
        <f>'Effort Estimation'!P520+"AM:!$wd"</f>
        <v>#VALUE!</v>
      </c>
      <c r="AB60" s="99" t="e">
        <f>'Effort Estimation'!Q520+"AM:!$we"</f>
        <v>#VALUE!</v>
      </c>
      <c r="AC60" t="e">
        <f>'Effort Estimation'!R520+"AM:!$wf"</f>
        <v>#VALUE!</v>
      </c>
      <c r="AD60" t="e">
        <f>'Effort Estimation'!S520+"AM:!$wg"</f>
        <v>#VALUE!</v>
      </c>
      <c r="AE60" t="e">
        <f>'Effort Estimation'!T520+"AM:!$wh"</f>
        <v>#VALUE!</v>
      </c>
      <c r="AF60" t="e">
        <f>'Effort Estimation'!A521+"AM:!$wi"</f>
        <v>#VALUE!</v>
      </c>
      <c r="AG60" t="e">
        <f>'Effort Estimation'!B521+"AM:!$wj"</f>
        <v>#VALUE!</v>
      </c>
      <c r="AH60" t="e">
        <f>'Effort Estimation'!C521+"AM:!$wk"</f>
        <v>#VALUE!</v>
      </c>
      <c r="AI60" t="e">
        <f>'Effort Estimation'!D521+"AM:!$wl"</f>
        <v>#VALUE!</v>
      </c>
      <c r="AJ60" t="e">
        <f>'Effort Estimation'!E521+"AM:!$wm"</f>
        <v>#VALUE!</v>
      </c>
      <c r="AK60" t="e">
        <f>'Effort Estimation'!F521+"AM:!$wn"</f>
        <v>#VALUE!</v>
      </c>
      <c r="AL60" t="e">
        <f>'Effort Estimation'!G521+"AM:!$wo"</f>
        <v>#VALUE!</v>
      </c>
      <c r="AM60" t="e">
        <f>'Effort Estimation'!H521+"AM:!$wp"</f>
        <v>#VALUE!</v>
      </c>
      <c r="AN60" t="e">
        <f>'Effort Estimation'!I521+"AM:!$wq"</f>
        <v>#VALUE!</v>
      </c>
      <c r="AO60" s="99" t="e">
        <f>'Effort Estimation'!J521+"AM:!$wr"</f>
        <v>#VALUE!</v>
      </c>
      <c r="AP60" s="99" t="e">
        <f>'Effort Estimation'!K521+"AM:!$ws"</f>
        <v>#VALUE!</v>
      </c>
      <c r="AQ60" s="99" t="e">
        <f>'Effort Estimation'!L521+"AM:!$wt"</f>
        <v>#VALUE!</v>
      </c>
      <c r="AR60" s="99" t="e">
        <f>'Effort Estimation'!M521+"AM:!$wu"</f>
        <v>#VALUE!</v>
      </c>
      <c r="AS60" s="99" t="e">
        <f>'Effort Estimation'!N521+"AM:!$wv"</f>
        <v>#VALUE!</v>
      </c>
      <c r="AT60" s="99" t="e">
        <f>'Effort Estimation'!O521+"AM:!$ww"</f>
        <v>#VALUE!</v>
      </c>
      <c r="AU60" s="99" t="e">
        <f>'Effort Estimation'!P521+"AM:!$wx"</f>
        <v>#VALUE!</v>
      </c>
      <c r="AV60" s="99" t="e">
        <f>'Effort Estimation'!Q521+"AM:!$wy"</f>
        <v>#VALUE!</v>
      </c>
      <c r="AW60" t="e">
        <f>'Effort Estimation'!R521+"AM:!$wz"</f>
        <v>#VALUE!</v>
      </c>
      <c r="AX60" t="e">
        <f>'Effort Estimation'!S521+"AM:!$w{"</f>
        <v>#VALUE!</v>
      </c>
      <c r="AY60" t="e">
        <f>'Effort Estimation'!T521+"AM:!$w|"</f>
        <v>#VALUE!</v>
      </c>
      <c r="AZ60" t="e">
        <f>'Effort Estimation'!A522+"AM:!$w}"</f>
        <v>#VALUE!</v>
      </c>
      <c r="BA60" t="e">
        <f>'Effort Estimation'!B522+"AM:!$w~"</f>
        <v>#VALUE!</v>
      </c>
      <c r="BB60" t="e">
        <f>'Effort Estimation'!C522+"AM:!$x#"</f>
        <v>#VALUE!</v>
      </c>
      <c r="BC60" t="e">
        <f>'Effort Estimation'!D522+"AM:!$x$"</f>
        <v>#VALUE!</v>
      </c>
      <c r="BD60" t="e">
        <f>'Effort Estimation'!E522+"AM:!$x%"</f>
        <v>#VALUE!</v>
      </c>
      <c r="BE60" t="e">
        <f>'Effort Estimation'!F522+"AM:!$x&amp;"</f>
        <v>#VALUE!</v>
      </c>
      <c r="BF60" t="e">
        <f>'Effort Estimation'!G522+"AM:!$x'"</f>
        <v>#VALUE!</v>
      </c>
      <c r="BG60" t="e">
        <f>'Effort Estimation'!H522+"AM:!$x("</f>
        <v>#VALUE!</v>
      </c>
      <c r="BH60" t="e">
        <f>'Effort Estimation'!I522+"AM:!$x)"</f>
        <v>#VALUE!</v>
      </c>
      <c r="BI60" s="99" t="e">
        <f>'Effort Estimation'!J522+"AM:!$x."</f>
        <v>#VALUE!</v>
      </c>
      <c r="BJ60" s="99" t="e">
        <f>'Effort Estimation'!K522+"AM:!$x/"</f>
        <v>#VALUE!</v>
      </c>
      <c r="BK60" s="99" t="e">
        <f>'Effort Estimation'!L522+"AM:!$x0"</f>
        <v>#VALUE!</v>
      </c>
      <c r="BL60" s="99" t="e">
        <f>'Effort Estimation'!M522+"AM:!$x1"</f>
        <v>#VALUE!</v>
      </c>
      <c r="BM60" s="99" t="e">
        <f>'Effort Estimation'!N522+"AM:!$x2"</f>
        <v>#VALUE!</v>
      </c>
      <c r="BN60" s="99" t="e">
        <f>'Effort Estimation'!O522+"AM:!$x3"</f>
        <v>#VALUE!</v>
      </c>
      <c r="BO60" s="99" t="e">
        <f>'Effort Estimation'!P522+"AM:!$x4"</f>
        <v>#VALUE!</v>
      </c>
      <c r="BP60" s="99" t="e">
        <f>'Effort Estimation'!Q522+"AM:!$x5"</f>
        <v>#VALUE!</v>
      </c>
      <c r="BQ60" t="e">
        <f>'Effort Estimation'!R522+"AM:!$x6"</f>
        <v>#VALUE!</v>
      </c>
      <c r="BR60" t="e">
        <f>'Effort Estimation'!S522+"AM:!$x7"</f>
        <v>#VALUE!</v>
      </c>
      <c r="BS60" t="e">
        <f>'Effort Estimation'!T522+"AM:!$x8"</f>
        <v>#VALUE!</v>
      </c>
      <c r="BT60" t="e">
        <f>'Effort Estimation'!A523+"AM:!$x9"</f>
        <v>#VALUE!</v>
      </c>
      <c r="BU60" t="e">
        <f>'Effort Estimation'!B523+"AM:!$x:"</f>
        <v>#VALUE!</v>
      </c>
      <c r="BV60" t="e">
        <f>'Effort Estimation'!C523+"AM:!$x;"</f>
        <v>#VALUE!</v>
      </c>
      <c r="BW60" t="e">
        <f>'Effort Estimation'!D523+"AM:!$x&lt;"</f>
        <v>#VALUE!</v>
      </c>
      <c r="BX60" t="e">
        <f>'Effort Estimation'!E523+"AM:!$x="</f>
        <v>#VALUE!</v>
      </c>
      <c r="BY60" t="e">
        <f>'Effort Estimation'!F523+"AM:!$x&gt;"</f>
        <v>#VALUE!</v>
      </c>
      <c r="BZ60" t="e">
        <f>'Effort Estimation'!G523+"AM:!$x?"</f>
        <v>#VALUE!</v>
      </c>
      <c r="CA60" t="e">
        <f>'Effort Estimation'!H523+"AM:!$x@"</f>
        <v>#VALUE!</v>
      </c>
      <c r="CB60" t="e">
        <f>'Effort Estimation'!I523+"AM:!$xA"</f>
        <v>#VALUE!</v>
      </c>
      <c r="CC60" s="99" t="e">
        <f>'Effort Estimation'!J523+"AM:!$xB"</f>
        <v>#VALUE!</v>
      </c>
      <c r="CD60" s="99" t="e">
        <f>'Effort Estimation'!K523+"AM:!$xC"</f>
        <v>#VALUE!</v>
      </c>
      <c r="CE60" s="99" t="e">
        <f>'Effort Estimation'!L523+"AM:!$xD"</f>
        <v>#VALUE!</v>
      </c>
      <c r="CF60" s="99" t="e">
        <f>'Effort Estimation'!M523+"AM:!$xE"</f>
        <v>#VALUE!</v>
      </c>
      <c r="CG60" s="99" t="e">
        <f>'Effort Estimation'!N523+"AM:!$xF"</f>
        <v>#VALUE!</v>
      </c>
      <c r="CH60" s="99" t="e">
        <f>'Effort Estimation'!O523+"AM:!$xG"</f>
        <v>#VALUE!</v>
      </c>
      <c r="CI60" s="99" t="e">
        <f>'Effort Estimation'!P523+"AM:!$xH"</f>
        <v>#VALUE!</v>
      </c>
      <c r="CJ60" s="99" t="e">
        <f>'Effort Estimation'!Q523+"AM:!$xI"</f>
        <v>#VALUE!</v>
      </c>
      <c r="CK60" t="e">
        <f>'Effort Estimation'!R523+"AM:!$xJ"</f>
        <v>#VALUE!</v>
      </c>
      <c r="CL60" t="e">
        <f>'Effort Estimation'!S523+"AM:!$xK"</f>
        <v>#VALUE!</v>
      </c>
      <c r="CM60" t="e">
        <f>'Effort Estimation'!T523+"AM:!$xL"</f>
        <v>#VALUE!</v>
      </c>
      <c r="CN60" t="e">
        <f>'Effort Estimation'!A524+"AM:!$xM"</f>
        <v>#VALUE!</v>
      </c>
      <c r="CO60" t="e">
        <f>'Effort Estimation'!B524+"AM:!$xN"</f>
        <v>#VALUE!</v>
      </c>
      <c r="CP60" t="e">
        <f>'Effort Estimation'!C524+"AM:!$xO"</f>
        <v>#VALUE!</v>
      </c>
      <c r="CQ60" t="e">
        <f>'Effort Estimation'!D524+"AM:!$xP"</f>
        <v>#VALUE!</v>
      </c>
      <c r="CR60" t="e">
        <f>'Effort Estimation'!E524+"AM:!$xQ"</f>
        <v>#VALUE!</v>
      </c>
      <c r="CS60" t="e">
        <f>'Effort Estimation'!F524+"AM:!$xR"</f>
        <v>#VALUE!</v>
      </c>
      <c r="CT60" t="e">
        <f>'Effort Estimation'!G524+"AM:!$xS"</f>
        <v>#VALUE!</v>
      </c>
      <c r="CU60" t="e">
        <f>'Effort Estimation'!H524+"AM:!$xT"</f>
        <v>#VALUE!</v>
      </c>
      <c r="CV60" t="e">
        <f>'Effort Estimation'!I524+"AM:!$xU"</f>
        <v>#VALUE!</v>
      </c>
      <c r="CW60" s="99" t="e">
        <f>'Effort Estimation'!J524+"AM:!$xV"</f>
        <v>#VALUE!</v>
      </c>
      <c r="CX60" s="99" t="e">
        <f>'Effort Estimation'!K524+"AM:!$xW"</f>
        <v>#VALUE!</v>
      </c>
      <c r="CY60" s="99" t="e">
        <f>'Effort Estimation'!L524+"AM:!$xX"</f>
        <v>#VALUE!</v>
      </c>
      <c r="CZ60" s="99" t="e">
        <f>'Effort Estimation'!M524+"AM:!$xY"</f>
        <v>#VALUE!</v>
      </c>
      <c r="DA60" s="99" t="e">
        <f>'Effort Estimation'!N524+"AM:!$xZ"</f>
        <v>#VALUE!</v>
      </c>
      <c r="DB60" s="99" t="e">
        <f>'Effort Estimation'!O524+"AM:!$x["</f>
        <v>#VALUE!</v>
      </c>
      <c r="DC60" s="99" t="e">
        <f>'Effort Estimation'!P524+"AM:!$x\"</f>
        <v>#VALUE!</v>
      </c>
      <c r="DD60" s="99" t="e">
        <f>'Effort Estimation'!Q524+"AM:!$x]"</f>
        <v>#VALUE!</v>
      </c>
      <c r="DE60" t="e">
        <f>'Effort Estimation'!R524+"AM:!$x^"</f>
        <v>#VALUE!</v>
      </c>
      <c r="DF60" t="e">
        <f>'Effort Estimation'!S524+"AM:!$x_"</f>
        <v>#VALUE!</v>
      </c>
      <c r="DG60" t="e">
        <f>'Effort Estimation'!T524+"AM:!$x`"</f>
        <v>#VALUE!</v>
      </c>
      <c r="DH60" t="e">
        <f>'Effort Estimation'!A525+"AM:!$xa"</f>
        <v>#VALUE!</v>
      </c>
      <c r="DI60" t="e">
        <f>'Effort Estimation'!B525+"AM:!$xb"</f>
        <v>#VALUE!</v>
      </c>
      <c r="DJ60" t="e">
        <f>'Effort Estimation'!C525+"AM:!$xc"</f>
        <v>#VALUE!</v>
      </c>
      <c r="DK60" t="e">
        <f>'Effort Estimation'!D525+"AM:!$xd"</f>
        <v>#VALUE!</v>
      </c>
      <c r="DL60" t="e">
        <f>'Effort Estimation'!E525+"AM:!$xe"</f>
        <v>#VALUE!</v>
      </c>
      <c r="DM60" t="e">
        <f>'Effort Estimation'!F525+"AM:!$xf"</f>
        <v>#VALUE!</v>
      </c>
      <c r="DN60" t="e">
        <f>'Effort Estimation'!G525+"AM:!$xg"</f>
        <v>#VALUE!</v>
      </c>
      <c r="DO60" t="e">
        <f>'Effort Estimation'!H525+"AM:!$xh"</f>
        <v>#VALUE!</v>
      </c>
      <c r="DP60" t="e">
        <f>'Effort Estimation'!I525+"AM:!$xi"</f>
        <v>#VALUE!</v>
      </c>
      <c r="DQ60" s="99" t="e">
        <f>'Effort Estimation'!J525+"AM:!$xj"</f>
        <v>#VALUE!</v>
      </c>
      <c r="DR60" s="99" t="e">
        <f>'Effort Estimation'!K525+"AM:!$xk"</f>
        <v>#VALUE!</v>
      </c>
      <c r="DS60" s="99" t="e">
        <f>'Effort Estimation'!L525+"AM:!$xl"</f>
        <v>#VALUE!</v>
      </c>
      <c r="DT60" s="99" t="e">
        <f>'Effort Estimation'!M525+"AM:!$xm"</f>
        <v>#VALUE!</v>
      </c>
      <c r="DU60" s="99" t="e">
        <f>'Effort Estimation'!N525+"AM:!$xn"</f>
        <v>#VALUE!</v>
      </c>
      <c r="DV60" s="99" t="e">
        <f>'Effort Estimation'!O525+"AM:!$xo"</f>
        <v>#VALUE!</v>
      </c>
      <c r="DW60" s="99" t="e">
        <f>'Effort Estimation'!P525+"AM:!$xp"</f>
        <v>#VALUE!</v>
      </c>
      <c r="DX60" s="99" t="e">
        <f>'Effort Estimation'!Q525+"AM:!$xq"</f>
        <v>#VALUE!</v>
      </c>
      <c r="DY60" t="e">
        <f>'Effort Estimation'!R525+"AM:!$xr"</f>
        <v>#VALUE!</v>
      </c>
      <c r="DZ60" t="e">
        <f>'Effort Estimation'!S525+"AM:!$xs"</f>
        <v>#VALUE!</v>
      </c>
      <c r="EA60" t="e">
        <f>'Effort Estimation'!T525+"AM:!$xt"</f>
        <v>#VALUE!</v>
      </c>
      <c r="EB60" t="e">
        <f>'Effort Estimation'!A526+"AM:!$xu"</f>
        <v>#VALUE!</v>
      </c>
      <c r="EC60" t="e">
        <f>'Effort Estimation'!B526+"AM:!$xv"</f>
        <v>#VALUE!</v>
      </c>
      <c r="ED60" t="e">
        <f>'Effort Estimation'!C526+"AM:!$xw"</f>
        <v>#VALUE!</v>
      </c>
      <c r="EE60" t="e">
        <f>'Effort Estimation'!D526+"AM:!$xx"</f>
        <v>#VALUE!</v>
      </c>
      <c r="EF60" t="e">
        <f>'Effort Estimation'!E526+"AM:!$xy"</f>
        <v>#VALUE!</v>
      </c>
      <c r="EG60" t="e">
        <f>'Effort Estimation'!F526+"AM:!$xz"</f>
        <v>#VALUE!</v>
      </c>
      <c r="EH60" t="e">
        <f>'Effort Estimation'!G526+"AM:!$x{"</f>
        <v>#VALUE!</v>
      </c>
      <c r="EI60" t="e">
        <f>'Effort Estimation'!H526+"AM:!$x|"</f>
        <v>#VALUE!</v>
      </c>
      <c r="EJ60" t="e">
        <f>'Effort Estimation'!I526+"AM:!$x}"</f>
        <v>#VALUE!</v>
      </c>
      <c r="EK60" s="99" t="e">
        <f>'Effort Estimation'!J526+"AM:!$x~"</f>
        <v>#VALUE!</v>
      </c>
      <c r="EL60" s="99" t="e">
        <f>'Effort Estimation'!K526+"AM:!$y#"</f>
        <v>#VALUE!</v>
      </c>
      <c r="EM60" s="99" t="e">
        <f>'Effort Estimation'!L526+"AM:!$y$"</f>
        <v>#VALUE!</v>
      </c>
      <c r="EN60" s="99" t="e">
        <f>'Effort Estimation'!M526+"AM:!$y%"</f>
        <v>#VALUE!</v>
      </c>
      <c r="EO60" s="99" t="e">
        <f>'Effort Estimation'!N526+"AM:!$y&amp;"</f>
        <v>#VALUE!</v>
      </c>
      <c r="EP60" s="99" t="e">
        <f>'Effort Estimation'!O526+"AM:!$y'"</f>
        <v>#VALUE!</v>
      </c>
      <c r="EQ60" s="99" t="e">
        <f>'Effort Estimation'!P526+"AM:!$y("</f>
        <v>#VALUE!</v>
      </c>
      <c r="ER60" s="99" t="e">
        <f>'Effort Estimation'!Q526+"AM:!$y)"</f>
        <v>#VALUE!</v>
      </c>
      <c r="ES60" t="e">
        <f>'Effort Estimation'!R526+"AM:!$y."</f>
        <v>#VALUE!</v>
      </c>
      <c r="ET60" t="e">
        <f>'Effort Estimation'!S526+"AM:!$y/"</f>
        <v>#VALUE!</v>
      </c>
      <c r="EU60" t="e">
        <f>'Effort Estimation'!T526+"AM:!$y0"</f>
        <v>#VALUE!</v>
      </c>
      <c r="EV60" t="e">
        <f>'Effort Estimation'!A527+"AM:!$y1"</f>
        <v>#VALUE!</v>
      </c>
      <c r="EW60" t="e">
        <f>'Effort Estimation'!B527+"AM:!$y2"</f>
        <v>#VALUE!</v>
      </c>
      <c r="EX60" t="e">
        <f>'Effort Estimation'!C527+"AM:!$y3"</f>
        <v>#VALUE!</v>
      </c>
      <c r="EY60" t="e">
        <f>'Effort Estimation'!D527+"AM:!$y4"</f>
        <v>#VALUE!</v>
      </c>
      <c r="EZ60" t="e">
        <f>'Effort Estimation'!E527+"AM:!$y5"</f>
        <v>#VALUE!</v>
      </c>
      <c r="FA60" t="e">
        <f>'Effort Estimation'!F527+"AM:!$y6"</f>
        <v>#VALUE!</v>
      </c>
      <c r="FB60" t="e">
        <f>'Effort Estimation'!G527+"AM:!$y7"</f>
        <v>#VALUE!</v>
      </c>
      <c r="FC60" t="e">
        <f>'Effort Estimation'!H527+"AM:!$y8"</f>
        <v>#VALUE!</v>
      </c>
      <c r="FD60" t="e">
        <f>'Effort Estimation'!I527+"AM:!$y9"</f>
        <v>#VALUE!</v>
      </c>
      <c r="FE60" s="99" t="e">
        <f>'Effort Estimation'!J527+"AM:!$y:"</f>
        <v>#VALUE!</v>
      </c>
      <c r="FF60" s="99" t="e">
        <f>'Effort Estimation'!K527+"AM:!$y;"</f>
        <v>#VALUE!</v>
      </c>
      <c r="FG60" s="99" t="e">
        <f>'Effort Estimation'!L527+"AM:!$y&lt;"</f>
        <v>#VALUE!</v>
      </c>
      <c r="FH60" s="99" t="e">
        <f>'Effort Estimation'!M527+"AM:!$y="</f>
        <v>#VALUE!</v>
      </c>
      <c r="FI60" s="99" t="e">
        <f>'Effort Estimation'!N527+"AM:!$y&gt;"</f>
        <v>#VALUE!</v>
      </c>
      <c r="FJ60" s="99" t="e">
        <f>'Effort Estimation'!O527+"AM:!$y?"</f>
        <v>#VALUE!</v>
      </c>
      <c r="FK60" s="99" t="e">
        <f>'Effort Estimation'!P527+"AM:!$y@"</f>
        <v>#VALUE!</v>
      </c>
      <c r="FL60" s="99" t="e">
        <f>'Effort Estimation'!Q527+"AM:!$yA"</f>
        <v>#VALUE!</v>
      </c>
      <c r="FM60" t="e">
        <f>'Effort Estimation'!R527+"AM:!$yB"</f>
        <v>#VALUE!</v>
      </c>
      <c r="FN60" t="e">
        <f>'Effort Estimation'!S527+"AM:!$yC"</f>
        <v>#VALUE!</v>
      </c>
      <c r="FO60" t="e">
        <f>'Effort Estimation'!T527+"AM:!$yD"</f>
        <v>#VALUE!</v>
      </c>
      <c r="FP60" t="e">
        <f>'Effort Estimation'!A528+"AM:!$yE"</f>
        <v>#VALUE!</v>
      </c>
      <c r="FQ60" t="e">
        <f>'Effort Estimation'!B528+"AM:!$yF"</f>
        <v>#VALUE!</v>
      </c>
      <c r="FR60" t="e">
        <f>'Effort Estimation'!C528+"AM:!$yG"</f>
        <v>#VALUE!</v>
      </c>
      <c r="FS60" t="e">
        <f>'Effort Estimation'!D528+"AM:!$yH"</f>
        <v>#VALUE!</v>
      </c>
      <c r="FT60" t="e">
        <f>'Effort Estimation'!E528+"AM:!$yI"</f>
        <v>#VALUE!</v>
      </c>
      <c r="FU60" t="e">
        <f>'Effort Estimation'!F528+"AM:!$yJ"</f>
        <v>#VALUE!</v>
      </c>
      <c r="FV60" t="e">
        <f>'Effort Estimation'!G528+"AM:!$yK"</f>
        <v>#VALUE!</v>
      </c>
      <c r="FW60" t="e">
        <f>'Effort Estimation'!H528+"AM:!$yL"</f>
        <v>#VALUE!</v>
      </c>
      <c r="FX60" t="e">
        <f>'Effort Estimation'!I528+"AM:!$yM"</f>
        <v>#VALUE!</v>
      </c>
      <c r="FY60" s="99" t="e">
        <f>'Effort Estimation'!J528+"AM:!$yN"</f>
        <v>#VALUE!</v>
      </c>
      <c r="FZ60" s="99" t="e">
        <f>'Effort Estimation'!K528+"AM:!$yO"</f>
        <v>#VALUE!</v>
      </c>
      <c r="GA60" s="99" t="e">
        <f>'Effort Estimation'!L528+"AM:!$yP"</f>
        <v>#VALUE!</v>
      </c>
      <c r="GB60" s="99" t="e">
        <f>'Effort Estimation'!M528+"AM:!$yQ"</f>
        <v>#VALUE!</v>
      </c>
      <c r="GC60" s="99" t="e">
        <f>'Effort Estimation'!N528+"AM:!$yR"</f>
        <v>#VALUE!</v>
      </c>
      <c r="GD60" s="99" t="e">
        <f>'Effort Estimation'!O528+"AM:!$yS"</f>
        <v>#VALUE!</v>
      </c>
      <c r="GE60" s="99" t="e">
        <f>'Effort Estimation'!P528+"AM:!$yT"</f>
        <v>#VALUE!</v>
      </c>
      <c r="GF60" s="99" t="e">
        <f>'Effort Estimation'!Q528+"AM:!$yU"</f>
        <v>#VALUE!</v>
      </c>
      <c r="GG60" t="e">
        <f>'Effort Estimation'!R528+"AM:!$yV"</f>
        <v>#VALUE!</v>
      </c>
      <c r="GH60" t="e">
        <f>'Effort Estimation'!S528+"AM:!$yW"</f>
        <v>#VALUE!</v>
      </c>
      <c r="GI60" t="e">
        <f>'Effort Estimation'!T528+"AM:!$yX"</f>
        <v>#VALUE!</v>
      </c>
      <c r="GJ60" t="e">
        <f>'Effort Estimation'!A529+"AM:!$yY"</f>
        <v>#VALUE!</v>
      </c>
      <c r="GK60" t="e">
        <f>'Effort Estimation'!B529+"AM:!$yZ"</f>
        <v>#VALUE!</v>
      </c>
      <c r="GL60" t="e">
        <f>'Effort Estimation'!C529+"AM:!$y["</f>
        <v>#VALUE!</v>
      </c>
      <c r="GM60" t="e">
        <f>'Effort Estimation'!D529+"AM:!$y\"</f>
        <v>#VALUE!</v>
      </c>
      <c r="GN60" t="e">
        <f>'Effort Estimation'!E529+"AM:!$y]"</f>
        <v>#VALUE!</v>
      </c>
      <c r="GO60" t="e">
        <f>'Effort Estimation'!F529+"AM:!$y^"</f>
        <v>#VALUE!</v>
      </c>
      <c r="GP60" t="e">
        <f>'Effort Estimation'!G529+"AM:!$y_"</f>
        <v>#VALUE!</v>
      </c>
      <c r="GQ60" t="e">
        <f>'Effort Estimation'!H529+"AM:!$y`"</f>
        <v>#VALUE!</v>
      </c>
      <c r="GR60" t="e">
        <f>'Effort Estimation'!I529+"AM:!$ya"</f>
        <v>#VALUE!</v>
      </c>
      <c r="GS60" s="99" t="e">
        <f>'Effort Estimation'!J529+"AM:!$yb"</f>
        <v>#VALUE!</v>
      </c>
      <c r="GT60" s="99" t="e">
        <f>'Effort Estimation'!K529+"AM:!$yc"</f>
        <v>#VALUE!</v>
      </c>
      <c r="GU60" s="99" t="e">
        <f>'Effort Estimation'!L529+"AM:!$yd"</f>
        <v>#VALUE!</v>
      </c>
      <c r="GV60" s="99" t="e">
        <f>'Effort Estimation'!M529+"AM:!$ye"</f>
        <v>#VALUE!</v>
      </c>
      <c r="GW60" s="99" t="e">
        <f>'Effort Estimation'!N529+"AM:!$yf"</f>
        <v>#VALUE!</v>
      </c>
      <c r="GX60" s="99" t="e">
        <f>'Effort Estimation'!O529+"AM:!$yg"</f>
        <v>#VALUE!</v>
      </c>
      <c r="GY60" s="99" t="e">
        <f>'Effort Estimation'!P529+"AM:!$yh"</f>
        <v>#VALUE!</v>
      </c>
      <c r="GZ60" s="99" t="e">
        <f>'Effort Estimation'!Q529+"AM:!$yi"</f>
        <v>#VALUE!</v>
      </c>
      <c r="HA60" t="e">
        <f>'Effort Estimation'!R529+"AM:!$yj"</f>
        <v>#VALUE!</v>
      </c>
      <c r="HB60" t="e">
        <f>'Effort Estimation'!S529+"AM:!$yk"</f>
        <v>#VALUE!</v>
      </c>
      <c r="HC60" t="e">
        <f>'Effort Estimation'!T529+"AM:!$yl"</f>
        <v>#VALUE!</v>
      </c>
      <c r="HD60" t="e">
        <f>'Effort Estimation'!A530+"AM:!$ym"</f>
        <v>#VALUE!</v>
      </c>
      <c r="HE60" t="e">
        <f>'Effort Estimation'!B530+"AM:!$yn"</f>
        <v>#VALUE!</v>
      </c>
      <c r="HF60" t="e">
        <f>'Effort Estimation'!C530+"AM:!$yo"</f>
        <v>#VALUE!</v>
      </c>
      <c r="HG60" t="e">
        <f>'Effort Estimation'!D530+"AM:!$yp"</f>
        <v>#VALUE!</v>
      </c>
      <c r="HH60" t="e">
        <f>'Effort Estimation'!E530+"AM:!$yq"</f>
        <v>#VALUE!</v>
      </c>
      <c r="HI60" t="e">
        <f>'Effort Estimation'!F530+"AM:!$yr"</f>
        <v>#VALUE!</v>
      </c>
      <c r="HJ60" t="e">
        <f>'Effort Estimation'!G530+"AM:!$ys"</f>
        <v>#VALUE!</v>
      </c>
      <c r="HK60" t="e">
        <f>'Effort Estimation'!H530+"AM:!$yt"</f>
        <v>#VALUE!</v>
      </c>
      <c r="HL60" t="e">
        <f>'Effort Estimation'!I530+"AM:!$yu"</f>
        <v>#VALUE!</v>
      </c>
      <c r="HM60" s="99" t="e">
        <f>'Effort Estimation'!J530+"AM:!$yv"</f>
        <v>#VALUE!</v>
      </c>
      <c r="HN60" s="99" t="e">
        <f>'Effort Estimation'!K530+"AM:!$yw"</f>
        <v>#VALUE!</v>
      </c>
      <c r="HO60" s="99" t="e">
        <f>'Effort Estimation'!L530+"AM:!$yx"</f>
        <v>#VALUE!</v>
      </c>
      <c r="HP60" s="99" t="e">
        <f>'Effort Estimation'!M530+"AM:!$yy"</f>
        <v>#VALUE!</v>
      </c>
      <c r="HQ60" s="99" t="e">
        <f>'Effort Estimation'!N530+"AM:!$yz"</f>
        <v>#VALUE!</v>
      </c>
      <c r="HR60" s="99" t="e">
        <f>'Effort Estimation'!O530+"AM:!$y{"</f>
        <v>#VALUE!</v>
      </c>
      <c r="HS60" s="99" t="e">
        <f>'Effort Estimation'!P530+"AM:!$y|"</f>
        <v>#VALUE!</v>
      </c>
      <c r="HT60" s="99" t="e">
        <f>'Effort Estimation'!Q530+"AM:!$y}"</f>
        <v>#VALUE!</v>
      </c>
      <c r="HU60" t="e">
        <f>'Effort Estimation'!R530+"AM:!$y~"</f>
        <v>#VALUE!</v>
      </c>
      <c r="HV60" t="e">
        <f>'Effort Estimation'!S530+"AM:!$z#"</f>
        <v>#VALUE!</v>
      </c>
      <c r="HW60" t="e">
        <f>'Effort Estimation'!T530+"AM:!$z$"</f>
        <v>#VALUE!</v>
      </c>
      <c r="HX60" t="e">
        <f>'Effort Estimation'!A531+"AM:!$z%"</f>
        <v>#VALUE!</v>
      </c>
      <c r="HY60" t="e">
        <f>'Effort Estimation'!B531+"AM:!$z&amp;"</f>
        <v>#VALUE!</v>
      </c>
      <c r="HZ60" t="e">
        <f>'Effort Estimation'!C531+"AM:!$z'"</f>
        <v>#VALUE!</v>
      </c>
      <c r="IA60" t="e">
        <f>'Effort Estimation'!D531+"AM:!$z("</f>
        <v>#VALUE!</v>
      </c>
      <c r="IB60" t="e">
        <f>'Effort Estimation'!E531+"AM:!$z)"</f>
        <v>#VALUE!</v>
      </c>
      <c r="IC60" t="e">
        <f>'Effort Estimation'!F531+"AM:!$z."</f>
        <v>#VALUE!</v>
      </c>
      <c r="ID60" t="e">
        <f>'Effort Estimation'!G531+"AM:!$z/"</f>
        <v>#VALUE!</v>
      </c>
      <c r="IE60" t="e">
        <f>'Effort Estimation'!H531+"AM:!$z0"</f>
        <v>#VALUE!</v>
      </c>
      <c r="IF60" t="e">
        <f>'Effort Estimation'!I531+"AM:!$z1"</f>
        <v>#VALUE!</v>
      </c>
      <c r="IG60" s="99" t="e">
        <f>'Effort Estimation'!J531+"AM:!$z2"</f>
        <v>#VALUE!</v>
      </c>
      <c r="IH60" s="99" t="e">
        <f>'Effort Estimation'!K531+"AM:!$z3"</f>
        <v>#VALUE!</v>
      </c>
      <c r="II60" s="99" t="e">
        <f>'Effort Estimation'!L531+"AM:!$z4"</f>
        <v>#VALUE!</v>
      </c>
      <c r="IJ60" s="99" t="e">
        <f>'Effort Estimation'!M531+"AM:!$z5"</f>
        <v>#VALUE!</v>
      </c>
      <c r="IK60" s="99" t="e">
        <f>'Effort Estimation'!N531+"AM:!$z6"</f>
        <v>#VALUE!</v>
      </c>
      <c r="IL60" s="99" t="e">
        <f>'Effort Estimation'!O531+"AM:!$z7"</f>
        <v>#VALUE!</v>
      </c>
      <c r="IM60" s="99" t="e">
        <f>'Effort Estimation'!P531+"AM:!$z8"</f>
        <v>#VALUE!</v>
      </c>
      <c r="IN60" s="99" t="e">
        <f>'Effort Estimation'!Q531+"AM:!$z9"</f>
        <v>#VALUE!</v>
      </c>
      <c r="IO60" t="e">
        <f>'Effort Estimation'!R531+"AM:!$z:"</f>
        <v>#VALUE!</v>
      </c>
      <c r="IP60" t="e">
        <f>'Effort Estimation'!S531+"AM:!$z;"</f>
        <v>#VALUE!</v>
      </c>
      <c r="IQ60" t="e">
        <f>'Effort Estimation'!T531+"AM:!$z&lt;"</f>
        <v>#VALUE!</v>
      </c>
      <c r="IR60" t="e">
        <f>'Effort Estimation'!A532+"AM:!$z="</f>
        <v>#VALUE!</v>
      </c>
      <c r="IS60" t="e">
        <f>'Effort Estimation'!B532+"AM:!$z&gt;"</f>
        <v>#VALUE!</v>
      </c>
      <c r="IT60" t="e">
        <f>'Effort Estimation'!C532+"AM:!$z?"</f>
        <v>#VALUE!</v>
      </c>
      <c r="IU60" t="e">
        <f>'Effort Estimation'!D532+"AM:!$z@"</f>
        <v>#VALUE!</v>
      </c>
      <c r="IV60" t="e">
        <f>'Effort Estimation'!E532+"AM:!$zA"</f>
        <v>#VALUE!</v>
      </c>
    </row>
    <row r="61" spans="6:256">
      <c r="F61" t="e">
        <f>'Effort Estimation'!F532+"AM:!$zB"</f>
        <v>#VALUE!</v>
      </c>
      <c r="G61" t="e">
        <f>'Effort Estimation'!G532+"AM:!$zC"</f>
        <v>#VALUE!</v>
      </c>
      <c r="H61" t="e">
        <f>'Effort Estimation'!H532+"AM:!$zD"</f>
        <v>#VALUE!</v>
      </c>
      <c r="I61" t="e">
        <f>'Effort Estimation'!I532+"AM:!$zE"</f>
        <v>#VALUE!</v>
      </c>
      <c r="J61" s="99" t="e">
        <f>'Effort Estimation'!J532+"AM:!$zF"</f>
        <v>#VALUE!</v>
      </c>
      <c r="K61" s="99" t="e">
        <f>'Effort Estimation'!K532+"AM:!$zG"</f>
        <v>#VALUE!</v>
      </c>
      <c r="L61" s="99" t="e">
        <f>'Effort Estimation'!L532+"AM:!$zH"</f>
        <v>#VALUE!</v>
      </c>
      <c r="M61" s="99" t="e">
        <f>'Effort Estimation'!M532+"AM:!$zI"</f>
        <v>#VALUE!</v>
      </c>
      <c r="N61" s="99" t="e">
        <f>'Effort Estimation'!N532+"AM:!$zJ"</f>
        <v>#VALUE!</v>
      </c>
      <c r="O61" s="99" t="e">
        <f>'Effort Estimation'!O532+"AM:!$zK"</f>
        <v>#VALUE!</v>
      </c>
      <c r="P61" s="99" t="e">
        <f>'Effort Estimation'!P532+"AM:!$zL"</f>
        <v>#VALUE!</v>
      </c>
      <c r="Q61" s="99" t="e">
        <f>'Effort Estimation'!Q532+"AM:!$zM"</f>
        <v>#VALUE!</v>
      </c>
      <c r="R61" t="e">
        <f>'Effort Estimation'!R532+"AM:!$zN"</f>
        <v>#VALUE!</v>
      </c>
      <c r="S61" t="e">
        <f>'Effort Estimation'!S532+"AM:!$zO"</f>
        <v>#VALUE!</v>
      </c>
      <c r="T61" t="e">
        <f>'Effort Estimation'!T532+"AM:!$zP"</f>
        <v>#VALUE!</v>
      </c>
      <c r="U61" t="e">
        <f>'Effort Estimation'!A533+"AM:!$zQ"</f>
        <v>#VALUE!</v>
      </c>
      <c r="V61" t="e">
        <f>'Effort Estimation'!B533+"AM:!$zR"</f>
        <v>#VALUE!</v>
      </c>
      <c r="W61" t="e">
        <f>'Effort Estimation'!C533+"AM:!$zS"</f>
        <v>#VALUE!</v>
      </c>
      <c r="X61" t="e">
        <f>'Effort Estimation'!D533+"AM:!$zT"</f>
        <v>#VALUE!</v>
      </c>
      <c r="Y61" t="e">
        <f>'Effort Estimation'!E533+"AM:!$zU"</f>
        <v>#VALUE!</v>
      </c>
      <c r="Z61" t="e">
        <f>'Effort Estimation'!F533+"AM:!$zV"</f>
        <v>#VALUE!</v>
      </c>
      <c r="AA61" t="e">
        <f>'Effort Estimation'!G533+"AM:!$zW"</f>
        <v>#VALUE!</v>
      </c>
      <c r="AB61" t="e">
        <f>'Effort Estimation'!H533+"AM:!$zX"</f>
        <v>#VALUE!</v>
      </c>
      <c r="AC61" t="e">
        <f>'Effort Estimation'!I533+"AM:!$zY"</f>
        <v>#VALUE!</v>
      </c>
      <c r="AD61" s="99" t="e">
        <f>'Effort Estimation'!J533+"AM:!$zZ"</f>
        <v>#VALUE!</v>
      </c>
      <c r="AE61" s="99" t="e">
        <f>'Effort Estimation'!K533+"AM:!$z["</f>
        <v>#VALUE!</v>
      </c>
      <c r="AF61" s="99" t="e">
        <f>'Effort Estimation'!L533+"AM:!$z\"</f>
        <v>#VALUE!</v>
      </c>
      <c r="AG61" s="99" t="e">
        <f>'Effort Estimation'!M533+"AM:!$z]"</f>
        <v>#VALUE!</v>
      </c>
      <c r="AH61" s="99" t="e">
        <f>'Effort Estimation'!N533+"AM:!$z^"</f>
        <v>#VALUE!</v>
      </c>
      <c r="AI61" s="99" t="e">
        <f>'Effort Estimation'!O533+"AM:!$z_"</f>
        <v>#VALUE!</v>
      </c>
      <c r="AJ61" s="99" t="e">
        <f>'Effort Estimation'!P533+"AM:!$z`"</f>
        <v>#VALUE!</v>
      </c>
      <c r="AK61" s="99" t="e">
        <f>'Effort Estimation'!Q533+"AM:!$za"</f>
        <v>#VALUE!</v>
      </c>
      <c r="AL61" t="e">
        <f>'Effort Estimation'!R533+"AM:!$zb"</f>
        <v>#VALUE!</v>
      </c>
      <c r="AM61" t="e">
        <f>'Effort Estimation'!S533+"AM:!$zc"</f>
        <v>#VALUE!</v>
      </c>
      <c r="AN61" t="e">
        <f>'Effort Estimation'!T533+"AM:!$zd"</f>
        <v>#VALUE!</v>
      </c>
      <c r="AO61" t="e">
        <f>'Effort Estimation'!A534+"AM:!$ze"</f>
        <v>#VALUE!</v>
      </c>
      <c r="AP61" t="e">
        <f>'Effort Estimation'!B534+"AM:!$zf"</f>
        <v>#VALUE!</v>
      </c>
      <c r="AQ61" t="e">
        <f>'Effort Estimation'!C534+"AM:!$zg"</f>
        <v>#VALUE!</v>
      </c>
      <c r="AR61" t="e">
        <f>'Effort Estimation'!D534+"AM:!$zh"</f>
        <v>#VALUE!</v>
      </c>
      <c r="AS61" t="e">
        <f>'Effort Estimation'!E534+"AM:!$zi"</f>
        <v>#VALUE!</v>
      </c>
      <c r="AT61" t="e">
        <f>'Effort Estimation'!F534+"AM:!$zj"</f>
        <v>#VALUE!</v>
      </c>
      <c r="AU61" t="e">
        <f>'Effort Estimation'!G534+"AM:!$zk"</f>
        <v>#VALUE!</v>
      </c>
      <c r="AV61" t="e">
        <f>'Effort Estimation'!H534+"AM:!$zl"</f>
        <v>#VALUE!</v>
      </c>
      <c r="AW61" t="e">
        <f>'Effort Estimation'!I534+"AM:!$zm"</f>
        <v>#VALUE!</v>
      </c>
      <c r="AX61" s="99" t="e">
        <f>'Effort Estimation'!J534+"AM:!$zn"</f>
        <v>#VALUE!</v>
      </c>
      <c r="AY61" s="99" t="e">
        <f>'Effort Estimation'!K534+"AM:!$zo"</f>
        <v>#VALUE!</v>
      </c>
      <c r="AZ61" s="99" t="e">
        <f>'Effort Estimation'!L534+"AM:!$zp"</f>
        <v>#VALUE!</v>
      </c>
      <c r="BA61" s="99" t="e">
        <f>'Effort Estimation'!M534+"AM:!$zq"</f>
        <v>#VALUE!</v>
      </c>
      <c r="BB61" s="99" t="e">
        <f>'Effort Estimation'!N534+"AM:!$zr"</f>
        <v>#VALUE!</v>
      </c>
      <c r="BC61" s="99" t="e">
        <f>'Effort Estimation'!O534+"AM:!$zs"</f>
        <v>#VALUE!</v>
      </c>
      <c r="BD61" s="99" t="e">
        <f>'Effort Estimation'!P534+"AM:!$zt"</f>
        <v>#VALUE!</v>
      </c>
      <c r="BE61" s="99" t="e">
        <f>'Effort Estimation'!Q534+"AM:!$zu"</f>
        <v>#VALUE!</v>
      </c>
      <c r="BF61" t="e">
        <f>'Effort Estimation'!R534+"AM:!$zv"</f>
        <v>#VALUE!</v>
      </c>
      <c r="BG61" t="e">
        <f>'Effort Estimation'!S534+"AM:!$zw"</f>
        <v>#VALUE!</v>
      </c>
      <c r="BH61" t="e">
        <f>'Effort Estimation'!T534+"AM:!$zx"</f>
        <v>#VALUE!</v>
      </c>
      <c r="BI61" t="e">
        <f>'Effort Estimation'!A535+"AM:!$zy"</f>
        <v>#VALUE!</v>
      </c>
      <c r="BJ61" t="e">
        <f>'Effort Estimation'!B535+"AM:!$zz"</f>
        <v>#VALUE!</v>
      </c>
      <c r="BK61" t="e">
        <f>'Effort Estimation'!C535+"AM:!$z{"</f>
        <v>#VALUE!</v>
      </c>
      <c r="BL61" t="e">
        <f>'Effort Estimation'!D535+"AM:!$z|"</f>
        <v>#VALUE!</v>
      </c>
      <c r="BM61" t="e">
        <f>'Effort Estimation'!E535+"AM:!$z}"</f>
        <v>#VALUE!</v>
      </c>
      <c r="BN61" t="e">
        <f>'Effort Estimation'!F535+"AM:!$z~"</f>
        <v>#VALUE!</v>
      </c>
      <c r="BO61" t="e">
        <f>'Effort Estimation'!G535+"AM:!${#"</f>
        <v>#VALUE!</v>
      </c>
      <c r="BP61" t="e">
        <f>'Effort Estimation'!H535+"AM:!${$"</f>
        <v>#VALUE!</v>
      </c>
      <c r="BQ61" t="e">
        <f>'Effort Estimation'!I535+"AM:!${%"</f>
        <v>#VALUE!</v>
      </c>
      <c r="BR61" s="99" t="e">
        <f>'Effort Estimation'!J535+"AM:!${&amp;"</f>
        <v>#VALUE!</v>
      </c>
      <c r="BS61" s="99" t="e">
        <f>'Effort Estimation'!K535+"AM:!${'"</f>
        <v>#VALUE!</v>
      </c>
      <c r="BT61" s="99" t="e">
        <f>'Effort Estimation'!L535+"AM:!${("</f>
        <v>#VALUE!</v>
      </c>
      <c r="BU61" s="99" t="e">
        <f>'Effort Estimation'!M535+"AM:!${)"</f>
        <v>#VALUE!</v>
      </c>
      <c r="BV61" s="99" t="e">
        <f>'Effort Estimation'!N535+"AM:!${."</f>
        <v>#VALUE!</v>
      </c>
      <c r="BW61" s="99" t="e">
        <f>'Effort Estimation'!O535+"AM:!${/"</f>
        <v>#VALUE!</v>
      </c>
      <c r="BX61" s="99" t="e">
        <f>'Effort Estimation'!P535+"AM:!${0"</f>
        <v>#VALUE!</v>
      </c>
      <c r="BY61" s="99" t="e">
        <f>'Effort Estimation'!Q535+"AM:!${1"</f>
        <v>#VALUE!</v>
      </c>
      <c r="BZ61" t="e">
        <f>'Effort Estimation'!R535+"AM:!${2"</f>
        <v>#VALUE!</v>
      </c>
      <c r="CA61" t="e">
        <f>'Effort Estimation'!S535+"AM:!${3"</f>
        <v>#VALUE!</v>
      </c>
      <c r="CB61" t="e">
        <f>'Effort Estimation'!T535+"AM:!${4"</f>
        <v>#VALUE!</v>
      </c>
      <c r="CC61" t="e">
        <f>'Effort Estimation'!A536+"AM:!${5"</f>
        <v>#VALUE!</v>
      </c>
      <c r="CD61" t="e">
        <f>'Effort Estimation'!B536+"AM:!${6"</f>
        <v>#VALUE!</v>
      </c>
      <c r="CE61" t="e">
        <f>'Effort Estimation'!C536+"AM:!${7"</f>
        <v>#VALUE!</v>
      </c>
      <c r="CF61" t="e">
        <f>'Effort Estimation'!D536+"AM:!${8"</f>
        <v>#VALUE!</v>
      </c>
      <c r="CG61" t="e">
        <f>'Effort Estimation'!E536+"AM:!${9"</f>
        <v>#VALUE!</v>
      </c>
      <c r="CH61" t="e">
        <f>'Effort Estimation'!F536+"AM:!${:"</f>
        <v>#VALUE!</v>
      </c>
      <c r="CI61" t="e">
        <f>'Effort Estimation'!G536+"AM:!${;"</f>
        <v>#VALUE!</v>
      </c>
      <c r="CJ61" t="e">
        <f>'Effort Estimation'!H536+"AM:!${&lt;"</f>
        <v>#VALUE!</v>
      </c>
      <c r="CK61" t="e">
        <f>'Effort Estimation'!I536+"AM:!${="</f>
        <v>#VALUE!</v>
      </c>
      <c r="CL61" s="99" t="e">
        <f>'Effort Estimation'!J536+"AM:!${&gt;"</f>
        <v>#VALUE!</v>
      </c>
      <c r="CM61" s="99" t="e">
        <f>'Effort Estimation'!K536+"AM:!${?"</f>
        <v>#VALUE!</v>
      </c>
      <c r="CN61" s="99" t="e">
        <f>'Effort Estimation'!L536+"AM:!${@"</f>
        <v>#VALUE!</v>
      </c>
      <c r="CO61" s="99" t="e">
        <f>'Effort Estimation'!M536+"AM:!${A"</f>
        <v>#VALUE!</v>
      </c>
      <c r="CP61" s="99" t="e">
        <f>'Effort Estimation'!N536+"AM:!${B"</f>
        <v>#VALUE!</v>
      </c>
      <c r="CQ61" s="99" t="e">
        <f>'Effort Estimation'!O536+"AM:!${C"</f>
        <v>#VALUE!</v>
      </c>
      <c r="CR61" s="99" t="e">
        <f>'Effort Estimation'!P536+"AM:!${D"</f>
        <v>#VALUE!</v>
      </c>
      <c r="CS61" s="99" t="e">
        <f>'Effort Estimation'!Q536+"AM:!${E"</f>
        <v>#VALUE!</v>
      </c>
      <c r="CT61" t="e">
        <f>'Effort Estimation'!R536+"AM:!${F"</f>
        <v>#VALUE!</v>
      </c>
      <c r="CU61" t="e">
        <f>'Effort Estimation'!S536+"AM:!${G"</f>
        <v>#VALUE!</v>
      </c>
      <c r="CV61" t="e">
        <f>'Effort Estimation'!T536+"AM:!${H"</f>
        <v>#VALUE!</v>
      </c>
      <c r="CW61" t="e">
        <f>'Effort Estimation'!A537+"AM:!${I"</f>
        <v>#VALUE!</v>
      </c>
      <c r="CX61" t="e">
        <f>'Effort Estimation'!B537+"AM:!${J"</f>
        <v>#VALUE!</v>
      </c>
      <c r="CY61" t="e">
        <f>'Effort Estimation'!C537+"AM:!${K"</f>
        <v>#VALUE!</v>
      </c>
      <c r="CZ61" t="e">
        <f>'Effort Estimation'!D537+"AM:!${L"</f>
        <v>#VALUE!</v>
      </c>
      <c r="DA61" t="e">
        <f>'Effort Estimation'!E537+"AM:!${M"</f>
        <v>#VALUE!</v>
      </c>
      <c r="DB61" t="e">
        <f>'Effort Estimation'!F537+"AM:!${N"</f>
        <v>#VALUE!</v>
      </c>
      <c r="DC61" t="e">
        <f>'Effort Estimation'!G537+"AM:!${O"</f>
        <v>#VALUE!</v>
      </c>
      <c r="DD61" t="e">
        <f>'Effort Estimation'!H537+"AM:!${P"</f>
        <v>#VALUE!</v>
      </c>
      <c r="DE61" t="e">
        <f>'Effort Estimation'!I537+"AM:!${Q"</f>
        <v>#VALUE!</v>
      </c>
      <c r="DF61" s="99" t="e">
        <f>'Effort Estimation'!J537+"AM:!${R"</f>
        <v>#VALUE!</v>
      </c>
      <c r="DG61" s="99" t="e">
        <f>'Effort Estimation'!K537+"AM:!${S"</f>
        <v>#VALUE!</v>
      </c>
      <c r="DH61" s="99" t="e">
        <f>'Effort Estimation'!L537+"AM:!${T"</f>
        <v>#VALUE!</v>
      </c>
      <c r="DI61" s="99" t="e">
        <f>'Effort Estimation'!M537+"AM:!${U"</f>
        <v>#VALUE!</v>
      </c>
      <c r="DJ61" s="99" t="e">
        <f>'Effort Estimation'!N537+"AM:!${V"</f>
        <v>#VALUE!</v>
      </c>
      <c r="DK61" s="99" t="e">
        <f>'Effort Estimation'!O537+"AM:!${W"</f>
        <v>#VALUE!</v>
      </c>
      <c r="DL61" s="99" t="e">
        <f>'Effort Estimation'!P537+"AM:!${X"</f>
        <v>#VALUE!</v>
      </c>
      <c r="DM61" s="99" t="e">
        <f>'Effort Estimation'!Q537+"AM:!${Y"</f>
        <v>#VALUE!</v>
      </c>
      <c r="DN61" t="e">
        <f>'Effort Estimation'!R537+"AM:!${Z"</f>
        <v>#VALUE!</v>
      </c>
      <c r="DO61" t="e">
        <f>'Effort Estimation'!S537+"AM:!${["</f>
        <v>#VALUE!</v>
      </c>
      <c r="DP61" t="e">
        <f>'Effort Estimation'!T537+"AM:!${\"</f>
        <v>#VALUE!</v>
      </c>
      <c r="DQ61" t="e">
        <f>'Effort Estimation'!A538+"AM:!${]"</f>
        <v>#VALUE!</v>
      </c>
      <c r="DR61" t="e">
        <f>'Effort Estimation'!B538+"AM:!${^"</f>
        <v>#VALUE!</v>
      </c>
      <c r="DS61" t="e">
        <f>'Effort Estimation'!C538+"AM:!${_"</f>
        <v>#VALUE!</v>
      </c>
      <c r="DT61" t="e">
        <f>'Effort Estimation'!D538+"AM:!${`"</f>
        <v>#VALUE!</v>
      </c>
      <c r="DU61" t="e">
        <f>'Effort Estimation'!E538+"AM:!${a"</f>
        <v>#VALUE!</v>
      </c>
      <c r="DV61" t="e">
        <f>'Effort Estimation'!F538+"AM:!${b"</f>
        <v>#VALUE!</v>
      </c>
      <c r="DW61" t="e">
        <f>'Effort Estimation'!G538+"AM:!${c"</f>
        <v>#VALUE!</v>
      </c>
      <c r="DX61" t="e">
        <f>'Effort Estimation'!H538+"AM:!${d"</f>
        <v>#VALUE!</v>
      </c>
      <c r="DY61" t="e">
        <f>'Effort Estimation'!I538+"AM:!${e"</f>
        <v>#VALUE!</v>
      </c>
      <c r="DZ61" s="99" t="e">
        <f>'Effort Estimation'!J538+"AM:!${f"</f>
        <v>#VALUE!</v>
      </c>
      <c r="EA61" s="99" t="e">
        <f>'Effort Estimation'!K538+"AM:!${g"</f>
        <v>#VALUE!</v>
      </c>
      <c r="EB61" s="99" t="e">
        <f>'Effort Estimation'!L538+"AM:!${h"</f>
        <v>#VALUE!</v>
      </c>
      <c r="EC61" s="99" t="e">
        <f>'Effort Estimation'!M538+"AM:!${i"</f>
        <v>#VALUE!</v>
      </c>
      <c r="ED61" s="99" t="e">
        <f>'Effort Estimation'!N538+"AM:!${j"</f>
        <v>#VALUE!</v>
      </c>
      <c r="EE61" s="99" t="e">
        <f>'Effort Estimation'!O538+"AM:!${k"</f>
        <v>#VALUE!</v>
      </c>
      <c r="EF61" s="99" t="e">
        <f>'Effort Estimation'!P538+"AM:!${l"</f>
        <v>#VALUE!</v>
      </c>
      <c r="EG61" s="99" t="e">
        <f>'Effort Estimation'!Q538+"AM:!${m"</f>
        <v>#VALUE!</v>
      </c>
      <c r="EH61" t="e">
        <f>'Effort Estimation'!R538+"AM:!${n"</f>
        <v>#VALUE!</v>
      </c>
      <c r="EI61" t="e">
        <f>'Effort Estimation'!S538+"AM:!${o"</f>
        <v>#VALUE!</v>
      </c>
      <c r="EJ61" t="e">
        <f>'Effort Estimation'!T538+"AM:!${p"</f>
        <v>#VALUE!</v>
      </c>
      <c r="EK61" t="e">
        <f>'Effort Estimation'!A539+"AM:!${q"</f>
        <v>#VALUE!</v>
      </c>
      <c r="EL61" t="e">
        <f>'Effort Estimation'!B539+"AM:!${r"</f>
        <v>#VALUE!</v>
      </c>
      <c r="EM61" t="e">
        <f>'Effort Estimation'!C539+"AM:!${s"</f>
        <v>#VALUE!</v>
      </c>
      <c r="EN61" t="e">
        <f>'Effort Estimation'!D539+"AM:!${t"</f>
        <v>#VALUE!</v>
      </c>
      <c r="EO61" t="e">
        <f>'Effort Estimation'!E539+"AM:!${u"</f>
        <v>#VALUE!</v>
      </c>
      <c r="EP61" t="e">
        <f>'Effort Estimation'!F539+"AM:!${v"</f>
        <v>#VALUE!</v>
      </c>
      <c r="EQ61" t="e">
        <f>'Effort Estimation'!G539+"AM:!${w"</f>
        <v>#VALUE!</v>
      </c>
      <c r="ER61" t="e">
        <f>'Effort Estimation'!H539+"AM:!${x"</f>
        <v>#VALUE!</v>
      </c>
      <c r="ES61" t="e">
        <f>'Effort Estimation'!I539+"AM:!${y"</f>
        <v>#VALUE!</v>
      </c>
      <c r="ET61" s="99" t="e">
        <f>'Effort Estimation'!J539+"AM:!${z"</f>
        <v>#VALUE!</v>
      </c>
      <c r="EU61" s="99" t="e">
        <f>'Effort Estimation'!K539+"AM:!${{"</f>
        <v>#VALUE!</v>
      </c>
      <c r="EV61" s="99" t="e">
        <f>'Effort Estimation'!L539+"AM:!${|"</f>
        <v>#VALUE!</v>
      </c>
      <c r="EW61" s="99" t="e">
        <f>'Effort Estimation'!M539+"AM:!${}"</f>
        <v>#VALUE!</v>
      </c>
      <c r="EX61" s="99" t="e">
        <f>'Effort Estimation'!N539+"AM:!${~"</f>
        <v>#VALUE!</v>
      </c>
      <c r="EY61" s="99" t="e">
        <f>'Effort Estimation'!O539+"AM:!$|#"</f>
        <v>#VALUE!</v>
      </c>
      <c r="EZ61" s="99" t="e">
        <f>'Effort Estimation'!P539+"AM:!$|$"</f>
        <v>#VALUE!</v>
      </c>
      <c r="FA61" s="99" t="e">
        <f>'Effort Estimation'!Q539+"AM:!$|%"</f>
        <v>#VALUE!</v>
      </c>
      <c r="FB61" t="e">
        <f>'Effort Estimation'!R539+"AM:!$|&amp;"</f>
        <v>#VALUE!</v>
      </c>
      <c r="FC61" t="e">
        <f>'Effort Estimation'!S539+"AM:!$|'"</f>
        <v>#VALUE!</v>
      </c>
      <c r="FD61" t="e">
        <f>'Effort Estimation'!T539+"AM:!$|("</f>
        <v>#VALUE!</v>
      </c>
      <c r="FE61" t="e">
        <f>'Effort Estimation'!A540+"AM:!$|)"</f>
        <v>#VALUE!</v>
      </c>
      <c r="FF61" t="e">
        <f>'Effort Estimation'!B540+"AM:!$|."</f>
        <v>#VALUE!</v>
      </c>
      <c r="FG61" t="e">
        <f>'Effort Estimation'!C540+"AM:!$|/"</f>
        <v>#VALUE!</v>
      </c>
      <c r="FH61" t="e">
        <f>'Effort Estimation'!D540+"AM:!$|0"</f>
        <v>#VALUE!</v>
      </c>
      <c r="FI61" t="e">
        <f>'Effort Estimation'!E540+"AM:!$|1"</f>
        <v>#VALUE!</v>
      </c>
      <c r="FJ61" t="e">
        <f>'Effort Estimation'!F540+"AM:!$|2"</f>
        <v>#VALUE!</v>
      </c>
      <c r="FK61" t="e">
        <f>'Effort Estimation'!G540+"AM:!$|3"</f>
        <v>#VALUE!</v>
      </c>
      <c r="FL61" t="e">
        <f>'Effort Estimation'!H540+"AM:!$|4"</f>
        <v>#VALUE!</v>
      </c>
      <c r="FM61" t="e">
        <f>'Effort Estimation'!I540+"AM:!$|5"</f>
        <v>#VALUE!</v>
      </c>
      <c r="FN61" s="99" t="e">
        <f>'Effort Estimation'!J540+"AM:!$|6"</f>
        <v>#VALUE!</v>
      </c>
      <c r="FO61" s="99" t="e">
        <f>'Effort Estimation'!K540+"AM:!$|7"</f>
        <v>#VALUE!</v>
      </c>
      <c r="FP61" s="99" t="e">
        <f>'Effort Estimation'!L540+"AM:!$|8"</f>
        <v>#VALUE!</v>
      </c>
      <c r="FQ61" s="99" t="e">
        <f>'Effort Estimation'!M540+"AM:!$|9"</f>
        <v>#VALUE!</v>
      </c>
      <c r="FR61" s="99" t="e">
        <f>'Effort Estimation'!N540+"AM:!$|:"</f>
        <v>#VALUE!</v>
      </c>
      <c r="FS61" s="99" t="e">
        <f>'Effort Estimation'!O540+"AM:!$|;"</f>
        <v>#VALUE!</v>
      </c>
      <c r="FT61" s="99" t="e">
        <f>'Effort Estimation'!P540+"AM:!$|&lt;"</f>
        <v>#VALUE!</v>
      </c>
      <c r="FU61" s="99" t="e">
        <f>'Effort Estimation'!Q540+"AM:!$|="</f>
        <v>#VALUE!</v>
      </c>
      <c r="FV61" t="e">
        <f>'Effort Estimation'!R540+"AM:!$|&gt;"</f>
        <v>#VALUE!</v>
      </c>
      <c r="FW61" t="e">
        <f>'Effort Estimation'!S540+"AM:!$|?"</f>
        <v>#VALUE!</v>
      </c>
      <c r="FX61" t="e">
        <f>'Effort Estimation'!T540+"AM:!$|@"</f>
        <v>#VALUE!</v>
      </c>
      <c r="FY61" t="e">
        <f>'Effort Estimation'!A541+"AM:!$|A"</f>
        <v>#VALUE!</v>
      </c>
      <c r="FZ61" t="e">
        <f>'Effort Estimation'!B541+"AM:!$|B"</f>
        <v>#VALUE!</v>
      </c>
      <c r="GA61" t="e">
        <f>'Effort Estimation'!C541+"AM:!$|C"</f>
        <v>#VALUE!</v>
      </c>
      <c r="GB61" t="e">
        <f>'Effort Estimation'!D541+"AM:!$|D"</f>
        <v>#VALUE!</v>
      </c>
      <c r="GC61" t="e">
        <f>'Effort Estimation'!E541+"AM:!$|E"</f>
        <v>#VALUE!</v>
      </c>
      <c r="GD61" t="e">
        <f>'Effort Estimation'!F541+"AM:!$|F"</f>
        <v>#VALUE!</v>
      </c>
      <c r="GE61" t="e">
        <f>'Effort Estimation'!G541+"AM:!$|G"</f>
        <v>#VALUE!</v>
      </c>
      <c r="GF61" t="e">
        <f>'Effort Estimation'!H541+"AM:!$|H"</f>
        <v>#VALUE!</v>
      </c>
      <c r="GG61" t="e">
        <f>'Effort Estimation'!I541+"AM:!$|I"</f>
        <v>#VALUE!</v>
      </c>
      <c r="GH61" s="99" t="e">
        <f>'Effort Estimation'!J541+"AM:!$|J"</f>
        <v>#VALUE!</v>
      </c>
      <c r="GI61" s="99" t="e">
        <f>'Effort Estimation'!K541+"AM:!$|K"</f>
        <v>#VALUE!</v>
      </c>
      <c r="GJ61" s="99" t="e">
        <f>'Effort Estimation'!L541+"AM:!$|L"</f>
        <v>#VALUE!</v>
      </c>
      <c r="GK61" s="99" t="e">
        <f>'Effort Estimation'!M541+"AM:!$|M"</f>
        <v>#VALUE!</v>
      </c>
      <c r="GL61" s="99" t="e">
        <f>'Effort Estimation'!N541+"AM:!$|N"</f>
        <v>#VALUE!</v>
      </c>
      <c r="GM61" s="99" t="e">
        <f>'Effort Estimation'!O541+"AM:!$|O"</f>
        <v>#VALUE!</v>
      </c>
      <c r="GN61" s="99" t="e">
        <f>'Effort Estimation'!P541+"AM:!$|P"</f>
        <v>#VALUE!</v>
      </c>
      <c r="GO61" s="99" t="e">
        <f>'Effort Estimation'!Q541+"AM:!$|Q"</f>
        <v>#VALUE!</v>
      </c>
      <c r="GP61" t="e">
        <f>'Effort Estimation'!R541+"AM:!$|R"</f>
        <v>#VALUE!</v>
      </c>
      <c r="GQ61" t="e">
        <f>'Effort Estimation'!S541+"AM:!$|S"</f>
        <v>#VALUE!</v>
      </c>
      <c r="GR61" t="e">
        <f>'Effort Estimation'!T541+"AM:!$|T"</f>
        <v>#VALUE!</v>
      </c>
      <c r="GS61" t="e">
        <f>'Effort Estimation'!A542+"AM:!$|U"</f>
        <v>#VALUE!</v>
      </c>
      <c r="GT61" t="e">
        <f>'Effort Estimation'!B542+"AM:!$|V"</f>
        <v>#VALUE!</v>
      </c>
      <c r="GU61" t="e">
        <f>'Effort Estimation'!C542+"AM:!$|W"</f>
        <v>#VALUE!</v>
      </c>
      <c r="GV61" t="e">
        <f>'Effort Estimation'!D542+"AM:!$|X"</f>
        <v>#VALUE!</v>
      </c>
      <c r="GW61" t="e">
        <f>'Effort Estimation'!E542+"AM:!$|Y"</f>
        <v>#VALUE!</v>
      </c>
      <c r="GX61" t="e">
        <f>'Effort Estimation'!F542+"AM:!$|Z"</f>
        <v>#VALUE!</v>
      </c>
      <c r="GY61" t="e">
        <f>'Effort Estimation'!G542+"AM:!$|["</f>
        <v>#VALUE!</v>
      </c>
      <c r="GZ61" t="e">
        <f>'Effort Estimation'!H542+"AM:!$|\"</f>
        <v>#VALUE!</v>
      </c>
      <c r="HA61" t="e">
        <f>'Effort Estimation'!I542+"AM:!$|]"</f>
        <v>#VALUE!</v>
      </c>
      <c r="HB61" s="99" t="e">
        <f>'Effort Estimation'!J542+"AM:!$|^"</f>
        <v>#VALUE!</v>
      </c>
      <c r="HC61" s="99" t="e">
        <f>'Effort Estimation'!K542+"AM:!$|_"</f>
        <v>#VALUE!</v>
      </c>
      <c r="HD61" s="99" t="e">
        <f>'Effort Estimation'!L542+"AM:!$|`"</f>
        <v>#VALUE!</v>
      </c>
      <c r="HE61" s="99" t="e">
        <f>'Effort Estimation'!M542+"AM:!$|a"</f>
        <v>#VALUE!</v>
      </c>
      <c r="HF61" s="99" t="e">
        <f>'Effort Estimation'!N542+"AM:!$|b"</f>
        <v>#VALUE!</v>
      </c>
      <c r="HG61" s="99" t="e">
        <f>'Effort Estimation'!O542+"AM:!$|c"</f>
        <v>#VALUE!</v>
      </c>
      <c r="HH61" s="99" t="e">
        <f>'Effort Estimation'!P542+"AM:!$|d"</f>
        <v>#VALUE!</v>
      </c>
      <c r="HI61" s="99" t="e">
        <f>'Effort Estimation'!Q542+"AM:!$|e"</f>
        <v>#VALUE!</v>
      </c>
      <c r="HJ61" t="e">
        <f>'Effort Estimation'!R542+"AM:!$|f"</f>
        <v>#VALUE!</v>
      </c>
      <c r="HK61" t="e">
        <f>'Effort Estimation'!S542+"AM:!$|g"</f>
        <v>#VALUE!</v>
      </c>
      <c r="HL61" t="e">
        <f>'Effort Estimation'!T542+"AM:!$|h"</f>
        <v>#VALUE!</v>
      </c>
      <c r="HM61" t="e">
        <f>'Effort Estimation'!A543+"AM:!$|i"</f>
        <v>#VALUE!</v>
      </c>
      <c r="HN61" t="e">
        <f>'Effort Estimation'!B543+"AM:!$|j"</f>
        <v>#VALUE!</v>
      </c>
      <c r="HO61" t="e">
        <f>'Effort Estimation'!C543+"AM:!$|k"</f>
        <v>#VALUE!</v>
      </c>
      <c r="HP61" t="e">
        <f>'Effort Estimation'!D543+"AM:!$|l"</f>
        <v>#VALUE!</v>
      </c>
      <c r="HQ61" t="e">
        <f>'Effort Estimation'!E543+"AM:!$|m"</f>
        <v>#VALUE!</v>
      </c>
      <c r="HR61" t="e">
        <f>'Effort Estimation'!F543+"AM:!$|n"</f>
        <v>#VALUE!</v>
      </c>
      <c r="HS61" t="e">
        <f>'Effort Estimation'!G543+"AM:!$|o"</f>
        <v>#VALUE!</v>
      </c>
      <c r="HT61" t="e">
        <f>'Effort Estimation'!H543+"AM:!$|p"</f>
        <v>#VALUE!</v>
      </c>
      <c r="HU61" t="e">
        <f>'Effort Estimation'!I543+"AM:!$|q"</f>
        <v>#VALUE!</v>
      </c>
      <c r="HV61" s="99" t="e">
        <f>'Effort Estimation'!J543+"AM:!$|r"</f>
        <v>#VALUE!</v>
      </c>
      <c r="HW61" s="99" t="e">
        <f>'Effort Estimation'!K543+"AM:!$|s"</f>
        <v>#VALUE!</v>
      </c>
      <c r="HX61" s="99" t="e">
        <f>'Effort Estimation'!L543+"AM:!$|t"</f>
        <v>#VALUE!</v>
      </c>
      <c r="HY61" s="99" t="e">
        <f>'Effort Estimation'!M543+"AM:!$|u"</f>
        <v>#VALUE!</v>
      </c>
      <c r="HZ61" s="99" t="e">
        <f>'Effort Estimation'!N543+"AM:!$|v"</f>
        <v>#VALUE!</v>
      </c>
      <c r="IA61" s="99" t="e">
        <f>'Effort Estimation'!O543+"AM:!$|w"</f>
        <v>#VALUE!</v>
      </c>
      <c r="IB61" s="99" t="e">
        <f>'Effort Estimation'!P543+"AM:!$|x"</f>
        <v>#VALUE!</v>
      </c>
      <c r="IC61" s="99" t="e">
        <f>'Effort Estimation'!Q543+"AM:!$|y"</f>
        <v>#VALUE!</v>
      </c>
      <c r="ID61" t="e">
        <f>'Effort Estimation'!R543+"AM:!$|z"</f>
        <v>#VALUE!</v>
      </c>
      <c r="IE61" t="e">
        <f>'Effort Estimation'!S543+"AM:!$|{"</f>
        <v>#VALUE!</v>
      </c>
      <c r="IF61" t="e">
        <f>'Effort Estimation'!T543+"AM:!$||"</f>
        <v>#VALUE!</v>
      </c>
      <c r="IG61" t="e">
        <f>'Effort Estimation'!A544+"AM:!$|}"</f>
        <v>#VALUE!</v>
      </c>
      <c r="IH61" t="e">
        <f>'Effort Estimation'!B544+"AM:!$|~"</f>
        <v>#VALUE!</v>
      </c>
      <c r="II61" t="e">
        <f>'Effort Estimation'!C544+"AM:!$}#"</f>
        <v>#VALUE!</v>
      </c>
      <c r="IJ61" t="e">
        <f>'Effort Estimation'!D544+"AM:!$}$"</f>
        <v>#VALUE!</v>
      </c>
      <c r="IK61" t="e">
        <f>'Effort Estimation'!E544+"AM:!$}%"</f>
        <v>#VALUE!</v>
      </c>
      <c r="IL61" t="e">
        <f>'Effort Estimation'!F544+"AM:!$}&amp;"</f>
        <v>#VALUE!</v>
      </c>
      <c r="IM61" t="e">
        <f>'Effort Estimation'!G544+"AM:!$}'"</f>
        <v>#VALUE!</v>
      </c>
      <c r="IN61" t="e">
        <f>'Effort Estimation'!H544+"AM:!$}("</f>
        <v>#VALUE!</v>
      </c>
      <c r="IO61" t="e">
        <f>'Effort Estimation'!I544+"AM:!$})"</f>
        <v>#VALUE!</v>
      </c>
      <c r="IP61" s="99" t="e">
        <f>'Effort Estimation'!J544+"AM:!$}."</f>
        <v>#VALUE!</v>
      </c>
      <c r="IQ61" s="99" t="e">
        <f>'Effort Estimation'!K544+"AM:!$}/"</f>
        <v>#VALUE!</v>
      </c>
      <c r="IR61" s="99" t="e">
        <f>'Effort Estimation'!L544+"AM:!$}0"</f>
        <v>#VALUE!</v>
      </c>
      <c r="IS61" s="99" t="e">
        <f>'Effort Estimation'!M544+"AM:!$}1"</f>
        <v>#VALUE!</v>
      </c>
      <c r="IT61" s="99" t="e">
        <f>'Effort Estimation'!N544+"AM:!$}2"</f>
        <v>#VALUE!</v>
      </c>
      <c r="IU61" s="99" t="e">
        <f>'Effort Estimation'!O544+"AM:!$}3"</f>
        <v>#VALUE!</v>
      </c>
      <c r="IV61" s="99" t="e">
        <f>'Effort Estimation'!P544+"AM:!$}4"</f>
        <v>#VALUE!</v>
      </c>
    </row>
    <row r="62" spans="6:256">
      <c r="F62" s="99" t="e">
        <f>'Effort Estimation'!Q544+"AM:!$}5"</f>
        <v>#VALUE!</v>
      </c>
      <c r="G62" t="e">
        <f>'Effort Estimation'!R544+"AM:!$}6"</f>
        <v>#VALUE!</v>
      </c>
      <c r="H62" t="e">
        <f>'Effort Estimation'!S544+"AM:!$}7"</f>
        <v>#VALUE!</v>
      </c>
      <c r="I62" t="e">
        <f>'Effort Estimation'!T544+"AM:!$}8"</f>
        <v>#VALUE!</v>
      </c>
      <c r="J62" t="e">
        <f>'Effort Estimation'!A545+"AM:!$}9"</f>
        <v>#VALUE!</v>
      </c>
      <c r="K62" t="e">
        <f>'Effort Estimation'!B545+"AM:!$}:"</f>
        <v>#VALUE!</v>
      </c>
      <c r="L62" t="e">
        <f>'Effort Estimation'!C545+"AM:!$};"</f>
        <v>#VALUE!</v>
      </c>
      <c r="M62" t="e">
        <f>'Effort Estimation'!D545+"AM:!$}&lt;"</f>
        <v>#VALUE!</v>
      </c>
      <c r="N62" t="e">
        <f>'Effort Estimation'!E545+"AM:!$}="</f>
        <v>#VALUE!</v>
      </c>
      <c r="O62" t="e">
        <f>'Effort Estimation'!F545+"AM:!$}&gt;"</f>
        <v>#VALUE!</v>
      </c>
      <c r="P62" t="e">
        <f>'Effort Estimation'!G545+"AM:!$}?"</f>
        <v>#VALUE!</v>
      </c>
      <c r="Q62" t="e">
        <f>'Effort Estimation'!H545+"AM:!$}@"</f>
        <v>#VALUE!</v>
      </c>
      <c r="R62" t="e">
        <f>'Effort Estimation'!I545+"AM:!$}A"</f>
        <v>#VALUE!</v>
      </c>
      <c r="S62" s="99" t="e">
        <f>'Effort Estimation'!J545+"AM:!$}B"</f>
        <v>#VALUE!</v>
      </c>
      <c r="T62" s="99" t="e">
        <f>'Effort Estimation'!K545+"AM:!$}C"</f>
        <v>#VALUE!</v>
      </c>
      <c r="U62" s="99" t="e">
        <f>'Effort Estimation'!L545+"AM:!$}D"</f>
        <v>#VALUE!</v>
      </c>
      <c r="V62" s="99" t="e">
        <f>'Effort Estimation'!M545+"AM:!$}E"</f>
        <v>#VALUE!</v>
      </c>
      <c r="W62" s="99" t="e">
        <f>'Effort Estimation'!N545+"AM:!$}F"</f>
        <v>#VALUE!</v>
      </c>
      <c r="X62" s="99" t="e">
        <f>'Effort Estimation'!O545+"AM:!$}G"</f>
        <v>#VALUE!</v>
      </c>
      <c r="Y62" s="99" t="e">
        <f>'Effort Estimation'!P545+"AM:!$}H"</f>
        <v>#VALUE!</v>
      </c>
      <c r="Z62" s="99" t="e">
        <f>'Effort Estimation'!Q545+"AM:!$}I"</f>
        <v>#VALUE!</v>
      </c>
      <c r="AA62" t="e">
        <f>'Effort Estimation'!R545+"AM:!$}J"</f>
        <v>#VALUE!</v>
      </c>
      <c r="AB62" t="e">
        <f>'Effort Estimation'!S545+"AM:!$}K"</f>
        <v>#VALUE!</v>
      </c>
      <c r="AC62" t="e">
        <f>'Effort Estimation'!T545+"AM:!$}L"</f>
        <v>#VALUE!</v>
      </c>
      <c r="AD62" t="e">
        <f>'Effort Estimation'!A546+"AM:!$}M"</f>
        <v>#VALUE!</v>
      </c>
      <c r="AE62" t="e">
        <f>'Effort Estimation'!B546+"AM:!$}N"</f>
        <v>#VALUE!</v>
      </c>
      <c r="AF62" t="e">
        <f>'Effort Estimation'!C546+"AM:!$}O"</f>
        <v>#VALUE!</v>
      </c>
      <c r="AG62" t="e">
        <f>'Effort Estimation'!D546+"AM:!$}P"</f>
        <v>#VALUE!</v>
      </c>
      <c r="AH62" t="e">
        <f>'Effort Estimation'!E546+"AM:!$}Q"</f>
        <v>#VALUE!</v>
      </c>
      <c r="AI62" t="e">
        <f>'Effort Estimation'!F546+"AM:!$}R"</f>
        <v>#VALUE!</v>
      </c>
      <c r="AJ62" t="e">
        <f>'Effort Estimation'!G546+"AM:!$}S"</f>
        <v>#VALUE!</v>
      </c>
      <c r="AK62" t="e">
        <f>'Effort Estimation'!H546+"AM:!$}T"</f>
        <v>#VALUE!</v>
      </c>
      <c r="AL62" t="e">
        <f>'Effort Estimation'!I546+"AM:!$}U"</f>
        <v>#VALUE!</v>
      </c>
      <c r="AM62" s="99" t="e">
        <f>'Effort Estimation'!J546+"AM:!$}V"</f>
        <v>#VALUE!</v>
      </c>
      <c r="AN62" s="99" t="e">
        <f>'Effort Estimation'!K546+"AM:!$}W"</f>
        <v>#VALUE!</v>
      </c>
      <c r="AO62" s="99" t="e">
        <f>'Effort Estimation'!L546+"AM:!$}X"</f>
        <v>#VALUE!</v>
      </c>
      <c r="AP62" s="99" t="e">
        <f>'Effort Estimation'!M546+"AM:!$}Y"</f>
        <v>#VALUE!</v>
      </c>
      <c r="AQ62" s="99" t="e">
        <f>'Effort Estimation'!N546+"AM:!$}Z"</f>
        <v>#VALUE!</v>
      </c>
      <c r="AR62" s="99" t="e">
        <f>'Effort Estimation'!O546+"AM:!$}["</f>
        <v>#VALUE!</v>
      </c>
      <c r="AS62" s="99" t="e">
        <f>'Effort Estimation'!P546+"AM:!$}\"</f>
        <v>#VALUE!</v>
      </c>
      <c r="AT62" s="99" t="e">
        <f>'Effort Estimation'!Q546+"AM:!$}]"</f>
        <v>#VALUE!</v>
      </c>
      <c r="AU62" t="e">
        <f>'Effort Estimation'!R546+"AM:!$}^"</f>
        <v>#VALUE!</v>
      </c>
      <c r="AV62" t="e">
        <f>'Effort Estimation'!S546+"AM:!$}_"</f>
        <v>#VALUE!</v>
      </c>
      <c r="AW62" t="e">
        <f>'Effort Estimation'!T546+"AM:!$}`"</f>
        <v>#VALUE!</v>
      </c>
      <c r="AX62" t="e">
        <f>'Effort Estimation'!A547+"AM:!$}a"</f>
        <v>#VALUE!</v>
      </c>
      <c r="AY62" t="e">
        <f>'Effort Estimation'!B547+"AM:!$}b"</f>
        <v>#VALUE!</v>
      </c>
      <c r="AZ62" t="e">
        <f>'Effort Estimation'!C547+"AM:!$}c"</f>
        <v>#VALUE!</v>
      </c>
      <c r="BA62" t="e">
        <f>'Effort Estimation'!D547+"AM:!$}d"</f>
        <v>#VALUE!</v>
      </c>
      <c r="BB62" t="e">
        <f>'Effort Estimation'!E547+"AM:!$}e"</f>
        <v>#VALUE!</v>
      </c>
      <c r="BC62" t="e">
        <f>'Effort Estimation'!F547+"AM:!$}f"</f>
        <v>#VALUE!</v>
      </c>
      <c r="BD62" t="e">
        <f>'Effort Estimation'!G547+"AM:!$}g"</f>
        <v>#VALUE!</v>
      </c>
      <c r="BE62" t="e">
        <f>'Effort Estimation'!H547+"AM:!$}h"</f>
        <v>#VALUE!</v>
      </c>
      <c r="BF62" t="e">
        <f>'Effort Estimation'!I547+"AM:!$}i"</f>
        <v>#VALUE!</v>
      </c>
      <c r="BG62" s="99" t="e">
        <f>'Effort Estimation'!J547+"AM:!$}j"</f>
        <v>#VALUE!</v>
      </c>
      <c r="BH62" s="99" t="e">
        <f>'Effort Estimation'!K547+"AM:!$}k"</f>
        <v>#VALUE!</v>
      </c>
      <c r="BI62" s="99" t="e">
        <f>'Effort Estimation'!L547+"AM:!$}l"</f>
        <v>#VALUE!</v>
      </c>
      <c r="BJ62" s="99" t="e">
        <f>'Effort Estimation'!M547+"AM:!$}m"</f>
        <v>#VALUE!</v>
      </c>
      <c r="BK62" s="99" t="e">
        <f>'Effort Estimation'!N547+"AM:!$}n"</f>
        <v>#VALUE!</v>
      </c>
      <c r="BL62" s="99" t="e">
        <f>'Effort Estimation'!O547+"AM:!$}o"</f>
        <v>#VALUE!</v>
      </c>
      <c r="BM62" s="99" t="e">
        <f>'Effort Estimation'!P547+"AM:!$}p"</f>
        <v>#VALUE!</v>
      </c>
      <c r="BN62" s="99" t="e">
        <f>'Effort Estimation'!Q547+"AM:!$}q"</f>
        <v>#VALUE!</v>
      </c>
      <c r="BO62" t="e">
        <f>'Effort Estimation'!R547+"AM:!$}r"</f>
        <v>#VALUE!</v>
      </c>
      <c r="BP62" t="e">
        <f>'Effort Estimation'!S547+"AM:!$}s"</f>
        <v>#VALUE!</v>
      </c>
      <c r="BQ62" t="e">
        <f>'Effort Estimation'!T547+"AM:!$}t"</f>
        <v>#VALUE!</v>
      </c>
      <c r="BR62" t="e">
        <f>'Effort Estimation'!A548+"AM:!$}u"</f>
        <v>#VALUE!</v>
      </c>
      <c r="BS62" t="e">
        <f>'Effort Estimation'!B548+"AM:!$}v"</f>
        <v>#VALUE!</v>
      </c>
      <c r="BT62" t="e">
        <f>'Effort Estimation'!C548+"AM:!$}w"</f>
        <v>#VALUE!</v>
      </c>
      <c r="BU62" t="e">
        <f>'Effort Estimation'!D548+"AM:!$}x"</f>
        <v>#VALUE!</v>
      </c>
      <c r="BV62" t="e">
        <f>'Effort Estimation'!E548+"AM:!$}y"</f>
        <v>#VALUE!</v>
      </c>
      <c r="BW62" t="e">
        <f>'Effort Estimation'!F548+"AM:!$}z"</f>
        <v>#VALUE!</v>
      </c>
      <c r="BX62" t="e">
        <f>'Effort Estimation'!G548+"AM:!$}{"</f>
        <v>#VALUE!</v>
      </c>
      <c r="BY62" t="e">
        <f>'Effort Estimation'!H548+"AM:!$}|"</f>
        <v>#VALUE!</v>
      </c>
      <c r="BZ62" t="e">
        <f>'Effort Estimation'!I548+"AM:!$}}"</f>
        <v>#VALUE!</v>
      </c>
      <c r="CA62" s="99" t="e">
        <f>'Effort Estimation'!J548+"AM:!$}~"</f>
        <v>#VALUE!</v>
      </c>
      <c r="CB62" s="99" t="e">
        <f>'Effort Estimation'!K548+"AM:!$~#"</f>
        <v>#VALUE!</v>
      </c>
      <c r="CC62" s="99" t="e">
        <f>'Effort Estimation'!L548+"AM:!$~$"</f>
        <v>#VALUE!</v>
      </c>
      <c r="CD62" s="99" t="e">
        <f>'Effort Estimation'!M548+"AM:!$~%"</f>
        <v>#VALUE!</v>
      </c>
      <c r="CE62" s="99" t="e">
        <f>'Effort Estimation'!N548+"AM:!$~&amp;"</f>
        <v>#VALUE!</v>
      </c>
      <c r="CF62" s="99" t="e">
        <f>'Effort Estimation'!O548+"AM:!$~'"</f>
        <v>#VALUE!</v>
      </c>
      <c r="CG62" s="99" t="e">
        <f>'Effort Estimation'!P548+"AM:!$~("</f>
        <v>#VALUE!</v>
      </c>
      <c r="CH62" s="99" t="e">
        <f>'Effort Estimation'!Q548+"AM:!$~)"</f>
        <v>#VALUE!</v>
      </c>
      <c r="CI62" t="e">
        <f>'Effort Estimation'!R548+"AM:!$~."</f>
        <v>#VALUE!</v>
      </c>
      <c r="CJ62" t="e">
        <f>'Effort Estimation'!S548+"AM:!$~/"</f>
        <v>#VALUE!</v>
      </c>
      <c r="CK62" t="e">
        <f>'Effort Estimation'!T548+"AM:!$~0"</f>
        <v>#VALUE!</v>
      </c>
      <c r="CL62" t="e">
        <f>'Effort Estimation'!A549+"AM:!$~1"</f>
        <v>#VALUE!</v>
      </c>
      <c r="CM62" t="e">
        <f>'Effort Estimation'!B549+"AM:!$~2"</f>
        <v>#VALUE!</v>
      </c>
      <c r="CN62" t="e">
        <f>'Effort Estimation'!C549+"AM:!$~3"</f>
        <v>#VALUE!</v>
      </c>
      <c r="CO62" t="e">
        <f>'Effort Estimation'!D549+"AM:!$~4"</f>
        <v>#VALUE!</v>
      </c>
      <c r="CP62" t="e">
        <f>'Effort Estimation'!E549+"AM:!$~5"</f>
        <v>#VALUE!</v>
      </c>
      <c r="CQ62" t="e">
        <f>'Effort Estimation'!F549+"AM:!$~6"</f>
        <v>#VALUE!</v>
      </c>
      <c r="CR62" t="e">
        <f>'Effort Estimation'!G549+"AM:!$~7"</f>
        <v>#VALUE!</v>
      </c>
      <c r="CS62" t="e">
        <f>'Effort Estimation'!H549+"AM:!$~8"</f>
        <v>#VALUE!</v>
      </c>
      <c r="CT62" t="e">
        <f>'Effort Estimation'!I549+"AM:!$~9"</f>
        <v>#VALUE!</v>
      </c>
      <c r="CU62" s="99" t="e">
        <f>'Effort Estimation'!J549+"AM:!$~:"</f>
        <v>#VALUE!</v>
      </c>
      <c r="CV62" s="99" t="e">
        <f>'Effort Estimation'!K549+"AM:!$~;"</f>
        <v>#VALUE!</v>
      </c>
      <c r="CW62" s="99" t="e">
        <f>'Effort Estimation'!L549+"AM:!$~&lt;"</f>
        <v>#VALUE!</v>
      </c>
      <c r="CX62" s="99" t="e">
        <f>'Effort Estimation'!M549+"AM:!$~="</f>
        <v>#VALUE!</v>
      </c>
      <c r="CY62" s="99" t="e">
        <f>'Effort Estimation'!N549+"AM:!$~&gt;"</f>
        <v>#VALUE!</v>
      </c>
      <c r="CZ62" s="99" t="e">
        <f>'Effort Estimation'!O549+"AM:!$~?"</f>
        <v>#VALUE!</v>
      </c>
      <c r="DA62" s="99" t="e">
        <f>'Effort Estimation'!P549+"AM:!$~@"</f>
        <v>#VALUE!</v>
      </c>
      <c r="DB62" s="99" t="e">
        <f>'Effort Estimation'!Q549+"AM:!$~A"</f>
        <v>#VALUE!</v>
      </c>
      <c r="DC62" t="e">
        <f>'Effort Estimation'!R549+"AM:!$~B"</f>
        <v>#VALUE!</v>
      </c>
      <c r="DD62" t="e">
        <f>'Effort Estimation'!S549+"AM:!$~C"</f>
        <v>#VALUE!</v>
      </c>
      <c r="DE62" t="e">
        <f>'Effort Estimation'!T549+"AM:!$~D"</f>
        <v>#VALUE!</v>
      </c>
      <c r="DF62" t="e">
        <f>'Effort Estimation'!A550+"AM:!$~E"</f>
        <v>#VALUE!</v>
      </c>
      <c r="DG62" t="e">
        <f>'Effort Estimation'!B550+"AM:!$~F"</f>
        <v>#VALUE!</v>
      </c>
      <c r="DH62" t="e">
        <f>'Effort Estimation'!C550+"AM:!$~G"</f>
        <v>#VALUE!</v>
      </c>
      <c r="DI62" t="e">
        <f>'Effort Estimation'!D550+"AM:!$~H"</f>
        <v>#VALUE!</v>
      </c>
      <c r="DJ62" t="e">
        <f>'Effort Estimation'!E550+"AM:!$~I"</f>
        <v>#VALUE!</v>
      </c>
      <c r="DK62" t="e">
        <f>'Effort Estimation'!F550+"AM:!$~J"</f>
        <v>#VALUE!</v>
      </c>
      <c r="DL62" t="e">
        <f>'Effort Estimation'!G550+"AM:!$~K"</f>
        <v>#VALUE!</v>
      </c>
      <c r="DM62" t="e">
        <f>'Effort Estimation'!H550+"AM:!$~L"</f>
        <v>#VALUE!</v>
      </c>
      <c r="DN62" t="e">
        <f>'Effort Estimation'!I550+"AM:!$~M"</f>
        <v>#VALUE!</v>
      </c>
      <c r="DO62" s="99" t="e">
        <f>'Effort Estimation'!J550+"AM:!$~N"</f>
        <v>#VALUE!</v>
      </c>
      <c r="DP62" s="99" t="e">
        <f>'Effort Estimation'!K550+"AM:!$~O"</f>
        <v>#VALUE!</v>
      </c>
      <c r="DQ62" s="99" t="e">
        <f>'Effort Estimation'!L550+"AM:!$~P"</f>
        <v>#VALUE!</v>
      </c>
      <c r="DR62" s="99" t="e">
        <f>'Effort Estimation'!M550+"AM:!$~Q"</f>
        <v>#VALUE!</v>
      </c>
      <c r="DS62" s="99" t="e">
        <f>'Effort Estimation'!N550+"AM:!$~R"</f>
        <v>#VALUE!</v>
      </c>
      <c r="DT62" s="99" t="e">
        <f>'Effort Estimation'!O550+"AM:!$~S"</f>
        <v>#VALUE!</v>
      </c>
      <c r="DU62" s="99" t="e">
        <f>'Effort Estimation'!P550+"AM:!$~T"</f>
        <v>#VALUE!</v>
      </c>
      <c r="DV62" s="99" t="e">
        <f>'Effort Estimation'!Q550+"AM:!$~U"</f>
        <v>#VALUE!</v>
      </c>
      <c r="DW62" t="e">
        <f>'Effort Estimation'!R550+"AM:!$~V"</f>
        <v>#VALUE!</v>
      </c>
      <c r="DX62" t="e">
        <f>'Effort Estimation'!S550+"AM:!$~W"</f>
        <v>#VALUE!</v>
      </c>
      <c r="DY62" t="e">
        <f>'Effort Estimation'!T550+"AM:!$~X"</f>
        <v>#VALUE!</v>
      </c>
      <c r="DZ62" t="e">
        <f>'Effort Estimation'!A551+"AM:!$~Y"</f>
        <v>#VALUE!</v>
      </c>
      <c r="EA62" t="e">
        <f>'Effort Estimation'!B551+"AM:!$~Z"</f>
        <v>#VALUE!</v>
      </c>
      <c r="EB62" t="e">
        <f>'Effort Estimation'!C551+"AM:!$~["</f>
        <v>#VALUE!</v>
      </c>
      <c r="EC62" t="e">
        <f>'Effort Estimation'!D551+"AM:!$~\"</f>
        <v>#VALUE!</v>
      </c>
      <c r="ED62" t="e">
        <f>'Effort Estimation'!E551+"AM:!$~]"</f>
        <v>#VALUE!</v>
      </c>
      <c r="EE62" t="e">
        <f>'Effort Estimation'!F551+"AM:!$~^"</f>
        <v>#VALUE!</v>
      </c>
      <c r="EF62" t="e">
        <f>'Effort Estimation'!G551+"AM:!$~_"</f>
        <v>#VALUE!</v>
      </c>
      <c r="EG62" t="e">
        <f>'Effort Estimation'!H551+"AM:!$~`"</f>
        <v>#VALUE!</v>
      </c>
      <c r="EH62" t="e">
        <f>'Effort Estimation'!I551+"AM:!$~a"</f>
        <v>#VALUE!</v>
      </c>
      <c r="EI62" s="99" t="e">
        <f>'Effort Estimation'!J551+"AM:!$~b"</f>
        <v>#VALUE!</v>
      </c>
      <c r="EJ62" s="99" t="e">
        <f>'Effort Estimation'!K551+"AM:!$~c"</f>
        <v>#VALUE!</v>
      </c>
      <c r="EK62" s="99" t="e">
        <f>'Effort Estimation'!L551+"AM:!$~d"</f>
        <v>#VALUE!</v>
      </c>
      <c r="EL62" s="99" t="e">
        <f>'Effort Estimation'!M551+"AM:!$~e"</f>
        <v>#VALUE!</v>
      </c>
      <c r="EM62" s="99" t="e">
        <f>'Effort Estimation'!N551+"AM:!$~f"</f>
        <v>#VALUE!</v>
      </c>
      <c r="EN62" s="99" t="e">
        <f>'Effort Estimation'!O551+"AM:!$~g"</f>
        <v>#VALUE!</v>
      </c>
      <c r="EO62" s="99" t="e">
        <f>'Effort Estimation'!P551+"AM:!$~h"</f>
        <v>#VALUE!</v>
      </c>
      <c r="EP62" s="99" t="e">
        <f>'Effort Estimation'!Q551+"AM:!$~i"</f>
        <v>#VALUE!</v>
      </c>
      <c r="EQ62" t="e">
        <f>'Effort Estimation'!R551+"AM:!$~j"</f>
        <v>#VALUE!</v>
      </c>
      <c r="ER62" t="e">
        <f>'Effort Estimation'!S551+"AM:!$~k"</f>
        <v>#VALUE!</v>
      </c>
      <c r="ES62" t="e">
        <f>'Effort Estimation'!T551+"AM:!$~l"</f>
        <v>#VALUE!</v>
      </c>
      <c r="ET62" t="e">
        <f>'Effort Estimation'!A552+"AM:!$~m"</f>
        <v>#VALUE!</v>
      </c>
      <c r="EU62" t="e">
        <f>'Effort Estimation'!B552+"AM:!$~n"</f>
        <v>#VALUE!</v>
      </c>
      <c r="EV62" t="e">
        <f>'Effort Estimation'!C552+"AM:!$~o"</f>
        <v>#VALUE!</v>
      </c>
      <c r="EW62" t="e">
        <f>'Effort Estimation'!D552+"AM:!$~p"</f>
        <v>#VALUE!</v>
      </c>
      <c r="EX62" t="e">
        <f>'Effort Estimation'!E552+"AM:!$~q"</f>
        <v>#VALUE!</v>
      </c>
      <c r="EY62" t="e">
        <f>'Effort Estimation'!F552+"AM:!$~r"</f>
        <v>#VALUE!</v>
      </c>
      <c r="EZ62" t="e">
        <f>'Effort Estimation'!G552+"AM:!$~s"</f>
        <v>#VALUE!</v>
      </c>
      <c r="FA62" t="e">
        <f>'Effort Estimation'!H552+"AM:!$~t"</f>
        <v>#VALUE!</v>
      </c>
      <c r="FB62" t="e">
        <f>'Effort Estimation'!I552+"AM:!$~u"</f>
        <v>#VALUE!</v>
      </c>
      <c r="FC62" s="99" t="e">
        <f>'Effort Estimation'!J552+"AM:!$~v"</f>
        <v>#VALUE!</v>
      </c>
      <c r="FD62" s="99" t="e">
        <f>'Effort Estimation'!K552+"AM:!$~w"</f>
        <v>#VALUE!</v>
      </c>
      <c r="FE62" s="99" t="e">
        <f>'Effort Estimation'!L552+"AM:!$~x"</f>
        <v>#VALUE!</v>
      </c>
      <c r="FF62" s="99" t="e">
        <f>'Effort Estimation'!M552+"AM:!$~y"</f>
        <v>#VALUE!</v>
      </c>
      <c r="FG62" s="99" t="e">
        <f>'Effort Estimation'!N552+"AM:!$~z"</f>
        <v>#VALUE!</v>
      </c>
      <c r="FH62" s="99" t="e">
        <f>'Effort Estimation'!O552+"AM:!$~{"</f>
        <v>#VALUE!</v>
      </c>
      <c r="FI62" s="99" t="e">
        <f>'Effort Estimation'!P552+"AM:!$~|"</f>
        <v>#VALUE!</v>
      </c>
      <c r="FJ62" s="99" t="e">
        <f>'Effort Estimation'!Q552+"AM:!$~}"</f>
        <v>#VALUE!</v>
      </c>
      <c r="FK62" t="e">
        <f>'Effort Estimation'!R552+"AM:!$~~"</f>
        <v>#VALUE!</v>
      </c>
      <c r="FL62" t="e">
        <f>'Effort Estimation'!S552+"AM:!%##"</f>
        <v>#VALUE!</v>
      </c>
      <c r="FM62" t="e">
        <f>'Effort Estimation'!T552+"AM:!%#$"</f>
        <v>#VALUE!</v>
      </c>
      <c r="FN62" t="e">
        <f>'Effort Estimation'!A553+"AM:!%#%"</f>
        <v>#VALUE!</v>
      </c>
      <c r="FO62" t="e">
        <f>'Effort Estimation'!B553+"AM:!%#&amp;"</f>
        <v>#VALUE!</v>
      </c>
      <c r="FP62" t="e">
        <f>'Effort Estimation'!C553+"AM:!%#'"</f>
        <v>#VALUE!</v>
      </c>
      <c r="FQ62" t="e">
        <f>'Effort Estimation'!D553+"AM:!%#("</f>
        <v>#VALUE!</v>
      </c>
      <c r="FR62" t="e">
        <f>'Effort Estimation'!E553+"AM:!%#)"</f>
        <v>#VALUE!</v>
      </c>
      <c r="FS62" t="e">
        <f>'Effort Estimation'!F553+"AM:!%#."</f>
        <v>#VALUE!</v>
      </c>
      <c r="FT62" t="e">
        <f>'Effort Estimation'!G553+"AM:!%#/"</f>
        <v>#VALUE!</v>
      </c>
      <c r="FU62" t="e">
        <f>'Effort Estimation'!H553+"AM:!%#0"</f>
        <v>#VALUE!</v>
      </c>
      <c r="FV62" t="e">
        <f>'Effort Estimation'!I553+"AM:!%#1"</f>
        <v>#VALUE!</v>
      </c>
      <c r="FW62" s="99" t="e">
        <f>'Effort Estimation'!J553+"AM:!%#2"</f>
        <v>#VALUE!</v>
      </c>
      <c r="FX62" s="99" t="e">
        <f>'Effort Estimation'!K553+"AM:!%#3"</f>
        <v>#VALUE!</v>
      </c>
      <c r="FY62" s="99" t="e">
        <f>'Effort Estimation'!L553+"AM:!%#4"</f>
        <v>#VALUE!</v>
      </c>
      <c r="FZ62" s="99" t="e">
        <f>'Effort Estimation'!M553+"AM:!%#5"</f>
        <v>#VALUE!</v>
      </c>
      <c r="GA62" s="99" t="e">
        <f>'Effort Estimation'!N553+"AM:!%#6"</f>
        <v>#VALUE!</v>
      </c>
      <c r="GB62" s="99" t="e">
        <f>'Effort Estimation'!O553+"AM:!%#7"</f>
        <v>#VALUE!</v>
      </c>
      <c r="GC62" s="99" t="e">
        <f>'Effort Estimation'!P553+"AM:!%#8"</f>
        <v>#VALUE!</v>
      </c>
      <c r="GD62" s="99" t="e">
        <f>'Effort Estimation'!Q553+"AM:!%#9"</f>
        <v>#VALUE!</v>
      </c>
      <c r="GE62" t="e">
        <f>'Effort Estimation'!R553+"AM:!%#:"</f>
        <v>#VALUE!</v>
      </c>
      <c r="GF62" t="e">
        <f>'Effort Estimation'!S553+"AM:!%#;"</f>
        <v>#VALUE!</v>
      </c>
      <c r="GG62" t="e">
        <f>'Effort Estimation'!T553+"AM:!%#&lt;"</f>
        <v>#VALUE!</v>
      </c>
      <c r="GH62" t="e">
        <f>'Effort Estimation'!A554+"AM:!%#="</f>
        <v>#VALUE!</v>
      </c>
      <c r="GI62" t="e">
        <f>'Effort Estimation'!B554+"AM:!%#&gt;"</f>
        <v>#VALUE!</v>
      </c>
      <c r="GJ62" t="e">
        <f>'Effort Estimation'!C554+"AM:!%#?"</f>
        <v>#VALUE!</v>
      </c>
      <c r="GK62" t="e">
        <f>'Effort Estimation'!D554+"AM:!%#@"</f>
        <v>#VALUE!</v>
      </c>
      <c r="GL62" t="e">
        <f>'Effort Estimation'!E554+"AM:!%#A"</f>
        <v>#VALUE!</v>
      </c>
      <c r="GM62" t="e">
        <f>'Effort Estimation'!F554+"AM:!%#B"</f>
        <v>#VALUE!</v>
      </c>
      <c r="GN62" t="e">
        <f>'Effort Estimation'!G554+"AM:!%#C"</f>
        <v>#VALUE!</v>
      </c>
      <c r="GO62" t="e">
        <f>'Effort Estimation'!H554+"AM:!%#D"</f>
        <v>#VALUE!</v>
      </c>
      <c r="GP62" t="e">
        <f>'Effort Estimation'!I554+"AM:!%#E"</f>
        <v>#VALUE!</v>
      </c>
      <c r="GQ62" s="99" t="e">
        <f>'Effort Estimation'!J554+"AM:!%#F"</f>
        <v>#VALUE!</v>
      </c>
      <c r="GR62" s="99" t="e">
        <f>'Effort Estimation'!K554+"AM:!%#G"</f>
        <v>#VALUE!</v>
      </c>
      <c r="GS62" s="99" t="e">
        <f>'Effort Estimation'!L554+"AM:!%#H"</f>
        <v>#VALUE!</v>
      </c>
      <c r="GT62" s="99" t="e">
        <f>'Effort Estimation'!M554+"AM:!%#I"</f>
        <v>#VALUE!</v>
      </c>
      <c r="GU62" s="99" t="e">
        <f>'Effort Estimation'!N554+"AM:!%#J"</f>
        <v>#VALUE!</v>
      </c>
      <c r="GV62" s="99" t="e">
        <f>'Effort Estimation'!O554+"AM:!%#K"</f>
        <v>#VALUE!</v>
      </c>
      <c r="GW62" s="99" t="e">
        <f>'Effort Estimation'!P554+"AM:!%#L"</f>
        <v>#VALUE!</v>
      </c>
      <c r="GX62" s="99" t="e">
        <f>'Effort Estimation'!Q554+"AM:!%#M"</f>
        <v>#VALUE!</v>
      </c>
      <c r="GY62" t="e">
        <f>'Effort Estimation'!R554+"AM:!%#N"</f>
        <v>#VALUE!</v>
      </c>
      <c r="GZ62" t="e">
        <f>'Effort Estimation'!S554+"AM:!%#O"</f>
        <v>#VALUE!</v>
      </c>
      <c r="HA62" t="e">
        <f>'Effort Estimation'!T554+"AM:!%#P"</f>
        <v>#VALUE!</v>
      </c>
      <c r="HB62" t="e">
        <f>'Effort Estimation'!A555+"AM:!%#Q"</f>
        <v>#VALUE!</v>
      </c>
      <c r="HC62" t="e">
        <f>'Effort Estimation'!B555+"AM:!%#R"</f>
        <v>#VALUE!</v>
      </c>
      <c r="HD62" t="e">
        <f>'Effort Estimation'!C555+"AM:!%#S"</f>
        <v>#VALUE!</v>
      </c>
      <c r="HE62" t="e">
        <f>'Effort Estimation'!D555+"AM:!%#T"</f>
        <v>#VALUE!</v>
      </c>
      <c r="HF62" t="e">
        <f>'Effort Estimation'!E555+"AM:!%#U"</f>
        <v>#VALUE!</v>
      </c>
      <c r="HG62" t="e">
        <f>'Effort Estimation'!F555+"AM:!%#V"</f>
        <v>#VALUE!</v>
      </c>
      <c r="HH62" t="e">
        <f>'Effort Estimation'!G555+"AM:!%#W"</f>
        <v>#VALUE!</v>
      </c>
      <c r="HI62" t="e">
        <f>'Effort Estimation'!H555+"AM:!%#X"</f>
        <v>#VALUE!</v>
      </c>
      <c r="HJ62" t="e">
        <f>'Effort Estimation'!I555+"AM:!%#Y"</f>
        <v>#VALUE!</v>
      </c>
      <c r="HK62" s="99" t="e">
        <f>'Effort Estimation'!J555+"AM:!%#Z"</f>
        <v>#VALUE!</v>
      </c>
      <c r="HL62" s="99" t="e">
        <f>'Effort Estimation'!K555+"AM:!%#["</f>
        <v>#VALUE!</v>
      </c>
      <c r="HM62" s="99" t="e">
        <f>'Effort Estimation'!L555+"AM:!%#\"</f>
        <v>#VALUE!</v>
      </c>
      <c r="HN62" s="99" t="e">
        <f>'Effort Estimation'!M555+"AM:!%#]"</f>
        <v>#VALUE!</v>
      </c>
      <c r="HO62" s="99" t="e">
        <f>'Effort Estimation'!N555+"AM:!%#^"</f>
        <v>#VALUE!</v>
      </c>
      <c r="HP62" s="99" t="e">
        <f>'Effort Estimation'!O555+"AM:!%#_"</f>
        <v>#VALUE!</v>
      </c>
      <c r="HQ62" s="99" t="e">
        <f>'Effort Estimation'!P555+"AM:!%#`"</f>
        <v>#VALUE!</v>
      </c>
      <c r="HR62" s="99" t="e">
        <f>'Effort Estimation'!Q555+"AM:!%#a"</f>
        <v>#VALUE!</v>
      </c>
      <c r="HS62" t="e">
        <f>'Effort Estimation'!R555+"AM:!%#b"</f>
        <v>#VALUE!</v>
      </c>
      <c r="HT62" t="e">
        <f>'Effort Estimation'!S555+"AM:!%#c"</f>
        <v>#VALUE!</v>
      </c>
      <c r="HU62" t="e">
        <f>'Effort Estimation'!T555+"AM:!%#d"</f>
        <v>#VALUE!</v>
      </c>
      <c r="HV62" t="e">
        <f>'Effort Estimation'!A556+"AM:!%#e"</f>
        <v>#VALUE!</v>
      </c>
      <c r="HW62" t="e">
        <f>'Effort Estimation'!B556+"AM:!%#f"</f>
        <v>#VALUE!</v>
      </c>
      <c r="HX62" t="e">
        <f>'Effort Estimation'!C556+"AM:!%#g"</f>
        <v>#VALUE!</v>
      </c>
      <c r="HY62" t="e">
        <f>'Effort Estimation'!D556+"AM:!%#h"</f>
        <v>#VALUE!</v>
      </c>
      <c r="HZ62" t="e">
        <f>'Effort Estimation'!E556+"AM:!%#i"</f>
        <v>#VALUE!</v>
      </c>
      <c r="IA62" t="e">
        <f>'Effort Estimation'!F556+"AM:!%#j"</f>
        <v>#VALUE!</v>
      </c>
      <c r="IB62" t="e">
        <f>'Effort Estimation'!G556+"AM:!%#k"</f>
        <v>#VALUE!</v>
      </c>
      <c r="IC62" t="e">
        <f>'Effort Estimation'!H556+"AM:!%#l"</f>
        <v>#VALUE!</v>
      </c>
      <c r="ID62" t="e">
        <f>'Effort Estimation'!I556+"AM:!%#m"</f>
        <v>#VALUE!</v>
      </c>
      <c r="IE62" s="99" t="e">
        <f>'Effort Estimation'!J556+"AM:!%#n"</f>
        <v>#VALUE!</v>
      </c>
      <c r="IF62" s="99" t="e">
        <f>'Effort Estimation'!K556+"AM:!%#o"</f>
        <v>#VALUE!</v>
      </c>
      <c r="IG62" s="99" t="e">
        <f>'Effort Estimation'!L556+"AM:!%#p"</f>
        <v>#VALUE!</v>
      </c>
      <c r="IH62" s="99" t="e">
        <f>'Effort Estimation'!M556+"AM:!%#q"</f>
        <v>#VALUE!</v>
      </c>
      <c r="II62" s="99" t="e">
        <f>'Effort Estimation'!N556+"AM:!%#r"</f>
        <v>#VALUE!</v>
      </c>
      <c r="IJ62" s="99" t="e">
        <f>'Effort Estimation'!O556+"AM:!%#s"</f>
        <v>#VALUE!</v>
      </c>
      <c r="IK62" s="99" t="e">
        <f>'Effort Estimation'!P556+"AM:!%#t"</f>
        <v>#VALUE!</v>
      </c>
      <c r="IL62" s="99" t="e">
        <f>'Effort Estimation'!Q556+"AM:!%#u"</f>
        <v>#VALUE!</v>
      </c>
      <c r="IM62" t="e">
        <f>'Effort Estimation'!R556+"AM:!%#v"</f>
        <v>#VALUE!</v>
      </c>
      <c r="IN62" t="e">
        <f>'Effort Estimation'!S556+"AM:!%#w"</f>
        <v>#VALUE!</v>
      </c>
      <c r="IO62" t="e">
        <f>'Effort Estimation'!T556+"AM:!%#x"</f>
        <v>#VALUE!</v>
      </c>
      <c r="IP62" t="e">
        <f>'Effort Estimation'!A557+"AM:!%#y"</f>
        <v>#VALUE!</v>
      </c>
      <c r="IQ62" t="e">
        <f>'Effort Estimation'!B557+"AM:!%#z"</f>
        <v>#VALUE!</v>
      </c>
      <c r="IR62" t="e">
        <f>'Effort Estimation'!C557+"AM:!%#{"</f>
        <v>#VALUE!</v>
      </c>
      <c r="IS62" t="e">
        <f>'Effort Estimation'!D557+"AM:!%#|"</f>
        <v>#VALUE!</v>
      </c>
      <c r="IT62" t="e">
        <f>'Effort Estimation'!E557+"AM:!%#}"</f>
        <v>#VALUE!</v>
      </c>
      <c r="IU62" t="e">
        <f>'Effort Estimation'!F557+"AM:!%#~"</f>
        <v>#VALUE!</v>
      </c>
      <c r="IV62" t="e">
        <f>'Effort Estimation'!G557+"AM:!%$#"</f>
        <v>#VALUE!</v>
      </c>
    </row>
    <row r="63" spans="6:256">
      <c r="F63" t="e">
        <f>'Effort Estimation'!H557+"AM:!%$$"</f>
        <v>#VALUE!</v>
      </c>
      <c r="G63" t="e">
        <f>'Effort Estimation'!I557+"AM:!%$%"</f>
        <v>#VALUE!</v>
      </c>
      <c r="H63" s="99" t="e">
        <f>'Effort Estimation'!J557+"AM:!%$&amp;"</f>
        <v>#VALUE!</v>
      </c>
      <c r="I63" s="99" t="e">
        <f>'Effort Estimation'!K557+"AM:!%$'"</f>
        <v>#VALUE!</v>
      </c>
      <c r="J63" s="99" t="e">
        <f>'Effort Estimation'!L557+"AM:!%$("</f>
        <v>#VALUE!</v>
      </c>
      <c r="K63" s="99" t="e">
        <f>'Effort Estimation'!M557+"AM:!%$)"</f>
        <v>#VALUE!</v>
      </c>
      <c r="L63" s="99" t="e">
        <f>'Effort Estimation'!N557+"AM:!%$."</f>
        <v>#VALUE!</v>
      </c>
      <c r="M63" s="99" t="e">
        <f>'Effort Estimation'!O557+"AM:!%$/"</f>
        <v>#VALUE!</v>
      </c>
      <c r="N63" s="99" t="e">
        <f>'Effort Estimation'!P557+"AM:!%$0"</f>
        <v>#VALUE!</v>
      </c>
      <c r="O63" s="99" t="e">
        <f>'Effort Estimation'!Q557+"AM:!%$1"</f>
        <v>#VALUE!</v>
      </c>
      <c r="P63" t="e">
        <f>'Effort Estimation'!R557+"AM:!%$2"</f>
        <v>#VALUE!</v>
      </c>
      <c r="Q63" t="e">
        <f>'Effort Estimation'!S557+"AM:!%$3"</f>
        <v>#VALUE!</v>
      </c>
      <c r="R63" t="e">
        <f>'Effort Estimation'!T557+"AM:!%$4"</f>
        <v>#VALUE!</v>
      </c>
      <c r="S63" t="e">
        <f>'Effort Estimation'!A558+"AM:!%$5"</f>
        <v>#VALUE!</v>
      </c>
      <c r="T63" t="e">
        <f>'Effort Estimation'!B558+"AM:!%$6"</f>
        <v>#VALUE!</v>
      </c>
      <c r="U63" t="e">
        <f>'Effort Estimation'!C558+"AM:!%$7"</f>
        <v>#VALUE!</v>
      </c>
      <c r="V63" t="e">
        <f>'Effort Estimation'!D558+"AM:!%$8"</f>
        <v>#VALUE!</v>
      </c>
      <c r="W63" t="e">
        <f>'Effort Estimation'!E558+"AM:!%$9"</f>
        <v>#VALUE!</v>
      </c>
      <c r="X63" t="e">
        <f>'Effort Estimation'!F558+"AM:!%$:"</f>
        <v>#VALUE!</v>
      </c>
      <c r="Y63" t="e">
        <f>'Effort Estimation'!G558+"AM:!%$;"</f>
        <v>#VALUE!</v>
      </c>
      <c r="Z63" t="e">
        <f>'Effort Estimation'!H558+"AM:!%$&lt;"</f>
        <v>#VALUE!</v>
      </c>
      <c r="AA63" t="e">
        <f>'Effort Estimation'!I558+"AM:!%$="</f>
        <v>#VALUE!</v>
      </c>
      <c r="AB63" s="99" t="e">
        <f>'Effort Estimation'!J558+"AM:!%$&gt;"</f>
        <v>#VALUE!</v>
      </c>
      <c r="AC63" s="99" t="e">
        <f>'Effort Estimation'!K558+"AM:!%$?"</f>
        <v>#VALUE!</v>
      </c>
      <c r="AD63" s="99" t="e">
        <f>'Effort Estimation'!L558+"AM:!%$@"</f>
        <v>#VALUE!</v>
      </c>
      <c r="AE63" s="99" t="e">
        <f>'Effort Estimation'!M558+"AM:!%$A"</f>
        <v>#VALUE!</v>
      </c>
      <c r="AF63" s="99" t="e">
        <f>'Effort Estimation'!N558+"AM:!%$B"</f>
        <v>#VALUE!</v>
      </c>
      <c r="AG63" s="99" t="e">
        <f>'Effort Estimation'!O558+"AM:!%$C"</f>
        <v>#VALUE!</v>
      </c>
      <c r="AH63" s="99" t="e">
        <f>'Effort Estimation'!P558+"AM:!%$D"</f>
        <v>#VALUE!</v>
      </c>
      <c r="AI63" s="99" t="e">
        <f>'Effort Estimation'!Q558+"AM:!%$E"</f>
        <v>#VALUE!</v>
      </c>
      <c r="AJ63" t="e">
        <f>'Effort Estimation'!R558+"AM:!%$F"</f>
        <v>#VALUE!</v>
      </c>
      <c r="AK63" t="e">
        <f>'Effort Estimation'!S558+"AM:!%$G"</f>
        <v>#VALUE!</v>
      </c>
      <c r="AL63" t="e">
        <f>'Effort Estimation'!T558+"AM:!%$H"</f>
        <v>#VALUE!</v>
      </c>
      <c r="AM63" t="e">
        <f>'Effort Estimation'!A559+"AM:!%$I"</f>
        <v>#VALUE!</v>
      </c>
      <c r="AN63" t="e">
        <f>'Effort Estimation'!B559+"AM:!%$J"</f>
        <v>#VALUE!</v>
      </c>
      <c r="AO63" t="e">
        <f>'Effort Estimation'!C559+"AM:!%$K"</f>
        <v>#VALUE!</v>
      </c>
      <c r="AP63" t="e">
        <f>'Effort Estimation'!D559+"AM:!%$L"</f>
        <v>#VALUE!</v>
      </c>
      <c r="AQ63" t="e">
        <f>'Effort Estimation'!E559+"AM:!%$M"</f>
        <v>#VALUE!</v>
      </c>
      <c r="AR63" t="e">
        <f>'Effort Estimation'!F559+"AM:!%$N"</f>
        <v>#VALUE!</v>
      </c>
      <c r="AS63" t="e">
        <f>'Effort Estimation'!G559+"AM:!%$O"</f>
        <v>#VALUE!</v>
      </c>
      <c r="AT63" t="e">
        <f>'Effort Estimation'!H559+"AM:!%$P"</f>
        <v>#VALUE!</v>
      </c>
      <c r="AU63" t="e">
        <f>'Effort Estimation'!I559+"AM:!%$Q"</f>
        <v>#VALUE!</v>
      </c>
      <c r="AV63" s="99" t="e">
        <f>'Effort Estimation'!J559+"AM:!%$R"</f>
        <v>#VALUE!</v>
      </c>
      <c r="AW63" s="99" t="e">
        <f>'Effort Estimation'!K559+"AM:!%$S"</f>
        <v>#VALUE!</v>
      </c>
      <c r="AX63" s="99" t="e">
        <f>'Effort Estimation'!L559+"AM:!%$T"</f>
        <v>#VALUE!</v>
      </c>
      <c r="AY63" s="99" t="e">
        <f>'Effort Estimation'!M559+"AM:!%$U"</f>
        <v>#VALUE!</v>
      </c>
      <c r="AZ63" s="99" t="e">
        <f>'Effort Estimation'!N559+"AM:!%$V"</f>
        <v>#VALUE!</v>
      </c>
      <c r="BA63" s="99" t="e">
        <f>'Effort Estimation'!O559+"AM:!%$W"</f>
        <v>#VALUE!</v>
      </c>
      <c r="BB63" s="99" t="e">
        <f>'Effort Estimation'!P559+"AM:!%$X"</f>
        <v>#VALUE!</v>
      </c>
      <c r="BC63" s="99" t="e">
        <f>'Effort Estimation'!Q559+"AM:!%$Y"</f>
        <v>#VALUE!</v>
      </c>
      <c r="BD63" t="e">
        <f>'Effort Estimation'!R559+"AM:!%$Z"</f>
        <v>#VALUE!</v>
      </c>
      <c r="BE63" t="e">
        <f>'Effort Estimation'!S559+"AM:!%$["</f>
        <v>#VALUE!</v>
      </c>
      <c r="BF63" t="e">
        <f>'Effort Estimation'!T559+"AM:!%$\"</f>
        <v>#VALUE!</v>
      </c>
      <c r="BG63" t="e">
        <f>'Effort Estimation'!A560+"AM:!%$]"</f>
        <v>#VALUE!</v>
      </c>
      <c r="BH63" t="e">
        <f>'Effort Estimation'!B560+"AM:!%$^"</f>
        <v>#VALUE!</v>
      </c>
      <c r="BI63" t="e">
        <f>'Effort Estimation'!C560+"AM:!%$_"</f>
        <v>#VALUE!</v>
      </c>
      <c r="BJ63" t="e">
        <f>'Effort Estimation'!D560+"AM:!%$`"</f>
        <v>#VALUE!</v>
      </c>
      <c r="BK63" t="e">
        <f>'Effort Estimation'!E560+"AM:!%$a"</f>
        <v>#VALUE!</v>
      </c>
      <c r="BL63" t="e">
        <f>'Effort Estimation'!F560+"AM:!%$b"</f>
        <v>#VALUE!</v>
      </c>
      <c r="BM63" t="e">
        <f>'Effort Estimation'!G560+"AM:!%$c"</f>
        <v>#VALUE!</v>
      </c>
      <c r="BN63" t="e">
        <f>'Effort Estimation'!H560+"AM:!%$d"</f>
        <v>#VALUE!</v>
      </c>
      <c r="BO63" t="e">
        <f>'Effort Estimation'!I560+"AM:!%$e"</f>
        <v>#VALUE!</v>
      </c>
      <c r="BP63" s="99" t="e">
        <f>'Effort Estimation'!J560+"AM:!%$f"</f>
        <v>#VALUE!</v>
      </c>
      <c r="BQ63" s="99" t="e">
        <f>'Effort Estimation'!K560+"AM:!%$g"</f>
        <v>#VALUE!</v>
      </c>
      <c r="BR63" s="99" t="e">
        <f>'Effort Estimation'!L560+"AM:!%$h"</f>
        <v>#VALUE!</v>
      </c>
      <c r="BS63" s="99" t="e">
        <f>'Effort Estimation'!M560+"AM:!%$i"</f>
        <v>#VALUE!</v>
      </c>
      <c r="BT63" s="99" t="e">
        <f>'Effort Estimation'!N560+"AM:!%$j"</f>
        <v>#VALUE!</v>
      </c>
      <c r="BU63" s="99" t="e">
        <f>'Effort Estimation'!O560+"AM:!%$k"</f>
        <v>#VALUE!</v>
      </c>
      <c r="BV63" s="99" t="e">
        <f>'Effort Estimation'!P560+"AM:!%$l"</f>
        <v>#VALUE!</v>
      </c>
      <c r="BW63" s="99" t="e">
        <f>'Effort Estimation'!Q560+"AM:!%$m"</f>
        <v>#VALUE!</v>
      </c>
      <c r="BX63" t="e">
        <f>'Effort Estimation'!R560+"AM:!%$n"</f>
        <v>#VALUE!</v>
      </c>
      <c r="BY63" t="e">
        <f>'Effort Estimation'!S560+"AM:!%$o"</f>
        <v>#VALUE!</v>
      </c>
      <c r="BZ63" t="e">
        <f>'Effort Estimation'!T560+"AM:!%$p"</f>
        <v>#VALUE!</v>
      </c>
      <c r="CA63" t="e">
        <f>'Effort Estimation'!A561+"AM:!%$q"</f>
        <v>#VALUE!</v>
      </c>
      <c r="CB63" t="e">
        <f>'Effort Estimation'!B561+"AM:!%$r"</f>
        <v>#VALUE!</v>
      </c>
      <c r="CC63" t="e">
        <f>'Effort Estimation'!C561+"AM:!%$s"</f>
        <v>#VALUE!</v>
      </c>
      <c r="CD63" t="e">
        <f>'Effort Estimation'!D561+"AM:!%$t"</f>
        <v>#VALUE!</v>
      </c>
      <c r="CE63" t="e">
        <f>'Effort Estimation'!E561+"AM:!%$u"</f>
        <v>#VALUE!</v>
      </c>
      <c r="CF63" t="e">
        <f>'Effort Estimation'!F561+"AM:!%$v"</f>
        <v>#VALUE!</v>
      </c>
      <c r="CG63" t="e">
        <f>'Effort Estimation'!G561+"AM:!%$w"</f>
        <v>#VALUE!</v>
      </c>
      <c r="CH63" t="e">
        <f>'Effort Estimation'!H561+"AM:!%$x"</f>
        <v>#VALUE!</v>
      </c>
      <c r="CI63" t="e">
        <f>'Effort Estimation'!I561+"AM:!%$y"</f>
        <v>#VALUE!</v>
      </c>
      <c r="CJ63" s="99" t="e">
        <f>'Effort Estimation'!J561+"AM:!%$z"</f>
        <v>#VALUE!</v>
      </c>
      <c r="CK63" s="99" t="e">
        <f>'Effort Estimation'!K561+"AM:!%${"</f>
        <v>#VALUE!</v>
      </c>
      <c r="CL63" s="99" t="e">
        <f>'Effort Estimation'!L561+"AM:!%$|"</f>
        <v>#VALUE!</v>
      </c>
      <c r="CM63" s="99" t="e">
        <f>'Effort Estimation'!M561+"AM:!%$}"</f>
        <v>#VALUE!</v>
      </c>
      <c r="CN63" s="99" t="e">
        <f>'Effort Estimation'!N561+"AM:!%$~"</f>
        <v>#VALUE!</v>
      </c>
      <c r="CO63" s="99" t="e">
        <f>'Effort Estimation'!O561+"AM:!%%#"</f>
        <v>#VALUE!</v>
      </c>
      <c r="CP63" s="99" t="e">
        <f>'Effort Estimation'!P561+"AM:!%%$"</f>
        <v>#VALUE!</v>
      </c>
      <c r="CQ63" s="99" t="e">
        <f>'Effort Estimation'!Q561+"AM:!%%%"</f>
        <v>#VALUE!</v>
      </c>
      <c r="CR63" t="e">
        <f>'Effort Estimation'!R561+"AM:!%%&amp;"</f>
        <v>#VALUE!</v>
      </c>
      <c r="CS63" t="e">
        <f>'Effort Estimation'!S561+"AM:!%%'"</f>
        <v>#VALUE!</v>
      </c>
      <c r="CT63" t="e">
        <f>'Effort Estimation'!T561+"AM:!%%("</f>
        <v>#VALUE!</v>
      </c>
      <c r="CU63" t="e">
        <f>'Effort Estimation'!A562+"AM:!%%)"</f>
        <v>#VALUE!</v>
      </c>
      <c r="CV63" t="e">
        <f>'Effort Estimation'!B562+"AM:!%%."</f>
        <v>#VALUE!</v>
      </c>
      <c r="CW63" t="e">
        <f>'Effort Estimation'!C562+"AM:!%%/"</f>
        <v>#VALUE!</v>
      </c>
      <c r="CX63" t="e">
        <f>'Effort Estimation'!D562+"AM:!%%0"</f>
        <v>#VALUE!</v>
      </c>
      <c r="CY63" t="e">
        <f>'Effort Estimation'!E562+"AM:!%%1"</f>
        <v>#VALUE!</v>
      </c>
      <c r="CZ63" t="e">
        <f>'Effort Estimation'!F562+"AM:!%%2"</f>
        <v>#VALUE!</v>
      </c>
      <c r="DA63" t="e">
        <f>'Effort Estimation'!G562+"AM:!%%3"</f>
        <v>#VALUE!</v>
      </c>
      <c r="DB63" t="e">
        <f>'Effort Estimation'!H562+"AM:!%%4"</f>
        <v>#VALUE!</v>
      </c>
      <c r="DC63" t="e">
        <f>'Effort Estimation'!I562+"AM:!%%5"</f>
        <v>#VALUE!</v>
      </c>
      <c r="DD63" s="99" t="e">
        <f>'Effort Estimation'!J562+"AM:!%%6"</f>
        <v>#VALUE!</v>
      </c>
      <c r="DE63" s="99" t="e">
        <f>'Effort Estimation'!K562+"AM:!%%7"</f>
        <v>#VALUE!</v>
      </c>
      <c r="DF63" s="99" t="e">
        <f>'Effort Estimation'!L562+"AM:!%%8"</f>
        <v>#VALUE!</v>
      </c>
      <c r="DG63" s="99" t="e">
        <f>'Effort Estimation'!M562+"AM:!%%9"</f>
        <v>#VALUE!</v>
      </c>
      <c r="DH63" s="99" t="e">
        <f>'Effort Estimation'!N562+"AM:!%%:"</f>
        <v>#VALUE!</v>
      </c>
      <c r="DI63" s="99" t="e">
        <f>'Effort Estimation'!O562+"AM:!%%;"</f>
        <v>#VALUE!</v>
      </c>
      <c r="DJ63" s="99" t="e">
        <f>'Effort Estimation'!P562+"AM:!%%&lt;"</f>
        <v>#VALUE!</v>
      </c>
      <c r="DK63" s="99" t="e">
        <f>'Effort Estimation'!Q562+"AM:!%%="</f>
        <v>#VALUE!</v>
      </c>
      <c r="DL63" t="e">
        <f>'Effort Estimation'!R562+"AM:!%%&gt;"</f>
        <v>#VALUE!</v>
      </c>
      <c r="DM63" t="e">
        <f>'Effort Estimation'!S562+"AM:!%%?"</f>
        <v>#VALUE!</v>
      </c>
      <c r="DN63" t="e">
        <f>'Effort Estimation'!T562+"AM:!%%@"</f>
        <v>#VALUE!</v>
      </c>
      <c r="DO63" t="e">
        <f>'Effort Estimation'!A563+"AM:!%%A"</f>
        <v>#VALUE!</v>
      </c>
      <c r="DP63" t="e">
        <f>'Effort Estimation'!B563+"AM:!%%B"</f>
        <v>#VALUE!</v>
      </c>
      <c r="DQ63" t="e">
        <f>'Effort Estimation'!C563+"AM:!%%C"</f>
        <v>#VALUE!</v>
      </c>
      <c r="DR63" t="e">
        <f>'Effort Estimation'!D563+"AM:!%%D"</f>
        <v>#VALUE!</v>
      </c>
      <c r="DS63" t="e">
        <f>'Effort Estimation'!E563+"AM:!%%E"</f>
        <v>#VALUE!</v>
      </c>
      <c r="DT63" t="e">
        <f>'Effort Estimation'!F563+"AM:!%%F"</f>
        <v>#VALUE!</v>
      </c>
      <c r="DU63" t="e">
        <f>'Effort Estimation'!G563+"AM:!%%G"</f>
        <v>#VALUE!</v>
      </c>
      <c r="DV63" t="e">
        <f>'Effort Estimation'!H563+"AM:!%%H"</f>
        <v>#VALUE!</v>
      </c>
      <c r="DW63" t="e">
        <f>'Effort Estimation'!I563+"AM:!%%I"</f>
        <v>#VALUE!</v>
      </c>
      <c r="DX63" s="99" t="e">
        <f>'Effort Estimation'!J563+"AM:!%%J"</f>
        <v>#VALUE!</v>
      </c>
      <c r="DY63" s="99" t="e">
        <f>'Effort Estimation'!K563+"AM:!%%K"</f>
        <v>#VALUE!</v>
      </c>
      <c r="DZ63" s="99" t="e">
        <f>'Effort Estimation'!L563+"AM:!%%L"</f>
        <v>#VALUE!</v>
      </c>
      <c r="EA63" s="99" t="e">
        <f>'Effort Estimation'!M563+"AM:!%%M"</f>
        <v>#VALUE!</v>
      </c>
      <c r="EB63" s="99" t="e">
        <f>'Effort Estimation'!N563+"AM:!%%N"</f>
        <v>#VALUE!</v>
      </c>
      <c r="EC63" s="99" t="e">
        <f>'Effort Estimation'!O563+"AM:!%%O"</f>
        <v>#VALUE!</v>
      </c>
      <c r="ED63" s="99" t="e">
        <f>'Effort Estimation'!P563+"AM:!%%P"</f>
        <v>#VALUE!</v>
      </c>
      <c r="EE63" s="99" t="e">
        <f>'Effort Estimation'!Q563+"AM:!%%Q"</f>
        <v>#VALUE!</v>
      </c>
      <c r="EF63" t="e">
        <f>'Effort Estimation'!R563+"AM:!%%R"</f>
        <v>#VALUE!</v>
      </c>
      <c r="EG63" t="e">
        <f>'Effort Estimation'!S563+"AM:!%%S"</f>
        <v>#VALUE!</v>
      </c>
      <c r="EH63" t="e">
        <f>'Effort Estimation'!T563+"AM:!%%T"</f>
        <v>#VALUE!</v>
      </c>
      <c r="EI63" t="e">
        <f>'Effort Estimation'!A564+"AM:!%%U"</f>
        <v>#VALUE!</v>
      </c>
      <c r="EJ63" t="e">
        <f>'Effort Estimation'!B564+"AM:!%%V"</f>
        <v>#VALUE!</v>
      </c>
      <c r="EK63" t="e">
        <f>'Effort Estimation'!C564+"AM:!%%W"</f>
        <v>#VALUE!</v>
      </c>
      <c r="EL63" t="e">
        <f>'Effort Estimation'!D564+"AM:!%%X"</f>
        <v>#VALUE!</v>
      </c>
      <c r="EM63" t="e">
        <f>'Effort Estimation'!E564+"AM:!%%Y"</f>
        <v>#VALUE!</v>
      </c>
      <c r="EN63" t="e">
        <f>'Effort Estimation'!F564+"AM:!%%Z"</f>
        <v>#VALUE!</v>
      </c>
      <c r="EO63" t="e">
        <f>'Effort Estimation'!G564+"AM:!%%["</f>
        <v>#VALUE!</v>
      </c>
      <c r="EP63" t="e">
        <f>'Effort Estimation'!H564+"AM:!%%\"</f>
        <v>#VALUE!</v>
      </c>
      <c r="EQ63" t="e">
        <f>'Effort Estimation'!I564+"AM:!%%]"</f>
        <v>#VALUE!</v>
      </c>
      <c r="ER63" s="99" t="e">
        <f>'Effort Estimation'!J564+"AM:!%%^"</f>
        <v>#VALUE!</v>
      </c>
      <c r="ES63" s="99" t="e">
        <f>'Effort Estimation'!K564+"AM:!%%_"</f>
        <v>#VALUE!</v>
      </c>
      <c r="ET63" s="99" t="e">
        <f>'Effort Estimation'!L564+"AM:!%%`"</f>
        <v>#VALUE!</v>
      </c>
      <c r="EU63" s="99" t="e">
        <f>'Effort Estimation'!M564+"AM:!%%a"</f>
        <v>#VALUE!</v>
      </c>
      <c r="EV63" s="99" t="e">
        <f>'Effort Estimation'!N564+"AM:!%%b"</f>
        <v>#VALUE!</v>
      </c>
      <c r="EW63" s="99" t="e">
        <f>'Effort Estimation'!O564+"AM:!%%c"</f>
        <v>#VALUE!</v>
      </c>
      <c r="EX63" s="99" t="e">
        <f>'Effort Estimation'!P564+"AM:!%%d"</f>
        <v>#VALUE!</v>
      </c>
      <c r="EY63" s="99" t="e">
        <f>'Effort Estimation'!Q564+"AM:!%%e"</f>
        <v>#VALUE!</v>
      </c>
      <c r="EZ63" t="e">
        <f>'Effort Estimation'!R564+"AM:!%%f"</f>
        <v>#VALUE!</v>
      </c>
      <c r="FA63" t="e">
        <f>'Effort Estimation'!S564+"AM:!%%g"</f>
        <v>#VALUE!</v>
      </c>
      <c r="FB63" t="e">
        <f>'Effort Estimation'!T564+"AM:!%%h"</f>
        <v>#VALUE!</v>
      </c>
      <c r="FC63" t="e">
        <f>'Effort Estimation'!A565+"AM:!%%i"</f>
        <v>#VALUE!</v>
      </c>
      <c r="FD63" t="e">
        <f>'Effort Estimation'!B565+"AM:!%%j"</f>
        <v>#VALUE!</v>
      </c>
      <c r="FE63" t="e">
        <f>'Effort Estimation'!C565+"AM:!%%k"</f>
        <v>#VALUE!</v>
      </c>
      <c r="FF63" t="e">
        <f>'Effort Estimation'!D565+"AM:!%%l"</f>
        <v>#VALUE!</v>
      </c>
      <c r="FG63" t="e">
        <f>'Effort Estimation'!E565+"AM:!%%m"</f>
        <v>#VALUE!</v>
      </c>
      <c r="FH63" t="e">
        <f>'Effort Estimation'!F565+"AM:!%%n"</f>
        <v>#VALUE!</v>
      </c>
      <c r="FI63" t="e">
        <f>'Effort Estimation'!G565+"AM:!%%o"</f>
        <v>#VALUE!</v>
      </c>
      <c r="FJ63" t="e">
        <f>'Effort Estimation'!H565+"AM:!%%p"</f>
        <v>#VALUE!</v>
      </c>
      <c r="FK63" t="e">
        <f>'Effort Estimation'!I565+"AM:!%%q"</f>
        <v>#VALUE!</v>
      </c>
      <c r="FL63" s="99" t="e">
        <f>'Effort Estimation'!J565+"AM:!%%r"</f>
        <v>#VALUE!</v>
      </c>
      <c r="FM63" s="99" t="e">
        <f>'Effort Estimation'!K565+"AM:!%%s"</f>
        <v>#VALUE!</v>
      </c>
      <c r="FN63" s="99" t="e">
        <f>'Effort Estimation'!L565+"AM:!%%t"</f>
        <v>#VALUE!</v>
      </c>
      <c r="FO63" s="99" t="e">
        <f>'Effort Estimation'!M565+"AM:!%%u"</f>
        <v>#VALUE!</v>
      </c>
      <c r="FP63" s="99" t="e">
        <f>'Effort Estimation'!N565+"AM:!%%v"</f>
        <v>#VALUE!</v>
      </c>
      <c r="FQ63" s="99" t="e">
        <f>'Effort Estimation'!O565+"AM:!%%w"</f>
        <v>#VALUE!</v>
      </c>
      <c r="FR63" s="99" t="e">
        <f>'Effort Estimation'!P565+"AM:!%%x"</f>
        <v>#VALUE!</v>
      </c>
      <c r="FS63" s="99" t="e">
        <f>'Effort Estimation'!Q565+"AM:!%%y"</f>
        <v>#VALUE!</v>
      </c>
      <c r="FT63" t="e">
        <f>'Effort Estimation'!R565+"AM:!%%z"</f>
        <v>#VALUE!</v>
      </c>
      <c r="FU63" t="e">
        <f>'Effort Estimation'!S565+"AM:!%%{"</f>
        <v>#VALUE!</v>
      </c>
      <c r="FV63" t="e">
        <f>'Effort Estimation'!T565+"AM:!%%|"</f>
        <v>#VALUE!</v>
      </c>
      <c r="FW63" t="e">
        <f>'Effort Estimation'!A566+"AM:!%%}"</f>
        <v>#VALUE!</v>
      </c>
      <c r="FX63" t="e">
        <f>'Effort Estimation'!B566+"AM:!%%~"</f>
        <v>#VALUE!</v>
      </c>
      <c r="FY63" t="e">
        <f>'Effort Estimation'!C566+"AM:!%&amp;#"</f>
        <v>#VALUE!</v>
      </c>
      <c r="FZ63" t="e">
        <f>'Effort Estimation'!D566+"AM:!%&amp;$"</f>
        <v>#VALUE!</v>
      </c>
      <c r="GA63" t="e">
        <f>'Effort Estimation'!E566+"AM:!%&amp;%"</f>
        <v>#VALUE!</v>
      </c>
      <c r="GB63" t="e">
        <f>'Effort Estimation'!F566+"AM:!%&amp;&amp;"</f>
        <v>#VALUE!</v>
      </c>
      <c r="GC63" t="e">
        <f>'Effort Estimation'!G566+"AM:!%&amp;'"</f>
        <v>#VALUE!</v>
      </c>
      <c r="GD63" t="e">
        <f>'Effort Estimation'!H566+"AM:!%&amp;("</f>
        <v>#VALUE!</v>
      </c>
      <c r="GE63" t="e">
        <f>'Effort Estimation'!I566+"AM:!%&amp;)"</f>
        <v>#VALUE!</v>
      </c>
      <c r="GF63" s="99" t="e">
        <f>'Effort Estimation'!J566+"AM:!%&amp;."</f>
        <v>#VALUE!</v>
      </c>
      <c r="GG63" s="99" t="e">
        <f>'Effort Estimation'!K566+"AM:!%&amp;/"</f>
        <v>#VALUE!</v>
      </c>
      <c r="GH63" s="99" t="e">
        <f>'Effort Estimation'!L566+"AM:!%&amp;0"</f>
        <v>#VALUE!</v>
      </c>
      <c r="GI63" s="99" t="e">
        <f>'Effort Estimation'!M566+"AM:!%&amp;1"</f>
        <v>#VALUE!</v>
      </c>
      <c r="GJ63" s="99" t="e">
        <f>'Effort Estimation'!N566+"AM:!%&amp;2"</f>
        <v>#VALUE!</v>
      </c>
      <c r="GK63" s="99" t="e">
        <f>'Effort Estimation'!O566+"AM:!%&amp;3"</f>
        <v>#VALUE!</v>
      </c>
      <c r="GL63" s="99" t="e">
        <f>'Effort Estimation'!P566+"AM:!%&amp;4"</f>
        <v>#VALUE!</v>
      </c>
      <c r="GM63" s="99" t="e">
        <f>'Effort Estimation'!Q566+"AM:!%&amp;5"</f>
        <v>#VALUE!</v>
      </c>
      <c r="GN63" t="e">
        <f>'Effort Estimation'!R566+"AM:!%&amp;6"</f>
        <v>#VALUE!</v>
      </c>
      <c r="GO63" t="e">
        <f>'Effort Estimation'!S566+"AM:!%&amp;7"</f>
        <v>#VALUE!</v>
      </c>
      <c r="GP63" t="e">
        <f>'Effort Estimation'!T566+"AM:!%&amp;8"</f>
        <v>#VALUE!</v>
      </c>
      <c r="GQ63" t="e">
        <f>'Effort Estimation'!A567+"AM:!%&amp;9"</f>
        <v>#VALUE!</v>
      </c>
      <c r="GR63" t="e">
        <f>'Effort Estimation'!B567+"AM:!%&amp;:"</f>
        <v>#VALUE!</v>
      </c>
      <c r="GS63" t="e">
        <f>'Effort Estimation'!C567+"AM:!%&amp;;"</f>
        <v>#VALUE!</v>
      </c>
      <c r="GT63" t="e">
        <f>'Effort Estimation'!D567+"AM:!%&amp;&lt;"</f>
        <v>#VALUE!</v>
      </c>
      <c r="GU63" t="e">
        <f>'Effort Estimation'!E567+"AM:!%&amp;="</f>
        <v>#VALUE!</v>
      </c>
      <c r="GV63" t="e">
        <f>'Effort Estimation'!F567+"AM:!%&amp;&gt;"</f>
        <v>#VALUE!</v>
      </c>
      <c r="GW63" t="e">
        <f>'Effort Estimation'!G567+"AM:!%&amp;?"</f>
        <v>#VALUE!</v>
      </c>
      <c r="GX63" t="e">
        <f>'Effort Estimation'!H567+"AM:!%&amp;@"</f>
        <v>#VALUE!</v>
      </c>
      <c r="GY63" t="e">
        <f>'Effort Estimation'!I567+"AM:!%&amp;A"</f>
        <v>#VALUE!</v>
      </c>
      <c r="GZ63" s="99" t="e">
        <f>'Effort Estimation'!J567+"AM:!%&amp;B"</f>
        <v>#VALUE!</v>
      </c>
      <c r="HA63" s="99" t="e">
        <f>'Effort Estimation'!K567+"AM:!%&amp;C"</f>
        <v>#VALUE!</v>
      </c>
      <c r="HB63" s="99" t="e">
        <f>'Effort Estimation'!L567+"AM:!%&amp;D"</f>
        <v>#VALUE!</v>
      </c>
      <c r="HC63" s="99" t="e">
        <f>'Effort Estimation'!M567+"AM:!%&amp;E"</f>
        <v>#VALUE!</v>
      </c>
      <c r="HD63" s="99" t="e">
        <f>'Effort Estimation'!N567+"AM:!%&amp;F"</f>
        <v>#VALUE!</v>
      </c>
      <c r="HE63" s="99" t="e">
        <f>'Effort Estimation'!O567+"AM:!%&amp;G"</f>
        <v>#VALUE!</v>
      </c>
      <c r="HF63" s="99" t="e">
        <f>'Effort Estimation'!P567+"AM:!%&amp;H"</f>
        <v>#VALUE!</v>
      </c>
      <c r="HG63" s="99" t="e">
        <f>'Effort Estimation'!Q567+"AM:!%&amp;I"</f>
        <v>#VALUE!</v>
      </c>
      <c r="HH63" t="e">
        <f>'Effort Estimation'!R567+"AM:!%&amp;J"</f>
        <v>#VALUE!</v>
      </c>
      <c r="HI63" t="e">
        <f>'Effort Estimation'!S567+"AM:!%&amp;K"</f>
        <v>#VALUE!</v>
      </c>
      <c r="HJ63" t="e">
        <f>'Effort Estimation'!T567+"AM:!%&amp;L"</f>
        <v>#VALUE!</v>
      </c>
      <c r="HK63" t="e">
        <f>'Effort Estimation'!A568+"AM:!%&amp;M"</f>
        <v>#VALUE!</v>
      </c>
      <c r="HL63" t="e">
        <f>'Effort Estimation'!B568+"AM:!%&amp;N"</f>
        <v>#VALUE!</v>
      </c>
      <c r="HM63" t="e">
        <f>'Effort Estimation'!C568+"AM:!%&amp;O"</f>
        <v>#VALUE!</v>
      </c>
      <c r="HN63" t="e">
        <f>'Effort Estimation'!D568+"AM:!%&amp;P"</f>
        <v>#VALUE!</v>
      </c>
      <c r="HO63" t="e">
        <f>'Effort Estimation'!E568+"AM:!%&amp;Q"</f>
        <v>#VALUE!</v>
      </c>
      <c r="HP63" t="e">
        <f>'Effort Estimation'!F568+"AM:!%&amp;R"</f>
        <v>#VALUE!</v>
      </c>
      <c r="HQ63" t="e">
        <f>'Effort Estimation'!G568+"AM:!%&amp;S"</f>
        <v>#VALUE!</v>
      </c>
      <c r="HR63" t="e">
        <f>'Effort Estimation'!H568+"AM:!%&amp;T"</f>
        <v>#VALUE!</v>
      </c>
      <c r="HS63" t="e">
        <f>'Effort Estimation'!I568+"AM:!%&amp;U"</f>
        <v>#VALUE!</v>
      </c>
      <c r="HT63" s="99" t="e">
        <f>'Effort Estimation'!J568+"AM:!%&amp;V"</f>
        <v>#VALUE!</v>
      </c>
      <c r="HU63" s="99" t="e">
        <f>'Effort Estimation'!K568+"AM:!%&amp;W"</f>
        <v>#VALUE!</v>
      </c>
      <c r="HV63" s="99" t="e">
        <f>'Effort Estimation'!L568+"AM:!%&amp;X"</f>
        <v>#VALUE!</v>
      </c>
      <c r="HW63" s="99" t="e">
        <f>'Effort Estimation'!M568+"AM:!%&amp;Y"</f>
        <v>#VALUE!</v>
      </c>
      <c r="HX63" s="99" t="e">
        <f>'Effort Estimation'!N568+"AM:!%&amp;Z"</f>
        <v>#VALUE!</v>
      </c>
      <c r="HY63" s="99" t="e">
        <f>'Effort Estimation'!O568+"AM:!%&amp;["</f>
        <v>#VALUE!</v>
      </c>
      <c r="HZ63" s="99" t="e">
        <f>'Effort Estimation'!P568+"AM:!%&amp;\"</f>
        <v>#VALUE!</v>
      </c>
      <c r="IA63" s="99" t="e">
        <f>'Effort Estimation'!Q568+"AM:!%&amp;]"</f>
        <v>#VALUE!</v>
      </c>
      <c r="IB63" t="e">
        <f>'Effort Estimation'!R568+"AM:!%&amp;^"</f>
        <v>#VALUE!</v>
      </c>
      <c r="IC63" t="e">
        <f>'Effort Estimation'!S568+"AM:!%&amp;_"</f>
        <v>#VALUE!</v>
      </c>
      <c r="ID63" t="e">
        <f>'Effort Estimation'!T568+"AM:!%&amp;`"</f>
        <v>#VALUE!</v>
      </c>
      <c r="IE63" t="e">
        <f>'Effort Estimation'!A569+"AM:!%&amp;a"</f>
        <v>#VALUE!</v>
      </c>
      <c r="IF63" t="e">
        <f>'Effort Estimation'!B569+"AM:!%&amp;b"</f>
        <v>#VALUE!</v>
      </c>
      <c r="IG63" t="e">
        <f>'Effort Estimation'!C569+"AM:!%&amp;c"</f>
        <v>#VALUE!</v>
      </c>
      <c r="IH63" t="e">
        <f>'Effort Estimation'!D569+"AM:!%&amp;d"</f>
        <v>#VALUE!</v>
      </c>
      <c r="II63" t="e">
        <f>'Effort Estimation'!E569+"AM:!%&amp;e"</f>
        <v>#VALUE!</v>
      </c>
      <c r="IJ63" t="e">
        <f>'Effort Estimation'!F569+"AM:!%&amp;f"</f>
        <v>#VALUE!</v>
      </c>
      <c r="IK63" t="e">
        <f>'Effort Estimation'!G569+"AM:!%&amp;g"</f>
        <v>#VALUE!</v>
      </c>
      <c r="IL63" t="e">
        <f>'Effort Estimation'!H569+"AM:!%&amp;h"</f>
        <v>#VALUE!</v>
      </c>
      <c r="IM63" t="e">
        <f>'Effort Estimation'!I569+"AM:!%&amp;i"</f>
        <v>#VALUE!</v>
      </c>
      <c r="IN63" s="99" t="e">
        <f>'Effort Estimation'!J569+"AM:!%&amp;j"</f>
        <v>#VALUE!</v>
      </c>
      <c r="IO63" s="99" t="e">
        <f>'Effort Estimation'!K569+"AM:!%&amp;k"</f>
        <v>#VALUE!</v>
      </c>
      <c r="IP63" s="99" t="e">
        <f>'Effort Estimation'!L569+"AM:!%&amp;l"</f>
        <v>#VALUE!</v>
      </c>
      <c r="IQ63" s="99" t="e">
        <f>'Effort Estimation'!M569+"AM:!%&amp;m"</f>
        <v>#VALUE!</v>
      </c>
      <c r="IR63" s="99" t="e">
        <f>'Effort Estimation'!N569+"AM:!%&amp;n"</f>
        <v>#VALUE!</v>
      </c>
      <c r="IS63" s="99" t="e">
        <f>'Effort Estimation'!O569+"AM:!%&amp;o"</f>
        <v>#VALUE!</v>
      </c>
      <c r="IT63" s="99" t="e">
        <f>'Effort Estimation'!P569+"AM:!%&amp;p"</f>
        <v>#VALUE!</v>
      </c>
      <c r="IU63" s="99" t="e">
        <f>'Effort Estimation'!Q569+"AM:!%&amp;q"</f>
        <v>#VALUE!</v>
      </c>
      <c r="IV63" t="e">
        <f>'Effort Estimation'!R569+"AM:!%&amp;r"</f>
        <v>#VALUE!</v>
      </c>
    </row>
    <row r="64" spans="6:256">
      <c r="F64" t="e">
        <f>'Effort Estimation'!S569+"AM:!%&amp;s"</f>
        <v>#VALUE!</v>
      </c>
      <c r="G64" t="e">
        <f>'Effort Estimation'!T569+"AM:!%&amp;t"</f>
        <v>#VALUE!</v>
      </c>
      <c r="H64" t="e">
        <f>'Effort Estimation'!A570+"AM:!%&amp;u"</f>
        <v>#VALUE!</v>
      </c>
      <c r="I64" t="e">
        <f>'Effort Estimation'!B570+"AM:!%&amp;v"</f>
        <v>#VALUE!</v>
      </c>
      <c r="J64" t="e">
        <f>'Effort Estimation'!C570+"AM:!%&amp;w"</f>
        <v>#VALUE!</v>
      </c>
      <c r="K64" t="e">
        <f>'Effort Estimation'!D570+"AM:!%&amp;x"</f>
        <v>#VALUE!</v>
      </c>
      <c r="L64" t="e">
        <f>'Effort Estimation'!E570+"AM:!%&amp;y"</f>
        <v>#VALUE!</v>
      </c>
      <c r="M64" t="e">
        <f>'Effort Estimation'!F570+"AM:!%&amp;z"</f>
        <v>#VALUE!</v>
      </c>
      <c r="N64" t="e">
        <f>'Effort Estimation'!G570+"AM:!%&amp;{"</f>
        <v>#VALUE!</v>
      </c>
      <c r="O64" t="e">
        <f>'Effort Estimation'!H570+"AM:!%&amp;|"</f>
        <v>#VALUE!</v>
      </c>
      <c r="P64" t="e">
        <f>'Effort Estimation'!I570+"AM:!%&amp;}"</f>
        <v>#VALUE!</v>
      </c>
      <c r="Q64" s="99" t="e">
        <f>'Effort Estimation'!J570+"AM:!%&amp;~"</f>
        <v>#VALUE!</v>
      </c>
      <c r="R64" s="99" t="e">
        <f>'Effort Estimation'!K570+"AM:!%'#"</f>
        <v>#VALUE!</v>
      </c>
      <c r="S64" s="99" t="e">
        <f>'Effort Estimation'!L570+"AM:!%'$"</f>
        <v>#VALUE!</v>
      </c>
      <c r="T64" s="99" t="e">
        <f>'Effort Estimation'!M570+"AM:!%'%"</f>
        <v>#VALUE!</v>
      </c>
      <c r="U64" s="99" t="e">
        <f>'Effort Estimation'!N570+"AM:!%'&amp;"</f>
        <v>#VALUE!</v>
      </c>
      <c r="V64" s="99" t="e">
        <f>'Effort Estimation'!O570+"AM:!%''"</f>
        <v>#VALUE!</v>
      </c>
      <c r="W64" s="99" t="e">
        <f>'Effort Estimation'!P570+"AM:!%'("</f>
        <v>#VALUE!</v>
      </c>
      <c r="X64" s="99" t="e">
        <f>'Effort Estimation'!Q570+"AM:!%')"</f>
        <v>#VALUE!</v>
      </c>
      <c r="Y64" t="e">
        <f>'Effort Estimation'!R570+"AM:!%'."</f>
        <v>#VALUE!</v>
      </c>
      <c r="Z64" t="e">
        <f>'Effort Estimation'!S570+"AM:!%'/"</f>
        <v>#VALUE!</v>
      </c>
      <c r="AA64" t="e">
        <f>'Effort Estimation'!T570+"AM:!%'0"</f>
        <v>#VALUE!</v>
      </c>
      <c r="AB64" t="e">
        <f>'Effort Estimation'!A571+"AM:!%'1"</f>
        <v>#VALUE!</v>
      </c>
      <c r="AC64" t="e">
        <f>'Effort Estimation'!B571+"AM:!%'2"</f>
        <v>#VALUE!</v>
      </c>
      <c r="AD64" t="e">
        <f>'Effort Estimation'!C571+"AM:!%'3"</f>
        <v>#VALUE!</v>
      </c>
      <c r="AE64" t="e">
        <f>'Effort Estimation'!D571+"AM:!%'4"</f>
        <v>#VALUE!</v>
      </c>
      <c r="AF64" t="e">
        <f>'Effort Estimation'!E571+"AM:!%'5"</f>
        <v>#VALUE!</v>
      </c>
      <c r="AG64" t="e">
        <f>'Effort Estimation'!F571+"AM:!%'6"</f>
        <v>#VALUE!</v>
      </c>
      <c r="AH64" t="e">
        <f>'Effort Estimation'!G571+"AM:!%'7"</f>
        <v>#VALUE!</v>
      </c>
      <c r="AI64" t="e">
        <f>'Effort Estimation'!H571+"AM:!%'8"</f>
        <v>#VALUE!</v>
      </c>
      <c r="AJ64" t="e">
        <f>'Effort Estimation'!I571+"AM:!%'9"</f>
        <v>#VALUE!</v>
      </c>
      <c r="AK64" s="99" t="e">
        <f>'Effort Estimation'!J571+"AM:!%':"</f>
        <v>#VALUE!</v>
      </c>
      <c r="AL64" s="99" t="e">
        <f>'Effort Estimation'!K571+"AM:!%';"</f>
        <v>#VALUE!</v>
      </c>
      <c r="AM64" s="99" t="e">
        <f>'Effort Estimation'!L571+"AM:!%'&lt;"</f>
        <v>#VALUE!</v>
      </c>
      <c r="AN64" s="99" t="e">
        <f>'Effort Estimation'!M571+"AM:!%'="</f>
        <v>#VALUE!</v>
      </c>
      <c r="AO64" s="99" t="e">
        <f>'Effort Estimation'!N571+"AM:!%'&gt;"</f>
        <v>#VALUE!</v>
      </c>
      <c r="AP64" s="99" t="e">
        <f>'Effort Estimation'!O571+"AM:!%'?"</f>
        <v>#VALUE!</v>
      </c>
      <c r="AQ64" s="99" t="e">
        <f>'Effort Estimation'!P571+"AM:!%'@"</f>
        <v>#VALUE!</v>
      </c>
      <c r="AR64" s="99" t="e">
        <f>'Effort Estimation'!Q571+"AM:!%'A"</f>
        <v>#VALUE!</v>
      </c>
      <c r="AS64" t="e">
        <f>'Effort Estimation'!R571+"AM:!%'B"</f>
        <v>#VALUE!</v>
      </c>
      <c r="AT64" t="e">
        <f>'Effort Estimation'!S571+"AM:!%'C"</f>
        <v>#VALUE!</v>
      </c>
      <c r="AU64" t="e">
        <f>'Effort Estimation'!T571+"AM:!%'D"</f>
        <v>#VALUE!</v>
      </c>
      <c r="AV64" t="e">
        <f>'Effort Estimation'!A572+"AM:!%'E"</f>
        <v>#VALUE!</v>
      </c>
      <c r="AW64" t="e">
        <f>'Effort Estimation'!B572+"AM:!%'F"</f>
        <v>#VALUE!</v>
      </c>
      <c r="AX64" t="e">
        <f>'Effort Estimation'!C572+"AM:!%'G"</f>
        <v>#VALUE!</v>
      </c>
      <c r="AY64" t="e">
        <f>'Effort Estimation'!D572+"AM:!%'H"</f>
        <v>#VALUE!</v>
      </c>
      <c r="AZ64" t="e">
        <f>'Effort Estimation'!E572+"AM:!%'I"</f>
        <v>#VALUE!</v>
      </c>
      <c r="BA64" t="e">
        <f>'Effort Estimation'!F572+"AM:!%'J"</f>
        <v>#VALUE!</v>
      </c>
      <c r="BB64" t="e">
        <f>'Effort Estimation'!G572+"AM:!%'K"</f>
        <v>#VALUE!</v>
      </c>
      <c r="BC64" t="e">
        <f>'Effort Estimation'!H572+"AM:!%'L"</f>
        <v>#VALUE!</v>
      </c>
      <c r="BD64" t="e">
        <f>'Effort Estimation'!I572+"AM:!%'M"</f>
        <v>#VALUE!</v>
      </c>
      <c r="BE64" s="99" t="e">
        <f>'Effort Estimation'!J572+"AM:!%'N"</f>
        <v>#VALUE!</v>
      </c>
      <c r="BF64" s="99" t="e">
        <f>'Effort Estimation'!K572+"AM:!%'O"</f>
        <v>#VALUE!</v>
      </c>
      <c r="BG64" s="99" t="e">
        <f>'Effort Estimation'!L572+"AM:!%'P"</f>
        <v>#VALUE!</v>
      </c>
      <c r="BH64" s="99" t="e">
        <f>'Effort Estimation'!M572+"AM:!%'Q"</f>
        <v>#VALUE!</v>
      </c>
      <c r="BI64" s="99" t="e">
        <f>'Effort Estimation'!N572+"AM:!%'R"</f>
        <v>#VALUE!</v>
      </c>
      <c r="BJ64" s="99" t="e">
        <f>'Effort Estimation'!O572+"AM:!%'S"</f>
        <v>#VALUE!</v>
      </c>
      <c r="BK64" s="99" t="e">
        <f>'Effort Estimation'!P572+"AM:!%'T"</f>
        <v>#VALUE!</v>
      </c>
      <c r="BL64" s="99" t="e">
        <f>'Effort Estimation'!Q572+"AM:!%'U"</f>
        <v>#VALUE!</v>
      </c>
      <c r="BM64" t="e">
        <f>'Effort Estimation'!R572+"AM:!%'V"</f>
        <v>#VALUE!</v>
      </c>
      <c r="BN64" t="e">
        <f>'Effort Estimation'!S572+"AM:!%'W"</f>
        <v>#VALUE!</v>
      </c>
      <c r="BO64" t="e">
        <f>'Effort Estimation'!T572+"AM:!%'X"</f>
        <v>#VALUE!</v>
      </c>
      <c r="BP64" t="e">
        <f>'Effort Estimation'!A573+"AM:!%'Y"</f>
        <v>#VALUE!</v>
      </c>
      <c r="BQ64" t="e">
        <f>'Effort Estimation'!B573+"AM:!%'Z"</f>
        <v>#VALUE!</v>
      </c>
      <c r="BR64" t="e">
        <f>'Effort Estimation'!C573+"AM:!%'["</f>
        <v>#VALUE!</v>
      </c>
      <c r="BS64" t="e">
        <f>'Effort Estimation'!D573+"AM:!%'\"</f>
        <v>#VALUE!</v>
      </c>
      <c r="BT64" t="e">
        <f>'Effort Estimation'!E573+"AM:!%']"</f>
        <v>#VALUE!</v>
      </c>
      <c r="BU64" t="e">
        <f>'Effort Estimation'!F573+"AM:!%'^"</f>
        <v>#VALUE!</v>
      </c>
      <c r="BV64" t="e">
        <f>'Effort Estimation'!G573+"AM:!%'_"</f>
        <v>#VALUE!</v>
      </c>
      <c r="BW64" t="e">
        <f>'Effort Estimation'!H573+"AM:!%'`"</f>
        <v>#VALUE!</v>
      </c>
      <c r="BX64" t="e">
        <f>'Effort Estimation'!I573+"AM:!%'a"</f>
        <v>#VALUE!</v>
      </c>
      <c r="BY64" s="99" t="e">
        <f>'Effort Estimation'!J573+"AM:!%'b"</f>
        <v>#VALUE!</v>
      </c>
      <c r="BZ64" s="99" t="e">
        <f>'Effort Estimation'!K573+"AM:!%'c"</f>
        <v>#VALUE!</v>
      </c>
      <c r="CA64" s="99" t="e">
        <f>'Effort Estimation'!L573+"AM:!%'d"</f>
        <v>#VALUE!</v>
      </c>
      <c r="CB64" s="99" t="e">
        <f>'Effort Estimation'!M573+"AM:!%'e"</f>
        <v>#VALUE!</v>
      </c>
      <c r="CC64" s="99" t="e">
        <f>'Effort Estimation'!N573+"AM:!%'f"</f>
        <v>#VALUE!</v>
      </c>
      <c r="CD64" s="99" t="e">
        <f>'Effort Estimation'!O573+"AM:!%'g"</f>
        <v>#VALUE!</v>
      </c>
      <c r="CE64" s="99" t="e">
        <f>'Effort Estimation'!P573+"AM:!%'h"</f>
        <v>#VALUE!</v>
      </c>
      <c r="CF64" s="99" t="e">
        <f>'Effort Estimation'!Q573+"AM:!%'i"</f>
        <v>#VALUE!</v>
      </c>
      <c r="CG64" t="e">
        <f>'Effort Estimation'!R573+"AM:!%'j"</f>
        <v>#VALUE!</v>
      </c>
      <c r="CH64" t="e">
        <f>'Effort Estimation'!S573+"AM:!%'k"</f>
        <v>#VALUE!</v>
      </c>
      <c r="CI64" t="e">
        <f>'Effort Estimation'!T573+"AM:!%'l"</f>
        <v>#VALUE!</v>
      </c>
      <c r="CJ64" t="e">
        <f>'Effort Estimation'!A574+"AM:!%'m"</f>
        <v>#VALUE!</v>
      </c>
      <c r="CK64" t="e">
        <f>'Effort Estimation'!B574+"AM:!%'n"</f>
        <v>#VALUE!</v>
      </c>
      <c r="CL64" t="e">
        <f>'Effort Estimation'!C574+"AM:!%'o"</f>
        <v>#VALUE!</v>
      </c>
      <c r="CM64" t="e">
        <f>'Effort Estimation'!D574+"AM:!%'p"</f>
        <v>#VALUE!</v>
      </c>
      <c r="CN64" t="e">
        <f>'Effort Estimation'!E574+"AM:!%'q"</f>
        <v>#VALUE!</v>
      </c>
      <c r="CO64" t="e">
        <f>'Effort Estimation'!F574+"AM:!%'r"</f>
        <v>#VALUE!</v>
      </c>
      <c r="CP64" t="e">
        <f>'Effort Estimation'!G574+"AM:!%'s"</f>
        <v>#VALUE!</v>
      </c>
      <c r="CQ64" t="e">
        <f>'Effort Estimation'!H574+"AM:!%'t"</f>
        <v>#VALUE!</v>
      </c>
      <c r="CR64" t="e">
        <f>'Effort Estimation'!I574+"AM:!%'u"</f>
        <v>#VALUE!</v>
      </c>
      <c r="CS64" s="99" t="e">
        <f>'Effort Estimation'!J574+"AM:!%'v"</f>
        <v>#VALUE!</v>
      </c>
      <c r="CT64" s="99" t="e">
        <f>'Effort Estimation'!K574+"AM:!%'w"</f>
        <v>#VALUE!</v>
      </c>
      <c r="CU64" s="99" t="e">
        <f>'Effort Estimation'!L574+"AM:!%'x"</f>
        <v>#VALUE!</v>
      </c>
      <c r="CV64" s="99" t="e">
        <f>'Effort Estimation'!M574+"AM:!%'y"</f>
        <v>#VALUE!</v>
      </c>
      <c r="CW64" s="99" t="e">
        <f>'Effort Estimation'!N574+"AM:!%'z"</f>
        <v>#VALUE!</v>
      </c>
      <c r="CX64" s="99" t="e">
        <f>'Effort Estimation'!O574+"AM:!%'{"</f>
        <v>#VALUE!</v>
      </c>
      <c r="CY64" s="99" t="e">
        <f>'Effort Estimation'!P574+"AM:!%'|"</f>
        <v>#VALUE!</v>
      </c>
      <c r="CZ64" s="99" t="e">
        <f>'Effort Estimation'!Q574+"AM:!%'}"</f>
        <v>#VALUE!</v>
      </c>
      <c r="DA64" t="e">
        <f>'Effort Estimation'!R574+"AM:!%'~"</f>
        <v>#VALUE!</v>
      </c>
      <c r="DB64" t="e">
        <f>'Effort Estimation'!S574+"AM:!%(#"</f>
        <v>#VALUE!</v>
      </c>
      <c r="DC64" t="e">
        <f>'Effort Estimation'!T574+"AM:!%($"</f>
        <v>#VALUE!</v>
      </c>
      <c r="DD64" t="e">
        <f>'Effort Estimation'!A575+"AM:!%(%"</f>
        <v>#VALUE!</v>
      </c>
      <c r="DE64" t="e">
        <f>'Effort Estimation'!B575+"AM:!%(&amp;"</f>
        <v>#VALUE!</v>
      </c>
      <c r="DF64" t="e">
        <f>'Effort Estimation'!C575+"AM:!%('"</f>
        <v>#VALUE!</v>
      </c>
      <c r="DG64" t="e">
        <f>'Effort Estimation'!D575+"AM:!%(("</f>
        <v>#VALUE!</v>
      </c>
      <c r="DH64" t="e">
        <f>'Effort Estimation'!E575+"AM:!%()"</f>
        <v>#VALUE!</v>
      </c>
      <c r="DI64" t="e">
        <f>'Effort Estimation'!F575+"AM:!%(."</f>
        <v>#VALUE!</v>
      </c>
      <c r="DJ64" t="e">
        <f>'Effort Estimation'!G575+"AM:!%(/"</f>
        <v>#VALUE!</v>
      </c>
      <c r="DK64" t="e">
        <f>'Effort Estimation'!H575+"AM:!%(0"</f>
        <v>#VALUE!</v>
      </c>
      <c r="DL64" t="e">
        <f>'Effort Estimation'!I575+"AM:!%(1"</f>
        <v>#VALUE!</v>
      </c>
      <c r="DM64" s="99" t="e">
        <f>'Effort Estimation'!J575+"AM:!%(2"</f>
        <v>#VALUE!</v>
      </c>
      <c r="DN64" s="99" t="e">
        <f>'Effort Estimation'!K575+"AM:!%(3"</f>
        <v>#VALUE!</v>
      </c>
      <c r="DO64" s="99" t="e">
        <f>'Effort Estimation'!L575+"AM:!%(4"</f>
        <v>#VALUE!</v>
      </c>
      <c r="DP64" s="99" t="e">
        <f>'Effort Estimation'!M575+"AM:!%(5"</f>
        <v>#VALUE!</v>
      </c>
      <c r="DQ64" s="99" t="e">
        <f>'Effort Estimation'!N575+"AM:!%(6"</f>
        <v>#VALUE!</v>
      </c>
      <c r="DR64" s="99" t="e">
        <f>'Effort Estimation'!O575+"AM:!%(7"</f>
        <v>#VALUE!</v>
      </c>
      <c r="DS64" s="99" t="e">
        <f>'Effort Estimation'!P575+"AM:!%(8"</f>
        <v>#VALUE!</v>
      </c>
      <c r="DT64" s="99" t="e">
        <f>'Effort Estimation'!Q575+"AM:!%(9"</f>
        <v>#VALUE!</v>
      </c>
      <c r="DU64" t="e">
        <f>'Effort Estimation'!R575+"AM:!%(:"</f>
        <v>#VALUE!</v>
      </c>
      <c r="DV64" t="e">
        <f>'Effort Estimation'!S575+"AM:!%(;"</f>
        <v>#VALUE!</v>
      </c>
      <c r="DW64" t="e">
        <f>'Effort Estimation'!T575+"AM:!%(&lt;"</f>
        <v>#VALUE!</v>
      </c>
      <c r="DX64" t="e">
        <f>'Effort Estimation'!A576+"AM:!%(="</f>
        <v>#VALUE!</v>
      </c>
      <c r="DY64" t="e">
        <f>'Effort Estimation'!B576+"AM:!%(&gt;"</f>
        <v>#VALUE!</v>
      </c>
      <c r="DZ64" t="e">
        <f>'Effort Estimation'!C576+"AM:!%(?"</f>
        <v>#VALUE!</v>
      </c>
      <c r="EA64" t="e">
        <f>'Effort Estimation'!D576+"AM:!%(@"</f>
        <v>#VALUE!</v>
      </c>
      <c r="EB64" t="e">
        <f>'Effort Estimation'!E576+"AM:!%(A"</f>
        <v>#VALUE!</v>
      </c>
      <c r="EC64" t="e">
        <f>'Effort Estimation'!F576+"AM:!%(B"</f>
        <v>#VALUE!</v>
      </c>
      <c r="ED64" t="e">
        <f>'Effort Estimation'!G576+"AM:!%(C"</f>
        <v>#VALUE!</v>
      </c>
      <c r="EE64" t="e">
        <f>'Effort Estimation'!H576+"AM:!%(D"</f>
        <v>#VALUE!</v>
      </c>
      <c r="EF64" t="e">
        <f>'Effort Estimation'!I576+"AM:!%(E"</f>
        <v>#VALUE!</v>
      </c>
      <c r="EG64" s="99" t="e">
        <f>'Effort Estimation'!J576+"AM:!%(F"</f>
        <v>#VALUE!</v>
      </c>
      <c r="EH64" s="99" t="e">
        <f>'Effort Estimation'!K576+"AM:!%(G"</f>
        <v>#VALUE!</v>
      </c>
      <c r="EI64" s="99" t="e">
        <f>'Effort Estimation'!L576+"AM:!%(H"</f>
        <v>#VALUE!</v>
      </c>
      <c r="EJ64" s="99" t="e">
        <f>'Effort Estimation'!M576+"AM:!%(I"</f>
        <v>#VALUE!</v>
      </c>
      <c r="EK64" s="99" t="e">
        <f>'Effort Estimation'!N576+"AM:!%(J"</f>
        <v>#VALUE!</v>
      </c>
      <c r="EL64" s="99" t="e">
        <f>'Effort Estimation'!O576+"AM:!%(K"</f>
        <v>#VALUE!</v>
      </c>
      <c r="EM64" s="99" t="e">
        <f>'Effort Estimation'!P576+"AM:!%(L"</f>
        <v>#VALUE!</v>
      </c>
      <c r="EN64" s="99" t="e">
        <f>'Effort Estimation'!Q576+"AM:!%(M"</f>
        <v>#VALUE!</v>
      </c>
      <c r="EO64" t="e">
        <f>'Effort Estimation'!R576+"AM:!%(N"</f>
        <v>#VALUE!</v>
      </c>
      <c r="EP64" t="e">
        <f>'Effort Estimation'!S576+"AM:!%(O"</f>
        <v>#VALUE!</v>
      </c>
      <c r="EQ64" t="e">
        <f>'Effort Estimation'!T576+"AM:!%(P"</f>
        <v>#VALUE!</v>
      </c>
      <c r="ER64" t="e">
        <f>'Effort Estimation'!A577+"AM:!%(Q"</f>
        <v>#VALUE!</v>
      </c>
      <c r="ES64" t="e">
        <f>'Effort Estimation'!B577+"AM:!%(R"</f>
        <v>#VALUE!</v>
      </c>
      <c r="ET64" t="e">
        <f>'Effort Estimation'!C577+"AM:!%(S"</f>
        <v>#VALUE!</v>
      </c>
      <c r="EU64" t="e">
        <f>'Effort Estimation'!D577+"AM:!%(T"</f>
        <v>#VALUE!</v>
      </c>
      <c r="EV64" t="e">
        <f>'Effort Estimation'!E577+"AM:!%(U"</f>
        <v>#VALUE!</v>
      </c>
      <c r="EW64" t="e">
        <f>'Effort Estimation'!F577+"AM:!%(V"</f>
        <v>#VALUE!</v>
      </c>
      <c r="EX64" t="e">
        <f>'Effort Estimation'!G577+"AM:!%(W"</f>
        <v>#VALUE!</v>
      </c>
      <c r="EY64" t="e">
        <f>'Effort Estimation'!H577+"AM:!%(X"</f>
        <v>#VALUE!</v>
      </c>
      <c r="EZ64" t="e">
        <f>'Effort Estimation'!I577+"AM:!%(Y"</f>
        <v>#VALUE!</v>
      </c>
      <c r="FA64" s="99" t="e">
        <f>'Effort Estimation'!J577+"AM:!%(Z"</f>
        <v>#VALUE!</v>
      </c>
      <c r="FB64" s="99" t="e">
        <f>'Effort Estimation'!K577+"AM:!%(["</f>
        <v>#VALUE!</v>
      </c>
      <c r="FC64" s="99" t="e">
        <f>'Effort Estimation'!L577+"AM:!%(\"</f>
        <v>#VALUE!</v>
      </c>
      <c r="FD64" s="99" t="e">
        <f>'Effort Estimation'!M577+"AM:!%(]"</f>
        <v>#VALUE!</v>
      </c>
      <c r="FE64" s="99" t="e">
        <f>'Effort Estimation'!N577+"AM:!%(^"</f>
        <v>#VALUE!</v>
      </c>
      <c r="FF64" s="99" t="e">
        <f>'Effort Estimation'!O577+"AM:!%(_"</f>
        <v>#VALUE!</v>
      </c>
      <c r="FG64" s="99" t="e">
        <f>'Effort Estimation'!P577+"AM:!%(`"</f>
        <v>#VALUE!</v>
      </c>
      <c r="FH64" s="99" t="e">
        <f>'Effort Estimation'!Q577+"AM:!%(a"</f>
        <v>#VALUE!</v>
      </c>
      <c r="FI64" t="e">
        <f>'Effort Estimation'!R577+"AM:!%(b"</f>
        <v>#VALUE!</v>
      </c>
      <c r="FJ64" t="e">
        <f>'Effort Estimation'!S577+"AM:!%(c"</f>
        <v>#VALUE!</v>
      </c>
      <c r="FK64" t="e">
        <f>'Effort Estimation'!T577+"AM:!%(d"</f>
        <v>#VALUE!</v>
      </c>
      <c r="FL64" t="e">
        <f>'Effort Estimation'!A578+"AM:!%(e"</f>
        <v>#VALUE!</v>
      </c>
      <c r="FM64" t="e">
        <f>'Effort Estimation'!B578+"AM:!%(f"</f>
        <v>#VALUE!</v>
      </c>
      <c r="FN64" t="e">
        <f>'Effort Estimation'!C578+"AM:!%(g"</f>
        <v>#VALUE!</v>
      </c>
      <c r="FO64" t="e">
        <f>'Effort Estimation'!D578+"AM:!%(h"</f>
        <v>#VALUE!</v>
      </c>
      <c r="FP64" t="e">
        <f>'Effort Estimation'!E578+"AM:!%(i"</f>
        <v>#VALUE!</v>
      </c>
      <c r="FQ64" t="e">
        <f>'Effort Estimation'!F578+"AM:!%(j"</f>
        <v>#VALUE!</v>
      </c>
      <c r="FR64" t="e">
        <f>'Effort Estimation'!G578+"AM:!%(k"</f>
        <v>#VALUE!</v>
      </c>
      <c r="FS64" t="e">
        <f>'Effort Estimation'!H578+"AM:!%(l"</f>
        <v>#VALUE!</v>
      </c>
      <c r="FT64" t="e">
        <f>'Effort Estimation'!I578+"AM:!%(m"</f>
        <v>#VALUE!</v>
      </c>
      <c r="FU64" s="99" t="e">
        <f>'Effort Estimation'!J578+"AM:!%(n"</f>
        <v>#VALUE!</v>
      </c>
      <c r="FV64" s="99" t="e">
        <f>'Effort Estimation'!K578+"AM:!%(o"</f>
        <v>#VALUE!</v>
      </c>
      <c r="FW64" s="99" t="e">
        <f>'Effort Estimation'!L578+"AM:!%(p"</f>
        <v>#VALUE!</v>
      </c>
      <c r="FX64" s="99" t="e">
        <f>'Effort Estimation'!M578+"AM:!%(q"</f>
        <v>#VALUE!</v>
      </c>
      <c r="FY64" s="99" t="e">
        <f>'Effort Estimation'!N578+"AM:!%(r"</f>
        <v>#VALUE!</v>
      </c>
      <c r="FZ64" s="99" t="e">
        <f>'Effort Estimation'!O578+"AM:!%(s"</f>
        <v>#VALUE!</v>
      </c>
      <c r="GA64" s="99" t="e">
        <f>'Effort Estimation'!P578+"AM:!%(t"</f>
        <v>#VALUE!</v>
      </c>
      <c r="GB64" s="99" t="e">
        <f>'Effort Estimation'!Q578+"AM:!%(u"</f>
        <v>#VALUE!</v>
      </c>
      <c r="GC64" t="e">
        <f>'Effort Estimation'!R578+"AM:!%(v"</f>
        <v>#VALUE!</v>
      </c>
      <c r="GD64" t="e">
        <f>'Effort Estimation'!S578+"AM:!%(w"</f>
        <v>#VALUE!</v>
      </c>
      <c r="GE64" t="e">
        <f>'Effort Estimation'!T578+"AM:!%(x"</f>
        <v>#VALUE!</v>
      </c>
      <c r="GF64" t="e">
        <f>'Effort Estimation'!A579+"AM:!%(y"</f>
        <v>#VALUE!</v>
      </c>
      <c r="GG64" t="e">
        <f>'Effort Estimation'!B579+"AM:!%(z"</f>
        <v>#VALUE!</v>
      </c>
      <c r="GH64" t="e">
        <f>'Effort Estimation'!C579+"AM:!%({"</f>
        <v>#VALUE!</v>
      </c>
      <c r="GI64" t="e">
        <f>'Effort Estimation'!D579+"AM:!%(|"</f>
        <v>#VALUE!</v>
      </c>
      <c r="GJ64" t="e">
        <f>'Effort Estimation'!E579+"AM:!%(}"</f>
        <v>#VALUE!</v>
      </c>
      <c r="GK64" t="e">
        <f>'Effort Estimation'!F579+"AM:!%(~"</f>
        <v>#VALUE!</v>
      </c>
      <c r="GL64" t="e">
        <f>'Effort Estimation'!G579+"AM:!%)#"</f>
        <v>#VALUE!</v>
      </c>
      <c r="GM64" t="e">
        <f>'Effort Estimation'!H579+"AM:!%)$"</f>
        <v>#VALUE!</v>
      </c>
      <c r="GN64" t="e">
        <f>'Effort Estimation'!I579+"AM:!%)%"</f>
        <v>#VALUE!</v>
      </c>
      <c r="GO64" s="99" t="e">
        <f>'Effort Estimation'!J579+"AM:!%)&amp;"</f>
        <v>#VALUE!</v>
      </c>
      <c r="GP64" s="99" t="e">
        <f>'Effort Estimation'!K579+"AM:!%)'"</f>
        <v>#VALUE!</v>
      </c>
      <c r="GQ64" s="99" t="e">
        <f>'Effort Estimation'!L579+"AM:!%)("</f>
        <v>#VALUE!</v>
      </c>
      <c r="GR64" s="99" t="e">
        <f>'Effort Estimation'!M579+"AM:!%))"</f>
        <v>#VALUE!</v>
      </c>
      <c r="GS64" s="99" t="e">
        <f>'Effort Estimation'!N579+"AM:!%)."</f>
        <v>#VALUE!</v>
      </c>
      <c r="GT64" s="99" t="e">
        <f>'Effort Estimation'!O579+"AM:!%)/"</f>
        <v>#VALUE!</v>
      </c>
      <c r="GU64" s="99" t="e">
        <f>'Effort Estimation'!P579+"AM:!%)0"</f>
        <v>#VALUE!</v>
      </c>
      <c r="GV64" s="99" t="e">
        <f>'Effort Estimation'!Q579+"AM:!%)1"</f>
        <v>#VALUE!</v>
      </c>
      <c r="GW64" t="e">
        <f>'Effort Estimation'!R579+"AM:!%)2"</f>
        <v>#VALUE!</v>
      </c>
      <c r="GX64" t="e">
        <f>'Effort Estimation'!S579+"AM:!%)3"</f>
        <v>#VALUE!</v>
      </c>
      <c r="GY64" t="e">
        <f>'Effort Estimation'!T579+"AM:!%)4"</f>
        <v>#VALUE!</v>
      </c>
      <c r="GZ64" t="e">
        <f>'Effort Estimation'!A580+"AM:!%)5"</f>
        <v>#VALUE!</v>
      </c>
      <c r="HA64" t="e">
        <f>'Effort Estimation'!B580+"AM:!%)6"</f>
        <v>#VALUE!</v>
      </c>
      <c r="HB64" t="e">
        <f>'Effort Estimation'!C580+"AM:!%)7"</f>
        <v>#VALUE!</v>
      </c>
      <c r="HC64" t="e">
        <f>'Effort Estimation'!D580+"AM:!%)8"</f>
        <v>#VALUE!</v>
      </c>
      <c r="HD64" t="e">
        <f>'Effort Estimation'!E580+"AM:!%)9"</f>
        <v>#VALUE!</v>
      </c>
      <c r="HE64" t="e">
        <f>'Effort Estimation'!F580+"AM:!%):"</f>
        <v>#VALUE!</v>
      </c>
      <c r="HF64" t="e">
        <f>'Effort Estimation'!G580+"AM:!%);"</f>
        <v>#VALUE!</v>
      </c>
      <c r="HG64" t="e">
        <f>'Effort Estimation'!H580+"AM:!%)&lt;"</f>
        <v>#VALUE!</v>
      </c>
      <c r="HH64" t="e">
        <f>'Effort Estimation'!I580+"AM:!%)="</f>
        <v>#VALUE!</v>
      </c>
      <c r="HI64" s="99" t="e">
        <f>'Effort Estimation'!J580+"AM:!%)&gt;"</f>
        <v>#VALUE!</v>
      </c>
      <c r="HJ64" s="99" t="e">
        <f>'Effort Estimation'!K580+"AM:!%)?"</f>
        <v>#VALUE!</v>
      </c>
      <c r="HK64" s="99" t="e">
        <f>'Effort Estimation'!L580+"AM:!%)@"</f>
        <v>#VALUE!</v>
      </c>
      <c r="HL64" s="99" t="e">
        <f>'Effort Estimation'!M580+"AM:!%)A"</f>
        <v>#VALUE!</v>
      </c>
      <c r="HM64" s="99" t="e">
        <f>'Effort Estimation'!N580+"AM:!%)B"</f>
        <v>#VALUE!</v>
      </c>
      <c r="HN64" s="99" t="e">
        <f>'Effort Estimation'!O580+"AM:!%)C"</f>
        <v>#VALUE!</v>
      </c>
      <c r="HO64" s="99" t="e">
        <f>'Effort Estimation'!P580+"AM:!%)D"</f>
        <v>#VALUE!</v>
      </c>
      <c r="HP64" s="99" t="e">
        <f>'Effort Estimation'!Q580+"AM:!%)E"</f>
        <v>#VALUE!</v>
      </c>
      <c r="HQ64" t="e">
        <f>'Effort Estimation'!R580+"AM:!%)F"</f>
        <v>#VALUE!</v>
      </c>
      <c r="HR64" t="e">
        <f>'Effort Estimation'!S580+"AM:!%)G"</f>
        <v>#VALUE!</v>
      </c>
      <c r="HS64" t="e">
        <f>'Effort Estimation'!T580+"AM:!%)H"</f>
        <v>#VALUE!</v>
      </c>
      <c r="HT64" t="e">
        <f>'Effort Estimation'!A581+"AM:!%)I"</f>
        <v>#VALUE!</v>
      </c>
      <c r="HU64" t="e">
        <f>'Effort Estimation'!B581+"AM:!%)J"</f>
        <v>#VALUE!</v>
      </c>
      <c r="HV64" t="e">
        <f>'Effort Estimation'!C581+"AM:!%)K"</f>
        <v>#VALUE!</v>
      </c>
      <c r="HW64" t="e">
        <f>'Effort Estimation'!D581+"AM:!%)L"</f>
        <v>#VALUE!</v>
      </c>
      <c r="HX64" t="e">
        <f>'Effort Estimation'!E581+"AM:!%)M"</f>
        <v>#VALUE!</v>
      </c>
      <c r="HY64" t="e">
        <f>'Effort Estimation'!F581+"AM:!%)N"</f>
        <v>#VALUE!</v>
      </c>
      <c r="HZ64" t="e">
        <f>'Effort Estimation'!G581+"AM:!%)O"</f>
        <v>#VALUE!</v>
      </c>
      <c r="IA64" t="e">
        <f>'Effort Estimation'!H581+"AM:!%)P"</f>
        <v>#VALUE!</v>
      </c>
      <c r="IB64" t="e">
        <f>'Effort Estimation'!I581+"AM:!%)Q"</f>
        <v>#VALUE!</v>
      </c>
      <c r="IC64" s="99" t="e">
        <f>'Effort Estimation'!J581+"AM:!%)R"</f>
        <v>#VALUE!</v>
      </c>
      <c r="ID64" s="99" t="e">
        <f>'Effort Estimation'!K581+"AM:!%)S"</f>
        <v>#VALUE!</v>
      </c>
      <c r="IE64" s="99" t="e">
        <f>'Effort Estimation'!L581+"AM:!%)T"</f>
        <v>#VALUE!</v>
      </c>
      <c r="IF64" s="99" t="e">
        <f>'Effort Estimation'!M581+"AM:!%)U"</f>
        <v>#VALUE!</v>
      </c>
      <c r="IG64" s="99" t="e">
        <f>'Effort Estimation'!N581+"AM:!%)V"</f>
        <v>#VALUE!</v>
      </c>
      <c r="IH64" s="99" t="e">
        <f>'Effort Estimation'!O581+"AM:!%)W"</f>
        <v>#VALUE!</v>
      </c>
      <c r="II64" s="99" t="e">
        <f>'Effort Estimation'!P581+"AM:!%)X"</f>
        <v>#VALUE!</v>
      </c>
      <c r="IJ64" s="99" t="e">
        <f>'Effort Estimation'!Q581+"AM:!%)Y"</f>
        <v>#VALUE!</v>
      </c>
      <c r="IK64" t="e">
        <f>'Effort Estimation'!R581+"AM:!%)Z"</f>
        <v>#VALUE!</v>
      </c>
      <c r="IL64" t="e">
        <f>'Effort Estimation'!S581+"AM:!%)["</f>
        <v>#VALUE!</v>
      </c>
      <c r="IM64" t="e">
        <f>'Effort Estimation'!T581+"AM:!%)\"</f>
        <v>#VALUE!</v>
      </c>
      <c r="IN64" t="e">
        <f>'Effort Estimation'!A582+"AM:!%)]"</f>
        <v>#VALUE!</v>
      </c>
      <c r="IO64" t="e">
        <f>'Effort Estimation'!B582+"AM:!%)^"</f>
        <v>#VALUE!</v>
      </c>
      <c r="IP64" t="e">
        <f>'Effort Estimation'!C582+"AM:!%)_"</f>
        <v>#VALUE!</v>
      </c>
      <c r="IQ64" t="e">
        <f>'Effort Estimation'!D582+"AM:!%)`"</f>
        <v>#VALUE!</v>
      </c>
      <c r="IR64" t="e">
        <f>'Effort Estimation'!E582+"AM:!%)a"</f>
        <v>#VALUE!</v>
      </c>
      <c r="IS64" t="e">
        <f>'Effort Estimation'!F582+"AM:!%)b"</f>
        <v>#VALUE!</v>
      </c>
      <c r="IT64" t="e">
        <f>'Effort Estimation'!G582+"AM:!%)c"</f>
        <v>#VALUE!</v>
      </c>
      <c r="IU64" t="e">
        <f>'Effort Estimation'!H582+"AM:!%)d"</f>
        <v>#VALUE!</v>
      </c>
      <c r="IV64" t="e">
        <f>'Effort Estimation'!I582+"AM:!%)e"</f>
        <v>#VALUE!</v>
      </c>
    </row>
    <row r="65" spans="6:256">
      <c r="F65" s="99" t="e">
        <f>'Effort Estimation'!J582+"AM:!%)f"</f>
        <v>#VALUE!</v>
      </c>
      <c r="G65" s="99" t="e">
        <f>'Effort Estimation'!K582+"AM:!%)g"</f>
        <v>#VALUE!</v>
      </c>
      <c r="H65" s="99" t="e">
        <f>'Effort Estimation'!L582+"AM:!%)h"</f>
        <v>#VALUE!</v>
      </c>
      <c r="I65" s="99" t="e">
        <f>'Effort Estimation'!M582+"AM:!%)i"</f>
        <v>#VALUE!</v>
      </c>
      <c r="J65" s="99" t="e">
        <f>'Effort Estimation'!N582+"AM:!%)j"</f>
        <v>#VALUE!</v>
      </c>
      <c r="K65" s="99" t="e">
        <f>'Effort Estimation'!O582+"AM:!%)k"</f>
        <v>#VALUE!</v>
      </c>
      <c r="L65" s="99" t="e">
        <f>'Effort Estimation'!P582+"AM:!%)l"</f>
        <v>#VALUE!</v>
      </c>
      <c r="M65" s="99" t="e">
        <f>'Effort Estimation'!Q582+"AM:!%)m"</f>
        <v>#VALUE!</v>
      </c>
      <c r="N65" t="e">
        <f>'Effort Estimation'!R582+"AM:!%)n"</f>
        <v>#VALUE!</v>
      </c>
      <c r="O65" t="e">
        <f>'Effort Estimation'!S582+"AM:!%)o"</f>
        <v>#VALUE!</v>
      </c>
      <c r="P65" t="e">
        <f>'Effort Estimation'!T582+"AM:!%)p"</f>
        <v>#VALUE!</v>
      </c>
      <c r="Q65" t="e">
        <f>'Effort Estimation'!A583+"AM:!%)q"</f>
        <v>#VALUE!</v>
      </c>
      <c r="R65" t="e">
        <f>'Effort Estimation'!B583+"AM:!%)r"</f>
        <v>#VALUE!</v>
      </c>
      <c r="S65" t="e">
        <f>'Effort Estimation'!C583+"AM:!%)s"</f>
        <v>#VALUE!</v>
      </c>
      <c r="T65" t="e">
        <f>'Effort Estimation'!D583+"AM:!%)t"</f>
        <v>#VALUE!</v>
      </c>
      <c r="U65" t="e">
        <f>'Effort Estimation'!E583+"AM:!%)u"</f>
        <v>#VALUE!</v>
      </c>
      <c r="V65" t="e">
        <f>'Effort Estimation'!F583+"AM:!%)v"</f>
        <v>#VALUE!</v>
      </c>
      <c r="W65" t="e">
        <f>'Effort Estimation'!G583+"AM:!%)w"</f>
        <v>#VALUE!</v>
      </c>
      <c r="X65" t="e">
        <f>'Effort Estimation'!H583+"AM:!%)x"</f>
        <v>#VALUE!</v>
      </c>
      <c r="Y65" t="e">
        <f>'Effort Estimation'!I583+"AM:!%)y"</f>
        <v>#VALUE!</v>
      </c>
      <c r="Z65" s="99" t="e">
        <f>'Effort Estimation'!J583+"AM:!%)z"</f>
        <v>#VALUE!</v>
      </c>
      <c r="AA65" s="99" t="e">
        <f>'Effort Estimation'!K583+"AM:!%){"</f>
        <v>#VALUE!</v>
      </c>
      <c r="AB65" s="99" t="e">
        <f>'Effort Estimation'!L583+"AM:!%)|"</f>
        <v>#VALUE!</v>
      </c>
      <c r="AC65" s="99" t="e">
        <f>'Effort Estimation'!M583+"AM:!%)}"</f>
        <v>#VALUE!</v>
      </c>
      <c r="AD65" s="99" t="e">
        <f>'Effort Estimation'!N583+"AM:!%)~"</f>
        <v>#VALUE!</v>
      </c>
      <c r="AE65" s="99" t="e">
        <f>'Effort Estimation'!O583+"AM:!%.#"</f>
        <v>#VALUE!</v>
      </c>
      <c r="AF65" s="99" t="e">
        <f>'Effort Estimation'!P583+"AM:!%.$"</f>
        <v>#VALUE!</v>
      </c>
      <c r="AG65" s="99" t="e">
        <f>'Effort Estimation'!Q583+"AM:!%.%"</f>
        <v>#VALUE!</v>
      </c>
      <c r="AH65" t="e">
        <f>'Effort Estimation'!R583+"AM:!%.&amp;"</f>
        <v>#VALUE!</v>
      </c>
      <c r="AI65" t="e">
        <f>'Effort Estimation'!S583+"AM:!%.'"</f>
        <v>#VALUE!</v>
      </c>
      <c r="AJ65" t="e">
        <f>'Effort Estimation'!T583+"AM:!%.("</f>
        <v>#VALUE!</v>
      </c>
      <c r="AK65" t="e">
        <f>'Effort Estimation'!A584+"AM:!%.)"</f>
        <v>#VALUE!</v>
      </c>
      <c r="AL65" t="e">
        <f>'Effort Estimation'!B584+"AM:!%.."</f>
        <v>#VALUE!</v>
      </c>
      <c r="AM65" t="e">
        <f>'Effort Estimation'!C584+"AM:!%./"</f>
        <v>#VALUE!</v>
      </c>
      <c r="AN65" t="e">
        <f>'Effort Estimation'!D584+"AM:!%.0"</f>
        <v>#VALUE!</v>
      </c>
      <c r="AO65" t="e">
        <f>'Effort Estimation'!E584+"AM:!%.1"</f>
        <v>#VALUE!</v>
      </c>
      <c r="AP65" t="e">
        <f>'Effort Estimation'!F584+"AM:!%.2"</f>
        <v>#VALUE!</v>
      </c>
      <c r="AQ65" t="e">
        <f>'Effort Estimation'!G584+"AM:!%.3"</f>
        <v>#VALUE!</v>
      </c>
      <c r="AR65" t="e">
        <f>'Effort Estimation'!H584+"AM:!%.4"</f>
        <v>#VALUE!</v>
      </c>
      <c r="AS65" t="e">
        <f>'Effort Estimation'!I584+"AM:!%.5"</f>
        <v>#VALUE!</v>
      </c>
      <c r="AT65" s="99" t="e">
        <f>'Effort Estimation'!J584+"AM:!%.6"</f>
        <v>#VALUE!</v>
      </c>
      <c r="AU65" s="99" t="e">
        <f>'Effort Estimation'!K584+"AM:!%.7"</f>
        <v>#VALUE!</v>
      </c>
      <c r="AV65" s="99" t="e">
        <f>'Effort Estimation'!L584+"AM:!%.8"</f>
        <v>#VALUE!</v>
      </c>
      <c r="AW65" s="99" t="e">
        <f>'Effort Estimation'!M584+"AM:!%.9"</f>
        <v>#VALUE!</v>
      </c>
      <c r="AX65" s="99" t="e">
        <f>'Effort Estimation'!N584+"AM:!%.:"</f>
        <v>#VALUE!</v>
      </c>
      <c r="AY65" s="99" t="e">
        <f>'Effort Estimation'!O584+"AM:!%.;"</f>
        <v>#VALUE!</v>
      </c>
      <c r="AZ65" s="99" t="e">
        <f>'Effort Estimation'!P584+"AM:!%.&lt;"</f>
        <v>#VALUE!</v>
      </c>
      <c r="BA65" s="99" t="e">
        <f>'Effort Estimation'!Q584+"AM:!%.="</f>
        <v>#VALUE!</v>
      </c>
      <c r="BB65" t="e">
        <f>'Effort Estimation'!R584+"AM:!%.&gt;"</f>
        <v>#VALUE!</v>
      </c>
      <c r="BC65" t="e">
        <f>'Effort Estimation'!S584+"AM:!%.?"</f>
        <v>#VALUE!</v>
      </c>
      <c r="BD65" t="e">
        <f>'Effort Estimation'!T584+"AM:!%.@"</f>
        <v>#VALUE!</v>
      </c>
      <c r="BE65" t="e">
        <f>'Effort Estimation'!A585+"AM:!%.A"</f>
        <v>#VALUE!</v>
      </c>
      <c r="BF65" t="e">
        <f>'Effort Estimation'!B585+"AM:!%.B"</f>
        <v>#VALUE!</v>
      </c>
      <c r="BG65" t="e">
        <f>'Effort Estimation'!C585+"AM:!%.C"</f>
        <v>#VALUE!</v>
      </c>
      <c r="BH65" t="e">
        <f>'Effort Estimation'!D585+"AM:!%.D"</f>
        <v>#VALUE!</v>
      </c>
      <c r="BI65" t="e">
        <f>'Effort Estimation'!E585+"AM:!%.E"</f>
        <v>#VALUE!</v>
      </c>
      <c r="BJ65" t="e">
        <f>'Effort Estimation'!F585+"AM:!%.F"</f>
        <v>#VALUE!</v>
      </c>
      <c r="BK65" t="e">
        <f>'Effort Estimation'!G585+"AM:!%.G"</f>
        <v>#VALUE!</v>
      </c>
      <c r="BL65" t="e">
        <f>'Effort Estimation'!H585+"AM:!%.H"</f>
        <v>#VALUE!</v>
      </c>
      <c r="BM65" t="e">
        <f>'Effort Estimation'!I585+"AM:!%.I"</f>
        <v>#VALUE!</v>
      </c>
      <c r="BN65" s="99" t="e">
        <f>'Effort Estimation'!J585+"AM:!%.J"</f>
        <v>#VALUE!</v>
      </c>
      <c r="BO65" s="99" t="e">
        <f>'Effort Estimation'!K585+"AM:!%.K"</f>
        <v>#VALUE!</v>
      </c>
      <c r="BP65" s="99" t="e">
        <f>'Effort Estimation'!L585+"AM:!%.L"</f>
        <v>#VALUE!</v>
      </c>
      <c r="BQ65" s="99" t="e">
        <f>'Effort Estimation'!M585+"AM:!%.M"</f>
        <v>#VALUE!</v>
      </c>
      <c r="BR65" s="99" t="e">
        <f>'Effort Estimation'!N585+"AM:!%.N"</f>
        <v>#VALUE!</v>
      </c>
      <c r="BS65" s="99" t="e">
        <f>'Effort Estimation'!O585+"AM:!%.O"</f>
        <v>#VALUE!</v>
      </c>
      <c r="BT65" s="99" t="e">
        <f>'Effort Estimation'!P585+"AM:!%.P"</f>
        <v>#VALUE!</v>
      </c>
      <c r="BU65" s="99" t="e">
        <f>'Effort Estimation'!Q585+"AM:!%.Q"</f>
        <v>#VALUE!</v>
      </c>
      <c r="BV65" t="e">
        <f>'Effort Estimation'!R585+"AM:!%.R"</f>
        <v>#VALUE!</v>
      </c>
      <c r="BW65" t="e">
        <f>'Effort Estimation'!S585+"AM:!%.S"</f>
        <v>#VALUE!</v>
      </c>
      <c r="BX65" t="e">
        <f>'Effort Estimation'!T585+"AM:!%.T"</f>
        <v>#VALUE!</v>
      </c>
      <c r="BY65" t="e">
        <f>'Effort Estimation'!A586+"AM:!%.U"</f>
        <v>#VALUE!</v>
      </c>
      <c r="BZ65" t="e">
        <f>'Effort Estimation'!B586+"AM:!%.V"</f>
        <v>#VALUE!</v>
      </c>
      <c r="CA65" t="e">
        <f>'Effort Estimation'!C586+"AM:!%.W"</f>
        <v>#VALUE!</v>
      </c>
      <c r="CB65" t="e">
        <f>'Effort Estimation'!D586+"AM:!%.X"</f>
        <v>#VALUE!</v>
      </c>
      <c r="CC65" t="e">
        <f>'Effort Estimation'!E586+"AM:!%.Y"</f>
        <v>#VALUE!</v>
      </c>
      <c r="CD65" t="e">
        <f>'Effort Estimation'!F586+"AM:!%.Z"</f>
        <v>#VALUE!</v>
      </c>
      <c r="CE65" t="e">
        <f>'Effort Estimation'!G586+"AM:!%.["</f>
        <v>#VALUE!</v>
      </c>
      <c r="CF65" t="e">
        <f>'Effort Estimation'!H586+"AM:!%.\"</f>
        <v>#VALUE!</v>
      </c>
      <c r="CG65" t="e">
        <f>'Effort Estimation'!I586+"AM:!%.]"</f>
        <v>#VALUE!</v>
      </c>
      <c r="CH65" s="99" t="e">
        <f>'Effort Estimation'!J586+"AM:!%.^"</f>
        <v>#VALUE!</v>
      </c>
      <c r="CI65" s="99" t="e">
        <f>'Effort Estimation'!K586+"AM:!%._"</f>
        <v>#VALUE!</v>
      </c>
      <c r="CJ65" s="99" t="e">
        <f>'Effort Estimation'!L586+"AM:!%.`"</f>
        <v>#VALUE!</v>
      </c>
      <c r="CK65" s="99" t="e">
        <f>'Effort Estimation'!M586+"AM:!%.a"</f>
        <v>#VALUE!</v>
      </c>
      <c r="CL65" s="99" t="e">
        <f>'Effort Estimation'!N586+"AM:!%.b"</f>
        <v>#VALUE!</v>
      </c>
      <c r="CM65" s="99" t="e">
        <f>'Effort Estimation'!O586+"AM:!%.c"</f>
        <v>#VALUE!</v>
      </c>
      <c r="CN65" s="99" t="e">
        <f>'Effort Estimation'!P586+"AM:!%.d"</f>
        <v>#VALUE!</v>
      </c>
      <c r="CO65" s="99" t="e">
        <f>'Effort Estimation'!Q586+"AM:!%.e"</f>
        <v>#VALUE!</v>
      </c>
      <c r="CP65" t="e">
        <f>'Effort Estimation'!R586+"AM:!%.f"</f>
        <v>#VALUE!</v>
      </c>
      <c r="CQ65" t="e">
        <f>'Effort Estimation'!S586+"AM:!%.g"</f>
        <v>#VALUE!</v>
      </c>
      <c r="CR65" t="e">
        <f>'Effort Estimation'!T586+"AM:!%.h"</f>
        <v>#VALUE!</v>
      </c>
      <c r="CS65" t="e">
        <f>'Effort Estimation'!A587+"AM:!%.i"</f>
        <v>#VALUE!</v>
      </c>
      <c r="CT65" t="e">
        <f>'Effort Estimation'!B587+"AM:!%.j"</f>
        <v>#VALUE!</v>
      </c>
      <c r="CU65" t="e">
        <f>'Effort Estimation'!C587+"AM:!%.k"</f>
        <v>#VALUE!</v>
      </c>
      <c r="CV65" t="e">
        <f>'Effort Estimation'!D587+"AM:!%.l"</f>
        <v>#VALUE!</v>
      </c>
      <c r="CW65" t="e">
        <f>'Effort Estimation'!E587+"AM:!%.m"</f>
        <v>#VALUE!</v>
      </c>
      <c r="CX65" t="e">
        <f>'Effort Estimation'!F587+"AM:!%.n"</f>
        <v>#VALUE!</v>
      </c>
      <c r="CY65" t="e">
        <f>'Effort Estimation'!G587+"AM:!%.o"</f>
        <v>#VALUE!</v>
      </c>
      <c r="CZ65" t="e">
        <f>'Effort Estimation'!H587+"AM:!%.p"</f>
        <v>#VALUE!</v>
      </c>
      <c r="DA65" t="e">
        <f>'Effort Estimation'!I587+"AM:!%.q"</f>
        <v>#VALUE!</v>
      </c>
      <c r="DB65" s="99" t="e">
        <f>'Effort Estimation'!J587+"AM:!%.r"</f>
        <v>#VALUE!</v>
      </c>
      <c r="DC65" s="99" t="e">
        <f>'Effort Estimation'!K587+"AM:!%.s"</f>
        <v>#VALUE!</v>
      </c>
      <c r="DD65" s="99" t="e">
        <f>'Effort Estimation'!L587+"AM:!%.t"</f>
        <v>#VALUE!</v>
      </c>
      <c r="DE65" s="99" t="e">
        <f>'Effort Estimation'!M587+"AM:!%.u"</f>
        <v>#VALUE!</v>
      </c>
      <c r="DF65" s="99" t="e">
        <f>'Effort Estimation'!N587+"AM:!%.v"</f>
        <v>#VALUE!</v>
      </c>
      <c r="DG65" s="99" t="e">
        <f>'Effort Estimation'!O587+"AM:!%.w"</f>
        <v>#VALUE!</v>
      </c>
      <c r="DH65" s="99" t="e">
        <f>'Effort Estimation'!P587+"AM:!%.x"</f>
        <v>#VALUE!</v>
      </c>
      <c r="DI65" s="99" t="e">
        <f>'Effort Estimation'!Q587+"AM:!%.y"</f>
        <v>#VALUE!</v>
      </c>
      <c r="DJ65" t="e">
        <f>'Effort Estimation'!R587+"AM:!%.z"</f>
        <v>#VALUE!</v>
      </c>
      <c r="DK65" t="e">
        <f>'Effort Estimation'!S587+"AM:!%.{"</f>
        <v>#VALUE!</v>
      </c>
      <c r="DL65" t="e">
        <f>'Effort Estimation'!T587+"AM:!%.|"</f>
        <v>#VALUE!</v>
      </c>
      <c r="DM65" t="e">
        <f>'Effort Estimation'!A588+"AM:!%.}"</f>
        <v>#VALUE!</v>
      </c>
      <c r="DN65" t="e">
        <f>'Effort Estimation'!B588+"AM:!%.~"</f>
        <v>#VALUE!</v>
      </c>
      <c r="DO65" t="e">
        <f>'Effort Estimation'!C588+"AM:!%/#"</f>
        <v>#VALUE!</v>
      </c>
      <c r="DP65" t="e">
        <f>'Effort Estimation'!D588+"AM:!%/$"</f>
        <v>#VALUE!</v>
      </c>
      <c r="DQ65" t="e">
        <f>'Effort Estimation'!E588+"AM:!%/%"</f>
        <v>#VALUE!</v>
      </c>
      <c r="DR65" t="e">
        <f>'Effort Estimation'!F588+"AM:!%/&amp;"</f>
        <v>#VALUE!</v>
      </c>
      <c r="DS65" t="e">
        <f>'Effort Estimation'!G588+"AM:!%/'"</f>
        <v>#VALUE!</v>
      </c>
      <c r="DT65" t="e">
        <f>'Effort Estimation'!H588+"AM:!%/("</f>
        <v>#VALUE!</v>
      </c>
      <c r="DU65" t="e">
        <f>'Effort Estimation'!I588+"AM:!%/)"</f>
        <v>#VALUE!</v>
      </c>
      <c r="DV65" s="99" t="e">
        <f>'Effort Estimation'!J588+"AM:!%/."</f>
        <v>#VALUE!</v>
      </c>
      <c r="DW65" s="99" t="e">
        <f>'Effort Estimation'!K588+"AM:!%//"</f>
        <v>#VALUE!</v>
      </c>
      <c r="DX65" s="99" t="e">
        <f>'Effort Estimation'!L588+"AM:!%/0"</f>
        <v>#VALUE!</v>
      </c>
      <c r="DY65" s="99" t="e">
        <f>'Effort Estimation'!M588+"AM:!%/1"</f>
        <v>#VALUE!</v>
      </c>
      <c r="DZ65" s="99" t="e">
        <f>'Effort Estimation'!N588+"AM:!%/2"</f>
        <v>#VALUE!</v>
      </c>
      <c r="EA65" s="99" t="e">
        <f>'Effort Estimation'!O588+"AM:!%/3"</f>
        <v>#VALUE!</v>
      </c>
      <c r="EB65" s="99" t="e">
        <f>'Effort Estimation'!P588+"AM:!%/4"</f>
        <v>#VALUE!</v>
      </c>
      <c r="EC65" s="99" t="e">
        <f>'Effort Estimation'!Q588+"AM:!%/5"</f>
        <v>#VALUE!</v>
      </c>
      <c r="ED65" t="e">
        <f>'Effort Estimation'!R588+"AM:!%/6"</f>
        <v>#VALUE!</v>
      </c>
      <c r="EE65" t="e">
        <f>'Effort Estimation'!S588+"AM:!%/7"</f>
        <v>#VALUE!</v>
      </c>
      <c r="EF65" t="e">
        <f>'Effort Estimation'!T588+"AM:!%/8"</f>
        <v>#VALUE!</v>
      </c>
      <c r="EG65" t="e">
        <f>'Effort Estimation'!A589+"AM:!%/9"</f>
        <v>#VALUE!</v>
      </c>
      <c r="EH65" t="e">
        <f>'Effort Estimation'!B589+"AM:!%/:"</f>
        <v>#VALUE!</v>
      </c>
      <c r="EI65" t="e">
        <f>'Effort Estimation'!C589+"AM:!%/;"</f>
        <v>#VALUE!</v>
      </c>
      <c r="EJ65" t="e">
        <f>'Effort Estimation'!D589+"AM:!%/&lt;"</f>
        <v>#VALUE!</v>
      </c>
      <c r="EK65" t="e">
        <f>'Effort Estimation'!E589+"AM:!%/="</f>
        <v>#VALUE!</v>
      </c>
      <c r="EL65" t="e">
        <f>'Effort Estimation'!F589+"AM:!%/&gt;"</f>
        <v>#VALUE!</v>
      </c>
      <c r="EM65" t="e">
        <f>'Effort Estimation'!G589+"AM:!%/?"</f>
        <v>#VALUE!</v>
      </c>
      <c r="EN65" t="e">
        <f>'Effort Estimation'!H589+"AM:!%/@"</f>
        <v>#VALUE!</v>
      </c>
      <c r="EO65" t="e">
        <f>'Effort Estimation'!I589+"AM:!%/A"</f>
        <v>#VALUE!</v>
      </c>
      <c r="EP65" s="99" t="e">
        <f>'Effort Estimation'!J589+"AM:!%/B"</f>
        <v>#VALUE!</v>
      </c>
      <c r="EQ65" s="99" t="e">
        <f>'Effort Estimation'!K589+"AM:!%/C"</f>
        <v>#VALUE!</v>
      </c>
      <c r="ER65" s="99" t="e">
        <f>'Effort Estimation'!L589+"AM:!%/D"</f>
        <v>#VALUE!</v>
      </c>
      <c r="ES65" s="99" t="e">
        <f>'Effort Estimation'!M589+"AM:!%/E"</f>
        <v>#VALUE!</v>
      </c>
      <c r="ET65" s="99" t="e">
        <f>'Effort Estimation'!N589+"AM:!%/F"</f>
        <v>#VALUE!</v>
      </c>
      <c r="EU65" s="99" t="e">
        <f>'Effort Estimation'!O589+"AM:!%/G"</f>
        <v>#VALUE!</v>
      </c>
      <c r="EV65" s="99" t="e">
        <f>'Effort Estimation'!P589+"AM:!%/H"</f>
        <v>#VALUE!</v>
      </c>
      <c r="EW65" s="99" t="e">
        <f>'Effort Estimation'!Q589+"AM:!%/I"</f>
        <v>#VALUE!</v>
      </c>
      <c r="EX65" t="e">
        <f>'Effort Estimation'!R589+"AM:!%/J"</f>
        <v>#VALUE!</v>
      </c>
      <c r="EY65" t="e">
        <f>'Effort Estimation'!S589+"AM:!%/K"</f>
        <v>#VALUE!</v>
      </c>
      <c r="EZ65" t="e">
        <f>'Effort Estimation'!T589+"AM:!%/L"</f>
        <v>#VALUE!</v>
      </c>
      <c r="FA65" t="e">
        <f>'Effort Estimation'!A590+"AM:!%/M"</f>
        <v>#VALUE!</v>
      </c>
      <c r="FB65" t="e">
        <f>'Effort Estimation'!B590+"AM:!%/N"</f>
        <v>#VALUE!</v>
      </c>
      <c r="FC65" t="e">
        <f>'Effort Estimation'!C590+"AM:!%/O"</f>
        <v>#VALUE!</v>
      </c>
      <c r="FD65" t="e">
        <f>'Effort Estimation'!D590+"AM:!%/P"</f>
        <v>#VALUE!</v>
      </c>
      <c r="FE65" t="e">
        <f>'Effort Estimation'!E590+"AM:!%/Q"</f>
        <v>#VALUE!</v>
      </c>
      <c r="FF65" t="e">
        <f>'Effort Estimation'!F590+"AM:!%/R"</f>
        <v>#VALUE!</v>
      </c>
      <c r="FG65" t="e">
        <f>'Effort Estimation'!G590+"AM:!%/S"</f>
        <v>#VALUE!</v>
      </c>
      <c r="FH65" t="e">
        <f>'Effort Estimation'!H590+"AM:!%/T"</f>
        <v>#VALUE!</v>
      </c>
      <c r="FI65" t="e">
        <f>'Effort Estimation'!I590+"AM:!%/U"</f>
        <v>#VALUE!</v>
      </c>
      <c r="FJ65" s="99" t="e">
        <f>'Effort Estimation'!J590+"AM:!%/V"</f>
        <v>#VALUE!</v>
      </c>
      <c r="FK65" s="99" t="e">
        <f>'Effort Estimation'!K590+"AM:!%/W"</f>
        <v>#VALUE!</v>
      </c>
      <c r="FL65" s="99" t="e">
        <f>'Effort Estimation'!L590+"AM:!%/X"</f>
        <v>#VALUE!</v>
      </c>
      <c r="FM65" s="99" t="e">
        <f>'Effort Estimation'!M590+"AM:!%/Y"</f>
        <v>#VALUE!</v>
      </c>
      <c r="FN65" s="99" t="e">
        <f>'Effort Estimation'!N590+"AM:!%/Z"</f>
        <v>#VALUE!</v>
      </c>
      <c r="FO65" s="99" t="e">
        <f>'Effort Estimation'!O590+"AM:!%/["</f>
        <v>#VALUE!</v>
      </c>
      <c r="FP65" s="99" t="e">
        <f>'Effort Estimation'!P590+"AM:!%/\"</f>
        <v>#VALUE!</v>
      </c>
      <c r="FQ65" s="99" t="e">
        <f>'Effort Estimation'!Q590+"AM:!%/]"</f>
        <v>#VALUE!</v>
      </c>
      <c r="FR65" t="e">
        <f>'Effort Estimation'!R590+"AM:!%/^"</f>
        <v>#VALUE!</v>
      </c>
      <c r="FS65" t="e">
        <f>'Effort Estimation'!S590+"AM:!%/_"</f>
        <v>#VALUE!</v>
      </c>
      <c r="FT65" t="e">
        <f>'Effort Estimation'!T590+"AM:!%/`"</f>
        <v>#VALUE!</v>
      </c>
      <c r="FU65" t="e">
        <f>'Effort Estimation'!A591+"AM:!%/a"</f>
        <v>#VALUE!</v>
      </c>
      <c r="FV65" t="e">
        <f>'Effort Estimation'!B591+"AM:!%/b"</f>
        <v>#VALUE!</v>
      </c>
      <c r="FW65" t="e">
        <f>'Effort Estimation'!C591+"AM:!%/c"</f>
        <v>#VALUE!</v>
      </c>
      <c r="FX65" t="e">
        <f>'Effort Estimation'!D591+"AM:!%/d"</f>
        <v>#VALUE!</v>
      </c>
      <c r="FY65" t="e">
        <f>'Effort Estimation'!E591+"AM:!%/e"</f>
        <v>#VALUE!</v>
      </c>
      <c r="FZ65" t="e">
        <f>'Effort Estimation'!F591+"AM:!%/f"</f>
        <v>#VALUE!</v>
      </c>
      <c r="GA65" t="e">
        <f>'Effort Estimation'!G591+"AM:!%/g"</f>
        <v>#VALUE!</v>
      </c>
      <c r="GB65" t="e">
        <f>'Effort Estimation'!H591+"AM:!%/h"</f>
        <v>#VALUE!</v>
      </c>
      <c r="GC65" t="e">
        <f>'Effort Estimation'!I591+"AM:!%/i"</f>
        <v>#VALUE!</v>
      </c>
      <c r="GD65" s="99" t="e">
        <f>'Effort Estimation'!J591+"AM:!%/j"</f>
        <v>#VALUE!</v>
      </c>
      <c r="GE65" s="99" t="e">
        <f>'Effort Estimation'!K591+"AM:!%/k"</f>
        <v>#VALUE!</v>
      </c>
      <c r="GF65" s="99" t="e">
        <f>'Effort Estimation'!L591+"AM:!%/l"</f>
        <v>#VALUE!</v>
      </c>
      <c r="GG65" s="99" t="e">
        <f>'Effort Estimation'!M591+"AM:!%/m"</f>
        <v>#VALUE!</v>
      </c>
      <c r="GH65" s="99" t="e">
        <f>'Effort Estimation'!N591+"AM:!%/n"</f>
        <v>#VALUE!</v>
      </c>
      <c r="GI65" s="99" t="e">
        <f>'Effort Estimation'!O591+"AM:!%/o"</f>
        <v>#VALUE!</v>
      </c>
      <c r="GJ65" s="99" t="e">
        <f>'Effort Estimation'!P591+"AM:!%/p"</f>
        <v>#VALUE!</v>
      </c>
      <c r="GK65" s="99" t="e">
        <f>'Effort Estimation'!Q591+"AM:!%/q"</f>
        <v>#VALUE!</v>
      </c>
      <c r="GL65" t="e">
        <f>'Effort Estimation'!R591+"AM:!%/r"</f>
        <v>#VALUE!</v>
      </c>
      <c r="GM65" t="e">
        <f>'Effort Estimation'!S591+"AM:!%/s"</f>
        <v>#VALUE!</v>
      </c>
      <c r="GN65" t="e">
        <f>'Effort Estimation'!T591+"AM:!%/t"</f>
        <v>#VALUE!</v>
      </c>
      <c r="GO65" t="e">
        <f>'Effort Estimation'!A592+"AM:!%/u"</f>
        <v>#VALUE!</v>
      </c>
      <c r="GP65" t="e">
        <f>'Effort Estimation'!B592+"AM:!%/v"</f>
        <v>#VALUE!</v>
      </c>
      <c r="GQ65" t="e">
        <f>'Effort Estimation'!C592+"AM:!%/w"</f>
        <v>#VALUE!</v>
      </c>
      <c r="GR65" t="e">
        <f>'Effort Estimation'!D592+"AM:!%/x"</f>
        <v>#VALUE!</v>
      </c>
      <c r="GS65" t="e">
        <f>'Effort Estimation'!E592+"AM:!%/y"</f>
        <v>#VALUE!</v>
      </c>
      <c r="GT65" t="e">
        <f>'Effort Estimation'!F592+"AM:!%/z"</f>
        <v>#VALUE!</v>
      </c>
      <c r="GU65" t="e">
        <f>'Effort Estimation'!G592+"AM:!%/{"</f>
        <v>#VALUE!</v>
      </c>
      <c r="GV65" t="e">
        <f>'Effort Estimation'!H592+"AM:!%/|"</f>
        <v>#VALUE!</v>
      </c>
      <c r="GW65" t="e">
        <f>'Effort Estimation'!I592+"AM:!%/}"</f>
        <v>#VALUE!</v>
      </c>
      <c r="GX65" s="99" t="e">
        <f>'Effort Estimation'!J592+"AM:!%/~"</f>
        <v>#VALUE!</v>
      </c>
      <c r="GY65" s="99" t="e">
        <f>'Effort Estimation'!K592+"AM:!%0#"</f>
        <v>#VALUE!</v>
      </c>
      <c r="GZ65" s="99" t="e">
        <f>'Effort Estimation'!L592+"AM:!%0$"</f>
        <v>#VALUE!</v>
      </c>
      <c r="HA65" s="99" t="e">
        <f>'Effort Estimation'!M592+"AM:!%0%"</f>
        <v>#VALUE!</v>
      </c>
      <c r="HB65" s="99" t="e">
        <f>'Effort Estimation'!N592+"AM:!%0&amp;"</f>
        <v>#VALUE!</v>
      </c>
      <c r="HC65" s="99" t="e">
        <f>'Effort Estimation'!O592+"AM:!%0'"</f>
        <v>#VALUE!</v>
      </c>
      <c r="HD65" s="99" t="e">
        <f>'Effort Estimation'!P592+"AM:!%0("</f>
        <v>#VALUE!</v>
      </c>
      <c r="HE65" s="99" t="e">
        <f>'Effort Estimation'!Q592+"AM:!%0)"</f>
        <v>#VALUE!</v>
      </c>
      <c r="HF65" t="e">
        <f>'Effort Estimation'!R592+"AM:!%0."</f>
        <v>#VALUE!</v>
      </c>
      <c r="HG65" t="e">
        <f>'Effort Estimation'!S592+"AM:!%0/"</f>
        <v>#VALUE!</v>
      </c>
      <c r="HH65" t="e">
        <f>'Effort Estimation'!T592+"AM:!%00"</f>
        <v>#VALUE!</v>
      </c>
      <c r="HI65" t="e">
        <f>'Effort Estimation'!A593+"AM:!%01"</f>
        <v>#VALUE!</v>
      </c>
      <c r="HJ65" t="e">
        <f>'Effort Estimation'!B593+"AM:!%02"</f>
        <v>#VALUE!</v>
      </c>
      <c r="HK65" t="e">
        <f>'Effort Estimation'!C593+"AM:!%03"</f>
        <v>#VALUE!</v>
      </c>
      <c r="HL65" t="e">
        <f>'Effort Estimation'!D593+"AM:!%04"</f>
        <v>#VALUE!</v>
      </c>
      <c r="HM65" t="e">
        <f>'Effort Estimation'!E593+"AM:!%05"</f>
        <v>#VALUE!</v>
      </c>
      <c r="HN65" t="e">
        <f>'Effort Estimation'!F593+"AM:!%06"</f>
        <v>#VALUE!</v>
      </c>
      <c r="HO65" t="e">
        <f>'Effort Estimation'!G593+"AM:!%07"</f>
        <v>#VALUE!</v>
      </c>
      <c r="HP65" t="e">
        <f>'Effort Estimation'!H593+"AM:!%08"</f>
        <v>#VALUE!</v>
      </c>
      <c r="HQ65" t="e">
        <f>'Effort Estimation'!I593+"AM:!%09"</f>
        <v>#VALUE!</v>
      </c>
      <c r="HR65" s="99" t="e">
        <f>'Effort Estimation'!J593+"AM:!%0:"</f>
        <v>#VALUE!</v>
      </c>
      <c r="HS65" s="99" t="e">
        <f>'Effort Estimation'!K593+"AM:!%0;"</f>
        <v>#VALUE!</v>
      </c>
      <c r="HT65" s="99" t="e">
        <f>'Effort Estimation'!L593+"AM:!%0&lt;"</f>
        <v>#VALUE!</v>
      </c>
      <c r="HU65" s="99" t="e">
        <f>'Effort Estimation'!M593+"AM:!%0="</f>
        <v>#VALUE!</v>
      </c>
      <c r="HV65" s="99" t="e">
        <f>'Effort Estimation'!N593+"AM:!%0&gt;"</f>
        <v>#VALUE!</v>
      </c>
      <c r="HW65" s="99" t="e">
        <f>'Effort Estimation'!O593+"AM:!%0?"</f>
        <v>#VALUE!</v>
      </c>
      <c r="HX65" s="99" t="e">
        <f>'Effort Estimation'!P593+"AM:!%0@"</f>
        <v>#VALUE!</v>
      </c>
      <c r="HY65" s="99" t="e">
        <f>'Effort Estimation'!Q593+"AM:!%0A"</f>
        <v>#VALUE!</v>
      </c>
      <c r="HZ65" t="e">
        <f>'Effort Estimation'!R593+"AM:!%0B"</f>
        <v>#VALUE!</v>
      </c>
      <c r="IA65" t="e">
        <f>'Effort Estimation'!S593+"AM:!%0C"</f>
        <v>#VALUE!</v>
      </c>
      <c r="IB65" t="e">
        <f>'Effort Estimation'!T593+"AM:!%0D"</f>
        <v>#VALUE!</v>
      </c>
      <c r="IC65" t="e">
        <f>'Effort Estimation'!A594+"AM:!%0E"</f>
        <v>#VALUE!</v>
      </c>
      <c r="ID65" t="e">
        <f>'Effort Estimation'!B594+"AM:!%0F"</f>
        <v>#VALUE!</v>
      </c>
      <c r="IE65" t="e">
        <f>'Effort Estimation'!C594+"AM:!%0G"</f>
        <v>#VALUE!</v>
      </c>
      <c r="IF65" t="e">
        <f>'Effort Estimation'!D594+"AM:!%0H"</f>
        <v>#VALUE!</v>
      </c>
      <c r="IG65" t="e">
        <f>'Effort Estimation'!E594+"AM:!%0I"</f>
        <v>#VALUE!</v>
      </c>
      <c r="IH65" t="e">
        <f>'Effort Estimation'!F594+"AM:!%0J"</f>
        <v>#VALUE!</v>
      </c>
      <c r="II65" t="e">
        <f>'Effort Estimation'!G594+"AM:!%0K"</f>
        <v>#VALUE!</v>
      </c>
      <c r="IJ65" t="e">
        <f>'Effort Estimation'!H594+"AM:!%0L"</f>
        <v>#VALUE!</v>
      </c>
      <c r="IK65" t="e">
        <f>'Effort Estimation'!I594+"AM:!%0M"</f>
        <v>#VALUE!</v>
      </c>
      <c r="IL65" s="99" t="e">
        <f>'Effort Estimation'!J594+"AM:!%0N"</f>
        <v>#VALUE!</v>
      </c>
      <c r="IM65" s="99" t="e">
        <f>'Effort Estimation'!K594+"AM:!%0O"</f>
        <v>#VALUE!</v>
      </c>
      <c r="IN65" s="99" t="e">
        <f>'Effort Estimation'!L594+"AM:!%0P"</f>
        <v>#VALUE!</v>
      </c>
      <c r="IO65" s="99" t="e">
        <f>'Effort Estimation'!M594+"AM:!%0Q"</f>
        <v>#VALUE!</v>
      </c>
      <c r="IP65" s="99" t="e">
        <f>'Effort Estimation'!N594+"AM:!%0R"</f>
        <v>#VALUE!</v>
      </c>
      <c r="IQ65" s="99" t="e">
        <f>'Effort Estimation'!O594+"AM:!%0S"</f>
        <v>#VALUE!</v>
      </c>
      <c r="IR65" s="99" t="e">
        <f>'Effort Estimation'!P594+"AM:!%0T"</f>
        <v>#VALUE!</v>
      </c>
      <c r="IS65" s="99" t="e">
        <f>'Effort Estimation'!Q594+"AM:!%0U"</f>
        <v>#VALUE!</v>
      </c>
      <c r="IT65" t="e">
        <f>'Effort Estimation'!R594+"AM:!%0V"</f>
        <v>#VALUE!</v>
      </c>
      <c r="IU65" t="e">
        <f>'Effort Estimation'!S594+"AM:!%0W"</f>
        <v>#VALUE!</v>
      </c>
      <c r="IV65" t="e">
        <f>'Effort Estimation'!T594+"AM:!%0X"</f>
        <v>#VALUE!</v>
      </c>
    </row>
    <row r="66" spans="6:256">
      <c r="F66" t="e">
        <f>'Effort Estimation'!A595+"AM:!%0Y"</f>
        <v>#VALUE!</v>
      </c>
      <c r="G66" t="e">
        <f>'Effort Estimation'!B595+"AM:!%0Z"</f>
        <v>#VALUE!</v>
      </c>
      <c r="H66" t="e">
        <f>'Effort Estimation'!C595+"AM:!%0["</f>
        <v>#VALUE!</v>
      </c>
      <c r="I66" t="e">
        <f>'Effort Estimation'!D595+"AM:!%0\"</f>
        <v>#VALUE!</v>
      </c>
      <c r="J66" t="e">
        <f>'Effort Estimation'!E595+"AM:!%0]"</f>
        <v>#VALUE!</v>
      </c>
      <c r="K66" t="e">
        <f>'Effort Estimation'!F595+"AM:!%0^"</f>
        <v>#VALUE!</v>
      </c>
      <c r="L66" t="e">
        <f>'Effort Estimation'!G595+"AM:!%0_"</f>
        <v>#VALUE!</v>
      </c>
      <c r="M66" t="e">
        <f>'Effort Estimation'!H595+"AM:!%0`"</f>
        <v>#VALUE!</v>
      </c>
      <c r="N66" t="e">
        <f>'Effort Estimation'!I595+"AM:!%0a"</f>
        <v>#VALUE!</v>
      </c>
      <c r="O66" s="99" t="e">
        <f>'Effort Estimation'!J595+"AM:!%0b"</f>
        <v>#VALUE!</v>
      </c>
      <c r="P66" s="99" t="e">
        <f>'Effort Estimation'!K595+"AM:!%0c"</f>
        <v>#VALUE!</v>
      </c>
      <c r="Q66" s="99" t="e">
        <f>'Effort Estimation'!L595+"AM:!%0d"</f>
        <v>#VALUE!</v>
      </c>
      <c r="R66" s="99" t="e">
        <f>'Effort Estimation'!M595+"AM:!%0e"</f>
        <v>#VALUE!</v>
      </c>
      <c r="S66" s="99" t="e">
        <f>'Effort Estimation'!N595+"AM:!%0f"</f>
        <v>#VALUE!</v>
      </c>
      <c r="T66" s="99" t="e">
        <f>'Effort Estimation'!O595+"AM:!%0g"</f>
        <v>#VALUE!</v>
      </c>
      <c r="U66" s="99" t="e">
        <f>'Effort Estimation'!P595+"AM:!%0h"</f>
        <v>#VALUE!</v>
      </c>
      <c r="V66" s="99" t="e">
        <f>'Effort Estimation'!Q595+"AM:!%0i"</f>
        <v>#VALUE!</v>
      </c>
      <c r="W66" t="e">
        <f>'Effort Estimation'!R595+"AM:!%0j"</f>
        <v>#VALUE!</v>
      </c>
      <c r="X66" t="e">
        <f>'Effort Estimation'!S595+"AM:!%0k"</f>
        <v>#VALUE!</v>
      </c>
      <c r="Y66" t="e">
        <f>'Effort Estimation'!T595+"AM:!%0l"</f>
        <v>#VALUE!</v>
      </c>
      <c r="Z66" t="e">
        <f>'Effort Estimation'!A596+"AM:!%0m"</f>
        <v>#VALUE!</v>
      </c>
      <c r="AA66" t="e">
        <f>'Effort Estimation'!B596+"AM:!%0n"</f>
        <v>#VALUE!</v>
      </c>
      <c r="AB66" t="e">
        <f>'Effort Estimation'!C596+"AM:!%0o"</f>
        <v>#VALUE!</v>
      </c>
      <c r="AC66" t="e">
        <f>'Effort Estimation'!D596+"AM:!%0p"</f>
        <v>#VALUE!</v>
      </c>
      <c r="AD66" t="e">
        <f>'Effort Estimation'!E596+"AM:!%0q"</f>
        <v>#VALUE!</v>
      </c>
      <c r="AE66" t="e">
        <f>'Effort Estimation'!F596+"AM:!%0r"</f>
        <v>#VALUE!</v>
      </c>
      <c r="AF66" t="e">
        <f>'Effort Estimation'!G596+"AM:!%0s"</f>
        <v>#VALUE!</v>
      </c>
      <c r="AG66" t="e">
        <f>'Effort Estimation'!H596+"AM:!%0t"</f>
        <v>#VALUE!</v>
      </c>
      <c r="AH66" t="e">
        <f>'Effort Estimation'!I596+"AM:!%0u"</f>
        <v>#VALUE!</v>
      </c>
      <c r="AI66" s="99" t="e">
        <f>'Effort Estimation'!J596+"AM:!%0v"</f>
        <v>#VALUE!</v>
      </c>
      <c r="AJ66" s="99" t="e">
        <f>'Effort Estimation'!K596+"AM:!%0w"</f>
        <v>#VALUE!</v>
      </c>
      <c r="AK66" s="99" t="e">
        <f>'Effort Estimation'!L596+"AM:!%0x"</f>
        <v>#VALUE!</v>
      </c>
      <c r="AL66" s="99" t="e">
        <f>'Effort Estimation'!M596+"AM:!%0y"</f>
        <v>#VALUE!</v>
      </c>
      <c r="AM66" s="99" t="e">
        <f>'Effort Estimation'!N596+"AM:!%0z"</f>
        <v>#VALUE!</v>
      </c>
      <c r="AN66" s="99" t="e">
        <f>'Effort Estimation'!O596+"AM:!%0{"</f>
        <v>#VALUE!</v>
      </c>
      <c r="AO66" s="99" t="e">
        <f>'Effort Estimation'!P596+"AM:!%0|"</f>
        <v>#VALUE!</v>
      </c>
      <c r="AP66" s="99" t="e">
        <f>'Effort Estimation'!Q596+"AM:!%0}"</f>
        <v>#VALUE!</v>
      </c>
      <c r="AQ66" t="e">
        <f>'Effort Estimation'!R596+"AM:!%0~"</f>
        <v>#VALUE!</v>
      </c>
      <c r="AR66" t="e">
        <f>'Effort Estimation'!S596+"AM:!%1#"</f>
        <v>#VALUE!</v>
      </c>
      <c r="AS66" t="e">
        <f>'Effort Estimation'!T596+"AM:!%1$"</f>
        <v>#VALUE!</v>
      </c>
      <c r="AT66" t="e">
        <f>'Effort Estimation'!A597+"AM:!%1%"</f>
        <v>#VALUE!</v>
      </c>
      <c r="AU66" t="e">
        <f>'Effort Estimation'!B597+"AM:!%1&amp;"</f>
        <v>#VALUE!</v>
      </c>
      <c r="AV66" t="e">
        <f>'Effort Estimation'!C597+"AM:!%1'"</f>
        <v>#VALUE!</v>
      </c>
      <c r="AW66" t="e">
        <f>'Effort Estimation'!D597+"AM:!%1("</f>
        <v>#VALUE!</v>
      </c>
      <c r="AX66" t="e">
        <f>'Effort Estimation'!E597+"AM:!%1)"</f>
        <v>#VALUE!</v>
      </c>
      <c r="AY66" t="e">
        <f>'Effort Estimation'!F597+"AM:!%1."</f>
        <v>#VALUE!</v>
      </c>
      <c r="AZ66" t="e">
        <f>'Effort Estimation'!G597+"AM:!%1/"</f>
        <v>#VALUE!</v>
      </c>
      <c r="BA66" t="e">
        <f>'Effort Estimation'!H597+"AM:!%10"</f>
        <v>#VALUE!</v>
      </c>
      <c r="BB66" t="e">
        <f>'Effort Estimation'!I597+"AM:!%11"</f>
        <v>#VALUE!</v>
      </c>
      <c r="BC66" s="99" t="e">
        <f>'Effort Estimation'!J597+"AM:!%12"</f>
        <v>#VALUE!</v>
      </c>
      <c r="BD66" s="99" t="e">
        <f>'Effort Estimation'!K597+"AM:!%13"</f>
        <v>#VALUE!</v>
      </c>
      <c r="BE66" s="99" t="e">
        <f>'Effort Estimation'!L597+"AM:!%14"</f>
        <v>#VALUE!</v>
      </c>
      <c r="BF66" s="99" t="e">
        <f>'Effort Estimation'!M597+"AM:!%15"</f>
        <v>#VALUE!</v>
      </c>
      <c r="BG66" s="99" t="e">
        <f>'Effort Estimation'!N597+"AM:!%16"</f>
        <v>#VALUE!</v>
      </c>
      <c r="BH66" s="99" t="e">
        <f>'Effort Estimation'!O597+"AM:!%17"</f>
        <v>#VALUE!</v>
      </c>
      <c r="BI66" s="99" t="e">
        <f>'Effort Estimation'!P597+"AM:!%18"</f>
        <v>#VALUE!</v>
      </c>
      <c r="BJ66" s="99" t="e">
        <f>'Effort Estimation'!Q597+"AM:!%19"</f>
        <v>#VALUE!</v>
      </c>
      <c r="BK66" t="e">
        <f>'Effort Estimation'!R597+"AM:!%1:"</f>
        <v>#VALUE!</v>
      </c>
      <c r="BL66" t="e">
        <f>'Effort Estimation'!S597+"AM:!%1;"</f>
        <v>#VALUE!</v>
      </c>
      <c r="BM66" t="e">
        <f>'Effort Estimation'!T597+"AM:!%1&lt;"</f>
        <v>#VALUE!</v>
      </c>
      <c r="BN66" t="e">
        <f>'Effort Estimation'!A598+"AM:!%1="</f>
        <v>#VALUE!</v>
      </c>
      <c r="BO66" t="e">
        <f>'Effort Estimation'!B598+"AM:!%1&gt;"</f>
        <v>#VALUE!</v>
      </c>
      <c r="BP66" t="e">
        <f>'Effort Estimation'!C598+"AM:!%1?"</f>
        <v>#VALUE!</v>
      </c>
      <c r="BQ66" t="e">
        <f>'Effort Estimation'!D598+"AM:!%1@"</f>
        <v>#VALUE!</v>
      </c>
      <c r="BR66" t="e">
        <f>'Effort Estimation'!E598+"AM:!%1A"</f>
        <v>#VALUE!</v>
      </c>
      <c r="BS66" t="e">
        <f>'Effort Estimation'!F598+"AM:!%1B"</f>
        <v>#VALUE!</v>
      </c>
      <c r="BT66" t="e">
        <f>'Effort Estimation'!G598+"AM:!%1C"</f>
        <v>#VALUE!</v>
      </c>
      <c r="BU66" t="e">
        <f>'Effort Estimation'!H598+"AM:!%1D"</f>
        <v>#VALUE!</v>
      </c>
      <c r="BV66" t="e">
        <f>'Effort Estimation'!I598+"AM:!%1E"</f>
        <v>#VALUE!</v>
      </c>
      <c r="BW66" s="99" t="e">
        <f>'Effort Estimation'!J598+"AM:!%1F"</f>
        <v>#VALUE!</v>
      </c>
      <c r="BX66" s="99" t="e">
        <f>'Effort Estimation'!K598+"AM:!%1G"</f>
        <v>#VALUE!</v>
      </c>
      <c r="BY66" s="99" t="e">
        <f>'Effort Estimation'!L598+"AM:!%1H"</f>
        <v>#VALUE!</v>
      </c>
      <c r="BZ66" s="99" t="e">
        <f>'Effort Estimation'!M598+"AM:!%1I"</f>
        <v>#VALUE!</v>
      </c>
      <c r="CA66" s="99" t="e">
        <f>'Effort Estimation'!N598+"AM:!%1J"</f>
        <v>#VALUE!</v>
      </c>
      <c r="CB66" s="99" t="e">
        <f>'Effort Estimation'!O598+"AM:!%1K"</f>
        <v>#VALUE!</v>
      </c>
      <c r="CC66" s="99" t="e">
        <f>'Effort Estimation'!P598+"AM:!%1L"</f>
        <v>#VALUE!</v>
      </c>
      <c r="CD66" s="99" t="e">
        <f>'Effort Estimation'!Q598+"AM:!%1M"</f>
        <v>#VALUE!</v>
      </c>
      <c r="CE66" t="e">
        <f>'Effort Estimation'!R598+"AM:!%1N"</f>
        <v>#VALUE!</v>
      </c>
      <c r="CF66" t="e">
        <f>'Effort Estimation'!S598+"AM:!%1O"</f>
        <v>#VALUE!</v>
      </c>
      <c r="CG66" t="e">
        <f>'Effort Estimation'!T598+"AM:!%1P"</f>
        <v>#VALUE!</v>
      </c>
      <c r="CH66" t="e">
        <f>'Effort Estimation'!A599+"AM:!%1Q"</f>
        <v>#VALUE!</v>
      </c>
      <c r="CI66" t="e">
        <f>'Effort Estimation'!B599+"AM:!%1R"</f>
        <v>#VALUE!</v>
      </c>
      <c r="CJ66" t="e">
        <f>'Effort Estimation'!C599+"AM:!%1S"</f>
        <v>#VALUE!</v>
      </c>
      <c r="CK66" t="e">
        <f>'Effort Estimation'!D599+"AM:!%1T"</f>
        <v>#VALUE!</v>
      </c>
      <c r="CL66" t="e">
        <f>'Effort Estimation'!E599+"AM:!%1U"</f>
        <v>#VALUE!</v>
      </c>
      <c r="CM66" t="e">
        <f>'Effort Estimation'!F599+"AM:!%1V"</f>
        <v>#VALUE!</v>
      </c>
      <c r="CN66" t="e">
        <f>'Effort Estimation'!G599+"AM:!%1W"</f>
        <v>#VALUE!</v>
      </c>
      <c r="CO66" t="e">
        <f>'Effort Estimation'!H599+"AM:!%1X"</f>
        <v>#VALUE!</v>
      </c>
      <c r="CP66" t="e">
        <f>'Effort Estimation'!I599+"AM:!%1Y"</f>
        <v>#VALUE!</v>
      </c>
      <c r="CQ66" s="99" t="e">
        <f>'Effort Estimation'!J599+"AM:!%1Z"</f>
        <v>#VALUE!</v>
      </c>
      <c r="CR66" s="99" t="e">
        <f>'Effort Estimation'!K599+"AM:!%1["</f>
        <v>#VALUE!</v>
      </c>
      <c r="CS66" s="99" t="e">
        <f>'Effort Estimation'!L599+"AM:!%1\"</f>
        <v>#VALUE!</v>
      </c>
      <c r="CT66" s="99" t="e">
        <f>'Effort Estimation'!M599+"AM:!%1]"</f>
        <v>#VALUE!</v>
      </c>
      <c r="CU66" s="99" t="e">
        <f>'Effort Estimation'!N599+"AM:!%1^"</f>
        <v>#VALUE!</v>
      </c>
      <c r="CV66" s="99" t="e">
        <f>'Effort Estimation'!O599+"AM:!%1_"</f>
        <v>#VALUE!</v>
      </c>
      <c r="CW66" s="99" t="e">
        <f>'Effort Estimation'!P599+"AM:!%1`"</f>
        <v>#VALUE!</v>
      </c>
      <c r="CX66" s="99" t="e">
        <f>'Effort Estimation'!Q599+"AM:!%1a"</f>
        <v>#VALUE!</v>
      </c>
      <c r="CY66" t="e">
        <f>'Effort Estimation'!R599+"AM:!%1b"</f>
        <v>#VALUE!</v>
      </c>
      <c r="CZ66" t="e">
        <f>'Effort Estimation'!S599+"AM:!%1c"</f>
        <v>#VALUE!</v>
      </c>
      <c r="DA66" t="e">
        <f>'Effort Estimation'!T599+"AM:!%1d"</f>
        <v>#VALUE!</v>
      </c>
      <c r="DB66" t="e">
        <f>'Effort Estimation'!A600+"AM:!%1e"</f>
        <v>#VALUE!</v>
      </c>
      <c r="DC66" t="e">
        <f>'Effort Estimation'!B600+"AM:!%1f"</f>
        <v>#VALUE!</v>
      </c>
      <c r="DD66" t="e">
        <f>'Effort Estimation'!C600+"AM:!%1g"</f>
        <v>#VALUE!</v>
      </c>
      <c r="DE66" t="e">
        <f>'Effort Estimation'!D600+"AM:!%1h"</f>
        <v>#VALUE!</v>
      </c>
      <c r="DF66" t="e">
        <f>'Effort Estimation'!E600+"AM:!%1i"</f>
        <v>#VALUE!</v>
      </c>
      <c r="DG66" t="e">
        <f>'Effort Estimation'!F600+"AM:!%1j"</f>
        <v>#VALUE!</v>
      </c>
      <c r="DH66" t="e">
        <f>'Effort Estimation'!G600+"AM:!%1k"</f>
        <v>#VALUE!</v>
      </c>
      <c r="DI66" t="e">
        <f>'Effort Estimation'!H600+"AM:!%1l"</f>
        <v>#VALUE!</v>
      </c>
      <c r="DJ66" t="e">
        <f>'Effort Estimation'!I600+"AM:!%1m"</f>
        <v>#VALUE!</v>
      </c>
      <c r="DK66" s="99" t="e">
        <f>'Effort Estimation'!J600+"AM:!%1n"</f>
        <v>#VALUE!</v>
      </c>
      <c r="DL66" s="99" t="e">
        <f>'Effort Estimation'!K600+"AM:!%1o"</f>
        <v>#VALUE!</v>
      </c>
      <c r="DM66" s="99" t="e">
        <f>'Effort Estimation'!L600+"AM:!%1p"</f>
        <v>#VALUE!</v>
      </c>
      <c r="DN66" s="99" t="e">
        <f>'Effort Estimation'!M600+"AM:!%1q"</f>
        <v>#VALUE!</v>
      </c>
      <c r="DO66" s="99" t="e">
        <f>'Effort Estimation'!N600+"AM:!%1r"</f>
        <v>#VALUE!</v>
      </c>
      <c r="DP66" s="99" t="e">
        <f>'Effort Estimation'!O600+"AM:!%1s"</f>
        <v>#VALUE!</v>
      </c>
      <c r="DQ66" s="99" t="e">
        <f>'Effort Estimation'!P600+"AM:!%1t"</f>
        <v>#VALUE!</v>
      </c>
      <c r="DR66" s="99" t="e">
        <f>'Effort Estimation'!Q600+"AM:!%1u"</f>
        <v>#VALUE!</v>
      </c>
      <c r="DS66" t="e">
        <f>'Effort Estimation'!R600+"AM:!%1v"</f>
        <v>#VALUE!</v>
      </c>
      <c r="DT66" t="e">
        <f>'Effort Estimation'!S600+"AM:!%1w"</f>
        <v>#VALUE!</v>
      </c>
      <c r="DU66" t="e">
        <f>'Effort Estimation'!T600+"AM:!%1x"</f>
        <v>#VALUE!</v>
      </c>
      <c r="DV66" t="e">
        <f>'Effort Estimation'!A601+"AM:!%1y"</f>
        <v>#VALUE!</v>
      </c>
      <c r="DW66" t="e">
        <f>'Effort Estimation'!B601+"AM:!%1z"</f>
        <v>#VALUE!</v>
      </c>
      <c r="DX66" t="e">
        <f>'Effort Estimation'!C601+"AM:!%1{"</f>
        <v>#VALUE!</v>
      </c>
      <c r="DY66" t="e">
        <f>'Effort Estimation'!D601+"AM:!%1|"</f>
        <v>#VALUE!</v>
      </c>
      <c r="DZ66" t="e">
        <f>'Effort Estimation'!E601+"AM:!%1}"</f>
        <v>#VALUE!</v>
      </c>
      <c r="EA66" t="e">
        <f>'Effort Estimation'!F601+"AM:!%1~"</f>
        <v>#VALUE!</v>
      </c>
      <c r="EB66" t="e">
        <f>'Effort Estimation'!G601+"AM:!%2#"</f>
        <v>#VALUE!</v>
      </c>
      <c r="EC66" t="e">
        <f>'Effort Estimation'!H601+"AM:!%2$"</f>
        <v>#VALUE!</v>
      </c>
      <c r="ED66" t="e">
        <f>'Effort Estimation'!I601+"AM:!%2%"</f>
        <v>#VALUE!</v>
      </c>
      <c r="EE66" s="99" t="e">
        <f>'Effort Estimation'!J601+"AM:!%2&amp;"</f>
        <v>#VALUE!</v>
      </c>
      <c r="EF66" s="99" t="e">
        <f>'Effort Estimation'!K601+"AM:!%2'"</f>
        <v>#VALUE!</v>
      </c>
      <c r="EG66" s="99" t="e">
        <f>'Effort Estimation'!L601+"AM:!%2("</f>
        <v>#VALUE!</v>
      </c>
      <c r="EH66" s="99" t="e">
        <f>'Effort Estimation'!M601+"AM:!%2)"</f>
        <v>#VALUE!</v>
      </c>
      <c r="EI66" s="99" t="e">
        <f>'Effort Estimation'!N601+"AM:!%2."</f>
        <v>#VALUE!</v>
      </c>
      <c r="EJ66" s="99" t="e">
        <f>'Effort Estimation'!O601+"AM:!%2/"</f>
        <v>#VALUE!</v>
      </c>
      <c r="EK66" s="99" t="e">
        <f>'Effort Estimation'!P601+"AM:!%20"</f>
        <v>#VALUE!</v>
      </c>
      <c r="EL66" s="99" t="e">
        <f>'Effort Estimation'!Q601+"AM:!%21"</f>
        <v>#VALUE!</v>
      </c>
      <c r="EM66" t="e">
        <f>'Effort Estimation'!R601+"AM:!%22"</f>
        <v>#VALUE!</v>
      </c>
      <c r="EN66" t="e">
        <f>'Effort Estimation'!S601+"AM:!%23"</f>
        <v>#VALUE!</v>
      </c>
      <c r="EO66" t="e">
        <f>'Effort Estimation'!T601+"AM:!%24"</f>
        <v>#VALUE!</v>
      </c>
      <c r="EP66" t="e">
        <f>'Effort Estimation'!A602+"AM:!%25"</f>
        <v>#VALUE!</v>
      </c>
      <c r="EQ66" t="e">
        <f>'Effort Estimation'!B602+"AM:!%26"</f>
        <v>#VALUE!</v>
      </c>
      <c r="ER66" t="e">
        <f>'Effort Estimation'!C602+"AM:!%27"</f>
        <v>#VALUE!</v>
      </c>
      <c r="ES66" t="e">
        <f>'Effort Estimation'!D602+"AM:!%28"</f>
        <v>#VALUE!</v>
      </c>
      <c r="ET66" t="e">
        <f>'Effort Estimation'!E602+"AM:!%29"</f>
        <v>#VALUE!</v>
      </c>
      <c r="EU66" t="e">
        <f>'Effort Estimation'!F602+"AM:!%2:"</f>
        <v>#VALUE!</v>
      </c>
      <c r="EV66" t="e">
        <f>'Effort Estimation'!G602+"AM:!%2;"</f>
        <v>#VALUE!</v>
      </c>
      <c r="EW66" t="e">
        <f>'Effort Estimation'!H602+"AM:!%2&lt;"</f>
        <v>#VALUE!</v>
      </c>
      <c r="EX66" t="e">
        <f>'Effort Estimation'!I602+"AM:!%2="</f>
        <v>#VALUE!</v>
      </c>
      <c r="EY66" s="99" t="e">
        <f>'Effort Estimation'!J602+"AM:!%2&gt;"</f>
        <v>#VALUE!</v>
      </c>
      <c r="EZ66" s="99" t="e">
        <f>'Effort Estimation'!K602+"AM:!%2?"</f>
        <v>#VALUE!</v>
      </c>
      <c r="FA66" s="99" t="e">
        <f>'Effort Estimation'!L602+"AM:!%2@"</f>
        <v>#VALUE!</v>
      </c>
      <c r="FB66" s="99" t="e">
        <f>'Effort Estimation'!M602+"AM:!%2A"</f>
        <v>#VALUE!</v>
      </c>
      <c r="FC66" s="99" t="e">
        <f>'Effort Estimation'!N602+"AM:!%2B"</f>
        <v>#VALUE!</v>
      </c>
      <c r="FD66" s="99" t="e">
        <f>'Effort Estimation'!O602+"AM:!%2C"</f>
        <v>#VALUE!</v>
      </c>
      <c r="FE66" s="99" t="e">
        <f>'Effort Estimation'!P602+"AM:!%2D"</f>
        <v>#VALUE!</v>
      </c>
      <c r="FF66" s="99" t="e">
        <f>'Effort Estimation'!Q602+"AM:!%2E"</f>
        <v>#VALUE!</v>
      </c>
      <c r="FG66" t="e">
        <f>'Effort Estimation'!R602+"AM:!%2F"</f>
        <v>#VALUE!</v>
      </c>
      <c r="FH66" t="e">
        <f>'Effort Estimation'!S602+"AM:!%2G"</f>
        <v>#VALUE!</v>
      </c>
      <c r="FI66" t="e">
        <f>'Effort Estimation'!T602+"AM:!%2H"</f>
        <v>#VALUE!</v>
      </c>
      <c r="FJ66" t="e">
        <f>'Effort Estimation'!A603+"AM:!%2I"</f>
        <v>#VALUE!</v>
      </c>
      <c r="FK66" t="e">
        <f>'Effort Estimation'!B603+"AM:!%2J"</f>
        <v>#VALUE!</v>
      </c>
      <c r="FL66" t="e">
        <f>'Effort Estimation'!C603+"AM:!%2K"</f>
        <v>#VALUE!</v>
      </c>
      <c r="FM66" t="e">
        <f>'Effort Estimation'!D603+"AM:!%2L"</f>
        <v>#VALUE!</v>
      </c>
      <c r="FN66" t="e">
        <f>'Effort Estimation'!E603+"AM:!%2M"</f>
        <v>#VALUE!</v>
      </c>
      <c r="FO66" t="e">
        <f>'Effort Estimation'!F603+"AM:!%2N"</f>
        <v>#VALUE!</v>
      </c>
      <c r="FP66" t="e">
        <f>'Effort Estimation'!G603+"AM:!%2O"</f>
        <v>#VALUE!</v>
      </c>
      <c r="FQ66" t="e">
        <f>'Effort Estimation'!H603+"AM:!%2P"</f>
        <v>#VALUE!</v>
      </c>
      <c r="FR66" t="e">
        <f>'Effort Estimation'!I603+"AM:!%2Q"</f>
        <v>#VALUE!</v>
      </c>
      <c r="FS66" s="99" t="e">
        <f>'Effort Estimation'!J603+"AM:!%2R"</f>
        <v>#VALUE!</v>
      </c>
      <c r="FT66" s="99" t="e">
        <f>'Effort Estimation'!K603+"AM:!%2S"</f>
        <v>#VALUE!</v>
      </c>
      <c r="FU66" s="99" t="e">
        <f>'Effort Estimation'!L603+"AM:!%2T"</f>
        <v>#VALUE!</v>
      </c>
      <c r="FV66" s="99" t="e">
        <f>'Effort Estimation'!M603+"AM:!%2U"</f>
        <v>#VALUE!</v>
      </c>
      <c r="FW66" s="99" t="e">
        <f>'Effort Estimation'!N603+"AM:!%2V"</f>
        <v>#VALUE!</v>
      </c>
      <c r="FX66" s="99" t="e">
        <f>'Effort Estimation'!O603+"AM:!%2W"</f>
        <v>#VALUE!</v>
      </c>
      <c r="FY66" s="99" t="e">
        <f>'Effort Estimation'!P603+"AM:!%2X"</f>
        <v>#VALUE!</v>
      </c>
      <c r="FZ66" s="99" t="e">
        <f>'Effort Estimation'!Q603+"AM:!%2Y"</f>
        <v>#VALUE!</v>
      </c>
      <c r="GA66" t="e">
        <f>'Effort Estimation'!R603+"AM:!%2Z"</f>
        <v>#VALUE!</v>
      </c>
      <c r="GB66" t="e">
        <f>'Effort Estimation'!S603+"AM:!%2["</f>
        <v>#VALUE!</v>
      </c>
      <c r="GC66" t="e">
        <f>'Effort Estimation'!T603+"AM:!%2\"</f>
        <v>#VALUE!</v>
      </c>
      <c r="GD66" t="e">
        <f>'Effort Estimation'!A604+"AM:!%2]"</f>
        <v>#VALUE!</v>
      </c>
      <c r="GE66" t="e">
        <f>'Effort Estimation'!B604+"AM:!%2^"</f>
        <v>#VALUE!</v>
      </c>
      <c r="GF66" t="e">
        <f>'Effort Estimation'!C604+"AM:!%2_"</f>
        <v>#VALUE!</v>
      </c>
      <c r="GG66" t="e">
        <f>'Effort Estimation'!D604+"AM:!%2`"</f>
        <v>#VALUE!</v>
      </c>
      <c r="GH66" t="e">
        <f>'Effort Estimation'!E604+"AM:!%2a"</f>
        <v>#VALUE!</v>
      </c>
      <c r="GI66" t="e">
        <f>'Effort Estimation'!F604+"AM:!%2b"</f>
        <v>#VALUE!</v>
      </c>
      <c r="GJ66" t="e">
        <f>'Effort Estimation'!G604+"AM:!%2c"</f>
        <v>#VALUE!</v>
      </c>
      <c r="GK66" t="e">
        <f>'Effort Estimation'!H604+"AM:!%2d"</f>
        <v>#VALUE!</v>
      </c>
      <c r="GL66" t="e">
        <f>'Effort Estimation'!I604+"AM:!%2e"</f>
        <v>#VALUE!</v>
      </c>
      <c r="GM66" s="99" t="e">
        <f>'Effort Estimation'!J604+"AM:!%2f"</f>
        <v>#VALUE!</v>
      </c>
      <c r="GN66" s="99" t="e">
        <f>'Effort Estimation'!K604+"AM:!%2g"</f>
        <v>#VALUE!</v>
      </c>
      <c r="GO66" s="99" t="e">
        <f>'Effort Estimation'!L604+"AM:!%2h"</f>
        <v>#VALUE!</v>
      </c>
      <c r="GP66" s="99" t="e">
        <f>'Effort Estimation'!M604+"AM:!%2i"</f>
        <v>#VALUE!</v>
      </c>
      <c r="GQ66" s="99" t="e">
        <f>'Effort Estimation'!N604+"AM:!%2j"</f>
        <v>#VALUE!</v>
      </c>
      <c r="GR66" s="99" t="e">
        <f>'Effort Estimation'!O604+"AM:!%2k"</f>
        <v>#VALUE!</v>
      </c>
      <c r="GS66" s="99" t="e">
        <f>'Effort Estimation'!P604+"AM:!%2l"</f>
        <v>#VALUE!</v>
      </c>
      <c r="GT66" s="99" t="e">
        <f>'Effort Estimation'!Q604+"AM:!%2m"</f>
        <v>#VALUE!</v>
      </c>
      <c r="GU66" t="e">
        <f>'Effort Estimation'!R604+"AM:!%2n"</f>
        <v>#VALUE!</v>
      </c>
      <c r="GV66" t="e">
        <f>'Effort Estimation'!S604+"AM:!%2o"</f>
        <v>#VALUE!</v>
      </c>
      <c r="GW66" t="e">
        <f>'Effort Estimation'!T604+"AM:!%2p"</f>
        <v>#VALUE!</v>
      </c>
      <c r="GX66" t="e">
        <f>'Effort Estimation'!A605+"AM:!%2q"</f>
        <v>#VALUE!</v>
      </c>
      <c r="GY66" t="e">
        <f>'Effort Estimation'!B605+"AM:!%2r"</f>
        <v>#VALUE!</v>
      </c>
      <c r="GZ66" t="e">
        <f>'Effort Estimation'!C605+"AM:!%2s"</f>
        <v>#VALUE!</v>
      </c>
      <c r="HA66" t="e">
        <f>'Effort Estimation'!D605+"AM:!%2t"</f>
        <v>#VALUE!</v>
      </c>
      <c r="HB66" t="e">
        <f>'Effort Estimation'!E605+"AM:!%2u"</f>
        <v>#VALUE!</v>
      </c>
      <c r="HC66" t="e">
        <f>'Effort Estimation'!F605+"AM:!%2v"</f>
        <v>#VALUE!</v>
      </c>
      <c r="HD66" t="e">
        <f>'Effort Estimation'!G605+"AM:!%2w"</f>
        <v>#VALUE!</v>
      </c>
      <c r="HE66" t="e">
        <f>'Effort Estimation'!H605+"AM:!%2x"</f>
        <v>#VALUE!</v>
      </c>
      <c r="HF66" t="e">
        <f>'Effort Estimation'!I605+"AM:!%2y"</f>
        <v>#VALUE!</v>
      </c>
      <c r="HG66" s="99" t="e">
        <f>'Effort Estimation'!J605+"AM:!%2z"</f>
        <v>#VALUE!</v>
      </c>
      <c r="HH66" s="99" t="e">
        <f>'Effort Estimation'!K605+"AM:!%2{"</f>
        <v>#VALUE!</v>
      </c>
      <c r="HI66" s="99" t="e">
        <f>'Effort Estimation'!L605+"AM:!%2|"</f>
        <v>#VALUE!</v>
      </c>
      <c r="HJ66" s="99" t="e">
        <f>'Effort Estimation'!M605+"AM:!%2}"</f>
        <v>#VALUE!</v>
      </c>
      <c r="HK66" s="99" t="e">
        <f>'Effort Estimation'!N605+"AM:!%2~"</f>
        <v>#VALUE!</v>
      </c>
      <c r="HL66" s="99" t="e">
        <f>'Effort Estimation'!O605+"AM:!%3#"</f>
        <v>#VALUE!</v>
      </c>
      <c r="HM66" s="99" t="e">
        <f>'Effort Estimation'!P605+"AM:!%3$"</f>
        <v>#VALUE!</v>
      </c>
      <c r="HN66" s="99" t="e">
        <f>'Effort Estimation'!Q605+"AM:!%3%"</f>
        <v>#VALUE!</v>
      </c>
      <c r="HO66" t="e">
        <f>'Effort Estimation'!R605+"AM:!%3&amp;"</f>
        <v>#VALUE!</v>
      </c>
      <c r="HP66" t="e">
        <f>'Effort Estimation'!S605+"AM:!%3'"</f>
        <v>#VALUE!</v>
      </c>
      <c r="HQ66" t="e">
        <f>'Effort Estimation'!T605+"AM:!%3("</f>
        <v>#VALUE!</v>
      </c>
      <c r="HR66" t="e">
        <f>'Effort Estimation'!A606+"AM:!%3)"</f>
        <v>#VALUE!</v>
      </c>
      <c r="HS66" t="e">
        <f>'Effort Estimation'!B606+"AM:!%3."</f>
        <v>#VALUE!</v>
      </c>
      <c r="HT66" t="e">
        <f>'Effort Estimation'!C606+"AM:!%3/"</f>
        <v>#VALUE!</v>
      </c>
      <c r="HU66" t="e">
        <f>'Effort Estimation'!D606+"AM:!%30"</f>
        <v>#VALUE!</v>
      </c>
      <c r="HV66" t="e">
        <f>'Effort Estimation'!E606+"AM:!%31"</f>
        <v>#VALUE!</v>
      </c>
      <c r="HW66" t="e">
        <f>'Effort Estimation'!F606+"AM:!%32"</f>
        <v>#VALUE!</v>
      </c>
      <c r="HX66" t="e">
        <f>'Effort Estimation'!G606+"AM:!%33"</f>
        <v>#VALUE!</v>
      </c>
      <c r="HY66" t="e">
        <f>'Effort Estimation'!H606+"AM:!%34"</f>
        <v>#VALUE!</v>
      </c>
      <c r="HZ66" t="e">
        <f>'Effort Estimation'!I606+"AM:!%35"</f>
        <v>#VALUE!</v>
      </c>
      <c r="IA66" s="99" t="e">
        <f>'Effort Estimation'!J606+"AM:!%36"</f>
        <v>#VALUE!</v>
      </c>
      <c r="IB66" s="99" t="e">
        <f>'Effort Estimation'!K606+"AM:!%37"</f>
        <v>#VALUE!</v>
      </c>
      <c r="IC66" s="99" t="e">
        <f>'Effort Estimation'!L606+"AM:!%38"</f>
        <v>#VALUE!</v>
      </c>
      <c r="ID66" s="99" t="e">
        <f>'Effort Estimation'!M606+"AM:!%39"</f>
        <v>#VALUE!</v>
      </c>
      <c r="IE66" s="99" t="e">
        <f>'Effort Estimation'!N606+"AM:!%3:"</f>
        <v>#VALUE!</v>
      </c>
      <c r="IF66" s="99" t="e">
        <f>'Effort Estimation'!O606+"AM:!%3;"</f>
        <v>#VALUE!</v>
      </c>
      <c r="IG66" s="99" t="e">
        <f>'Effort Estimation'!P606+"AM:!%3&lt;"</f>
        <v>#VALUE!</v>
      </c>
      <c r="IH66" s="99" t="e">
        <f>'Effort Estimation'!Q606+"AM:!%3="</f>
        <v>#VALUE!</v>
      </c>
      <c r="II66" t="e">
        <f>'Effort Estimation'!R606+"AM:!%3&gt;"</f>
        <v>#VALUE!</v>
      </c>
      <c r="IJ66" t="e">
        <f>'Effort Estimation'!S606+"AM:!%3?"</f>
        <v>#VALUE!</v>
      </c>
      <c r="IK66" t="e">
        <f>'Effort Estimation'!T606+"AM:!%3@"</f>
        <v>#VALUE!</v>
      </c>
      <c r="IL66" t="e">
        <f>'Effort Estimation'!A607+"AM:!%3A"</f>
        <v>#VALUE!</v>
      </c>
      <c r="IM66" t="e">
        <f>'Effort Estimation'!B607+"AM:!%3B"</f>
        <v>#VALUE!</v>
      </c>
      <c r="IN66" t="e">
        <f>'Effort Estimation'!C607+"AM:!%3C"</f>
        <v>#VALUE!</v>
      </c>
      <c r="IO66" t="e">
        <f>'Effort Estimation'!D607+"AM:!%3D"</f>
        <v>#VALUE!</v>
      </c>
      <c r="IP66" t="e">
        <f>'Effort Estimation'!E607+"AM:!%3E"</f>
        <v>#VALUE!</v>
      </c>
      <c r="IQ66" t="e">
        <f>'Effort Estimation'!F607+"AM:!%3F"</f>
        <v>#VALUE!</v>
      </c>
      <c r="IR66" t="e">
        <f>'Effort Estimation'!G607+"AM:!%3G"</f>
        <v>#VALUE!</v>
      </c>
      <c r="IS66" t="e">
        <f>'Effort Estimation'!H607+"AM:!%3H"</f>
        <v>#VALUE!</v>
      </c>
      <c r="IT66" t="e">
        <f>'Effort Estimation'!I607+"AM:!%3I"</f>
        <v>#VALUE!</v>
      </c>
      <c r="IU66" s="99" t="e">
        <f>'Effort Estimation'!J607+"AM:!%3J"</f>
        <v>#VALUE!</v>
      </c>
      <c r="IV66" s="99" t="e">
        <f>'Effort Estimation'!K607+"AM:!%3K"</f>
        <v>#VALUE!</v>
      </c>
    </row>
    <row r="67" spans="6:256">
      <c r="F67" s="99" t="e">
        <f>'Effort Estimation'!L607+"AM:!%3L"</f>
        <v>#VALUE!</v>
      </c>
      <c r="G67" s="99" t="e">
        <f>'Effort Estimation'!M607+"AM:!%3M"</f>
        <v>#VALUE!</v>
      </c>
      <c r="H67" s="99" t="e">
        <f>'Effort Estimation'!N607+"AM:!%3N"</f>
        <v>#VALUE!</v>
      </c>
      <c r="I67" s="99" t="e">
        <f>'Effort Estimation'!O607+"AM:!%3O"</f>
        <v>#VALUE!</v>
      </c>
      <c r="J67" s="99" t="e">
        <f>'Effort Estimation'!P607+"AM:!%3P"</f>
        <v>#VALUE!</v>
      </c>
      <c r="K67" s="99" t="e">
        <f>'Effort Estimation'!Q607+"AM:!%3Q"</f>
        <v>#VALUE!</v>
      </c>
      <c r="L67" t="e">
        <f>'Effort Estimation'!R607+"AM:!%3R"</f>
        <v>#VALUE!</v>
      </c>
      <c r="M67" t="e">
        <f>'Effort Estimation'!S607+"AM:!%3S"</f>
        <v>#VALUE!</v>
      </c>
      <c r="N67" t="e">
        <f>'Effort Estimation'!T607+"AM:!%3T"</f>
        <v>#VALUE!</v>
      </c>
      <c r="O67" t="e">
        <f>'Effort Estimation'!A608+"AM:!%3U"</f>
        <v>#VALUE!</v>
      </c>
      <c r="P67" t="e">
        <f>'Effort Estimation'!B608+"AM:!%3V"</f>
        <v>#VALUE!</v>
      </c>
      <c r="Q67" t="e">
        <f>'Effort Estimation'!C608+"AM:!%3W"</f>
        <v>#VALUE!</v>
      </c>
      <c r="R67" t="e">
        <f>'Effort Estimation'!D608+"AM:!%3X"</f>
        <v>#VALUE!</v>
      </c>
      <c r="S67" t="e">
        <f>'Effort Estimation'!E608+"AM:!%3Y"</f>
        <v>#VALUE!</v>
      </c>
      <c r="T67" t="e">
        <f>'Effort Estimation'!F608+"AM:!%3Z"</f>
        <v>#VALUE!</v>
      </c>
      <c r="U67" t="e">
        <f>'Effort Estimation'!G608+"AM:!%3["</f>
        <v>#VALUE!</v>
      </c>
      <c r="V67" t="e">
        <f>'Effort Estimation'!H608+"AM:!%3\"</f>
        <v>#VALUE!</v>
      </c>
      <c r="W67" t="e">
        <f>'Effort Estimation'!I608+"AM:!%3]"</f>
        <v>#VALUE!</v>
      </c>
      <c r="X67" s="99" t="e">
        <f>'Effort Estimation'!J608+"AM:!%3^"</f>
        <v>#VALUE!</v>
      </c>
      <c r="Y67" s="99" t="e">
        <f>'Effort Estimation'!K608+"AM:!%3_"</f>
        <v>#VALUE!</v>
      </c>
      <c r="Z67" s="99" t="e">
        <f>'Effort Estimation'!L608+"AM:!%3`"</f>
        <v>#VALUE!</v>
      </c>
      <c r="AA67" s="99" t="e">
        <f>'Effort Estimation'!M608+"AM:!%3a"</f>
        <v>#VALUE!</v>
      </c>
      <c r="AB67" s="99" t="e">
        <f>'Effort Estimation'!N608+"AM:!%3b"</f>
        <v>#VALUE!</v>
      </c>
      <c r="AC67" s="99" t="e">
        <f>'Effort Estimation'!O608+"AM:!%3c"</f>
        <v>#VALUE!</v>
      </c>
      <c r="AD67" s="99" t="e">
        <f>'Effort Estimation'!P608+"AM:!%3d"</f>
        <v>#VALUE!</v>
      </c>
      <c r="AE67" s="99" t="e">
        <f>'Effort Estimation'!Q608+"AM:!%3e"</f>
        <v>#VALUE!</v>
      </c>
      <c r="AF67" t="e">
        <f>'Effort Estimation'!R608+"AM:!%3f"</f>
        <v>#VALUE!</v>
      </c>
      <c r="AG67" t="e">
        <f>'Effort Estimation'!S608+"AM:!%3g"</f>
        <v>#VALUE!</v>
      </c>
      <c r="AH67" t="e">
        <f>'Effort Estimation'!T608+"AM:!%3h"</f>
        <v>#VALUE!</v>
      </c>
      <c r="AI67" t="e">
        <f>'Effort Estimation'!A609+"AM:!%3i"</f>
        <v>#VALUE!</v>
      </c>
      <c r="AJ67" t="e">
        <f>'Effort Estimation'!B609+"AM:!%3j"</f>
        <v>#VALUE!</v>
      </c>
      <c r="AK67" t="e">
        <f>'Effort Estimation'!C609+"AM:!%3k"</f>
        <v>#VALUE!</v>
      </c>
      <c r="AL67" t="e">
        <f>'Effort Estimation'!D609+"AM:!%3l"</f>
        <v>#VALUE!</v>
      </c>
      <c r="AM67" t="e">
        <f>'Effort Estimation'!E609+"AM:!%3m"</f>
        <v>#VALUE!</v>
      </c>
      <c r="AN67" t="e">
        <f>'Effort Estimation'!F609+"AM:!%3n"</f>
        <v>#VALUE!</v>
      </c>
      <c r="AO67" t="e">
        <f>'Effort Estimation'!G609+"AM:!%3o"</f>
        <v>#VALUE!</v>
      </c>
      <c r="AP67" t="e">
        <f>'Effort Estimation'!H609+"AM:!%3p"</f>
        <v>#VALUE!</v>
      </c>
      <c r="AQ67" t="e">
        <f>'Effort Estimation'!I609+"AM:!%3q"</f>
        <v>#VALUE!</v>
      </c>
      <c r="AR67" s="99" t="e">
        <f>'Effort Estimation'!J609+"AM:!%3r"</f>
        <v>#VALUE!</v>
      </c>
      <c r="AS67" s="99" t="e">
        <f>'Effort Estimation'!K609+"AM:!%3s"</f>
        <v>#VALUE!</v>
      </c>
      <c r="AT67" s="99" t="e">
        <f>'Effort Estimation'!L609+"AM:!%3t"</f>
        <v>#VALUE!</v>
      </c>
      <c r="AU67" s="99" t="e">
        <f>'Effort Estimation'!M609+"AM:!%3u"</f>
        <v>#VALUE!</v>
      </c>
      <c r="AV67" s="99" t="e">
        <f>'Effort Estimation'!N609+"AM:!%3v"</f>
        <v>#VALUE!</v>
      </c>
      <c r="AW67" s="99" t="e">
        <f>'Effort Estimation'!O609+"AM:!%3w"</f>
        <v>#VALUE!</v>
      </c>
      <c r="AX67" s="99" t="e">
        <f>'Effort Estimation'!P609+"AM:!%3x"</f>
        <v>#VALUE!</v>
      </c>
      <c r="AY67" s="99" t="e">
        <f>'Effort Estimation'!Q609+"AM:!%3y"</f>
        <v>#VALUE!</v>
      </c>
      <c r="AZ67" t="e">
        <f>'Effort Estimation'!R609+"AM:!%3z"</f>
        <v>#VALUE!</v>
      </c>
      <c r="BA67" t="e">
        <f>'Effort Estimation'!S609+"AM:!%3{"</f>
        <v>#VALUE!</v>
      </c>
      <c r="BB67" t="e">
        <f>'Effort Estimation'!T609+"AM:!%3|"</f>
        <v>#VALUE!</v>
      </c>
      <c r="BC67" t="e">
        <f>'Effort Estimation'!A610+"AM:!%3}"</f>
        <v>#VALUE!</v>
      </c>
      <c r="BD67" t="e">
        <f>'Effort Estimation'!B610+"AM:!%3~"</f>
        <v>#VALUE!</v>
      </c>
      <c r="BE67" t="e">
        <f>'Effort Estimation'!C610+"AM:!%4#"</f>
        <v>#VALUE!</v>
      </c>
      <c r="BF67" t="e">
        <f>'Effort Estimation'!D610+"AM:!%4$"</f>
        <v>#VALUE!</v>
      </c>
      <c r="BG67" t="e">
        <f>'Effort Estimation'!E610+"AM:!%4%"</f>
        <v>#VALUE!</v>
      </c>
      <c r="BH67" t="e">
        <f>'Effort Estimation'!F610+"AM:!%4&amp;"</f>
        <v>#VALUE!</v>
      </c>
      <c r="BI67" t="e">
        <f>'Effort Estimation'!G610+"AM:!%4'"</f>
        <v>#VALUE!</v>
      </c>
      <c r="BJ67" t="e">
        <f>'Effort Estimation'!H610+"AM:!%4("</f>
        <v>#VALUE!</v>
      </c>
      <c r="BK67" t="e">
        <f>'Effort Estimation'!I610+"AM:!%4)"</f>
        <v>#VALUE!</v>
      </c>
      <c r="BL67" s="99" t="e">
        <f>'Effort Estimation'!J610+"AM:!%4."</f>
        <v>#VALUE!</v>
      </c>
      <c r="BM67" s="99" t="e">
        <f>'Effort Estimation'!K610+"AM:!%4/"</f>
        <v>#VALUE!</v>
      </c>
      <c r="BN67" s="99" t="e">
        <f>'Effort Estimation'!L610+"AM:!%40"</f>
        <v>#VALUE!</v>
      </c>
      <c r="BO67" s="99" t="e">
        <f>'Effort Estimation'!M610+"AM:!%41"</f>
        <v>#VALUE!</v>
      </c>
      <c r="BP67" s="99" t="e">
        <f>'Effort Estimation'!N610+"AM:!%42"</f>
        <v>#VALUE!</v>
      </c>
      <c r="BQ67" s="99" t="e">
        <f>'Effort Estimation'!O610+"AM:!%43"</f>
        <v>#VALUE!</v>
      </c>
      <c r="BR67" s="99" t="e">
        <f>'Effort Estimation'!P610+"AM:!%44"</f>
        <v>#VALUE!</v>
      </c>
      <c r="BS67" s="99" t="e">
        <f>'Effort Estimation'!Q610+"AM:!%45"</f>
        <v>#VALUE!</v>
      </c>
      <c r="BT67" t="e">
        <f>'Effort Estimation'!R610+"AM:!%46"</f>
        <v>#VALUE!</v>
      </c>
      <c r="BU67" t="e">
        <f>'Effort Estimation'!S610+"AM:!%47"</f>
        <v>#VALUE!</v>
      </c>
      <c r="BV67" t="e">
        <f>'Effort Estimation'!T610+"AM:!%48"</f>
        <v>#VALUE!</v>
      </c>
      <c r="BW67" t="e">
        <f>'Effort Estimation'!A611+"AM:!%49"</f>
        <v>#VALUE!</v>
      </c>
      <c r="BX67" t="e">
        <f>'Effort Estimation'!B611+"AM:!%4:"</f>
        <v>#VALUE!</v>
      </c>
      <c r="BY67" t="e">
        <f>'Effort Estimation'!C611+"AM:!%4;"</f>
        <v>#VALUE!</v>
      </c>
      <c r="BZ67" t="e">
        <f>'Effort Estimation'!D611+"AM:!%4&lt;"</f>
        <v>#VALUE!</v>
      </c>
      <c r="CA67" t="e">
        <f>'Effort Estimation'!E611+"AM:!%4="</f>
        <v>#VALUE!</v>
      </c>
      <c r="CB67" t="e">
        <f>'Effort Estimation'!F611+"AM:!%4&gt;"</f>
        <v>#VALUE!</v>
      </c>
      <c r="CC67" t="e">
        <f>'Effort Estimation'!G611+"AM:!%4?"</f>
        <v>#VALUE!</v>
      </c>
      <c r="CD67" t="e">
        <f>'Effort Estimation'!H611+"AM:!%4@"</f>
        <v>#VALUE!</v>
      </c>
      <c r="CE67" t="e">
        <f>'Effort Estimation'!I611+"AM:!%4A"</f>
        <v>#VALUE!</v>
      </c>
      <c r="CF67" s="99" t="e">
        <f>'Effort Estimation'!J611+"AM:!%4B"</f>
        <v>#VALUE!</v>
      </c>
      <c r="CG67" s="99" t="e">
        <f>'Effort Estimation'!K611+"AM:!%4C"</f>
        <v>#VALUE!</v>
      </c>
      <c r="CH67" s="99" t="e">
        <f>'Effort Estimation'!L611+"AM:!%4D"</f>
        <v>#VALUE!</v>
      </c>
      <c r="CI67" s="99" t="e">
        <f>'Effort Estimation'!M611+"AM:!%4E"</f>
        <v>#VALUE!</v>
      </c>
      <c r="CJ67" s="99" t="e">
        <f>'Effort Estimation'!N611+"AM:!%4F"</f>
        <v>#VALUE!</v>
      </c>
      <c r="CK67" s="99" t="e">
        <f>'Effort Estimation'!O611+"AM:!%4G"</f>
        <v>#VALUE!</v>
      </c>
      <c r="CL67" s="99" t="e">
        <f>'Effort Estimation'!P611+"AM:!%4H"</f>
        <v>#VALUE!</v>
      </c>
      <c r="CM67" s="99" t="e">
        <f>'Effort Estimation'!Q611+"AM:!%4I"</f>
        <v>#VALUE!</v>
      </c>
      <c r="CN67" t="e">
        <f>'Effort Estimation'!R611+"AM:!%4J"</f>
        <v>#VALUE!</v>
      </c>
      <c r="CO67" t="e">
        <f>'Effort Estimation'!S611+"AM:!%4K"</f>
        <v>#VALUE!</v>
      </c>
      <c r="CP67" t="e">
        <f>'Effort Estimation'!T611+"AM:!%4L"</f>
        <v>#VALUE!</v>
      </c>
      <c r="CQ67" t="e">
        <f>'Effort Estimation'!A612+"AM:!%4M"</f>
        <v>#VALUE!</v>
      </c>
      <c r="CR67" t="e">
        <f>'Effort Estimation'!B612+"AM:!%4N"</f>
        <v>#VALUE!</v>
      </c>
      <c r="CS67" t="e">
        <f>'Effort Estimation'!C612+"AM:!%4O"</f>
        <v>#VALUE!</v>
      </c>
      <c r="CT67" t="e">
        <f>'Effort Estimation'!D612+"AM:!%4P"</f>
        <v>#VALUE!</v>
      </c>
      <c r="CU67" t="e">
        <f>'Effort Estimation'!E612+"AM:!%4Q"</f>
        <v>#VALUE!</v>
      </c>
      <c r="CV67" t="e">
        <f>'Effort Estimation'!F612+"AM:!%4R"</f>
        <v>#VALUE!</v>
      </c>
      <c r="CW67" t="e">
        <f>'Effort Estimation'!G612+"AM:!%4S"</f>
        <v>#VALUE!</v>
      </c>
      <c r="CX67" t="e">
        <f>'Effort Estimation'!H612+"AM:!%4T"</f>
        <v>#VALUE!</v>
      </c>
      <c r="CY67" t="e">
        <f>'Effort Estimation'!I612+"AM:!%4U"</f>
        <v>#VALUE!</v>
      </c>
      <c r="CZ67" s="99" t="e">
        <f>'Effort Estimation'!J612+"AM:!%4V"</f>
        <v>#VALUE!</v>
      </c>
      <c r="DA67" s="99" t="e">
        <f>'Effort Estimation'!K612+"AM:!%4W"</f>
        <v>#VALUE!</v>
      </c>
      <c r="DB67" s="99" t="e">
        <f>'Effort Estimation'!L612+"AM:!%4X"</f>
        <v>#VALUE!</v>
      </c>
      <c r="DC67" s="99" t="e">
        <f>'Effort Estimation'!M612+"AM:!%4Y"</f>
        <v>#VALUE!</v>
      </c>
      <c r="DD67" s="99" t="e">
        <f>'Effort Estimation'!N612+"AM:!%4Z"</f>
        <v>#VALUE!</v>
      </c>
      <c r="DE67" s="99" t="e">
        <f>'Effort Estimation'!O612+"AM:!%4["</f>
        <v>#VALUE!</v>
      </c>
      <c r="DF67" s="99" t="e">
        <f>'Effort Estimation'!P612+"AM:!%4\"</f>
        <v>#VALUE!</v>
      </c>
      <c r="DG67" s="99" t="e">
        <f>'Effort Estimation'!Q612+"AM:!%4]"</f>
        <v>#VALUE!</v>
      </c>
      <c r="DH67" t="e">
        <f>'Effort Estimation'!R612+"AM:!%4^"</f>
        <v>#VALUE!</v>
      </c>
      <c r="DI67" t="e">
        <f>'Effort Estimation'!S612+"AM:!%4_"</f>
        <v>#VALUE!</v>
      </c>
      <c r="DJ67" t="e">
        <f>'Effort Estimation'!T612+"AM:!%4`"</f>
        <v>#VALUE!</v>
      </c>
      <c r="DK67" t="e">
        <f>'Effort Estimation'!A613+"AM:!%4a"</f>
        <v>#VALUE!</v>
      </c>
      <c r="DL67" t="e">
        <f>'Effort Estimation'!B613+"AM:!%4b"</f>
        <v>#VALUE!</v>
      </c>
      <c r="DM67" t="e">
        <f>'Effort Estimation'!C613+"AM:!%4c"</f>
        <v>#VALUE!</v>
      </c>
      <c r="DN67" t="e">
        <f>'Effort Estimation'!D613+"AM:!%4d"</f>
        <v>#VALUE!</v>
      </c>
      <c r="DO67" t="e">
        <f>'Effort Estimation'!E613+"AM:!%4e"</f>
        <v>#VALUE!</v>
      </c>
      <c r="DP67" t="e">
        <f>'Effort Estimation'!F613+"AM:!%4f"</f>
        <v>#VALUE!</v>
      </c>
      <c r="DQ67" t="e">
        <f>'Effort Estimation'!G613+"AM:!%4g"</f>
        <v>#VALUE!</v>
      </c>
      <c r="DR67" t="e">
        <f>'Effort Estimation'!H613+"AM:!%4h"</f>
        <v>#VALUE!</v>
      </c>
      <c r="DS67" t="e">
        <f>'Effort Estimation'!I613+"AM:!%4i"</f>
        <v>#VALUE!</v>
      </c>
      <c r="DT67" s="99" t="e">
        <f>'Effort Estimation'!J613+"AM:!%4j"</f>
        <v>#VALUE!</v>
      </c>
      <c r="DU67" s="99" t="e">
        <f>'Effort Estimation'!K613+"AM:!%4k"</f>
        <v>#VALUE!</v>
      </c>
      <c r="DV67" s="99" t="e">
        <f>'Effort Estimation'!L613+"AM:!%4l"</f>
        <v>#VALUE!</v>
      </c>
      <c r="DW67" s="99" t="e">
        <f>'Effort Estimation'!M613+"AM:!%4m"</f>
        <v>#VALUE!</v>
      </c>
      <c r="DX67" s="99" t="e">
        <f>'Effort Estimation'!N613+"AM:!%4n"</f>
        <v>#VALUE!</v>
      </c>
      <c r="DY67" s="99" t="e">
        <f>'Effort Estimation'!O613+"AM:!%4o"</f>
        <v>#VALUE!</v>
      </c>
      <c r="DZ67" s="99" t="e">
        <f>'Effort Estimation'!P613+"AM:!%4p"</f>
        <v>#VALUE!</v>
      </c>
      <c r="EA67" s="99" t="e">
        <f>'Effort Estimation'!Q613+"AM:!%4q"</f>
        <v>#VALUE!</v>
      </c>
      <c r="EB67" t="e">
        <f>'Effort Estimation'!R613+"AM:!%4r"</f>
        <v>#VALUE!</v>
      </c>
      <c r="EC67" t="e">
        <f>'Effort Estimation'!S613+"AM:!%4s"</f>
        <v>#VALUE!</v>
      </c>
      <c r="ED67" t="e">
        <f>'Effort Estimation'!T613+"AM:!%4t"</f>
        <v>#VALUE!</v>
      </c>
      <c r="EE67" t="e">
        <f>'Effort Estimation'!A614+"AM:!%4u"</f>
        <v>#VALUE!</v>
      </c>
      <c r="EF67" t="e">
        <f>'Effort Estimation'!B614+"AM:!%4v"</f>
        <v>#VALUE!</v>
      </c>
      <c r="EG67" t="e">
        <f>'Effort Estimation'!C614+"AM:!%4w"</f>
        <v>#VALUE!</v>
      </c>
      <c r="EH67" t="e">
        <f>'Effort Estimation'!D614+"AM:!%4x"</f>
        <v>#VALUE!</v>
      </c>
      <c r="EI67" t="e">
        <f>'Effort Estimation'!E614+"AM:!%4y"</f>
        <v>#VALUE!</v>
      </c>
      <c r="EJ67" t="e">
        <f>'Effort Estimation'!F614+"AM:!%4z"</f>
        <v>#VALUE!</v>
      </c>
      <c r="EK67" t="e">
        <f>'Effort Estimation'!G614+"AM:!%4{"</f>
        <v>#VALUE!</v>
      </c>
      <c r="EL67" t="e">
        <f>'Effort Estimation'!H614+"AM:!%4|"</f>
        <v>#VALUE!</v>
      </c>
      <c r="EM67" t="e">
        <f>'Effort Estimation'!I614+"AM:!%4}"</f>
        <v>#VALUE!</v>
      </c>
      <c r="EN67" s="99" t="e">
        <f>'Effort Estimation'!J614+"AM:!%4~"</f>
        <v>#VALUE!</v>
      </c>
      <c r="EO67" s="99" t="e">
        <f>'Effort Estimation'!K614+"AM:!%5#"</f>
        <v>#VALUE!</v>
      </c>
      <c r="EP67" s="99" t="e">
        <f>'Effort Estimation'!L614+"AM:!%5$"</f>
        <v>#VALUE!</v>
      </c>
      <c r="EQ67" s="99" t="e">
        <f>'Effort Estimation'!M614+"AM:!%5%"</f>
        <v>#VALUE!</v>
      </c>
      <c r="ER67" s="99" t="e">
        <f>'Effort Estimation'!N614+"AM:!%5&amp;"</f>
        <v>#VALUE!</v>
      </c>
      <c r="ES67" s="99" t="e">
        <f>'Effort Estimation'!O614+"AM:!%5'"</f>
        <v>#VALUE!</v>
      </c>
      <c r="ET67" s="99" t="e">
        <f>'Effort Estimation'!P614+"AM:!%5("</f>
        <v>#VALUE!</v>
      </c>
      <c r="EU67" s="99" t="e">
        <f>'Effort Estimation'!Q614+"AM:!%5)"</f>
        <v>#VALUE!</v>
      </c>
      <c r="EV67" t="e">
        <f>'Effort Estimation'!R614+"AM:!%5."</f>
        <v>#VALUE!</v>
      </c>
      <c r="EW67" t="e">
        <f>'Effort Estimation'!S614+"AM:!%5/"</f>
        <v>#VALUE!</v>
      </c>
      <c r="EX67" t="e">
        <f>'Effort Estimation'!T614+"AM:!%50"</f>
        <v>#VALUE!</v>
      </c>
      <c r="EY67" t="e">
        <f>'Effort Estimation'!A615+"AM:!%51"</f>
        <v>#VALUE!</v>
      </c>
      <c r="EZ67" t="e">
        <f>'Effort Estimation'!B615+"AM:!%52"</f>
        <v>#VALUE!</v>
      </c>
      <c r="FA67" t="e">
        <f>'Effort Estimation'!C615+"AM:!%53"</f>
        <v>#VALUE!</v>
      </c>
      <c r="FB67" t="e">
        <f>'Effort Estimation'!D615+"AM:!%54"</f>
        <v>#VALUE!</v>
      </c>
      <c r="FC67" t="e">
        <f>'Effort Estimation'!E615+"AM:!%55"</f>
        <v>#VALUE!</v>
      </c>
      <c r="FD67" t="e">
        <f>'Effort Estimation'!F615+"AM:!%56"</f>
        <v>#VALUE!</v>
      </c>
      <c r="FE67" t="e">
        <f>'Effort Estimation'!G615+"AM:!%57"</f>
        <v>#VALUE!</v>
      </c>
      <c r="FF67" t="e">
        <f>'Effort Estimation'!H615+"AM:!%58"</f>
        <v>#VALUE!</v>
      </c>
      <c r="FG67" t="e">
        <f>'Effort Estimation'!I615+"AM:!%59"</f>
        <v>#VALUE!</v>
      </c>
      <c r="FH67" s="99" t="e">
        <f>'Effort Estimation'!J615+"AM:!%5:"</f>
        <v>#VALUE!</v>
      </c>
      <c r="FI67" s="99" t="e">
        <f>'Effort Estimation'!K615+"AM:!%5;"</f>
        <v>#VALUE!</v>
      </c>
      <c r="FJ67" s="99" t="e">
        <f>'Effort Estimation'!L615+"AM:!%5&lt;"</f>
        <v>#VALUE!</v>
      </c>
      <c r="FK67" s="99" t="e">
        <f>'Effort Estimation'!M615+"AM:!%5="</f>
        <v>#VALUE!</v>
      </c>
      <c r="FL67" s="99" t="e">
        <f>'Effort Estimation'!N615+"AM:!%5&gt;"</f>
        <v>#VALUE!</v>
      </c>
      <c r="FM67" s="99" t="e">
        <f>'Effort Estimation'!O615+"AM:!%5?"</f>
        <v>#VALUE!</v>
      </c>
      <c r="FN67" s="99" t="e">
        <f>'Effort Estimation'!P615+"AM:!%5@"</f>
        <v>#VALUE!</v>
      </c>
      <c r="FO67" s="99" t="e">
        <f>'Effort Estimation'!Q615+"AM:!%5A"</f>
        <v>#VALUE!</v>
      </c>
      <c r="FP67" t="e">
        <f>'Effort Estimation'!R615+"AM:!%5B"</f>
        <v>#VALUE!</v>
      </c>
      <c r="FQ67" t="e">
        <f>'Effort Estimation'!S615+"AM:!%5C"</f>
        <v>#VALUE!</v>
      </c>
      <c r="FR67" t="e">
        <f>'Effort Estimation'!T615+"AM:!%5D"</f>
        <v>#VALUE!</v>
      </c>
      <c r="FS67" t="e">
        <f>'Effort Estimation'!A616+"AM:!%5E"</f>
        <v>#VALUE!</v>
      </c>
      <c r="FT67" t="e">
        <f>'Effort Estimation'!B616+"AM:!%5F"</f>
        <v>#VALUE!</v>
      </c>
      <c r="FU67" t="e">
        <f>'Effort Estimation'!C616+"AM:!%5G"</f>
        <v>#VALUE!</v>
      </c>
      <c r="FV67" t="e">
        <f>'Effort Estimation'!D616+"AM:!%5H"</f>
        <v>#VALUE!</v>
      </c>
      <c r="FW67" t="e">
        <f>'Effort Estimation'!E616+"AM:!%5I"</f>
        <v>#VALUE!</v>
      </c>
      <c r="FX67" t="e">
        <f>'Effort Estimation'!F616+"AM:!%5J"</f>
        <v>#VALUE!</v>
      </c>
      <c r="FY67" t="e">
        <f>'Effort Estimation'!G616+"AM:!%5K"</f>
        <v>#VALUE!</v>
      </c>
      <c r="FZ67" t="e">
        <f>'Effort Estimation'!H616+"AM:!%5L"</f>
        <v>#VALUE!</v>
      </c>
      <c r="GA67" t="e">
        <f>'Effort Estimation'!I616+"AM:!%5M"</f>
        <v>#VALUE!</v>
      </c>
      <c r="GB67" s="99" t="e">
        <f>'Effort Estimation'!J616+"AM:!%5N"</f>
        <v>#VALUE!</v>
      </c>
      <c r="GC67" s="99" t="e">
        <f>'Effort Estimation'!K616+"AM:!%5O"</f>
        <v>#VALUE!</v>
      </c>
      <c r="GD67" s="99" t="e">
        <f>'Effort Estimation'!L616+"AM:!%5P"</f>
        <v>#VALUE!</v>
      </c>
      <c r="GE67" s="99" t="e">
        <f>'Effort Estimation'!M616+"AM:!%5Q"</f>
        <v>#VALUE!</v>
      </c>
      <c r="GF67" s="99" t="e">
        <f>'Effort Estimation'!N616+"AM:!%5R"</f>
        <v>#VALUE!</v>
      </c>
      <c r="GG67" s="99" t="e">
        <f>'Effort Estimation'!O616+"AM:!%5S"</f>
        <v>#VALUE!</v>
      </c>
      <c r="GH67" s="99" t="e">
        <f>'Effort Estimation'!P616+"AM:!%5T"</f>
        <v>#VALUE!</v>
      </c>
      <c r="GI67" s="99" t="e">
        <f>'Effort Estimation'!Q616+"AM:!%5U"</f>
        <v>#VALUE!</v>
      </c>
      <c r="GJ67" t="e">
        <f>'Effort Estimation'!R616+"AM:!%5V"</f>
        <v>#VALUE!</v>
      </c>
      <c r="GK67" t="e">
        <f>'Effort Estimation'!S616+"AM:!%5W"</f>
        <v>#VALUE!</v>
      </c>
      <c r="GL67" t="e">
        <f>'Effort Estimation'!T616+"AM:!%5X"</f>
        <v>#VALUE!</v>
      </c>
      <c r="GM67" t="e">
        <f>'Effort Estimation'!A617+"AM:!%5Y"</f>
        <v>#VALUE!</v>
      </c>
      <c r="GN67" t="e">
        <f>'Effort Estimation'!B617+"AM:!%5Z"</f>
        <v>#VALUE!</v>
      </c>
      <c r="GO67" t="e">
        <f>'Effort Estimation'!C617+"AM:!%5["</f>
        <v>#VALUE!</v>
      </c>
      <c r="GP67" t="e">
        <f>'Effort Estimation'!D617+"AM:!%5\"</f>
        <v>#VALUE!</v>
      </c>
      <c r="GQ67" t="e">
        <f>'Effort Estimation'!E617+"AM:!%5]"</f>
        <v>#VALUE!</v>
      </c>
      <c r="GR67" t="e">
        <f>'Effort Estimation'!F617+"AM:!%5^"</f>
        <v>#VALUE!</v>
      </c>
      <c r="GS67" t="e">
        <f>'Effort Estimation'!G617+"AM:!%5_"</f>
        <v>#VALUE!</v>
      </c>
      <c r="GT67" t="e">
        <f>'Effort Estimation'!H617+"AM:!%5`"</f>
        <v>#VALUE!</v>
      </c>
      <c r="GU67" t="e">
        <f>'Effort Estimation'!I617+"AM:!%5a"</f>
        <v>#VALUE!</v>
      </c>
      <c r="GV67" s="99" t="e">
        <f>'Effort Estimation'!J617+"AM:!%5b"</f>
        <v>#VALUE!</v>
      </c>
      <c r="GW67" s="99" t="e">
        <f>'Effort Estimation'!K617+"AM:!%5c"</f>
        <v>#VALUE!</v>
      </c>
      <c r="GX67" s="99" t="e">
        <f>'Effort Estimation'!L617+"AM:!%5d"</f>
        <v>#VALUE!</v>
      </c>
      <c r="GY67" s="99" t="e">
        <f>'Effort Estimation'!M617+"AM:!%5e"</f>
        <v>#VALUE!</v>
      </c>
      <c r="GZ67" s="99" t="e">
        <f>'Effort Estimation'!N617+"AM:!%5f"</f>
        <v>#VALUE!</v>
      </c>
      <c r="HA67" s="99" t="e">
        <f>'Effort Estimation'!O617+"AM:!%5g"</f>
        <v>#VALUE!</v>
      </c>
      <c r="HB67" s="99" t="e">
        <f>'Effort Estimation'!P617+"AM:!%5h"</f>
        <v>#VALUE!</v>
      </c>
      <c r="HC67" s="99" t="e">
        <f>'Effort Estimation'!Q617+"AM:!%5i"</f>
        <v>#VALUE!</v>
      </c>
      <c r="HD67" t="e">
        <f>'Effort Estimation'!R617+"AM:!%5j"</f>
        <v>#VALUE!</v>
      </c>
      <c r="HE67" t="e">
        <f>'Effort Estimation'!S617+"AM:!%5k"</f>
        <v>#VALUE!</v>
      </c>
      <c r="HF67" t="e">
        <f>'Effort Estimation'!T617+"AM:!%5l"</f>
        <v>#VALUE!</v>
      </c>
      <c r="HG67" t="e">
        <f>'Effort Estimation'!A618+"AM:!%5m"</f>
        <v>#VALUE!</v>
      </c>
      <c r="HH67" t="e">
        <f>'Effort Estimation'!B618+"AM:!%5n"</f>
        <v>#VALUE!</v>
      </c>
      <c r="HI67" t="e">
        <f>'Effort Estimation'!C618+"AM:!%5o"</f>
        <v>#VALUE!</v>
      </c>
      <c r="HJ67" t="e">
        <f>'Effort Estimation'!D618+"AM:!%5p"</f>
        <v>#VALUE!</v>
      </c>
      <c r="HK67" t="e">
        <f>'Effort Estimation'!E618+"AM:!%5q"</f>
        <v>#VALUE!</v>
      </c>
      <c r="HL67" t="e">
        <f>'Effort Estimation'!F618+"AM:!%5r"</f>
        <v>#VALUE!</v>
      </c>
      <c r="HM67" t="e">
        <f>'Effort Estimation'!G618+"AM:!%5s"</f>
        <v>#VALUE!</v>
      </c>
      <c r="HN67" t="e">
        <f>'Effort Estimation'!H618+"AM:!%5t"</f>
        <v>#VALUE!</v>
      </c>
      <c r="HO67" t="e">
        <f>'Effort Estimation'!I618+"AM:!%5u"</f>
        <v>#VALUE!</v>
      </c>
      <c r="HP67" s="99" t="e">
        <f>'Effort Estimation'!J618+"AM:!%5v"</f>
        <v>#VALUE!</v>
      </c>
      <c r="HQ67" s="99" t="e">
        <f>'Effort Estimation'!K618+"AM:!%5w"</f>
        <v>#VALUE!</v>
      </c>
      <c r="HR67" s="99" t="e">
        <f>'Effort Estimation'!L618+"AM:!%5x"</f>
        <v>#VALUE!</v>
      </c>
      <c r="HS67" s="99" t="e">
        <f>'Effort Estimation'!M618+"AM:!%5y"</f>
        <v>#VALUE!</v>
      </c>
      <c r="HT67" s="99" t="e">
        <f>'Effort Estimation'!N618+"AM:!%5z"</f>
        <v>#VALUE!</v>
      </c>
      <c r="HU67" s="99" t="e">
        <f>'Effort Estimation'!O618+"AM:!%5{"</f>
        <v>#VALUE!</v>
      </c>
      <c r="HV67" s="99" t="e">
        <f>'Effort Estimation'!P618+"AM:!%5|"</f>
        <v>#VALUE!</v>
      </c>
      <c r="HW67" s="99" t="e">
        <f>'Effort Estimation'!Q618+"AM:!%5}"</f>
        <v>#VALUE!</v>
      </c>
      <c r="HX67" t="e">
        <f>'Effort Estimation'!R618+"AM:!%5~"</f>
        <v>#VALUE!</v>
      </c>
      <c r="HY67" t="e">
        <f>'Effort Estimation'!S618+"AM:!%6#"</f>
        <v>#VALUE!</v>
      </c>
      <c r="HZ67" t="e">
        <f>'Effort Estimation'!T618+"AM:!%6$"</f>
        <v>#VALUE!</v>
      </c>
      <c r="IA67" t="e">
        <f>'Effort Estimation'!A619+"AM:!%6%"</f>
        <v>#VALUE!</v>
      </c>
      <c r="IB67" t="e">
        <f>'Effort Estimation'!B619+"AM:!%6&amp;"</f>
        <v>#VALUE!</v>
      </c>
      <c r="IC67" t="e">
        <f>'Effort Estimation'!C619+"AM:!%6'"</f>
        <v>#VALUE!</v>
      </c>
      <c r="ID67" t="e">
        <f>'Effort Estimation'!D619+"AM:!%6("</f>
        <v>#VALUE!</v>
      </c>
      <c r="IE67" t="e">
        <f>'Effort Estimation'!E619+"AM:!%6)"</f>
        <v>#VALUE!</v>
      </c>
      <c r="IF67" t="e">
        <f>'Effort Estimation'!F619+"AM:!%6."</f>
        <v>#VALUE!</v>
      </c>
      <c r="IG67" t="e">
        <f>'Effort Estimation'!G619+"AM:!%6/"</f>
        <v>#VALUE!</v>
      </c>
      <c r="IH67" t="e">
        <f>'Effort Estimation'!H619+"AM:!%60"</f>
        <v>#VALUE!</v>
      </c>
      <c r="II67" t="e">
        <f>'Effort Estimation'!I619+"AM:!%61"</f>
        <v>#VALUE!</v>
      </c>
      <c r="IJ67" s="99" t="e">
        <f>'Effort Estimation'!J619+"AM:!%62"</f>
        <v>#VALUE!</v>
      </c>
      <c r="IK67" s="99" t="e">
        <f>'Effort Estimation'!K619+"AM:!%63"</f>
        <v>#VALUE!</v>
      </c>
      <c r="IL67" s="99" t="e">
        <f>'Effort Estimation'!L619+"AM:!%64"</f>
        <v>#VALUE!</v>
      </c>
      <c r="IM67" s="99" t="e">
        <f>'Effort Estimation'!M619+"AM:!%65"</f>
        <v>#VALUE!</v>
      </c>
      <c r="IN67" s="99" t="e">
        <f>'Effort Estimation'!N619+"AM:!%66"</f>
        <v>#VALUE!</v>
      </c>
      <c r="IO67" s="99" t="e">
        <f>'Effort Estimation'!O619+"AM:!%67"</f>
        <v>#VALUE!</v>
      </c>
      <c r="IP67" s="99" t="e">
        <f>'Effort Estimation'!P619+"AM:!%68"</f>
        <v>#VALUE!</v>
      </c>
      <c r="IQ67" s="99" t="e">
        <f>'Effort Estimation'!Q619+"AM:!%69"</f>
        <v>#VALUE!</v>
      </c>
      <c r="IR67" t="e">
        <f>'Effort Estimation'!R619+"AM:!%6:"</f>
        <v>#VALUE!</v>
      </c>
      <c r="IS67" t="e">
        <f>'Effort Estimation'!S619+"AM:!%6;"</f>
        <v>#VALUE!</v>
      </c>
      <c r="IT67" t="e">
        <f>'Effort Estimation'!T619+"AM:!%6&lt;"</f>
        <v>#VALUE!</v>
      </c>
      <c r="IU67" t="e">
        <f>'Effort Estimation'!A620+"AM:!%6="</f>
        <v>#VALUE!</v>
      </c>
      <c r="IV67" t="e">
        <f>'Effort Estimation'!B620+"AM:!%6&gt;"</f>
        <v>#VALUE!</v>
      </c>
    </row>
    <row r="68" spans="6:256">
      <c r="F68" t="e">
        <f>'Effort Estimation'!C620+"AM:!%6?"</f>
        <v>#VALUE!</v>
      </c>
      <c r="G68" t="e">
        <f>'Effort Estimation'!D620+"AM:!%6@"</f>
        <v>#VALUE!</v>
      </c>
      <c r="H68" t="e">
        <f>'Effort Estimation'!E620+"AM:!%6A"</f>
        <v>#VALUE!</v>
      </c>
      <c r="I68" t="e">
        <f>'Effort Estimation'!F620+"AM:!%6B"</f>
        <v>#VALUE!</v>
      </c>
      <c r="J68" t="e">
        <f>'Effort Estimation'!G620+"AM:!%6C"</f>
        <v>#VALUE!</v>
      </c>
      <c r="K68" t="e">
        <f>'Effort Estimation'!H620+"AM:!%6D"</f>
        <v>#VALUE!</v>
      </c>
      <c r="L68" t="e">
        <f>'Effort Estimation'!I620+"AM:!%6E"</f>
        <v>#VALUE!</v>
      </c>
      <c r="M68" s="99" t="e">
        <f>'Effort Estimation'!J620+"AM:!%6F"</f>
        <v>#VALUE!</v>
      </c>
      <c r="N68" s="99" t="e">
        <f>'Effort Estimation'!K620+"AM:!%6G"</f>
        <v>#VALUE!</v>
      </c>
      <c r="O68" s="99" t="e">
        <f>'Effort Estimation'!L620+"AM:!%6H"</f>
        <v>#VALUE!</v>
      </c>
      <c r="P68" s="99" t="e">
        <f>'Effort Estimation'!M620+"AM:!%6I"</f>
        <v>#VALUE!</v>
      </c>
      <c r="Q68" s="99" t="e">
        <f>'Effort Estimation'!N620+"AM:!%6J"</f>
        <v>#VALUE!</v>
      </c>
      <c r="R68" s="99" t="e">
        <f>'Effort Estimation'!O620+"AM:!%6K"</f>
        <v>#VALUE!</v>
      </c>
      <c r="S68" s="99" t="e">
        <f>'Effort Estimation'!P620+"AM:!%6L"</f>
        <v>#VALUE!</v>
      </c>
      <c r="T68" s="99" t="e">
        <f>'Effort Estimation'!Q620+"AM:!%6M"</f>
        <v>#VALUE!</v>
      </c>
      <c r="U68" t="e">
        <f>'Effort Estimation'!R620+"AM:!%6N"</f>
        <v>#VALUE!</v>
      </c>
      <c r="V68" t="e">
        <f>'Effort Estimation'!S620+"AM:!%6O"</f>
        <v>#VALUE!</v>
      </c>
      <c r="W68" t="e">
        <f>'Effort Estimation'!T620+"AM:!%6P"</f>
        <v>#VALUE!</v>
      </c>
      <c r="X68" t="e">
        <f>'Effort Estimation'!A621+"AM:!%6Q"</f>
        <v>#VALUE!</v>
      </c>
      <c r="Y68" t="e">
        <f>'Effort Estimation'!B621+"AM:!%6R"</f>
        <v>#VALUE!</v>
      </c>
      <c r="Z68" t="e">
        <f>'Effort Estimation'!C621+"AM:!%6S"</f>
        <v>#VALUE!</v>
      </c>
      <c r="AA68" t="e">
        <f>'Effort Estimation'!D621+"AM:!%6T"</f>
        <v>#VALUE!</v>
      </c>
      <c r="AB68" t="e">
        <f>'Effort Estimation'!E621+"AM:!%6U"</f>
        <v>#VALUE!</v>
      </c>
      <c r="AC68" t="e">
        <f>'Effort Estimation'!F621+"AM:!%6V"</f>
        <v>#VALUE!</v>
      </c>
      <c r="AD68" t="e">
        <f>'Effort Estimation'!G621+"AM:!%6W"</f>
        <v>#VALUE!</v>
      </c>
      <c r="AE68" t="e">
        <f>'Effort Estimation'!H621+"AM:!%6X"</f>
        <v>#VALUE!</v>
      </c>
      <c r="AF68" t="e">
        <f>'Effort Estimation'!I621+"AM:!%6Y"</f>
        <v>#VALUE!</v>
      </c>
      <c r="AG68" s="99" t="e">
        <f>'Effort Estimation'!J621+"AM:!%6Z"</f>
        <v>#VALUE!</v>
      </c>
      <c r="AH68" s="99" t="e">
        <f>'Effort Estimation'!K621+"AM:!%6["</f>
        <v>#VALUE!</v>
      </c>
      <c r="AI68" s="99" t="e">
        <f>'Effort Estimation'!L621+"AM:!%6\"</f>
        <v>#VALUE!</v>
      </c>
      <c r="AJ68" s="99" t="e">
        <f>'Effort Estimation'!M621+"AM:!%6]"</f>
        <v>#VALUE!</v>
      </c>
      <c r="AK68" s="99" t="e">
        <f>'Effort Estimation'!N621+"AM:!%6^"</f>
        <v>#VALUE!</v>
      </c>
      <c r="AL68" s="99" t="e">
        <f>'Effort Estimation'!O621+"AM:!%6_"</f>
        <v>#VALUE!</v>
      </c>
      <c r="AM68" s="99" t="e">
        <f>'Effort Estimation'!P621+"AM:!%6`"</f>
        <v>#VALUE!</v>
      </c>
      <c r="AN68" s="99" t="e">
        <f>'Effort Estimation'!Q621+"AM:!%6a"</f>
        <v>#VALUE!</v>
      </c>
      <c r="AO68" t="e">
        <f>'Effort Estimation'!R621+"AM:!%6b"</f>
        <v>#VALUE!</v>
      </c>
      <c r="AP68" t="e">
        <f>'Effort Estimation'!S621+"AM:!%6c"</f>
        <v>#VALUE!</v>
      </c>
      <c r="AQ68" t="e">
        <f>'Effort Estimation'!T621+"AM:!%6d"</f>
        <v>#VALUE!</v>
      </c>
      <c r="AR68" t="e">
        <f>'Effort Estimation'!A622+"AM:!%6e"</f>
        <v>#VALUE!</v>
      </c>
      <c r="AS68" t="e">
        <f>'Effort Estimation'!B622+"AM:!%6f"</f>
        <v>#VALUE!</v>
      </c>
      <c r="AT68" t="e">
        <f>'Effort Estimation'!C622+"AM:!%6g"</f>
        <v>#VALUE!</v>
      </c>
      <c r="AU68" t="e">
        <f>'Effort Estimation'!D622+"AM:!%6h"</f>
        <v>#VALUE!</v>
      </c>
      <c r="AV68" t="e">
        <f>'Effort Estimation'!E622+"AM:!%6i"</f>
        <v>#VALUE!</v>
      </c>
      <c r="AW68" t="e">
        <f>'Effort Estimation'!F622+"AM:!%6j"</f>
        <v>#VALUE!</v>
      </c>
      <c r="AX68" t="e">
        <f>'Effort Estimation'!G622+"AM:!%6k"</f>
        <v>#VALUE!</v>
      </c>
      <c r="AY68" t="e">
        <f>'Effort Estimation'!H622+"AM:!%6l"</f>
        <v>#VALUE!</v>
      </c>
      <c r="AZ68" t="e">
        <f>'Effort Estimation'!I622+"AM:!%6m"</f>
        <v>#VALUE!</v>
      </c>
      <c r="BA68" s="99" t="e">
        <f>'Effort Estimation'!J622+"AM:!%6n"</f>
        <v>#VALUE!</v>
      </c>
      <c r="BB68" s="99" t="e">
        <f>'Effort Estimation'!K622+"AM:!%6o"</f>
        <v>#VALUE!</v>
      </c>
      <c r="BC68" s="99" t="e">
        <f>'Effort Estimation'!L622+"AM:!%6p"</f>
        <v>#VALUE!</v>
      </c>
      <c r="BD68" s="99" t="e">
        <f>'Effort Estimation'!M622+"AM:!%6q"</f>
        <v>#VALUE!</v>
      </c>
      <c r="BE68" s="99" t="e">
        <f>'Effort Estimation'!N622+"AM:!%6r"</f>
        <v>#VALUE!</v>
      </c>
      <c r="BF68" s="99" t="e">
        <f>'Effort Estimation'!O622+"AM:!%6s"</f>
        <v>#VALUE!</v>
      </c>
      <c r="BG68" s="99" t="e">
        <f>'Effort Estimation'!P622+"AM:!%6t"</f>
        <v>#VALUE!</v>
      </c>
      <c r="BH68" s="99" t="e">
        <f>'Effort Estimation'!Q622+"AM:!%6u"</f>
        <v>#VALUE!</v>
      </c>
      <c r="BI68" t="e">
        <f>'Effort Estimation'!R622+"AM:!%6v"</f>
        <v>#VALUE!</v>
      </c>
      <c r="BJ68" t="e">
        <f>'Effort Estimation'!S622+"AM:!%6w"</f>
        <v>#VALUE!</v>
      </c>
      <c r="BK68" t="e">
        <f>'Effort Estimation'!T622+"AM:!%6x"</f>
        <v>#VALUE!</v>
      </c>
      <c r="BL68" t="e">
        <f>'Effort Estimation'!A623+"AM:!%6y"</f>
        <v>#VALUE!</v>
      </c>
      <c r="BM68" t="e">
        <f>'Effort Estimation'!B623+"AM:!%6z"</f>
        <v>#VALUE!</v>
      </c>
      <c r="BN68" t="e">
        <f>'Effort Estimation'!C623+"AM:!%6{"</f>
        <v>#VALUE!</v>
      </c>
      <c r="BO68" t="e">
        <f>'Effort Estimation'!D623+"AM:!%6|"</f>
        <v>#VALUE!</v>
      </c>
      <c r="BP68" t="e">
        <f>'Effort Estimation'!E623+"AM:!%6}"</f>
        <v>#VALUE!</v>
      </c>
      <c r="BQ68" t="e">
        <f>'Effort Estimation'!F623+"AM:!%6~"</f>
        <v>#VALUE!</v>
      </c>
      <c r="BR68" t="e">
        <f>'Effort Estimation'!G623+"AM:!%7#"</f>
        <v>#VALUE!</v>
      </c>
      <c r="BS68" t="e">
        <f>'Effort Estimation'!H623+"AM:!%7$"</f>
        <v>#VALUE!</v>
      </c>
      <c r="BT68" t="e">
        <f>'Effort Estimation'!I623+"AM:!%7%"</f>
        <v>#VALUE!</v>
      </c>
      <c r="BU68" s="99" t="e">
        <f>'Effort Estimation'!J623+"AM:!%7&amp;"</f>
        <v>#VALUE!</v>
      </c>
      <c r="BV68" s="99" t="e">
        <f>'Effort Estimation'!K623+"AM:!%7'"</f>
        <v>#VALUE!</v>
      </c>
      <c r="BW68" s="99" t="e">
        <f>'Effort Estimation'!L623+"AM:!%7("</f>
        <v>#VALUE!</v>
      </c>
      <c r="BX68" s="99" t="e">
        <f>'Effort Estimation'!M623+"AM:!%7)"</f>
        <v>#VALUE!</v>
      </c>
      <c r="BY68" s="99" t="e">
        <f>'Effort Estimation'!N623+"AM:!%7."</f>
        <v>#VALUE!</v>
      </c>
      <c r="BZ68" s="99" t="e">
        <f>'Effort Estimation'!O623+"AM:!%7/"</f>
        <v>#VALUE!</v>
      </c>
      <c r="CA68" s="99" t="e">
        <f>'Effort Estimation'!P623+"AM:!%70"</f>
        <v>#VALUE!</v>
      </c>
      <c r="CB68" s="99" t="e">
        <f>'Effort Estimation'!Q623+"AM:!%71"</f>
        <v>#VALUE!</v>
      </c>
      <c r="CC68" t="e">
        <f>'Effort Estimation'!R623+"AM:!%72"</f>
        <v>#VALUE!</v>
      </c>
      <c r="CD68" t="e">
        <f>'Effort Estimation'!S623+"AM:!%73"</f>
        <v>#VALUE!</v>
      </c>
      <c r="CE68" t="e">
        <f>'Effort Estimation'!T623+"AM:!%74"</f>
        <v>#VALUE!</v>
      </c>
      <c r="CF68" t="e">
        <f>'Effort Estimation'!A624+"AM:!%75"</f>
        <v>#VALUE!</v>
      </c>
      <c r="CG68" t="e">
        <f>'Effort Estimation'!B624+"AM:!%76"</f>
        <v>#VALUE!</v>
      </c>
      <c r="CH68" t="e">
        <f>'Effort Estimation'!C624+"AM:!%77"</f>
        <v>#VALUE!</v>
      </c>
      <c r="CI68" t="e">
        <f>'Effort Estimation'!D624+"AM:!%78"</f>
        <v>#VALUE!</v>
      </c>
      <c r="CJ68" t="e">
        <f>'Effort Estimation'!E624+"AM:!%79"</f>
        <v>#VALUE!</v>
      </c>
      <c r="CK68" t="e">
        <f>'Effort Estimation'!F624+"AM:!%7:"</f>
        <v>#VALUE!</v>
      </c>
      <c r="CL68" t="e">
        <f>'Effort Estimation'!G624+"AM:!%7;"</f>
        <v>#VALUE!</v>
      </c>
      <c r="CM68" t="e">
        <f>'Effort Estimation'!H624+"AM:!%7&lt;"</f>
        <v>#VALUE!</v>
      </c>
      <c r="CN68" t="e">
        <f>'Effort Estimation'!I624+"AM:!%7="</f>
        <v>#VALUE!</v>
      </c>
      <c r="CO68" s="99" t="e">
        <f>'Effort Estimation'!J624+"AM:!%7&gt;"</f>
        <v>#VALUE!</v>
      </c>
      <c r="CP68" s="99" t="e">
        <f>'Effort Estimation'!K624+"AM:!%7?"</f>
        <v>#VALUE!</v>
      </c>
      <c r="CQ68" s="99" t="e">
        <f>'Effort Estimation'!L624+"AM:!%7@"</f>
        <v>#VALUE!</v>
      </c>
      <c r="CR68" s="99" t="e">
        <f>'Effort Estimation'!M624+"AM:!%7A"</f>
        <v>#VALUE!</v>
      </c>
      <c r="CS68" s="99" t="e">
        <f>'Effort Estimation'!N624+"AM:!%7B"</f>
        <v>#VALUE!</v>
      </c>
      <c r="CT68" s="99" t="e">
        <f>'Effort Estimation'!O624+"AM:!%7C"</f>
        <v>#VALUE!</v>
      </c>
      <c r="CU68" s="99" t="e">
        <f>'Effort Estimation'!P624+"AM:!%7D"</f>
        <v>#VALUE!</v>
      </c>
      <c r="CV68" s="99" t="e">
        <f>'Effort Estimation'!Q624+"AM:!%7E"</f>
        <v>#VALUE!</v>
      </c>
      <c r="CW68" t="e">
        <f>'Effort Estimation'!R624+"AM:!%7F"</f>
        <v>#VALUE!</v>
      </c>
      <c r="CX68" t="e">
        <f>'Effort Estimation'!S624+"AM:!%7G"</f>
        <v>#VALUE!</v>
      </c>
      <c r="CY68" t="e">
        <f>'Effort Estimation'!T624+"AM:!%7H"</f>
        <v>#VALUE!</v>
      </c>
      <c r="CZ68" t="e">
        <f>'Effort Estimation'!A625+"AM:!%7I"</f>
        <v>#VALUE!</v>
      </c>
      <c r="DA68" t="e">
        <f>'Effort Estimation'!B625+"AM:!%7J"</f>
        <v>#VALUE!</v>
      </c>
      <c r="DB68" t="e">
        <f>'Effort Estimation'!C625+"AM:!%7K"</f>
        <v>#VALUE!</v>
      </c>
      <c r="DC68" t="e">
        <f>'Effort Estimation'!D625+"AM:!%7L"</f>
        <v>#VALUE!</v>
      </c>
      <c r="DD68" t="e">
        <f>'Effort Estimation'!E625+"AM:!%7M"</f>
        <v>#VALUE!</v>
      </c>
      <c r="DE68" t="e">
        <f>'Effort Estimation'!F625+"AM:!%7N"</f>
        <v>#VALUE!</v>
      </c>
      <c r="DF68" t="e">
        <f>'Effort Estimation'!G625+"AM:!%7O"</f>
        <v>#VALUE!</v>
      </c>
      <c r="DG68" t="e">
        <f>'Effort Estimation'!H625+"AM:!%7P"</f>
        <v>#VALUE!</v>
      </c>
      <c r="DH68" t="e">
        <f>'Effort Estimation'!I625+"AM:!%7Q"</f>
        <v>#VALUE!</v>
      </c>
      <c r="DI68" s="99" t="e">
        <f>'Effort Estimation'!J625+"AM:!%7R"</f>
        <v>#VALUE!</v>
      </c>
      <c r="DJ68" s="99" t="e">
        <f>'Effort Estimation'!K625+"AM:!%7S"</f>
        <v>#VALUE!</v>
      </c>
      <c r="DK68" s="99" t="e">
        <f>'Effort Estimation'!L625+"AM:!%7T"</f>
        <v>#VALUE!</v>
      </c>
      <c r="DL68" s="99" t="e">
        <f>'Effort Estimation'!M625+"AM:!%7U"</f>
        <v>#VALUE!</v>
      </c>
      <c r="DM68" s="99" t="e">
        <f>'Effort Estimation'!N625+"AM:!%7V"</f>
        <v>#VALUE!</v>
      </c>
      <c r="DN68" s="99" t="e">
        <f>'Effort Estimation'!O625+"AM:!%7W"</f>
        <v>#VALUE!</v>
      </c>
      <c r="DO68" s="99" t="e">
        <f>'Effort Estimation'!P625+"AM:!%7X"</f>
        <v>#VALUE!</v>
      </c>
      <c r="DP68" s="99" t="e">
        <f>'Effort Estimation'!Q625+"AM:!%7Y"</f>
        <v>#VALUE!</v>
      </c>
      <c r="DQ68" t="e">
        <f>'Effort Estimation'!R625+"AM:!%7Z"</f>
        <v>#VALUE!</v>
      </c>
      <c r="DR68" t="e">
        <f>'Effort Estimation'!S625+"AM:!%7["</f>
        <v>#VALUE!</v>
      </c>
      <c r="DS68" t="e">
        <f>'Effort Estimation'!T625+"AM:!%7\"</f>
        <v>#VALUE!</v>
      </c>
      <c r="DT68" t="e">
        <f>'Effort Estimation'!A626+"AM:!%7]"</f>
        <v>#VALUE!</v>
      </c>
      <c r="DU68" t="e">
        <f>'Effort Estimation'!B626+"AM:!%7^"</f>
        <v>#VALUE!</v>
      </c>
      <c r="DV68" t="e">
        <f>'Effort Estimation'!C626+"AM:!%7_"</f>
        <v>#VALUE!</v>
      </c>
      <c r="DW68" t="e">
        <f>'Effort Estimation'!D626+"AM:!%7`"</f>
        <v>#VALUE!</v>
      </c>
      <c r="DX68" t="e">
        <f>'Effort Estimation'!E626+"AM:!%7a"</f>
        <v>#VALUE!</v>
      </c>
      <c r="DY68" t="e">
        <f>'Effort Estimation'!F626+"AM:!%7b"</f>
        <v>#VALUE!</v>
      </c>
      <c r="DZ68" t="e">
        <f>'Effort Estimation'!G626+"AM:!%7c"</f>
        <v>#VALUE!</v>
      </c>
      <c r="EA68" t="e">
        <f>'Effort Estimation'!H626+"AM:!%7d"</f>
        <v>#VALUE!</v>
      </c>
      <c r="EB68" t="e">
        <f>'Effort Estimation'!I626+"AM:!%7e"</f>
        <v>#VALUE!</v>
      </c>
      <c r="EC68" s="99" t="e">
        <f>'Effort Estimation'!J626+"AM:!%7f"</f>
        <v>#VALUE!</v>
      </c>
      <c r="ED68" s="99" t="e">
        <f>'Effort Estimation'!K626+"AM:!%7g"</f>
        <v>#VALUE!</v>
      </c>
      <c r="EE68" s="99" t="e">
        <f>'Effort Estimation'!L626+"AM:!%7h"</f>
        <v>#VALUE!</v>
      </c>
      <c r="EF68" s="99" t="e">
        <f>'Effort Estimation'!M626+"AM:!%7i"</f>
        <v>#VALUE!</v>
      </c>
      <c r="EG68" s="99" t="e">
        <f>'Effort Estimation'!N626+"AM:!%7j"</f>
        <v>#VALUE!</v>
      </c>
      <c r="EH68" s="99" t="e">
        <f>'Effort Estimation'!O626+"AM:!%7k"</f>
        <v>#VALUE!</v>
      </c>
      <c r="EI68" s="99" t="e">
        <f>'Effort Estimation'!P626+"AM:!%7l"</f>
        <v>#VALUE!</v>
      </c>
      <c r="EJ68" s="99" t="e">
        <f>'Effort Estimation'!Q626+"AM:!%7m"</f>
        <v>#VALUE!</v>
      </c>
      <c r="EK68" t="e">
        <f>'Effort Estimation'!R626+"AM:!%7n"</f>
        <v>#VALUE!</v>
      </c>
      <c r="EL68" t="e">
        <f>'Effort Estimation'!S626+"AM:!%7o"</f>
        <v>#VALUE!</v>
      </c>
      <c r="EM68" t="e">
        <f>'Effort Estimation'!T626+"AM:!%7p"</f>
        <v>#VALUE!</v>
      </c>
      <c r="EN68" t="e">
        <f>'Effort Estimation'!A627+"AM:!%7q"</f>
        <v>#VALUE!</v>
      </c>
      <c r="EO68" t="e">
        <f>'Effort Estimation'!B627+"AM:!%7r"</f>
        <v>#VALUE!</v>
      </c>
      <c r="EP68" t="e">
        <f>'Effort Estimation'!C627+"AM:!%7s"</f>
        <v>#VALUE!</v>
      </c>
      <c r="EQ68" t="e">
        <f>'Effort Estimation'!D627+"AM:!%7t"</f>
        <v>#VALUE!</v>
      </c>
      <c r="ER68" t="e">
        <f>'Effort Estimation'!E627+"AM:!%7u"</f>
        <v>#VALUE!</v>
      </c>
      <c r="ES68" t="e">
        <f>'Effort Estimation'!F627+"AM:!%7v"</f>
        <v>#VALUE!</v>
      </c>
      <c r="ET68" t="e">
        <f>'Effort Estimation'!G627+"AM:!%7w"</f>
        <v>#VALUE!</v>
      </c>
      <c r="EU68" t="e">
        <f>'Effort Estimation'!H627+"AM:!%7x"</f>
        <v>#VALUE!</v>
      </c>
      <c r="EV68" t="e">
        <f>'Effort Estimation'!I627+"AM:!%7y"</f>
        <v>#VALUE!</v>
      </c>
      <c r="EW68" s="99" t="e">
        <f>'Effort Estimation'!J627+"AM:!%7z"</f>
        <v>#VALUE!</v>
      </c>
      <c r="EX68" s="99" t="e">
        <f>'Effort Estimation'!K627+"AM:!%7{"</f>
        <v>#VALUE!</v>
      </c>
      <c r="EY68" s="99" t="e">
        <f>'Effort Estimation'!L627+"AM:!%7|"</f>
        <v>#VALUE!</v>
      </c>
      <c r="EZ68" s="99" t="e">
        <f>'Effort Estimation'!M627+"AM:!%7}"</f>
        <v>#VALUE!</v>
      </c>
      <c r="FA68" s="99" t="e">
        <f>'Effort Estimation'!N627+"AM:!%7~"</f>
        <v>#VALUE!</v>
      </c>
      <c r="FB68" s="99" t="e">
        <f>'Effort Estimation'!O627+"AM:!%8#"</f>
        <v>#VALUE!</v>
      </c>
      <c r="FC68" s="99" t="e">
        <f>'Effort Estimation'!P627+"AM:!%8$"</f>
        <v>#VALUE!</v>
      </c>
      <c r="FD68" s="99" t="e">
        <f>'Effort Estimation'!Q627+"AM:!%8%"</f>
        <v>#VALUE!</v>
      </c>
      <c r="FE68" t="e">
        <f>'Effort Estimation'!R627+"AM:!%8&amp;"</f>
        <v>#VALUE!</v>
      </c>
      <c r="FF68" t="e">
        <f>'Effort Estimation'!S627+"AM:!%8'"</f>
        <v>#VALUE!</v>
      </c>
      <c r="FG68" t="e">
        <f>'Effort Estimation'!T627+"AM:!%8("</f>
        <v>#VALUE!</v>
      </c>
      <c r="FH68" t="e">
        <f>'Effort Estimation'!A628+"AM:!%8)"</f>
        <v>#VALUE!</v>
      </c>
      <c r="FI68" t="e">
        <f>'Effort Estimation'!B628+"AM:!%8."</f>
        <v>#VALUE!</v>
      </c>
      <c r="FJ68" t="e">
        <f>'Effort Estimation'!C628+"AM:!%8/"</f>
        <v>#VALUE!</v>
      </c>
      <c r="FK68" t="e">
        <f>'Effort Estimation'!D628+"AM:!%80"</f>
        <v>#VALUE!</v>
      </c>
      <c r="FL68" t="e">
        <f>'Effort Estimation'!E628+"AM:!%81"</f>
        <v>#VALUE!</v>
      </c>
      <c r="FM68" t="e">
        <f>'Effort Estimation'!F628+"AM:!%82"</f>
        <v>#VALUE!</v>
      </c>
      <c r="FN68" t="e">
        <f>'Effort Estimation'!G628+"AM:!%83"</f>
        <v>#VALUE!</v>
      </c>
      <c r="FO68" t="e">
        <f>'Effort Estimation'!H628+"AM:!%84"</f>
        <v>#VALUE!</v>
      </c>
      <c r="FP68" t="e">
        <f>'Effort Estimation'!I628+"AM:!%85"</f>
        <v>#VALUE!</v>
      </c>
      <c r="FQ68" s="99" t="e">
        <f>'Effort Estimation'!J628+"AM:!%86"</f>
        <v>#VALUE!</v>
      </c>
      <c r="FR68" s="99" t="e">
        <f>'Effort Estimation'!K628+"AM:!%87"</f>
        <v>#VALUE!</v>
      </c>
      <c r="FS68" s="99" t="e">
        <f>'Effort Estimation'!L628+"AM:!%88"</f>
        <v>#VALUE!</v>
      </c>
      <c r="FT68" s="99" t="e">
        <f>'Effort Estimation'!M628+"AM:!%89"</f>
        <v>#VALUE!</v>
      </c>
      <c r="FU68" s="99" t="e">
        <f>'Effort Estimation'!N628+"AM:!%8:"</f>
        <v>#VALUE!</v>
      </c>
      <c r="FV68" s="99" t="e">
        <f>'Effort Estimation'!O628+"AM:!%8;"</f>
        <v>#VALUE!</v>
      </c>
      <c r="FW68" s="99" t="e">
        <f>'Effort Estimation'!P628+"AM:!%8&lt;"</f>
        <v>#VALUE!</v>
      </c>
      <c r="FX68" s="99" t="e">
        <f>'Effort Estimation'!Q628+"AM:!%8="</f>
        <v>#VALUE!</v>
      </c>
      <c r="FY68" t="e">
        <f>'Effort Estimation'!R628+"AM:!%8&gt;"</f>
        <v>#VALUE!</v>
      </c>
      <c r="FZ68" t="e">
        <f>'Effort Estimation'!S628+"AM:!%8?"</f>
        <v>#VALUE!</v>
      </c>
      <c r="GA68" t="e">
        <f>'Effort Estimation'!T628+"AM:!%8@"</f>
        <v>#VALUE!</v>
      </c>
      <c r="GB68" t="e">
        <f>'Effort Estimation'!A629+"AM:!%8A"</f>
        <v>#VALUE!</v>
      </c>
      <c r="GC68" t="e">
        <f>'Effort Estimation'!B629+"AM:!%8B"</f>
        <v>#VALUE!</v>
      </c>
      <c r="GD68" t="e">
        <f>'Effort Estimation'!C629+"AM:!%8C"</f>
        <v>#VALUE!</v>
      </c>
      <c r="GE68" t="e">
        <f>'Effort Estimation'!D629+"AM:!%8D"</f>
        <v>#VALUE!</v>
      </c>
      <c r="GF68" t="e">
        <f>'Effort Estimation'!E629+"AM:!%8E"</f>
        <v>#VALUE!</v>
      </c>
      <c r="GG68" t="e">
        <f>'Effort Estimation'!F629+"AM:!%8F"</f>
        <v>#VALUE!</v>
      </c>
      <c r="GH68" t="e">
        <f>'Effort Estimation'!G629+"AM:!%8G"</f>
        <v>#VALUE!</v>
      </c>
      <c r="GI68" t="e">
        <f>'Effort Estimation'!H629+"AM:!%8H"</f>
        <v>#VALUE!</v>
      </c>
      <c r="GJ68" t="e">
        <f>'Effort Estimation'!I629+"AM:!%8I"</f>
        <v>#VALUE!</v>
      </c>
      <c r="GK68" s="99" t="e">
        <f>'Effort Estimation'!J629+"AM:!%8J"</f>
        <v>#VALUE!</v>
      </c>
      <c r="GL68" s="99" t="e">
        <f>'Effort Estimation'!K629+"AM:!%8K"</f>
        <v>#VALUE!</v>
      </c>
      <c r="GM68" s="99" t="e">
        <f>'Effort Estimation'!L629+"AM:!%8L"</f>
        <v>#VALUE!</v>
      </c>
      <c r="GN68" s="99" t="e">
        <f>'Effort Estimation'!M629+"AM:!%8M"</f>
        <v>#VALUE!</v>
      </c>
      <c r="GO68" s="99" t="e">
        <f>'Effort Estimation'!N629+"AM:!%8N"</f>
        <v>#VALUE!</v>
      </c>
      <c r="GP68" s="99" t="e">
        <f>'Effort Estimation'!O629+"AM:!%8O"</f>
        <v>#VALUE!</v>
      </c>
      <c r="GQ68" s="99" t="e">
        <f>'Effort Estimation'!P629+"AM:!%8P"</f>
        <v>#VALUE!</v>
      </c>
      <c r="GR68" s="99" t="e">
        <f>'Effort Estimation'!Q629+"AM:!%8Q"</f>
        <v>#VALUE!</v>
      </c>
      <c r="GS68" t="e">
        <f>'Effort Estimation'!R629+"AM:!%8R"</f>
        <v>#VALUE!</v>
      </c>
      <c r="GT68" t="e">
        <f>'Effort Estimation'!S629+"AM:!%8S"</f>
        <v>#VALUE!</v>
      </c>
      <c r="GU68" t="e">
        <f>'Effort Estimation'!T629+"AM:!%8T"</f>
        <v>#VALUE!</v>
      </c>
      <c r="GV68" t="e">
        <f>'Effort Estimation'!A630+"AM:!%8U"</f>
        <v>#VALUE!</v>
      </c>
      <c r="GW68" t="e">
        <f>'Effort Estimation'!B630+"AM:!%8V"</f>
        <v>#VALUE!</v>
      </c>
      <c r="GX68" t="e">
        <f>'Effort Estimation'!C630+"AM:!%8W"</f>
        <v>#VALUE!</v>
      </c>
      <c r="GY68" t="e">
        <f>'Effort Estimation'!D630+"AM:!%8X"</f>
        <v>#VALUE!</v>
      </c>
      <c r="GZ68" t="e">
        <f>'Effort Estimation'!E630+"AM:!%8Y"</f>
        <v>#VALUE!</v>
      </c>
      <c r="HA68" t="e">
        <f>'Effort Estimation'!F630+"AM:!%8Z"</f>
        <v>#VALUE!</v>
      </c>
      <c r="HB68" t="e">
        <f>'Effort Estimation'!G630+"AM:!%8["</f>
        <v>#VALUE!</v>
      </c>
      <c r="HC68" t="e">
        <f>'Effort Estimation'!H630+"AM:!%8\"</f>
        <v>#VALUE!</v>
      </c>
      <c r="HD68" t="e">
        <f>'Effort Estimation'!I630+"AM:!%8]"</f>
        <v>#VALUE!</v>
      </c>
      <c r="HE68" s="99" t="e">
        <f>'Effort Estimation'!J630+"AM:!%8^"</f>
        <v>#VALUE!</v>
      </c>
      <c r="HF68" s="99" t="e">
        <f>'Effort Estimation'!K630+"AM:!%8_"</f>
        <v>#VALUE!</v>
      </c>
      <c r="HG68" s="99" t="e">
        <f>'Effort Estimation'!L630+"AM:!%8`"</f>
        <v>#VALUE!</v>
      </c>
      <c r="HH68" s="99" t="e">
        <f>'Effort Estimation'!M630+"AM:!%8a"</f>
        <v>#VALUE!</v>
      </c>
      <c r="HI68" s="99" t="e">
        <f>'Effort Estimation'!N630+"AM:!%8b"</f>
        <v>#VALUE!</v>
      </c>
      <c r="HJ68" s="99" t="e">
        <f>'Effort Estimation'!O630+"AM:!%8c"</f>
        <v>#VALUE!</v>
      </c>
      <c r="HK68" s="99" t="e">
        <f>'Effort Estimation'!P630+"AM:!%8d"</f>
        <v>#VALUE!</v>
      </c>
      <c r="HL68" s="99" t="e">
        <f>'Effort Estimation'!Q630+"AM:!%8e"</f>
        <v>#VALUE!</v>
      </c>
      <c r="HM68" t="e">
        <f>'Effort Estimation'!R630+"AM:!%8f"</f>
        <v>#VALUE!</v>
      </c>
      <c r="HN68" t="e">
        <f>'Effort Estimation'!S630+"AM:!%8g"</f>
        <v>#VALUE!</v>
      </c>
      <c r="HO68" t="e">
        <f>'Effort Estimation'!T630+"AM:!%8h"</f>
        <v>#VALUE!</v>
      </c>
      <c r="HP68" t="e">
        <f>'Effort Estimation'!A631+"AM:!%8i"</f>
        <v>#VALUE!</v>
      </c>
      <c r="HQ68" t="e">
        <f>'Effort Estimation'!B631+"AM:!%8j"</f>
        <v>#VALUE!</v>
      </c>
      <c r="HR68" t="e">
        <f>'Effort Estimation'!C631+"AM:!%8k"</f>
        <v>#VALUE!</v>
      </c>
      <c r="HS68" t="e">
        <f>'Effort Estimation'!D631+"AM:!%8l"</f>
        <v>#VALUE!</v>
      </c>
      <c r="HT68" t="e">
        <f>'Effort Estimation'!E631+"AM:!%8m"</f>
        <v>#VALUE!</v>
      </c>
      <c r="HU68" t="e">
        <f>'Effort Estimation'!F631+"AM:!%8n"</f>
        <v>#VALUE!</v>
      </c>
      <c r="HV68" t="e">
        <f>'Effort Estimation'!G631+"AM:!%8o"</f>
        <v>#VALUE!</v>
      </c>
      <c r="HW68" t="e">
        <f>'Effort Estimation'!H631+"AM:!%8p"</f>
        <v>#VALUE!</v>
      </c>
      <c r="HX68" t="e">
        <f>'Effort Estimation'!I631+"AM:!%8q"</f>
        <v>#VALUE!</v>
      </c>
      <c r="HY68" s="99" t="e">
        <f>'Effort Estimation'!J631+"AM:!%8r"</f>
        <v>#VALUE!</v>
      </c>
      <c r="HZ68" s="99" t="e">
        <f>'Effort Estimation'!K631+"AM:!%8s"</f>
        <v>#VALUE!</v>
      </c>
      <c r="IA68" s="99" t="e">
        <f>'Effort Estimation'!L631+"AM:!%8t"</f>
        <v>#VALUE!</v>
      </c>
      <c r="IB68" s="99" t="e">
        <f>'Effort Estimation'!M631+"AM:!%8u"</f>
        <v>#VALUE!</v>
      </c>
      <c r="IC68" s="99" t="e">
        <f>'Effort Estimation'!N631+"AM:!%8v"</f>
        <v>#VALUE!</v>
      </c>
      <c r="ID68" s="99" t="e">
        <f>'Effort Estimation'!O631+"AM:!%8w"</f>
        <v>#VALUE!</v>
      </c>
      <c r="IE68" s="99" t="e">
        <f>'Effort Estimation'!P631+"AM:!%8x"</f>
        <v>#VALUE!</v>
      </c>
      <c r="IF68" s="99" t="e">
        <f>'Effort Estimation'!Q631+"AM:!%8y"</f>
        <v>#VALUE!</v>
      </c>
      <c r="IG68" t="e">
        <f>'Effort Estimation'!R631+"AM:!%8z"</f>
        <v>#VALUE!</v>
      </c>
      <c r="IH68" t="e">
        <f>'Effort Estimation'!S631+"AM:!%8{"</f>
        <v>#VALUE!</v>
      </c>
      <c r="II68" t="e">
        <f>'Effort Estimation'!T631+"AM:!%8|"</f>
        <v>#VALUE!</v>
      </c>
      <c r="IJ68" t="e">
        <f>'Effort Estimation'!A632+"AM:!%8}"</f>
        <v>#VALUE!</v>
      </c>
      <c r="IK68" t="e">
        <f>'Effort Estimation'!B632+"AM:!%8~"</f>
        <v>#VALUE!</v>
      </c>
      <c r="IL68" t="e">
        <f>'Effort Estimation'!C632+"AM:!%9#"</f>
        <v>#VALUE!</v>
      </c>
      <c r="IM68" t="e">
        <f>'Effort Estimation'!D632+"AM:!%9$"</f>
        <v>#VALUE!</v>
      </c>
      <c r="IN68" t="e">
        <f>'Effort Estimation'!E632+"AM:!%9%"</f>
        <v>#VALUE!</v>
      </c>
      <c r="IO68" t="e">
        <f>'Effort Estimation'!F632+"AM:!%9&amp;"</f>
        <v>#VALUE!</v>
      </c>
      <c r="IP68" t="e">
        <f>'Effort Estimation'!G632+"AM:!%9'"</f>
        <v>#VALUE!</v>
      </c>
      <c r="IQ68" t="e">
        <f>'Effort Estimation'!H632+"AM:!%9("</f>
        <v>#VALUE!</v>
      </c>
      <c r="IR68" t="e">
        <f>'Effort Estimation'!I632+"AM:!%9)"</f>
        <v>#VALUE!</v>
      </c>
      <c r="IS68" s="99" t="e">
        <f>'Effort Estimation'!J632+"AM:!%9."</f>
        <v>#VALUE!</v>
      </c>
      <c r="IT68" s="99" t="e">
        <f>'Effort Estimation'!K632+"AM:!%9/"</f>
        <v>#VALUE!</v>
      </c>
      <c r="IU68" s="99" t="e">
        <f>'Effort Estimation'!L632+"AM:!%90"</f>
        <v>#VALUE!</v>
      </c>
      <c r="IV68" s="99" t="e">
        <f>'Effort Estimation'!M632+"AM:!%91"</f>
        <v>#VALUE!</v>
      </c>
    </row>
    <row r="69" spans="6:256">
      <c r="F69" s="99" t="e">
        <f>'Effort Estimation'!N632+"AM:!%92"</f>
        <v>#VALUE!</v>
      </c>
      <c r="G69" s="99" t="e">
        <f>'Effort Estimation'!O632+"AM:!%93"</f>
        <v>#VALUE!</v>
      </c>
      <c r="H69" s="99" t="e">
        <f>'Effort Estimation'!P632+"AM:!%94"</f>
        <v>#VALUE!</v>
      </c>
      <c r="I69" s="99" t="e">
        <f>'Effort Estimation'!Q632+"AM:!%95"</f>
        <v>#VALUE!</v>
      </c>
      <c r="J69" t="e">
        <f>'Effort Estimation'!R632+"AM:!%96"</f>
        <v>#VALUE!</v>
      </c>
      <c r="K69" t="e">
        <f>'Effort Estimation'!S632+"AM:!%97"</f>
        <v>#VALUE!</v>
      </c>
      <c r="L69" t="e">
        <f>'Effort Estimation'!T632+"AM:!%98"</f>
        <v>#VALUE!</v>
      </c>
      <c r="M69" t="e">
        <f>'Effort Estimation'!A633+"AM:!%99"</f>
        <v>#VALUE!</v>
      </c>
      <c r="N69" t="e">
        <f>'Effort Estimation'!B633+"AM:!%9:"</f>
        <v>#VALUE!</v>
      </c>
      <c r="O69" t="e">
        <f>'Effort Estimation'!C633+"AM:!%9;"</f>
        <v>#VALUE!</v>
      </c>
      <c r="P69" t="e">
        <f>'Effort Estimation'!D633+"AM:!%9&lt;"</f>
        <v>#VALUE!</v>
      </c>
      <c r="Q69" t="e">
        <f>'Effort Estimation'!E633+"AM:!%9="</f>
        <v>#VALUE!</v>
      </c>
      <c r="R69" t="e">
        <f>'Effort Estimation'!F633+"AM:!%9&gt;"</f>
        <v>#VALUE!</v>
      </c>
      <c r="S69" t="e">
        <f>'Effort Estimation'!G633+"AM:!%9?"</f>
        <v>#VALUE!</v>
      </c>
      <c r="T69" t="e">
        <f>'Effort Estimation'!H633+"AM:!%9@"</f>
        <v>#VALUE!</v>
      </c>
      <c r="U69" t="e">
        <f>'Effort Estimation'!I633+"AM:!%9A"</f>
        <v>#VALUE!</v>
      </c>
      <c r="V69" s="99" t="e">
        <f>'Effort Estimation'!J633+"AM:!%9B"</f>
        <v>#VALUE!</v>
      </c>
      <c r="W69" s="99" t="e">
        <f>'Effort Estimation'!K633+"AM:!%9C"</f>
        <v>#VALUE!</v>
      </c>
      <c r="X69" s="99" t="e">
        <f>'Effort Estimation'!L633+"AM:!%9D"</f>
        <v>#VALUE!</v>
      </c>
      <c r="Y69" s="99" t="e">
        <f>'Effort Estimation'!M633+"AM:!%9E"</f>
        <v>#VALUE!</v>
      </c>
      <c r="Z69" s="99" t="e">
        <f>'Effort Estimation'!N633+"AM:!%9F"</f>
        <v>#VALUE!</v>
      </c>
      <c r="AA69" s="99" t="e">
        <f>'Effort Estimation'!O633+"AM:!%9G"</f>
        <v>#VALUE!</v>
      </c>
      <c r="AB69" s="99" t="e">
        <f>'Effort Estimation'!P633+"AM:!%9H"</f>
        <v>#VALUE!</v>
      </c>
      <c r="AC69" s="99" t="e">
        <f>'Effort Estimation'!Q633+"AM:!%9I"</f>
        <v>#VALUE!</v>
      </c>
      <c r="AD69" t="e">
        <f>'Effort Estimation'!R633+"AM:!%9J"</f>
        <v>#VALUE!</v>
      </c>
      <c r="AE69" t="e">
        <f>'Effort Estimation'!S633+"AM:!%9K"</f>
        <v>#VALUE!</v>
      </c>
      <c r="AF69" t="e">
        <f>'Effort Estimation'!T633+"AM:!%9L"</f>
        <v>#VALUE!</v>
      </c>
      <c r="AG69" t="e">
        <f>'Effort Estimation'!A634+"AM:!%9M"</f>
        <v>#VALUE!</v>
      </c>
      <c r="AH69" t="e">
        <f>'Effort Estimation'!B634+"AM:!%9N"</f>
        <v>#VALUE!</v>
      </c>
      <c r="AI69" t="e">
        <f>'Effort Estimation'!C634+"AM:!%9O"</f>
        <v>#VALUE!</v>
      </c>
      <c r="AJ69" t="e">
        <f>'Effort Estimation'!D634+"AM:!%9P"</f>
        <v>#VALUE!</v>
      </c>
      <c r="AK69" t="e">
        <f>'Effort Estimation'!E634+"AM:!%9Q"</f>
        <v>#VALUE!</v>
      </c>
      <c r="AL69" t="e">
        <f>'Effort Estimation'!F634+"AM:!%9R"</f>
        <v>#VALUE!</v>
      </c>
      <c r="AM69" t="e">
        <f>'Effort Estimation'!G634+"AM:!%9S"</f>
        <v>#VALUE!</v>
      </c>
      <c r="AN69" t="e">
        <f>'Effort Estimation'!H634+"AM:!%9T"</f>
        <v>#VALUE!</v>
      </c>
      <c r="AO69" t="e">
        <f>'Effort Estimation'!I634+"AM:!%9U"</f>
        <v>#VALUE!</v>
      </c>
      <c r="AP69" s="99" t="e">
        <f>'Effort Estimation'!J634+"AM:!%9V"</f>
        <v>#VALUE!</v>
      </c>
      <c r="AQ69" s="99" t="e">
        <f>'Effort Estimation'!K634+"AM:!%9W"</f>
        <v>#VALUE!</v>
      </c>
      <c r="AR69" s="99" t="e">
        <f>'Effort Estimation'!L634+"AM:!%9X"</f>
        <v>#VALUE!</v>
      </c>
      <c r="AS69" s="99" t="e">
        <f>'Effort Estimation'!M634+"AM:!%9Y"</f>
        <v>#VALUE!</v>
      </c>
      <c r="AT69" s="99" t="e">
        <f>'Effort Estimation'!N634+"AM:!%9Z"</f>
        <v>#VALUE!</v>
      </c>
      <c r="AU69" s="99" t="e">
        <f>'Effort Estimation'!O634+"AM:!%9["</f>
        <v>#VALUE!</v>
      </c>
      <c r="AV69" s="99" t="e">
        <f>'Effort Estimation'!P634+"AM:!%9\"</f>
        <v>#VALUE!</v>
      </c>
      <c r="AW69" s="99" t="e">
        <f>'Effort Estimation'!Q634+"AM:!%9]"</f>
        <v>#VALUE!</v>
      </c>
      <c r="AX69" t="e">
        <f>'Effort Estimation'!R634+"AM:!%9^"</f>
        <v>#VALUE!</v>
      </c>
      <c r="AY69" t="e">
        <f>'Effort Estimation'!S634+"AM:!%9_"</f>
        <v>#VALUE!</v>
      </c>
      <c r="AZ69" t="e">
        <f>'Effort Estimation'!T634+"AM:!%9`"</f>
        <v>#VALUE!</v>
      </c>
      <c r="BA69" t="e">
        <f>'Effort Estimation'!A635+"AM:!%9a"</f>
        <v>#VALUE!</v>
      </c>
      <c r="BB69" t="e">
        <f>'Effort Estimation'!B635+"AM:!%9b"</f>
        <v>#VALUE!</v>
      </c>
      <c r="BC69" t="e">
        <f>'Effort Estimation'!C635+"AM:!%9c"</f>
        <v>#VALUE!</v>
      </c>
      <c r="BD69" t="e">
        <f>'Effort Estimation'!D635+"AM:!%9d"</f>
        <v>#VALUE!</v>
      </c>
      <c r="BE69" t="e">
        <f>'Effort Estimation'!E635+"AM:!%9e"</f>
        <v>#VALUE!</v>
      </c>
      <c r="BF69" t="e">
        <f>'Effort Estimation'!F635+"AM:!%9f"</f>
        <v>#VALUE!</v>
      </c>
      <c r="BG69" t="e">
        <f>'Effort Estimation'!G635+"AM:!%9g"</f>
        <v>#VALUE!</v>
      </c>
      <c r="BH69" t="e">
        <f>'Effort Estimation'!H635+"AM:!%9h"</f>
        <v>#VALUE!</v>
      </c>
      <c r="BI69" t="e">
        <f>'Effort Estimation'!I635+"AM:!%9i"</f>
        <v>#VALUE!</v>
      </c>
      <c r="BJ69" s="99" t="e">
        <f>'Effort Estimation'!J635+"AM:!%9j"</f>
        <v>#VALUE!</v>
      </c>
      <c r="BK69" s="99" t="e">
        <f>'Effort Estimation'!K635+"AM:!%9k"</f>
        <v>#VALUE!</v>
      </c>
      <c r="BL69" s="99" t="e">
        <f>'Effort Estimation'!L635+"AM:!%9l"</f>
        <v>#VALUE!</v>
      </c>
      <c r="BM69" s="99" t="e">
        <f>'Effort Estimation'!M635+"AM:!%9m"</f>
        <v>#VALUE!</v>
      </c>
      <c r="BN69" s="99" t="e">
        <f>'Effort Estimation'!N635+"AM:!%9n"</f>
        <v>#VALUE!</v>
      </c>
      <c r="BO69" s="99" t="e">
        <f>'Effort Estimation'!O635+"AM:!%9o"</f>
        <v>#VALUE!</v>
      </c>
      <c r="BP69" s="99" t="e">
        <f>'Effort Estimation'!P635+"AM:!%9p"</f>
        <v>#VALUE!</v>
      </c>
      <c r="BQ69" s="99" t="e">
        <f>'Effort Estimation'!Q635+"AM:!%9q"</f>
        <v>#VALUE!</v>
      </c>
      <c r="BR69" t="e">
        <f>'Effort Estimation'!R635+"AM:!%9r"</f>
        <v>#VALUE!</v>
      </c>
      <c r="BS69" t="e">
        <f>'Effort Estimation'!S635+"AM:!%9s"</f>
        <v>#VALUE!</v>
      </c>
      <c r="BT69" t="e">
        <f>'Effort Estimation'!T635+"AM:!%9t"</f>
        <v>#VALUE!</v>
      </c>
      <c r="BU69" t="e">
        <f>'Effort Estimation'!A636+"AM:!%9u"</f>
        <v>#VALUE!</v>
      </c>
      <c r="BV69" t="e">
        <f>'Effort Estimation'!B636+"AM:!%9v"</f>
        <v>#VALUE!</v>
      </c>
      <c r="BW69" t="e">
        <f>'Effort Estimation'!C636+"AM:!%9w"</f>
        <v>#VALUE!</v>
      </c>
      <c r="BX69" t="e">
        <f>'Effort Estimation'!D636+"AM:!%9x"</f>
        <v>#VALUE!</v>
      </c>
      <c r="BY69" t="e">
        <f>'Effort Estimation'!E636+"AM:!%9y"</f>
        <v>#VALUE!</v>
      </c>
      <c r="BZ69" t="e">
        <f>'Effort Estimation'!F636+"AM:!%9z"</f>
        <v>#VALUE!</v>
      </c>
      <c r="CA69" t="e">
        <f>'Effort Estimation'!G636+"AM:!%9{"</f>
        <v>#VALUE!</v>
      </c>
      <c r="CB69" t="e">
        <f>'Effort Estimation'!H636+"AM:!%9|"</f>
        <v>#VALUE!</v>
      </c>
      <c r="CC69" t="e">
        <f>'Effort Estimation'!I636+"AM:!%9}"</f>
        <v>#VALUE!</v>
      </c>
      <c r="CD69" s="99" t="e">
        <f>'Effort Estimation'!J636+"AM:!%9~"</f>
        <v>#VALUE!</v>
      </c>
      <c r="CE69" s="99" t="e">
        <f>'Effort Estimation'!K636+"AM:!%:#"</f>
        <v>#VALUE!</v>
      </c>
      <c r="CF69" s="99" t="e">
        <f>'Effort Estimation'!L636+"AM:!%:$"</f>
        <v>#VALUE!</v>
      </c>
      <c r="CG69" s="99" t="e">
        <f>'Effort Estimation'!M636+"AM:!%:%"</f>
        <v>#VALUE!</v>
      </c>
      <c r="CH69" s="99" t="e">
        <f>'Effort Estimation'!N636+"AM:!%:&amp;"</f>
        <v>#VALUE!</v>
      </c>
      <c r="CI69" s="99" t="e">
        <f>'Effort Estimation'!O636+"AM:!%:'"</f>
        <v>#VALUE!</v>
      </c>
      <c r="CJ69" s="99" t="e">
        <f>'Effort Estimation'!P636+"AM:!%:("</f>
        <v>#VALUE!</v>
      </c>
      <c r="CK69" s="99" t="e">
        <f>'Effort Estimation'!Q636+"AM:!%:)"</f>
        <v>#VALUE!</v>
      </c>
      <c r="CL69" t="e">
        <f>'Effort Estimation'!R636+"AM:!%:."</f>
        <v>#VALUE!</v>
      </c>
      <c r="CM69" t="e">
        <f>'Effort Estimation'!S636+"AM:!%:/"</f>
        <v>#VALUE!</v>
      </c>
      <c r="CN69" t="e">
        <f>'Effort Estimation'!T636+"AM:!%:0"</f>
        <v>#VALUE!</v>
      </c>
      <c r="CO69" t="e">
        <f>'Effort Estimation'!A637+"AM:!%:1"</f>
        <v>#VALUE!</v>
      </c>
      <c r="CP69" t="e">
        <f>'Effort Estimation'!B637+"AM:!%:2"</f>
        <v>#VALUE!</v>
      </c>
      <c r="CQ69" t="e">
        <f>'Effort Estimation'!C637+"AM:!%:3"</f>
        <v>#VALUE!</v>
      </c>
      <c r="CR69" t="e">
        <f>'Effort Estimation'!D637+"AM:!%:4"</f>
        <v>#VALUE!</v>
      </c>
      <c r="CS69" t="e">
        <f>'Effort Estimation'!E637+"AM:!%:5"</f>
        <v>#VALUE!</v>
      </c>
      <c r="CT69" t="e">
        <f>'Effort Estimation'!F637+"AM:!%:6"</f>
        <v>#VALUE!</v>
      </c>
      <c r="CU69" t="e">
        <f>'Effort Estimation'!G637+"AM:!%:7"</f>
        <v>#VALUE!</v>
      </c>
      <c r="CV69" t="e">
        <f>'Effort Estimation'!H637+"AM:!%:8"</f>
        <v>#VALUE!</v>
      </c>
      <c r="CW69" t="e">
        <f>'Effort Estimation'!I637+"AM:!%:9"</f>
        <v>#VALUE!</v>
      </c>
      <c r="CX69" s="99" t="e">
        <f>'Effort Estimation'!J637+"AM:!%::"</f>
        <v>#VALUE!</v>
      </c>
      <c r="CY69" s="99" t="e">
        <f>'Effort Estimation'!K637+"AM:!%:;"</f>
        <v>#VALUE!</v>
      </c>
      <c r="CZ69" s="99" t="e">
        <f>'Effort Estimation'!L637+"AM:!%:&lt;"</f>
        <v>#VALUE!</v>
      </c>
      <c r="DA69" s="99" t="e">
        <f>'Effort Estimation'!M637+"AM:!%:="</f>
        <v>#VALUE!</v>
      </c>
      <c r="DB69" s="99" t="e">
        <f>'Effort Estimation'!N637+"AM:!%:&gt;"</f>
        <v>#VALUE!</v>
      </c>
      <c r="DC69" s="99" t="e">
        <f>'Effort Estimation'!O637+"AM:!%:?"</f>
        <v>#VALUE!</v>
      </c>
      <c r="DD69" s="99" t="e">
        <f>'Effort Estimation'!P637+"AM:!%:@"</f>
        <v>#VALUE!</v>
      </c>
      <c r="DE69" s="99" t="e">
        <f>'Effort Estimation'!Q637+"AM:!%:A"</f>
        <v>#VALUE!</v>
      </c>
      <c r="DF69" t="e">
        <f>'Effort Estimation'!R637+"AM:!%:B"</f>
        <v>#VALUE!</v>
      </c>
      <c r="DG69" t="e">
        <f>'Effort Estimation'!S637+"AM:!%:C"</f>
        <v>#VALUE!</v>
      </c>
      <c r="DH69" t="e">
        <f>'Effort Estimation'!T637+"AM:!%:D"</f>
        <v>#VALUE!</v>
      </c>
      <c r="DI69" t="e">
        <f>'Effort Estimation'!A638+"AM:!%:E"</f>
        <v>#VALUE!</v>
      </c>
      <c r="DJ69" t="e">
        <f>'Effort Estimation'!B638+"AM:!%:F"</f>
        <v>#VALUE!</v>
      </c>
      <c r="DK69" t="e">
        <f>'Effort Estimation'!C638+"AM:!%:G"</f>
        <v>#VALUE!</v>
      </c>
      <c r="DL69" t="e">
        <f>'Effort Estimation'!D638+"AM:!%:H"</f>
        <v>#VALUE!</v>
      </c>
      <c r="DM69" t="e">
        <f>'Effort Estimation'!E638+"AM:!%:I"</f>
        <v>#VALUE!</v>
      </c>
      <c r="DN69" t="e">
        <f>'Effort Estimation'!F638+"AM:!%:J"</f>
        <v>#VALUE!</v>
      </c>
      <c r="DO69" t="e">
        <f>'Effort Estimation'!G638+"AM:!%:K"</f>
        <v>#VALUE!</v>
      </c>
      <c r="DP69" t="e">
        <f>'Effort Estimation'!H638+"AM:!%:L"</f>
        <v>#VALUE!</v>
      </c>
      <c r="DQ69" t="e">
        <f>'Effort Estimation'!I5+"AM:!%:M"</f>
        <v>#VALUE!</v>
      </c>
      <c r="DR69" s="99" t="e">
        <f>'Effort Estimation'!J5+"AM:!%:N"</f>
        <v>#VALUE!</v>
      </c>
      <c r="DS69" s="99" t="e">
        <f>'Effort Estimation'!K5+"AM:!%:O"</f>
        <v>#VALUE!</v>
      </c>
      <c r="DT69" s="99" t="e">
        <f>'Effort Estimation'!L5+"AM:!%:P"</f>
        <v>#VALUE!</v>
      </c>
      <c r="DU69" s="99" t="e">
        <f>'Effort Estimation'!M5+"AM:!%:Q"</f>
        <v>#VALUE!</v>
      </c>
      <c r="DV69" s="99" t="e">
        <f>'Effort Estimation'!N5+"AM:!%:R"</f>
        <v>#VALUE!</v>
      </c>
      <c r="DW69" t="e">
        <f>'Effort Estimation'!O638+"AM:!%:S"</f>
        <v>#VALUE!</v>
      </c>
      <c r="DX69" t="e">
        <f>'Effort Estimation'!P638+"AM:!%:T"</f>
        <v>#VALUE!</v>
      </c>
      <c r="DY69" t="e">
        <f>'Effort Estimation'!Q638+"AM:!%:U"</f>
        <v>#VALUE!</v>
      </c>
      <c r="DZ69" t="e">
        <f>'Effort Estimation'!R638+"AM:!%:V"</f>
        <v>#VALUE!</v>
      </c>
      <c r="EA69" t="e">
        <f>'Effort Estimation'!S638+"AM:!%:W"</f>
        <v>#VALUE!</v>
      </c>
      <c r="EB69" t="e">
        <f>'Effort Estimation'!A639+"AM:!%:X"</f>
        <v>#VALUE!</v>
      </c>
      <c r="EC69" t="e">
        <f>'Effort Estimation'!B639+"AM:!%:Y"</f>
        <v>#VALUE!</v>
      </c>
      <c r="ED69" t="e">
        <f>'Effort Estimation'!C639+"AM:!%:Z"</f>
        <v>#VALUE!</v>
      </c>
      <c r="EE69" t="e">
        <f>'Effort Estimation'!D639+"AM:!%:["</f>
        <v>#VALUE!</v>
      </c>
      <c r="EF69" t="e">
        <f>'Effort Estimation'!E639+"AM:!%:\"</f>
        <v>#VALUE!</v>
      </c>
      <c r="EG69" t="e">
        <f>'Effort Estimation'!F639+"AM:!%:]"</f>
        <v>#VALUE!</v>
      </c>
      <c r="EH69" t="e">
        <f>'Effort Estimation'!G639+"AM:!%:^"</f>
        <v>#VALUE!</v>
      </c>
      <c r="EI69" t="e">
        <f>'Effort Estimation'!H639+"AM:!%:_"</f>
        <v>#VALUE!</v>
      </c>
      <c r="EJ69" t="e">
        <f>'Effort Estimation'!I639+"AM:!%:`"</f>
        <v>#VALUE!</v>
      </c>
      <c r="EK69" t="e">
        <f>'Effort Estimation'!J639+"AM:!%:a"</f>
        <v>#VALUE!</v>
      </c>
      <c r="EL69" t="e">
        <f>'Effort Estimation'!K639+"AM:!%:b"</f>
        <v>#VALUE!</v>
      </c>
      <c r="EM69" t="e">
        <f>'Effort Estimation'!L639+"AM:!%:c"</f>
        <v>#VALUE!</v>
      </c>
      <c r="EN69" t="e">
        <f>'Effort Estimation'!M639+"AM:!%:d"</f>
        <v>#VALUE!</v>
      </c>
      <c r="EO69" t="e">
        <f>'Effort Estimation'!N639+"AM:!%:e"</f>
        <v>#VALUE!</v>
      </c>
      <c r="EP69" t="e">
        <f>'Effort Estimation'!O639+"AM:!%:f"</f>
        <v>#VALUE!</v>
      </c>
      <c r="EQ69" t="e">
        <f>'Effort Estimation'!P639+"AM:!%:g"</f>
        <v>#VALUE!</v>
      </c>
      <c r="ER69" t="e">
        <f>'Effort Estimation'!Q639+"AM:!%:h"</f>
        <v>#VALUE!</v>
      </c>
      <c r="ES69" t="e">
        <f>'Effort Estimation'!R639+"AM:!%:i"</f>
        <v>#VALUE!</v>
      </c>
      <c r="ET69" t="e">
        <f>'Effort Estimation'!S639+"AM:!%:j"</f>
        <v>#VALUE!</v>
      </c>
      <c r="EU69" t="e">
        <f>'Effort Statistics'!A:A*"AM:!%:m"</f>
        <v>#VALUE!</v>
      </c>
      <c r="EV69" t="e">
        <f>'Effort Statistics'!B:B*"AM:!%:n"</f>
        <v>#VALUE!</v>
      </c>
      <c r="EW69" t="e">
        <f>'Effort Statistics'!C:C*"AM:!%:o"</f>
        <v>#VALUE!</v>
      </c>
      <c r="EX69" t="e">
        <f>'Effort Statistics'!D:D*"AM:!%:p"</f>
        <v>#VALUE!</v>
      </c>
      <c r="EY69" t="e">
        <f>'Effort Statistics'!E:E*"AM:!%:q"</f>
        <v>#VALUE!</v>
      </c>
      <c r="EZ69" t="e">
        <f>'Effort Statistics'!F:F*"AM:!%:r"</f>
        <v>#VALUE!</v>
      </c>
      <c r="FA69" t="e">
        <f>'Effort Statistics'!G:G*"AM:!%:s"</f>
        <v>#VALUE!</v>
      </c>
      <c r="FB69" t="e">
        <f>'Effort Statistics'!H:H*"AM:!%:t"</f>
        <v>#VALUE!</v>
      </c>
      <c r="FC69" t="e">
        <f>'Effort Statistics'!I:I*"AM:!%:u"</f>
        <v>#VALUE!</v>
      </c>
      <c r="FD69" t="e">
        <f>'Effort Statistics'!J:J*"AM:!%:v"</f>
        <v>#VALUE!</v>
      </c>
      <c r="FE69" t="e">
        <f ca="1">'Effort Statistics'!K:K*"AM:!%:w"</f>
        <v>#VALUE!</v>
      </c>
      <c r="FF69" t="e">
        <f>'Effort Statistics'!L:L*"AM:!%:x"</f>
        <v>#VALUE!</v>
      </c>
      <c r="FG69" t="e">
        <f ca="1">'Effort Statistics'!M:M*"AM:!%:y"</f>
        <v>#VALUE!</v>
      </c>
      <c r="FH69" t="e">
        <f>'Effort Statistics'!N:N*"AM:!%:z"</f>
        <v>#VALUE!</v>
      </c>
      <c r="FI69" t="e">
        <f ca="1">'Effort Statistics'!O:O*"AM:!%:{"</f>
        <v>#VALUE!</v>
      </c>
      <c r="FJ69" t="e">
        <f>'Effort Statistics'!P:P*"AM:!%:|"</f>
        <v>#VALUE!</v>
      </c>
      <c r="FK69" t="e">
        <f>'Effort Statistics'!Q:Q*"AM:!%:}"</f>
        <v>#VALUE!</v>
      </c>
      <c r="FL69" t="e">
        <f>'Effort Statistics'!R:R*"AM:!%:~"</f>
        <v>#VALUE!</v>
      </c>
      <c r="FM69" t="e">
        <f>'Effort Statistics'!S:S*"AM:!%;#"</f>
        <v>#VALUE!</v>
      </c>
      <c r="FN69" t="e">
        <f>'Effort Statistics'!T:T*"AM:!%;$"</f>
        <v>#VALUE!</v>
      </c>
      <c r="FO69" t="e">
        <f>'Effort Statistics'!U:U*"AM:!%;%"</f>
        <v>#VALUE!</v>
      </c>
      <c r="FP69" t="e">
        <f>'Effort Statistics'!V:V*"AM:!%;&amp;"</f>
        <v>#VALUE!</v>
      </c>
      <c r="FQ69" t="e">
        <f>'Effort Statistics'!W:W*"AM:!%;'"</f>
        <v>#VALUE!</v>
      </c>
      <c r="FR69" t="e">
        <f>'Effort Statistics'!X:X*"AM:!%;("</f>
        <v>#VALUE!</v>
      </c>
      <c r="FS69" t="e">
        <f>'Effort Statistics'!Y:Y*"AM:!%;)"</f>
        <v>#VALUE!</v>
      </c>
      <c r="FT69" t="e">
        <f>'Effort Statistics'!Z:Z*"AM:!%;."</f>
        <v>#VALUE!</v>
      </c>
      <c r="FU69" t="e">
        <f>'Effort Statistics'!AA:AA*"AM:!%;/"</f>
        <v>#VALUE!</v>
      </c>
      <c r="FV69" t="e">
        <f>'Effort Statistics'!AB:AB*"AM:!%;0"</f>
        <v>#VALUE!</v>
      </c>
      <c r="FW69" t="e">
        <f>'Effort Statistics'!AC:AC*"AM:!%;1"</f>
        <v>#VALUE!</v>
      </c>
      <c r="FX69" t="e">
        <f>'Effort Statistics'!AD:AD*"AM:!%;2"</f>
        <v>#VALUE!</v>
      </c>
      <c r="FY69" t="e">
        <f>'Effort Statistics'!AE:AE*"AM:!%;3"</f>
        <v>#VALUE!</v>
      </c>
      <c r="FZ69" t="e">
        <f>'Effort Statistics'!AF:AF*"AM:!%;4"</f>
        <v>#VALUE!</v>
      </c>
      <c r="GA69" t="e">
        <f>'Effort Statistics'!AG:AG*"AM:!%;5"</f>
        <v>#VALUE!</v>
      </c>
      <c r="GB69" t="e">
        <f>'Effort Statistics'!AH:AH*"AM:!%;6"</f>
        <v>#VALUE!</v>
      </c>
      <c r="GC69" t="e">
        <f>'Effort Statistics'!AI:AI*"AM:!%;7"</f>
        <v>#VALUE!</v>
      </c>
      <c r="GD69" t="e">
        <f>'Effort Statistics'!AJ:AJ*"AM:!%;8"</f>
        <v>#VALUE!</v>
      </c>
      <c r="GE69" t="e">
        <f>'Effort Statistics'!AK:AK*"AM:!%;9"</f>
        <v>#VALUE!</v>
      </c>
      <c r="GF69" t="e">
        <f>'Effort Statistics'!AL:AL*"AM:!%;:"</f>
        <v>#VALUE!</v>
      </c>
      <c r="GG69" t="e">
        <f>'Effort Statistics'!AM:AM*"AM:!%;;"</f>
        <v>#VALUE!</v>
      </c>
      <c r="GH69" t="e">
        <f>'Effort Statistics'!AN:AN*"AM:!%;&lt;"</f>
        <v>#VALUE!</v>
      </c>
      <c r="GI69" t="e">
        <f>'Effort Statistics'!AO:AO*"AM:!%;="</f>
        <v>#VALUE!</v>
      </c>
      <c r="GJ69" t="e">
        <f>'Effort Statistics'!AP:AP*"AM:!%;&gt;"</f>
        <v>#VALUE!</v>
      </c>
      <c r="GK69" t="e">
        <f>'Effort Statistics'!AQ:AQ*"AM:!%;?"</f>
        <v>#VALUE!</v>
      </c>
      <c r="GL69" t="e">
        <f>'Effort Statistics'!AR:AR*"AM:!%;@"</f>
        <v>#VALUE!</v>
      </c>
      <c r="GM69" t="e">
        <f>'Effort Statistics'!AS:AS*"AM:!%;A"</f>
        <v>#VALUE!</v>
      </c>
      <c r="GN69" t="e">
        <f>'Effort Statistics'!AT:AT*"AM:!%;B"</f>
        <v>#VALUE!</v>
      </c>
      <c r="GO69" t="e">
        <f>'Effort Statistics'!AU:AU*"AM:!%;C"</f>
        <v>#VALUE!</v>
      </c>
      <c r="GP69" t="e">
        <f>'Effort Statistics'!AV:AV*"AM:!%;D"</f>
        <v>#VALUE!</v>
      </c>
      <c r="GQ69" t="e">
        <f>'Effort Statistics'!AW:AW*"AM:!%;E"</f>
        <v>#VALUE!</v>
      </c>
      <c r="GR69" t="e">
        <f>'Effort Statistics'!AX:AX*"AM:!%;F"</f>
        <v>#VALUE!</v>
      </c>
      <c r="GS69" t="e">
        <f>'Effort Statistics'!AY:AY*"AM:!%;G"</f>
        <v>#VALUE!</v>
      </c>
      <c r="GT69" t="e">
        <f>'Effort Statistics'!AZ:AZ*"AM:!%;H"</f>
        <v>#VALUE!</v>
      </c>
      <c r="GU69" t="e">
        <f>'Effort Statistics'!BA:BA*"AM:!%;I"</f>
        <v>#VALUE!</v>
      </c>
      <c r="GV69" t="e">
        <f>'Effort Statistics'!BB:BB*"AM:!%;J"</f>
        <v>#VALUE!</v>
      </c>
      <c r="GW69" t="e">
        <f>'Effort Statistics'!BC:BC*"AM:!%;K"</f>
        <v>#VALUE!</v>
      </c>
      <c r="GX69" t="e">
        <f>'Effort Statistics'!BD:BD*"AM:!%;L"</f>
        <v>#VALUE!</v>
      </c>
      <c r="GY69" t="e">
        <f>'Effort Statistics'!BE:BE*"AM:!%;M"</f>
        <v>#VALUE!</v>
      </c>
      <c r="GZ69" t="e">
        <f>'Effort Statistics'!BF:BF*"AM:!%;N"</f>
        <v>#VALUE!</v>
      </c>
      <c r="HA69" t="e">
        <f>'Effort Statistics'!BG:BG*"AM:!%;O"</f>
        <v>#VALUE!</v>
      </c>
      <c r="HB69" t="e">
        <f>'Effort Statistics'!BH:BH*"AM:!%;P"</f>
        <v>#VALUE!</v>
      </c>
      <c r="HC69" t="e">
        <f>'Effort Statistics'!BI:BI*"AM:!%;Q"</f>
        <v>#VALUE!</v>
      </c>
      <c r="HD69" t="e">
        <f>'Effort Statistics'!BJ:BJ*"AM:!%;R"</f>
        <v>#VALUE!</v>
      </c>
      <c r="HE69" t="e">
        <f>'Effort Statistics'!BK:BK*"AM:!%;S"</f>
        <v>#VALUE!</v>
      </c>
      <c r="HF69" t="e">
        <f>'Effort Statistics'!BL:BL*"AM:!%;T"</f>
        <v>#VALUE!</v>
      </c>
      <c r="HG69" t="e">
        <f>'Effort Statistics'!BM:BM*"AM:!%;U"</f>
        <v>#VALUE!</v>
      </c>
      <c r="HH69" t="e">
        <f>'Effort Statistics'!BN:BN*"AM:!%;V"</f>
        <v>#VALUE!</v>
      </c>
      <c r="HI69" t="e">
        <f>'Effort Statistics'!BO:BO*"AM:!%;W"</f>
        <v>#VALUE!</v>
      </c>
      <c r="HJ69" t="e">
        <f>'Effort Statistics'!BP:BP*"AM:!%;X"</f>
        <v>#VALUE!</v>
      </c>
      <c r="HK69" t="e">
        <f>'Effort Statistics'!BQ:BQ*"AM:!%;Y"</f>
        <v>#VALUE!</v>
      </c>
      <c r="HL69" t="e">
        <f>'Effort Statistics'!BR:BR*"AM:!%;Z"</f>
        <v>#VALUE!</v>
      </c>
      <c r="HM69" t="e">
        <f>'Effort Statistics'!1:1-"AM:!%;["</f>
        <v>#VALUE!</v>
      </c>
      <c r="HN69" t="e">
        <f>'Effort Statistics'!2:2-"AM:!%;\"</f>
        <v>#VALUE!</v>
      </c>
      <c r="HO69" t="e">
        <f>'Effort Statistics'!3:3-"AM:!%;]"</f>
        <v>#VALUE!</v>
      </c>
      <c r="HP69" t="e">
        <f>'Effort Statistics'!4:4-"AM:!%;^"</f>
        <v>#VALUE!</v>
      </c>
      <c r="HQ69" t="e">
        <f>'Effort Statistics'!5:5-"AM:!%;_"</f>
        <v>#VALUE!</v>
      </c>
      <c r="HR69" t="e">
        <f>'Effort Statistics'!6:6-"AM:!%;`"</f>
        <v>#VALUE!</v>
      </c>
      <c r="HS69" t="e">
        <f>'Effort Statistics'!7:7-"AM:!%;a"</f>
        <v>#VALUE!</v>
      </c>
      <c r="HT69" t="e">
        <f>'Effort Statistics'!8:8-"AM:!%;b"</f>
        <v>#VALUE!</v>
      </c>
      <c r="HU69" t="e">
        <f>'Effort Statistics'!9:9-"AM:!%;c"</f>
        <v>#VALUE!</v>
      </c>
      <c r="HV69" t="e">
        <f>'Effort Statistics'!10:10-"AM:!%;d"</f>
        <v>#VALUE!</v>
      </c>
      <c r="HW69" t="e">
        <f>'Effort Statistics'!11:11-"AM:!%;e"</f>
        <v>#VALUE!</v>
      </c>
      <c r="HX69" t="e">
        <f>'Effort Statistics'!12:12-"AM:!%;f"</f>
        <v>#VALUE!</v>
      </c>
      <c r="HY69" t="e">
        <f>'Effort Statistics'!13:13-"AM:!%;g"</f>
        <v>#VALUE!</v>
      </c>
      <c r="HZ69" t="e">
        <f>'Effort Statistics'!14:14-"AM:!%;h"</f>
        <v>#VALUE!</v>
      </c>
      <c r="IA69" t="e">
        <f>'Effort Statistics'!15:15-"AM:!%;i"</f>
        <v>#VALUE!</v>
      </c>
      <c r="IB69" t="e">
        <f>'Effort Statistics'!16:16-"AM:!%;j"</f>
        <v>#VALUE!</v>
      </c>
      <c r="IC69" t="e">
        <f>'Effort Statistics'!17:17-"AM:!%;k"</f>
        <v>#VALUE!</v>
      </c>
      <c r="ID69" t="e">
        <f>'Effort Statistics'!18:18-"AM:!%;l"</f>
        <v>#VALUE!</v>
      </c>
      <c r="IE69" t="e">
        <f>'Effort Statistics'!19:19-"AM:!%;m"</f>
        <v>#VALUE!</v>
      </c>
      <c r="IF69" t="e">
        <f>'Effort Statistics'!20:20-"AM:!%;n"</f>
        <v>#VALUE!</v>
      </c>
      <c r="IG69" t="e">
        <f>'Effort Statistics'!21:21-"AM:!%;o"</f>
        <v>#VALUE!</v>
      </c>
      <c r="IH69" t="e">
        <f>'Effort Statistics'!22:22-"AM:!%;p"</f>
        <v>#VALUE!</v>
      </c>
      <c r="II69" t="e">
        <f>'Effort Statistics'!23:23-"AM:!%;q"</f>
        <v>#VALUE!</v>
      </c>
      <c r="IJ69" t="e">
        <f>'Effort Statistics'!24:24-"AM:!%;r"</f>
        <v>#VALUE!</v>
      </c>
      <c r="IK69" t="e">
        <f>'Effort Statistics'!25:25-"AM:!%;s"</f>
        <v>#VALUE!</v>
      </c>
      <c r="IL69" t="e">
        <f>'Effort Statistics'!26:26-"AM:!%;t"</f>
        <v>#VALUE!</v>
      </c>
      <c r="IM69" t="e">
        <f>'Effort Statistics'!27:27-"AM:!%;u"</f>
        <v>#VALUE!</v>
      </c>
      <c r="IN69" t="e">
        <f>'Effort Statistics'!28:28-"AM:!%;v"</f>
        <v>#VALUE!</v>
      </c>
      <c r="IO69" t="e">
        <f>'Effort Statistics'!29:29-"AM:!%;w"</f>
        <v>#VALUE!</v>
      </c>
      <c r="IP69" t="e">
        <f>'Effort Statistics'!30:30-"AM:!%;x"</f>
        <v>#VALUE!</v>
      </c>
      <c r="IQ69" t="e">
        <f>'Effort Statistics'!31:31-"AM:!%;y"</f>
        <v>#VALUE!</v>
      </c>
      <c r="IR69" t="e">
        <f>'Effort Statistics'!32:32-"AM:!%;z"</f>
        <v>#VALUE!</v>
      </c>
      <c r="IS69" t="e">
        <f>'Effort Statistics'!33:33-"AM:!%;{"</f>
        <v>#VALUE!</v>
      </c>
      <c r="IT69" t="e">
        <f>'Effort Statistics'!34:34-"AM:!%;|"</f>
        <v>#VALUE!</v>
      </c>
      <c r="IU69" t="e">
        <f>'Effort Statistics'!35:35-"AM:!%;}"</f>
        <v>#VALUE!</v>
      </c>
      <c r="IV69" t="e">
        <f>'Effort Statistics'!36:36-"AM:!%;~"</f>
        <v>#VALUE!</v>
      </c>
    </row>
    <row r="70" spans="6:256">
      <c r="F70" t="e">
        <f>'Effort Statistics'!37:37-"AM:!%&lt;#"</f>
        <v>#VALUE!</v>
      </c>
      <c r="G70" t="e">
        <f>'Effort Statistics'!38:38-"AM:!%&lt;$"</f>
        <v>#VALUE!</v>
      </c>
      <c r="H70" t="e">
        <f>'Effort Statistics'!39:39-"AM:!%&lt;%"</f>
        <v>#VALUE!</v>
      </c>
      <c r="I70" t="e">
        <f>'Effort Statistics'!40:40-"AM:!%&lt;&amp;"</f>
        <v>#VALUE!</v>
      </c>
      <c r="J70" t="e">
        <f>'Effort Statistics'!41:41-"AM:!%&lt;'"</f>
        <v>#VALUE!</v>
      </c>
      <c r="K70" t="e">
        <f ca="1">'Effort Statistics'!42:42-"AM:!%&lt;("</f>
        <v>#VALUE!</v>
      </c>
      <c r="L70" t="e">
        <f>'Effort Statistics'!43:43-"AM:!%&lt;)"</f>
        <v>#VALUE!</v>
      </c>
      <c r="M70" t="e">
        <f ca="1">'Effort Statistics'!44:44-"AM:!%&lt;."</f>
        <v>#VALUE!</v>
      </c>
      <c r="N70" t="e">
        <f>'Effort Statistics'!45:45-"AM:!%&lt;/"</f>
        <v>#VALUE!</v>
      </c>
      <c r="O70" t="e">
        <f ca="1">'Effort Statistics'!46:46-"AM:!%&lt;0"</f>
        <v>#VALUE!</v>
      </c>
      <c r="P70" t="e">
        <f>'Effort Statistics'!47:47-"AM:!%&lt;1"</f>
        <v>#VALUE!</v>
      </c>
      <c r="Q70" t="e">
        <f>'Effort Statistics'!48:48-"AM:!%&lt;2"</f>
        <v>#VALUE!</v>
      </c>
      <c r="R70" t="e">
        <f>'Effort Statistics'!49:49-"AM:!%&lt;3"</f>
        <v>#VALUE!</v>
      </c>
      <c r="S70" t="e">
        <f>'Effort Statistics'!50:50-"AM:!%&lt;4"</f>
        <v>#VALUE!</v>
      </c>
      <c r="T70" t="e">
        <f>'Effort Statistics'!51:51-"AM:!%&lt;5"</f>
        <v>#VALUE!</v>
      </c>
      <c r="U70" t="e">
        <f>'Effort Statistics'!52:52-"AM:!%&lt;6"</f>
        <v>#VALUE!</v>
      </c>
      <c r="V70" t="e">
        <f>'Effort Statistics'!53:53-"AM:!%&lt;7"</f>
        <v>#VALUE!</v>
      </c>
      <c r="W70" t="e">
        <f>'Effort Statistics'!54:54-"AM:!%&lt;8"</f>
        <v>#VALUE!</v>
      </c>
      <c r="X70" t="e">
        <f>'Effort Statistics'!55:55-"AM:!%&lt;9"</f>
        <v>#VALUE!</v>
      </c>
      <c r="Y70" t="e">
        <f>'Effort Statistics'!56:56-"AM:!%&lt;:"</f>
        <v>#VALUE!</v>
      </c>
      <c r="Z70" t="e">
        <f>'Effort Statistics'!57:57-"AM:!%&lt;;"</f>
        <v>#VALUE!</v>
      </c>
      <c r="AA70" t="e">
        <f>'Effort Statistics'!58:58-"AM:!%&lt;&lt;"</f>
        <v>#VALUE!</v>
      </c>
      <c r="AB70" t="e">
        <f>'Effort Statistics'!59:59-"AM:!%&lt;="</f>
        <v>#VALUE!</v>
      </c>
      <c r="AC70" t="e">
        <f>'Effort Statistics'!60:60-"AM:!%&lt;&gt;"</f>
        <v>#VALUE!</v>
      </c>
      <c r="AD70" t="e">
        <f>'Effort Statistics'!61:61-"AM:!%&lt;?"</f>
        <v>#VALUE!</v>
      </c>
      <c r="AE70" t="e">
        <f>'Effort Statistics'!62:62-"AM:!%&lt;@"</f>
        <v>#VALUE!</v>
      </c>
      <c r="AF70" t="e">
        <f>'Effort Statistics'!63:63-"AM:!%&lt;A"</f>
        <v>#VALUE!</v>
      </c>
      <c r="AG70" t="e">
        <f>'Effort Statistics'!64:64-"AM:!%&lt;B"</f>
        <v>#VALUE!</v>
      </c>
      <c r="AH70" t="e">
        <f>'Effort Statistics'!65:65-"AM:!%&lt;C"</f>
        <v>#VALUE!</v>
      </c>
      <c r="AI70" t="e">
        <f>'Effort Statistics'!66:66-"AM:!%&lt;D"</f>
        <v>#VALUE!</v>
      </c>
      <c r="AJ70" t="e">
        <f>'Effort Statistics'!67:67-"AM:!%&lt;E"</f>
        <v>#VALUE!</v>
      </c>
      <c r="AK70" t="e">
        <f>'Effort Statistics'!68:68-"AM:!%&lt;F"</f>
        <v>#VALUE!</v>
      </c>
      <c r="AL70" t="e">
        <f>'Effort Statistics'!69:69-"AM:!%&lt;G"</f>
        <v>#VALUE!</v>
      </c>
      <c r="AM70" t="e">
        <f>'Effort Statistics'!70:70-"AM:!%&lt;H"</f>
        <v>#VALUE!</v>
      </c>
      <c r="AN70" t="e">
        <f>'Effort Statistics'!71:71-"AM:!%&lt;I"</f>
        <v>#VALUE!</v>
      </c>
      <c r="AO70" t="e">
        <f>'Effort Statistics'!72:72-"AM:!%&lt;J"</f>
        <v>#VALUE!</v>
      </c>
      <c r="AP70" t="e">
        <f>'Effort Statistics'!73:73-"AM:!%&lt;K"</f>
        <v>#VALUE!</v>
      </c>
      <c r="AQ70" t="e">
        <f>'Effort Statistics'!74:74-"AM:!%&lt;L"</f>
        <v>#VALUE!</v>
      </c>
      <c r="AR70" t="e">
        <f>'Effort Statistics'!75:75-"AM:!%&lt;M"</f>
        <v>#VALUE!</v>
      </c>
      <c r="AS70" t="e">
        <f>'Effort Statistics'!76:76-"AM:!%&lt;N"</f>
        <v>#VALUE!</v>
      </c>
      <c r="AT70" t="e">
        <f>'Effort Statistics'!77:77-"AM:!%&lt;O"</f>
        <v>#VALUE!</v>
      </c>
      <c r="AU70" t="e">
        <f>'Effort Statistics'!78:78-"AM:!%&lt;P"</f>
        <v>#VALUE!</v>
      </c>
      <c r="AV70" t="e">
        <f>'Effort Statistics'!79:79-"AM:!%&lt;Q"</f>
        <v>#VALUE!</v>
      </c>
      <c r="AW70" t="e">
        <f>'Effort Statistics'!80:80-"AM:!%&lt;R"</f>
        <v>#VALUE!</v>
      </c>
      <c r="AX70" t="e">
        <f>'Effort Statistics'!81:81-"AM:!%&lt;S"</f>
        <v>#VALUE!</v>
      </c>
      <c r="AY70" t="e">
        <f>'Effort Statistics'!82:82-"AM:!%&lt;T"</f>
        <v>#VALUE!</v>
      </c>
      <c r="AZ70" t="e">
        <f>'Effort Statistics'!83:83-"AM:!%&lt;U"</f>
        <v>#VALUE!</v>
      </c>
      <c r="BA70" t="e">
        <f>'Effort Statistics'!84:84-"AM:!%&lt;V"</f>
        <v>#VALUE!</v>
      </c>
      <c r="BB70" t="e">
        <f>'Effort Statistics'!85:85-"AM:!%&lt;W"</f>
        <v>#VALUE!</v>
      </c>
      <c r="BC70" t="e">
        <f>'Effort Statistics'!86:86-"AM:!%&lt;X"</f>
        <v>#VALUE!</v>
      </c>
      <c r="BD70" t="e">
        <f>'Effort Statistics'!87:87-"AM:!%&lt;Y"</f>
        <v>#VALUE!</v>
      </c>
      <c r="BE70" t="e">
        <f>'Effort Statistics'!88:88-"AM:!%&lt;Z"</f>
        <v>#VALUE!</v>
      </c>
      <c r="BF70" t="e">
        <f>'Effort Statistics'!89:89-"AM:!%&lt;["</f>
        <v>#VALUE!</v>
      </c>
      <c r="BG70" t="e">
        <f>'Effort Statistics'!90:90-"AM:!%&lt;\"</f>
        <v>#VALUE!</v>
      </c>
      <c r="BH70" t="e">
        <f>'Effort Statistics'!91:91-"AM:!%&lt;]"</f>
        <v>#VALUE!</v>
      </c>
      <c r="BI70" t="e">
        <f>'Effort Statistics'!92:92-"AM:!%&lt;^"</f>
        <v>#VALUE!</v>
      </c>
      <c r="BJ70" t="e">
        <f>'Effort Statistics'!93:93-"AM:!%&lt;_"</f>
        <v>#VALUE!</v>
      </c>
      <c r="BK70" t="e">
        <f>'Effort Statistics'!94:94-"AM:!%&lt;`"</f>
        <v>#VALUE!</v>
      </c>
      <c r="BL70" t="e">
        <f>'Effort Statistics'!95:95-"AM:!%&lt;a"</f>
        <v>#VALUE!</v>
      </c>
      <c r="BM70" t="e">
        <f>'Effort Statistics'!96:96-"AM:!%&lt;b"</f>
        <v>#VALUE!</v>
      </c>
      <c r="BN70" t="e">
        <f>'Effort Statistics'!97:97-"AM:!%&lt;c"</f>
        <v>#VALUE!</v>
      </c>
      <c r="BO70" t="e">
        <f>'Effort Statistics'!98:98-"AM:!%&lt;d"</f>
        <v>#VALUE!</v>
      </c>
      <c r="BP70" t="e">
        <f>'Effort Statistics'!99:99-"AM:!%&lt;e"</f>
        <v>#VALUE!</v>
      </c>
      <c r="BQ70" t="e">
        <f>'Effort Statistics'!100:100-"AM:!%&lt;f"</f>
        <v>#VALUE!</v>
      </c>
      <c r="BR70" t="e">
        <f>'Effort Statistics'!101:101-"AM:!%&lt;g"</f>
        <v>#VALUE!</v>
      </c>
      <c r="BS70" t="e">
        <f>'Effort Statistics'!102:102-"AM:!%&lt;h"</f>
        <v>#VALUE!</v>
      </c>
      <c r="BT70" t="e">
        <f>'Effort Statistics'!103:103-"AM:!%&lt;i"</f>
        <v>#VALUE!</v>
      </c>
      <c r="BU70" t="e">
        <f>'Effort Statistics'!104:104-"AM:!%&lt;j"</f>
        <v>#VALUE!</v>
      </c>
      <c r="BV70" t="e">
        <f>'Effort Statistics'!105:105-"AM:!%&lt;k"</f>
        <v>#VALUE!</v>
      </c>
      <c r="BW70" t="e">
        <f>'Effort Statistics'!106:106-"AM:!%&lt;l"</f>
        <v>#VALUE!</v>
      </c>
      <c r="BX70" t="e">
        <f>'Effort Statistics'!107:107-"AM:!%&lt;m"</f>
        <v>#VALUE!</v>
      </c>
      <c r="BY70" t="e">
        <f>'Effort Statistics'!108:108-"AM:!%&lt;n"</f>
        <v>#VALUE!</v>
      </c>
      <c r="BZ70" t="e">
        <f>'Effort Statistics'!109:109-"AM:!%&lt;o"</f>
        <v>#VALUE!</v>
      </c>
      <c r="CA70" t="e">
        <f>'Effort Statistics'!110:110-"AM:!%&lt;p"</f>
        <v>#VALUE!</v>
      </c>
      <c r="CB70" t="e">
        <f>'Effort Statistics'!111:111-"AM:!%&lt;q"</f>
        <v>#VALUE!</v>
      </c>
      <c r="CC70" t="e">
        <f>'Effort Statistics'!112:112-"AM:!%&lt;r"</f>
        <v>#VALUE!</v>
      </c>
      <c r="CD70" t="e">
        <f>'Effort Statistics'!113:113-"AM:!%&lt;s"</f>
        <v>#VALUE!</v>
      </c>
      <c r="CE70" t="e">
        <f>'Effort Statistics'!114:114-"AM:!%&lt;t"</f>
        <v>#VALUE!</v>
      </c>
      <c r="CF70" t="e">
        <f>'Effort Statistics'!115:115-"AM:!%&lt;u"</f>
        <v>#VALUE!</v>
      </c>
      <c r="CG70" t="e">
        <f>'Effort Statistics'!116:116-"AM:!%&lt;v"</f>
        <v>#VALUE!</v>
      </c>
      <c r="CH70" t="e">
        <f>'Effort Statistics'!117:117-"AM:!%&lt;w"</f>
        <v>#VALUE!</v>
      </c>
      <c r="CI70" t="e">
        <f>'Effort Statistics'!118:118-"AM:!%&lt;x"</f>
        <v>#VALUE!</v>
      </c>
      <c r="CJ70" t="e">
        <f>'Effort Statistics'!119:119-"AM:!%&lt;y"</f>
        <v>#VALUE!</v>
      </c>
      <c r="CK70" t="e">
        <f>'Effort Statistics'!120:120-"AM:!%&lt;z"</f>
        <v>#VALUE!</v>
      </c>
      <c r="CL70" t="e">
        <f>'Effort Statistics'!121:121-"AM:!%&lt;{"</f>
        <v>#VALUE!</v>
      </c>
      <c r="CM70" t="e">
        <f>'Effort Statistics'!122:122-"AM:!%&lt;|"</f>
        <v>#VALUE!</v>
      </c>
      <c r="CN70" t="e">
        <f>'Effort Statistics'!123:123-"AM:!%&lt;}"</f>
        <v>#VALUE!</v>
      </c>
      <c r="CO70" t="e">
        <f>'Effort Statistics'!124:124-"AM:!%&lt;~"</f>
        <v>#VALUE!</v>
      </c>
      <c r="CP70" t="e">
        <f>'Effort Statistics'!125:125-"AM:!%=#"</f>
        <v>#VALUE!</v>
      </c>
      <c r="CQ70" t="e">
        <f>'Effort Statistics'!126:126-"AM:!%=$"</f>
        <v>#VALUE!</v>
      </c>
      <c r="CR70" t="e">
        <f>'Effort Statistics'!127:127-"AM:!%=%"</f>
        <v>#VALUE!</v>
      </c>
      <c r="CS70" t="e">
        <f>'Effort Statistics'!128:128-"AM:!%=&amp;"</f>
        <v>#VALUE!</v>
      </c>
      <c r="CT70" t="e">
        <f>'Effort Statistics'!129:129-"AM:!%='"</f>
        <v>#VALUE!</v>
      </c>
      <c r="CU70" t="e">
        <f>'Effort Statistics'!130:130-"AM:!%=("</f>
        <v>#VALUE!</v>
      </c>
      <c r="CV70" t="e">
        <f>'Effort Statistics'!131:131-"AM:!%=)"</f>
        <v>#VALUE!</v>
      </c>
      <c r="CW70" t="e">
        <f>'Effort Statistics'!132:132-"AM:!%=."</f>
        <v>#VALUE!</v>
      </c>
      <c r="CX70" t="e">
        <f>'Effort Statistics'!133:133-"AM:!%=/"</f>
        <v>#VALUE!</v>
      </c>
      <c r="CY70" t="e">
        <f>'Effort Statistics'!134:134-"AM:!%=0"</f>
        <v>#VALUE!</v>
      </c>
      <c r="CZ70" t="e">
        <f>'Effort Statistics'!135:135-"AM:!%=1"</f>
        <v>#VALUE!</v>
      </c>
      <c r="DA70" t="e">
        <f>'Effort Statistics'!136:136-"AM:!%=2"</f>
        <v>#VALUE!</v>
      </c>
      <c r="DB70" t="e">
        <f>'Effort Statistics'!137:137-"AM:!%=3"</f>
        <v>#VALUE!</v>
      </c>
      <c r="DC70" t="e">
        <f>'Effort Statistics'!138:138-"AM:!%=4"</f>
        <v>#VALUE!</v>
      </c>
      <c r="DD70" t="e">
        <f>'Effort Statistics'!139:139-"AM:!%=5"</f>
        <v>#VALUE!</v>
      </c>
      <c r="DE70" t="e">
        <f>'Effort Statistics'!140:140-"AM:!%=6"</f>
        <v>#VALUE!</v>
      </c>
      <c r="DF70" t="e">
        <f>'Effort Statistics'!141:141-"AM:!%=7"</f>
        <v>#VALUE!</v>
      </c>
      <c r="DG70" t="e">
        <f>'Effort Statistics'!142:142-"AM:!%=8"</f>
        <v>#VALUE!</v>
      </c>
      <c r="DH70" t="e">
        <f>'Effort Statistics'!143:143-"AM:!%=9"</f>
        <v>#VALUE!</v>
      </c>
      <c r="DI70" t="e">
        <f>'Effort Statistics'!144:144-"AM:!%=:"</f>
        <v>#VALUE!</v>
      </c>
      <c r="DJ70" t="e">
        <f>'Effort Statistics'!145:145-"AM:!%=;"</f>
        <v>#VALUE!</v>
      </c>
      <c r="DK70" t="e">
        <f>'Effort Statistics'!146:146-"AM:!%=&lt;"</f>
        <v>#VALUE!</v>
      </c>
      <c r="DL70" t="e">
        <f>'Effort Statistics'!147:147-"AM:!%=="</f>
        <v>#VALUE!</v>
      </c>
      <c r="DM70" t="e">
        <f>'Effort Statistics'!148:148-"AM:!%=&gt;"</f>
        <v>#VALUE!</v>
      </c>
      <c r="DN70" t="e">
        <f>'Effort Statistics'!149:149-"AM:!%=?"</f>
        <v>#VALUE!</v>
      </c>
      <c r="DO70" t="e">
        <f>'Effort Statistics'!150:150-"AM:!%=@"</f>
        <v>#VALUE!</v>
      </c>
      <c r="DP70" t="e">
        <f>'Effort Statistics'!151:151-"AM:!%=A"</f>
        <v>#VALUE!</v>
      </c>
      <c r="DQ70" t="e">
        <f>'Effort Statistics'!152:152-"AM:!%=B"</f>
        <v>#VALUE!</v>
      </c>
      <c r="DR70" t="e">
        <f>'Effort Statistics'!153:153-"AM:!%=C"</f>
        <v>#VALUE!</v>
      </c>
      <c r="DS70" t="e">
        <f>'Effort Statistics'!154:154-"AM:!%=D"</f>
        <v>#VALUE!</v>
      </c>
      <c r="DT70" t="e">
        <f>'Effort Statistics'!155:155-"AM:!%=E"</f>
        <v>#VALUE!</v>
      </c>
      <c r="DU70" t="e">
        <f>'Effort Statistics'!156:156-"AM:!%=F"</f>
        <v>#VALUE!</v>
      </c>
      <c r="DV70" t="e">
        <f>'Effort Statistics'!157:157-"AM:!%=G"</f>
        <v>#VALUE!</v>
      </c>
      <c r="DW70" t="e">
        <f>'Effort Statistics'!158:158-"AM:!%=H"</f>
        <v>#VALUE!</v>
      </c>
      <c r="DX70" t="e">
        <f>'Effort Statistics'!159:159-"AM:!%=I"</f>
        <v>#VALUE!</v>
      </c>
      <c r="DY70" t="e">
        <f>'Effort Statistics'!160:160-"AM:!%=J"</f>
        <v>#VALUE!</v>
      </c>
      <c r="DZ70" t="e">
        <f>'Effort Statistics'!161:161-"AM:!%=K"</f>
        <v>#VALUE!</v>
      </c>
      <c r="EA70" t="e">
        <f>'Effort Statistics'!162:162-"AM:!%=L"</f>
        <v>#VALUE!</v>
      </c>
      <c r="EB70" t="e">
        <f>'Effort Statistics'!163:163-"AM:!%=M"</f>
        <v>#VALUE!</v>
      </c>
      <c r="EC70" t="e">
        <f>'Effort Statistics'!164:164-"AM:!%=N"</f>
        <v>#VALUE!</v>
      </c>
      <c r="ED70" t="e">
        <f>'Effort Statistics'!165:165-"AM:!%=O"</f>
        <v>#VALUE!</v>
      </c>
      <c r="EE70" t="e">
        <f>'Effort Statistics'!166:166-"AM:!%=P"</f>
        <v>#VALUE!</v>
      </c>
      <c r="EF70" t="e">
        <f>'Effort Statistics'!167:167-"AM:!%=Q"</f>
        <v>#VALUE!</v>
      </c>
      <c r="EG70" t="e">
        <f>'Effort Statistics'!168:168-"AM:!%=R"</f>
        <v>#VALUE!</v>
      </c>
      <c r="EH70" t="e">
        <f>'Effort Statistics'!169:169-"AM:!%=S"</f>
        <v>#VALUE!</v>
      </c>
      <c r="EI70" t="e">
        <f>'Effort Statistics'!170:170-"AM:!%=T"</f>
        <v>#VALUE!</v>
      </c>
      <c r="EJ70" t="e">
        <f>'Effort Statistics'!171:171-"AM:!%=U"</f>
        <v>#VALUE!</v>
      </c>
      <c r="EK70" t="e">
        <f>'Effort Statistics'!172:172-"AM:!%=V"</f>
        <v>#VALUE!</v>
      </c>
      <c r="EL70" t="e">
        <f>'Effort Statistics'!173:173-"AM:!%=W"</f>
        <v>#VALUE!</v>
      </c>
      <c r="EM70" t="e">
        <f>'Effort Statistics'!174:174-"AM:!%=X"</f>
        <v>#VALUE!</v>
      </c>
      <c r="EN70" t="e">
        <f>'Effort Statistics'!175:175-"AM:!%=Y"</f>
        <v>#VALUE!</v>
      </c>
      <c r="EO70" t="e">
        <f>'Effort Statistics'!176:176-"AM:!%=Z"</f>
        <v>#VALUE!</v>
      </c>
      <c r="EP70" t="e">
        <f>'Effort Statistics'!177:177-"AM:!%=["</f>
        <v>#VALUE!</v>
      </c>
      <c r="EQ70" t="e">
        <f>'Effort Statistics'!178:178-"AM:!%=\"</f>
        <v>#VALUE!</v>
      </c>
      <c r="ER70" t="e">
        <f>'Effort Statistics'!179:179-"AM:!%=]"</f>
        <v>#VALUE!</v>
      </c>
      <c r="ES70" t="e">
        <f>'Effort Statistics'!180:180-"AM:!%=^"</f>
        <v>#VALUE!</v>
      </c>
      <c r="ET70" t="e">
        <f>'Effort Statistics'!181:181-"AM:!%=_"</f>
        <v>#VALUE!</v>
      </c>
      <c r="EU70" t="e">
        <f>'Effort Statistics'!182:182-"AM:!%=`"</f>
        <v>#VALUE!</v>
      </c>
      <c r="EV70" t="e">
        <f>'Effort Statistics'!183:183-"AM:!%=a"</f>
        <v>#VALUE!</v>
      </c>
      <c r="EW70" t="e">
        <f>'Effort Statistics'!184:184-"AM:!%=b"</f>
        <v>#VALUE!</v>
      </c>
      <c r="EX70" t="e">
        <f>'Effort Statistics'!185:185-"AM:!%=c"</f>
        <v>#VALUE!</v>
      </c>
      <c r="EY70" t="e">
        <f>'Effort Statistics'!186:186-"AM:!%=d"</f>
        <v>#VALUE!</v>
      </c>
      <c r="EZ70" t="e">
        <f>'Effort Statistics'!187:187-"AM:!%=e"</f>
        <v>#VALUE!</v>
      </c>
      <c r="FA70" t="e">
        <f>'Effort Statistics'!188:188-"AM:!%=f"</f>
        <v>#VALUE!</v>
      </c>
      <c r="FB70" t="e">
        <f>'Effort Statistics'!189:189-"AM:!%=g"</f>
        <v>#VALUE!</v>
      </c>
      <c r="FC70" t="e">
        <f>'Effort Statistics'!190:190-"AM:!%=h"</f>
        <v>#VALUE!</v>
      </c>
      <c r="FD70" t="e">
        <f>'Effort Statistics'!191:191-"AM:!%=i"</f>
        <v>#VALUE!</v>
      </c>
      <c r="FE70" t="e">
        <f>'Effort Statistics'!192:192-"AM:!%=j"</f>
        <v>#VALUE!</v>
      </c>
      <c r="FF70" t="e">
        <f>'Effort Statistics'!193:193-"AM:!%=k"</f>
        <v>#VALUE!</v>
      </c>
      <c r="FG70" t="e">
        <f>'Effort Statistics'!194:194-"AM:!%=l"</f>
        <v>#VALUE!</v>
      </c>
      <c r="FH70" t="e">
        <f>'Effort Statistics'!195:195-"AM:!%=m"</f>
        <v>#VALUE!</v>
      </c>
      <c r="FI70" t="e">
        <f>'Effort Statistics'!196:196-"AM:!%=n"</f>
        <v>#VALUE!</v>
      </c>
      <c r="FJ70" t="e">
        <f>'Effort Statistics'!197:197-"AM:!%=o"</f>
        <v>#VALUE!</v>
      </c>
      <c r="FK70" t="e">
        <f>'Effort Statistics'!198:198-"AM:!%=p"</f>
        <v>#VALUE!</v>
      </c>
      <c r="FL70" t="e">
        <f>'Effort Statistics'!199:199-"AM:!%=q"</f>
        <v>#VALUE!</v>
      </c>
      <c r="FM70" t="e">
        <f>'Effort Statistics'!200:200-"AM:!%=r"</f>
        <v>#VALUE!</v>
      </c>
      <c r="FN70" t="e">
        <f>'Effort Statistics'!201:201-"AM:!%=s"</f>
        <v>#VALUE!</v>
      </c>
      <c r="FO70" t="e">
        <f>'Effort Statistics'!202:202-"AM:!%=t"</f>
        <v>#VALUE!</v>
      </c>
      <c r="FP70" t="e">
        <f>'Effort Statistics'!203:203-"AM:!%=u"</f>
        <v>#VALUE!</v>
      </c>
      <c r="FQ70" t="e">
        <f>'Effort Statistics'!204:204-"AM:!%=v"</f>
        <v>#VALUE!</v>
      </c>
      <c r="FR70" t="e">
        <f>'Effort Statistics'!205:205-"AM:!%=w"</f>
        <v>#VALUE!</v>
      </c>
      <c r="FS70" t="e">
        <f>'Effort Statistics'!206:206-"AM:!%=x"</f>
        <v>#VALUE!</v>
      </c>
      <c r="FT70" t="e">
        <f>'Effort Statistics'!207:207-"AM:!%=y"</f>
        <v>#VALUE!</v>
      </c>
      <c r="FU70" t="e">
        <f>'Effort Statistics'!208:208-"AM:!%=z"</f>
        <v>#VALUE!</v>
      </c>
      <c r="FV70" t="e">
        <f>'Effort Statistics'!209:209-"AM:!%={"</f>
        <v>#VALUE!</v>
      </c>
      <c r="FW70" t="e">
        <f>'Effort Statistics'!210:210-"AM:!%=|"</f>
        <v>#VALUE!</v>
      </c>
      <c r="FX70" t="e">
        <f>'Effort Statistics'!211:211-"AM:!%=}"</f>
        <v>#VALUE!</v>
      </c>
      <c r="FY70" t="e">
        <f>'Effort Statistics'!212:212-"AM:!%=~"</f>
        <v>#VALUE!</v>
      </c>
      <c r="FZ70" t="e">
        <f>'Effort Statistics'!213:213-"AM:!%&gt;#"</f>
        <v>#VALUE!</v>
      </c>
      <c r="GA70" t="e">
        <f>'Effort Statistics'!214:214-"AM:!%&gt;$"</f>
        <v>#VALUE!</v>
      </c>
      <c r="GB70" t="e">
        <f>'Effort Statistics'!215:215-"AM:!%&gt;%"</f>
        <v>#VALUE!</v>
      </c>
      <c r="GC70" t="e">
        <f>'Effort Statistics'!216:216-"AM:!%&gt;&amp;"</f>
        <v>#VALUE!</v>
      </c>
      <c r="GD70" t="e">
        <f>'Effort Statistics'!217:217-"AM:!%&gt;'"</f>
        <v>#VALUE!</v>
      </c>
      <c r="GE70" t="e">
        <f>'Effort Statistics'!218:218-"AM:!%&gt;("</f>
        <v>#VALUE!</v>
      </c>
      <c r="GF70" t="e">
        <f>'Effort Statistics'!219:219-"AM:!%&gt;)"</f>
        <v>#VALUE!</v>
      </c>
      <c r="GG70" t="e">
        <f>'Effort Statistics'!220:220-"AM:!%&gt;."</f>
        <v>#VALUE!</v>
      </c>
      <c r="GH70" t="e">
        <f>'Effort Statistics'!221:221-"AM:!%&gt;/"</f>
        <v>#VALUE!</v>
      </c>
      <c r="GI70" t="e">
        <f>'Effort Statistics'!222:222-"AM:!%&gt;0"</f>
        <v>#VALUE!</v>
      </c>
      <c r="GJ70" t="e">
        <f>'Effort Statistics'!223:223-"AM:!%&gt;1"</f>
        <v>#VALUE!</v>
      </c>
      <c r="GK70" t="e">
        <f>'Effort Statistics'!224:224-"AM:!%&gt;2"</f>
        <v>#VALUE!</v>
      </c>
      <c r="GL70" t="e">
        <f>'Effort Statistics'!225:225-"AM:!%&gt;3"</f>
        <v>#VALUE!</v>
      </c>
      <c r="GM70" t="e">
        <f>'Effort Statistics'!226:226-"AM:!%&gt;4"</f>
        <v>#VALUE!</v>
      </c>
      <c r="GN70" t="e">
        <f>'Effort Statistics'!227:227-"AM:!%&gt;5"</f>
        <v>#VALUE!</v>
      </c>
      <c r="GO70" t="e">
        <f>'Effort Statistics'!228:228-"AM:!%&gt;6"</f>
        <v>#VALUE!</v>
      </c>
      <c r="GP70" t="e">
        <f>'Effort Statistics'!229:229-"AM:!%&gt;7"</f>
        <v>#VALUE!</v>
      </c>
      <c r="GQ70" t="e">
        <f>'Effort Statistics'!230:230-"AM:!%&gt;8"</f>
        <v>#VALUE!</v>
      </c>
      <c r="GR70" t="e">
        <f>'Effort Statistics'!231:231-"AM:!%&gt;9"</f>
        <v>#VALUE!</v>
      </c>
      <c r="GS70" t="e">
        <f>'Effort Statistics'!232:232-"AM:!%&gt;:"</f>
        <v>#VALUE!</v>
      </c>
      <c r="GT70" t="e">
        <f>'Effort Statistics'!233:233-"AM:!%&gt;;"</f>
        <v>#VALUE!</v>
      </c>
      <c r="GU70" t="e">
        <f>'Effort Statistics'!234:234-"AM:!%&gt;&lt;"</f>
        <v>#VALUE!</v>
      </c>
      <c r="GV70" t="e">
        <f>'Effort Statistics'!235:235-"AM:!%&gt;="</f>
        <v>#VALUE!</v>
      </c>
      <c r="GW70" t="e">
        <f>'Effort Statistics'!236:236-"AM:!%&gt;&gt;"</f>
        <v>#VALUE!</v>
      </c>
      <c r="GX70" t="e">
        <f>'Effort Statistics'!237:237-"AM:!%&gt;?"</f>
        <v>#VALUE!</v>
      </c>
      <c r="GY70" t="e">
        <f>'Effort Statistics'!238:238-"AM:!%&gt;@"</f>
        <v>#VALUE!</v>
      </c>
      <c r="GZ70" t="e">
        <f>'Effort Statistics'!239:239-"AM:!%&gt;A"</f>
        <v>#VALUE!</v>
      </c>
      <c r="HA70" t="e">
        <f>'Effort Statistics'!240:240-"AM:!%&gt;B"</f>
        <v>#VALUE!</v>
      </c>
      <c r="HB70" t="e">
        <f>'Effort Statistics'!241:241-"AM:!%&gt;C"</f>
        <v>#VALUE!</v>
      </c>
      <c r="HC70" t="e">
        <f>'Effort Statistics'!242:242-"AM:!%&gt;D"</f>
        <v>#VALUE!</v>
      </c>
      <c r="HD70" t="e">
        <f>'Effort Statistics'!243:243-"AM:!%&gt;E"</f>
        <v>#VALUE!</v>
      </c>
      <c r="HE70" t="e">
        <f>'Effort Statistics'!244:244-"AM:!%&gt;F"</f>
        <v>#VALUE!</v>
      </c>
      <c r="HF70" t="e">
        <f>'Effort Statistics'!245:245-"AM:!%&gt;G"</f>
        <v>#VALUE!</v>
      </c>
      <c r="HG70" t="e">
        <f>'Effort Statistics'!246:246-"AM:!%&gt;H"</f>
        <v>#VALUE!</v>
      </c>
      <c r="HH70" t="e">
        <f>'Effort Statistics'!247:247-"AM:!%&gt;I"</f>
        <v>#VALUE!</v>
      </c>
      <c r="HI70" t="e">
        <f>'Effort Statistics'!248:248-"AM:!%&gt;J"</f>
        <v>#VALUE!</v>
      </c>
      <c r="HJ70" t="e">
        <f>'Effort Statistics'!249:249-"AM:!%&gt;K"</f>
        <v>#VALUE!</v>
      </c>
      <c r="HK70" t="e">
        <f>'Effort Statistics'!250:250-"AM:!%&gt;L"</f>
        <v>#VALUE!</v>
      </c>
      <c r="HL70" t="e">
        <f>'Effort Statistics'!251:251-"AM:!%&gt;M"</f>
        <v>#VALUE!</v>
      </c>
      <c r="HM70" t="e">
        <f>'Effort Statistics'!252:252-"AM:!%&gt;N"</f>
        <v>#VALUE!</v>
      </c>
      <c r="HN70" t="e">
        <f>'Effort Statistics'!253:253-"AM:!%&gt;O"</f>
        <v>#VALUE!</v>
      </c>
      <c r="HO70" t="e">
        <f>'Effort Statistics'!254:254-"AM:!%&gt;P"</f>
        <v>#VALUE!</v>
      </c>
      <c r="HP70" t="e">
        <f>'Effort Statistics'!255:255-"AM:!%&gt;Q"</f>
        <v>#VALUE!</v>
      </c>
      <c r="HQ70" t="e">
        <f>'Effort Statistics'!256:256-"AM:!%&gt;R"</f>
        <v>#VALUE!</v>
      </c>
      <c r="HR70" t="e">
        <f>'Effort Statistics'!257:257-"AM:!%&gt;S"</f>
        <v>#VALUE!</v>
      </c>
      <c r="HS70" t="e">
        <f>'Effort Statistics'!258:258-"AM:!%&gt;T"</f>
        <v>#VALUE!</v>
      </c>
      <c r="HT70" t="e">
        <f>'Effort Statistics'!259:259-"AM:!%&gt;U"</f>
        <v>#VALUE!</v>
      </c>
      <c r="HU70" t="e">
        <f>'Effort Statistics'!260:260-"AM:!%&gt;V"</f>
        <v>#VALUE!</v>
      </c>
      <c r="HV70" t="e">
        <f>'Effort Statistics'!261:261-"AM:!%&gt;W"</f>
        <v>#VALUE!</v>
      </c>
      <c r="HW70" t="e">
        <f>'Effort Statistics'!262:262-"AM:!%&gt;X"</f>
        <v>#VALUE!</v>
      </c>
      <c r="HX70" t="e">
        <f>'Effort Statistics'!263:263-"AM:!%&gt;Y"</f>
        <v>#VALUE!</v>
      </c>
      <c r="HY70" t="e">
        <f>'Effort Statistics'!264:264-"AM:!%&gt;Z"</f>
        <v>#VALUE!</v>
      </c>
      <c r="HZ70" t="e">
        <f>'Effort Statistics'!265:265-"AM:!%&gt;["</f>
        <v>#VALUE!</v>
      </c>
      <c r="IA70" t="e">
        <f>'Effort Statistics'!266:266-"AM:!%&gt;\"</f>
        <v>#VALUE!</v>
      </c>
      <c r="IB70" t="e">
        <f>'Effort Statistics'!267:267-"AM:!%&gt;]"</f>
        <v>#VALUE!</v>
      </c>
      <c r="IC70" t="e">
        <f>'Effort Statistics'!268:268-"AM:!%&gt;^"</f>
        <v>#VALUE!</v>
      </c>
      <c r="ID70" t="e">
        <f>'Effort Statistics'!269:269-"AM:!%&gt;_"</f>
        <v>#VALUE!</v>
      </c>
      <c r="IE70" t="e">
        <f>'Effort Statistics'!270:270-"AM:!%&gt;`"</f>
        <v>#VALUE!</v>
      </c>
      <c r="IF70" t="e">
        <f>'Effort Statistics'!A1+"AM:!%&gt;a"</f>
        <v>#VALUE!</v>
      </c>
      <c r="IG70" t="e">
        <f>'Effort Statistics'!B1+"AM:!%&gt;b"</f>
        <v>#VALUE!</v>
      </c>
      <c r="IH70" t="e">
        <f>'Effort Statistics'!C1+"AM:!%&gt;c"</f>
        <v>#VALUE!</v>
      </c>
      <c r="II70" t="e">
        <f>'Effort Statistics'!D1+"AM:!%&gt;d"</f>
        <v>#VALUE!</v>
      </c>
      <c r="IJ70" t="e">
        <f>'Effort Statistics'!E1+"AM:!%&gt;e"</f>
        <v>#VALUE!</v>
      </c>
      <c r="IK70" t="e">
        <f>'Effort Statistics'!F1+"AM:!%&gt;f"</f>
        <v>#VALUE!</v>
      </c>
      <c r="IL70" t="e">
        <f>'Effort Statistics'!G1+"AM:!%&gt;g"</f>
        <v>#VALUE!</v>
      </c>
      <c r="IM70" t="e">
        <f>'Effort Statistics'!H1+"AM:!%&gt;h"</f>
        <v>#VALUE!</v>
      </c>
      <c r="IN70" t="e">
        <f>'Effort Statistics'!I1+"AM:!%&gt;i"</f>
        <v>#VALUE!</v>
      </c>
      <c r="IO70" t="e">
        <f>'Effort Statistics'!J1+"AM:!%&gt;j"</f>
        <v>#VALUE!</v>
      </c>
      <c r="IP70" t="e">
        <f>'Effort Statistics'!K1+"AM:!%&gt;k"</f>
        <v>#VALUE!</v>
      </c>
      <c r="IQ70" t="e">
        <f>'Effort Statistics'!L1+"AM:!%&gt;l"</f>
        <v>#VALUE!</v>
      </c>
      <c r="IR70" t="e">
        <f>'Effort Statistics'!M1+"AM:!%&gt;m"</f>
        <v>#VALUE!</v>
      </c>
      <c r="IS70" t="e">
        <f>'Effort Statistics'!N1+"AM:!%&gt;n"</f>
        <v>#VALUE!</v>
      </c>
      <c r="IT70" t="e">
        <f>'Effort Statistics'!O1+"AM:!%&gt;o"</f>
        <v>#VALUE!</v>
      </c>
      <c r="IU70" t="e">
        <f>'Effort Statistics'!P1+"AM:!%&gt;p"</f>
        <v>#VALUE!</v>
      </c>
      <c r="IV70" t="e">
        <f>'Effort Statistics'!Q1+"AM:!%&gt;q"</f>
        <v>#VALUE!</v>
      </c>
    </row>
    <row r="71" spans="6:256">
      <c r="F71" t="e">
        <f>'Effort Statistics'!R1+"AM:!%&gt;r"</f>
        <v>#VALUE!</v>
      </c>
      <c r="G71" t="e">
        <f>'Effort Statistics'!S1+"AM:!%&gt;s"</f>
        <v>#VALUE!</v>
      </c>
      <c r="H71" t="e">
        <f>'Effort Statistics'!T1+"AM:!%&gt;t"</f>
        <v>#VALUE!</v>
      </c>
      <c r="I71" t="e">
        <f>'Effort Statistics'!A2+"AM:!%&gt;u"</f>
        <v>#VALUE!</v>
      </c>
      <c r="J71" t="e">
        <f>'Effort Statistics'!B2+"AM:!%&gt;v"</f>
        <v>#VALUE!</v>
      </c>
      <c r="K71" t="e">
        <f>'Effort Statistics'!C2+"AM:!%&gt;w"</f>
        <v>#VALUE!</v>
      </c>
      <c r="L71" t="e">
        <f>'Effort Statistics'!D2+"AM:!%&gt;x"</f>
        <v>#VALUE!</v>
      </c>
      <c r="M71" t="e">
        <f>'Effort Statistics'!E2+"AM:!%&gt;y"</f>
        <v>#VALUE!</v>
      </c>
      <c r="N71" t="e">
        <f>'Effort Statistics'!F2+"AM:!%&gt;z"</f>
        <v>#VALUE!</v>
      </c>
      <c r="O71" t="e">
        <f>'Effort Statistics'!H2+"AM:!%&gt;{"</f>
        <v>#VALUE!</v>
      </c>
      <c r="P71" t="e">
        <f>'Effort Statistics'!I2+"AM:!%&gt;|"</f>
        <v>#VALUE!</v>
      </c>
      <c r="Q71" t="e">
        <f>'Effort Statistics'!J2+"AM:!%&gt;}"</f>
        <v>#VALUE!</v>
      </c>
      <c r="R71" t="e">
        <f>'Effort Statistics'!K2+"AM:!%&gt;~"</f>
        <v>#VALUE!</v>
      </c>
      <c r="S71" t="e">
        <f>'Effort Statistics'!L2+"AM:!%?#"</f>
        <v>#VALUE!</v>
      </c>
      <c r="T71" t="e">
        <f>'Effort Statistics'!M2+"AM:!%?$"</f>
        <v>#VALUE!</v>
      </c>
      <c r="U71" t="e">
        <f>'Effort Statistics'!N2+"AM:!%?%"</f>
        <v>#VALUE!</v>
      </c>
      <c r="V71" t="e">
        <f>'Effort Statistics'!O2+"AM:!%?&amp;"</f>
        <v>#VALUE!</v>
      </c>
      <c r="W71" t="e">
        <f>'Effort Statistics'!P2+"AM:!%?'"</f>
        <v>#VALUE!</v>
      </c>
      <c r="X71" t="e">
        <f>'Effort Statistics'!Q2+"AM:!%?("</f>
        <v>#VALUE!</v>
      </c>
      <c r="Y71" t="e">
        <f>'Effort Statistics'!R2+"AM:!%?)"</f>
        <v>#VALUE!</v>
      </c>
      <c r="Z71" t="e">
        <f>'Effort Statistics'!S2+"AM:!%?."</f>
        <v>#VALUE!</v>
      </c>
      <c r="AA71" t="e">
        <f>'Effort Statistics'!T2+"AM:!%?/"</f>
        <v>#VALUE!</v>
      </c>
      <c r="AB71" t="e">
        <f>'Effort Statistics'!A3+"AM:!%?0"</f>
        <v>#VALUE!</v>
      </c>
      <c r="AC71" t="e">
        <f>'Effort Statistics'!B3+"AM:!%?1"</f>
        <v>#VALUE!</v>
      </c>
      <c r="AD71" t="e">
        <f>'Effort Statistics'!C3+"AM:!%?2"</f>
        <v>#VALUE!</v>
      </c>
      <c r="AE71" t="e">
        <f>'Effort Statistics'!D3+"AM:!%?3"</f>
        <v>#VALUE!</v>
      </c>
      <c r="AF71" t="e">
        <f>'Effort Statistics'!E3+"AM:!%?4"</f>
        <v>#VALUE!</v>
      </c>
      <c r="AG71" t="e">
        <f>'Effort Statistics'!F3+"AM:!%?5"</f>
        <v>#VALUE!</v>
      </c>
      <c r="AH71" t="e">
        <f>'Effort Statistics'!H3+"AM:!%?6"</f>
        <v>#VALUE!</v>
      </c>
      <c r="AI71" t="e">
        <f>'Effort Statistics'!I3+"AM:!%?7"</f>
        <v>#VALUE!</v>
      </c>
      <c r="AJ71" t="e">
        <f>'Effort Statistics'!J3+"AM:!%?8"</f>
        <v>#VALUE!</v>
      </c>
      <c r="AK71" t="e">
        <f>'Effort Statistics'!K3+"AM:!%?9"</f>
        <v>#VALUE!</v>
      </c>
      <c r="AL71" t="e">
        <f>'Effort Statistics'!L3+"AM:!%?:"</f>
        <v>#VALUE!</v>
      </c>
      <c r="AM71" t="e">
        <f>'Effort Statistics'!M3+"AM:!%?;"</f>
        <v>#VALUE!</v>
      </c>
      <c r="AN71" t="e">
        <f>'Effort Statistics'!N3+"AM:!%?&lt;"</f>
        <v>#VALUE!</v>
      </c>
      <c r="AO71" t="e">
        <f>'Effort Statistics'!O3+"AM:!%?="</f>
        <v>#VALUE!</v>
      </c>
      <c r="AP71" t="e">
        <f>'Effort Statistics'!P3+"AM:!%?&gt;"</f>
        <v>#VALUE!</v>
      </c>
      <c r="AQ71" t="e">
        <f>'Effort Statistics'!Q3+"AM:!%??"</f>
        <v>#VALUE!</v>
      </c>
      <c r="AR71" t="e">
        <f>'Effort Statistics'!R3+"AM:!%?@"</f>
        <v>#VALUE!</v>
      </c>
      <c r="AS71" t="e">
        <f>'Effort Statistics'!S3+"AM:!%?A"</f>
        <v>#VALUE!</v>
      </c>
      <c r="AT71" t="e">
        <f>'Effort Statistics'!T3+"AM:!%?B"</f>
        <v>#VALUE!</v>
      </c>
      <c r="AU71" t="e">
        <f>'Effort Statistics'!A4+"AM:!%?C"</f>
        <v>#VALUE!</v>
      </c>
      <c r="AV71" t="e">
        <f>'Effort Statistics'!B4+"AM:!%?D"</f>
        <v>#VALUE!</v>
      </c>
      <c r="AW71" t="e">
        <f>'Effort Statistics'!C4+"AM:!%?E"</f>
        <v>#VALUE!</v>
      </c>
      <c r="AX71" t="e">
        <f>'Effort Statistics'!D4+"AM:!%?F"</f>
        <v>#VALUE!</v>
      </c>
      <c r="AY71" t="e">
        <f>'Effort Statistics'!E4+"AM:!%?G"</f>
        <v>#VALUE!</v>
      </c>
      <c r="AZ71" t="e">
        <f>'Effort Statistics'!F4+"AM:!%?H"</f>
        <v>#VALUE!</v>
      </c>
      <c r="BA71" t="e">
        <f>'Effort Statistics'!G4+"AM:!%?I"</f>
        <v>#VALUE!</v>
      </c>
      <c r="BB71" t="e">
        <f>'Effort Statistics'!H4+"AM:!%?J"</f>
        <v>#VALUE!</v>
      </c>
      <c r="BC71" t="e">
        <f>'Effort Statistics'!I4+"AM:!%?K"</f>
        <v>#VALUE!</v>
      </c>
      <c r="BD71" t="e">
        <f>'Effort Statistics'!J4+"AM:!%?L"</f>
        <v>#VALUE!</v>
      </c>
      <c r="BE71" t="e">
        <f>'Effort Statistics'!K4+"AM:!%?M"</f>
        <v>#VALUE!</v>
      </c>
      <c r="BF71" t="e">
        <f>'Effort Statistics'!L4+"AM:!%?N"</f>
        <v>#VALUE!</v>
      </c>
      <c r="BG71" t="e">
        <f>'Effort Statistics'!M4+"AM:!%?O"</f>
        <v>#VALUE!</v>
      </c>
      <c r="BH71" t="e">
        <f>'Effort Statistics'!N4+"AM:!%?P"</f>
        <v>#VALUE!</v>
      </c>
      <c r="BI71" t="e">
        <f>'Effort Statistics'!O4+"AM:!%?Q"</f>
        <v>#VALUE!</v>
      </c>
      <c r="BJ71" t="e">
        <f>'Effort Statistics'!P4+"AM:!%?R"</f>
        <v>#VALUE!</v>
      </c>
      <c r="BK71" t="e">
        <f>'Effort Statistics'!Q4+"AM:!%?S"</f>
        <v>#VALUE!</v>
      </c>
      <c r="BL71" t="e">
        <f>'Effort Statistics'!R4+"AM:!%?T"</f>
        <v>#VALUE!</v>
      </c>
      <c r="BM71" t="e">
        <f>'Effort Statistics'!S4+"AM:!%?U"</f>
        <v>#VALUE!</v>
      </c>
      <c r="BN71" t="e">
        <f>'Effort Statistics'!T4+"AM:!%?V"</f>
        <v>#VALUE!</v>
      </c>
      <c r="BO71" t="e">
        <f>'Effort Statistics'!A5+"AM:!%?W"</f>
        <v>#VALUE!</v>
      </c>
      <c r="BP71" t="e">
        <f>'Effort Statistics'!B5+"AM:!%?X"</f>
        <v>#VALUE!</v>
      </c>
      <c r="BQ71" t="e">
        <f>'Effort Statistics'!C5+"AM:!%?Y"</f>
        <v>#VALUE!</v>
      </c>
      <c r="BR71" t="e">
        <f>'Effort Statistics'!D5+"AM:!%?Z"</f>
        <v>#VALUE!</v>
      </c>
      <c r="BS71" t="e">
        <f>'Effort Statistics'!E5+"AM:!%?["</f>
        <v>#VALUE!</v>
      </c>
      <c r="BT71" t="e">
        <f>'Effort Statistics'!F5+"AM:!%?\"</f>
        <v>#VALUE!</v>
      </c>
      <c r="BU71" t="e">
        <f>'Effort Statistics'!G5+"AM:!%?]"</f>
        <v>#VALUE!</v>
      </c>
      <c r="BV71" t="e">
        <f>'Effort Statistics'!H5+"AM:!%?^"</f>
        <v>#VALUE!</v>
      </c>
      <c r="BW71" t="e">
        <f>'Effort Statistics'!I5+"AM:!%?_"</f>
        <v>#VALUE!</v>
      </c>
      <c r="BX71" t="e">
        <f>'Effort Statistics'!J5+"AM:!%?`"</f>
        <v>#VALUE!</v>
      </c>
      <c r="BY71" t="e">
        <f>'Effort Statistics'!K5+"AM:!%?a"</f>
        <v>#VALUE!</v>
      </c>
      <c r="BZ71" t="e">
        <f>'Effort Statistics'!L5+"AM:!%?b"</f>
        <v>#VALUE!</v>
      </c>
      <c r="CA71" t="e">
        <f>'Effort Statistics'!M5+"AM:!%?c"</f>
        <v>#VALUE!</v>
      </c>
      <c r="CB71" t="e">
        <f>'Effort Statistics'!N5+"AM:!%?d"</f>
        <v>#VALUE!</v>
      </c>
      <c r="CC71" t="e">
        <f>'Effort Statistics'!O5+"AM:!%?e"</f>
        <v>#VALUE!</v>
      </c>
      <c r="CD71" t="e">
        <f>'Effort Statistics'!P5+"AM:!%?f"</f>
        <v>#VALUE!</v>
      </c>
      <c r="CE71" t="e">
        <f>'Effort Statistics'!Q5+"AM:!%?g"</f>
        <v>#VALUE!</v>
      </c>
      <c r="CF71" t="e">
        <f>'Effort Statistics'!A6+"AM:!%?h"</f>
        <v>#VALUE!</v>
      </c>
      <c r="CG71" t="e">
        <f>'Effort Statistics'!B6+"AM:!%?i"</f>
        <v>#VALUE!</v>
      </c>
      <c r="CH71" t="e">
        <f>'Effort Statistics'!C6+"AM:!%?j"</f>
        <v>#VALUE!</v>
      </c>
      <c r="CI71" t="e">
        <f>'Effort Statistics'!D6+"AM:!%?k"</f>
        <v>#VALUE!</v>
      </c>
      <c r="CJ71" t="e">
        <f>'Effort Statistics'!E6+"AM:!%?l"</f>
        <v>#VALUE!</v>
      </c>
      <c r="CK71" t="e">
        <f>'Effort Statistics'!F6+"AM:!%?m"</f>
        <v>#VALUE!</v>
      </c>
      <c r="CL71" t="e">
        <f>'Effort Statistics'!G6+"AM:!%?n"</f>
        <v>#VALUE!</v>
      </c>
      <c r="CM71" t="e">
        <f>'Effort Statistics'!H6+"AM:!%?o"</f>
        <v>#VALUE!</v>
      </c>
      <c r="CN71" t="e">
        <f>'Effort Statistics'!I6+"AM:!%?p"</f>
        <v>#VALUE!</v>
      </c>
      <c r="CO71" t="e">
        <f>'Effort Statistics'!J6+"AM:!%?q"</f>
        <v>#VALUE!</v>
      </c>
      <c r="CP71" t="e">
        <f>'Effort Statistics'!K6+"AM:!%?r"</f>
        <v>#VALUE!</v>
      </c>
      <c r="CQ71" t="e">
        <f>'Effort Statistics'!L6+"AM:!%?s"</f>
        <v>#VALUE!</v>
      </c>
      <c r="CR71" t="e">
        <f>'Effort Statistics'!M6+"AM:!%?t"</f>
        <v>#VALUE!</v>
      </c>
      <c r="CS71" t="e">
        <f>'Effort Statistics'!N6+"AM:!%?u"</f>
        <v>#VALUE!</v>
      </c>
      <c r="CT71" t="e">
        <f>'Effort Statistics'!O6+"AM:!%?v"</f>
        <v>#VALUE!</v>
      </c>
      <c r="CU71" t="e">
        <f>'Effort Statistics'!P6+"AM:!%?w"</f>
        <v>#VALUE!</v>
      </c>
      <c r="CV71" t="e">
        <f>'Effort Statistics'!Q6+"AM:!%?x"</f>
        <v>#VALUE!</v>
      </c>
      <c r="CW71" t="e">
        <f>'Effort Statistics'!A7+"AM:!%?y"</f>
        <v>#VALUE!</v>
      </c>
      <c r="CX71" t="e">
        <f>'Effort Statistics'!B7+"AM:!%?z"</f>
        <v>#VALUE!</v>
      </c>
      <c r="CY71" t="e">
        <f>'Effort Statistics'!C7+"AM:!%?{"</f>
        <v>#VALUE!</v>
      </c>
      <c r="CZ71" t="e">
        <f>'Effort Statistics'!D7+"AM:!%?|"</f>
        <v>#VALUE!</v>
      </c>
      <c r="DA71" t="e">
        <f>'Effort Statistics'!E7+"AM:!%?}"</f>
        <v>#VALUE!</v>
      </c>
      <c r="DB71" t="e">
        <f>'Effort Statistics'!F7+"AM:!%?~"</f>
        <v>#VALUE!</v>
      </c>
      <c r="DC71" t="e">
        <f>'Effort Statistics'!G7+"AM:!%@#"</f>
        <v>#VALUE!</v>
      </c>
      <c r="DD71" t="e">
        <f>'Effort Statistics'!H7+"AM:!%@$"</f>
        <v>#VALUE!</v>
      </c>
      <c r="DE71" t="e">
        <f>'Effort Statistics'!I7+"AM:!%@%"</f>
        <v>#VALUE!</v>
      </c>
      <c r="DF71" t="e">
        <f>'Effort Statistics'!J7+"AM:!%@&amp;"</f>
        <v>#VALUE!</v>
      </c>
      <c r="DG71" t="e">
        <f>'Effort Statistics'!K7+"AM:!%@'"</f>
        <v>#VALUE!</v>
      </c>
      <c r="DH71" t="e">
        <f>'Effort Statistics'!L7+"AM:!%@("</f>
        <v>#VALUE!</v>
      </c>
      <c r="DI71" t="e">
        <f>'Effort Statistics'!M7+"AM:!%@)"</f>
        <v>#VALUE!</v>
      </c>
      <c r="DJ71" t="e">
        <f>'Effort Statistics'!N7+"AM:!%@."</f>
        <v>#VALUE!</v>
      </c>
      <c r="DK71" t="e">
        <f>'Effort Statistics'!O7+"AM:!%@/"</f>
        <v>#VALUE!</v>
      </c>
      <c r="DL71" t="e">
        <f>'Effort Statistics'!P7+"AM:!%@0"</f>
        <v>#VALUE!</v>
      </c>
      <c r="DM71" t="e">
        <f>'Effort Statistics'!Q7+"AM:!%@1"</f>
        <v>#VALUE!</v>
      </c>
      <c r="DN71" t="e">
        <f ca="1">'Effort Statistics'!A8+"AM:!%@2"</f>
        <v>#VALUE!</v>
      </c>
      <c r="DO71" t="e">
        <f>'Effort Statistics'!B8+"AM:!%@3"</f>
        <v>#VALUE!</v>
      </c>
      <c r="DP71" t="e">
        <f>'Effort Statistics'!C8+"AM:!%@4"</f>
        <v>#VALUE!</v>
      </c>
      <c r="DQ71" t="e">
        <f>'Effort Statistics'!D8+"AM:!%@5"</f>
        <v>#VALUE!</v>
      </c>
      <c r="DR71" t="e">
        <f>'Effort Statistics'!E8+"AM:!%@6"</f>
        <v>#VALUE!</v>
      </c>
      <c r="DS71" t="e">
        <f>'Effort Statistics'!F8+"AM:!%@7"</f>
        <v>#VALUE!</v>
      </c>
      <c r="DT71" t="e">
        <f ca="1">'Effort Statistics'!G8+"AM:!%@8"</f>
        <v>#VALUE!</v>
      </c>
      <c r="DU71" t="e">
        <f ca="1">'Effort Statistics'!H8+"AM:!%@9"</f>
        <v>#VALUE!</v>
      </c>
      <c r="DV71" t="e">
        <f ca="1">'Effort Statistics'!I8+"AM:!%@:"</f>
        <v>#VALUE!</v>
      </c>
      <c r="DW71" t="e">
        <f ca="1">'Effort Statistics'!J8+"AM:!%@;"</f>
        <v>#VALUE!</v>
      </c>
      <c r="DX71" t="e">
        <f ca="1">'Effort Statistics'!K8+"AM:!%@&lt;"</f>
        <v>#VALUE!</v>
      </c>
      <c r="DY71" t="e">
        <f ca="1">'Effort Statistics'!L8+"AM:!%@="</f>
        <v>#VALUE!</v>
      </c>
      <c r="DZ71" t="e">
        <f ca="1">'Effort Statistics'!M8+"AM:!%@&gt;"</f>
        <v>#VALUE!</v>
      </c>
      <c r="EA71" t="e">
        <f ca="1">'Effort Statistics'!N8+"AM:!%@?"</f>
        <v>#VALUE!</v>
      </c>
      <c r="EB71" t="e">
        <f>'Effort Statistics'!O8+"AM:!%@@"</f>
        <v>#VALUE!</v>
      </c>
      <c r="EC71" t="e">
        <f>'Effort Statistics'!P8+"AM:!%@A"</f>
        <v>#VALUE!</v>
      </c>
      <c r="ED71" t="e">
        <f>'Effort Statistics'!Q8+"AM:!%@B"</f>
        <v>#VALUE!</v>
      </c>
      <c r="EE71" t="e">
        <f ca="1">'Effort Statistics'!A9+"AM:!%@C"</f>
        <v>#VALUE!</v>
      </c>
      <c r="EF71" t="e">
        <f>'Effort Statistics'!B9+"AM:!%@D"</f>
        <v>#VALUE!</v>
      </c>
      <c r="EG71" t="e">
        <f>'Effort Statistics'!C9+"AM:!%@E"</f>
        <v>#VALUE!</v>
      </c>
      <c r="EH71" t="e">
        <f>'Effort Statistics'!D9+"AM:!%@F"</f>
        <v>#VALUE!</v>
      </c>
      <c r="EI71" t="e">
        <f>'Effort Statistics'!E9+"AM:!%@G"</f>
        <v>#VALUE!</v>
      </c>
      <c r="EJ71" t="e">
        <f>'Effort Statistics'!F9+"AM:!%@H"</f>
        <v>#VALUE!</v>
      </c>
      <c r="EK71" t="e">
        <f ca="1">'Effort Statistics'!G9+"AM:!%@I"</f>
        <v>#VALUE!</v>
      </c>
      <c r="EL71" t="e">
        <f ca="1">'Effort Statistics'!H9+"AM:!%@J"</f>
        <v>#VALUE!</v>
      </c>
      <c r="EM71" t="e">
        <f ca="1">'Effort Statistics'!I9+"AM:!%@K"</f>
        <v>#VALUE!</v>
      </c>
      <c r="EN71" t="e">
        <f ca="1">'Effort Statistics'!J9+"AM:!%@L"</f>
        <v>#VALUE!</v>
      </c>
      <c r="EO71" t="e">
        <f ca="1">'Effort Statistics'!K9+"AM:!%@M"</f>
        <v>#VALUE!</v>
      </c>
      <c r="EP71" t="e">
        <f ca="1">'Effort Statistics'!L9+"AM:!%@N"</f>
        <v>#VALUE!</v>
      </c>
      <c r="EQ71" t="e">
        <f ca="1">'Effort Statistics'!M9+"AM:!%@O"</f>
        <v>#VALUE!</v>
      </c>
      <c r="ER71" t="e">
        <f ca="1">'Effort Statistics'!N9+"AM:!%@P"</f>
        <v>#VALUE!</v>
      </c>
      <c r="ES71" t="e">
        <f>'Effort Statistics'!O9+"AM:!%@Q"</f>
        <v>#VALUE!</v>
      </c>
      <c r="ET71" t="e">
        <f>'Effort Statistics'!P9+"AM:!%@R"</f>
        <v>#VALUE!</v>
      </c>
      <c r="EU71" t="e">
        <f>'Effort Statistics'!Q9+"AM:!%@S"</f>
        <v>#VALUE!</v>
      </c>
      <c r="EV71" t="e">
        <f ca="1">'Effort Statistics'!A10+"AM:!%@T"</f>
        <v>#VALUE!</v>
      </c>
      <c r="EW71" t="e">
        <f>'Effort Statistics'!B10+"AM:!%@U"</f>
        <v>#VALUE!</v>
      </c>
      <c r="EX71" t="e">
        <f>'Effort Statistics'!C10+"AM:!%@V"</f>
        <v>#VALUE!</v>
      </c>
      <c r="EY71" t="e">
        <f>'Effort Statistics'!D10+"AM:!%@W"</f>
        <v>#VALUE!</v>
      </c>
      <c r="EZ71" t="e">
        <f>'Effort Statistics'!E10+"AM:!%@X"</f>
        <v>#VALUE!</v>
      </c>
      <c r="FA71" t="e">
        <f>'Effort Statistics'!F10+"AM:!%@Y"</f>
        <v>#VALUE!</v>
      </c>
      <c r="FB71" t="e">
        <f ca="1">'Effort Statistics'!G10+"AM:!%@Z"</f>
        <v>#VALUE!</v>
      </c>
      <c r="FC71" t="e">
        <f ca="1">'Effort Statistics'!H10+"AM:!%@["</f>
        <v>#VALUE!</v>
      </c>
      <c r="FD71" t="e">
        <f ca="1">'Effort Statistics'!I10+"AM:!%@\"</f>
        <v>#VALUE!</v>
      </c>
      <c r="FE71" t="e">
        <f ca="1">'Effort Statistics'!J10+"AM:!%@]"</f>
        <v>#VALUE!</v>
      </c>
      <c r="FF71" t="e">
        <f ca="1">'Effort Statistics'!K10+"AM:!%@^"</f>
        <v>#VALUE!</v>
      </c>
      <c r="FG71" t="e">
        <f ca="1">'Effort Statistics'!L10+"AM:!%@_"</f>
        <v>#VALUE!</v>
      </c>
      <c r="FH71" t="e">
        <f ca="1">'Effort Statistics'!M10+"AM:!%@`"</f>
        <v>#VALUE!</v>
      </c>
      <c r="FI71" t="e">
        <f ca="1">'Effort Statistics'!N10+"AM:!%@a"</f>
        <v>#VALUE!</v>
      </c>
      <c r="FJ71" t="e">
        <f>'Effort Statistics'!O10+"AM:!%@b"</f>
        <v>#VALUE!</v>
      </c>
      <c r="FK71" t="e">
        <f>'Effort Statistics'!P10+"AM:!%@c"</f>
        <v>#VALUE!</v>
      </c>
      <c r="FL71" t="e">
        <f>'Effort Statistics'!Q10+"AM:!%@d"</f>
        <v>#VALUE!</v>
      </c>
      <c r="FM71" t="e">
        <f ca="1">'Effort Statistics'!A11+"AM:!%@e"</f>
        <v>#VALUE!</v>
      </c>
      <c r="FN71" t="e">
        <f>'Effort Statistics'!B11+"AM:!%@f"</f>
        <v>#VALUE!</v>
      </c>
      <c r="FO71" t="e">
        <f>'Effort Statistics'!C11+"AM:!%@g"</f>
        <v>#VALUE!</v>
      </c>
      <c r="FP71" t="e">
        <f>'Effort Statistics'!D11+"AM:!%@h"</f>
        <v>#VALUE!</v>
      </c>
      <c r="FQ71" t="e">
        <f>'Effort Statistics'!E11+"AM:!%@i"</f>
        <v>#VALUE!</v>
      </c>
      <c r="FR71" t="e">
        <f>'Effort Statistics'!F11+"AM:!%@j"</f>
        <v>#VALUE!</v>
      </c>
      <c r="FS71" t="e">
        <f ca="1">'Effort Statistics'!G11+"AM:!%@k"</f>
        <v>#VALUE!</v>
      </c>
      <c r="FT71" t="e">
        <f ca="1">'Effort Statistics'!H11+"AM:!%@l"</f>
        <v>#VALUE!</v>
      </c>
      <c r="FU71" t="e">
        <f ca="1">'Effort Statistics'!I11+"AM:!%@m"</f>
        <v>#VALUE!</v>
      </c>
      <c r="FV71" t="e">
        <f ca="1">'Effort Statistics'!J11+"AM:!%@n"</f>
        <v>#VALUE!</v>
      </c>
      <c r="FW71" t="e">
        <f ca="1">'Effort Statistics'!K11+"AM:!%@o"</f>
        <v>#VALUE!</v>
      </c>
      <c r="FX71" t="e">
        <f ca="1">'Effort Statistics'!L11+"AM:!%@p"</f>
        <v>#VALUE!</v>
      </c>
      <c r="FY71" t="e">
        <f ca="1">'Effort Statistics'!M11+"AM:!%@q"</f>
        <v>#VALUE!</v>
      </c>
      <c r="FZ71" t="e">
        <f ca="1">'Effort Statistics'!N11+"AM:!%@r"</f>
        <v>#VALUE!</v>
      </c>
      <c r="GA71" t="e">
        <f>'Effort Statistics'!O11+"AM:!%@s"</f>
        <v>#VALUE!</v>
      </c>
      <c r="GB71" t="e">
        <f>'Effort Statistics'!P11+"AM:!%@t"</f>
        <v>#VALUE!</v>
      </c>
      <c r="GC71" t="e">
        <f>'Effort Statistics'!Q11+"AM:!%@u"</f>
        <v>#VALUE!</v>
      </c>
      <c r="GD71" t="e">
        <f ca="1">'Effort Statistics'!A12+"AM:!%@v"</f>
        <v>#REF!</v>
      </c>
      <c r="GE71" t="e">
        <f>'Effort Statistics'!B12+"AM:!%@w"</f>
        <v>#VALUE!</v>
      </c>
      <c r="GF71" t="e">
        <f>'Effort Statistics'!C12+"AM:!%@x"</f>
        <v>#VALUE!</v>
      </c>
      <c r="GG71" t="e">
        <f>'Effort Statistics'!D12+"AM:!%@y"</f>
        <v>#VALUE!</v>
      </c>
      <c r="GH71" t="e">
        <f>'Effort Statistics'!E12+"AM:!%@z"</f>
        <v>#VALUE!</v>
      </c>
      <c r="GI71" t="e">
        <f>'Effort Statistics'!F12+"AM:!%@{"</f>
        <v>#VALUE!</v>
      </c>
      <c r="GJ71" t="e">
        <f ca="1">'Effort Statistics'!G12+"AM:!%@|"</f>
        <v>#VALUE!</v>
      </c>
      <c r="GK71" t="e">
        <f ca="1">'Effort Statistics'!H12+"AM:!%@}"</f>
        <v>#VALUE!</v>
      </c>
      <c r="GL71" t="e">
        <f ca="1">'Effort Statistics'!I12+"AM:!%@~"</f>
        <v>#VALUE!</v>
      </c>
      <c r="GM71" t="e">
        <f ca="1">'Effort Statistics'!J12+"AM:!%A#"</f>
        <v>#VALUE!</v>
      </c>
      <c r="GN71" t="e">
        <f ca="1">'Effort Statistics'!K12+"AM:!%A$"</f>
        <v>#VALUE!</v>
      </c>
      <c r="GO71" t="e">
        <f ca="1">'Effort Statistics'!L12+"AM:!%A%"</f>
        <v>#VALUE!</v>
      </c>
      <c r="GP71" t="e">
        <f ca="1">'Effort Statistics'!M12+"AM:!%A&amp;"</f>
        <v>#VALUE!</v>
      </c>
      <c r="GQ71" t="e">
        <f ca="1">'Effort Statistics'!N12+"AM:!%A'"</f>
        <v>#VALUE!</v>
      </c>
      <c r="GR71" t="e">
        <f>'Effort Statistics'!O12+"AM:!%A("</f>
        <v>#VALUE!</v>
      </c>
      <c r="GS71" t="e">
        <f>'Effort Statistics'!P12+"AM:!%A)"</f>
        <v>#VALUE!</v>
      </c>
      <c r="GT71" t="e">
        <f>'Effort Statistics'!Q12+"AM:!%A."</f>
        <v>#VALUE!</v>
      </c>
      <c r="GU71" t="e">
        <f ca="1">'Effort Statistics'!A13+"AM:!%A/"</f>
        <v>#REF!</v>
      </c>
      <c r="GV71" t="e">
        <f>'Effort Statistics'!B13+"AM:!%A0"</f>
        <v>#VALUE!</v>
      </c>
      <c r="GW71" t="e">
        <f>'Effort Statistics'!C13+"AM:!%A1"</f>
        <v>#VALUE!</v>
      </c>
      <c r="GX71" t="e">
        <f>'Effort Statistics'!D13+"AM:!%A2"</f>
        <v>#VALUE!</v>
      </c>
      <c r="GY71" t="e">
        <f>'Effort Statistics'!E13+"AM:!%A3"</f>
        <v>#VALUE!</v>
      </c>
      <c r="GZ71" t="e">
        <f>'Effort Statistics'!F13+"AM:!%A4"</f>
        <v>#VALUE!</v>
      </c>
      <c r="HA71" t="e">
        <f ca="1">'Effort Statistics'!G13+"AM:!%A5"</f>
        <v>#VALUE!</v>
      </c>
      <c r="HB71" t="e">
        <f ca="1">'Effort Statistics'!H13+"AM:!%A6"</f>
        <v>#VALUE!</v>
      </c>
      <c r="HC71" t="e">
        <f ca="1">'Effort Statistics'!I13+"AM:!%A7"</f>
        <v>#VALUE!</v>
      </c>
      <c r="HD71" t="e">
        <f ca="1">'Effort Statistics'!J13+"AM:!%A8"</f>
        <v>#VALUE!</v>
      </c>
      <c r="HE71" t="e">
        <f ca="1">'Effort Statistics'!K13+"AM:!%A9"</f>
        <v>#VALUE!</v>
      </c>
      <c r="HF71" t="e">
        <f ca="1">'Effort Statistics'!L13+"AM:!%A:"</f>
        <v>#VALUE!</v>
      </c>
      <c r="HG71" t="e">
        <f ca="1">'Effort Statistics'!M13+"AM:!%A;"</f>
        <v>#VALUE!</v>
      </c>
      <c r="HH71" t="e">
        <f ca="1">'Effort Statistics'!N13+"AM:!%A&lt;"</f>
        <v>#VALUE!</v>
      </c>
      <c r="HI71" t="e">
        <f>'Effort Statistics'!O13+"AM:!%A="</f>
        <v>#VALUE!</v>
      </c>
      <c r="HJ71" t="e">
        <f>'Effort Statistics'!P13+"AM:!%A&gt;"</f>
        <v>#VALUE!</v>
      </c>
      <c r="HK71" t="e">
        <f>'Effort Statistics'!Q13+"AM:!%A?"</f>
        <v>#VALUE!</v>
      </c>
      <c r="HL71" t="e">
        <f ca="1">'Effort Statistics'!A14+"AM:!%A@"</f>
        <v>#REF!</v>
      </c>
      <c r="HM71" t="e">
        <f>'Effort Statistics'!B14+"AM:!%AA"</f>
        <v>#VALUE!</v>
      </c>
      <c r="HN71" t="e">
        <f>'Effort Statistics'!C14+"AM:!%AB"</f>
        <v>#VALUE!</v>
      </c>
      <c r="HO71" t="e">
        <f>'Effort Statistics'!D14+"AM:!%AC"</f>
        <v>#VALUE!</v>
      </c>
      <c r="HP71" t="e">
        <f>'Effort Statistics'!E14+"AM:!%AD"</f>
        <v>#VALUE!</v>
      </c>
      <c r="HQ71" t="e">
        <f>'Effort Statistics'!F14+"AM:!%AE"</f>
        <v>#VALUE!</v>
      </c>
      <c r="HR71" t="e">
        <f ca="1">'Effort Statistics'!G14+"AM:!%AF"</f>
        <v>#VALUE!</v>
      </c>
      <c r="HS71" t="e">
        <f ca="1">'Effort Statistics'!H14+"AM:!%AG"</f>
        <v>#VALUE!</v>
      </c>
      <c r="HT71" t="e">
        <f ca="1">'Effort Statistics'!I14+"AM:!%AH"</f>
        <v>#VALUE!</v>
      </c>
      <c r="HU71" t="e">
        <f ca="1">'Effort Statistics'!J14+"AM:!%AI"</f>
        <v>#VALUE!</v>
      </c>
      <c r="HV71" t="e">
        <f ca="1">'Effort Statistics'!K14+"AM:!%AJ"</f>
        <v>#VALUE!</v>
      </c>
      <c r="HW71" t="e">
        <f ca="1">'Effort Statistics'!L14+"AM:!%AK"</f>
        <v>#VALUE!</v>
      </c>
      <c r="HX71" t="e">
        <f ca="1">'Effort Statistics'!M14+"AM:!%AL"</f>
        <v>#VALUE!</v>
      </c>
      <c r="HY71" t="e">
        <f ca="1">'Effort Statistics'!N14+"AM:!%AM"</f>
        <v>#VALUE!</v>
      </c>
      <c r="HZ71" t="e">
        <f>'Effort Statistics'!O14+"AM:!%AN"</f>
        <v>#VALUE!</v>
      </c>
      <c r="IA71" t="e">
        <f>'Effort Statistics'!P14+"AM:!%AO"</f>
        <v>#VALUE!</v>
      </c>
      <c r="IB71" t="e">
        <f>'Effort Statistics'!Q14+"AM:!%AP"</f>
        <v>#VALUE!</v>
      </c>
      <c r="IC71" t="e">
        <f ca="1">'Effort Statistics'!A15+"AM:!%AQ"</f>
        <v>#REF!</v>
      </c>
      <c r="ID71" t="e">
        <f>'Effort Statistics'!B15+"AM:!%AR"</f>
        <v>#VALUE!</v>
      </c>
      <c r="IE71" t="e">
        <f>'Effort Statistics'!C15+"AM:!%AS"</f>
        <v>#VALUE!</v>
      </c>
      <c r="IF71" t="e">
        <f>'Effort Statistics'!D15+"AM:!%AT"</f>
        <v>#VALUE!</v>
      </c>
      <c r="IG71" t="e">
        <f>'Effort Statistics'!E15+"AM:!%AU"</f>
        <v>#VALUE!</v>
      </c>
      <c r="IH71" t="e">
        <f>'Effort Statistics'!F15+"AM:!%AV"</f>
        <v>#VALUE!</v>
      </c>
      <c r="II71" t="e">
        <f ca="1">'Effort Statistics'!G15+"AM:!%AW"</f>
        <v>#VALUE!</v>
      </c>
      <c r="IJ71" t="e">
        <f ca="1">'Effort Statistics'!H15+"AM:!%AX"</f>
        <v>#VALUE!</v>
      </c>
      <c r="IK71" t="e">
        <f ca="1">'Effort Statistics'!I15+"AM:!%AY"</f>
        <v>#VALUE!</v>
      </c>
      <c r="IL71" t="e">
        <f ca="1">'Effort Statistics'!J15+"AM:!%AZ"</f>
        <v>#VALUE!</v>
      </c>
      <c r="IM71" t="e">
        <f ca="1">'Effort Statistics'!K15+"AM:!%A["</f>
        <v>#VALUE!</v>
      </c>
      <c r="IN71" t="e">
        <f ca="1">'Effort Statistics'!L15+"AM:!%A\"</f>
        <v>#VALUE!</v>
      </c>
      <c r="IO71" t="e">
        <f ca="1">'Effort Statistics'!M15+"AM:!%A]"</f>
        <v>#VALUE!</v>
      </c>
      <c r="IP71" t="e">
        <f ca="1">'Effort Statistics'!N15+"AM:!%A^"</f>
        <v>#VALUE!</v>
      </c>
      <c r="IQ71" t="e">
        <f>'Effort Statistics'!O15+"AM:!%A_"</f>
        <v>#VALUE!</v>
      </c>
      <c r="IR71" t="e">
        <f>'Effort Statistics'!P15+"AM:!%A`"</f>
        <v>#VALUE!</v>
      </c>
      <c r="IS71" t="e">
        <f>'Effort Statistics'!Q15+"AM:!%Aa"</f>
        <v>#VALUE!</v>
      </c>
      <c r="IT71" t="e">
        <f ca="1">'Effort Statistics'!A16+"AM:!%Ab"</f>
        <v>#REF!</v>
      </c>
      <c r="IU71" t="e">
        <f>'Effort Statistics'!B16+"AM:!%Ac"</f>
        <v>#VALUE!</v>
      </c>
      <c r="IV71" t="e">
        <f>'Effort Statistics'!C16+"AM:!%Ad"</f>
        <v>#VALUE!</v>
      </c>
    </row>
    <row r="72" spans="6:256">
      <c r="F72" t="e">
        <f>'Effort Statistics'!D16+"AM:!%Ae"</f>
        <v>#VALUE!</v>
      </c>
      <c r="G72" t="e">
        <f>'Effort Statistics'!E16+"AM:!%Af"</f>
        <v>#VALUE!</v>
      </c>
      <c r="H72" t="e">
        <f>'Effort Statistics'!F16+"AM:!%Ag"</f>
        <v>#VALUE!</v>
      </c>
      <c r="I72" t="e">
        <f ca="1">'Effort Statistics'!G16+"AM:!%Ah"</f>
        <v>#VALUE!</v>
      </c>
      <c r="J72" t="e">
        <f ca="1">'Effort Statistics'!H16+"AM:!%Ai"</f>
        <v>#VALUE!</v>
      </c>
      <c r="K72" t="e">
        <f ca="1">'Effort Statistics'!I16+"AM:!%Aj"</f>
        <v>#VALUE!</v>
      </c>
      <c r="L72" t="e">
        <f ca="1">'Effort Statistics'!J16+"AM:!%Ak"</f>
        <v>#VALUE!</v>
      </c>
      <c r="M72" t="e">
        <f ca="1">'Effort Statistics'!K16+"AM:!%Al"</f>
        <v>#VALUE!</v>
      </c>
      <c r="N72" t="e">
        <f ca="1">'Effort Statistics'!L16+"AM:!%Am"</f>
        <v>#VALUE!</v>
      </c>
      <c r="O72" t="e">
        <f ca="1">'Effort Statistics'!M16+"AM:!%An"</f>
        <v>#VALUE!</v>
      </c>
      <c r="P72" t="e">
        <f ca="1">'Effort Statistics'!N16+"AM:!%Ao"</f>
        <v>#VALUE!</v>
      </c>
      <c r="Q72" t="e">
        <f>'Effort Statistics'!O16+"AM:!%Ap"</f>
        <v>#VALUE!</v>
      </c>
      <c r="R72" t="e">
        <f>'Effort Statistics'!P16+"AM:!%Aq"</f>
        <v>#VALUE!</v>
      </c>
      <c r="S72" t="e">
        <f>'Effort Statistics'!Q16+"AM:!%Ar"</f>
        <v>#VALUE!</v>
      </c>
      <c r="T72" t="e">
        <f ca="1">'Effort Statistics'!A17+"AM:!%As"</f>
        <v>#REF!</v>
      </c>
      <c r="U72" t="e">
        <f>'Effort Statistics'!B17+"AM:!%At"</f>
        <v>#VALUE!</v>
      </c>
      <c r="V72" t="e">
        <f>'Effort Statistics'!C17+"AM:!%Au"</f>
        <v>#VALUE!</v>
      </c>
      <c r="W72" t="e">
        <f>'Effort Statistics'!D17+"AM:!%Av"</f>
        <v>#VALUE!</v>
      </c>
      <c r="X72" t="e">
        <f>'Effort Statistics'!E17+"AM:!%Aw"</f>
        <v>#VALUE!</v>
      </c>
      <c r="Y72" t="e">
        <f>'Effort Statistics'!F17+"AM:!%Ax"</f>
        <v>#VALUE!</v>
      </c>
      <c r="Z72" t="e">
        <f ca="1">'Effort Statistics'!G17+"AM:!%Ay"</f>
        <v>#VALUE!</v>
      </c>
      <c r="AA72" t="e">
        <f ca="1">'Effort Statistics'!H17+"AM:!%Az"</f>
        <v>#VALUE!</v>
      </c>
      <c r="AB72" t="e">
        <f ca="1">'Effort Statistics'!I17+"AM:!%A{"</f>
        <v>#VALUE!</v>
      </c>
      <c r="AC72" t="e">
        <f ca="1">'Effort Statistics'!J17+"AM:!%A|"</f>
        <v>#VALUE!</v>
      </c>
      <c r="AD72" t="e">
        <f ca="1">'Effort Statistics'!K17+"AM:!%A}"</f>
        <v>#VALUE!</v>
      </c>
      <c r="AE72" t="e">
        <f ca="1">'Effort Statistics'!L17+"AM:!%A~"</f>
        <v>#VALUE!</v>
      </c>
      <c r="AF72" t="e">
        <f ca="1">'Effort Statistics'!M17+"AM:!%B#"</f>
        <v>#VALUE!</v>
      </c>
      <c r="AG72" t="e">
        <f ca="1">'Effort Statistics'!N17+"AM:!%B$"</f>
        <v>#VALUE!</v>
      </c>
      <c r="AH72" t="e">
        <f>'Effort Statistics'!O17+"AM:!%B%"</f>
        <v>#VALUE!</v>
      </c>
      <c r="AI72" t="e">
        <f>'Effort Statistics'!P17+"AM:!%B&amp;"</f>
        <v>#VALUE!</v>
      </c>
      <c r="AJ72" t="e">
        <f>'Effort Statistics'!Q17+"AM:!%B'"</f>
        <v>#VALUE!</v>
      </c>
      <c r="AK72" t="e">
        <f>'Effort Statistics'!A18+"AM:!%B("</f>
        <v>#VALUE!</v>
      </c>
      <c r="AL72" t="e">
        <f>'Effort Statistics'!B18+"AM:!%B)"</f>
        <v>#VALUE!</v>
      </c>
      <c r="AM72" t="e">
        <f>'Effort Statistics'!C18+"AM:!%B."</f>
        <v>#VALUE!</v>
      </c>
      <c r="AN72" t="e">
        <f>'Effort Statistics'!D18+"AM:!%B/"</f>
        <v>#VALUE!</v>
      </c>
      <c r="AO72" t="e">
        <f>'Effort Statistics'!E18+"AM:!%B0"</f>
        <v>#VALUE!</v>
      </c>
      <c r="AP72" t="e">
        <f>'Effort Statistics'!F18+"AM:!%B1"</f>
        <v>#VALUE!</v>
      </c>
      <c r="AQ72" t="e">
        <f ca="1">'Effort Statistics'!G18+"AM:!%B2"</f>
        <v>#VALUE!</v>
      </c>
      <c r="AR72" t="e">
        <f ca="1">'Effort Statistics'!H18+"AM:!%B3"</f>
        <v>#VALUE!</v>
      </c>
      <c r="AS72" t="e">
        <f ca="1">'Effort Statistics'!I18+"AM:!%B4"</f>
        <v>#VALUE!</v>
      </c>
      <c r="AT72" t="e">
        <f ca="1">'Effort Statistics'!J18+"AM:!%B5"</f>
        <v>#VALUE!</v>
      </c>
      <c r="AU72" t="e">
        <f ca="1">'Effort Statistics'!K18+"AM:!%B6"</f>
        <v>#VALUE!</v>
      </c>
      <c r="AV72" t="e">
        <f ca="1">'Effort Statistics'!L18+"AM:!%B7"</f>
        <v>#VALUE!</v>
      </c>
      <c r="AW72" t="e">
        <f ca="1">'Effort Statistics'!M18+"AM:!%B8"</f>
        <v>#VALUE!</v>
      </c>
      <c r="AX72" t="e">
        <f ca="1">'Effort Statistics'!N18+"AM:!%B9"</f>
        <v>#VALUE!</v>
      </c>
      <c r="AY72" t="e">
        <f>'Effort Statistics'!O18+"AM:!%B:"</f>
        <v>#VALUE!</v>
      </c>
      <c r="AZ72" t="e">
        <f>'Effort Statistics'!P18+"AM:!%B;"</f>
        <v>#VALUE!</v>
      </c>
      <c r="BA72" t="e">
        <f>'Effort Statistics'!Q18+"AM:!%B&lt;"</f>
        <v>#VALUE!</v>
      </c>
      <c r="BB72" t="e">
        <f>'Effort Statistics'!A19+"AM:!%B="</f>
        <v>#VALUE!</v>
      </c>
      <c r="BC72" t="e">
        <f>'Effort Statistics'!B19+"AM:!%B&gt;"</f>
        <v>#VALUE!</v>
      </c>
      <c r="BD72" t="e">
        <f>'Effort Statistics'!C19+"AM:!%B?"</f>
        <v>#VALUE!</v>
      </c>
      <c r="BE72" t="e">
        <f>'Effort Statistics'!D19+"AM:!%B@"</f>
        <v>#VALUE!</v>
      </c>
      <c r="BF72" t="e">
        <f>'Effort Statistics'!E19+"AM:!%BA"</f>
        <v>#VALUE!</v>
      </c>
      <c r="BG72" t="e">
        <f>'Effort Statistics'!F19+"AM:!%BB"</f>
        <v>#VALUE!</v>
      </c>
      <c r="BH72" t="e">
        <f>'Effort Statistics'!G19+"AM:!%BC"</f>
        <v>#VALUE!</v>
      </c>
      <c r="BI72" t="e">
        <f>'Effort Statistics'!H19+"AM:!%BD"</f>
        <v>#VALUE!</v>
      </c>
      <c r="BJ72" t="e">
        <f>'Effort Statistics'!I19+"AM:!%BE"</f>
        <v>#VALUE!</v>
      </c>
      <c r="BK72" t="e">
        <f>'Effort Statistics'!J19+"AM:!%BF"</f>
        <v>#VALUE!</v>
      </c>
      <c r="BL72" t="e">
        <f>'Effort Statistics'!K19+"AM:!%BG"</f>
        <v>#VALUE!</v>
      </c>
      <c r="BM72" t="e">
        <f>'Effort Statistics'!L19+"AM:!%BH"</f>
        <v>#VALUE!</v>
      </c>
      <c r="BN72" t="e">
        <f>'Effort Statistics'!M19+"AM:!%BI"</f>
        <v>#VALUE!</v>
      </c>
      <c r="BO72" t="e">
        <f>'Effort Statistics'!N19+"AM:!%BJ"</f>
        <v>#VALUE!</v>
      </c>
      <c r="BP72" t="e">
        <f>'Effort Statistics'!O19+"AM:!%BK"</f>
        <v>#VALUE!</v>
      </c>
      <c r="BQ72" t="e">
        <f>'Effort Statistics'!P19+"AM:!%BL"</f>
        <v>#VALUE!</v>
      </c>
      <c r="BR72" t="e">
        <f>'Effort Statistics'!Q19+"AM:!%BM"</f>
        <v>#VALUE!</v>
      </c>
      <c r="BS72" t="e">
        <f>'Effort Statistics'!A20+"AM:!%BN"</f>
        <v>#VALUE!</v>
      </c>
      <c r="BT72" t="e">
        <f>'Effort Statistics'!B20+"AM:!%BO"</f>
        <v>#VALUE!</v>
      </c>
      <c r="BU72" t="e">
        <f>'Effort Statistics'!C20+"AM:!%BP"</f>
        <v>#VALUE!</v>
      </c>
      <c r="BV72" t="e">
        <f>'Effort Statistics'!D20+"AM:!%BQ"</f>
        <v>#VALUE!</v>
      </c>
      <c r="BW72" t="e">
        <f>'Effort Statistics'!E20+"AM:!%BR"</f>
        <v>#VALUE!</v>
      </c>
      <c r="BX72" t="e">
        <f>'Effort Statistics'!F20+"AM:!%BS"</f>
        <v>#VALUE!</v>
      </c>
      <c r="BY72" t="e">
        <f>'Effort Statistics'!G20+"AM:!%BT"</f>
        <v>#VALUE!</v>
      </c>
      <c r="BZ72" t="e">
        <f>'Effort Statistics'!H20+"AM:!%BU"</f>
        <v>#VALUE!</v>
      </c>
      <c r="CA72" t="e">
        <f>'Effort Statistics'!I20+"AM:!%BV"</f>
        <v>#VALUE!</v>
      </c>
      <c r="CB72" t="e">
        <f>'Effort Statistics'!J20+"AM:!%BW"</f>
        <v>#VALUE!</v>
      </c>
      <c r="CC72" t="e">
        <f>'Effort Statistics'!K20+"AM:!%BX"</f>
        <v>#VALUE!</v>
      </c>
      <c r="CD72" t="e">
        <f>'Effort Statistics'!L20+"AM:!%BY"</f>
        <v>#VALUE!</v>
      </c>
      <c r="CE72" t="e">
        <f>'Effort Statistics'!M20+"AM:!%BZ"</f>
        <v>#VALUE!</v>
      </c>
      <c r="CF72" t="e">
        <f>'Effort Statistics'!N20+"AM:!%B["</f>
        <v>#VALUE!</v>
      </c>
      <c r="CG72" t="e">
        <f>'Effort Statistics'!O20+"AM:!%B\"</f>
        <v>#VALUE!</v>
      </c>
      <c r="CH72" t="e">
        <f>'Effort Statistics'!P20+"AM:!%B]"</f>
        <v>#VALUE!</v>
      </c>
      <c r="CI72" t="e">
        <f>'Effort Statistics'!Q20+"AM:!%B^"</f>
        <v>#VALUE!</v>
      </c>
      <c r="CJ72" t="e">
        <f>'Effort Statistics'!A21+"AM:!%B_"</f>
        <v>#VALUE!</v>
      </c>
      <c r="CK72" t="e">
        <f>'Effort Statistics'!B21+"AM:!%B`"</f>
        <v>#VALUE!</v>
      </c>
      <c r="CL72" t="e">
        <f>'Effort Statistics'!C21+"AM:!%Ba"</f>
        <v>#VALUE!</v>
      </c>
      <c r="CM72" t="e">
        <f>'Effort Statistics'!D21+"AM:!%Bb"</f>
        <v>#VALUE!</v>
      </c>
      <c r="CN72" t="e">
        <f>'Effort Statistics'!E21+"AM:!%Bc"</f>
        <v>#VALUE!</v>
      </c>
      <c r="CO72" t="e">
        <f>'Effort Statistics'!F21+"AM:!%Bd"</f>
        <v>#VALUE!</v>
      </c>
      <c r="CP72" t="e">
        <f>'Effort Statistics'!G21+"AM:!%Be"</f>
        <v>#VALUE!</v>
      </c>
      <c r="CQ72" t="e">
        <f>'Effort Statistics'!H21+"AM:!%Bf"</f>
        <v>#VALUE!</v>
      </c>
      <c r="CR72" t="e">
        <f>'Effort Statistics'!I21+"AM:!%Bg"</f>
        <v>#VALUE!</v>
      </c>
      <c r="CS72" t="e">
        <f>'Effort Statistics'!J21+"AM:!%Bh"</f>
        <v>#VALUE!</v>
      </c>
      <c r="CT72" t="e">
        <f>'Effort Statistics'!K21+"AM:!%Bi"</f>
        <v>#VALUE!</v>
      </c>
      <c r="CU72" t="e">
        <f>'Effort Statistics'!L21+"AM:!%Bj"</f>
        <v>#VALUE!</v>
      </c>
      <c r="CV72" t="e">
        <f>'Effort Statistics'!M21+"AM:!%Bk"</f>
        <v>#VALUE!</v>
      </c>
      <c r="CW72" t="e">
        <f>'Effort Statistics'!N21+"AM:!%Bl"</f>
        <v>#VALUE!</v>
      </c>
      <c r="CX72" t="e">
        <f>'Effort Statistics'!O21+"AM:!%Bm"</f>
        <v>#VALUE!</v>
      </c>
      <c r="CY72" t="e">
        <f>'Effort Statistics'!P21+"AM:!%Bn"</f>
        <v>#VALUE!</v>
      </c>
      <c r="CZ72" t="e">
        <f>'Effort Statistics'!Q21+"AM:!%Bo"</f>
        <v>#VALUE!</v>
      </c>
      <c r="DA72" t="e">
        <f>'Effort Statistics'!A22+"AM:!%Bp"</f>
        <v>#VALUE!</v>
      </c>
      <c r="DB72" t="e">
        <f>'Effort Statistics'!B22+"AM:!%Bq"</f>
        <v>#VALUE!</v>
      </c>
      <c r="DC72" t="e">
        <f>'Effort Statistics'!C22+"AM:!%Br"</f>
        <v>#VALUE!</v>
      </c>
      <c r="DD72" t="e">
        <f>'Effort Statistics'!D22+"AM:!%Bs"</f>
        <v>#VALUE!</v>
      </c>
      <c r="DE72" t="e">
        <f>'Effort Statistics'!E22+"AM:!%Bt"</f>
        <v>#VALUE!</v>
      </c>
      <c r="DF72" t="e">
        <f>'Effort Statistics'!F22+"AM:!%Bu"</f>
        <v>#VALUE!</v>
      </c>
      <c r="DG72" t="e">
        <f>'Effort Statistics'!G22+"AM:!%Bv"</f>
        <v>#VALUE!</v>
      </c>
      <c r="DH72" t="e">
        <f>'Effort Statistics'!H22+"AM:!%Bw"</f>
        <v>#VALUE!</v>
      </c>
      <c r="DI72" t="e">
        <f>'Effort Statistics'!I22+"AM:!%Bx"</f>
        <v>#VALUE!</v>
      </c>
      <c r="DJ72" t="e">
        <f>'Effort Statistics'!J22+"AM:!%By"</f>
        <v>#VALUE!</v>
      </c>
      <c r="DK72" t="e">
        <f>'Effort Statistics'!K22+"AM:!%Bz"</f>
        <v>#VALUE!</v>
      </c>
      <c r="DL72" t="e">
        <f>'Effort Statistics'!L22+"AM:!%B{"</f>
        <v>#VALUE!</v>
      </c>
      <c r="DM72" t="e">
        <f>'Effort Statistics'!M22+"AM:!%B|"</f>
        <v>#VALUE!</v>
      </c>
      <c r="DN72" t="e">
        <f>'Effort Statistics'!N22+"AM:!%B}"</f>
        <v>#VALUE!</v>
      </c>
      <c r="DO72" t="e">
        <f>'Effort Statistics'!O22+"AM:!%B~"</f>
        <v>#VALUE!</v>
      </c>
      <c r="DP72" t="e">
        <f>'Effort Statistics'!P22+"AM:!%C#"</f>
        <v>#VALUE!</v>
      </c>
      <c r="DQ72" t="e">
        <f>'Effort Statistics'!Q22+"AM:!%C$"</f>
        <v>#VALUE!</v>
      </c>
      <c r="DR72" t="e">
        <f>'Effort Statistics'!A23+"AM:!%C%"</f>
        <v>#VALUE!</v>
      </c>
      <c r="DS72" t="e">
        <f>'Effort Statistics'!B23+"AM:!%C&amp;"</f>
        <v>#VALUE!</v>
      </c>
      <c r="DT72" t="e">
        <f>'Effort Statistics'!C23+"AM:!%C'"</f>
        <v>#VALUE!</v>
      </c>
      <c r="DU72" t="e">
        <f>'Effort Statistics'!D23+"AM:!%C("</f>
        <v>#VALUE!</v>
      </c>
      <c r="DV72" t="e">
        <f>'Effort Statistics'!E23+"AM:!%C)"</f>
        <v>#VALUE!</v>
      </c>
      <c r="DW72" t="e">
        <f>'Effort Statistics'!F23+"AM:!%C."</f>
        <v>#VALUE!</v>
      </c>
      <c r="DX72" t="e">
        <f>'Effort Statistics'!G23+"AM:!%C/"</f>
        <v>#VALUE!</v>
      </c>
      <c r="DY72" t="e">
        <f>'Effort Statistics'!H23+"AM:!%C0"</f>
        <v>#VALUE!</v>
      </c>
      <c r="DZ72" t="e">
        <f>'Effort Statistics'!I23+"AM:!%C1"</f>
        <v>#VALUE!</v>
      </c>
      <c r="EA72" t="e">
        <f>'Effort Statistics'!J23+"AM:!%C2"</f>
        <v>#VALUE!</v>
      </c>
      <c r="EB72" t="e">
        <f>'Effort Statistics'!K23+"AM:!%C3"</f>
        <v>#VALUE!</v>
      </c>
      <c r="EC72" t="e">
        <f>'Effort Statistics'!L23+"AM:!%C4"</f>
        <v>#VALUE!</v>
      </c>
      <c r="ED72" t="e">
        <f>'Effort Statistics'!M23+"AM:!%C5"</f>
        <v>#VALUE!</v>
      </c>
      <c r="EE72" t="e">
        <f>'Effort Statistics'!N23+"AM:!%C6"</f>
        <v>#VALUE!</v>
      </c>
      <c r="EF72" t="e">
        <f>'Effort Statistics'!O23+"AM:!%C7"</f>
        <v>#VALUE!</v>
      </c>
      <c r="EG72" t="e">
        <f>'Effort Statistics'!P23+"AM:!%C8"</f>
        <v>#VALUE!</v>
      </c>
      <c r="EH72" t="e">
        <f>'Effort Statistics'!Q23+"AM:!%C9"</f>
        <v>#VALUE!</v>
      </c>
      <c r="EI72" t="e">
        <f ca="1">'Effort Statistics'!A24+"AM:!%C:"</f>
        <v>#VALUE!</v>
      </c>
      <c r="EJ72" t="e">
        <f>'Effort Statistics'!B24+"AM:!%C;"</f>
        <v>#VALUE!</v>
      </c>
      <c r="EK72" t="e">
        <f>'Effort Statistics'!C24+"AM:!%C&lt;"</f>
        <v>#VALUE!</v>
      </c>
      <c r="EL72" t="e">
        <f>'Effort Statistics'!D24+"AM:!%C="</f>
        <v>#VALUE!</v>
      </c>
      <c r="EM72" t="e">
        <f>'Effort Statistics'!E24+"AM:!%C&gt;"</f>
        <v>#VALUE!</v>
      </c>
      <c r="EN72" t="e">
        <f>'Effort Statistics'!F24+"AM:!%C?"</f>
        <v>#VALUE!</v>
      </c>
      <c r="EO72" t="e">
        <f ca="1">'Effort Statistics'!G24+"AM:!%C@"</f>
        <v>#VALUE!</v>
      </c>
      <c r="EP72" t="e">
        <f ca="1">'Effort Statistics'!H24+"AM:!%CA"</f>
        <v>#VALUE!</v>
      </c>
      <c r="EQ72" t="e">
        <f ca="1">'Effort Statistics'!I24+"AM:!%CB"</f>
        <v>#VALUE!</v>
      </c>
      <c r="ER72" t="e">
        <f ca="1">'Effort Statistics'!J24+"AM:!%CC"</f>
        <v>#VALUE!</v>
      </c>
      <c r="ES72" t="e">
        <f ca="1">'Effort Statistics'!K24+"AM:!%CD"</f>
        <v>#VALUE!</v>
      </c>
      <c r="ET72" t="e">
        <f ca="1">'Effort Statistics'!L24+"AM:!%CE"</f>
        <v>#VALUE!</v>
      </c>
      <c r="EU72" t="e">
        <f ca="1">'Effort Statistics'!M24+"AM:!%CF"</f>
        <v>#VALUE!</v>
      </c>
      <c r="EV72" t="e">
        <f ca="1">'Effort Statistics'!N24+"AM:!%CG"</f>
        <v>#VALUE!</v>
      </c>
      <c r="EW72" t="e">
        <f>'Effort Statistics'!O24+"AM:!%CH"</f>
        <v>#VALUE!</v>
      </c>
      <c r="EX72" t="e">
        <f>'Effort Statistics'!P24+"AM:!%CI"</f>
        <v>#VALUE!</v>
      </c>
      <c r="EY72" t="e">
        <f>'Effort Statistics'!Q24+"AM:!%CJ"</f>
        <v>#VALUE!</v>
      </c>
      <c r="EZ72" t="e">
        <f ca="1">'Effort Statistics'!A25+"AM:!%CK"</f>
        <v>#VALUE!</v>
      </c>
      <c r="FA72" t="e">
        <f>'Effort Statistics'!B25+"AM:!%CL"</f>
        <v>#VALUE!</v>
      </c>
      <c r="FB72" t="e">
        <f>'Effort Statistics'!C25+"AM:!%CM"</f>
        <v>#VALUE!</v>
      </c>
      <c r="FC72" t="e">
        <f>'Effort Statistics'!D25+"AM:!%CN"</f>
        <v>#VALUE!</v>
      </c>
      <c r="FD72" t="e">
        <f>'Effort Statistics'!E25+"AM:!%CO"</f>
        <v>#VALUE!</v>
      </c>
      <c r="FE72" t="e">
        <f>'Effort Statistics'!F25+"AM:!%CP"</f>
        <v>#VALUE!</v>
      </c>
      <c r="FF72" t="e">
        <f ca="1">'Effort Statistics'!G25+"AM:!%CQ"</f>
        <v>#VALUE!</v>
      </c>
      <c r="FG72" t="e">
        <f ca="1">'Effort Statistics'!H25+"AM:!%CR"</f>
        <v>#VALUE!</v>
      </c>
      <c r="FH72" t="e">
        <f ca="1">'Effort Statistics'!I25+"AM:!%CS"</f>
        <v>#VALUE!</v>
      </c>
      <c r="FI72" t="e">
        <f ca="1">'Effort Statistics'!J25+"AM:!%CT"</f>
        <v>#VALUE!</v>
      </c>
      <c r="FJ72" t="e">
        <f ca="1">'Effort Statistics'!K25+"AM:!%CU"</f>
        <v>#VALUE!</v>
      </c>
      <c r="FK72" t="e">
        <f ca="1">'Effort Statistics'!L25+"AM:!%CV"</f>
        <v>#VALUE!</v>
      </c>
      <c r="FL72" t="e">
        <f ca="1">'Effort Statistics'!M25+"AM:!%CW"</f>
        <v>#VALUE!</v>
      </c>
      <c r="FM72" t="e">
        <f ca="1">'Effort Statistics'!N25+"AM:!%CX"</f>
        <v>#VALUE!</v>
      </c>
      <c r="FN72" t="e">
        <f>'Effort Statistics'!O25+"AM:!%CY"</f>
        <v>#VALUE!</v>
      </c>
      <c r="FO72" t="e">
        <f>'Effort Statistics'!P25+"AM:!%CZ"</f>
        <v>#VALUE!</v>
      </c>
      <c r="FP72" t="e">
        <f>'Effort Statistics'!Q25+"AM:!%C["</f>
        <v>#VALUE!</v>
      </c>
      <c r="FQ72" t="e">
        <f ca="1">'Effort Statistics'!A26+"AM:!%C\"</f>
        <v>#VALUE!</v>
      </c>
      <c r="FR72" t="e">
        <f>'Effort Statistics'!B26+"AM:!%C]"</f>
        <v>#VALUE!</v>
      </c>
      <c r="FS72" t="e">
        <f>'Effort Statistics'!C26+"AM:!%C^"</f>
        <v>#VALUE!</v>
      </c>
      <c r="FT72" t="e">
        <f>'Effort Statistics'!D26+"AM:!%C_"</f>
        <v>#VALUE!</v>
      </c>
      <c r="FU72" t="e">
        <f>'Effort Statistics'!E26+"AM:!%C`"</f>
        <v>#VALUE!</v>
      </c>
      <c r="FV72" t="e">
        <f>'Effort Statistics'!F26+"AM:!%Ca"</f>
        <v>#VALUE!</v>
      </c>
      <c r="FW72" t="e">
        <f ca="1">'Effort Statistics'!G26+"AM:!%Cb"</f>
        <v>#VALUE!</v>
      </c>
      <c r="FX72" t="e">
        <f ca="1">'Effort Statistics'!H26+"AM:!%Cc"</f>
        <v>#VALUE!</v>
      </c>
      <c r="FY72" t="e">
        <f ca="1">'Effort Statistics'!I26+"AM:!%Cd"</f>
        <v>#VALUE!</v>
      </c>
      <c r="FZ72" t="e">
        <f ca="1">'Effort Statistics'!J26+"AM:!%Ce"</f>
        <v>#VALUE!</v>
      </c>
      <c r="GA72" t="e">
        <f ca="1">'Effort Statistics'!K26+"AM:!%Cf"</f>
        <v>#VALUE!</v>
      </c>
      <c r="GB72" t="e">
        <f ca="1">'Effort Statistics'!L26+"AM:!%Cg"</f>
        <v>#VALUE!</v>
      </c>
      <c r="GC72" t="e">
        <f ca="1">'Effort Statistics'!M26+"AM:!%Ch"</f>
        <v>#VALUE!</v>
      </c>
      <c r="GD72" t="e">
        <f ca="1">'Effort Statistics'!N26+"AM:!%Ci"</f>
        <v>#VALUE!</v>
      </c>
      <c r="GE72" t="e">
        <f>'Effort Statistics'!O26+"AM:!%Cj"</f>
        <v>#VALUE!</v>
      </c>
      <c r="GF72" t="e">
        <f>'Effort Statistics'!P26+"AM:!%Ck"</f>
        <v>#VALUE!</v>
      </c>
      <c r="GG72" t="e">
        <f>'Effort Statistics'!Q26+"AM:!%Cl"</f>
        <v>#VALUE!</v>
      </c>
      <c r="GH72" t="e">
        <f ca="1">'Effort Statistics'!A27+"AM:!%Cm"</f>
        <v>#VALUE!</v>
      </c>
      <c r="GI72" t="e">
        <f>'Effort Statistics'!B27+"AM:!%Cn"</f>
        <v>#VALUE!</v>
      </c>
      <c r="GJ72" t="e">
        <f>'Effort Statistics'!C27+"AM:!%Co"</f>
        <v>#VALUE!</v>
      </c>
      <c r="GK72" t="e">
        <f>'Effort Statistics'!D27+"AM:!%Cp"</f>
        <v>#VALUE!</v>
      </c>
      <c r="GL72" t="e">
        <f>'Effort Statistics'!E27+"AM:!%Cq"</f>
        <v>#VALUE!</v>
      </c>
      <c r="GM72" t="e">
        <f>'Effort Statistics'!F27+"AM:!%Cr"</f>
        <v>#VALUE!</v>
      </c>
      <c r="GN72" t="e">
        <f ca="1">'Effort Statistics'!G27+"AM:!%Cs"</f>
        <v>#VALUE!</v>
      </c>
      <c r="GO72" t="e">
        <f ca="1">'Effort Statistics'!H27+"AM:!%Ct"</f>
        <v>#VALUE!</v>
      </c>
      <c r="GP72" t="e">
        <f ca="1">'Effort Statistics'!I27+"AM:!%Cu"</f>
        <v>#VALUE!</v>
      </c>
      <c r="GQ72" t="e">
        <f ca="1">'Effort Statistics'!J27+"AM:!%Cv"</f>
        <v>#VALUE!</v>
      </c>
      <c r="GR72" t="e">
        <f ca="1">'Effort Statistics'!K27+"AM:!%Cw"</f>
        <v>#VALUE!</v>
      </c>
      <c r="GS72" t="e">
        <f ca="1">'Effort Statistics'!L27+"AM:!%Cx"</f>
        <v>#VALUE!</v>
      </c>
      <c r="GT72" t="e">
        <f ca="1">'Effort Statistics'!M27+"AM:!%Cy"</f>
        <v>#VALUE!</v>
      </c>
      <c r="GU72" t="e">
        <f ca="1">'Effort Statistics'!N27+"AM:!%Cz"</f>
        <v>#VALUE!</v>
      </c>
      <c r="GV72" t="e">
        <f>'Effort Statistics'!O27+"AM:!%C{"</f>
        <v>#VALUE!</v>
      </c>
      <c r="GW72" t="e">
        <f>'Effort Statistics'!P27+"AM:!%C|"</f>
        <v>#VALUE!</v>
      </c>
      <c r="GX72" t="e">
        <f>'Effort Statistics'!Q27+"AM:!%C}"</f>
        <v>#VALUE!</v>
      </c>
      <c r="GY72" t="e">
        <f ca="1">'Effort Statistics'!A28+"AM:!%C~"</f>
        <v>#VALUE!</v>
      </c>
      <c r="GZ72" t="e">
        <f>'Effort Statistics'!B28+"AM:!%D#"</f>
        <v>#VALUE!</v>
      </c>
      <c r="HA72" t="e">
        <f>'Effort Statistics'!C28+"AM:!%D$"</f>
        <v>#VALUE!</v>
      </c>
      <c r="HB72" t="e">
        <f>'Effort Statistics'!D28+"AM:!%D%"</f>
        <v>#VALUE!</v>
      </c>
      <c r="HC72" t="e">
        <f>'Effort Statistics'!E28+"AM:!%D&amp;"</f>
        <v>#VALUE!</v>
      </c>
      <c r="HD72" t="e">
        <f>'Effort Statistics'!F28+"AM:!%D'"</f>
        <v>#VALUE!</v>
      </c>
      <c r="HE72" t="e">
        <f ca="1">'Effort Statistics'!G28+"AM:!%D("</f>
        <v>#VALUE!</v>
      </c>
      <c r="HF72" t="e">
        <f ca="1">'Effort Statistics'!H28+"AM:!%D)"</f>
        <v>#VALUE!</v>
      </c>
      <c r="HG72" t="e">
        <f ca="1">'Effort Statistics'!I28+"AM:!%D."</f>
        <v>#VALUE!</v>
      </c>
      <c r="HH72" t="e">
        <f ca="1">'Effort Statistics'!J28+"AM:!%D/"</f>
        <v>#VALUE!</v>
      </c>
      <c r="HI72" t="e">
        <f ca="1">'Effort Statistics'!K28+"AM:!%D0"</f>
        <v>#VALUE!</v>
      </c>
      <c r="HJ72" t="e">
        <f ca="1">'Effort Statistics'!L28+"AM:!%D1"</f>
        <v>#VALUE!</v>
      </c>
      <c r="HK72" t="e">
        <f ca="1">'Effort Statistics'!M28+"AM:!%D2"</f>
        <v>#VALUE!</v>
      </c>
      <c r="HL72" t="e">
        <f ca="1">'Effort Statistics'!N28+"AM:!%D3"</f>
        <v>#VALUE!</v>
      </c>
      <c r="HM72" t="e">
        <f>'Effort Statistics'!O28+"AM:!%D4"</f>
        <v>#VALUE!</v>
      </c>
      <c r="HN72" t="e">
        <f>'Effort Statistics'!P28+"AM:!%D5"</f>
        <v>#VALUE!</v>
      </c>
      <c r="HO72" t="e">
        <f>'Effort Statistics'!Q28+"AM:!%D6"</f>
        <v>#VALUE!</v>
      </c>
      <c r="HP72" t="e">
        <f ca="1">'Effort Statistics'!A29+"AM:!%D7"</f>
        <v>#VALUE!</v>
      </c>
      <c r="HQ72" t="e">
        <f>'Effort Statistics'!B29+"AM:!%D8"</f>
        <v>#VALUE!</v>
      </c>
      <c r="HR72" t="e">
        <f>'Effort Statistics'!C29+"AM:!%D9"</f>
        <v>#VALUE!</v>
      </c>
      <c r="HS72" t="e">
        <f>'Effort Statistics'!D29+"AM:!%D:"</f>
        <v>#VALUE!</v>
      </c>
      <c r="HT72" t="e">
        <f>'Effort Statistics'!E29+"AM:!%D;"</f>
        <v>#VALUE!</v>
      </c>
      <c r="HU72" t="e">
        <f>'Effort Statistics'!F29+"AM:!%D&lt;"</f>
        <v>#VALUE!</v>
      </c>
      <c r="HV72" t="e">
        <f ca="1">'Effort Statistics'!G29+"AM:!%D="</f>
        <v>#VALUE!</v>
      </c>
      <c r="HW72" t="e">
        <f ca="1">'Effort Statistics'!H29+"AM:!%D&gt;"</f>
        <v>#VALUE!</v>
      </c>
      <c r="HX72" t="e">
        <f ca="1">'Effort Statistics'!I29+"AM:!%D?"</f>
        <v>#VALUE!</v>
      </c>
      <c r="HY72" t="e">
        <f ca="1">'Effort Statistics'!J29+"AM:!%D@"</f>
        <v>#VALUE!</v>
      </c>
      <c r="HZ72" t="e">
        <f ca="1">'Effort Statistics'!K29+"AM:!%DA"</f>
        <v>#VALUE!</v>
      </c>
      <c r="IA72" t="e">
        <f ca="1">'Effort Statistics'!L29+"AM:!%DB"</f>
        <v>#VALUE!</v>
      </c>
      <c r="IB72" t="e">
        <f ca="1">'Effort Statistics'!M29+"AM:!%DC"</f>
        <v>#VALUE!</v>
      </c>
      <c r="IC72" t="e">
        <f ca="1">'Effort Statistics'!N29+"AM:!%DD"</f>
        <v>#VALUE!</v>
      </c>
      <c r="ID72" t="e">
        <f>'Effort Statistics'!O29+"AM:!%DE"</f>
        <v>#VALUE!</v>
      </c>
      <c r="IE72" t="e">
        <f>'Effort Statistics'!P29+"AM:!%DF"</f>
        <v>#VALUE!</v>
      </c>
      <c r="IF72" t="e">
        <f>'Effort Statistics'!Q29+"AM:!%DG"</f>
        <v>#VALUE!</v>
      </c>
      <c r="IG72" t="e">
        <f ca="1">'Effort Statistics'!A30+"AM:!%DH"</f>
        <v>#VALUE!</v>
      </c>
      <c r="IH72" t="e">
        <f>'Effort Statistics'!B30+"AM:!%DI"</f>
        <v>#VALUE!</v>
      </c>
      <c r="II72" t="e">
        <f>'Effort Statistics'!C30+"AM:!%DJ"</f>
        <v>#VALUE!</v>
      </c>
      <c r="IJ72" t="e">
        <f>'Effort Statistics'!D30+"AM:!%DK"</f>
        <v>#VALUE!</v>
      </c>
      <c r="IK72" t="e">
        <f>'Effort Statistics'!E30+"AM:!%DL"</f>
        <v>#VALUE!</v>
      </c>
      <c r="IL72" t="e">
        <f>'Effort Statistics'!F30+"AM:!%DM"</f>
        <v>#VALUE!</v>
      </c>
      <c r="IM72" t="e">
        <f ca="1">'Effort Statistics'!G30+"AM:!%DN"</f>
        <v>#VALUE!</v>
      </c>
      <c r="IN72" t="e">
        <f ca="1">'Effort Statistics'!H30+"AM:!%DO"</f>
        <v>#VALUE!</v>
      </c>
      <c r="IO72" t="e">
        <f ca="1">'Effort Statistics'!I30+"AM:!%DP"</f>
        <v>#VALUE!</v>
      </c>
      <c r="IP72" t="e">
        <f ca="1">'Effort Statistics'!J30+"AM:!%DQ"</f>
        <v>#VALUE!</v>
      </c>
      <c r="IQ72" t="e">
        <f ca="1">'Effort Statistics'!K30+"AM:!%DR"</f>
        <v>#VALUE!</v>
      </c>
      <c r="IR72" t="e">
        <f ca="1">'Effort Statistics'!L30+"AM:!%DS"</f>
        <v>#VALUE!</v>
      </c>
      <c r="IS72" t="e">
        <f ca="1">'Effort Statistics'!M30+"AM:!%DT"</f>
        <v>#VALUE!</v>
      </c>
      <c r="IT72" t="e">
        <f ca="1">'Effort Statistics'!N30+"AM:!%DU"</f>
        <v>#VALUE!</v>
      </c>
      <c r="IU72" t="e">
        <f>'Effort Statistics'!O30+"AM:!%DV"</f>
        <v>#VALUE!</v>
      </c>
      <c r="IV72" t="e">
        <f>'Effort Statistics'!P30+"AM:!%DW"</f>
        <v>#VALUE!</v>
      </c>
    </row>
    <row r="73" spans="6:256">
      <c r="F73" t="e">
        <f>'Effort Statistics'!Q30+"AM:!%DX"</f>
        <v>#VALUE!</v>
      </c>
      <c r="G73" t="e">
        <f ca="1">'Effort Statistics'!A31+"AM:!%DY"</f>
        <v>#VALUE!</v>
      </c>
      <c r="H73" t="e">
        <f>'Effort Statistics'!B31+"AM:!%DZ"</f>
        <v>#VALUE!</v>
      </c>
      <c r="I73" t="e">
        <f>'Effort Statistics'!C31+"AM:!%D["</f>
        <v>#VALUE!</v>
      </c>
      <c r="J73" t="e">
        <f>'Effort Statistics'!D31+"AM:!%D\"</f>
        <v>#VALUE!</v>
      </c>
      <c r="K73" t="e">
        <f>'Effort Statistics'!E31+"AM:!%D]"</f>
        <v>#VALUE!</v>
      </c>
      <c r="L73" t="e">
        <f>'Effort Statistics'!F31+"AM:!%D^"</f>
        <v>#VALUE!</v>
      </c>
      <c r="M73" t="e">
        <f ca="1">'Effort Statistics'!G31+"AM:!%D_"</f>
        <v>#VALUE!</v>
      </c>
      <c r="N73" t="e">
        <f ca="1">'Effort Statistics'!H31+"AM:!%D`"</f>
        <v>#VALUE!</v>
      </c>
      <c r="O73" t="e">
        <f ca="1">'Effort Statistics'!I31+"AM:!%Da"</f>
        <v>#VALUE!</v>
      </c>
      <c r="P73" t="e">
        <f ca="1">'Effort Statistics'!J31+"AM:!%Db"</f>
        <v>#VALUE!</v>
      </c>
      <c r="Q73" t="e">
        <f ca="1">'Effort Statistics'!K31+"AM:!%Dc"</f>
        <v>#VALUE!</v>
      </c>
      <c r="R73" t="e">
        <f ca="1">'Effort Statistics'!L31+"AM:!%Dd"</f>
        <v>#VALUE!</v>
      </c>
      <c r="S73" t="e">
        <f ca="1">'Effort Statistics'!M31+"AM:!%De"</f>
        <v>#VALUE!</v>
      </c>
      <c r="T73" t="e">
        <f ca="1">'Effort Statistics'!N31+"AM:!%Df"</f>
        <v>#VALUE!</v>
      </c>
      <c r="U73" t="e">
        <f>'Effort Statistics'!O31+"AM:!%Dg"</f>
        <v>#VALUE!</v>
      </c>
      <c r="V73" t="e">
        <f>'Effort Statistics'!P31+"AM:!%Dh"</f>
        <v>#VALUE!</v>
      </c>
      <c r="W73" t="e">
        <f>'Effort Statistics'!Q31+"AM:!%Di"</f>
        <v>#VALUE!</v>
      </c>
      <c r="X73" t="e">
        <f ca="1">'Effort Statistics'!A32+"AM:!%Dj"</f>
        <v>#VALUE!</v>
      </c>
      <c r="Y73" t="e">
        <f>'Effort Statistics'!B32+"AM:!%Dk"</f>
        <v>#VALUE!</v>
      </c>
      <c r="Z73" t="e">
        <f>'Effort Statistics'!C32+"AM:!%Dl"</f>
        <v>#VALUE!</v>
      </c>
      <c r="AA73" t="e">
        <f>'Effort Statistics'!D32+"AM:!%Dm"</f>
        <v>#VALUE!</v>
      </c>
      <c r="AB73" t="e">
        <f>'Effort Statistics'!E32+"AM:!%Dn"</f>
        <v>#VALUE!</v>
      </c>
      <c r="AC73" t="e">
        <f>'Effort Statistics'!F32+"AM:!%Do"</f>
        <v>#VALUE!</v>
      </c>
      <c r="AD73" t="e">
        <f ca="1">'Effort Statistics'!G32+"AM:!%Dp"</f>
        <v>#VALUE!</v>
      </c>
      <c r="AE73" t="e">
        <f ca="1">'Effort Statistics'!H32+"AM:!%Dq"</f>
        <v>#VALUE!</v>
      </c>
      <c r="AF73" t="e">
        <f ca="1">'Effort Statistics'!I32+"AM:!%Dr"</f>
        <v>#VALUE!</v>
      </c>
      <c r="AG73" t="e">
        <f ca="1">'Effort Statistics'!J32+"AM:!%Ds"</f>
        <v>#VALUE!</v>
      </c>
      <c r="AH73" t="e">
        <f ca="1">'Effort Statistics'!K32+"AM:!%Dt"</f>
        <v>#VALUE!</v>
      </c>
      <c r="AI73" t="e">
        <f ca="1">'Effort Statistics'!L32+"AM:!%Du"</f>
        <v>#VALUE!</v>
      </c>
      <c r="AJ73" t="e">
        <f ca="1">'Effort Statistics'!M32+"AM:!%Dv"</f>
        <v>#VALUE!</v>
      </c>
      <c r="AK73" t="e">
        <f ca="1">'Effort Statistics'!N32+"AM:!%Dw"</f>
        <v>#VALUE!</v>
      </c>
      <c r="AL73" t="e">
        <f>'Effort Statistics'!O32+"AM:!%Dx"</f>
        <v>#VALUE!</v>
      </c>
      <c r="AM73" t="e">
        <f>'Effort Statistics'!P32+"AM:!%Dy"</f>
        <v>#VALUE!</v>
      </c>
      <c r="AN73" t="e">
        <f>'Effort Statistics'!Q32+"AM:!%Dz"</f>
        <v>#VALUE!</v>
      </c>
      <c r="AO73" t="e">
        <f ca="1">'Effort Statistics'!A33+"AM:!%D{"</f>
        <v>#VALUE!</v>
      </c>
      <c r="AP73" t="e">
        <f>'Effort Statistics'!B33+"AM:!%D|"</f>
        <v>#VALUE!</v>
      </c>
      <c r="AQ73" t="e">
        <f>'Effort Statistics'!C33+"AM:!%D}"</f>
        <v>#VALUE!</v>
      </c>
      <c r="AR73" t="e">
        <f>'Effort Statistics'!D33+"AM:!%D~"</f>
        <v>#VALUE!</v>
      </c>
      <c r="AS73" t="e">
        <f>'Effort Statistics'!E33+"AM:!%E#"</f>
        <v>#VALUE!</v>
      </c>
      <c r="AT73" t="e">
        <f>'Effort Statistics'!F33+"AM:!%E$"</f>
        <v>#VALUE!</v>
      </c>
      <c r="AU73" t="e">
        <f ca="1">'Effort Statistics'!G33+"AM:!%E%"</f>
        <v>#VALUE!</v>
      </c>
      <c r="AV73" t="e">
        <f ca="1">'Effort Statistics'!H33+"AM:!%E&amp;"</f>
        <v>#VALUE!</v>
      </c>
      <c r="AW73" t="e">
        <f ca="1">'Effort Statistics'!I33+"AM:!%E'"</f>
        <v>#VALUE!</v>
      </c>
      <c r="AX73" t="e">
        <f ca="1">'Effort Statistics'!J33+"AM:!%E("</f>
        <v>#VALUE!</v>
      </c>
      <c r="AY73" t="e">
        <f ca="1">'Effort Statistics'!K33+"AM:!%E)"</f>
        <v>#VALUE!</v>
      </c>
      <c r="AZ73" t="e">
        <f ca="1">'Effort Statistics'!L33+"AM:!%E."</f>
        <v>#VALUE!</v>
      </c>
      <c r="BA73" t="e">
        <f ca="1">'Effort Statistics'!M33+"AM:!%E/"</f>
        <v>#VALUE!</v>
      </c>
      <c r="BB73" t="e">
        <f ca="1">'Effort Statistics'!N33+"AM:!%E0"</f>
        <v>#VALUE!</v>
      </c>
      <c r="BC73" t="e">
        <f>'Effort Statistics'!O33+"AM:!%E1"</f>
        <v>#VALUE!</v>
      </c>
      <c r="BD73" t="e">
        <f>'Effort Statistics'!P33+"AM:!%E2"</f>
        <v>#VALUE!</v>
      </c>
      <c r="BE73" t="e">
        <f>'Effort Statistics'!Q33+"AM:!%E3"</f>
        <v>#VALUE!</v>
      </c>
      <c r="BF73" t="e">
        <f>'Effort Statistics'!A34+"AM:!%E4"</f>
        <v>#VALUE!</v>
      </c>
      <c r="BG73" t="e">
        <f>'Effort Statistics'!B34+"AM:!%E5"</f>
        <v>#VALUE!</v>
      </c>
      <c r="BH73" t="e">
        <f>'Effort Statistics'!C34+"AM:!%E6"</f>
        <v>#VALUE!</v>
      </c>
      <c r="BI73" t="e">
        <f>'Effort Statistics'!D34+"AM:!%E7"</f>
        <v>#VALUE!</v>
      </c>
      <c r="BJ73" t="e">
        <f>'Effort Statistics'!E34+"AM:!%E8"</f>
        <v>#VALUE!</v>
      </c>
      <c r="BK73" t="e">
        <f>'Effort Statistics'!F34+"AM:!%E9"</f>
        <v>#VALUE!</v>
      </c>
      <c r="BL73" t="e">
        <f ca="1">'Effort Statistics'!G34+"AM:!%E:"</f>
        <v>#VALUE!</v>
      </c>
      <c r="BM73" s="100" t="e">
        <f ca="1">'Effort Statistics'!H34+"AM:!%E;"</f>
        <v>#VALUE!</v>
      </c>
      <c r="BN73" t="e">
        <f ca="1">'Effort Statistics'!I34+"AM:!%E&lt;"</f>
        <v>#VALUE!</v>
      </c>
      <c r="BO73" t="e">
        <f ca="1">'Effort Statistics'!J34+"AM:!%E="</f>
        <v>#VALUE!</v>
      </c>
      <c r="BP73" t="e">
        <f ca="1">'Effort Statistics'!K34+"AM:!%E&gt;"</f>
        <v>#VALUE!</v>
      </c>
      <c r="BQ73" t="e">
        <f ca="1">'Effort Statistics'!L34+"AM:!%E?"</f>
        <v>#VALUE!</v>
      </c>
      <c r="BR73" t="e">
        <f ca="1">'Effort Statistics'!M34+"AM:!%E@"</f>
        <v>#VALUE!</v>
      </c>
      <c r="BS73" t="e">
        <f ca="1">'Effort Statistics'!N34+"AM:!%EA"</f>
        <v>#VALUE!</v>
      </c>
      <c r="BT73" t="e">
        <f>'Effort Statistics'!O34+"AM:!%EB"</f>
        <v>#VALUE!</v>
      </c>
      <c r="BU73" t="e">
        <f>'Effort Statistics'!P34+"AM:!%EC"</f>
        <v>#VALUE!</v>
      </c>
      <c r="BV73" t="e">
        <f>'Effort Statistics'!Q34+"AM:!%ED"</f>
        <v>#VALUE!</v>
      </c>
      <c r="BW73" t="e">
        <f>'Effort Statistics'!A35+"AM:!%EE"</f>
        <v>#VALUE!</v>
      </c>
      <c r="BX73" t="e">
        <f>'Effort Statistics'!B35+"AM:!%EF"</f>
        <v>#VALUE!</v>
      </c>
      <c r="BY73" t="e">
        <f>'Effort Statistics'!C35+"AM:!%EG"</f>
        <v>#VALUE!</v>
      </c>
      <c r="BZ73" t="e">
        <f>'Effort Statistics'!D35+"AM:!%EH"</f>
        <v>#VALUE!</v>
      </c>
      <c r="CA73" t="e">
        <f>'Effort Statistics'!E35+"AM:!%EI"</f>
        <v>#VALUE!</v>
      </c>
      <c r="CB73" t="e">
        <f>'Effort Statistics'!F35+"AM:!%EJ"</f>
        <v>#VALUE!</v>
      </c>
      <c r="CC73" t="e">
        <f>'Effort Statistics'!G35+"AM:!%EK"</f>
        <v>#VALUE!</v>
      </c>
      <c r="CD73" t="e">
        <f>'Effort Statistics'!H35+"AM:!%EL"</f>
        <v>#VALUE!</v>
      </c>
      <c r="CE73" t="e">
        <f>'Effort Statistics'!I35+"AM:!%EM"</f>
        <v>#VALUE!</v>
      </c>
      <c r="CF73" t="e">
        <f>'Effort Statistics'!J35+"AM:!%EN"</f>
        <v>#VALUE!</v>
      </c>
      <c r="CG73" t="e">
        <f>'Effort Statistics'!K35+"AM:!%EO"</f>
        <v>#VALUE!</v>
      </c>
      <c r="CH73" t="e">
        <f>'Effort Statistics'!L35+"AM:!%EP"</f>
        <v>#VALUE!</v>
      </c>
      <c r="CI73" t="e">
        <f>'Effort Statistics'!M35+"AM:!%EQ"</f>
        <v>#VALUE!</v>
      </c>
      <c r="CJ73" t="e">
        <f>'Effort Statistics'!N35+"AM:!%ER"</f>
        <v>#VALUE!</v>
      </c>
      <c r="CK73" t="e">
        <f>'Effort Statistics'!O35+"AM:!%ES"</f>
        <v>#VALUE!</v>
      </c>
      <c r="CL73" t="e">
        <f>'Effort Statistics'!P35+"AM:!%ET"</f>
        <v>#VALUE!</v>
      </c>
      <c r="CM73" t="e">
        <f>'Effort Statistics'!Q35+"AM:!%EU"</f>
        <v>#VALUE!</v>
      </c>
      <c r="CN73" t="e">
        <f>'Effort Statistics'!A36+"AM:!%EV"</f>
        <v>#VALUE!</v>
      </c>
      <c r="CO73" t="e">
        <f>'Effort Statistics'!B36+"AM:!%EW"</f>
        <v>#VALUE!</v>
      </c>
      <c r="CP73" t="e">
        <f>'Effort Statistics'!C36+"AM:!%EX"</f>
        <v>#VALUE!</v>
      </c>
      <c r="CQ73" t="e">
        <f>'Effort Statistics'!D36+"AM:!%EY"</f>
        <v>#VALUE!</v>
      </c>
      <c r="CR73" t="e">
        <f>'Effort Statistics'!E36+"AM:!%EZ"</f>
        <v>#VALUE!</v>
      </c>
      <c r="CS73" t="e">
        <f>'Effort Statistics'!F36+"AM:!%E["</f>
        <v>#VALUE!</v>
      </c>
      <c r="CT73" t="e">
        <f>'Effort Statistics'!G36+"AM:!%E\"</f>
        <v>#VALUE!</v>
      </c>
      <c r="CU73" t="e">
        <f>'Effort Statistics'!H36+"AM:!%E]"</f>
        <v>#VALUE!</v>
      </c>
      <c r="CV73" t="e">
        <f>'Effort Statistics'!I36+"AM:!%E^"</f>
        <v>#VALUE!</v>
      </c>
      <c r="CW73" t="e">
        <f>'Effort Statistics'!J36+"AM:!%E_"</f>
        <v>#VALUE!</v>
      </c>
      <c r="CX73" t="e">
        <f>'Effort Statistics'!K36+"AM:!%E`"</f>
        <v>#VALUE!</v>
      </c>
      <c r="CY73" t="e">
        <f>'Effort Statistics'!L36+"AM:!%Ea"</f>
        <v>#VALUE!</v>
      </c>
      <c r="CZ73" t="e">
        <f>'Effort Statistics'!M36+"AM:!%Eb"</f>
        <v>#VALUE!</v>
      </c>
      <c r="DA73" t="e">
        <f>'Effort Statistics'!N36+"AM:!%Ec"</f>
        <v>#VALUE!</v>
      </c>
      <c r="DB73" t="e">
        <f>'Effort Statistics'!O36+"AM:!%Ed"</f>
        <v>#VALUE!</v>
      </c>
      <c r="DC73" t="e">
        <f>'Effort Statistics'!P36+"AM:!%Ee"</f>
        <v>#VALUE!</v>
      </c>
      <c r="DD73" t="e">
        <f>'Effort Statistics'!Q36+"AM:!%Ef"</f>
        <v>#VALUE!</v>
      </c>
      <c r="DE73" t="e">
        <f>'Effort Statistics'!A37+"AM:!%Eg"</f>
        <v>#VALUE!</v>
      </c>
      <c r="DF73" t="e">
        <f>'Effort Statistics'!B37+"AM:!%Eh"</f>
        <v>#VALUE!</v>
      </c>
      <c r="DG73" t="e">
        <f>'Effort Statistics'!C37+"AM:!%Ei"</f>
        <v>#VALUE!</v>
      </c>
      <c r="DH73" t="e">
        <f>'Effort Statistics'!D37+"AM:!%Ej"</f>
        <v>#VALUE!</v>
      </c>
      <c r="DI73" t="e">
        <f>'Effort Statistics'!E37+"AM:!%Ek"</f>
        <v>#VALUE!</v>
      </c>
      <c r="DJ73" t="e">
        <f>'Effort Statistics'!F37+"AM:!%El"</f>
        <v>#VALUE!</v>
      </c>
      <c r="DK73" t="e">
        <f>'Effort Statistics'!G37+"AM:!%Em"</f>
        <v>#VALUE!</v>
      </c>
      <c r="DL73" t="e">
        <f>'Effort Statistics'!H37+"AM:!%En"</f>
        <v>#VALUE!</v>
      </c>
      <c r="DM73" t="e">
        <f>'Effort Statistics'!I37+"AM:!%Eo"</f>
        <v>#VALUE!</v>
      </c>
      <c r="DN73" t="e">
        <f>'Effort Statistics'!J37+"AM:!%Ep"</f>
        <v>#VALUE!</v>
      </c>
      <c r="DO73" t="e">
        <f>'Effort Statistics'!K37+"AM:!%Eq"</f>
        <v>#VALUE!</v>
      </c>
      <c r="DP73" t="e">
        <f>'Effort Statistics'!L37+"AM:!%Er"</f>
        <v>#VALUE!</v>
      </c>
      <c r="DQ73" t="e">
        <f>'Effort Statistics'!M37+"AM:!%Es"</f>
        <v>#VALUE!</v>
      </c>
      <c r="DR73" t="e">
        <f>'Effort Statistics'!N37+"AM:!%Et"</f>
        <v>#VALUE!</v>
      </c>
      <c r="DS73" t="e">
        <f>'Effort Statistics'!O37+"AM:!%Eu"</f>
        <v>#VALUE!</v>
      </c>
      <c r="DT73" t="e">
        <f>'Effort Statistics'!P37+"AM:!%Ev"</f>
        <v>#VALUE!</v>
      </c>
      <c r="DU73" t="e">
        <f>'Effort Statistics'!Q37+"AM:!%Ew"</f>
        <v>#VALUE!</v>
      </c>
      <c r="DV73" t="e">
        <f>'Effort Statistics'!A38+"AM:!%Ex"</f>
        <v>#VALUE!</v>
      </c>
      <c r="DW73" t="e">
        <f>'Effort Statistics'!B38+"AM:!%Ey"</f>
        <v>#VALUE!</v>
      </c>
      <c r="DX73" t="e">
        <f>'Effort Statistics'!C38+"AM:!%Ez"</f>
        <v>#VALUE!</v>
      </c>
      <c r="DY73" t="e">
        <f>'Effort Statistics'!D38+"AM:!%E{"</f>
        <v>#VALUE!</v>
      </c>
      <c r="DZ73" t="e">
        <f>'Effort Statistics'!E38+"AM:!%E|"</f>
        <v>#VALUE!</v>
      </c>
      <c r="EA73" t="e">
        <f>'Effort Statistics'!F38+"AM:!%E}"</f>
        <v>#VALUE!</v>
      </c>
      <c r="EB73" t="e">
        <f>'Effort Statistics'!G38+"AM:!%E~"</f>
        <v>#VALUE!</v>
      </c>
      <c r="EC73" t="e">
        <f>'Effort Statistics'!H38+"AM:!%F#"</f>
        <v>#VALUE!</v>
      </c>
      <c r="ED73" t="e">
        <f>'Effort Statistics'!I38+"AM:!%F$"</f>
        <v>#VALUE!</v>
      </c>
      <c r="EE73" t="e">
        <f>'Effort Statistics'!J38+"AM:!%F%"</f>
        <v>#VALUE!</v>
      </c>
      <c r="EF73" t="e">
        <f>'Effort Statistics'!K38+"AM:!%F&amp;"</f>
        <v>#VALUE!</v>
      </c>
      <c r="EG73" t="e">
        <f>'Effort Statistics'!L38+"AM:!%F'"</f>
        <v>#VALUE!</v>
      </c>
      <c r="EH73" t="e">
        <f>'Effort Statistics'!M38+"AM:!%F("</f>
        <v>#VALUE!</v>
      </c>
      <c r="EI73" t="e">
        <f>'Effort Statistics'!N38+"AM:!%F)"</f>
        <v>#VALUE!</v>
      </c>
      <c r="EJ73" t="e">
        <f>'Effort Statistics'!O38+"AM:!%F."</f>
        <v>#VALUE!</v>
      </c>
      <c r="EK73" t="e">
        <f>'Effort Statistics'!P38+"AM:!%F/"</f>
        <v>#VALUE!</v>
      </c>
      <c r="EL73" t="e">
        <f>'Effort Statistics'!Q38+"AM:!%F0"</f>
        <v>#VALUE!</v>
      </c>
      <c r="EM73" t="e">
        <f>'Effort Statistics'!A39+"AM:!%F1"</f>
        <v>#VALUE!</v>
      </c>
      <c r="EN73" t="e">
        <f>'Effort Statistics'!B39+"AM:!%F2"</f>
        <v>#VALUE!</v>
      </c>
      <c r="EO73" t="e">
        <f>'Effort Statistics'!C39+"AM:!%F3"</f>
        <v>#VALUE!</v>
      </c>
      <c r="EP73" t="e">
        <f>'Effort Statistics'!D39+"AM:!%F4"</f>
        <v>#VALUE!</v>
      </c>
      <c r="EQ73" t="e">
        <f>'Effort Statistics'!E39+"AM:!%F5"</f>
        <v>#VALUE!</v>
      </c>
      <c r="ER73" t="e">
        <f>'Effort Statistics'!F39+"AM:!%F6"</f>
        <v>#VALUE!</v>
      </c>
      <c r="ES73" t="e">
        <f>'Effort Statistics'!G39+"AM:!%F7"</f>
        <v>#VALUE!</v>
      </c>
      <c r="ET73" t="e">
        <f>'Effort Statistics'!H39+"AM:!%F8"</f>
        <v>#VALUE!</v>
      </c>
      <c r="EU73" t="e">
        <f>'Effort Statistics'!I39+"AM:!%F9"</f>
        <v>#VALUE!</v>
      </c>
      <c r="EV73" t="e">
        <f>'Effort Statistics'!J39+"AM:!%F:"</f>
        <v>#VALUE!</v>
      </c>
      <c r="EW73" t="e">
        <f>'Effort Statistics'!K39+"AM:!%F;"</f>
        <v>#VALUE!</v>
      </c>
      <c r="EX73" t="e">
        <f>'Effort Statistics'!L39+"AM:!%F&lt;"</f>
        <v>#VALUE!</v>
      </c>
      <c r="EY73" t="e">
        <f>'Effort Statistics'!M39+"AM:!%F="</f>
        <v>#VALUE!</v>
      </c>
      <c r="EZ73" t="e">
        <f>'Effort Statistics'!N39+"AM:!%F&gt;"</f>
        <v>#VALUE!</v>
      </c>
      <c r="FA73" t="e">
        <f>'Effort Statistics'!O39+"AM:!%F?"</f>
        <v>#VALUE!</v>
      </c>
      <c r="FB73" t="e">
        <f>'Effort Statistics'!P39+"AM:!%F@"</f>
        <v>#VALUE!</v>
      </c>
      <c r="FC73" t="e">
        <f>'Effort Statistics'!Q39+"AM:!%FA"</f>
        <v>#VALUE!</v>
      </c>
      <c r="FD73" t="e">
        <f>'Effort Statistics'!A40+"AM:!%FB"</f>
        <v>#VALUE!</v>
      </c>
      <c r="FE73" t="e">
        <f>'Effort Statistics'!B40+"AM:!%FC"</f>
        <v>#VALUE!</v>
      </c>
      <c r="FF73" t="e">
        <f>'Effort Statistics'!C40+"AM:!%FD"</f>
        <v>#VALUE!</v>
      </c>
      <c r="FG73" t="e">
        <f>'Effort Statistics'!D40+"AM:!%FE"</f>
        <v>#VALUE!</v>
      </c>
      <c r="FH73" t="e">
        <f>'Effort Statistics'!E40+"AM:!%FF"</f>
        <v>#VALUE!</v>
      </c>
      <c r="FI73" t="e">
        <f>'Effort Statistics'!F40+"AM:!%FG"</f>
        <v>#VALUE!</v>
      </c>
      <c r="FJ73" t="e">
        <f>'Effort Statistics'!G40+"AM:!%FH"</f>
        <v>#VALUE!</v>
      </c>
      <c r="FK73" t="e">
        <f>'Effort Statistics'!H40+"AM:!%FI"</f>
        <v>#VALUE!</v>
      </c>
      <c r="FL73" t="e">
        <f>'Effort Statistics'!I40+"AM:!%FJ"</f>
        <v>#VALUE!</v>
      </c>
      <c r="FM73" t="e">
        <f ca="1">'Effort Statistics'!J40+"AM:!%FK"</f>
        <v>#VALUE!</v>
      </c>
      <c r="FN73" t="e">
        <f ca="1">'Effort Statistics'!K40+"AM:!%FL"</f>
        <v>#VALUE!</v>
      </c>
      <c r="FO73" t="e">
        <f ca="1">'Effort Statistics'!L40+"AM:!%FM"</f>
        <v>#VALUE!</v>
      </c>
      <c r="FP73" t="e">
        <f ca="1">'Effort Statistics'!M40+"AM:!%FN"</f>
        <v>#VALUE!</v>
      </c>
      <c r="FQ73" t="e">
        <f ca="1">'Effort Statistics'!N40+"AM:!%FO"</f>
        <v>#VALUE!</v>
      </c>
      <c r="FR73" t="e">
        <f ca="1">'Effort Statistics'!O40+"AM:!%FP"</f>
        <v>#VALUE!</v>
      </c>
      <c r="FS73" t="e">
        <f>'Effort Statistics'!P40+"AM:!%FQ"</f>
        <v>#VALUE!</v>
      </c>
      <c r="FT73" t="e">
        <f>'Effort Statistics'!Q40+"AM:!%FR"</f>
        <v>#VALUE!</v>
      </c>
      <c r="FU73" t="e">
        <f>'Effort Statistics'!A41+"AM:!%FS"</f>
        <v>#VALUE!</v>
      </c>
      <c r="FV73" t="e">
        <f>'Effort Statistics'!B41+"AM:!%FT"</f>
        <v>#VALUE!</v>
      </c>
      <c r="FW73" t="e">
        <f>'Effort Statistics'!C41+"AM:!%FU"</f>
        <v>#VALUE!</v>
      </c>
      <c r="FX73" t="e">
        <f>'Effort Statistics'!D41+"AM:!%FV"</f>
        <v>#VALUE!</v>
      </c>
      <c r="FY73" t="e">
        <f>'Effort Statistics'!E41+"AM:!%FW"</f>
        <v>#VALUE!</v>
      </c>
      <c r="FZ73" t="e">
        <f>'Effort Statistics'!F41+"AM:!%FX"</f>
        <v>#VALUE!</v>
      </c>
      <c r="GA73" t="e">
        <f>'Effort Statistics'!G41+"AM:!%FY"</f>
        <v>#VALUE!</v>
      </c>
      <c r="GB73" t="e">
        <f>'Effort Statistics'!H41+"AM:!%FZ"</f>
        <v>#VALUE!</v>
      </c>
      <c r="GC73" t="e">
        <f>'Effort Statistics'!I41+"AM:!%F["</f>
        <v>#VALUE!</v>
      </c>
      <c r="GD73" t="e">
        <f>'Effort Statistics'!J41+"AM:!%F\"</f>
        <v>#VALUE!</v>
      </c>
      <c r="GE73" t="e">
        <f ca="1">'Effort Statistics'!K41+"AM:!%F]"</f>
        <v>#VALUE!</v>
      </c>
      <c r="GF73" t="e">
        <f>'Effort Statistics'!L41+"AM:!%F^"</f>
        <v>#VALUE!</v>
      </c>
      <c r="GG73" t="e">
        <f ca="1">'Effort Statistics'!M41+"AM:!%F_"</f>
        <v>#VALUE!</v>
      </c>
      <c r="GH73" t="e">
        <f>'Effort Statistics'!N41+"AM:!%F`"</f>
        <v>#VALUE!</v>
      </c>
      <c r="GI73" t="e">
        <f ca="1">'Effort Statistics'!O41+"AM:!%Fa"</f>
        <v>#VALUE!</v>
      </c>
      <c r="GJ73" t="e">
        <f>'Effort Statistics'!P41+"AM:!%Fb"</f>
        <v>#VALUE!</v>
      </c>
      <c r="GK73" t="e">
        <f>'Effort Statistics'!Q41+"AM:!%Fc"</f>
        <v>#VALUE!</v>
      </c>
      <c r="GL73" t="e">
        <f>'Effort Statistics'!A42+"AM:!%Fd"</f>
        <v>#VALUE!</v>
      </c>
      <c r="GM73" t="e">
        <f>'Effort Statistics'!B42+"AM:!%Fe"</f>
        <v>#VALUE!</v>
      </c>
      <c r="GN73" t="e">
        <f>'Effort Statistics'!C42+"AM:!%Ff"</f>
        <v>#VALUE!</v>
      </c>
      <c r="GO73" t="e">
        <f>'Effort Statistics'!D42+"AM:!%Fg"</f>
        <v>#VALUE!</v>
      </c>
      <c r="GP73" t="e">
        <f>'Effort Statistics'!E42+"AM:!%Fh"</f>
        <v>#VALUE!</v>
      </c>
      <c r="GQ73" t="e">
        <f>'Effort Statistics'!F42+"AM:!%Fi"</f>
        <v>#VALUE!</v>
      </c>
      <c r="GR73" t="e">
        <f>'Effort Statistics'!G42+"AM:!%Fj"</f>
        <v>#VALUE!</v>
      </c>
      <c r="GS73" t="e">
        <f>'Effort Statistics'!H42+"AM:!%Fk"</f>
        <v>#VALUE!</v>
      </c>
      <c r="GT73" t="e">
        <f>'Effort Statistics'!I42+"AM:!%Fl"</f>
        <v>#VALUE!</v>
      </c>
      <c r="GU73" t="e">
        <f>'Effort Statistics'!J42+"AM:!%Fm"</f>
        <v>#VALUE!</v>
      </c>
      <c r="GV73" t="e">
        <f ca="1">'Effort Statistics'!K42+"AM:!%Fn"</f>
        <v>#VALUE!</v>
      </c>
      <c r="GW73" t="e">
        <f>'Effort Statistics'!L42+"AM:!%Fo"</f>
        <v>#VALUE!</v>
      </c>
      <c r="GX73" t="e">
        <f ca="1">'Effort Statistics'!M42+"AM:!%Fp"</f>
        <v>#VALUE!</v>
      </c>
      <c r="GY73" t="e">
        <f>'Effort Statistics'!N42+"AM:!%Fq"</f>
        <v>#VALUE!</v>
      </c>
      <c r="GZ73" t="e">
        <f ca="1">'Effort Statistics'!O42+"AM:!%Fr"</f>
        <v>#VALUE!</v>
      </c>
      <c r="HA73" t="e">
        <f>'Effort Statistics'!P42+"AM:!%Fs"</f>
        <v>#VALUE!</v>
      </c>
      <c r="HB73" t="e">
        <f>'Effort Statistics'!Q42+"AM:!%Ft"</f>
        <v>#VALUE!</v>
      </c>
      <c r="HC73" t="e">
        <f>'Effort Statistics'!A43+"AM:!%Fu"</f>
        <v>#VALUE!</v>
      </c>
      <c r="HD73" t="e">
        <f>'Effort Statistics'!B43+"AM:!%Fv"</f>
        <v>#VALUE!</v>
      </c>
      <c r="HE73" t="e">
        <f>'Effort Statistics'!C43+"AM:!%Fw"</f>
        <v>#VALUE!</v>
      </c>
      <c r="HF73" t="e">
        <f>'Effort Statistics'!D43+"AM:!%Fx"</f>
        <v>#VALUE!</v>
      </c>
      <c r="HG73" t="e">
        <f>'Effort Statistics'!E43+"AM:!%Fy"</f>
        <v>#VALUE!</v>
      </c>
      <c r="HH73" t="e">
        <f>'Effort Statistics'!F43+"AM:!%Fz"</f>
        <v>#VALUE!</v>
      </c>
      <c r="HI73" t="e">
        <f>'Effort Statistics'!G43+"AM:!%F{"</f>
        <v>#VALUE!</v>
      </c>
      <c r="HJ73" t="e">
        <f>'Effort Statistics'!H43+"AM:!%F|"</f>
        <v>#VALUE!</v>
      </c>
      <c r="HK73" t="e">
        <f>'Effort Statistics'!I43+"AM:!%F}"</f>
        <v>#VALUE!</v>
      </c>
      <c r="HL73" t="e">
        <f>'Effort Statistics'!J43+"AM:!%F~"</f>
        <v>#VALUE!</v>
      </c>
      <c r="HM73" t="e">
        <f ca="1">'Effort Statistics'!K43+"AM:!%G#"</f>
        <v>#VALUE!</v>
      </c>
      <c r="HN73" t="e">
        <f>'Effort Statistics'!L43+"AM:!%G$"</f>
        <v>#VALUE!</v>
      </c>
      <c r="HO73" t="e">
        <f ca="1">'Effort Statistics'!M43+"AM:!%G%"</f>
        <v>#VALUE!</v>
      </c>
      <c r="HP73" t="e">
        <f>'Effort Statistics'!N43+"AM:!%G&amp;"</f>
        <v>#VALUE!</v>
      </c>
      <c r="HQ73" t="e">
        <f ca="1">'Effort Statistics'!O43+"AM:!%G'"</f>
        <v>#VALUE!</v>
      </c>
      <c r="HR73" t="e">
        <f>'Effort Statistics'!P43+"AM:!%G("</f>
        <v>#VALUE!</v>
      </c>
      <c r="HS73" t="e">
        <f>'Effort Statistics'!Q43+"AM:!%G)"</f>
        <v>#VALUE!</v>
      </c>
      <c r="HT73" t="e">
        <f>'Effort Statistics'!A44+"AM:!%G."</f>
        <v>#VALUE!</v>
      </c>
      <c r="HU73" t="e">
        <f>'Effort Statistics'!B44+"AM:!%G/"</f>
        <v>#VALUE!</v>
      </c>
      <c r="HV73" t="e">
        <f>'Effort Statistics'!C44+"AM:!%G0"</f>
        <v>#VALUE!</v>
      </c>
      <c r="HW73" t="e">
        <f>'Effort Statistics'!D44+"AM:!%G1"</f>
        <v>#VALUE!</v>
      </c>
      <c r="HX73" t="e">
        <f>'Effort Statistics'!E44+"AM:!%G2"</f>
        <v>#VALUE!</v>
      </c>
      <c r="HY73" t="e">
        <f>'Effort Statistics'!F44+"AM:!%G3"</f>
        <v>#VALUE!</v>
      </c>
      <c r="HZ73" t="e">
        <f>'Effort Statistics'!G44+"AM:!%G4"</f>
        <v>#VALUE!</v>
      </c>
      <c r="IA73" t="e">
        <f>'Effort Statistics'!H44+"AM:!%G5"</f>
        <v>#VALUE!</v>
      </c>
      <c r="IB73" t="e">
        <f>'Effort Statistics'!I44+"AM:!%G6"</f>
        <v>#VALUE!</v>
      </c>
      <c r="IC73" t="e">
        <f>'Effort Statistics'!J44+"AM:!%G7"</f>
        <v>#VALUE!</v>
      </c>
      <c r="ID73" t="e">
        <f ca="1">'Effort Statistics'!K44+"AM:!%G8"</f>
        <v>#VALUE!</v>
      </c>
      <c r="IE73" t="e">
        <f>'Effort Statistics'!L44+"AM:!%G9"</f>
        <v>#VALUE!</v>
      </c>
      <c r="IF73" t="e">
        <f ca="1">'Effort Statistics'!M44+"AM:!%G:"</f>
        <v>#VALUE!</v>
      </c>
      <c r="IG73" t="e">
        <f>'Effort Statistics'!N44+"AM:!%G;"</f>
        <v>#VALUE!</v>
      </c>
      <c r="IH73" t="e">
        <f ca="1">'Effort Statistics'!O44+"AM:!%G&lt;"</f>
        <v>#VALUE!</v>
      </c>
      <c r="II73" t="e">
        <f>'Effort Statistics'!P44+"AM:!%G="</f>
        <v>#VALUE!</v>
      </c>
      <c r="IJ73" t="e">
        <f>'Effort Statistics'!Q44+"AM:!%G&gt;"</f>
        <v>#VALUE!</v>
      </c>
      <c r="IK73" t="e">
        <f>'Effort Statistics'!A45+"AM:!%G?"</f>
        <v>#VALUE!</v>
      </c>
      <c r="IL73" t="e">
        <f>'Effort Statistics'!B45+"AM:!%G@"</f>
        <v>#VALUE!</v>
      </c>
      <c r="IM73" t="e">
        <f>'Effort Statistics'!C45+"AM:!%GA"</f>
        <v>#VALUE!</v>
      </c>
      <c r="IN73" t="e">
        <f>'Effort Statistics'!D45+"AM:!%GB"</f>
        <v>#VALUE!</v>
      </c>
      <c r="IO73" t="e">
        <f>'Effort Statistics'!E45+"AM:!%GC"</f>
        <v>#VALUE!</v>
      </c>
      <c r="IP73" t="e">
        <f>'Effort Statistics'!F45+"AM:!%GD"</f>
        <v>#VALUE!</v>
      </c>
      <c r="IQ73" t="e">
        <f>'Effort Statistics'!G45+"AM:!%GE"</f>
        <v>#VALUE!</v>
      </c>
      <c r="IR73" t="e">
        <f>'Effort Statistics'!H45+"AM:!%GF"</f>
        <v>#VALUE!</v>
      </c>
      <c r="IS73" t="e">
        <f>'Effort Statistics'!I45+"AM:!%GG"</f>
        <v>#VALUE!</v>
      </c>
      <c r="IT73" t="e">
        <f>'Effort Statistics'!J45+"AM:!%GH"</f>
        <v>#VALUE!</v>
      </c>
      <c r="IU73" t="e">
        <f ca="1">'Effort Statistics'!K45+"AM:!%GI"</f>
        <v>#VALUE!</v>
      </c>
      <c r="IV73" t="e">
        <f>'Effort Statistics'!L45+"AM:!%GJ"</f>
        <v>#VALUE!</v>
      </c>
    </row>
    <row r="74" spans="6:256">
      <c r="F74" t="e">
        <f ca="1">'Effort Statistics'!M45+"AM:!%GK"</f>
        <v>#VALUE!</v>
      </c>
      <c r="G74" t="e">
        <f>'Effort Statistics'!N45+"AM:!%GL"</f>
        <v>#VALUE!</v>
      </c>
      <c r="H74" t="e">
        <f ca="1">'Effort Statistics'!O45+"AM:!%GM"</f>
        <v>#VALUE!</v>
      </c>
      <c r="I74" t="e">
        <f>'Effort Statistics'!P45+"AM:!%GN"</f>
        <v>#VALUE!</v>
      </c>
      <c r="J74" t="e">
        <f>'Effort Statistics'!Q45+"AM:!%GO"</f>
        <v>#VALUE!</v>
      </c>
      <c r="K74" t="e">
        <f>'Effort Statistics'!A46+"AM:!%GP"</f>
        <v>#VALUE!</v>
      </c>
      <c r="L74" t="e">
        <f>'Effort Statistics'!B46+"AM:!%GQ"</f>
        <v>#VALUE!</v>
      </c>
      <c r="M74" t="e">
        <f>'Effort Statistics'!C46+"AM:!%GR"</f>
        <v>#VALUE!</v>
      </c>
      <c r="N74" t="e">
        <f>'Effort Statistics'!D46+"AM:!%GS"</f>
        <v>#VALUE!</v>
      </c>
      <c r="O74" t="e">
        <f>'Effort Statistics'!E46+"AM:!%GT"</f>
        <v>#VALUE!</v>
      </c>
      <c r="P74" t="e">
        <f>'Effort Statistics'!F46+"AM:!%GU"</f>
        <v>#VALUE!</v>
      </c>
      <c r="Q74" t="e">
        <f>'Effort Statistics'!G46+"AM:!%GV"</f>
        <v>#VALUE!</v>
      </c>
      <c r="R74" t="e">
        <f>'Effort Statistics'!H46+"AM:!%GW"</f>
        <v>#VALUE!</v>
      </c>
      <c r="S74" t="e">
        <f>'Effort Statistics'!I46+"AM:!%GX"</f>
        <v>#VALUE!</v>
      </c>
      <c r="T74" t="e">
        <f>'Effort Statistics'!J46+"AM:!%GY"</f>
        <v>#VALUE!</v>
      </c>
      <c r="U74" t="e">
        <f ca="1">'Effort Statistics'!K46+"AM:!%GZ"</f>
        <v>#VALUE!</v>
      </c>
      <c r="V74" t="e">
        <f>'Effort Statistics'!L46+"AM:!%G["</f>
        <v>#VALUE!</v>
      </c>
      <c r="W74" t="e">
        <f ca="1">'Effort Statistics'!M46+"AM:!%G\"</f>
        <v>#VALUE!</v>
      </c>
      <c r="X74" t="e">
        <f>'Effort Statistics'!N46+"AM:!%G]"</f>
        <v>#VALUE!</v>
      </c>
      <c r="Y74" t="e">
        <f ca="1">'Effort Statistics'!O46+"AM:!%G^"</f>
        <v>#VALUE!</v>
      </c>
      <c r="Z74" t="e">
        <f>'Effort Statistics'!P46+"AM:!%G_"</f>
        <v>#VALUE!</v>
      </c>
      <c r="AA74" t="e">
        <f>'Effort Statistics'!Q46+"AM:!%G`"</f>
        <v>#VALUE!</v>
      </c>
      <c r="AB74" t="e">
        <f>'Effort Statistics'!A47+"AM:!%Ga"</f>
        <v>#VALUE!</v>
      </c>
      <c r="AC74" t="e">
        <f>'Effort Statistics'!B47+"AM:!%Gb"</f>
        <v>#VALUE!</v>
      </c>
      <c r="AD74" t="e">
        <f>'Effort Statistics'!C47+"AM:!%Gc"</f>
        <v>#VALUE!</v>
      </c>
      <c r="AE74" t="e">
        <f>'Effort Statistics'!D47+"AM:!%Gd"</f>
        <v>#VALUE!</v>
      </c>
      <c r="AF74" t="e">
        <f>'Effort Statistics'!E47+"AM:!%Ge"</f>
        <v>#VALUE!</v>
      </c>
      <c r="AG74" t="e">
        <f>'Effort Statistics'!F47+"AM:!%Gf"</f>
        <v>#VALUE!</v>
      </c>
      <c r="AH74" t="e">
        <f>'Effort Statistics'!G47+"AM:!%Gg"</f>
        <v>#VALUE!</v>
      </c>
      <c r="AI74" t="e">
        <f>'Effort Statistics'!H47+"AM:!%Gh"</f>
        <v>#VALUE!</v>
      </c>
      <c r="AJ74" t="e">
        <f>'Effort Statistics'!I47+"AM:!%Gi"</f>
        <v>#VALUE!</v>
      </c>
      <c r="AK74" t="e">
        <f>'Effort Statistics'!J47+"AM:!%Gj"</f>
        <v>#VALUE!</v>
      </c>
      <c r="AL74" t="e">
        <f ca="1">'Effort Statistics'!K47+"AM:!%Gk"</f>
        <v>#VALUE!</v>
      </c>
      <c r="AM74" t="e">
        <f>'Effort Statistics'!L47+"AM:!%Gl"</f>
        <v>#VALUE!</v>
      </c>
      <c r="AN74" t="e">
        <f ca="1">'Effort Statistics'!M47+"AM:!%Gm"</f>
        <v>#VALUE!</v>
      </c>
      <c r="AO74" t="e">
        <f>'Effort Statistics'!N47+"AM:!%Gn"</f>
        <v>#VALUE!</v>
      </c>
      <c r="AP74" t="e">
        <f ca="1">'Effort Statistics'!O47+"AM:!%Go"</f>
        <v>#VALUE!</v>
      </c>
      <c r="AQ74" t="e">
        <f>'Effort Statistics'!P47+"AM:!%Gp"</f>
        <v>#VALUE!</v>
      </c>
      <c r="AR74" t="e">
        <f>'Effort Statistics'!Q47+"AM:!%Gq"</f>
        <v>#VALUE!</v>
      </c>
      <c r="AS74" t="e">
        <f>'Effort Statistics'!A48+"AM:!%Gr"</f>
        <v>#VALUE!</v>
      </c>
      <c r="AT74" t="e">
        <f>'Effort Statistics'!B48+"AM:!%Gs"</f>
        <v>#VALUE!</v>
      </c>
      <c r="AU74" t="e">
        <f>'Effort Statistics'!C48+"AM:!%Gt"</f>
        <v>#VALUE!</v>
      </c>
      <c r="AV74" t="e">
        <f>'Effort Statistics'!D48+"AM:!%Gu"</f>
        <v>#VALUE!</v>
      </c>
      <c r="AW74" t="e">
        <f>'Effort Statistics'!E48+"AM:!%Gv"</f>
        <v>#VALUE!</v>
      </c>
      <c r="AX74" t="e">
        <f>'Effort Statistics'!F48+"AM:!%Gw"</f>
        <v>#VALUE!</v>
      </c>
      <c r="AY74" t="e">
        <f>'Effort Statistics'!G48+"AM:!%Gx"</f>
        <v>#VALUE!</v>
      </c>
      <c r="AZ74" t="e">
        <f>'Effort Statistics'!H48+"AM:!%Gy"</f>
        <v>#VALUE!</v>
      </c>
      <c r="BA74" t="e">
        <f>'Effort Statistics'!I48+"AM:!%Gz"</f>
        <v>#VALUE!</v>
      </c>
      <c r="BB74" t="e">
        <f>'Effort Statistics'!J48+"AM:!%G{"</f>
        <v>#VALUE!</v>
      </c>
      <c r="BC74" t="e">
        <f ca="1">'Effort Statistics'!K48+"AM:!%G|"</f>
        <v>#VALUE!</v>
      </c>
      <c r="BD74" t="e">
        <f>'Effort Statistics'!L48+"AM:!%G}"</f>
        <v>#VALUE!</v>
      </c>
      <c r="BE74" t="e">
        <f ca="1">'Effort Statistics'!M48+"AM:!%G~"</f>
        <v>#VALUE!</v>
      </c>
      <c r="BF74" t="e">
        <f>'Effort Statistics'!N48+"AM:!%H#"</f>
        <v>#VALUE!</v>
      </c>
      <c r="BG74" t="e">
        <f ca="1">'Effort Statistics'!O48+"AM:!%H$"</f>
        <v>#VALUE!</v>
      </c>
      <c r="BH74" t="e">
        <f>'Effort Statistics'!P48+"AM:!%H%"</f>
        <v>#VALUE!</v>
      </c>
      <c r="BI74" t="e">
        <f>'Effort Statistics'!Q48+"AM:!%H&amp;"</f>
        <v>#VALUE!</v>
      </c>
      <c r="BJ74" t="e">
        <f>'Effort Statistics'!A49+"AM:!%H'"</f>
        <v>#VALUE!</v>
      </c>
      <c r="BK74" t="e">
        <f>'Effort Statistics'!B49+"AM:!%H("</f>
        <v>#VALUE!</v>
      </c>
      <c r="BL74" t="e">
        <f>'Effort Statistics'!C49+"AM:!%H)"</f>
        <v>#VALUE!</v>
      </c>
      <c r="BM74" t="e">
        <f>'Effort Statistics'!D49+"AM:!%H."</f>
        <v>#VALUE!</v>
      </c>
      <c r="BN74" t="e">
        <f>'Effort Statistics'!E49+"AM:!%H/"</f>
        <v>#VALUE!</v>
      </c>
      <c r="BO74" t="e">
        <f>'Effort Statistics'!F49+"AM:!%H0"</f>
        <v>#VALUE!</v>
      </c>
      <c r="BP74" t="e">
        <f>'Effort Statistics'!G49+"AM:!%H1"</f>
        <v>#VALUE!</v>
      </c>
      <c r="BQ74" t="e">
        <f>'Effort Statistics'!H49+"AM:!%H2"</f>
        <v>#VALUE!</v>
      </c>
      <c r="BR74" t="e">
        <f>'Effort Statistics'!I49+"AM:!%H3"</f>
        <v>#VALUE!</v>
      </c>
      <c r="BS74" t="e">
        <f>'Effort Statistics'!J49+"AM:!%H4"</f>
        <v>#VALUE!</v>
      </c>
      <c r="BT74" t="e">
        <f ca="1">'Effort Statistics'!K49+"AM:!%H5"</f>
        <v>#VALUE!</v>
      </c>
      <c r="BU74" t="e">
        <f>'Effort Statistics'!L49+"AM:!%H6"</f>
        <v>#VALUE!</v>
      </c>
      <c r="BV74" t="e">
        <f ca="1">'Effort Statistics'!M49+"AM:!%H7"</f>
        <v>#VALUE!</v>
      </c>
      <c r="BW74" t="e">
        <f>'Effort Statistics'!N49+"AM:!%H8"</f>
        <v>#VALUE!</v>
      </c>
      <c r="BX74" t="e">
        <f ca="1">'Effort Statistics'!O49+"AM:!%H9"</f>
        <v>#VALUE!</v>
      </c>
      <c r="BY74" t="e">
        <f>'Effort Statistics'!P49+"AM:!%H:"</f>
        <v>#VALUE!</v>
      </c>
      <c r="BZ74" t="e">
        <f>'Effort Statistics'!Q49+"AM:!%H;"</f>
        <v>#VALUE!</v>
      </c>
      <c r="CA74" t="e">
        <f>'Effort Statistics'!A50+"AM:!%H&lt;"</f>
        <v>#VALUE!</v>
      </c>
      <c r="CB74" t="e">
        <f>'Effort Statistics'!B50+"AM:!%H="</f>
        <v>#VALUE!</v>
      </c>
      <c r="CC74" t="e">
        <f>'Effort Statistics'!C50+"AM:!%H&gt;"</f>
        <v>#VALUE!</v>
      </c>
      <c r="CD74" t="e">
        <f>'Effort Statistics'!D50+"AM:!%H?"</f>
        <v>#VALUE!</v>
      </c>
      <c r="CE74" t="e">
        <f>'Effort Statistics'!E50+"AM:!%H@"</f>
        <v>#VALUE!</v>
      </c>
      <c r="CF74" t="e">
        <f>'Effort Statistics'!F50+"AM:!%HA"</f>
        <v>#VALUE!</v>
      </c>
      <c r="CG74" t="e">
        <f>'Effort Statistics'!G50+"AM:!%HB"</f>
        <v>#VALUE!</v>
      </c>
      <c r="CH74" t="e">
        <f>'Effort Statistics'!H50+"AM:!%HC"</f>
        <v>#VALUE!</v>
      </c>
      <c r="CI74" t="e">
        <f>'Effort Statistics'!I50+"AM:!%HD"</f>
        <v>#VALUE!</v>
      </c>
      <c r="CJ74" t="e">
        <f>'Effort Statistics'!J50+"AM:!%HE"</f>
        <v>#VALUE!</v>
      </c>
      <c r="CK74" t="e">
        <f ca="1">'Effort Statistics'!K50+"AM:!%HF"</f>
        <v>#VALUE!</v>
      </c>
      <c r="CL74" t="e">
        <f>'Effort Statistics'!L50+"AM:!%HG"</f>
        <v>#VALUE!</v>
      </c>
      <c r="CM74" t="e">
        <f ca="1">'Effort Statistics'!M50+"AM:!%HH"</f>
        <v>#VALUE!</v>
      </c>
      <c r="CN74" t="e">
        <f>'Effort Statistics'!N50+"AM:!%HI"</f>
        <v>#VALUE!</v>
      </c>
      <c r="CO74" t="e">
        <f ca="1">'Effort Statistics'!O50+"AM:!%HJ"</f>
        <v>#VALUE!</v>
      </c>
      <c r="CP74" t="e">
        <f>'Effort Statistics'!P50+"AM:!%HK"</f>
        <v>#VALUE!</v>
      </c>
      <c r="CQ74" t="e">
        <f>'Effort Statistics'!Q50+"AM:!%HL"</f>
        <v>#VALUE!</v>
      </c>
      <c r="CR74" t="e">
        <f>'Effort Statistics'!A51+"AM:!%HM"</f>
        <v>#VALUE!</v>
      </c>
      <c r="CS74" t="e">
        <f>'Effort Statistics'!B51+"AM:!%HN"</f>
        <v>#VALUE!</v>
      </c>
      <c r="CT74" t="e">
        <f>'Effort Statistics'!C51+"AM:!%HO"</f>
        <v>#VALUE!</v>
      </c>
      <c r="CU74" t="e">
        <f>'Effort Statistics'!D51+"AM:!%HP"</f>
        <v>#VALUE!</v>
      </c>
      <c r="CV74" t="e">
        <f>'Effort Statistics'!E51+"AM:!%HQ"</f>
        <v>#VALUE!</v>
      </c>
      <c r="CW74" t="e">
        <f>'Effort Statistics'!F51+"AM:!%HR"</f>
        <v>#VALUE!</v>
      </c>
      <c r="CX74" t="e">
        <f>'Effort Statistics'!G51+"AM:!%HS"</f>
        <v>#VALUE!</v>
      </c>
      <c r="CY74" t="e">
        <f>'Effort Statistics'!H51+"AM:!%HT"</f>
        <v>#VALUE!</v>
      </c>
      <c r="CZ74" t="e">
        <f>'Effort Statistics'!I51+"AM:!%HU"</f>
        <v>#VALUE!</v>
      </c>
      <c r="DA74" t="e">
        <f>'Effort Statistics'!J51+"AM:!%HV"</f>
        <v>#VALUE!</v>
      </c>
      <c r="DB74" t="e">
        <f ca="1">'Effort Statistics'!K51+"AM:!%HW"</f>
        <v>#VALUE!</v>
      </c>
      <c r="DC74" t="e">
        <f>'Effort Statistics'!L51+"AM:!%HX"</f>
        <v>#VALUE!</v>
      </c>
      <c r="DD74" t="e">
        <f ca="1">'Effort Statistics'!M51+"AM:!%HY"</f>
        <v>#VALUE!</v>
      </c>
      <c r="DE74" t="e">
        <f>'Effort Statistics'!N51+"AM:!%HZ"</f>
        <v>#VALUE!</v>
      </c>
      <c r="DF74" t="e">
        <f ca="1">'Effort Statistics'!O51+"AM:!%H["</f>
        <v>#VALUE!</v>
      </c>
      <c r="DG74" t="e">
        <f>'Effort Statistics'!P51+"AM:!%H\"</f>
        <v>#VALUE!</v>
      </c>
      <c r="DH74" t="e">
        <f>'Effort Statistics'!Q51+"AM:!%H]"</f>
        <v>#VALUE!</v>
      </c>
      <c r="DI74" t="e">
        <f>'Effort Statistics'!A52+"AM:!%H^"</f>
        <v>#VALUE!</v>
      </c>
      <c r="DJ74" t="e">
        <f>'Effort Statistics'!B52+"AM:!%H_"</f>
        <v>#VALUE!</v>
      </c>
      <c r="DK74" t="e">
        <f>'Effort Statistics'!C52+"AM:!%H`"</f>
        <v>#VALUE!</v>
      </c>
      <c r="DL74" t="e">
        <f>'Effort Statistics'!D52+"AM:!%Ha"</f>
        <v>#VALUE!</v>
      </c>
      <c r="DM74" t="e">
        <f>'Effort Statistics'!E52+"AM:!%Hb"</f>
        <v>#VALUE!</v>
      </c>
      <c r="DN74" t="e">
        <f>'Effort Statistics'!F52+"AM:!%Hc"</f>
        <v>#VALUE!</v>
      </c>
      <c r="DO74" t="e">
        <f>'Effort Statistics'!G52+"AM:!%Hd"</f>
        <v>#VALUE!</v>
      </c>
      <c r="DP74" t="e">
        <f>'Effort Statistics'!H52+"AM:!%He"</f>
        <v>#VALUE!</v>
      </c>
      <c r="DQ74" t="e">
        <f>'Effort Statistics'!I52+"AM:!%Hf"</f>
        <v>#VALUE!</v>
      </c>
      <c r="DR74" t="e">
        <f>'Effort Statistics'!J52+"AM:!%Hg"</f>
        <v>#VALUE!</v>
      </c>
      <c r="DS74" t="e">
        <f ca="1">'Effort Statistics'!K52+"AM:!%Hh"</f>
        <v>#VALUE!</v>
      </c>
      <c r="DT74" t="e">
        <f>'Effort Statistics'!L52+"AM:!%Hi"</f>
        <v>#VALUE!</v>
      </c>
      <c r="DU74" t="e">
        <f ca="1">'Effort Statistics'!M52+"AM:!%Hj"</f>
        <v>#VALUE!</v>
      </c>
      <c r="DV74" t="e">
        <f>'Effort Statistics'!N52+"AM:!%Hk"</f>
        <v>#VALUE!</v>
      </c>
      <c r="DW74" t="e">
        <f ca="1">'Effort Statistics'!O52+"AM:!%Hl"</f>
        <v>#VALUE!</v>
      </c>
      <c r="DX74" t="e">
        <f>'Effort Statistics'!P52+"AM:!%Hm"</f>
        <v>#VALUE!</v>
      </c>
      <c r="DY74" t="e">
        <f>'Effort Statistics'!Q52+"AM:!%Hn"</f>
        <v>#VALUE!</v>
      </c>
      <c r="DZ74" t="e">
        <f>'Effort Statistics'!A53+"AM:!%Ho"</f>
        <v>#VALUE!</v>
      </c>
      <c r="EA74" t="e">
        <f>'Effort Statistics'!B53+"AM:!%Hp"</f>
        <v>#VALUE!</v>
      </c>
      <c r="EB74" t="e">
        <f>'Effort Statistics'!C53+"AM:!%Hq"</f>
        <v>#VALUE!</v>
      </c>
      <c r="EC74" t="e">
        <f>'Effort Statistics'!D53+"AM:!%Hr"</f>
        <v>#VALUE!</v>
      </c>
      <c r="ED74" t="e">
        <f>'Effort Statistics'!E53+"AM:!%Hs"</f>
        <v>#VALUE!</v>
      </c>
      <c r="EE74" t="e">
        <f>'Effort Statistics'!F53+"AM:!%Ht"</f>
        <v>#VALUE!</v>
      </c>
      <c r="EF74" t="e">
        <f>'Effort Statistics'!G53+"AM:!%Hu"</f>
        <v>#VALUE!</v>
      </c>
      <c r="EG74" t="e">
        <f>'Effort Statistics'!H53+"AM:!%Hv"</f>
        <v>#VALUE!</v>
      </c>
      <c r="EH74" t="e">
        <f>'Effort Statistics'!I53+"AM:!%Hw"</f>
        <v>#VALUE!</v>
      </c>
      <c r="EI74" t="e">
        <f>'Effort Statistics'!J53+"AM:!%Hx"</f>
        <v>#VALUE!</v>
      </c>
      <c r="EJ74" t="e">
        <f ca="1">'Effort Statistics'!K53+"AM:!%Hy"</f>
        <v>#VALUE!</v>
      </c>
      <c r="EK74" t="e">
        <f>'Effort Statistics'!L53+"AM:!%Hz"</f>
        <v>#VALUE!</v>
      </c>
      <c r="EL74" t="e">
        <f ca="1">'Effort Statistics'!M53+"AM:!%H{"</f>
        <v>#VALUE!</v>
      </c>
      <c r="EM74" t="e">
        <f>'Effort Statistics'!N53+"AM:!%H|"</f>
        <v>#VALUE!</v>
      </c>
      <c r="EN74" t="e">
        <f ca="1">'Effort Statistics'!O53+"AM:!%H}"</f>
        <v>#VALUE!</v>
      </c>
      <c r="EO74" t="e">
        <f>'Effort Statistics'!P53+"AM:!%H~"</f>
        <v>#VALUE!</v>
      </c>
      <c r="EP74" t="e">
        <f>'Effort Statistics'!Q53+"AM:!%I#"</f>
        <v>#VALUE!</v>
      </c>
      <c r="EQ74" t="e">
        <f>'Effort Statistics'!A54+"AM:!%I$"</f>
        <v>#VALUE!</v>
      </c>
      <c r="ER74" t="e">
        <f>'Effort Statistics'!B54+"AM:!%I%"</f>
        <v>#VALUE!</v>
      </c>
      <c r="ES74" t="e">
        <f>'Effort Statistics'!C54+"AM:!%I&amp;"</f>
        <v>#VALUE!</v>
      </c>
      <c r="ET74" t="e">
        <f>'Effort Statistics'!D54+"AM:!%I'"</f>
        <v>#VALUE!</v>
      </c>
      <c r="EU74" t="e">
        <f>'Effort Statistics'!E54+"AM:!%I("</f>
        <v>#VALUE!</v>
      </c>
      <c r="EV74" t="e">
        <f>'Effort Statistics'!F54+"AM:!%I)"</f>
        <v>#VALUE!</v>
      </c>
      <c r="EW74" t="e">
        <f>'Effort Statistics'!G54+"AM:!%I."</f>
        <v>#VALUE!</v>
      </c>
      <c r="EX74" t="e">
        <f>'Effort Statistics'!H54+"AM:!%I/"</f>
        <v>#VALUE!</v>
      </c>
      <c r="EY74" t="e">
        <f>'Effort Statistics'!I54+"AM:!%I0"</f>
        <v>#VALUE!</v>
      </c>
      <c r="EZ74" t="e">
        <f>'Effort Statistics'!J54+"AM:!%I1"</f>
        <v>#VALUE!</v>
      </c>
      <c r="FA74" t="e">
        <f ca="1">'Effort Statistics'!K54+"AM:!%I2"</f>
        <v>#VALUE!</v>
      </c>
      <c r="FB74" t="e">
        <f>'Effort Statistics'!L54+"AM:!%I3"</f>
        <v>#VALUE!</v>
      </c>
      <c r="FC74" t="e">
        <f ca="1">'Effort Statistics'!M54+"AM:!%I4"</f>
        <v>#VALUE!</v>
      </c>
      <c r="FD74" t="e">
        <f>'Effort Statistics'!N54+"AM:!%I5"</f>
        <v>#VALUE!</v>
      </c>
      <c r="FE74" t="e">
        <f ca="1">'Effort Statistics'!O54+"AM:!%I6"</f>
        <v>#VALUE!</v>
      </c>
      <c r="FF74" t="e">
        <f>'Effort Statistics'!P54+"AM:!%I7"</f>
        <v>#VALUE!</v>
      </c>
      <c r="FG74" t="e">
        <f>'Effort Statistics'!Q54+"AM:!%I8"</f>
        <v>#VALUE!</v>
      </c>
      <c r="FH74" t="e">
        <f>'Effort Statistics'!A55+"AM:!%I9"</f>
        <v>#VALUE!</v>
      </c>
      <c r="FI74" t="e">
        <f>'Effort Statistics'!B55+"AM:!%I:"</f>
        <v>#VALUE!</v>
      </c>
      <c r="FJ74" t="e">
        <f>'Effort Statistics'!C55+"AM:!%I;"</f>
        <v>#VALUE!</v>
      </c>
      <c r="FK74" t="e">
        <f>'Effort Statistics'!D55+"AM:!%I&lt;"</f>
        <v>#VALUE!</v>
      </c>
      <c r="FL74" t="e">
        <f>'Effort Statistics'!E55+"AM:!%I="</f>
        <v>#VALUE!</v>
      </c>
      <c r="FM74" t="e">
        <f>'Effort Statistics'!F55+"AM:!%I&gt;"</f>
        <v>#VALUE!</v>
      </c>
      <c r="FN74" t="e">
        <f>'Effort Statistics'!G55+"AM:!%I?"</f>
        <v>#VALUE!</v>
      </c>
      <c r="FO74" t="e">
        <f>'Effort Statistics'!H55+"AM:!%I@"</f>
        <v>#VALUE!</v>
      </c>
      <c r="FP74" t="e">
        <f>'Effort Statistics'!I55+"AM:!%IA"</f>
        <v>#VALUE!</v>
      </c>
      <c r="FQ74" t="e">
        <f>'Effort Statistics'!J55+"AM:!%IB"</f>
        <v>#VALUE!</v>
      </c>
      <c r="FR74" t="e">
        <f ca="1">'Effort Statistics'!K55+"AM:!%IC"</f>
        <v>#VALUE!</v>
      </c>
      <c r="FS74" t="e">
        <f>'Effort Statistics'!L55+"AM:!%ID"</f>
        <v>#VALUE!</v>
      </c>
      <c r="FT74" t="e">
        <f ca="1">'Effort Statistics'!M55+"AM:!%IE"</f>
        <v>#VALUE!</v>
      </c>
      <c r="FU74" t="e">
        <f>'Effort Statistics'!N55+"AM:!%IF"</f>
        <v>#VALUE!</v>
      </c>
      <c r="FV74" t="e">
        <f ca="1">'Effort Statistics'!O55+"AM:!%IG"</f>
        <v>#VALUE!</v>
      </c>
      <c r="FW74" t="e">
        <f>'Effort Statistics'!P55+"AM:!%IH"</f>
        <v>#VALUE!</v>
      </c>
      <c r="FX74" t="e">
        <f>'Effort Statistics'!Q55+"AM:!%II"</f>
        <v>#VALUE!</v>
      </c>
      <c r="FY74" t="e">
        <f>'Effort Statistics'!A56+"AM:!%IJ"</f>
        <v>#VALUE!</v>
      </c>
      <c r="FZ74" t="e">
        <f>'Effort Statistics'!B56+"AM:!%IK"</f>
        <v>#VALUE!</v>
      </c>
      <c r="GA74" t="e">
        <f>'Effort Statistics'!C56+"AM:!%IL"</f>
        <v>#VALUE!</v>
      </c>
      <c r="GB74" t="e">
        <f>'Effort Statistics'!D56+"AM:!%IM"</f>
        <v>#VALUE!</v>
      </c>
      <c r="GC74" t="e">
        <f>'Effort Statistics'!E56+"AM:!%IN"</f>
        <v>#VALUE!</v>
      </c>
      <c r="GD74" t="e">
        <f>'Effort Statistics'!F56+"AM:!%IO"</f>
        <v>#VALUE!</v>
      </c>
      <c r="GE74" t="e">
        <f>'Effort Statistics'!G56+"AM:!%IP"</f>
        <v>#VALUE!</v>
      </c>
      <c r="GF74" t="e">
        <f>'Effort Statistics'!H56+"AM:!%IQ"</f>
        <v>#VALUE!</v>
      </c>
      <c r="GG74" t="e">
        <f>'Effort Statistics'!I56+"AM:!%IR"</f>
        <v>#VALUE!</v>
      </c>
      <c r="GH74" t="e">
        <f>'Effort Statistics'!J56+"AM:!%IS"</f>
        <v>#VALUE!</v>
      </c>
      <c r="GI74" t="e">
        <f ca="1">'Effort Statistics'!K56+"AM:!%IT"</f>
        <v>#VALUE!</v>
      </c>
      <c r="GJ74" t="e">
        <f>'Effort Statistics'!L56+"AM:!%IU"</f>
        <v>#VALUE!</v>
      </c>
      <c r="GK74" t="e">
        <f ca="1">'Effort Statistics'!M56+"AM:!%IV"</f>
        <v>#VALUE!</v>
      </c>
      <c r="GL74" t="e">
        <f>'Effort Statistics'!N56+"AM:!%IW"</f>
        <v>#VALUE!</v>
      </c>
      <c r="GM74" t="e">
        <f ca="1">'Effort Statistics'!O56+"AM:!%IX"</f>
        <v>#VALUE!</v>
      </c>
      <c r="GN74" t="e">
        <f>'Effort Statistics'!P56+"AM:!%IY"</f>
        <v>#VALUE!</v>
      </c>
      <c r="GO74" t="e">
        <f>'Effort Statistics'!Q56+"AM:!%IZ"</f>
        <v>#VALUE!</v>
      </c>
      <c r="GP74" t="e">
        <f>'Effort Statistics'!A57+"AM:!%I["</f>
        <v>#VALUE!</v>
      </c>
      <c r="GQ74" t="e">
        <f>'Effort Statistics'!B57+"AM:!%I\"</f>
        <v>#VALUE!</v>
      </c>
      <c r="GR74" t="e">
        <f>'Effort Statistics'!C57+"AM:!%I]"</f>
        <v>#VALUE!</v>
      </c>
      <c r="GS74" t="e">
        <f>'Effort Statistics'!D57+"AM:!%I^"</f>
        <v>#VALUE!</v>
      </c>
      <c r="GT74" t="e">
        <f>'Effort Statistics'!E57+"AM:!%I_"</f>
        <v>#VALUE!</v>
      </c>
      <c r="GU74" t="e">
        <f>'Effort Statistics'!F57+"AM:!%I`"</f>
        <v>#VALUE!</v>
      </c>
      <c r="GV74" t="e">
        <f>'Effort Statistics'!G57+"AM:!%Ia"</f>
        <v>#VALUE!</v>
      </c>
      <c r="GW74" t="e">
        <f>'Effort Statistics'!H57+"AM:!%Ib"</f>
        <v>#VALUE!</v>
      </c>
      <c r="GX74" t="e">
        <f>'Effort Statistics'!I57+"AM:!%Ic"</f>
        <v>#VALUE!</v>
      </c>
      <c r="GY74" t="e">
        <f>'Effort Statistics'!J57+"AM:!%Id"</f>
        <v>#VALUE!</v>
      </c>
      <c r="GZ74" t="e">
        <f ca="1">'Effort Statistics'!K57+"AM:!%Ie"</f>
        <v>#VALUE!</v>
      </c>
      <c r="HA74" t="e">
        <f>'Effort Statistics'!L57+"AM:!%If"</f>
        <v>#VALUE!</v>
      </c>
      <c r="HB74" t="e">
        <f ca="1">'Effort Statistics'!M57+"AM:!%Ig"</f>
        <v>#VALUE!</v>
      </c>
      <c r="HC74" t="e">
        <f>'Effort Statistics'!N57+"AM:!%Ih"</f>
        <v>#VALUE!</v>
      </c>
      <c r="HD74" t="e">
        <f ca="1">'Effort Statistics'!O57+"AM:!%Ii"</f>
        <v>#VALUE!</v>
      </c>
      <c r="HE74" t="e">
        <f>'Effort Statistics'!P57+"AM:!%Ij"</f>
        <v>#VALUE!</v>
      </c>
      <c r="HF74" t="e">
        <f>'Effort Statistics'!Q57+"AM:!%Ik"</f>
        <v>#VALUE!</v>
      </c>
      <c r="HG74" t="e">
        <f>'Effort Statistics'!A58+"AM:!%Il"</f>
        <v>#VALUE!</v>
      </c>
      <c r="HH74" t="e">
        <f>'Effort Statistics'!B58+"AM:!%Im"</f>
        <v>#VALUE!</v>
      </c>
      <c r="HI74" t="e">
        <f>'Effort Statistics'!C58+"AM:!%In"</f>
        <v>#VALUE!</v>
      </c>
      <c r="HJ74" t="e">
        <f>'Effort Statistics'!D58+"AM:!%Io"</f>
        <v>#VALUE!</v>
      </c>
      <c r="HK74" t="e">
        <f>'Effort Statistics'!E58+"AM:!%Ip"</f>
        <v>#VALUE!</v>
      </c>
      <c r="HL74" t="e">
        <f>'Effort Statistics'!F58+"AM:!%Iq"</f>
        <v>#VALUE!</v>
      </c>
      <c r="HM74" t="e">
        <f>'Effort Statistics'!G58+"AM:!%Ir"</f>
        <v>#VALUE!</v>
      </c>
      <c r="HN74" t="e">
        <f>'Effort Statistics'!H58+"AM:!%Is"</f>
        <v>#VALUE!</v>
      </c>
      <c r="HO74" t="e">
        <f>'Effort Statistics'!I58+"AM:!%It"</f>
        <v>#VALUE!</v>
      </c>
      <c r="HP74" t="e">
        <f>'Effort Statistics'!J58+"AM:!%Iu"</f>
        <v>#VALUE!</v>
      </c>
      <c r="HQ74" t="e">
        <f ca="1">'Effort Statistics'!K58+"AM:!%Iv"</f>
        <v>#VALUE!</v>
      </c>
      <c r="HR74" t="e">
        <f>'Effort Statistics'!L58+"AM:!%Iw"</f>
        <v>#VALUE!</v>
      </c>
      <c r="HS74" t="e">
        <f ca="1">'Effort Statistics'!M58+"AM:!%Ix"</f>
        <v>#VALUE!</v>
      </c>
      <c r="HT74" t="e">
        <f>'Effort Statistics'!N58+"AM:!%Iy"</f>
        <v>#VALUE!</v>
      </c>
      <c r="HU74" t="e">
        <f ca="1">'Effort Statistics'!O58+"AM:!%Iz"</f>
        <v>#VALUE!</v>
      </c>
      <c r="HV74" t="e">
        <f>'Effort Statistics'!P58+"AM:!%I{"</f>
        <v>#VALUE!</v>
      </c>
      <c r="HW74" t="e">
        <f>'Effort Statistics'!Q58+"AM:!%I|"</f>
        <v>#VALUE!</v>
      </c>
      <c r="HX74" t="e">
        <f>'Effort Statistics'!A59+"AM:!%I}"</f>
        <v>#VALUE!</v>
      </c>
      <c r="HY74" t="e">
        <f>'Effort Statistics'!B59+"AM:!%I~"</f>
        <v>#VALUE!</v>
      </c>
      <c r="HZ74" t="e">
        <f>'Effort Statistics'!C59+"AM:!%J#"</f>
        <v>#VALUE!</v>
      </c>
      <c r="IA74" t="e">
        <f>'Effort Statistics'!D59+"AM:!%J$"</f>
        <v>#VALUE!</v>
      </c>
      <c r="IB74" t="e">
        <f>'Effort Statistics'!E59+"AM:!%J%"</f>
        <v>#VALUE!</v>
      </c>
      <c r="IC74" t="e">
        <f>'Effort Statistics'!F59+"AM:!%J&amp;"</f>
        <v>#VALUE!</v>
      </c>
      <c r="ID74" t="e">
        <f>'Effort Statistics'!G59+"AM:!%J'"</f>
        <v>#VALUE!</v>
      </c>
      <c r="IE74" t="e">
        <f>'Effort Statistics'!H59+"AM:!%J("</f>
        <v>#VALUE!</v>
      </c>
      <c r="IF74" t="e">
        <f>'Effort Statistics'!I59+"AM:!%J)"</f>
        <v>#VALUE!</v>
      </c>
      <c r="IG74" t="e">
        <f>'Effort Statistics'!J59+"AM:!%J."</f>
        <v>#VALUE!</v>
      </c>
      <c r="IH74" t="e">
        <f ca="1">'Effort Statistics'!K59+"AM:!%J/"</f>
        <v>#VALUE!</v>
      </c>
      <c r="II74" t="e">
        <f>'Effort Statistics'!L59+"AM:!%J0"</f>
        <v>#VALUE!</v>
      </c>
      <c r="IJ74" t="e">
        <f ca="1">'Effort Statistics'!M59+"AM:!%J1"</f>
        <v>#VALUE!</v>
      </c>
      <c r="IK74" t="e">
        <f>'Effort Statistics'!N59+"AM:!%J2"</f>
        <v>#VALUE!</v>
      </c>
      <c r="IL74" t="e">
        <f ca="1">'Effort Statistics'!O59+"AM:!%J3"</f>
        <v>#VALUE!</v>
      </c>
      <c r="IM74" t="e">
        <f>'Effort Statistics'!P59+"AM:!%J4"</f>
        <v>#VALUE!</v>
      </c>
      <c r="IN74" t="e">
        <f>'Effort Statistics'!Q59+"AM:!%J5"</f>
        <v>#VALUE!</v>
      </c>
      <c r="IO74" t="e">
        <f>'Effort Statistics'!A60+"AM:!%J6"</f>
        <v>#VALUE!</v>
      </c>
      <c r="IP74" t="e">
        <f>'Effort Statistics'!B60+"AM:!%J7"</f>
        <v>#VALUE!</v>
      </c>
      <c r="IQ74" t="e">
        <f>'Effort Statistics'!C60+"AM:!%J8"</f>
        <v>#VALUE!</v>
      </c>
      <c r="IR74" t="e">
        <f>'Effort Statistics'!D60+"AM:!%J9"</f>
        <v>#VALUE!</v>
      </c>
      <c r="IS74" t="e">
        <f>'Effort Statistics'!E60+"AM:!%J:"</f>
        <v>#VALUE!</v>
      </c>
      <c r="IT74" t="e">
        <f>'Effort Statistics'!F60+"AM:!%J;"</f>
        <v>#VALUE!</v>
      </c>
      <c r="IU74" t="e">
        <f>'Effort Statistics'!G60+"AM:!%J&lt;"</f>
        <v>#VALUE!</v>
      </c>
      <c r="IV74" t="e">
        <f>'Effort Statistics'!H60+"AM:!%J="</f>
        <v>#VALUE!</v>
      </c>
    </row>
    <row r="75" spans="6:256">
      <c r="F75" t="e">
        <f>'Effort Statistics'!I60+"AM:!%J&gt;"</f>
        <v>#VALUE!</v>
      </c>
      <c r="G75" t="e">
        <f>'Effort Statistics'!J60+"AM:!%J?"</f>
        <v>#VALUE!</v>
      </c>
      <c r="H75" t="e">
        <f ca="1">'Effort Statistics'!K60+"AM:!%J@"</f>
        <v>#VALUE!</v>
      </c>
      <c r="I75" t="e">
        <f>'Effort Statistics'!L60+"AM:!%JA"</f>
        <v>#VALUE!</v>
      </c>
      <c r="J75" t="e">
        <f ca="1">'Effort Statistics'!M60+"AM:!%JB"</f>
        <v>#VALUE!</v>
      </c>
      <c r="K75" t="e">
        <f>'Effort Statistics'!N60+"AM:!%JC"</f>
        <v>#VALUE!</v>
      </c>
      <c r="L75" t="e">
        <f ca="1">'Effort Statistics'!O60+"AM:!%JD"</f>
        <v>#VALUE!</v>
      </c>
      <c r="M75" t="e">
        <f>'Effort Statistics'!P60+"AM:!%JE"</f>
        <v>#VALUE!</v>
      </c>
      <c r="N75" t="e">
        <f>'Effort Statistics'!Q60+"AM:!%JF"</f>
        <v>#VALUE!</v>
      </c>
      <c r="O75" t="e">
        <f>'Effort Statistics'!A61+"AM:!%JG"</f>
        <v>#VALUE!</v>
      </c>
      <c r="P75" t="e">
        <f>'Effort Statistics'!B61+"AM:!%JH"</f>
        <v>#VALUE!</v>
      </c>
      <c r="Q75" t="e">
        <f>'Effort Statistics'!C61+"AM:!%JI"</f>
        <v>#VALUE!</v>
      </c>
      <c r="R75" t="e">
        <f>'Effort Statistics'!D61+"AM:!%JJ"</f>
        <v>#VALUE!</v>
      </c>
      <c r="S75" t="e">
        <f>'Effort Statistics'!E61+"AM:!%JK"</f>
        <v>#VALUE!</v>
      </c>
      <c r="T75" t="e">
        <f>'Effort Statistics'!F61+"AM:!%JL"</f>
        <v>#VALUE!</v>
      </c>
      <c r="U75" t="e">
        <f>'Effort Statistics'!G61+"AM:!%JM"</f>
        <v>#VALUE!</v>
      </c>
      <c r="V75" t="e">
        <f>'Effort Statistics'!H61+"AM:!%JN"</f>
        <v>#VALUE!</v>
      </c>
      <c r="W75" t="e">
        <f>'Effort Statistics'!I61+"AM:!%JO"</f>
        <v>#VALUE!</v>
      </c>
      <c r="X75" t="e">
        <f>'Effort Statistics'!J61+"AM:!%JP"</f>
        <v>#VALUE!</v>
      </c>
      <c r="Y75" t="e">
        <f ca="1">'Effort Statistics'!K61+"AM:!%JQ"</f>
        <v>#VALUE!</v>
      </c>
      <c r="Z75" t="e">
        <f>'Effort Statistics'!L61+"AM:!%JR"</f>
        <v>#VALUE!</v>
      </c>
      <c r="AA75" t="e">
        <f ca="1">'Effort Statistics'!M61+"AM:!%JS"</f>
        <v>#VALUE!</v>
      </c>
      <c r="AB75" t="e">
        <f>'Effort Statistics'!N61+"AM:!%JT"</f>
        <v>#VALUE!</v>
      </c>
      <c r="AC75" t="e">
        <f ca="1">'Effort Statistics'!O61+"AM:!%JU"</f>
        <v>#VALUE!</v>
      </c>
      <c r="AD75" t="e">
        <f>'Effort Statistics'!P61+"AM:!%JV"</f>
        <v>#VALUE!</v>
      </c>
      <c r="AE75" t="e">
        <f>'Effort Statistics'!Q61+"AM:!%JW"</f>
        <v>#VALUE!</v>
      </c>
      <c r="AF75" t="e">
        <f>'Effort Statistics'!A62+"AM:!%JX"</f>
        <v>#VALUE!</v>
      </c>
      <c r="AG75" t="e">
        <f>'Effort Statistics'!B62+"AM:!%JY"</f>
        <v>#VALUE!</v>
      </c>
      <c r="AH75" t="e">
        <f>'Effort Statistics'!C62+"AM:!%JZ"</f>
        <v>#VALUE!</v>
      </c>
      <c r="AI75" t="e">
        <f>'Effort Statistics'!D62+"AM:!%J["</f>
        <v>#VALUE!</v>
      </c>
      <c r="AJ75" t="e">
        <f>'Effort Statistics'!E62+"AM:!%J\"</f>
        <v>#VALUE!</v>
      </c>
      <c r="AK75" t="e">
        <f>'Effort Statistics'!F62+"AM:!%J]"</f>
        <v>#VALUE!</v>
      </c>
      <c r="AL75" t="e">
        <f>'Effort Statistics'!G62+"AM:!%J^"</f>
        <v>#VALUE!</v>
      </c>
      <c r="AM75" t="e">
        <f>'Effort Statistics'!H62+"AM:!%J_"</f>
        <v>#VALUE!</v>
      </c>
      <c r="AN75" t="e">
        <f>'Effort Statistics'!I62+"AM:!%J`"</f>
        <v>#VALUE!</v>
      </c>
      <c r="AO75" t="e">
        <f>'Effort Statistics'!J62+"AM:!%Ja"</f>
        <v>#VALUE!</v>
      </c>
      <c r="AP75" t="e">
        <f ca="1">'Effort Statistics'!K62+"AM:!%Jb"</f>
        <v>#VALUE!</v>
      </c>
      <c r="AQ75" t="e">
        <f>'Effort Statistics'!L62+"AM:!%Jc"</f>
        <v>#VALUE!</v>
      </c>
      <c r="AR75" t="e">
        <f ca="1">'Effort Statistics'!M62+"AM:!%Jd"</f>
        <v>#VALUE!</v>
      </c>
      <c r="AS75" t="e">
        <f>'Effort Statistics'!N62+"AM:!%Je"</f>
        <v>#VALUE!</v>
      </c>
      <c r="AT75" t="e">
        <f ca="1">'Effort Statistics'!O62+"AM:!%Jf"</f>
        <v>#VALUE!</v>
      </c>
      <c r="AU75" t="e">
        <f>'Effort Statistics'!P62+"AM:!%Jg"</f>
        <v>#VALUE!</v>
      </c>
      <c r="AV75" t="e">
        <f>'Effort Statistics'!Q62+"AM:!%Jh"</f>
        <v>#VALUE!</v>
      </c>
      <c r="AW75" t="e">
        <f>'Effort Statistics'!A63+"AM:!%Ji"</f>
        <v>#VALUE!</v>
      </c>
      <c r="AX75" t="e">
        <f>'Effort Statistics'!B63+"AM:!%Jj"</f>
        <v>#VALUE!</v>
      </c>
      <c r="AY75" t="e">
        <f>'Effort Statistics'!C63+"AM:!%Jk"</f>
        <v>#VALUE!</v>
      </c>
      <c r="AZ75" t="e">
        <f>'Effort Statistics'!D63+"AM:!%Jl"</f>
        <v>#VALUE!</v>
      </c>
      <c r="BA75" t="e">
        <f>'Effort Statistics'!E63+"AM:!%Jm"</f>
        <v>#VALUE!</v>
      </c>
      <c r="BB75" t="e">
        <f>'Effort Statistics'!F63+"AM:!%Jn"</f>
        <v>#VALUE!</v>
      </c>
      <c r="BC75" t="e">
        <f>'Effort Statistics'!G63+"AM:!%Jo"</f>
        <v>#VALUE!</v>
      </c>
      <c r="BD75" t="e">
        <f>'Effort Statistics'!H63+"AM:!%Jp"</f>
        <v>#VALUE!</v>
      </c>
      <c r="BE75" t="e">
        <f>'Effort Statistics'!I63+"AM:!%Jq"</f>
        <v>#VALUE!</v>
      </c>
      <c r="BF75" t="e">
        <f>'Effort Statistics'!J63+"AM:!%Jr"</f>
        <v>#VALUE!</v>
      </c>
      <c r="BG75" t="e">
        <f ca="1">'Effort Statistics'!K63+"AM:!%Js"</f>
        <v>#VALUE!</v>
      </c>
      <c r="BH75" t="e">
        <f>'Effort Statistics'!L63+"AM:!%Jt"</f>
        <v>#VALUE!</v>
      </c>
      <c r="BI75" t="e">
        <f ca="1">'Effort Statistics'!M63+"AM:!%Ju"</f>
        <v>#VALUE!</v>
      </c>
      <c r="BJ75" t="e">
        <f>'Effort Statistics'!N63+"AM:!%Jv"</f>
        <v>#VALUE!</v>
      </c>
      <c r="BK75" t="e">
        <f ca="1">'Effort Statistics'!O63+"AM:!%Jw"</f>
        <v>#VALUE!</v>
      </c>
      <c r="BL75" t="e">
        <f>'Effort Statistics'!P63+"AM:!%Jx"</f>
        <v>#VALUE!</v>
      </c>
      <c r="BM75" t="e">
        <f>'Effort Statistics'!Q63+"AM:!%Jy"</f>
        <v>#VALUE!</v>
      </c>
      <c r="BN75" t="e">
        <f>'Effort Statistics'!A64+"AM:!%Jz"</f>
        <v>#VALUE!</v>
      </c>
      <c r="BO75" t="e">
        <f>'Effort Statistics'!B64+"AM:!%J{"</f>
        <v>#VALUE!</v>
      </c>
      <c r="BP75" t="e">
        <f>'Effort Statistics'!C64+"AM:!%J|"</f>
        <v>#VALUE!</v>
      </c>
      <c r="BQ75" t="e">
        <f>'Effort Statistics'!D64+"AM:!%J}"</f>
        <v>#VALUE!</v>
      </c>
      <c r="BR75" t="e">
        <f>'Effort Statistics'!E64+"AM:!%J~"</f>
        <v>#VALUE!</v>
      </c>
      <c r="BS75" t="e">
        <f>'Effort Statistics'!F64+"AM:!%K#"</f>
        <v>#VALUE!</v>
      </c>
      <c r="BT75" t="e">
        <f>'Effort Statistics'!G64+"AM:!%K$"</f>
        <v>#VALUE!</v>
      </c>
      <c r="BU75" t="e">
        <f>'Effort Statistics'!H64+"AM:!%K%"</f>
        <v>#VALUE!</v>
      </c>
      <c r="BV75" t="e">
        <f>'Effort Statistics'!I64+"AM:!%K&amp;"</f>
        <v>#VALUE!</v>
      </c>
      <c r="BW75" t="e">
        <f>'Effort Statistics'!J64+"AM:!%K'"</f>
        <v>#VALUE!</v>
      </c>
      <c r="BX75" t="e">
        <f ca="1">'Effort Statistics'!K64+"AM:!%K("</f>
        <v>#VALUE!</v>
      </c>
      <c r="BY75" t="e">
        <f>'Effort Statistics'!L64+"AM:!%K)"</f>
        <v>#VALUE!</v>
      </c>
      <c r="BZ75" t="e">
        <f ca="1">'Effort Statistics'!M64+"AM:!%K."</f>
        <v>#VALUE!</v>
      </c>
      <c r="CA75" t="e">
        <f>'Effort Statistics'!N64+"AM:!%K/"</f>
        <v>#VALUE!</v>
      </c>
      <c r="CB75" t="e">
        <f ca="1">'Effort Statistics'!O64+"AM:!%K0"</f>
        <v>#VALUE!</v>
      </c>
      <c r="CC75" t="e">
        <f>'Effort Statistics'!P64+"AM:!%K1"</f>
        <v>#VALUE!</v>
      </c>
      <c r="CD75" t="e">
        <f>'Effort Statistics'!Q64+"AM:!%K2"</f>
        <v>#VALUE!</v>
      </c>
      <c r="CE75" t="e">
        <f>'Effort Statistics'!A65+"AM:!%K3"</f>
        <v>#VALUE!</v>
      </c>
      <c r="CF75" t="e">
        <f>'Effort Statistics'!B65+"AM:!%K4"</f>
        <v>#VALUE!</v>
      </c>
      <c r="CG75" t="e">
        <f>'Effort Statistics'!C65+"AM:!%K5"</f>
        <v>#VALUE!</v>
      </c>
      <c r="CH75" t="e">
        <f>'Effort Statistics'!D65+"AM:!%K6"</f>
        <v>#VALUE!</v>
      </c>
      <c r="CI75" t="e">
        <f>'Effort Statistics'!E65+"AM:!%K7"</f>
        <v>#VALUE!</v>
      </c>
      <c r="CJ75" t="e">
        <f>'Effort Statistics'!F65+"AM:!%K8"</f>
        <v>#VALUE!</v>
      </c>
      <c r="CK75" t="e">
        <f>'Effort Statistics'!G65+"AM:!%K9"</f>
        <v>#VALUE!</v>
      </c>
      <c r="CL75" t="e">
        <f>'Effort Statistics'!H65+"AM:!%K:"</f>
        <v>#VALUE!</v>
      </c>
      <c r="CM75" t="e">
        <f>'Effort Statistics'!I65+"AM:!%K;"</f>
        <v>#VALUE!</v>
      </c>
      <c r="CN75" t="e">
        <f>'Effort Statistics'!J65+"AM:!%K&lt;"</f>
        <v>#VALUE!</v>
      </c>
      <c r="CO75" t="e">
        <f ca="1">'Effort Statistics'!K65+"AM:!%K="</f>
        <v>#VALUE!</v>
      </c>
      <c r="CP75" t="e">
        <f>'Effort Statistics'!L65+"AM:!%K&gt;"</f>
        <v>#VALUE!</v>
      </c>
      <c r="CQ75" t="e">
        <f ca="1">'Effort Statistics'!M65+"AM:!%K?"</f>
        <v>#VALUE!</v>
      </c>
      <c r="CR75" t="e">
        <f>'Effort Statistics'!N65+"AM:!%K@"</f>
        <v>#VALUE!</v>
      </c>
      <c r="CS75" t="e">
        <f ca="1">'Effort Statistics'!O65+"AM:!%KA"</f>
        <v>#VALUE!</v>
      </c>
      <c r="CT75" t="e">
        <f>'Effort Statistics'!P65+"AM:!%KB"</f>
        <v>#VALUE!</v>
      </c>
      <c r="CU75" t="e">
        <f>'Effort Statistics'!Q65+"AM:!%KC"</f>
        <v>#VALUE!</v>
      </c>
      <c r="CV75" t="e">
        <f>'Effort Statistics'!A66+"AM:!%KD"</f>
        <v>#VALUE!</v>
      </c>
      <c r="CW75" t="e">
        <f>'Effort Statistics'!B66+"AM:!%KE"</f>
        <v>#VALUE!</v>
      </c>
      <c r="CX75" t="e">
        <f>'Effort Statistics'!C66+"AM:!%KF"</f>
        <v>#VALUE!</v>
      </c>
      <c r="CY75" t="e">
        <f>'Effort Statistics'!D66+"AM:!%KG"</f>
        <v>#VALUE!</v>
      </c>
      <c r="CZ75" t="e">
        <f>'Effort Statistics'!E66+"AM:!%KH"</f>
        <v>#VALUE!</v>
      </c>
      <c r="DA75" t="e">
        <f>'Effort Statistics'!F66+"AM:!%KI"</f>
        <v>#VALUE!</v>
      </c>
      <c r="DB75" t="e">
        <f>'Effort Statistics'!G66+"AM:!%KJ"</f>
        <v>#VALUE!</v>
      </c>
      <c r="DC75" t="e">
        <f>'Effort Statistics'!H66+"AM:!%KK"</f>
        <v>#VALUE!</v>
      </c>
      <c r="DD75" t="e">
        <f>'Effort Statistics'!I66+"AM:!%KL"</f>
        <v>#VALUE!</v>
      </c>
      <c r="DE75" t="e">
        <f>'Effort Statistics'!J66+"AM:!%KM"</f>
        <v>#VALUE!</v>
      </c>
      <c r="DF75" t="e">
        <f ca="1">'Effort Statistics'!K66+"AM:!%KN"</f>
        <v>#VALUE!</v>
      </c>
      <c r="DG75" t="e">
        <f>'Effort Statistics'!L66+"AM:!%KO"</f>
        <v>#VALUE!</v>
      </c>
      <c r="DH75" t="e">
        <f ca="1">'Effort Statistics'!M66+"AM:!%KP"</f>
        <v>#VALUE!</v>
      </c>
      <c r="DI75" t="e">
        <f>'Effort Statistics'!N66+"AM:!%KQ"</f>
        <v>#VALUE!</v>
      </c>
      <c r="DJ75" t="e">
        <f ca="1">'Effort Statistics'!O66+"AM:!%KR"</f>
        <v>#VALUE!</v>
      </c>
      <c r="DK75" t="e">
        <f>'Effort Statistics'!P66+"AM:!%KS"</f>
        <v>#VALUE!</v>
      </c>
      <c r="DL75" t="e">
        <f>'Effort Statistics'!Q66+"AM:!%KT"</f>
        <v>#VALUE!</v>
      </c>
      <c r="DM75" t="e">
        <f>'Effort Statistics'!A67+"AM:!%KU"</f>
        <v>#VALUE!</v>
      </c>
      <c r="DN75" t="e">
        <f>'Effort Statistics'!B67+"AM:!%KV"</f>
        <v>#VALUE!</v>
      </c>
      <c r="DO75" t="e">
        <f>'Effort Statistics'!C67+"AM:!%KW"</f>
        <v>#VALUE!</v>
      </c>
      <c r="DP75" t="e">
        <f>'Effort Statistics'!D67+"AM:!%KX"</f>
        <v>#VALUE!</v>
      </c>
      <c r="DQ75" t="e">
        <f>'Effort Statistics'!E67+"AM:!%KY"</f>
        <v>#VALUE!</v>
      </c>
      <c r="DR75" t="e">
        <f>'Effort Statistics'!F67+"AM:!%KZ"</f>
        <v>#VALUE!</v>
      </c>
      <c r="DS75" t="e">
        <f>'Effort Statistics'!G67+"AM:!%K["</f>
        <v>#VALUE!</v>
      </c>
      <c r="DT75" t="e">
        <f>'Effort Statistics'!H67+"AM:!%K\"</f>
        <v>#VALUE!</v>
      </c>
      <c r="DU75" t="e">
        <f>'Effort Statistics'!I67+"AM:!%K]"</f>
        <v>#VALUE!</v>
      </c>
      <c r="DV75" t="e">
        <f>'Effort Statistics'!J67+"AM:!%K^"</f>
        <v>#VALUE!</v>
      </c>
      <c r="DW75" t="e">
        <f ca="1">'Effort Statistics'!K67+"AM:!%K_"</f>
        <v>#VALUE!</v>
      </c>
      <c r="DX75" t="e">
        <f>'Effort Statistics'!L67+"AM:!%K`"</f>
        <v>#VALUE!</v>
      </c>
      <c r="DY75" t="e">
        <f ca="1">'Effort Statistics'!M67+"AM:!%Ka"</f>
        <v>#VALUE!</v>
      </c>
      <c r="DZ75" t="e">
        <f>'Effort Statistics'!N67+"AM:!%Kb"</f>
        <v>#VALUE!</v>
      </c>
      <c r="EA75" t="e">
        <f ca="1">'Effort Statistics'!O67+"AM:!%Kc"</f>
        <v>#VALUE!</v>
      </c>
      <c r="EB75" t="e">
        <f>'Effort Statistics'!P67+"AM:!%Kd"</f>
        <v>#VALUE!</v>
      </c>
      <c r="EC75" t="e">
        <f>'Effort Statistics'!Q67+"AM:!%Ke"</f>
        <v>#VALUE!</v>
      </c>
      <c r="ED75" t="e">
        <f>'Effort Statistics'!A68+"AM:!%Kf"</f>
        <v>#VALUE!</v>
      </c>
      <c r="EE75" t="e">
        <f>'Effort Statistics'!B68+"AM:!%Kg"</f>
        <v>#VALUE!</v>
      </c>
      <c r="EF75" t="e">
        <f>'Effort Statistics'!C68+"AM:!%Kh"</f>
        <v>#VALUE!</v>
      </c>
      <c r="EG75" t="e">
        <f>'Effort Statistics'!D68+"AM:!%Ki"</f>
        <v>#VALUE!</v>
      </c>
      <c r="EH75" t="e">
        <f>'Effort Statistics'!E68+"AM:!%Kj"</f>
        <v>#VALUE!</v>
      </c>
      <c r="EI75" t="e">
        <f>'Effort Statistics'!F68+"AM:!%Kk"</f>
        <v>#VALUE!</v>
      </c>
      <c r="EJ75" t="e">
        <f>'Effort Statistics'!G68+"AM:!%Kl"</f>
        <v>#VALUE!</v>
      </c>
      <c r="EK75" t="e">
        <f>'Effort Statistics'!H68+"AM:!%Km"</f>
        <v>#VALUE!</v>
      </c>
      <c r="EL75" t="e">
        <f>'Effort Statistics'!I68+"AM:!%Kn"</f>
        <v>#VALUE!</v>
      </c>
      <c r="EM75" t="e">
        <f>'Effort Statistics'!J68+"AM:!%Ko"</f>
        <v>#VALUE!</v>
      </c>
      <c r="EN75" t="e">
        <f ca="1">'Effort Statistics'!K68+"AM:!%Kp"</f>
        <v>#VALUE!</v>
      </c>
      <c r="EO75" t="e">
        <f>'Effort Statistics'!L68+"AM:!%Kq"</f>
        <v>#VALUE!</v>
      </c>
      <c r="EP75" t="e">
        <f ca="1">'Effort Statistics'!M68+"AM:!%Kr"</f>
        <v>#VALUE!</v>
      </c>
      <c r="EQ75" t="e">
        <f>'Effort Statistics'!N68+"AM:!%Ks"</f>
        <v>#VALUE!</v>
      </c>
      <c r="ER75" t="e">
        <f ca="1">'Effort Statistics'!O68+"AM:!%Kt"</f>
        <v>#VALUE!</v>
      </c>
      <c r="ES75" t="e">
        <f>'Effort Statistics'!P68+"AM:!%Ku"</f>
        <v>#VALUE!</v>
      </c>
      <c r="ET75" t="e">
        <f>'Effort Statistics'!Q68+"AM:!%Kv"</f>
        <v>#VALUE!</v>
      </c>
      <c r="EU75" t="e">
        <f>'Effort Statistics'!A69+"AM:!%Kw"</f>
        <v>#VALUE!</v>
      </c>
      <c r="EV75" t="e">
        <f>'Effort Statistics'!B69+"AM:!%Kx"</f>
        <v>#VALUE!</v>
      </c>
      <c r="EW75" t="e">
        <f>'Effort Statistics'!C69+"AM:!%Ky"</f>
        <v>#VALUE!</v>
      </c>
      <c r="EX75" t="e">
        <f>'Effort Statistics'!D69+"AM:!%Kz"</f>
        <v>#VALUE!</v>
      </c>
      <c r="EY75" t="e">
        <f>'Effort Statistics'!E69+"AM:!%K{"</f>
        <v>#VALUE!</v>
      </c>
      <c r="EZ75" t="e">
        <f>'Effort Statistics'!F69+"AM:!%K|"</f>
        <v>#VALUE!</v>
      </c>
      <c r="FA75" t="e">
        <f>'Effort Statistics'!G69+"AM:!%K}"</f>
        <v>#VALUE!</v>
      </c>
      <c r="FB75" t="e">
        <f>'Effort Statistics'!H69+"AM:!%K~"</f>
        <v>#VALUE!</v>
      </c>
      <c r="FC75" t="e">
        <f>'Effort Statistics'!I69+"AM:!%L#"</f>
        <v>#VALUE!</v>
      </c>
      <c r="FD75" t="e">
        <f>'Effort Statistics'!J69+"AM:!%L$"</f>
        <v>#VALUE!</v>
      </c>
      <c r="FE75" t="e">
        <f ca="1">'Effort Statistics'!K69+"AM:!%L%"</f>
        <v>#VALUE!</v>
      </c>
      <c r="FF75" t="e">
        <f>'Effort Statistics'!L69+"AM:!%L&amp;"</f>
        <v>#VALUE!</v>
      </c>
      <c r="FG75" t="e">
        <f ca="1">'Effort Statistics'!M69+"AM:!%L'"</f>
        <v>#VALUE!</v>
      </c>
      <c r="FH75" t="e">
        <f>'Effort Statistics'!N69+"AM:!%L("</f>
        <v>#VALUE!</v>
      </c>
      <c r="FI75" t="e">
        <f ca="1">'Effort Statistics'!O69+"AM:!%L)"</f>
        <v>#VALUE!</v>
      </c>
      <c r="FJ75" t="e">
        <f>'Effort Statistics'!P69+"AM:!%L."</f>
        <v>#VALUE!</v>
      </c>
      <c r="FK75" t="e">
        <f>'Effort Statistics'!Q69+"AM:!%L/"</f>
        <v>#VALUE!</v>
      </c>
      <c r="FL75" t="e">
        <f>'Effort Statistics'!A70+"AM:!%L0"</f>
        <v>#VALUE!</v>
      </c>
      <c r="FM75" t="e">
        <f>'Effort Statistics'!B70+"AM:!%L1"</f>
        <v>#VALUE!</v>
      </c>
      <c r="FN75" t="e">
        <f>'Effort Statistics'!C70+"AM:!%L2"</f>
        <v>#VALUE!</v>
      </c>
      <c r="FO75" t="e">
        <f>'Effort Statistics'!D70+"AM:!%L3"</f>
        <v>#VALUE!</v>
      </c>
      <c r="FP75" t="e">
        <f>'Effort Statistics'!E70+"AM:!%L4"</f>
        <v>#VALUE!</v>
      </c>
      <c r="FQ75" t="e">
        <f>'Effort Statistics'!F70+"AM:!%L5"</f>
        <v>#VALUE!</v>
      </c>
      <c r="FR75" t="e">
        <f>'Effort Statistics'!G70+"AM:!%L6"</f>
        <v>#VALUE!</v>
      </c>
      <c r="FS75" t="e">
        <f>'Effort Statistics'!H70+"AM:!%L7"</f>
        <v>#VALUE!</v>
      </c>
      <c r="FT75" s="100" t="e">
        <f>'Effort Statistics'!I70+"AM:!%L8"</f>
        <v>#VALUE!</v>
      </c>
      <c r="FU75" t="e">
        <f ca="1">'Effort Statistics'!J70+"AM:!%L9"</f>
        <v>#VALUE!</v>
      </c>
      <c r="FV75" t="e">
        <f ca="1">'Effort Statistics'!K70+"AM:!%L:"</f>
        <v>#VALUE!</v>
      </c>
      <c r="FW75" t="e">
        <f ca="1">'Effort Statistics'!L70+"AM:!%L;"</f>
        <v>#VALUE!</v>
      </c>
      <c r="FX75" t="e">
        <f ca="1">'Effort Statistics'!M70+"AM:!%L&lt;"</f>
        <v>#VALUE!</v>
      </c>
      <c r="FY75" t="e">
        <f ca="1">'Effort Statistics'!N70+"AM:!%L="</f>
        <v>#VALUE!</v>
      </c>
      <c r="FZ75" t="e">
        <f ca="1">'Effort Statistics'!O70+"AM:!%L&gt;"</f>
        <v>#VALUE!</v>
      </c>
      <c r="GA75" t="e">
        <f>'Effort Statistics'!P70+"AM:!%L?"</f>
        <v>#VALUE!</v>
      </c>
      <c r="GB75" t="e">
        <f>'Effort Statistics'!Q70+"AM:!%L@"</f>
        <v>#VALUE!</v>
      </c>
      <c r="GC75" t="e">
        <f>'Price Calculation'!A:A*"AM:!%LC"</f>
        <v>#VALUE!</v>
      </c>
      <c r="GD75" t="e">
        <f>'Price Calculation'!B:B*"AM:!%LD"</f>
        <v>#VALUE!</v>
      </c>
      <c r="GE75" t="e">
        <f>'Price Calculation'!C:C*"AM:!%LE"</f>
        <v>#VALUE!</v>
      </c>
      <c r="GF75" t="e">
        <f>'Price Calculation'!D:D*"AM:!%LF"</f>
        <v>#VALUE!</v>
      </c>
      <c r="GG75" t="e">
        <f>'Price Calculation'!E:E*"AM:!%LG"</f>
        <v>#VALUE!</v>
      </c>
      <c r="GH75" t="e">
        <f>'Price Calculation'!F:F*"AM:!%LH"</f>
        <v>#VALUE!</v>
      </c>
      <c r="GI75" t="e">
        <f>'Price Calculation'!G:G*"AM:!%LI"</f>
        <v>#VALUE!</v>
      </c>
      <c r="GJ75" t="e">
        <f>'Price Calculation'!H:H*"AM:!%LJ"</f>
        <v>#VALUE!</v>
      </c>
      <c r="GK75" t="e">
        <f>'Price Calculation'!I:I*"AM:!%LK"</f>
        <v>#VALUE!</v>
      </c>
      <c r="GL75" t="e">
        <f>'Price Calculation'!J:J*"AM:!%LL"</f>
        <v>#VALUE!</v>
      </c>
      <c r="GM75" t="e">
        <f>'Price Calculation'!K:K*"AM:!%LM"</f>
        <v>#VALUE!</v>
      </c>
      <c r="GN75" t="e">
        <f>'Price Calculation'!L:L*"AM:!%LN"</f>
        <v>#VALUE!</v>
      </c>
      <c r="GO75" t="e">
        <f>'Price Calculation'!M:M*"AM:!%LO"</f>
        <v>#VALUE!</v>
      </c>
      <c r="GP75" t="e">
        <f>'Price Calculation'!N:N*"AM:!%LP"</f>
        <v>#VALUE!</v>
      </c>
      <c r="GQ75" t="e">
        <f>'Price Calculation'!O:O*"AM:!%LQ"</f>
        <v>#VALUE!</v>
      </c>
      <c r="GR75" t="e">
        <f>'Price Calculation'!P:P*"AM:!%LR"</f>
        <v>#VALUE!</v>
      </c>
      <c r="GS75" t="e">
        <f>'Price Calculation'!Q:Q*"AM:!%LS"</f>
        <v>#VALUE!</v>
      </c>
      <c r="GT75" t="e">
        <f>'Price Calculation'!R:R*"AM:!%LT"</f>
        <v>#VALUE!</v>
      </c>
      <c r="GU75" t="e">
        <f>'Price Calculation'!S:S*"AM:!%LU"</f>
        <v>#VALUE!</v>
      </c>
      <c r="GV75" t="e">
        <f>'Price Calculation'!T:T*"AM:!%LV"</f>
        <v>#VALUE!</v>
      </c>
      <c r="GW75" t="e">
        <f>'Price Calculation'!U:U*"AM:!%LW"</f>
        <v>#VALUE!</v>
      </c>
      <c r="GX75" t="e">
        <f>'Price Calculation'!V:V*"AM:!%LX"</f>
        <v>#VALUE!</v>
      </c>
      <c r="GY75" t="e">
        <f>'Price Calculation'!W:W*"AM:!%LY"</f>
        <v>#VALUE!</v>
      </c>
      <c r="GZ75" t="e">
        <f>'Price Calculation'!X:X*"AM:!%LZ"</f>
        <v>#VALUE!</v>
      </c>
      <c r="HA75" t="e">
        <f>'Price Calculation'!Y:Y*"AM:!%L["</f>
        <v>#VALUE!</v>
      </c>
      <c r="HB75" t="e">
        <f>'Price Calculation'!Z:Z*"AM:!%L\"</f>
        <v>#VALUE!</v>
      </c>
      <c r="HC75" t="e">
        <f>'Price Calculation'!AA:AA*"AM:!%L]"</f>
        <v>#VALUE!</v>
      </c>
      <c r="HD75" t="e">
        <f>'Price Calculation'!AB:AB*"AM:!%L^"</f>
        <v>#VALUE!</v>
      </c>
      <c r="HE75" t="e">
        <f>'Price Calculation'!AC:AC*"AM:!%L_"</f>
        <v>#VALUE!</v>
      </c>
      <c r="HF75" t="e">
        <f>'Price Calculation'!AD:AD*"AM:!%L`"</f>
        <v>#VALUE!</v>
      </c>
      <c r="HG75" t="e">
        <f>'Price Calculation'!AE:AE*"AM:!%La"</f>
        <v>#VALUE!</v>
      </c>
      <c r="HH75" t="e">
        <f>'Price Calculation'!AF:AF*"AM:!%Lb"</f>
        <v>#VALUE!</v>
      </c>
      <c r="HI75" t="e">
        <f>'Price Calculation'!AG:AG*"AM:!%Lc"</f>
        <v>#VALUE!</v>
      </c>
      <c r="HJ75" t="e">
        <f>'Price Calculation'!AH:AH*"AM:!%Ld"</f>
        <v>#VALUE!</v>
      </c>
      <c r="HK75" t="e">
        <f>'Price Calculation'!AI:AI*"AM:!%Le"</f>
        <v>#VALUE!</v>
      </c>
      <c r="HL75" t="e">
        <f>'Price Calculation'!AJ:AJ*"AM:!%Lf"</f>
        <v>#VALUE!</v>
      </c>
      <c r="HM75" t="e">
        <f>'Price Calculation'!AK:AK*"AM:!%Lg"</f>
        <v>#VALUE!</v>
      </c>
      <c r="HN75" t="e">
        <f>'Price Calculation'!AL:AL*"AM:!%Lh"</f>
        <v>#VALUE!</v>
      </c>
      <c r="HO75" t="e">
        <f>'Price Calculation'!AM:AM*"AM:!%Li"</f>
        <v>#VALUE!</v>
      </c>
      <c r="HP75" t="e">
        <f>'Price Calculation'!AN:AN*"AM:!%Lj"</f>
        <v>#VALUE!</v>
      </c>
      <c r="HQ75" t="e">
        <f>'Price Calculation'!AO:AO*"AM:!%Lk"</f>
        <v>#VALUE!</v>
      </c>
      <c r="HR75" t="e">
        <f>'Price Calculation'!AP:AP*"AM:!%Ll"</f>
        <v>#VALUE!</v>
      </c>
      <c r="HS75" t="e">
        <f>'Price Calculation'!AQ:AQ*"AM:!%Lm"</f>
        <v>#VALUE!</v>
      </c>
      <c r="HT75" t="e">
        <f>'Price Calculation'!AR:AR*"AM:!%Ln"</f>
        <v>#VALUE!</v>
      </c>
      <c r="HU75" t="e">
        <f>'Price Calculation'!AS:AS*"AM:!%Lo"</f>
        <v>#VALUE!</v>
      </c>
      <c r="HV75" t="e">
        <f>'Price Calculation'!AT:AT*"AM:!%Lp"</f>
        <v>#VALUE!</v>
      </c>
      <c r="HW75" t="e">
        <f>'Price Calculation'!AU:AU*"AM:!%Lq"</f>
        <v>#VALUE!</v>
      </c>
      <c r="HX75" t="e">
        <f>'Price Calculation'!AV:AV*"AM:!%Lr"</f>
        <v>#VALUE!</v>
      </c>
      <c r="HY75" t="e">
        <f>'Price Calculation'!AW:AW*"AM:!%Ls"</f>
        <v>#VALUE!</v>
      </c>
      <c r="HZ75" t="e">
        <f>'Price Calculation'!AX:AX*"AM:!%Lt"</f>
        <v>#VALUE!</v>
      </c>
      <c r="IA75" t="e">
        <f>'Price Calculation'!AY:AY*"AM:!%Lu"</f>
        <v>#VALUE!</v>
      </c>
      <c r="IB75" t="e">
        <f>'Price Calculation'!AZ:AZ*"AM:!%Lv"</f>
        <v>#VALUE!</v>
      </c>
      <c r="IC75" t="e">
        <f>'Price Calculation'!BA:BA*"AM:!%Lw"</f>
        <v>#VALUE!</v>
      </c>
      <c r="ID75" t="e">
        <f>'Price Calculation'!BB:BB*"AM:!%Lx"</f>
        <v>#VALUE!</v>
      </c>
      <c r="IE75" t="e">
        <f>'Price Calculation'!BC:BC*"AM:!%Ly"</f>
        <v>#VALUE!</v>
      </c>
      <c r="IF75" t="e">
        <f>'Price Calculation'!BD:BD*"AM:!%Lz"</f>
        <v>#VALUE!</v>
      </c>
      <c r="IG75" t="e">
        <f>'Price Calculation'!BE:BE*"AM:!%L{"</f>
        <v>#VALUE!</v>
      </c>
      <c r="IH75" t="e">
        <f>'Price Calculation'!BF:BF*"AM:!%L|"</f>
        <v>#VALUE!</v>
      </c>
      <c r="II75" t="e">
        <f>'Price Calculation'!BG:BG*"AM:!%L}"</f>
        <v>#VALUE!</v>
      </c>
      <c r="IJ75" t="e">
        <f>'Price Calculation'!BH:BH*"AM:!%L~"</f>
        <v>#VALUE!</v>
      </c>
      <c r="IK75" t="e">
        <f>'Price Calculation'!BI:BI*"AM:!%M#"</f>
        <v>#VALUE!</v>
      </c>
      <c r="IL75" t="e">
        <f>'Price Calculation'!BJ:BJ*"AM:!%M$"</f>
        <v>#VALUE!</v>
      </c>
      <c r="IM75" t="e">
        <f>'Price Calculation'!BK:BK*"AM:!%M%"</f>
        <v>#VALUE!</v>
      </c>
      <c r="IN75" t="e">
        <f>'Price Calculation'!BL:BL*"AM:!%M&amp;"</f>
        <v>#VALUE!</v>
      </c>
      <c r="IO75" t="e">
        <f>'Price Calculation'!BM:BM*"AM:!%M'"</f>
        <v>#VALUE!</v>
      </c>
      <c r="IP75" t="e">
        <f>'Price Calculation'!BN:BN*"AM:!%M("</f>
        <v>#VALUE!</v>
      </c>
      <c r="IQ75" t="e">
        <f>'Price Calculation'!BO:BO*"AM:!%M)"</f>
        <v>#VALUE!</v>
      </c>
      <c r="IR75" t="e">
        <f>'Price Calculation'!BP:BP*"AM:!%M."</f>
        <v>#VALUE!</v>
      </c>
      <c r="IS75" t="e">
        <f>'Price Calculation'!BQ:BQ*"AM:!%M/"</f>
        <v>#VALUE!</v>
      </c>
      <c r="IT75" t="e">
        <f>'Price Calculation'!BR:BR*"AM:!%M0"</f>
        <v>#VALUE!</v>
      </c>
      <c r="IU75" t="e">
        <f>'Price Calculation'!1:1-"AM:!%M1"</f>
        <v>#VALUE!</v>
      </c>
      <c r="IV75" t="e">
        <f>'Price Calculation'!2:2-"AM:!%M2"</f>
        <v>#VALUE!</v>
      </c>
    </row>
    <row r="76" spans="6:256">
      <c r="F76" t="e">
        <f>'Price Calculation'!3:3-"AM:!%M3"</f>
        <v>#VALUE!</v>
      </c>
      <c r="G76" t="e">
        <f>'Price Calculation'!4:4-"AM:!%M4"</f>
        <v>#VALUE!</v>
      </c>
      <c r="H76" t="e">
        <f>'Price Calculation'!5:5-"AM:!%M5"</f>
        <v>#VALUE!</v>
      </c>
      <c r="I76" t="e">
        <f>'Price Calculation'!6:6-"AM:!%M6"</f>
        <v>#VALUE!</v>
      </c>
      <c r="J76" t="e">
        <f>'Price Calculation'!7:7-"AM:!%M7"</f>
        <v>#VALUE!</v>
      </c>
      <c r="K76" t="e">
        <f>'Price Calculation'!8:8-"AM:!%M8"</f>
        <v>#VALUE!</v>
      </c>
      <c r="L76" t="e">
        <f>'Price Calculation'!9:9-"AM:!%M9"</f>
        <v>#VALUE!</v>
      </c>
      <c r="M76" t="e">
        <f>'Price Calculation'!10:10-"AM:!%M:"</f>
        <v>#VALUE!</v>
      </c>
      <c r="N76" t="e">
        <f ca="1">'Price Calculation'!11:11-"AM:!%M;"</f>
        <v>#VALUE!</v>
      </c>
      <c r="O76" t="e">
        <f>'Price Calculation'!12:12-"AM:!%M&lt;"</f>
        <v>#VALUE!</v>
      </c>
      <c r="P76" t="e">
        <f>'Price Calculation'!13:13-"AM:!%M="</f>
        <v>#VALUE!</v>
      </c>
      <c r="Q76" t="e">
        <f>'Price Calculation'!14:14-"AM:!%M&gt;"</f>
        <v>#VALUE!</v>
      </c>
      <c r="R76" t="e">
        <f>'Price Calculation'!15:15-"AM:!%M?"</f>
        <v>#VALUE!</v>
      </c>
      <c r="S76" t="e">
        <f>'Price Calculation'!16:16-"AM:!%M@"</f>
        <v>#VALUE!</v>
      </c>
      <c r="T76" t="e">
        <f>'Price Calculation'!17:17-"AM:!%MA"</f>
        <v>#VALUE!</v>
      </c>
      <c r="U76" t="e">
        <f>'Price Calculation'!18:18-"AM:!%MB"</f>
        <v>#VALUE!</v>
      </c>
      <c r="V76" t="e">
        <f>'Price Calculation'!19:19-"AM:!%MC"</f>
        <v>#VALUE!</v>
      </c>
      <c r="W76" t="e">
        <f>'Price Calculation'!20:20-"AM:!%MD"</f>
        <v>#VALUE!</v>
      </c>
      <c r="X76" t="e">
        <f>'Price Calculation'!21:21-"AM:!%ME"</f>
        <v>#VALUE!</v>
      </c>
      <c r="Y76" t="e">
        <f>'Price Calculation'!22:22-"AM:!%MF"</f>
        <v>#VALUE!</v>
      </c>
      <c r="Z76" t="e">
        <f>'Price Calculation'!23:23-"AM:!%MG"</f>
        <v>#VALUE!</v>
      </c>
      <c r="AA76" t="e">
        <f>'Price Calculation'!24:24-"AM:!%MH"</f>
        <v>#VALUE!</v>
      </c>
      <c r="AB76" t="e">
        <f>'Price Calculation'!25:25-"AM:!%MI"</f>
        <v>#VALUE!</v>
      </c>
      <c r="AC76" t="e">
        <f>'Price Calculation'!26:26-"AM:!%MJ"</f>
        <v>#VALUE!</v>
      </c>
      <c r="AD76" t="e">
        <f>'Price Calculation'!27:27-"AM:!%MK"</f>
        <v>#VALUE!</v>
      </c>
      <c r="AE76" t="e">
        <f>'Price Calculation'!28:28-"AM:!%ML"</f>
        <v>#VALUE!</v>
      </c>
      <c r="AF76" t="e">
        <f>'Price Calculation'!29:29-"AM:!%MM"</f>
        <v>#VALUE!</v>
      </c>
      <c r="AG76" t="e">
        <f>'Price Calculation'!30:30-"AM:!%MN"</f>
        <v>#VALUE!</v>
      </c>
      <c r="AH76" t="e">
        <f>'Price Calculation'!31:31-"AM:!%MO"</f>
        <v>#VALUE!</v>
      </c>
      <c r="AI76" t="e">
        <f>'Price Calculation'!32:32-"AM:!%MP"</f>
        <v>#VALUE!</v>
      </c>
      <c r="AJ76" t="e">
        <f>'Price Calculation'!33:33-"AM:!%MQ"</f>
        <v>#VALUE!</v>
      </c>
      <c r="AK76" t="e">
        <f>'Price Calculation'!34:34-"AM:!%MR"</f>
        <v>#VALUE!</v>
      </c>
      <c r="AL76" t="e">
        <f>'Price Calculation'!35:35-"AM:!%MS"</f>
        <v>#VALUE!</v>
      </c>
      <c r="AM76" t="e">
        <f>'Price Calculation'!36:36-"AM:!%MT"</f>
        <v>#VALUE!</v>
      </c>
      <c r="AN76" t="e">
        <f>'Price Calculation'!37:37-"AM:!%MU"</f>
        <v>#VALUE!</v>
      </c>
      <c r="AO76" t="e">
        <f>'Price Calculation'!38:38-"AM:!%MV"</f>
        <v>#VALUE!</v>
      </c>
      <c r="AP76" t="e">
        <f>'Price Calculation'!39:39-"AM:!%MW"</f>
        <v>#VALUE!</v>
      </c>
      <c r="AQ76" t="e">
        <f>'Price Calculation'!40:40-"AM:!%MX"</f>
        <v>#VALUE!</v>
      </c>
      <c r="AR76" t="e">
        <f>'Price Calculation'!41:41-"AM:!%MY"</f>
        <v>#VALUE!</v>
      </c>
      <c r="AS76" t="e">
        <f>'Price Calculation'!42:42-"AM:!%MZ"</f>
        <v>#VALUE!</v>
      </c>
      <c r="AT76" t="e">
        <f>'Price Calculation'!43:43-"AM:!%M["</f>
        <v>#VALUE!</v>
      </c>
      <c r="AU76" t="e">
        <f>'Price Calculation'!44:44-"AM:!%M\"</f>
        <v>#VALUE!</v>
      </c>
      <c r="AV76" t="e">
        <f>'Price Calculation'!45:45-"AM:!%M]"</f>
        <v>#VALUE!</v>
      </c>
      <c r="AW76" t="e">
        <f>'Price Calculation'!46:46-"AM:!%M^"</f>
        <v>#VALUE!</v>
      </c>
      <c r="AX76" t="e">
        <f>'Price Calculation'!47:47-"AM:!%M_"</f>
        <v>#VALUE!</v>
      </c>
      <c r="AY76" t="e">
        <f>'Price Calculation'!48:48-"AM:!%M`"</f>
        <v>#VALUE!</v>
      </c>
      <c r="AZ76" t="e">
        <f>'Price Calculation'!49:49-"AM:!%Ma"</f>
        <v>#VALUE!</v>
      </c>
      <c r="BA76" t="e">
        <f>'Price Calculation'!50:50-"AM:!%Mb"</f>
        <v>#VALUE!</v>
      </c>
      <c r="BB76" t="e">
        <f>'Price Calculation'!51:51-"AM:!%Mc"</f>
        <v>#VALUE!</v>
      </c>
      <c r="BC76" t="e">
        <f>'Price Calculation'!52:52-"AM:!%Md"</f>
        <v>#VALUE!</v>
      </c>
      <c r="BD76" t="e">
        <f>'Price Calculation'!53:53-"AM:!%Me"</f>
        <v>#VALUE!</v>
      </c>
      <c r="BE76" t="e">
        <f>'Price Calculation'!54:54-"AM:!%Mf"</f>
        <v>#VALUE!</v>
      </c>
      <c r="BF76" t="e">
        <f>'Price Calculation'!55:55-"AM:!%Mg"</f>
        <v>#VALUE!</v>
      </c>
      <c r="BG76" t="e">
        <f>'Price Calculation'!56:56-"AM:!%Mh"</f>
        <v>#VALUE!</v>
      </c>
      <c r="BH76" t="e">
        <f>'Price Calculation'!57:57-"AM:!%Mi"</f>
        <v>#VALUE!</v>
      </c>
      <c r="BI76" t="e">
        <f>'Price Calculation'!58:58-"AM:!%Mj"</f>
        <v>#VALUE!</v>
      </c>
      <c r="BJ76" t="e">
        <f>'Price Calculation'!59:59-"AM:!%Mk"</f>
        <v>#VALUE!</v>
      </c>
      <c r="BK76" t="e">
        <f>'Price Calculation'!60:60-"AM:!%Ml"</f>
        <v>#VALUE!</v>
      </c>
      <c r="BL76" t="e">
        <f>'Price Calculation'!61:61-"AM:!%Mm"</f>
        <v>#VALUE!</v>
      </c>
      <c r="BM76" t="e">
        <f>'Price Calculation'!62:62-"AM:!%Mn"</f>
        <v>#VALUE!</v>
      </c>
      <c r="BN76" t="e">
        <f>'Price Calculation'!63:63-"AM:!%Mo"</f>
        <v>#VALUE!</v>
      </c>
      <c r="BO76" t="e">
        <f>'Price Calculation'!64:64-"AM:!%Mp"</f>
        <v>#VALUE!</v>
      </c>
      <c r="BP76" t="e">
        <f>'Price Calculation'!65:65-"AM:!%Mq"</f>
        <v>#VALUE!</v>
      </c>
      <c r="BQ76" t="e">
        <f>'Price Calculation'!66:66-"AM:!%Mr"</f>
        <v>#VALUE!</v>
      </c>
      <c r="BR76" t="e">
        <f>'Price Calculation'!67:67-"AM:!%Ms"</f>
        <v>#VALUE!</v>
      </c>
      <c r="BS76" t="e">
        <f>'Price Calculation'!68:68-"AM:!%Mt"</f>
        <v>#VALUE!</v>
      </c>
      <c r="BT76" t="e">
        <f>'Price Calculation'!69:69-"AM:!%Mu"</f>
        <v>#VALUE!</v>
      </c>
      <c r="BU76" t="e">
        <f>'Price Calculation'!70:70-"AM:!%Mv"</f>
        <v>#VALUE!</v>
      </c>
      <c r="BV76" t="e">
        <f>'Price Calculation'!71:71-"AM:!%Mw"</f>
        <v>#VALUE!</v>
      </c>
      <c r="BW76" t="e">
        <f>'Price Calculation'!72:72-"AM:!%Mx"</f>
        <v>#VALUE!</v>
      </c>
      <c r="BX76" t="e">
        <f>'Price Calculation'!73:73-"AM:!%My"</f>
        <v>#VALUE!</v>
      </c>
      <c r="BY76" t="e">
        <f>'Price Calculation'!74:74-"AM:!%Mz"</f>
        <v>#VALUE!</v>
      </c>
      <c r="BZ76" t="e">
        <f>'Price Calculation'!75:75-"AM:!%M{"</f>
        <v>#VALUE!</v>
      </c>
      <c r="CA76" t="e">
        <f>'Price Calculation'!76:76-"AM:!%M|"</f>
        <v>#VALUE!</v>
      </c>
      <c r="CB76" t="e">
        <f>'Price Calculation'!77:77-"AM:!%M}"</f>
        <v>#VALUE!</v>
      </c>
      <c r="CC76" t="e">
        <f>'Price Calculation'!78:78-"AM:!%M~"</f>
        <v>#VALUE!</v>
      </c>
      <c r="CD76" t="e">
        <f>'Price Calculation'!79:79-"AM:!%N#"</f>
        <v>#VALUE!</v>
      </c>
      <c r="CE76" t="e">
        <f>'Price Calculation'!80:80-"AM:!%N$"</f>
        <v>#VALUE!</v>
      </c>
      <c r="CF76" t="e">
        <f>'Price Calculation'!81:81-"AM:!%N%"</f>
        <v>#VALUE!</v>
      </c>
      <c r="CG76" t="e">
        <f>'Price Calculation'!82:82-"AM:!%N&amp;"</f>
        <v>#VALUE!</v>
      </c>
      <c r="CH76" t="e">
        <f>'Price Calculation'!83:83-"AM:!%N'"</f>
        <v>#VALUE!</v>
      </c>
      <c r="CI76" t="e">
        <f>'Price Calculation'!84:84-"AM:!%N("</f>
        <v>#VALUE!</v>
      </c>
      <c r="CJ76" t="e">
        <f>'Price Calculation'!85:85-"AM:!%N)"</f>
        <v>#VALUE!</v>
      </c>
      <c r="CK76" t="e">
        <f>'Price Calculation'!86:86-"AM:!%N."</f>
        <v>#VALUE!</v>
      </c>
      <c r="CL76" t="e">
        <f>'Price Calculation'!87:87-"AM:!%N/"</f>
        <v>#VALUE!</v>
      </c>
      <c r="CM76" t="e">
        <f>'Price Calculation'!88:88-"AM:!%N0"</f>
        <v>#VALUE!</v>
      </c>
      <c r="CN76" t="e">
        <f>'Price Calculation'!89:89-"AM:!%N1"</f>
        <v>#VALUE!</v>
      </c>
      <c r="CO76" t="e">
        <f>'Price Calculation'!90:90-"AM:!%N2"</f>
        <v>#VALUE!</v>
      </c>
      <c r="CP76" t="e">
        <f>'Price Calculation'!91:91-"AM:!%N3"</f>
        <v>#VALUE!</v>
      </c>
      <c r="CQ76" t="e">
        <f>'Price Calculation'!92:92-"AM:!%N4"</f>
        <v>#VALUE!</v>
      </c>
      <c r="CR76" t="e">
        <f>'Price Calculation'!93:93-"AM:!%N5"</f>
        <v>#VALUE!</v>
      </c>
      <c r="CS76" t="e">
        <f>'Price Calculation'!94:94-"AM:!%N6"</f>
        <v>#VALUE!</v>
      </c>
      <c r="CT76" t="e">
        <f>'Price Calculation'!95:95-"AM:!%N7"</f>
        <v>#VALUE!</v>
      </c>
      <c r="CU76" t="e">
        <f>'Price Calculation'!96:96-"AM:!%N8"</f>
        <v>#VALUE!</v>
      </c>
      <c r="CV76" t="e">
        <f>'Price Calculation'!97:97-"AM:!%N9"</f>
        <v>#VALUE!</v>
      </c>
      <c r="CW76" t="e">
        <f>'Price Calculation'!98:98-"AM:!%N:"</f>
        <v>#VALUE!</v>
      </c>
      <c r="CX76" t="e">
        <f>'Price Calculation'!99:99-"AM:!%N;"</f>
        <v>#VALUE!</v>
      </c>
      <c r="CY76" t="e">
        <f>'Price Calculation'!100:100-"AM:!%N&lt;"</f>
        <v>#VALUE!</v>
      </c>
      <c r="CZ76" t="e">
        <f>'Price Calculation'!101:101-"AM:!%N="</f>
        <v>#VALUE!</v>
      </c>
      <c r="DA76" t="e">
        <f>'Price Calculation'!102:102-"AM:!%N&gt;"</f>
        <v>#VALUE!</v>
      </c>
      <c r="DB76" t="e">
        <f>'Price Calculation'!103:103-"AM:!%N?"</f>
        <v>#VALUE!</v>
      </c>
      <c r="DC76" t="e">
        <f>'Price Calculation'!104:104-"AM:!%N@"</f>
        <v>#VALUE!</v>
      </c>
      <c r="DD76" t="e">
        <f>'Price Calculation'!105:105-"AM:!%NA"</f>
        <v>#VALUE!</v>
      </c>
      <c r="DE76" t="e">
        <f>'Price Calculation'!106:106-"AM:!%NB"</f>
        <v>#VALUE!</v>
      </c>
      <c r="DF76" t="e">
        <f>'Price Calculation'!107:107-"AM:!%NC"</f>
        <v>#VALUE!</v>
      </c>
      <c r="DG76" t="e">
        <f>'Price Calculation'!108:108-"AM:!%ND"</f>
        <v>#VALUE!</v>
      </c>
      <c r="DH76" t="e">
        <f>'Price Calculation'!109:109-"AM:!%NE"</f>
        <v>#VALUE!</v>
      </c>
      <c r="DI76" t="e">
        <f>'Price Calculation'!110:110-"AM:!%NF"</f>
        <v>#VALUE!</v>
      </c>
      <c r="DJ76" t="e">
        <f>'Price Calculation'!111:111-"AM:!%NG"</f>
        <v>#VALUE!</v>
      </c>
      <c r="DK76" t="e">
        <f>'Price Calculation'!112:112-"AM:!%NH"</f>
        <v>#VALUE!</v>
      </c>
      <c r="DL76" t="e">
        <f>'Price Calculation'!113:113-"AM:!%NI"</f>
        <v>#VALUE!</v>
      </c>
      <c r="DM76" t="e">
        <f>'Price Calculation'!114:114-"AM:!%NJ"</f>
        <v>#VALUE!</v>
      </c>
      <c r="DN76" t="e">
        <f>'Price Calculation'!115:115-"AM:!%NK"</f>
        <v>#VALUE!</v>
      </c>
      <c r="DO76" t="e">
        <f>'Price Calculation'!116:116-"AM:!%NL"</f>
        <v>#VALUE!</v>
      </c>
      <c r="DP76" t="e">
        <f>'Price Calculation'!117:117-"AM:!%NM"</f>
        <v>#VALUE!</v>
      </c>
      <c r="DQ76" t="e">
        <f>'Price Calculation'!118:118-"AM:!%NN"</f>
        <v>#VALUE!</v>
      </c>
      <c r="DR76" t="e">
        <f>'Price Calculation'!119:119-"AM:!%NO"</f>
        <v>#VALUE!</v>
      </c>
      <c r="DS76" t="e">
        <f>'Price Calculation'!120:120-"AM:!%NP"</f>
        <v>#VALUE!</v>
      </c>
      <c r="DT76" t="e">
        <f>'Price Calculation'!121:121-"AM:!%NQ"</f>
        <v>#VALUE!</v>
      </c>
      <c r="DU76" t="e">
        <f>'Price Calculation'!122:122-"AM:!%NR"</f>
        <v>#VALUE!</v>
      </c>
      <c r="DV76" t="e">
        <f>'Price Calculation'!123:123-"AM:!%NS"</f>
        <v>#VALUE!</v>
      </c>
      <c r="DW76" t="e">
        <f>'Price Calculation'!124:124-"AM:!%NT"</f>
        <v>#VALUE!</v>
      </c>
      <c r="DX76" t="e">
        <f>'Price Calculation'!125:125-"AM:!%NU"</f>
        <v>#VALUE!</v>
      </c>
      <c r="DY76" t="e">
        <f>'Price Calculation'!126:126-"AM:!%NV"</f>
        <v>#VALUE!</v>
      </c>
      <c r="DZ76" t="e">
        <f>'Price Calculation'!127:127-"AM:!%NW"</f>
        <v>#VALUE!</v>
      </c>
      <c r="EA76" t="e">
        <f>'Price Calculation'!128:128-"AM:!%NX"</f>
        <v>#VALUE!</v>
      </c>
      <c r="EB76" t="e">
        <f>'Price Calculation'!129:129-"AM:!%NY"</f>
        <v>#VALUE!</v>
      </c>
      <c r="EC76" t="e">
        <f>'Price Calculation'!130:130-"AM:!%NZ"</f>
        <v>#VALUE!</v>
      </c>
      <c r="ED76" t="e">
        <f>'Price Calculation'!131:131-"AM:!%N["</f>
        <v>#VALUE!</v>
      </c>
      <c r="EE76" t="e">
        <f>'Price Calculation'!132:132-"AM:!%N\"</f>
        <v>#VALUE!</v>
      </c>
      <c r="EF76" t="e">
        <f>'Price Calculation'!133:133-"AM:!%N]"</f>
        <v>#VALUE!</v>
      </c>
      <c r="EG76" t="e">
        <f>'Price Calculation'!134:134-"AM:!%N^"</f>
        <v>#VALUE!</v>
      </c>
      <c r="EH76" t="e">
        <f>'Price Calculation'!135:135-"AM:!%N_"</f>
        <v>#VALUE!</v>
      </c>
      <c r="EI76" t="e">
        <f>'Price Calculation'!136:136-"AM:!%N`"</f>
        <v>#VALUE!</v>
      </c>
      <c r="EJ76" t="e">
        <f>'Price Calculation'!137:137-"AM:!%Na"</f>
        <v>#VALUE!</v>
      </c>
      <c r="EK76" t="e">
        <f>'Price Calculation'!138:138-"AM:!%Nb"</f>
        <v>#VALUE!</v>
      </c>
      <c r="EL76" t="e">
        <f>'Price Calculation'!139:139-"AM:!%Nc"</f>
        <v>#VALUE!</v>
      </c>
      <c r="EM76" t="e">
        <f>'Price Calculation'!140:140-"AM:!%Nd"</f>
        <v>#VALUE!</v>
      </c>
      <c r="EN76" t="e">
        <f>'Price Calculation'!141:141-"AM:!%Ne"</f>
        <v>#VALUE!</v>
      </c>
      <c r="EO76" t="e">
        <f>'Price Calculation'!142:142-"AM:!%Nf"</f>
        <v>#VALUE!</v>
      </c>
      <c r="EP76" t="e">
        <f>'Price Calculation'!143:143-"AM:!%Ng"</f>
        <v>#VALUE!</v>
      </c>
      <c r="EQ76" t="e">
        <f>'Price Calculation'!144:144-"AM:!%Nh"</f>
        <v>#VALUE!</v>
      </c>
      <c r="ER76" t="e">
        <f>'Price Calculation'!145:145-"AM:!%Ni"</f>
        <v>#VALUE!</v>
      </c>
      <c r="ES76" t="e">
        <f>'Price Calculation'!146:146-"AM:!%Nj"</f>
        <v>#VALUE!</v>
      </c>
      <c r="ET76" t="e">
        <f>'Price Calculation'!147:147-"AM:!%Nk"</f>
        <v>#VALUE!</v>
      </c>
      <c r="EU76" t="e">
        <f>'Price Calculation'!148:148-"AM:!%Nl"</f>
        <v>#VALUE!</v>
      </c>
      <c r="EV76" t="e">
        <f>'Price Calculation'!149:149-"AM:!%Nm"</f>
        <v>#VALUE!</v>
      </c>
      <c r="EW76" t="e">
        <f>'Price Calculation'!150:150-"AM:!%Nn"</f>
        <v>#VALUE!</v>
      </c>
      <c r="EX76" t="e">
        <f>'Price Calculation'!151:151-"AM:!%No"</f>
        <v>#VALUE!</v>
      </c>
      <c r="EY76" t="e">
        <f>'Price Calculation'!152:152-"AM:!%Np"</f>
        <v>#VALUE!</v>
      </c>
      <c r="EZ76" t="e">
        <f>'Price Calculation'!153:153-"AM:!%Nq"</f>
        <v>#VALUE!</v>
      </c>
      <c r="FA76" t="e">
        <f>'Price Calculation'!154:154-"AM:!%Nr"</f>
        <v>#VALUE!</v>
      </c>
      <c r="FB76" t="e">
        <f>'Price Calculation'!155:155-"AM:!%Ns"</f>
        <v>#VALUE!</v>
      </c>
      <c r="FC76" t="e">
        <f>'Price Calculation'!156:156-"AM:!%Nt"</f>
        <v>#VALUE!</v>
      </c>
      <c r="FD76" t="e">
        <f>'Price Calculation'!157:157-"AM:!%Nu"</f>
        <v>#VALUE!</v>
      </c>
      <c r="FE76" t="e">
        <f>'Price Calculation'!158:158-"AM:!%Nv"</f>
        <v>#VALUE!</v>
      </c>
      <c r="FF76" t="e">
        <f>'Price Calculation'!159:159-"AM:!%Nw"</f>
        <v>#VALUE!</v>
      </c>
      <c r="FG76" t="e">
        <f>'Price Calculation'!160:160-"AM:!%Nx"</f>
        <v>#VALUE!</v>
      </c>
      <c r="FH76" t="e">
        <f>'Price Calculation'!161:161-"AM:!%Ny"</f>
        <v>#VALUE!</v>
      </c>
      <c r="FI76" t="e">
        <f>'Price Calculation'!162:162-"AM:!%Nz"</f>
        <v>#VALUE!</v>
      </c>
      <c r="FJ76" t="e">
        <f>'Price Calculation'!163:163-"AM:!%N{"</f>
        <v>#VALUE!</v>
      </c>
      <c r="FK76" t="e">
        <f>'Price Calculation'!164:164-"AM:!%N|"</f>
        <v>#VALUE!</v>
      </c>
      <c r="FL76" t="e">
        <f>'Price Calculation'!165:165-"AM:!%N}"</f>
        <v>#VALUE!</v>
      </c>
      <c r="FM76" t="e">
        <f>'Price Calculation'!166:166-"AM:!%N~"</f>
        <v>#VALUE!</v>
      </c>
      <c r="FN76" t="e">
        <f>'Price Calculation'!167:167-"AM:!%O#"</f>
        <v>#VALUE!</v>
      </c>
      <c r="FO76" t="e">
        <f>'Price Calculation'!168:168-"AM:!%O$"</f>
        <v>#VALUE!</v>
      </c>
      <c r="FP76" t="e">
        <f>'Price Calculation'!169:169-"AM:!%O%"</f>
        <v>#VALUE!</v>
      </c>
      <c r="FQ76" t="e">
        <f>'Price Calculation'!170:170-"AM:!%O&amp;"</f>
        <v>#VALUE!</v>
      </c>
      <c r="FR76" t="e">
        <f>'Price Calculation'!171:171-"AM:!%O'"</f>
        <v>#VALUE!</v>
      </c>
      <c r="FS76" t="e">
        <f>'Price Calculation'!172:172-"AM:!%O("</f>
        <v>#VALUE!</v>
      </c>
      <c r="FT76" t="e">
        <f>'Price Calculation'!173:173-"AM:!%O)"</f>
        <v>#VALUE!</v>
      </c>
      <c r="FU76" t="e">
        <f>'Price Calculation'!174:174-"AM:!%O."</f>
        <v>#VALUE!</v>
      </c>
      <c r="FV76" t="e">
        <f>'Price Calculation'!175:175-"AM:!%O/"</f>
        <v>#VALUE!</v>
      </c>
      <c r="FW76" t="e">
        <f>'Price Calculation'!176:176-"AM:!%O0"</f>
        <v>#VALUE!</v>
      </c>
      <c r="FX76" t="e">
        <f>'Price Calculation'!177:177-"AM:!%O1"</f>
        <v>#VALUE!</v>
      </c>
      <c r="FY76" t="e">
        <f>'Price Calculation'!178:178-"AM:!%O2"</f>
        <v>#VALUE!</v>
      </c>
      <c r="FZ76" t="e">
        <f>'Price Calculation'!179:179-"AM:!%O3"</f>
        <v>#VALUE!</v>
      </c>
      <c r="GA76" t="e">
        <f>'Price Calculation'!180:180-"AM:!%O4"</f>
        <v>#VALUE!</v>
      </c>
      <c r="GB76" t="e">
        <f>'Price Calculation'!181:181-"AM:!%O5"</f>
        <v>#VALUE!</v>
      </c>
      <c r="GC76" t="e">
        <f>'Price Calculation'!182:182-"AM:!%O6"</f>
        <v>#VALUE!</v>
      </c>
      <c r="GD76" t="e">
        <f>'Price Calculation'!183:183-"AM:!%O7"</f>
        <v>#VALUE!</v>
      </c>
      <c r="GE76" t="e">
        <f>'Price Calculation'!184:184-"AM:!%O8"</f>
        <v>#VALUE!</v>
      </c>
      <c r="GF76" t="e">
        <f>'Price Calculation'!185:185-"AM:!%O9"</f>
        <v>#VALUE!</v>
      </c>
      <c r="GG76" t="e">
        <f>'Price Calculation'!186:186-"AM:!%O:"</f>
        <v>#VALUE!</v>
      </c>
      <c r="GH76" t="e">
        <f>'Price Calculation'!187:187-"AM:!%O;"</f>
        <v>#VALUE!</v>
      </c>
      <c r="GI76" t="e">
        <f>'Price Calculation'!188:188-"AM:!%O&lt;"</f>
        <v>#VALUE!</v>
      </c>
      <c r="GJ76" t="e">
        <f>'Price Calculation'!189:189-"AM:!%O="</f>
        <v>#VALUE!</v>
      </c>
      <c r="GK76" t="e">
        <f>'Price Calculation'!190:190-"AM:!%O&gt;"</f>
        <v>#VALUE!</v>
      </c>
      <c r="GL76" t="e">
        <f>'Price Calculation'!191:191-"AM:!%O?"</f>
        <v>#VALUE!</v>
      </c>
      <c r="GM76" t="e">
        <f>'Price Calculation'!192:192-"AM:!%O@"</f>
        <v>#VALUE!</v>
      </c>
      <c r="GN76" t="e">
        <f>'Price Calculation'!193:193-"AM:!%OA"</f>
        <v>#VALUE!</v>
      </c>
      <c r="GO76" t="e">
        <f>'Price Calculation'!194:194-"AM:!%OB"</f>
        <v>#VALUE!</v>
      </c>
      <c r="GP76" t="e">
        <f>'Price Calculation'!195:195-"AM:!%OC"</f>
        <v>#VALUE!</v>
      </c>
      <c r="GQ76" t="e">
        <f>'Price Calculation'!196:196-"AM:!%OD"</f>
        <v>#VALUE!</v>
      </c>
      <c r="GR76" t="e">
        <f>'Price Calculation'!197:197-"AM:!%OE"</f>
        <v>#VALUE!</v>
      </c>
      <c r="GS76" t="e">
        <f>'Price Calculation'!198:198-"AM:!%OF"</f>
        <v>#VALUE!</v>
      </c>
      <c r="GT76" t="e">
        <f>'Price Calculation'!199:199-"AM:!%OG"</f>
        <v>#VALUE!</v>
      </c>
      <c r="GU76" t="e">
        <f>'Price Calculation'!200:200-"AM:!%OH"</f>
        <v>#VALUE!</v>
      </c>
      <c r="GV76" t="e">
        <f>'Price Calculation'!201:201-"AM:!%OI"</f>
        <v>#VALUE!</v>
      </c>
      <c r="GW76" t="e">
        <f>'Price Calculation'!202:202-"AM:!%OJ"</f>
        <v>#VALUE!</v>
      </c>
      <c r="GX76" t="e">
        <f>'Price Calculation'!203:203-"AM:!%OK"</f>
        <v>#VALUE!</v>
      </c>
      <c r="GY76" t="e">
        <f>'Price Calculation'!204:204-"AM:!%OL"</f>
        <v>#VALUE!</v>
      </c>
      <c r="GZ76" t="e">
        <f>'Price Calculation'!205:205-"AM:!%OM"</f>
        <v>#VALUE!</v>
      </c>
      <c r="HA76" t="e">
        <f>'Price Calculation'!206:206-"AM:!%ON"</f>
        <v>#VALUE!</v>
      </c>
      <c r="HB76" t="e">
        <f>'Price Calculation'!207:207-"AM:!%OO"</f>
        <v>#VALUE!</v>
      </c>
      <c r="HC76" t="e">
        <f>'Price Calculation'!208:208-"AM:!%OP"</f>
        <v>#VALUE!</v>
      </c>
      <c r="HD76" t="e">
        <f>'Price Calculation'!209:209-"AM:!%OQ"</f>
        <v>#VALUE!</v>
      </c>
      <c r="HE76" t="e">
        <f>'Price Calculation'!210:210-"AM:!%OR"</f>
        <v>#VALUE!</v>
      </c>
      <c r="HF76" t="e">
        <f>'Price Calculation'!211:211-"AM:!%OS"</f>
        <v>#VALUE!</v>
      </c>
      <c r="HG76" t="e">
        <f>'Price Calculation'!212:212-"AM:!%OT"</f>
        <v>#VALUE!</v>
      </c>
      <c r="HH76" t="e">
        <f>'Price Calculation'!213:213-"AM:!%OU"</f>
        <v>#VALUE!</v>
      </c>
      <c r="HI76" t="e">
        <f>'Price Calculation'!214:214-"AM:!%OV"</f>
        <v>#VALUE!</v>
      </c>
      <c r="HJ76" t="e">
        <f>'Price Calculation'!215:215-"AM:!%OW"</f>
        <v>#VALUE!</v>
      </c>
      <c r="HK76" t="e">
        <f>'Price Calculation'!216:216-"AM:!%OX"</f>
        <v>#VALUE!</v>
      </c>
      <c r="HL76" t="e">
        <f>'Price Calculation'!217:217-"AM:!%OY"</f>
        <v>#VALUE!</v>
      </c>
      <c r="HM76" t="e">
        <f>'Price Calculation'!218:218-"AM:!%OZ"</f>
        <v>#VALUE!</v>
      </c>
      <c r="HN76" t="e">
        <f>'Price Calculation'!219:219-"AM:!%O["</f>
        <v>#VALUE!</v>
      </c>
      <c r="HO76" t="e">
        <f>'Price Calculation'!220:220-"AM:!%O\"</f>
        <v>#VALUE!</v>
      </c>
      <c r="HP76" t="e">
        <f>'Price Calculation'!221:221-"AM:!%O]"</f>
        <v>#VALUE!</v>
      </c>
      <c r="HQ76" t="e">
        <f>'Price Calculation'!222:222-"AM:!%O^"</f>
        <v>#VALUE!</v>
      </c>
      <c r="HR76" t="e">
        <f>'Price Calculation'!223:223-"AM:!%O_"</f>
        <v>#VALUE!</v>
      </c>
      <c r="HS76" t="e">
        <f>'Price Calculation'!224:224-"AM:!%O`"</f>
        <v>#VALUE!</v>
      </c>
      <c r="HT76" t="e">
        <f>'Price Calculation'!225:225-"AM:!%Oa"</f>
        <v>#VALUE!</v>
      </c>
      <c r="HU76" t="e">
        <f>'Price Calculation'!226:226-"AM:!%Ob"</f>
        <v>#VALUE!</v>
      </c>
      <c r="HV76" t="e">
        <f>'Price Calculation'!227:227-"AM:!%Oc"</f>
        <v>#VALUE!</v>
      </c>
      <c r="HW76" t="e">
        <f>'Price Calculation'!228:228-"AM:!%Od"</f>
        <v>#VALUE!</v>
      </c>
      <c r="HX76" t="e">
        <f>'Price Calculation'!229:229-"AM:!%Oe"</f>
        <v>#VALUE!</v>
      </c>
      <c r="HY76" t="e">
        <f>'Price Calculation'!230:230-"AM:!%Of"</f>
        <v>#VALUE!</v>
      </c>
      <c r="HZ76" t="e">
        <f>'Price Calculation'!231:231-"AM:!%Og"</f>
        <v>#VALUE!</v>
      </c>
      <c r="IA76" t="e">
        <f>'Price Calculation'!232:232-"AM:!%Oh"</f>
        <v>#VALUE!</v>
      </c>
      <c r="IB76" t="e">
        <f>'Price Calculation'!233:233-"AM:!%Oi"</f>
        <v>#VALUE!</v>
      </c>
      <c r="IC76" t="e">
        <f>'Price Calculation'!234:234-"AM:!%Oj"</f>
        <v>#VALUE!</v>
      </c>
      <c r="ID76" t="e">
        <f>'Price Calculation'!235:235-"AM:!%Ok"</f>
        <v>#VALUE!</v>
      </c>
      <c r="IE76" t="e">
        <f>'Price Calculation'!236:236-"AM:!%Ol"</f>
        <v>#VALUE!</v>
      </c>
      <c r="IF76" t="e">
        <f>'Price Calculation'!237:237-"AM:!%Om"</f>
        <v>#VALUE!</v>
      </c>
      <c r="IG76" t="e">
        <f>'Price Calculation'!238:238-"AM:!%On"</f>
        <v>#VALUE!</v>
      </c>
      <c r="IH76" t="e">
        <f>'Price Calculation'!239:239-"AM:!%Oo"</f>
        <v>#VALUE!</v>
      </c>
      <c r="II76" t="e">
        <f>'Price Calculation'!240:240-"AM:!%Op"</f>
        <v>#VALUE!</v>
      </c>
      <c r="IJ76" t="e">
        <f>'Price Calculation'!241:241-"AM:!%Oq"</f>
        <v>#VALUE!</v>
      </c>
      <c r="IK76" t="e">
        <f>'Price Calculation'!242:242-"AM:!%Or"</f>
        <v>#VALUE!</v>
      </c>
      <c r="IL76" t="e">
        <f>'Price Calculation'!243:243-"AM:!%Os"</f>
        <v>#VALUE!</v>
      </c>
      <c r="IM76" t="e">
        <f>'Price Calculation'!244:244-"AM:!%Ot"</f>
        <v>#VALUE!</v>
      </c>
      <c r="IN76" t="e">
        <f>'Price Calculation'!245:245-"AM:!%Ou"</f>
        <v>#VALUE!</v>
      </c>
      <c r="IO76" t="e">
        <f>'Price Calculation'!246:246-"AM:!%Ov"</f>
        <v>#VALUE!</v>
      </c>
      <c r="IP76" t="e">
        <f>'Price Calculation'!247:247-"AM:!%Ow"</f>
        <v>#VALUE!</v>
      </c>
      <c r="IQ76" t="e">
        <f>'Price Calculation'!248:248-"AM:!%Ox"</f>
        <v>#VALUE!</v>
      </c>
      <c r="IR76" t="e">
        <f>'Price Calculation'!249:249-"AM:!%Oy"</f>
        <v>#VALUE!</v>
      </c>
      <c r="IS76" t="e">
        <f>'Price Calculation'!250:250-"AM:!%Oz"</f>
        <v>#VALUE!</v>
      </c>
      <c r="IT76" t="e">
        <f>'Price Calculation'!251:251-"AM:!%O{"</f>
        <v>#VALUE!</v>
      </c>
      <c r="IU76" t="e">
        <f>'Price Calculation'!252:252-"AM:!%O|"</f>
        <v>#VALUE!</v>
      </c>
      <c r="IV76" t="e">
        <f>'Price Calculation'!253:253-"AM:!%O}"</f>
        <v>#VALUE!</v>
      </c>
    </row>
    <row r="77" spans="6:256">
      <c r="F77" t="e">
        <f>'Price Calculation'!254:254-"AM:!%O~"</f>
        <v>#VALUE!</v>
      </c>
      <c r="G77" t="e">
        <f>'Price Calculation'!255:255-"AM:!%P#"</f>
        <v>#VALUE!</v>
      </c>
      <c r="H77" t="e">
        <f>'Price Calculation'!256:256-"AM:!%P$"</f>
        <v>#VALUE!</v>
      </c>
      <c r="I77" t="e">
        <f>'Price Calculation'!257:257-"AM:!%P%"</f>
        <v>#VALUE!</v>
      </c>
      <c r="J77" t="e">
        <f>'Price Calculation'!258:258-"AM:!%P&amp;"</f>
        <v>#VALUE!</v>
      </c>
      <c r="K77" t="e">
        <f>'Price Calculation'!259:259-"AM:!%P'"</f>
        <v>#VALUE!</v>
      </c>
      <c r="L77" t="e">
        <f>'Price Calculation'!260:260-"AM:!%P("</f>
        <v>#VALUE!</v>
      </c>
      <c r="M77" t="e">
        <f>'Price Calculation'!261:261-"AM:!%P)"</f>
        <v>#VALUE!</v>
      </c>
      <c r="N77" t="e">
        <f>'Price Calculation'!262:262-"AM:!%P."</f>
        <v>#VALUE!</v>
      </c>
      <c r="O77" t="e">
        <f>'Price Calculation'!263:263-"AM:!%P/"</f>
        <v>#VALUE!</v>
      </c>
      <c r="P77" t="e">
        <f>'Price Calculation'!264:264-"AM:!%P0"</f>
        <v>#VALUE!</v>
      </c>
      <c r="Q77" t="e">
        <f>'Price Calculation'!265:265-"AM:!%P1"</f>
        <v>#VALUE!</v>
      </c>
      <c r="R77" t="e">
        <f>'Price Calculation'!266:266-"AM:!%P2"</f>
        <v>#VALUE!</v>
      </c>
      <c r="S77" t="e">
        <f>'Price Calculation'!A1+"AM:!%P3"</f>
        <v>#VALUE!</v>
      </c>
      <c r="T77" t="e">
        <f>'Price Calculation'!B1+"AM:!%P4"</f>
        <v>#VALUE!</v>
      </c>
      <c r="U77" t="e">
        <f>'Price Calculation'!C1+"AM:!%P5"</f>
        <v>#VALUE!</v>
      </c>
      <c r="V77" t="e">
        <f>'Price Calculation'!D1+"AM:!%P6"</f>
        <v>#VALUE!</v>
      </c>
      <c r="W77" t="e">
        <f>'Price Calculation'!E1+"AM:!%P7"</f>
        <v>#VALUE!</v>
      </c>
      <c r="X77" t="e">
        <f>'Price Calculation'!F1+"AM:!%P8"</f>
        <v>#VALUE!</v>
      </c>
      <c r="Y77" t="e">
        <f>'Price Calculation'!G1+"AM:!%P9"</f>
        <v>#VALUE!</v>
      </c>
      <c r="Z77" t="e">
        <f>'Price Calculation'!H1+"AM:!%P:"</f>
        <v>#VALUE!</v>
      </c>
      <c r="AA77" t="e">
        <f>'Price Calculation'!I1+"AM:!%P;"</f>
        <v>#VALUE!</v>
      </c>
      <c r="AB77" t="e">
        <f>'Price Calculation'!J1+"AM:!%P&lt;"</f>
        <v>#VALUE!</v>
      </c>
      <c r="AC77" t="e">
        <f>'Price Calculation'!K1+"AM:!%P="</f>
        <v>#VALUE!</v>
      </c>
      <c r="AD77" t="e">
        <f>'Price Calculation'!L1+"AM:!%P&gt;"</f>
        <v>#VALUE!</v>
      </c>
      <c r="AE77" t="e">
        <f>'Price Calculation'!M1+"AM:!%P?"</f>
        <v>#VALUE!</v>
      </c>
      <c r="AF77" t="e">
        <f>'Price Calculation'!N1+"AM:!%P@"</f>
        <v>#VALUE!</v>
      </c>
      <c r="AG77" t="e">
        <f>'Price Calculation'!O1+"AM:!%PA"</f>
        <v>#VALUE!</v>
      </c>
      <c r="AH77" t="e">
        <f>'Price Calculation'!P1+"AM:!%PB"</f>
        <v>#VALUE!</v>
      </c>
      <c r="AI77" t="e">
        <f>'Price Calculation'!Q1+"AM:!%PC"</f>
        <v>#VALUE!</v>
      </c>
      <c r="AJ77" t="e">
        <f>'Price Calculation'!R1+"AM:!%PD"</f>
        <v>#VALUE!</v>
      </c>
      <c r="AK77" t="e">
        <f>'Price Calculation'!S1+"AM:!%PE"</f>
        <v>#VALUE!</v>
      </c>
      <c r="AL77" t="e">
        <f>'Price Calculation'!T1+"AM:!%PF"</f>
        <v>#VALUE!</v>
      </c>
      <c r="AM77" t="e">
        <f>'Price Calculation'!A2+"AM:!%PG"</f>
        <v>#VALUE!</v>
      </c>
      <c r="AN77" t="e">
        <f>'Price Calculation'!B2+"AM:!%PH"</f>
        <v>#VALUE!</v>
      </c>
      <c r="AO77" t="e">
        <f>'Price Calculation'!C2+"AM:!%PI"</f>
        <v>#VALUE!</v>
      </c>
      <c r="AP77" t="e">
        <f>'Price Calculation'!D2+"AM:!%PJ"</f>
        <v>#VALUE!</v>
      </c>
      <c r="AQ77" t="e">
        <f>'Price Calculation'!E2+"AM:!%PK"</f>
        <v>#VALUE!</v>
      </c>
      <c r="AR77" t="e">
        <f>'Price Calculation'!F2+"AM:!%PL"</f>
        <v>#VALUE!</v>
      </c>
      <c r="AS77" t="e">
        <f>'Price Calculation'!H2+"AM:!%PM"</f>
        <v>#VALUE!</v>
      </c>
      <c r="AT77" t="e">
        <f>'Price Calculation'!I2+"AM:!%PN"</f>
        <v>#VALUE!</v>
      </c>
      <c r="AU77" t="e">
        <f>'Price Calculation'!J2+"AM:!%PO"</f>
        <v>#VALUE!</v>
      </c>
      <c r="AV77" t="e">
        <f>'Price Calculation'!K2+"AM:!%PP"</f>
        <v>#VALUE!</v>
      </c>
      <c r="AW77" t="e">
        <f>'Price Calculation'!L2+"AM:!%PQ"</f>
        <v>#VALUE!</v>
      </c>
      <c r="AX77" t="e">
        <f>'Price Calculation'!M2+"AM:!%PR"</f>
        <v>#VALUE!</v>
      </c>
      <c r="AY77" t="e">
        <f>'Price Calculation'!N2+"AM:!%PS"</f>
        <v>#VALUE!</v>
      </c>
      <c r="AZ77" t="e">
        <f>'Price Calculation'!O2+"AM:!%PT"</f>
        <v>#VALUE!</v>
      </c>
      <c r="BA77" t="e">
        <f>'Price Calculation'!P2+"AM:!%PU"</f>
        <v>#VALUE!</v>
      </c>
      <c r="BB77" t="e">
        <f>'Price Calculation'!Q2+"AM:!%PV"</f>
        <v>#VALUE!</v>
      </c>
      <c r="BC77" t="e">
        <f>'Price Calculation'!R2+"AM:!%PW"</f>
        <v>#VALUE!</v>
      </c>
      <c r="BD77" t="e">
        <f>'Price Calculation'!S2+"AM:!%PX"</f>
        <v>#VALUE!</v>
      </c>
      <c r="BE77" t="e">
        <f>'Price Calculation'!T2+"AM:!%PY"</f>
        <v>#VALUE!</v>
      </c>
      <c r="BF77" t="e">
        <f>'Price Calculation'!A3+"AM:!%PZ"</f>
        <v>#VALUE!</v>
      </c>
      <c r="BG77" t="e">
        <f>'Price Calculation'!B3+"AM:!%P["</f>
        <v>#VALUE!</v>
      </c>
      <c r="BH77" t="e">
        <f>'Price Calculation'!C3+"AM:!%P\"</f>
        <v>#VALUE!</v>
      </c>
      <c r="BI77" t="e">
        <f>'Price Calculation'!D3+"AM:!%P]"</f>
        <v>#VALUE!</v>
      </c>
      <c r="BJ77" t="e">
        <f>'Price Calculation'!E3+"AM:!%P^"</f>
        <v>#VALUE!</v>
      </c>
      <c r="BK77" t="e">
        <f>'Price Calculation'!F3+"AM:!%P_"</f>
        <v>#VALUE!</v>
      </c>
      <c r="BL77" t="e">
        <f>'Price Calculation'!H3+"AM:!%P`"</f>
        <v>#VALUE!</v>
      </c>
      <c r="BM77" t="e">
        <f>'Price Calculation'!I3+"AM:!%Pa"</f>
        <v>#VALUE!</v>
      </c>
      <c r="BN77" t="e">
        <f>'Price Calculation'!J3+"AM:!%Pb"</f>
        <v>#VALUE!</v>
      </c>
      <c r="BO77" t="e">
        <f>'Price Calculation'!K3+"AM:!%Pc"</f>
        <v>#VALUE!</v>
      </c>
      <c r="BP77" t="e">
        <f>'Price Calculation'!L3+"AM:!%Pd"</f>
        <v>#VALUE!</v>
      </c>
      <c r="BQ77" t="e">
        <f>'Price Calculation'!M3+"AM:!%Pe"</f>
        <v>#VALUE!</v>
      </c>
      <c r="BR77" t="e">
        <f>'Price Calculation'!N3+"AM:!%Pf"</f>
        <v>#VALUE!</v>
      </c>
      <c r="BS77" t="e">
        <f>'Price Calculation'!O3+"AM:!%Pg"</f>
        <v>#VALUE!</v>
      </c>
      <c r="BT77" t="e">
        <f>'Price Calculation'!P3+"AM:!%Ph"</f>
        <v>#VALUE!</v>
      </c>
      <c r="BU77" t="e">
        <f>'Price Calculation'!Q3+"AM:!%Pi"</f>
        <v>#VALUE!</v>
      </c>
      <c r="BV77" t="e">
        <f>'Price Calculation'!R3+"AM:!%Pj"</f>
        <v>#VALUE!</v>
      </c>
      <c r="BW77" t="e">
        <f>'Price Calculation'!S3+"AM:!%Pk"</f>
        <v>#VALUE!</v>
      </c>
      <c r="BX77" t="e">
        <f>'Price Calculation'!T3+"AM:!%Pl"</f>
        <v>#VALUE!</v>
      </c>
      <c r="BY77" t="e">
        <f>'Price Calculation'!A4+"AM:!%Pm"</f>
        <v>#VALUE!</v>
      </c>
      <c r="BZ77" t="e">
        <f>'Price Calculation'!B4+"AM:!%Pn"</f>
        <v>#VALUE!</v>
      </c>
      <c r="CA77" t="e">
        <f>'Price Calculation'!C4+"AM:!%Po"</f>
        <v>#VALUE!</v>
      </c>
      <c r="CB77" t="e">
        <f>'Price Calculation'!D4+"AM:!%Pp"</f>
        <v>#VALUE!</v>
      </c>
      <c r="CC77" t="e">
        <f>'Price Calculation'!E4+"AM:!%Pq"</f>
        <v>#VALUE!</v>
      </c>
      <c r="CD77" t="e">
        <f>'Price Calculation'!F4+"AM:!%Pr"</f>
        <v>#VALUE!</v>
      </c>
      <c r="CE77" t="e">
        <f>'Price Calculation'!G4+"AM:!%Ps"</f>
        <v>#VALUE!</v>
      </c>
      <c r="CF77" t="e">
        <f>'Price Calculation'!H4+"AM:!%Pt"</f>
        <v>#VALUE!</v>
      </c>
      <c r="CG77" t="e">
        <f>'Price Calculation'!I4+"AM:!%Pu"</f>
        <v>#VALUE!</v>
      </c>
      <c r="CH77" t="e">
        <f>'Price Calculation'!J4+"AM:!%Pv"</f>
        <v>#VALUE!</v>
      </c>
      <c r="CI77" t="e">
        <f>'Price Calculation'!K4+"AM:!%Pw"</f>
        <v>#VALUE!</v>
      </c>
      <c r="CJ77" t="e">
        <f>'Price Calculation'!L4+"AM:!%Px"</f>
        <v>#VALUE!</v>
      </c>
      <c r="CK77" t="e">
        <f>'Price Calculation'!M4+"AM:!%Py"</f>
        <v>#VALUE!</v>
      </c>
      <c r="CL77" t="e">
        <f>'Price Calculation'!N4+"AM:!%Pz"</f>
        <v>#VALUE!</v>
      </c>
      <c r="CM77" t="e">
        <f>'Price Calculation'!O4+"AM:!%P{"</f>
        <v>#VALUE!</v>
      </c>
      <c r="CN77" t="e">
        <f>'Price Calculation'!P4+"AM:!%P|"</f>
        <v>#VALUE!</v>
      </c>
      <c r="CO77" t="e">
        <f>'Price Calculation'!Q4+"AM:!%P}"</f>
        <v>#VALUE!</v>
      </c>
      <c r="CP77" t="e">
        <f>'Price Calculation'!R4+"AM:!%P~"</f>
        <v>#VALUE!</v>
      </c>
      <c r="CQ77" t="e">
        <f>'Price Calculation'!S4+"AM:!%Q#"</f>
        <v>#VALUE!</v>
      </c>
      <c r="CR77" t="e">
        <f>'Price Calculation'!T4+"AM:!%Q$"</f>
        <v>#VALUE!</v>
      </c>
      <c r="CS77" t="e">
        <f>'Price Calculation'!A5+"AM:!%Q%"</f>
        <v>#VALUE!</v>
      </c>
      <c r="CT77" t="e">
        <f>'Price Calculation'!B5+"AM:!%Q&amp;"</f>
        <v>#VALUE!</v>
      </c>
      <c r="CU77" t="e">
        <f>'Price Calculation'!C5+"AM:!%Q'"</f>
        <v>#VALUE!</v>
      </c>
      <c r="CV77" t="e">
        <f>'Price Calculation'!D5+"AM:!%Q("</f>
        <v>#VALUE!</v>
      </c>
      <c r="CW77" t="e">
        <f>'Price Calculation'!E5+"AM:!%Q)"</f>
        <v>#VALUE!</v>
      </c>
      <c r="CX77" t="e">
        <f>'Price Calculation'!F5+"AM:!%Q."</f>
        <v>#VALUE!</v>
      </c>
      <c r="CY77" t="e">
        <f>'Price Calculation'!G5+"AM:!%Q/"</f>
        <v>#VALUE!</v>
      </c>
      <c r="CZ77" t="e">
        <f>'Price Calculation'!H5+"AM:!%Q0"</f>
        <v>#VALUE!</v>
      </c>
      <c r="DA77" t="e">
        <f>'Price Calculation'!I5+"AM:!%Q1"</f>
        <v>#VALUE!</v>
      </c>
      <c r="DB77" t="e">
        <f>'Price Calculation'!J5+"AM:!%Q2"</f>
        <v>#VALUE!</v>
      </c>
      <c r="DC77" t="e">
        <f>'Price Calculation'!K5+"AM:!%Q3"</f>
        <v>#VALUE!</v>
      </c>
      <c r="DD77" t="e">
        <f>'Price Calculation'!L5+"AM:!%Q4"</f>
        <v>#VALUE!</v>
      </c>
      <c r="DE77" t="e">
        <f>'Price Calculation'!M5+"AM:!%Q5"</f>
        <v>#VALUE!</v>
      </c>
      <c r="DF77" t="e">
        <f>'Price Calculation'!N5+"AM:!%Q6"</f>
        <v>#VALUE!</v>
      </c>
      <c r="DG77" t="e">
        <f>'Price Calculation'!O5+"AM:!%Q7"</f>
        <v>#VALUE!</v>
      </c>
      <c r="DH77" t="e">
        <f>'Price Calculation'!P5+"AM:!%Q8"</f>
        <v>#VALUE!</v>
      </c>
      <c r="DI77" t="e">
        <f>'Price Calculation'!Q5+"AM:!%Q9"</f>
        <v>#VALUE!</v>
      </c>
      <c r="DJ77" t="e">
        <f>'Price Calculation'!R5+"AM:!%Q:"</f>
        <v>#VALUE!</v>
      </c>
      <c r="DK77" t="e">
        <f>'Price Calculation'!S5+"AM:!%Q;"</f>
        <v>#VALUE!</v>
      </c>
      <c r="DL77" t="e">
        <f>'Price Calculation'!T5+"AM:!%Q&lt;"</f>
        <v>#VALUE!</v>
      </c>
      <c r="DM77" t="e">
        <f>'Price Calculation'!A6+"AM:!%Q="</f>
        <v>#VALUE!</v>
      </c>
      <c r="DN77" t="e">
        <f>'Price Calculation'!B6+"AM:!%Q&gt;"</f>
        <v>#VALUE!</v>
      </c>
      <c r="DO77" t="e">
        <f>'Price Calculation'!C6+"AM:!%Q?"</f>
        <v>#VALUE!</v>
      </c>
      <c r="DP77" t="e">
        <f>'Price Calculation'!D6+"AM:!%Q@"</f>
        <v>#VALUE!</v>
      </c>
      <c r="DQ77" t="e">
        <f>'Price Calculation'!E6+"AM:!%QA"</f>
        <v>#VALUE!</v>
      </c>
      <c r="DR77" t="e">
        <f>'Price Calculation'!F6+"AM:!%QB"</f>
        <v>#VALUE!</v>
      </c>
      <c r="DS77" t="e">
        <f>'Price Calculation'!G6+"AM:!%QC"</f>
        <v>#VALUE!</v>
      </c>
      <c r="DT77" t="e">
        <f>'Price Calculation'!H6+"AM:!%QD"</f>
        <v>#VALUE!</v>
      </c>
      <c r="DU77" t="e">
        <f>'Price Calculation'!I6+"AM:!%QE"</f>
        <v>#VALUE!</v>
      </c>
      <c r="DV77" t="e">
        <f>'Price Calculation'!J6+"AM:!%QF"</f>
        <v>#VALUE!</v>
      </c>
      <c r="DW77" t="e">
        <f>'Price Calculation'!K6+"AM:!%QG"</f>
        <v>#VALUE!</v>
      </c>
      <c r="DX77" t="e">
        <f>'Price Calculation'!L6+"AM:!%QH"</f>
        <v>#VALUE!</v>
      </c>
      <c r="DY77" t="e">
        <f>'Price Calculation'!M6+"AM:!%QI"</f>
        <v>#VALUE!</v>
      </c>
      <c r="DZ77" t="e">
        <f>'Price Calculation'!N6+"AM:!%QJ"</f>
        <v>#VALUE!</v>
      </c>
      <c r="EA77" t="e">
        <f>'Price Calculation'!O6+"AM:!%QK"</f>
        <v>#VALUE!</v>
      </c>
      <c r="EB77" t="e">
        <f>'Price Calculation'!P6+"AM:!%QL"</f>
        <v>#VALUE!</v>
      </c>
      <c r="EC77" t="e">
        <f>'Price Calculation'!Q6+"AM:!%QM"</f>
        <v>#VALUE!</v>
      </c>
      <c r="ED77" t="e">
        <f>'Price Calculation'!R6+"AM:!%QN"</f>
        <v>#VALUE!</v>
      </c>
      <c r="EE77" t="e">
        <f>'Price Calculation'!S6+"AM:!%QO"</f>
        <v>#VALUE!</v>
      </c>
      <c r="EF77" t="e">
        <f>'Price Calculation'!T6+"AM:!%QP"</f>
        <v>#VALUE!</v>
      </c>
      <c r="EG77" t="e">
        <f>'Price Calculation'!A7+"AM:!%QQ"</f>
        <v>#VALUE!</v>
      </c>
      <c r="EH77" t="e">
        <f>'Price Calculation'!B7+"AM:!%QR"</f>
        <v>#VALUE!</v>
      </c>
      <c r="EI77" t="e">
        <f>'Price Calculation'!C7+"AM:!%QS"</f>
        <v>#VALUE!</v>
      </c>
      <c r="EJ77" t="e">
        <f>'Price Calculation'!D7+"AM:!%QT"</f>
        <v>#VALUE!</v>
      </c>
      <c r="EK77" t="e">
        <f>'Price Calculation'!E7+"AM:!%QU"</f>
        <v>#VALUE!</v>
      </c>
      <c r="EL77" t="e">
        <f ca="1">'Price Calculation'!F7+"AM:!%QV"</f>
        <v>#VALUE!</v>
      </c>
      <c r="EM77" t="e">
        <f ca="1">'Price Calculation'!G7+"AM:!%QW"</f>
        <v>#VALUE!</v>
      </c>
      <c r="EN77" t="e">
        <f>'Price Calculation'!H7+"AM:!%QX"</f>
        <v>#VALUE!</v>
      </c>
      <c r="EO77" t="e">
        <f ca="1">'Price Calculation'!I7+"AM:!%QY"</f>
        <v>#VALUE!</v>
      </c>
      <c r="EP77" t="e">
        <f>'Price Calculation'!J7+"AM:!%QZ"</f>
        <v>#VALUE!</v>
      </c>
      <c r="EQ77" t="e">
        <f>'Price Calculation'!K7+"AM:!%Q["</f>
        <v>#VALUE!</v>
      </c>
      <c r="ER77" t="e">
        <f>'Price Calculation'!L7+"AM:!%Q\"</f>
        <v>#VALUE!</v>
      </c>
      <c r="ES77" s="97" t="e">
        <f>'Price Calculation'!M7+"AM:!%Q]"</f>
        <v>#VALUE!</v>
      </c>
      <c r="ET77" s="100" t="e">
        <f ca="1">'Price Calculation'!N7+"AM:!%Q^"</f>
        <v>#VALUE!</v>
      </c>
      <c r="EU77" t="e">
        <f>'Price Calculation'!O7+"AM:!%Q_"</f>
        <v>#VALUE!</v>
      </c>
      <c r="EV77" t="e">
        <f>'Price Calculation'!P7+"AM:!%Q`"</f>
        <v>#VALUE!</v>
      </c>
      <c r="EW77" t="e">
        <f>'Price Calculation'!Q7+"AM:!%Qa"</f>
        <v>#VALUE!</v>
      </c>
      <c r="EX77" t="e">
        <f>'Price Calculation'!R7+"AM:!%Qb"</f>
        <v>#VALUE!</v>
      </c>
      <c r="EY77" t="e">
        <f>'Price Calculation'!S7+"AM:!%Qc"</f>
        <v>#VALUE!</v>
      </c>
      <c r="EZ77" t="e">
        <f>'Price Calculation'!T7+"AM:!%Qd"</f>
        <v>#VALUE!</v>
      </c>
      <c r="FA77" t="e">
        <f>'Price Calculation'!A8+"AM:!%Qe"</f>
        <v>#VALUE!</v>
      </c>
      <c r="FB77" t="e">
        <f>'Price Calculation'!B8+"AM:!%Qf"</f>
        <v>#VALUE!</v>
      </c>
      <c r="FC77" t="e">
        <f>'Price Calculation'!C8+"AM:!%Qg"</f>
        <v>#VALUE!</v>
      </c>
      <c r="FD77" t="e">
        <f>'Price Calculation'!D8+"AM:!%Qh"</f>
        <v>#VALUE!</v>
      </c>
      <c r="FE77" t="e">
        <f>'Price Calculation'!E8+"AM:!%Qi"</f>
        <v>#VALUE!</v>
      </c>
      <c r="FF77" t="e">
        <f>'Price Calculation'!F8+"AM:!%Qj"</f>
        <v>#VALUE!</v>
      </c>
      <c r="FG77" t="e">
        <f>'Price Calculation'!G8+"AM:!%Qk"</f>
        <v>#VALUE!</v>
      </c>
      <c r="FH77" t="e">
        <f>'Price Calculation'!H8+"AM:!%Ql"</f>
        <v>#VALUE!</v>
      </c>
      <c r="FI77" t="e">
        <f>'Price Calculation'!I8+"AM:!%Qm"</f>
        <v>#VALUE!</v>
      </c>
      <c r="FJ77" t="e">
        <f>'Price Calculation'!J8+"AM:!%Qn"</f>
        <v>#VALUE!</v>
      </c>
      <c r="FK77" t="e">
        <f>'Price Calculation'!K8+"AM:!%Qo"</f>
        <v>#VALUE!</v>
      </c>
      <c r="FL77" t="e">
        <f>'Price Calculation'!L8+"AM:!%Qp"</f>
        <v>#VALUE!</v>
      </c>
      <c r="FM77" t="e">
        <f ca="1">'Price Calculation'!M8+"AM:!%Qq"</f>
        <v>#VALUE!</v>
      </c>
      <c r="FN77" s="100" t="e">
        <f ca="1">'Price Calculation'!N8+"AM:!%Qr"</f>
        <v>#VALUE!</v>
      </c>
      <c r="FO77" t="e">
        <f>'Price Calculation'!O8+"AM:!%Qs"</f>
        <v>#VALUE!</v>
      </c>
      <c r="FP77" t="e">
        <f>'Price Calculation'!P8+"AM:!%Qt"</f>
        <v>#VALUE!</v>
      </c>
      <c r="FQ77" t="e">
        <f>'Price Calculation'!Q8+"AM:!%Qu"</f>
        <v>#VALUE!</v>
      </c>
      <c r="FR77" t="e">
        <f>'Price Calculation'!R8+"AM:!%Qv"</f>
        <v>#VALUE!</v>
      </c>
      <c r="FS77" t="e">
        <f>'Price Calculation'!S8+"AM:!%Qw"</f>
        <v>#VALUE!</v>
      </c>
      <c r="FT77" t="e">
        <f>'Price Calculation'!T8+"AM:!%Qx"</f>
        <v>#VALUE!</v>
      </c>
      <c r="FU77" t="e">
        <f>'Price Calculation'!A9+"AM:!%Qy"</f>
        <v>#VALUE!</v>
      </c>
      <c r="FV77" t="e">
        <f>'Price Calculation'!B9+"AM:!%Qz"</f>
        <v>#VALUE!</v>
      </c>
      <c r="FW77" t="e">
        <f>'Price Calculation'!C9+"AM:!%Q{"</f>
        <v>#VALUE!</v>
      </c>
      <c r="FX77" t="e">
        <f>'Price Calculation'!D9+"AM:!%Q|"</f>
        <v>#VALUE!</v>
      </c>
      <c r="FY77" t="e">
        <f>'Price Calculation'!E9+"AM:!%Q}"</f>
        <v>#VALUE!</v>
      </c>
      <c r="FZ77" t="e">
        <f>'Price Calculation'!F9+"AM:!%Q~"</f>
        <v>#VALUE!</v>
      </c>
      <c r="GA77" t="e">
        <f>'Price Calculation'!G9+"AM:!%R#"</f>
        <v>#VALUE!</v>
      </c>
      <c r="GB77" t="e">
        <f>'Price Calculation'!H9+"AM:!%R$"</f>
        <v>#VALUE!</v>
      </c>
      <c r="GC77" t="e">
        <f>'Price Calculation'!I9+"AM:!%R%"</f>
        <v>#VALUE!</v>
      </c>
      <c r="GD77" t="e">
        <f>'Price Calculation'!J9+"AM:!%R&amp;"</f>
        <v>#VALUE!</v>
      </c>
      <c r="GE77" t="e">
        <f>'Price Calculation'!K9+"AM:!%R'"</f>
        <v>#VALUE!</v>
      </c>
      <c r="GF77" t="e">
        <f>'Price Calculation'!L9+"AM:!%R("</f>
        <v>#VALUE!</v>
      </c>
      <c r="GG77" t="e">
        <f>'Price Calculation'!M9+"AM:!%R)"</f>
        <v>#VALUE!</v>
      </c>
      <c r="GH77" s="100" t="e">
        <f ca="1">'Price Calculation'!N9+"AM:!%R."</f>
        <v>#VALUE!</v>
      </c>
      <c r="GI77" t="e">
        <f>'Price Calculation'!O9+"AM:!%R/"</f>
        <v>#VALUE!</v>
      </c>
      <c r="GJ77" t="e">
        <f>'Price Calculation'!P9+"AM:!%R0"</f>
        <v>#VALUE!</v>
      </c>
      <c r="GK77" t="e">
        <f>'Price Calculation'!Q9+"AM:!%R1"</f>
        <v>#VALUE!</v>
      </c>
      <c r="GL77" t="e">
        <f>'Price Calculation'!R9+"AM:!%R2"</f>
        <v>#VALUE!</v>
      </c>
      <c r="GM77" t="e">
        <f>'Price Calculation'!S9+"AM:!%R3"</f>
        <v>#VALUE!</v>
      </c>
      <c r="GN77" t="e">
        <f>'Price Calculation'!T9+"AM:!%R4"</f>
        <v>#VALUE!</v>
      </c>
      <c r="GO77" t="e">
        <f>'Price Calculation'!A10+"AM:!%R5"</f>
        <v>#VALUE!</v>
      </c>
      <c r="GP77" t="e">
        <f>'Price Calculation'!B10+"AM:!%R6"</f>
        <v>#VALUE!</v>
      </c>
      <c r="GQ77" t="e">
        <f>'Price Calculation'!C10+"AM:!%R7"</f>
        <v>#VALUE!</v>
      </c>
      <c r="GR77" t="e">
        <f>'Price Calculation'!D10+"AM:!%R8"</f>
        <v>#VALUE!</v>
      </c>
      <c r="GS77" t="e">
        <f>'Price Calculation'!E10+"AM:!%R9"</f>
        <v>#VALUE!</v>
      </c>
      <c r="GT77" t="e">
        <f>'Price Calculation'!F10+"AM:!%R:"</f>
        <v>#VALUE!</v>
      </c>
      <c r="GU77" t="e">
        <f>'Price Calculation'!G10+"AM:!%R;"</f>
        <v>#VALUE!</v>
      </c>
      <c r="GV77" t="e">
        <f>'Price Calculation'!H10+"AM:!%R&lt;"</f>
        <v>#VALUE!</v>
      </c>
      <c r="GW77" t="e">
        <f>'Price Calculation'!I10+"AM:!%R="</f>
        <v>#VALUE!</v>
      </c>
      <c r="GX77" t="e">
        <f>'Price Calculation'!J10+"AM:!%R&gt;"</f>
        <v>#VALUE!</v>
      </c>
      <c r="GY77" t="e">
        <f>'Price Calculation'!K10+"AM:!%R?"</f>
        <v>#VALUE!</v>
      </c>
      <c r="GZ77" t="e">
        <f>'Price Calculation'!L10+"AM:!%R@"</f>
        <v>#VALUE!</v>
      </c>
      <c r="HA77" s="97" t="e">
        <f>'Price Calculation'!M10+"AM:!%RA"</f>
        <v>#VALUE!</v>
      </c>
      <c r="HB77" s="100" t="e">
        <f ca="1">'Price Calculation'!N10+"AM:!%RB"</f>
        <v>#VALUE!</v>
      </c>
      <c r="HC77" t="e">
        <f>'Price Calculation'!O10+"AM:!%RC"</f>
        <v>#VALUE!</v>
      </c>
      <c r="HD77" t="e">
        <f>'Price Calculation'!P10+"AM:!%RD"</f>
        <v>#VALUE!</v>
      </c>
      <c r="HE77" t="e">
        <f>'Price Calculation'!Q10+"AM:!%RE"</f>
        <v>#VALUE!</v>
      </c>
      <c r="HF77" t="e">
        <f>'Price Calculation'!R10+"AM:!%RF"</f>
        <v>#VALUE!</v>
      </c>
      <c r="HG77" t="e">
        <f>'Price Calculation'!S10+"AM:!%RG"</f>
        <v>#VALUE!</v>
      </c>
      <c r="HH77" t="e">
        <f>'Price Calculation'!T10+"AM:!%RH"</f>
        <v>#VALUE!</v>
      </c>
      <c r="HI77" t="e">
        <f>'Price Calculation'!A11+"AM:!%RI"</f>
        <v>#VALUE!</v>
      </c>
      <c r="HJ77" t="e">
        <f>'Price Calculation'!B11+"AM:!%RJ"</f>
        <v>#VALUE!</v>
      </c>
      <c r="HK77" t="e">
        <f>'Price Calculation'!C11+"AM:!%RK"</f>
        <v>#VALUE!</v>
      </c>
      <c r="HL77" t="e">
        <f>'Price Calculation'!D11+"AM:!%RL"</f>
        <v>#VALUE!</v>
      </c>
      <c r="HM77" t="e">
        <f>'Price Calculation'!E11+"AM:!%RM"</f>
        <v>#VALUE!</v>
      </c>
      <c r="HN77" t="e">
        <f>'Price Calculation'!F11+"AM:!%RN"</f>
        <v>#VALUE!</v>
      </c>
      <c r="HO77" t="e">
        <f>'Price Calculation'!G11+"AM:!%RO"</f>
        <v>#VALUE!</v>
      </c>
      <c r="HP77" t="e">
        <f>'Price Calculation'!H11+"AM:!%RP"</f>
        <v>#VALUE!</v>
      </c>
      <c r="HQ77" t="e">
        <f>'Price Calculation'!I11+"AM:!%RQ"</f>
        <v>#VALUE!</v>
      </c>
      <c r="HR77" t="e">
        <f>'Price Calculation'!J11+"AM:!%RR"</f>
        <v>#VALUE!</v>
      </c>
      <c r="HS77" t="e">
        <f>'Price Calculation'!K11+"AM:!%RS"</f>
        <v>#VALUE!</v>
      </c>
      <c r="HT77" t="e">
        <f>'Price Calculation'!L11+"AM:!%RT"</f>
        <v>#VALUE!</v>
      </c>
      <c r="HU77" s="97" t="e">
        <f>'Price Calculation'!M11+"AM:!%RU"</f>
        <v>#VALUE!</v>
      </c>
      <c r="HV77" s="100" t="e">
        <f ca="1">'Price Calculation'!N11+"AM:!%RV"</f>
        <v>#VALUE!</v>
      </c>
      <c r="HW77" t="e">
        <f>'Price Calculation'!O11+"AM:!%RW"</f>
        <v>#VALUE!</v>
      </c>
      <c r="HX77" t="e">
        <f>'Price Calculation'!P11+"AM:!%RX"</f>
        <v>#VALUE!</v>
      </c>
      <c r="HY77" t="e">
        <f>'Price Calculation'!Q11+"AM:!%RY"</f>
        <v>#VALUE!</v>
      </c>
      <c r="HZ77" t="e">
        <f>'Price Calculation'!R11+"AM:!%RZ"</f>
        <v>#VALUE!</v>
      </c>
      <c r="IA77" t="e">
        <f>'Price Calculation'!S11+"AM:!%R["</f>
        <v>#VALUE!</v>
      </c>
      <c r="IB77" t="e">
        <f>'Price Calculation'!T11+"AM:!%R\"</f>
        <v>#VALUE!</v>
      </c>
      <c r="IC77" t="e">
        <f>'Price Calculation'!A12+"AM:!%R]"</f>
        <v>#VALUE!</v>
      </c>
      <c r="ID77" t="e">
        <f>'Price Calculation'!B12+"AM:!%R^"</f>
        <v>#VALUE!</v>
      </c>
      <c r="IE77" t="e">
        <f>'Price Calculation'!C12+"AM:!%R_"</f>
        <v>#VALUE!</v>
      </c>
      <c r="IF77" t="e">
        <f>'Price Calculation'!D12+"AM:!%R`"</f>
        <v>#VALUE!</v>
      </c>
      <c r="IG77" t="e">
        <f>'Price Calculation'!E12+"AM:!%Ra"</f>
        <v>#VALUE!</v>
      </c>
      <c r="IH77" t="e">
        <f>'Price Calculation'!F12+"AM:!%Rb"</f>
        <v>#VALUE!</v>
      </c>
      <c r="II77" t="e">
        <f>'Price Calculation'!G12+"AM:!%Rc"</f>
        <v>#VALUE!</v>
      </c>
      <c r="IJ77" t="e">
        <f>'Price Calculation'!H12+"AM:!%Rd"</f>
        <v>#VALUE!</v>
      </c>
      <c r="IK77" t="e">
        <f>'Price Calculation'!I12+"AM:!%Re"</f>
        <v>#VALUE!</v>
      </c>
      <c r="IL77" t="e">
        <f>'Price Calculation'!J12+"AM:!%Rf"</f>
        <v>#VALUE!</v>
      </c>
      <c r="IM77" t="e">
        <f>'Price Calculation'!K12+"AM:!%Rg"</f>
        <v>#VALUE!</v>
      </c>
      <c r="IN77" t="e">
        <f>'Price Calculation'!L12+"AM:!%Rh"</f>
        <v>#VALUE!</v>
      </c>
      <c r="IO77" s="97" t="e">
        <f>'Price Calculation'!M12+"AM:!%Ri"</f>
        <v>#VALUE!</v>
      </c>
      <c r="IP77" s="100" t="e">
        <f ca="1">'Price Calculation'!N12+"AM:!%Rj"</f>
        <v>#VALUE!</v>
      </c>
      <c r="IQ77" t="e">
        <f>'Price Calculation'!O12+"AM:!%Rk"</f>
        <v>#VALUE!</v>
      </c>
      <c r="IR77" t="e">
        <f>'Price Calculation'!P12+"AM:!%Rl"</f>
        <v>#VALUE!</v>
      </c>
      <c r="IS77" t="e">
        <f>'Price Calculation'!Q12+"AM:!%Rm"</f>
        <v>#VALUE!</v>
      </c>
      <c r="IT77" t="e">
        <f>'Price Calculation'!R12+"AM:!%Rn"</f>
        <v>#VALUE!</v>
      </c>
      <c r="IU77" t="e">
        <f>'Price Calculation'!S12+"AM:!%Ro"</f>
        <v>#VALUE!</v>
      </c>
      <c r="IV77" t="e">
        <f>'Price Calculation'!T12+"AM:!%Rp"</f>
        <v>#VALUE!</v>
      </c>
    </row>
    <row r="78" spans="6:256">
      <c r="F78" t="e">
        <f>'Price Calculation'!A13+"AM:!%Rq"</f>
        <v>#VALUE!</v>
      </c>
      <c r="G78" t="e">
        <f>'Price Calculation'!B13+"AM:!%Rr"</f>
        <v>#VALUE!</v>
      </c>
      <c r="H78" t="e">
        <f>'Price Calculation'!C13+"AM:!%Rs"</f>
        <v>#VALUE!</v>
      </c>
      <c r="I78" t="e">
        <f>'Price Calculation'!D13+"AM:!%Rt"</f>
        <v>#VALUE!</v>
      </c>
      <c r="J78" t="e">
        <f>'Price Calculation'!E13+"AM:!%Ru"</f>
        <v>#VALUE!</v>
      </c>
      <c r="K78" t="e">
        <f>'Price Calculation'!F13+"AM:!%Rv"</f>
        <v>#VALUE!</v>
      </c>
      <c r="L78" t="e">
        <f>'Price Calculation'!G13+"AM:!%Rw"</f>
        <v>#VALUE!</v>
      </c>
      <c r="M78" t="e">
        <f>'Price Calculation'!H13+"AM:!%Rx"</f>
        <v>#VALUE!</v>
      </c>
      <c r="N78" t="e">
        <f>'Price Calculation'!I13+"AM:!%Ry"</f>
        <v>#VALUE!</v>
      </c>
      <c r="O78" t="e">
        <f>'Price Calculation'!J13+"AM:!%Rz"</f>
        <v>#VALUE!</v>
      </c>
      <c r="P78" t="e">
        <f>'Price Calculation'!K13+"AM:!%R{"</f>
        <v>#VALUE!</v>
      </c>
      <c r="Q78" t="e">
        <f>'Price Calculation'!L13+"AM:!%R|"</f>
        <v>#VALUE!</v>
      </c>
      <c r="R78" s="97" t="e">
        <f>'Price Calculation'!M13+"AM:!%R}"</f>
        <v>#VALUE!</v>
      </c>
      <c r="S78" s="100" t="e">
        <f ca="1">'Price Calculation'!N13+"AM:!%R~"</f>
        <v>#VALUE!</v>
      </c>
      <c r="T78" t="e">
        <f>'Price Calculation'!O13+"AM:!%S#"</f>
        <v>#VALUE!</v>
      </c>
      <c r="U78" t="e">
        <f>'Price Calculation'!P13+"AM:!%S$"</f>
        <v>#VALUE!</v>
      </c>
      <c r="V78" t="e">
        <f>'Price Calculation'!Q13+"AM:!%S%"</f>
        <v>#VALUE!</v>
      </c>
      <c r="W78" t="e">
        <f>'Price Calculation'!R13+"AM:!%S&amp;"</f>
        <v>#VALUE!</v>
      </c>
      <c r="X78" t="e">
        <f>'Price Calculation'!S13+"AM:!%S'"</f>
        <v>#VALUE!</v>
      </c>
      <c r="Y78" t="e">
        <f>'Price Calculation'!T13+"AM:!%S("</f>
        <v>#VALUE!</v>
      </c>
      <c r="Z78" t="e">
        <f>'Price Calculation'!A14+"AM:!%S)"</f>
        <v>#VALUE!</v>
      </c>
      <c r="AA78" t="e">
        <f>'Price Calculation'!B14+"AM:!%S."</f>
        <v>#VALUE!</v>
      </c>
      <c r="AB78" t="e">
        <f>'Price Calculation'!C14+"AM:!%S/"</f>
        <v>#VALUE!</v>
      </c>
      <c r="AC78" t="e">
        <f>'Price Calculation'!D14+"AM:!%S0"</f>
        <v>#VALUE!</v>
      </c>
      <c r="AD78" t="e">
        <f>'Price Calculation'!E14+"AM:!%S1"</f>
        <v>#VALUE!</v>
      </c>
      <c r="AE78" t="e">
        <f>'Price Calculation'!F14+"AM:!%S2"</f>
        <v>#VALUE!</v>
      </c>
      <c r="AF78" t="e">
        <f>'Price Calculation'!G14+"AM:!%S3"</f>
        <v>#VALUE!</v>
      </c>
      <c r="AG78" t="e">
        <f>'Price Calculation'!H14+"AM:!%S4"</f>
        <v>#VALUE!</v>
      </c>
      <c r="AH78" t="e">
        <f>'Price Calculation'!I14+"AM:!%S5"</f>
        <v>#VALUE!</v>
      </c>
      <c r="AI78" t="e">
        <f>'Price Calculation'!J14+"AM:!%S6"</f>
        <v>#VALUE!</v>
      </c>
      <c r="AJ78" t="e">
        <f>'Price Calculation'!K14+"AM:!%S7"</f>
        <v>#VALUE!</v>
      </c>
      <c r="AK78" t="e">
        <f>'Price Calculation'!L14+"AM:!%S8"</f>
        <v>#VALUE!</v>
      </c>
      <c r="AL78" t="e">
        <f ca="1">'Price Calculation'!M14+"AM:!%S9"</f>
        <v>#VALUE!</v>
      </c>
      <c r="AM78" s="100" t="e">
        <f ca="1">'Price Calculation'!N14+"AM:!%S:"</f>
        <v>#VALUE!</v>
      </c>
      <c r="AN78" t="e">
        <f>'Price Calculation'!O14+"AM:!%S;"</f>
        <v>#VALUE!</v>
      </c>
      <c r="AO78" t="e">
        <f>'Price Calculation'!P14+"AM:!%S&lt;"</f>
        <v>#VALUE!</v>
      </c>
      <c r="AP78" t="e">
        <f>'Price Calculation'!Q14+"AM:!%S="</f>
        <v>#VALUE!</v>
      </c>
      <c r="AQ78" t="e">
        <f>'Price Calculation'!R14+"AM:!%S&gt;"</f>
        <v>#VALUE!</v>
      </c>
      <c r="AR78" t="e">
        <f>'Price Calculation'!S14+"AM:!%S?"</f>
        <v>#VALUE!</v>
      </c>
      <c r="AS78" t="e">
        <f>'Price Calculation'!T14+"AM:!%S@"</f>
        <v>#VALUE!</v>
      </c>
      <c r="AT78" t="e">
        <f>'Price Calculation'!A15+"AM:!%SA"</f>
        <v>#VALUE!</v>
      </c>
      <c r="AU78" t="e">
        <f>'Price Calculation'!B15+"AM:!%SB"</f>
        <v>#VALUE!</v>
      </c>
      <c r="AV78" t="e">
        <f>'Price Calculation'!C15+"AM:!%SC"</f>
        <v>#VALUE!</v>
      </c>
      <c r="AW78" t="e">
        <f>'Price Calculation'!D15+"AM:!%SD"</f>
        <v>#VALUE!</v>
      </c>
      <c r="AX78" t="e">
        <f>'Price Calculation'!E15+"AM:!%SE"</f>
        <v>#VALUE!</v>
      </c>
      <c r="AY78" t="e">
        <f>'Price Calculation'!F15+"AM:!%SF"</f>
        <v>#VALUE!</v>
      </c>
      <c r="AZ78" t="e">
        <f>'Price Calculation'!G15+"AM:!%SG"</f>
        <v>#VALUE!</v>
      </c>
      <c r="BA78" t="e">
        <f>'Price Calculation'!H15+"AM:!%SH"</f>
        <v>#VALUE!</v>
      </c>
      <c r="BB78" t="e">
        <f>'Price Calculation'!I15+"AM:!%SI"</f>
        <v>#VALUE!</v>
      </c>
      <c r="BC78" t="e">
        <f>'Price Calculation'!J15+"AM:!%SJ"</f>
        <v>#VALUE!</v>
      </c>
      <c r="BD78" t="e">
        <f>'Price Calculation'!K15+"AM:!%SK"</f>
        <v>#VALUE!</v>
      </c>
      <c r="BE78" t="e">
        <f>'Price Calculation'!L15+"AM:!%SL"</f>
        <v>#VALUE!</v>
      </c>
      <c r="BF78" t="e">
        <f>'Price Calculation'!M15+"AM:!%SM"</f>
        <v>#VALUE!</v>
      </c>
      <c r="BG78" t="e">
        <f>'Price Calculation'!N15+"AM:!%SN"</f>
        <v>#VALUE!</v>
      </c>
      <c r="BH78" t="e">
        <f>'Price Calculation'!O15+"AM:!%SO"</f>
        <v>#VALUE!</v>
      </c>
      <c r="BI78" t="e">
        <f>'Price Calculation'!P15+"AM:!%SP"</f>
        <v>#VALUE!</v>
      </c>
      <c r="BJ78" t="e">
        <f>'Price Calculation'!Q15+"AM:!%SQ"</f>
        <v>#VALUE!</v>
      </c>
      <c r="BK78" t="e">
        <f>'Price Calculation'!R15+"AM:!%SR"</f>
        <v>#VALUE!</v>
      </c>
      <c r="BL78" t="e">
        <f>'Price Calculation'!S15+"AM:!%SS"</f>
        <v>#VALUE!</v>
      </c>
      <c r="BM78" t="e">
        <f>'Price Calculation'!T15+"AM:!%ST"</f>
        <v>#VALUE!</v>
      </c>
      <c r="BN78" t="e">
        <f>'Price Calculation'!A16+"AM:!%SU"</f>
        <v>#VALUE!</v>
      </c>
      <c r="BO78" t="e">
        <f>'Price Calculation'!B16+"AM:!%SV"</f>
        <v>#VALUE!</v>
      </c>
      <c r="BP78" t="e">
        <f>'Price Calculation'!C16+"AM:!%SW"</f>
        <v>#VALUE!</v>
      </c>
      <c r="BQ78" t="e">
        <f>'Price Calculation'!D16+"AM:!%SX"</f>
        <v>#VALUE!</v>
      </c>
      <c r="BR78" t="e">
        <f>'Price Calculation'!E16+"AM:!%SY"</f>
        <v>#VALUE!</v>
      </c>
      <c r="BS78" t="e">
        <f>'Price Calculation'!F16+"AM:!%SZ"</f>
        <v>#VALUE!</v>
      </c>
      <c r="BT78" t="e">
        <f>'Price Calculation'!G16+"AM:!%S["</f>
        <v>#VALUE!</v>
      </c>
      <c r="BU78" t="e">
        <f>'Price Calculation'!H16+"AM:!%S\"</f>
        <v>#VALUE!</v>
      </c>
      <c r="BV78" t="e">
        <f>'Price Calculation'!I16+"AM:!%S]"</f>
        <v>#VALUE!</v>
      </c>
      <c r="BW78" t="e">
        <f>'Price Calculation'!J16+"AM:!%S^"</f>
        <v>#VALUE!</v>
      </c>
      <c r="BX78" t="e">
        <f>'Price Calculation'!K16+"AM:!%S_"</f>
        <v>#VALUE!</v>
      </c>
      <c r="BY78" t="e">
        <f>'Price Calculation'!L16+"AM:!%S`"</f>
        <v>#VALUE!</v>
      </c>
      <c r="BZ78" t="e">
        <f>'Price Calculation'!M16+"AM:!%Sa"</f>
        <v>#VALUE!</v>
      </c>
      <c r="CA78" t="e">
        <f>'Price Calculation'!N16+"AM:!%Sb"</f>
        <v>#VALUE!</v>
      </c>
      <c r="CB78" t="e">
        <f>'Price Calculation'!O16+"AM:!%Sc"</f>
        <v>#VALUE!</v>
      </c>
      <c r="CC78" t="e">
        <f>'Price Calculation'!P16+"AM:!%Sd"</f>
        <v>#VALUE!</v>
      </c>
      <c r="CD78" t="e">
        <f>'Price Calculation'!Q16+"AM:!%Se"</f>
        <v>#VALUE!</v>
      </c>
      <c r="CE78" t="e">
        <f>'Price Calculation'!R16+"AM:!%Sf"</f>
        <v>#VALUE!</v>
      </c>
      <c r="CF78" t="e">
        <f>'Price Calculation'!S16+"AM:!%Sg"</f>
        <v>#VALUE!</v>
      </c>
      <c r="CG78" t="e">
        <f>'Price Calculation'!T16+"AM:!%Sh"</f>
        <v>#VALUE!</v>
      </c>
      <c r="CH78" t="e">
        <f>'Price Calculation'!A17+"AM:!%Si"</f>
        <v>#VALUE!</v>
      </c>
      <c r="CI78" t="e">
        <f>'Price Calculation'!B17+"AM:!%Sj"</f>
        <v>#VALUE!</v>
      </c>
      <c r="CJ78" t="e">
        <f>'Price Calculation'!C17+"AM:!%Sk"</f>
        <v>#VALUE!</v>
      </c>
      <c r="CK78" t="e">
        <f>'Price Calculation'!D17+"AM:!%Sl"</f>
        <v>#VALUE!</v>
      </c>
      <c r="CL78" t="e">
        <f>'Price Calculation'!E17+"AM:!%Sm"</f>
        <v>#VALUE!</v>
      </c>
      <c r="CM78" t="e">
        <f>'Price Calculation'!F17+"AM:!%Sn"</f>
        <v>#VALUE!</v>
      </c>
      <c r="CN78" t="e">
        <f>'Price Calculation'!G17+"AM:!%So"</f>
        <v>#VALUE!</v>
      </c>
      <c r="CO78" t="e">
        <f>'Price Calculation'!H17+"AM:!%Sp"</f>
        <v>#VALUE!</v>
      </c>
      <c r="CP78" t="e">
        <f>'Price Calculation'!I17+"AM:!%Sq"</f>
        <v>#VALUE!</v>
      </c>
      <c r="CQ78" t="e">
        <f>'Price Calculation'!J17+"AM:!%Sr"</f>
        <v>#VALUE!</v>
      </c>
      <c r="CR78" t="e">
        <f>'Price Calculation'!K17+"AM:!%Ss"</f>
        <v>#VALUE!</v>
      </c>
      <c r="CS78" t="e">
        <f>'Price Calculation'!L17+"AM:!%St"</f>
        <v>#VALUE!</v>
      </c>
      <c r="CT78" t="e">
        <f>'Price Calculation'!M17+"AM:!%Su"</f>
        <v>#VALUE!</v>
      </c>
      <c r="CU78" t="e">
        <f>'Price Calculation'!N17+"AM:!%Sv"</f>
        <v>#VALUE!</v>
      </c>
      <c r="CV78" t="e">
        <f>'Price Calculation'!O17+"AM:!%Sw"</f>
        <v>#VALUE!</v>
      </c>
      <c r="CW78" t="e">
        <f>'Price Calculation'!P17+"AM:!%Sx"</f>
        <v>#VALUE!</v>
      </c>
      <c r="CX78" t="e">
        <f>'Price Calculation'!Q17+"AM:!%Sy"</f>
        <v>#VALUE!</v>
      </c>
      <c r="CY78" t="e">
        <f>'Price Calculation'!R17+"AM:!%Sz"</f>
        <v>#VALUE!</v>
      </c>
      <c r="CZ78" t="e">
        <f>'Price Calculation'!S17+"AM:!%S{"</f>
        <v>#VALUE!</v>
      </c>
      <c r="DA78" t="e">
        <f>'Price Calculation'!T17+"AM:!%S|"</f>
        <v>#VALUE!</v>
      </c>
      <c r="DB78" t="e">
        <f>'Price Calculation'!A18+"AM:!%S}"</f>
        <v>#VALUE!</v>
      </c>
      <c r="DC78" t="e">
        <f>'Price Calculation'!B18+"AM:!%S~"</f>
        <v>#VALUE!</v>
      </c>
      <c r="DD78" t="e">
        <f>'Price Calculation'!C18+"AM:!%T#"</f>
        <v>#VALUE!</v>
      </c>
      <c r="DE78" t="e">
        <f>'Price Calculation'!D18+"AM:!%T$"</f>
        <v>#VALUE!</v>
      </c>
      <c r="DF78" t="e">
        <f>'Price Calculation'!E18+"AM:!%T%"</f>
        <v>#VALUE!</v>
      </c>
      <c r="DG78" t="e">
        <f>'Price Calculation'!F18+"AM:!%T&amp;"</f>
        <v>#VALUE!</v>
      </c>
      <c r="DH78" t="e">
        <f>'Price Calculation'!G18+"AM:!%T'"</f>
        <v>#VALUE!</v>
      </c>
      <c r="DI78" t="e">
        <f>'Price Calculation'!H18+"AM:!%T("</f>
        <v>#VALUE!</v>
      </c>
      <c r="DJ78" t="e">
        <f>'Price Calculation'!I18+"AM:!%T)"</f>
        <v>#VALUE!</v>
      </c>
      <c r="DK78" t="e">
        <f>'Price Calculation'!J18+"AM:!%T."</f>
        <v>#VALUE!</v>
      </c>
      <c r="DL78" t="e">
        <f>'Price Calculation'!K18+"AM:!%T/"</f>
        <v>#VALUE!</v>
      </c>
      <c r="DM78" t="e">
        <f>'Price Calculation'!L18+"AM:!%T0"</f>
        <v>#VALUE!</v>
      </c>
      <c r="DN78" t="e">
        <f>'Price Calculation'!M18+"AM:!%T1"</f>
        <v>#VALUE!</v>
      </c>
      <c r="DO78" t="e">
        <f>'Price Calculation'!N18+"AM:!%T2"</f>
        <v>#VALUE!</v>
      </c>
      <c r="DP78" t="e">
        <f>'Price Calculation'!O18+"AM:!%T3"</f>
        <v>#VALUE!</v>
      </c>
      <c r="DQ78" t="e">
        <f>'Price Calculation'!P18+"AM:!%T4"</f>
        <v>#VALUE!</v>
      </c>
      <c r="DR78" t="e">
        <f>'Price Calculation'!Q18+"AM:!%T5"</f>
        <v>#VALUE!</v>
      </c>
      <c r="DS78" t="e">
        <f>'Price Calculation'!R18+"AM:!%T6"</f>
        <v>#VALUE!</v>
      </c>
      <c r="DT78" t="e">
        <f>'Price Calculation'!S18+"AM:!%T7"</f>
        <v>#VALUE!</v>
      </c>
      <c r="DU78" t="e">
        <f>'Price Calculation'!T18+"AM:!%T8"</f>
        <v>#VALUE!</v>
      </c>
      <c r="DV78" t="e">
        <f>'Price Calculation'!A19+"AM:!%T9"</f>
        <v>#VALUE!</v>
      </c>
      <c r="DW78" t="e">
        <f>'Price Calculation'!B19+"AM:!%T:"</f>
        <v>#VALUE!</v>
      </c>
      <c r="DX78" t="e">
        <f>'Price Calculation'!C19+"AM:!%T;"</f>
        <v>#VALUE!</v>
      </c>
      <c r="DY78" t="e">
        <f>'Price Calculation'!D19+"AM:!%T&lt;"</f>
        <v>#VALUE!</v>
      </c>
      <c r="DZ78" t="e">
        <f>'Price Calculation'!E19+"AM:!%T="</f>
        <v>#VALUE!</v>
      </c>
      <c r="EA78" t="e">
        <f>'Price Calculation'!F19+"AM:!%T&gt;"</f>
        <v>#VALUE!</v>
      </c>
      <c r="EB78" t="e">
        <f>'Price Calculation'!G19+"AM:!%T?"</f>
        <v>#VALUE!</v>
      </c>
      <c r="EC78" t="e">
        <f>'Price Calculation'!H19+"AM:!%T@"</f>
        <v>#VALUE!</v>
      </c>
      <c r="ED78" t="e">
        <f>'Price Calculation'!I19+"AM:!%TA"</f>
        <v>#VALUE!</v>
      </c>
      <c r="EE78" t="e">
        <f>'Price Calculation'!J19+"AM:!%TB"</f>
        <v>#VALUE!</v>
      </c>
      <c r="EF78" t="e">
        <f>'Price Calculation'!K19+"AM:!%TC"</f>
        <v>#VALUE!</v>
      </c>
      <c r="EG78" t="e">
        <f>'Price Calculation'!L19+"AM:!%TD"</f>
        <v>#VALUE!</v>
      </c>
      <c r="EH78" s="97" t="e">
        <f>'Price Calculation'!M19+"AM:!%TE"</f>
        <v>#VALUE!</v>
      </c>
      <c r="EI78" s="100" t="e">
        <f>'Price Calculation'!N19+"AM:!%TF"</f>
        <v>#VALUE!</v>
      </c>
      <c r="EJ78" t="e">
        <f>'Price Calculation'!O19+"AM:!%TG"</f>
        <v>#VALUE!</v>
      </c>
      <c r="EK78" t="e">
        <f>'Price Calculation'!P19+"AM:!%TH"</f>
        <v>#VALUE!</v>
      </c>
      <c r="EL78" t="e">
        <f>'Price Calculation'!Q19+"AM:!%TI"</f>
        <v>#VALUE!</v>
      </c>
      <c r="EM78" t="e">
        <f>'Price Calculation'!R19+"AM:!%TJ"</f>
        <v>#VALUE!</v>
      </c>
      <c r="EN78" t="e">
        <f>'Price Calculation'!S19+"AM:!%TK"</f>
        <v>#VALUE!</v>
      </c>
      <c r="EO78" t="e">
        <f>'Price Calculation'!T19+"AM:!%TL"</f>
        <v>#VALUE!</v>
      </c>
      <c r="EP78" t="e">
        <f>'Price Calculation'!A20+"AM:!%TM"</f>
        <v>#VALUE!</v>
      </c>
      <c r="EQ78" t="e">
        <f>'Price Calculation'!B20+"AM:!%TN"</f>
        <v>#VALUE!</v>
      </c>
      <c r="ER78" t="e">
        <f>'Price Calculation'!C20+"AM:!%TO"</f>
        <v>#VALUE!</v>
      </c>
      <c r="ES78" t="e">
        <f>'Price Calculation'!D20+"AM:!%TP"</f>
        <v>#VALUE!</v>
      </c>
      <c r="ET78" t="e">
        <f>'Price Calculation'!E20+"AM:!%TQ"</f>
        <v>#VALUE!</v>
      </c>
      <c r="EU78" t="e">
        <f>'Price Calculation'!F20+"AM:!%TR"</f>
        <v>#VALUE!</v>
      </c>
      <c r="EV78" t="e">
        <f>'Price Calculation'!G20+"AM:!%TS"</f>
        <v>#VALUE!</v>
      </c>
      <c r="EW78" t="e">
        <f>'Price Calculation'!H20+"AM:!%TT"</f>
        <v>#VALUE!</v>
      </c>
      <c r="EX78" t="e">
        <f>'Price Calculation'!I20+"AM:!%TU"</f>
        <v>#VALUE!</v>
      </c>
      <c r="EY78" t="e">
        <f>'Price Calculation'!J20+"AM:!%TV"</f>
        <v>#VALUE!</v>
      </c>
      <c r="EZ78" t="e">
        <f>'Price Calculation'!K20+"AM:!%TW"</f>
        <v>#VALUE!</v>
      </c>
      <c r="FA78" t="e">
        <f>'Price Calculation'!L20+"AM:!%TX"</f>
        <v>#VALUE!</v>
      </c>
      <c r="FB78" t="e">
        <f>'Price Calculation'!M20+"AM:!%TY"</f>
        <v>#VALUE!</v>
      </c>
      <c r="FC78" t="e">
        <f>'Price Calculation'!N20+"AM:!%TZ"</f>
        <v>#VALUE!</v>
      </c>
      <c r="FD78" t="e">
        <f>'Price Calculation'!O20+"AM:!%T["</f>
        <v>#VALUE!</v>
      </c>
      <c r="FE78" t="e">
        <f>'Price Calculation'!P20+"AM:!%T\"</f>
        <v>#VALUE!</v>
      </c>
      <c r="FF78" t="e">
        <f>'Price Calculation'!Q20+"AM:!%T]"</f>
        <v>#VALUE!</v>
      </c>
      <c r="FG78" t="e">
        <f>'Price Calculation'!R20+"AM:!%T^"</f>
        <v>#VALUE!</v>
      </c>
      <c r="FH78" t="e">
        <f>'Price Calculation'!S20+"AM:!%T_"</f>
        <v>#VALUE!</v>
      </c>
      <c r="FI78" t="e">
        <f>'Price Calculation'!T20+"AM:!%T`"</f>
        <v>#VALUE!</v>
      </c>
      <c r="FJ78" t="e">
        <f>'Price Calculation'!A21+"AM:!%Ta"</f>
        <v>#VALUE!</v>
      </c>
      <c r="FK78" t="e">
        <f>'Price Calculation'!B21+"AM:!%Tb"</f>
        <v>#VALUE!</v>
      </c>
      <c r="FL78" t="e">
        <f>'Price Calculation'!C21+"AM:!%Tc"</f>
        <v>#VALUE!</v>
      </c>
      <c r="FM78" t="e">
        <f>'Price Calculation'!D21+"AM:!%Td"</f>
        <v>#VALUE!</v>
      </c>
      <c r="FN78" t="e">
        <f>'Price Calculation'!E21+"AM:!%Te"</f>
        <v>#VALUE!</v>
      </c>
      <c r="FO78" t="e">
        <f>'Price Calculation'!F21+"AM:!%Tf"</f>
        <v>#VALUE!</v>
      </c>
      <c r="FP78" t="e">
        <f>'Price Calculation'!G21+"AM:!%Tg"</f>
        <v>#VALUE!</v>
      </c>
      <c r="FQ78" t="e">
        <f>'Price Calculation'!H21+"AM:!%Th"</f>
        <v>#VALUE!</v>
      </c>
      <c r="FR78" t="e">
        <f>'Price Calculation'!I21+"AM:!%Ti"</f>
        <v>#VALUE!</v>
      </c>
      <c r="FS78" t="e">
        <f>'Price Calculation'!J21+"AM:!%Tj"</f>
        <v>#VALUE!</v>
      </c>
      <c r="FT78" t="e">
        <f>'Price Calculation'!K21+"AM:!%Tk"</f>
        <v>#VALUE!</v>
      </c>
      <c r="FU78" t="e">
        <f>'Price Calculation'!L21+"AM:!%Tl"</f>
        <v>#VALUE!</v>
      </c>
      <c r="FV78" s="97" t="e">
        <f ca="1">'Price Calculation'!M21+"AM:!%Tm"</f>
        <v>#VALUE!</v>
      </c>
      <c r="FW78" s="97" t="e">
        <f>'Price Calculation'!N21+"AM:!%Tn"</f>
        <v>#VALUE!</v>
      </c>
      <c r="FX78" s="97" t="e">
        <f>'Price Calculation'!O21+"AM:!%To"</f>
        <v>#VALUE!</v>
      </c>
      <c r="FY78" t="e">
        <f>'Price Calculation'!P21+"AM:!%Tp"</f>
        <v>#VALUE!</v>
      </c>
      <c r="FZ78" t="e">
        <f>'Price Calculation'!Q21+"AM:!%Tq"</f>
        <v>#VALUE!</v>
      </c>
      <c r="GA78" t="e">
        <f>'Price Calculation'!R21+"AM:!%Tr"</f>
        <v>#VALUE!</v>
      </c>
      <c r="GB78" t="e">
        <f>'Price Calculation'!S21+"AM:!%Ts"</f>
        <v>#VALUE!</v>
      </c>
      <c r="GC78" t="e">
        <f>'Price Calculation'!T21+"AM:!%Tt"</f>
        <v>#VALUE!</v>
      </c>
      <c r="GD78" t="e">
        <f>'Price Calculation'!A22+"AM:!%Tu"</f>
        <v>#VALUE!</v>
      </c>
      <c r="GE78" t="e">
        <f>'Price Calculation'!B22+"AM:!%Tv"</f>
        <v>#VALUE!</v>
      </c>
      <c r="GF78" t="e">
        <f>'Price Calculation'!C22+"AM:!%Tw"</f>
        <v>#VALUE!</v>
      </c>
      <c r="GG78" t="e">
        <f>'Price Calculation'!D22+"AM:!%Tx"</f>
        <v>#VALUE!</v>
      </c>
      <c r="GH78" t="e">
        <f>'Price Calculation'!E22+"AM:!%Ty"</f>
        <v>#VALUE!</v>
      </c>
      <c r="GI78" t="e">
        <f>'Price Calculation'!F22+"AM:!%Tz"</f>
        <v>#VALUE!</v>
      </c>
      <c r="GJ78" t="e">
        <f>'Price Calculation'!G22+"AM:!%T{"</f>
        <v>#VALUE!</v>
      </c>
      <c r="GK78" t="e">
        <f>'Price Calculation'!H22+"AM:!%T|"</f>
        <v>#VALUE!</v>
      </c>
      <c r="GL78" t="e">
        <f>'Price Calculation'!I22+"AM:!%T}"</f>
        <v>#VALUE!</v>
      </c>
      <c r="GM78" t="e">
        <f>'Price Calculation'!J22+"AM:!%T~"</f>
        <v>#VALUE!</v>
      </c>
      <c r="GN78" t="e">
        <f>'Price Calculation'!K22+"AM:!%U#"</f>
        <v>#VALUE!</v>
      </c>
      <c r="GO78" t="e">
        <f>'Price Calculation'!L22+"AM:!%U$"</f>
        <v>#VALUE!</v>
      </c>
      <c r="GP78" t="e">
        <f>'Price Calculation'!M22+"AM:!%U%"</f>
        <v>#VALUE!</v>
      </c>
      <c r="GQ78" t="e">
        <f>'Price Calculation'!N22+"AM:!%U&amp;"</f>
        <v>#VALUE!</v>
      </c>
      <c r="GR78" t="e">
        <f>'Price Calculation'!O22+"AM:!%U'"</f>
        <v>#VALUE!</v>
      </c>
      <c r="GS78" t="e">
        <f>'Price Calculation'!P22+"AM:!%U("</f>
        <v>#VALUE!</v>
      </c>
      <c r="GT78" t="e">
        <f>'Price Calculation'!Q22+"AM:!%U)"</f>
        <v>#VALUE!</v>
      </c>
      <c r="GU78" t="e">
        <f>'Price Calculation'!R22+"AM:!%U."</f>
        <v>#VALUE!</v>
      </c>
      <c r="GV78" t="e">
        <f>'Price Calculation'!S22+"AM:!%U/"</f>
        <v>#VALUE!</v>
      </c>
      <c r="GW78" t="e">
        <f>'Price Calculation'!T22+"AM:!%U0"</f>
        <v>#VALUE!</v>
      </c>
      <c r="GX78" t="e">
        <f>'Price Calculation'!A23+"AM:!%U1"</f>
        <v>#VALUE!</v>
      </c>
      <c r="GY78" t="e">
        <f>'Price Calculation'!B23+"AM:!%U2"</f>
        <v>#VALUE!</v>
      </c>
      <c r="GZ78" t="e">
        <f>'Price Calculation'!C23+"AM:!%U3"</f>
        <v>#VALUE!</v>
      </c>
      <c r="HA78" t="e">
        <f>'Price Calculation'!D23+"AM:!%U4"</f>
        <v>#VALUE!</v>
      </c>
      <c r="HB78" t="e">
        <f>'Price Calculation'!E23+"AM:!%U5"</f>
        <v>#VALUE!</v>
      </c>
      <c r="HC78" t="e">
        <f>'Price Calculation'!F23+"AM:!%U6"</f>
        <v>#VALUE!</v>
      </c>
      <c r="HD78" t="e">
        <f>'Price Calculation'!G23+"AM:!%U7"</f>
        <v>#VALUE!</v>
      </c>
      <c r="HE78" t="e">
        <f>'Price Calculation'!H23+"AM:!%U8"</f>
        <v>#VALUE!</v>
      </c>
      <c r="HF78" t="e">
        <f>'Price Calculation'!I23+"AM:!%U9"</f>
        <v>#VALUE!</v>
      </c>
      <c r="HG78" t="e">
        <f>'Price Calculation'!J23+"AM:!%U:"</f>
        <v>#VALUE!</v>
      </c>
      <c r="HH78" t="e">
        <f>'Price Calculation'!K23+"AM:!%U;"</f>
        <v>#VALUE!</v>
      </c>
      <c r="HI78" t="e">
        <f>'Price Calculation'!L23+"AM:!%U&lt;"</f>
        <v>#VALUE!</v>
      </c>
      <c r="HJ78" t="e">
        <f>'Price Calculation'!M23+"AM:!%U="</f>
        <v>#VALUE!</v>
      </c>
      <c r="HK78" t="e">
        <f>'Price Calculation'!N23+"AM:!%U&gt;"</f>
        <v>#VALUE!</v>
      </c>
      <c r="HL78" t="e">
        <f>'Price Calculation'!O23+"AM:!%U?"</f>
        <v>#VALUE!</v>
      </c>
      <c r="HM78" t="e">
        <f>'Price Calculation'!P23+"AM:!%U@"</f>
        <v>#VALUE!</v>
      </c>
      <c r="HN78" t="e">
        <f>'Price Calculation'!Q23+"AM:!%UA"</f>
        <v>#VALUE!</v>
      </c>
      <c r="HO78" t="e">
        <f>'Price Calculation'!R23+"AM:!%UB"</f>
        <v>#VALUE!</v>
      </c>
      <c r="HP78" t="e">
        <f>'Price Calculation'!S23+"AM:!%UC"</f>
        <v>#VALUE!</v>
      </c>
      <c r="HQ78" t="e">
        <f>'Price Calculation'!T23+"AM:!%UD"</f>
        <v>#VALUE!</v>
      </c>
      <c r="HR78" t="e">
        <f>'Price Calculation'!A24+"AM:!%UE"</f>
        <v>#VALUE!</v>
      </c>
      <c r="HS78" t="e">
        <f>'Price Calculation'!B24+"AM:!%UF"</f>
        <v>#VALUE!</v>
      </c>
      <c r="HT78" t="e">
        <f>'Price Calculation'!C24+"AM:!%UG"</f>
        <v>#VALUE!</v>
      </c>
      <c r="HU78" t="e">
        <f>'Price Calculation'!D24+"AM:!%UH"</f>
        <v>#VALUE!</v>
      </c>
      <c r="HV78" t="e">
        <f>'Price Calculation'!E24+"AM:!%UI"</f>
        <v>#VALUE!</v>
      </c>
      <c r="HW78" t="e">
        <f>'Price Calculation'!F24+"AM:!%UJ"</f>
        <v>#VALUE!</v>
      </c>
      <c r="HX78" t="e">
        <f>'Price Calculation'!G24+"AM:!%UK"</f>
        <v>#VALUE!</v>
      </c>
      <c r="HY78" t="e">
        <f>'Price Calculation'!H24+"AM:!%UL"</f>
        <v>#VALUE!</v>
      </c>
      <c r="HZ78" t="e">
        <f>'Price Calculation'!I24+"AM:!%UM"</f>
        <v>#VALUE!</v>
      </c>
      <c r="IA78" t="e">
        <f>'Price Calculation'!J24+"AM:!%UN"</f>
        <v>#VALUE!</v>
      </c>
      <c r="IB78" t="e">
        <f>'Price Calculation'!K24+"AM:!%UO"</f>
        <v>#VALUE!</v>
      </c>
      <c r="IC78" t="e">
        <f>'Price Calculation'!L24+"AM:!%UP"</f>
        <v>#VALUE!</v>
      </c>
      <c r="ID78" t="e">
        <f>'Price Calculation'!M24+"AM:!%UQ"</f>
        <v>#VALUE!</v>
      </c>
      <c r="IE78" t="e">
        <f>'Price Calculation'!N24+"AM:!%UR"</f>
        <v>#VALUE!</v>
      </c>
      <c r="IF78" t="e">
        <f>'Price Calculation'!O24+"AM:!%US"</f>
        <v>#VALUE!</v>
      </c>
      <c r="IG78" t="e">
        <f>'Price Calculation'!P24+"AM:!%UT"</f>
        <v>#VALUE!</v>
      </c>
      <c r="IH78" t="e">
        <f>'Price Calculation'!Q24+"AM:!%UU"</f>
        <v>#VALUE!</v>
      </c>
      <c r="II78" t="e">
        <f>'Price Calculation'!R24+"AM:!%UV"</f>
        <v>#VALUE!</v>
      </c>
      <c r="IJ78" t="e">
        <f>'Price Calculation'!S24+"AM:!%UW"</f>
        <v>#VALUE!</v>
      </c>
      <c r="IK78" t="e">
        <f>'Price Calculation'!T24+"AM:!%UX"</f>
        <v>#VALUE!</v>
      </c>
      <c r="IL78" t="e">
        <f>'Price Calculation'!A25+"AM:!%UY"</f>
        <v>#VALUE!</v>
      </c>
      <c r="IM78" t="e">
        <f>'Price Calculation'!B25+"AM:!%UZ"</f>
        <v>#VALUE!</v>
      </c>
      <c r="IN78" t="e">
        <f>'Price Calculation'!C25+"AM:!%U["</f>
        <v>#VALUE!</v>
      </c>
      <c r="IO78" t="e">
        <f>'Price Calculation'!D25+"AM:!%U\"</f>
        <v>#VALUE!</v>
      </c>
      <c r="IP78" t="e">
        <f>'Price Calculation'!E25+"AM:!%U]"</f>
        <v>#VALUE!</v>
      </c>
      <c r="IQ78" t="e">
        <f>'Price Calculation'!F25+"AM:!%U^"</f>
        <v>#VALUE!</v>
      </c>
      <c r="IR78" t="e">
        <f>'Price Calculation'!G25+"AM:!%U_"</f>
        <v>#VALUE!</v>
      </c>
      <c r="IS78" t="e">
        <f>'Price Calculation'!H25+"AM:!%U`"</f>
        <v>#VALUE!</v>
      </c>
      <c r="IT78" t="e">
        <f>'Price Calculation'!I25+"AM:!%Ua"</f>
        <v>#VALUE!</v>
      </c>
      <c r="IU78" t="e">
        <f>'Price Calculation'!J25+"AM:!%Ub"</f>
        <v>#VALUE!</v>
      </c>
      <c r="IV78" t="e">
        <f>'Price Calculation'!K25+"AM:!%Uc"</f>
        <v>#VALUE!</v>
      </c>
    </row>
    <row r="79" spans="6:256">
      <c r="F79" t="e">
        <f>'Price Calculation'!L25+"AM:!%Ud"</f>
        <v>#VALUE!</v>
      </c>
      <c r="G79" t="e">
        <f>'Price Calculation'!M25+"AM:!%Ue"</f>
        <v>#VALUE!</v>
      </c>
      <c r="H79" t="e">
        <f>'Price Calculation'!N25+"AM:!%Uf"</f>
        <v>#VALUE!</v>
      </c>
      <c r="I79" t="e">
        <f>'Price Calculation'!O25+"AM:!%Ug"</f>
        <v>#VALUE!</v>
      </c>
      <c r="J79" t="e">
        <f>'Price Calculation'!P25+"AM:!%Uh"</f>
        <v>#VALUE!</v>
      </c>
      <c r="K79" t="e">
        <f>'Price Calculation'!Q25+"AM:!%Ui"</f>
        <v>#VALUE!</v>
      </c>
      <c r="L79" t="e">
        <f>'Price Calculation'!R25+"AM:!%Uj"</f>
        <v>#VALUE!</v>
      </c>
      <c r="M79" t="e">
        <f>'Price Calculation'!S25+"AM:!%Uk"</f>
        <v>#VALUE!</v>
      </c>
      <c r="N79" t="e">
        <f>'Price Calculation'!T25+"AM:!%Ul"</f>
        <v>#VALUE!</v>
      </c>
      <c r="O79" t="e">
        <f>'Price Calculation'!A26+"AM:!%Um"</f>
        <v>#VALUE!</v>
      </c>
      <c r="P79" t="e">
        <f>'Price Calculation'!B26+"AM:!%Un"</f>
        <v>#VALUE!</v>
      </c>
      <c r="Q79" t="e">
        <f>'Price Calculation'!C26+"AM:!%Uo"</f>
        <v>#VALUE!</v>
      </c>
      <c r="R79" t="e">
        <f>'Price Calculation'!D26+"AM:!%Up"</f>
        <v>#VALUE!</v>
      </c>
      <c r="S79" t="e">
        <f>'Price Calculation'!E26+"AM:!%Uq"</f>
        <v>#VALUE!</v>
      </c>
      <c r="T79" t="e">
        <f>'Price Calculation'!F26+"AM:!%Ur"</f>
        <v>#VALUE!</v>
      </c>
      <c r="U79" t="e">
        <f>'Price Calculation'!G26+"AM:!%Us"</f>
        <v>#VALUE!</v>
      </c>
      <c r="V79" t="e">
        <f>'Price Calculation'!H26+"AM:!%Ut"</f>
        <v>#VALUE!</v>
      </c>
      <c r="W79" t="e">
        <f>'Price Calculation'!I26+"AM:!%Uu"</f>
        <v>#VALUE!</v>
      </c>
      <c r="X79" t="e">
        <f>'Price Calculation'!J26+"AM:!%Uv"</f>
        <v>#VALUE!</v>
      </c>
      <c r="Y79" t="e">
        <f>'Price Calculation'!K26+"AM:!%Uw"</f>
        <v>#VALUE!</v>
      </c>
      <c r="Z79" t="e">
        <f>'Price Calculation'!L26+"AM:!%Ux"</f>
        <v>#VALUE!</v>
      </c>
      <c r="AA79" t="e">
        <f>'Price Calculation'!M26+"AM:!%Uy"</f>
        <v>#VALUE!</v>
      </c>
      <c r="AB79" t="e">
        <f ca="1">'Price Calculation'!N26+"AM:!%Uz"</f>
        <v>#VALUE!</v>
      </c>
      <c r="AC79" t="e">
        <f>'Price Calculation'!O26+"AM:!%U{"</f>
        <v>#VALUE!</v>
      </c>
      <c r="AD79" t="e">
        <f>'Price Calculation'!P26+"AM:!%U|"</f>
        <v>#VALUE!</v>
      </c>
      <c r="AE79" t="e">
        <f>'Price Calculation'!Q26+"AM:!%U}"</f>
        <v>#VALUE!</v>
      </c>
      <c r="AF79" t="e">
        <f>'Price Calculation'!R26+"AM:!%U~"</f>
        <v>#VALUE!</v>
      </c>
      <c r="AG79" t="e">
        <f>'Price Calculation'!S26+"AM:!%V#"</f>
        <v>#VALUE!</v>
      </c>
      <c r="AH79" t="e">
        <f>'Price Calculation'!T26+"AM:!%V$"</f>
        <v>#VALUE!</v>
      </c>
      <c r="AI79" t="e">
        <f>'Price Calculation'!A27+"AM:!%V%"</f>
        <v>#VALUE!</v>
      </c>
      <c r="AJ79" t="e">
        <f>'Price Calculation'!B27+"AM:!%V&amp;"</f>
        <v>#VALUE!</v>
      </c>
      <c r="AK79" t="e">
        <f>'Price Calculation'!C27+"AM:!%V'"</f>
        <v>#VALUE!</v>
      </c>
      <c r="AL79" t="e">
        <f>'Price Calculation'!D27+"AM:!%V("</f>
        <v>#VALUE!</v>
      </c>
      <c r="AM79" t="e">
        <f>'Price Calculation'!E27+"AM:!%V)"</f>
        <v>#VALUE!</v>
      </c>
      <c r="AN79" t="e">
        <f>'Price Calculation'!F27+"AM:!%V."</f>
        <v>#VALUE!</v>
      </c>
      <c r="AO79" t="e">
        <f>'Price Calculation'!G27+"AM:!%V/"</f>
        <v>#VALUE!</v>
      </c>
      <c r="AP79" t="e">
        <f>'Price Calculation'!H27+"AM:!%V0"</f>
        <v>#VALUE!</v>
      </c>
      <c r="AQ79" t="e">
        <f>'Price Calculation'!I27+"AM:!%V1"</f>
        <v>#VALUE!</v>
      </c>
      <c r="AR79" t="e">
        <f>'Price Calculation'!J27+"AM:!%V2"</f>
        <v>#VALUE!</v>
      </c>
      <c r="AS79" t="e">
        <f>'Price Calculation'!K27+"AM:!%V3"</f>
        <v>#VALUE!</v>
      </c>
      <c r="AT79" t="e">
        <f>'Price Calculation'!L27+"AM:!%V4"</f>
        <v>#VALUE!</v>
      </c>
      <c r="AU79" t="e">
        <f>'Price Calculation'!M27+"AM:!%V5"</f>
        <v>#VALUE!</v>
      </c>
      <c r="AV79" t="e">
        <f ca="1">'Price Calculation'!N27+"AM:!%V6"</f>
        <v>#VALUE!</v>
      </c>
      <c r="AW79" t="e">
        <f>'Price Calculation'!O27+"AM:!%V7"</f>
        <v>#VALUE!</v>
      </c>
      <c r="AX79" t="e">
        <f>'Price Calculation'!P27+"AM:!%V8"</f>
        <v>#VALUE!</v>
      </c>
      <c r="AY79" t="e">
        <f>'Price Calculation'!Q27+"AM:!%V9"</f>
        <v>#VALUE!</v>
      </c>
      <c r="AZ79" t="e">
        <f>'Price Calculation'!R27+"AM:!%V:"</f>
        <v>#VALUE!</v>
      </c>
      <c r="BA79" t="e">
        <f>'Price Calculation'!S27+"AM:!%V;"</f>
        <v>#VALUE!</v>
      </c>
      <c r="BB79" t="e">
        <f>'Price Calculation'!T27+"AM:!%V&lt;"</f>
        <v>#VALUE!</v>
      </c>
      <c r="BC79" t="e">
        <f>'Price Calculation'!A28+"AM:!%V="</f>
        <v>#VALUE!</v>
      </c>
      <c r="BD79" t="e">
        <f>'Price Calculation'!B28+"AM:!%V&gt;"</f>
        <v>#VALUE!</v>
      </c>
      <c r="BE79" t="e">
        <f>'Price Calculation'!C28+"AM:!%V?"</f>
        <v>#VALUE!</v>
      </c>
      <c r="BF79" t="e">
        <f>'Price Calculation'!D28+"AM:!%V@"</f>
        <v>#VALUE!</v>
      </c>
      <c r="BG79" t="e">
        <f>'Price Calculation'!E28+"AM:!%VA"</f>
        <v>#VALUE!</v>
      </c>
      <c r="BH79" t="e">
        <f>'Price Calculation'!F28+"AM:!%VB"</f>
        <v>#VALUE!</v>
      </c>
      <c r="BI79" t="e">
        <f>'Price Calculation'!G28+"AM:!%VC"</f>
        <v>#VALUE!</v>
      </c>
      <c r="BJ79" t="e">
        <f>'Price Calculation'!H28+"AM:!%VD"</f>
        <v>#VALUE!</v>
      </c>
      <c r="BK79" t="e">
        <f>'Price Calculation'!I28+"AM:!%VE"</f>
        <v>#VALUE!</v>
      </c>
      <c r="BL79" t="e">
        <f>'Price Calculation'!J28+"AM:!%VF"</f>
        <v>#VALUE!</v>
      </c>
      <c r="BM79" t="e">
        <f>'Price Calculation'!K28+"AM:!%VG"</f>
        <v>#VALUE!</v>
      </c>
      <c r="BN79" t="e">
        <f>'Price Calculation'!L28+"AM:!%VH"</f>
        <v>#VALUE!</v>
      </c>
      <c r="BO79" t="e">
        <f>'Price Calculation'!M28+"AM:!%VI"</f>
        <v>#VALUE!</v>
      </c>
      <c r="BP79" t="e">
        <f>'Price Calculation'!N28+"AM:!%VJ"</f>
        <v>#VALUE!</v>
      </c>
      <c r="BQ79" t="e">
        <f>'Price Calculation'!O28+"AM:!%VK"</f>
        <v>#VALUE!</v>
      </c>
      <c r="BR79" t="e">
        <f>'Price Calculation'!P28+"AM:!%VL"</f>
        <v>#VALUE!</v>
      </c>
      <c r="BS79" t="e">
        <f>'Price Calculation'!Q28+"AM:!%VM"</f>
        <v>#VALUE!</v>
      </c>
      <c r="BT79" t="e">
        <f>'Price Calculation'!R28+"AM:!%VN"</f>
        <v>#VALUE!</v>
      </c>
      <c r="BU79" t="e">
        <f>'Price Calculation'!S28+"AM:!%VO"</f>
        <v>#VALUE!</v>
      </c>
      <c r="BV79" t="e">
        <f>'Price Calculation'!T28+"AM:!%VP"</f>
        <v>#VALUE!</v>
      </c>
      <c r="BW79" t="e">
        <f>'Price Calculation'!A29+"AM:!%VQ"</f>
        <v>#VALUE!</v>
      </c>
      <c r="BX79" t="e">
        <f>'Price Calculation'!B29+"AM:!%VR"</f>
        <v>#VALUE!</v>
      </c>
      <c r="BY79" t="e">
        <f>'Price Calculation'!C29+"AM:!%VS"</f>
        <v>#VALUE!</v>
      </c>
      <c r="BZ79" t="e">
        <f>'Price Calculation'!D29+"AM:!%VT"</f>
        <v>#VALUE!</v>
      </c>
      <c r="CA79" t="e">
        <f>'Price Calculation'!E29+"AM:!%VU"</f>
        <v>#VALUE!</v>
      </c>
      <c r="CB79" t="e">
        <f>'Price Calculation'!F29+"AM:!%VV"</f>
        <v>#VALUE!</v>
      </c>
      <c r="CC79" t="e">
        <f>'Price Calculation'!G29+"AM:!%VW"</f>
        <v>#VALUE!</v>
      </c>
      <c r="CD79" t="e">
        <f>'Price Calculation'!H29+"AM:!%VX"</f>
        <v>#VALUE!</v>
      </c>
      <c r="CE79" t="e">
        <f>'Price Calculation'!I29+"AM:!%VY"</f>
        <v>#VALUE!</v>
      </c>
      <c r="CF79" t="e">
        <f>'Price Calculation'!J29+"AM:!%VZ"</f>
        <v>#VALUE!</v>
      </c>
      <c r="CG79" t="e">
        <f>'Price Calculation'!K29+"AM:!%V["</f>
        <v>#VALUE!</v>
      </c>
      <c r="CH79" t="e">
        <f>'Price Calculation'!L29+"AM:!%V\"</f>
        <v>#VALUE!</v>
      </c>
      <c r="CI79" t="e">
        <f ca="1">'Price Calculation'!M29+"AM:!%V]"</f>
        <v>#VALUE!</v>
      </c>
      <c r="CJ79" s="100" t="e">
        <f ca="1">'Price Calculation'!N29+"AM:!%V^"</f>
        <v>#VALUE!</v>
      </c>
      <c r="CK79" t="e">
        <f>'Price Calculation'!O29+"AM:!%V_"</f>
        <v>#VALUE!</v>
      </c>
      <c r="CL79" t="e">
        <f>'Price Calculation'!P29+"AM:!%V`"</f>
        <v>#VALUE!</v>
      </c>
      <c r="CM79" t="e">
        <f>'Price Calculation'!Q29+"AM:!%Va"</f>
        <v>#VALUE!</v>
      </c>
      <c r="CN79" t="e">
        <f>'Price Calculation'!R29+"AM:!%Vb"</f>
        <v>#VALUE!</v>
      </c>
      <c r="CO79" t="e">
        <f>'Price Calculation'!S29+"AM:!%Vc"</f>
        <v>#VALUE!</v>
      </c>
      <c r="CP79" t="e">
        <f>'Price Calculation'!T29+"AM:!%Vd"</f>
        <v>#VALUE!</v>
      </c>
      <c r="CQ79" t="e">
        <f>'Price Calculation'!A30+"AM:!%Ve"</f>
        <v>#VALUE!</v>
      </c>
      <c r="CR79" t="e">
        <f>'Price Calculation'!B30+"AM:!%Vf"</f>
        <v>#VALUE!</v>
      </c>
      <c r="CS79" t="e">
        <f>'Price Calculation'!C30+"AM:!%Vg"</f>
        <v>#VALUE!</v>
      </c>
      <c r="CT79" t="e">
        <f>'Price Calculation'!D30+"AM:!%Vh"</f>
        <v>#VALUE!</v>
      </c>
      <c r="CU79" t="e">
        <f>'Price Calculation'!E30+"AM:!%Vi"</f>
        <v>#VALUE!</v>
      </c>
      <c r="CV79" t="e">
        <f>'Price Calculation'!F30+"AM:!%Vj"</f>
        <v>#VALUE!</v>
      </c>
      <c r="CW79" t="e">
        <f>'Price Calculation'!G30+"AM:!%Vk"</f>
        <v>#VALUE!</v>
      </c>
      <c r="CX79" t="e">
        <f>'Price Calculation'!H30+"AM:!%Vl"</f>
        <v>#VALUE!</v>
      </c>
      <c r="CY79" t="e">
        <f>'Price Calculation'!I30+"AM:!%Vm"</f>
        <v>#VALUE!</v>
      </c>
      <c r="CZ79" t="e">
        <f>'Price Calculation'!J30+"AM:!%Vn"</f>
        <v>#VALUE!</v>
      </c>
      <c r="DA79" t="e">
        <f>'Price Calculation'!K30+"AM:!%Vo"</f>
        <v>#VALUE!</v>
      </c>
      <c r="DB79" t="e">
        <f>'Price Calculation'!L30+"AM:!%Vp"</f>
        <v>#VALUE!</v>
      </c>
      <c r="DC79" t="e">
        <f>'Price Calculation'!M30+"AM:!%Vq"</f>
        <v>#VALUE!</v>
      </c>
      <c r="DD79" t="e">
        <f>'Price Calculation'!N30+"AM:!%Vr"</f>
        <v>#VALUE!</v>
      </c>
      <c r="DE79" t="e">
        <f>'Price Calculation'!O30+"AM:!%Vs"</f>
        <v>#VALUE!</v>
      </c>
      <c r="DF79" t="e">
        <f>'Price Calculation'!P30+"AM:!%Vt"</f>
        <v>#VALUE!</v>
      </c>
      <c r="DG79" t="e">
        <f>'Price Calculation'!Q30+"AM:!%Vu"</f>
        <v>#VALUE!</v>
      </c>
      <c r="DH79" t="e">
        <f>'Price Calculation'!R30+"AM:!%Vv"</f>
        <v>#VALUE!</v>
      </c>
      <c r="DI79" t="e">
        <f>'Price Calculation'!S30+"AM:!%Vw"</f>
        <v>#VALUE!</v>
      </c>
      <c r="DJ79" t="e">
        <f>'Price Calculation'!T30+"AM:!%Vx"</f>
        <v>#VALUE!</v>
      </c>
      <c r="DK79" t="e">
        <f>'Price Calculation'!A31+"AM:!%Vy"</f>
        <v>#VALUE!</v>
      </c>
      <c r="DL79" t="e">
        <f>'Price Calculation'!B31+"AM:!%Vz"</f>
        <v>#VALUE!</v>
      </c>
      <c r="DM79" t="e">
        <f>'Price Calculation'!C31+"AM:!%V{"</f>
        <v>#VALUE!</v>
      </c>
      <c r="DN79" t="e">
        <f>'Price Calculation'!D31+"AM:!%V|"</f>
        <v>#VALUE!</v>
      </c>
      <c r="DO79" t="e">
        <f>'Price Calculation'!E31+"AM:!%V}"</f>
        <v>#VALUE!</v>
      </c>
      <c r="DP79" t="e">
        <f>'Price Calculation'!F31+"AM:!%V~"</f>
        <v>#VALUE!</v>
      </c>
      <c r="DQ79" t="e">
        <f>'Price Calculation'!G31+"AM:!%W#"</f>
        <v>#VALUE!</v>
      </c>
      <c r="DR79" t="e">
        <f>'Price Calculation'!H31+"AM:!%W$"</f>
        <v>#VALUE!</v>
      </c>
      <c r="DS79" t="e">
        <f>'Price Calculation'!I31+"AM:!%W%"</f>
        <v>#VALUE!</v>
      </c>
      <c r="DT79" t="e">
        <f>'Price Calculation'!J31+"AM:!%W&amp;"</f>
        <v>#VALUE!</v>
      </c>
      <c r="DU79" t="e">
        <f>'Price Calculation'!K31+"AM:!%W'"</f>
        <v>#VALUE!</v>
      </c>
      <c r="DV79" t="e">
        <f>'Price Calculation'!L31+"AM:!%W("</f>
        <v>#VALUE!</v>
      </c>
      <c r="DW79" t="e">
        <f>'Price Calculation'!M31+"AM:!%W)"</f>
        <v>#VALUE!</v>
      </c>
      <c r="DX79" t="e">
        <f>'Price Calculation'!N31+"AM:!%W."</f>
        <v>#VALUE!</v>
      </c>
      <c r="DY79" t="e">
        <f>'Price Calculation'!O31+"AM:!%W/"</f>
        <v>#VALUE!</v>
      </c>
      <c r="DZ79" t="e">
        <f>'Price Calculation'!P31+"AM:!%W0"</f>
        <v>#VALUE!</v>
      </c>
      <c r="EA79" t="e">
        <f>'Price Calculation'!Q31+"AM:!%W1"</f>
        <v>#VALUE!</v>
      </c>
      <c r="EB79" t="e">
        <f>'Price Calculation'!R31+"AM:!%W2"</f>
        <v>#VALUE!</v>
      </c>
      <c r="EC79" t="e">
        <f>'Price Calculation'!S31+"AM:!%W3"</f>
        <v>#VALUE!</v>
      </c>
      <c r="ED79" t="e">
        <f>'Price Calculation'!T31+"AM:!%W4"</f>
        <v>#VALUE!</v>
      </c>
      <c r="EE79" t="e">
        <f>'Price Calculation'!A32+"AM:!%W5"</f>
        <v>#VALUE!</v>
      </c>
      <c r="EF79" t="e">
        <f>'Price Calculation'!B32+"AM:!%W6"</f>
        <v>#VALUE!</v>
      </c>
      <c r="EG79" t="e">
        <f>'Price Calculation'!C32+"AM:!%W7"</f>
        <v>#VALUE!</v>
      </c>
      <c r="EH79" t="e">
        <f>'Price Calculation'!D32+"AM:!%W8"</f>
        <v>#VALUE!</v>
      </c>
      <c r="EI79" t="e">
        <f>'Price Calculation'!E32+"AM:!%W9"</f>
        <v>#VALUE!</v>
      </c>
      <c r="EJ79" t="e">
        <f>'Price Calculation'!F32+"AM:!%W:"</f>
        <v>#VALUE!</v>
      </c>
      <c r="EK79" t="e">
        <f>'Price Calculation'!G32+"AM:!%W;"</f>
        <v>#VALUE!</v>
      </c>
      <c r="EL79" t="e">
        <f>'Price Calculation'!H32+"AM:!%W&lt;"</f>
        <v>#VALUE!</v>
      </c>
      <c r="EM79" t="e">
        <f>'Price Calculation'!I32+"AM:!%W="</f>
        <v>#VALUE!</v>
      </c>
      <c r="EN79" t="e">
        <f>'Price Calculation'!J32+"AM:!%W&gt;"</f>
        <v>#VALUE!</v>
      </c>
      <c r="EO79" t="e">
        <f>'Price Calculation'!K32+"AM:!%W?"</f>
        <v>#VALUE!</v>
      </c>
      <c r="EP79" t="e">
        <f>'Price Calculation'!L32+"AM:!%W@"</f>
        <v>#VALUE!</v>
      </c>
      <c r="EQ79" t="e">
        <f>'Price Calculation'!M32+"AM:!%WA"</f>
        <v>#VALUE!</v>
      </c>
      <c r="ER79" t="e">
        <f>'Price Calculation'!N32+"AM:!%WB"</f>
        <v>#VALUE!</v>
      </c>
      <c r="ES79" t="e">
        <f>'Price Calculation'!O32+"AM:!%WC"</f>
        <v>#VALUE!</v>
      </c>
      <c r="ET79" t="e">
        <f>'Price Calculation'!P32+"AM:!%WD"</f>
        <v>#VALUE!</v>
      </c>
      <c r="EU79" t="e">
        <f>'Price Calculation'!Q32+"AM:!%WE"</f>
        <v>#VALUE!</v>
      </c>
      <c r="EV79" t="e">
        <f>'Price Calculation'!R32+"AM:!%WF"</f>
        <v>#VALUE!</v>
      </c>
      <c r="EW79" t="e">
        <f>'Price Calculation'!S32+"AM:!%WG"</f>
        <v>#VALUE!</v>
      </c>
      <c r="EX79" t="e">
        <f>'Price Calculation'!T32+"AM:!%WH"</f>
        <v>#VALUE!</v>
      </c>
      <c r="EY79" t="e">
        <f>'Price Calculation'!A33+"AM:!%WI"</f>
        <v>#VALUE!</v>
      </c>
      <c r="EZ79" t="e">
        <f>'Price Calculation'!B33+"AM:!%WJ"</f>
        <v>#VALUE!</v>
      </c>
      <c r="FA79" t="e">
        <f>'Price Calculation'!C33+"AM:!%WK"</f>
        <v>#VALUE!</v>
      </c>
      <c r="FB79" t="e">
        <f>'Price Calculation'!D33+"AM:!%WL"</f>
        <v>#VALUE!</v>
      </c>
      <c r="FC79" t="e">
        <f>'Price Calculation'!E33+"AM:!%WM"</f>
        <v>#VALUE!</v>
      </c>
      <c r="FD79" t="e">
        <f>'Price Calculation'!F33+"AM:!%WN"</f>
        <v>#VALUE!</v>
      </c>
      <c r="FE79" t="e">
        <f>'Price Calculation'!G33+"AM:!%WO"</f>
        <v>#VALUE!</v>
      </c>
      <c r="FF79" t="e">
        <f>'Price Calculation'!H33+"AM:!%WP"</f>
        <v>#VALUE!</v>
      </c>
      <c r="FG79" t="e">
        <f>'Price Calculation'!I33+"AM:!%WQ"</f>
        <v>#VALUE!</v>
      </c>
      <c r="FH79" t="e">
        <f>'Price Calculation'!J33+"AM:!%WR"</f>
        <v>#VALUE!</v>
      </c>
      <c r="FI79" t="e">
        <f>'Price Calculation'!K33+"AM:!%WS"</f>
        <v>#VALUE!</v>
      </c>
      <c r="FJ79" t="e">
        <f>'Price Calculation'!L33+"AM:!%WT"</f>
        <v>#VALUE!</v>
      </c>
      <c r="FK79" t="e">
        <f>'Price Calculation'!M33+"AM:!%WU"</f>
        <v>#VALUE!</v>
      </c>
      <c r="FL79" t="e">
        <f>'Price Calculation'!N33+"AM:!%WV"</f>
        <v>#VALUE!</v>
      </c>
      <c r="FM79" t="e">
        <f>'Price Calculation'!O33+"AM:!%WW"</f>
        <v>#VALUE!</v>
      </c>
      <c r="FN79" t="e">
        <f>'Price Calculation'!P33+"AM:!%WX"</f>
        <v>#VALUE!</v>
      </c>
      <c r="FO79" t="e">
        <f>'Price Calculation'!Q33+"AM:!%WY"</f>
        <v>#VALUE!</v>
      </c>
      <c r="FP79" t="e">
        <f>'Price Calculation'!R33+"AM:!%WZ"</f>
        <v>#VALUE!</v>
      </c>
      <c r="FQ79" t="e">
        <f>'Price Calculation'!S33+"AM:!%W["</f>
        <v>#VALUE!</v>
      </c>
      <c r="FR79" t="e">
        <f>'Price Calculation'!T33+"AM:!%W\"</f>
        <v>#VALUE!</v>
      </c>
      <c r="FS79" t="e">
        <f>'Price Calculation'!A34+"AM:!%W]"</f>
        <v>#VALUE!</v>
      </c>
      <c r="FT79" t="e">
        <f>'Price Calculation'!B34+"AM:!%W^"</f>
        <v>#VALUE!</v>
      </c>
      <c r="FU79" t="e">
        <f>'Price Calculation'!C34+"AM:!%W_"</f>
        <v>#VALUE!</v>
      </c>
      <c r="FV79" t="e">
        <f>'Price Calculation'!D34+"AM:!%W`"</f>
        <v>#VALUE!</v>
      </c>
      <c r="FW79" t="e">
        <f>'Price Calculation'!E34+"AM:!%Wa"</f>
        <v>#VALUE!</v>
      </c>
      <c r="FX79" t="e">
        <f>'Price Calculation'!F34+"AM:!%Wb"</f>
        <v>#VALUE!</v>
      </c>
      <c r="FY79" t="e">
        <f>'Price Calculation'!G34+"AM:!%Wc"</f>
        <v>#VALUE!</v>
      </c>
      <c r="FZ79" t="e">
        <f>'Price Calculation'!H34+"AM:!%Wd"</f>
        <v>#VALUE!</v>
      </c>
      <c r="GA79" t="e">
        <f>'Price Calculation'!I34+"AM:!%We"</f>
        <v>#VALUE!</v>
      </c>
      <c r="GB79" t="e">
        <f>'Price Calculation'!J34+"AM:!%Wf"</f>
        <v>#VALUE!</v>
      </c>
      <c r="GC79" t="e">
        <f>'Price Calculation'!K34+"AM:!%Wg"</f>
        <v>#VALUE!</v>
      </c>
      <c r="GD79" t="e">
        <f>'Price Calculation'!L34+"AM:!%Wh"</f>
        <v>#VALUE!</v>
      </c>
      <c r="GE79" t="e">
        <f>'Price Calculation'!M34+"AM:!%Wi"</f>
        <v>#VALUE!</v>
      </c>
      <c r="GF79" t="e">
        <f>'Price Calculation'!N34+"AM:!%Wj"</f>
        <v>#VALUE!</v>
      </c>
      <c r="GG79" t="e">
        <f>'Price Calculation'!O34+"AM:!%Wk"</f>
        <v>#VALUE!</v>
      </c>
      <c r="GH79" t="e">
        <f>'Price Calculation'!P34+"AM:!%Wl"</f>
        <v>#VALUE!</v>
      </c>
      <c r="GI79" t="e">
        <f>'Price Calculation'!Q34+"AM:!%Wm"</f>
        <v>#VALUE!</v>
      </c>
      <c r="GJ79" t="e">
        <f>'Price Calculation'!R34+"AM:!%Wn"</f>
        <v>#VALUE!</v>
      </c>
      <c r="GK79" t="e">
        <f>'Price Calculation'!S34+"AM:!%Wo"</f>
        <v>#VALUE!</v>
      </c>
      <c r="GL79" t="e">
        <f>'Price Calculation'!T34+"AM:!%Wp"</f>
        <v>#VALUE!</v>
      </c>
      <c r="GM79" t="e">
        <f>'Price Calculation'!A35+"AM:!%Wq"</f>
        <v>#VALUE!</v>
      </c>
      <c r="GN79" t="e">
        <f>'Price Calculation'!B35+"AM:!%Wr"</f>
        <v>#VALUE!</v>
      </c>
      <c r="GO79" t="e">
        <f>'Price Calculation'!C35+"AM:!%Ws"</f>
        <v>#VALUE!</v>
      </c>
      <c r="GP79" t="e">
        <f>'Price Calculation'!D35+"AM:!%Wt"</f>
        <v>#VALUE!</v>
      </c>
      <c r="GQ79" t="e">
        <f>'Price Calculation'!E35+"AM:!%Wu"</f>
        <v>#VALUE!</v>
      </c>
      <c r="GR79" t="e">
        <f>'Price Calculation'!F35+"AM:!%Wv"</f>
        <v>#VALUE!</v>
      </c>
      <c r="GS79" t="e">
        <f>'Price Calculation'!G35+"AM:!%Ww"</f>
        <v>#VALUE!</v>
      </c>
      <c r="GT79" t="e">
        <f>'Price Calculation'!H35+"AM:!%Wx"</f>
        <v>#VALUE!</v>
      </c>
      <c r="GU79" t="e">
        <f>'Price Calculation'!I35+"AM:!%Wy"</f>
        <v>#VALUE!</v>
      </c>
      <c r="GV79" t="e">
        <f>'Price Calculation'!J35+"AM:!%Wz"</f>
        <v>#VALUE!</v>
      </c>
      <c r="GW79" t="e">
        <f>'Price Calculation'!K35+"AM:!%W{"</f>
        <v>#VALUE!</v>
      </c>
      <c r="GX79" t="e">
        <f>'Price Calculation'!L35+"AM:!%W|"</f>
        <v>#VALUE!</v>
      </c>
      <c r="GY79" t="e">
        <f>'Price Calculation'!M35+"AM:!%W}"</f>
        <v>#VALUE!</v>
      </c>
      <c r="GZ79" t="e">
        <f>'Price Calculation'!N35+"AM:!%W~"</f>
        <v>#VALUE!</v>
      </c>
      <c r="HA79" t="e">
        <f>'Price Calculation'!O35+"AM:!%X#"</f>
        <v>#VALUE!</v>
      </c>
      <c r="HB79" t="e">
        <f>'Price Calculation'!P35+"AM:!%X$"</f>
        <v>#VALUE!</v>
      </c>
      <c r="HC79" t="e">
        <f>'Price Calculation'!Q35+"AM:!%X%"</f>
        <v>#VALUE!</v>
      </c>
      <c r="HD79" t="e">
        <f>'Price Calculation'!R35+"AM:!%X&amp;"</f>
        <v>#VALUE!</v>
      </c>
      <c r="HE79" t="e">
        <f>'Price Calculation'!S35+"AM:!%X'"</f>
        <v>#VALUE!</v>
      </c>
      <c r="HF79" t="e">
        <f>'Price Calculation'!T35+"AM:!%X("</f>
        <v>#VALUE!</v>
      </c>
      <c r="HG79" t="e">
        <f>'Price Calculation'!A36+"AM:!%X)"</f>
        <v>#VALUE!</v>
      </c>
      <c r="HH79" t="e">
        <f>'Price Calculation'!B36+"AM:!%X."</f>
        <v>#VALUE!</v>
      </c>
      <c r="HI79" t="e">
        <f>'Price Calculation'!C36+"AM:!%X/"</f>
        <v>#VALUE!</v>
      </c>
      <c r="HJ79" t="e">
        <f>'Price Calculation'!D36+"AM:!%X0"</f>
        <v>#VALUE!</v>
      </c>
      <c r="HK79" t="e">
        <f>'Price Calculation'!E36+"AM:!%X1"</f>
        <v>#VALUE!</v>
      </c>
      <c r="HL79" t="e">
        <f>'Price Calculation'!F36+"AM:!%X2"</f>
        <v>#VALUE!</v>
      </c>
      <c r="HM79" t="e">
        <f>'Price Calculation'!G36+"AM:!%X3"</f>
        <v>#VALUE!</v>
      </c>
      <c r="HN79" t="e">
        <f>'Price Calculation'!H36+"AM:!%X4"</f>
        <v>#VALUE!</v>
      </c>
      <c r="HO79" t="e">
        <f>'Price Calculation'!I36+"AM:!%X5"</f>
        <v>#VALUE!</v>
      </c>
      <c r="HP79" t="e">
        <f>'Price Calculation'!J36+"AM:!%X6"</f>
        <v>#VALUE!</v>
      </c>
      <c r="HQ79" t="e">
        <f>'Price Calculation'!K36+"AM:!%X7"</f>
        <v>#VALUE!</v>
      </c>
      <c r="HR79" t="e">
        <f>'Price Calculation'!L36+"AM:!%X8"</f>
        <v>#VALUE!</v>
      </c>
      <c r="HS79" t="e">
        <f>'Price Calculation'!M36+"AM:!%X9"</f>
        <v>#VALUE!</v>
      </c>
      <c r="HT79" t="e">
        <f>'Price Calculation'!N36+"AM:!%X:"</f>
        <v>#VALUE!</v>
      </c>
      <c r="HU79" t="e">
        <f>'Price Calculation'!O36+"AM:!%X;"</f>
        <v>#VALUE!</v>
      </c>
      <c r="HV79" t="e">
        <f>'Price Calculation'!P36+"AM:!%X&lt;"</f>
        <v>#VALUE!</v>
      </c>
      <c r="HW79" t="e">
        <f>'Price Calculation'!Q36+"AM:!%X="</f>
        <v>#VALUE!</v>
      </c>
      <c r="HX79" t="e">
        <f>'Price Calculation'!R36+"AM:!%X&gt;"</f>
        <v>#VALUE!</v>
      </c>
      <c r="HY79" t="e">
        <f>'Price Calculation'!S36+"AM:!%X?"</f>
        <v>#VALUE!</v>
      </c>
      <c r="HZ79" t="e">
        <f>'Price Calculation'!T36+"AM:!%X@"</f>
        <v>#VALUE!</v>
      </c>
      <c r="IA79" t="e">
        <f>'Price Calculation'!A37+"AM:!%XA"</f>
        <v>#VALUE!</v>
      </c>
      <c r="IB79" t="e">
        <f>'Price Calculation'!B37+"AM:!%XB"</f>
        <v>#VALUE!</v>
      </c>
      <c r="IC79" t="e">
        <f>'Price Calculation'!C37+"AM:!%XC"</f>
        <v>#VALUE!</v>
      </c>
      <c r="ID79" t="e">
        <f>'Price Calculation'!D37+"AM:!%XD"</f>
        <v>#VALUE!</v>
      </c>
      <c r="IE79" t="e">
        <f>'Price Calculation'!E37+"AM:!%XE"</f>
        <v>#VALUE!</v>
      </c>
      <c r="IF79" t="e">
        <f ca="1">'Price Calculation'!F37+"AM:!%XF"</f>
        <v>#VALUE!</v>
      </c>
      <c r="IG79" t="e">
        <f ca="1">'Price Calculation'!G37+"AM:!%XG"</f>
        <v>#VALUE!</v>
      </c>
      <c r="IH79" t="e">
        <f>'Price Calculation'!H37+"AM:!%XH"</f>
        <v>#VALUE!</v>
      </c>
      <c r="II79" t="e">
        <f ca="1">'Price Calculation'!I37+"AM:!%XI"</f>
        <v>#VALUE!</v>
      </c>
      <c r="IJ79" t="e">
        <f>'Price Calculation'!J37+"AM:!%XJ"</f>
        <v>#VALUE!</v>
      </c>
      <c r="IK79" t="e">
        <f>'Price Calculation'!K37+"AM:!%XK"</f>
        <v>#VALUE!</v>
      </c>
      <c r="IL79" t="e">
        <f>'Price Calculation'!L37+"AM:!%XL"</f>
        <v>#VALUE!</v>
      </c>
      <c r="IM79" t="e">
        <f>'Price Calculation'!M37+"AM:!%XM"</f>
        <v>#VALUE!</v>
      </c>
      <c r="IN79" t="e">
        <f>'Price Calculation'!N37+"AM:!%XN"</f>
        <v>#VALUE!</v>
      </c>
      <c r="IO79" t="e">
        <f>'Price Calculation'!O37+"AM:!%XO"</f>
        <v>#VALUE!</v>
      </c>
      <c r="IP79" t="e">
        <f>'Price Calculation'!P37+"AM:!%XP"</f>
        <v>#VALUE!</v>
      </c>
      <c r="IQ79" t="e">
        <f>'Price Calculation'!Q37+"AM:!%XQ"</f>
        <v>#VALUE!</v>
      </c>
      <c r="IR79" t="e">
        <f>'Price Calculation'!R37+"AM:!%XR"</f>
        <v>#VALUE!</v>
      </c>
      <c r="IS79" t="e">
        <f>'Price Calculation'!S37+"AM:!%XS"</f>
        <v>#VALUE!</v>
      </c>
      <c r="IT79" t="e">
        <f>'Price Calculation'!T37+"AM:!%XT"</f>
        <v>#VALUE!</v>
      </c>
      <c r="IU79" t="e">
        <f>'Price Calculation'!A38+"AM:!%XU"</f>
        <v>#VALUE!</v>
      </c>
      <c r="IV79" t="e">
        <f>'Price Calculation'!B38+"AM:!%XV"</f>
        <v>#VALUE!</v>
      </c>
    </row>
    <row r="80" spans="6:256">
      <c r="F80" s="97" t="e">
        <f>'Price Calculation'!C38+"AM:!%XW"</f>
        <v>#VALUE!</v>
      </c>
      <c r="G80" s="101" t="e">
        <f>'Price Calculation'!D38+"AM:!%XX"</f>
        <v>#VALUE!</v>
      </c>
      <c r="H80" s="101" t="e">
        <f>'Price Calculation'!E38+"AM:!%XY"</f>
        <v>#VALUE!</v>
      </c>
      <c r="I80" s="97" t="e">
        <f>'Price Calculation'!F38+"AM:!%XZ"</f>
        <v>#VALUE!</v>
      </c>
      <c r="J80" t="e">
        <f>'Price Calculation'!G38+"AM:!%X["</f>
        <v>#VALUE!</v>
      </c>
      <c r="K80" s="97" t="e">
        <f>'Price Calculation'!H38+"AM:!%X\"</f>
        <v>#VALUE!</v>
      </c>
      <c r="L80" s="97" t="e">
        <f>'Price Calculation'!I38+"AM:!%X]"</f>
        <v>#VALUE!</v>
      </c>
      <c r="M80" t="e">
        <f>'Price Calculation'!J38+"AM:!%X^"</f>
        <v>#VALUE!</v>
      </c>
      <c r="N80" t="e">
        <f>'Price Calculation'!K38+"AM:!%X_"</f>
        <v>#VALUE!</v>
      </c>
      <c r="O80" t="e">
        <f>'Price Calculation'!L38+"AM:!%X`"</f>
        <v>#VALUE!</v>
      </c>
      <c r="P80" t="e">
        <f>'Price Calculation'!M38+"AM:!%Xa"</f>
        <v>#VALUE!</v>
      </c>
      <c r="Q80" t="e">
        <f>'Price Calculation'!N38+"AM:!%Xb"</f>
        <v>#VALUE!</v>
      </c>
      <c r="R80" t="e">
        <f>'Price Calculation'!O38+"AM:!%Xc"</f>
        <v>#VALUE!</v>
      </c>
      <c r="S80" t="e">
        <f>'Price Calculation'!P38+"AM:!%Xd"</f>
        <v>#VALUE!</v>
      </c>
      <c r="T80" t="e">
        <f>'Price Calculation'!Q38+"AM:!%Xe"</f>
        <v>#VALUE!</v>
      </c>
      <c r="U80" t="e">
        <f>'Price Calculation'!R38+"AM:!%Xf"</f>
        <v>#VALUE!</v>
      </c>
      <c r="V80" t="e">
        <f>'Price Calculation'!S38+"AM:!%Xg"</f>
        <v>#VALUE!</v>
      </c>
      <c r="W80" t="e">
        <f>'Price Calculation'!T38+"AM:!%Xh"</f>
        <v>#VALUE!</v>
      </c>
      <c r="X80" t="e">
        <f>'Price Calculation'!A39+"AM:!%Xi"</f>
        <v>#VALUE!</v>
      </c>
      <c r="Y80" t="e">
        <f>'Price Calculation'!B39+"AM:!%Xj"</f>
        <v>#VALUE!</v>
      </c>
      <c r="Z80" t="e">
        <f>'Price Calculation'!C39+"AM:!%Xk"</f>
        <v>#VALUE!</v>
      </c>
      <c r="AA80" t="e">
        <f>'Price Calculation'!D39+"AM:!%Xl"</f>
        <v>#VALUE!</v>
      </c>
      <c r="AB80" t="e">
        <f>'Price Calculation'!E39+"AM:!%Xm"</f>
        <v>#VALUE!</v>
      </c>
      <c r="AC80" t="e">
        <f>'Price Calculation'!F39+"AM:!%Xn"</f>
        <v>#VALUE!</v>
      </c>
      <c r="AD80" t="e">
        <f>'Price Calculation'!G39+"AM:!%Xo"</f>
        <v>#VALUE!</v>
      </c>
      <c r="AE80" t="e">
        <f>'Price Calculation'!H39+"AM:!%Xp"</f>
        <v>#VALUE!</v>
      </c>
      <c r="AF80" t="e">
        <f>'Price Calculation'!I39+"AM:!%Xq"</f>
        <v>#VALUE!</v>
      </c>
      <c r="AG80" t="e">
        <f>'Price Calculation'!J39+"AM:!%Xr"</f>
        <v>#VALUE!</v>
      </c>
      <c r="AH80" t="e">
        <f>'Price Calculation'!K39+"AM:!%Xs"</f>
        <v>#VALUE!</v>
      </c>
      <c r="AI80" t="e">
        <f>'Price Calculation'!L39+"AM:!%Xt"</f>
        <v>#VALUE!</v>
      </c>
      <c r="AJ80" t="e">
        <f>'Price Calculation'!M39+"AM:!%Xu"</f>
        <v>#VALUE!</v>
      </c>
      <c r="AK80" t="e">
        <f>'Price Calculation'!N39+"AM:!%Xv"</f>
        <v>#VALUE!</v>
      </c>
      <c r="AL80" t="e">
        <f>'Price Calculation'!O39+"AM:!%Xw"</f>
        <v>#VALUE!</v>
      </c>
      <c r="AM80" t="e">
        <f>'Price Calculation'!P39+"AM:!%Xx"</f>
        <v>#VALUE!</v>
      </c>
      <c r="AN80" t="e">
        <f>'Price Calculation'!Q39+"AM:!%Xy"</f>
        <v>#VALUE!</v>
      </c>
      <c r="AO80" t="e">
        <f>'Price Calculation'!R39+"AM:!%Xz"</f>
        <v>#VALUE!</v>
      </c>
      <c r="AP80" t="e">
        <f>'Price Calculation'!S39+"AM:!%X{"</f>
        <v>#VALUE!</v>
      </c>
      <c r="AQ80" t="e">
        <f>'Price Calculation'!T39+"AM:!%X|"</f>
        <v>#VALUE!</v>
      </c>
      <c r="AR80" t="e">
        <f>'Price Calculation'!A40+"AM:!%X}"</f>
        <v>#VALUE!</v>
      </c>
      <c r="AS80" t="e">
        <f>'Price Calculation'!B40+"AM:!%X~"</f>
        <v>#VALUE!</v>
      </c>
      <c r="AT80" t="e">
        <f>'Price Calculation'!C40+"AM:!%Y#"</f>
        <v>#VALUE!</v>
      </c>
      <c r="AU80" s="97" t="e">
        <f>'Price Calculation'!D40+"AM:!%Y$"</f>
        <v>#VALUE!</v>
      </c>
      <c r="AV80" s="97" t="e">
        <f>'Price Calculation'!E40+"AM:!%Y%"</f>
        <v>#VALUE!</v>
      </c>
      <c r="AW80" t="e">
        <f>'Price Calculation'!F40+"AM:!%Y&amp;"</f>
        <v>#VALUE!</v>
      </c>
      <c r="AX80" t="e">
        <f>'Price Calculation'!G40+"AM:!%Y'"</f>
        <v>#VALUE!</v>
      </c>
      <c r="AY80" s="97" t="e">
        <f>'Price Calculation'!H40+"AM:!%Y("</f>
        <v>#VALUE!</v>
      </c>
      <c r="AZ80" t="e">
        <f>'Price Calculation'!I40+"AM:!%Y)"</f>
        <v>#VALUE!</v>
      </c>
      <c r="BA80" t="e">
        <f>'Price Calculation'!J40+"AM:!%Y."</f>
        <v>#VALUE!</v>
      </c>
      <c r="BB80" t="e">
        <f>'Price Calculation'!K40+"AM:!%Y/"</f>
        <v>#VALUE!</v>
      </c>
      <c r="BC80" t="e">
        <f>'Price Calculation'!L40+"AM:!%Y0"</f>
        <v>#VALUE!</v>
      </c>
      <c r="BD80" t="e">
        <f>'Price Calculation'!M40+"AM:!%Y1"</f>
        <v>#VALUE!</v>
      </c>
      <c r="BE80" t="e">
        <f>'Price Calculation'!N40+"AM:!%Y2"</f>
        <v>#VALUE!</v>
      </c>
      <c r="BF80" t="e">
        <f>'Price Calculation'!O40+"AM:!%Y3"</f>
        <v>#VALUE!</v>
      </c>
      <c r="BG80" t="e">
        <f>'Price Calculation'!P40+"AM:!%Y4"</f>
        <v>#VALUE!</v>
      </c>
      <c r="BH80" t="e">
        <f>'Price Calculation'!Q40+"AM:!%Y5"</f>
        <v>#VALUE!</v>
      </c>
      <c r="BI80" t="e">
        <f>'Price Calculation'!R40+"AM:!%Y6"</f>
        <v>#VALUE!</v>
      </c>
      <c r="BJ80" t="e">
        <f>'Price Calculation'!S40+"AM:!%Y7"</f>
        <v>#VALUE!</v>
      </c>
      <c r="BK80" t="e">
        <f>'Price Calculation'!T40+"AM:!%Y8"</f>
        <v>#VALUE!</v>
      </c>
      <c r="BL80" t="e">
        <f>'Price Calculation'!A41+"AM:!%Y9"</f>
        <v>#VALUE!</v>
      </c>
      <c r="BM80" t="e">
        <f>'Price Calculation'!B41+"AM:!%Y:"</f>
        <v>#VALUE!</v>
      </c>
      <c r="BN80" t="e">
        <f>'Price Calculation'!C41+"AM:!%Y;"</f>
        <v>#VALUE!</v>
      </c>
      <c r="BO80" s="97" t="e">
        <f>'Price Calculation'!D41+"AM:!%Y&lt;"</f>
        <v>#VALUE!</v>
      </c>
      <c r="BP80" s="97" t="e">
        <f>'Price Calculation'!E41+"AM:!%Y="</f>
        <v>#VALUE!</v>
      </c>
      <c r="BQ80" t="e">
        <f>'Price Calculation'!F41+"AM:!%Y&gt;"</f>
        <v>#VALUE!</v>
      </c>
      <c r="BR80" t="e">
        <f>'Price Calculation'!G41+"AM:!%Y?"</f>
        <v>#VALUE!</v>
      </c>
      <c r="BS80" s="97" t="e">
        <f>'Price Calculation'!H41+"AM:!%Y@"</f>
        <v>#VALUE!</v>
      </c>
      <c r="BT80" t="e">
        <f>'Price Calculation'!I41+"AM:!%YA"</f>
        <v>#VALUE!</v>
      </c>
      <c r="BU80" t="e">
        <f>'Price Calculation'!J41+"AM:!%YB"</f>
        <v>#VALUE!</v>
      </c>
      <c r="BV80" t="e">
        <f>'Price Calculation'!K41+"AM:!%YC"</f>
        <v>#VALUE!</v>
      </c>
      <c r="BW80" t="e">
        <f>'Price Calculation'!L41+"AM:!%YD"</f>
        <v>#VALUE!</v>
      </c>
      <c r="BX80" t="e">
        <f>'Price Calculation'!M41+"AM:!%YE"</f>
        <v>#VALUE!</v>
      </c>
      <c r="BY80" t="e">
        <f>'Price Calculation'!N41+"AM:!%YF"</f>
        <v>#VALUE!</v>
      </c>
      <c r="BZ80" t="e">
        <f>'Price Calculation'!O41+"AM:!%YG"</f>
        <v>#VALUE!</v>
      </c>
      <c r="CA80" t="e">
        <f>'Price Calculation'!P41+"AM:!%YH"</f>
        <v>#VALUE!</v>
      </c>
      <c r="CB80" t="e">
        <f>'Price Calculation'!Q41+"AM:!%YI"</f>
        <v>#VALUE!</v>
      </c>
      <c r="CC80" t="e">
        <f>'Price Calculation'!R41+"AM:!%YJ"</f>
        <v>#VALUE!</v>
      </c>
      <c r="CD80" t="e">
        <f>'Price Calculation'!S41+"AM:!%YK"</f>
        <v>#VALUE!</v>
      </c>
      <c r="CE80" t="e">
        <f>'Price Calculation'!T41+"AM:!%YL"</f>
        <v>#VALUE!</v>
      </c>
      <c r="CF80" t="e">
        <f>'Price Calculation'!A42+"AM:!%YM"</f>
        <v>#VALUE!</v>
      </c>
      <c r="CG80" t="e">
        <f>'Price Calculation'!B42+"AM:!%YN"</f>
        <v>#VALUE!</v>
      </c>
      <c r="CH80" t="e">
        <f>'Price Calculation'!C42+"AM:!%YO"</f>
        <v>#VALUE!</v>
      </c>
      <c r="CI80" s="97" t="e">
        <f>'Price Calculation'!D42+"AM:!%YP"</f>
        <v>#VALUE!</v>
      </c>
      <c r="CJ80" s="97" t="e">
        <f>'Price Calculation'!E42+"AM:!%YQ"</f>
        <v>#VALUE!</v>
      </c>
      <c r="CK80" t="e">
        <f>'Price Calculation'!F42+"AM:!%YR"</f>
        <v>#VALUE!</v>
      </c>
      <c r="CL80" t="e">
        <f>'Price Calculation'!G42+"AM:!%YS"</f>
        <v>#VALUE!</v>
      </c>
      <c r="CM80" s="97" t="e">
        <f>'Price Calculation'!H42+"AM:!%YT"</f>
        <v>#VALUE!</v>
      </c>
      <c r="CN80" t="e">
        <f>'Price Calculation'!I42+"AM:!%YU"</f>
        <v>#VALUE!</v>
      </c>
      <c r="CO80" t="e">
        <f>'Price Calculation'!J42+"AM:!%YV"</f>
        <v>#VALUE!</v>
      </c>
      <c r="CP80" t="e">
        <f>'Price Calculation'!K42+"AM:!%YW"</f>
        <v>#VALUE!</v>
      </c>
      <c r="CQ80" t="e">
        <f>'Price Calculation'!L42+"AM:!%YX"</f>
        <v>#VALUE!</v>
      </c>
      <c r="CR80" t="e">
        <f>'Price Calculation'!M42+"AM:!%YY"</f>
        <v>#VALUE!</v>
      </c>
      <c r="CS80" t="e">
        <f>'Price Calculation'!N42+"AM:!%YZ"</f>
        <v>#VALUE!</v>
      </c>
      <c r="CT80" t="e">
        <f>'Price Calculation'!O42+"AM:!%Y["</f>
        <v>#VALUE!</v>
      </c>
      <c r="CU80" t="e">
        <f>'Price Calculation'!P42+"AM:!%Y\"</f>
        <v>#VALUE!</v>
      </c>
      <c r="CV80" t="e">
        <f>'Price Calculation'!Q42+"AM:!%Y]"</f>
        <v>#VALUE!</v>
      </c>
      <c r="CW80" t="e">
        <f>'Price Calculation'!R42+"AM:!%Y^"</f>
        <v>#VALUE!</v>
      </c>
      <c r="CX80" t="e">
        <f>'Price Calculation'!S42+"AM:!%Y_"</f>
        <v>#VALUE!</v>
      </c>
      <c r="CY80" t="e">
        <f>'Price Calculation'!T42+"AM:!%Y`"</f>
        <v>#VALUE!</v>
      </c>
      <c r="CZ80" t="e">
        <f>'Price Calculation'!A43+"AM:!%Ya"</f>
        <v>#VALUE!</v>
      </c>
      <c r="DA80" t="e">
        <f>'Price Calculation'!B43+"AM:!%Yb"</f>
        <v>#VALUE!</v>
      </c>
      <c r="DB80" t="e">
        <f>'Price Calculation'!C43+"AM:!%Yc"</f>
        <v>#VALUE!</v>
      </c>
      <c r="DC80" s="97" t="e">
        <f>'Price Calculation'!D43+"AM:!%Yd"</f>
        <v>#VALUE!</v>
      </c>
      <c r="DD80" s="97" t="e">
        <f>'Price Calculation'!E43+"AM:!%Ye"</f>
        <v>#VALUE!</v>
      </c>
      <c r="DE80" t="e">
        <f>'Price Calculation'!F43+"AM:!%Yf"</f>
        <v>#VALUE!</v>
      </c>
      <c r="DF80" t="e">
        <f>'Price Calculation'!G43+"AM:!%Yg"</f>
        <v>#VALUE!</v>
      </c>
      <c r="DG80" s="97" t="e">
        <f>'Price Calculation'!H43+"AM:!%Yh"</f>
        <v>#VALUE!</v>
      </c>
      <c r="DH80" t="e">
        <f>'Price Calculation'!I43+"AM:!%Yi"</f>
        <v>#VALUE!</v>
      </c>
      <c r="DI80" t="e">
        <f>'Price Calculation'!J43+"AM:!%Yj"</f>
        <v>#VALUE!</v>
      </c>
      <c r="DJ80" t="e">
        <f>'Price Calculation'!K43+"AM:!%Yk"</f>
        <v>#VALUE!</v>
      </c>
      <c r="DK80" t="e">
        <f>'Price Calculation'!L43+"AM:!%Yl"</f>
        <v>#VALUE!</v>
      </c>
      <c r="DL80" t="e">
        <f>'Price Calculation'!M43+"AM:!%Ym"</f>
        <v>#VALUE!</v>
      </c>
      <c r="DM80" t="e">
        <f>'Price Calculation'!N43+"AM:!%Yn"</f>
        <v>#VALUE!</v>
      </c>
      <c r="DN80" t="e">
        <f>'Price Calculation'!O43+"AM:!%Yo"</f>
        <v>#VALUE!</v>
      </c>
      <c r="DO80" t="e">
        <f>'Price Calculation'!P43+"AM:!%Yp"</f>
        <v>#VALUE!</v>
      </c>
      <c r="DP80" t="e">
        <f>'Price Calculation'!Q43+"AM:!%Yq"</f>
        <v>#VALUE!</v>
      </c>
      <c r="DQ80" t="e">
        <f>'Price Calculation'!R43+"AM:!%Yr"</f>
        <v>#VALUE!</v>
      </c>
      <c r="DR80" t="e">
        <f>'Price Calculation'!S43+"AM:!%Ys"</f>
        <v>#VALUE!</v>
      </c>
      <c r="DS80" t="e">
        <f>'Price Calculation'!T43+"AM:!%Yt"</f>
        <v>#VALUE!</v>
      </c>
      <c r="DT80" t="e">
        <f>'Price Calculation'!A44+"AM:!%Yu"</f>
        <v>#VALUE!</v>
      </c>
      <c r="DU80" t="e">
        <f>'Price Calculation'!B44+"AM:!%Yv"</f>
        <v>#VALUE!</v>
      </c>
      <c r="DV80" t="e">
        <f>'Price Calculation'!C44+"AM:!%Yw"</f>
        <v>#VALUE!</v>
      </c>
      <c r="DW80" s="97" t="e">
        <f>'Price Calculation'!D44+"AM:!%Yx"</f>
        <v>#VALUE!</v>
      </c>
      <c r="DX80" s="97" t="e">
        <f>'Price Calculation'!E44+"AM:!%Yy"</f>
        <v>#VALUE!</v>
      </c>
      <c r="DY80" t="e">
        <f>'Price Calculation'!F44+"AM:!%Yz"</f>
        <v>#VALUE!</v>
      </c>
      <c r="DZ80" t="e">
        <f>'Price Calculation'!G44+"AM:!%Y{"</f>
        <v>#VALUE!</v>
      </c>
      <c r="EA80" s="97" t="e">
        <f>'Price Calculation'!H44+"AM:!%Y|"</f>
        <v>#VALUE!</v>
      </c>
      <c r="EB80" t="e">
        <f>'Price Calculation'!I44+"AM:!%Y}"</f>
        <v>#VALUE!</v>
      </c>
      <c r="EC80" t="e">
        <f>'Price Calculation'!J44+"AM:!%Y~"</f>
        <v>#VALUE!</v>
      </c>
      <c r="ED80" t="e">
        <f>'Price Calculation'!K44+"AM:!%Z#"</f>
        <v>#VALUE!</v>
      </c>
      <c r="EE80" t="e">
        <f>'Price Calculation'!L44+"AM:!%Z$"</f>
        <v>#VALUE!</v>
      </c>
      <c r="EF80" t="e">
        <f>'Price Calculation'!M44+"AM:!%Z%"</f>
        <v>#VALUE!</v>
      </c>
      <c r="EG80" t="e">
        <f>'Price Calculation'!N44+"AM:!%Z&amp;"</f>
        <v>#VALUE!</v>
      </c>
      <c r="EH80" t="e">
        <f>'Price Calculation'!O44+"AM:!%Z'"</f>
        <v>#VALUE!</v>
      </c>
      <c r="EI80" t="e">
        <f>'Price Calculation'!P44+"AM:!%Z("</f>
        <v>#VALUE!</v>
      </c>
      <c r="EJ80" t="e">
        <f>'Price Calculation'!Q44+"AM:!%Z)"</f>
        <v>#VALUE!</v>
      </c>
      <c r="EK80" t="e">
        <f>'Price Calculation'!R44+"AM:!%Z."</f>
        <v>#VALUE!</v>
      </c>
      <c r="EL80" t="e">
        <f>'Price Calculation'!S44+"AM:!%Z/"</f>
        <v>#VALUE!</v>
      </c>
      <c r="EM80" t="e">
        <f>'Price Calculation'!T44+"AM:!%Z0"</f>
        <v>#VALUE!</v>
      </c>
      <c r="EN80" t="e">
        <f>'Price Calculation'!A45+"AM:!%Z1"</f>
        <v>#VALUE!</v>
      </c>
      <c r="EO80" t="e">
        <f>'Price Calculation'!B45+"AM:!%Z2"</f>
        <v>#VALUE!</v>
      </c>
      <c r="EP80" t="e">
        <f>'Price Calculation'!C45+"AM:!%Z3"</f>
        <v>#VALUE!</v>
      </c>
      <c r="EQ80" s="97" t="e">
        <f>'Price Calculation'!D45+"AM:!%Z4"</f>
        <v>#VALUE!</v>
      </c>
      <c r="ER80" s="97" t="e">
        <f>'Price Calculation'!E45+"AM:!%Z5"</f>
        <v>#VALUE!</v>
      </c>
      <c r="ES80" t="e">
        <f>'Price Calculation'!F45+"AM:!%Z6"</f>
        <v>#VALUE!</v>
      </c>
      <c r="ET80" t="e">
        <f>'Price Calculation'!G45+"AM:!%Z7"</f>
        <v>#VALUE!</v>
      </c>
      <c r="EU80" s="97" t="e">
        <f>'Price Calculation'!H45+"AM:!%Z8"</f>
        <v>#VALUE!</v>
      </c>
      <c r="EV80" t="e">
        <f>'Price Calculation'!I45+"AM:!%Z9"</f>
        <v>#VALUE!</v>
      </c>
      <c r="EW80" t="e">
        <f>'Price Calculation'!J45+"AM:!%Z:"</f>
        <v>#VALUE!</v>
      </c>
      <c r="EX80" t="e">
        <f>'Price Calculation'!K45+"AM:!%Z;"</f>
        <v>#VALUE!</v>
      </c>
      <c r="EY80" t="e">
        <f>'Price Calculation'!L45+"AM:!%Z&lt;"</f>
        <v>#VALUE!</v>
      </c>
      <c r="EZ80" t="e">
        <f>'Price Calculation'!M45+"AM:!%Z="</f>
        <v>#VALUE!</v>
      </c>
      <c r="FA80" t="e">
        <f>'Price Calculation'!N45+"AM:!%Z&gt;"</f>
        <v>#VALUE!</v>
      </c>
      <c r="FB80" t="e">
        <f>'Price Calculation'!O45+"AM:!%Z?"</f>
        <v>#VALUE!</v>
      </c>
      <c r="FC80" t="e">
        <f>'Price Calculation'!P45+"AM:!%Z@"</f>
        <v>#VALUE!</v>
      </c>
      <c r="FD80" t="e">
        <f>'Price Calculation'!Q45+"AM:!%ZA"</f>
        <v>#VALUE!</v>
      </c>
      <c r="FE80" t="e">
        <f>'Price Calculation'!R45+"AM:!%ZB"</f>
        <v>#VALUE!</v>
      </c>
      <c r="FF80" t="e">
        <f>'Price Calculation'!S45+"AM:!%ZC"</f>
        <v>#VALUE!</v>
      </c>
      <c r="FG80" t="e">
        <f>'Price Calculation'!T45+"AM:!%ZD"</f>
        <v>#VALUE!</v>
      </c>
      <c r="FH80" t="e">
        <f>'Price Calculation'!A46+"AM:!%ZE"</f>
        <v>#VALUE!</v>
      </c>
      <c r="FI80" t="e">
        <f>'Price Calculation'!B46+"AM:!%ZF"</f>
        <v>#VALUE!</v>
      </c>
      <c r="FJ80" t="e">
        <f>'Price Calculation'!C46+"AM:!%ZG"</f>
        <v>#VALUE!</v>
      </c>
      <c r="FK80" s="97" t="e">
        <f>'Price Calculation'!D46+"AM:!%ZH"</f>
        <v>#VALUE!</v>
      </c>
      <c r="FL80" s="97" t="e">
        <f>'Price Calculation'!E46+"AM:!%ZI"</f>
        <v>#VALUE!</v>
      </c>
      <c r="FM80" t="e">
        <f>'Price Calculation'!F46+"AM:!%ZJ"</f>
        <v>#VALUE!</v>
      </c>
      <c r="FN80" t="e">
        <f>'Price Calculation'!G46+"AM:!%ZK"</f>
        <v>#VALUE!</v>
      </c>
      <c r="FO80" s="97" t="e">
        <f>'Price Calculation'!H46+"AM:!%ZL"</f>
        <v>#VALUE!</v>
      </c>
      <c r="FP80" t="e">
        <f>'Price Calculation'!I46+"AM:!%ZM"</f>
        <v>#VALUE!</v>
      </c>
      <c r="FQ80" t="e">
        <f>'Price Calculation'!J46+"AM:!%ZN"</f>
        <v>#VALUE!</v>
      </c>
      <c r="FR80" t="e">
        <f>'Price Calculation'!K46+"AM:!%ZO"</f>
        <v>#VALUE!</v>
      </c>
      <c r="FS80" t="e">
        <f>'Price Calculation'!L46+"AM:!%ZP"</f>
        <v>#VALUE!</v>
      </c>
      <c r="FT80" t="e">
        <f>'Price Calculation'!M46+"AM:!%ZQ"</f>
        <v>#VALUE!</v>
      </c>
      <c r="FU80" t="e">
        <f>'Price Calculation'!N46+"AM:!%ZR"</f>
        <v>#VALUE!</v>
      </c>
      <c r="FV80" t="e">
        <f>'Price Calculation'!O46+"AM:!%ZS"</f>
        <v>#VALUE!</v>
      </c>
      <c r="FW80" t="e">
        <f>'Price Calculation'!P46+"AM:!%ZT"</f>
        <v>#VALUE!</v>
      </c>
      <c r="FX80" t="e">
        <f>'Price Calculation'!Q46+"AM:!%ZU"</f>
        <v>#VALUE!</v>
      </c>
      <c r="FY80" t="e">
        <f>'Price Calculation'!R46+"AM:!%ZV"</f>
        <v>#VALUE!</v>
      </c>
      <c r="FZ80" t="e">
        <f>'Price Calculation'!S46+"AM:!%ZW"</f>
        <v>#VALUE!</v>
      </c>
      <c r="GA80" t="e">
        <f>'Price Calculation'!T46+"AM:!%ZX"</f>
        <v>#VALUE!</v>
      </c>
      <c r="GB80" t="e">
        <f>'Price Calculation'!A47+"AM:!%ZY"</f>
        <v>#VALUE!</v>
      </c>
      <c r="GC80" t="e">
        <f>'Price Calculation'!B47+"AM:!%ZZ"</f>
        <v>#VALUE!</v>
      </c>
      <c r="GD80" t="e">
        <f>'Price Calculation'!C47+"AM:!%Z["</f>
        <v>#VALUE!</v>
      </c>
      <c r="GE80" s="97" t="e">
        <f>'Price Calculation'!D47+"AM:!%Z\"</f>
        <v>#VALUE!</v>
      </c>
      <c r="GF80" s="97" t="e">
        <f>'Price Calculation'!E47+"AM:!%Z]"</f>
        <v>#VALUE!</v>
      </c>
      <c r="GG80" t="e">
        <f>'Price Calculation'!F47+"AM:!%Z^"</f>
        <v>#VALUE!</v>
      </c>
      <c r="GH80" t="e">
        <f>'Price Calculation'!G47+"AM:!%Z_"</f>
        <v>#VALUE!</v>
      </c>
      <c r="GI80" s="97" t="e">
        <f>'Price Calculation'!H47+"AM:!%Z`"</f>
        <v>#VALUE!</v>
      </c>
      <c r="GJ80" t="e">
        <f>'Price Calculation'!I47+"AM:!%Za"</f>
        <v>#VALUE!</v>
      </c>
      <c r="GK80" t="e">
        <f>'Price Calculation'!J47+"AM:!%Zb"</f>
        <v>#VALUE!</v>
      </c>
      <c r="GL80" t="e">
        <f>'Price Calculation'!K47+"AM:!%Zc"</f>
        <v>#VALUE!</v>
      </c>
      <c r="GM80" t="e">
        <f>'Price Calculation'!L47+"AM:!%Zd"</f>
        <v>#VALUE!</v>
      </c>
      <c r="GN80" t="e">
        <f>'Price Calculation'!M47+"AM:!%Ze"</f>
        <v>#VALUE!</v>
      </c>
      <c r="GO80" t="e">
        <f>'Price Calculation'!N47+"AM:!%Zf"</f>
        <v>#VALUE!</v>
      </c>
      <c r="GP80" t="e">
        <f>'Price Calculation'!O47+"AM:!%Zg"</f>
        <v>#VALUE!</v>
      </c>
      <c r="GQ80" t="e">
        <f>'Price Calculation'!P47+"AM:!%Zh"</f>
        <v>#VALUE!</v>
      </c>
      <c r="GR80" t="e">
        <f>'Price Calculation'!Q47+"AM:!%Zi"</f>
        <v>#VALUE!</v>
      </c>
      <c r="GS80" t="e">
        <f>'Price Calculation'!R47+"AM:!%Zj"</f>
        <v>#VALUE!</v>
      </c>
      <c r="GT80" t="e">
        <f>'Price Calculation'!S47+"AM:!%Zk"</f>
        <v>#VALUE!</v>
      </c>
      <c r="GU80" t="e">
        <f>'Price Calculation'!T47+"AM:!%Zl"</f>
        <v>#VALUE!</v>
      </c>
      <c r="GV80" t="e">
        <f>'Price Calculation'!A48+"AM:!%Zm"</f>
        <v>#VALUE!</v>
      </c>
      <c r="GW80" t="e">
        <f>'Price Calculation'!B48+"AM:!%Zn"</f>
        <v>#VALUE!</v>
      </c>
      <c r="GX80" t="e">
        <f>'Price Calculation'!C48+"AM:!%Zo"</f>
        <v>#VALUE!</v>
      </c>
      <c r="GY80" s="97" t="e">
        <f>'Price Calculation'!D48+"AM:!%Zp"</f>
        <v>#VALUE!</v>
      </c>
      <c r="GZ80" s="97" t="e">
        <f>'Price Calculation'!E48+"AM:!%Zq"</f>
        <v>#VALUE!</v>
      </c>
      <c r="HA80" t="e">
        <f>'Price Calculation'!F48+"AM:!%Zr"</f>
        <v>#VALUE!</v>
      </c>
      <c r="HB80" t="e">
        <f>'Price Calculation'!G48+"AM:!%Zs"</f>
        <v>#VALUE!</v>
      </c>
      <c r="HC80" s="97" t="e">
        <f>'Price Calculation'!H48+"AM:!%Zt"</f>
        <v>#VALUE!</v>
      </c>
      <c r="HD80" t="e">
        <f>'Price Calculation'!I48+"AM:!%Zu"</f>
        <v>#VALUE!</v>
      </c>
      <c r="HE80" t="e">
        <f>'Price Calculation'!J48+"AM:!%Zv"</f>
        <v>#VALUE!</v>
      </c>
      <c r="HF80" t="e">
        <f>'Price Calculation'!K48+"AM:!%Zw"</f>
        <v>#VALUE!</v>
      </c>
      <c r="HG80" t="e">
        <f>'Price Calculation'!L48+"AM:!%Zx"</f>
        <v>#VALUE!</v>
      </c>
      <c r="HH80" t="e">
        <f>'Price Calculation'!M48+"AM:!%Zy"</f>
        <v>#VALUE!</v>
      </c>
      <c r="HI80" t="e">
        <f>'Price Calculation'!N48+"AM:!%Zz"</f>
        <v>#VALUE!</v>
      </c>
      <c r="HJ80" t="e">
        <f>'Price Calculation'!O48+"AM:!%Z{"</f>
        <v>#VALUE!</v>
      </c>
      <c r="HK80" t="e">
        <f>'Price Calculation'!P48+"AM:!%Z|"</f>
        <v>#VALUE!</v>
      </c>
      <c r="HL80" t="e">
        <f>'Price Calculation'!Q48+"AM:!%Z}"</f>
        <v>#VALUE!</v>
      </c>
      <c r="HM80" t="e">
        <f>'Price Calculation'!R48+"AM:!%Z~"</f>
        <v>#VALUE!</v>
      </c>
      <c r="HN80" t="e">
        <f>'Price Calculation'!S48+"AM:!%[#"</f>
        <v>#VALUE!</v>
      </c>
      <c r="HO80" t="e">
        <f>'Price Calculation'!T48+"AM:!%[$"</f>
        <v>#VALUE!</v>
      </c>
      <c r="HP80" t="e">
        <f>'Price Calculation'!A49+"AM:!%[%"</f>
        <v>#VALUE!</v>
      </c>
      <c r="HQ80" t="e">
        <f>'Price Calculation'!B49+"AM:!%[&amp;"</f>
        <v>#VALUE!</v>
      </c>
      <c r="HR80" t="e">
        <f>'Price Calculation'!C49+"AM:!%['"</f>
        <v>#VALUE!</v>
      </c>
      <c r="HS80" s="97" t="e">
        <f>'Price Calculation'!D49+"AM:!%[("</f>
        <v>#VALUE!</v>
      </c>
      <c r="HT80" s="97" t="e">
        <f>'Price Calculation'!E49+"AM:!%[)"</f>
        <v>#VALUE!</v>
      </c>
      <c r="HU80" s="97" t="e">
        <f>'Price Calculation'!F49+"AM:!%[."</f>
        <v>#VALUE!</v>
      </c>
      <c r="HV80" s="100" t="e">
        <f>'Price Calculation'!G49+"AM:!%[/"</f>
        <v>#VALUE!</v>
      </c>
      <c r="HW80" s="97" t="e">
        <f>'Price Calculation'!H49+"AM:!%[0"</f>
        <v>#VALUE!</v>
      </c>
      <c r="HX80" s="97" t="e">
        <f>'Price Calculation'!I49+"AM:!%[1"</f>
        <v>#VALUE!</v>
      </c>
      <c r="HY80" t="e">
        <f>'Price Calculation'!J49+"AM:!%[2"</f>
        <v>#VALUE!</v>
      </c>
      <c r="HZ80" t="e">
        <f>'Price Calculation'!K49+"AM:!%[3"</f>
        <v>#VALUE!</v>
      </c>
      <c r="IA80" t="e">
        <f>'Price Calculation'!L49+"AM:!%[4"</f>
        <v>#VALUE!</v>
      </c>
      <c r="IB80" t="e">
        <f>'Price Calculation'!M49+"AM:!%[5"</f>
        <v>#VALUE!</v>
      </c>
      <c r="IC80" t="e">
        <f>'Price Calculation'!N49+"AM:!%[6"</f>
        <v>#VALUE!</v>
      </c>
      <c r="ID80" t="e">
        <f>'Price Calculation'!O49+"AM:!%[7"</f>
        <v>#VALUE!</v>
      </c>
      <c r="IE80" t="e">
        <f>'Price Calculation'!P49+"AM:!%[8"</f>
        <v>#VALUE!</v>
      </c>
      <c r="IF80" t="e">
        <f>'Price Calculation'!Q49+"AM:!%[9"</f>
        <v>#VALUE!</v>
      </c>
      <c r="IG80" t="e">
        <f>'Price Calculation'!R49+"AM:!%[:"</f>
        <v>#VALUE!</v>
      </c>
      <c r="IH80" t="e">
        <f>'Price Calculation'!S49+"AM:!%[;"</f>
        <v>#VALUE!</v>
      </c>
      <c r="II80" t="e">
        <f>'Price Calculation'!T49+"AM:!%[&lt;"</f>
        <v>#VALUE!</v>
      </c>
      <c r="IJ80" t="e">
        <f>'Price Calculation'!A50+"AM:!%[="</f>
        <v>#VALUE!</v>
      </c>
      <c r="IK80" t="e">
        <f>'Price Calculation'!B50+"AM:!%[&gt;"</f>
        <v>#VALUE!</v>
      </c>
      <c r="IL80" t="e">
        <f>'Price Calculation'!C50+"AM:!%[?"</f>
        <v>#VALUE!</v>
      </c>
      <c r="IM80" t="e">
        <f>'Price Calculation'!D50+"AM:!%[@"</f>
        <v>#VALUE!</v>
      </c>
      <c r="IN80" t="e">
        <f>'Price Calculation'!E50+"AM:!%[A"</f>
        <v>#VALUE!</v>
      </c>
      <c r="IO80" t="e">
        <f>'Price Calculation'!F50+"AM:!%[B"</f>
        <v>#VALUE!</v>
      </c>
      <c r="IP80" t="e">
        <f>'Price Calculation'!G50+"AM:!%[C"</f>
        <v>#VALUE!</v>
      </c>
      <c r="IQ80" t="e">
        <f>'Price Calculation'!H50+"AM:!%[D"</f>
        <v>#VALUE!</v>
      </c>
      <c r="IR80" t="e">
        <f>'Price Calculation'!I50+"AM:!%[E"</f>
        <v>#VALUE!</v>
      </c>
      <c r="IS80" t="e">
        <f>'Price Calculation'!J50+"AM:!%[F"</f>
        <v>#VALUE!</v>
      </c>
      <c r="IT80" t="e">
        <f>'Price Calculation'!K50+"AM:!%[G"</f>
        <v>#VALUE!</v>
      </c>
      <c r="IU80" t="e">
        <f>'Price Calculation'!L50+"AM:!%[H"</f>
        <v>#VALUE!</v>
      </c>
      <c r="IV80" t="e">
        <f>'Price Calculation'!M50+"AM:!%[I"</f>
        <v>#VALUE!</v>
      </c>
    </row>
    <row r="81" spans="6:256">
      <c r="F81" t="e">
        <f>'Price Calculation'!N50+"AM:!%[J"</f>
        <v>#VALUE!</v>
      </c>
      <c r="G81" t="e">
        <f>'Price Calculation'!O50+"AM:!%[K"</f>
        <v>#VALUE!</v>
      </c>
      <c r="H81" t="e">
        <f>'Price Calculation'!P50+"AM:!%[L"</f>
        <v>#VALUE!</v>
      </c>
      <c r="I81" t="e">
        <f>'Price Calculation'!Q50+"AM:!%[M"</f>
        <v>#VALUE!</v>
      </c>
      <c r="J81" t="e">
        <f>'Price Calculation'!R50+"AM:!%[N"</f>
        <v>#VALUE!</v>
      </c>
      <c r="K81" t="e">
        <f>'Price Calculation'!S50+"AM:!%[O"</f>
        <v>#VALUE!</v>
      </c>
      <c r="L81" t="e">
        <f>'Price Calculation'!T50+"AM:!%[P"</f>
        <v>#VALUE!</v>
      </c>
      <c r="M81" t="e">
        <f>'Price Calculation'!A51+"AM:!%[Q"</f>
        <v>#VALUE!</v>
      </c>
      <c r="N81" t="e">
        <f>'Price Calculation'!B51+"AM:!%[R"</f>
        <v>#VALUE!</v>
      </c>
      <c r="O81" t="e">
        <f>'Price Calculation'!C51+"AM:!%[S"</f>
        <v>#VALUE!</v>
      </c>
      <c r="P81" t="e">
        <f>'Price Calculation'!D51+"AM:!%[T"</f>
        <v>#VALUE!</v>
      </c>
      <c r="Q81" t="e">
        <f>'Price Calculation'!E51+"AM:!%[U"</f>
        <v>#VALUE!</v>
      </c>
      <c r="R81" t="e">
        <f>'Price Calculation'!F51+"AM:!%[V"</f>
        <v>#VALUE!</v>
      </c>
      <c r="S81" t="e">
        <f>'Price Calculation'!G51+"AM:!%[W"</f>
        <v>#VALUE!</v>
      </c>
      <c r="T81" t="e">
        <f>'Price Calculation'!H51+"AM:!%[X"</f>
        <v>#VALUE!</v>
      </c>
      <c r="U81" t="e">
        <f>'Price Calculation'!I51+"AM:!%[Y"</f>
        <v>#VALUE!</v>
      </c>
      <c r="V81" t="e">
        <f>'Price Calculation'!J51+"AM:!%[Z"</f>
        <v>#VALUE!</v>
      </c>
      <c r="W81" t="e">
        <f>'Price Calculation'!K51+"AM:!%[["</f>
        <v>#VALUE!</v>
      </c>
      <c r="X81" t="e">
        <f>'Price Calculation'!L51+"AM:!%[\"</f>
        <v>#VALUE!</v>
      </c>
      <c r="Y81" t="e">
        <f>'Price Calculation'!M51+"AM:!%[]"</f>
        <v>#VALUE!</v>
      </c>
      <c r="Z81" t="e">
        <f>'Price Calculation'!N51+"AM:!%[^"</f>
        <v>#VALUE!</v>
      </c>
      <c r="AA81" t="e">
        <f>'Price Calculation'!O51+"AM:!%[_"</f>
        <v>#VALUE!</v>
      </c>
      <c r="AB81" t="e">
        <f>'Price Calculation'!P51+"AM:!%[`"</f>
        <v>#VALUE!</v>
      </c>
      <c r="AC81" t="e">
        <f>'Price Calculation'!Q51+"AM:!%[a"</f>
        <v>#VALUE!</v>
      </c>
      <c r="AD81" t="e">
        <f>'Price Calculation'!R51+"AM:!%[b"</f>
        <v>#VALUE!</v>
      </c>
      <c r="AE81" t="e">
        <f>'Price Calculation'!S51+"AM:!%[c"</f>
        <v>#VALUE!</v>
      </c>
      <c r="AF81" t="e">
        <f>'Price Calculation'!T51+"AM:!%[d"</f>
        <v>#VALUE!</v>
      </c>
      <c r="AG81" t="e">
        <f>'Price Calculation'!A52+"AM:!%[e"</f>
        <v>#VALUE!</v>
      </c>
      <c r="AH81" t="e">
        <f>'Price Calculation'!B52+"AM:!%[f"</f>
        <v>#VALUE!</v>
      </c>
      <c r="AI81" t="e">
        <f>'Price Calculation'!C52+"AM:!%[g"</f>
        <v>#VALUE!</v>
      </c>
      <c r="AJ81" t="e">
        <f>'Price Calculation'!D52+"AM:!%[h"</f>
        <v>#VALUE!</v>
      </c>
      <c r="AK81" t="e">
        <f>'Price Calculation'!E52+"AM:!%[i"</f>
        <v>#VALUE!</v>
      </c>
      <c r="AL81" t="e">
        <f>'Price Calculation'!A53+"AM:!%[j"</f>
        <v>#VALUE!</v>
      </c>
      <c r="AM81" t="e">
        <f>'Price Calculation'!B53+"AM:!%[k"</f>
        <v>#VALUE!</v>
      </c>
      <c r="AN81" t="e">
        <f>'Price Calculation'!C53+"AM:!%[l"</f>
        <v>#VALUE!</v>
      </c>
      <c r="AO81" t="e">
        <f>'Price Calculation'!D53+"AM:!%[m"</f>
        <v>#VALUE!</v>
      </c>
      <c r="AP81" t="e">
        <f>'Price Calculation'!E53+"AM:!%[n"</f>
        <v>#VALUE!</v>
      </c>
      <c r="AQ81" t="e">
        <f>'Price Calculation'!A54+"AM:!%[o"</f>
        <v>#VALUE!</v>
      </c>
      <c r="AR81" t="e">
        <f>'Price Calculation'!B54+"AM:!%[p"</f>
        <v>#VALUE!</v>
      </c>
      <c r="AS81" t="e">
        <f>'Price Calculation'!C54+"AM:!%[q"</f>
        <v>#VALUE!</v>
      </c>
      <c r="AT81" t="e">
        <f>'Price Calculation'!D54+"AM:!%[r"</f>
        <v>#VALUE!</v>
      </c>
      <c r="AU81" t="e">
        <f>'Price Calculation'!E54+"AM:!%[s"</f>
        <v>#VALUE!</v>
      </c>
      <c r="AV81" t="e">
        <f>'Price Calculation'!F54+"AM:!%[t"</f>
        <v>#VALUE!</v>
      </c>
      <c r="AW81" t="e">
        <f>'Price Calculation'!G54+"AM:!%[u"</f>
        <v>#VALUE!</v>
      </c>
      <c r="AX81" t="e">
        <f>'Price Calculation'!H54+"AM:!%[v"</f>
        <v>#VALUE!</v>
      </c>
      <c r="AY81" t="e">
        <f>'Price Calculation'!I54+"AM:!%[w"</f>
        <v>#VALUE!</v>
      </c>
      <c r="AZ81" t="e">
        <f>'Price Calculation'!J54+"AM:!%[x"</f>
        <v>#VALUE!</v>
      </c>
      <c r="BA81" t="e">
        <f>'Price Calculation'!K54+"AM:!%[y"</f>
        <v>#VALUE!</v>
      </c>
      <c r="BB81" t="e">
        <f>'Price Calculation'!L54+"AM:!%[z"</f>
        <v>#VALUE!</v>
      </c>
      <c r="BC81" t="e">
        <f>'Price Calculation'!M54+"AM:!%[{"</f>
        <v>#VALUE!</v>
      </c>
      <c r="BD81" t="e">
        <f>'Price Calculation'!N54+"AM:!%[|"</f>
        <v>#VALUE!</v>
      </c>
      <c r="BE81" t="e">
        <f>'Price Calculation'!A55+"AM:!%[}"</f>
        <v>#VALUE!</v>
      </c>
      <c r="BF81" t="e">
        <f>'Price Calculation'!B55+"AM:!%[~"</f>
        <v>#VALUE!</v>
      </c>
      <c r="BG81" t="e">
        <f>'Price Calculation'!C55+"AM:!%\#"</f>
        <v>#VALUE!</v>
      </c>
      <c r="BH81" t="e">
        <f>'Price Calculation'!D55+"AM:!%\$"</f>
        <v>#VALUE!</v>
      </c>
      <c r="BI81" t="e">
        <f>'Price Calculation'!E55+"AM:!%\%"</f>
        <v>#VALUE!</v>
      </c>
      <c r="BJ81" s="98" t="e">
        <f>'Price Calculation'!F55+"AM:!%\&amp;"</f>
        <v>#VALUE!</v>
      </c>
      <c r="BK81" s="98" t="e">
        <f>'Price Calculation'!G55+"AM:!%\'"</f>
        <v>#VALUE!</v>
      </c>
      <c r="BL81" s="102" t="e">
        <f>'Price Calculation'!H55+"AM:!%\("</f>
        <v>#VALUE!</v>
      </c>
      <c r="BM81" s="102" t="e">
        <f>'Price Calculation'!I55+"AM:!%\)"</f>
        <v>#VALUE!</v>
      </c>
      <c r="BN81" s="102" t="e">
        <f>'Price Calculation'!J55+"AM:!%\."</f>
        <v>#VALUE!</v>
      </c>
      <c r="BO81" s="102" t="e">
        <f>'Price Calculation'!K55+"AM:!%\/"</f>
        <v>#VALUE!</v>
      </c>
      <c r="BP81" s="102" t="e">
        <f>'Price Calculation'!L55+"AM:!%\0"</f>
        <v>#VALUE!</v>
      </c>
      <c r="BQ81" s="102" t="e">
        <f>'Price Calculation'!M55+"AM:!%\1"</f>
        <v>#VALUE!</v>
      </c>
      <c r="BR81" s="102" t="e">
        <f>'Price Calculation'!N55+"AM:!%\2"</f>
        <v>#VALUE!</v>
      </c>
      <c r="BS81" t="e">
        <f>'Price Calculation'!A56+"AM:!%\3"</f>
        <v>#VALUE!</v>
      </c>
      <c r="BT81" t="e">
        <f>'Price Calculation'!B56+"AM:!%\4"</f>
        <v>#VALUE!</v>
      </c>
      <c r="BU81" t="e">
        <f>'Price Calculation'!C56+"AM:!%\5"</f>
        <v>#VALUE!</v>
      </c>
      <c r="BV81" t="e">
        <f>'Price Calculation'!D56+"AM:!%\6"</f>
        <v>#VALUE!</v>
      </c>
      <c r="BW81" t="e">
        <f>'Price Calculation'!E56+"AM:!%\7"</f>
        <v>#VALUE!</v>
      </c>
      <c r="BX81" s="98" t="e">
        <f>'Price Calculation'!F56+"AM:!%\8"</f>
        <v>#VALUE!</v>
      </c>
      <c r="BY81" s="98" t="e">
        <f>'Price Calculation'!G56+"AM:!%\9"</f>
        <v>#VALUE!</v>
      </c>
      <c r="BZ81" s="102" t="e">
        <f>'Price Calculation'!H56+"AM:!%\:"</f>
        <v>#VALUE!</v>
      </c>
      <c r="CA81" s="102" t="e">
        <f>'Price Calculation'!I56+"AM:!%\;"</f>
        <v>#VALUE!</v>
      </c>
      <c r="CB81" s="102" t="e">
        <f>'Price Calculation'!J56+"AM:!%\&lt;"</f>
        <v>#VALUE!</v>
      </c>
      <c r="CC81" s="102" t="e">
        <f>'Price Calculation'!K56+"AM:!%\="</f>
        <v>#VALUE!</v>
      </c>
      <c r="CD81" s="102" t="e">
        <f>'Price Calculation'!L56+"AM:!%\&gt;"</f>
        <v>#VALUE!</v>
      </c>
      <c r="CE81" s="102" t="e">
        <f>'Price Calculation'!M56+"AM:!%\?"</f>
        <v>#VALUE!</v>
      </c>
      <c r="CF81" s="102" t="e">
        <f>'Price Calculation'!N56+"AM:!%\@"</f>
        <v>#VALUE!</v>
      </c>
      <c r="CG81" t="e">
        <f>'Price Calculation'!A57+"AM:!%\A"</f>
        <v>#VALUE!</v>
      </c>
      <c r="CH81" t="e">
        <f>'Price Calculation'!B57+"AM:!%\B"</f>
        <v>#VALUE!</v>
      </c>
      <c r="CI81" t="e">
        <f>'Price Calculation'!C57+"AM:!%\C"</f>
        <v>#VALUE!</v>
      </c>
      <c r="CJ81" t="e">
        <f>'Price Calculation'!D57+"AM:!%\D"</f>
        <v>#VALUE!</v>
      </c>
      <c r="CK81" t="e">
        <f>'Price Calculation'!E57+"AM:!%\E"</f>
        <v>#VALUE!</v>
      </c>
      <c r="CL81" s="98" t="e">
        <f>'Price Calculation'!F57+"AM:!%\F"</f>
        <v>#VALUE!</v>
      </c>
      <c r="CM81" s="98" t="e">
        <f>'Price Calculation'!G57+"AM:!%\G"</f>
        <v>#VALUE!</v>
      </c>
      <c r="CN81" s="102" t="e">
        <f>'Price Calculation'!H57+"AM:!%\H"</f>
        <v>#VALUE!</v>
      </c>
      <c r="CO81" s="102" t="e">
        <f>'Price Calculation'!I57+"AM:!%\I"</f>
        <v>#VALUE!</v>
      </c>
      <c r="CP81" s="102" t="e">
        <f>'Price Calculation'!J57+"AM:!%\J"</f>
        <v>#VALUE!</v>
      </c>
      <c r="CQ81" s="102" t="e">
        <f>'Price Calculation'!K57+"AM:!%\K"</f>
        <v>#VALUE!</v>
      </c>
      <c r="CR81" s="102" t="e">
        <f>'Price Calculation'!L57+"AM:!%\L"</f>
        <v>#VALUE!</v>
      </c>
      <c r="CS81" s="102" t="e">
        <f>'Price Calculation'!M57+"AM:!%\M"</f>
        <v>#VALUE!</v>
      </c>
      <c r="CT81" s="102" t="e">
        <f>'Price Calculation'!N57+"AM:!%\N"</f>
        <v>#VALUE!</v>
      </c>
      <c r="CU81" t="e">
        <f>'Price Calculation'!E58+"AM:!%\O"</f>
        <v>#VALUE!</v>
      </c>
      <c r="CV81" t="e">
        <f>'Price Calculation'!F58+"AM:!%\P"</f>
        <v>#VALUE!</v>
      </c>
      <c r="CW81" t="e">
        <f>'Price Calculation'!G58+"AM:!%\Q"</f>
        <v>#VALUE!</v>
      </c>
      <c r="CX81" t="e">
        <f>'Price Calculation'!H58+"AM:!%\R"</f>
        <v>#VALUE!</v>
      </c>
      <c r="CY81" t="e">
        <f>'Price Calculation'!I58+"AM:!%\S"</f>
        <v>#VALUE!</v>
      </c>
      <c r="CZ81" t="e">
        <f>'Price Calculation'!J58+"AM:!%\T"</f>
        <v>#VALUE!</v>
      </c>
      <c r="DA81" t="e">
        <f>'Price Calculation'!K58+"AM:!%\U"</f>
        <v>#VALUE!</v>
      </c>
      <c r="DB81" t="e">
        <f>'Price Calculation'!L58+"AM:!%\V"</f>
        <v>#VALUE!</v>
      </c>
      <c r="DC81" t="e">
        <f>'Price Calculation'!M58+"AM:!%\W"</f>
        <v>#VALUE!</v>
      </c>
      <c r="DD81" t="e">
        <f>'Technical Master Data'!P31+"AM:!%\X"</f>
        <v>#VALUE!</v>
      </c>
      <c r="DE81" t="e">
        <f>'Technical Master Data'!#REF!+"AM:!%\Y"</f>
        <v>#REF!</v>
      </c>
      <c r="DF81" t="e">
        <f>'Technical Master Data'!Q31+"AM:!%\Z"</f>
        <v>#VALUE!</v>
      </c>
      <c r="DG81" t="e">
        <f>'Technical Master Data'!R31+"AM:!%\["</f>
        <v>#VALUE!</v>
      </c>
      <c r="DH81" t="e">
        <f>'Technical Master Data'!S31+"AM:!%\\"</f>
        <v>#VALUE!</v>
      </c>
      <c r="DI81" t="e">
        <f>'Price Calculation'!F59+"AM:!%\]"</f>
        <v>#VALUE!</v>
      </c>
      <c r="DJ81" t="e">
        <f>'Price Calculation'!G59+"AM:!%\^"</f>
        <v>#VALUE!</v>
      </c>
      <c r="DK81" t="e">
        <f>'Price Calculation'!H59+"AM:!%\_"</f>
        <v>#VALUE!</v>
      </c>
      <c r="DL81" t="e">
        <f>'Price Calculation'!I59+"AM:!%\`"</f>
        <v>#VALUE!</v>
      </c>
      <c r="DM81" t="e">
        <f>'Price Calculation'!J59+"AM:!%\a"</f>
        <v>#VALUE!</v>
      </c>
      <c r="DN81" t="e">
        <f>'Price Calculation'!K59+"AM:!%\b"</f>
        <v>#VALUE!</v>
      </c>
      <c r="DO81" t="e">
        <f>'Price Calculation'!L59+"AM:!%\c"</f>
        <v>#VALUE!</v>
      </c>
      <c r="DP81" t="e">
        <f>'Price Calculation'!M59+"AM:!%\d"</f>
        <v>#VALUE!</v>
      </c>
      <c r="DQ81" t="e">
        <f>'Technical Master Data'!P32+"AM:!%\e"</f>
        <v>#VALUE!</v>
      </c>
      <c r="DR81" t="e">
        <f>'Technical Master Data'!#REF!+"AM:!%\f"</f>
        <v>#REF!</v>
      </c>
      <c r="DS81" t="e">
        <f>'Technical Master Data'!Q32+"AM:!%\g"</f>
        <v>#VALUE!</v>
      </c>
      <c r="DT81" t="e">
        <f>'Technical Master Data'!R32+"AM:!%\h"</f>
        <v>#DIV/0!</v>
      </c>
      <c r="DU81" t="e">
        <f>'Technical Master Data'!S32+"AM:!%\i"</f>
        <v>#VALUE!</v>
      </c>
      <c r="DV81" t="e">
        <f>'Price Calculation'!F60+"AM:!%\j"</f>
        <v>#VALUE!</v>
      </c>
      <c r="DW81" t="e">
        <f>'Price Calculation'!G60+"AM:!%\k"</f>
        <v>#VALUE!</v>
      </c>
      <c r="DX81" t="e">
        <f>'Price Calculation'!H60+"AM:!%\l"</f>
        <v>#VALUE!</v>
      </c>
      <c r="DY81" t="e">
        <f>'Price Calculation'!I60+"AM:!%\m"</f>
        <v>#VALUE!</v>
      </c>
      <c r="DZ81" t="e">
        <f>'Price Calculation'!J60+"AM:!%\n"</f>
        <v>#VALUE!</v>
      </c>
      <c r="EA81" t="e">
        <f>'Price Calculation'!K60+"AM:!%\o"</f>
        <v>#VALUE!</v>
      </c>
      <c r="EB81" t="e">
        <f>'Price Calculation'!L60+"AM:!%\p"</f>
        <v>#VALUE!</v>
      </c>
      <c r="EC81" t="e">
        <f>'Price Calculation'!M60+"AM:!%\q"</f>
        <v>#VALUE!</v>
      </c>
      <c r="ED81" t="e">
        <f>'Technical Master Data'!P33+"AM:!%\r"</f>
        <v>#VALUE!</v>
      </c>
      <c r="EE81" t="e">
        <f>'Technical Master Data'!#REF!+"AM:!%\s"</f>
        <v>#REF!</v>
      </c>
      <c r="EF81" t="e">
        <f>'Technical Master Data'!Q33+"AM:!%\t"</f>
        <v>#VALUE!</v>
      </c>
      <c r="EG81" t="e">
        <f>'Technical Master Data'!R33+"AM:!%\u"</f>
        <v>#DIV/0!</v>
      </c>
      <c r="EH81" t="e">
        <f>'Technical Master Data'!S33+"AM:!%\v"</f>
        <v>#VALUE!</v>
      </c>
      <c r="EI81" t="e">
        <f>'Price Calculation'!F61+"AM:!%\w"</f>
        <v>#VALUE!</v>
      </c>
      <c r="EJ81" t="e">
        <f>'Price Calculation'!G61+"AM:!%\x"</f>
        <v>#VALUE!</v>
      </c>
      <c r="EK81" t="e">
        <f>'Price Calculation'!H61+"AM:!%\y"</f>
        <v>#VALUE!</v>
      </c>
      <c r="EL81" t="e">
        <f>'Price Calculation'!I61+"AM:!%\z"</f>
        <v>#VALUE!</v>
      </c>
      <c r="EM81" t="e">
        <f>'Price Calculation'!J61+"AM:!%\{"</f>
        <v>#VALUE!</v>
      </c>
      <c r="EN81" t="e">
        <f>'Price Calculation'!K61+"AM:!%\|"</f>
        <v>#VALUE!</v>
      </c>
      <c r="EO81" t="e">
        <f>'Price Calculation'!L61+"AM:!%\}"</f>
        <v>#VALUE!</v>
      </c>
      <c r="EP81" t="e">
        <f>'Price Calculation'!M61+"AM:!%\~"</f>
        <v>#VALUE!</v>
      </c>
      <c r="EQ81" t="e">
        <f>'Technical Master Data'!P34+"AM:!%]#"</f>
        <v>#VALUE!</v>
      </c>
      <c r="ER81" t="e">
        <f>'Technical Master Data'!#REF!+"AM:!%]$"</f>
        <v>#REF!</v>
      </c>
      <c r="ES81" t="e">
        <f>'Technical Master Data'!Q34+"AM:!%]%"</f>
        <v>#VALUE!</v>
      </c>
      <c r="ET81" t="e">
        <f>'Technical Master Data'!R34+"AM:!%]&amp;"</f>
        <v>#DIV/0!</v>
      </c>
      <c r="EU81" t="e">
        <f>'Technical Master Data'!S34+"AM:!%]'"</f>
        <v>#VALUE!</v>
      </c>
      <c r="EV81" t="e">
        <f>'Technical Master Data'!P35+"AM:!%]("</f>
        <v>#VALUE!</v>
      </c>
      <c r="EW81" t="e">
        <f>'Technical Master Data'!#REF!+"AM:!%])"</f>
        <v>#REF!</v>
      </c>
      <c r="EX81" t="e">
        <f>'Technical Master Data'!Q35+"AM:!%]."</f>
        <v>#VALUE!</v>
      </c>
      <c r="EY81" t="e">
        <f>'Technical Master Data'!R35+"AM:!%]/"</f>
        <v>#DIV/0!</v>
      </c>
      <c r="EZ81" t="e">
        <f>'Technical Master Data'!S35+"AM:!%]0"</f>
        <v>#VALUE!</v>
      </c>
      <c r="FA81" t="e">
        <f>'Technical Master Data'!P36+"AM:!%]1"</f>
        <v>#VALUE!</v>
      </c>
      <c r="FB81" t="e">
        <f>'Technical Master Data'!#REF!+"AM:!%]2"</f>
        <v>#REF!</v>
      </c>
      <c r="FC81" t="e">
        <f>'Technical Master Data'!Q36+"AM:!%]3"</f>
        <v>#VALUE!</v>
      </c>
      <c r="FD81" t="e">
        <f>'Technical Master Data'!R36+"AM:!%]4"</f>
        <v>#DIV/0!</v>
      </c>
      <c r="FE81" t="e">
        <f>'Technical Master Data'!S36+"AM:!%]5"</f>
        <v>#VALUE!</v>
      </c>
      <c r="FF81" t="e">
        <f>'Technical Master Data'!P37+"AM:!%]6"</f>
        <v>#VALUE!</v>
      </c>
      <c r="FG81" t="e">
        <f>'Technical Master Data'!#REF!+"AM:!%]7"</f>
        <v>#REF!</v>
      </c>
      <c r="FH81" t="e">
        <f>'Technical Master Data'!Q37+"AM:!%]8"</f>
        <v>#VALUE!</v>
      </c>
      <c r="FI81" t="e">
        <f>'Technical Master Data'!R37+"AM:!%]9"</f>
        <v>#DIV/0!</v>
      </c>
      <c r="FJ81" t="e">
        <f>'Technical Master Data'!S37+"AM:!%]:"</f>
        <v>#VALUE!</v>
      </c>
      <c r="FK81" t="e">
        <f>'Price Calculation'!A66+"AM:!%];"</f>
        <v>#VALUE!</v>
      </c>
      <c r="FL81" t="e">
        <f>'Price Calculation'!B66+"AM:!%]&lt;"</f>
        <v>#VALUE!</v>
      </c>
      <c r="FM81" t="e">
        <f>'Price Calculation'!C66+"AM:!%]="</f>
        <v>#VALUE!</v>
      </c>
      <c r="FN81" t="e">
        <f>'Price Calculation'!D66+"AM:!%]&gt;"</f>
        <v>#VALUE!</v>
      </c>
      <c r="FO81" t="e">
        <f>'Offer Qualification'!A:A*"AM:!%]A"</f>
        <v>#VALUE!</v>
      </c>
      <c r="FP81" t="e">
        <f>'Offer Qualification'!B:B*"AM:!%]B"</f>
        <v>#VALUE!</v>
      </c>
      <c r="FQ81" t="e">
        <f>'Offer Qualification'!C:C*"AM:!%]C"</f>
        <v>#VALUE!</v>
      </c>
      <c r="FR81" t="e">
        <f>'Offer Qualification'!D:D*"AM:!%]D"</f>
        <v>#VALUE!</v>
      </c>
      <c r="FS81" t="e">
        <f>'Offer Qualification'!E:E*"AM:!%]E"</f>
        <v>#VALUE!</v>
      </c>
      <c r="FT81" t="e">
        <f>'Offer Qualification'!F:F*"AM:!%]F"</f>
        <v>#VALUE!</v>
      </c>
      <c r="FU81" t="e">
        <f>'Offer Qualification'!G:G*"AM:!%]G"</f>
        <v>#VALUE!</v>
      </c>
      <c r="FV81" t="e">
        <f>'Offer Qualification'!H:H*"AM:!%]H"</f>
        <v>#VALUE!</v>
      </c>
      <c r="FW81" t="e">
        <f>'Offer Qualification'!I:I*"AM:!%]I"</f>
        <v>#VALUE!</v>
      </c>
      <c r="FX81" t="e">
        <f>'Offer Qualification'!J:J*"AM:!%]J"</f>
        <v>#VALUE!</v>
      </c>
      <c r="FY81" t="e">
        <f>'Offer Qualification'!K:K*"AM:!%]K"</f>
        <v>#VALUE!</v>
      </c>
      <c r="FZ81" t="e">
        <f>'Offer Qualification'!L:L*"AM:!%]L"</f>
        <v>#VALUE!</v>
      </c>
      <c r="GA81" t="e">
        <f>'Offer Qualification'!M:M*"AM:!%]M"</f>
        <v>#VALUE!</v>
      </c>
      <c r="GB81" t="e">
        <f>'Offer Qualification'!N:N*"AM:!%]N"</f>
        <v>#VALUE!</v>
      </c>
      <c r="GC81" t="e">
        <f>'Offer Qualification'!O:O*"AM:!%]O"</f>
        <v>#VALUE!</v>
      </c>
      <c r="GD81" t="e">
        <f>'Offer Qualification'!P:P*"AM:!%]P"</f>
        <v>#VALUE!</v>
      </c>
      <c r="GE81" t="e">
        <f>'Offer Qualification'!Q:Q*"AM:!%]Q"</f>
        <v>#VALUE!</v>
      </c>
      <c r="GF81" t="e">
        <f>'Offer Qualification'!R:R*"AM:!%]R"</f>
        <v>#VALUE!</v>
      </c>
      <c r="GG81" t="e">
        <f>'Offer Qualification'!S:S*"AM:!%]S"</f>
        <v>#VALUE!</v>
      </c>
      <c r="GH81" t="e">
        <f>'Offer Qualification'!T:T*"AM:!%]T"</f>
        <v>#VALUE!</v>
      </c>
      <c r="GI81" t="e">
        <f>'Offer Qualification'!U:U*"AM:!%]U"</f>
        <v>#VALUE!</v>
      </c>
      <c r="GJ81" t="e">
        <f>'Offer Qualification'!V:V*"AM:!%]V"</f>
        <v>#VALUE!</v>
      </c>
      <c r="GK81" t="e">
        <f>'Offer Qualification'!W:W*"AM:!%]W"</f>
        <v>#VALUE!</v>
      </c>
      <c r="GL81" t="e">
        <f>'Offer Qualification'!X:X*"AM:!%]X"</f>
        <v>#VALUE!</v>
      </c>
      <c r="GM81" t="e">
        <f>'Offer Qualification'!Y:Y*"AM:!%]Y"</f>
        <v>#VALUE!</v>
      </c>
      <c r="GN81" t="e">
        <f>'Offer Qualification'!Z:Z*"AM:!%]Z"</f>
        <v>#VALUE!</v>
      </c>
      <c r="GO81" t="e">
        <f>'Offer Qualification'!AA:AA*"AM:!%]["</f>
        <v>#VALUE!</v>
      </c>
      <c r="GP81" t="e">
        <f>'Offer Qualification'!AB:AB*"AM:!%]\"</f>
        <v>#VALUE!</v>
      </c>
      <c r="GQ81" t="e">
        <f>'Offer Qualification'!AC:AC*"AM:!%]]"</f>
        <v>#VALUE!</v>
      </c>
      <c r="GR81" t="e">
        <f>'Offer Qualification'!AD:AD*"AM:!%]^"</f>
        <v>#VALUE!</v>
      </c>
      <c r="GS81" t="e">
        <f>'Offer Qualification'!AE:AE*"AM:!%]_"</f>
        <v>#VALUE!</v>
      </c>
      <c r="GT81" t="e">
        <f>'Offer Qualification'!AF:AF*"AM:!%]`"</f>
        <v>#VALUE!</v>
      </c>
      <c r="GU81" t="e">
        <f>'Offer Qualification'!AG:AG*"AM:!%]a"</f>
        <v>#VALUE!</v>
      </c>
      <c r="GV81" t="e">
        <f>'Offer Qualification'!AH:AH*"AM:!%]b"</f>
        <v>#VALUE!</v>
      </c>
      <c r="GW81" t="e">
        <f>'Offer Qualification'!AI:AI*"AM:!%]c"</f>
        <v>#VALUE!</v>
      </c>
      <c r="GX81" t="e">
        <f>'Offer Qualification'!AJ:AJ*"AM:!%]d"</f>
        <v>#VALUE!</v>
      </c>
      <c r="GY81" t="e">
        <f>'Offer Qualification'!AK:AK*"AM:!%]e"</f>
        <v>#VALUE!</v>
      </c>
      <c r="GZ81" t="e">
        <f>'Offer Qualification'!AL:AL*"AM:!%]f"</f>
        <v>#VALUE!</v>
      </c>
      <c r="HA81" t="e">
        <f>'Offer Qualification'!AM:AM*"AM:!%]g"</f>
        <v>#VALUE!</v>
      </c>
      <c r="HB81" t="e">
        <f>'Offer Qualification'!AN:AN*"AM:!%]h"</f>
        <v>#VALUE!</v>
      </c>
      <c r="HC81" t="e">
        <f>'Offer Qualification'!AO:AO*"AM:!%]i"</f>
        <v>#VALUE!</v>
      </c>
      <c r="HD81" t="e">
        <f>'Offer Qualification'!AP:AP*"AM:!%]j"</f>
        <v>#VALUE!</v>
      </c>
      <c r="HE81" t="e">
        <f>'Offer Qualification'!AQ:AQ*"AM:!%]k"</f>
        <v>#VALUE!</v>
      </c>
      <c r="HF81" t="e">
        <f>'Offer Qualification'!AR:AR*"AM:!%]l"</f>
        <v>#VALUE!</v>
      </c>
      <c r="HG81" t="e">
        <f>'Offer Qualification'!AS:AS*"AM:!%]m"</f>
        <v>#VALUE!</v>
      </c>
      <c r="HH81" t="e">
        <f>'Offer Qualification'!AT:AT*"AM:!%]n"</f>
        <v>#VALUE!</v>
      </c>
      <c r="HI81" t="e">
        <f>'Offer Qualification'!AU:AU*"AM:!%]o"</f>
        <v>#VALUE!</v>
      </c>
      <c r="HJ81" t="e">
        <f>'Offer Qualification'!AV:AV*"AM:!%]p"</f>
        <v>#VALUE!</v>
      </c>
      <c r="HK81" t="e">
        <f>'Offer Qualification'!AW:AW*"AM:!%]q"</f>
        <v>#VALUE!</v>
      </c>
      <c r="HL81" t="e">
        <f>'Offer Qualification'!AX:AX*"AM:!%]r"</f>
        <v>#VALUE!</v>
      </c>
      <c r="HM81" t="e">
        <f>'Offer Qualification'!AY:AY*"AM:!%]s"</f>
        <v>#VALUE!</v>
      </c>
      <c r="HN81" t="e">
        <f>'Offer Qualification'!AZ:AZ*"AM:!%]t"</f>
        <v>#VALUE!</v>
      </c>
      <c r="HO81" t="e">
        <f>'Offer Qualification'!BA:BA*"AM:!%]u"</f>
        <v>#VALUE!</v>
      </c>
      <c r="HP81" t="e">
        <f>'Offer Qualification'!BB:BB*"AM:!%]v"</f>
        <v>#VALUE!</v>
      </c>
      <c r="HQ81" t="e">
        <f>'Offer Qualification'!BC:BC*"AM:!%]w"</f>
        <v>#VALUE!</v>
      </c>
      <c r="HR81" t="e">
        <f>'Offer Qualification'!BD:BD*"AM:!%]x"</f>
        <v>#VALUE!</v>
      </c>
      <c r="HS81" t="e">
        <f>'Offer Qualification'!BE:BE*"AM:!%]y"</f>
        <v>#VALUE!</v>
      </c>
      <c r="HT81" t="e">
        <f>'Offer Qualification'!BF:BF*"AM:!%]z"</f>
        <v>#VALUE!</v>
      </c>
      <c r="HU81" t="e">
        <f>'Offer Qualification'!BG:BG*"AM:!%]{"</f>
        <v>#VALUE!</v>
      </c>
      <c r="HV81" t="e">
        <f>'Offer Qualification'!BH:BH*"AM:!%]|"</f>
        <v>#VALUE!</v>
      </c>
      <c r="HW81" t="e">
        <f>'Offer Qualification'!BI:BI*"AM:!%]}"</f>
        <v>#VALUE!</v>
      </c>
      <c r="HX81" t="e">
        <f>'Offer Qualification'!BJ:BJ*"AM:!%]~"</f>
        <v>#VALUE!</v>
      </c>
      <c r="HY81" t="e">
        <f>'Offer Qualification'!BK:BK*"AM:!%^#"</f>
        <v>#VALUE!</v>
      </c>
      <c r="HZ81" t="e">
        <f>'Offer Qualification'!BL:BL*"AM:!%^$"</f>
        <v>#VALUE!</v>
      </c>
      <c r="IA81" t="e">
        <f>'Offer Qualification'!BM:BM*"AM:!%^%"</f>
        <v>#VALUE!</v>
      </c>
      <c r="IB81" t="e">
        <f>'Offer Qualification'!BN:BN*"AM:!%^&amp;"</f>
        <v>#VALUE!</v>
      </c>
      <c r="IC81" t="e">
        <f>'Offer Qualification'!BO:BO*"AM:!%^'"</f>
        <v>#VALUE!</v>
      </c>
      <c r="ID81" t="e">
        <f>'Offer Qualification'!BP:BP*"AM:!%^("</f>
        <v>#VALUE!</v>
      </c>
      <c r="IE81" t="e">
        <f>'Offer Qualification'!BQ:BQ*"AM:!%^)"</f>
        <v>#VALUE!</v>
      </c>
      <c r="IF81" t="e">
        <f>'Offer Qualification'!BR:BR*"AM:!%^."</f>
        <v>#VALUE!</v>
      </c>
      <c r="IG81" t="e">
        <f>'Offer Qualification'!1:1-"AM:!%^/"</f>
        <v>#VALUE!</v>
      </c>
      <c r="IH81" t="e">
        <f>'Offer Qualification'!2:2-"AM:!%^0"</f>
        <v>#VALUE!</v>
      </c>
      <c r="II81" t="e">
        <f>'Offer Qualification'!3:3-"AM:!%^1"</f>
        <v>#VALUE!</v>
      </c>
      <c r="IJ81" t="e">
        <f>'Offer Qualification'!4:4-"AM:!%^2"</f>
        <v>#VALUE!</v>
      </c>
      <c r="IK81" t="e">
        <f>'Offer Qualification'!5:5-"AM:!%^3"</f>
        <v>#VALUE!</v>
      </c>
      <c r="IL81" t="e">
        <f>'Offer Qualification'!6:6-"AM:!%^4"</f>
        <v>#VALUE!</v>
      </c>
      <c r="IM81" t="e">
        <f>'Offer Qualification'!7:7-"AM:!%^5"</f>
        <v>#VALUE!</v>
      </c>
      <c r="IN81" t="e">
        <f>'Offer Qualification'!8:8-"AM:!%^6"</f>
        <v>#VALUE!</v>
      </c>
      <c r="IO81" t="e">
        <f>'Offer Qualification'!9:9-"AM:!%^7"</f>
        <v>#VALUE!</v>
      </c>
      <c r="IP81" t="e">
        <f>'Offer Qualification'!10:10-"AM:!%^8"</f>
        <v>#VALUE!</v>
      </c>
      <c r="IQ81" t="e">
        <f>'Offer Qualification'!11:11-"AM:!%^9"</f>
        <v>#VALUE!</v>
      </c>
      <c r="IR81" t="e">
        <f>'Offer Qualification'!12:12-"AM:!%^:"</f>
        <v>#VALUE!</v>
      </c>
      <c r="IS81" t="e">
        <f>'Offer Qualification'!13:13-"AM:!%^;"</f>
        <v>#VALUE!</v>
      </c>
      <c r="IT81" t="e">
        <f>'Offer Qualification'!14:14-"AM:!%^&lt;"</f>
        <v>#VALUE!</v>
      </c>
      <c r="IU81" t="e">
        <f>'Offer Qualification'!15:15-"AM:!%^="</f>
        <v>#VALUE!</v>
      </c>
      <c r="IV81" t="e">
        <f>'Offer Qualification'!16:16-"AM:!%^&gt;"</f>
        <v>#VALUE!</v>
      </c>
    </row>
    <row r="82" spans="6:256">
      <c r="F82" t="e">
        <f>'Offer Qualification'!17:17-"AM:!%^?"</f>
        <v>#VALUE!</v>
      </c>
      <c r="G82" t="e">
        <f>'Offer Qualification'!18:18-"AM:!%^@"</f>
        <v>#VALUE!</v>
      </c>
      <c r="H82" t="e">
        <f>'Offer Qualification'!19:19-"AM:!%^A"</f>
        <v>#VALUE!</v>
      </c>
      <c r="I82" t="e">
        <f>'Offer Qualification'!20:20-"AM:!%^B"</f>
        <v>#VALUE!</v>
      </c>
      <c r="J82" t="e">
        <f>'Offer Qualification'!21:21-"AM:!%^C"</f>
        <v>#VALUE!</v>
      </c>
      <c r="K82" t="e">
        <f>'Offer Qualification'!22:22-"AM:!%^D"</f>
        <v>#VALUE!</v>
      </c>
      <c r="L82" t="e">
        <f>'Offer Qualification'!23:23-"AM:!%^E"</f>
        <v>#VALUE!</v>
      </c>
      <c r="M82" t="e">
        <f>'Offer Qualification'!24:24-"AM:!%^F"</f>
        <v>#VALUE!</v>
      </c>
      <c r="N82" t="e">
        <f>'Offer Qualification'!25:25-"AM:!%^G"</f>
        <v>#VALUE!</v>
      </c>
      <c r="O82" t="e">
        <f>'Offer Qualification'!26:26-"AM:!%^H"</f>
        <v>#VALUE!</v>
      </c>
      <c r="P82" t="e">
        <f>'Offer Qualification'!27:27-"AM:!%^I"</f>
        <v>#VALUE!</v>
      </c>
      <c r="Q82" t="e">
        <f>'Offer Qualification'!28:28-"AM:!%^J"</f>
        <v>#VALUE!</v>
      </c>
      <c r="R82" t="e">
        <f>'Offer Qualification'!29:29-"AM:!%^K"</f>
        <v>#VALUE!</v>
      </c>
      <c r="S82" t="e">
        <f>'Offer Qualification'!30:30-"AM:!%^L"</f>
        <v>#VALUE!</v>
      </c>
      <c r="T82" t="e">
        <f>'Offer Qualification'!31:31-"AM:!%^M"</f>
        <v>#VALUE!</v>
      </c>
      <c r="U82" t="e">
        <f>'Offer Qualification'!32:32-"AM:!%^N"</f>
        <v>#VALUE!</v>
      </c>
      <c r="V82" t="e">
        <f>'Offer Qualification'!33:33-"AM:!%^O"</f>
        <v>#VALUE!</v>
      </c>
      <c r="W82" t="e">
        <f>'Offer Qualification'!34:34-"AM:!%^P"</f>
        <v>#VALUE!</v>
      </c>
      <c r="X82" t="e">
        <f>'Offer Qualification'!35:35-"AM:!%^Q"</f>
        <v>#VALUE!</v>
      </c>
      <c r="Y82" t="e">
        <f>'Offer Qualification'!36:36-"AM:!%^R"</f>
        <v>#VALUE!</v>
      </c>
      <c r="Z82" t="e">
        <f>'Offer Qualification'!37:37-"AM:!%^S"</f>
        <v>#VALUE!</v>
      </c>
      <c r="AA82" t="e">
        <f>'Offer Qualification'!38:38-"AM:!%^T"</f>
        <v>#VALUE!</v>
      </c>
      <c r="AB82" t="e">
        <f>'Offer Qualification'!39:39-"AM:!%^U"</f>
        <v>#VALUE!</v>
      </c>
      <c r="AC82" t="e">
        <f>'Offer Qualification'!40:40-"AM:!%^V"</f>
        <v>#VALUE!</v>
      </c>
      <c r="AD82" t="e">
        <f>'Offer Qualification'!41:41-"AM:!%^W"</f>
        <v>#VALUE!</v>
      </c>
      <c r="AE82" t="e">
        <f>'Offer Qualification'!42:42-"AM:!%^X"</f>
        <v>#VALUE!</v>
      </c>
      <c r="AF82" t="e">
        <f>'Offer Qualification'!43:43-"AM:!%^Y"</f>
        <v>#VALUE!</v>
      </c>
      <c r="AG82" t="e">
        <f>'Offer Qualification'!44:44-"AM:!%^Z"</f>
        <v>#VALUE!</v>
      </c>
      <c r="AH82" t="e">
        <f>'Offer Qualification'!45:45-"AM:!%^["</f>
        <v>#VALUE!</v>
      </c>
      <c r="AI82" t="e">
        <f>'Offer Qualification'!46:46-"AM:!%^\"</f>
        <v>#VALUE!</v>
      </c>
      <c r="AJ82" t="e">
        <f>'Offer Qualification'!47:47-"AM:!%^]"</f>
        <v>#VALUE!</v>
      </c>
      <c r="AK82" t="e">
        <f>'Offer Qualification'!48:48-"AM:!%^^"</f>
        <v>#VALUE!</v>
      </c>
      <c r="AL82" t="e">
        <f>'Offer Qualification'!49:49-"AM:!%^_"</f>
        <v>#VALUE!</v>
      </c>
      <c r="AM82" t="e">
        <f>'Offer Qualification'!50:50-"AM:!%^`"</f>
        <v>#VALUE!</v>
      </c>
      <c r="AN82" t="e">
        <f>'Offer Qualification'!51:51-"AM:!%^a"</f>
        <v>#VALUE!</v>
      </c>
      <c r="AO82" t="e">
        <f>'Offer Qualification'!52:52-"AM:!%^b"</f>
        <v>#VALUE!</v>
      </c>
      <c r="AP82" t="e">
        <f>'Offer Qualification'!53:53-"AM:!%^c"</f>
        <v>#VALUE!</v>
      </c>
      <c r="AQ82" t="e">
        <f>'Offer Qualification'!54:54-"AM:!%^d"</f>
        <v>#VALUE!</v>
      </c>
      <c r="AR82" t="e">
        <f>'Offer Qualification'!55:55-"AM:!%^e"</f>
        <v>#VALUE!</v>
      </c>
      <c r="AS82" t="e">
        <f>'Offer Qualification'!56:56-"AM:!%^f"</f>
        <v>#VALUE!</v>
      </c>
      <c r="AT82" t="e">
        <f>'Offer Qualification'!57:57-"AM:!%^g"</f>
        <v>#VALUE!</v>
      </c>
      <c r="AU82" t="e">
        <f>'Offer Qualification'!58:58-"AM:!%^h"</f>
        <v>#VALUE!</v>
      </c>
      <c r="AV82" t="e">
        <f>'Offer Qualification'!59:59-"AM:!%^i"</f>
        <v>#VALUE!</v>
      </c>
      <c r="AW82" t="e">
        <f>'Offer Qualification'!60:60-"AM:!%^j"</f>
        <v>#VALUE!</v>
      </c>
      <c r="AX82" t="e">
        <f>'Offer Qualification'!61:61-"AM:!%^k"</f>
        <v>#VALUE!</v>
      </c>
      <c r="AY82" t="e">
        <f>'Offer Qualification'!62:62-"AM:!%^l"</f>
        <v>#VALUE!</v>
      </c>
      <c r="AZ82" t="e">
        <f>'Offer Qualification'!63:63-"AM:!%^m"</f>
        <v>#VALUE!</v>
      </c>
      <c r="BA82" t="e">
        <f>'Offer Qualification'!64:64-"AM:!%^n"</f>
        <v>#VALUE!</v>
      </c>
      <c r="BB82" t="e">
        <f>'Offer Qualification'!65:65-"AM:!%^o"</f>
        <v>#VALUE!</v>
      </c>
      <c r="BC82" t="e">
        <f>'Offer Qualification'!66:66-"AM:!%^p"</f>
        <v>#VALUE!</v>
      </c>
      <c r="BD82" t="e">
        <f>'Offer Qualification'!67:67-"AM:!%^q"</f>
        <v>#VALUE!</v>
      </c>
      <c r="BE82" t="e">
        <f>'Offer Qualification'!68:68-"AM:!%^r"</f>
        <v>#VALUE!</v>
      </c>
      <c r="BF82" t="e">
        <f>'Offer Qualification'!69:69-"AM:!%^s"</f>
        <v>#VALUE!</v>
      </c>
      <c r="BG82" t="e">
        <f>'Offer Qualification'!70:70-"AM:!%^t"</f>
        <v>#VALUE!</v>
      </c>
      <c r="BH82" t="e">
        <f>'Offer Qualification'!71:71-"AM:!%^u"</f>
        <v>#VALUE!</v>
      </c>
      <c r="BI82" t="e">
        <f>'Offer Qualification'!72:72-"AM:!%^v"</f>
        <v>#VALUE!</v>
      </c>
      <c r="BJ82" t="e">
        <f>'Offer Qualification'!73:73-"AM:!%^w"</f>
        <v>#VALUE!</v>
      </c>
      <c r="BK82" t="e">
        <f>'Offer Qualification'!74:74-"AM:!%^x"</f>
        <v>#VALUE!</v>
      </c>
      <c r="BL82" t="e">
        <f>'Offer Qualification'!75:75-"AM:!%^y"</f>
        <v>#VALUE!</v>
      </c>
      <c r="BM82" t="e">
        <f>'Offer Qualification'!76:76-"AM:!%^z"</f>
        <v>#VALUE!</v>
      </c>
      <c r="BN82" t="e">
        <f>'Offer Qualification'!77:77-"AM:!%^{"</f>
        <v>#VALUE!</v>
      </c>
      <c r="BO82" t="e">
        <f>'Offer Qualification'!78:78-"AM:!%^|"</f>
        <v>#VALUE!</v>
      </c>
      <c r="BP82" t="e">
        <f>'Offer Qualification'!79:79-"AM:!%^}"</f>
        <v>#VALUE!</v>
      </c>
      <c r="BQ82" t="e">
        <f>'Offer Qualification'!80:80-"AM:!%^~"</f>
        <v>#VALUE!</v>
      </c>
      <c r="BR82" t="e">
        <f>'Offer Qualification'!81:81-"AM:!%_#"</f>
        <v>#VALUE!</v>
      </c>
      <c r="BS82" t="e">
        <f>'Offer Qualification'!82:82-"AM:!%_$"</f>
        <v>#VALUE!</v>
      </c>
      <c r="BT82" t="e">
        <f>'Offer Qualification'!83:83-"AM:!%_%"</f>
        <v>#VALUE!</v>
      </c>
      <c r="BU82" t="e">
        <f>'Offer Qualification'!84:84-"AM:!%_&amp;"</f>
        <v>#VALUE!</v>
      </c>
      <c r="BV82" t="e">
        <f>'Offer Qualification'!85:85-"AM:!%_'"</f>
        <v>#VALUE!</v>
      </c>
      <c r="BW82" t="e">
        <f>'Offer Qualification'!86:86-"AM:!%_("</f>
        <v>#VALUE!</v>
      </c>
      <c r="BX82" t="e">
        <f>'Offer Qualification'!87:87-"AM:!%_)"</f>
        <v>#VALUE!</v>
      </c>
      <c r="BY82" t="e">
        <f>'Offer Qualification'!88:88-"AM:!%_."</f>
        <v>#VALUE!</v>
      </c>
      <c r="BZ82" t="e">
        <f>'Offer Qualification'!89:89-"AM:!%_/"</f>
        <v>#VALUE!</v>
      </c>
      <c r="CA82" t="e">
        <f>'Offer Qualification'!90:90-"AM:!%_0"</f>
        <v>#VALUE!</v>
      </c>
      <c r="CB82" t="e">
        <f>'Offer Qualification'!91:91-"AM:!%_1"</f>
        <v>#VALUE!</v>
      </c>
      <c r="CC82" t="e">
        <f>'Offer Qualification'!92:92-"AM:!%_2"</f>
        <v>#VALUE!</v>
      </c>
      <c r="CD82" t="e">
        <f>'Offer Qualification'!93:93-"AM:!%_3"</f>
        <v>#VALUE!</v>
      </c>
      <c r="CE82" t="e">
        <f>'Offer Qualification'!94:94-"AM:!%_4"</f>
        <v>#VALUE!</v>
      </c>
      <c r="CF82" t="e">
        <f>'Offer Qualification'!95:95-"AM:!%_5"</f>
        <v>#VALUE!</v>
      </c>
      <c r="CG82" t="e">
        <f>'Offer Qualification'!96:96-"AM:!%_6"</f>
        <v>#VALUE!</v>
      </c>
      <c r="CH82" t="e">
        <f>'Offer Qualification'!97:97-"AM:!%_7"</f>
        <v>#VALUE!</v>
      </c>
      <c r="CI82" t="e">
        <f>'Offer Qualification'!98:98-"AM:!%_8"</f>
        <v>#VALUE!</v>
      </c>
      <c r="CJ82" t="e">
        <f>'Offer Qualification'!99:99-"AM:!%_9"</f>
        <v>#VALUE!</v>
      </c>
      <c r="CK82" t="e">
        <f>'Offer Qualification'!100:100-"AM:!%_:"</f>
        <v>#VALUE!</v>
      </c>
      <c r="CL82" t="e">
        <f>'Offer Qualification'!101:101-"AM:!%_;"</f>
        <v>#VALUE!</v>
      </c>
      <c r="CM82" t="e">
        <f>'Offer Qualification'!102:102-"AM:!%_&lt;"</f>
        <v>#VALUE!</v>
      </c>
      <c r="CN82" t="e">
        <f>'Offer Qualification'!103:103-"AM:!%_="</f>
        <v>#VALUE!</v>
      </c>
      <c r="CO82" t="e">
        <f>'Offer Qualification'!104:104-"AM:!%_&gt;"</f>
        <v>#VALUE!</v>
      </c>
      <c r="CP82" t="e">
        <f>'Offer Qualification'!105:105-"AM:!%_?"</f>
        <v>#VALUE!</v>
      </c>
      <c r="CQ82" t="e">
        <f>'Offer Qualification'!106:106-"AM:!%_@"</f>
        <v>#VALUE!</v>
      </c>
      <c r="CR82" t="e">
        <f>'Offer Qualification'!107:107-"AM:!%_A"</f>
        <v>#VALUE!</v>
      </c>
      <c r="CS82" t="e">
        <f>'Offer Qualification'!108:108-"AM:!%_B"</f>
        <v>#VALUE!</v>
      </c>
      <c r="CT82" t="e">
        <f>'Offer Qualification'!109:109-"AM:!%_C"</f>
        <v>#VALUE!</v>
      </c>
      <c r="CU82" t="e">
        <f>'Offer Qualification'!110:110-"AM:!%_D"</f>
        <v>#VALUE!</v>
      </c>
      <c r="CV82" t="e">
        <f>'Offer Qualification'!111:111-"AM:!%_E"</f>
        <v>#VALUE!</v>
      </c>
      <c r="CW82" t="e">
        <f>'Offer Qualification'!112:112-"AM:!%_F"</f>
        <v>#VALUE!</v>
      </c>
      <c r="CX82" t="e">
        <f>'Offer Qualification'!113:113-"AM:!%_G"</f>
        <v>#VALUE!</v>
      </c>
      <c r="CY82" t="e">
        <f>'Offer Qualification'!114:114-"AM:!%_H"</f>
        <v>#VALUE!</v>
      </c>
      <c r="CZ82" t="e">
        <f>'Offer Qualification'!115:115-"AM:!%_I"</f>
        <v>#VALUE!</v>
      </c>
      <c r="DA82" t="e">
        <f>'Offer Qualification'!116:116-"AM:!%_J"</f>
        <v>#VALUE!</v>
      </c>
      <c r="DB82" t="e">
        <f>'Offer Qualification'!117:117-"AM:!%_K"</f>
        <v>#VALUE!</v>
      </c>
      <c r="DC82" t="e">
        <f>'Offer Qualification'!118:118-"AM:!%_L"</f>
        <v>#VALUE!</v>
      </c>
      <c r="DD82" t="e">
        <f>'Offer Qualification'!119:119-"AM:!%_M"</f>
        <v>#VALUE!</v>
      </c>
      <c r="DE82" t="e">
        <f>'Offer Qualification'!120:120-"AM:!%_N"</f>
        <v>#VALUE!</v>
      </c>
      <c r="DF82" t="e">
        <f>'Offer Qualification'!121:121-"AM:!%_O"</f>
        <v>#VALUE!</v>
      </c>
      <c r="DG82" t="e">
        <f>'Offer Qualification'!122:122-"AM:!%_P"</f>
        <v>#VALUE!</v>
      </c>
      <c r="DH82" t="e">
        <f>'Offer Qualification'!123:123-"AM:!%_Q"</f>
        <v>#VALUE!</v>
      </c>
      <c r="DI82" t="e">
        <f>'Offer Qualification'!124:124-"AM:!%_R"</f>
        <v>#VALUE!</v>
      </c>
      <c r="DJ82" t="e">
        <f>'Offer Qualification'!125:125-"AM:!%_S"</f>
        <v>#VALUE!</v>
      </c>
      <c r="DK82" t="e">
        <f>'Offer Qualification'!126:126-"AM:!%_T"</f>
        <v>#VALUE!</v>
      </c>
      <c r="DL82" t="e">
        <f>'Offer Qualification'!127:127-"AM:!%_U"</f>
        <v>#VALUE!</v>
      </c>
      <c r="DM82" t="e">
        <f>'Offer Qualification'!128:128-"AM:!%_V"</f>
        <v>#VALUE!</v>
      </c>
      <c r="DN82" t="e">
        <f>'Offer Qualification'!129:129-"AM:!%_W"</f>
        <v>#VALUE!</v>
      </c>
      <c r="DO82" t="e">
        <f>'Offer Qualification'!130:130-"AM:!%_X"</f>
        <v>#VALUE!</v>
      </c>
      <c r="DP82" t="e">
        <f>'Offer Qualification'!131:131-"AM:!%_Y"</f>
        <v>#VALUE!</v>
      </c>
      <c r="DQ82" t="e">
        <f>'Offer Qualification'!132:132-"AM:!%_Z"</f>
        <v>#VALUE!</v>
      </c>
      <c r="DR82" t="e">
        <f>'Offer Qualification'!133:133-"AM:!%_["</f>
        <v>#VALUE!</v>
      </c>
      <c r="DS82" t="e">
        <f>'Offer Qualification'!134:134-"AM:!%_\"</f>
        <v>#VALUE!</v>
      </c>
      <c r="DT82" t="e">
        <f>'Offer Qualification'!135:135-"AM:!%_]"</f>
        <v>#VALUE!</v>
      </c>
      <c r="DU82" t="e">
        <f>'Offer Qualification'!136:136-"AM:!%_^"</f>
        <v>#VALUE!</v>
      </c>
      <c r="DV82" t="e">
        <f>'Offer Qualification'!137:137-"AM:!%__"</f>
        <v>#VALUE!</v>
      </c>
      <c r="DW82" t="e">
        <f>'Offer Qualification'!138:138-"AM:!%_`"</f>
        <v>#VALUE!</v>
      </c>
      <c r="DX82" t="e">
        <f>'Offer Qualification'!139:139-"AM:!%_a"</f>
        <v>#VALUE!</v>
      </c>
      <c r="DY82" t="e">
        <f>'Offer Qualification'!140:140-"AM:!%_b"</f>
        <v>#VALUE!</v>
      </c>
      <c r="DZ82" t="e">
        <f>'Offer Qualification'!141:141-"AM:!%_c"</f>
        <v>#VALUE!</v>
      </c>
      <c r="EA82" t="e">
        <f>'Offer Qualification'!142:142-"AM:!%_d"</f>
        <v>#VALUE!</v>
      </c>
      <c r="EB82" t="e">
        <f>'Offer Qualification'!143:143-"AM:!%_e"</f>
        <v>#VALUE!</v>
      </c>
      <c r="EC82" t="e">
        <f>'Offer Qualification'!144:144-"AM:!%_f"</f>
        <v>#VALUE!</v>
      </c>
      <c r="ED82" t="e">
        <f>'Offer Qualification'!145:145-"AM:!%_g"</f>
        <v>#VALUE!</v>
      </c>
      <c r="EE82" t="e">
        <f>'Offer Qualification'!146:146-"AM:!%_h"</f>
        <v>#VALUE!</v>
      </c>
      <c r="EF82" t="e">
        <f>'Offer Qualification'!147:147-"AM:!%_i"</f>
        <v>#VALUE!</v>
      </c>
      <c r="EG82" t="e">
        <f>'Offer Qualification'!148:148-"AM:!%_j"</f>
        <v>#VALUE!</v>
      </c>
      <c r="EH82" t="e">
        <f>'Offer Qualification'!149:149-"AM:!%_k"</f>
        <v>#VALUE!</v>
      </c>
      <c r="EI82" t="e">
        <f>'Offer Qualification'!150:150-"AM:!%_l"</f>
        <v>#VALUE!</v>
      </c>
      <c r="EJ82" t="e">
        <f>'Offer Qualification'!151:151-"AM:!%_m"</f>
        <v>#VALUE!</v>
      </c>
      <c r="EK82" t="e">
        <f>'Offer Qualification'!152:152-"AM:!%_n"</f>
        <v>#VALUE!</v>
      </c>
      <c r="EL82" t="e">
        <f>'Offer Qualification'!153:153-"AM:!%_o"</f>
        <v>#VALUE!</v>
      </c>
      <c r="EM82" t="e">
        <f>'Offer Qualification'!154:154-"AM:!%_p"</f>
        <v>#VALUE!</v>
      </c>
      <c r="EN82" t="e">
        <f>'Offer Qualification'!155:155-"AM:!%_q"</f>
        <v>#VALUE!</v>
      </c>
      <c r="EO82" t="e">
        <f>'Offer Qualification'!156:156-"AM:!%_r"</f>
        <v>#VALUE!</v>
      </c>
      <c r="EP82" t="e">
        <f>'Offer Qualification'!157:157-"AM:!%_s"</f>
        <v>#VALUE!</v>
      </c>
      <c r="EQ82" t="e">
        <f>'Offer Qualification'!158:158-"AM:!%_t"</f>
        <v>#VALUE!</v>
      </c>
      <c r="ER82" t="e">
        <f>'Offer Qualification'!159:159-"AM:!%_u"</f>
        <v>#VALUE!</v>
      </c>
      <c r="ES82" t="e">
        <f>'Offer Qualification'!160:160-"AM:!%_v"</f>
        <v>#VALUE!</v>
      </c>
      <c r="ET82" t="e">
        <f>'Offer Qualification'!161:161-"AM:!%_w"</f>
        <v>#VALUE!</v>
      </c>
      <c r="EU82" t="e">
        <f>'Offer Qualification'!162:162-"AM:!%_x"</f>
        <v>#VALUE!</v>
      </c>
      <c r="EV82" t="e">
        <f>'Offer Qualification'!163:163-"AM:!%_y"</f>
        <v>#VALUE!</v>
      </c>
      <c r="EW82" t="e">
        <f>'Offer Qualification'!164:164-"AM:!%_z"</f>
        <v>#VALUE!</v>
      </c>
      <c r="EX82" t="e">
        <f>'Offer Qualification'!165:165-"AM:!%_{"</f>
        <v>#VALUE!</v>
      </c>
      <c r="EY82" t="e">
        <f>'Offer Qualification'!166:166-"AM:!%_|"</f>
        <v>#VALUE!</v>
      </c>
      <c r="EZ82" t="e">
        <f>'Offer Qualification'!167:167-"AM:!%_}"</f>
        <v>#VALUE!</v>
      </c>
      <c r="FA82" t="e">
        <f>'Offer Qualification'!168:168-"AM:!%_~"</f>
        <v>#VALUE!</v>
      </c>
      <c r="FB82" t="e">
        <f>'Offer Qualification'!169:169-"AM:!%`#"</f>
        <v>#VALUE!</v>
      </c>
      <c r="FC82" t="e">
        <f>'Offer Qualification'!170:170-"AM:!%`$"</f>
        <v>#VALUE!</v>
      </c>
      <c r="FD82" t="e">
        <f>'Offer Qualification'!171:171-"AM:!%`%"</f>
        <v>#VALUE!</v>
      </c>
      <c r="FE82" t="e">
        <f>'Offer Qualification'!172:172-"AM:!%`&amp;"</f>
        <v>#VALUE!</v>
      </c>
      <c r="FF82" t="e">
        <f>'Offer Qualification'!173:173-"AM:!%`'"</f>
        <v>#VALUE!</v>
      </c>
      <c r="FG82" t="e">
        <f>'Offer Qualification'!174:174-"AM:!%`("</f>
        <v>#VALUE!</v>
      </c>
      <c r="FH82" t="e">
        <f>'Offer Qualification'!175:175-"AM:!%`)"</f>
        <v>#VALUE!</v>
      </c>
      <c r="FI82" t="e">
        <f>'Offer Qualification'!176:176-"AM:!%`."</f>
        <v>#VALUE!</v>
      </c>
      <c r="FJ82" t="e">
        <f>'Offer Qualification'!177:177-"AM:!%`/"</f>
        <v>#VALUE!</v>
      </c>
      <c r="FK82" t="e">
        <f>'Offer Qualification'!178:178-"AM:!%`0"</f>
        <v>#VALUE!</v>
      </c>
      <c r="FL82" t="e">
        <f>'Offer Qualification'!179:179-"AM:!%`1"</f>
        <v>#VALUE!</v>
      </c>
      <c r="FM82" t="e">
        <f>'Offer Qualification'!180:180-"AM:!%`2"</f>
        <v>#VALUE!</v>
      </c>
      <c r="FN82" t="e">
        <f>'Offer Qualification'!181:181-"AM:!%`3"</f>
        <v>#VALUE!</v>
      </c>
      <c r="FO82" t="e">
        <f>'Offer Qualification'!182:182-"AM:!%`4"</f>
        <v>#VALUE!</v>
      </c>
      <c r="FP82" t="e">
        <f>'Offer Qualification'!183:183-"AM:!%`5"</f>
        <v>#VALUE!</v>
      </c>
      <c r="FQ82" t="e">
        <f>'Offer Qualification'!184:184-"AM:!%`6"</f>
        <v>#VALUE!</v>
      </c>
      <c r="FR82" t="e">
        <f>'Offer Qualification'!185:185-"AM:!%`7"</f>
        <v>#VALUE!</v>
      </c>
      <c r="FS82" t="e">
        <f>'Offer Qualification'!186:186-"AM:!%`8"</f>
        <v>#VALUE!</v>
      </c>
      <c r="FT82" t="e">
        <f>'Offer Qualification'!187:187-"AM:!%`9"</f>
        <v>#VALUE!</v>
      </c>
      <c r="FU82" t="e">
        <f>'Offer Qualification'!188:188-"AM:!%`:"</f>
        <v>#VALUE!</v>
      </c>
      <c r="FV82" t="e">
        <f>'Offer Qualification'!189:189-"AM:!%`;"</f>
        <v>#VALUE!</v>
      </c>
      <c r="FW82" t="e">
        <f>'Offer Qualification'!190:190-"AM:!%`&lt;"</f>
        <v>#VALUE!</v>
      </c>
      <c r="FX82" t="e">
        <f>'Offer Qualification'!191:191-"AM:!%`="</f>
        <v>#VALUE!</v>
      </c>
      <c r="FY82" t="e">
        <f>'Offer Qualification'!192:192-"AM:!%`&gt;"</f>
        <v>#VALUE!</v>
      </c>
      <c r="FZ82" t="e">
        <f>'Offer Qualification'!193:193-"AM:!%`?"</f>
        <v>#VALUE!</v>
      </c>
      <c r="GA82" t="e">
        <f>'Offer Qualification'!194:194-"AM:!%`@"</f>
        <v>#VALUE!</v>
      </c>
      <c r="GB82" t="e">
        <f>'Offer Qualification'!195:195-"AM:!%`A"</f>
        <v>#VALUE!</v>
      </c>
      <c r="GC82" t="e">
        <f>'Offer Qualification'!196:196-"AM:!%`B"</f>
        <v>#VALUE!</v>
      </c>
      <c r="GD82" t="e">
        <f>'Offer Qualification'!197:197-"AM:!%`C"</f>
        <v>#VALUE!</v>
      </c>
      <c r="GE82" t="e">
        <f>'Offer Qualification'!198:198-"AM:!%`D"</f>
        <v>#VALUE!</v>
      </c>
      <c r="GF82" t="e">
        <f>'Offer Qualification'!199:199-"AM:!%`E"</f>
        <v>#VALUE!</v>
      </c>
      <c r="GG82" t="e">
        <f>'Offer Qualification'!200:200-"AM:!%`F"</f>
        <v>#VALUE!</v>
      </c>
      <c r="GH82" t="e">
        <f>'Offer Qualification'!201:201-"AM:!%`G"</f>
        <v>#VALUE!</v>
      </c>
      <c r="GI82" t="e">
        <f>'Offer Qualification'!202:202-"AM:!%`H"</f>
        <v>#VALUE!</v>
      </c>
      <c r="GJ82" t="e">
        <f>'Offer Qualification'!203:203-"AM:!%`I"</f>
        <v>#VALUE!</v>
      </c>
      <c r="GK82" t="e">
        <f>'Offer Qualification'!204:204-"AM:!%`J"</f>
        <v>#VALUE!</v>
      </c>
      <c r="GL82" t="e">
        <f>'Offer Qualification'!205:205-"AM:!%`K"</f>
        <v>#VALUE!</v>
      </c>
      <c r="GM82" t="e">
        <f>'Offer Qualification'!206:206-"AM:!%`L"</f>
        <v>#VALUE!</v>
      </c>
      <c r="GN82" t="e">
        <f>'Offer Qualification'!207:207-"AM:!%`M"</f>
        <v>#VALUE!</v>
      </c>
      <c r="GO82" t="e">
        <f>'Offer Qualification'!208:208-"AM:!%`N"</f>
        <v>#VALUE!</v>
      </c>
      <c r="GP82" t="e">
        <f>'Offer Qualification'!209:209-"AM:!%`O"</f>
        <v>#VALUE!</v>
      </c>
      <c r="GQ82" t="e">
        <f>'Offer Qualification'!210:210-"AM:!%`P"</f>
        <v>#VALUE!</v>
      </c>
      <c r="GR82" t="e">
        <f>'Offer Qualification'!211:211-"AM:!%`Q"</f>
        <v>#VALUE!</v>
      </c>
      <c r="GS82" t="e">
        <f>'Offer Qualification'!212:212-"AM:!%`R"</f>
        <v>#VALUE!</v>
      </c>
      <c r="GT82" t="e">
        <f>'Offer Qualification'!213:213-"AM:!%`S"</f>
        <v>#VALUE!</v>
      </c>
      <c r="GU82" t="e">
        <f>'Offer Qualification'!214:214-"AM:!%`T"</f>
        <v>#VALUE!</v>
      </c>
      <c r="GV82" t="e">
        <f>'Offer Qualification'!215:215-"AM:!%`U"</f>
        <v>#VALUE!</v>
      </c>
      <c r="GW82" t="e">
        <f>'Offer Qualification'!216:216-"AM:!%`V"</f>
        <v>#VALUE!</v>
      </c>
      <c r="GX82" t="e">
        <f>'Offer Qualification'!217:217-"AM:!%`W"</f>
        <v>#VALUE!</v>
      </c>
      <c r="GY82" t="e">
        <f>'Offer Qualification'!218:218-"AM:!%`X"</f>
        <v>#VALUE!</v>
      </c>
      <c r="GZ82" t="e">
        <f>'Offer Qualification'!219:219-"AM:!%`Y"</f>
        <v>#VALUE!</v>
      </c>
      <c r="HA82" t="e">
        <f>'Offer Qualification'!220:220-"AM:!%`Z"</f>
        <v>#VALUE!</v>
      </c>
      <c r="HB82" t="e">
        <f>'Offer Qualification'!221:221-"AM:!%`["</f>
        <v>#VALUE!</v>
      </c>
      <c r="HC82" t="e">
        <f>'Offer Qualification'!222:222-"AM:!%`\"</f>
        <v>#VALUE!</v>
      </c>
      <c r="HD82" t="e">
        <f>'Offer Qualification'!223:223-"AM:!%`]"</f>
        <v>#VALUE!</v>
      </c>
      <c r="HE82" t="e">
        <f>'Offer Qualification'!224:224-"AM:!%`^"</f>
        <v>#VALUE!</v>
      </c>
      <c r="HF82" t="e">
        <f>'Offer Qualification'!225:225-"AM:!%`_"</f>
        <v>#VALUE!</v>
      </c>
      <c r="HG82" t="e">
        <f>'Offer Qualification'!226:226-"AM:!%``"</f>
        <v>#VALUE!</v>
      </c>
      <c r="HH82" t="e">
        <f>'Offer Qualification'!227:227-"AM:!%`a"</f>
        <v>#VALUE!</v>
      </c>
      <c r="HI82" t="e">
        <f>'Offer Qualification'!228:228-"AM:!%`b"</f>
        <v>#VALUE!</v>
      </c>
      <c r="HJ82" t="e">
        <f>'Offer Qualification'!229:229-"AM:!%`c"</f>
        <v>#VALUE!</v>
      </c>
      <c r="HK82" t="e">
        <f>'Offer Qualification'!230:230-"AM:!%`d"</f>
        <v>#VALUE!</v>
      </c>
      <c r="HL82" t="e">
        <f>'Offer Qualification'!231:231-"AM:!%`e"</f>
        <v>#VALUE!</v>
      </c>
      <c r="HM82" t="e">
        <f>'Offer Qualification'!232:232-"AM:!%`f"</f>
        <v>#VALUE!</v>
      </c>
      <c r="HN82" t="e">
        <f>'Offer Qualification'!A1+"AM:!%`g"</f>
        <v>#VALUE!</v>
      </c>
      <c r="HO82" t="e">
        <f>'Offer Qualification'!B1+"AM:!%`h"</f>
        <v>#VALUE!</v>
      </c>
      <c r="HP82" t="e">
        <f>'Offer Qualification'!C1+"AM:!%`i"</f>
        <v>#VALUE!</v>
      </c>
      <c r="HQ82" t="e">
        <f>'Offer Qualification'!D1+"AM:!%`j"</f>
        <v>#VALUE!</v>
      </c>
      <c r="HR82" t="e">
        <f>'Offer Qualification'!E1+"AM:!%`k"</f>
        <v>#VALUE!</v>
      </c>
      <c r="HS82" t="e">
        <f>'Offer Qualification'!F1+"AM:!%`l"</f>
        <v>#VALUE!</v>
      </c>
      <c r="HT82" t="e">
        <f>'Offer Qualification'!G1+"AM:!%`m"</f>
        <v>#VALUE!</v>
      </c>
      <c r="HU82" t="e">
        <f>'Offer Qualification'!H1+"AM:!%`n"</f>
        <v>#VALUE!</v>
      </c>
      <c r="HV82" t="e">
        <f>'Offer Qualification'!I1+"AM:!%`o"</f>
        <v>#VALUE!</v>
      </c>
      <c r="HW82" t="e">
        <f>'Offer Qualification'!J1+"AM:!%`p"</f>
        <v>#VALUE!</v>
      </c>
      <c r="HX82" t="e">
        <f>'Offer Qualification'!K1+"AM:!%`q"</f>
        <v>#VALUE!</v>
      </c>
      <c r="HY82" t="e">
        <f>'Offer Qualification'!L1+"AM:!%`r"</f>
        <v>#VALUE!</v>
      </c>
      <c r="HZ82" t="e">
        <f>'Offer Qualification'!M1+"AM:!%`s"</f>
        <v>#VALUE!</v>
      </c>
      <c r="IA82" t="e">
        <f>'Offer Qualification'!N1+"AM:!%`t"</f>
        <v>#VALUE!</v>
      </c>
      <c r="IB82" t="e">
        <f>'Offer Qualification'!O1+"AM:!%`u"</f>
        <v>#VALUE!</v>
      </c>
      <c r="IC82" t="e">
        <f>'Offer Qualification'!P1+"AM:!%`v"</f>
        <v>#VALUE!</v>
      </c>
      <c r="ID82" t="e">
        <f>'Offer Qualification'!Q1+"AM:!%`w"</f>
        <v>#VALUE!</v>
      </c>
      <c r="IE82" t="e">
        <f>'Offer Qualification'!R1+"AM:!%`x"</f>
        <v>#VALUE!</v>
      </c>
      <c r="IF82" t="e">
        <f>'Offer Qualification'!S1+"AM:!%`y"</f>
        <v>#VALUE!</v>
      </c>
      <c r="IG82" t="e">
        <f>'Offer Qualification'!A2+"AM:!%`z"</f>
        <v>#VALUE!</v>
      </c>
      <c r="IH82" t="e">
        <f>'Offer Qualification'!B2+"AM:!%`{"</f>
        <v>#VALUE!</v>
      </c>
      <c r="II82" t="e">
        <f>'Offer Qualification'!C2+"AM:!%`|"</f>
        <v>#VALUE!</v>
      </c>
      <c r="IJ82" t="e">
        <f>'Offer Qualification'!D2+"AM:!%`}"</f>
        <v>#VALUE!</v>
      </c>
      <c r="IK82" t="e">
        <f>'Offer Qualification'!E2+"AM:!%`~"</f>
        <v>#VALUE!</v>
      </c>
      <c r="IL82" t="e">
        <f>'Offer Qualification'!G2+"AM:!%a#"</f>
        <v>#VALUE!</v>
      </c>
      <c r="IM82" t="e">
        <f>'Offer Qualification'!H2+"AM:!%a$"</f>
        <v>#VALUE!</v>
      </c>
      <c r="IN82" t="e">
        <f>'Offer Qualification'!I2+"AM:!%a%"</f>
        <v>#VALUE!</v>
      </c>
      <c r="IO82" t="e">
        <f>'Offer Qualification'!J2+"AM:!%a&amp;"</f>
        <v>#VALUE!</v>
      </c>
      <c r="IP82" t="e">
        <f>'Offer Qualification'!K2+"AM:!%a'"</f>
        <v>#VALUE!</v>
      </c>
      <c r="IQ82" t="e">
        <f>'Offer Qualification'!L2+"AM:!%a("</f>
        <v>#VALUE!</v>
      </c>
      <c r="IR82" t="e">
        <f>'Offer Qualification'!M2+"AM:!%a)"</f>
        <v>#VALUE!</v>
      </c>
      <c r="IS82" t="e">
        <f>'Offer Qualification'!N2+"AM:!%a."</f>
        <v>#VALUE!</v>
      </c>
      <c r="IT82" t="e">
        <f>'Offer Qualification'!O2+"AM:!%a/"</f>
        <v>#VALUE!</v>
      </c>
      <c r="IU82" t="e">
        <f>'Offer Qualification'!P2+"AM:!%a0"</f>
        <v>#VALUE!</v>
      </c>
      <c r="IV82" t="e">
        <f>'Offer Qualification'!Q2+"AM:!%a1"</f>
        <v>#VALUE!</v>
      </c>
    </row>
    <row r="83" spans="6:256">
      <c r="F83" t="e">
        <f>'Offer Qualification'!R2+"AM:!%a2"</f>
        <v>#VALUE!</v>
      </c>
      <c r="G83" t="e">
        <f>'Offer Qualification'!S2+"AM:!%a3"</f>
        <v>#VALUE!</v>
      </c>
      <c r="H83" t="e">
        <f>'Offer Qualification'!A3+"AM:!%a4"</f>
        <v>#VALUE!</v>
      </c>
      <c r="I83" t="e">
        <f>'Offer Qualification'!B3+"AM:!%a5"</f>
        <v>#VALUE!</v>
      </c>
      <c r="J83" t="e">
        <f>'Offer Qualification'!C3+"AM:!%a6"</f>
        <v>#VALUE!</v>
      </c>
      <c r="K83" t="e">
        <f>'Offer Qualification'!D3+"AM:!%a7"</f>
        <v>#VALUE!</v>
      </c>
      <c r="L83" t="e">
        <f>'Offer Qualification'!E3+"AM:!%a8"</f>
        <v>#VALUE!</v>
      </c>
      <c r="M83" t="e">
        <f>'Offer Qualification'!G3+"AM:!%a9"</f>
        <v>#VALUE!</v>
      </c>
      <c r="N83" t="e">
        <f>'Offer Qualification'!H3+"AM:!%a:"</f>
        <v>#VALUE!</v>
      </c>
      <c r="O83" t="e">
        <f>'Offer Qualification'!I3+"AM:!%a;"</f>
        <v>#VALUE!</v>
      </c>
      <c r="P83" t="e">
        <f>'Offer Qualification'!J3+"AM:!%a&lt;"</f>
        <v>#VALUE!</v>
      </c>
      <c r="Q83" t="e">
        <f>'Offer Qualification'!K3+"AM:!%a="</f>
        <v>#VALUE!</v>
      </c>
      <c r="R83" t="e">
        <f>'Offer Qualification'!L3+"AM:!%a&gt;"</f>
        <v>#VALUE!</v>
      </c>
      <c r="S83" t="e">
        <f>'Offer Qualification'!M3+"AM:!%a?"</f>
        <v>#VALUE!</v>
      </c>
      <c r="T83" t="e">
        <f>'Offer Qualification'!N3+"AM:!%a@"</f>
        <v>#VALUE!</v>
      </c>
      <c r="U83" t="e">
        <f>'Offer Qualification'!O3+"AM:!%aA"</f>
        <v>#VALUE!</v>
      </c>
      <c r="V83" t="e">
        <f>'Offer Qualification'!P3+"AM:!%aB"</f>
        <v>#VALUE!</v>
      </c>
      <c r="W83" t="e">
        <f>'Offer Qualification'!Q3+"AM:!%aC"</f>
        <v>#VALUE!</v>
      </c>
      <c r="X83" t="e">
        <f>'Offer Qualification'!R3+"AM:!%aD"</f>
        <v>#VALUE!</v>
      </c>
      <c r="Y83" t="e">
        <f>'Offer Qualification'!S3+"AM:!%aE"</f>
        <v>#VALUE!</v>
      </c>
      <c r="Z83" t="e">
        <f>'Offer Qualification'!A4+"AM:!%aF"</f>
        <v>#VALUE!</v>
      </c>
      <c r="AA83" t="e">
        <f>'Offer Qualification'!B4+"AM:!%aG"</f>
        <v>#VALUE!</v>
      </c>
      <c r="AB83" t="e">
        <f>'Offer Qualification'!C4+"AM:!%aH"</f>
        <v>#VALUE!</v>
      </c>
      <c r="AC83" t="e">
        <f>'Offer Qualification'!D4+"AM:!%aI"</f>
        <v>#VALUE!</v>
      </c>
      <c r="AD83" t="e">
        <f>'Offer Qualification'!E4+"AM:!%aJ"</f>
        <v>#VALUE!</v>
      </c>
      <c r="AE83" t="e">
        <f>'Offer Qualification'!F4+"AM:!%aK"</f>
        <v>#VALUE!</v>
      </c>
      <c r="AF83" t="e">
        <f>'Offer Qualification'!G4+"AM:!%aL"</f>
        <v>#VALUE!</v>
      </c>
      <c r="AG83" t="e">
        <f>'Offer Qualification'!H4+"AM:!%aM"</f>
        <v>#VALUE!</v>
      </c>
      <c r="AH83" t="e">
        <f>'Offer Qualification'!I4+"AM:!%aN"</f>
        <v>#VALUE!</v>
      </c>
      <c r="AI83" t="e">
        <f>'Offer Qualification'!J4+"AM:!%aO"</f>
        <v>#VALUE!</v>
      </c>
      <c r="AJ83" t="e">
        <f>'Offer Qualification'!K4+"AM:!%aP"</f>
        <v>#VALUE!</v>
      </c>
      <c r="AK83" t="e">
        <f>'Offer Qualification'!L4+"AM:!%aQ"</f>
        <v>#VALUE!</v>
      </c>
      <c r="AL83" t="e">
        <f>'Offer Qualification'!M4+"AM:!%aR"</f>
        <v>#VALUE!</v>
      </c>
      <c r="AM83" t="e">
        <f>'Offer Qualification'!N4+"AM:!%aS"</f>
        <v>#VALUE!</v>
      </c>
      <c r="AN83" t="e">
        <f>'Offer Qualification'!O4+"AM:!%aT"</f>
        <v>#VALUE!</v>
      </c>
      <c r="AO83" t="e">
        <f>'Offer Qualification'!P4+"AM:!%aU"</f>
        <v>#VALUE!</v>
      </c>
      <c r="AP83" t="e">
        <f>'Offer Qualification'!Q4+"AM:!%aV"</f>
        <v>#VALUE!</v>
      </c>
      <c r="AQ83" t="e">
        <f>'Offer Qualification'!R4+"AM:!%aW"</f>
        <v>#VALUE!</v>
      </c>
      <c r="AR83" t="e">
        <f>'Offer Qualification'!S4+"AM:!%aX"</f>
        <v>#VALUE!</v>
      </c>
      <c r="AS83" t="e">
        <f>'Offer Qualification'!T4+"AM:!%aY"</f>
        <v>#VALUE!</v>
      </c>
      <c r="AT83" t="e">
        <f>'Offer Qualification'!A5+"AM:!%aZ"</f>
        <v>#VALUE!</v>
      </c>
      <c r="AU83" t="e">
        <f>'Offer Qualification'!B5+"AM:!%a["</f>
        <v>#VALUE!</v>
      </c>
      <c r="AV83" t="e">
        <f>'Offer Qualification'!C5+"AM:!%a\"</f>
        <v>#VALUE!</v>
      </c>
      <c r="AW83" t="e">
        <f>'Offer Qualification'!D5+"AM:!%a]"</f>
        <v>#VALUE!</v>
      </c>
      <c r="AX83" t="e">
        <f>'Offer Qualification'!E5+"AM:!%a^"</f>
        <v>#VALUE!</v>
      </c>
      <c r="AY83" t="e">
        <f>'Offer Qualification'!F5+"AM:!%a_"</f>
        <v>#VALUE!</v>
      </c>
      <c r="AZ83" t="e">
        <f>'Offer Qualification'!G5+"AM:!%a`"</f>
        <v>#VALUE!</v>
      </c>
      <c r="BA83" t="e">
        <f>'Offer Qualification'!H5+"AM:!%aa"</f>
        <v>#VALUE!</v>
      </c>
      <c r="BB83" t="e">
        <f>'Offer Qualification'!A6+"AM:!%ab"</f>
        <v>#VALUE!</v>
      </c>
      <c r="BC83" t="e">
        <f>'Offer Qualification'!B6+"AM:!%ac"</f>
        <v>#VALUE!</v>
      </c>
      <c r="BD83" t="e">
        <f>'Offer Qualification'!C6+"AM:!%ad"</f>
        <v>#VALUE!</v>
      </c>
      <c r="BE83" t="e">
        <f>'Offer Qualification'!D6+"AM:!%ae"</f>
        <v>#VALUE!</v>
      </c>
      <c r="BF83" t="e">
        <f>'Offer Qualification'!E6+"AM:!%af"</f>
        <v>#VALUE!</v>
      </c>
      <c r="BG83" t="e">
        <f>'Offer Qualification'!F6+"AM:!%ag"</f>
        <v>#VALUE!</v>
      </c>
      <c r="BH83" t="e">
        <f>'Offer Qualification'!G6+"AM:!%ah"</f>
        <v>#VALUE!</v>
      </c>
      <c r="BI83" t="e">
        <f>'Offer Qualification'!H6+"AM:!%ai"</f>
        <v>#VALUE!</v>
      </c>
      <c r="BJ83" t="e">
        <f>'Offer Qualification'!A7+"AM:!%aj"</f>
        <v>#VALUE!</v>
      </c>
      <c r="BK83" t="e">
        <f>'Offer Qualification'!B7+"AM:!%ak"</f>
        <v>#VALUE!</v>
      </c>
      <c r="BL83" t="e">
        <f>'Offer Qualification'!C7+"AM:!%al"</f>
        <v>#VALUE!</v>
      </c>
      <c r="BM83" t="e">
        <f>'Offer Qualification'!D7+"AM:!%am"</f>
        <v>#VALUE!</v>
      </c>
      <c r="BN83" t="e">
        <f>'Offer Qualification'!E7+"AM:!%an"</f>
        <v>#VALUE!</v>
      </c>
      <c r="BO83" t="e">
        <f>'Offer Qualification'!F7+"AM:!%ao"</f>
        <v>#VALUE!</v>
      </c>
      <c r="BP83" t="e">
        <f>'Offer Qualification'!G7+"AM:!%ap"</f>
        <v>#VALUE!</v>
      </c>
      <c r="BQ83" t="e">
        <f>'Offer Qualification'!H7+"AM:!%aq"</f>
        <v>#VALUE!</v>
      </c>
      <c r="BR83" t="e">
        <f>'Offer Qualification'!A8+"AM:!%ar"</f>
        <v>#VALUE!</v>
      </c>
      <c r="BS83" t="e">
        <f>'Offer Qualification'!B8+"AM:!%as"</f>
        <v>#VALUE!</v>
      </c>
      <c r="BT83" t="e">
        <f>'Offer Qualification'!C8+"AM:!%at"</f>
        <v>#VALUE!</v>
      </c>
      <c r="BU83" t="e">
        <f>'Offer Qualification'!D8+"AM:!%au"</f>
        <v>#VALUE!</v>
      </c>
      <c r="BV83" t="e">
        <f>'Offer Qualification'!E8+"AM:!%av"</f>
        <v>#VALUE!</v>
      </c>
      <c r="BW83" t="e">
        <f>'Offer Qualification'!F8+"AM:!%aw"</f>
        <v>#VALUE!</v>
      </c>
      <c r="BX83" t="e">
        <f>'Offer Qualification'!G8+"AM:!%ax"</f>
        <v>#VALUE!</v>
      </c>
      <c r="BY83" t="e">
        <f>'Offer Qualification'!H8+"AM:!%ay"</f>
        <v>#VALUE!</v>
      </c>
      <c r="BZ83" t="e">
        <f>'Offer Qualification'!A9+"AM:!%az"</f>
        <v>#VALUE!</v>
      </c>
      <c r="CA83" t="e">
        <f>'Offer Qualification'!B9+"AM:!%a{"</f>
        <v>#VALUE!</v>
      </c>
      <c r="CB83" t="e">
        <f>'Offer Qualification'!C9+"AM:!%a|"</f>
        <v>#VALUE!</v>
      </c>
      <c r="CC83" t="e">
        <f>'Offer Qualification'!D9+"AM:!%a}"</f>
        <v>#VALUE!</v>
      </c>
      <c r="CD83" t="e">
        <f>'Offer Qualification'!E9+"AM:!%a~"</f>
        <v>#VALUE!</v>
      </c>
      <c r="CE83" t="e">
        <f>'Offer Qualification'!F9+"AM:!%b#"</f>
        <v>#VALUE!</v>
      </c>
      <c r="CF83" t="e">
        <f>'Offer Qualification'!G9+"AM:!%b$"</f>
        <v>#VALUE!</v>
      </c>
      <c r="CG83" t="e">
        <f>'Offer Qualification'!H9+"AM:!%b%"</f>
        <v>#VALUE!</v>
      </c>
      <c r="CH83" t="e">
        <f>'Offer Qualification'!A11+"AM:!%b&amp;"</f>
        <v>#VALUE!</v>
      </c>
      <c r="CI83" t="e">
        <f>'Offer Qualification'!B11+"AM:!%b'"</f>
        <v>#VALUE!</v>
      </c>
      <c r="CJ83" t="e">
        <f>'Offer Qualification'!C11+"AM:!%b("</f>
        <v>#VALUE!</v>
      </c>
      <c r="CK83" t="e">
        <f>'Offer Qualification'!D11+"AM:!%b)"</f>
        <v>#VALUE!</v>
      </c>
      <c r="CL83" t="e">
        <f>'Offer Qualification'!E11+"AM:!%b."</f>
        <v>#VALUE!</v>
      </c>
      <c r="CM83" t="e">
        <f>'Offer Qualification'!F11+"AM:!%b/"</f>
        <v>#VALUE!</v>
      </c>
      <c r="CN83" t="e">
        <f>'Offer Qualification'!G11+"AM:!%b0"</f>
        <v>#VALUE!</v>
      </c>
      <c r="CO83" t="e">
        <f>'Offer Qualification'!H11+"AM:!%b1"</f>
        <v>#VALUE!</v>
      </c>
      <c r="CP83" t="e">
        <f>'Offer Qualification'!A12+"AM:!%b2"</f>
        <v>#VALUE!</v>
      </c>
      <c r="CQ83" t="e">
        <f>'Offer Qualification'!B12+"AM:!%b3"</f>
        <v>#VALUE!</v>
      </c>
      <c r="CR83" t="e">
        <f>'Offer Qualification'!C12+"AM:!%b4"</f>
        <v>#VALUE!</v>
      </c>
      <c r="CS83" t="e">
        <f>'Offer Qualification'!D12+"AM:!%b5"</f>
        <v>#VALUE!</v>
      </c>
      <c r="CT83" t="e">
        <f>'Offer Qualification'!E12+"AM:!%b6"</f>
        <v>#VALUE!</v>
      </c>
      <c r="CU83" t="e">
        <f>'Offer Qualification'!F12+"AM:!%b7"</f>
        <v>#VALUE!</v>
      </c>
      <c r="CV83" t="e">
        <f>'Offer Qualification'!G12+"AM:!%b8"</f>
        <v>#VALUE!</v>
      </c>
      <c r="CW83" t="e">
        <f>'Offer Qualification'!H12+"AM:!%b9"</f>
        <v>#VALUE!</v>
      </c>
      <c r="CX83" t="e">
        <f>'Offer Qualification'!A13+"AM:!%b:"</f>
        <v>#VALUE!</v>
      </c>
      <c r="CY83" t="e">
        <f>'Offer Qualification'!B13+"AM:!%b;"</f>
        <v>#VALUE!</v>
      </c>
      <c r="CZ83" t="e">
        <f>'Offer Qualification'!C13+"AM:!%b&lt;"</f>
        <v>#VALUE!</v>
      </c>
      <c r="DA83" t="e">
        <f>'Offer Qualification'!D13+"AM:!%b="</f>
        <v>#VALUE!</v>
      </c>
      <c r="DB83" t="e">
        <f>'Offer Qualification'!E13+"AM:!%b&gt;"</f>
        <v>#VALUE!</v>
      </c>
      <c r="DC83" t="e">
        <f>'Offer Qualification'!F13+"AM:!%b?"</f>
        <v>#VALUE!</v>
      </c>
      <c r="DD83" t="e">
        <f>'Offer Qualification'!G13+"AM:!%b@"</f>
        <v>#VALUE!</v>
      </c>
      <c r="DE83" t="e">
        <f>'Offer Qualification'!H13+"AM:!%bA"</f>
        <v>#VALUE!</v>
      </c>
      <c r="DF83" t="e">
        <f>'Offer Qualification'!A14+"AM:!%bB"</f>
        <v>#VALUE!</v>
      </c>
      <c r="DG83" t="e">
        <f>'Offer Qualification'!B14+"AM:!%bC"</f>
        <v>#VALUE!</v>
      </c>
      <c r="DH83" t="e">
        <f>'Offer Qualification'!C14+"AM:!%bD"</f>
        <v>#VALUE!</v>
      </c>
      <c r="DI83" t="e">
        <f>'Offer Qualification'!D14+"AM:!%bE"</f>
        <v>#VALUE!</v>
      </c>
      <c r="DJ83" t="e">
        <f>'Offer Qualification'!E14+"AM:!%bF"</f>
        <v>#VALUE!</v>
      </c>
      <c r="DK83" t="e">
        <f>'Offer Qualification'!F14+"AM:!%bG"</f>
        <v>#VALUE!</v>
      </c>
      <c r="DL83" t="e">
        <f>'Offer Qualification'!G14+"AM:!%bH"</f>
        <v>#VALUE!</v>
      </c>
      <c r="DM83" t="e">
        <f>'Offer Qualification'!H14+"AM:!%bI"</f>
        <v>#VALUE!</v>
      </c>
      <c r="DN83" t="e">
        <f>'Offer Qualification'!A15+"AM:!%bJ"</f>
        <v>#VALUE!</v>
      </c>
      <c r="DO83" t="e">
        <f>'Offer Qualification'!B15+"AM:!%bK"</f>
        <v>#VALUE!</v>
      </c>
      <c r="DP83" t="e">
        <f>'Offer Qualification'!C15+"AM:!%bL"</f>
        <v>#VALUE!</v>
      </c>
      <c r="DQ83" t="e">
        <f>'Offer Qualification'!D15+"AM:!%bM"</f>
        <v>#VALUE!</v>
      </c>
      <c r="DR83" t="e">
        <f>'Offer Qualification'!E15+"AM:!%bN"</f>
        <v>#VALUE!</v>
      </c>
      <c r="DS83" t="e">
        <f>'Offer Qualification'!F15+"AM:!%bO"</f>
        <v>#VALUE!</v>
      </c>
      <c r="DT83" t="e">
        <f>'Offer Qualification'!G15+"AM:!%bP"</f>
        <v>#VALUE!</v>
      </c>
      <c r="DU83" t="e">
        <f>'Offer Qualification'!H15+"AM:!%bQ"</f>
        <v>#VALUE!</v>
      </c>
      <c r="DV83" t="e">
        <f>'Offer Qualification'!A16+"AM:!%bR"</f>
        <v>#VALUE!</v>
      </c>
      <c r="DW83" t="e">
        <f>'Offer Qualification'!B16+"AM:!%bS"</f>
        <v>#VALUE!</v>
      </c>
      <c r="DX83" t="e">
        <f>'Offer Qualification'!C16+"AM:!%bT"</f>
        <v>#VALUE!</v>
      </c>
      <c r="DY83" t="e">
        <f>'Offer Qualification'!D16+"AM:!%bU"</f>
        <v>#VALUE!</v>
      </c>
      <c r="DZ83" t="e">
        <f>'Offer Qualification'!E16+"AM:!%bV"</f>
        <v>#VALUE!</v>
      </c>
      <c r="EA83" t="e">
        <f>'Offer Qualification'!F16+"AM:!%bW"</f>
        <v>#VALUE!</v>
      </c>
      <c r="EB83" t="e">
        <f>'Offer Qualification'!G16+"AM:!%bX"</f>
        <v>#VALUE!</v>
      </c>
      <c r="EC83" t="e">
        <f>'Offer Qualification'!H16+"AM:!%bY"</f>
        <v>#VALUE!</v>
      </c>
      <c r="ED83" t="e">
        <f>'Offer Qualification'!A18+"AM:!%bZ"</f>
        <v>#VALUE!</v>
      </c>
      <c r="EE83" t="e">
        <f>'Offer Qualification'!B18+"AM:!%b["</f>
        <v>#VALUE!</v>
      </c>
      <c r="EF83" t="e">
        <f>'Offer Qualification'!C18+"AM:!%b\"</f>
        <v>#VALUE!</v>
      </c>
      <c r="EG83" t="e">
        <f>'Offer Qualification'!D18+"AM:!%b]"</f>
        <v>#VALUE!</v>
      </c>
      <c r="EH83" t="e">
        <f>'Offer Qualification'!E18+"AM:!%b^"</f>
        <v>#VALUE!</v>
      </c>
      <c r="EI83" t="e">
        <f>'Offer Qualification'!F18+"AM:!%b_"</f>
        <v>#VALUE!</v>
      </c>
      <c r="EJ83" t="e">
        <f>'Offer Qualification'!G18+"AM:!%b`"</f>
        <v>#VALUE!</v>
      </c>
      <c r="EK83" t="e">
        <f>'Offer Qualification'!H18+"AM:!%ba"</f>
        <v>#VALUE!</v>
      </c>
      <c r="EL83" t="e">
        <f>'Offer Qualification'!A19+"AM:!%bb"</f>
        <v>#VALUE!</v>
      </c>
      <c r="EM83" t="e">
        <f>'Offer Qualification'!B19+"AM:!%bc"</f>
        <v>#VALUE!</v>
      </c>
      <c r="EN83" t="e">
        <f>'Offer Qualification'!C19+"AM:!%bd"</f>
        <v>#VALUE!</v>
      </c>
      <c r="EO83" t="e">
        <f>'Offer Qualification'!D19+"AM:!%be"</f>
        <v>#VALUE!</v>
      </c>
      <c r="EP83" t="e">
        <f>'Offer Qualification'!E19+"AM:!%bf"</f>
        <v>#VALUE!</v>
      </c>
      <c r="EQ83" t="e">
        <f>'Offer Qualification'!F19+"AM:!%bg"</f>
        <v>#VALUE!</v>
      </c>
      <c r="ER83" t="e">
        <f>'Offer Qualification'!G19+"AM:!%bh"</f>
        <v>#VALUE!</v>
      </c>
      <c r="ES83" t="e">
        <f>'Offer Qualification'!H19+"AM:!%bi"</f>
        <v>#VALUE!</v>
      </c>
      <c r="ET83" t="e">
        <f>'Offer Qualification'!A20+"AM:!%bj"</f>
        <v>#VALUE!</v>
      </c>
      <c r="EU83" t="e">
        <f>'Offer Qualification'!B20+"AM:!%bk"</f>
        <v>#VALUE!</v>
      </c>
      <c r="EV83" t="e">
        <f>'Offer Qualification'!C20+"AM:!%bl"</f>
        <v>#VALUE!</v>
      </c>
      <c r="EW83" t="e">
        <f>'Offer Qualification'!D20+"AM:!%bm"</f>
        <v>#VALUE!</v>
      </c>
      <c r="EX83" t="e">
        <f>'Offer Qualification'!E20+"AM:!%bn"</f>
        <v>#VALUE!</v>
      </c>
      <c r="EY83" t="e">
        <f>'Offer Qualification'!F20+"AM:!%bo"</f>
        <v>#VALUE!</v>
      </c>
      <c r="EZ83" t="e">
        <f>'Offer Qualification'!G20+"AM:!%bp"</f>
        <v>#VALUE!</v>
      </c>
      <c r="FA83" t="e">
        <f>'Offer Qualification'!H20+"AM:!%bq"</f>
        <v>#VALUE!</v>
      </c>
      <c r="FB83" t="e">
        <f>'Offer Qualification'!A21+"AM:!%br"</f>
        <v>#VALUE!</v>
      </c>
      <c r="FC83" t="e">
        <f>'Offer Qualification'!B21+"AM:!%bs"</f>
        <v>#VALUE!</v>
      </c>
      <c r="FD83" t="e">
        <f>'Offer Qualification'!C21+"AM:!%bt"</f>
        <v>#VALUE!</v>
      </c>
      <c r="FE83" t="e">
        <f>'Offer Qualification'!D21+"AM:!%bu"</f>
        <v>#VALUE!</v>
      </c>
      <c r="FF83" t="e">
        <f>'Offer Qualification'!E21+"AM:!%bv"</f>
        <v>#VALUE!</v>
      </c>
      <c r="FG83" t="e">
        <f>'Offer Qualification'!F21+"AM:!%bw"</f>
        <v>#VALUE!</v>
      </c>
      <c r="FH83" t="e">
        <f>'Offer Qualification'!G21+"AM:!%bx"</f>
        <v>#VALUE!</v>
      </c>
      <c r="FI83" t="e">
        <f>'Offer Qualification'!H21+"AM:!%by"</f>
        <v>#VALUE!</v>
      </c>
      <c r="FJ83" t="e">
        <f>'Offer Qualification'!A22+"AM:!%bz"</f>
        <v>#VALUE!</v>
      </c>
      <c r="FK83" t="e">
        <f>'Offer Qualification'!B22+"AM:!%b{"</f>
        <v>#VALUE!</v>
      </c>
      <c r="FL83" t="e">
        <f>'Offer Qualification'!C22+"AM:!%b|"</f>
        <v>#VALUE!</v>
      </c>
      <c r="FM83" t="e">
        <f>'Offer Qualification'!D22+"AM:!%b}"</f>
        <v>#VALUE!</v>
      </c>
      <c r="FN83" t="e">
        <f>'Offer Qualification'!E22+"AM:!%b~"</f>
        <v>#VALUE!</v>
      </c>
      <c r="FO83" t="e">
        <f>'Offer Qualification'!F22+"AM:!%c#"</f>
        <v>#VALUE!</v>
      </c>
      <c r="FP83" t="e">
        <f>'Offer Qualification'!G22+"AM:!%c$"</f>
        <v>#VALUE!</v>
      </c>
      <c r="FQ83" t="e">
        <f>'Offer Qualification'!H22+"AM:!%c%"</f>
        <v>#VALUE!</v>
      </c>
      <c r="FR83" t="e">
        <f>'Offer Qualification'!A23+"AM:!%c&amp;"</f>
        <v>#VALUE!</v>
      </c>
      <c r="FS83" t="e">
        <f>'Offer Qualification'!B23+"AM:!%c'"</f>
        <v>#VALUE!</v>
      </c>
      <c r="FT83" t="e">
        <f>'Offer Qualification'!C23+"AM:!%c("</f>
        <v>#VALUE!</v>
      </c>
      <c r="FU83" t="e">
        <f>'Offer Qualification'!D23+"AM:!%c)"</f>
        <v>#VALUE!</v>
      </c>
      <c r="FV83" t="e">
        <f>'Offer Qualification'!E23+"AM:!%c."</f>
        <v>#VALUE!</v>
      </c>
      <c r="FW83" t="e">
        <f>'Offer Qualification'!F23+"AM:!%c/"</f>
        <v>#VALUE!</v>
      </c>
      <c r="FX83" t="e">
        <f>'Offer Qualification'!G23+"AM:!%c0"</f>
        <v>#VALUE!</v>
      </c>
      <c r="FY83" t="e">
        <f>'Offer Qualification'!H23+"AM:!%c1"</f>
        <v>#VALUE!</v>
      </c>
      <c r="FZ83" t="e">
        <f>'Offer Qualification'!A24+"AM:!%c2"</f>
        <v>#VALUE!</v>
      </c>
      <c r="GA83" t="e">
        <f>'Offer Qualification'!B24+"AM:!%c3"</f>
        <v>#VALUE!</v>
      </c>
      <c r="GB83" t="e">
        <f>'Offer Qualification'!C24+"AM:!%c4"</f>
        <v>#VALUE!</v>
      </c>
      <c r="GC83" t="e">
        <f>'Offer Qualification'!D24+"AM:!%c5"</f>
        <v>#VALUE!</v>
      </c>
      <c r="GD83" t="e">
        <f>'Offer Qualification'!E24+"AM:!%c6"</f>
        <v>#VALUE!</v>
      </c>
      <c r="GE83" t="e">
        <f>'Offer Qualification'!F24+"AM:!%c7"</f>
        <v>#VALUE!</v>
      </c>
      <c r="GF83" t="e">
        <f>'Offer Qualification'!G24+"AM:!%c8"</f>
        <v>#VALUE!</v>
      </c>
      <c r="GG83" t="e">
        <f>'Offer Qualification'!H24+"AM:!%c9"</f>
        <v>#VALUE!</v>
      </c>
      <c r="GH83" t="e">
        <f>'Offer Qualification'!A26+"AM:!%c:"</f>
        <v>#VALUE!</v>
      </c>
      <c r="GI83" t="e">
        <f>'Offer Qualification'!B26+"AM:!%c;"</f>
        <v>#VALUE!</v>
      </c>
      <c r="GJ83" t="e">
        <f>'Offer Qualification'!C26+"AM:!%c&lt;"</f>
        <v>#VALUE!</v>
      </c>
      <c r="GK83" t="e">
        <f>'Offer Qualification'!D26+"AM:!%c="</f>
        <v>#VALUE!</v>
      </c>
      <c r="GL83" t="e">
        <f>'Offer Qualification'!E26+"AM:!%c&gt;"</f>
        <v>#VALUE!</v>
      </c>
      <c r="GM83" t="e">
        <f>'Offer Qualification'!F26+"AM:!%c?"</f>
        <v>#VALUE!</v>
      </c>
      <c r="GN83" t="e">
        <f>'Offer Qualification'!G26+"AM:!%c@"</f>
        <v>#VALUE!</v>
      </c>
      <c r="GO83" t="e">
        <f>'Offer Qualification'!H26+"AM:!%cA"</f>
        <v>#VALUE!</v>
      </c>
      <c r="GP83" t="e">
        <f>'Offer Qualification'!A27+"AM:!%cB"</f>
        <v>#VALUE!</v>
      </c>
      <c r="GQ83" t="e">
        <f>'Offer Qualification'!B27+"AM:!%cC"</f>
        <v>#VALUE!</v>
      </c>
      <c r="GR83" t="e">
        <f>'Offer Qualification'!C27+"AM:!%cD"</f>
        <v>#VALUE!</v>
      </c>
      <c r="GS83" t="e">
        <f>'Offer Qualification'!D27+"AM:!%cE"</f>
        <v>#VALUE!</v>
      </c>
      <c r="GT83" t="e">
        <f>'Offer Qualification'!E27+"AM:!%cF"</f>
        <v>#VALUE!</v>
      </c>
      <c r="GU83" t="e">
        <f>'Offer Qualification'!F27+"AM:!%cG"</f>
        <v>#VALUE!</v>
      </c>
      <c r="GV83" t="e">
        <f>'Offer Qualification'!G27+"AM:!%cH"</f>
        <v>#VALUE!</v>
      </c>
      <c r="GW83" t="e">
        <f>'Offer Qualification'!H27+"AM:!%cI"</f>
        <v>#VALUE!</v>
      </c>
      <c r="GX83" t="e">
        <f>'Offer Qualification'!A28+"AM:!%cJ"</f>
        <v>#VALUE!</v>
      </c>
      <c r="GY83" t="e">
        <f>'Offer Qualification'!B28+"AM:!%cK"</f>
        <v>#VALUE!</v>
      </c>
      <c r="GZ83" t="e">
        <f>'Offer Qualification'!C28+"AM:!%cL"</f>
        <v>#VALUE!</v>
      </c>
      <c r="HA83" t="e">
        <f>'Offer Qualification'!D28+"AM:!%cM"</f>
        <v>#VALUE!</v>
      </c>
      <c r="HB83" t="e">
        <f>'Offer Qualification'!E28+"AM:!%cN"</f>
        <v>#VALUE!</v>
      </c>
      <c r="HC83" t="e">
        <f>'Offer Qualification'!F28+"AM:!%cO"</f>
        <v>#VALUE!</v>
      </c>
      <c r="HD83" t="e">
        <f>'Offer Qualification'!G28+"AM:!%cP"</f>
        <v>#VALUE!</v>
      </c>
      <c r="HE83" t="e">
        <f>'Offer Qualification'!H28+"AM:!%cQ"</f>
        <v>#VALUE!</v>
      </c>
      <c r="HF83" t="e">
        <f>'Offer Qualification'!A29+"AM:!%cR"</f>
        <v>#VALUE!</v>
      </c>
      <c r="HG83" t="e">
        <f>'Offer Qualification'!B29+"AM:!%cS"</f>
        <v>#VALUE!</v>
      </c>
      <c r="HH83" t="e">
        <f>'Offer Qualification'!C29+"AM:!%cT"</f>
        <v>#VALUE!</v>
      </c>
      <c r="HI83" t="e">
        <f>'Offer Qualification'!D29+"AM:!%cU"</f>
        <v>#VALUE!</v>
      </c>
      <c r="HJ83" t="e">
        <f>'Offer Qualification'!E29+"AM:!%cV"</f>
        <v>#VALUE!</v>
      </c>
      <c r="HK83" t="e">
        <f>'Offer Qualification'!F29+"AM:!%cW"</f>
        <v>#VALUE!</v>
      </c>
      <c r="HL83" t="e">
        <f>'Offer Qualification'!G29+"AM:!%cX"</f>
        <v>#VALUE!</v>
      </c>
      <c r="HM83" t="e">
        <f>'Offer Qualification'!H29+"AM:!%cY"</f>
        <v>#VALUE!</v>
      </c>
      <c r="HN83" t="e">
        <f>'Offer Qualification'!A30+"AM:!%cZ"</f>
        <v>#VALUE!</v>
      </c>
      <c r="HO83" t="e">
        <f>'Offer Qualification'!B30+"AM:!%c["</f>
        <v>#VALUE!</v>
      </c>
      <c r="HP83" t="e">
        <f>'Offer Qualification'!C30+"AM:!%c\"</f>
        <v>#VALUE!</v>
      </c>
      <c r="HQ83" t="e">
        <f>'Offer Qualification'!D30+"AM:!%c]"</f>
        <v>#VALUE!</v>
      </c>
      <c r="HR83" t="e">
        <f>'Offer Qualification'!E30+"AM:!%c^"</f>
        <v>#VALUE!</v>
      </c>
      <c r="HS83" t="e">
        <f>'Offer Qualification'!F30+"AM:!%c_"</f>
        <v>#VALUE!</v>
      </c>
      <c r="HT83" t="e">
        <f>'Offer Qualification'!G30+"AM:!%c`"</f>
        <v>#VALUE!</v>
      </c>
      <c r="HU83" t="e">
        <f>'Offer Qualification'!H30+"AM:!%ca"</f>
        <v>#VALUE!</v>
      </c>
      <c r="HV83" t="e">
        <f>OpeningTemplate!A:A*"AM:!%cd"</f>
        <v>#VALUE!</v>
      </c>
      <c r="HW83" t="e">
        <f>OpeningTemplate!B:B*"AM:!%ce"</f>
        <v>#VALUE!</v>
      </c>
      <c r="HX83" t="e">
        <f>OpeningTemplate!C:C*"AM:!%cf"</f>
        <v>#VALUE!</v>
      </c>
      <c r="HY83" t="e">
        <f>OpeningTemplate!D:D*"AM:!%cg"</f>
        <v>#VALUE!</v>
      </c>
      <c r="HZ83" t="e">
        <f>OpeningTemplate!E:E*"AM:!%ch"</f>
        <v>#VALUE!</v>
      </c>
      <c r="IA83" t="e">
        <f>OpeningTemplate!F:F*"AM:!%ci"</f>
        <v>#VALUE!</v>
      </c>
      <c r="IB83" t="e">
        <f>OpeningTemplate!G:G*"AM:!%cj"</f>
        <v>#VALUE!</v>
      </c>
      <c r="IC83" t="e">
        <f>OpeningTemplate!H:H*"AM:!%ck"</f>
        <v>#VALUE!</v>
      </c>
      <c r="ID83" t="e">
        <f>OpeningTemplate!I:I*"AM:!%cl"</f>
        <v>#VALUE!</v>
      </c>
      <c r="IE83" t="e">
        <f>OpeningTemplate!J:J*"AM:!%cm"</f>
        <v>#VALUE!</v>
      </c>
      <c r="IF83" t="e">
        <f>OpeningTemplate!K:K*"AM:!%cn"</f>
        <v>#VALUE!</v>
      </c>
      <c r="IG83" t="e">
        <f>OpeningTemplate!L:L*"AM:!%co"</f>
        <v>#VALUE!</v>
      </c>
      <c r="IH83" t="e">
        <f>OpeningTemplate!M:M*"AM:!%cp"</f>
        <v>#VALUE!</v>
      </c>
      <c r="II83" t="e">
        <f>OpeningTemplate!N:N*"AM:!%cq"</f>
        <v>#VALUE!</v>
      </c>
      <c r="IJ83" t="e">
        <f>OpeningTemplate!O:O*"AM:!%cr"</f>
        <v>#VALUE!</v>
      </c>
      <c r="IK83" t="e">
        <f>OpeningTemplate!P:P*"AM:!%cs"</f>
        <v>#VALUE!</v>
      </c>
      <c r="IL83" t="e">
        <f>OpeningTemplate!Q:Q*"AM:!%ct"</f>
        <v>#VALUE!</v>
      </c>
      <c r="IM83" t="e">
        <f>OpeningTemplate!R:R*"AM:!%cu"</f>
        <v>#VALUE!</v>
      </c>
      <c r="IN83" t="e">
        <f>OpeningTemplate!S:S*"AM:!%cv"</f>
        <v>#VALUE!</v>
      </c>
      <c r="IO83" t="e">
        <f>OpeningTemplate!T:T*"AM:!%cw"</f>
        <v>#VALUE!</v>
      </c>
      <c r="IP83" t="e">
        <f>OpeningTemplate!U:U*"AM:!%cx"</f>
        <v>#VALUE!</v>
      </c>
      <c r="IQ83" t="e">
        <f>OpeningTemplate!V:V*"AM:!%cy"</f>
        <v>#VALUE!</v>
      </c>
      <c r="IR83" t="e">
        <f>OpeningTemplate!W:W*"AM:!%cz"</f>
        <v>#VALUE!</v>
      </c>
      <c r="IS83" t="e">
        <f>OpeningTemplate!X:X*"AM:!%c{"</f>
        <v>#VALUE!</v>
      </c>
      <c r="IT83" t="e">
        <f>OpeningTemplate!Y:Y*"AM:!%c|"</f>
        <v>#VALUE!</v>
      </c>
      <c r="IU83" t="e">
        <f>OpeningTemplate!Z:Z*"AM:!%c}"</f>
        <v>#VALUE!</v>
      </c>
      <c r="IV83" t="e">
        <f>OpeningTemplate!AA:AA*"AM:!%c~"</f>
        <v>#VALUE!</v>
      </c>
    </row>
    <row r="84" spans="6:256">
      <c r="F84" t="e">
        <f>OpeningTemplate!AB:AB*"AM:!%d#"</f>
        <v>#VALUE!</v>
      </c>
      <c r="G84" t="e">
        <f>OpeningTemplate!AC:AC*"AM:!%d$"</f>
        <v>#VALUE!</v>
      </c>
      <c r="H84" t="e">
        <f>OpeningTemplate!AD:AD*"AM:!%d%"</f>
        <v>#VALUE!</v>
      </c>
      <c r="I84" t="e">
        <f>OpeningTemplate!AE:AE*"AM:!%d&amp;"</f>
        <v>#VALUE!</v>
      </c>
      <c r="J84" t="e">
        <f>OpeningTemplate!AF:AF*"AM:!%d'"</f>
        <v>#VALUE!</v>
      </c>
      <c r="K84" t="e">
        <f>OpeningTemplate!AG:AG*"AM:!%d("</f>
        <v>#VALUE!</v>
      </c>
      <c r="L84" t="e">
        <f>OpeningTemplate!AH:AH*"AM:!%d)"</f>
        <v>#VALUE!</v>
      </c>
      <c r="M84" t="e">
        <f>OpeningTemplate!AI:AI*"AM:!%d."</f>
        <v>#VALUE!</v>
      </c>
      <c r="N84" t="e">
        <f>OpeningTemplate!AJ:AJ*"AM:!%d/"</f>
        <v>#VALUE!</v>
      </c>
      <c r="O84" t="e">
        <f>OpeningTemplate!AK:AK*"AM:!%d0"</f>
        <v>#VALUE!</v>
      </c>
      <c r="P84" t="e">
        <f>OpeningTemplate!AL:AL*"AM:!%d1"</f>
        <v>#VALUE!</v>
      </c>
      <c r="Q84" t="e">
        <f>OpeningTemplate!AM:AM*"AM:!%d2"</f>
        <v>#VALUE!</v>
      </c>
      <c r="R84" t="e">
        <f>OpeningTemplate!AN:AN*"AM:!%d3"</f>
        <v>#VALUE!</v>
      </c>
      <c r="S84" t="e">
        <f>OpeningTemplate!AO:AO*"AM:!%d4"</f>
        <v>#VALUE!</v>
      </c>
      <c r="T84" t="e">
        <f>OpeningTemplate!AP:AP*"AM:!%d5"</f>
        <v>#VALUE!</v>
      </c>
      <c r="U84" t="e">
        <f>OpeningTemplate!AQ:AQ*"AM:!%d6"</f>
        <v>#VALUE!</v>
      </c>
      <c r="V84" t="e">
        <f>OpeningTemplate!AR:AR*"AM:!%d7"</f>
        <v>#VALUE!</v>
      </c>
      <c r="W84" t="e">
        <f>OpeningTemplate!AS:AS*"AM:!%d8"</f>
        <v>#VALUE!</v>
      </c>
      <c r="X84" t="e">
        <f>OpeningTemplate!AT:AT*"AM:!%d9"</f>
        <v>#VALUE!</v>
      </c>
      <c r="Y84" t="e">
        <f>OpeningTemplate!AU:AU*"AM:!%d:"</f>
        <v>#VALUE!</v>
      </c>
      <c r="Z84" t="e">
        <f>OpeningTemplate!AV:AV*"AM:!%d;"</f>
        <v>#VALUE!</v>
      </c>
      <c r="AA84" t="e">
        <f>OpeningTemplate!AW:AW*"AM:!%d&lt;"</f>
        <v>#VALUE!</v>
      </c>
      <c r="AB84" t="e">
        <f>OpeningTemplate!AX:AX*"AM:!%d="</f>
        <v>#VALUE!</v>
      </c>
      <c r="AC84" t="e">
        <f>OpeningTemplate!AY:AY*"AM:!%d&gt;"</f>
        <v>#VALUE!</v>
      </c>
      <c r="AD84" t="e">
        <f>OpeningTemplate!AZ:AZ*"AM:!%d?"</f>
        <v>#VALUE!</v>
      </c>
      <c r="AE84" t="e">
        <f>OpeningTemplate!BA:BA*"AM:!%d@"</f>
        <v>#VALUE!</v>
      </c>
      <c r="AF84" t="e">
        <f>OpeningTemplate!BB:BB*"AM:!%dA"</f>
        <v>#VALUE!</v>
      </c>
      <c r="AG84" t="e">
        <f>OpeningTemplate!BC:BC*"AM:!%dB"</f>
        <v>#VALUE!</v>
      </c>
      <c r="AH84" t="e">
        <f>OpeningTemplate!BD:BD*"AM:!%dC"</f>
        <v>#VALUE!</v>
      </c>
      <c r="AI84" t="e">
        <f>OpeningTemplate!BE:BE*"AM:!%dD"</f>
        <v>#VALUE!</v>
      </c>
      <c r="AJ84" t="e">
        <f>OpeningTemplate!BF:BF*"AM:!%dE"</f>
        <v>#VALUE!</v>
      </c>
      <c r="AK84" t="e">
        <f>OpeningTemplate!BG:BG*"AM:!%dF"</f>
        <v>#VALUE!</v>
      </c>
      <c r="AL84" t="e">
        <f>OpeningTemplate!BH:BH*"AM:!%dG"</f>
        <v>#VALUE!</v>
      </c>
      <c r="AM84" t="e">
        <f>OpeningTemplate!BI:BI*"AM:!%dH"</f>
        <v>#VALUE!</v>
      </c>
      <c r="AN84" t="e">
        <f>OpeningTemplate!BJ:BJ*"AM:!%dI"</f>
        <v>#VALUE!</v>
      </c>
      <c r="AO84" t="e">
        <f>OpeningTemplate!BK:BK*"AM:!%dJ"</f>
        <v>#VALUE!</v>
      </c>
      <c r="AP84" t="e">
        <f>OpeningTemplate!BL:BL*"AM:!%dK"</f>
        <v>#VALUE!</v>
      </c>
      <c r="AQ84" t="e">
        <f>OpeningTemplate!BM:BM*"AM:!%dL"</f>
        <v>#VALUE!</v>
      </c>
      <c r="AR84" t="e">
        <f>OpeningTemplate!1:1-"AM:!%dM"</f>
        <v>#VALUE!</v>
      </c>
      <c r="AS84" t="e">
        <f>OpeningTemplate!2:2-"AM:!%dN"</f>
        <v>#VALUE!</v>
      </c>
      <c r="AT84" t="e">
        <f>OpeningTemplate!3:3-"AM:!%dO"</f>
        <v>#VALUE!</v>
      </c>
      <c r="AU84" t="e">
        <f>OpeningTemplate!4:4-"AM:!%dP"</f>
        <v>#VALUE!</v>
      </c>
      <c r="AV84" t="e">
        <f>OpeningTemplate!5:5-"AM:!%dQ"</f>
        <v>#VALUE!</v>
      </c>
      <c r="AW84" t="e">
        <f>OpeningTemplate!6:6-"AM:!%dR"</f>
        <v>#VALUE!</v>
      </c>
      <c r="AX84" t="e">
        <f>OpeningTemplate!7:7-"AM:!%dS"</f>
        <v>#VALUE!</v>
      </c>
      <c r="AY84" t="e">
        <f>OpeningTemplate!8:8-"AM:!%dT"</f>
        <v>#VALUE!</v>
      </c>
      <c r="AZ84" t="e">
        <f>OpeningTemplate!9:9-"AM:!%dU"</f>
        <v>#VALUE!</v>
      </c>
      <c r="BA84" t="e">
        <f>OpeningTemplate!10:10-"AM:!%dV"</f>
        <v>#VALUE!</v>
      </c>
      <c r="BB84" t="e">
        <f>OpeningTemplate!11:11-"AM:!%dW"</f>
        <v>#VALUE!</v>
      </c>
      <c r="BC84" t="e">
        <f>OpeningTemplate!12:12-"AM:!%dX"</f>
        <v>#VALUE!</v>
      </c>
      <c r="BD84" t="e">
        <f>OpeningTemplate!13:13-"AM:!%dY"</f>
        <v>#VALUE!</v>
      </c>
      <c r="BE84" t="e">
        <f>OpeningTemplate!14:14-"AM:!%dZ"</f>
        <v>#VALUE!</v>
      </c>
      <c r="BF84" t="e">
        <f>OpeningTemplate!15:15-"AM:!%d["</f>
        <v>#VALUE!</v>
      </c>
      <c r="BG84" t="e">
        <f>OpeningTemplate!16:16-"AM:!%d\"</f>
        <v>#VALUE!</v>
      </c>
      <c r="BH84" t="e">
        <f>OpeningTemplate!17:17-"AM:!%d]"</f>
        <v>#VALUE!</v>
      </c>
      <c r="BI84" t="e">
        <f>OpeningTemplate!18:18-"AM:!%d^"</f>
        <v>#VALUE!</v>
      </c>
      <c r="BJ84" t="e">
        <f>OpeningTemplate!19:19-"AM:!%d_"</f>
        <v>#VALUE!</v>
      </c>
      <c r="BK84" t="e">
        <f>OpeningTemplate!20:20-"AM:!%d`"</f>
        <v>#VALUE!</v>
      </c>
      <c r="BL84" t="e">
        <f>OpeningTemplate!21:21-"AM:!%da"</f>
        <v>#VALUE!</v>
      </c>
      <c r="BM84" t="e">
        <f>OpeningTemplate!22:22-"AM:!%db"</f>
        <v>#VALUE!</v>
      </c>
      <c r="BN84" t="e">
        <f>OpeningTemplate!23:23-"AM:!%dc"</f>
        <v>#VALUE!</v>
      </c>
      <c r="BO84" t="e">
        <f>OpeningTemplate!24:24-"AM:!%dd"</f>
        <v>#VALUE!</v>
      </c>
      <c r="BP84" t="e">
        <f>OpeningTemplate!25:25-"AM:!%de"</f>
        <v>#VALUE!</v>
      </c>
      <c r="BQ84" t="e">
        <f>OpeningTemplate!26:26-"AM:!%df"</f>
        <v>#VALUE!</v>
      </c>
      <c r="BR84" t="e">
        <f>OpeningTemplate!27:27-"AM:!%dg"</f>
        <v>#VALUE!</v>
      </c>
      <c r="BS84" t="e">
        <f>OpeningTemplate!28:28-"AM:!%dh"</f>
        <v>#VALUE!</v>
      </c>
      <c r="BT84" t="e">
        <f>OpeningTemplate!29:29-"AM:!%di"</f>
        <v>#VALUE!</v>
      </c>
      <c r="BU84" t="e">
        <f>OpeningTemplate!30:30-"AM:!%dj"</f>
        <v>#VALUE!</v>
      </c>
      <c r="BV84" t="e">
        <f>OpeningTemplate!31:31-"AM:!%dk"</f>
        <v>#VALUE!</v>
      </c>
      <c r="BW84" t="e">
        <f>OpeningTemplate!32:32-"AM:!%dl"</f>
        <v>#VALUE!</v>
      </c>
      <c r="BX84" t="e">
        <f>OpeningTemplate!33:33-"AM:!%dm"</f>
        <v>#VALUE!</v>
      </c>
      <c r="BY84" t="e">
        <f>OpeningTemplate!34:34-"AM:!%dn"</f>
        <v>#VALUE!</v>
      </c>
      <c r="BZ84" t="e">
        <f>OpeningTemplate!35:35-"AM:!%do"</f>
        <v>#VALUE!</v>
      </c>
      <c r="CA84" t="e">
        <f>OpeningTemplate!36:36-"AM:!%dp"</f>
        <v>#VALUE!</v>
      </c>
      <c r="CB84" t="e">
        <f>OpeningTemplate!37:37-"AM:!%dq"</f>
        <v>#VALUE!</v>
      </c>
      <c r="CC84" t="e">
        <f>OpeningTemplate!38:38-"AM:!%dr"</f>
        <v>#VALUE!</v>
      </c>
      <c r="CD84" t="e">
        <f>OpeningTemplate!39:39-"AM:!%ds"</f>
        <v>#VALUE!</v>
      </c>
      <c r="CE84" t="e">
        <f>OpeningTemplate!40:40-"AM:!%dt"</f>
        <v>#VALUE!</v>
      </c>
      <c r="CF84" t="e">
        <f>OpeningTemplate!41:41-"AM:!%du"</f>
        <v>#VALUE!</v>
      </c>
      <c r="CG84" t="e">
        <f>OpeningTemplate!42:42-"AM:!%dv"</f>
        <v>#VALUE!</v>
      </c>
      <c r="CH84" t="e">
        <f>OpeningTemplate!43:43-"AM:!%dw"</f>
        <v>#VALUE!</v>
      </c>
      <c r="CI84" t="e">
        <f>OpeningTemplate!44:44-"AM:!%dx"</f>
        <v>#VALUE!</v>
      </c>
      <c r="CJ84" t="e">
        <f>OpeningTemplate!45:45-"AM:!%dy"</f>
        <v>#VALUE!</v>
      </c>
      <c r="CK84" t="e">
        <f>OpeningTemplate!46:46-"AM:!%dz"</f>
        <v>#VALUE!</v>
      </c>
      <c r="CL84" t="e">
        <f>OpeningTemplate!47:47-"AM:!%d{"</f>
        <v>#VALUE!</v>
      </c>
      <c r="CM84" t="e">
        <f>OpeningTemplate!48:48-"AM:!%d|"</f>
        <v>#VALUE!</v>
      </c>
      <c r="CN84" t="e">
        <f>OpeningTemplate!49:49-"AM:!%d}"</f>
        <v>#VALUE!</v>
      </c>
      <c r="CO84" t="e">
        <f>OpeningTemplate!50:50-"AM:!%d~"</f>
        <v>#VALUE!</v>
      </c>
      <c r="CP84" t="e">
        <f>OpeningTemplate!51:51-"AM:!%e#"</f>
        <v>#VALUE!</v>
      </c>
      <c r="CQ84" t="e">
        <f>OpeningTemplate!52:52-"AM:!%e$"</f>
        <v>#VALUE!</v>
      </c>
      <c r="CR84" t="e">
        <f>OpeningTemplate!53:53-"AM:!%e%"</f>
        <v>#VALUE!</v>
      </c>
      <c r="CS84" t="e">
        <f>OpeningTemplate!54:54-"AM:!%e&amp;"</f>
        <v>#VALUE!</v>
      </c>
      <c r="CT84" t="e">
        <f>OpeningTemplate!55:55-"AM:!%e'"</f>
        <v>#VALUE!</v>
      </c>
      <c r="CU84" t="e">
        <f>OpeningTemplate!56:56-"AM:!%e("</f>
        <v>#VALUE!</v>
      </c>
      <c r="CV84" t="e">
        <f>OpeningTemplate!57:57-"AM:!%e)"</f>
        <v>#VALUE!</v>
      </c>
      <c r="CW84" t="e">
        <f>OpeningTemplate!58:58-"AM:!%e."</f>
        <v>#VALUE!</v>
      </c>
      <c r="CX84" t="e">
        <f>OpeningTemplate!59:59-"AM:!%e/"</f>
        <v>#VALUE!</v>
      </c>
      <c r="CY84" t="e">
        <f>OpeningTemplate!60:60-"AM:!%e0"</f>
        <v>#VALUE!</v>
      </c>
      <c r="CZ84" t="e">
        <f>OpeningTemplate!61:61-"AM:!%e1"</f>
        <v>#VALUE!</v>
      </c>
      <c r="DA84" t="e">
        <f>OpeningTemplate!62:62-"AM:!%e2"</f>
        <v>#VALUE!</v>
      </c>
      <c r="DB84" t="e">
        <f>OpeningTemplate!63:63-"AM:!%e3"</f>
        <v>#VALUE!</v>
      </c>
      <c r="DC84" t="e">
        <f>OpeningTemplate!64:64-"AM:!%e4"</f>
        <v>#VALUE!</v>
      </c>
      <c r="DD84" t="e">
        <f>OpeningTemplate!65:65-"AM:!%e5"</f>
        <v>#VALUE!</v>
      </c>
      <c r="DE84" t="e">
        <f>OpeningTemplate!66:66-"AM:!%e6"</f>
        <v>#VALUE!</v>
      </c>
      <c r="DF84" t="e">
        <f>OpeningTemplate!67:67-"AM:!%e7"</f>
        <v>#VALUE!</v>
      </c>
      <c r="DG84" t="e">
        <f>OpeningTemplate!68:68-"AM:!%e8"</f>
        <v>#VALUE!</v>
      </c>
      <c r="DH84" t="e">
        <f>OpeningTemplate!69:69-"AM:!%e9"</f>
        <v>#VALUE!</v>
      </c>
      <c r="DI84" t="e">
        <f>OpeningTemplate!70:70-"AM:!%e:"</f>
        <v>#VALUE!</v>
      </c>
      <c r="DJ84" t="e">
        <f>OpeningTemplate!71:71-"AM:!%e;"</f>
        <v>#VALUE!</v>
      </c>
      <c r="DK84" t="e">
        <f>OpeningTemplate!72:72-"AM:!%e&lt;"</f>
        <v>#VALUE!</v>
      </c>
      <c r="DL84" t="e">
        <f>OpeningTemplate!73:73-"AM:!%e="</f>
        <v>#VALUE!</v>
      </c>
      <c r="DM84" t="e">
        <f>OpeningTemplate!74:74-"AM:!%e&gt;"</f>
        <v>#VALUE!</v>
      </c>
      <c r="DN84" t="e">
        <f>OpeningTemplate!75:75-"AM:!%e?"</f>
        <v>#VALUE!</v>
      </c>
      <c r="DO84" t="e">
        <f>OpeningTemplate!76:76-"AM:!%e@"</f>
        <v>#VALUE!</v>
      </c>
      <c r="DP84" t="e">
        <f>OpeningTemplate!77:77-"AM:!%eA"</f>
        <v>#VALUE!</v>
      </c>
      <c r="DQ84" t="e">
        <f>OpeningTemplate!78:78-"AM:!%eB"</f>
        <v>#VALUE!</v>
      </c>
      <c r="DR84" t="e">
        <f>OpeningTemplate!79:79-"AM:!%eC"</f>
        <v>#VALUE!</v>
      </c>
      <c r="DS84" t="e">
        <f>OpeningTemplate!80:80-"AM:!%eD"</f>
        <v>#VALUE!</v>
      </c>
      <c r="DT84" t="e">
        <f>OpeningTemplate!81:81-"AM:!%eE"</f>
        <v>#VALUE!</v>
      </c>
      <c r="DU84" t="e">
        <f>OpeningTemplate!82:82-"AM:!%eF"</f>
        <v>#VALUE!</v>
      </c>
      <c r="DV84" t="e">
        <f>OpeningTemplate!83:83-"AM:!%eG"</f>
        <v>#VALUE!</v>
      </c>
      <c r="DW84" t="e">
        <f>OpeningTemplate!84:84-"AM:!%eH"</f>
        <v>#VALUE!</v>
      </c>
      <c r="DX84" t="e">
        <f>OpeningTemplate!85:85-"AM:!%eI"</f>
        <v>#VALUE!</v>
      </c>
      <c r="DY84" t="e">
        <f>OpeningTemplate!86:86-"AM:!%eJ"</f>
        <v>#VALUE!</v>
      </c>
      <c r="DZ84" t="e">
        <f>OpeningTemplate!87:87-"AM:!%eK"</f>
        <v>#VALUE!</v>
      </c>
      <c r="EA84" t="e">
        <f>OpeningTemplate!88:88-"AM:!%eL"</f>
        <v>#VALUE!</v>
      </c>
      <c r="EB84" t="e">
        <f>OpeningTemplate!89:89-"AM:!%eM"</f>
        <v>#VALUE!</v>
      </c>
      <c r="EC84" t="e">
        <f>OpeningTemplate!90:90-"AM:!%eN"</f>
        <v>#VALUE!</v>
      </c>
      <c r="ED84" t="e">
        <f>OpeningTemplate!91:91-"AM:!%eO"</f>
        <v>#VALUE!</v>
      </c>
      <c r="EE84" t="e">
        <f>OpeningTemplate!92:92-"AM:!%eP"</f>
        <v>#VALUE!</v>
      </c>
      <c r="EF84" t="e">
        <f>OpeningTemplate!93:93-"AM:!%eQ"</f>
        <v>#VALUE!</v>
      </c>
      <c r="EG84" t="e">
        <f>OpeningTemplate!94:94-"AM:!%eR"</f>
        <v>#VALUE!</v>
      </c>
      <c r="EH84" t="e">
        <f>OpeningTemplate!95:95-"AM:!%eS"</f>
        <v>#VALUE!</v>
      </c>
      <c r="EI84" t="e">
        <f>OpeningTemplate!96:96-"AM:!%eT"</f>
        <v>#VALUE!</v>
      </c>
      <c r="EJ84" t="e">
        <f>OpeningTemplate!97:97-"AM:!%eU"</f>
        <v>#VALUE!</v>
      </c>
      <c r="EK84" t="e">
        <f>OpeningTemplate!98:98-"AM:!%eV"</f>
        <v>#VALUE!</v>
      </c>
      <c r="EL84" t="e">
        <f>OpeningTemplate!99:99-"AM:!%eW"</f>
        <v>#VALUE!</v>
      </c>
      <c r="EM84" t="e">
        <f>OpeningTemplate!100:100-"AM:!%eX"</f>
        <v>#VALUE!</v>
      </c>
      <c r="EN84" t="e">
        <f>OpeningTemplate!101:101-"AM:!%eY"</f>
        <v>#VALUE!</v>
      </c>
      <c r="EO84" t="e">
        <f>OpeningTemplate!102:102-"AM:!%eZ"</f>
        <v>#VALUE!</v>
      </c>
      <c r="EP84" t="e">
        <f>OpeningTemplate!103:103-"AM:!%e["</f>
        <v>#VALUE!</v>
      </c>
      <c r="EQ84" t="e">
        <f>OpeningTemplate!104:104-"AM:!%e\"</f>
        <v>#VALUE!</v>
      </c>
      <c r="ER84" t="e">
        <f>OpeningTemplate!105:105-"AM:!%e]"</f>
        <v>#VALUE!</v>
      </c>
      <c r="ES84" t="e">
        <f>OpeningTemplate!106:106-"AM:!%e^"</f>
        <v>#VALUE!</v>
      </c>
      <c r="ET84" t="e">
        <f>OpeningTemplate!107:107-"AM:!%e_"</f>
        <v>#VALUE!</v>
      </c>
      <c r="EU84" t="e">
        <f>OpeningTemplate!108:108-"AM:!%e`"</f>
        <v>#VALUE!</v>
      </c>
      <c r="EV84" t="e">
        <f>OpeningTemplate!109:109-"AM:!%ea"</f>
        <v>#VALUE!</v>
      </c>
      <c r="EW84" t="e">
        <f>OpeningTemplate!110:110-"AM:!%eb"</f>
        <v>#VALUE!</v>
      </c>
      <c r="EX84" t="e">
        <f>OpeningTemplate!111:111-"AM:!%ec"</f>
        <v>#VALUE!</v>
      </c>
      <c r="EY84" t="e">
        <f>OpeningTemplate!112:112-"AM:!%ed"</f>
        <v>#VALUE!</v>
      </c>
      <c r="EZ84" t="e">
        <f>OpeningTemplate!113:113-"AM:!%ee"</f>
        <v>#VALUE!</v>
      </c>
      <c r="FA84" t="e">
        <f>OpeningTemplate!114:114-"AM:!%ef"</f>
        <v>#VALUE!</v>
      </c>
      <c r="FB84" t="e">
        <f>OpeningTemplate!115:115-"AM:!%eg"</f>
        <v>#VALUE!</v>
      </c>
      <c r="FC84" t="e">
        <f>OpeningTemplate!116:116-"AM:!%eh"</f>
        <v>#VALUE!</v>
      </c>
      <c r="FD84" t="e">
        <f>OpeningTemplate!117:117-"AM:!%ei"</f>
        <v>#VALUE!</v>
      </c>
      <c r="FE84" t="e">
        <f>OpeningTemplate!118:118-"AM:!%ej"</f>
        <v>#VALUE!</v>
      </c>
      <c r="FF84" t="e">
        <f>OpeningTemplate!119:119-"AM:!%ek"</f>
        <v>#VALUE!</v>
      </c>
      <c r="FG84" t="e">
        <f>OpeningTemplate!120:120-"AM:!%el"</f>
        <v>#VALUE!</v>
      </c>
      <c r="FH84" t="e">
        <f>OpeningTemplate!121:121-"AM:!%em"</f>
        <v>#VALUE!</v>
      </c>
      <c r="FI84" t="e">
        <f>OpeningTemplate!122:122-"AM:!%en"</f>
        <v>#VALUE!</v>
      </c>
      <c r="FJ84" t="e">
        <f>OpeningTemplate!123:123-"AM:!%eo"</f>
        <v>#VALUE!</v>
      </c>
      <c r="FK84" t="e">
        <f>OpeningTemplate!124:124-"AM:!%ep"</f>
        <v>#VALUE!</v>
      </c>
      <c r="FL84" t="e">
        <f>OpeningTemplate!125:125-"AM:!%eq"</f>
        <v>#VALUE!</v>
      </c>
      <c r="FM84" t="e">
        <f>OpeningTemplate!126:126-"AM:!%er"</f>
        <v>#VALUE!</v>
      </c>
      <c r="FN84" t="e">
        <f>OpeningTemplate!127:127-"AM:!%es"</f>
        <v>#VALUE!</v>
      </c>
      <c r="FO84" t="e">
        <f>OpeningTemplate!128:128-"AM:!%et"</f>
        <v>#VALUE!</v>
      </c>
      <c r="FP84" t="e">
        <f>OpeningTemplate!129:129-"AM:!%eu"</f>
        <v>#VALUE!</v>
      </c>
      <c r="FQ84" t="e">
        <f>OpeningTemplate!130:130-"AM:!%ev"</f>
        <v>#VALUE!</v>
      </c>
      <c r="FR84" t="e">
        <f>OpeningTemplate!131:131-"AM:!%ew"</f>
        <v>#VALUE!</v>
      </c>
      <c r="FS84" t="e">
        <f>OpeningTemplate!132:132-"AM:!%ex"</f>
        <v>#VALUE!</v>
      </c>
      <c r="FT84" t="e">
        <f>OpeningTemplate!133:133-"AM:!%ey"</f>
        <v>#VALUE!</v>
      </c>
      <c r="FU84" t="e">
        <f>OpeningTemplate!134:134-"AM:!%ez"</f>
        <v>#VALUE!</v>
      </c>
      <c r="FV84" t="e">
        <f>OpeningTemplate!135:135-"AM:!%e{"</f>
        <v>#VALUE!</v>
      </c>
      <c r="FW84" t="e">
        <f>OpeningTemplate!136:136-"AM:!%e|"</f>
        <v>#VALUE!</v>
      </c>
      <c r="FX84" t="e">
        <f>OpeningTemplate!137:137-"AM:!%e}"</f>
        <v>#VALUE!</v>
      </c>
      <c r="FY84" t="e">
        <f>OpeningTemplate!138:138-"AM:!%e~"</f>
        <v>#VALUE!</v>
      </c>
      <c r="FZ84" t="e">
        <f>OpeningTemplate!139:139-"AM:!%f#"</f>
        <v>#VALUE!</v>
      </c>
      <c r="GA84" t="e">
        <f>OpeningTemplate!140:140-"AM:!%f$"</f>
        <v>#VALUE!</v>
      </c>
      <c r="GB84" t="e">
        <f>OpeningTemplate!141:141-"AM:!%f%"</f>
        <v>#VALUE!</v>
      </c>
      <c r="GC84" t="e">
        <f>OpeningTemplate!142:142-"AM:!%f&amp;"</f>
        <v>#VALUE!</v>
      </c>
      <c r="GD84" t="e">
        <f>OpeningTemplate!143:143-"AM:!%f'"</f>
        <v>#VALUE!</v>
      </c>
      <c r="GE84" t="e">
        <f>OpeningTemplate!144:144-"AM:!%f("</f>
        <v>#VALUE!</v>
      </c>
      <c r="GF84" t="e">
        <f>OpeningTemplate!145:145-"AM:!%f)"</f>
        <v>#VALUE!</v>
      </c>
      <c r="GG84" t="e">
        <f>OpeningTemplate!146:146-"AM:!%f."</f>
        <v>#VALUE!</v>
      </c>
      <c r="GH84" t="e">
        <f>OpeningTemplate!147:147-"AM:!%f/"</f>
        <v>#VALUE!</v>
      </c>
      <c r="GI84" t="e">
        <f>OpeningTemplate!148:148-"AM:!%f0"</f>
        <v>#VALUE!</v>
      </c>
      <c r="GJ84" t="e">
        <f>OpeningTemplate!149:149-"AM:!%f1"</f>
        <v>#VALUE!</v>
      </c>
      <c r="GK84" t="e">
        <f>OpeningTemplate!150:150-"AM:!%f2"</f>
        <v>#VALUE!</v>
      </c>
      <c r="GL84" t="e">
        <f>OpeningTemplate!151:151-"AM:!%f3"</f>
        <v>#VALUE!</v>
      </c>
      <c r="GM84" t="e">
        <f>OpeningTemplate!152:152-"AM:!%f4"</f>
        <v>#VALUE!</v>
      </c>
      <c r="GN84" t="e">
        <f>OpeningTemplate!153:153-"AM:!%f5"</f>
        <v>#VALUE!</v>
      </c>
      <c r="GO84" t="e">
        <f>OpeningTemplate!154:154-"AM:!%f6"</f>
        <v>#VALUE!</v>
      </c>
      <c r="GP84" t="e">
        <f>OpeningTemplate!155:155-"AM:!%f7"</f>
        <v>#VALUE!</v>
      </c>
      <c r="GQ84" t="e">
        <f>OpeningTemplate!156:156-"AM:!%f8"</f>
        <v>#VALUE!</v>
      </c>
      <c r="GR84" t="e">
        <f>OpeningTemplate!157:157-"AM:!%f9"</f>
        <v>#VALUE!</v>
      </c>
      <c r="GS84" t="e">
        <f>OpeningTemplate!158:158-"AM:!%f:"</f>
        <v>#VALUE!</v>
      </c>
      <c r="GT84" t="e">
        <f>OpeningTemplate!159:159-"AM:!%f;"</f>
        <v>#VALUE!</v>
      </c>
      <c r="GU84" t="e">
        <f>OpeningTemplate!160:160-"AM:!%f&lt;"</f>
        <v>#VALUE!</v>
      </c>
      <c r="GV84" t="e">
        <f>OpeningTemplate!161:161-"AM:!%f="</f>
        <v>#VALUE!</v>
      </c>
      <c r="GW84" t="e">
        <f>OpeningTemplate!162:162-"AM:!%f&gt;"</f>
        <v>#VALUE!</v>
      </c>
      <c r="GX84" t="e">
        <f>OpeningTemplate!163:163-"AM:!%f?"</f>
        <v>#VALUE!</v>
      </c>
      <c r="GY84" t="e">
        <f>OpeningTemplate!164:164-"AM:!%f@"</f>
        <v>#VALUE!</v>
      </c>
      <c r="GZ84" t="e">
        <f>OpeningTemplate!165:165-"AM:!%fA"</f>
        <v>#VALUE!</v>
      </c>
      <c r="HA84" t="e">
        <f>OpeningTemplate!166:166-"AM:!%fB"</f>
        <v>#VALUE!</v>
      </c>
      <c r="HB84" t="e">
        <f>OpeningTemplate!167:167-"AM:!%fC"</f>
        <v>#VALUE!</v>
      </c>
      <c r="HC84" t="e">
        <f>OpeningTemplate!168:168-"AM:!%fD"</f>
        <v>#VALUE!</v>
      </c>
      <c r="HD84" t="e">
        <f>OpeningTemplate!169:169-"AM:!%fE"</f>
        <v>#VALUE!</v>
      </c>
      <c r="HE84" t="e">
        <f>OpeningTemplate!170:170-"AM:!%fF"</f>
        <v>#VALUE!</v>
      </c>
      <c r="HF84" t="e">
        <f>OpeningTemplate!171:171-"AM:!%fG"</f>
        <v>#VALUE!</v>
      </c>
      <c r="HG84" t="e">
        <f>OpeningTemplate!172:172-"AM:!%fH"</f>
        <v>#VALUE!</v>
      </c>
      <c r="HH84" t="e">
        <f>OpeningTemplate!173:173-"AM:!%fI"</f>
        <v>#VALUE!</v>
      </c>
      <c r="HI84" t="e">
        <f>OpeningTemplate!174:174-"AM:!%fJ"</f>
        <v>#VALUE!</v>
      </c>
      <c r="HJ84" t="e">
        <f>OpeningTemplate!175:175-"AM:!%fK"</f>
        <v>#VALUE!</v>
      </c>
      <c r="HK84" t="e">
        <f>OpeningTemplate!176:176-"AM:!%fL"</f>
        <v>#VALUE!</v>
      </c>
      <c r="HL84" t="e">
        <f>OpeningTemplate!177:177-"AM:!%fM"</f>
        <v>#VALUE!</v>
      </c>
      <c r="HM84" t="e">
        <f>OpeningTemplate!178:178-"AM:!%fN"</f>
        <v>#VALUE!</v>
      </c>
      <c r="HN84" t="e">
        <f>OpeningTemplate!179:179-"AM:!%fO"</f>
        <v>#VALUE!</v>
      </c>
      <c r="HO84" t="e">
        <f>OpeningTemplate!180:180-"AM:!%fP"</f>
        <v>#VALUE!</v>
      </c>
      <c r="HP84" t="e">
        <f>OpeningTemplate!181:181-"AM:!%fQ"</f>
        <v>#VALUE!</v>
      </c>
      <c r="HQ84" t="e">
        <f>OpeningTemplate!182:182-"AM:!%fR"</f>
        <v>#VALUE!</v>
      </c>
      <c r="HR84" t="e">
        <f>OpeningTemplate!183:183-"AM:!%fS"</f>
        <v>#VALUE!</v>
      </c>
      <c r="HS84" t="e">
        <f>OpeningTemplate!184:184-"AM:!%fT"</f>
        <v>#VALUE!</v>
      </c>
      <c r="HT84" t="e">
        <f>OpeningTemplate!185:185-"AM:!%fU"</f>
        <v>#VALUE!</v>
      </c>
      <c r="HU84" t="e">
        <f>OpeningTemplate!186:186-"AM:!%fV"</f>
        <v>#VALUE!</v>
      </c>
      <c r="HV84" t="e">
        <f>OpeningTemplate!187:187-"AM:!%fW"</f>
        <v>#VALUE!</v>
      </c>
      <c r="HW84" t="e">
        <f>OpeningTemplate!188:188-"AM:!%fX"</f>
        <v>#VALUE!</v>
      </c>
      <c r="HX84" t="e">
        <f>OpeningTemplate!189:189-"AM:!%fY"</f>
        <v>#VALUE!</v>
      </c>
      <c r="HY84" t="e">
        <f>OpeningTemplate!190:190-"AM:!%fZ"</f>
        <v>#VALUE!</v>
      </c>
      <c r="HZ84" t="e">
        <f>OpeningTemplate!191:191-"AM:!%f["</f>
        <v>#VALUE!</v>
      </c>
      <c r="IA84" t="e">
        <f>OpeningTemplate!192:192-"AM:!%f\"</f>
        <v>#VALUE!</v>
      </c>
      <c r="IB84" t="e">
        <f>OpeningTemplate!193:193-"AM:!%f]"</f>
        <v>#VALUE!</v>
      </c>
      <c r="IC84" t="e">
        <f>OpeningTemplate!194:194-"AM:!%f^"</f>
        <v>#VALUE!</v>
      </c>
      <c r="ID84" t="e">
        <f>OpeningTemplate!195:195-"AM:!%f_"</f>
        <v>#VALUE!</v>
      </c>
      <c r="IE84" t="e">
        <f>OpeningTemplate!196:196-"AM:!%f`"</f>
        <v>#VALUE!</v>
      </c>
      <c r="IF84" t="e">
        <f>OpeningTemplate!197:197-"AM:!%fa"</f>
        <v>#VALUE!</v>
      </c>
      <c r="IG84" t="e">
        <f>OpeningTemplate!198:198-"AM:!%fb"</f>
        <v>#VALUE!</v>
      </c>
      <c r="IH84" t="e">
        <f>OpeningTemplate!199:199-"AM:!%fc"</f>
        <v>#VALUE!</v>
      </c>
      <c r="II84" t="e">
        <f>OpeningTemplate!200:200-"AM:!%fd"</f>
        <v>#VALUE!</v>
      </c>
      <c r="IJ84" t="e">
        <f>OpeningTemplate!201:201-"AM:!%fe"</f>
        <v>#VALUE!</v>
      </c>
      <c r="IK84" t="e">
        <f>OpeningTemplate!202:202-"AM:!%ff"</f>
        <v>#VALUE!</v>
      </c>
      <c r="IL84" t="e">
        <f>OpeningTemplate!203:203-"AM:!%fg"</f>
        <v>#VALUE!</v>
      </c>
      <c r="IM84" t="e">
        <f>OpeningTemplate!204:204-"AM:!%fh"</f>
        <v>#VALUE!</v>
      </c>
      <c r="IN84" t="e">
        <f>OpeningTemplate!205:205-"AM:!%fi"</f>
        <v>#VALUE!</v>
      </c>
      <c r="IO84" t="e">
        <f>OpeningTemplate!206:206-"AM:!%fj"</f>
        <v>#VALUE!</v>
      </c>
      <c r="IP84" t="e">
        <f>OpeningTemplate!207:207-"AM:!%fk"</f>
        <v>#VALUE!</v>
      </c>
      <c r="IQ84" t="e">
        <f>OpeningTemplate!208:208-"AM:!%fl"</f>
        <v>#VALUE!</v>
      </c>
      <c r="IR84" t="e">
        <f>OpeningTemplate!209:209-"AM:!%fm"</f>
        <v>#VALUE!</v>
      </c>
      <c r="IS84" t="e">
        <f>OpeningTemplate!210:210-"AM:!%fn"</f>
        <v>#VALUE!</v>
      </c>
      <c r="IT84" t="e">
        <f>OpeningTemplate!211:211-"AM:!%fo"</f>
        <v>#VALUE!</v>
      </c>
      <c r="IU84" t="e">
        <f>OpeningTemplate!212:212-"AM:!%fp"</f>
        <v>#VALUE!</v>
      </c>
      <c r="IV84" t="e">
        <f>OpeningTemplate!213:213-"AM:!%fq"</f>
        <v>#VALUE!</v>
      </c>
    </row>
    <row r="85" spans="6:256">
      <c r="F85" t="e">
        <f>OpeningTemplate!214:214-"AM:!%fr"</f>
        <v>#VALUE!</v>
      </c>
      <c r="G85" t="e">
        <f>OpeningTemplate!215:215-"AM:!%fs"</f>
        <v>#VALUE!</v>
      </c>
      <c r="H85" t="e">
        <f>OpeningTemplate!216:216-"AM:!%ft"</f>
        <v>#VALUE!</v>
      </c>
      <c r="I85" t="e">
        <f>OpeningTemplate!217:217-"AM:!%fu"</f>
        <v>#VALUE!</v>
      </c>
      <c r="J85" t="e">
        <f>OpeningTemplate!218:218-"AM:!%fv"</f>
        <v>#VALUE!</v>
      </c>
      <c r="K85" t="e">
        <f>OpeningTemplate!219:219-"AM:!%fw"</f>
        <v>#VALUE!</v>
      </c>
      <c r="L85" t="e">
        <f>OpeningTemplate!220:220-"AM:!%fx"</f>
        <v>#VALUE!</v>
      </c>
      <c r="M85" t="e">
        <f>OpeningTemplate!221:221-"AM:!%fy"</f>
        <v>#VALUE!</v>
      </c>
      <c r="N85" t="e">
        <f>OpeningTemplate!222:222-"AM:!%fz"</f>
        <v>#VALUE!</v>
      </c>
      <c r="O85" t="e">
        <f>OpeningTemplate!223:223-"AM:!%f{"</f>
        <v>#VALUE!</v>
      </c>
      <c r="P85" t="e">
        <f>OpeningTemplate!224:224-"AM:!%f|"</f>
        <v>#VALUE!</v>
      </c>
      <c r="Q85" t="e">
        <f>OpeningTemplate!225:225-"AM:!%f}"</f>
        <v>#VALUE!</v>
      </c>
      <c r="R85" t="e">
        <f>OpeningTemplate!226:226-"AM:!%f~"</f>
        <v>#VALUE!</v>
      </c>
      <c r="S85" t="e">
        <f>OpeningTemplate!227:227-"AM:!%g#"</f>
        <v>#VALUE!</v>
      </c>
      <c r="T85" t="e">
        <f>OpeningTemplate!228:228-"AM:!%g$"</f>
        <v>#VALUE!</v>
      </c>
      <c r="U85" t="e">
        <f>OpeningTemplate!229:229-"AM:!%g%"</f>
        <v>#VALUE!</v>
      </c>
      <c r="V85" t="e">
        <f>OpeningTemplate!230:230-"AM:!%g&amp;"</f>
        <v>#VALUE!</v>
      </c>
      <c r="W85" t="e">
        <f>OpeningTemplate!231:231-"AM:!%g'"</f>
        <v>#VALUE!</v>
      </c>
      <c r="X85" t="e">
        <f>OpeningTemplate!232:232-"AM:!%g("</f>
        <v>#VALUE!</v>
      </c>
      <c r="Y85" t="e">
        <f>OpeningTemplate!233:233-"AM:!%g)"</f>
        <v>#VALUE!</v>
      </c>
      <c r="Z85" t="e">
        <f>OpeningTemplate!234:234-"AM:!%g."</f>
        <v>#VALUE!</v>
      </c>
      <c r="AA85" t="e">
        <f>OpeningTemplate!235:235-"AM:!%g/"</f>
        <v>#VALUE!</v>
      </c>
      <c r="AB85" t="e">
        <f>OpeningTemplate!236:236-"AM:!%g0"</f>
        <v>#VALUE!</v>
      </c>
      <c r="AC85" t="e">
        <f>OpeningTemplate!237:237-"AM:!%g1"</f>
        <v>#VALUE!</v>
      </c>
      <c r="AD85" t="e">
        <f>OpeningTemplate!238:238-"AM:!%g2"</f>
        <v>#VALUE!</v>
      </c>
      <c r="AE85" t="e">
        <f>OpeningTemplate!239:239-"AM:!%g3"</f>
        <v>#VALUE!</v>
      </c>
      <c r="AF85" t="e">
        <f>OpeningTemplate!240:240-"AM:!%g4"</f>
        <v>#VALUE!</v>
      </c>
      <c r="AG85" t="e">
        <f>OpeningTemplate!241:241-"AM:!%g5"</f>
        <v>#VALUE!</v>
      </c>
      <c r="AH85" t="e">
        <f>OpeningTemplate!242:242-"AM:!%g6"</f>
        <v>#VALUE!</v>
      </c>
      <c r="AI85" t="e">
        <f>OpeningTemplate!243:243-"AM:!%g7"</f>
        <v>#VALUE!</v>
      </c>
      <c r="AJ85" t="e">
        <f>OpeningTemplate!244:244-"AM:!%g8"</f>
        <v>#VALUE!</v>
      </c>
      <c r="AK85" t="e">
        <f>OpeningTemplate!245:245-"AM:!%g9"</f>
        <v>#VALUE!</v>
      </c>
      <c r="AL85" t="e">
        <f>OpeningTemplate!246:246-"AM:!%g:"</f>
        <v>#VALUE!</v>
      </c>
      <c r="AM85" t="e">
        <f>OpeningTemplate!247:247-"AM:!%g;"</f>
        <v>#VALUE!</v>
      </c>
      <c r="AN85" t="e">
        <f>OpeningTemplate!248:248-"AM:!%g&lt;"</f>
        <v>#VALUE!</v>
      </c>
      <c r="AO85" t="e">
        <f>OpeningTemplate!249:249-"AM:!%g="</f>
        <v>#VALUE!</v>
      </c>
      <c r="AP85" t="e">
        <f>OpeningTemplate!250:250-"AM:!%g&gt;"</f>
        <v>#VALUE!</v>
      </c>
      <c r="AQ85" t="e">
        <f>OpeningTemplate!251:251-"AM:!%g?"</f>
        <v>#VALUE!</v>
      </c>
      <c r="AR85" t="e">
        <f>OpeningTemplate!252:252-"AM:!%g@"</f>
        <v>#VALUE!</v>
      </c>
      <c r="AS85" t="e">
        <f>OpeningTemplate!253:253-"AM:!%gA"</f>
        <v>#VALUE!</v>
      </c>
      <c r="AT85" t="e">
        <f>OpeningTemplate!254:254-"AM:!%gB"</f>
        <v>#VALUE!</v>
      </c>
      <c r="AU85" t="e">
        <f>OpeningTemplate!255:255-"AM:!%gC"</f>
        <v>#VALUE!</v>
      </c>
      <c r="AV85" t="e">
        <f>OpeningTemplate!256:256-"AM:!%gD"</f>
        <v>#VALUE!</v>
      </c>
      <c r="AW85" t="e">
        <f>OpeningTemplate!257:257-"AM:!%gE"</f>
        <v>#VALUE!</v>
      </c>
      <c r="AX85" t="e">
        <f>OpeningTemplate!258:258-"AM:!%gF"</f>
        <v>#VALUE!</v>
      </c>
      <c r="AY85" t="e">
        <f>OpeningTemplate!259:259-"AM:!%gG"</f>
        <v>#VALUE!</v>
      </c>
      <c r="AZ85" t="e">
        <f>OpeningTemplate!260:260-"AM:!%gH"</f>
        <v>#VALUE!</v>
      </c>
      <c r="BA85" t="e">
        <f>OpeningTemplate!261:261-"AM:!%gI"</f>
        <v>#VALUE!</v>
      </c>
      <c r="BB85" t="e">
        <f>OpeningTemplate!262:262-"AM:!%gJ"</f>
        <v>#VALUE!</v>
      </c>
      <c r="BC85" t="e">
        <f>OpeningTemplate!263:263-"AM:!%gK"</f>
        <v>#VALUE!</v>
      </c>
      <c r="BD85" t="e">
        <f>OpeningTemplate!264:264-"AM:!%gL"</f>
        <v>#VALUE!</v>
      </c>
      <c r="BE85" t="e">
        <f>OpeningTemplate!265:265-"AM:!%gM"</f>
        <v>#VALUE!</v>
      </c>
      <c r="BF85" t="e">
        <f>OpeningTemplate!266:266-"AM:!%gN"</f>
        <v>#VALUE!</v>
      </c>
      <c r="BG85" t="e">
        <f>OpeningTemplate!267:267-"AM:!%gO"</f>
        <v>#VALUE!</v>
      </c>
      <c r="BH85" t="e">
        <f>OpeningTemplate!268:268-"AM:!%gP"</f>
        <v>#VALUE!</v>
      </c>
      <c r="BI85" t="e">
        <f>OpeningTemplate!269:269-"AM:!%gQ"</f>
        <v>#VALUE!</v>
      </c>
      <c r="BJ85" t="e">
        <f>OpeningTemplate!270:270-"AM:!%gR"</f>
        <v>#VALUE!</v>
      </c>
      <c r="BK85" t="e">
        <f>OpeningTemplate!271:271-"AM:!%gS"</f>
        <v>#VALUE!</v>
      </c>
      <c r="BL85" t="e">
        <f>OpeningTemplate!272:272-"AM:!%gT"</f>
        <v>#VALUE!</v>
      </c>
      <c r="BM85" t="e">
        <f>OpeningTemplate!273:273-"AM:!%gU"</f>
        <v>#VALUE!</v>
      </c>
      <c r="BN85" t="e">
        <f>OpeningTemplate!274:274-"AM:!%gV"</f>
        <v>#VALUE!</v>
      </c>
      <c r="BO85" t="e">
        <f>OpeningTemplate!275:275-"AM:!%gW"</f>
        <v>#VALUE!</v>
      </c>
      <c r="BP85" t="e">
        <f>OpeningTemplate!276:276-"AM:!%gX"</f>
        <v>#VALUE!</v>
      </c>
      <c r="BQ85" t="e">
        <f>OpeningTemplate!277:277-"AM:!%gY"</f>
        <v>#VALUE!</v>
      </c>
      <c r="BR85" t="e">
        <f>OpeningTemplate!278:278-"AM:!%gZ"</f>
        <v>#VALUE!</v>
      </c>
      <c r="BS85" t="e">
        <f>OpeningTemplate!279:279-"AM:!%g["</f>
        <v>#VALUE!</v>
      </c>
      <c r="BT85" t="e">
        <f>OpeningTemplate!280:280-"AM:!%g\"</f>
        <v>#VALUE!</v>
      </c>
      <c r="BU85" t="e">
        <f>OpeningTemplate!281:281-"AM:!%g]"</f>
        <v>#VALUE!</v>
      </c>
      <c r="BV85" t="e">
        <f>OpeningTemplate!282:282-"AM:!%g^"</f>
        <v>#VALUE!</v>
      </c>
      <c r="BW85" t="e">
        <f>OpeningTemplate!283:283-"AM:!%g_"</f>
        <v>#VALUE!</v>
      </c>
      <c r="BX85" t="e">
        <f>OpeningTemplate!284:284-"AM:!%g`"</f>
        <v>#VALUE!</v>
      </c>
      <c r="BY85" t="e">
        <f>OpeningTemplate!285:285-"AM:!%ga"</f>
        <v>#VALUE!</v>
      </c>
      <c r="BZ85" t="e">
        <f>OpeningTemplate!286:286-"AM:!%gb"</f>
        <v>#VALUE!</v>
      </c>
      <c r="CA85" t="e">
        <f>OpeningTemplate!287:287-"AM:!%gc"</f>
        <v>#VALUE!</v>
      </c>
      <c r="CB85" t="e">
        <f>OpeningTemplate!288:288-"AM:!%gd"</f>
        <v>#VALUE!</v>
      </c>
      <c r="CC85" t="e">
        <f>OpeningTemplate!289:289-"AM:!%ge"</f>
        <v>#VALUE!</v>
      </c>
      <c r="CD85" t="e">
        <f>OpeningTemplate!290:290-"AM:!%gf"</f>
        <v>#VALUE!</v>
      </c>
      <c r="CE85" t="e">
        <f>OpeningTemplate!291:291-"AM:!%gg"</f>
        <v>#VALUE!</v>
      </c>
      <c r="CF85" t="e">
        <f>OpeningTemplate!292:292-"AM:!%gh"</f>
        <v>#VALUE!</v>
      </c>
      <c r="CG85" t="e">
        <f>OpeningTemplate!293:293-"AM:!%gi"</f>
        <v>#VALUE!</v>
      </c>
      <c r="CH85" t="e">
        <f>OpeningTemplate!294:294-"AM:!%gj"</f>
        <v>#VALUE!</v>
      </c>
      <c r="CI85" t="e">
        <f>OpeningTemplate!295:295-"AM:!%gk"</f>
        <v>#VALUE!</v>
      </c>
      <c r="CJ85" t="e">
        <f>OpeningTemplate!296:296-"AM:!%gl"</f>
        <v>#VALUE!</v>
      </c>
      <c r="CK85" t="e">
        <f>OpeningTemplate!297:297-"AM:!%gm"</f>
        <v>#VALUE!</v>
      </c>
      <c r="CL85" t="e">
        <f>OpeningTemplate!298:298-"AM:!%gn"</f>
        <v>#VALUE!</v>
      </c>
      <c r="CM85" t="e">
        <f>OpeningTemplate!299:299-"AM:!%go"</f>
        <v>#VALUE!</v>
      </c>
      <c r="CN85" t="e">
        <f>OpeningTemplate!300:300-"AM:!%gp"</f>
        <v>#VALUE!</v>
      </c>
      <c r="CO85" t="e">
        <f>OpeningTemplate!301:301-"AM:!%gq"</f>
        <v>#VALUE!</v>
      </c>
      <c r="CP85" t="e">
        <f>OpeningTemplate!302:302-"AM:!%gr"</f>
        <v>#VALUE!</v>
      </c>
      <c r="CQ85" t="e">
        <f>OpeningTemplate!303:303-"AM:!%gs"</f>
        <v>#VALUE!</v>
      </c>
      <c r="CR85" t="e">
        <f>OpeningTemplate!304:304-"AM:!%gt"</f>
        <v>#VALUE!</v>
      </c>
      <c r="CS85" t="e">
        <f>OpeningTemplate!305:305-"AM:!%gu"</f>
        <v>#VALUE!</v>
      </c>
      <c r="CT85" t="e">
        <f>OpeningTemplate!306:306-"AM:!%gv"</f>
        <v>#VALUE!</v>
      </c>
      <c r="CU85" t="e">
        <f>OpeningTemplate!307:307-"AM:!%gw"</f>
        <v>#VALUE!</v>
      </c>
      <c r="CV85" t="e">
        <f>OpeningTemplate!308:308-"AM:!%gx"</f>
        <v>#VALUE!</v>
      </c>
      <c r="CW85" t="e">
        <f>OpeningTemplate!309:309-"AM:!%gy"</f>
        <v>#VALUE!</v>
      </c>
      <c r="CX85" t="e">
        <f>OpeningTemplate!310:310-"AM:!%gz"</f>
        <v>#VALUE!</v>
      </c>
      <c r="CY85" t="e">
        <f>OpeningTemplate!311:311-"AM:!%g{"</f>
        <v>#VALUE!</v>
      </c>
      <c r="CZ85" t="e">
        <f>OpeningTemplate!312:312-"AM:!%g|"</f>
        <v>#VALUE!</v>
      </c>
      <c r="DA85" t="e">
        <f>OpeningTemplate!313:313-"AM:!%g}"</f>
        <v>#VALUE!</v>
      </c>
      <c r="DB85" t="e">
        <f>OpeningTemplate!314:314-"AM:!%g~"</f>
        <v>#VALUE!</v>
      </c>
      <c r="DC85" t="e">
        <f>OpeningTemplate!315:315-"AM:!%h#"</f>
        <v>#VALUE!</v>
      </c>
      <c r="DD85" t="e">
        <f>OpeningTemplate!316:316-"AM:!%h$"</f>
        <v>#VALUE!</v>
      </c>
      <c r="DE85" t="e">
        <f>OpeningTemplate!317:317-"AM:!%h%"</f>
        <v>#VALUE!</v>
      </c>
      <c r="DF85" t="e">
        <f>OpeningTemplate!318:318-"AM:!%h&amp;"</f>
        <v>#VALUE!</v>
      </c>
      <c r="DG85" t="e">
        <f>OpeningTemplate!319:319-"AM:!%h'"</f>
        <v>#VALUE!</v>
      </c>
      <c r="DH85" t="e">
        <f>OpeningTemplate!320:320-"AM:!%h("</f>
        <v>#VALUE!</v>
      </c>
      <c r="DI85" t="e">
        <f>OpeningTemplate!321:321-"AM:!%h)"</f>
        <v>#VALUE!</v>
      </c>
      <c r="DJ85" t="e">
        <f>OpeningTemplate!322:322-"AM:!%h."</f>
        <v>#VALUE!</v>
      </c>
      <c r="DK85" t="e">
        <f>OpeningTemplate!323:323-"AM:!%h/"</f>
        <v>#VALUE!</v>
      </c>
      <c r="DL85" t="e">
        <f>OpeningTemplate!324:324-"AM:!%h0"</f>
        <v>#VALUE!</v>
      </c>
      <c r="DM85" t="e">
        <f>OpeningTemplate!325:325-"AM:!%h1"</f>
        <v>#VALUE!</v>
      </c>
      <c r="DN85" t="e">
        <f>OpeningTemplate!326:326-"AM:!%h2"</f>
        <v>#VALUE!</v>
      </c>
      <c r="DO85" t="e">
        <f>OpeningTemplate!327:327-"AM:!%h3"</f>
        <v>#VALUE!</v>
      </c>
      <c r="DP85" t="e">
        <f>OpeningTemplate!328:328-"AM:!%h4"</f>
        <v>#VALUE!</v>
      </c>
      <c r="DQ85" t="e">
        <f>OpeningTemplate!329:329-"AM:!%h5"</f>
        <v>#VALUE!</v>
      </c>
      <c r="DR85" t="e">
        <f>OpeningTemplate!330:330-"AM:!%h6"</f>
        <v>#VALUE!</v>
      </c>
      <c r="DS85" t="e">
        <f>OpeningTemplate!331:331-"AM:!%h7"</f>
        <v>#VALUE!</v>
      </c>
      <c r="DT85" t="e">
        <f>OpeningTemplate!332:332-"AM:!%h8"</f>
        <v>#VALUE!</v>
      </c>
      <c r="DU85" t="e">
        <f>OpeningTemplate!333:333-"AM:!%h9"</f>
        <v>#VALUE!</v>
      </c>
      <c r="DV85" t="e">
        <f>OpeningTemplate!334:334-"AM:!%h:"</f>
        <v>#VALUE!</v>
      </c>
      <c r="DW85" t="e">
        <f>OpeningTemplate!335:335-"AM:!%h;"</f>
        <v>#VALUE!</v>
      </c>
      <c r="DX85" t="e">
        <f>OpeningTemplate!336:336-"AM:!%h&lt;"</f>
        <v>#VALUE!</v>
      </c>
      <c r="DY85" t="e">
        <f>OpeningTemplate!337:337-"AM:!%h="</f>
        <v>#VALUE!</v>
      </c>
      <c r="DZ85" t="e">
        <f>OpeningTemplate!338:338-"AM:!%h&gt;"</f>
        <v>#VALUE!</v>
      </c>
      <c r="EA85" t="e">
        <f>OpeningTemplate!339:339-"AM:!%h?"</f>
        <v>#VALUE!</v>
      </c>
      <c r="EB85" t="e">
        <f>OpeningTemplate!340:340-"AM:!%h@"</f>
        <v>#VALUE!</v>
      </c>
      <c r="EC85" t="e">
        <f>OpeningTemplate!341:341-"AM:!%hA"</f>
        <v>#VALUE!</v>
      </c>
      <c r="ED85" t="e">
        <f>OpeningTemplate!342:342-"AM:!%hB"</f>
        <v>#VALUE!</v>
      </c>
      <c r="EE85" t="e">
        <f>OpeningTemplate!343:343-"AM:!%hC"</f>
        <v>#VALUE!</v>
      </c>
      <c r="EF85" t="e">
        <f>OpeningTemplate!344:344-"AM:!%hD"</f>
        <v>#VALUE!</v>
      </c>
      <c r="EG85" t="e">
        <f>OpeningTemplate!345:345-"AM:!%hE"</f>
        <v>#VALUE!</v>
      </c>
      <c r="EH85" t="e">
        <f>OpeningTemplate!346:346-"AM:!%hF"</f>
        <v>#VALUE!</v>
      </c>
      <c r="EI85" t="e">
        <f>OpeningTemplate!347:347-"AM:!%hG"</f>
        <v>#VALUE!</v>
      </c>
      <c r="EJ85" t="e">
        <f>OpeningTemplate!348:348-"AM:!%hH"</f>
        <v>#VALUE!</v>
      </c>
      <c r="EK85" t="e">
        <f>OpeningTemplate!349:349-"AM:!%hI"</f>
        <v>#VALUE!</v>
      </c>
      <c r="EL85" t="e">
        <f>OpeningTemplate!350:350-"AM:!%hJ"</f>
        <v>#VALUE!</v>
      </c>
      <c r="EM85" t="e">
        <f>OpeningTemplate!351:351-"AM:!%hK"</f>
        <v>#VALUE!</v>
      </c>
      <c r="EN85" t="e">
        <f>OpeningTemplate!352:352-"AM:!%hL"</f>
        <v>#VALUE!</v>
      </c>
      <c r="EO85" t="e">
        <f>OpeningTemplate!353:353-"AM:!%hM"</f>
        <v>#VALUE!</v>
      </c>
      <c r="EP85" t="e">
        <f>OpeningTemplate!354:354-"AM:!%hN"</f>
        <v>#VALUE!</v>
      </c>
      <c r="EQ85" t="e">
        <f>OpeningTemplate!355:355-"AM:!%hO"</f>
        <v>#VALUE!</v>
      </c>
      <c r="ER85" t="e">
        <f>OpeningTemplate!356:356-"AM:!%hP"</f>
        <v>#VALUE!</v>
      </c>
      <c r="ES85" t="e">
        <f>OpeningTemplate!357:357-"AM:!%hQ"</f>
        <v>#VALUE!</v>
      </c>
      <c r="ET85" t="e">
        <f>OpeningTemplate!358:358-"AM:!%hR"</f>
        <v>#VALUE!</v>
      </c>
      <c r="EU85" t="e">
        <f>OpeningTemplate!359:359-"AM:!%hS"</f>
        <v>#VALUE!</v>
      </c>
      <c r="EV85" t="e">
        <f>OpeningTemplate!360:360-"AM:!%hT"</f>
        <v>#VALUE!</v>
      </c>
      <c r="EW85" t="e">
        <f>OpeningTemplate!361:361-"AM:!%hU"</f>
        <v>#VALUE!</v>
      </c>
      <c r="EX85" t="e">
        <f>OpeningTemplate!362:362-"AM:!%hV"</f>
        <v>#VALUE!</v>
      </c>
      <c r="EY85" t="e">
        <f>OpeningTemplate!363:363-"AM:!%hW"</f>
        <v>#VALUE!</v>
      </c>
      <c r="EZ85" t="e">
        <f>OpeningTemplate!364:364-"AM:!%hX"</f>
        <v>#VALUE!</v>
      </c>
      <c r="FA85" t="e">
        <f>OpeningTemplate!365:365-"AM:!%hY"</f>
        <v>#VALUE!</v>
      </c>
      <c r="FB85" t="e">
        <f>OpeningTemplate!366:366-"AM:!%hZ"</f>
        <v>#VALUE!</v>
      </c>
      <c r="FC85" t="e">
        <f>OpeningTemplate!367:367-"AM:!%h["</f>
        <v>#VALUE!</v>
      </c>
      <c r="FD85" t="e">
        <f>OpeningTemplate!368:368-"AM:!%h\"</f>
        <v>#VALUE!</v>
      </c>
      <c r="FE85" t="e">
        <f>OpeningTemplate!369:369-"AM:!%h]"</f>
        <v>#VALUE!</v>
      </c>
      <c r="FF85" t="e">
        <f>OpeningTemplate!370:370-"AM:!%h^"</f>
        <v>#VALUE!</v>
      </c>
      <c r="FG85" t="e">
        <f>OpeningTemplate!371:371-"AM:!%h_"</f>
        <v>#VALUE!</v>
      </c>
      <c r="FH85" t="e">
        <f>OpeningTemplate!372:372-"AM:!%h`"</f>
        <v>#VALUE!</v>
      </c>
      <c r="FI85" t="e">
        <f>OpeningTemplate!373:373-"AM:!%ha"</f>
        <v>#VALUE!</v>
      </c>
      <c r="FJ85" t="e">
        <f>OpeningTemplate!374:374-"AM:!%hb"</f>
        <v>#VALUE!</v>
      </c>
      <c r="FK85" t="e">
        <f>OpeningTemplate!375:375-"AM:!%hc"</f>
        <v>#VALUE!</v>
      </c>
      <c r="FL85" t="e">
        <f>OpeningTemplate!376:376-"AM:!%hd"</f>
        <v>#VALUE!</v>
      </c>
      <c r="FM85" t="e">
        <f>OpeningTemplate!377:377-"AM:!%he"</f>
        <v>#VALUE!</v>
      </c>
      <c r="FN85" t="e">
        <f>OpeningTemplate!378:378-"AM:!%hf"</f>
        <v>#VALUE!</v>
      </c>
      <c r="FO85" t="e">
        <f>OpeningTemplate!379:379-"AM:!%hg"</f>
        <v>#VALUE!</v>
      </c>
      <c r="FP85" t="e">
        <f>OpeningTemplate!380:380-"AM:!%hh"</f>
        <v>#VALUE!</v>
      </c>
      <c r="FQ85" t="e">
        <f>OpeningTemplate!381:381-"AM:!%hi"</f>
        <v>#VALUE!</v>
      </c>
      <c r="FR85" t="e">
        <f>OpeningTemplate!382:382-"AM:!%hj"</f>
        <v>#VALUE!</v>
      </c>
      <c r="FS85" t="e">
        <f>OpeningTemplate!383:383-"AM:!%hk"</f>
        <v>#VALUE!</v>
      </c>
      <c r="FT85" t="e">
        <f>OpeningTemplate!384:384-"AM:!%hl"</f>
        <v>#VALUE!</v>
      </c>
      <c r="FU85" t="e">
        <f>OpeningTemplate!385:385-"AM:!%hm"</f>
        <v>#VALUE!</v>
      </c>
      <c r="FV85" t="e">
        <f>OpeningTemplate!386:386-"AM:!%hn"</f>
        <v>#VALUE!</v>
      </c>
      <c r="FW85" t="e">
        <f>OpeningTemplate!387:387-"AM:!%ho"</f>
        <v>#VALUE!</v>
      </c>
      <c r="FX85" t="e">
        <f>OpeningTemplate!388:388-"AM:!%hp"</f>
        <v>#VALUE!</v>
      </c>
      <c r="FY85" t="e">
        <f>OpeningTemplate!389:389-"AM:!%hq"</f>
        <v>#VALUE!</v>
      </c>
      <c r="FZ85" t="e">
        <f>OpeningTemplate!390:390-"AM:!%hr"</f>
        <v>#VALUE!</v>
      </c>
      <c r="GA85" t="e">
        <f>OpeningTemplate!391:391-"AM:!%hs"</f>
        <v>#VALUE!</v>
      </c>
      <c r="GB85" t="e">
        <f>OpeningTemplate!392:392-"AM:!%ht"</f>
        <v>#VALUE!</v>
      </c>
      <c r="GC85" t="e">
        <f>OpeningTemplate!393:393-"AM:!%hu"</f>
        <v>#VALUE!</v>
      </c>
      <c r="GD85" t="e">
        <f>OpeningTemplate!394:394-"AM:!%hv"</f>
        <v>#VALUE!</v>
      </c>
      <c r="GE85" t="e">
        <f>OpeningTemplate!395:395-"AM:!%hw"</f>
        <v>#VALUE!</v>
      </c>
      <c r="GF85" t="e">
        <f>OpeningTemplate!396:396-"AM:!%hx"</f>
        <v>#VALUE!</v>
      </c>
      <c r="GG85" t="e">
        <f>OpeningTemplate!397:397-"AM:!%hy"</f>
        <v>#VALUE!</v>
      </c>
      <c r="GH85" t="e">
        <f>OpeningTemplate!398:398-"AM:!%hz"</f>
        <v>#VALUE!</v>
      </c>
      <c r="GI85" t="e">
        <f>OpeningTemplate!399:399-"AM:!%h{"</f>
        <v>#VALUE!</v>
      </c>
      <c r="GJ85" t="e">
        <f>OpeningTemplate!400:400-"AM:!%h|"</f>
        <v>#VALUE!</v>
      </c>
      <c r="GK85" t="e">
        <f>OpeningTemplate!401:401-"AM:!%h}"</f>
        <v>#VALUE!</v>
      </c>
      <c r="GL85" t="e">
        <f>OpeningTemplate!402:402-"AM:!%h~"</f>
        <v>#VALUE!</v>
      </c>
      <c r="GM85" t="e">
        <f>OpeningTemplate!403:403-"AM:!%i#"</f>
        <v>#VALUE!</v>
      </c>
      <c r="GN85" t="e">
        <f>OpeningTemplate!404:404-"AM:!%i$"</f>
        <v>#VALUE!</v>
      </c>
      <c r="GO85" t="e">
        <f>OpeningTemplate!405:405-"AM:!%i%"</f>
        <v>#VALUE!</v>
      </c>
      <c r="GP85" t="e">
        <f>OpeningTemplate!406:406-"AM:!%i&amp;"</f>
        <v>#VALUE!</v>
      </c>
      <c r="GQ85" t="e">
        <f>OpeningTemplate!407:407-"AM:!%i'"</f>
        <v>#VALUE!</v>
      </c>
      <c r="GR85" t="e">
        <f>OpeningTemplate!408:408-"AM:!%i("</f>
        <v>#VALUE!</v>
      </c>
      <c r="GS85" t="e">
        <f>OpeningTemplate!409:409-"AM:!%i)"</f>
        <v>#VALUE!</v>
      </c>
      <c r="GT85" t="e">
        <f>OpeningTemplate!410:410-"AM:!%i."</f>
        <v>#VALUE!</v>
      </c>
      <c r="GU85" t="e">
        <f>OpeningTemplate!411:411-"AM:!%i/"</f>
        <v>#VALUE!</v>
      </c>
      <c r="GV85" t="e">
        <f>OpeningTemplate!412:412-"AM:!%i0"</f>
        <v>#VALUE!</v>
      </c>
      <c r="GW85" t="e">
        <f>OpeningTemplate!413:413-"AM:!%i1"</f>
        <v>#VALUE!</v>
      </c>
      <c r="GX85" t="e">
        <f>OpeningTemplate!414:414-"AM:!%i2"</f>
        <v>#VALUE!</v>
      </c>
      <c r="GY85" t="e">
        <f>OpeningTemplate!415:415-"AM:!%i3"</f>
        <v>#VALUE!</v>
      </c>
      <c r="GZ85" t="e">
        <f>OpeningTemplate!416:416-"AM:!%i4"</f>
        <v>#VALUE!</v>
      </c>
      <c r="HA85" t="e">
        <f>OpeningTemplate!417:417-"AM:!%i5"</f>
        <v>#VALUE!</v>
      </c>
      <c r="HB85" t="e">
        <f>OpeningTemplate!418:418-"AM:!%i6"</f>
        <v>#VALUE!</v>
      </c>
      <c r="HC85" t="e">
        <f>OpeningTemplate!419:419-"AM:!%i7"</f>
        <v>#VALUE!</v>
      </c>
      <c r="HD85" t="e">
        <f>OpeningTemplate!420:420-"AM:!%i8"</f>
        <v>#VALUE!</v>
      </c>
      <c r="HE85" t="e">
        <f>OpeningTemplate!421:421-"AM:!%i9"</f>
        <v>#VALUE!</v>
      </c>
      <c r="HF85" t="e">
        <f>OpeningTemplate!422:422-"AM:!%i:"</f>
        <v>#VALUE!</v>
      </c>
      <c r="HG85" t="e">
        <f>OpeningTemplate!423:423-"AM:!%i;"</f>
        <v>#VALUE!</v>
      </c>
      <c r="HH85" t="e">
        <f>OpeningTemplate!424:424-"AM:!%i&lt;"</f>
        <v>#VALUE!</v>
      </c>
      <c r="HI85" t="e">
        <f>OpeningTemplate!425:425-"AM:!%i="</f>
        <v>#VALUE!</v>
      </c>
      <c r="HJ85" t="e">
        <f>OpeningTemplate!426:426-"AM:!%i&gt;"</f>
        <v>#VALUE!</v>
      </c>
      <c r="HK85" t="e">
        <f>OpeningTemplate!427:427-"AM:!%i?"</f>
        <v>#VALUE!</v>
      </c>
      <c r="HL85" t="e">
        <f>OpeningTemplate!428:428-"AM:!%i@"</f>
        <v>#VALUE!</v>
      </c>
      <c r="HM85" t="e">
        <f>OpeningTemplate!429:429-"AM:!%iA"</f>
        <v>#VALUE!</v>
      </c>
      <c r="HN85" t="e">
        <f>OpeningTemplate!430:430-"AM:!%iB"</f>
        <v>#VALUE!</v>
      </c>
      <c r="HO85" t="e">
        <f>OpeningTemplate!431:431-"AM:!%iC"</f>
        <v>#VALUE!</v>
      </c>
      <c r="HP85" t="e">
        <f>OpeningTemplate!432:432-"AM:!%iD"</f>
        <v>#VALUE!</v>
      </c>
      <c r="HQ85" t="e">
        <f>OpeningTemplate!433:433-"AM:!%iE"</f>
        <v>#VALUE!</v>
      </c>
      <c r="HR85" t="e">
        <f>OpeningTemplate!434:434-"AM:!%iF"</f>
        <v>#VALUE!</v>
      </c>
      <c r="HS85" t="e">
        <f>OpeningTemplate!435:435-"AM:!%iG"</f>
        <v>#VALUE!</v>
      </c>
      <c r="HT85" t="e">
        <f>OpeningTemplate!436:436-"AM:!%iH"</f>
        <v>#VALUE!</v>
      </c>
      <c r="HU85" t="e">
        <f>OpeningTemplate!437:437-"AM:!%iI"</f>
        <v>#VALUE!</v>
      </c>
      <c r="HV85" t="e">
        <f>OpeningTemplate!438:438-"AM:!%iJ"</f>
        <v>#VALUE!</v>
      </c>
      <c r="HW85" t="e">
        <f>OpeningTemplate!439:439-"AM:!%iK"</f>
        <v>#VALUE!</v>
      </c>
      <c r="HX85" t="e">
        <f>OpeningTemplate!440:440-"AM:!%iL"</f>
        <v>#VALUE!</v>
      </c>
      <c r="HY85" t="e">
        <f>OpeningTemplate!441:441-"AM:!%iM"</f>
        <v>#VALUE!</v>
      </c>
      <c r="HZ85" t="e">
        <f>OpeningTemplate!442:442-"AM:!%iN"</f>
        <v>#VALUE!</v>
      </c>
      <c r="IA85" t="e">
        <f>OpeningTemplate!443:443-"AM:!%iO"</f>
        <v>#VALUE!</v>
      </c>
      <c r="IB85" t="e">
        <f>OpeningTemplate!444:444-"AM:!%iP"</f>
        <v>#VALUE!</v>
      </c>
      <c r="IC85" t="e">
        <f>OpeningTemplate!445:445-"AM:!%iQ"</f>
        <v>#VALUE!</v>
      </c>
      <c r="ID85" t="e">
        <f>OpeningTemplate!446:446-"AM:!%iR"</f>
        <v>#VALUE!</v>
      </c>
      <c r="IE85" t="e">
        <f>OpeningTemplate!447:447-"AM:!%iS"</f>
        <v>#VALUE!</v>
      </c>
      <c r="IF85" t="e">
        <f>OpeningTemplate!448:448-"AM:!%iT"</f>
        <v>#VALUE!</v>
      </c>
      <c r="IG85" t="e">
        <f>OpeningTemplate!449:449-"AM:!%iU"</f>
        <v>#VALUE!</v>
      </c>
      <c r="IH85" t="e">
        <f>OpeningTemplate!450:450-"AM:!%iV"</f>
        <v>#VALUE!</v>
      </c>
      <c r="II85" t="e">
        <f>OpeningTemplate!451:451-"AM:!%iW"</f>
        <v>#VALUE!</v>
      </c>
      <c r="IJ85" t="e">
        <f>OpeningTemplate!452:452-"AM:!%iX"</f>
        <v>#VALUE!</v>
      </c>
      <c r="IK85" t="e">
        <f>OpeningTemplate!453:453-"AM:!%iY"</f>
        <v>#VALUE!</v>
      </c>
      <c r="IL85" t="e">
        <f>OpeningTemplate!454:454-"AM:!%iZ"</f>
        <v>#VALUE!</v>
      </c>
      <c r="IM85" t="e">
        <f>OpeningTemplate!455:455-"AM:!%i["</f>
        <v>#VALUE!</v>
      </c>
      <c r="IN85" t="e">
        <f>OpeningTemplate!456:456-"AM:!%i\"</f>
        <v>#VALUE!</v>
      </c>
      <c r="IO85" t="e">
        <f>OpeningTemplate!457:457-"AM:!%i]"</f>
        <v>#VALUE!</v>
      </c>
      <c r="IP85" t="e">
        <f>OpeningTemplate!458:458-"AM:!%i^"</f>
        <v>#VALUE!</v>
      </c>
      <c r="IQ85" t="e">
        <f>OpeningTemplate!459:459-"AM:!%i_"</f>
        <v>#VALUE!</v>
      </c>
      <c r="IR85" t="e">
        <f>OpeningTemplate!460:460-"AM:!%i`"</f>
        <v>#VALUE!</v>
      </c>
      <c r="IS85" t="e">
        <f>OpeningTemplate!461:461-"AM:!%ia"</f>
        <v>#VALUE!</v>
      </c>
      <c r="IT85" t="e">
        <f>OpeningTemplate!462:462-"AM:!%ib"</f>
        <v>#VALUE!</v>
      </c>
      <c r="IU85" t="e">
        <f>OpeningTemplate!463:463-"AM:!%ic"</f>
        <v>#VALUE!</v>
      </c>
      <c r="IV85" t="e">
        <f>OpeningTemplate!464:464-"AM:!%id"</f>
        <v>#VALUE!</v>
      </c>
    </row>
    <row r="86" spans="6:256">
      <c r="F86" t="e">
        <f>OpeningTemplate!465:465-"AM:!%ie"</f>
        <v>#VALUE!</v>
      </c>
      <c r="G86" t="e">
        <f>OpeningTemplate!466:466-"AM:!%if"</f>
        <v>#VALUE!</v>
      </c>
      <c r="H86" t="e">
        <f>OpeningTemplate!467:467-"AM:!%ig"</f>
        <v>#VALUE!</v>
      </c>
      <c r="I86" t="e">
        <f>OpeningTemplate!468:468-"AM:!%ih"</f>
        <v>#VALUE!</v>
      </c>
      <c r="J86" t="e">
        <f>OpeningTemplate!469:469-"AM:!%ii"</f>
        <v>#VALUE!</v>
      </c>
      <c r="K86" t="e">
        <f>OpeningTemplate!470:470-"AM:!%ij"</f>
        <v>#VALUE!</v>
      </c>
      <c r="L86" t="e">
        <f>OpeningTemplate!471:471-"AM:!%ik"</f>
        <v>#VALUE!</v>
      </c>
      <c r="M86" t="e">
        <f>OpeningTemplate!472:472-"AM:!%il"</f>
        <v>#VALUE!</v>
      </c>
      <c r="N86" t="e">
        <f>OpeningTemplate!473:473-"AM:!%im"</f>
        <v>#VALUE!</v>
      </c>
      <c r="O86" t="e">
        <f>OpeningTemplate!474:474-"AM:!%in"</f>
        <v>#VALUE!</v>
      </c>
      <c r="P86" t="e">
        <f>OpeningTemplate!475:475-"AM:!%io"</f>
        <v>#VALUE!</v>
      </c>
      <c r="Q86" t="e">
        <f>OpeningTemplate!476:476-"AM:!%ip"</f>
        <v>#VALUE!</v>
      </c>
      <c r="R86" t="e">
        <f>OpeningTemplate!477:477-"AM:!%iq"</f>
        <v>#VALUE!</v>
      </c>
      <c r="S86" t="e">
        <f>OpeningTemplate!478:478-"AM:!%ir"</f>
        <v>#VALUE!</v>
      </c>
      <c r="T86" t="e">
        <f>OpeningTemplate!479:479-"AM:!%is"</f>
        <v>#VALUE!</v>
      </c>
      <c r="U86" t="e">
        <f>OpeningTemplate!480:480-"AM:!%it"</f>
        <v>#VALUE!</v>
      </c>
      <c r="V86" t="e">
        <f>OpeningTemplate!481:481-"AM:!%iu"</f>
        <v>#VALUE!</v>
      </c>
      <c r="W86" t="e">
        <f>OpeningTemplate!482:482-"AM:!%iv"</f>
        <v>#VALUE!</v>
      </c>
      <c r="X86" t="e">
        <f>OpeningTemplate!483:483-"AM:!%iw"</f>
        <v>#VALUE!</v>
      </c>
      <c r="Y86" t="e">
        <f>OpeningTemplate!484:484-"AM:!%ix"</f>
        <v>#VALUE!</v>
      </c>
      <c r="Z86" t="e">
        <f>OpeningTemplate!485:485-"AM:!%iy"</f>
        <v>#VALUE!</v>
      </c>
      <c r="AA86" t="e">
        <f>OpeningTemplate!486:486-"AM:!%iz"</f>
        <v>#VALUE!</v>
      </c>
      <c r="AB86" t="e">
        <f>OpeningTemplate!487:487-"AM:!%i{"</f>
        <v>#VALUE!</v>
      </c>
      <c r="AC86" t="e">
        <f>OpeningTemplate!488:488-"AM:!%i|"</f>
        <v>#VALUE!</v>
      </c>
      <c r="AD86" t="e">
        <f>OpeningTemplate!489:489-"AM:!%i}"</f>
        <v>#VALUE!</v>
      </c>
      <c r="AE86" t="e">
        <f>OpeningTemplate!490:490-"AM:!%i~"</f>
        <v>#VALUE!</v>
      </c>
      <c r="AF86" t="e">
        <f>OpeningTemplate!491:491-"AM:!%j#"</f>
        <v>#VALUE!</v>
      </c>
      <c r="AG86" t="e">
        <f>OpeningTemplate!492:492-"AM:!%j$"</f>
        <v>#VALUE!</v>
      </c>
      <c r="AH86" t="e">
        <f>OpeningTemplate!493:493-"AM:!%j%"</f>
        <v>#VALUE!</v>
      </c>
      <c r="AI86" t="e">
        <f>OpeningTemplate!494:494-"AM:!%j&amp;"</f>
        <v>#VALUE!</v>
      </c>
      <c r="AJ86" t="e">
        <f>OpeningTemplate!495:495-"AM:!%j'"</f>
        <v>#VALUE!</v>
      </c>
      <c r="AK86" t="e">
        <f>OpeningTemplate!496:496-"AM:!%j("</f>
        <v>#VALUE!</v>
      </c>
      <c r="AL86" t="e">
        <f>OpeningTemplate!497:497-"AM:!%j)"</f>
        <v>#VALUE!</v>
      </c>
      <c r="AM86" t="e">
        <f>OpeningTemplate!498:498-"AM:!%j."</f>
        <v>#VALUE!</v>
      </c>
      <c r="AN86" t="e">
        <f>OpeningTemplate!499:499-"AM:!%j/"</f>
        <v>#VALUE!</v>
      </c>
      <c r="AO86" t="e">
        <f>OpeningTemplate!500:500-"AM:!%j0"</f>
        <v>#VALUE!</v>
      </c>
      <c r="AP86" t="e">
        <f>OpeningTemplate!501:501-"AM:!%j1"</f>
        <v>#VALUE!</v>
      </c>
      <c r="AQ86" t="e">
        <f>OpeningTemplate!502:502-"AM:!%j2"</f>
        <v>#VALUE!</v>
      </c>
      <c r="AR86" t="e">
        <f>OpeningTemplate!503:503-"AM:!%j3"</f>
        <v>#VALUE!</v>
      </c>
      <c r="AS86" t="e">
        <f>OpeningTemplate!504:504-"AM:!%j4"</f>
        <v>#VALUE!</v>
      </c>
      <c r="AT86" t="e">
        <f>OpeningTemplate!505:505-"AM:!%j5"</f>
        <v>#VALUE!</v>
      </c>
      <c r="AU86" t="e">
        <f>OpeningTemplate!506:506-"AM:!%j6"</f>
        <v>#VALUE!</v>
      </c>
      <c r="AV86" t="e">
        <f>OpeningTemplate!507:507-"AM:!%j7"</f>
        <v>#VALUE!</v>
      </c>
      <c r="AW86" t="e">
        <f>OpeningTemplate!508:508-"AM:!%j8"</f>
        <v>#VALUE!</v>
      </c>
      <c r="AX86" t="e">
        <f>OpeningTemplate!509:509-"AM:!%j9"</f>
        <v>#VALUE!</v>
      </c>
      <c r="AY86" t="e">
        <f>OpeningTemplate!510:510-"AM:!%j:"</f>
        <v>#VALUE!</v>
      </c>
      <c r="AZ86" t="e">
        <f>OpeningTemplate!511:511-"AM:!%j;"</f>
        <v>#VALUE!</v>
      </c>
      <c r="BA86" t="e">
        <f>OpeningTemplate!512:512-"AM:!%j&lt;"</f>
        <v>#VALUE!</v>
      </c>
      <c r="BB86" t="e">
        <f>OpeningTemplate!513:513-"AM:!%j="</f>
        <v>#VALUE!</v>
      </c>
      <c r="BC86" t="e">
        <f>OpeningTemplate!514:514-"AM:!%j&gt;"</f>
        <v>#VALUE!</v>
      </c>
      <c r="BD86" t="e">
        <f>OpeningTemplate!515:515-"AM:!%j?"</f>
        <v>#VALUE!</v>
      </c>
      <c r="BE86" t="e">
        <f>OpeningTemplate!516:516-"AM:!%j@"</f>
        <v>#VALUE!</v>
      </c>
      <c r="BF86" t="e">
        <f>OpeningTemplate!517:517-"AM:!%jA"</f>
        <v>#VALUE!</v>
      </c>
      <c r="BG86" t="e">
        <f>OpeningTemplate!518:518-"AM:!%jB"</f>
        <v>#VALUE!</v>
      </c>
      <c r="BH86" t="e">
        <f>OpeningTemplate!519:519-"AM:!%jC"</f>
        <v>#VALUE!</v>
      </c>
      <c r="BI86" t="e">
        <f>OpeningTemplate!520:520-"AM:!%jD"</f>
        <v>#VALUE!</v>
      </c>
      <c r="BJ86" t="e">
        <f>OpeningTemplate!521:521-"AM:!%jE"</f>
        <v>#VALUE!</v>
      </c>
      <c r="BK86" t="e">
        <f>OpeningTemplate!522:522-"AM:!%jF"</f>
        <v>#VALUE!</v>
      </c>
      <c r="BL86" t="e">
        <f>OpeningTemplate!523:523-"AM:!%jG"</f>
        <v>#VALUE!</v>
      </c>
      <c r="BM86" t="e">
        <f>OpeningTemplate!524:524-"AM:!%jH"</f>
        <v>#VALUE!</v>
      </c>
      <c r="BN86" t="e">
        <f>OpeningTemplate!525:525-"AM:!%jI"</f>
        <v>#VALUE!</v>
      </c>
      <c r="BO86" t="e">
        <f>OpeningTemplate!526:526-"AM:!%jJ"</f>
        <v>#VALUE!</v>
      </c>
      <c r="BP86" t="e">
        <f>OpeningTemplate!527:527-"AM:!%jK"</f>
        <v>#VALUE!</v>
      </c>
      <c r="BQ86" t="e">
        <f>OpeningTemplate!528:528-"AM:!%jL"</f>
        <v>#VALUE!</v>
      </c>
      <c r="BR86" t="e">
        <f>OpeningTemplate!529:529-"AM:!%jM"</f>
        <v>#VALUE!</v>
      </c>
      <c r="BS86" t="e">
        <f>OpeningTemplate!530:530-"AM:!%jN"</f>
        <v>#VALUE!</v>
      </c>
      <c r="BT86" t="e">
        <f>OpeningTemplate!531:531-"AM:!%jO"</f>
        <v>#VALUE!</v>
      </c>
      <c r="BU86" t="e">
        <f>OpeningTemplate!532:532-"AM:!%jP"</f>
        <v>#VALUE!</v>
      </c>
      <c r="BV86" t="e">
        <f>OpeningTemplate!533:533-"AM:!%jQ"</f>
        <v>#VALUE!</v>
      </c>
      <c r="BW86" t="e">
        <f>OpeningTemplate!534:534-"AM:!%jR"</f>
        <v>#VALUE!</v>
      </c>
      <c r="BX86" t="e">
        <f>OpeningTemplate!535:535-"AM:!%jS"</f>
        <v>#VALUE!</v>
      </c>
      <c r="BY86" t="e">
        <f>OpeningTemplate!536:536-"AM:!%jT"</f>
        <v>#VALUE!</v>
      </c>
      <c r="BZ86" t="e">
        <f>OpeningTemplate!537:537-"AM:!%jU"</f>
        <v>#VALUE!</v>
      </c>
      <c r="CA86" t="e">
        <f>OpeningTemplate!538:538-"AM:!%jV"</f>
        <v>#VALUE!</v>
      </c>
      <c r="CB86" t="e">
        <f>OpeningTemplate!539:539-"AM:!%jW"</f>
        <v>#VALUE!</v>
      </c>
      <c r="CC86" t="e">
        <f>OpeningTemplate!540:540-"AM:!%jX"</f>
        <v>#VALUE!</v>
      </c>
      <c r="CD86" t="e">
        <f>OpeningTemplate!541:541-"AM:!%jY"</f>
        <v>#VALUE!</v>
      </c>
      <c r="CE86" t="e">
        <f>OpeningTemplate!542:542-"AM:!%jZ"</f>
        <v>#VALUE!</v>
      </c>
      <c r="CF86" t="e">
        <f>OpeningTemplate!543:543-"AM:!%j["</f>
        <v>#VALUE!</v>
      </c>
      <c r="CG86" t="e">
        <f>OpeningTemplate!A1+"AM:!%j\"</f>
        <v>#VALUE!</v>
      </c>
      <c r="CH86" t="e">
        <f>OpeningTemplate!B1+"AM:!%j]"</f>
        <v>#VALUE!</v>
      </c>
      <c r="CI86" t="e">
        <f>OpeningTemplate!C1+"AM:!%j^"</f>
        <v>#VALUE!</v>
      </c>
      <c r="CJ86" t="e">
        <f>OpeningTemplate!D1+"AM:!%j_"</f>
        <v>#VALUE!</v>
      </c>
      <c r="CK86" t="e">
        <f>OpeningTemplate!E1+"AM:!%j`"</f>
        <v>#VALUE!</v>
      </c>
      <c r="CL86" t="e">
        <f>OpeningTemplate!F1+"AM:!%ja"</f>
        <v>#VALUE!</v>
      </c>
      <c r="CM86" t="e">
        <f>OpeningTemplate!G1+"AM:!%jb"</f>
        <v>#VALUE!</v>
      </c>
      <c r="CN86" t="e">
        <f>OpeningTemplate!H1+"AM:!%jc"</f>
        <v>#VALUE!</v>
      </c>
      <c r="CO86" t="e">
        <f>OpeningTemplate!I1+"AM:!%jd"</f>
        <v>#VALUE!</v>
      </c>
      <c r="CP86" t="e">
        <f>OpeningTemplate!J1+"AM:!%je"</f>
        <v>#VALUE!</v>
      </c>
      <c r="CQ86" t="e">
        <f>OpeningTemplate!K1+"AM:!%jf"</f>
        <v>#VALUE!</v>
      </c>
      <c r="CR86" t="e">
        <f>OpeningTemplate!L1+"AM:!%jg"</f>
        <v>#VALUE!</v>
      </c>
      <c r="CS86" t="e">
        <f>OpeningTemplate!M1+"AM:!%jh"</f>
        <v>#VALUE!</v>
      </c>
      <c r="CT86" t="e">
        <f>OpeningTemplate!A2+"AM:!%ji"</f>
        <v>#VALUE!</v>
      </c>
      <c r="CU86" t="e">
        <f>OpeningTemplate!B2+"AM:!%jj"</f>
        <v>#VALUE!</v>
      </c>
      <c r="CV86" t="e">
        <f>OpeningTemplate!C2+"AM:!%jk"</f>
        <v>#VALUE!</v>
      </c>
      <c r="CW86" t="e">
        <f>OpeningTemplate!D2+"AM:!%jl"</f>
        <v>#VALUE!</v>
      </c>
      <c r="CX86" t="e">
        <f>OpeningTemplate!E2+"AM:!%jm"</f>
        <v>#VALUE!</v>
      </c>
      <c r="CY86" t="e">
        <f>OpeningTemplate!G2+"AM:!%jn"</f>
        <v>#VALUE!</v>
      </c>
      <c r="CZ86" t="e">
        <f>OpeningTemplate!H2+"AM:!%jo"</f>
        <v>#VALUE!</v>
      </c>
      <c r="DA86" t="e">
        <f>OpeningTemplate!I2+"AM:!%jp"</f>
        <v>#VALUE!</v>
      </c>
      <c r="DB86" t="e">
        <f>OpeningTemplate!J2+"AM:!%jq"</f>
        <v>#VALUE!</v>
      </c>
      <c r="DC86" t="e">
        <f>OpeningTemplate!K2+"AM:!%jr"</f>
        <v>#VALUE!</v>
      </c>
      <c r="DD86" t="e">
        <f>OpeningTemplate!L2+"AM:!%js"</f>
        <v>#VALUE!</v>
      </c>
      <c r="DE86" t="e">
        <f>OpeningTemplate!M2+"AM:!%jt"</f>
        <v>#VALUE!</v>
      </c>
      <c r="DF86" t="e">
        <f>OpeningTemplate!A3+"AM:!%ju"</f>
        <v>#VALUE!</v>
      </c>
      <c r="DG86" t="e">
        <f>OpeningTemplate!B3+"AM:!%jv"</f>
        <v>#VALUE!</v>
      </c>
      <c r="DH86" t="e">
        <f>OpeningTemplate!C3+"AM:!%jw"</f>
        <v>#VALUE!</v>
      </c>
      <c r="DI86" t="e">
        <f>OpeningTemplate!D3+"AM:!%jx"</f>
        <v>#VALUE!</v>
      </c>
      <c r="DJ86" t="e">
        <f>OpeningTemplate!E3+"AM:!%jy"</f>
        <v>#VALUE!</v>
      </c>
      <c r="DK86" t="e">
        <f>OpeningTemplate!G3+"AM:!%jz"</f>
        <v>#VALUE!</v>
      </c>
      <c r="DL86" t="e">
        <f>OpeningTemplate!H3+"AM:!%j{"</f>
        <v>#VALUE!</v>
      </c>
      <c r="DM86" t="e">
        <f>OpeningTemplate!I3+"AM:!%j|"</f>
        <v>#VALUE!</v>
      </c>
      <c r="DN86" t="e">
        <f>OpeningTemplate!J3+"AM:!%j}"</f>
        <v>#VALUE!</v>
      </c>
      <c r="DO86" t="e">
        <f>OpeningTemplate!K3+"AM:!%j~"</f>
        <v>#VALUE!</v>
      </c>
      <c r="DP86" t="e">
        <f>OpeningTemplate!L3+"AM:!%k#"</f>
        <v>#VALUE!</v>
      </c>
      <c r="DQ86" t="e">
        <f>OpeningTemplate!M3+"AM:!%k$"</f>
        <v>#VALUE!</v>
      </c>
      <c r="DR86" t="e">
        <f>OpeningTemplate!A4+"AM:!%k%"</f>
        <v>#VALUE!</v>
      </c>
      <c r="DS86" t="e">
        <f>OpeningTemplate!B4+"AM:!%k&amp;"</f>
        <v>#VALUE!</v>
      </c>
      <c r="DT86" t="e">
        <f>OpeningTemplate!C4+"AM:!%k'"</f>
        <v>#VALUE!</v>
      </c>
      <c r="DU86" t="e">
        <f>OpeningTemplate!D4+"AM:!%k("</f>
        <v>#VALUE!</v>
      </c>
      <c r="DV86" t="e">
        <f>OpeningTemplate!E4+"AM:!%k)"</f>
        <v>#VALUE!</v>
      </c>
      <c r="DW86" t="e">
        <f>OpeningTemplate!F4+"AM:!%k."</f>
        <v>#VALUE!</v>
      </c>
      <c r="DX86" t="e">
        <f>OpeningTemplate!G4+"AM:!%k/"</f>
        <v>#VALUE!</v>
      </c>
      <c r="DY86" t="e">
        <f>OpeningTemplate!H4+"AM:!%k0"</f>
        <v>#VALUE!</v>
      </c>
      <c r="DZ86" t="e">
        <f>OpeningTemplate!I4+"AM:!%k1"</f>
        <v>#VALUE!</v>
      </c>
      <c r="EA86" t="e">
        <f>OpeningTemplate!J4+"AM:!%k2"</f>
        <v>#VALUE!</v>
      </c>
      <c r="EB86" t="e">
        <f>OpeningTemplate!K4+"AM:!%k3"</f>
        <v>#VALUE!</v>
      </c>
      <c r="EC86" t="e">
        <f>OpeningTemplate!L4+"AM:!%k4"</f>
        <v>#VALUE!</v>
      </c>
      <c r="ED86" t="e">
        <f>OpeningTemplate!M4+"AM:!%k5"</f>
        <v>#VALUE!</v>
      </c>
      <c r="EE86" t="e">
        <f>OpeningTemplate!A5+"AM:!%k6"</f>
        <v>#VALUE!</v>
      </c>
      <c r="EF86" t="e">
        <f>OpeningTemplate!B5+"AM:!%k7"</f>
        <v>#VALUE!</v>
      </c>
      <c r="EG86" t="e">
        <f>OpeningTemplate!C5+"AM:!%k8"</f>
        <v>#VALUE!</v>
      </c>
      <c r="EH86" t="e">
        <f>OpeningTemplate!D5+"AM:!%k9"</f>
        <v>#VALUE!</v>
      </c>
      <c r="EI86" t="e">
        <f>OpeningTemplate!E5+"AM:!%k:"</f>
        <v>#VALUE!</v>
      </c>
      <c r="EJ86" t="e">
        <f>OpeningTemplate!F5+"AM:!%k;"</f>
        <v>#VALUE!</v>
      </c>
      <c r="EK86" t="e">
        <f>OpeningTemplate!G5+"AM:!%k&lt;"</f>
        <v>#VALUE!</v>
      </c>
      <c r="EL86" t="e">
        <f>OpeningTemplate!H5+"AM:!%k="</f>
        <v>#VALUE!</v>
      </c>
      <c r="EM86" t="e">
        <f>OpeningTemplate!I5+"AM:!%k&gt;"</f>
        <v>#VALUE!</v>
      </c>
      <c r="EN86" t="e">
        <f>OpeningTemplate!J5+"AM:!%k?"</f>
        <v>#VALUE!</v>
      </c>
      <c r="EO86" t="e">
        <f>OpeningTemplate!K5+"AM:!%k@"</f>
        <v>#VALUE!</v>
      </c>
      <c r="EP86" t="e">
        <f>OpeningTemplate!L5+"AM:!%kA"</f>
        <v>#VALUE!</v>
      </c>
      <c r="EQ86" t="e">
        <f>OpeningTemplate!M5+"AM:!%kB"</f>
        <v>#VALUE!</v>
      </c>
      <c r="ER86" t="e">
        <f>OpeningTemplate!N5+"AM:!%kC"</f>
        <v>#VALUE!</v>
      </c>
      <c r="ES86" t="e">
        <f>OpeningTemplate!O5+"AM:!%kD"</f>
        <v>#VALUE!</v>
      </c>
      <c r="ET86" t="e">
        <f>OpeningTemplate!A6+"AM:!%kE"</f>
        <v>#VALUE!</v>
      </c>
      <c r="EU86" t="e">
        <f>OpeningTemplate!B6+"AM:!%kF"</f>
        <v>#VALUE!</v>
      </c>
      <c r="EV86" t="e">
        <f>OpeningTemplate!C6+"AM:!%kG"</f>
        <v>#VALUE!</v>
      </c>
      <c r="EW86" t="e">
        <f>OpeningTemplate!D6+"AM:!%kH"</f>
        <v>#VALUE!</v>
      </c>
      <c r="EX86" t="e">
        <f>OpeningTemplate!E6+"AM:!%kI"</f>
        <v>#VALUE!</v>
      </c>
      <c r="EY86" t="e">
        <f>OpeningTemplate!F6+"AM:!%kJ"</f>
        <v>#VALUE!</v>
      </c>
      <c r="EZ86" t="e">
        <f>OpeningTemplate!G6+"AM:!%kK"</f>
        <v>#VALUE!</v>
      </c>
      <c r="FA86" t="e">
        <f>OpeningTemplate!H6+"AM:!%kL"</f>
        <v>#VALUE!</v>
      </c>
      <c r="FB86" t="e">
        <f>OpeningTemplate!I6+"AM:!%kM"</f>
        <v>#VALUE!</v>
      </c>
      <c r="FC86" t="e">
        <f>OpeningTemplate!J6+"AM:!%kN"</f>
        <v>#VALUE!</v>
      </c>
      <c r="FD86" t="e">
        <f>OpeningTemplate!K6+"AM:!%kO"</f>
        <v>#VALUE!</v>
      </c>
      <c r="FE86" t="e">
        <f>OpeningTemplate!L6+"AM:!%kP"</f>
        <v>#VALUE!</v>
      </c>
      <c r="FF86" t="e">
        <f>OpeningTemplate!M6+"AM:!%kQ"</f>
        <v>#VALUE!</v>
      </c>
      <c r="FG86" t="e">
        <f>OpeningTemplate!N6+"AM:!%kR"</f>
        <v>#VALUE!</v>
      </c>
      <c r="FH86" t="e">
        <f>OpeningTemplate!O6+"AM:!%kS"</f>
        <v>#VALUE!</v>
      </c>
      <c r="FI86" t="e">
        <f>OpeningTemplate!A7+"AM:!%kT"</f>
        <v>#VALUE!</v>
      </c>
      <c r="FJ86" t="e">
        <f>OpeningTemplate!B7+"AM:!%kU"</f>
        <v>#VALUE!</v>
      </c>
      <c r="FK86" t="e">
        <f>OpeningTemplate!C7+"AM:!%kV"</f>
        <v>#VALUE!</v>
      </c>
      <c r="FL86" t="e">
        <f>OpeningTemplate!D7+"AM:!%kW"</f>
        <v>#VALUE!</v>
      </c>
      <c r="FM86" t="e">
        <f>OpeningTemplate!E7+"AM:!%kX"</f>
        <v>#VALUE!</v>
      </c>
      <c r="FN86" t="e">
        <f>OpeningTemplate!F7+"AM:!%kY"</f>
        <v>#VALUE!</v>
      </c>
      <c r="FO86" t="e">
        <f>OpeningTemplate!G7+"AM:!%kZ"</f>
        <v>#VALUE!</v>
      </c>
      <c r="FP86" t="e">
        <f>OpeningTemplate!H7+"AM:!%k["</f>
        <v>#VALUE!</v>
      </c>
      <c r="FQ86" t="e">
        <f>OpeningTemplate!I7+"AM:!%k\"</f>
        <v>#VALUE!</v>
      </c>
      <c r="FR86" t="e">
        <f>OpeningTemplate!J7+"AM:!%k]"</f>
        <v>#VALUE!</v>
      </c>
      <c r="FS86" t="e">
        <f>OpeningTemplate!K7+"AM:!%k^"</f>
        <v>#VALUE!</v>
      </c>
      <c r="FT86" t="e">
        <f>OpeningTemplate!L7+"AM:!%k_"</f>
        <v>#VALUE!</v>
      </c>
      <c r="FU86" t="e">
        <f>OpeningTemplate!M7+"AM:!%k`"</f>
        <v>#VALUE!</v>
      </c>
      <c r="FV86" t="e">
        <f>OpeningTemplate!N7+"AM:!%ka"</f>
        <v>#VALUE!</v>
      </c>
      <c r="FW86" t="e">
        <f>OpeningTemplate!O7+"AM:!%kb"</f>
        <v>#VALUE!</v>
      </c>
      <c r="FX86" t="e">
        <f>OpeningTemplate!A8+"AM:!%kc"</f>
        <v>#VALUE!</v>
      </c>
      <c r="FY86" t="e">
        <f>OpeningTemplate!B8+"AM:!%kd"</f>
        <v>#VALUE!</v>
      </c>
      <c r="FZ86" t="e">
        <f>OpeningTemplate!C8+"AM:!%ke"</f>
        <v>#VALUE!</v>
      </c>
      <c r="GA86" t="e">
        <f>OpeningTemplate!D8+"AM:!%kf"</f>
        <v>#VALUE!</v>
      </c>
      <c r="GB86" t="e">
        <f>OpeningTemplate!E8+"AM:!%kg"</f>
        <v>#VALUE!</v>
      </c>
      <c r="GC86" t="e">
        <f>OpeningTemplate!F8+"AM:!%kh"</f>
        <v>#VALUE!</v>
      </c>
      <c r="GD86" t="e">
        <f>OpeningTemplate!G8+"AM:!%ki"</f>
        <v>#VALUE!</v>
      </c>
      <c r="GE86" t="e">
        <f>OpeningTemplate!H8+"AM:!%kj"</f>
        <v>#VALUE!</v>
      </c>
      <c r="GF86" t="e">
        <f>OpeningTemplate!I8+"AM:!%kk"</f>
        <v>#VALUE!</v>
      </c>
      <c r="GG86" t="e">
        <f>OpeningTemplate!J8+"AM:!%kl"</f>
        <v>#VALUE!</v>
      </c>
      <c r="GH86" t="e">
        <f>OpeningTemplate!K8+"AM:!%km"</f>
        <v>#VALUE!</v>
      </c>
      <c r="GI86" t="e">
        <f>OpeningTemplate!L8+"AM:!%kn"</f>
        <v>#VALUE!</v>
      </c>
      <c r="GJ86" t="e">
        <f>OpeningTemplate!M8+"AM:!%ko"</f>
        <v>#VALUE!</v>
      </c>
      <c r="GK86" t="e">
        <f>OpeningTemplate!N8+"AM:!%kp"</f>
        <v>#VALUE!</v>
      </c>
      <c r="GL86" t="e">
        <f>OpeningTemplate!O8+"AM:!%kq"</f>
        <v>#VALUE!</v>
      </c>
      <c r="GM86" t="e">
        <f>OpeningTemplate!A9+"AM:!%kr"</f>
        <v>#VALUE!</v>
      </c>
      <c r="GN86" t="e">
        <f>OpeningTemplate!B9+"AM:!%ks"</f>
        <v>#VALUE!</v>
      </c>
      <c r="GO86" t="e">
        <f>OpeningTemplate!C9+"AM:!%kt"</f>
        <v>#VALUE!</v>
      </c>
      <c r="GP86" t="e">
        <f>OpeningTemplate!D9+"AM:!%ku"</f>
        <v>#VALUE!</v>
      </c>
      <c r="GQ86" t="e">
        <f>OpeningTemplate!E9+"AM:!%kv"</f>
        <v>#VALUE!</v>
      </c>
      <c r="GR86" t="e">
        <f>OpeningTemplate!F9+"AM:!%kw"</f>
        <v>#VALUE!</v>
      </c>
      <c r="GS86" t="e">
        <f>OpeningTemplate!G9+"AM:!%kx"</f>
        <v>#VALUE!</v>
      </c>
      <c r="GT86" t="e">
        <f>OpeningTemplate!H9+"AM:!%ky"</f>
        <v>#VALUE!</v>
      </c>
      <c r="GU86" t="e">
        <f>OpeningTemplate!I9+"AM:!%kz"</f>
        <v>#VALUE!</v>
      </c>
      <c r="GV86" t="e">
        <f>OpeningTemplate!J9+"AM:!%k{"</f>
        <v>#VALUE!</v>
      </c>
      <c r="GW86" t="e">
        <f>OpeningTemplate!K9+"AM:!%k|"</f>
        <v>#VALUE!</v>
      </c>
      <c r="GX86" t="e">
        <f>OpeningTemplate!L9+"AM:!%k}"</f>
        <v>#VALUE!</v>
      </c>
      <c r="GY86" t="e">
        <f>OpeningTemplate!A10+"AM:!%k~"</f>
        <v>#VALUE!</v>
      </c>
      <c r="GZ86" t="e">
        <f>OpeningTemplate!B10+"AM:!%l#"</f>
        <v>#VALUE!</v>
      </c>
      <c r="HA86" t="e">
        <f>OpeningTemplate!C10+"AM:!%l$"</f>
        <v>#VALUE!</v>
      </c>
      <c r="HB86" t="e">
        <f>OpeningTemplate!D10+"AM:!%l%"</f>
        <v>#VALUE!</v>
      </c>
      <c r="HC86" t="e">
        <f>OpeningTemplate!E10+"AM:!%l&amp;"</f>
        <v>#VALUE!</v>
      </c>
      <c r="HD86" t="e">
        <f>OpeningTemplate!F10+"AM:!%l'"</f>
        <v>#VALUE!</v>
      </c>
      <c r="HE86" t="e">
        <f>OpeningTemplate!G10+"AM:!%l("</f>
        <v>#VALUE!</v>
      </c>
      <c r="HF86" t="e">
        <f>OpeningTemplate!H10+"AM:!%l)"</f>
        <v>#VALUE!</v>
      </c>
      <c r="HG86" t="e">
        <f>OpeningTemplate!I10+"AM:!%l."</f>
        <v>#VALUE!</v>
      </c>
      <c r="HH86" t="e">
        <f>OpeningTemplate!J10+"AM:!%l/"</f>
        <v>#VALUE!</v>
      </c>
      <c r="HI86" t="e">
        <f>OpeningTemplate!K10+"AM:!%l0"</f>
        <v>#VALUE!</v>
      </c>
      <c r="HJ86" t="e">
        <f>OpeningTemplate!L10+"AM:!%l1"</f>
        <v>#VALUE!</v>
      </c>
      <c r="HK86" t="e">
        <f>OpeningTemplate!A11+"AM:!%l2"</f>
        <v>#VALUE!</v>
      </c>
      <c r="HL86" t="e">
        <f>OpeningTemplate!B11+"AM:!%l3"</f>
        <v>#VALUE!</v>
      </c>
      <c r="HM86" t="e">
        <f>OpeningTemplate!C11+"AM:!%l4"</f>
        <v>#VALUE!</v>
      </c>
      <c r="HN86" t="e">
        <f>OpeningTemplate!D11+"AM:!%l5"</f>
        <v>#VALUE!</v>
      </c>
      <c r="HO86" t="e">
        <f>OpeningTemplate!E11+"AM:!%l6"</f>
        <v>#VALUE!</v>
      </c>
      <c r="HP86" t="e">
        <f>OpeningTemplate!F11+"AM:!%l7"</f>
        <v>#VALUE!</v>
      </c>
      <c r="HQ86" t="e">
        <f>OpeningTemplate!G11+"AM:!%l8"</f>
        <v>#VALUE!</v>
      </c>
      <c r="HR86" t="e">
        <f>OpeningTemplate!H11+"AM:!%l9"</f>
        <v>#VALUE!</v>
      </c>
      <c r="HS86" t="e">
        <f>OpeningTemplate!I11+"AM:!%l:"</f>
        <v>#VALUE!</v>
      </c>
      <c r="HT86" t="e">
        <f>OpeningTemplate!J11+"AM:!%l;"</f>
        <v>#VALUE!</v>
      </c>
      <c r="HU86" t="e">
        <f>OpeningTemplate!K11+"AM:!%l&lt;"</f>
        <v>#VALUE!</v>
      </c>
      <c r="HV86" t="e">
        <f>OpeningTemplate!L11+"AM:!%l="</f>
        <v>#VALUE!</v>
      </c>
      <c r="HW86" t="e">
        <f>OpeningTemplate!A12+"AM:!%l&gt;"</f>
        <v>#VALUE!</v>
      </c>
      <c r="HX86" t="e">
        <f>OpeningTemplate!B12+"AM:!%l?"</f>
        <v>#VALUE!</v>
      </c>
      <c r="HY86" t="e">
        <f>OpeningTemplate!C12+"AM:!%l@"</f>
        <v>#VALUE!</v>
      </c>
      <c r="HZ86" t="e">
        <f>OpeningTemplate!D12+"AM:!%lA"</f>
        <v>#VALUE!</v>
      </c>
      <c r="IA86" t="e">
        <f>OpeningTemplate!E12+"AM:!%lB"</f>
        <v>#VALUE!</v>
      </c>
      <c r="IB86" t="e">
        <f>OpeningTemplate!F12+"AM:!%lC"</f>
        <v>#VALUE!</v>
      </c>
      <c r="IC86" t="e">
        <f>OpeningTemplate!G12+"AM:!%lD"</f>
        <v>#VALUE!</v>
      </c>
      <c r="ID86" t="e">
        <f>OpeningTemplate!H12+"AM:!%lE"</f>
        <v>#VALUE!</v>
      </c>
      <c r="IE86" t="e">
        <f>OpeningTemplate!I12+"AM:!%lF"</f>
        <v>#VALUE!</v>
      </c>
      <c r="IF86" t="e">
        <f>OpeningTemplate!J12+"AM:!%lG"</f>
        <v>#VALUE!</v>
      </c>
      <c r="IG86" t="e">
        <f>OpeningTemplate!K12+"AM:!%lH"</f>
        <v>#VALUE!</v>
      </c>
      <c r="IH86" t="e">
        <f>OpeningTemplate!L12+"AM:!%lI"</f>
        <v>#VALUE!</v>
      </c>
      <c r="II86" t="e">
        <f>OpeningTemplate!A13+"AM:!%lJ"</f>
        <v>#VALUE!</v>
      </c>
      <c r="IJ86" t="e">
        <f>OpeningTemplate!B13+"AM:!%lK"</f>
        <v>#VALUE!</v>
      </c>
      <c r="IK86" t="e">
        <f>OpeningTemplate!C13+"AM:!%lL"</f>
        <v>#VALUE!</v>
      </c>
      <c r="IL86" t="e">
        <f>OpeningTemplate!D13+"AM:!%lM"</f>
        <v>#VALUE!</v>
      </c>
      <c r="IM86" t="e">
        <f>OpeningTemplate!E13+"AM:!%lN"</f>
        <v>#VALUE!</v>
      </c>
      <c r="IN86" t="e">
        <f>OpeningTemplate!F13+"AM:!%lO"</f>
        <v>#VALUE!</v>
      </c>
      <c r="IO86" t="e">
        <f>OpeningTemplate!G13+"AM:!%lP"</f>
        <v>#VALUE!</v>
      </c>
      <c r="IP86" t="e">
        <f>OpeningTemplate!H13+"AM:!%lQ"</f>
        <v>#VALUE!</v>
      </c>
      <c r="IQ86" t="e">
        <f>OpeningTemplate!I13+"AM:!%lR"</f>
        <v>#VALUE!</v>
      </c>
      <c r="IR86" t="e">
        <f>OpeningTemplate!J13+"AM:!%lS"</f>
        <v>#VALUE!</v>
      </c>
      <c r="IS86" t="e">
        <f>OpeningTemplate!K13+"AM:!%lT"</f>
        <v>#VALUE!</v>
      </c>
      <c r="IT86" t="e">
        <f>OpeningTemplate!L13+"AM:!%lU"</f>
        <v>#VALUE!</v>
      </c>
      <c r="IU86" t="e">
        <f>OpeningTemplate!A14+"AM:!%lV"</f>
        <v>#VALUE!</v>
      </c>
      <c r="IV86" t="e">
        <f>OpeningTemplate!B14+"AM:!%lW"</f>
        <v>#VALUE!</v>
      </c>
    </row>
    <row r="87" spans="6:256">
      <c r="F87" t="e">
        <f>OpeningTemplate!C14+"AM:!%lX"</f>
        <v>#VALUE!</v>
      </c>
      <c r="G87" t="e">
        <f>OpeningTemplate!D14+"AM:!%lY"</f>
        <v>#VALUE!</v>
      </c>
      <c r="H87" t="e">
        <f>OpeningTemplate!E14+"AM:!%lZ"</f>
        <v>#VALUE!</v>
      </c>
      <c r="I87" t="e">
        <f>OpeningTemplate!F14+"AM:!%l["</f>
        <v>#VALUE!</v>
      </c>
      <c r="J87" t="e">
        <f>OpeningTemplate!G14+"AM:!%l\"</f>
        <v>#VALUE!</v>
      </c>
      <c r="K87" t="e">
        <f>OpeningTemplate!H14+"AM:!%l]"</f>
        <v>#VALUE!</v>
      </c>
      <c r="L87" t="e">
        <f>OpeningTemplate!I14+"AM:!%l^"</f>
        <v>#VALUE!</v>
      </c>
      <c r="M87" t="e">
        <f>OpeningTemplate!J14+"AM:!%l_"</f>
        <v>#VALUE!</v>
      </c>
      <c r="N87" t="e">
        <f>OpeningTemplate!K14+"AM:!%l`"</f>
        <v>#VALUE!</v>
      </c>
      <c r="O87" t="e">
        <f>OpeningTemplate!L14+"AM:!%la"</f>
        <v>#VALUE!</v>
      </c>
      <c r="P87" t="e">
        <f>OpeningTemplate!A15+"AM:!%lb"</f>
        <v>#VALUE!</v>
      </c>
      <c r="Q87" t="e">
        <f>OpeningTemplate!B15+"AM:!%lc"</f>
        <v>#VALUE!</v>
      </c>
      <c r="R87" t="e">
        <f>OpeningTemplate!C15+"AM:!%ld"</f>
        <v>#VALUE!</v>
      </c>
      <c r="S87" t="e">
        <f>OpeningTemplate!D15+"AM:!%le"</f>
        <v>#VALUE!</v>
      </c>
      <c r="T87" t="e">
        <f>OpeningTemplate!E15+"AM:!%lf"</f>
        <v>#VALUE!</v>
      </c>
      <c r="U87" t="e">
        <f>OpeningTemplate!F15+"AM:!%lg"</f>
        <v>#VALUE!</v>
      </c>
      <c r="V87" t="e">
        <f>OpeningTemplate!G15+"AM:!%lh"</f>
        <v>#VALUE!</v>
      </c>
      <c r="W87" t="e">
        <f>OpeningTemplate!H15+"AM:!%li"</f>
        <v>#VALUE!</v>
      </c>
      <c r="X87" t="e">
        <f>OpeningTemplate!I15+"AM:!%lj"</f>
        <v>#VALUE!</v>
      </c>
      <c r="Y87" t="e">
        <f>OpeningTemplate!J15+"AM:!%lk"</f>
        <v>#VALUE!</v>
      </c>
      <c r="Z87" t="e">
        <f>OpeningTemplate!K15+"AM:!%ll"</f>
        <v>#VALUE!</v>
      </c>
      <c r="AA87" t="e">
        <f>OpeningTemplate!L15+"AM:!%lm"</f>
        <v>#VALUE!</v>
      </c>
      <c r="AB87" t="e">
        <f>OpeningTemplate!A16+"AM:!%ln"</f>
        <v>#VALUE!</v>
      </c>
      <c r="AC87" t="e">
        <f>OpeningTemplate!B16+"AM:!%lo"</f>
        <v>#VALUE!</v>
      </c>
      <c r="AD87" t="e">
        <f>OpeningTemplate!C16+"AM:!%lp"</f>
        <v>#VALUE!</v>
      </c>
      <c r="AE87" t="e">
        <f>OpeningTemplate!D16+"AM:!%lq"</f>
        <v>#VALUE!</v>
      </c>
      <c r="AF87" t="e">
        <f>OpeningTemplate!E16+"AM:!%lr"</f>
        <v>#VALUE!</v>
      </c>
      <c r="AG87" t="e">
        <f>OpeningTemplate!F16+"AM:!%ls"</f>
        <v>#VALUE!</v>
      </c>
      <c r="AH87" t="e">
        <f>OpeningTemplate!G16+"AM:!%lt"</f>
        <v>#VALUE!</v>
      </c>
      <c r="AI87" t="e">
        <f>OpeningTemplate!H16+"AM:!%lu"</f>
        <v>#VALUE!</v>
      </c>
      <c r="AJ87" t="e">
        <f>OpeningTemplate!I16+"AM:!%lv"</f>
        <v>#VALUE!</v>
      </c>
      <c r="AK87" t="e">
        <f>OpeningTemplate!J16+"AM:!%lw"</f>
        <v>#VALUE!</v>
      </c>
      <c r="AL87" t="e">
        <f>OpeningTemplate!K16+"AM:!%lx"</f>
        <v>#VALUE!</v>
      </c>
      <c r="AM87" t="e">
        <f>OpeningTemplate!L16+"AM:!%ly"</f>
        <v>#VALUE!</v>
      </c>
      <c r="AN87" t="e">
        <f>OpeningTemplate!A17+"AM:!%lz"</f>
        <v>#VALUE!</v>
      </c>
      <c r="AO87" t="e">
        <f>OpeningTemplate!B17+"AM:!%l{"</f>
        <v>#VALUE!</v>
      </c>
      <c r="AP87" t="e">
        <f>OpeningTemplate!C17+"AM:!%l|"</f>
        <v>#VALUE!</v>
      </c>
      <c r="AQ87" t="e">
        <f>OpeningTemplate!D17+"AM:!%l}"</f>
        <v>#VALUE!</v>
      </c>
      <c r="AR87" t="e">
        <f>OpeningTemplate!E17+"AM:!%l~"</f>
        <v>#VALUE!</v>
      </c>
      <c r="AS87" t="e">
        <f>OpeningTemplate!F17+"AM:!%m#"</f>
        <v>#VALUE!</v>
      </c>
      <c r="AT87" t="e">
        <f>OpeningTemplate!G17+"AM:!%m$"</f>
        <v>#VALUE!</v>
      </c>
      <c r="AU87" t="e">
        <f>OpeningTemplate!H17+"AM:!%m%"</f>
        <v>#VALUE!</v>
      </c>
      <c r="AV87" t="e">
        <f>OpeningTemplate!I17+"AM:!%m&amp;"</f>
        <v>#VALUE!</v>
      </c>
      <c r="AW87" t="e">
        <f>OpeningTemplate!J17+"AM:!%m'"</f>
        <v>#VALUE!</v>
      </c>
      <c r="AX87" t="e">
        <f>OpeningTemplate!K17+"AM:!%m("</f>
        <v>#VALUE!</v>
      </c>
      <c r="AY87" t="e">
        <f>OpeningTemplate!L17+"AM:!%m)"</f>
        <v>#VALUE!</v>
      </c>
      <c r="AZ87" t="e">
        <f>OpeningTemplate!A18+"AM:!%m."</f>
        <v>#VALUE!</v>
      </c>
      <c r="BA87" t="e">
        <f>OpeningTemplate!B18+"AM:!%m/"</f>
        <v>#VALUE!</v>
      </c>
      <c r="BB87" t="e">
        <f>OpeningTemplate!C18+"AM:!%m0"</f>
        <v>#VALUE!</v>
      </c>
      <c r="BC87" t="e">
        <f>OpeningTemplate!D18+"AM:!%m1"</f>
        <v>#VALUE!</v>
      </c>
      <c r="BD87" t="e">
        <f>OpeningTemplate!E18+"AM:!%m2"</f>
        <v>#VALUE!</v>
      </c>
      <c r="BE87" t="e">
        <f>OpeningTemplate!F18+"AM:!%m3"</f>
        <v>#VALUE!</v>
      </c>
      <c r="BF87" t="e">
        <f>OpeningTemplate!G18+"AM:!%m4"</f>
        <v>#VALUE!</v>
      </c>
      <c r="BG87" t="e">
        <f>OpeningTemplate!H18+"AM:!%m5"</f>
        <v>#VALUE!</v>
      </c>
      <c r="BH87" t="e">
        <f>OpeningTemplate!I18+"AM:!%m6"</f>
        <v>#VALUE!</v>
      </c>
      <c r="BI87" t="e">
        <f>OpeningTemplate!J18+"AM:!%m7"</f>
        <v>#VALUE!</v>
      </c>
      <c r="BJ87" t="e">
        <f>OpeningTemplate!K18+"AM:!%m8"</f>
        <v>#VALUE!</v>
      </c>
      <c r="BK87" t="e">
        <f>OpeningTemplate!L18+"AM:!%m9"</f>
        <v>#VALUE!</v>
      </c>
      <c r="BL87" t="e">
        <f>OpeningTemplate!A19+"AM:!%m:"</f>
        <v>#VALUE!</v>
      </c>
      <c r="BM87" t="e">
        <f>OpeningTemplate!B19+"AM:!%m;"</f>
        <v>#VALUE!</v>
      </c>
      <c r="BN87" t="e">
        <f>OpeningTemplate!C19+"AM:!%m&lt;"</f>
        <v>#VALUE!</v>
      </c>
      <c r="BO87" t="e">
        <f>OpeningTemplate!D19+"AM:!%m="</f>
        <v>#VALUE!</v>
      </c>
      <c r="BP87" t="e">
        <f>OpeningTemplate!E19+"AM:!%m&gt;"</f>
        <v>#VALUE!</v>
      </c>
      <c r="BQ87" t="e">
        <f>OpeningTemplate!F19+"AM:!%m?"</f>
        <v>#VALUE!</v>
      </c>
      <c r="BR87" t="e">
        <f>OpeningTemplate!G19+"AM:!%m@"</f>
        <v>#VALUE!</v>
      </c>
      <c r="BS87" t="e">
        <f>OpeningTemplate!H19+"AM:!%mA"</f>
        <v>#VALUE!</v>
      </c>
      <c r="BT87" t="e">
        <f>OpeningTemplate!I19+"AM:!%mB"</f>
        <v>#VALUE!</v>
      </c>
      <c r="BU87" t="e">
        <f>OpeningTemplate!J19+"AM:!%mC"</f>
        <v>#VALUE!</v>
      </c>
      <c r="BV87" t="e">
        <f>OpeningTemplate!K19+"AM:!%mD"</f>
        <v>#VALUE!</v>
      </c>
      <c r="BW87" t="e">
        <f>OpeningTemplate!L19+"AM:!%mE"</f>
        <v>#VALUE!</v>
      </c>
      <c r="BX87" t="e">
        <f>OpeningTemplate!A20+"AM:!%mF"</f>
        <v>#VALUE!</v>
      </c>
      <c r="BY87" t="e">
        <f>OpeningTemplate!B20+"AM:!%mG"</f>
        <v>#VALUE!</v>
      </c>
      <c r="BZ87" t="e">
        <f>OpeningTemplate!C20+"AM:!%mH"</f>
        <v>#VALUE!</v>
      </c>
      <c r="CA87" t="e">
        <f>OpeningTemplate!D20+"AM:!%mI"</f>
        <v>#VALUE!</v>
      </c>
      <c r="CB87" t="e">
        <f>OpeningTemplate!E20+"AM:!%mJ"</f>
        <v>#VALUE!</v>
      </c>
      <c r="CC87" t="e">
        <f>OpeningTemplate!F20+"AM:!%mK"</f>
        <v>#VALUE!</v>
      </c>
      <c r="CD87" t="e">
        <f>OpeningTemplate!G20+"AM:!%mL"</f>
        <v>#VALUE!</v>
      </c>
      <c r="CE87" t="e">
        <f>OpeningTemplate!H20+"AM:!%mM"</f>
        <v>#VALUE!</v>
      </c>
      <c r="CF87" t="e">
        <f>OpeningTemplate!I20+"AM:!%mN"</f>
        <v>#VALUE!</v>
      </c>
      <c r="CG87" t="e">
        <f>OpeningTemplate!J20+"AM:!%mO"</f>
        <v>#VALUE!</v>
      </c>
      <c r="CH87" t="e">
        <f>OpeningTemplate!K20+"AM:!%mP"</f>
        <v>#VALUE!</v>
      </c>
      <c r="CI87" t="e">
        <f>OpeningTemplate!L20+"AM:!%mQ"</f>
        <v>#VALUE!</v>
      </c>
      <c r="CJ87" t="e">
        <f>OpeningTemplate!A21+"AM:!%mR"</f>
        <v>#VALUE!</v>
      </c>
      <c r="CK87" t="e">
        <f>OpeningTemplate!B21+"AM:!%mS"</f>
        <v>#VALUE!</v>
      </c>
      <c r="CL87" t="e">
        <f>OpeningTemplate!C21+"AM:!%mT"</f>
        <v>#VALUE!</v>
      </c>
      <c r="CM87" t="e">
        <f>OpeningTemplate!D21+"AM:!%mU"</f>
        <v>#VALUE!</v>
      </c>
      <c r="CN87" t="e">
        <f>OpeningTemplate!E21+"AM:!%mV"</f>
        <v>#VALUE!</v>
      </c>
      <c r="CO87" t="e">
        <f>OpeningTemplate!F21+"AM:!%mW"</f>
        <v>#VALUE!</v>
      </c>
      <c r="CP87" t="e">
        <f>OpeningTemplate!G21+"AM:!%mX"</f>
        <v>#VALUE!</v>
      </c>
      <c r="CQ87" t="e">
        <f>OpeningTemplate!H21+"AM:!%mY"</f>
        <v>#VALUE!</v>
      </c>
      <c r="CR87" t="e">
        <f>OpeningTemplate!I21+"AM:!%mZ"</f>
        <v>#VALUE!</v>
      </c>
      <c r="CS87" t="e">
        <f>OpeningTemplate!J21+"AM:!%m["</f>
        <v>#VALUE!</v>
      </c>
      <c r="CT87" t="e">
        <f>OpeningTemplate!K21+"AM:!%m\"</f>
        <v>#VALUE!</v>
      </c>
      <c r="CU87" t="e">
        <f>OpeningTemplate!L21+"AM:!%m]"</f>
        <v>#VALUE!</v>
      </c>
      <c r="CV87" t="e">
        <f>OpeningTemplate!A22+"AM:!%m^"</f>
        <v>#VALUE!</v>
      </c>
      <c r="CW87" t="e">
        <f>OpeningTemplate!B22+"AM:!%m_"</f>
        <v>#VALUE!</v>
      </c>
      <c r="CX87" t="e">
        <f>OpeningTemplate!C22+"AM:!%m`"</f>
        <v>#VALUE!</v>
      </c>
      <c r="CY87" t="e">
        <f>OpeningTemplate!D22+"AM:!%ma"</f>
        <v>#VALUE!</v>
      </c>
      <c r="CZ87" t="e">
        <f>OpeningTemplate!E22+"AM:!%mb"</f>
        <v>#VALUE!</v>
      </c>
      <c r="DA87" t="e">
        <f>OpeningTemplate!F22+"AM:!%mc"</f>
        <v>#VALUE!</v>
      </c>
      <c r="DB87" t="e">
        <f>OpeningTemplate!G22+"AM:!%md"</f>
        <v>#VALUE!</v>
      </c>
      <c r="DC87" t="e">
        <f>OpeningTemplate!H22+"AM:!%me"</f>
        <v>#VALUE!</v>
      </c>
      <c r="DD87" t="e">
        <f>OpeningTemplate!I22+"AM:!%mf"</f>
        <v>#VALUE!</v>
      </c>
      <c r="DE87" t="e">
        <f>OpeningTemplate!J22+"AM:!%mg"</f>
        <v>#VALUE!</v>
      </c>
      <c r="DF87" t="e">
        <f>OpeningTemplate!K22+"AM:!%mh"</f>
        <v>#VALUE!</v>
      </c>
      <c r="DG87" t="e">
        <f>OpeningTemplate!L22+"AM:!%mi"</f>
        <v>#VALUE!</v>
      </c>
      <c r="DH87" t="e">
        <f>OpeningTemplate!A23+"AM:!%mj"</f>
        <v>#VALUE!</v>
      </c>
      <c r="DI87" t="e">
        <f>OpeningTemplate!B23+"AM:!%mk"</f>
        <v>#VALUE!</v>
      </c>
      <c r="DJ87" t="e">
        <f>OpeningTemplate!C23+"AM:!%ml"</f>
        <v>#VALUE!</v>
      </c>
      <c r="DK87" t="e">
        <f>OpeningTemplate!D23+"AM:!%mm"</f>
        <v>#VALUE!</v>
      </c>
      <c r="DL87" t="e">
        <f>OpeningTemplate!E23+"AM:!%mn"</f>
        <v>#VALUE!</v>
      </c>
      <c r="DM87" t="e">
        <f>OpeningTemplate!F23+"AM:!%mo"</f>
        <v>#VALUE!</v>
      </c>
      <c r="DN87" t="e">
        <f>OpeningTemplate!G23+"AM:!%mp"</f>
        <v>#VALUE!</v>
      </c>
      <c r="DO87" t="e">
        <f>OpeningTemplate!H23+"AM:!%mq"</f>
        <v>#VALUE!</v>
      </c>
      <c r="DP87" t="e">
        <f>OpeningTemplate!I23+"AM:!%mr"</f>
        <v>#VALUE!</v>
      </c>
      <c r="DQ87" t="e">
        <f>OpeningTemplate!J23+"AM:!%ms"</f>
        <v>#VALUE!</v>
      </c>
      <c r="DR87" t="e">
        <f>OpeningTemplate!K23+"AM:!%mt"</f>
        <v>#VALUE!</v>
      </c>
      <c r="DS87" t="e">
        <f>OpeningTemplate!L23+"AM:!%mu"</f>
        <v>#VALUE!</v>
      </c>
      <c r="DT87" t="e">
        <f>OpeningTemplate!A24+"AM:!%mv"</f>
        <v>#VALUE!</v>
      </c>
      <c r="DU87" t="e">
        <f>OpeningTemplate!B24+"AM:!%mw"</f>
        <v>#VALUE!</v>
      </c>
      <c r="DV87" t="e">
        <f>OpeningTemplate!C24+"AM:!%mx"</f>
        <v>#VALUE!</v>
      </c>
      <c r="DW87" t="e">
        <f>OpeningTemplate!D24+"AM:!%my"</f>
        <v>#VALUE!</v>
      </c>
      <c r="DX87" t="e">
        <f>OpeningTemplate!E24+"AM:!%mz"</f>
        <v>#VALUE!</v>
      </c>
      <c r="DY87" t="e">
        <f>OpeningTemplate!F24+"AM:!%m{"</f>
        <v>#VALUE!</v>
      </c>
      <c r="DZ87" t="e">
        <f>OpeningTemplate!G24+"AM:!%m|"</f>
        <v>#VALUE!</v>
      </c>
      <c r="EA87" t="e">
        <f>OpeningTemplate!H24+"AM:!%m}"</f>
        <v>#VALUE!</v>
      </c>
      <c r="EB87" t="e">
        <f>OpeningTemplate!I24+"AM:!%m~"</f>
        <v>#VALUE!</v>
      </c>
      <c r="EC87" t="e">
        <f>OpeningTemplate!J24+"AM:!%n#"</f>
        <v>#VALUE!</v>
      </c>
      <c r="ED87" t="e">
        <f>OpeningTemplate!K24+"AM:!%n$"</f>
        <v>#VALUE!</v>
      </c>
      <c r="EE87" t="e">
        <f>OpeningTemplate!L24+"AM:!%n%"</f>
        <v>#VALUE!</v>
      </c>
      <c r="EF87" t="e">
        <f>OpeningTemplate!A25+"AM:!%n&amp;"</f>
        <v>#VALUE!</v>
      </c>
      <c r="EG87" t="e">
        <f>OpeningTemplate!B25+"AM:!%n'"</f>
        <v>#VALUE!</v>
      </c>
      <c r="EH87" t="e">
        <f>OpeningTemplate!C25+"AM:!%n("</f>
        <v>#VALUE!</v>
      </c>
      <c r="EI87" t="e">
        <f>OpeningTemplate!D25+"AM:!%n)"</f>
        <v>#VALUE!</v>
      </c>
      <c r="EJ87" t="e">
        <f>OpeningTemplate!E25+"AM:!%n."</f>
        <v>#VALUE!</v>
      </c>
      <c r="EK87" t="e">
        <f>OpeningTemplate!F25+"AM:!%n/"</f>
        <v>#VALUE!</v>
      </c>
      <c r="EL87" t="e">
        <f>OpeningTemplate!G25+"AM:!%n0"</f>
        <v>#VALUE!</v>
      </c>
      <c r="EM87" t="e">
        <f>OpeningTemplate!H25+"AM:!%n1"</f>
        <v>#VALUE!</v>
      </c>
      <c r="EN87" t="e">
        <f>OpeningTemplate!I25+"AM:!%n2"</f>
        <v>#VALUE!</v>
      </c>
      <c r="EO87" t="e">
        <f>OpeningTemplate!J25+"AM:!%n3"</f>
        <v>#VALUE!</v>
      </c>
      <c r="EP87" t="e">
        <f>OpeningTemplate!K25+"AM:!%n4"</f>
        <v>#VALUE!</v>
      </c>
      <c r="EQ87" t="e">
        <f>OpeningTemplate!L25+"AM:!%n5"</f>
        <v>#VALUE!</v>
      </c>
      <c r="ER87" t="e">
        <f>OpeningTemplate!A26+"AM:!%n6"</f>
        <v>#VALUE!</v>
      </c>
      <c r="ES87" t="e">
        <f>OpeningTemplate!B26+"AM:!%n7"</f>
        <v>#VALUE!</v>
      </c>
      <c r="ET87" t="e">
        <f>OpeningTemplate!C26+"AM:!%n8"</f>
        <v>#VALUE!</v>
      </c>
      <c r="EU87" t="e">
        <f>OpeningTemplate!D26+"AM:!%n9"</f>
        <v>#VALUE!</v>
      </c>
      <c r="EV87" t="e">
        <f>OpeningTemplate!E26+"AM:!%n:"</f>
        <v>#VALUE!</v>
      </c>
      <c r="EW87" t="e">
        <f>OpeningTemplate!F26+"AM:!%n;"</f>
        <v>#VALUE!</v>
      </c>
      <c r="EX87" t="e">
        <f>OpeningTemplate!G26+"AM:!%n&lt;"</f>
        <v>#VALUE!</v>
      </c>
      <c r="EY87" t="e">
        <f>OpeningTemplate!H26+"AM:!%n="</f>
        <v>#VALUE!</v>
      </c>
      <c r="EZ87" t="e">
        <f>OpeningTemplate!I26+"AM:!%n&gt;"</f>
        <v>#VALUE!</v>
      </c>
      <c r="FA87" t="e">
        <f>OpeningTemplate!J26+"AM:!%n?"</f>
        <v>#VALUE!</v>
      </c>
      <c r="FB87" t="e">
        <f>OpeningTemplate!K26+"AM:!%n@"</f>
        <v>#VALUE!</v>
      </c>
      <c r="FC87" t="e">
        <f>OpeningTemplate!L26+"AM:!%nA"</f>
        <v>#VALUE!</v>
      </c>
      <c r="FD87" t="e">
        <f>OpeningTemplate!A27+"AM:!%nB"</f>
        <v>#VALUE!</v>
      </c>
      <c r="FE87" t="e">
        <f>OpeningTemplate!B27+"AM:!%nC"</f>
        <v>#VALUE!</v>
      </c>
      <c r="FF87" t="e">
        <f>OpeningTemplate!C27+"AM:!%nD"</f>
        <v>#VALUE!</v>
      </c>
      <c r="FG87" t="e">
        <f>OpeningTemplate!D27+"AM:!%nE"</f>
        <v>#VALUE!</v>
      </c>
      <c r="FH87" t="e">
        <f>OpeningTemplate!E27+"AM:!%nF"</f>
        <v>#VALUE!</v>
      </c>
      <c r="FI87" t="e">
        <f>OpeningTemplate!F27+"AM:!%nG"</f>
        <v>#VALUE!</v>
      </c>
      <c r="FJ87" t="e">
        <f>OpeningTemplate!G27+"AM:!%nH"</f>
        <v>#VALUE!</v>
      </c>
      <c r="FK87" t="e">
        <f>OpeningTemplate!H27+"AM:!%nI"</f>
        <v>#VALUE!</v>
      </c>
      <c r="FL87" t="e">
        <f>OpeningTemplate!I27+"AM:!%nJ"</f>
        <v>#VALUE!</v>
      </c>
      <c r="FM87" t="e">
        <f>OpeningTemplate!J27+"AM:!%nK"</f>
        <v>#VALUE!</v>
      </c>
      <c r="FN87" t="e">
        <f>OpeningTemplate!K27+"AM:!%nL"</f>
        <v>#VALUE!</v>
      </c>
      <c r="FO87" t="e">
        <f>OpeningTemplate!L27+"AM:!%nM"</f>
        <v>#VALUE!</v>
      </c>
      <c r="FP87" t="e">
        <f>OpeningTemplate!A28+"AM:!%nN"</f>
        <v>#VALUE!</v>
      </c>
      <c r="FQ87" t="e">
        <f>OpeningTemplate!B28+"AM:!%nO"</f>
        <v>#VALUE!</v>
      </c>
      <c r="FR87" t="e">
        <f>OpeningTemplate!C28+"AM:!%nP"</f>
        <v>#VALUE!</v>
      </c>
      <c r="FS87" t="e">
        <f>OpeningTemplate!D28+"AM:!%nQ"</f>
        <v>#VALUE!</v>
      </c>
      <c r="FT87" t="e">
        <f>OpeningTemplate!E28+"AM:!%nR"</f>
        <v>#VALUE!</v>
      </c>
      <c r="FU87" t="e">
        <f>OpeningTemplate!F28+"AM:!%nS"</f>
        <v>#VALUE!</v>
      </c>
      <c r="FV87" t="e">
        <f>OpeningTemplate!G28+"AM:!%nT"</f>
        <v>#VALUE!</v>
      </c>
      <c r="FW87" t="e">
        <f>OpeningTemplate!H28+"AM:!%nU"</f>
        <v>#VALUE!</v>
      </c>
      <c r="FX87" t="e">
        <f>OpeningTemplate!I28+"AM:!%nV"</f>
        <v>#VALUE!</v>
      </c>
      <c r="FY87" t="e">
        <f>OpeningTemplate!J28+"AM:!%nW"</f>
        <v>#VALUE!</v>
      </c>
      <c r="FZ87" t="e">
        <f>OpeningTemplate!K28+"AM:!%nX"</f>
        <v>#VALUE!</v>
      </c>
      <c r="GA87" t="e">
        <f>OpeningTemplate!L28+"AM:!%nY"</f>
        <v>#VALUE!</v>
      </c>
      <c r="GB87" t="e">
        <f>OpeningTemplate!A29+"AM:!%nZ"</f>
        <v>#VALUE!</v>
      </c>
      <c r="GC87" t="e">
        <f>OpeningTemplate!B29+"AM:!%n["</f>
        <v>#VALUE!</v>
      </c>
      <c r="GD87" t="e">
        <f>OpeningTemplate!C29+"AM:!%n\"</f>
        <v>#VALUE!</v>
      </c>
      <c r="GE87" t="e">
        <f>OpeningTemplate!D29+"AM:!%n]"</f>
        <v>#VALUE!</v>
      </c>
      <c r="GF87" t="e">
        <f>OpeningTemplate!E29+"AM:!%n^"</f>
        <v>#VALUE!</v>
      </c>
      <c r="GG87" t="e">
        <f>OpeningTemplate!F29+"AM:!%n_"</f>
        <v>#VALUE!</v>
      </c>
      <c r="GH87" t="e">
        <f>OpeningTemplate!G29+"AM:!%n`"</f>
        <v>#VALUE!</v>
      </c>
      <c r="GI87" t="e">
        <f>OpeningTemplate!H29+"AM:!%na"</f>
        <v>#VALUE!</v>
      </c>
      <c r="GJ87" t="e">
        <f>OpeningTemplate!I29+"AM:!%nb"</f>
        <v>#VALUE!</v>
      </c>
      <c r="GK87" t="e">
        <f>OpeningTemplate!J29+"AM:!%nc"</f>
        <v>#VALUE!</v>
      </c>
      <c r="GL87" t="e">
        <f>OpeningTemplate!K29+"AM:!%nd"</f>
        <v>#VALUE!</v>
      </c>
      <c r="GM87" t="e">
        <f>OpeningTemplate!L29+"AM:!%ne"</f>
        <v>#VALUE!</v>
      </c>
      <c r="GN87" t="e">
        <f>OpeningTemplate!A30+"AM:!%nf"</f>
        <v>#VALUE!</v>
      </c>
      <c r="GO87" t="e">
        <f>OpeningTemplate!B30+"AM:!%ng"</f>
        <v>#VALUE!</v>
      </c>
      <c r="GP87" t="e">
        <f>OpeningTemplate!C30+"AM:!%nh"</f>
        <v>#VALUE!</v>
      </c>
      <c r="GQ87" t="e">
        <f>OpeningTemplate!D30+"AM:!%ni"</f>
        <v>#VALUE!</v>
      </c>
      <c r="GR87" t="e">
        <f>OpeningTemplate!E30+"AM:!%nj"</f>
        <v>#VALUE!</v>
      </c>
      <c r="GS87" t="e">
        <f>OpeningTemplate!F30+"AM:!%nk"</f>
        <v>#VALUE!</v>
      </c>
      <c r="GT87" t="e">
        <f>OpeningTemplate!G30+"AM:!%nl"</f>
        <v>#VALUE!</v>
      </c>
      <c r="GU87" t="e">
        <f>OpeningTemplate!H30+"AM:!%nm"</f>
        <v>#VALUE!</v>
      </c>
      <c r="GV87" t="e">
        <f>OpeningTemplate!I30+"AM:!%nn"</f>
        <v>#VALUE!</v>
      </c>
      <c r="GW87" t="e">
        <f>OpeningTemplate!J30+"AM:!%no"</f>
        <v>#VALUE!</v>
      </c>
      <c r="GX87" t="e">
        <f>OpeningTemplate!K30+"AM:!%np"</f>
        <v>#VALUE!</v>
      </c>
      <c r="GY87" t="e">
        <f>OpeningTemplate!L30+"AM:!%nq"</f>
        <v>#VALUE!</v>
      </c>
      <c r="GZ87" t="e">
        <f>OpeningTemplate!A31+"AM:!%nr"</f>
        <v>#VALUE!</v>
      </c>
      <c r="HA87" t="e">
        <f>OpeningTemplate!B31+"AM:!%ns"</f>
        <v>#VALUE!</v>
      </c>
      <c r="HB87" t="e">
        <f>OpeningTemplate!C31+"AM:!%nt"</f>
        <v>#VALUE!</v>
      </c>
      <c r="HC87" t="e">
        <f>OpeningTemplate!D31+"AM:!%nu"</f>
        <v>#VALUE!</v>
      </c>
      <c r="HD87" t="e">
        <f>OpeningTemplate!E31+"AM:!%nv"</f>
        <v>#VALUE!</v>
      </c>
      <c r="HE87" t="e">
        <f>OpeningTemplate!F31+"AM:!%nw"</f>
        <v>#VALUE!</v>
      </c>
      <c r="HF87" t="e">
        <f>OpeningTemplate!G31+"AM:!%nx"</f>
        <v>#VALUE!</v>
      </c>
      <c r="HG87" t="e">
        <f>OpeningTemplate!H31+"AM:!%ny"</f>
        <v>#VALUE!</v>
      </c>
      <c r="HH87" s="103" t="e">
        <f>OpeningTemplate!I31+"AM:!%nz"</f>
        <v>#VALUE!</v>
      </c>
      <c r="HI87" t="e">
        <f>OpeningTemplate!J31+"AM:!%n{"</f>
        <v>#VALUE!</v>
      </c>
      <c r="HJ87" t="e">
        <f>OpeningTemplate!K31+"AM:!%n|"</f>
        <v>#VALUE!</v>
      </c>
      <c r="HK87" t="e">
        <f>OpeningTemplate!L31+"AM:!%n}"</f>
        <v>#VALUE!</v>
      </c>
      <c r="HL87" t="e">
        <f>OpeningTemplate!A32+"AM:!%n~"</f>
        <v>#VALUE!</v>
      </c>
      <c r="HM87" s="98" t="e">
        <f>OpeningTemplate!B32+"AM:!%o#"</f>
        <v>#VALUE!</v>
      </c>
      <c r="HN87" t="e">
        <f>OpeningTemplate!C32+"AM:!%o$"</f>
        <v>#VALUE!</v>
      </c>
      <c r="HO87" t="e">
        <f>OpeningTemplate!D32+"AM:!%o%"</f>
        <v>#VALUE!</v>
      </c>
      <c r="HP87" t="e">
        <f>OpeningTemplate!E32+"AM:!%o&amp;"</f>
        <v>#VALUE!</v>
      </c>
      <c r="HQ87" t="e">
        <f>OpeningTemplate!F32+"AM:!%o'"</f>
        <v>#VALUE!</v>
      </c>
      <c r="HR87" t="e">
        <f>OpeningTemplate!G32+"AM:!%o("</f>
        <v>#VALUE!</v>
      </c>
      <c r="HS87" t="e">
        <f>OpeningTemplate!H32+"AM:!%o)"</f>
        <v>#VALUE!</v>
      </c>
      <c r="HT87" s="103" t="e">
        <f>OpeningTemplate!I32+"AM:!%o."</f>
        <v>#VALUE!</v>
      </c>
      <c r="HU87" t="e">
        <f>OpeningTemplate!J32+"AM:!%o/"</f>
        <v>#VALUE!</v>
      </c>
      <c r="HV87" t="e">
        <f>OpeningTemplate!K32+"AM:!%o0"</f>
        <v>#VALUE!</v>
      </c>
      <c r="HW87" t="e">
        <f>OpeningTemplate!L32+"AM:!%o1"</f>
        <v>#VALUE!</v>
      </c>
      <c r="HX87" t="e">
        <f>OpeningTemplate!A33+"AM:!%o2"</f>
        <v>#VALUE!</v>
      </c>
      <c r="HY87" s="98" t="e">
        <f>OpeningTemplate!B33+"AM:!%o3"</f>
        <v>#VALUE!</v>
      </c>
      <c r="HZ87" t="e">
        <f>OpeningTemplate!C33+"AM:!%o4"</f>
        <v>#VALUE!</v>
      </c>
      <c r="IA87" t="e">
        <f>OpeningTemplate!D33+"AM:!%o5"</f>
        <v>#VALUE!</v>
      </c>
      <c r="IB87" t="e">
        <f>OpeningTemplate!E33+"AM:!%o6"</f>
        <v>#VALUE!</v>
      </c>
      <c r="IC87" t="e">
        <f>OpeningTemplate!F33+"AM:!%o7"</f>
        <v>#VALUE!</v>
      </c>
      <c r="ID87" t="e">
        <f>OpeningTemplate!G33+"AM:!%o8"</f>
        <v>#VALUE!</v>
      </c>
      <c r="IE87" t="e">
        <f>OpeningTemplate!H33+"AM:!%o9"</f>
        <v>#VALUE!</v>
      </c>
      <c r="IF87" s="103" t="e">
        <f>OpeningTemplate!I33+"AM:!%o:"</f>
        <v>#VALUE!</v>
      </c>
      <c r="IG87" t="e">
        <f>OpeningTemplate!J33+"AM:!%o;"</f>
        <v>#VALUE!</v>
      </c>
      <c r="IH87" t="e">
        <f>OpeningTemplate!K33+"AM:!%o&lt;"</f>
        <v>#VALUE!</v>
      </c>
      <c r="II87" t="e">
        <f>OpeningTemplate!L33+"AM:!%o="</f>
        <v>#VALUE!</v>
      </c>
      <c r="IJ87" t="e">
        <f>OpeningTemplate!A34+"AM:!%o&gt;"</f>
        <v>#VALUE!</v>
      </c>
      <c r="IK87" t="e">
        <f>OpeningTemplate!B34+"AM:!%o?"</f>
        <v>#VALUE!</v>
      </c>
      <c r="IL87" t="e">
        <f>OpeningTemplate!C34+"AM:!%o@"</f>
        <v>#VALUE!</v>
      </c>
      <c r="IM87" t="e">
        <f>OpeningTemplate!D34+"AM:!%oA"</f>
        <v>#VALUE!</v>
      </c>
      <c r="IN87" t="e">
        <f>OpeningTemplate!E34+"AM:!%oB"</f>
        <v>#VALUE!</v>
      </c>
      <c r="IO87" t="e">
        <f>OpeningTemplate!F34+"AM:!%oC"</f>
        <v>#VALUE!</v>
      </c>
      <c r="IP87" t="e">
        <f>OpeningTemplate!G34+"AM:!%oD"</f>
        <v>#VALUE!</v>
      </c>
      <c r="IQ87" t="e">
        <f>OpeningTemplate!H34+"AM:!%oE"</f>
        <v>#VALUE!</v>
      </c>
      <c r="IR87" s="103" t="e">
        <f>OpeningTemplate!I34+"AM:!%oF"</f>
        <v>#VALUE!</v>
      </c>
      <c r="IS87" t="e">
        <f>OpeningTemplate!J34+"AM:!%oG"</f>
        <v>#VALUE!</v>
      </c>
      <c r="IT87" t="e">
        <f>OpeningTemplate!K34+"AM:!%oH"</f>
        <v>#VALUE!</v>
      </c>
      <c r="IU87" t="e">
        <f>OpeningTemplate!L34+"AM:!%oI"</f>
        <v>#VALUE!</v>
      </c>
      <c r="IV87" t="e">
        <f>OpeningTemplate!A35+"AM:!%oJ"</f>
        <v>#VALUE!</v>
      </c>
    </row>
    <row r="88" spans="6:256">
      <c r="F88" t="e">
        <f>OpeningTemplate!B35+"AM:!%oK"</f>
        <v>#VALUE!</v>
      </c>
      <c r="G88" t="e">
        <f>OpeningTemplate!C35+"AM:!%oL"</f>
        <v>#VALUE!</v>
      </c>
      <c r="H88" t="e">
        <f>OpeningTemplate!D35+"AM:!%oM"</f>
        <v>#VALUE!</v>
      </c>
      <c r="I88" t="e">
        <f>OpeningTemplate!E35+"AM:!%oN"</f>
        <v>#VALUE!</v>
      </c>
      <c r="J88" t="e">
        <f>OpeningTemplate!F35+"AM:!%oO"</f>
        <v>#VALUE!</v>
      </c>
      <c r="K88" t="e">
        <f>OpeningTemplate!G35+"AM:!%oP"</f>
        <v>#VALUE!</v>
      </c>
      <c r="L88" t="e">
        <f>OpeningTemplate!H35+"AM:!%oQ"</f>
        <v>#VALUE!</v>
      </c>
      <c r="M88" s="103" t="e">
        <f>OpeningTemplate!I35+"AM:!%oR"</f>
        <v>#VALUE!</v>
      </c>
      <c r="N88" t="e">
        <f>OpeningTemplate!J35+"AM:!%oS"</f>
        <v>#VALUE!</v>
      </c>
      <c r="O88" t="e">
        <f>OpeningTemplate!K35+"AM:!%oT"</f>
        <v>#VALUE!</v>
      </c>
      <c r="P88" t="e">
        <f>OpeningTemplate!L35+"AM:!%oU"</f>
        <v>#VALUE!</v>
      </c>
      <c r="Q88" t="e">
        <f>OpeningTemplate!A36+"AM:!%oV"</f>
        <v>#VALUE!</v>
      </c>
      <c r="R88" t="e">
        <f>OpeningTemplate!B36+"AM:!%oW"</f>
        <v>#VALUE!</v>
      </c>
      <c r="S88" t="e">
        <f>OpeningTemplate!C36+"AM:!%oX"</f>
        <v>#VALUE!</v>
      </c>
      <c r="T88" t="e">
        <f>OpeningTemplate!D36+"AM:!%oY"</f>
        <v>#VALUE!</v>
      </c>
      <c r="U88" t="e">
        <f>OpeningTemplate!E36+"AM:!%oZ"</f>
        <v>#VALUE!</v>
      </c>
      <c r="V88" t="e">
        <f>OpeningTemplate!F36+"AM:!%o["</f>
        <v>#VALUE!</v>
      </c>
      <c r="W88" t="e">
        <f>OpeningTemplate!G36+"AM:!%o\"</f>
        <v>#VALUE!</v>
      </c>
      <c r="X88" t="e">
        <f>OpeningTemplate!H36+"AM:!%o]"</f>
        <v>#VALUE!</v>
      </c>
      <c r="Y88" s="103" t="e">
        <f>OpeningTemplate!I36+"AM:!%o^"</f>
        <v>#VALUE!</v>
      </c>
      <c r="Z88" t="e">
        <f>OpeningTemplate!J36+"AM:!%o_"</f>
        <v>#VALUE!</v>
      </c>
      <c r="AA88" t="e">
        <f>OpeningTemplate!K36+"AM:!%o`"</f>
        <v>#VALUE!</v>
      </c>
      <c r="AB88" t="e">
        <f>OpeningTemplate!L36+"AM:!%oa"</f>
        <v>#VALUE!</v>
      </c>
      <c r="AC88" t="e">
        <f>OpeningTemplate!A37+"AM:!%ob"</f>
        <v>#VALUE!</v>
      </c>
      <c r="AD88" s="104" t="e">
        <f>OpeningTemplate!B37+"AM:!%oc"</f>
        <v>#VALUE!</v>
      </c>
      <c r="AE88" s="104" t="e">
        <f>OpeningTemplate!C37+"AM:!%od"</f>
        <v>#VALUE!</v>
      </c>
      <c r="AF88" t="e">
        <f>OpeningTemplate!D37+"AM:!%oe"</f>
        <v>#VALUE!</v>
      </c>
      <c r="AG88" t="e">
        <f>OpeningTemplate!E37+"AM:!%of"</f>
        <v>#VALUE!</v>
      </c>
      <c r="AH88" t="e">
        <f>OpeningTemplate!F37+"AM:!%og"</f>
        <v>#VALUE!</v>
      </c>
      <c r="AI88" t="e">
        <f>OpeningTemplate!G37+"AM:!%oh"</f>
        <v>#VALUE!</v>
      </c>
      <c r="AJ88" t="e">
        <f>OpeningTemplate!H37+"AM:!%oi"</f>
        <v>#VALUE!</v>
      </c>
      <c r="AK88" s="103" t="e">
        <f>OpeningTemplate!I37+"AM:!%oj"</f>
        <v>#VALUE!</v>
      </c>
      <c r="AL88" t="e">
        <f>OpeningTemplate!J37+"AM:!%ok"</f>
        <v>#VALUE!</v>
      </c>
      <c r="AM88" t="e">
        <f>OpeningTemplate!K37+"AM:!%ol"</f>
        <v>#VALUE!</v>
      </c>
      <c r="AN88" t="e">
        <f>OpeningTemplate!L37+"AM:!%om"</f>
        <v>#VALUE!</v>
      </c>
      <c r="AO88" t="e">
        <f>OpeningTemplate!A38+"AM:!%on"</f>
        <v>#VALUE!</v>
      </c>
      <c r="AP88" s="104" t="e">
        <f>OpeningTemplate!B38+"AM:!%oo"</f>
        <v>#VALUE!</v>
      </c>
      <c r="AQ88" s="104" t="e">
        <f>OpeningTemplate!C38+"AM:!%op"</f>
        <v>#VALUE!</v>
      </c>
      <c r="AR88" t="e">
        <f>OpeningTemplate!D38+"AM:!%oq"</f>
        <v>#VALUE!</v>
      </c>
      <c r="AS88" t="e">
        <f>OpeningTemplate!E38+"AM:!%or"</f>
        <v>#VALUE!</v>
      </c>
      <c r="AT88" t="e">
        <f>OpeningTemplate!F38+"AM:!%os"</f>
        <v>#VALUE!</v>
      </c>
      <c r="AU88" t="e">
        <f>OpeningTemplate!G38+"AM:!%ot"</f>
        <v>#VALUE!</v>
      </c>
      <c r="AV88" t="e">
        <f>OpeningTemplate!H38+"AM:!%ou"</f>
        <v>#VALUE!</v>
      </c>
      <c r="AW88" s="103" t="e">
        <f>OpeningTemplate!I38+"AM:!%ov"</f>
        <v>#VALUE!</v>
      </c>
      <c r="AX88" t="e">
        <f>OpeningTemplate!J38+"AM:!%ow"</f>
        <v>#VALUE!</v>
      </c>
      <c r="AY88" t="e">
        <f>OpeningTemplate!K38+"AM:!%ox"</f>
        <v>#VALUE!</v>
      </c>
      <c r="AZ88" t="e">
        <f>OpeningTemplate!L38+"AM:!%oy"</f>
        <v>#VALUE!</v>
      </c>
      <c r="BA88" t="e">
        <f>OpeningTemplate!A39+"AM:!%oz"</f>
        <v>#VALUE!</v>
      </c>
      <c r="BB88" t="e">
        <f>OpeningTemplate!B39+"AM:!%o{"</f>
        <v>#VALUE!</v>
      </c>
      <c r="BC88" t="e">
        <f>OpeningTemplate!C39+"AM:!%o|"</f>
        <v>#VALUE!</v>
      </c>
      <c r="BD88" t="e">
        <f>OpeningTemplate!D39+"AM:!%o}"</f>
        <v>#VALUE!</v>
      </c>
      <c r="BE88" t="e">
        <f>OpeningTemplate!E39+"AM:!%o~"</f>
        <v>#VALUE!</v>
      </c>
      <c r="BF88" t="e">
        <f>OpeningTemplate!F39+"AM:!%p#"</f>
        <v>#VALUE!</v>
      </c>
      <c r="BG88" t="e">
        <f>OpeningTemplate!G39+"AM:!%p$"</f>
        <v>#VALUE!</v>
      </c>
      <c r="BH88" t="e">
        <f>OpeningTemplate!H39+"AM:!%p%"</f>
        <v>#VALUE!</v>
      </c>
      <c r="BI88" s="103" t="e">
        <f>OpeningTemplate!I39+"AM:!%p&amp;"</f>
        <v>#VALUE!</v>
      </c>
      <c r="BJ88" s="103" t="e">
        <f>OpeningTemplate!J39+"AM:!%p'"</f>
        <v>#VALUE!</v>
      </c>
      <c r="BK88" s="103" t="e">
        <f>OpeningTemplate!K39+"AM:!%p("</f>
        <v>#VALUE!</v>
      </c>
      <c r="BL88" t="e">
        <f>OpeningTemplate!L39+"AM:!%p)"</f>
        <v>#VALUE!</v>
      </c>
      <c r="BM88" t="e">
        <f>OpeningTemplate!A40+"AM:!%p."</f>
        <v>#VALUE!</v>
      </c>
      <c r="BN88" t="e">
        <f>OpeningTemplate!B40+"AM:!%p/"</f>
        <v>#VALUE!</v>
      </c>
      <c r="BO88" t="e">
        <f>OpeningTemplate!C40+"AM:!%p0"</f>
        <v>#VALUE!</v>
      </c>
      <c r="BP88" t="e">
        <f>OpeningTemplate!D40+"AM:!%p1"</f>
        <v>#VALUE!</v>
      </c>
      <c r="BQ88" t="e">
        <f>OpeningTemplate!E40+"AM:!%p2"</f>
        <v>#VALUE!</v>
      </c>
      <c r="BR88" t="e">
        <f>OpeningTemplate!F40+"AM:!%p3"</f>
        <v>#VALUE!</v>
      </c>
      <c r="BS88" t="e">
        <f>OpeningTemplate!G40+"AM:!%p4"</f>
        <v>#VALUE!</v>
      </c>
      <c r="BT88" t="e">
        <f>OpeningTemplate!H40+"AM:!%p5"</f>
        <v>#VALUE!</v>
      </c>
      <c r="BU88" t="e">
        <f>OpeningTemplate!I40+"AM:!%p6"</f>
        <v>#VALUE!</v>
      </c>
      <c r="BV88" t="e">
        <f>OpeningTemplate!J40+"AM:!%p7"</f>
        <v>#VALUE!</v>
      </c>
      <c r="BW88" t="e">
        <f>OpeningTemplate!K40+"AM:!%p8"</f>
        <v>#VALUE!</v>
      </c>
      <c r="BX88" t="e">
        <f>OpeningTemplate!L40+"AM:!%p9"</f>
        <v>#VALUE!</v>
      </c>
      <c r="BY88" t="e">
        <f>OpeningTemplate!A41+"AM:!%p:"</f>
        <v>#VALUE!</v>
      </c>
      <c r="BZ88" t="e">
        <f>OpeningTemplate!B41+"AM:!%p;"</f>
        <v>#VALUE!</v>
      </c>
      <c r="CA88" t="e">
        <f>OpeningTemplate!C41+"AM:!%p&lt;"</f>
        <v>#VALUE!</v>
      </c>
      <c r="CB88" t="e">
        <f>OpeningTemplate!D41+"AM:!%p="</f>
        <v>#VALUE!</v>
      </c>
      <c r="CC88" t="e">
        <f>OpeningTemplate!E41+"AM:!%p&gt;"</f>
        <v>#VALUE!</v>
      </c>
      <c r="CD88" t="e">
        <f>OpeningTemplate!F41+"AM:!%p?"</f>
        <v>#VALUE!</v>
      </c>
      <c r="CE88" t="e">
        <f>OpeningTemplate!G41+"AM:!%p@"</f>
        <v>#VALUE!</v>
      </c>
      <c r="CF88" t="e">
        <f>OpeningTemplate!H41+"AM:!%pA"</f>
        <v>#VALUE!</v>
      </c>
      <c r="CG88" t="e">
        <f>OpeningTemplate!I41+"AM:!%pB"</f>
        <v>#VALUE!</v>
      </c>
      <c r="CH88" t="e">
        <f>OpeningTemplate!J41+"AM:!%pC"</f>
        <v>#VALUE!</v>
      </c>
      <c r="CI88" t="e">
        <f>OpeningTemplate!K41+"AM:!%pD"</f>
        <v>#VALUE!</v>
      </c>
      <c r="CJ88" t="e">
        <f>OpeningTemplate!L41+"AM:!%pE"</f>
        <v>#VALUE!</v>
      </c>
      <c r="CK88" t="e">
        <f>OpeningTemplate!A42+"AM:!%pF"</f>
        <v>#VALUE!</v>
      </c>
      <c r="CL88" t="e">
        <f>OpeningTemplate!B42+"AM:!%pG"</f>
        <v>#VALUE!</v>
      </c>
      <c r="CM88" t="e">
        <f>OpeningTemplate!C42+"AM:!%pH"</f>
        <v>#VALUE!</v>
      </c>
      <c r="CN88" t="e">
        <f>OpeningTemplate!D42+"AM:!%pI"</f>
        <v>#VALUE!</v>
      </c>
      <c r="CO88" t="e">
        <f>OpeningTemplate!E42+"AM:!%pJ"</f>
        <v>#VALUE!</v>
      </c>
      <c r="CP88" t="e">
        <f>OpeningTemplate!F42+"AM:!%pK"</f>
        <v>#VALUE!</v>
      </c>
      <c r="CQ88" t="e">
        <f>OpeningTemplate!G42+"AM:!%pL"</f>
        <v>#VALUE!</v>
      </c>
      <c r="CR88" t="e">
        <f>OpeningTemplate!H42+"AM:!%pM"</f>
        <v>#VALUE!</v>
      </c>
      <c r="CS88" t="e">
        <f>OpeningTemplate!I42+"AM:!%pN"</f>
        <v>#VALUE!</v>
      </c>
      <c r="CT88" t="e">
        <f>OpeningTemplate!J42+"AM:!%pO"</f>
        <v>#VALUE!</v>
      </c>
      <c r="CU88" t="e">
        <f>OpeningTemplate!K42+"AM:!%pP"</f>
        <v>#VALUE!</v>
      </c>
      <c r="CV88" t="e">
        <f>OpeningTemplate!L42+"AM:!%pQ"</f>
        <v>#VALUE!</v>
      </c>
      <c r="CW88" t="e">
        <f>OpeningTemplate!A43+"AM:!%pR"</f>
        <v>#VALUE!</v>
      </c>
      <c r="CX88" t="e">
        <f>OpeningTemplate!B43+"AM:!%pS"</f>
        <v>#VALUE!</v>
      </c>
      <c r="CY88" t="e">
        <f>OpeningTemplate!C43+"AM:!%pT"</f>
        <v>#VALUE!</v>
      </c>
      <c r="CZ88" t="e">
        <f>OpeningTemplate!D43+"AM:!%pU"</f>
        <v>#VALUE!</v>
      </c>
      <c r="DA88" t="e">
        <f>OpeningTemplate!E43+"AM:!%pV"</f>
        <v>#VALUE!</v>
      </c>
      <c r="DB88" t="e">
        <f>OpeningTemplate!F43+"AM:!%pW"</f>
        <v>#VALUE!</v>
      </c>
      <c r="DC88" t="e">
        <f>OpeningTemplate!G43+"AM:!%pX"</f>
        <v>#VALUE!</v>
      </c>
      <c r="DD88" t="e">
        <f>OpeningTemplate!H43+"AM:!%pY"</f>
        <v>#VALUE!</v>
      </c>
      <c r="DE88" t="e">
        <f>OpeningTemplate!I43+"AM:!%pZ"</f>
        <v>#VALUE!</v>
      </c>
      <c r="DF88" t="e">
        <f>OpeningTemplate!J43+"AM:!%p["</f>
        <v>#VALUE!</v>
      </c>
      <c r="DG88" t="e">
        <f>OpeningTemplate!K43+"AM:!%p\"</f>
        <v>#VALUE!</v>
      </c>
      <c r="DH88" t="e">
        <f>OpeningTemplate!L43+"AM:!%p]"</f>
        <v>#VALUE!</v>
      </c>
      <c r="DI88" t="e">
        <f>OpeningTemplate!A44+"AM:!%p^"</f>
        <v>#VALUE!</v>
      </c>
      <c r="DJ88" t="e">
        <f>OpeningTemplate!B44+"AM:!%p_"</f>
        <v>#VALUE!</v>
      </c>
      <c r="DK88" t="e">
        <f>OpeningTemplate!C44+"AM:!%p`"</f>
        <v>#VALUE!</v>
      </c>
      <c r="DL88" t="e">
        <f>OpeningTemplate!D44+"AM:!%pa"</f>
        <v>#VALUE!</v>
      </c>
      <c r="DM88" t="e">
        <f>OpeningTemplate!E44+"AM:!%pb"</f>
        <v>#VALUE!</v>
      </c>
      <c r="DN88" s="103" t="e">
        <f>OpeningTemplate!F44+"AM:!%pc"</f>
        <v>#VALUE!</v>
      </c>
      <c r="DO88" s="103" t="e">
        <f>OpeningTemplate!G44+"AM:!%pd"</f>
        <v>#VALUE!</v>
      </c>
      <c r="DP88" s="103" t="e">
        <f>OpeningTemplate!H44+"AM:!%pe"</f>
        <v>#VALUE!</v>
      </c>
      <c r="DQ88" s="103" t="e">
        <f>OpeningTemplate!I44+"AM:!%pf"</f>
        <v>#VALUE!</v>
      </c>
      <c r="DR88" s="103" t="e">
        <f>OpeningTemplate!J44+"AM:!%pg"</f>
        <v>#VALUE!</v>
      </c>
      <c r="DS88" s="103" t="e">
        <f>OpeningTemplate!K44+"AM:!%ph"</f>
        <v>#VALUE!</v>
      </c>
      <c r="DT88" t="e">
        <f>OpeningTemplate!L44+"AM:!%pi"</f>
        <v>#VALUE!</v>
      </c>
      <c r="DU88" t="e">
        <f>OpeningTemplate!A45+"AM:!%pj"</f>
        <v>#VALUE!</v>
      </c>
      <c r="DV88" t="e">
        <f>OpeningTemplate!B45+"AM:!%pk"</f>
        <v>#VALUE!</v>
      </c>
      <c r="DW88" t="e">
        <f>OpeningTemplate!C45+"AM:!%pl"</f>
        <v>#VALUE!</v>
      </c>
      <c r="DX88" t="e">
        <f>OpeningTemplate!D45+"AM:!%pm"</f>
        <v>#VALUE!</v>
      </c>
      <c r="DY88" t="e">
        <f>OpeningTemplate!E45+"AM:!%pn"</f>
        <v>#VALUE!</v>
      </c>
      <c r="DZ88" t="e">
        <f>OpeningTemplate!F45+"AM:!%po"</f>
        <v>#VALUE!</v>
      </c>
      <c r="EA88" t="e">
        <f>OpeningTemplate!G45+"AM:!%pp"</f>
        <v>#VALUE!</v>
      </c>
      <c r="EB88" t="e">
        <f>OpeningTemplate!H45+"AM:!%pq"</f>
        <v>#VALUE!</v>
      </c>
      <c r="EC88" t="e">
        <f>OpeningTemplate!I45+"AM:!%pr"</f>
        <v>#VALUE!</v>
      </c>
      <c r="ED88" t="e">
        <f>OpeningTemplate!J45+"AM:!%ps"</f>
        <v>#VALUE!</v>
      </c>
      <c r="EE88" t="e">
        <f>OpeningTemplate!K45+"AM:!%pt"</f>
        <v>#VALUE!</v>
      </c>
      <c r="EF88" t="e">
        <f>OpeningTemplate!L45+"AM:!%pu"</f>
        <v>#VALUE!</v>
      </c>
      <c r="EG88" t="e">
        <f>OpeningTemplate!A46+"AM:!%pv"</f>
        <v>#VALUE!</v>
      </c>
      <c r="EH88" s="103" t="e">
        <f ca="1">OpeningTemplate!B46+"AM:!%pw"</f>
        <v>#VALUE!</v>
      </c>
      <c r="EI88" s="103" t="e">
        <f>OpeningTemplate!C46+"AM:!%px"</f>
        <v>#VALUE!</v>
      </c>
      <c r="EJ88" s="98" t="e">
        <f>OpeningTemplate!D46+"AM:!%py"</f>
        <v>#VALUE!</v>
      </c>
      <c r="EK88" s="98" t="e">
        <f>OpeningTemplate!E46+"AM:!%pz"</f>
        <v>#VALUE!</v>
      </c>
      <c r="EL88" t="e">
        <f>OpeningTemplate!F46+"AM:!%p{"</f>
        <v>#VALUE!</v>
      </c>
      <c r="EM88" t="e">
        <f>OpeningTemplate!G46+"AM:!%p|"</f>
        <v>#VALUE!</v>
      </c>
      <c r="EN88" t="e">
        <f>OpeningTemplate!H46+"AM:!%p}"</f>
        <v>#VALUE!</v>
      </c>
      <c r="EO88" t="e">
        <f>OpeningTemplate!I46+"AM:!%p~"</f>
        <v>#VALUE!</v>
      </c>
      <c r="EP88" t="e">
        <f>OpeningTemplate!J46+"AM:!%q#"</f>
        <v>#VALUE!</v>
      </c>
      <c r="EQ88" t="e">
        <f>OpeningTemplate!K46+"AM:!%q$"</f>
        <v>#VALUE!</v>
      </c>
      <c r="ER88" t="e">
        <f>OpeningTemplate!L46+"AM:!%q%"</f>
        <v>#VALUE!</v>
      </c>
      <c r="ES88" t="e">
        <f>OpeningTemplate!A47+"AM:!%q&amp;"</f>
        <v>#VALUE!</v>
      </c>
      <c r="ET88" t="e">
        <f>OpeningTemplate!B47+"AM:!%q'"</f>
        <v>#VALUE!</v>
      </c>
      <c r="EU88" t="e">
        <f>OpeningTemplate!C47+"AM:!%q("</f>
        <v>#VALUE!</v>
      </c>
      <c r="EV88" t="e">
        <f>OpeningTemplate!D47+"AM:!%q)"</f>
        <v>#VALUE!</v>
      </c>
      <c r="EW88" t="e">
        <f>OpeningTemplate!E47+"AM:!%q."</f>
        <v>#VALUE!</v>
      </c>
      <c r="EX88" t="e">
        <f>OpeningTemplate!F47+"AM:!%q/"</f>
        <v>#VALUE!</v>
      </c>
      <c r="EY88" t="e">
        <f>OpeningTemplate!G47+"AM:!%q0"</f>
        <v>#VALUE!</v>
      </c>
      <c r="EZ88" t="e">
        <f>OpeningTemplate!H47+"AM:!%q1"</f>
        <v>#VALUE!</v>
      </c>
      <c r="FA88" t="e">
        <f>OpeningTemplate!I47+"AM:!%q2"</f>
        <v>#VALUE!</v>
      </c>
      <c r="FB88" t="e">
        <f>OpeningTemplate!J47+"AM:!%q3"</f>
        <v>#VALUE!</v>
      </c>
      <c r="FC88" t="e">
        <f>OpeningTemplate!K47+"AM:!%q4"</f>
        <v>#VALUE!</v>
      </c>
      <c r="FD88" t="e">
        <f>OpeningTemplate!L47+"AM:!%q5"</f>
        <v>#VALUE!</v>
      </c>
      <c r="FE88" t="e">
        <f>OpeningTemplate!A48+"AM:!%q6"</f>
        <v>#VALUE!</v>
      </c>
      <c r="FF88" t="e">
        <f>OpeningTemplate!B48+"AM:!%q7"</f>
        <v>#VALUE!</v>
      </c>
      <c r="FG88" t="e">
        <f>OpeningTemplate!C48+"AM:!%q8"</f>
        <v>#VALUE!</v>
      </c>
      <c r="FH88" t="e">
        <f>OpeningTemplate!D48+"AM:!%q9"</f>
        <v>#VALUE!</v>
      </c>
      <c r="FI88" t="e">
        <f>OpeningTemplate!E48+"AM:!%q:"</f>
        <v>#VALUE!</v>
      </c>
      <c r="FJ88" t="e">
        <f>OpeningTemplate!F48+"AM:!%q;"</f>
        <v>#VALUE!</v>
      </c>
      <c r="FK88" t="e">
        <f>OpeningTemplate!G48+"AM:!%q&lt;"</f>
        <v>#VALUE!</v>
      </c>
      <c r="FL88" t="e">
        <f>OpeningTemplate!H48+"AM:!%q="</f>
        <v>#VALUE!</v>
      </c>
      <c r="FM88" t="e">
        <f>OpeningTemplate!I48+"AM:!%q&gt;"</f>
        <v>#VALUE!</v>
      </c>
      <c r="FN88" t="e">
        <f>OpeningTemplate!J48+"AM:!%q?"</f>
        <v>#VALUE!</v>
      </c>
      <c r="FO88" t="e">
        <f>OpeningTemplate!K48+"AM:!%q@"</f>
        <v>#VALUE!</v>
      </c>
      <c r="FP88" t="e">
        <f>OpeningTemplate!L48+"AM:!%qA"</f>
        <v>#VALUE!</v>
      </c>
      <c r="FQ88" t="e">
        <f>OpeningTemplate!A49+"AM:!%qB"</f>
        <v>#VALUE!</v>
      </c>
      <c r="FR88" s="104" t="e">
        <f>OpeningTemplate!B49+"AM:!%qC"</f>
        <v>#VALUE!</v>
      </c>
      <c r="FS88" s="104" t="e">
        <f>OpeningTemplate!C49+"AM:!%qD"</f>
        <v>#VALUE!</v>
      </c>
      <c r="FT88" t="e">
        <f>OpeningTemplate!D49+"AM:!%qE"</f>
        <v>#VALUE!</v>
      </c>
      <c r="FU88" s="98" t="e">
        <f>OpeningTemplate!E49+"AM:!%qF"</f>
        <v>#VALUE!</v>
      </c>
      <c r="FV88" s="103" t="e">
        <f>OpeningTemplate!F49+"AM:!%qG"</f>
        <v>#VALUE!</v>
      </c>
      <c r="FW88" t="e">
        <f>OpeningTemplate!G49+"AM:!%qH"</f>
        <v>#VALUE!</v>
      </c>
      <c r="FX88" t="e">
        <f>OpeningTemplate!H49+"AM:!%qI"</f>
        <v>#VALUE!</v>
      </c>
      <c r="FY88" t="e">
        <f>OpeningTemplate!I49+"AM:!%qJ"</f>
        <v>#VALUE!</v>
      </c>
      <c r="FZ88" t="e">
        <f>OpeningTemplate!J49+"AM:!%qK"</f>
        <v>#VALUE!</v>
      </c>
      <c r="GA88" t="e">
        <f>OpeningTemplate!K49+"AM:!%qL"</f>
        <v>#VALUE!</v>
      </c>
      <c r="GB88" t="e">
        <f>OpeningTemplate!L49+"AM:!%qM"</f>
        <v>#VALUE!</v>
      </c>
      <c r="GC88" t="e">
        <f>OpeningTemplate!A50+"AM:!%qN"</f>
        <v>#VALUE!</v>
      </c>
      <c r="GD88" s="104" t="e">
        <f>OpeningTemplate!B50+"AM:!%qO"</f>
        <v>#VALUE!</v>
      </c>
      <c r="GE88" s="104" t="e">
        <f>OpeningTemplate!C50+"AM:!%qP"</f>
        <v>#VALUE!</v>
      </c>
      <c r="GF88" t="e">
        <f>OpeningTemplate!D50+"AM:!%qQ"</f>
        <v>#VALUE!</v>
      </c>
      <c r="GG88" s="98" t="e">
        <f>OpeningTemplate!E50+"AM:!%qR"</f>
        <v>#VALUE!</v>
      </c>
      <c r="GH88" s="103" t="e">
        <f>OpeningTemplate!F50+"AM:!%qS"</f>
        <v>#VALUE!</v>
      </c>
      <c r="GI88" t="e">
        <f>OpeningTemplate!G50+"AM:!%qT"</f>
        <v>#VALUE!</v>
      </c>
      <c r="GJ88" t="e">
        <f>OpeningTemplate!H50+"AM:!%qU"</f>
        <v>#VALUE!</v>
      </c>
      <c r="GK88" t="e">
        <f>OpeningTemplate!I50+"AM:!%qV"</f>
        <v>#VALUE!</v>
      </c>
      <c r="GL88" t="e">
        <f>OpeningTemplate!J50+"AM:!%qW"</f>
        <v>#VALUE!</v>
      </c>
      <c r="GM88" t="e">
        <f>OpeningTemplate!K50+"AM:!%qX"</f>
        <v>#VALUE!</v>
      </c>
      <c r="GN88" t="e">
        <f>OpeningTemplate!L50+"AM:!%qY"</f>
        <v>#VALUE!</v>
      </c>
      <c r="GO88" t="e">
        <f>OpeningTemplate!A51+"AM:!%qZ"</f>
        <v>#VALUE!</v>
      </c>
      <c r="GP88" s="104" t="e">
        <f>OpeningTemplate!B51+"AM:!%q["</f>
        <v>#VALUE!</v>
      </c>
      <c r="GQ88" s="104" t="e">
        <f>OpeningTemplate!C51+"AM:!%q\"</f>
        <v>#VALUE!</v>
      </c>
      <c r="GR88" t="e">
        <f>OpeningTemplate!D51+"AM:!%q]"</f>
        <v>#VALUE!</v>
      </c>
      <c r="GS88" t="e">
        <f>OpeningTemplate!E51+"AM:!%q^"</f>
        <v>#VALUE!</v>
      </c>
      <c r="GT88" s="103" t="e">
        <f>OpeningTemplate!F51+"AM:!%q_"</f>
        <v>#VALUE!</v>
      </c>
      <c r="GU88" t="e">
        <f>OpeningTemplate!G51+"AM:!%q`"</f>
        <v>#VALUE!</v>
      </c>
      <c r="GV88" t="e">
        <f>OpeningTemplate!H51+"AM:!%qa"</f>
        <v>#VALUE!</v>
      </c>
      <c r="GW88" t="e">
        <f>OpeningTemplate!I51+"AM:!%qb"</f>
        <v>#VALUE!</v>
      </c>
      <c r="GX88" t="e">
        <f>OpeningTemplate!J51+"AM:!%qc"</f>
        <v>#VALUE!</v>
      </c>
      <c r="GY88" t="e">
        <f>OpeningTemplate!K51+"AM:!%qd"</f>
        <v>#VALUE!</v>
      </c>
      <c r="GZ88" t="e">
        <f>OpeningTemplate!L51+"AM:!%qe"</f>
        <v>#VALUE!</v>
      </c>
      <c r="HA88" t="e">
        <f>OpeningTemplate!A52+"AM:!%qf"</f>
        <v>#VALUE!</v>
      </c>
      <c r="HB88" t="e">
        <f>OpeningTemplate!B52+"AM:!%qg"</f>
        <v>#VALUE!</v>
      </c>
      <c r="HC88" t="e">
        <f>OpeningTemplate!C52+"AM:!%qh"</f>
        <v>#VALUE!</v>
      </c>
      <c r="HD88" t="e">
        <f>OpeningTemplate!D52+"AM:!%qi"</f>
        <v>#VALUE!</v>
      </c>
      <c r="HE88" t="e">
        <f>OpeningTemplate!E52+"AM:!%qj"</f>
        <v>#VALUE!</v>
      </c>
      <c r="HF88" t="e">
        <f>OpeningTemplate!F52+"AM:!%qk"</f>
        <v>#VALUE!</v>
      </c>
      <c r="HG88" t="e">
        <f>OpeningTemplate!G52+"AM:!%ql"</f>
        <v>#VALUE!</v>
      </c>
      <c r="HH88" t="e">
        <f>OpeningTemplate!H52+"AM:!%qm"</f>
        <v>#VALUE!</v>
      </c>
      <c r="HI88" t="e">
        <f>OpeningTemplate!I52+"AM:!%qn"</f>
        <v>#VALUE!</v>
      </c>
      <c r="HJ88" t="e">
        <f>OpeningTemplate!J52+"AM:!%qo"</f>
        <v>#VALUE!</v>
      </c>
      <c r="HK88" t="e">
        <f>OpeningTemplate!K52+"AM:!%qp"</f>
        <v>#VALUE!</v>
      </c>
      <c r="HL88" t="e">
        <f>OpeningTemplate!L52+"AM:!%qq"</f>
        <v>#VALUE!</v>
      </c>
      <c r="HM88" t="e">
        <f>OpeningTemplate!A53+"AM:!%qr"</f>
        <v>#VALUE!</v>
      </c>
      <c r="HN88" t="e">
        <f>OpeningTemplate!B53+"AM:!%qs"</f>
        <v>#VALUE!</v>
      </c>
      <c r="HO88" t="e">
        <f>OpeningTemplate!C53+"AM:!%qt"</f>
        <v>#VALUE!</v>
      </c>
      <c r="HP88" t="e">
        <f>OpeningTemplate!D53+"AM:!%qu"</f>
        <v>#VALUE!</v>
      </c>
      <c r="HQ88" t="e">
        <f>OpeningTemplate!E53+"AM:!%qv"</f>
        <v>#VALUE!</v>
      </c>
      <c r="HR88" t="e">
        <f>OpeningTemplate!F53+"AM:!%qw"</f>
        <v>#VALUE!</v>
      </c>
      <c r="HS88" t="e">
        <f>OpeningTemplate!G53+"AM:!%qx"</f>
        <v>#VALUE!</v>
      </c>
      <c r="HT88" t="e">
        <f>OpeningTemplate!H53+"AM:!%qy"</f>
        <v>#VALUE!</v>
      </c>
      <c r="HU88" t="e">
        <f>OpeningTemplate!I53+"AM:!%qz"</f>
        <v>#VALUE!</v>
      </c>
      <c r="HV88" t="e">
        <f>OpeningTemplate!J53+"AM:!%q{"</f>
        <v>#VALUE!</v>
      </c>
      <c r="HW88" t="e">
        <f>OpeningTemplate!K53+"AM:!%q|"</f>
        <v>#VALUE!</v>
      </c>
      <c r="HX88" t="e">
        <f>OpeningTemplate!L53+"AM:!%q}"</f>
        <v>#VALUE!</v>
      </c>
      <c r="HY88" t="e">
        <f>OpeningTemplate!A54+"AM:!%q~"</f>
        <v>#VALUE!</v>
      </c>
      <c r="HZ88" t="e">
        <f>OpeningTemplate!B54+"AM:!%r#"</f>
        <v>#VALUE!</v>
      </c>
      <c r="IA88" t="e">
        <f>OpeningTemplate!C54+"AM:!%r$"</f>
        <v>#VALUE!</v>
      </c>
      <c r="IB88" t="e">
        <f>OpeningTemplate!D54+"AM:!%r%"</f>
        <v>#VALUE!</v>
      </c>
      <c r="IC88" t="e">
        <f>OpeningTemplate!E54+"AM:!%r&amp;"</f>
        <v>#VALUE!</v>
      </c>
      <c r="ID88" s="103" t="e">
        <f>OpeningTemplate!F54+"AM:!%r'"</f>
        <v>#VALUE!</v>
      </c>
      <c r="IE88" s="103" t="e">
        <f>OpeningTemplate!G54+"AM:!%r("</f>
        <v>#VALUE!</v>
      </c>
      <c r="IF88" s="103" t="e">
        <f>OpeningTemplate!H54+"AM:!%r)"</f>
        <v>#VALUE!</v>
      </c>
      <c r="IG88" s="103" t="e">
        <f>OpeningTemplate!I54+"AM:!%r."</f>
        <v>#VALUE!</v>
      </c>
      <c r="IH88" s="103" t="e">
        <f>OpeningTemplate!J54+"AM:!%r/"</f>
        <v>#VALUE!</v>
      </c>
      <c r="II88" s="103" t="e">
        <f>OpeningTemplate!K54+"AM:!%r0"</f>
        <v>#VALUE!</v>
      </c>
      <c r="IJ88" t="e">
        <f>OpeningTemplate!L54+"AM:!%r1"</f>
        <v>#VALUE!</v>
      </c>
      <c r="IK88" t="e">
        <f>OpeningTemplate!A55+"AM:!%r2"</f>
        <v>#VALUE!</v>
      </c>
      <c r="IL88" t="e">
        <f>OpeningTemplate!B55+"AM:!%r3"</f>
        <v>#VALUE!</v>
      </c>
      <c r="IM88" t="e">
        <f>OpeningTemplate!C55+"AM:!%r4"</f>
        <v>#VALUE!</v>
      </c>
      <c r="IN88" t="e">
        <f>OpeningTemplate!D55+"AM:!%r5"</f>
        <v>#VALUE!</v>
      </c>
      <c r="IO88" t="e">
        <f>OpeningTemplate!E55+"AM:!%r6"</f>
        <v>#VALUE!</v>
      </c>
      <c r="IP88" t="e">
        <f>OpeningTemplate!F55+"AM:!%r7"</f>
        <v>#VALUE!</v>
      </c>
      <c r="IQ88" t="e">
        <f>OpeningTemplate!G55+"AM:!%r8"</f>
        <v>#VALUE!</v>
      </c>
      <c r="IR88" t="e">
        <f>OpeningTemplate!H55+"AM:!%r9"</f>
        <v>#VALUE!</v>
      </c>
      <c r="IS88" t="e">
        <f>OpeningTemplate!I55+"AM:!%r:"</f>
        <v>#VALUE!</v>
      </c>
      <c r="IT88" t="e">
        <f>OpeningTemplate!J55+"AM:!%r;"</f>
        <v>#VALUE!</v>
      </c>
      <c r="IU88" t="e">
        <f>OpeningTemplate!K55+"AM:!%r&lt;"</f>
        <v>#VALUE!</v>
      </c>
      <c r="IV88" t="e">
        <f>OpeningTemplate!L55+"AM:!%r="</f>
        <v>#VALUE!</v>
      </c>
    </row>
    <row r="89" spans="6:256">
      <c r="F89" t="e">
        <f>OpeningTemplate!A56+"AM:!%r&gt;"</f>
        <v>#VALUE!</v>
      </c>
      <c r="G89" s="103" t="e">
        <f>OpeningTemplate!B56+"AM:!%r?"</f>
        <v>#VALUE!</v>
      </c>
      <c r="H89" s="103" t="e">
        <f>OpeningTemplate!C56+"AM:!%r@"</f>
        <v>#VALUE!</v>
      </c>
      <c r="I89" s="98" t="e">
        <f>OpeningTemplate!D56+"AM:!%rA"</f>
        <v>#VALUE!</v>
      </c>
      <c r="J89" s="98" t="e">
        <f>OpeningTemplate!E56+"AM:!%rB"</f>
        <v>#VALUE!</v>
      </c>
      <c r="K89" t="e">
        <f>OpeningTemplate!F56+"AM:!%rC"</f>
        <v>#VALUE!</v>
      </c>
      <c r="L89" t="e">
        <f>OpeningTemplate!G56+"AM:!%rD"</f>
        <v>#VALUE!</v>
      </c>
      <c r="M89" t="e">
        <f>OpeningTemplate!H56+"AM:!%rE"</f>
        <v>#VALUE!</v>
      </c>
      <c r="N89" t="e">
        <f>OpeningTemplate!I56+"AM:!%rF"</f>
        <v>#VALUE!</v>
      </c>
      <c r="O89" t="e">
        <f>OpeningTemplate!J56+"AM:!%rG"</f>
        <v>#VALUE!</v>
      </c>
      <c r="P89" t="e">
        <f>OpeningTemplate!K56+"AM:!%rH"</f>
        <v>#VALUE!</v>
      </c>
      <c r="Q89" t="e">
        <f>OpeningTemplate!L56+"AM:!%rI"</f>
        <v>#VALUE!</v>
      </c>
      <c r="R89" t="e">
        <f>OpeningTemplate!A57+"AM:!%rJ"</f>
        <v>#VALUE!</v>
      </c>
      <c r="S89" t="e">
        <f>OpeningTemplate!B57+"AM:!%rK"</f>
        <v>#VALUE!</v>
      </c>
      <c r="T89" t="e">
        <f>OpeningTemplate!C57+"AM:!%rL"</f>
        <v>#VALUE!</v>
      </c>
      <c r="U89" t="e">
        <f>OpeningTemplate!D57+"AM:!%rM"</f>
        <v>#VALUE!</v>
      </c>
      <c r="V89" t="e">
        <f>OpeningTemplate!E57+"AM:!%rN"</f>
        <v>#VALUE!</v>
      </c>
      <c r="W89" t="e">
        <f>OpeningTemplate!F57+"AM:!%rO"</f>
        <v>#VALUE!</v>
      </c>
      <c r="X89" t="e">
        <f>OpeningTemplate!G57+"AM:!%rP"</f>
        <v>#VALUE!</v>
      </c>
      <c r="Y89" t="e">
        <f>OpeningTemplate!H57+"AM:!%rQ"</f>
        <v>#VALUE!</v>
      </c>
      <c r="Z89" t="e">
        <f>OpeningTemplate!I57+"AM:!%rR"</f>
        <v>#VALUE!</v>
      </c>
      <c r="AA89" t="e">
        <f>OpeningTemplate!J57+"AM:!%rS"</f>
        <v>#VALUE!</v>
      </c>
      <c r="AB89" t="e">
        <f>OpeningTemplate!K57+"AM:!%rT"</f>
        <v>#VALUE!</v>
      </c>
      <c r="AC89" t="e">
        <f>OpeningTemplate!L57+"AM:!%rU"</f>
        <v>#VALUE!</v>
      </c>
      <c r="AD89" t="e">
        <f>OpeningTemplate!A58+"AM:!%rV"</f>
        <v>#VALUE!</v>
      </c>
      <c r="AE89" t="e">
        <f>OpeningTemplate!B58+"AM:!%rW"</f>
        <v>#VALUE!</v>
      </c>
      <c r="AF89" t="e">
        <f>OpeningTemplate!C58+"AM:!%rX"</f>
        <v>#VALUE!</v>
      </c>
      <c r="AG89" t="e">
        <f>OpeningTemplate!D58+"AM:!%rY"</f>
        <v>#VALUE!</v>
      </c>
      <c r="AH89" t="e">
        <f>OpeningTemplate!E58+"AM:!%rZ"</f>
        <v>#VALUE!</v>
      </c>
      <c r="AI89" t="e">
        <f>OpeningTemplate!F58+"AM:!%r["</f>
        <v>#VALUE!</v>
      </c>
      <c r="AJ89" t="e">
        <f>OpeningTemplate!G58+"AM:!%r\"</f>
        <v>#VALUE!</v>
      </c>
      <c r="AK89" t="e">
        <f>OpeningTemplate!H58+"AM:!%r]"</f>
        <v>#VALUE!</v>
      </c>
      <c r="AL89" t="e">
        <f>OpeningTemplate!I58+"AM:!%r^"</f>
        <v>#VALUE!</v>
      </c>
      <c r="AM89" t="e">
        <f>OpeningTemplate!J58+"AM:!%r_"</f>
        <v>#VALUE!</v>
      </c>
      <c r="AN89" t="e">
        <f>OpeningTemplate!K58+"AM:!%r`"</f>
        <v>#VALUE!</v>
      </c>
      <c r="AO89" t="e">
        <f>OpeningTemplate!L58+"AM:!%ra"</f>
        <v>#VALUE!</v>
      </c>
      <c r="AP89" t="e">
        <f>OpeningTemplate!A59+"AM:!%rb"</f>
        <v>#VALUE!</v>
      </c>
      <c r="AQ89" s="104" t="e">
        <f>OpeningTemplate!B59+"AM:!%rc"</f>
        <v>#VALUE!</v>
      </c>
      <c r="AR89" s="104" t="e">
        <f>OpeningTemplate!C59+"AM:!%rd"</f>
        <v>#VALUE!</v>
      </c>
      <c r="AS89" t="e">
        <f>OpeningTemplate!D59+"AM:!%re"</f>
        <v>#VALUE!</v>
      </c>
      <c r="AT89" s="98" t="e">
        <f>OpeningTemplate!E59+"AM:!%rf"</f>
        <v>#VALUE!</v>
      </c>
      <c r="AU89" s="103" t="e">
        <f>OpeningTemplate!F59+"AM:!%rg"</f>
        <v>#VALUE!</v>
      </c>
      <c r="AV89" t="e">
        <f>OpeningTemplate!G59+"AM:!%rh"</f>
        <v>#VALUE!</v>
      </c>
      <c r="AW89" t="e">
        <f>OpeningTemplate!H59+"AM:!%ri"</f>
        <v>#VALUE!</v>
      </c>
      <c r="AX89" t="e">
        <f>OpeningTemplate!I59+"AM:!%rj"</f>
        <v>#VALUE!</v>
      </c>
      <c r="AY89" t="e">
        <f>OpeningTemplate!J59+"AM:!%rk"</f>
        <v>#VALUE!</v>
      </c>
      <c r="AZ89" t="e">
        <f>OpeningTemplate!K59+"AM:!%rl"</f>
        <v>#VALUE!</v>
      </c>
      <c r="BA89" t="e">
        <f>OpeningTemplate!L59+"AM:!%rm"</f>
        <v>#VALUE!</v>
      </c>
      <c r="BB89" t="e">
        <f>OpeningTemplate!A60+"AM:!%rn"</f>
        <v>#VALUE!</v>
      </c>
      <c r="BC89" s="104" t="e">
        <f>OpeningTemplate!B60+"AM:!%ro"</f>
        <v>#VALUE!</v>
      </c>
      <c r="BD89" s="104" t="e">
        <f>OpeningTemplate!C60+"AM:!%rp"</f>
        <v>#VALUE!</v>
      </c>
      <c r="BE89" t="e">
        <f>OpeningTemplate!D60+"AM:!%rq"</f>
        <v>#VALUE!</v>
      </c>
      <c r="BF89" s="98" t="e">
        <f>OpeningTemplate!E60+"AM:!%rr"</f>
        <v>#VALUE!</v>
      </c>
      <c r="BG89" s="103" t="e">
        <f>OpeningTemplate!F60+"AM:!%rs"</f>
        <v>#VALUE!</v>
      </c>
      <c r="BH89" t="e">
        <f>OpeningTemplate!G60+"AM:!%rt"</f>
        <v>#VALUE!</v>
      </c>
      <c r="BI89" t="e">
        <f>OpeningTemplate!H60+"AM:!%ru"</f>
        <v>#VALUE!</v>
      </c>
      <c r="BJ89" t="e">
        <f>OpeningTemplate!I60+"AM:!%rv"</f>
        <v>#VALUE!</v>
      </c>
      <c r="BK89" t="e">
        <f>OpeningTemplate!J60+"AM:!%rw"</f>
        <v>#VALUE!</v>
      </c>
      <c r="BL89" t="e">
        <f>OpeningTemplate!K60+"AM:!%rx"</f>
        <v>#VALUE!</v>
      </c>
      <c r="BM89" t="e">
        <f>OpeningTemplate!L60+"AM:!%ry"</f>
        <v>#VALUE!</v>
      </c>
      <c r="BN89" t="e">
        <f>OpeningTemplate!A61+"AM:!%rz"</f>
        <v>#VALUE!</v>
      </c>
      <c r="BO89" s="104" t="e">
        <f>OpeningTemplate!B61+"AM:!%r{"</f>
        <v>#VALUE!</v>
      </c>
      <c r="BP89" s="104" t="e">
        <f>OpeningTemplate!C61+"AM:!%r|"</f>
        <v>#VALUE!</v>
      </c>
      <c r="BQ89" t="e">
        <f>OpeningTemplate!D61+"AM:!%r}"</f>
        <v>#VALUE!</v>
      </c>
      <c r="BR89" t="e">
        <f>OpeningTemplate!E61+"AM:!%r~"</f>
        <v>#VALUE!</v>
      </c>
      <c r="BS89" s="103" t="e">
        <f>OpeningTemplate!F61+"AM:!%s#"</f>
        <v>#VALUE!</v>
      </c>
      <c r="BT89" t="e">
        <f>OpeningTemplate!G61+"AM:!%s$"</f>
        <v>#VALUE!</v>
      </c>
      <c r="BU89" t="e">
        <f>OpeningTemplate!H61+"AM:!%s%"</f>
        <v>#VALUE!</v>
      </c>
      <c r="BV89" t="e">
        <f>OpeningTemplate!I61+"AM:!%s&amp;"</f>
        <v>#VALUE!</v>
      </c>
      <c r="BW89" t="e">
        <f>OpeningTemplate!J61+"AM:!%s'"</f>
        <v>#VALUE!</v>
      </c>
      <c r="BX89" t="e">
        <f>OpeningTemplate!K61+"AM:!%s("</f>
        <v>#VALUE!</v>
      </c>
      <c r="BY89" t="e">
        <f>OpeningTemplate!L61+"AM:!%s)"</f>
        <v>#VALUE!</v>
      </c>
      <c r="BZ89" t="e">
        <f>OpeningTemplate!A62+"AM:!%s."</f>
        <v>#VALUE!</v>
      </c>
      <c r="CA89" t="e">
        <f>OpeningTemplate!B62+"AM:!%s/"</f>
        <v>#VALUE!</v>
      </c>
      <c r="CB89" t="e">
        <f>OpeningTemplate!C62+"AM:!%s0"</f>
        <v>#VALUE!</v>
      </c>
      <c r="CC89" t="e">
        <f>OpeningTemplate!D62+"AM:!%s1"</f>
        <v>#VALUE!</v>
      </c>
      <c r="CD89" t="e">
        <f>OpeningTemplate!E62+"AM:!%s2"</f>
        <v>#VALUE!</v>
      </c>
      <c r="CE89" t="e">
        <f>OpeningTemplate!F62+"AM:!%s3"</f>
        <v>#VALUE!</v>
      </c>
      <c r="CF89" t="e">
        <f>OpeningTemplate!G62+"AM:!%s4"</f>
        <v>#VALUE!</v>
      </c>
      <c r="CG89" t="e">
        <f>OpeningTemplate!H62+"AM:!%s5"</f>
        <v>#VALUE!</v>
      </c>
      <c r="CH89" t="e">
        <f>OpeningTemplate!I62+"AM:!%s6"</f>
        <v>#VALUE!</v>
      </c>
      <c r="CI89" t="e">
        <f>OpeningTemplate!J62+"AM:!%s7"</f>
        <v>#VALUE!</v>
      </c>
      <c r="CJ89" t="e">
        <f>OpeningTemplate!K62+"AM:!%s8"</f>
        <v>#VALUE!</v>
      </c>
      <c r="CK89" t="e">
        <f>OpeningTemplate!L62+"AM:!%s9"</f>
        <v>#VALUE!</v>
      </c>
      <c r="CL89" t="e">
        <f>OpeningTemplate!A63+"AM:!%s:"</f>
        <v>#VALUE!</v>
      </c>
      <c r="CM89" t="e">
        <f>OpeningTemplate!B63+"AM:!%s;"</f>
        <v>#VALUE!</v>
      </c>
      <c r="CN89" t="e">
        <f>OpeningTemplate!C63+"AM:!%s&lt;"</f>
        <v>#VALUE!</v>
      </c>
      <c r="CO89" t="e">
        <f>OpeningTemplate!D63+"AM:!%s="</f>
        <v>#VALUE!</v>
      </c>
      <c r="CP89" t="e">
        <f>OpeningTemplate!E63+"AM:!%s&gt;"</f>
        <v>#VALUE!</v>
      </c>
      <c r="CQ89" t="e">
        <f>OpeningTemplate!F63+"AM:!%s?"</f>
        <v>#VALUE!</v>
      </c>
      <c r="CR89" t="e">
        <f>OpeningTemplate!G63+"AM:!%s@"</f>
        <v>#VALUE!</v>
      </c>
      <c r="CS89" t="e">
        <f>OpeningTemplate!H63+"AM:!%sA"</f>
        <v>#VALUE!</v>
      </c>
      <c r="CT89" t="e">
        <f>OpeningTemplate!I63+"AM:!%sB"</f>
        <v>#VALUE!</v>
      </c>
      <c r="CU89" t="e">
        <f>OpeningTemplate!J63+"AM:!%sC"</f>
        <v>#VALUE!</v>
      </c>
      <c r="CV89" t="e">
        <f>OpeningTemplate!K63+"AM:!%sD"</f>
        <v>#VALUE!</v>
      </c>
      <c r="CW89" t="e">
        <f>OpeningTemplate!L63+"AM:!%sE"</f>
        <v>#VALUE!</v>
      </c>
      <c r="CX89" t="e">
        <f>OpeningTemplate!A64+"AM:!%sF"</f>
        <v>#VALUE!</v>
      </c>
      <c r="CY89" t="e">
        <f>OpeningTemplate!B64+"AM:!%sG"</f>
        <v>#VALUE!</v>
      </c>
      <c r="CZ89" t="e">
        <f>OpeningTemplate!C64+"AM:!%sH"</f>
        <v>#VALUE!</v>
      </c>
      <c r="DA89" t="e">
        <f>OpeningTemplate!D64+"AM:!%sI"</f>
        <v>#VALUE!</v>
      </c>
      <c r="DB89" t="e">
        <f>OpeningTemplate!E64+"AM:!%sJ"</f>
        <v>#VALUE!</v>
      </c>
      <c r="DC89" s="103" t="e">
        <f>OpeningTemplate!F64+"AM:!%sK"</f>
        <v>#VALUE!</v>
      </c>
      <c r="DD89" s="103" t="e">
        <f>OpeningTemplate!G64+"AM:!%sL"</f>
        <v>#VALUE!</v>
      </c>
      <c r="DE89" s="103" t="e">
        <f>OpeningTemplate!H64+"AM:!%sM"</f>
        <v>#VALUE!</v>
      </c>
      <c r="DF89" s="103" t="e">
        <f>OpeningTemplate!I64+"AM:!%sN"</f>
        <v>#VALUE!</v>
      </c>
      <c r="DG89" s="103" t="e">
        <f>OpeningTemplate!J64+"AM:!%sO"</f>
        <v>#VALUE!</v>
      </c>
      <c r="DH89" s="103" t="e">
        <f>OpeningTemplate!K64+"AM:!%sP"</f>
        <v>#VALUE!</v>
      </c>
      <c r="DI89" t="e">
        <f>OpeningTemplate!L64+"AM:!%sQ"</f>
        <v>#VALUE!</v>
      </c>
      <c r="DJ89" t="e">
        <f>OpeningTemplate!A65+"AM:!%sR"</f>
        <v>#VALUE!</v>
      </c>
      <c r="DK89" t="e">
        <f>OpeningTemplate!B65+"AM:!%sS"</f>
        <v>#VALUE!</v>
      </c>
      <c r="DL89" t="e">
        <f>OpeningTemplate!C65+"AM:!%sT"</f>
        <v>#VALUE!</v>
      </c>
      <c r="DM89" t="e">
        <f>OpeningTemplate!D65+"AM:!%sU"</f>
        <v>#VALUE!</v>
      </c>
      <c r="DN89" t="e">
        <f>OpeningTemplate!E65+"AM:!%sV"</f>
        <v>#VALUE!</v>
      </c>
      <c r="DO89" t="e">
        <f>OpeningTemplate!F65+"AM:!%sW"</f>
        <v>#VALUE!</v>
      </c>
      <c r="DP89" t="e">
        <f>OpeningTemplate!G65+"AM:!%sX"</f>
        <v>#VALUE!</v>
      </c>
      <c r="DQ89" t="e">
        <f>OpeningTemplate!H65+"AM:!%sY"</f>
        <v>#VALUE!</v>
      </c>
      <c r="DR89" t="e">
        <f>OpeningTemplate!I65+"AM:!%sZ"</f>
        <v>#VALUE!</v>
      </c>
      <c r="DS89" t="e">
        <f>OpeningTemplate!J65+"AM:!%s["</f>
        <v>#VALUE!</v>
      </c>
      <c r="DT89" t="e">
        <f>OpeningTemplate!K65+"AM:!%s\"</f>
        <v>#VALUE!</v>
      </c>
      <c r="DU89" t="e">
        <f>OpeningTemplate!L65+"AM:!%s]"</f>
        <v>#VALUE!</v>
      </c>
      <c r="DV89" t="e">
        <f>OpeningTemplate!A66+"AM:!%s^"</f>
        <v>#VALUE!</v>
      </c>
      <c r="DW89" s="103" t="e">
        <f>OpeningTemplate!B66+"AM:!%s_"</f>
        <v>#VALUE!</v>
      </c>
      <c r="DX89" s="103" t="e">
        <f>OpeningTemplate!C66+"AM:!%s`"</f>
        <v>#VALUE!</v>
      </c>
      <c r="DY89" s="98" t="e">
        <f>OpeningTemplate!D66+"AM:!%sa"</f>
        <v>#VALUE!</v>
      </c>
      <c r="DZ89" s="98" t="e">
        <f>OpeningTemplate!E66+"AM:!%sb"</f>
        <v>#VALUE!</v>
      </c>
      <c r="EA89" t="e">
        <f>OpeningTemplate!F66+"AM:!%sc"</f>
        <v>#VALUE!</v>
      </c>
      <c r="EB89" t="e">
        <f>OpeningTemplate!G66+"AM:!%sd"</f>
        <v>#VALUE!</v>
      </c>
      <c r="EC89" t="e">
        <f>OpeningTemplate!H66+"AM:!%se"</f>
        <v>#VALUE!</v>
      </c>
      <c r="ED89" t="e">
        <f>OpeningTemplate!I66+"AM:!%sf"</f>
        <v>#VALUE!</v>
      </c>
      <c r="EE89" t="e">
        <f>OpeningTemplate!J66+"AM:!%sg"</f>
        <v>#VALUE!</v>
      </c>
      <c r="EF89" t="e">
        <f>OpeningTemplate!K66+"AM:!%sh"</f>
        <v>#VALUE!</v>
      </c>
      <c r="EG89" t="e">
        <f>OpeningTemplate!L66+"AM:!%si"</f>
        <v>#VALUE!</v>
      </c>
      <c r="EH89" t="e">
        <f>OpeningTemplate!A67+"AM:!%sj"</f>
        <v>#VALUE!</v>
      </c>
      <c r="EI89" t="e">
        <f>OpeningTemplate!B67+"AM:!%sk"</f>
        <v>#VALUE!</v>
      </c>
      <c r="EJ89" t="e">
        <f>OpeningTemplate!C67+"AM:!%sl"</f>
        <v>#VALUE!</v>
      </c>
      <c r="EK89" t="e">
        <f>OpeningTemplate!D67+"AM:!%sm"</f>
        <v>#VALUE!</v>
      </c>
      <c r="EL89" t="e">
        <f>OpeningTemplate!E67+"AM:!%sn"</f>
        <v>#VALUE!</v>
      </c>
      <c r="EM89" t="e">
        <f>OpeningTemplate!F67+"AM:!%so"</f>
        <v>#VALUE!</v>
      </c>
      <c r="EN89" t="e">
        <f>OpeningTemplate!G67+"AM:!%sp"</f>
        <v>#VALUE!</v>
      </c>
      <c r="EO89" t="e">
        <f>OpeningTemplate!H67+"AM:!%sq"</f>
        <v>#VALUE!</v>
      </c>
      <c r="EP89" t="e">
        <f>OpeningTemplate!I67+"AM:!%sr"</f>
        <v>#VALUE!</v>
      </c>
      <c r="EQ89" t="e">
        <f>OpeningTemplate!J67+"AM:!%ss"</f>
        <v>#VALUE!</v>
      </c>
      <c r="ER89" t="e">
        <f>OpeningTemplate!K67+"AM:!%st"</f>
        <v>#VALUE!</v>
      </c>
      <c r="ES89" t="e">
        <f>OpeningTemplate!L67+"AM:!%su"</f>
        <v>#VALUE!</v>
      </c>
      <c r="ET89" t="e">
        <f>OpeningTemplate!A68+"AM:!%sv"</f>
        <v>#VALUE!</v>
      </c>
      <c r="EU89" t="e">
        <f>OpeningTemplate!B68+"AM:!%sw"</f>
        <v>#VALUE!</v>
      </c>
      <c r="EV89" t="e">
        <f>OpeningTemplate!C68+"AM:!%sx"</f>
        <v>#VALUE!</v>
      </c>
      <c r="EW89" t="e">
        <f>OpeningTemplate!D68+"AM:!%sy"</f>
        <v>#VALUE!</v>
      </c>
      <c r="EX89" t="e">
        <f>OpeningTemplate!E68+"AM:!%sz"</f>
        <v>#VALUE!</v>
      </c>
      <c r="EY89" t="e">
        <f>OpeningTemplate!F68+"AM:!%s{"</f>
        <v>#VALUE!</v>
      </c>
      <c r="EZ89" t="e">
        <f>OpeningTemplate!G68+"AM:!%s|"</f>
        <v>#VALUE!</v>
      </c>
      <c r="FA89" t="e">
        <f>OpeningTemplate!H68+"AM:!%s}"</f>
        <v>#VALUE!</v>
      </c>
      <c r="FB89" t="e">
        <f>OpeningTemplate!I68+"AM:!%s~"</f>
        <v>#VALUE!</v>
      </c>
      <c r="FC89" t="e">
        <f>OpeningTemplate!J68+"AM:!%t#"</f>
        <v>#VALUE!</v>
      </c>
      <c r="FD89" t="e">
        <f>OpeningTemplate!K68+"AM:!%t$"</f>
        <v>#VALUE!</v>
      </c>
      <c r="FE89" t="e">
        <f>OpeningTemplate!L68+"AM:!%t%"</f>
        <v>#VALUE!</v>
      </c>
      <c r="FF89" t="e">
        <f>OpeningTemplate!A69+"AM:!%t&amp;"</f>
        <v>#VALUE!</v>
      </c>
      <c r="FG89" s="104" t="e">
        <f>OpeningTemplate!B69+"AM:!%t'"</f>
        <v>#VALUE!</v>
      </c>
      <c r="FH89" s="104" t="e">
        <f>OpeningTemplate!C69+"AM:!%t("</f>
        <v>#VALUE!</v>
      </c>
      <c r="FI89" t="e">
        <f>OpeningTemplate!D69+"AM:!%t)"</f>
        <v>#VALUE!</v>
      </c>
      <c r="FJ89" s="98" t="e">
        <f>OpeningTemplate!E69+"AM:!%t."</f>
        <v>#VALUE!</v>
      </c>
      <c r="FK89" s="103" t="e">
        <f>OpeningTemplate!F69+"AM:!%t/"</f>
        <v>#VALUE!</v>
      </c>
      <c r="FL89" t="e">
        <f>OpeningTemplate!G69+"AM:!%t0"</f>
        <v>#VALUE!</v>
      </c>
      <c r="FM89" t="e">
        <f>OpeningTemplate!H69+"AM:!%t1"</f>
        <v>#VALUE!</v>
      </c>
      <c r="FN89" t="e">
        <f>OpeningTemplate!I69+"AM:!%t2"</f>
        <v>#VALUE!</v>
      </c>
      <c r="FO89" t="e">
        <f>OpeningTemplate!J69+"AM:!%t3"</f>
        <v>#VALUE!</v>
      </c>
      <c r="FP89" t="e">
        <f>OpeningTemplate!K69+"AM:!%t4"</f>
        <v>#VALUE!</v>
      </c>
      <c r="FQ89" t="e">
        <f>OpeningTemplate!L69+"AM:!%t5"</f>
        <v>#VALUE!</v>
      </c>
      <c r="FR89" t="e">
        <f>OpeningTemplate!A70+"AM:!%t6"</f>
        <v>#VALUE!</v>
      </c>
      <c r="FS89" s="104" t="e">
        <f>OpeningTemplate!B70+"AM:!%t7"</f>
        <v>#VALUE!</v>
      </c>
      <c r="FT89" s="104" t="e">
        <f>OpeningTemplate!C70+"AM:!%t8"</f>
        <v>#VALUE!</v>
      </c>
      <c r="FU89" t="e">
        <f>OpeningTemplate!D70+"AM:!%t9"</f>
        <v>#VALUE!</v>
      </c>
      <c r="FV89" t="e">
        <f>OpeningTemplate!E70+"AM:!%t:"</f>
        <v>#VALUE!</v>
      </c>
      <c r="FW89" s="103" t="e">
        <f>OpeningTemplate!F70+"AM:!%t;"</f>
        <v>#VALUE!</v>
      </c>
      <c r="FX89" t="e">
        <f>OpeningTemplate!G70+"AM:!%t&lt;"</f>
        <v>#VALUE!</v>
      </c>
      <c r="FY89" t="e">
        <f>OpeningTemplate!H70+"AM:!%t="</f>
        <v>#VALUE!</v>
      </c>
      <c r="FZ89" t="e">
        <f>OpeningTemplate!I70+"AM:!%t&gt;"</f>
        <v>#VALUE!</v>
      </c>
      <c r="GA89" t="e">
        <f>OpeningTemplate!J70+"AM:!%t?"</f>
        <v>#VALUE!</v>
      </c>
      <c r="GB89" t="e">
        <f>OpeningTemplate!K70+"AM:!%t@"</f>
        <v>#VALUE!</v>
      </c>
      <c r="GC89" t="e">
        <f>OpeningTemplate!L70+"AM:!%tA"</f>
        <v>#VALUE!</v>
      </c>
      <c r="GD89" t="e">
        <f>OpeningTemplate!A71+"AM:!%tB"</f>
        <v>#VALUE!</v>
      </c>
      <c r="GE89" s="104" t="e">
        <f>OpeningTemplate!B71+"AM:!%tC"</f>
        <v>#VALUE!</v>
      </c>
      <c r="GF89" s="104" t="e">
        <f>OpeningTemplate!C71+"AM:!%tD"</f>
        <v>#VALUE!</v>
      </c>
      <c r="GG89" t="e">
        <f>OpeningTemplate!D71+"AM:!%tE"</f>
        <v>#VALUE!</v>
      </c>
      <c r="GH89" t="e">
        <f>OpeningTemplate!E71+"AM:!%tF"</f>
        <v>#VALUE!</v>
      </c>
      <c r="GI89" s="103" t="e">
        <f>OpeningTemplate!F71+"AM:!%tG"</f>
        <v>#VALUE!</v>
      </c>
      <c r="GJ89" t="e">
        <f>OpeningTemplate!G71+"AM:!%tH"</f>
        <v>#VALUE!</v>
      </c>
      <c r="GK89" t="e">
        <f>OpeningTemplate!H71+"AM:!%tI"</f>
        <v>#VALUE!</v>
      </c>
      <c r="GL89" t="e">
        <f>OpeningTemplate!I71+"AM:!%tJ"</f>
        <v>#VALUE!</v>
      </c>
      <c r="GM89" t="e">
        <f>OpeningTemplate!J71+"AM:!%tK"</f>
        <v>#VALUE!</v>
      </c>
      <c r="GN89" t="e">
        <f>OpeningTemplate!K71+"AM:!%tL"</f>
        <v>#VALUE!</v>
      </c>
      <c r="GO89" t="e">
        <f>OpeningTemplate!L71+"AM:!%tM"</f>
        <v>#VALUE!</v>
      </c>
      <c r="GP89" t="e">
        <f>OpeningTemplate!A72+"AM:!%tN"</f>
        <v>#VALUE!</v>
      </c>
      <c r="GQ89" t="e">
        <f>OpeningTemplate!B72+"AM:!%tO"</f>
        <v>#VALUE!</v>
      </c>
      <c r="GR89" t="e">
        <f>OpeningTemplate!C72+"AM:!%tP"</f>
        <v>#VALUE!</v>
      </c>
      <c r="GS89" t="e">
        <f>OpeningTemplate!D72+"AM:!%tQ"</f>
        <v>#VALUE!</v>
      </c>
      <c r="GT89" t="e">
        <f>OpeningTemplate!E72+"AM:!%tR"</f>
        <v>#VALUE!</v>
      </c>
      <c r="GU89" t="e">
        <f>OpeningTemplate!F72+"AM:!%tS"</f>
        <v>#VALUE!</v>
      </c>
      <c r="GV89" t="e">
        <f>OpeningTemplate!G72+"AM:!%tT"</f>
        <v>#VALUE!</v>
      </c>
      <c r="GW89" t="e">
        <f>OpeningTemplate!H72+"AM:!%tU"</f>
        <v>#VALUE!</v>
      </c>
      <c r="GX89" t="e">
        <f>OpeningTemplate!I72+"AM:!%tV"</f>
        <v>#VALUE!</v>
      </c>
      <c r="GY89" t="e">
        <f>OpeningTemplate!J72+"AM:!%tW"</f>
        <v>#VALUE!</v>
      </c>
      <c r="GZ89" t="e">
        <f>OpeningTemplate!K72+"AM:!%tX"</f>
        <v>#VALUE!</v>
      </c>
      <c r="HA89" t="e">
        <f>OpeningTemplate!L72+"AM:!%tY"</f>
        <v>#VALUE!</v>
      </c>
      <c r="HB89" t="e">
        <f>OpeningTemplate!A73+"AM:!%tZ"</f>
        <v>#VALUE!</v>
      </c>
      <c r="HC89" t="e">
        <f>OpeningTemplate!B73+"AM:!%t["</f>
        <v>#VALUE!</v>
      </c>
      <c r="HD89" t="e">
        <f>OpeningTemplate!C73+"AM:!%t\"</f>
        <v>#VALUE!</v>
      </c>
      <c r="HE89" t="e">
        <f>OpeningTemplate!D73+"AM:!%t]"</f>
        <v>#VALUE!</v>
      </c>
      <c r="HF89" t="e">
        <f>OpeningTemplate!E73+"AM:!%t^"</f>
        <v>#VALUE!</v>
      </c>
      <c r="HG89" t="e">
        <f>OpeningTemplate!F73+"AM:!%t_"</f>
        <v>#VALUE!</v>
      </c>
      <c r="HH89" t="e">
        <f>OpeningTemplate!G73+"AM:!%t`"</f>
        <v>#VALUE!</v>
      </c>
      <c r="HI89" t="e">
        <f>OpeningTemplate!H73+"AM:!%ta"</f>
        <v>#VALUE!</v>
      </c>
      <c r="HJ89" t="e">
        <f>OpeningTemplate!I73+"AM:!%tb"</f>
        <v>#VALUE!</v>
      </c>
      <c r="HK89" t="e">
        <f>OpeningTemplate!J73+"AM:!%tc"</f>
        <v>#VALUE!</v>
      </c>
      <c r="HL89" t="e">
        <f>OpeningTemplate!K73+"AM:!%td"</f>
        <v>#VALUE!</v>
      </c>
      <c r="HM89" t="e">
        <f>OpeningTemplate!L73+"AM:!%te"</f>
        <v>#VALUE!</v>
      </c>
      <c r="HN89" t="e">
        <f>OpeningTemplate!A74+"AM:!%tf"</f>
        <v>#VALUE!</v>
      </c>
      <c r="HO89" t="e">
        <f>OpeningTemplate!B74+"AM:!%tg"</f>
        <v>#VALUE!</v>
      </c>
      <c r="HP89" t="e">
        <f>OpeningTemplate!C74+"AM:!%th"</f>
        <v>#VALUE!</v>
      </c>
      <c r="HQ89" t="e">
        <f>OpeningTemplate!D74+"AM:!%ti"</f>
        <v>#VALUE!</v>
      </c>
      <c r="HR89" t="e">
        <f>OpeningTemplate!E74+"AM:!%tj"</f>
        <v>#VALUE!</v>
      </c>
      <c r="HS89" s="103" t="e">
        <f>OpeningTemplate!F74+"AM:!%tk"</f>
        <v>#VALUE!</v>
      </c>
      <c r="HT89" s="103" t="e">
        <f>OpeningTemplate!G74+"AM:!%tl"</f>
        <v>#VALUE!</v>
      </c>
      <c r="HU89" s="103" t="e">
        <f>OpeningTemplate!H74+"AM:!%tm"</f>
        <v>#VALUE!</v>
      </c>
      <c r="HV89" s="103" t="e">
        <f>OpeningTemplate!I74+"AM:!%tn"</f>
        <v>#VALUE!</v>
      </c>
      <c r="HW89" s="103" t="e">
        <f>OpeningTemplate!J74+"AM:!%to"</f>
        <v>#VALUE!</v>
      </c>
      <c r="HX89" s="103" t="e">
        <f>OpeningTemplate!K74+"AM:!%tp"</f>
        <v>#VALUE!</v>
      </c>
      <c r="HY89" t="e">
        <f>OpeningTemplate!L74+"AM:!%tq"</f>
        <v>#VALUE!</v>
      </c>
      <c r="HZ89" t="e">
        <f>OpeningTemplate!A75+"AM:!%tr"</f>
        <v>#VALUE!</v>
      </c>
      <c r="IA89" t="e">
        <f>OpeningTemplate!B75+"AM:!%ts"</f>
        <v>#VALUE!</v>
      </c>
      <c r="IB89" t="e">
        <f>OpeningTemplate!C75+"AM:!%tt"</f>
        <v>#VALUE!</v>
      </c>
      <c r="IC89" t="e">
        <f>OpeningTemplate!D75+"AM:!%tu"</f>
        <v>#VALUE!</v>
      </c>
      <c r="ID89" t="e">
        <f>OpeningTemplate!E75+"AM:!%tv"</f>
        <v>#VALUE!</v>
      </c>
      <c r="IE89" t="e">
        <f>OpeningTemplate!F75+"AM:!%tw"</f>
        <v>#VALUE!</v>
      </c>
      <c r="IF89" t="e">
        <f>OpeningTemplate!G75+"AM:!%tx"</f>
        <v>#VALUE!</v>
      </c>
      <c r="IG89" t="e">
        <f>OpeningTemplate!H75+"AM:!%ty"</f>
        <v>#VALUE!</v>
      </c>
      <c r="IH89" t="e">
        <f>OpeningTemplate!I75+"AM:!%tz"</f>
        <v>#VALUE!</v>
      </c>
      <c r="II89" t="e">
        <f>OpeningTemplate!J75+"AM:!%t{"</f>
        <v>#VALUE!</v>
      </c>
      <c r="IJ89" t="e">
        <f>OpeningTemplate!K75+"AM:!%t|"</f>
        <v>#VALUE!</v>
      </c>
      <c r="IK89" t="e">
        <f>OpeningTemplate!L75+"AM:!%t}"</f>
        <v>#VALUE!</v>
      </c>
      <c r="IL89" t="e">
        <f>OpeningTemplate!A76+"AM:!%t~"</f>
        <v>#VALUE!</v>
      </c>
      <c r="IM89" s="103" t="e">
        <f>OpeningTemplate!B76+"AM:!%u#"</f>
        <v>#VALUE!</v>
      </c>
      <c r="IN89" s="103" t="e">
        <f>OpeningTemplate!C76+"AM:!%u$"</f>
        <v>#VALUE!</v>
      </c>
      <c r="IO89" s="98" t="e">
        <f>OpeningTemplate!D76+"AM:!%u%"</f>
        <v>#VALUE!</v>
      </c>
      <c r="IP89" s="98" t="e">
        <f>OpeningTemplate!E76+"AM:!%u&amp;"</f>
        <v>#VALUE!</v>
      </c>
      <c r="IQ89" t="e">
        <f>OpeningTemplate!F76+"AM:!%u'"</f>
        <v>#VALUE!</v>
      </c>
      <c r="IR89" t="e">
        <f>OpeningTemplate!G76+"AM:!%u("</f>
        <v>#VALUE!</v>
      </c>
      <c r="IS89" t="e">
        <f>OpeningTemplate!H76+"AM:!%u)"</f>
        <v>#VALUE!</v>
      </c>
      <c r="IT89" t="e">
        <f>OpeningTemplate!I76+"AM:!%u."</f>
        <v>#VALUE!</v>
      </c>
      <c r="IU89" t="e">
        <f>OpeningTemplate!J76+"AM:!%u/"</f>
        <v>#VALUE!</v>
      </c>
      <c r="IV89" t="e">
        <f>OpeningTemplate!K76+"AM:!%u0"</f>
        <v>#VALUE!</v>
      </c>
    </row>
    <row r="90" spans="6:256">
      <c r="F90" t="e">
        <f>OpeningTemplate!L76+"AM:!%u1"</f>
        <v>#VALUE!</v>
      </c>
      <c r="G90" t="e">
        <f>OpeningTemplate!A77+"AM:!%u2"</f>
        <v>#VALUE!</v>
      </c>
      <c r="H90" t="e">
        <f>OpeningTemplate!B77+"AM:!%u3"</f>
        <v>#VALUE!</v>
      </c>
      <c r="I90" t="e">
        <f>OpeningTemplate!C77+"AM:!%u4"</f>
        <v>#VALUE!</v>
      </c>
      <c r="J90" t="e">
        <f>OpeningTemplate!D77+"AM:!%u5"</f>
        <v>#VALUE!</v>
      </c>
      <c r="K90" t="e">
        <f>OpeningTemplate!E77+"AM:!%u6"</f>
        <v>#VALUE!</v>
      </c>
      <c r="L90" t="e">
        <f>OpeningTemplate!F77+"AM:!%u7"</f>
        <v>#VALUE!</v>
      </c>
      <c r="M90" t="e">
        <f>OpeningTemplate!G77+"AM:!%u8"</f>
        <v>#VALUE!</v>
      </c>
      <c r="N90" t="e">
        <f>OpeningTemplate!H77+"AM:!%u9"</f>
        <v>#VALUE!</v>
      </c>
      <c r="O90" t="e">
        <f>OpeningTemplate!I77+"AM:!%u:"</f>
        <v>#VALUE!</v>
      </c>
      <c r="P90" t="e">
        <f>OpeningTemplate!J77+"AM:!%u;"</f>
        <v>#VALUE!</v>
      </c>
      <c r="Q90" t="e">
        <f>OpeningTemplate!K77+"AM:!%u&lt;"</f>
        <v>#VALUE!</v>
      </c>
      <c r="R90" t="e">
        <f>OpeningTemplate!L77+"AM:!%u="</f>
        <v>#VALUE!</v>
      </c>
      <c r="S90" t="e">
        <f>OpeningTemplate!A78+"AM:!%u&gt;"</f>
        <v>#VALUE!</v>
      </c>
      <c r="T90" t="e">
        <f>OpeningTemplate!B78+"AM:!%u?"</f>
        <v>#VALUE!</v>
      </c>
      <c r="U90" t="e">
        <f>OpeningTemplate!C78+"AM:!%u@"</f>
        <v>#VALUE!</v>
      </c>
      <c r="V90" t="e">
        <f>OpeningTemplate!D78+"AM:!%uA"</f>
        <v>#VALUE!</v>
      </c>
      <c r="W90" t="e">
        <f>OpeningTemplate!E78+"AM:!%uB"</f>
        <v>#VALUE!</v>
      </c>
      <c r="X90" t="e">
        <f>OpeningTemplate!F78+"AM:!%uC"</f>
        <v>#VALUE!</v>
      </c>
      <c r="Y90" t="e">
        <f>OpeningTemplate!G78+"AM:!%uD"</f>
        <v>#VALUE!</v>
      </c>
      <c r="Z90" t="e">
        <f>OpeningTemplate!H78+"AM:!%uE"</f>
        <v>#VALUE!</v>
      </c>
      <c r="AA90" t="e">
        <f>OpeningTemplate!I78+"AM:!%uF"</f>
        <v>#VALUE!</v>
      </c>
      <c r="AB90" t="e">
        <f>OpeningTemplate!J78+"AM:!%uG"</f>
        <v>#VALUE!</v>
      </c>
      <c r="AC90" t="e">
        <f>OpeningTemplate!K78+"AM:!%uH"</f>
        <v>#VALUE!</v>
      </c>
      <c r="AD90" t="e">
        <f>OpeningTemplate!L78+"AM:!%uI"</f>
        <v>#VALUE!</v>
      </c>
      <c r="AE90" t="e">
        <f>OpeningTemplate!A79+"AM:!%uJ"</f>
        <v>#VALUE!</v>
      </c>
      <c r="AF90" s="104" t="e">
        <f>OpeningTemplate!B79+"AM:!%uK"</f>
        <v>#VALUE!</v>
      </c>
      <c r="AG90" s="104" t="e">
        <f>OpeningTemplate!C79+"AM:!%uL"</f>
        <v>#VALUE!</v>
      </c>
      <c r="AH90" t="e">
        <f>OpeningTemplate!D79+"AM:!%uM"</f>
        <v>#VALUE!</v>
      </c>
      <c r="AI90" s="98" t="e">
        <f>OpeningTemplate!E79+"AM:!%uN"</f>
        <v>#VALUE!</v>
      </c>
      <c r="AJ90" s="103" t="e">
        <f>OpeningTemplate!F79+"AM:!%uO"</f>
        <v>#VALUE!</v>
      </c>
      <c r="AK90" t="e">
        <f>OpeningTemplate!G79+"AM:!%uP"</f>
        <v>#VALUE!</v>
      </c>
      <c r="AL90" t="e">
        <f>OpeningTemplate!H79+"AM:!%uQ"</f>
        <v>#VALUE!</v>
      </c>
      <c r="AM90" t="e">
        <f>OpeningTemplate!I79+"AM:!%uR"</f>
        <v>#VALUE!</v>
      </c>
      <c r="AN90" t="e">
        <f>OpeningTemplate!J79+"AM:!%uS"</f>
        <v>#VALUE!</v>
      </c>
      <c r="AO90" t="e">
        <f>OpeningTemplate!K79+"AM:!%uT"</f>
        <v>#VALUE!</v>
      </c>
      <c r="AP90" t="e">
        <f>OpeningTemplate!L79+"AM:!%uU"</f>
        <v>#VALUE!</v>
      </c>
      <c r="AQ90" t="e">
        <f>OpeningTemplate!A80+"AM:!%uV"</f>
        <v>#VALUE!</v>
      </c>
      <c r="AR90" s="104" t="e">
        <f>OpeningTemplate!B80+"AM:!%uW"</f>
        <v>#VALUE!</v>
      </c>
      <c r="AS90" s="104" t="e">
        <f>OpeningTemplate!C80+"AM:!%uX"</f>
        <v>#VALUE!</v>
      </c>
      <c r="AT90" t="e">
        <f>OpeningTemplate!D80+"AM:!%uY"</f>
        <v>#VALUE!</v>
      </c>
      <c r="AU90" t="e">
        <f>OpeningTemplate!E80+"AM:!%uZ"</f>
        <v>#VALUE!</v>
      </c>
      <c r="AV90" s="103" t="e">
        <f>OpeningTemplate!F80+"AM:!%u["</f>
        <v>#VALUE!</v>
      </c>
      <c r="AW90" t="e">
        <f>OpeningTemplate!G80+"AM:!%u\"</f>
        <v>#VALUE!</v>
      </c>
      <c r="AX90" t="e">
        <f>OpeningTemplate!H80+"AM:!%u]"</f>
        <v>#VALUE!</v>
      </c>
      <c r="AY90" t="e">
        <f>OpeningTemplate!I80+"AM:!%u^"</f>
        <v>#VALUE!</v>
      </c>
      <c r="AZ90" t="e">
        <f>OpeningTemplate!J80+"AM:!%u_"</f>
        <v>#VALUE!</v>
      </c>
      <c r="BA90" t="e">
        <f>OpeningTemplate!K80+"AM:!%u`"</f>
        <v>#VALUE!</v>
      </c>
      <c r="BB90" t="e">
        <f>OpeningTemplate!L80+"AM:!%ua"</f>
        <v>#VALUE!</v>
      </c>
      <c r="BC90" t="e">
        <f>OpeningTemplate!A81+"AM:!%ub"</f>
        <v>#VALUE!</v>
      </c>
      <c r="BD90" s="104" t="e">
        <f>OpeningTemplate!B81+"AM:!%uc"</f>
        <v>#VALUE!</v>
      </c>
      <c r="BE90" s="104" t="e">
        <f>OpeningTemplate!C81+"AM:!%ud"</f>
        <v>#VALUE!</v>
      </c>
      <c r="BF90" t="e">
        <f>OpeningTemplate!D81+"AM:!%ue"</f>
        <v>#VALUE!</v>
      </c>
      <c r="BG90" t="e">
        <f>OpeningTemplate!E81+"AM:!%uf"</f>
        <v>#VALUE!</v>
      </c>
      <c r="BH90" s="103" t="e">
        <f>OpeningTemplate!F81+"AM:!%ug"</f>
        <v>#VALUE!</v>
      </c>
      <c r="BI90" t="e">
        <f>OpeningTemplate!G81+"AM:!%uh"</f>
        <v>#VALUE!</v>
      </c>
      <c r="BJ90" t="e">
        <f>OpeningTemplate!H81+"AM:!%ui"</f>
        <v>#VALUE!</v>
      </c>
      <c r="BK90" t="e">
        <f>OpeningTemplate!I81+"AM:!%uj"</f>
        <v>#VALUE!</v>
      </c>
      <c r="BL90" t="e">
        <f>OpeningTemplate!J81+"AM:!%uk"</f>
        <v>#VALUE!</v>
      </c>
      <c r="BM90" t="e">
        <f>OpeningTemplate!K81+"AM:!%ul"</f>
        <v>#VALUE!</v>
      </c>
      <c r="BN90" t="e">
        <f>OpeningTemplate!L81+"AM:!%um"</f>
        <v>#VALUE!</v>
      </c>
      <c r="BO90" t="e">
        <f>OpeningTemplate!A82+"AM:!%un"</f>
        <v>#VALUE!</v>
      </c>
      <c r="BP90" t="e">
        <f>OpeningTemplate!B82+"AM:!%uo"</f>
        <v>#VALUE!</v>
      </c>
      <c r="BQ90" t="e">
        <f>OpeningTemplate!C82+"AM:!%up"</f>
        <v>#VALUE!</v>
      </c>
      <c r="BR90" t="e">
        <f>OpeningTemplate!D82+"AM:!%uq"</f>
        <v>#VALUE!</v>
      </c>
      <c r="BS90" t="e">
        <f>OpeningTemplate!E82+"AM:!%ur"</f>
        <v>#VALUE!</v>
      </c>
      <c r="BT90" t="e">
        <f>OpeningTemplate!F82+"AM:!%us"</f>
        <v>#VALUE!</v>
      </c>
      <c r="BU90" t="e">
        <f>OpeningTemplate!G82+"AM:!%ut"</f>
        <v>#VALUE!</v>
      </c>
      <c r="BV90" t="e">
        <f>OpeningTemplate!H82+"AM:!%uu"</f>
        <v>#VALUE!</v>
      </c>
      <c r="BW90" t="e">
        <f>OpeningTemplate!I82+"AM:!%uv"</f>
        <v>#VALUE!</v>
      </c>
      <c r="BX90" t="e">
        <f>OpeningTemplate!J82+"AM:!%uw"</f>
        <v>#VALUE!</v>
      </c>
      <c r="BY90" t="e">
        <f>OpeningTemplate!K82+"AM:!%ux"</f>
        <v>#VALUE!</v>
      </c>
      <c r="BZ90" t="e">
        <f>OpeningTemplate!L82+"AM:!%uy"</f>
        <v>#VALUE!</v>
      </c>
      <c r="CA90" t="e">
        <f>OpeningTemplate!A83+"AM:!%uz"</f>
        <v>#VALUE!</v>
      </c>
      <c r="CB90" t="e">
        <f>OpeningTemplate!B83+"AM:!%u{"</f>
        <v>#VALUE!</v>
      </c>
      <c r="CC90" t="e">
        <f>OpeningTemplate!C83+"AM:!%u|"</f>
        <v>#VALUE!</v>
      </c>
      <c r="CD90" t="e">
        <f>OpeningTemplate!D83+"AM:!%u}"</f>
        <v>#VALUE!</v>
      </c>
      <c r="CE90" t="e">
        <f>OpeningTemplate!E83+"AM:!%u~"</f>
        <v>#VALUE!</v>
      </c>
      <c r="CF90" t="e">
        <f>OpeningTemplate!F83+"AM:!%v#"</f>
        <v>#VALUE!</v>
      </c>
      <c r="CG90" t="e">
        <f>OpeningTemplate!G83+"AM:!%v$"</f>
        <v>#VALUE!</v>
      </c>
      <c r="CH90" t="e">
        <f>OpeningTemplate!H83+"AM:!%v%"</f>
        <v>#VALUE!</v>
      </c>
      <c r="CI90" t="e">
        <f>OpeningTemplate!I83+"AM:!%v&amp;"</f>
        <v>#VALUE!</v>
      </c>
      <c r="CJ90" t="e">
        <f>OpeningTemplate!J83+"AM:!%v'"</f>
        <v>#VALUE!</v>
      </c>
      <c r="CK90" t="e">
        <f>OpeningTemplate!K83+"AM:!%v("</f>
        <v>#VALUE!</v>
      </c>
      <c r="CL90" t="e">
        <f>OpeningTemplate!L83+"AM:!%v)"</f>
        <v>#VALUE!</v>
      </c>
      <c r="CM90" t="e">
        <f>OpeningTemplate!M83+"AM:!%v."</f>
        <v>#VALUE!</v>
      </c>
      <c r="CN90" t="e">
        <f>OpeningTemplate!A84+"AM:!%v/"</f>
        <v>#VALUE!</v>
      </c>
      <c r="CO90" t="e">
        <f>OpeningTemplate!B84+"AM:!%v0"</f>
        <v>#VALUE!</v>
      </c>
      <c r="CP90" t="e">
        <f>OpeningTemplate!C84+"AM:!%v1"</f>
        <v>#VALUE!</v>
      </c>
      <c r="CQ90" t="e">
        <f>OpeningTemplate!D84+"AM:!%v2"</f>
        <v>#VALUE!</v>
      </c>
      <c r="CR90" t="e">
        <f>OpeningTemplate!E84+"AM:!%v3"</f>
        <v>#VALUE!</v>
      </c>
      <c r="CS90" s="103" t="e">
        <f>OpeningTemplate!F84+"AM:!%v4"</f>
        <v>#VALUE!</v>
      </c>
      <c r="CT90" s="103" t="e">
        <f>OpeningTemplate!G84+"AM:!%v5"</f>
        <v>#VALUE!</v>
      </c>
      <c r="CU90" s="103" t="e">
        <f>OpeningTemplate!H84+"AM:!%v6"</f>
        <v>#VALUE!</v>
      </c>
      <c r="CV90" s="103" t="e">
        <f>OpeningTemplate!I84+"AM:!%v7"</f>
        <v>#VALUE!</v>
      </c>
      <c r="CW90" s="103" t="e">
        <f>OpeningTemplate!J84+"AM:!%v8"</f>
        <v>#VALUE!</v>
      </c>
      <c r="CX90" s="103" t="e">
        <f>OpeningTemplate!K84+"AM:!%v9"</f>
        <v>#VALUE!</v>
      </c>
      <c r="CY90" t="e">
        <f>OpeningTemplate!L84+"AM:!%v:"</f>
        <v>#VALUE!</v>
      </c>
      <c r="CZ90" t="e">
        <f>OpeningTemplate!M84+"AM:!%v;"</f>
        <v>#VALUE!</v>
      </c>
      <c r="DA90" t="e">
        <f>OpeningTemplate!A85+"AM:!%v&lt;"</f>
        <v>#VALUE!</v>
      </c>
      <c r="DB90" t="e">
        <f>OpeningTemplate!B85+"AM:!%v="</f>
        <v>#VALUE!</v>
      </c>
      <c r="DC90" t="e">
        <f>OpeningTemplate!C85+"AM:!%v&gt;"</f>
        <v>#VALUE!</v>
      </c>
      <c r="DD90" t="e">
        <f>OpeningTemplate!D85+"AM:!%v?"</f>
        <v>#VALUE!</v>
      </c>
      <c r="DE90" t="e">
        <f>OpeningTemplate!E85+"AM:!%v@"</f>
        <v>#VALUE!</v>
      </c>
      <c r="DF90" t="e">
        <f>OpeningTemplate!F85+"AM:!%vA"</f>
        <v>#VALUE!</v>
      </c>
      <c r="DG90" t="e">
        <f>OpeningTemplate!G85+"AM:!%vB"</f>
        <v>#VALUE!</v>
      </c>
      <c r="DH90" t="e">
        <f>OpeningTemplate!H85+"AM:!%vC"</f>
        <v>#VALUE!</v>
      </c>
      <c r="DI90" t="e">
        <f>OpeningTemplate!I85+"AM:!%vD"</f>
        <v>#VALUE!</v>
      </c>
      <c r="DJ90" t="e">
        <f>OpeningTemplate!J85+"AM:!%vE"</f>
        <v>#VALUE!</v>
      </c>
      <c r="DK90" t="e">
        <f>OpeningTemplate!K85+"AM:!%vF"</f>
        <v>#VALUE!</v>
      </c>
      <c r="DL90" t="e">
        <f>OpeningTemplate!L85+"AM:!%vG"</f>
        <v>#VALUE!</v>
      </c>
      <c r="DM90" t="e">
        <f>OpeningTemplate!M85+"AM:!%vH"</f>
        <v>#VALUE!</v>
      </c>
      <c r="DN90" t="e">
        <f>OpeningTemplate!A86+"AM:!%vI"</f>
        <v>#VALUE!</v>
      </c>
      <c r="DO90" s="103" t="e">
        <f>OpeningTemplate!B86+"AM:!%vJ"</f>
        <v>#VALUE!</v>
      </c>
      <c r="DP90" s="103" t="e">
        <f>OpeningTemplate!C86+"AM:!%vK"</f>
        <v>#VALUE!</v>
      </c>
      <c r="DQ90" s="98" t="e">
        <f>OpeningTemplate!D86+"AM:!%vL"</f>
        <v>#VALUE!</v>
      </c>
      <c r="DR90" s="98" t="e">
        <f>OpeningTemplate!E86+"AM:!%vM"</f>
        <v>#VALUE!</v>
      </c>
      <c r="DS90" t="e">
        <f>OpeningTemplate!F86+"AM:!%vN"</f>
        <v>#VALUE!</v>
      </c>
      <c r="DT90" t="e">
        <f>OpeningTemplate!G86+"AM:!%vO"</f>
        <v>#VALUE!</v>
      </c>
      <c r="DU90" t="e">
        <f>OpeningTemplate!H86+"AM:!%vP"</f>
        <v>#VALUE!</v>
      </c>
      <c r="DV90" t="e">
        <f>OpeningTemplate!I86+"AM:!%vQ"</f>
        <v>#VALUE!</v>
      </c>
      <c r="DW90" t="e">
        <f>OpeningTemplate!J86+"AM:!%vR"</f>
        <v>#VALUE!</v>
      </c>
      <c r="DX90" t="e">
        <f>OpeningTemplate!K86+"AM:!%vS"</f>
        <v>#VALUE!</v>
      </c>
      <c r="DY90" t="e">
        <f>OpeningTemplate!L86+"AM:!%vT"</f>
        <v>#VALUE!</v>
      </c>
      <c r="DZ90" t="e">
        <f>OpeningTemplate!M86+"AM:!%vU"</f>
        <v>#VALUE!</v>
      </c>
      <c r="EA90" t="e">
        <f>OpeningTemplate!A87+"AM:!%vV"</f>
        <v>#VALUE!</v>
      </c>
      <c r="EB90" t="e">
        <f>OpeningTemplate!B87+"AM:!%vW"</f>
        <v>#VALUE!</v>
      </c>
      <c r="EC90" t="e">
        <f>OpeningTemplate!C87+"AM:!%vX"</f>
        <v>#VALUE!</v>
      </c>
      <c r="ED90" t="e">
        <f>OpeningTemplate!D87+"AM:!%vY"</f>
        <v>#VALUE!</v>
      </c>
      <c r="EE90" t="e">
        <f>OpeningTemplate!E87+"AM:!%vZ"</f>
        <v>#VALUE!</v>
      </c>
      <c r="EF90" t="e">
        <f>OpeningTemplate!F87+"AM:!%v["</f>
        <v>#VALUE!</v>
      </c>
      <c r="EG90" t="e">
        <f>OpeningTemplate!G87+"AM:!%v\"</f>
        <v>#VALUE!</v>
      </c>
      <c r="EH90" t="e">
        <f>OpeningTemplate!H87+"AM:!%v]"</f>
        <v>#VALUE!</v>
      </c>
      <c r="EI90" t="e">
        <f>OpeningTemplate!I87+"AM:!%v^"</f>
        <v>#VALUE!</v>
      </c>
      <c r="EJ90" t="e">
        <f>OpeningTemplate!J87+"AM:!%v_"</f>
        <v>#VALUE!</v>
      </c>
      <c r="EK90" t="e">
        <f>OpeningTemplate!K87+"AM:!%v`"</f>
        <v>#VALUE!</v>
      </c>
      <c r="EL90" t="e">
        <f>OpeningTemplate!L87+"AM:!%va"</f>
        <v>#VALUE!</v>
      </c>
      <c r="EM90" t="e">
        <f>OpeningTemplate!M87+"AM:!%vb"</f>
        <v>#VALUE!</v>
      </c>
      <c r="EN90" t="e">
        <f>OpeningTemplate!A88+"AM:!%vc"</f>
        <v>#VALUE!</v>
      </c>
      <c r="EO90" t="e">
        <f>OpeningTemplate!B88+"AM:!%vd"</f>
        <v>#VALUE!</v>
      </c>
      <c r="EP90" t="e">
        <f>OpeningTemplate!C88+"AM:!%ve"</f>
        <v>#VALUE!</v>
      </c>
      <c r="EQ90" t="e">
        <f>OpeningTemplate!D88+"AM:!%vf"</f>
        <v>#VALUE!</v>
      </c>
      <c r="ER90" t="e">
        <f>OpeningTemplate!E88+"AM:!%vg"</f>
        <v>#VALUE!</v>
      </c>
      <c r="ES90" t="e">
        <f>OpeningTemplate!F88+"AM:!%vh"</f>
        <v>#VALUE!</v>
      </c>
      <c r="ET90" t="e">
        <f>OpeningTemplate!G88+"AM:!%vi"</f>
        <v>#VALUE!</v>
      </c>
      <c r="EU90" t="e">
        <f>OpeningTemplate!H88+"AM:!%vj"</f>
        <v>#VALUE!</v>
      </c>
      <c r="EV90" t="e">
        <f>OpeningTemplate!I88+"AM:!%vk"</f>
        <v>#VALUE!</v>
      </c>
      <c r="EW90" t="e">
        <f>OpeningTemplate!J88+"AM:!%vl"</f>
        <v>#VALUE!</v>
      </c>
      <c r="EX90" t="e">
        <f>OpeningTemplate!K88+"AM:!%vm"</f>
        <v>#VALUE!</v>
      </c>
      <c r="EY90" t="e">
        <f>OpeningTemplate!L88+"AM:!%vn"</f>
        <v>#VALUE!</v>
      </c>
      <c r="EZ90" t="e">
        <f>OpeningTemplate!M88+"AM:!%vo"</f>
        <v>#VALUE!</v>
      </c>
      <c r="FA90" t="e">
        <f>OpeningTemplate!A89+"AM:!%vp"</f>
        <v>#VALUE!</v>
      </c>
      <c r="FB90" s="104" t="e">
        <f>OpeningTemplate!B89+"AM:!%vq"</f>
        <v>#VALUE!</v>
      </c>
      <c r="FC90" s="104" t="e">
        <f>OpeningTemplate!C89+"AM:!%vr"</f>
        <v>#VALUE!</v>
      </c>
      <c r="FD90" t="e">
        <f>OpeningTemplate!D89+"AM:!%vs"</f>
        <v>#VALUE!</v>
      </c>
      <c r="FE90" s="98" t="e">
        <f>OpeningTemplate!E89+"AM:!%vt"</f>
        <v>#VALUE!</v>
      </c>
      <c r="FF90" s="103" t="e">
        <f>OpeningTemplate!F89+"AM:!%vu"</f>
        <v>#VALUE!</v>
      </c>
      <c r="FG90" t="e">
        <f>OpeningTemplate!G89+"AM:!%vv"</f>
        <v>#VALUE!</v>
      </c>
      <c r="FH90" t="e">
        <f>OpeningTemplate!H89+"AM:!%vw"</f>
        <v>#VALUE!</v>
      </c>
      <c r="FI90" t="e">
        <f>OpeningTemplate!I89+"AM:!%vx"</f>
        <v>#VALUE!</v>
      </c>
      <c r="FJ90" t="e">
        <f>OpeningTemplate!J89+"AM:!%vy"</f>
        <v>#VALUE!</v>
      </c>
      <c r="FK90" t="e">
        <f>OpeningTemplate!K89+"AM:!%vz"</f>
        <v>#VALUE!</v>
      </c>
      <c r="FL90" t="e">
        <f>OpeningTemplate!L89+"AM:!%v{"</f>
        <v>#VALUE!</v>
      </c>
      <c r="FM90" t="e">
        <f>OpeningTemplate!M89+"AM:!%v|"</f>
        <v>#VALUE!</v>
      </c>
      <c r="FN90" t="e">
        <f>OpeningTemplate!A90+"AM:!%v}"</f>
        <v>#VALUE!</v>
      </c>
      <c r="FO90" s="104" t="e">
        <f>OpeningTemplate!B90+"AM:!%v~"</f>
        <v>#VALUE!</v>
      </c>
      <c r="FP90" s="104" t="e">
        <f>OpeningTemplate!C90+"AM:!%w#"</f>
        <v>#VALUE!</v>
      </c>
      <c r="FQ90" t="e">
        <f>OpeningTemplate!D90+"AM:!%w$"</f>
        <v>#VALUE!</v>
      </c>
      <c r="FR90" t="e">
        <f>OpeningTemplate!E90+"AM:!%w%"</f>
        <v>#VALUE!</v>
      </c>
      <c r="FS90" s="103" t="e">
        <f>OpeningTemplate!F90+"AM:!%w&amp;"</f>
        <v>#VALUE!</v>
      </c>
      <c r="FT90" t="e">
        <f>OpeningTemplate!G90+"AM:!%w'"</f>
        <v>#VALUE!</v>
      </c>
      <c r="FU90" t="e">
        <f>OpeningTemplate!H90+"AM:!%w("</f>
        <v>#VALUE!</v>
      </c>
      <c r="FV90" t="e">
        <f>OpeningTemplate!I90+"AM:!%w)"</f>
        <v>#VALUE!</v>
      </c>
      <c r="FW90" t="e">
        <f>OpeningTemplate!J90+"AM:!%w."</f>
        <v>#VALUE!</v>
      </c>
      <c r="FX90" t="e">
        <f>OpeningTemplate!K90+"AM:!%w/"</f>
        <v>#VALUE!</v>
      </c>
      <c r="FY90" t="e">
        <f>OpeningTemplate!L90+"AM:!%w0"</f>
        <v>#VALUE!</v>
      </c>
      <c r="FZ90" t="e">
        <f>OpeningTemplate!M90+"AM:!%w1"</f>
        <v>#VALUE!</v>
      </c>
      <c r="GA90" t="e">
        <f>OpeningTemplate!A91+"AM:!%w2"</f>
        <v>#VALUE!</v>
      </c>
      <c r="GB90" s="104" t="e">
        <f>OpeningTemplate!B91+"AM:!%w3"</f>
        <v>#VALUE!</v>
      </c>
      <c r="GC90" s="104" t="e">
        <f>OpeningTemplate!C91+"AM:!%w4"</f>
        <v>#VALUE!</v>
      </c>
      <c r="GD90" t="e">
        <f>OpeningTemplate!D91+"AM:!%w5"</f>
        <v>#VALUE!</v>
      </c>
      <c r="GE90" t="e">
        <f>OpeningTemplate!E91+"AM:!%w6"</f>
        <v>#VALUE!</v>
      </c>
      <c r="GF90" s="103" t="e">
        <f>OpeningTemplate!F91+"AM:!%w7"</f>
        <v>#VALUE!</v>
      </c>
      <c r="GG90" t="e">
        <f>OpeningTemplate!G91+"AM:!%w8"</f>
        <v>#VALUE!</v>
      </c>
      <c r="GH90" t="e">
        <f>OpeningTemplate!H91+"AM:!%w9"</f>
        <v>#VALUE!</v>
      </c>
      <c r="GI90" t="e">
        <f>OpeningTemplate!I91+"AM:!%w:"</f>
        <v>#VALUE!</v>
      </c>
      <c r="GJ90" t="e">
        <f>OpeningTemplate!J91+"AM:!%w;"</f>
        <v>#VALUE!</v>
      </c>
      <c r="GK90" t="e">
        <f>OpeningTemplate!K91+"AM:!%w&lt;"</f>
        <v>#VALUE!</v>
      </c>
      <c r="GL90" t="e">
        <f>OpeningTemplate!L91+"AM:!%w="</f>
        <v>#VALUE!</v>
      </c>
      <c r="GM90" t="e">
        <f>OpeningTemplate!M91+"AM:!%w&gt;"</f>
        <v>#VALUE!</v>
      </c>
      <c r="GN90" t="e">
        <f>OpeningTemplate!A92+"AM:!%w?"</f>
        <v>#VALUE!</v>
      </c>
      <c r="GO90" t="e">
        <f>OpeningTemplate!B92+"AM:!%w@"</f>
        <v>#VALUE!</v>
      </c>
      <c r="GP90" t="e">
        <f>OpeningTemplate!C92+"AM:!%wA"</f>
        <v>#VALUE!</v>
      </c>
      <c r="GQ90" t="e">
        <f>OpeningTemplate!D92+"AM:!%wB"</f>
        <v>#VALUE!</v>
      </c>
      <c r="GR90" t="e">
        <f>OpeningTemplate!E92+"AM:!%wC"</f>
        <v>#VALUE!</v>
      </c>
      <c r="GS90" t="e">
        <f>OpeningTemplate!F92+"AM:!%wD"</f>
        <v>#VALUE!</v>
      </c>
      <c r="GT90" t="e">
        <f>OpeningTemplate!G92+"AM:!%wE"</f>
        <v>#VALUE!</v>
      </c>
      <c r="GU90" t="e">
        <f>OpeningTemplate!H92+"AM:!%wF"</f>
        <v>#VALUE!</v>
      </c>
      <c r="GV90" t="e">
        <f>OpeningTemplate!I92+"AM:!%wG"</f>
        <v>#VALUE!</v>
      </c>
      <c r="GW90" t="e">
        <f>OpeningTemplate!J92+"AM:!%wH"</f>
        <v>#VALUE!</v>
      </c>
      <c r="GX90" t="e">
        <f>OpeningTemplate!K92+"AM:!%wI"</f>
        <v>#VALUE!</v>
      </c>
      <c r="GY90" t="e">
        <f>OpeningTemplate!L92+"AM:!%wJ"</f>
        <v>#VALUE!</v>
      </c>
      <c r="GZ90" t="e">
        <f>OpeningTemplate!M92+"AM:!%wK"</f>
        <v>#VALUE!</v>
      </c>
      <c r="HA90" t="e">
        <f>OpeningTemplate!A93+"AM:!%wL"</f>
        <v>#VALUE!</v>
      </c>
      <c r="HB90" t="e">
        <f>OpeningTemplate!B93+"AM:!%wM"</f>
        <v>#VALUE!</v>
      </c>
      <c r="HC90" t="e">
        <f>OpeningTemplate!C93+"AM:!%wN"</f>
        <v>#VALUE!</v>
      </c>
      <c r="HD90" t="e">
        <f>OpeningTemplate!D93+"AM:!%wO"</f>
        <v>#VALUE!</v>
      </c>
      <c r="HE90" t="e">
        <f>OpeningTemplate!E93+"AM:!%wP"</f>
        <v>#VALUE!</v>
      </c>
      <c r="HF90" t="e">
        <f>OpeningTemplate!F93+"AM:!%wQ"</f>
        <v>#VALUE!</v>
      </c>
      <c r="HG90" t="e">
        <f>OpeningTemplate!G93+"AM:!%wR"</f>
        <v>#VALUE!</v>
      </c>
      <c r="HH90" t="e">
        <f>OpeningTemplate!H93+"AM:!%wS"</f>
        <v>#VALUE!</v>
      </c>
      <c r="HI90" t="e">
        <f>OpeningTemplate!I93+"AM:!%wT"</f>
        <v>#VALUE!</v>
      </c>
      <c r="HJ90" t="e">
        <f>OpeningTemplate!J93+"AM:!%wU"</f>
        <v>#VALUE!</v>
      </c>
      <c r="HK90" t="e">
        <f>OpeningTemplate!K93+"AM:!%wV"</f>
        <v>#VALUE!</v>
      </c>
      <c r="HL90" t="e">
        <f>OpeningTemplate!L93+"AM:!%wW"</f>
        <v>#VALUE!</v>
      </c>
      <c r="HM90" t="e">
        <f>OpeningTemplate!M93+"AM:!%wX"</f>
        <v>#VALUE!</v>
      </c>
      <c r="HN90" t="e">
        <f>OpeningTemplate!A94+"AM:!%wY"</f>
        <v>#VALUE!</v>
      </c>
      <c r="HO90" t="e">
        <f>OpeningTemplate!B94+"AM:!%wZ"</f>
        <v>#VALUE!</v>
      </c>
      <c r="HP90" t="e">
        <f>OpeningTemplate!C94+"AM:!%w["</f>
        <v>#VALUE!</v>
      </c>
      <c r="HQ90" t="e">
        <f>OpeningTemplate!D94+"AM:!%w\"</f>
        <v>#VALUE!</v>
      </c>
      <c r="HR90" t="e">
        <f>OpeningTemplate!E94+"AM:!%w]"</f>
        <v>#VALUE!</v>
      </c>
      <c r="HS90" s="103" t="e">
        <f>OpeningTemplate!F94+"AM:!%w^"</f>
        <v>#VALUE!</v>
      </c>
      <c r="HT90" s="103" t="e">
        <f>OpeningTemplate!G94+"AM:!%w_"</f>
        <v>#VALUE!</v>
      </c>
      <c r="HU90" s="103" t="e">
        <f>OpeningTemplate!H94+"AM:!%w`"</f>
        <v>#VALUE!</v>
      </c>
      <c r="HV90" s="103" t="e">
        <f>OpeningTemplate!I94+"AM:!%wa"</f>
        <v>#VALUE!</v>
      </c>
      <c r="HW90" s="103" t="e">
        <f>OpeningTemplate!J94+"AM:!%wb"</f>
        <v>#VALUE!</v>
      </c>
      <c r="HX90" s="103" t="e">
        <f>OpeningTemplate!K94+"AM:!%wc"</f>
        <v>#VALUE!</v>
      </c>
      <c r="HY90" t="e">
        <f>OpeningTemplate!L94+"AM:!%wd"</f>
        <v>#VALUE!</v>
      </c>
      <c r="HZ90" t="e">
        <f>OpeningTemplate!M94+"AM:!%we"</f>
        <v>#VALUE!</v>
      </c>
      <c r="IA90" t="e">
        <f>OpeningTemplate!A95+"AM:!%wf"</f>
        <v>#VALUE!</v>
      </c>
      <c r="IB90" t="e">
        <f>OpeningTemplate!B95+"AM:!%wg"</f>
        <v>#VALUE!</v>
      </c>
      <c r="IC90" t="e">
        <f>OpeningTemplate!C95+"AM:!%wh"</f>
        <v>#VALUE!</v>
      </c>
      <c r="ID90" t="e">
        <f>OpeningTemplate!D95+"AM:!%wi"</f>
        <v>#VALUE!</v>
      </c>
      <c r="IE90" t="e">
        <f>OpeningTemplate!E95+"AM:!%wj"</f>
        <v>#VALUE!</v>
      </c>
      <c r="IF90" t="e">
        <f>OpeningTemplate!F95+"AM:!%wk"</f>
        <v>#VALUE!</v>
      </c>
      <c r="IG90" t="e">
        <f>OpeningTemplate!G95+"AM:!%wl"</f>
        <v>#VALUE!</v>
      </c>
      <c r="IH90" t="e">
        <f>OpeningTemplate!H95+"AM:!%wm"</f>
        <v>#VALUE!</v>
      </c>
      <c r="II90" t="e">
        <f>OpeningTemplate!I95+"AM:!%wn"</f>
        <v>#VALUE!</v>
      </c>
      <c r="IJ90" t="e">
        <f>OpeningTemplate!J95+"AM:!%wo"</f>
        <v>#VALUE!</v>
      </c>
      <c r="IK90" t="e">
        <f>OpeningTemplate!K95+"AM:!%wp"</f>
        <v>#VALUE!</v>
      </c>
      <c r="IL90" t="e">
        <f>OpeningTemplate!L95+"AM:!%wq"</f>
        <v>#VALUE!</v>
      </c>
      <c r="IM90" t="e">
        <f>OpeningTemplate!M95+"AM:!%wr"</f>
        <v>#VALUE!</v>
      </c>
      <c r="IN90" t="e">
        <f>OpeningTemplate!A96+"AM:!%ws"</f>
        <v>#VALUE!</v>
      </c>
      <c r="IO90" s="103" t="e">
        <f>OpeningTemplate!B96+"AM:!%wt"</f>
        <v>#VALUE!</v>
      </c>
      <c r="IP90" s="103" t="e">
        <f>OpeningTemplate!C96+"AM:!%wu"</f>
        <v>#VALUE!</v>
      </c>
      <c r="IQ90" s="98" t="e">
        <f>OpeningTemplate!D96+"AM:!%wv"</f>
        <v>#VALUE!</v>
      </c>
      <c r="IR90" s="98" t="e">
        <f>OpeningTemplate!E96+"AM:!%ww"</f>
        <v>#VALUE!</v>
      </c>
      <c r="IS90" t="e">
        <f>OpeningTemplate!F96+"AM:!%wx"</f>
        <v>#VALUE!</v>
      </c>
      <c r="IT90" t="e">
        <f>OpeningTemplate!G96+"AM:!%wy"</f>
        <v>#VALUE!</v>
      </c>
      <c r="IU90" t="e">
        <f>OpeningTemplate!H96+"AM:!%wz"</f>
        <v>#VALUE!</v>
      </c>
      <c r="IV90" t="e">
        <f>OpeningTemplate!I96+"AM:!%w{"</f>
        <v>#VALUE!</v>
      </c>
    </row>
    <row r="91" spans="6:256">
      <c r="F91" t="e">
        <f>OpeningTemplate!J96+"AM:!%w|"</f>
        <v>#VALUE!</v>
      </c>
      <c r="G91" t="e">
        <f>OpeningTemplate!K96+"AM:!%w}"</f>
        <v>#VALUE!</v>
      </c>
      <c r="H91" t="e">
        <f>OpeningTemplate!L96+"AM:!%w~"</f>
        <v>#VALUE!</v>
      </c>
      <c r="I91" t="e">
        <f>OpeningTemplate!M96+"AM:!%x#"</f>
        <v>#VALUE!</v>
      </c>
      <c r="J91" t="e">
        <f>OpeningTemplate!A97+"AM:!%x$"</f>
        <v>#VALUE!</v>
      </c>
      <c r="K91" t="e">
        <f>OpeningTemplate!B97+"AM:!%x%"</f>
        <v>#VALUE!</v>
      </c>
      <c r="L91" t="e">
        <f>OpeningTemplate!C97+"AM:!%x&amp;"</f>
        <v>#VALUE!</v>
      </c>
      <c r="M91" t="e">
        <f>OpeningTemplate!D97+"AM:!%x'"</f>
        <v>#VALUE!</v>
      </c>
      <c r="N91" t="e">
        <f>OpeningTemplate!E97+"AM:!%x("</f>
        <v>#VALUE!</v>
      </c>
      <c r="O91" t="e">
        <f>OpeningTemplate!F97+"AM:!%x)"</f>
        <v>#VALUE!</v>
      </c>
      <c r="P91" t="e">
        <f>OpeningTemplate!G97+"AM:!%x."</f>
        <v>#VALUE!</v>
      </c>
      <c r="Q91" t="e">
        <f>OpeningTemplate!H97+"AM:!%x/"</f>
        <v>#VALUE!</v>
      </c>
      <c r="R91" t="e">
        <f>OpeningTemplate!I97+"AM:!%x0"</f>
        <v>#VALUE!</v>
      </c>
      <c r="S91" t="e">
        <f>OpeningTemplate!J97+"AM:!%x1"</f>
        <v>#VALUE!</v>
      </c>
      <c r="T91" t="e">
        <f>OpeningTemplate!K97+"AM:!%x2"</f>
        <v>#VALUE!</v>
      </c>
      <c r="U91" t="e">
        <f>OpeningTemplate!L97+"AM:!%x3"</f>
        <v>#VALUE!</v>
      </c>
      <c r="V91" t="e">
        <f>OpeningTemplate!M97+"AM:!%x4"</f>
        <v>#VALUE!</v>
      </c>
      <c r="W91" t="e">
        <f>OpeningTemplate!A98+"AM:!%x5"</f>
        <v>#VALUE!</v>
      </c>
      <c r="X91" t="e">
        <f>OpeningTemplate!B98+"AM:!%x6"</f>
        <v>#VALUE!</v>
      </c>
      <c r="Y91" t="e">
        <f>OpeningTemplate!C98+"AM:!%x7"</f>
        <v>#VALUE!</v>
      </c>
      <c r="Z91" t="e">
        <f>OpeningTemplate!D98+"AM:!%x8"</f>
        <v>#VALUE!</v>
      </c>
      <c r="AA91" t="e">
        <f>OpeningTemplate!E98+"AM:!%x9"</f>
        <v>#VALUE!</v>
      </c>
      <c r="AB91" t="e">
        <f>OpeningTemplate!F98+"AM:!%x:"</f>
        <v>#VALUE!</v>
      </c>
      <c r="AC91" t="e">
        <f>OpeningTemplate!G98+"AM:!%x;"</f>
        <v>#VALUE!</v>
      </c>
      <c r="AD91" t="e">
        <f>OpeningTemplate!H98+"AM:!%x&lt;"</f>
        <v>#VALUE!</v>
      </c>
      <c r="AE91" t="e">
        <f>OpeningTemplate!I98+"AM:!%x="</f>
        <v>#VALUE!</v>
      </c>
      <c r="AF91" t="e">
        <f>OpeningTemplate!J98+"AM:!%x&gt;"</f>
        <v>#VALUE!</v>
      </c>
      <c r="AG91" t="e">
        <f>OpeningTemplate!K98+"AM:!%x?"</f>
        <v>#VALUE!</v>
      </c>
      <c r="AH91" t="e">
        <f>OpeningTemplate!L98+"AM:!%x@"</f>
        <v>#VALUE!</v>
      </c>
      <c r="AI91" t="e">
        <f>OpeningTemplate!M98+"AM:!%xA"</f>
        <v>#VALUE!</v>
      </c>
      <c r="AJ91" t="e">
        <f>OpeningTemplate!A99+"AM:!%xB"</f>
        <v>#VALUE!</v>
      </c>
      <c r="AK91" s="104" t="e">
        <f>OpeningTemplate!B99+"AM:!%xC"</f>
        <v>#VALUE!</v>
      </c>
      <c r="AL91" s="104" t="e">
        <f>OpeningTemplate!C99+"AM:!%xD"</f>
        <v>#VALUE!</v>
      </c>
      <c r="AM91" t="e">
        <f>OpeningTemplate!D99+"AM:!%xE"</f>
        <v>#VALUE!</v>
      </c>
      <c r="AN91" s="98" t="e">
        <f>OpeningTemplate!E99+"AM:!%xF"</f>
        <v>#VALUE!</v>
      </c>
      <c r="AO91" s="103" t="e">
        <f>OpeningTemplate!F99+"AM:!%xG"</f>
        <v>#VALUE!</v>
      </c>
      <c r="AP91" t="e">
        <f>OpeningTemplate!G99+"AM:!%xH"</f>
        <v>#VALUE!</v>
      </c>
      <c r="AQ91" t="e">
        <f>OpeningTemplate!H99+"AM:!%xI"</f>
        <v>#VALUE!</v>
      </c>
      <c r="AR91" t="e">
        <f>OpeningTemplate!I99+"AM:!%xJ"</f>
        <v>#VALUE!</v>
      </c>
      <c r="AS91" t="e">
        <f>OpeningTemplate!J99+"AM:!%xK"</f>
        <v>#VALUE!</v>
      </c>
      <c r="AT91" t="e">
        <f>OpeningTemplate!K99+"AM:!%xL"</f>
        <v>#VALUE!</v>
      </c>
      <c r="AU91" t="e">
        <f>OpeningTemplate!L99+"AM:!%xM"</f>
        <v>#VALUE!</v>
      </c>
      <c r="AV91" t="e">
        <f>OpeningTemplate!M99+"AM:!%xN"</f>
        <v>#VALUE!</v>
      </c>
      <c r="AW91" t="e">
        <f>OpeningTemplate!A100+"AM:!%xO"</f>
        <v>#VALUE!</v>
      </c>
      <c r="AX91" s="104" t="e">
        <f>OpeningTemplate!B100+"AM:!%xP"</f>
        <v>#VALUE!</v>
      </c>
      <c r="AY91" s="104" t="e">
        <f>OpeningTemplate!C100+"AM:!%xQ"</f>
        <v>#VALUE!</v>
      </c>
      <c r="AZ91" t="e">
        <f>OpeningTemplate!D100+"AM:!%xR"</f>
        <v>#VALUE!</v>
      </c>
      <c r="BA91" t="e">
        <f>OpeningTemplate!E100+"AM:!%xS"</f>
        <v>#VALUE!</v>
      </c>
      <c r="BB91" s="103" t="e">
        <f>OpeningTemplate!F100+"AM:!%xT"</f>
        <v>#VALUE!</v>
      </c>
      <c r="BC91" t="e">
        <f>OpeningTemplate!G100+"AM:!%xU"</f>
        <v>#VALUE!</v>
      </c>
      <c r="BD91" t="e">
        <f>OpeningTemplate!H100+"AM:!%xV"</f>
        <v>#VALUE!</v>
      </c>
      <c r="BE91" t="e">
        <f>OpeningTemplate!I100+"AM:!%xW"</f>
        <v>#VALUE!</v>
      </c>
      <c r="BF91" t="e">
        <f>OpeningTemplate!J100+"AM:!%xX"</f>
        <v>#VALUE!</v>
      </c>
      <c r="BG91" t="e">
        <f>OpeningTemplate!K100+"AM:!%xY"</f>
        <v>#VALUE!</v>
      </c>
      <c r="BH91" t="e">
        <f>OpeningTemplate!L100+"AM:!%xZ"</f>
        <v>#VALUE!</v>
      </c>
      <c r="BI91" t="e">
        <f>OpeningTemplate!M100+"AM:!%x["</f>
        <v>#VALUE!</v>
      </c>
      <c r="BJ91" t="e">
        <f>OpeningTemplate!A101+"AM:!%x\"</f>
        <v>#VALUE!</v>
      </c>
      <c r="BK91" s="104" t="e">
        <f>OpeningTemplate!B101+"AM:!%x]"</f>
        <v>#VALUE!</v>
      </c>
      <c r="BL91" s="104" t="e">
        <f>OpeningTemplate!C101+"AM:!%x^"</f>
        <v>#VALUE!</v>
      </c>
      <c r="BM91" t="e">
        <f>OpeningTemplate!D101+"AM:!%x_"</f>
        <v>#VALUE!</v>
      </c>
      <c r="BN91" t="e">
        <f>OpeningTemplate!E101+"AM:!%x`"</f>
        <v>#VALUE!</v>
      </c>
      <c r="BO91" s="103" t="e">
        <f>OpeningTemplate!F101+"AM:!%xa"</f>
        <v>#VALUE!</v>
      </c>
      <c r="BP91" t="e">
        <f>OpeningTemplate!G101+"AM:!%xb"</f>
        <v>#VALUE!</v>
      </c>
      <c r="BQ91" t="e">
        <f>OpeningTemplate!H101+"AM:!%xc"</f>
        <v>#VALUE!</v>
      </c>
      <c r="BR91" t="e">
        <f>OpeningTemplate!I101+"AM:!%xd"</f>
        <v>#VALUE!</v>
      </c>
      <c r="BS91" t="e">
        <f>OpeningTemplate!J101+"AM:!%xe"</f>
        <v>#VALUE!</v>
      </c>
      <c r="BT91" t="e">
        <f>OpeningTemplate!K101+"AM:!%xf"</f>
        <v>#VALUE!</v>
      </c>
      <c r="BU91" t="e">
        <f>OpeningTemplate!L101+"AM:!%xg"</f>
        <v>#VALUE!</v>
      </c>
      <c r="BV91" t="e">
        <f>OpeningTemplate!M101+"AM:!%xh"</f>
        <v>#VALUE!</v>
      </c>
      <c r="BW91" t="e">
        <f>OpeningTemplate!A102+"AM:!%xi"</f>
        <v>#VALUE!</v>
      </c>
      <c r="BX91" t="e">
        <f>OpeningTemplate!B102+"AM:!%xj"</f>
        <v>#VALUE!</v>
      </c>
      <c r="BY91" t="e">
        <f>OpeningTemplate!C102+"AM:!%xk"</f>
        <v>#VALUE!</v>
      </c>
      <c r="BZ91" t="e">
        <f>OpeningTemplate!D102+"AM:!%xl"</f>
        <v>#VALUE!</v>
      </c>
      <c r="CA91" t="e">
        <f>OpeningTemplate!E102+"AM:!%xm"</f>
        <v>#VALUE!</v>
      </c>
      <c r="CB91" t="e">
        <f>OpeningTemplate!F102+"AM:!%xn"</f>
        <v>#VALUE!</v>
      </c>
      <c r="CC91" t="e">
        <f>OpeningTemplate!G102+"AM:!%xo"</f>
        <v>#VALUE!</v>
      </c>
      <c r="CD91" t="e">
        <f>OpeningTemplate!H102+"AM:!%xp"</f>
        <v>#VALUE!</v>
      </c>
      <c r="CE91" t="e">
        <f>OpeningTemplate!I102+"AM:!%xq"</f>
        <v>#VALUE!</v>
      </c>
      <c r="CF91" t="e">
        <f>OpeningTemplate!J102+"AM:!%xr"</f>
        <v>#VALUE!</v>
      </c>
      <c r="CG91" t="e">
        <f>OpeningTemplate!K102+"AM:!%xs"</f>
        <v>#VALUE!</v>
      </c>
      <c r="CH91" t="e">
        <f>OpeningTemplate!L102+"AM:!%xt"</f>
        <v>#VALUE!</v>
      </c>
      <c r="CI91" t="e">
        <f>OpeningTemplate!A103+"AM:!%xu"</f>
        <v>#VALUE!</v>
      </c>
      <c r="CJ91" t="e">
        <f>OpeningTemplate!B103+"AM:!%xv"</f>
        <v>#VALUE!</v>
      </c>
      <c r="CK91" t="e">
        <f>OpeningTemplate!C103+"AM:!%xw"</f>
        <v>#VALUE!</v>
      </c>
      <c r="CL91" t="e">
        <f>OpeningTemplate!D103+"AM:!%xx"</f>
        <v>#VALUE!</v>
      </c>
      <c r="CM91" t="e">
        <f>OpeningTemplate!E103+"AM:!%xy"</f>
        <v>#VALUE!</v>
      </c>
      <c r="CN91" t="e">
        <f>OpeningTemplate!F103+"AM:!%xz"</f>
        <v>#VALUE!</v>
      </c>
      <c r="CO91" t="e">
        <f>OpeningTemplate!G103+"AM:!%x{"</f>
        <v>#VALUE!</v>
      </c>
      <c r="CP91" t="e">
        <f>OpeningTemplate!H103+"AM:!%x|"</f>
        <v>#VALUE!</v>
      </c>
      <c r="CQ91" t="e">
        <f>OpeningTemplate!I103+"AM:!%x}"</f>
        <v>#VALUE!</v>
      </c>
      <c r="CR91" t="e">
        <f>OpeningTemplate!J103+"AM:!%x~"</f>
        <v>#VALUE!</v>
      </c>
      <c r="CS91" t="e">
        <f>OpeningTemplate!K103+"AM:!%y#"</f>
        <v>#VALUE!</v>
      </c>
      <c r="CT91" t="e">
        <f>OpeningTemplate!L103+"AM:!%y$"</f>
        <v>#VALUE!</v>
      </c>
      <c r="CU91" t="e">
        <f>OpeningTemplate!M103+"AM:!%y%"</f>
        <v>#VALUE!</v>
      </c>
      <c r="CV91" t="e">
        <f>OpeningTemplate!A104+"AM:!%y&amp;"</f>
        <v>#VALUE!</v>
      </c>
      <c r="CW91" t="e">
        <f>OpeningTemplate!B104+"AM:!%y'"</f>
        <v>#VALUE!</v>
      </c>
      <c r="CX91" t="e">
        <f>OpeningTemplate!C104+"AM:!%y("</f>
        <v>#VALUE!</v>
      </c>
      <c r="CY91" t="e">
        <f>OpeningTemplate!D104+"AM:!%y)"</f>
        <v>#VALUE!</v>
      </c>
      <c r="CZ91" t="e">
        <f>OpeningTemplate!E104+"AM:!%y."</f>
        <v>#VALUE!</v>
      </c>
      <c r="DA91" s="103" t="e">
        <f>OpeningTemplate!F104+"AM:!%y/"</f>
        <v>#VALUE!</v>
      </c>
      <c r="DB91" s="103" t="e">
        <f>OpeningTemplate!G104+"AM:!%y0"</f>
        <v>#VALUE!</v>
      </c>
      <c r="DC91" s="103" t="e">
        <f>OpeningTemplate!H104+"AM:!%y1"</f>
        <v>#VALUE!</v>
      </c>
      <c r="DD91" s="103" t="e">
        <f>OpeningTemplate!I104+"AM:!%y2"</f>
        <v>#VALUE!</v>
      </c>
      <c r="DE91" s="103" t="e">
        <f>OpeningTemplate!J104+"AM:!%y3"</f>
        <v>#VALUE!</v>
      </c>
      <c r="DF91" s="103" t="e">
        <f>OpeningTemplate!K104+"AM:!%y4"</f>
        <v>#VALUE!</v>
      </c>
      <c r="DG91" t="e">
        <f>OpeningTemplate!L104+"AM:!%y5"</f>
        <v>#VALUE!</v>
      </c>
      <c r="DH91" t="e">
        <f>OpeningTemplate!M104+"AM:!%y6"</f>
        <v>#VALUE!</v>
      </c>
      <c r="DI91" t="e">
        <f>OpeningTemplate!A105+"AM:!%y7"</f>
        <v>#VALUE!</v>
      </c>
      <c r="DJ91" t="e">
        <f>OpeningTemplate!B105+"AM:!%y8"</f>
        <v>#VALUE!</v>
      </c>
      <c r="DK91" t="e">
        <f>OpeningTemplate!C105+"AM:!%y9"</f>
        <v>#VALUE!</v>
      </c>
      <c r="DL91" t="e">
        <f>OpeningTemplate!D105+"AM:!%y:"</f>
        <v>#VALUE!</v>
      </c>
      <c r="DM91" t="e">
        <f>OpeningTemplate!E105+"AM:!%y;"</f>
        <v>#VALUE!</v>
      </c>
      <c r="DN91" t="e">
        <f>OpeningTemplate!F105+"AM:!%y&lt;"</f>
        <v>#VALUE!</v>
      </c>
      <c r="DO91" t="e">
        <f>OpeningTemplate!G105+"AM:!%y="</f>
        <v>#VALUE!</v>
      </c>
      <c r="DP91" t="e">
        <f>OpeningTemplate!H105+"AM:!%y&gt;"</f>
        <v>#VALUE!</v>
      </c>
      <c r="DQ91" t="e">
        <f>OpeningTemplate!I105+"AM:!%y?"</f>
        <v>#VALUE!</v>
      </c>
      <c r="DR91" t="e">
        <f>OpeningTemplate!J105+"AM:!%y@"</f>
        <v>#VALUE!</v>
      </c>
      <c r="DS91" t="e">
        <f>OpeningTemplate!K105+"AM:!%yA"</f>
        <v>#VALUE!</v>
      </c>
      <c r="DT91" t="e">
        <f>OpeningTemplate!L105+"AM:!%yB"</f>
        <v>#VALUE!</v>
      </c>
      <c r="DU91" t="e">
        <f>OpeningTemplate!M105+"AM:!%yC"</f>
        <v>#VALUE!</v>
      </c>
      <c r="DV91" t="e">
        <f>OpeningTemplate!A106+"AM:!%yD"</f>
        <v>#VALUE!</v>
      </c>
      <c r="DW91" s="103" t="e">
        <f>OpeningTemplate!B106+"AM:!%yE"</f>
        <v>#VALUE!</v>
      </c>
      <c r="DX91" s="103" t="e">
        <f>OpeningTemplate!C106+"AM:!%yF"</f>
        <v>#VALUE!</v>
      </c>
      <c r="DY91" s="98" t="e">
        <f>OpeningTemplate!D106+"AM:!%yG"</f>
        <v>#VALUE!</v>
      </c>
      <c r="DZ91" s="98" t="e">
        <f>OpeningTemplate!E106+"AM:!%yH"</f>
        <v>#VALUE!</v>
      </c>
      <c r="EA91" t="e">
        <f>OpeningTemplate!F106+"AM:!%yI"</f>
        <v>#VALUE!</v>
      </c>
      <c r="EB91" t="e">
        <f>OpeningTemplate!G106+"AM:!%yJ"</f>
        <v>#VALUE!</v>
      </c>
      <c r="EC91" t="e">
        <f>OpeningTemplate!H106+"AM:!%yK"</f>
        <v>#VALUE!</v>
      </c>
      <c r="ED91" t="e">
        <f>OpeningTemplate!I106+"AM:!%yL"</f>
        <v>#VALUE!</v>
      </c>
      <c r="EE91" t="e">
        <f>OpeningTemplate!J106+"AM:!%yM"</f>
        <v>#VALUE!</v>
      </c>
      <c r="EF91" t="e">
        <f>OpeningTemplate!K106+"AM:!%yN"</f>
        <v>#VALUE!</v>
      </c>
      <c r="EG91" t="e">
        <f>OpeningTemplate!L106+"AM:!%yO"</f>
        <v>#VALUE!</v>
      </c>
      <c r="EH91" t="e">
        <f>OpeningTemplate!M106+"AM:!%yP"</f>
        <v>#VALUE!</v>
      </c>
      <c r="EI91" t="e">
        <f>OpeningTemplate!A107+"AM:!%yQ"</f>
        <v>#VALUE!</v>
      </c>
      <c r="EJ91" t="e">
        <f>OpeningTemplate!B107+"AM:!%yR"</f>
        <v>#VALUE!</v>
      </c>
      <c r="EK91" t="e">
        <f>OpeningTemplate!C107+"AM:!%yS"</f>
        <v>#VALUE!</v>
      </c>
      <c r="EL91" t="e">
        <f>OpeningTemplate!D107+"AM:!%yT"</f>
        <v>#VALUE!</v>
      </c>
      <c r="EM91" t="e">
        <f>OpeningTemplate!E107+"AM:!%yU"</f>
        <v>#VALUE!</v>
      </c>
      <c r="EN91" t="e">
        <f>OpeningTemplate!F107+"AM:!%yV"</f>
        <v>#VALUE!</v>
      </c>
      <c r="EO91" t="e">
        <f>OpeningTemplate!G107+"AM:!%yW"</f>
        <v>#VALUE!</v>
      </c>
      <c r="EP91" t="e">
        <f>OpeningTemplate!H107+"AM:!%yX"</f>
        <v>#VALUE!</v>
      </c>
      <c r="EQ91" t="e">
        <f>OpeningTemplate!I107+"AM:!%yY"</f>
        <v>#VALUE!</v>
      </c>
      <c r="ER91" t="e">
        <f>OpeningTemplate!J107+"AM:!%yZ"</f>
        <v>#VALUE!</v>
      </c>
      <c r="ES91" t="e">
        <f>OpeningTemplate!K107+"AM:!%y["</f>
        <v>#VALUE!</v>
      </c>
      <c r="ET91" t="e">
        <f>OpeningTemplate!L107+"AM:!%y\"</f>
        <v>#VALUE!</v>
      </c>
      <c r="EU91" t="e">
        <f>OpeningTemplate!M107+"AM:!%y]"</f>
        <v>#VALUE!</v>
      </c>
      <c r="EV91" t="e">
        <f>OpeningTemplate!A108+"AM:!%y^"</f>
        <v>#VALUE!</v>
      </c>
      <c r="EW91" t="e">
        <f>OpeningTemplate!B108+"AM:!%y_"</f>
        <v>#VALUE!</v>
      </c>
      <c r="EX91" t="e">
        <f>OpeningTemplate!C108+"AM:!%y`"</f>
        <v>#VALUE!</v>
      </c>
      <c r="EY91" t="e">
        <f>OpeningTemplate!D108+"AM:!%ya"</f>
        <v>#VALUE!</v>
      </c>
      <c r="EZ91" t="e">
        <f>OpeningTemplate!E108+"AM:!%yb"</f>
        <v>#VALUE!</v>
      </c>
      <c r="FA91" t="e">
        <f>OpeningTemplate!F108+"AM:!%yc"</f>
        <v>#VALUE!</v>
      </c>
      <c r="FB91" t="e">
        <f>OpeningTemplate!G108+"AM:!%yd"</f>
        <v>#VALUE!</v>
      </c>
      <c r="FC91" t="e">
        <f>OpeningTemplate!H108+"AM:!%ye"</f>
        <v>#VALUE!</v>
      </c>
      <c r="FD91" t="e">
        <f>OpeningTemplate!I108+"AM:!%yf"</f>
        <v>#VALUE!</v>
      </c>
      <c r="FE91" t="e">
        <f>OpeningTemplate!J108+"AM:!%yg"</f>
        <v>#VALUE!</v>
      </c>
      <c r="FF91" t="e">
        <f>OpeningTemplate!K108+"AM:!%yh"</f>
        <v>#VALUE!</v>
      </c>
      <c r="FG91" t="e">
        <f>OpeningTemplate!L108+"AM:!%yi"</f>
        <v>#VALUE!</v>
      </c>
      <c r="FH91" t="e">
        <f>OpeningTemplate!M108+"AM:!%yj"</f>
        <v>#VALUE!</v>
      </c>
      <c r="FI91" t="e">
        <f>OpeningTemplate!A109+"AM:!%yk"</f>
        <v>#VALUE!</v>
      </c>
      <c r="FJ91" s="104" t="e">
        <f>OpeningTemplate!B109+"AM:!%yl"</f>
        <v>#VALUE!</v>
      </c>
      <c r="FK91" s="104" t="e">
        <f>OpeningTemplate!C109+"AM:!%ym"</f>
        <v>#VALUE!</v>
      </c>
      <c r="FL91" t="e">
        <f>OpeningTemplate!D109+"AM:!%yn"</f>
        <v>#VALUE!</v>
      </c>
      <c r="FM91" s="98" t="e">
        <f>OpeningTemplate!E109+"AM:!%yo"</f>
        <v>#VALUE!</v>
      </c>
      <c r="FN91" s="103" t="e">
        <f>OpeningTemplate!F109+"AM:!%yp"</f>
        <v>#VALUE!</v>
      </c>
      <c r="FO91" t="e">
        <f>OpeningTemplate!G109+"AM:!%yq"</f>
        <v>#VALUE!</v>
      </c>
      <c r="FP91" t="e">
        <f>OpeningTemplate!H109+"AM:!%yr"</f>
        <v>#VALUE!</v>
      </c>
      <c r="FQ91" t="e">
        <f>OpeningTemplate!I109+"AM:!%ys"</f>
        <v>#VALUE!</v>
      </c>
      <c r="FR91" t="e">
        <f>OpeningTemplate!J109+"AM:!%yt"</f>
        <v>#VALUE!</v>
      </c>
      <c r="FS91" t="e">
        <f>OpeningTemplate!K109+"AM:!%yu"</f>
        <v>#VALUE!</v>
      </c>
      <c r="FT91" t="e">
        <f>OpeningTemplate!L109+"AM:!%yv"</f>
        <v>#VALUE!</v>
      </c>
      <c r="FU91" t="e">
        <f>OpeningTemplate!M109+"AM:!%yw"</f>
        <v>#VALUE!</v>
      </c>
      <c r="FV91" t="e">
        <f>OpeningTemplate!A110+"AM:!%yx"</f>
        <v>#VALUE!</v>
      </c>
      <c r="FW91" s="104" t="e">
        <f>OpeningTemplate!B110+"AM:!%yy"</f>
        <v>#VALUE!</v>
      </c>
      <c r="FX91" s="104" t="e">
        <f>OpeningTemplate!C110+"AM:!%yz"</f>
        <v>#VALUE!</v>
      </c>
      <c r="FY91" t="e">
        <f>OpeningTemplate!D110+"AM:!%y{"</f>
        <v>#VALUE!</v>
      </c>
      <c r="FZ91" t="e">
        <f>OpeningTemplate!E110+"AM:!%y|"</f>
        <v>#VALUE!</v>
      </c>
      <c r="GA91" s="103" t="e">
        <f>OpeningTemplate!F110+"AM:!%y}"</f>
        <v>#VALUE!</v>
      </c>
      <c r="GB91" t="e">
        <f>OpeningTemplate!G110+"AM:!%y~"</f>
        <v>#VALUE!</v>
      </c>
      <c r="GC91" t="e">
        <f>OpeningTemplate!H110+"AM:!%z#"</f>
        <v>#VALUE!</v>
      </c>
      <c r="GD91" t="e">
        <f>OpeningTemplate!I110+"AM:!%z$"</f>
        <v>#VALUE!</v>
      </c>
      <c r="GE91" t="e">
        <f>OpeningTemplate!J110+"AM:!%z%"</f>
        <v>#VALUE!</v>
      </c>
      <c r="GF91" t="e">
        <f>OpeningTemplate!K110+"AM:!%z&amp;"</f>
        <v>#VALUE!</v>
      </c>
      <c r="GG91" t="e">
        <f>OpeningTemplate!L110+"AM:!%z'"</f>
        <v>#VALUE!</v>
      </c>
      <c r="GH91" t="e">
        <f>OpeningTemplate!M110+"AM:!%z("</f>
        <v>#VALUE!</v>
      </c>
      <c r="GI91" t="e">
        <f>OpeningTemplate!A111+"AM:!%z)"</f>
        <v>#VALUE!</v>
      </c>
      <c r="GJ91" s="104" t="e">
        <f>OpeningTemplate!B111+"AM:!%z."</f>
        <v>#VALUE!</v>
      </c>
      <c r="GK91" s="104" t="e">
        <f>OpeningTemplate!C111+"AM:!%z/"</f>
        <v>#VALUE!</v>
      </c>
      <c r="GL91" t="e">
        <f>OpeningTemplate!D111+"AM:!%z0"</f>
        <v>#VALUE!</v>
      </c>
      <c r="GM91" t="e">
        <f>OpeningTemplate!E111+"AM:!%z1"</f>
        <v>#VALUE!</v>
      </c>
      <c r="GN91" s="103" t="e">
        <f>OpeningTemplate!F111+"AM:!%z2"</f>
        <v>#VALUE!</v>
      </c>
      <c r="GO91" t="e">
        <f>OpeningTemplate!G111+"AM:!%z3"</f>
        <v>#VALUE!</v>
      </c>
      <c r="GP91" t="e">
        <f>OpeningTemplate!H111+"AM:!%z4"</f>
        <v>#VALUE!</v>
      </c>
      <c r="GQ91" t="e">
        <f>OpeningTemplate!I111+"AM:!%z5"</f>
        <v>#VALUE!</v>
      </c>
      <c r="GR91" t="e">
        <f>OpeningTemplate!J111+"AM:!%z6"</f>
        <v>#VALUE!</v>
      </c>
      <c r="GS91" t="e">
        <f>OpeningTemplate!K111+"AM:!%z7"</f>
        <v>#VALUE!</v>
      </c>
      <c r="GT91" t="e">
        <f>OpeningTemplate!L111+"AM:!%z8"</f>
        <v>#VALUE!</v>
      </c>
      <c r="GU91" t="e">
        <f>OpeningTemplate!M111+"AM:!%z9"</f>
        <v>#VALUE!</v>
      </c>
      <c r="GV91" t="e">
        <f>OpeningTemplate!A112+"AM:!%z:"</f>
        <v>#VALUE!</v>
      </c>
      <c r="GW91" t="e">
        <f>OpeningTemplate!B112+"AM:!%z;"</f>
        <v>#VALUE!</v>
      </c>
      <c r="GX91" t="e">
        <f>OpeningTemplate!C112+"AM:!%z&lt;"</f>
        <v>#VALUE!</v>
      </c>
      <c r="GY91" t="e">
        <f>OpeningTemplate!D112+"AM:!%z="</f>
        <v>#VALUE!</v>
      </c>
      <c r="GZ91" t="e">
        <f>OpeningTemplate!E112+"AM:!%z&gt;"</f>
        <v>#VALUE!</v>
      </c>
      <c r="HA91" t="e">
        <f>OpeningTemplate!F112+"AM:!%z?"</f>
        <v>#VALUE!</v>
      </c>
      <c r="HB91" t="e">
        <f>OpeningTemplate!G112+"AM:!%z@"</f>
        <v>#VALUE!</v>
      </c>
      <c r="HC91" t="e">
        <f>OpeningTemplate!H112+"AM:!%zA"</f>
        <v>#VALUE!</v>
      </c>
      <c r="HD91" t="e">
        <f>OpeningTemplate!I112+"AM:!%zB"</f>
        <v>#VALUE!</v>
      </c>
      <c r="HE91" t="e">
        <f>OpeningTemplate!J112+"AM:!%zC"</f>
        <v>#VALUE!</v>
      </c>
      <c r="HF91" t="e">
        <f>OpeningTemplate!K112+"AM:!%zD"</f>
        <v>#VALUE!</v>
      </c>
      <c r="HG91" t="e">
        <f>OpeningTemplate!L112+"AM:!%zE"</f>
        <v>#VALUE!</v>
      </c>
      <c r="HH91" t="e">
        <f>OpeningTemplate!M112+"AM:!%zF"</f>
        <v>#VALUE!</v>
      </c>
      <c r="HI91" t="e">
        <f>OpeningTemplate!A113+"AM:!%zG"</f>
        <v>#VALUE!</v>
      </c>
      <c r="HJ91" t="e">
        <f>OpeningTemplate!B113+"AM:!%zH"</f>
        <v>#VALUE!</v>
      </c>
      <c r="HK91" t="e">
        <f>OpeningTemplate!C113+"AM:!%zI"</f>
        <v>#VALUE!</v>
      </c>
      <c r="HL91" t="e">
        <f>OpeningTemplate!D113+"AM:!%zJ"</f>
        <v>#VALUE!</v>
      </c>
      <c r="HM91" t="e">
        <f>OpeningTemplate!E113+"AM:!%zK"</f>
        <v>#VALUE!</v>
      </c>
      <c r="HN91" t="e">
        <f>OpeningTemplate!F113+"AM:!%zL"</f>
        <v>#VALUE!</v>
      </c>
      <c r="HO91" t="e">
        <f>OpeningTemplate!G113+"AM:!%zM"</f>
        <v>#VALUE!</v>
      </c>
      <c r="HP91" t="e">
        <f>OpeningTemplate!H113+"AM:!%zN"</f>
        <v>#VALUE!</v>
      </c>
      <c r="HQ91" t="e">
        <f>OpeningTemplate!I113+"AM:!%zO"</f>
        <v>#VALUE!</v>
      </c>
      <c r="HR91" t="e">
        <f>OpeningTemplate!J113+"AM:!%zP"</f>
        <v>#VALUE!</v>
      </c>
      <c r="HS91" t="e">
        <f>OpeningTemplate!K113+"AM:!%zQ"</f>
        <v>#VALUE!</v>
      </c>
      <c r="HT91" t="e">
        <f>OpeningTemplate!L113+"AM:!%zR"</f>
        <v>#VALUE!</v>
      </c>
      <c r="HU91" t="e">
        <f>OpeningTemplate!M113+"AM:!%zS"</f>
        <v>#VALUE!</v>
      </c>
      <c r="HV91" t="e">
        <f>OpeningTemplate!A114+"AM:!%zT"</f>
        <v>#VALUE!</v>
      </c>
      <c r="HW91" t="e">
        <f>OpeningTemplate!B114+"AM:!%zU"</f>
        <v>#VALUE!</v>
      </c>
      <c r="HX91" t="e">
        <f>OpeningTemplate!C114+"AM:!%zV"</f>
        <v>#VALUE!</v>
      </c>
      <c r="HY91" t="e">
        <f>OpeningTemplate!D114+"AM:!%zW"</f>
        <v>#VALUE!</v>
      </c>
      <c r="HZ91" t="e">
        <f>OpeningTemplate!E114+"AM:!%zX"</f>
        <v>#VALUE!</v>
      </c>
      <c r="IA91" s="103" t="e">
        <f>OpeningTemplate!F114+"AM:!%zY"</f>
        <v>#VALUE!</v>
      </c>
      <c r="IB91" s="103" t="e">
        <f>OpeningTemplate!G114+"AM:!%zZ"</f>
        <v>#VALUE!</v>
      </c>
      <c r="IC91" s="103" t="e">
        <f>OpeningTemplate!H114+"AM:!%z["</f>
        <v>#VALUE!</v>
      </c>
      <c r="ID91" s="103" t="e">
        <f>OpeningTemplate!I114+"AM:!%z\"</f>
        <v>#VALUE!</v>
      </c>
      <c r="IE91" s="103" t="e">
        <f>OpeningTemplate!J114+"AM:!%z]"</f>
        <v>#VALUE!</v>
      </c>
      <c r="IF91" s="103" t="e">
        <f>OpeningTemplate!K114+"AM:!%z^"</f>
        <v>#VALUE!</v>
      </c>
      <c r="IG91" t="e">
        <f>OpeningTemplate!L114+"AM:!%z_"</f>
        <v>#VALUE!</v>
      </c>
      <c r="IH91" t="e">
        <f>OpeningTemplate!M114+"AM:!%z`"</f>
        <v>#VALUE!</v>
      </c>
      <c r="II91" t="e">
        <f>OpeningTemplate!A115+"AM:!%za"</f>
        <v>#VALUE!</v>
      </c>
      <c r="IJ91" t="e">
        <f>OpeningTemplate!B115+"AM:!%zb"</f>
        <v>#VALUE!</v>
      </c>
      <c r="IK91" t="e">
        <f>OpeningTemplate!C115+"AM:!%zc"</f>
        <v>#VALUE!</v>
      </c>
      <c r="IL91" t="e">
        <f>OpeningTemplate!D115+"AM:!%zd"</f>
        <v>#VALUE!</v>
      </c>
      <c r="IM91" t="e">
        <f>OpeningTemplate!E115+"AM:!%ze"</f>
        <v>#VALUE!</v>
      </c>
      <c r="IN91" t="e">
        <f>OpeningTemplate!F115+"AM:!%zf"</f>
        <v>#VALUE!</v>
      </c>
      <c r="IO91" t="e">
        <f>OpeningTemplate!G115+"AM:!%zg"</f>
        <v>#VALUE!</v>
      </c>
      <c r="IP91" t="e">
        <f>OpeningTemplate!H115+"AM:!%zh"</f>
        <v>#VALUE!</v>
      </c>
      <c r="IQ91" t="e">
        <f>OpeningTemplate!I115+"AM:!%zi"</f>
        <v>#VALUE!</v>
      </c>
      <c r="IR91" t="e">
        <f>OpeningTemplate!J115+"AM:!%zj"</f>
        <v>#VALUE!</v>
      </c>
      <c r="IS91" t="e">
        <f>OpeningTemplate!K115+"AM:!%zk"</f>
        <v>#VALUE!</v>
      </c>
      <c r="IT91" t="e">
        <f>OpeningTemplate!L115+"AM:!%zl"</f>
        <v>#VALUE!</v>
      </c>
      <c r="IU91" t="e">
        <f>OpeningTemplate!A116+"AM:!%zm"</f>
        <v>#VALUE!</v>
      </c>
      <c r="IV91" s="103" t="e">
        <f>OpeningTemplate!B116+"AM:!%zn"</f>
        <v>#VALUE!</v>
      </c>
    </row>
    <row r="92" spans="6:256">
      <c r="F92" s="103" t="e">
        <f>OpeningTemplate!C116+"AM:!%zo"</f>
        <v>#VALUE!</v>
      </c>
      <c r="G92" s="98" t="e">
        <f>OpeningTemplate!D116+"AM:!%zp"</f>
        <v>#VALUE!</v>
      </c>
      <c r="H92" s="98" t="e">
        <f>OpeningTemplate!E116+"AM:!%zq"</f>
        <v>#VALUE!</v>
      </c>
      <c r="I92" t="e">
        <f>OpeningTemplate!F116+"AM:!%zr"</f>
        <v>#VALUE!</v>
      </c>
      <c r="J92" t="e">
        <f>OpeningTemplate!G116+"AM:!%zs"</f>
        <v>#VALUE!</v>
      </c>
      <c r="K92" t="e">
        <f>OpeningTemplate!H116+"AM:!%zt"</f>
        <v>#VALUE!</v>
      </c>
      <c r="L92" t="e">
        <f>OpeningTemplate!I116+"AM:!%zu"</f>
        <v>#VALUE!</v>
      </c>
      <c r="M92" t="e">
        <f>OpeningTemplate!J116+"AM:!%zv"</f>
        <v>#VALUE!</v>
      </c>
      <c r="N92" t="e">
        <f>OpeningTemplate!K116+"AM:!%zw"</f>
        <v>#VALUE!</v>
      </c>
      <c r="O92" t="e">
        <f>OpeningTemplate!L116+"AM:!%zx"</f>
        <v>#VALUE!</v>
      </c>
      <c r="P92" t="e">
        <f>OpeningTemplate!A117+"AM:!%zy"</f>
        <v>#VALUE!</v>
      </c>
      <c r="Q92" t="e">
        <f>OpeningTemplate!B117+"AM:!%zz"</f>
        <v>#VALUE!</v>
      </c>
      <c r="R92" t="e">
        <f>OpeningTemplate!C117+"AM:!%z{"</f>
        <v>#VALUE!</v>
      </c>
      <c r="S92" t="e">
        <f>OpeningTemplate!D117+"AM:!%z|"</f>
        <v>#VALUE!</v>
      </c>
      <c r="T92" t="e">
        <f>OpeningTemplate!E117+"AM:!%z}"</f>
        <v>#VALUE!</v>
      </c>
      <c r="U92" t="e">
        <f>OpeningTemplate!F117+"AM:!%z~"</f>
        <v>#VALUE!</v>
      </c>
      <c r="V92" t="e">
        <f>OpeningTemplate!G117+"AM:!%{#"</f>
        <v>#VALUE!</v>
      </c>
      <c r="W92" t="e">
        <f>OpeningTemplate!H117+"AM:!%{$"</f>
        <v>#VALUE!</v>
      </c>
      <c r="X92" t="e">
        <f>OpeningTemplate!I117+"AM:!%{%"</f>
        <v>#VALUE!</v>
      </c>
      <c r="Y92" t="e">
        <f>OpeningTemplate!J117+"AM:!%{&amp;"</f>
        <v>#VALUE!</v>
      </c>
      <c r="Z92" t="e">
        <f>OpeningTemplate!K117+"AM:!%{'"</f>
        <v>#VALUE!</v>
      </c>
      <c r="AA92" t="e">
        <f>OpeningTemplate!L117+"AM:!%{("</f>
        <v>#VALUE!</v>
      </c>
      <c r="AB92" t="e">
        <f>OpeningTemplate!A118+"AM:!%{)"</f>
        <v>#VALUE!</v>
      </c>
      <c r="AC92" t="e">
        <f>OpeningTemplate!B118+"AM:!%{."</f>
        <v>#VALUE!</v>
      </c>
      <c r="AD92" t="e">
        <f>OpeningTemplate!C118+"AM:!%{/"</f>
        <v>#VALUE!</v>
      </c>
      <c r="AE92" t="e">
        <f>OpeningTemplate!D118+"AM:!%{0"</f>
        <v>#VALUE!</v>
      </c>
      <c r="AF92" t="e">
        <f>OpeningTemplate!E118+"AM:!%{1"</f>
        <v>#VALUE!</v>
      </c>
      <c r="AG92" t="e">
        <f>OpeningTemplate!F118+"AM:!%{2"</f>
        <v>#VALUE!</v>
      </c>
      <c r="AH92" t="e">
        <f>OpeningTemplate!G118+"AM:!%{3"</f>
        <v>#VALUE!</v>
      </c>
      <c r="AI92" t="e">
        <f>OpeningTemplate!H118+"AM:!%{4"</f>
        <v>#VALUE!</v>
      </c>
      <c r="AJ92" t="e">
        <f>OpeningTemplate!I118+"AM:!%{5"</f>
        <v>#VALUE!</v>
      </c>
      <c r="AK92" t="e">
        <f>OpeningTemplate!J118+"AM:!%{6"</f>
        <v>#VALUE!</v>
      </c>
      <c r="AL92" t="e">
        <f>OpeningTemplate!K118+"AM:!%{7"</f>
        <v>#VALUE!</v>
      </c>
      <c r="AM92" t="e">
        <f>OpeningTemplate!L118+"AM:!%{8"</f>
        <v>#VALUE!</v>
      </c>
      <c r="AN92" t="e">
        <f>OpeningTemplate!A119+"AM:!%{9"</f>
        <v>#VALUE!</v>
      </c>
      <c r="AO92" s="104" t="e">
        <f>OpeningTemplate!B119+"AM:!%{:"</f>
        <v>#VALUE!</v>
      </c>
      <c r="AP92" s="104" t="e">
        <f>OpeningTemplate!C119+"AM:!%{;"</f>
        <v>#VALUE!</v>
      </c>
      <c r="AQ92" t="e">
        <f>OpeningTemplate!D119+"AM:!%{&lt;"</f>
        <v>#VALUE!</v>
      </c>
      <c r="AR92" s="98" t="e">
        <f>OpeningTemplate!E119+"AM:!%{="</f>
        <v>#VALUE!</v>
      </c>
      <c r="AS92" s="103" t="e">
        <f>OpeningTemplate!F119+"AM:!%{&gt;"</f>
        <v>#VALUE!</v>
      </c>
      <c r="AT92" t="e">
        <f>OpeningTemplate!G119+"AM:!%{?"</f>
        <v>#VALUE!</v>
      </c>
      <c r="AU92" t="e">
        <f>OpeningTemplate!H119+"AM:!%{@"</f>
        <v>#VALUE!</v>
      </c>
      <c r="AV92" t="e">
        <f>OpeningTemplate!I119+"AM:!%{A"</f>
        <v>#VALUE!</v>
      </c>
      <c r="AW92" t="e">
        <f>OpeningTemplate!J119+"AM:!%{B"</f>
        <v>#VALUE!</v>
      </c>
      <c r="AX92" t="e">
        <f>OpeningTemplate!K119+"AM:!%{C"</f>
        <v>#VALUE!</v>
      </c>
      <c r="AY92" t="e">
        <f>OpeningTemplate!L119+"AM:!%{D"</f>
        <v>#VALUE!</v>
      </c>
      <c r="AZ92" t="e">
        <f>OpeningTemplate!A120+"AM:!%{E"</f>
        <v>#VALUE!</v>
      </c>
      <c r="BA92" s="104" t="e">
        <f>OpeningTemplate!B120+"AM:!%{F"</f>
        <v>#VALUE!</v>
      </c>
      <c r="BB92" s="104" t="e">
        <f>OpeningTemplate!C120+"AM:!%{G"</f>
        <v>#VALUE!</v>
      </c>
      <c r="BC92" t="e">
        <f>OpeningTemplate!D120+"AM:!%{H"</f>
        <v>#VALUE!</v>
      </c>
      <c r="BD92" t="e">
        <f>OpeningTemplate!E120+"AM:!%{I"</f>
        <v>#VALUE!</v>
      </c>
      <c r="BE92" s="103" t="e">
        <f>OpeningTemplate!F120+"AM:!%{J"</f>
        <v>#VALUE!</v>
      </c>
      <c r="BF92" t="e">
        <f>OpeningTemplate!G120+"AM:!%{K"</f>
        <v>#VALUE!</v>
      </c>
      <c r="BG92" t="e">
        <f>OpeningTemplate!H120+"AM:!%{L"</f>
        <v>#VALUE!</v>
      </c>
      <c r="BH92" t="e">
        <f>OpeningTemplate!I120+"AM:!%{M"</f>
        <v>#VALUE!</v>
      </c>
      <c r="BI92" t="e">
        <f>OpeningTemplate!J120+"AM:!%{N"</f>
        <v>#VALUE!</v>
      </c>
      <c r="BJ92" t="e">
        <f>OpeningTemplate!K120+"AM:!%{O"</f>
        <v>#VALUE!</v>
      </c>
      <c r="BK92" t="e">
        <f>OpeningTemplate!L120+"AM:!%{P"</f>
        <v>#VALUE!</v>
      </c>
      <c r="BL92" t="e">
        <f>OpeningTemplate!A121+"AM:!%{Q"</f>
        <v>#VALUE!</v>
      </c>
      <c r="BM92" s="104" t="e">
        <f>OpeningTemplate!B121+"AM:!%{R"</f>
        <v>#VALUE!</v>
      </c>
      <c r="BN92" s="104" t="e">
        <f>OpeningTemplate!C121+"AM:!%{S"</f>
        <v>#VALUE!</v>
      </c>
      <c r="BO92" t="e">
        <f>OpeningTemplate!D121+"AM:!%{T"</f>
        <v>#VALUE!</v>
      </c>
      <c r="BP92" t="e">
        <f>OpeningTemplate!E121+"AM:!%{U"</f>
        <v>#VALUE!</v>
      </c>
      <c r="BQ92" s="103" t="e">
        <f>OpeningTemplate!F121+"AM:!%{V"</f>
        <v>#VALUE!</v>
      </c>
      <c r="BR92" t="e">
        <f>OpeningTemplate!G121+"AM:!%{W"</f>
        <v>#VALUE!</v>
      </c>
      <c r="BS92" t="e">
        <f>OpeningTemplate!H121+"AM:!%{X"</f>
        <v>#VALUE!</v>
      </c>
      <c r="BT92" t="e">
        <f>OpeningTemplate!I121+"AM:!%{Y"</f>
        <v>#VALUE!</v>
      </c>
      <c r="BU92" t="e">
        <f>OpeningTemplate!J121+"AM:!%{Z"</f>
        <v>#VALUE!</v>
      </c>
      <c r="BV92" t="e">
        <f>OpeningTemplate!K121+"AM:!%{["</f>
        <v>#VALUE!</v>
      </c>
      <c r="BW92" t="e">
        <f>OpeningTemplate!L121+"AM:!%{\"</f>
        <v>#VALUE!</v>
      </c>
      <c r="BX92" t="e">
        <f>OpeningTemplate!A122+"AM:!%{]"</f>
        <v>#VALUE!</v>
      </c>
      <c r="BY92" t="e">
        <f>OpeningTemplate!B122+"AM:!%{^"</f>
        <v>#VALUE!</v>
      </c>
      <c r="BZ92" t="e">
        <f>OpeningTemplate!C122+"AM:!%{_"</f>
        <v>#VALUE!</v>
      </c>
      <c r="CA92" t="e">
        <f>OpeningTemplate!D122+"AM:!%{`"</f>
        <v>#VALUE!</v>
      </c>
      <c r="CB92" t="e">
        <f>OpeningTemplate!E122+"AM:!%{a"</f>
        <v>#VALUE!</v>
      </c>
      <c r="CC92" t="e">
        <f>OpeningTemplate!F122+"AM:!%{b"</f>
        <v>#VALUE!</v>
      </c>
      <c r="CD92" t="e">
        <f>OpeningTemplate!G122+"AM:!%{c"</f>
        <v>#VALUE!</v>
      </c>
      <c r="CE92" t="e">
        <f>OpeningTemplate!H122+"AM:!%{d"</f>
        <v>#VALUE!</v>
      </c>
      <c r="CF92" t="e">
        <f>OpeningTemplate!I122+"AM:!%{e"</f>
        <v>#VALUE!</v>
      </c>
      <c r="CG92" t="e">
        <f>OpeningTemplate!J122+"AM:!%{f"</f>
        <v>#VALUE!</v>
      </c>
      <c r="CH92" t="e">
        <f>OpeningTemplate!K122+"AM:!%{g"</f>
        <v>#VALUE!</v>
      </c>
      <c r="CI92" t="e">
        <f>OpeningTemplate!L122+"AM:!%{h"</f>
        <v>#VALUE!</v>
      </c>
      <c r="CJ92" t="e">
        <f>OpeningTemplate!A123+"AM:!%{i"</f>
        <v>#VALUE!</v>
      </c>
      <c r="CK92" t="e">
        <f>OpeningTemplate!B123+"AM:!%{j"</f>
        <v>#VALUE!</v>
      </c>
      <c r="CL92" t="e">
        <f>OpeningTemplate!C123+"AM:!%{k"</f>
        <v>#VALUE!</v>
      </c>
      <c r="CM92" t="e">
        <f>OpeningTemplate!D123+"AM:!%{l"</f>
        <v>#VALUE!</v>
      </c>
      <c r="CN92" t="e">
        <f>OpeningTemplate!E123+"AM:!%{m"</f>
        <v>#VALUE!</v>
      </c>
      <c r="CO92" t="e">
        <f>OpeningTemplate!F123+"AM:!%{n"</f>
        <v>#VALUE!</v>
      </c>
      <c r="CP92" t="e">
        <f>OpeningTemplate!G123+"AM:!%{o"</f>
        <v>#VALUE!</v>
      </c>
      <c r="CQ92" t="e">
        <f>OpeningTemplate!H123+"AM:!%{p"</f>
        <v>#VALUE!</v>
      </c>
      <c r="CR92" t="e">
        <f>OpeningTemplate!I123+"AM:!%{q"</f>
        <v>#VALUE!</v>
      </c>
      <c r="CS92" t="e">
        <f>OpeningTemplate!J123+"AM:!%{r"</f>
        <v>#VALUE!</v>
      </c>
      <c r="CT92" t="e">
        <f>OpeningTemplate!K123+"AM:!%{s"</f>
        <v>#VALUE!</v>
      </c>
      <c r="CU92" t="e">
        <f>OpeningTemplate!L123+"AM:!%{t"</f>
        <v>#VALUE!</v>
      </c>
      <c r="CV92" t="e">
        <f>OpeningTemplate!A124+"AM:!%{u"</f>
        <v>#VALUE!</v>
      </c>
      <c r="CW92" t="e">
        <f>OpeningTemplate!B124+"AM:!%{v"</f>
        <v>#VALUE!</v>
      </c>
      <c r="CX92" t="e">
        <f>OpeningTemplate!C124+"AM:!%{w"</f>
        <v>#VALUE!</v>
      </c>
      <c r="CY92" t="e">
        <f>OpeningTemplate!D124+"AM:!%{x"</f>
        <v>#VALUE!</v>
      </c>
      <c r="CZ92" t="e">
        <f>OpeningTemplate!E124+"AM:!%{y"</f>
        <v>#VALUE!</v>
      </c>
      <c r="DA92" s="103" t="e">
        <f>OpeningTemplate!F124+"AM:!%{z"</f>
        <v>#VALUE!</v>
      </c>
      <c r="DB92" s="103" t="e">
        <f>OpeningTemplate!G124+"AM:!%{{"</f>
        <v>#VALUE!</v>
      </c>
      <c r="DC92" s="103" t="e">
        <f>OpeningTemplate!H124+"AM:!%{|"</f>
        <v>#VALUE!</v>
      </c>
      <c r="DD92" s="103" t="e">
        <f>OpeningTemplate!I124+"AM:!%{}"</f>
        <v>#VALUE!</v>
      </c>
      <c r="DE92" s="103" t="e">
        <f>OpeningTemplate!J124+"AM:!%{~"</f>
        <v>#VALUE!</v>
      </c>
      <c r="DF92" s="103" t="e">
        <f>OpeningTemplate!K124+"AM:!%|#"</f>
        <v>#VALUE!</v>
      </c>
      <c r="DG92" t="e">
        <f>OpeningTemplate!L124+"AM:!%|$"</f>
        <v>#VALUE!</v>
      </c>
      <c r="DH92" t="e">
        <f>OpeningTemplate!A125+"AM:!%|%"</f>
        <v>#VALUE!</v>
      </c>
      <c r="DI92" t="e">
        <f>OpeningTemplate!B125+"AM:!%|&amp;"</f>
        <v>#VALUE!</v>
      </c>
      <c r="DJ92" t="e">
        <f>OpeningTemplate!C125+"AM:!%|'"</f>
        <v>#VALUE!</v>
      </c>
      <c r="DK92" t="e">
        <f>OpeningTemplate!D125+"AM:!%|("</f>
        <v>#VALUE!</v>
      </c>
      <c r="DL92" t="e">
        <f>OpeningTemplate!E125+"AM:!%|)"</f>
        <v>#VALUE!</v>
      </c>
      <c r="DM92" t="e">
        <f>OpeningTemplate!F125+"AM:!%|."</f>
        <v>#VALUE!</v>
      </c>
      <c r="DN92" t="e">
        <f>OpeningTemplate!G125+"AM:!%|/"</f>
        <v>#VALUE!</v>
      </c>
      <c r="DO92" t="e">
        <f>OpeningTemplate!H125+"AM:!%|0"</f>
        <v>#VALUE!</v>
      </c>
      <c r="DP92" t="e">
        <f>OpeningTemplate!I125+"AM:!%|1"</f>
        <v>#VALUE!</v>
      </c>
      <c r="DQ92" t="e">
        <f>OpeningTemplate!J125+"AM:!%|2"</f>
        <v>#VALUE!</v>
      </c>
      <c r="DR92" t="e">
        <f>OpeningTemplate!K125+"AM:!%|3"</f>
        <v>#VALUE!</v>
      </c>
      <c r="DS92" t="e">
        <f>OpeningTemplate!L125+"AM:!%|4"</f>
        <v>#VALUE!</v>
      </c>
      <c r="DT92" t="e">
        <f>OpeningTemplate!A126+"AM:!%|5"</f>
        <v>#VALUE!</v>
      </c>
      <c r="DU92" s="103" t="e">
        <f>OpeningTemplate!B126+"AM:!%|6"</f>
        <v>#VALUE!</v>
      </c>
      <c r="DV92" s="103" t="e">
        <f>OpeningTemplate!C126+"AM:!%|7"</f>
        <v>#VALUE!</v>
      </c>
      <c r="DW92" s="98" t="e">
        <f>OpeningTemplate!D126+"AM:!%|8"</f>
        <v>#VALUE!</v>
      </c>
      <c r="DX92" s="98" t="e">
        <f>OpeningTemplate!E126+"AM:!%|9"</f>
        <v>#VALUE!</v>
      </c>
      <c r="DY92" t="e">
        <f>OpeningTemplate!F126+"AM:!%|:"</f>
        <v>#VALUE!</v>
      </c>
      <c r="DZ92" t="e">
        <f>OpeningTemplate!G126+"AM:!%|;"</f>
        <v>#VALUE!</v>
      </c>
      <c r="EA92" t="e">
        <f>OpeningTemplate!H126+"AM:!%|&lt;"</f>
        <v>#VALUE!</v>
      </c>
      <c r="EB92" t="e">
        <f>OpeningTemplate!I126+"AM:!%|="</f>
        <v>#VALUE!</v>
      </c>
      <c r="EC92" t="e">
        <f>OpeningTemplate!J126+"AM:!%|&gt;"</f>
        <v>#VALUE!</v>
      </c>
      <c r="ED92" t="e">
        <f>OpeningTemplate!K126+"AM:!%|?"</f>
        <v>#VALUE!</v>
      </c>
      <c r="EE92" t="e">
        <f>OpeningTemplate!L126+"AM:!%|@"</f>
        <v>#VALUE!</v>
      </c>
      <c r="EF92" t="e">
        <f>OpeningTemplate!A127+"AM:!%|A"</f>
        <v>#VALUE!</v>
      </c>
      <c r="EG92" t="e">
        <f>OpeningTemplate!B127+"AM:!%|B"</f>
        <v>#VALUE!</v>
      </c>
      <c r="EH92" t="e">
        <f>OpeningTemplate!C127+"AM:!%|C"</f>
        <v>#VALUE!</v>
      </c>
      <c r="EI92" t="e">
        <f>OpeningTemplate!D127+"AM:!%|D"</f>
        <v>#VALUE!</v>
      </c>
      <c r="EJ92" t="e">
        <f>OpeningTemplate!E127+"AM:!%|E"</f>
        <v>#VALUE!</v>
      </c>
      <c r="EK92" t="e">
        <f>OpeningTemplate!F127+"AM:!%|F"</f>
        <v>#VALUE!</v>
      </c>
      <c r="EL92" t="e">
        <f>OpeningTemplate!G127+"AM:!%|G"</f>
        <v>#VALUE!</v>
      </c>
      <c r="EM92" t="e">
        <f>OpeningTemplate!H127+"AM:!%|H"</f>
        <v>#VALUE!</v>
      </c>
      <c r="EN92" t="e">
        <f>OpeningTemplate!I127+"AM:!%|I"</f>
        <v>#VALUE!</v>
      </c>
      <c r="EO92" t="e">
        <f>OpeningTemplate!J127+"AM:!%|J"</f>
        <v>#VALUE!</v>
      </c>
      <c r="EP92" t="e">
        <f>OpeningTemplate!K127+"AM:!%|K"</f>
        <v>#VALUE!</v>
      </c>
      <c r="EQ92" t="e">
        <f>OpeningTemplate!L127+"AM:!%|L"</f>
        <v>#VALUE!</v>
      </c>
      <c r="ER92" t="e">
        <f>OpeningTemplate!A128+"AM:!%|M"</f>
        <v>#VALUE!</v>
      </c>
      <c r="ES92" t="e">
        <f>OpeningTemplate!B128+"AM:!%|N"</f>
        <v>#VALUE!</v>
      </c>
      <c r="ET92" t="e">
        <f>OpeningTemplate!C128+"AM:!%|O"</f>
        <v>#VALUE!</v>
      </c>
      <c r="EU92" t="e">
        <f>OpeningTemplate!D128+"AM:!%|P"</f>
        <v>#VALUE!</v>
      </c>
      <c r="EV92" t="e">
        <f>OpeningTemplate!E128+"AM:!%|Q"</f>
        <v>#VALUE!</v>
      </c>
      <c r="EW92" t="e">
        <f>OpeningTemplate!F128+"AM:!%|R"</f>
        <v>#VALUE!</v>
      </c>
      <c r="EX92" t="e">
        <f>OpeningTemplate!G128+"AM:!%|S"</f>
        <v>#VALUE!</v>
      </c>
      <c r="EY92" t="e">
        <f>OpeningTemplate!H128+"AM:!%|T"</f>
        <v>#VALUE!</v>
      </c>
      <c r="EZ92" t="e">
        <f>OpeningTemplate!I128+"AM:!%|U"</f>
        <v>#VALUE!</v>
      </c>
      <c r="FA92" t="e">
        <f>OpeningTemplate!J128+"AM:!%|V"</f>
        <v>#VALUE!</v>
      </c>
      <c r="FB92" t="e">
        <f>OpeningTemplate!K128+"AM:!%|W"</f>
        <v>#VALUE!</v>
      </c>
      <c r="FC92" t="e">
        <f>OpeningTemplate!L128+"AM:!%|X"</f>
        <v>#VALUE!</v>
      </c>
      <c r="FD92" t="e">
        <f>OpeningTemplate!A129+"AM:!%|Y"</f>
        <v>#VALUE!</v>
      </c>
      <c r="FE92" s="104" t="e">
        <f>OpeningTemplate!B129+"AM:!%|Z"</f>
        <v>#VALUE!</v>
      </c>
      <c r="FF92" s="104" t="e">
        <f>OpeningTemplate!C129+"AM:!%|["</f>
        <v>#VALUE!</v>
      </c>
      <c r="FG92" t="e">
        <f>OpeningTemplate!D129+"AM:!%|\"</f>
        <v>#VALUE!</v>
      </c>
      <c r="FH92" t="e">
        <f>OpeningTemplate!E129+"AM:!%|]"</f>
        <v>#VALUE!</v>
      </c>
      <c r="FI92" s="103" t="e">
        <f>OpeningTemplate!F129+"AM:!%|^"</f>
        <v>#VALUE!</v>
      </c>
      <c r="FJ92" t="e">
        <f>OpeningTemplate!G129+"AM:!%|_"</f>
        <v>#VALUE!</v>
      </c>
      <c r="FK92" t="e">
        <f>OpeningTemplate!H129+"AM:!%|`"</f>
        <v>#VALUE!</v>
      </c>
      <c r="FL92" t="e">
        <f>OpeningTemplate!I129+"AM:!%|a"</f>
        <v>#VALUE!</v>
      </c>
      <c r="FM92" t="e">
        <f>OpeningTemplate!J129+"AM:!%|b"</f>
        <v>#VALUE!</v>
      </c>
      <c r="FN92" t="e">
        <f>OpeningTemplate!K129+"AM:!%|c"</f>
        <v>#VALUE!</v>
      </c>
      <c r="FO92" t="e">
        <f>OpeningTemplate!L129+"AM:!%|d"</f>
        <v>#VALUE!</v>
      </c>
      <c r="FP92" t="e">
        <f>OpeningTemplate!A130+"AM:!%|e"</f>
        <v>#VALUE!</v>
      </c>
      <c r="FQ92" s="104" t="e">
        <f>OpeningTemplate!B130+"AM:!%|f"</f>
        <v>#VALUE!</v>
      </c>
      <c r="FR92" s="104" t="e">
        <f>OpeningTemplate!C130+"AM:!%|g"</f>
        <v>#VALUE!</v>
      </c>
      <c r="FS92" t="e">
        <f>OpeningTemplate!D130+"AM:!%|h"</f>
        <v>#VALUE!</v>
      </c>
      <c r="FT92" t="e">
        <f>OpeningTemplate!E130+"AM:!%|i"</f>
        <v>#VALUE!</v>
      </c>
      <c r="FU92" s="103" t="e">
        <f>OpeningTemplate!F130+"AM:!%|j"</f>
        <v>#VALUE!</v>
      </c>
      <c r="FV92" t="e">
        <f>OpeningTemplate!G130+"AM:!%|k"</f>
        <v>#VALUE!</v>
      </c>
      <c r="FW92" t="e">
        <f>OpeningTemplate!H130+"AM:!%|l"</f>
        <v>#VALUE!</v>
      </c>
      <c r="FX92" t="e">
        <f>OpeningTemplate!I130+"AM:!%|m"</f>
        <v>#VALUE!</v>
      </c>
      <c r="FY92" t="e">
        <f>OpeningTemplate!J130+"AM:!%|n"</f>
        <v>#VALUE!</v>
      </c>
      <c r="FZ92" t="e">
        <f>OpeningTemplate!K130+"AM:!%|o"</f>
        <v>#VALUE!</v>
      </c>
      <c r="GA92" t="e">
        <f>OpeningTemplate!L130+"AM:!%|p"</f>
        <v>#VALUE!</v>
      </c>
      <c r="GB92" t="e">
        <f>OpeningTemplate!A131+"AM:!%|q"</f>
        <v>#VALUE!</v>
      </c>
      <c r="GC92" s="104" t="e">
        <f>OpeningTemplate!B131+"AM:!%|r"</f>
        <v>#VALUE!</v>
      </c>
      <c r="GD92" s="104" t="e">
        <f>OpeningTemplate!C131+"AM:!%|s"</f>
        <v>#VALUE!</v>
      </c>
      <c r="GE92" t="e">
        <f>OpeningTemplate!D131+"AM:!%|t"</f>
        <v>#VALUE!</v>
      </c>
      <c r="GF92" t="e">
        <f>OpeningTemplate!E131+"AM:!%|u"</f>
        <v>#VALUE!</v>
      </c>
      <c r="GG92" s="103" t="e">
        <f>OpeningTemplate!F131+"AM:!%|v"</f>
        <v>#VALUE!</v>
      </c>
      <c r="GH92" t="e">
        <f>OpeningTemplate!G131+"AM:!%|w"</f>
        <v>#VALUE!</v>
      </c>
      <c r="GI92" t="e">
        <f>OpeningTemplate!H131+"AM:!%|x"</f>
        <v>#VALUE!</v>
      </c>
      <c r="GJ92" t="e">
        <f>OpeningTemplate!I131+"AM:!%|y"</f>
        <v>#VALUE!</v>
      </c>
      <c r="GK92" t="e">
        <f>OpeningTemplate!J131+"AM:!%|z"</f>
        <v>#VALUE!</v>
      </c>
      <c r="GL92" t="e">
        <f>OpeningTemplate!K131+"AM:!%|{"</f>
        <v>#VALUE!</v>
      </c>
      <c r="GM92" t="e">
        <f>OpeningTemplate!L131+"AM:!%||"</f>
        <v>#VALUE!</v>
      </c>
      <c r="GN92" t="e">
        <f>OpeningTemplate!A132+"AM:!%|}"</f>
        <v>#VALUE!</v>
      </c>
      <c r="GO92" t="e">
        <f>OpeningTemplate!B132+"AM:!%|~"</f>
        <v>#VALUE!</v>
      </c>
      <c r="GP92" t="e">
        <f>OpeningTemplate!C132+"AM:!%}#"</f>
        <v>#VALUE!</v>
      </c>
      <c r="GQ92" t="e">
        <f>OpeningTemplate!D132+"AM:!%}$"</f>
        <v>#VALUE!</v>
      </c>
      <c r="GR92" t="e">
        <f>OpeningTemplate!E132+"AM:!%}%"</f>
        <v>#VALUE!</v>
      </c>
      <c r="GS92" t="e">
        <f>OpeningTemplate!F132+"AM:!%}&amp;"</f>
        <v>#VALUE!</v>
      </c>
      <c r="GT92" t="e">
        <f>OpeningTemplate!G132+"AM:!%}'"</f>
        <v>#VALUE!</v>
      </c>
      <c r="GU92" t="e">
        <f>OpeningTemplate!H132+"AM:!%}("</f>
        <v>#VALUE!</v>
      </c>
      <c r="GV92" t="e">
        <f>OpeningTemplate!I132+"AM:!%})"</f>
        <v>#VALUE!</v>
      </c>
      <c r="GW92" t="e">
        <f>OpeningTemplate!J132+"AM:!%}."</f>
        <v>#VALUE!</v>
      </c>
      <c r="GX92" t="e">
        <f>OpeningTemplate!K132+"AM:!%}/"</f>
        <v>#VALUE!</v>
      </c>
      <c r="GY92" t="e">
        <f>OpeningTemplate!L132+"AM:!%}0"</f>
        <v>#VALUE!</v>
      </c>
      <c r="GZ92" t="e">
        <f>OpeningTemplate!A133+"AM:!%}1"</f>
        <v>#VALUE!</v>
      </c>
      <c r="HA92" t="e">
        <f>OpeningTemplate!B133+"AM:!%}2"</f>
        <v>#VALUE!</v>
      </c>
      <c r="HB92" t="e">
        <f>OpeningTemplate!C133+"AM:!%}3"</f>
        <v>#VALUE!</v>
      </c>
      <c r="HC92" t="e">
        <f>OpeningTemplate!D133+"AM:!%}4"</f>
        <v>#VALUE!</v>
      </c>
      <c r="HD92" t="e">
        <f>OpeningTemplate!E133+"AM:!%}5"</f>
        <v>#VALUE!</v>
      </c>
      <c r="HE92" t="e">
        <f>OpeningTemplate!F133+"AM:!%}6"</f>
        <v>#VALUE!</v>
      </c>
      <c r="HF92" t="e">
        <f>OpeningTemplate!G133+"AM:!%}7"</f>
        <v>#VALUE!</v>
      </c>
      <c r="HG92" t="e">
        <f>OpeningTemplate!H133+"AM:!%}8"</f>
        <v>#VALUE!</v>
      </c>
      <c r="HH92" t="e">
        <f>OpeningTemplate!I133+"AM:!%}9"</f>
        <v>#VALUE!</v>
      </c>
      <c r="HI92" t="e">
        <f>OpeningTemplate!J133+"AM:!%}:"</f>
        <v>#VALUE!</v>
      </c>
      <c r="HJ92" t="e">
        <f>OpeningTemplate!K133+"AM:!%};"</f>
        <v>#VALUE!</v>
      </c>
      <c r="HK92" t="e">
        <f>OpeningTemplate!L133+"AM:!%}&lt;"</f>
        <v>#VALUE!</v>
      </c>
      <c r="HL92" t="e">
        <f>OpeningTemplate!A134+"AM:!%}="</f>
        <v>#VALUE!</v>
      </c>
      <c r="HM92" t="e">
        <f>OpeningTemplate!B134+"AM:!%}&gt;"</f>
        <v>#VALUE!</v>
      </c>
      <c r="HN92" t="e">
        <f>OpeningTemplate!C134+"AM:!%}?"</f>
        <v>#VALUE!</v>
      </c>
      <c r="HO92" t="e">
        <f>OpeningTemplate!D134+"AM:!%}@"</f>
        <v>#VALUE!</v>
      </c>
      <c r="HP92" t="e">
        <f>OpeningTemplate!E134+"AM:!%}A"</f>
        <v>#VALUE!</v>
      </c>
      <c r="HQ92" s="103" t="e">
        <f>OpeningTemplate!F134+"AM:!%}B"</f>
        <v>#VALUE!</v>
      </c>
      <c r="HR92" s="103" t="e">
        <f>OpeningTemplate!G134+"AM:!%}C"</f>
        <v>#VALUE!</v>
      </c>
      <c r="HS92" s="103" t="e">
        <f>OpeningTemplate!H134+"AM:!%}D"</f>
        <v>#VALUE!</v>
      </c>
      <c r="HT92" s="103" t="e">
        <f>OpeningTemplate!I134+"AM:!%}E"</f>
        <v>#VALUE!</v>
      </c>
      <c r="HU92" s="103" t="e">
        <f>OpeningTemplate!J134+"AM:!%}F"</f>
        <v>#VALUE!</v>
      </c>
      <c r="HV92" s="103" t="e">
        <f>OpeningTemplate!K134+"AM:!%}G"</f>
        <v>#VALUE!</v>
      </c>
      <c r="HW92" t="e">
        <f>OpeningTemplate!L134+"AM:!%}H"</f>
        <v>#VALUE!</v>
      </c>
      <c r="HX92" t="e">
        <f>OpeningTemplate!A135+"AM:!%}I"</f>
        <v>#VALUE!</v>
      </c>
      <c r="HY92" t="e">
        <f>OpeningTemplate!B135+"AM:!%}J"</f>
        <v>#VALUE!</v>
      </c>
      <c r="HZ92" t="e">
        <f>OpeningTemplate!C135+"AM:!%}K"</f>
        <v>#VALUE!</v>
      </c>
      <c r="IA92" t="e">
        <f>OpeningTemplate!D135+"AM:!%}L"</f>
        <v>#VALUE!</v>
      </c>
      <c r="IB92" t="e">
        <f>OpeningTemplate!E135+"AM:!%}M"</f>
        <v>#VALUE!</v>
      </c>
      <c r="IC92" t="e">
        <f>OpeningTemplate!F135+"AM:!%}N"</f>
        <v>#VALUE!</v>
      </c>
      <c r="ID92" t="e">
        <f>OpeningTemplate!G135+"AM:!%}O"</f>
        <v>#VALUE!</v>
      </c>
      <c r="IE92" t="e">
        <f>OpeningTemplate!H135+"AM:!%}P"</f>
        <v>#VALUE!</v>
      </c>
      <c r="IF92" t="e">
        <f>OpeningTemplate!I135+"AM:!%}Q"</f>
        <v>#VALUE!</v>
      </c>
      <c r="IG92" t="e">
        <f>OpeningTemplate!J135+"AM:!%}R"</f>
        <v>#VALUE!</v>
      </c>
      <c r="IH92" t="e">
        <f>OpeningTemplate!K135+"AM:!%}S"</f>
        <v>#VALUE!</v>
      </c>
      <c r="II92" t="e">
        <f>OpeningTemplate!L135+"AM:!%}T"</f>
        <v>#VALUE!</v>
      </c>
      <c r="IJ92" t="e">
        <f>OpeningTemplate!A136+"AM:!%}U"</f>
        <v>#VALUE!</v>
      </c>
      <c r="IK92" s="103" t="e">
        <f>OpeningTemplate!B136+"AM:!%}V"</f>
        <v>#VALUE!</v>
      </c>
      <c r="IL92" s="103" t="e">
        <f>OpeningTemplate!C136+"AM:!%}W"</f>
        <v>#VALUE!</v>
      </c>
      <c r="IM92" s="98" t="e">
        <f>OpeningTemplate!D136+"AM:!%}X"</f>
        <v>#VALUE!</v>
      </c>
      <c r="IN92" s="98" t="e">
        <f>OpeningTemplate!E136+"AM:!%}Y"</f>
        <v>#VALUE!</v>
      </c>
      <c r="IO92" t="e">
        <f>OpeningTemplate!F136+"AM:!%}Z"</f>
        <v>#VALUE!</v>
      </c>
      <c r="IP92" t="e">
        <f>OpeningTemplate!G136+"AM:!%}["</f>
        <v>#VALUE!</v>
      </c>
      <c r="IQ92" t="e">
        <f>OpeningTemplate!H136+"AM:!%}\"</f>
        <v>#VALUE!</v>
      </c>
      <c r="IR92" t="e">
        <f>OpeningTemplate!I136+"AM:!%}]"</f>
        <v>#VALUE!</v>
      </c>
      <c r="IS92" t="e">
        <f>OpeningTemplate!J136+"AM:!%}^"</f>
        <v>#VALUE!</v>
      </c>
      <c r="IT92" t="e">
        <f>OpeningTemplate!K136+"AM:!%}_"</f>
        <v>#VALUE!</v>
      </c>
      <c r="IU92" t="e">
        <f>OpeningTemplate!L136+"AM:!%}`"</f>
        <v>#VALUE!</v>
      </c>
      <c r="IV92" t="e">
        <f>OpeningTemplate!A137+"AM:!%}a"</f>
        <v>#VALUE!</v>
      </c>
    </row>
    <row r="93" spans="6:256">
      <c r="F93" t="e">
        <f>OpeningTemplate!B137+"AM:!%}b"</f>
        <v>#VALUE!</v>
      </c>
      <c r="G93" t="e">
        <f>OpeningTemplate!C137+"AM:!%}c"</f>
        <v>#VALUE!</v>
      </c>
      <c r="H93" t="e">
        <f>OpeningTemplate!D137+"AM:!%}d"</f>
        <v>#VALUE!</v>
      </c>
      <c r="I93" t="e">
        <f>OpeningTemplate!E137+"AM:!%}e"</f>
        <v>#VALUE!</v>
      </c>
      <c r="J93" t="e">
        <f>OpeningTemplate!F137+"AM:!%}f"</f>
        <v>#VALUE!</v>
      </c>
      <c r="K93" t="e">
        <f>OpeningTemplate!G137+"AM:!%}g"</f>
        <v>#VALUE!</v>
      </c>
      <c r="L93" t="e">
        <f>OpeningTemplate!H137+"AM:!%}h"</f>
        <v>#VALUE!</v>
      </c>
      <c r="M93" t="e">
        <f>OpeningTemplate!I137+"AM:!%}i"</f>
        <v>#VALUE!</v>
      </c>
      <c r="N93" t="e">
        <f>OpeningTemplate!J137+"AM:!%}j"</f>
        <v>#VALUE!</v>
      </c>
      <c r="O93" t="e">
        <f>OpeningTemplate!K137+"AM:!%}k"</f>
        <v>#VALUE!</v>
      </c>
      <c r="P93" t="e">
        <f>OpeningTemplate!L137+"AM:!%}l"</f>
        <v>#VALUE!</v>
      </c>
      <c r="Q93" t="e">
        <f>OpeningTemplate!A138+"AM:!%}m"</f>
        <v>#VALUE!</v>
      </c>
      <c r="R93" t="e">
        <f>OpeningTemplate!B138+"AM:!%}n"</f>
        <v>#VALUE!</v>
      </c>
      <c r="S93" t="e">
        <f>OpeningTemplate!C138+"AM:!%}o"</f>
        <v>#VALUE!</v>
      </c>
      <c r="T93" t="e">
        <f>OpeningTemplate!D138+"AM:!%}p"</f>
        <v>#VALUE!</v>
      </c>
      <c r="U93" t="e">
        <f>OpeningTemplate!E138+"AM:!%}q"</f>
        <v>#VALUE!</v>
      </c>
      <c r="V93" t="e">
        <f>OpeningTemplate!F138+"AM:!%}r"</f>
        <v>#VALUE!</v>
      </c>
      <c r="W93" t="e">
        <f>OpeningTemplate!G138+"AM:!%}s"</f>
        <v>#VALUE!</v>
      </c>
      <c r="X93" t="e">
        <f>OpeningTemplate!H138+"AM:!%}t"</f>
        <v>#VALUE!</v>
      </c>
      <c r="Y93" t="e">
        <f>OpeningTemplate!I138+"AM:!%}u"</f>
        <v>#VALUE!</v>
      </c>
      <c r="Z93" t="e">
        <f>OpeningTemplate!J138+"AM:!%}v"</f>
        <v>#VALUE!</v>
      </c>
      <c r="AA93" t="e">
        <f>OpeningTemplate!K138+"AM:!%}w"</f>
        <v>#VALUE!</v>
      </c>
      <c r="AB93" t="e">
        <f>OpeningTemplate!L138+"AM:!%}x"</f>
        <v>#VALUE!</v>
      </c>
      <c r="AC93" t="e">
        <f>OpeningTemplate!A139+"AM:!%}y"</f>
        <v>#VALUE!</v>
      </c>
      <c r="AD93" s="104" t="e">
        <f>OpeningTemplate!B139+"AM:!%}z"</f>
        <v>#VALUE!</v>
      </c>
      <c r="AE93" s="104" t="e">
        <f>OpeningTemplate!C139+"AM:!%}{"</f>
        <v>#VALUE!</v>
      </c>
      <c r="AF93" t="e">
        <f>OpeningTemplate!D139+"AM:!%}|"</f>
        <v>#VALUE!</v>
      </c>
      <c r="AG93" t="e">
        <f>OpeningTemplate!E139+"AM:!%}}"</f>
        <v>#VALUE!</v>
      </c>
      <c r="AH93" s="103" t="e">
        <f>OpeningTemplate!F139+"AM:!%}~"</f>
        <v>#VALUE!</v>
      </c>
      <c r="AI93" t="e">
        <f>OpeningTemplate!G139+"AM:!%~#"</f>
        <v>#VALUE!</v>
      </c>
      <c r="AJ93" t="e">
        <f>OpeningTemplate!H139+"AM:!%~$"</f>
        <v>#VALUE!</v>
      </c>
      <c r="AK93" t="e">
        <f>OpeningTemplate!I139+"AM:!%~%"</f>
        <v>#VALUE!</v>
      </c>
      <c r="AL93" t="e">
        <f>OpeningTemplate!J139+"AM:!%~&amp;"</f>
        <v>#VALUE!</v>
      </c>
      <c r="AM93" t="e">
        <f>OpeningTemplate!K139+"AM:!%~'"</f>
        <v>#VALUE!</v>
      </c>
      <c r="AN93" t="e">
        <f>OpeningTemplate!L139+"AM:!%~("</f>
        <v>#VALUE!</v>
      </c>
      <c r="AO93" t="e">
        <f>OpeningTemplate!A140+"AM:!%~)"</f>
        <v>#VALUE!</v>
      </c>
      <c r="AP93" s="104" t="e">
        <f>OpeningTemplate!B140+"AM:!%~."</f>
        <v>#VALUE!</v>
      </c>
      <c r="AQ93" s="104" t="e">
        <f>OpeningTemplate!C140+"AM:!%~/"</f>
        <v>#VALUE!</v>
      </c>
      <c r="AR93" t="e">
        <f>OpeningTemplate!D140+"AM:!%~0"</f>
        <v>#VALUE!</v>
      </c>
      <c r="AS93" t="e">
        <f>OpeningTemplate!E140+"AM:!%~1"</f>
        <v>#VALUE!</v>
      </c>
      <c r="AT93" s="103" t="e">
        <f>OpeningTemplate!F140+"AM:!%~2"</f>
        <v>#VALUE!</v>
      </c>
      <c r="AU93" t="e">
        <f>OpeningTemplate!G140+"AM:!%~3"</f>
        <v>#VALUE!</v>
      </c>
      <c r="AV93" t="e">
        <f>OpeningTemplate!H140+"AM:!%~4"</f>
        <v>#VALUE!</v>
      </c>
      <c r="AW93" t="e">
        <f>OpeningTemplate!I140+"AM:!%~5"</f>
        <v>#VALUE!</v>
      </c>
      <c r="AX93" t="e">
        <f>OpeningTemplate!J140+"AM:!%~6"</f>
        <v>#VALUE!</v>
      </c>
      <c r="AY93" t="e">
        <f>OpeningTemplate!K140+"AM:!%~7"</f>
        <v>#VALUE!</v>
      </c>
      <c r="AZ93" t="e">
        <f>OpeningTemplate!L140+"AM:!%~8"</f>
        <v>#VALUE!</v>
      </c>
      <c r="BA93" t="e">
        <f>OpeningTemplate!A141+"AM:!%~9"</f>
        <v>#VALUE!</v>
      </c>
      <c r="BB93" s="104" t="e">
        <f>OpeningTemplate!B141+"AM:!%~:"</f>
        <v>#VALUE!</v>
      </c>
      <c r="BC93" s="104" t="e">
        <f>OpeningTemplate!C141+"AM:!%~;"</f>
        <v>#VALUE!</v>
      </c>
      <c r="BD93" t="e">
        <f>OpeningTemplate!D141+"AM:!%~&lt;"</f>
        <v>#VALUE!</v>
      </c>
      <c r="BE93" t="e">
        <f>OpeningTemplate!E141+"AM:!%~="</f>
        <v>#VALUE!</v>
      </c>
      <c r="BF93" s="103" t="e">
        <f>OpeningTemplate!F141+"AM:!%~&gt;"</f>
        <v>#VALUE!</v>
      </c>
      <c r="BG93" t="e">
        <f>OpeningTemplate!G141+"AM:!%~?"</f>
        <v>#VALUE!</v>
      </c>
      <c r="BH93" t="e">
        <f>OpeningTemplate!H141+"AM:!%~@"</f>
        <v>#VALUE!</v>
      </c>
      <c r="BI93" t="e">
        <f>OpeningTemplate!I141+"AM:!%~A"</f>
        <v>#VALUE!</v>
      </c>
      <c r="BJ93" t="e">
        <f>OpeningTemplate!J141+"AM:!%~B"</f>
        <v>#VALUE!</v>
      </c>
      <c r="BK93" t="e">
        <f>OpeningTemplate!K141+"AM:!%~C"</f>
        <v>#VALUE!</v>
      </c>
      <c r="BL93" t="e">
        <f>OpeningTemplate!L141+"AM:!%~D"</f>
        <v>#VALUE!</v>
      </c>
      <c r="BM93" t="e">
        <f>OpeningTemplate!A142+"AM:!%~E"</f>
        <v>#VALUE!</v>
      </c>
      <c r="BN93" t="e">
        <f>OpeningTemplate!B142+"AM:!%~F"</f>
        <v>#VALUE!</v>
      </c>
      <c r="BO93" t="e">
        <f>OpeningTemplate!C142+"AM:!%~G"</f>
        <v>#VALUE!</v>
      </c>
      <c r="BP93" t="e">
        <f>OpeningTemplate!D142+"AM:!%~H"</f>
        <v>#VALUE!</v>
      </c>
      <c r="BQ93" t="e">
        <f>OpeningTemplate!E142+"AM:!%~I"</f>
        <v>#VALUE!</v>
      </c>
      <c r="BR93" t="e">
        <f>OpeningTemplate!F142+"AM:!%~J"</f>
        <v>#VALUE!</v>
      </c>
      <c r="BS93" t="e">
        <f>OpeningTemplate!G142+"AM:!%~K"</f>
        <v>#VALUE!</v>
      </c>
      <c r="BT93" t="e">
        <f>OpeningTemplate!H142+"AM:!%~L"</f>
        <v>#VALUE!</v>
      </c>
      <c r="BU93" t="e">
        <f>OpeningTemplate!I142+"AM:!%~M"</f>
        <v>#VALUE!</v>
      </c>
      <c r="BV93" t="e">
        <f>OpeningTemplate!J142+"AM:!%~N"</f>
        <v>#VALUE!</v>
      </c>
      <c r="BW93" t="e">
        <f>OpeningTemplate!K142+"AM:!%~O"</f>
        <v>#VALUE!</v>
      </c>
      <c r="BX93" t="e">
        <f>OpeningTemplate!L142+"AM:!%~P"</f>
        <v>#VALUE!</v>
      </c>
      <c r="BY93" t="e">
        <f>OpeningTemplate!A143+"AM:!%~Q"</f>
        <v>#VALUE!</v>
      </c>
      <c r="BZ93" t="e">
        <f>OpeningTemplate!B143+"AM:!%~R"</f>
        <v>#VALUE!</v>
      </c>
      <c r="CA93" t="e">
        <f>OpeningTemplate!C143+"AM:!%~S"</f>
        <v>#VALUE!</v>
      </c>
      <c r="CB93" t="e">
        <f>OpeningTemplate!D143+"AM:!%~T"</f>
        <v>#VALUE!</v>
      </c>
      <c r="CC93" t="e">
        <f>OpeningTemplate!E143+"AM:!%~U"</f>
        <v>#VALUE!</v>
      </c>
      <c r="CD93" t="e">
        <f>OpeningTemplate!F143+"AM:!%~V"</f>
        <v>#VALUE!</v>
      </c>
      <c r="CE93" t="e">
        <f>OpeningTemplate!G143+"AM:!%~W"</f>
        <v>#VALUE!</v>
      </c>
      <c r="CF93" t="e">
        <f>OpeningTemplate!H143+"AM:!%~X"</f>
        <v>#VALUE!</v>
      </c>
      <c r="CG93" t="e">
        <f>OpeningTemplate!I143+"AM:!%~Y"</f>
        <v>#VALUE!</v>
      </c>
      <c r="CH93" t="e">
        <f>OpeningTemplate!J143+"AM:!%~Z"</f>
        <v>#VALUE!</v>
      </c>
      <c r="CI93" t="e">
        <f>OpeningTemplate!K143+"AM:!%~["</f>
        <v>#VALUE!</v>
      </c>
      <c r="CJ93" t="e">
        <f>OpeningTemplate!L143+"AM:!%~\"</f>
        <v>#VALUE!</v>
      </c>
      <c r="CK93" t="e">
        <f>OpeningTemplate!A144+"AM:!%~]"</f>
        <v>#VALUE!</v>
      </c>
      <c r="CL93" t="e">
        <f>OpeningTemplate!B144+"AM:!%~^"</f>
        <v>#VALUE!</v>
      </c>
      <c r="CM93" t="e">
        <f>OpeningTemplate!C144+"AM:!%~_"</f>
        <v>#VALUE!</v>
      </c>
      <c r="CN93" t="e">
        <f>OpeningTemplate!D144+"AM:!%~`"</f>
        <v>#VALUE!</v>
      </c>
      <c r="CO93" t="e">
        <f>OpeningTemplate!E144+"AM:!%~a"</f>
        <v>#VALUE!</v>
      </c>
      <c r="CP93" s="103" t="e">
        <f>OpeningTemplate!F144+"AM:!%~b"</f>
        <v>#VALUE!</v>
      </c>
      <c r="CQ93" s="103" t="e">
        <f>OpeningTemplate!G144+"AM:!%~c"</f>
        <v>#VALUE!</v>
      </c>
      <c r="CR93" s="103" t="e">
        <f>OpeningTemplate!H144+"AM:!%~d"</f>
        <v>#VALUE!</v>
      </c>
      <c r="CS93" s="103" t="e">
        <f>OpeningTemplate!I144+"AM:!%~e"</f>
        <v>#VALUE!</v>
      </c>
      <c r="CT93" s="103" t="e">
        <f>OpeningTemplate!J144+"AM:!%~f"</f>
        <v>#VALUE!</v>
      </c>
      <c r="CU93" s="103" t="e">
        <f>OpeningTemplate!K144+"AM:!%~g"</f>
        <v>#VALUE!</v>
      </c>
      <c r="CV93" t="e">
        <f>OpeningTemplate!L144+"AM:!%~h"</f>
        <v>#VALUE!</v>
      </c>
      <c r="CW93" t="e">
        <f>OpeningTemplate!A145+"AM:!%~i"</f>
        <v>#VALUE!</v>
      </c>
      <c r="CX93" t="e">
        <f>OpeningTemplate!B145+"AM:!%~j"</f>
        <v>#VALUE!</v>
      </c>
      <c r="CY93" t="e">
        <f>OpeningTemplate!C145+"AM:!%~k"</f>
        <v>#VALUE!</v>
      </c>
      <c r="CZ93" t="e">
        <f>OpeningTemplate!D145+"AM:!%~l"</f>
        <v>#VALUE!</v>
      </c>
      <c r="DA93" t="e">
        <f>OpeningTemplate!E145+"AM:!%~m"</f>
        <v>#VALUE!</v>
      </c>
      <c r="DB93" t="e">
        <f>OpeningTemplate!F145+"AM:!%~n"</f>
        <v>#VALUE!</v>
      </c>
      <c r="DC93" t="e">
        <f>OpeningTemplate!G145+"AM:!%~o"</f>
        <v>#VALUE!</v>
      </c>
      <c r="DD93" t="e">
        <f>OpeningTemplate!H145+"AM:!%~p"</f>
        <v>#VALUE!</v>
      </c>
      <c r="DE93" t="e">
        <f>OpeningTemplate!I145+"AM:!%~q"</f>
        <v>#VALUE!</v>
      </c>
      <c r="DF93" t="e">
        <f>OpeningTemplate!J145+"AM:!%~r"</f>
        <v>#VALUE!</v>
      </c>
      <c r="DG93" t="e">
        <f>OpeningTemplate!K145+"AM:!%~s"</f>
        <v>#VALUE!</v>
      </c>
      <c r="DH93" t="e">
        <f>OpeningTemplate!L145+"AM:!%~t"</f>
        <v>#VALUE!</v>
      </c>
      <c r="DI93" t="e">
        <f>OpeningTemplate!A146+"AM:!%~u"</f>
        <v>#VALUE!</v>
      </c>
      <c r="DJ93" s="103" t="e">
        <f>OpeningTemplate!B146+"AM:!%~v"</f>
        <v>#VALUE!</v>
      </c>
      <c r="DK93" s="103" t="e">
        <f>OpeningTemplate!C146+"AM:!%~w"</f>
        <v>#VALUE!</v>
      </c>
      <c r="DL93" s="98" t="e">
        <f>OpeningTemplate!D146+"AM:!%~x"</f>
        <v>#VALUE!</v>
      </c>
      <c r="DM93" s="98" t="e">
        <f>OpeningTemplate!E146+"AM:!%~y"</f>
        <v>#VALUE!</v>
      </c>
      <c r="DN93" t="e">
        <f>OpeningTemplate!F146+"AM:!%~z"</f>
        <v>#VALUE!</v>
      </c>
      <c r="DO93" t="e">
        <f>OpeningTemplate!G146+"AM:!%~{"</f>
        <v>#VALUE!</v>
      </c>
      <c r="DP93" t="e">
        <f>OpeningTemplate!H146+"AM:!%~|"</f>
        <v>#VALUE!</v>
      </c>
      <c r="DQ93" t="e">
        <f>OpeningTemplate!I146+"AM:!%~}"</f>
        <v>#VALUE!</v>
      </c>
      <c r="DR93" t="e">
        <f>OpeningTemplate!J146+"AM:!%~~"</f>
        <v>#VALUE!</v>
      </c>
      <c r="DS93" t="e">
        <f>OpeningTemplate!K146+"AM:!&amp;##"</f>
        <v>#VALUE!</v>
      </c>
      <c r="DT93" t="e">
        <f>OpeningTemplate!L146+"AM:!&amp;#$"</f>
        <v>#VALUE!</v>
      </c>
      <c r="DU93" t="e">
        <f>OpeningTemplate!A147+"AM:!&amp;#%"</f>
        <v>#VALUE!</v>
      </c>
      <c r="DV93" t="e">
        <f>OpeningTemplate!B147+"AM:!&amp;#&amp;"</f>
        <v>#VALUE!</v>
      </c>
      <c r="DW93" t="e">
        <f>OpeningTemplate!C147+"AM:!&amp;#'"</f>
        <v>#VALUE!</v>
      </c>
      <c r="DX93" t="e">
        <f>OpeningTemplate!D147+"AM:!&amp;#("</f>
        <v>#VALUE!</v>
      </c>
      <c r="DY93" t="e">
        <f>OpeningTemplate!E147+"AM:!&amp;#)"</f>
        <v>#VALUE!</v>
      </c>
      <c r="DZ93" t="e">
        <f>OpeningTemplate!F147+"AM:!&amp;#."</f>
        <v>#VALUE!</v>
      </c>
      <c r="EA93" t="e">
        <f>OpeningTemplate!G147+"AM:!&amp;#/"</f>
        <v>#VALUE!</v>
      </c>
      <c r="EB93" t="e">
        <f>OpeningTemplate!H147+"AM:!&amp;#0"</f>
        <v>#VALUE!</v>
      </c>
      <c r="EC93" t="e">
        <f>OpeningTemplate!I147+"AM:!&amp;#1"</f>
        <v>#VALUE!</v>
      </c>
      <c r="ED93" t="e">
        <f>OpeningTemplate!J147+"AM:!&amp;#2"</f>
        <v>#VALUE!</v>
      </c>
      <c r="EE93" t="e">
        <f>OpeningTemplate!K147+"AM:!&amp;#3"</f>
        <v>#VALUE!</v>
      </c>
      <c r="EF93" t="e">
        <f>OpeningTemplate!L147+"AM:!&amp;#4"</f>
        <v>#VALUE!</v>
      </c>
      <c r="EG93" t="e">
        <f>OpeningTemplate!A148+"AM:!&amp;#5"</f>
        <v>#VALUE!</v>
      </c>
      <c r="EH93" t="e">
        <f>OpeningTemplate!B148+"AM:!&amp;#6"</f>
        <v>#VALUE!</v>
      </c>
      <c r="EI93" t="e">
        <f>OpeningTemplate!C148+"AM:!&amp;#7"</f>
        <v>#VALUE!</v>
      </c>
      <c r="EJ93" t="e">
        <f>OpeningTemplate!D148+"AM:!&amp;#8"</f>
        <v>#VALUE!</v>
      </c>
      <c r="EK93" t="e">
        <f>OpeningTemplate!E148+"AM:!&amp;#9"</f>
        <v>#VALUE!</v>
      </c>
      <c r="EL93" t="e">
        <f>OpeningTemplate!F148+"AM:!&amp;#:"</f>
        <v>#VALUE!</v>
      </c>
      <c r="EM93" t="e">
        <f>OpeningTemplate!G148+"AM:!&amp;#;"</f>
        <v>#VALUE!</v>
      </c>
      <c r="EN93" t="e">
        <f>OpeningTemplate!H148+"AM:!&amp;#&lt;"</f>
        <v>#VALUE!</v>
      </c>
      <c r="EO93" t="e">
        <f>OpeningTemplate!I148+"AM:!&amp;#="</f>
        <v>#VALUE!</v>
      </c>
      <c r="EP93" t="e">
        <f>OpeningTemplate!J148+"AM:!&amp;#&gt;"</f>
        <v>#VALUE!</v>
      </c>
      <c r="EQ93" t="e">
        <f>OpeningTemplate!K148+"AM:!&amp;#?"</f>
        <v>#VALUE!</v>
      </c>
      <c r="ER93" t="e">
        <f>OpeningTemplate!L148+"AM:!&amp;#@"</f>
        <v>#VALUE!</v>
      </c>
      <c r="ES93" t="e">
        <f>OpeningTemplate!A149+"AM:!&amp;#A"</f>
        <v>#VALUE!</v>
      </c>
      <c r="ET93" s="104" t="e">
        <f>OpeningTemplate!B149+"AM:!&amp;#B"</f>
        <v>#VALUE!</v>
      </c>
      <c r="EU93" s="104" t="e">
        <f>OpeningTemplate!C149+"AM:!&amp;#C"</f>
        <v>#VALUE!</v>
      </c>
      <c r="EV93" t="e">
        <f>OpeningTemplate!D149+"AM:!&amp;#D"</f>
        <v>#VALUE!</v>
      </c>
      <c r="EW93" t="e">
        <f>OpeningTemplate!E149+"AM:!&amp;#E"</f>
        <v>#VALUE!</v>
      </c>
      <c r="EX93" s="103" t="e">
        <f>OpeningTemplate!F149+"AM:!&amp;#F"</f>
        <v>#VALUE!</v>
      </c>
      <c r="EY93" t="e">
        <f>OpeningTemplate!G149+"AM:!&amp;#G"</f>
        <v>#VALUE!</v>
      </c>
      <c r="EZ93" t="e">
        <f>OpeningTemplate!H149+"AM:!&amp;#H"</f>
        <v>#VALUE!</v>
      </c>
      <c r="FA93" t="e">
        <f>OpeningTemplate!I149+"AM:!&amp;#I"</f>
        <v>#VALUE!</v>
      </c>
      <c r="FB93" t="e">
        <f>OpeningTemplate!J149+"AM:!&amp;#J"</f>
        <v>#VALUE!</v>
      </c>
      <c r="FC93" t="e">
        <f>OpeningTemplate!K149+"AM:!&amp;#K"</f>
        <v>#VALUE!</v>
      </c>
      <c r="FD93" t="e">
        <f>OpeningTemplate!L149+"AM:!&amp;#L"</f>
        <v>#VALUE!</v>
      </c>
      <c r="FE93" t="e">
        <f>OpeningTemplate!A150+"AM:!&amp;#M"</f>
        <v>#VALUE!</v>
      </c>
      <c r="FF93" s="104" t="e">
        <f>OpeningTemplate!B150+"AM:!&amp;#N"</f>
        <v>#VALUE!</v>
      </c>
      <c r="FG93" s="104" t="e">
        <f>OpeningTemplate!C150+"AM:!&amp;#O"</f>
        <v>#VALUE!</v>
      </c>
      <c r="FH93" t="e">
        <f>OpeningTemplate!D150+"AM:!&amp;#P"</f>
        <v>#VALUE!</v>
      </c>
      <c r="FI93" t="e">
        <f>OpeningTemplate!E150+"AM:!&amp;#Q"</f>
        <v>#VALUE!</v>
      </c>
      <c r="FJ93" s="103" t="e">
        <f>OpeningTemplate!F150+"AM:!&amp;#R"</f>
        <v>#VALUE!</v>
      </c>
      <c r="FK93" t="e">
        <f>OpeningTemplate!G150+"AM:!&amp;#S"</f>
        <v>#VALUE!</v>
      </c>
      <c r="FL93" t="e">
        <f>OpeningTemplate!H150+"AM:!&amp;#T"</f>
        <v>#VALUE!</v>
      </c>
      <c r="FM93" t="e">
        <f>OpeningTemplate!I150+"AM:!&amp;#U"</f>
        <v>#VALUE!</v>
      </c>
      <c r="FN93" t="e">
        <f>OpeningTemplate!J150+"AM:!&amp;#V"</f>
        <v>#VALUE!</v>
      </c>
      <c r="FO93" t="e">
        <f>OpeningTemplate!K150+"AM:!&amp;#W"</f>
        <v>#VALUE!</v>
      </c>
      <c r="FP93" t="e">
        <f>OpeningTemplate!L150+"AM:!&amp;#X"</f>
        <v>#VALUE!</v>
      </c>
      <c r="FQ93" t="e">
        <f>OpeningTemplate!A151+"AM:!&amp;#Y"</f>
        <v>#VALUE!</v>
      </c>
      <c r="FR93" s="104" t="e">
        <f>OpeningTemplate!B151+"AM:!&amp;#Z"</f>
        <v>#VALUE!</v>
      </c>
      <c r="FS93" s="104" t="e">
        <f>OpeningTemplate!C151+"AM:!&amp;#["</f>
        <v>#VALUE!</v>
      </c>
      <c r="FT93" t="e">
        <f>OpeningTemplate!D151+"AM:!&amp;#\"</f>
        <v>#VALUE!</v>
      </c>
      <c r="FU93" t="e">
        <f>OpeningTemplate!E151+"AM:!&amp;#]"</f>
        <v>#VALUE!</v>
      </c>
      <c r="FV93" s="103" t="e">
        <f>OpeningTemplate!F151+"AM:!&amp;#^"</f>
        <v>#VALUE!</v>
      </c>
      <c r="FW93" t="e">
        <f>OpeningTemplate!G151+"AM:!&amp;#_"</f>
        <v>#VALUE!</v>
      </c>
      <c r="FX93" t="e">
        <f>OpeningTemplate!H151+"AM:!&amp;#`"</f>
        <v>#VALUE!</v>
      </c>
      <c r="FY93" t="e">
        <f>OpeningTemplate!I151+"AM:!&amp;#a"</f>
        <v>#VALUE!</v>
      </c>
      <c r="FZ93" t="e">
        <f>OpeningTemplate!J151+"AM:!&amp;#b"</f>
        <v>#VALUE!</v>
      </c>
      <c r="GA93" t="e">
        <f>OpeningTemplate!K151+"AM:!&amp;#c"</f>
        <v>#VALUE!</v>
      </c>
      <c r="GB93" t="e">
        <f>OpeningTemplate!L151+"AM:!&amp;#d"</f>
        <v>#VALUE!</v>
      </c>
      <c r="GC93" t="e">
        <f>OpeningTemplate!A152+"AM:!&amp;#e"</f>
        <v>#VALUE!</v>
      </c>
      <c r="GD93" t="e">
        <f>OpeningTemplate!B152+"AM:!&amp;#f"</f>
        <v>#VALUE!</v>
      </c>
      <c r="GE93" t="e">
        <f>OpeningTemplate!C152+"AM:!&amp;#g"</f>
        <v>#VALUE!</v>
      </c>
      <c r="GF93" t="e">
        <f>OpeningTemplate!D152+"AM:!&amp;#h"</f>
        <v>#VALUE!</v>
      </c>
      <c r="GG93" t="e">
        <f>OpeningTemplate!E152+"AM:!&amp;#i"</f>
        <v>#VALUE!</v>
      </c>
      <c r="GH93" t="e">
        <f>OpeningTemplate!F152+"AM:!&amp;#j"</f>
        <v>#VALUE!</v>
      </c>
      <c r="GI93" t="e">
        <f>OpeningTemplate!G152+"AM:!&amp;#k"</f>
        <v>#VALUE!</v>
      </c>
      <c r="GJ93" t="e">
        <f>OpeningTemplate!H152+"AM:!&amp;#l"</f>
        <v>#VALUE!</v>
      </c>
      <c r="GK93" t="e">
        <f>OpeningTemplate!I152+"AM:!&amp;#m"</f>
        <v>#VALUE!</v>
      </c>
      <c r="GL93" t="e">
        <f>OpeningTemplate!J152+"AM:!&amp;#n"</f>
        <v>#VALUE!</v>
      </c>
      <c r="GM93" t="e">
        <f>OpeningTemplate!K152+"AM:!&amp;#o"</f>
        <v>#VALUE!</v>
      </c>
      <c r="GN93" t="e">
        <f>OpeningTemplate!L152+"AM:!&amp;#p"</f>
        <v>#VALUE!</v>
      </c>
      <c r="GO93" t="e">
        <f>OpeningTemplate!A153+"AM:!&amp;#q"</f>
        <v>#VALUE!</v>
      </c>
      <c r="GP93" t="e">
        <f>OpeningTemplate!B153+"AM:!&amp;#r"</f>
        <v>#VALUE!</v>
      </c>
      <c r="GQ93" t="e">
        <f>OpeningTemplate!C153+"AM:!&amp;#s"</f>
        <v>#VALUE!</v>
      </c>
      <c r="GR93" t="e">
        <f>OpeningTemplate!D153+"AM:!&amp;#t"</f>
        <v>#VALUE!</v>
      </c>
      <c r="GS93" t="e">
        <f>OpeningTemplate!E153+"AM:!&amp;#u"</f>
        <v>#VALUE!</v>
      </c>
      <c r="GT93" t="e">
        <f>OpeningTemplate!F153+"AM:!&amp;#v"</f>
        <v>#VALUE!</v>
      </c>
      <c r="GU93" t="e">
        <f>OpeningTemplate!G153+"AM:!&amp;#w"</f>
        <v>#VALUE!</v>
      </c>
      <c r="GV93" t="e">
        <f>OpeningTemplate!H153+"AM:!&amp;#x"</f>
        <v>#VALUE!</v>
      </c>
      <c r="GW93" t="e">
        <f>OpeningTemplate!I153+"AM:!&amp;#y"</f>
        <v>#VALUE!</v>
      </c>
      <c r="GX93" t="e">
        <f>OpeningTemplate!J153+"AM:!&amp;#z"</f>
        <v>#VALUE!</v>
      </c>
      <c r="GY93" t="e">
        <f>OpeningTemplate!K153+"AM:!&amp;#{"</f>
        <v>#VALUE!</v>
      </c>
      <c r="GZ93" t="e">
        <f>OpeningTemplate!L153+"AM:!&amp;#|"</f>
        <v>#VALUE!</v>
      </c>
      <c r="HA93" t="e">
        <f>OpeningTemplate!A154+"AM:!&amp;#}"</f>
        <v>#VALUE!</v>
      </c>
      <c r="HB93" t="e">
        <f>OpeningTemplate!B154+"AM:!&amp;#~"</f>
        <v>#VALUE!</v>
      </c>
      <c r="HC93" t="e">
        <f>OpeningTemplate!C154+"AM:!&amp;$#"</f>
        <v>#VALUE!</v>
      </c>
      <c r="HD93" t="e">
        <f>OpeningTemplate!D154+"AM:!&amp;$$"</f>
        <v>#VALUE!</v>
      </c>
      <c r="HE93" t="e">
        <f>OpeningTemplate!E154+"AM:!&amp;$%"</f>
        <v>#VALUE!</v>
      </c>
      <c r="HF93" s="103" t="e">
        <f>OpeningTemplate!F154+"AM:!&amp;$&amp;"</f>
        <v>#VALUE!</v>
      </c>
      <c r="HG93" s="103" t="e">
        <f>OpeningTemplate!G154+"AM:!&amp;$'"</f>
        <v>#VALUE!</v>
      </c>
      <c r="HH93" s="103" t="e">
        <f>OpeningTemplate!H154+"AM:!&amp;$("</f>
        <v>#VALUE!</v>
      </c>
      <c r="HI93" s="103" t="e">
        <f>OpeningTemplate!I154+"AM:!&amp;$)"</f>
        <v>#VALUE!</v>
      </c>
      <c r="HJ93" s="103" t="e">
        <f>OpeningTemplate!J154+"AM:!&amp;$."</f>
        <v>#VALUE!</v>
      </c>
      <c r="HK93" s="103" t="e">
        <f>OpeningTemplate!K154+"AM:!&amp;$/"</f>
        <v>#VALUE!</v>
      </c>
      <c r="HL93" t="e">
        <f>OpeningTemplate!L154+"AM:!&amp;$0"</f>
        <v>#VALUE!</v>
      </c>
      <c r="HM93" t="e">
        <f>OpeningTemplate!A155+"AM:!&amp;$1"</f>
        <v>#VALUE!</v>
      </c>
      <c r="HN93" t="e">
        <f>OpeningTemplate!B155+"AM:!&amp;$2"</f>
        <v>#VALUE!</v>
      </c>
      <c r="HO93" t="e">
        <f>OpeningTemplate!C155+"AM:!&amp;$3"</f>
        <v>#VALUE!</v>
      </c>
      <c r="HP93" t="e">
        <f>OpeningTemplate!D155+"AM:!&amp;$4"</f>
        <v>#VALUE!</v>
      </c>
      <c r="HQ93" t="e">
        <f>OpeningTemplate!E155+"AM:!&amp;$5"</f>
        <v>#VALUE!</v>
      </c>
      <c r="HR93" t="e">
        <f>OpeningTemplate!F155+"AM:!&amp;$6"</f>
        <v>#VALUE!</v>
      </c>
      <c r="HS93" t="e">
        <f>OpeningTemplate!G155+"AM:!&amp;$7"</f>
        <v>#VALUE!</v>
      </c>
      <c r="HT93" t="e">
        <f>OpeningTemplate!H155+"AM:!&amp;$8"</f>
        <v>#VALUE!</v>
      </c>
      <c r="HU93" t="e">
        <f>OpeningTemplate!I155+"AM:!&amp;$9"</f>
        <v>#VALUE!</v>
      </c>
      <c r="HV93" t="e">
        <f>OpeningTemplate!J155+"AM:!&amp;$:"</f>
        <v>#VALUE!</v>
      </c>
      <c r="HW93" t="e">
        <f>OpeningTemplate!K155+"AM:!&amp;$;"</f>
        <v>#VALUE!</v>
      </c>
      <c r="HX93" t="e">
        <f>OpeningTemplate!L155+"AM:!&amp;$&lt;"</f>
        <v>#VALUE!</v>
      </c>
      <c r="HY93" t="e">
        <f>OpeningTemplate!A156+"AM:!&amp;$="</f>
        <v>#VALUE!</v>
      </c>
      <c r="HZ93" s="103" t="e">
        <f>OpeningTemplate!B156+"AM:!&amp;$&gt;"</f>
        <v>#VALUE!</v>
      </c>
      <c r="IA93" s="103" t="e">
        <f>OpeningTemplate!C156+"AM:!&amp;$?"</f>
        <v>#VALUE!</v>
      </c>
      <c r="IB93" s="98" t="e">
        <f>OpeningTemplate!D156+"AM:!&amp;$@"</f>
        <v>#VALUE!</v>
      </c>
      <c r="IC93" s="98" t="e">
        <f>OpeningTemplate!E156+"AM:!&amp;$A"</f>
        <v>#VALUE!</v>
      </c>
      <c r="ID93" t="e">
        <f>OpeningTemplate!F156+"AM:!&amp;$B"</f>
        <v>#VALUE!</v>
      </c>
      <c r="IE93" t="e">
        <f>OpeningTemplate!G156+"AM:!&amp;$C"</f>
        <v>#VALUE!</v>
      </c>
      <c r="IF93" t="e">
        <f>OpeningTemplate!H156+"AM:!&amp;$D"</f>
        <v>#VALUE!</v>
      </c>
      <c r="IG93" t="e">
        <f>OpeningTemplate!I156+"AM:!&amp;$E"</f>
        <v>#VALUE!</v>
      </c>
      <c r="IH93" t="e">
        <f>OpeningTemplate!J156+"AM:!&amp;$F"</f>
        <v>#VALUE!</v>
      </c>
      <c r="II93" t="e">
        <f>OpeningTemplate!K156+"AM:!&amp;$G"</f>
        <v>#VALUE!</v>
      </c>
      <c r="IJ93" t="e">
        <f>OpeningTemplate!L156+"AM:!&amp;$H"</f>
        <v>#VALUE!</v>
      </c>
      <c r="IK93" t="e">
        <f>OpeningTemplate!A157+"AM:!&amp;$I"</f>
        <v>#VALUE!</v>
      </c>
      <c r="IL93" t="e">
        <f>OpeningTemplate!B157+"AM:!&amp;$J"</f>
        <v>#VALUE!</v>
      </c>
      <c r="IM93" t="e">
        <f>OpeningTemplate!C157+"AM:!&amp;$K"</f>
        <v>#VALUE!</v>
      </c>
      <c r="IN93" t="e">
        <f>OpeningTemplate!D157+"AM:!&amp;$L"</f>
        <v>#VALUE!</v>
      </c>
      <c r="IO93" t="e">
        <f>OpeningTemplate!E157+"AM:!&amp;$M"</f>
        <v>#VALUE!</v>
      </c>
      <c r="IP93" t="e">
        <f>OpeningTemplate!F157+"AM:!&amp;$N"</f>
        <v>#VALUE!</v>
      </c>
      <c r="IQ93" t="e">
        <f>OpeningTemplate!G157+"AM:!&amp;$O"</f>
        <v>#VALUE!</v>
      </c>
      <c r="IR93" t="e">
        <f>OpeningTemplate!H157+"AM:!&amp;$P"</f>
        <v>#VALUE!</v>
      </c>
      <c r="IS93" t="e">
        <f>OpeningTemplate!I157+"AM:!&amp;$Q"</f>
        <v>#VALUE!</v>
      </c>
      <c r="IT93" t="e">
        <f>OpeningTemplate!J157+"AM:!&amp;$R"</f>
        <v>#VALUE!</v>
      </c>
      <c r="IU93" t="e">
        <f>OpeningTemplate!K157+"AM:!&amp;$S"</f>
        <v>#VALUE!</v>
      </c>
      <c r="IV93" t="e">
        <f>OpeningTemplate!L157+"AM:!&amp;$T"</f>
        <v>#VALUE!</v>
      </c>
    </row>
    <row r="94" spans="6:256">
      <c r="F94" t="e">
        <f>OpeningTemplate!A158+"AM:!&amp;$U"</f>
        <v>#VALUE!</v>
      </c>
      <c r="G94" t="e">
        <f>OpeningTemplate!B158+"AM:!&amp;$V"</f>
        <v>#VALUE!</v>
      </c>
      <c r="H94" t="e">
        <f>OpeningTemplate!C158+"AM:!&amp;$W"</f>
        <v>#VALUE!</v>
      </c>
      <c r="I94" t="e">
        <f>OpeningTemplate!D158+"AM:!&amp;$X"</f>
        <v>#VALUE!</v>
      </c>
      <c r="J94" t="e">
        <f>OpeningTemplate!E158+"AM:!&amp;$Y"</f>
        <v>#VALUE!</v>
      </c>
      <c r="K94" t="e">
        <f>OpeningTemplate!F158+"AM:!&amp;$Z"</f>
        <v>#VALUE!</v>
      </c>
      <c r="L94" t="e">
        <f>OpeningTemplate!G158+"AM:!&amp;$["</f>
        <v>#VALUE!</v>
      </c>
      <c r="M94" t="e">
        <f>OpeningTemplate!H158+"AM:!&amp;$\"</f>
        <v>#VALUE!</v>
      </c>
      <c r="N94" t="e">
        <f>OpeningTemplate!I158+"AM:!&amp;$]"</f>
        <v>#VALUE!</v>
      </c>
      <c r="O94" t="e">
        <f>OpeningTemplate!J158+"AM:!&amp;$^"</f>
        <v>#VALUE!</v>
      </c>
      <c r="P94" t="e">
        <f>OpeningTemplate!K158+"AM:!&amp;$_"</f>
        <v>#VALUE!</v>
      </c>
      <c r="Q94" t="e">
        <f>OpeningTemplate!L158+"AM:!&amp;$`"</f>
        <v>#VALUE!</v>
      </c>
      <c r="R94" t="e">
        <f>OpeningTemplate!A159+"AM:!&amp;$a"</f>
        <v>#VALUE!</v>
      </c>
      <c r="S94" s="104" t="e">
        <f>OpeningTemplate!B159+"AM:!&amp;$b"</f>
        <v>#VALUE!</v>
      </c>
      <c r="T94" s="104" t="e">
        <f>OpeningTemplate!C159+"AM:!&amp;$c"</f>
        <v>#VALUE!</v>
      </c>
      <c r="U94" t="e">
        <f>OpeningTemplate!D159+"AM:!&amp;$d"</f>
        <v>#VALUE!</v>
      </c>
      <c r="V94" t="e">
        <f>OpeningTemplate!E159+"AM:!&amp;$e"</f>
        <v>#VALUE!</v>
      </c>
      <c r="W94" s="103" t="e">
        <f>OpeningTemplate!F159+"AM:!&amp;$f"</f>
        <v>#VALUE!</v>
      </c>
      <c r="X94" t="e">
        <f>OpeningTemplate!G159+"AM:!&amp;$g"</f>
        <v>#VALUE!</v>
      </c>
      <c r="Y94" t="e">
        <f>OpeningTemplate!H159+"AM:!&amp;$h"</f>
        <v>#VALUE!</v>
      </c>
      <c r="Z94" t="e">
        <f>OpeningTemplate!I159+"AM:!&amp;$i"</f>
        <v>#VALUE!</v>
      </c>
      <c r="AA94" t="e">
        <f>OpeningTemplate!J159+"AM:!&amp;$j"</f>
        <v>#VALUE!</v>
      </c>
      <c r="AB94" t="e">
        <f>OpeningTemplate!K159+"AM:!&amp;$k"</f>
        <v>#VALUE!</v>
      </c>
      <c r="AC94" t="e">
        <f>OpeningTemplate!L159+"AM:!&amp;$l"</f>
        <v>#VALUE!</v>
      </c>
      <c r="AD94" t="e">
        <f>OpeningTemplate!A160+"AM:!&amp;$m"</f>
        <v>#VALUE!</v>
      </c>
      <c r="AE94" s="104" t="e">
        <f>OpeningTemplate!B160+"AM:!&amp;$n"</f>
        <v>#VALUE!</v>
      </c>
      <c r="AF94" s="104" t="e">
        <f>OpeningTemplate!C160+"AM:!&amp;$o"</f>
        <v>#VALUE!</v>
      </c>
      <c r="AG94" t="e">
        <f>OpeningTemplate!D160+"AM:!&amp;$p"</f>
        <v>#VALUE!</v>
      </c>
      <c r="AH94" t="e">
        <f>OpeningTemplate!E160+"AM:!&amp;$q"</f>
        <v>#VALUE!</v>
      </c>
      <c r="AI94" s="103" t="e">
        <f>OpeningTemplate!F160+"AM:!&amp;$r"</f>
        <v>#VALUE!</v>
      </c>
      <c r="AJ94" t="e">
        <f>OpeningTemplate!G160+"AM:!&amp;$s"</f>
        <v>#VALUE!</v>
      </c>
      <c r="AK94" t="e">
        <f>OpeningTemplate!H160+"AM:!&amp;$t"</f>
        <v>#VALUE!</v>
      </c>
      <c r="AL94" t="e">
        <f>OpeningTemplate!I160+"AM:!&amp;$u"</f>
        <v>#VALUE!</v>
      </c>
      <c r="AM94" t="e">
        <f>OpeningTemplate!J160+"AM:!&amp;$v"</f>
        <v>#VALUE!</v>
      </c>
      <c r="AN94" t="e">
        <f>OpeningTemplate!K160+"AM:!&amp;$w"</f>
        <v>#VALUE!</v>
      </c>
      <c r="AO94" t="e">
        <f>OpeningTemplate!L160+"AM:!&amp;$x"</f>
        <v>#VALUE!</v>
      </c>
      <c r="AP94" t="e">
        <f>OpeningTemplate!A161+"AM:!&amp;$y"</f>
        <v>#VALUE!</v>
      </c>
      <c r="AQ94" s="104" t="e">
        <f>OpeningTemplate!B161+"AM:!&amp;$z"</f>
        <v>#VALUE!</v>
      </c>
      <c r="AR94" s="104" t="e">
        <f>OpeningTemplate!C161+"AM:!&amp;${"</f>
        <v>#VALUE!</v>
      </c>
      <c r="AS94" t="e">
        <f>OpeningTemplate!D161+"AM:!&amp;$|"</f>
        <v>#VALUE!</v>
      </c>
      <c r="AT94" t="e">
        <f>OpeningTemplate!E161+"AM:!&amp;$}"</f>
        <v>#VALUE!</v>
      </c>
      <c r="AU94" s="103" t="e">
        <f>OpeningTemplate!F161+"AM:!&amp;$~"</f>
        <v>#VALUE!</v>
      </c>
      <c r="AV94" t="e">
        <f>OpeningTemplate!G161+"AM:!&amp;%#"</f>
        <v>#VALUE!</v>
      </c>
      <c r="AW94" t="e">
        <f>OpeningTemplate!H161+"AM:!&amp;%$"</f>
        <v>#VALUE!</v>
      </c>
      <c r="AX94" t="e">
        <f>OpeningTemplate!I161+"AM:!&amp;%%"</f>
        <v>#VALUE!</v>
      </c>
      <c r="AY94" t="e">
        <f>OpeningTemplate!J161+"AM:!&amp;%&amp;"</f>
        <v>#VALUE!</v>
      </c>
      <c r="AZ94" t="e">
        <f>OpeningTemplate!K161+"AM:!&amp;%'"</f>
        <v>#VALUE!</v>
      </c>
      <c r="BA94" t="e">
        <f>OpeningTemplate!L161+"AM:!&amp;%("</f>
        <v>#VALUE!</v>
      </c>
      <c r="BB94" t="e">
        <f>OpeningTemplate!A162+"AM:!&amp;%)"</f>
        <v>#VALUE!</v>
      </c>
      <c r="BC94" t="e">
        <f>OpeningTemplate!B162+"AM:!&amp;%."</f>
        <v>#VALUE!</v>
      </c>
      <c r="BD94" t="e">
        <f>OpeningTemplate!C162+"AM:!&amp;%/"</f>
        <v>#VALUE!</v>
      </c>
      <c r="BE94" t="e">
        <f>OpeningTemplate!D162+"AM:!&amp;%0"</f>
        <v>#VALUE!</v>
      </c>
      <c r="BF94" t="e">
        <f>OpeningTemplate!E162+"AM:!&amp;%1"</f>
        <v>#VALUE!</v>
      </c>
      <c r="BG94" t="e">
        <f>OpeningTemplate!F162+"AM:!&amp;%2"</f>
        <v>#VALUE!</v>
      </c>
      <c r="BH94" t="e">
        <f>OpeningTemplate!G162+"AM:!&amp;%3"</f>
        <v>#VALUE!</v>
      </c>
      <c r="BI94" t="e">
        <f>OpeningTemplate!H162+"AM:!&amp;%4"</f>
        <v>#VALUE!</v>
      </c>
      <c r="BJ94" t="e">
        <f>OpeningTemplate!I162+"AM:!&amp;%5"</f>
        <v>#VALUE!</v>
      </c>
      <c r="BK94" t="e">
        <f>OpeningTemplate!J162+"AM:!&amp;%6"</f>
        <v>#VALUE!</v>
      </c>
      <c r="BL94" t="e">
        <f>OpeningTemplate!K162+"AM:!&amp;%7"</f>
        <v>#VALUE!</v>
      </c>
      <c r="BM94" t="e">
        <f>OpeningTemplate!L162+"AM:!&amp;%8"</f>
        <v>#VALUE!</v>
      </c>
      <c r="BN94" t="e">
        <f>OpeningTemplate!A163+"AM:!&amp;%9"</f>
        <v>#VALUE!</v>
      </c>
      <c r="BO94" t="e">
        <f>OpeningTemplate!B163+"AM:!&amp;%:"</f>
        <v>#VALUE!</v>
      </c>
      <c r="BP94" t="e">
        <f>OpeningTemplate!C163+"AM:!&amp;%;"</f>
        <v>#VALUE!</v>
      </c>
      <c r="BQ94" t="e">
        <f>OpeningTemplate!D163+"AM:!&amp;%&lt;"</f>
        <v>#VALUE!</v>
      </c>
      <c r="BR94" t="e">
        <f>OpeningTemplate!E163+"AM:!&amp;%="</f>
        <v>#VALUE!</v>
      </c>
      <c r="BS94" t="e">
        <f>OpeningTemplate!F163+"AM:!&amp;%&gt;"</f>
        <v>#VALUE!</v>
      </c>
      <c r="BT94" t="e">
        <f>OpeningTemplate!G163+"AM:!&amp;%?"</f>
        <v>#VALUE!</v>
      </c>
      <c r="BU94" t="e">
        <f>OpeningTemplate!H163+"AM:!&amp;%@"</f>
        <v>#VALUE!</v>
      </c>
      <c r="BV94" t="e">
        <f>OpeningTemplate!I163+"AM:!&amp;%A"</f>
        <v>#VALUE!</v>
      </c>
      <c r="BW94" t="e">
        <f>OpeningTemplate!J163+"AM:!&amp;%B"</f>
        <v>#VALUE!</v>
      </c>
      <c r="BX94" t="e">
        <f>OpeningTemplate!K163+"AM:!&amp;%C"</f>
        <v>#VALUE!</v>
      </c>
      <c r="BY94" t="e">
        <f>OpeningTemplate!L163+"AM:!&amp;%D"</f>
        <v>#VALUE!</v>
      </c>
      <c r="BZ94" t="e">
        <f>OpeningTemplate!A164+"AM:!&amp;%E"</f>
        <v>#VALUE!</v>
      </c>
      <c r="CA94" t="e">
        <f>OpeningTemplate!B164+"AM:!&amp;%F"</f>
        <v>#VALUE!</v>
      </c>
      <c r="CB94" t="e">
        <f>OpeningTemplate!C164+"AM:!&amp;%G"</f>
        <v>#VALUE!</v>
      </c>
      <c r="CC94" t="e">
        <f>OpeningTemplate!D164+"AM:!&amp;%H"</f>
        <v>#VALUE!</v>
      </c>
      <c r="CD94" t="e">
        <f>OpeningTemplate!E164+"AM:!&amp;%I"</f>
        <v>#VALUE!</v>
      </c>
      <c r="CE94" s="103" t="e">
        <f>OpeningTemplate!F164+"AM:!&amp;%J"</f>
        <v>#VALUE!</v>
      </c>
      <c r="CF94" s="103" t="e">
        <f>OpeningTemplate!G164+"AM:!&amp;%K"</f>
        <v>#VALUE!</v>
      </c>
      <c r="CG94" s="103" t="e">
        <f>OpeningTemplate!H164+"AM:!&amp;%L"</f>
        <v>#VALUE!</v>
      </c>
      <c r="CH94" s="103" t="e">
        <f>OpeningTemplate!I164+"AM:!&amp;%M"</f>
        <v>#VALUE!</v>
      </c>
      <c r="CI94" s="103" t="e">
        <f>OpeningTemplate!J164+"AM:!&amp;%N"</f>
        <v>#VALUE!</v>
      </c>
      <c r="CJ94" s="103" t="e">
        <f>OpeningTemplate!K164+"AM:!&amp;%O"</f>
        <v>#VALUE!</v>
      </c>
      <c r="CK94" t="e">
        <f>OpeningTemplate!L164+"AM:!&amp;%P"</f>
        <v>#VALUE!</v>
      </c>
      <c r="CL94" t="e">
        <f>OpeningTemplate!A165+"AM:!&amp;%Q"</f>
        <v>#VALUE!</v>
      </c>
      <c r="CM94" t="e">
        <f>OpeningTemplate!B165+"AM:!&amp;%R"</f>
        <v>#VALUE!</v>
      </c>
      <c r="CN94" t="e">
        <f>OpeningTemplate!C165+"AM:!&amp;%S"</f>
        <v>#VALUE!</v>
      </c>
      <c r="CO94" t="e">
        <f>OpeningTemplate!D165+"AM:!&amp;%T"</f>
        <v>#VALUE!</v>
      </c>
      <c r="CP94" t="e">
        <f>OpeningTemplate!E165+"AM:!&amp;%U"</f>
        <v>#VALUE!</v>
      </c>
      <c r="CQ94" t="e">
        <f>OpeningTemplate!F165+"AM:!&amp;%V"</f>
        <v>#VALUE!</v>
      </c>
      <c r="CR94" t="e">
        <f>OpeningTemplate!G165+"AM:!&amp;%W"</f>
        <v>#VALUE!</v>
      </c>
      <c r="CS94" t="e">
        <f>OpeningTemplate!H165+"AM:!&amp;%X"</f>
        <v>#VALUE!</v>
      </c>
      <c r="CT94" t="e">
        <f>OpeningTemplate!I165+"AM:!&amp;%Y"</f>
        <v>#VALUE!</v>
      </c>
      <c r="CU94" t="e">
        <f>OpeningTemplate!J165+"AM:!&amp;%Z"</f>
        <v>#VALUE!</v>
      </c>
      <c r="CV94" t="e">
        <f>OpeningTemplate!K165+"AM:!&amp;%["</f>
        <v>#VALUE!</v>
      </c>
      <c r="CW94" t="e">
        <f>OpeningTemplate!L165+"AM:!&amp;%\"</f>
        <v>#VALUE!</v>
      </c>
      <c r="CX94" t="e">
        <f>OpeningTemplate!A166+"AM:!&amp;%]"</f>
        <v>#VALUE!</v>
      </c>
      <c r="CY94" s="103" t="e">
        <f>OpeningTemplate!B166+"AM:!&amp;%^"</f>
        <v>#VALUE!</v>
      </c>
      <c r="CZ94" s="103" t="e">
        <f>OpeningTemplate!C166+"AM:!&amp;%_"</f>
        <v>#VALUE!</v>
      </c>
      <c r="DA94" s="98" t="e">
        <f>OpeningTemplate!D166+"AM:!&amp;%`"</f>
        <v>#VALUE!</v>
      </c>
      <c r="DB94" s="98" t="e">
        <f>OpeningTemplate!E166+"AM:!&amp;%a"</f>
        <v>#VALUE!</v>
      </c>
      <c r="DC94" t="e">
        <f>OpeningTemplate!F166+"AM:!&amp;%b"</f>
        <v>#VALUE!</v>
      </c>
      <c r="DD94" t="e">
        <f>OpeningTemplate!G166+"AM:!&amp;%c"</f>
        <v>#VALUE!</v>
      </c>
      <c r="DE94" t="e">
        <f>OpeningTemplate!H166+"AM:!&amp;%d"</f>
        <v>#VALUE!</v>
      </c>
      <c r="DF94" t="e">
        <f>OpeningTemplate!I166+"AM:!&amp;%e"</f>
        <v>#VALUE!</v>
      </c>
      <c r="DG94" t="e">
        <f>OpeningTemplate!J166+"AM:!&amp;%f"</f>
        <v>#VALUE!</v>
      </c>
      <c r="DH94" t="e">
        <f>OpeningTemplate!K166+"AM:!&amp;%g"</f>
        <v>#VALUE!</v>
      </c>
      <c r="DI94" t="e">
        <f>OpeningTemplate!L166+"AM:!&amp;%h"</f>
        <v>#VALUE!</v>
      </c>
      <c r="DJ94" t="e">
        <f>OpeningTemplate!A167+"AM:!&amp;%i"</f>
        <v>#VALUE!</v>
      </c>
      <c r="DK94" t="e">
        <f>OpeningTemplate!B167+"AM:!&amp;%j"</f>
        <v>#VALUE!</v>
      </c>
      <c r="DL94" t="e">
        <f>OpeningTemplate!C167+"AM:!&amp;%k"</f>
        <v>#VALUE!</v>
      </c>
      <c r="DM94" t="e">
        <f>OpeningTemplate!D167+"AM:!&amp;%l"</f>
        <v>#VALUE!</v>
      </c>
      <c r="DN94" t="e">
        <f>OpeningTemplate!E167+"AM:!&amp;%m"</f>
        <v>#VALUE!</v>
      </c>
      <c r="DO94" t="e">
        <f>OpeningTemplate!F167+"AM:!&amp;%n"</f>
        <v>#VALUE!</v>
      </c>
      <c r="DP94" t="e">
        <f>OpeningTemplate!G167+"AM:!&amp;%o"</f>
        <v>#VALUE!</v>
      </c>
      <c r="DQ94" t="e">
        <f>OpeningTemplate!H167+"AM:!&amp;%p"</f>
        <v>#VALUE!</v>
      </c>
      <c r="DR94" t="e">
        <f>OpeningTemplate!I167+"AM:!&amp;%q"</f>
        <v>#VALUE!</v>
      </c>
      <c r="DS94" t="e">
        <f>OpeningTemplate!J167+"AM:!&amp;%r"</f>
        <v>#VALUE!</v>
      </c>
      <c r="DT94" t="e">
        <f>OpeningTemplate!K167+"AM:!&amp;%s"</f>
        <v>#VALUE!</v>
      </c>
      <c r="DU94" t="e">
        <f>OpeningTemplate!L167+"AM:!&amp;%t"</f>
        <v>#VALUE!</v>
      </c>
      <c r="DV94" t="e">
        <f>OpeningTemplate!A168+"AM:!&amp;%u"</f>
        <v>#VALUE!</v>
      </c>
      <c r="DW94" t="e">
        <f>OpeningTemplate!B168+"AM:!&amp;%v"</f>
        <v>#VALUE!</v>
      </c>
      <c r="DX94" t="e">
        <f>OpeningTemplate!C168+"AM:!&amp;%w"</f>
        <v>#VALUE!</v>
      </c>
      <c r="DY94" t="e">
        <f>OpeningTemplate!D168+"AM:!&amp;%x"</f>
        <v>#VALUE!</v>
      </c>
      <c r="DZ94" t="e">
        <f>OpeningTemplate!E168+"AM:!&amp;%y"</f>
        <v>#VALUE!</v>
      </c>
      <c r="EA94" t="e">
        <f>OpeningTemplate!F168+"AM:!&amp;%z"</f>
        <v>#VALUE!</v>
      </c>
      <c r="EB94" t="e">
        <f>OpeningTemplate!G168+"AM:!&amp;%{"</f>
        <v>#VALUE!</v>
      </c>
      <c r="EC94" t="e">
        <f>OpeningTemplate!H168+"AM:!&amp;%|"</f>
        <v>#VALUE!</v>
      </c>
      <c r="ED94" t="e">
        <f>OpeningTemplate!I168+"AM:!&amp;%}"</f>
        <v>#VALUE!</v>
      </c>
      <c r="EE94" t="e">
        <f>OpeningTemplate!J168+"AM:!&amp;%~"</f>
        <v>#VALUE!</v>
      </c>
      <c r="EF94" t="e">
        <f>OpeningTemplate!K168+"AM:!&amp;&amp;#"</f>
        <v>#VALUE!</v>
      </c>
      <c r="EG94" t="e">
        <f>OpeningTemplate!L168+"AM:!&amp;&amp;$"</f>
        <v>#VALUE!</v>
      </c>
      <c r="EH94" t="e">
        <f>OpeningTemplate!A169+"AM:!&amp;&amp;%"</f>
        <v>#VALUE!</v>
      </c>
      <c r="EI94" s="104" t="e">
        <f>OpeningTemplate!B169+"AM:!&amp;&amp;&amp;"</f>
        <v>#VALUE!</v>
      </c>
      <c r="EJ94" s="104" t="e">
        <f>OpeningTemplate!C169+"AM:!&amp;&amp;'"</f>
        <v>#VALUE!</v>
      </c>
      <c r="EK94" t="e">
        <f>OpeningTemplate!D169+"AM:!&amp;&amp;("</f>
        <v>#VALUE!</v>
      </c>
      <c r="EL94" t="e">
        <f>OpeningTemplate!E169+"AM:!&amp;&amp;)"</f>
        <v>#VALUE!</v>
      </c>
      <c r="EM94" s="103" t="e">
        <f>OpeningTemplate!F169+"AM:!&amp;&amp;."</f>
        <v>#VALUE!</v>
      </c>
      <c r="EN94" t="e">
        <f>OpeningTemplate!G169+"AM:!&amp;&amp;/"</f>
        <v>#VALUE!</v>
      </c>
      <c r="EO94" t="e">
        <f>OpeningTemplate!H169+"AM:!&amp;&amp;0"</f>
        <v>#VALUE!</v>
      </c>
      <c r="EP94" t="e">
        <f>OpeningTemplate!I169+"AM:!&amp;&amp;1"</f>
        <v>#VALUE!</v>
      </c>
      <c r="EQ94" t="e">
        <f>OpeningTemplate!J169+"AM:!&amp;&amp;2"</f>
        <v>#VALUE!</v>
      </c>
      <c r="ER94" t="e">
        <f>OpeningTemplate!K169+"AM:!&amp;&amp;3"</f>
        <v>#VALUE!</v>
      </c>
      <c r="ES94" t="e">
        <f>OpeningTemplate!L169+"AM:!&amp;&amp;4"</f>
        <v>#VALUE!</v>
      </c>
      <c r="ET94" t="e">
        <f>OpeningTemplate!A170+"AM:!&amp;&amp;5"</f>
        <v>#VALUE!</v>
      </c>
      <c r="EU94" s="104" t="e">
        <f>OpeningTemplate!B170+"AM:!&amp;&amp;6"</f>
        <v>#VALUE!</v>
      </c>
      <c r="EV94" s="104" t="e">
        <f>OpeningTemplate!C170+"AM:!&amp;&amp;7"</f>
        <v>#VALUE!</v>
      </c>
      <c r="EW94" t="e">
        <f>OpeningTemplate!D170+"AM:!&amp;&amp;8"</f>
        <v>#VALUE!</v>
      </c>
      <c r="EX94" t="e">
        <f>OpeningTemplate!E170+"AM:!&amp;&amp;9"</f>
        <v>#VALUE!</v>
      </c>
      <c r="EY94" s="103" t="e">
        <f>OpeningTemplate!F170+"AM:!&amp;&amp;:"</f>
        <v>#VALUE!</v>
      </c>
      <c r="EZ94" t="e">
        <f>OpeningTemplate!G170+"AM:!&amp;&amp;;"</f>
        <v>#VALUE!</v>
      </c>
      <c r="FA94" t="e">
        <f>OpeningTemplate!H170+"AM:!&amp;&amp;&lt;"</f>
        <v>#VALUE!</v>
      </c>
      <c r="FB94" t="e">
        <f>OpeningTemplate!I170+"AM:!&amp;&amp;="</f>
        <v>#VALUE!</v>
      </c>
      <c r="FC94" t="e">
        <f>OpeningTemplate!J170+"AM:!&amp;&amp;&gt;"</f>
        <v>#VALUE!</v>
      </c>
      <c r="FD94" t="e">
        <f>OpeningTemplate!K170+"AM:!&amp;&amp;?"</f>
        <v>#VALUE!</v>
      </c>
      <c r="FE94" t="e">
        <f>OpeningTemplate!L170+"AM:!&amp;&amp;@"</f>
        <v>#VALUE!</v>
      </c>
      <c r="FF94" t="e">
        <f>OpeningTemplate!A171+"AM:!&amp;&amp;A"</f>
        <v>#VALUE!</v>
      </c>
      <c r="FG94" s="104" t="e">
        <f>OpeningTemplate!B171+"AM:!&amp;&amp;B"</f>
        <v>#VALUE!</v>
      </c>
      <c r="FH94" s="104" t="e">
        <f>OpeningTemplate!C171+"AM:!&amp;&amp;C"</f>
        <v>#VALUE!</v>
      </c>
      <c r="FI94" t="e">
        <f>OpeningTemplate!D171+"AM:!&amp;&amp;D"</f>
        <v>#VALUE!</v>
      </c>
      <c r="FJ94" t="e">
        <f>OpeningTemplate!E171+"AM:!&amp;&amp;E"</f>
        <v>#VALUE!</v>
      </c>
      <c r="FK94" s="103" t="e">
        <f>OpeningTemplate!F171+"AM:!&amp;&amp;F"</f>
        <v>#VALUE!</v>
      </c>
      <c r="FL94" t="e">
        <f>OpeningTemplate!G171+"AM:!&amp;&amp;G"</f>
        <v>#VALUE!</v>
      </c>
      <c r="FM94" t="e">
        <f>OpeningTemplate!H171+"AM:!&amp;&amp;H"</f>
        <v>#VALUE!</v>
      </c>
      <c r="FN94" t="e">
        <f>OpeningTemplate!I171+"AM:!&amp;&amp;I"</f>
        <v>#VALUE!</v>
      </c>
      <c r="FO94" t="e">
        <f>OpeningTemplate!J171+"AM:!&amp;&amp;J"</f>
        <v>#VALUE!</v>
      </c>
      <c r="FP94" t="e">
        <f>OpeningTemplate!K171+"AM:!&amp;&amp;K"</f>
        <v>#VALUE!</v>
      </c>
      <c r="FQ94" t="e">
        <f>OpeningTemplate!L171+"AM:!&amp;&amp;L"</f>
        <v>#VALUE!</v>
      </c>
      <c r="FR94" t="e">
        <f>OpeningTemplate!A172+"AM:!&amp;&amp;M"</f>
        <v>#VALUE!</v>
      </c>
      <c r="FS94" t="e">
        <f>OpeningTemplate!B172+"AM:!&amp;&amp;N"</f>
        <v>#VALUE!</v>
      </c>
      <c r="FT94" t="e">
        <f>OpeningTemplate!C172+"AM:!&amp;&amp;O"</f>
        <v>#VALUE!</v>
      </c>
      <c r="FU94" t="e">
        <f>OpeningTemplate!D172+"AM:!&amp;&amp;P"</f>
        <v>#VALUE!</v>
      </c>
      <c r="FV94" t="e">
        <f>OpeningTemplate!E172+"AM:!&amp;&amp;Q"</f>
        <v>#VALUE!</v>
      </c>
      <c r="FW94" t="e">
        <f>OpeningTemplate!F172+"AM:!&amp;&amp;R"</f>
        <v>#VALUE!</v>
      </c>
      <c r="FX94" t="e">
        <f>OpeningTemplate!G172+"AM:!&amp;&amp;S"</f>
        <v>#VALUE!</v>
      </c>
      <c r="FY94" t="e">
        <f>OpeningTemplate!H172+"AM:!&amp;&amp;T"</f>
        <v>#VALUE!</v>
      </c>
      <c r="FZ94" t="e">
        <f>OpeningTemplate!I172+"AM:!&amp;&amp;U"</f>
        <v>#VALUE!</v>
      </c>
      <c r="GA94" t="e">
        <f>OpeningTemplate!J172+"AM:!&amp;&amp;V"</f>
        <v>#VALUE!</v>
      </c>
      <c r="GB94" t="e">
        <f>OpeningTemplate!K172+"AM:!&amp;&amp;W"</f>
        <v>#VALUE!</v>
      </c>
      <c r="GC94" t="e">
        <f>OpeningTemplate!L172+"AM:!&amp;&amp;X"</f>
        <v>#VALUE!</v>
      </c>
      <c r="GD94" t="e">
        <f>OpeningTemplate!A173+"AM:!&amp;&amp;Y"</f>
        <v>#VALUE!</v>
      </c>
      <c r="GE94" t="e">
        <f>OpeningTemplate!B173+"AM:!&amp;&amp;Z"</f>
        <v>#VALUE!</v>
      </c>
      <c r="GF94" t="e">
        <f>OpeningTemplate!C173+"AM:!&amp;&amp;["</f>
        <v>#VALUE!</v>
      </c>
      <c r="GG94" t="e">
        <f>OpeningTemplate!D173+"AM:!&amp;&amp;\"</f>
        <v>#VALUE!</v>
      </c>
      <c r="GH94" t="e">
        <f>OpeningTemplate!E173+"AM:!&amp;&amp;]"</f>
        <v>#VALUE!</v>
      </c>
      <c r="GI94" t="e">
        <f>OpeningTemplate!F173+"AM:!&amp;&amp;^"</f>
        <v>#VALUE!</v>
      </c>
      <c r="GJ94" t="e">
        <f>OpeningTemplate!G173+"AM:!&amp;&amp;_"</f>
        <v>#VALUE!</v>
      </c>
      <c r="GK94" t="e">
        <f>OpeningTemplate!H173+"AM:!&amp;&amp;`"</f>
        <v>#VALUE!</v>
      </c>
      <c r="GL94" t="e">
        <f>OpeningTemplate!I173+"AM:!&amp;&amp;a"</f>
        <v>#VALUE!</v>
      </c>
      <c r="GM94" t="e">
        <f>OpeningTemplate!J173+"AM:!&amp;&amp;b"</f>
        <v>#VALUE!</v>
      </c>
      <c r="GN94" t="e">
        <f>OpeningTemplate!K173+"AM:!&amp;&amp;c"</f>
        <v>#VALUE!</v>
      </c>
      <c r="GO94" t="e">
        <f>OpeningTemplate!L173+"AM:!&amp;&amp;d"</f>
        <v>#VALUE!</v>
      </c>
      <c r="GP94" t="e">
        <f>OpeningTemplate!A174+"AM:!&amp;&amp;e"</f>
        <v>#VALUE!</v>
      </c>
      <c r="GQ94" t="e">
        <f>OpeningTemplate!B174+"AM:!&amp;&amp;f"</f>
        <v>#VALUE!</v>
      </c>
      <c r="GR94" t="e">
        <f>OpeningTemplate!C174+"AM:!&amp;&amp;g"</f>
        <v>#VALUE!</v>
      </c>
      <c r="GS94" t="e">
        <f>OpeningTemplate!D174+"AM:!&amp;&amp;h"</f>
        <v>#VALUE!</v>
      </c>
      <c r="GT94" t="e">
        <f>OpeningTemplate!E174+"AM:!&amp;&amp;i"</f>
        <v>#VALUE!</v>
      </c>
      <c r="GU94" s="103" t="e">
        <f>OpeningTemplate!F174+"AM:!&amp;&amp;j"</f>
        <v>#VALUE!</v>
      </c>
      <c r="GV94" s="103" t="e">
        <f>OpeningTemplate!G174+"AM:!&amp;&amp;k"</f>
        <v>#VALUE!</v>
      </c>
      <c r="GW94" s="103" t="e">
        <f>OpeningTemplate!H174+"AM:!&amp;&amp;l"</f>
        <v>#VALUE!</v>
      </c>
      <c r="GX94" s="103" t="e">
        <f>OpeningTemplate!I174+"AM:!&amp;&amp;m"</f>
        <v>#VALUE!</v>
      </c>
      <c r="GY94" s="103" t="e">
        <f>OpeningTemplate!J174+"AM:!&amp;&amp;n"</f>
        <v>#VALUE!</v>
      </c>
      <c r="GZ94" s="103" t="e">
        <f>OpeningTemplate!K174+"AM:!&amp;&amp;o"</f>
        <v>#VALUE!</v>
      </c>
      <c r="HA94" t="e">
        <f>OpeningTemplate!L174+"AM:!&amp;&amp;p"</f>
        <v>#VALUE!</v>
      </c>
      <c r="HB94" t="e">
        <f>OpeningTemplate!A175+"AM:!&amp;&amp;q"</f>
        <v>#VALUE!</v>
      </c>
      <c r="HC94" t="e">
        <f>OpeningTemplate!B175+"AM:!&amp;&amp;r"</f>
        <v>#VALUE!</v>
      </c>
      <c r="HD94" t="e">
        <f>OpeningTemplate!C175+"AM:!&amp;&amp;s"</f>
        <v>#VALUE!</v>
      </c>
      <c r="HE94" t="e">
        <f>OpeningTemplate!D175+"AM:!&amp;&amp;t"</f>
        <v>#VALUE!</v>
      </c>
      <c r="HF94" t="e">
        <f>OpeningTemplate!E175+"AM:!&amp;&amp;u"</f>
        <v>#VALUE!</v>
      </c>
      <c r="HG94" t="e">
        <f>OpeningTemplate!F175+"AM:!&amp;&amp;v"</f>
        <v>#VALUE!</v>
      </c>
      <c r="HH94" t="e">
        <f>OpeningTemplate!G175+"AM:!&amp;&amp;w"</f>
        <v>#VALUE!</v>
      </c>
      <c r="HI94" t="e">
        <f>OpeningTemplate!H175+"AM:!&amp;&amp;x"</f>
        <v>#VALUE!</v>
      </c>
      <c r="HJ94" t="e">
        <f>OpeningTemplate!I175+"AM:!&amp;&amp;y"</f>
        <v>#VALUE!</v>
      </c>
      <c r="HK94" t="e">
        <f>OpeningTemplate!J175+"AM:!&amp;&amp;z"</f>
        <v>#VALUE!</v>
      </c>
      <c r="HL94" t="e">
        <f>OpeningTemplate!K175+"AM:!&amp;&amp;{"</f>
        <v>#VALUE!</v>
      </c>
      <c r="HM94" t="e">
        <f>OpeningTemplate!L175+"AM:!&amp;&amp;|"</f>
        <v>#VALUE!</v>
      </c>
      <c r="HN94" t="e">
        <f>OpeningTemplate!A176+"AM:!&amp;&amp;}"</f>
        <v>#VALUE!</v>
      </c>
      <c r="HO94" s="103" t="e">
        <f>OpeningTemplate!B176+"AM:!&amp;&amp;~"</f>
        <v>#VALUE!</v>
      </c>
      <c r="HP94" s="103" t="e">
        <f>OpeningTemplate!C176+"AM:!&amp;'#"</f>
        <v>#VALUE!</v>
      </c>
      <c r="HQ94" s="98" t="e">
        <f>OpeningTemplate!D176+"AM:!&amp;'$"</f>
        <v>#VALUE!</v>
      </c>
      <c r="HR94" s="98" t="e">
        <f>OpeningTemplate!E176+"AM:!&amp;'%"</f>
        <v>#VALUE!</v>
      </c>
      <c r="HS94" t="e">
        <f>OpeningTemplate!F176+"AM:!&amp;'&amp;"</f>
        <v>#VALUE!</v>
      </c>
      <c r="HT94" t="e">
        <f>OpeningTemplate!G176+"AM:!&amp;''"</f>
        <v>#VALUE!</v>
      </c>
      <c r="HU94" t="e">
        <f>OpeningTemplate!H176+"AM:!&amp;'("</f>
        <v>#VALUE!</v>
      </c>
      <c r="HV94" t="e">
        <f>OpeningTemplate!I176+"AM:!&amp;')"</f>
        <v>#VALUE!</v>
      </c>
      <c r="HW94" t="e">
        <f>OpeningTemplate!J176+"AM:!&amp;'."</f>
        <v>#VALUE!</v>
      </c>
      <c r="HX94" t="e">
        <f>OpeningTemplate!K176+"AM:!&amp;'/"</f>
        <v>#VALUE!</v>
      </c>
      <c r="HY94" t="e">
        <f>OpeningTemplate!L176+"AM:!&amp;'0"</f>
        <v>#VALUE!</v>
      </c>
      <c r="HZ94" t="e">
        <f>OpeningTemplate!A177+"AM:!&amp;'1"</f>
        <v>#VALUE!</v>
      </c>
      <c r="IA94" t="e">
        <f>OpeningTemplate!B177+"AM:!&amp;'2"</f>
        <v>#VALUE!</v>
      </c>
      <c r="IB94" t="e">
        <f>OpeningTemplate!C177+"AM:!&amp;'3"</f>
        <v>#VALUE!</v>
      </c>
      <c r="IC94" t="e">
        <f>OpeningTemplate!D177+"AM:!&amp;'4"</f>
        <v>#VALUE!</v>
      </c>
      <c r="ID94" t="e">
        <f>OpeningTemplate!E177+"AM:!&amp;'5"</f>
        <v>#VALUE!</v>
      </c>
      <c r="IE94" t="e">
        <f>OpeningTemplate!F177+"AM:!&amp;'6"</f>
        <v>#VALUE!</v>
      </c>
      <c r="IF94" t="e">
        <f>OpeningTemplate!G177+"AM:!&amp;'7"</f>
        <v>#VALUE!</v>
      </c>
      <c r="IG94" t="e">
        <f>OpeningTemplate!H177+"AM:!&amp;'8"</f>
        <v>#VALUE!</v>
      </c>
      <c r="IH94" t="e">
        <f>OpeningTemplate!I177+"AM:!&amp;'9"</f>
        <v>#VALUE!</v>
      </c>
      <c r="II94" t="e">
        <f>OpeningTemplate!J177+"AM:!&amp;':"</f>
        <v>#VALUE!</v>
      </c>
      <c r="IJ94" t="e">
        <f>OpeningTemplate!K177+"AM:!&amp;';"</f>
        <v>#VALUE!</v>
      </c>
      <c r="IK94" t="e">
        <f>OpeningTemplate!L177+"AM:!&amp;'&lt;"</f>
        <v>#VALUE!</v>
      </c>
      <c r="IL94" t="e">
        <f>OpeningTemplate!A178+"AM:!&amp;'="</f>
        <v>#VALUE!</v>
      </c>
      <c r="IM94" t="e">
        <f>OpeningTemplate!B178+"AM:!&amp;'&gt;"</f>
        <v>#VALUE!</v>
      </c>
      <c r="IN94" t="e">
        <f>OpeningTemplate!C178+"AM:!&amp;'?"</f>
        <v>#VALUE!</v>
      </c>
      <c r="IO94" t="e">
        <f>OpeningTemplate!D178+"AM:!&amp;'@"</f>
        <v>#VALUE!</v>
      </c>
      <c r="IP94" t="e">
        <f>OpeningTemplate!E178+"AM:!&amp;'A"</f>
        <v>#VALUE!</v>
      </c>
      <c r="IQ94" t="e">
        <f>OpeningTemplate!F178+"AM:!&amp;'B"</f>
        <v>#VALUE!</v>
      </c>
      <c r="IR94" t="e">
        <f>OpeningTemplate!G178+"AM:!&amp;'C"</f>
        <v>#VALUE!</v>
      </c>
      <c r="IS94" t="e">
        <f>OpeningTemplate!H178+"AM:!&amp;'D"</f>
        <v>#VALUE!</v>
      </c>
      <c r="IT94" t="e">
        <f>OpeningTemplate!I178+"AM:!&amp;'E"</f>
        <v>#VALUE!</v>
      </c>
      <c r="IU94" t="e">
        <f>OpeningTemplate!J178+"AM:!&amp;'F"</f>
        <v>#VALUE!</v>
      </c>
      <c r="IV94" t="e">
        <f>OpeningTemplate!K178+"AM:!&amp;'G"</f>
        <v>#VALUE!</v>
      </c>
    </row>
    <row r="95" spans="6:256">
      <c r="F95" t="e">
        <f>OpeningTemplate!L178+"AM:!&amp;'H"</f>
        <v>#VALUE!</v>
      </c>
      <c r="G95" t="e">
        <f>OpeningTemplate!A179+"AM:!&amp;'I"</f>
        <v>#VALUE!</v>
      </c>
      <c r="H95" s="104" t="e">
        <f>OpeningTemplate!B179+"AM:!&amp;'J"</f>
        <v>#VALUE!</v>
      </c>
      <c r="I95" s="104" t="e">
        <f>OpeningTemplate!C179+"AM:!&amp;'K"</f>
        <v>#VALUE!</v>
      </c>
      <c r="J95" t="e">
        <f>OpeningTemplate!D179+"AM:!&amp;'L"</f>
        <v>#VALUE!</v>
      </c>
      <c r="K95" t="e">
        <f>OpeningTemplate!E179+"AM:!&amp;'M"</f>
        <v>#VALUE!</v>
      </c>
      <c r="L95" s="103" t="e">
        <f>OpeningTemplate!F179+"AM:!&amp;'N"</f>
        <v>#VALUE!</v>
      </c>
      <c r="M95" t="e">
        <f>OpeningTemplate!G179+"AM:!&amp;'O"</f>
        <v>#VALUE!</v>
      </c>
      <c r="N95" t="e">
        <f>OpeningTemplate!H179+"AM:!&amp;'P"</f>
        <v>#VALUE!</v>
      </c>
      <c r="O95" t="e">
        <f>OpeningTemplate!I179+"AM:!&amp;'Q"</f>
        <v>#VALUE!</v>
      </c>
      <c r="P95" t="e">
        <f>OpeningTemplate!J179+"AM:!&amp;'R"</f>
        <v>#VALUE!</v>
      </c>
      <c r="Q95" t="e">
        <f>OpeningTemplate!K179+"AM:!&amp;'S"</f>
        <v>#VALUE!</v>
      </c>
      <c r="R95" t="e">
        <f>OpeningTemplate!L179+"AM:!&amp;'T"</f>
        <v>#VALUE!</v>
      </c>
      <c r="S95" t="e">
        <f>OpeningTemplate!A180+"AM:!&amp;'U"</f>
        <v>#VALUE!</v>
      </c>
      <c r="T95" s="104" t="e">
        <f>OpeningTemplate!B180+"AM:!&amp;'V"</f>
        <v>#VALUE!</v>
      </c>
      <c r="U95" s="104" t="e">
        <f>OpeningTemplate!C180+"AM:!&amp;'W"</f>
        <v>#VALUE!</v>
      </c>
      <c r="V95" t="e">
        <f>OpeningTemplate!D180+"AM:!&amp;'X"</f>
        <v>#VALUE!</v>
      </c>
      <c r="W95" t="e">
        <f>OpeningTemplate!E180+"AM:!&amp;'Y"</f>
        <v>#VALUE!</v>
      </c>
      <c r="X95" s="103" t="e">
        <f>OpeningTemplate!F180+"AM:!&amp;'Z"</f>
        <v>#VALUE!</v>
      </c>
      <c r="Y95" t="e">
        <f>OpeningTemplate!G180+"AM:!&amp;'["</f>
        <v>#VALUE!</v>
      </c>
      <c r="Z95" t="e">
        <f>OpeningTemplate!H180+"AM:!&amp;'\"</f>
        <v>#VALUE!</v>
      </c>
      <c r="AA95" t="e">
        <f>OpeningTemplate!I180+"AM:!&amp;']"</f>
        <v>#VALUE!</v>
      </c>
      <c r="AB95" t="e">
        <f>OpeningTemplate!J180+"AM:!&amp;'^"</f>
        <v>#VALUE!</v>
      </c>
      <c r="AC95" t="e">
        <f>OpeningTemplate!K180+"AM:!&amp;'_"</f>
        <v>#VALUE!</v>
      </c>
      <c r="AD95" t="e">
        <f>OpeningTemplate!L180+"AM:!&amp;'`"</f>
        <v>#VALUE!</v>
      </c>
      <c r="AE95" t="e">
        <f>OpeningTemplate!A181+"AM:!&amp;'a"</f>
        <v>#VALUE!</v>
      </c>
      <c r="AF95" s="104" t="e">
        <f>OpeningTemplate!B181+"AM:!&amp;'b"</f>
        <v>#VALUE!</v>
      </c>
      <c r="AG95" s="104" t="e">
        <f>OpeningTemplate!C181+"AM:!&amp;'c"</f>
        <v>#VALUE!</v>
      </c>
      <c r="AH95" t="e">
        <f>OpeningTemplate!D181+"AM:!&amp;'d"</f>
        <v>#VALUE!</v>
      </c>
      <c r="AI95" t="e">
        <f>OpeningTemplate!E181+"AM:!&amp;'e"</f>
        <v>#VALUE!</v>
      </c>
      <c r="AJ95" s="103" t="e">
        <f>OpeningTemplate!F181+"AM:!&amp;'f"</f>
        <v>#VALUE!</v>
      </c>
      <c r="AK95" t="e">
        <f>OpeningTemplate!G181+"AM:!&amp;'g"</f>
        <v>#VALUE!</v>
      </c>
      <c r="AL95" t="e">
        <f>OpeningTemplate!H181+"AM:!&amp;'h"</f>
        <v>#VALUE!</v>
      </c>
      <c r="AM95" t="e">
        <f>OpeningTemplate!I181+"AM:!&amp;'i"</f>
        <v>#VALUE!</v>
      </c>
      <c r="AN95" t="e">
        <f>OpeningTemplate!J181+"AM:!&amp;'j"</f>
        <v>#VALUE!</v>
      </c>
      <c r="AO95" t="e">
        <f>OpeningTemplate!K181+"AM:!&amp;'k"</f>
        <v>#VALUE!</v>
      </c>
      <c r="AP95" t="e">
        <f>OpeningTemplate!L181+"AM:!&amp;'l"</f>
        <v>#VALUE!</v>
      </c>
      <c r="AQ95" t="e">
        <f>OpeningTemplate!A182+"AM:!&amp;'m"</f>
        <v>#VALUE!</v>
      </c>
      <c r="AR95" t="e">
        <f>OpeningTemplate!B182+"AM:!&amp;'n"</f>
        <v>#VALUE!</v>
      </c>
      <c r="AS95" t="e">
        <f>OpeningTemplate!C182+"AM:!&amp;'o"</f>
        <v>#VALUE!</v>
      </c>
      <c r="AT95" t="e">
        <f>OpeningTemplate!D182+"AM:!&amp;'p"</f>
        <v>#VALUE!</v>
      </c>
      <c r="AU95" t="e">
        <f>OpeningTemplate!E182+"AM:!&amp;'q"</f>
        <v>#VALUE!</v>
      </c>
      <c r="AV95" t="e">
        <f>OpeningTemplate!F182+"AM:!&amp;'r"</f>
        <v>#VALUE!</v>
      </c>
      <c r="AW95" t="e">
        <f>OpeningTemplate!G182+"AM:!&amp;'s"</f>
        <v>#VALUE!</v>
      </c>
      <c r="AX95" t="e">
        <f>OpeningTemplate!H182+"AM:!&amp;'t"</f>
        <v>#VALUE!</v>
      </c>
      <c r="AY95" t="e">
        <f>OpeningTemplate!I182+"AM:!&amp;'u"</f>
        <v>#VALUE!</v>
      </c>
      <c r="AZ95" t="e">
        <f>OpeningTemplate!J182+"AM:!&amp;'v"</f>
        <v>#VALUE!</v>
      </c>
      <c r="BA95" t="e">
        <f>OpeningTemplate!K182+"AM:!&amp;'w"</f>
        <v>#VALUE!</v>
      </c>
      <c r="BB95" t="e">
        <f>OpeningTemplate!L182+"AM:!&amp;'x"</f>
        <v>#VALUE!</v>
      </c>
      <c r="BC95" t="e">
        <f>OpeningTemplate!A183+"AM:!&amp;'y"</f>
        <v>#VALUE!</v>
      </c>
      <c r="BD95" t="e">
        <f>OpeningTemplate!B183+"AM:!&amp;'z"</f>
        <v>#VALUE!</v>
      </c>
      <c r="BE95" t="e">
        <f>OpeningTemplate!C183+"AM:!&amp;'{"</f>
        <v>#VALUE!</v>
      </c>
      <c r="BF95" t="e">
        <f>OpeningTemplate!D183+"AM:!&amp;'|"</f>
        <v>#VALUE!</v>
      </c>
      <c r="BG95" t="e">
        <f>OpeningTemplate!E183+"AM:!&amp;'}"</f>
        <v>#VALUE!</v>
      </c>
      <c r="BH95" t="e">
        <f>OpeningTemplate!F183+"AM:!&amp;'~"</f>
        <v>#VALUE!</v>
      </c>
      <c r="BI95" t="e">
        <f>OpeningTemplate!G183+"AM:!&amp;(#"</f>
        <v>#VALUE!</v>
      </c>
      <c r="BJ95" t="e">
        <f>OpeningTemplate!H183+"AM:!&amp;($"</f>
        <v>#VALUE!</v>
      </c>
      <c r="BK95" t="e">
        <f>OpeningTemplate!I183+"AM:!&amp;(%"</f>
        <v>#VALUE!</v>
      </c>
      <c r="BL95" t="e">
        <f>OpeningTemplate!J183+"AM:!&amp;(&amp;"</f>
        <v>#VALUE!</v>
      </c>
      <c r="BM95" t="e">
        <f>OpeningTemplate!K183+"AM:!&amp;('"</f>
        <v>#VALUE!</v>
      </c>
      <c r="BN95" t="e">
        <f>OpeningTemplate!L183+"AM:!&amp;(("</f>
        <v>#VALUE!</v>
      </c>
      <c r="BO95" t="e">
        <f>OpeningTemplate!A184+"AM:!&amp;()"</f>
        <v>#VALUE!</v>
      </c>
      <c r="BP95" t="e">
        <f>OpeningTemplate!B184+"AM:!&amp;(."</f>
        <v>#VALUE!</v>
      </c>
      <c r="BQ95" t="e">
        <f>OpeningTemplate!C184+"AM:!&amp;(/"</f>
        <v>#VALUE!</v>
      </c>
      <c r="BR95" t="e">
        <f>OpeningTemplate!D184+"AM:!&amp;(0"</f>
        <v>#VALUE!</v>
      </c>
      <c r="BS95" t="e">
        <f>OpeningTemplate!E184+"AM:!&amp;(1"</f>
        <v>#VALUE!</v>
      </c>
      <c r="BT95" s="103" t="e">
        <f>OpeningTemplate!F184+"AM:!&amp;(2"</f>
        <v>#VALUE!</v>
      </c>
      <c r="BU95" s="103" t="e">
        <f>OpeningTemplate!G184+"AM:!&amp;(3"</f>
        <v>#VALUE!</v>
      </c>
      <c r="BV95" s="103" t="e">
        <f>OpeningTemplate!H184+"AM:!&amp;(4"</f>
        <v>#VALUE!</v>
      </c>
      <c r="BW95" s="103" t="e">
        <f>OpeningTemplate!I184+"AM:!&amp;(5"</f>
        <v>#VALUE!</v>
      </c>
      <c r="BX95" s="103" t="e">
        <f>OpeningTemplate!J184+"AM:!&amp;(6"</f>
        <v>#VALUE!</v>
      </c>
      <c r="BY95" s="103" t="e">
        <f>OpeningTemplate!K184+"AM:!&amp;(7"</f>
        <v>#VALUE!</v>
      </c>
      <c r="BZ95" t="e">
        <f>OpeningTemplate!L184+"AM:!&amp;(8"</f>
        <v>#VALUE!</v>
      </c>
      <c r="CA95" t="e">
        <f>OpeningTemplate!A185+"AM:!&amp;(9"</f>
        <v>#VALUE!</v>
      </c>
      <c r="CB95" t="e">
        <f>OpeningTemplate!B185+"AM:!&amp;(:"</f>
        <v>#VALUE!</v>
      </c>
      <c r="CC95" t="e">
        <f>OpeningTemplate!C185+"AM:!&amp;(;"</f>
        <v>#VALUE!</v>
      </c>
      <c r="CD95" t="e">
        <f>OpeningTemplate!D185+"AM:!&amp;(&lt;"</f>
        <v>#VALUE!</v>
      </c>
      <c r="CE95" t="e">
        <f>OpeningTemplate!E185+"AM:!&amp;(="</f>
        <v>#VALUE!</v>
      </c>
      <c r="CF95" t="e">
        <f>OpeningTemplate!F185+"AM:!&amp;(&gt;"</f>
        <v>#VALUE!</v>
      </c>
      <c r="CG95" t="e">
        <f>OpeningTemplate!G185+"AM:!&amp;(?"</f>
        <v>#VALUE!</v>
      </c>
      <c r="CH95" t="e">
        <f>OpeningTemplate!H185+"AM:!&amp;(@"</f>
        <v>#VALUE!</v>
      </c>
      <c r="CI95" t="e">
        <f>OpeningTemplate!I185+"AM:!&amp;(A"</f>
        <v>#VALUE!</v>
      </c>
      <c r="CJ95" t="e">
        <f>OpeningTemplate!J185+"AM:!&amp;(B"</f>
        <v>#VALUE!</v>
      </c>
      <c r="CK95" t="e">
        <f>OpeningTemplate!K185+"AM:!&amp;(C"</f>
        <v>#VALUE!</v>
      </c>
      <c r="CL95" t="e">
        <f>OpeningTemplate!L185+"AM:!&amp;(D"</f>
        <v>#VALUE!</v>
      </c>
      <c r="CM95" t="e">
        <f>OpeningTemplate!A186+"AM:!&amp;(E"</f>
        <v>#VALUE!</v>
      </c>
      <c r="CN95" s="103" t="e">
        <f>OpeningTemplate!B186+"AM:!&amp;(F"</f>
        <v>#VALUE!</v>
      </c>
      <c r="CO95" s="103" t="e">
        <f>OpeningTemplate!C186+"AM:!&amp;(G"</f>
        <v>#VALUE!</v>
      </c>
      <c r="CP95" s="98" t="e">
        <f>OpeningTemplate!D186+"AM:!&amp;(H"</f>
        <v>#VALUE!</v>
      </c>
      <c r="CQ95" s="98" t="e">
        <f>OpeningTemplate!E186+"AM:!&amp;(I"</f>
        <v>#VALUE!</v>
      </c>
      <c r="CR95" t="e">
        <f>OpeningTemplate!F186+"AM:!&amp;(J"</f>
        <v>#VALUE!</v>
      </c>
      <c r="CS95" t="e">
        <f>OpeningTemplate!G186+"AM:!&amp;(K"</f>
        <v>#VALUE!</v>
      </c>
      <c r="CT95" t="e">
        <f>OpeningTemplate!H186+"AM:!&amp;(L"</f>
        <v>#VALUE!</v>
      </c>
      <c r="CU95" t="e">
        <f>OpeningTemplate!I186+"AM:!&amp;(M"</f>
        <v>#VALUE!</v>
      </c>
      <c r="CV95" t="e">
        <f>OpeningTemplate!J186+"AM:!&amp;(N"</f>
        <v>#VALUE!</v>
      </c>
      <c r="CW95" t="e">
        <f>OpeningTemplate!K186+"AM:!&amp;(O"</f>
        <v>#VALUE!</v>
      </c>
      <c r="CX95" t="e">
        <f>OpeningTemplate!L186+"AM:!&amp;(P"</f>
        <v>#VALUE!</v>
      </c>
      <c r="CY95" t="e">
        <f>OpeningTemplate!A187+"AM:!&amp;(Q"</f>
        <v>#VALUE!</v>
      </c>
      <c r="CZ95" t="e">
        <f>OpeningTemplate!B187+"AM:!&amp;(R"</f>
        <v>#VALUE!</v>
      </c>
      <c r="DA95" t="e">
        <f>OpeningTemplate!C187+"AM:!&amp;(S"</f>
        <v>#VALUE!</v>
      </c>
      <c r="DB95" t="e">
        <f>OpeningTemplate!D187+"AM:!&amp;(T"</f>
        <v>#VALUE!</v>
      </c>
      <c r="DC95" t="e">
        <f>OpeningTemplate!E187+"AM:!&amp;(U"</f>
        <v>#VALUE!</v>
      </c>
      <c r="DD95" t="e">
        <f>OpeningTemplate!F187+"AM:!&amp;(V"</f>
        <v>#VALUE!</v>
      </c>
      <c r="DE95" t="e">
        <f>OpeningTemplate!G187+"AM:!&amp;(W"</f>
        <v>#VALUE!</v>
      </c>
      <c r="DF95" t="e">
        <f>OpeningTemplate!H187+"AM:!&amp;(X"</f>
        <v>#VALUE!</v>
      </c>
      <c r="DG95" t="e">
        <f>OpeningTemplate!I187+"AM:!&amp;(Y"</f>
        <v>#VALUE!</v>
      </c>
      <c r="DH95" t="e">
        <f>OpeningTemplate!J187+"AM:!&amp;(Z"</f>
        <v>#VALUE!</v>
      </c>
      <c r="DI95" t="e">
        <f>OpeningTemplate!K187+"AM:!&amp;(["</f>
        <v>#VALUE!</v>
      </c>
      <c r="DJ95" t="e">
        <f>OpeningTemplate!L187+"AM:!&amp;(\"</f>
        <v>#VALUE!</v>
      </c>
      <c r="DK95" t="e">
        <f>OpeningTemplate!A188+"AM:!&amp;(]"</f>
        <v>#VALUE!</v>
      </c>
      <c r="DL95" t="e">
        <f>OpeningTemplate!B188+"AM:!&amp;(^"</f>
        <v>#VALUE!</v>
      </c>
      <c r="DM95" t="e">
        <f>OpeningTemplate!C188+"AM:!&amp;(_"</f>
        <v>#VALUE!</v>
      </c>
      <c r="DN95" t="e">
        <f>OpeningTemplate!D188+"AM:!&amp;(`"</f>
        <v>#VALUE!</v>
      </c>
      <c r="DO95" t="e">
        <f>OpeningTemplate!E188+"AM:!&amp;(a"</f>
        <v>#VALUE!</v>
      </c>
      <c r="DP95" t="e">
        <f>OpeningTemplate!F188+"AM:!&amp;(b"</f>
        <v>#VALUE!</v>
      </c>
      <c r="DQ95" t="e">
        <f>OpeningTemplate!G188+"AM:!&amp;(c"</f>
        <v>#VALUE!</v>
      </c>
      <c r="DR95" t="e">
        <f>OpeningTemplate!H188+"AM:!&amp;(d"</f>
        <v>#VALUE!</v>
      </c>
      <c r="DS95" t="e">
        <f>OpeningTemplate!I188+"AM:!&amp;(e"</f>
        <v>#VALUE!</v>
      </c>
      <c r="DT95" t="e">
        <f>OpeningTemplate!J188+"AM:!&amp;(f"</f>
        <v>#VALUE!</v>
      </c>
      <c r="DU95" t="e">
        <f>OpeningTemplate!K188+"AM:!&amp;(g"</f>
        <v>#VALUE!</v>
      </c>
      <c r="DV95" t="e">
        <f>OpeningTemplate!L188+"AM:!&amp;(h"</f>
        <v>#VALUE!</v>
      </c>
      <c r="DW95" t="e">
        <f>OpeningTemplate!A189+"AM:!&amp;(i"</f>
        <v>#VALUE!</v>
      </c>
      <c r="DX95" s="104" t="e">
        <f>OpeningTemplate!B189+"AM:!&amp;(j"</f>
        <v>#VALUE!</v>
      </c>
      <c r="DY95" s="104" t="e">
        <f>OpeningTemplate!C189+"AM:!&amp;(k"</f>
        <v>#VALUE!</v>
      </c>
      <c r="DZ95" t="e">
        <f>OpeningTemplate!D189+"AM:!&amp;(l"</f>
        <v>#VALUE!</v>
      </c>
      <c r="EA95" t="e">
        <f>OpeningTemplate!E189+"AM:!&amp;(m"</f>
        <v>#VALUE!</v>
      </c>
      <c r="EB95" s="103" t="e">
        <f>OpeningTemplate!F189+"AM:!&amp;(n"</f>
        <v>#VALUE!</v>
      </c>
      <c r="EC95" t="e">
        <f>OpeningTemplate!G189+"AM:!&amp;(o"</f>
        <v>#VALUE!</v>
      </c>
      <c r="ED95" t="e">
        <f>OpeningTemplate!H189+"AM:!&amp;(p"</f>
        <v>#VALUE!</v>
      </c>
      <c r="EE95" t="e">
        <f>OpeningTemplate!I189+"AM:!&amp;(q"</f>
        <v>#VALUE!</v>
      </c>
      <c r="EF95" t="e">
        <f>OpeningTemplate!J189+"AM:!&amp;(r"</f>
        <v>#VALUE!</v>
      </c>
      <c r="EG95" t="e">
        <f>OpeningTemplate!K189+"AM:!&amp;(s"</f>
        <v>#VALUE!</v>
      </c>
      <c r="EH95" t="e">
        <f>OpeningTemplate!L189+"AM:!&amp;(t"</f>
        <v>#VALUE!</v>
      </c>
      <c r="EI95" t="e">
        <f>OpeningTemplate!A190+"AM:!&amp;(u"</f>
        <v>#VALUE!</v>
      </c>
      <c r="EJ95" s="104" t="e">
        <f>OpeningTemplate!B190+"AM:!&amp;(v"</f>
        <v>#VALUE!</v>
      </c>
      <c r="EK95" s="104" t="e">
        <f>OpeningTemplate!C190+"AM:!&amp;(w"</f>
        <v>#VALUE!</v>
      </c>
      <c r="EL95" t="e">
        <f>OpeningTemplate!D190+"AM:!&amp;(x"</f>
        <v>#VALUE!</v>
      </c>
      <c r="EM95" t="e">
        <f>OpeningTemplate!E190+"AM:!&amp;(y"</f>
        <v>#VALUE!</v>
      </c>
      <c r="EN95" s="103" t="e">
        <f>OpeningTemplate!F190+"AM:!&amp;(z"</f>
        <v>#VALUE!</v>
      </c>
      <c r="EO95" t="e">
        <f>OpeningTemplate!G190+"AM:!&amp;({"</f>
        <v>#VALUE!</v>
      </c>
      <c r="EP95" t="e">
        <f>OpeningTemplate!H190+"AM:!&amp;(|"</f>
        <v>#VALUE!</v>
      </c>
      <c r="EQ95" t="e">
        <f>OpeningTemplate!I190+"AM:!&amp;(}"</f>
        <v>#VALUE!</v>
      </c>
      <c r="ER95" t="e">
        <f>OpeningTemplate!J190+"AM:!&amp;(~"</f>
        <v>#VALUE!</v>
      </c>
      <c r="ES95" t="e">
        <f>OpeningTemplate!K190+"AM:!&amp;)#"</f>
        <v>#VALUE!</v>
      </c>
      <c r="ET95" t="e">
        <f>OpeningTemplate!L190+"AM:!&amp;)$"</f>
        <v>#VALUE!</v>
      </c>
      <c r="EU95" t="e">
        <f>OpeningTemplate!A191+"AM:!&amp;)%"</f>
        <v>#VALUE!</v>
      </c>
      <c r="EV95" s="104" t="e">
        <f>OpeningTemplate!B191+"AM:!&amp;)&amp;"</f>
        <v>#VALUE!</v>
      </c>
      <c r="EW95" s="104" t="e">
        <f>OpeningTemplate!C191+"AM:!&amp;)'"</f>
        <v>#VALUE!</v>
      </c>
      <c r="EX95" t="e">
        <f>OpeningTemplate!D191+"AM:!&amp;)("</f>
        <v>#VALUE!</v>
      </c>
      <c r="EY95" t="e">
        <f>OpeningTemplate!E191+"AM:!&amp;))"</f>
        <v>#VALUE!</v>
      </c>
      <c r="EZ95" s="103" t="e">
        <f>OpeningTemplate!F191+"AM:!&amp;)."</f>
        <v>#VALUE!</v>
      </c>
      <c r="FA95" t="e">
        <f>OpeningTemplate!G191+"AM:!&amp;)/"</f>
        <v>#VALUE!</v>
      </c>
      <c r="FB95" t="e">
        <f>OpeningTemplate!H191+"AM:!&amp;)0"</f>
        <v>#VALUE!</v>
      </c>
      <c r="FC95" t="e">
        <f>OpeningTemplate!I191+"AM:!&amp;)1"</f>
        <v>#VALUE!</v>
      </c>
      <c r="FD95" t="e">
        <f>OpeningTemplate!J191+"AM:!&amp;)2"</f>
        <v>#VALUE!</v>
      </c>
      <c r="FE95" t="e">
        <f>OpeningTemplate!K191+"AM:!&amp;)3"</f>
        <v>#VALUE!</v>
      </c>
      <c r="FF95" t="e">
        <f>OpeningTemplate!L191+"AM:!&amp;)4"</f>
        <v>#VALUE!</v>
      </c>
      <c r="FG95" t="e">
        <f>OpeningTemplate!A192+"AM:!&amp;)5"</f>
        <v>#VALUE!</v>
      </c>
      <c r="FH95" t="e">
        <f>OpeningTemplate!B192+"AM:!&amp;)6"</f>
        <v>#VALUE!</v>
      </c>
      <c r="FI95" t="e">
        <f>OpeningTemplate!C192+"AM:!&amp;)7"</f>
        <v>#VALUE!</v>
      </c>
      <c r="FJ95" t="e">
        <f>OpeningTemplate!D192+"AM:!&amp;)8"</f>
        <v>#VALUE!</v>
      </c>
      <c r="FK95" t="e">
        <f>OpeningTemplate!E192+"AM:!&amp;)9"</f>
        <v>#VALUE!</v>
      </c>
      <c r="FL95" t="e">
        <f>OpeningTemplate!F192+"AM:!&amp;):"</f>
        <v>#VALUE!</v>
      </c>
      <c r="FM95" t="e">
        <f>OpeningTemplate!G192+"AM:!&amp;);"</f>
        <v>#VALUE!</v>
      </c>
      <c r="FN95" t="e">
        <f>OpeningTemplate!H192+"AM:!&amp;)&lt;"</f>
        <v>#VALUE!</v>
      </c>
      <c r="FO95" t="e">
        <f>OpeningTemplate!I192+"AM:!&amp;)="</f>
        <v>#VALUE!</v>
      </c>
      <c r="FP95" t="e">
        <f>OpeningTemplate!J192+"AM:!&amp;)&gt;"</f>
        <v>#VALUE!</v>
      </c>
      <c r="FQ95" t="e">
        <f>OpeningTemplate!K192+"AM:!&amp;)?"</f>
        <v>#VALUE!</v>
      </c>
      <c r="FR95" t="e">
        <f>OpeningTemplate!L192+"AM:!&amp;)@"</f>
        <v>#VALUE!</v>
      </c>
      <c r="FS95" t="e">
        <f>OpeningTemplate!A193+"AM:!&amp;)A"</f>
        <v>#VALUE!</v>
      </c>
      <c r="FT95" t="e">
        <f>OpeningTemplate!B193+"AM:!&amp;)B"</f>
        <v>#VALUE!</v>
      </c>
      <c r="FU95" t="e">
        <f>OpeningTemplate!C193+"AM:!&amp;)C"</f>
        <v>#VALUE!</v>
      </c>
      <c r="FV95" t="e">
        <f>OpeningTemplate!D193+"AM:!&amp;)D"</f>
        <v>#VALUE!</v>
      </c>
      <c r="FW95" t="e">
        <f>OpeningTemplate!E193+"AM:!&amp;)E"</f>
        <v>#VALUE!</v>
      </c>
      <c r="FX95" t="e">
        <f>OpeningTemplate!F193+"AM:!&amp;)F"</f>
        <v>#VALUE!</v>
      </c>
      <c r="FY95" t="e">
        <f>OpeningTemplate!G193+"AM:!&amp;)G"</f>
        <v>#VALUE!</v>
      </c>
      <c r="FZ95" t="e">
        <f>OpeningTemplate!H193+"AM:!&amp;)H"</f>
        <v>#VALUE!</v>
      </c>
      <c r="GA95" t="e">
        <f>OpeningTemplate!I193+"AM:!&amp;)I"</f>
        <v>#VALUE!</v>
      </c>
      <c r="GB95" t="e">
        <f>OpeningTemplate!J193+"AM:!&amp;)J"</f>
        <v>#VALUE!</v>
      </c>
      <c r="GC95" t="e">
        <f>OpeningTemplate!K193+"AM:!&amp;)K"</f>
        <v>#VALUE!</v>
      </c>
      <c r="GD95" t="e">
        <f>OpeningTemplate!L193+"AM:!&amp;)L"</f>
        <v>#VALUE!</v>
      </c>
      <c r="GE95" t="e">
        <f>OpeningTemplate!A194+"AM:!&amp;)M"</f>
        <v>#VALUE!</v>
      </c>
      <c r="GF95" t="e">
        <f>OpeningTemplate!B194+"AM:!&amp;)N"</f>
        <v>#VALUE!</v>
      </c>
      <c r="GG95" t="e">
        <f>OpeningTemplate!C194+"AM:!&amp;)O"</f>
        <v>#VALUE!</v>
      </c>
      <c r="GH95" t="e">
        <f>OpeningTemplate!D194+"AM:!&amp;)P"</f>
        <v>#VALUE!</v>
      </c>
      <c r="GI95" t="e">
        <f>OpeningTemplate!E194+"AM:!&amp;)Q"</f>
        <v>#VALUE!</v>
      </c>
      <c r="GJ95" s="103" t="e">
        <f>OpeningTemplate!F194+"AM:!&amp;)R"</f>
        <v>#VALUE!</v>
      </c>
      <c r="GK95" s="103" t="e">
        <f>OpeningTemplate!G194+"AM:!&amp;)S"</f>
        <v>#VALUE!</v>
      </c>
      <c r="GL95" s="103" t="e">
        <f>OpeningTemplate!H194+"AM:!&amp;)T"</f>
        <v>#VALUE!</v>
      </c>
      <c r="GM95" s="103" t="e">
        <f>OpeningTemplate!I194+"AM:!&amp;)U"</f>
        <v>#VALUE!</v>
      </c>
      <c r="GN95" s="103" t="e">
        <f>OpeningTemplate!J194+"AM:!&amp;)V"</f>
        <v>#VALUE!</v>
      </c>
      <c r="GO95" s="103" t="e">
        <f>OpeningTemplate!K194+"AM:!&amp;)W"</f>
        <v>#VALUE!</v>
      </c>
      <c r="GP95" t="e">
        <f>OpeningTemplate!L194+"AM:!&amp;)X"</f>
        <v>#VALUE!</v>
      </c>
      <c r="GQ95" t="e">
        <f>OpeningTemplate!A195+"AM:!&amp;)Y"</f>
        <v>#VALUE!</v>
      </c>
      <c r="GR95" t="e">
        <f>OpeningTemplate!B195+"AM:!&amp;)Z"</f>
        <v>#VALUE!</v>
      </c>
      <c r="GS95" t="e">
        <f>OpeningTemplate!C195+"AM:!&amp;)["</f>
        <v>#VALUE!</v>
      </c>
      <c r="GT95" t="e">
        <f>OpeningTemplate!D195+"AM:!&amp;)\"</f>
        <v>#VALUE!</v>
      </c>
      <c r="GU95" t="e">
        <f>OpeningTemplate!E195+"AM:!&amp;)]"</f>
        <v>#VALUE!</v>
      </c>
      <c r="GV95" t="e">
        <f>OpeningTemplate!F195+"AM:!&amp;)^"</f>
        <v>#VALUE!</v>
      </c>
      <c r="GW95" t="e">
        <f>OpeningTemplate!G195+"AM:!&amp;)_"</f>
        <v>#VALUE!</v>
      </c>
      <c r="GX95" t="e">
        <f>OpeningTemplate!H195+"AM:!&amp;)`"</f>
        <v>#VALUE!</v>
      </c>
      <c r="GY95" t="e">
        <f>OpeningTemplate!I195+"AM:!&amp;)a"</f>
        <v>#VALUE!</v>
      </c>
      <c r="GZ95" t="e">
        <f>OpeningTemplate!J195+"AM:!&amp;)b"</f>
        <v>#VALUE!</v>
      </c>
      <c r="HA95" t="e">
        <f>OpeningTemplate!K195+"AM:!&amp;)c"</f>
        <v>#VALUE!</v>
      </c>
      <c r="HB95" t="e">
        <f>OpeningTemplate!L195+"AM:!&amp;)d"</f>
        <v>#VALUE!</v>
      </c>
      <c r="HC95" t="e">
        <f>OpeningTemplate!A196+"AM:!&amp;)e"</f>
        <v>#VALUE!</v>
      </c>
      <c r="HD95" s="103" t="e">
        <f>OpeningTemplate!B196+"AM:!&amp;)f"</f>
        <v>#VALUE!</v>
      </c>
      <c r="HE95" s="103" t="e">
        <f>OpeningTemplate!C196+"AM:!&amp;)g"</f>
        <v>#VALUE!</v>
      </c>
      <c r="HF95" s="98" t="e">
        <f>OpeningTemplate!D196+"AM:!&amp;)h"</f>
        <v>#VALUE!</v>
      </c>
      <c r="HG95" s="98" t="e">
        <f>OpeningTemplate!E196+"AM:!&amp;)i"</f>
        <v>#VALUE!</v>
      </c>
      <c r="HH95" t="e">
        <f>OpeningTemplate!F196+"AM:!&amp;)j"</f>
        <v>#VALUE!</v>
      </c>
      <c r="HI95" t="e">
        <f>OpeningTemplate!G196+"AM:!&amp;)k"</f>
        <v>#VALUE!</v>
      </c>
      <c r="HJ95" t="e">
        <f>OpeningTemplate!H196+"AM:!&amp;)l"</f>
        <v>#VALUE!</v>
      </c>
      <c r="HK95" t="e">
        <f>OpeningTemplate!I196+"AM:!&amp;)m"</f>
        <v>#VALUE!</v>
      </c>
      <c r="HL95" t="e">
        <f>OpeningTemplate!J196+"AM:!&amp;)n"</f>
        <v>#VALUE!</v>
      </c>
      <c r="HM95" t="e">
        <f>OpeningTemplate!K196+"AM:!&amp;)o"</f>
        <v>#VALUE!</v>
      </c>
      <c r="HN95" t="e">
        <f>OpeningTemplate!L196+"AM:!&amp;)p"</f>
        <v>#VALUE!</v>
      </c>
      <c r="HO95" t="e">
        <f>OpeningTemplate!A197+"AM:!&amp;)q"</f>
        <v>#VALUE!</v>
      </c>
      <c r="HP95" t="e">
        <f>OpeningTemplate!B197+"AM:!&amp;)r"</f>
        <v>#VALUE!</v>
      </c>
      <c r="HQ95" t="e">
        <f>OpeningTemplate!C197+"AM:!&amp;)s"</f>
        <v>#VALUE!</v>
      </c>
      <c r="HR95" t="e">
        <f>OpeningTemplate!D197+"AM:!&amp;)t"</f>
        <v>#VALUE!</v>
      </c>
      <c r="HS95" t="e">
        <f>OpeningTemplate!E197+"AM:!&amp;)u"</f>
        <v>#VALUE!</v>
      </c>
      <c r="HT95" t="e">
        <f>OpeningTemplate!F197+"AM:!&amp;)v"</f>
        <v>#VALUE!</v>
      </c>
      <c r="HU95" t="e">
        <f>OpeningTemplate!G197+"AM:!&amp;)w"</f>
        <v>#VALUE!</v>
      </c>
      <c r="HV95" t="e">
        <f>OpeningTemplate!H197+"AM:!&amp;)x"</f>
        <v>#VALUE!</v>
      </c>
      <c r="HW95" t="e">
        <f>OpeningTemplate!I197+"AM:!&amp;)y"</f>
        <v>#VALUE!</v>
      </c>
      <c r="HX95" t="e">
        <f>OpeningTemplate!J197+"AM:!&amp;)z"</f>
        <v>#VALUE!</v>
      </c>
      <c r="HY95" t="e">
        <f>OpeningTemplate!K197+"AM:!&amp;){"</f>
        <v>#VALUE!</v>
      </c>
      <c r="HZ95" t="e">
        <f>OpeningTemplate!L197+"AM:!&amp;)|"</f>
        <v>#VALUE!</v>
      </c>
      <c r="IA95" t="e">
        <f>OpeningTemplate!A198+"AM:!&amp;)}"</f>
        <v>#VALUE!</v>
      </c>
      <c r="IB95" t="e">
        <f>OpeningTemplate!B198+"AM:!&amp;)~"</f>
        <v>#VALUE!</v>
      </c>
      <c r="IC95" t="e">
        <f>OpeningTemplate!C198+"AM:!&amp;.#"</f>
        <v>#VALUE!</v>
      </c>
      <c r="ID95" t="e">
        <f>OpeningTemplate!D198+"AM:!&amp;.$"</f>
        <v>#VALUE!</v>
      </c>
      <c r="IE95" t="e">
        <f>OpeningTemplate!E198+"AM:!&amp;.%"</f>
        <v>#VALUE!</v>
      </c>
      <c r="IF95" t="e">
        <f>OpeningTemplate!F198+"AM:!&amp;.&amp;"</f>
        <v>#VALUE!</v>
      </c>
      <c r="IG95" t="e">
        <f>OpeningTemplate!G198+"AM:!&amp;.'"</f>
        <v>#VALUE!</v>
      </c>
      <c r="IH95" t="e">
        <f>OpeningTemplate!H198+"AM:!&amp;.("</f>
        <v>#VALUE!</v>
      </c>
      <c r="II95" t="e">
        <f>OpeningTemplate!I198+"AM:!&amp;.)"</f>
        <v>#VALUE!</v>
      </c>
      <c r="IJ95" t="e">
        <f>OpeningTemplate!J198+"AM:!&amp;.."</f>
        <v>#VALUE!</v>
      </c>
      <c r="IK95" t="e">
        <f>OpeningTemplate!K198+"AM:!&amp;./"</f>
        <v>#VALUE!</v>
      </c>
      <c r="IL95" t="e">
        <f>OpeningTemplate!L198+"AM:!&amp;.0"</f>
        <v>#VALUE!</v>
      </c>
      <c r="IM95" t="e">
        <f>OpeningTemplate!A199+"AM:!&amp;.1"</f>
        <v>#VALUE!</v>
      </c>
      <c r="IN95" s="104" t="e">
        <f>OpeningTemplate!B199+"AM:!&amp;.2"</f>
        <v>#VALUE!</v>
      </c>
      <c r="IO95" s="104" t="e">
        <f>OpeningTemplate!C199+"AM:!&amp;.3"</f>
        <v>#VALUE!</v>
      </c>
      <c r="IP95" t="e">
        <f>OpeningTemplate!D199+"AM:!&amp;.4"</f>
        <v>#VALUE!</v>
      </c>
      <c r="IQ95" t="e">
        <f>OpeningTemplate!E199+"AM:!&amp;.5"</f>
        <v>#VALUE!</v>
      </c>
      <c r="IR95" s="103" t="e">
        <f>OpeningTemplate!F199+"AM:!&amp;.6"</f>
        <v>#VALUE!</v>
      </c>
      <c r="IS95" t="e">
        <f>OpeningTemplate!G199+"AM:!&amp;.7"</f>
        <v>#VALUE!</v>
      </c>
      <c r="IT95" t="e">
        <f>OpeningTemplate!H199+"AM:!&amp;.8"</f>
        <v>#VALUE!</v>
      </c>
      <c r="IU95" t="e">
        <f>OpeningTemplate!I199+"AM:!&amp;.9"</f>
        <v>#VALUE!</v>
      </c>
      <c r="IV95" t="e">
        <f>OpeningTemplate!J199+"AM:!&amp;.:"</f>
        <v>#VALUE!</v>
      </c>
    </row>
    <row r="96" spans="6:256">
      <c r="F96" t="e">
        <f>OpeningTemplate!K199+"AM:!&amp;.;"</f>
        <v>#VALUE!</v>
      </c>
      <c r="G96" t="e">
        <f>OpeningTemplate!L199+"AM:!&amp;.&lt;"</f>
        <v>#VALUE!</v>
      </c>
      <c r="H96" t="e">
        <f>OpeningTemplate!A200+"AM:!&amp;.="</f>
        <v>#VALUE!</v>
      </c>
      <c r="I96" s="104" t="e">
        <f>OpeningTemplate!B200+"AM:!&amp;.&gt;"</f>
        <v>#VALUE!</v>
      </c>
      <c r="J96" s="104" t="e">
        <f>OpeningTemplate!C200+"AM:!&amp;.?"</f>
        <v>#VALUE!</v>
      </c>
      <c r="K96" t="e">
        <f>OpeningTemplate!D200+"AM:!&amp;.@"</f>
        <v>#VALUE!</v>
      </c>
      <c r="L96" t="e">
        <f>OpeningTemplate!E200+"AM:!&amp;.A"</f>
        <v>#VALUE!</v>
      </c>
      <c r="M96" s="103" t="e">
        <f>OpeningTemplate!F200+"AM:!&amp;.B"</f>
        <v>#VALUE!</v>
      </c>
      <c r="N96" t="e">
        <f>OpeningTemplate!G200+"AM:!&amp;.C"</f>
        <v>#VALUE!</v>
      </c>
      <c r="O96" t="e">
        <f>OpeningTemplate!H200+"AM:!&amp;.D"</f>
        <v>#VALUE!</v>
      </c>
      <c r="P96" t="e">
        <f>OpeningTemplate!I200+"AM:!&amp;.E"</f>
        <v>#VALUE!</v>
      </c>
      <c r="Q96" t="e">
        <f>OpeningTemplate!J200+"AM:!&amp;.F"</f>
        <v>#VALUE!</v>
      </c>
      <c r="R96" t="e">
        <f>OpeningTemplate!K200+"AM:!&amp;.G"</f>
        <v>#VALUE!</v>
      </c>
      <c r="S96" t="e">
        <f>OpeningTemplate!L200+"AM:!&amp;.H"</f>
        <v>#VALUE!</v>
      </c>
      <c r="T96" t="e">
        <f>OpeningTemplate!A201+"AM:!&amp;.I"</f>
        <v>#VALUE!</v>
      </c>
      <c r="U96" s="104" t="e">
        <f>OpeningTemplate!B201+"AM:!&amp;.J"</f>
        <v>#VALUE!</v>
      </c>
      <c r="V96" s="104" t="e">
        <f>OpeningTemplate!C201+"AM:!&amp;.K"</f>
        <v>#VALUE!</v>
      </c>
      <c r="W96" t="e">
        <f>OpeningTemplate!D201+"AM:!&amp;.L"</f>
        <v>#VALUE!</v>
      </c>
      <c r="X96" t="e">
        <f>OpeningTemplate!E201+"AM:!&amp;.M"</f>
        <v>#VALUE!</v>
      </c>
      <c r="Y96" s="103" t="e">
        <f>OpeningTemplate!F201+"AM:!&amp;.N"</f>
        <v>#VALUE!</v>
      </c>
      <c r="Z96" t="e">
        <f>OpeningTemplate!G201+"AM:!&amp;.O"</f>
        <v>#VALUE!</v>
      </c>
      <c r="AA96" t="e">
        <f>OpeningTemplate!H201+"AM:!&amp;.P"</f>
        <v>#VALUE!</v>
      </c>
      <c r="AB96" t="e">
        <f>OpeningTemplate!I201+"AM:!&amp;.Q"</f>
        <v>#VALUE!</v>
      </c>
      <c r="AC96" t="e">
        <f>OpeningTemplate!J201+"AM:!&amp;.R"</f>
        <v>#VALUE!</v>
      </c>
      <c r="AD96" t="e">
        <f>OpeningTemplate!K201+"AM:!&amp;.S"</f>
        <v>#VALUE!</v>
      </c>
      <c r="AE96" t="e">
        <f>OpeningTemplate!L201+"AM:!&amp;.T"</f>
        <v>#VALUE!</v>
      </c>
      <c r="AF96" t="e">
        <f>OpeningTemplate!A202+"AM:!&amp;.U"</f>
        <v>#VALUE!</v>
      </c>
      <c r="AG96" t="e">
        <f>OpeningTemplate!B202+"AM:!&amp;.V"</f>
        <v>#VALUE!</v>
      </c>
      <c r="AH96" t="e">
        <f>OpeningTemplate!C202+"AM:!&amp;.W"</f>
        <v>#VALUE!</v>
      </c>
      <c r="AI96" t="e">
        <f>OpeningTemplate!D202+"AM:!&amp;.X"</f>
        <v>#VALUE!</v>
      </c>
      <c r="AJ96" t="e">
        <f>OpeningTemplate!E202+"AM:!&amp;.Y"</f>
        <v>#VALUE!</v>
      </c>
      <c r="AK96" t="e">
        <f>OpeningTemplate!F202+"AM:!&amp;.Z"</f>
        <v>#VALUE!</v>
      </c>
      <c r="AL96" t="e">
        <f>OpeningTemplate!G202+"AM:!&amp;.["</f>
        <v>#VALUE!</v>
      </c>
      <c r="AM96" t="e">
        <f>OpeningTemplate!H202+"AM:!&amp;.\"</f>
        <v>#VALUE!</v>
      </c>
      <c r="AN96" t="e">
        <f>OpeningTemplate!I202+"AM:!&amp;.]"</f>
        <v>#VALUE!</v>
      </c>
      <c r="AO96" t="e">
        <f>OpeningTemplate!J202+"AM:!&amp;.^"</f>
        <v>#VALUE!</v>
      </c>
      <c r="AP96" t="e">
        <f>OpeningTemplate!K202+"AM:!&amp;._"</f>
        <v>#VALUE!</v>
      </c>
      <c r="AQ96" t="e">
        <f>OpeningTemplate!L202+"AM:!&amp;.`"</f>
        <v>#VALUE!</v>
      </c>
      <c r="AR96" t="e">
        <f>OpeningTemplate!A203+"AM:!&amp;.a"</f>
        <v>#VALUE!</v>
      </c>
      <c r="AS96" t="e">
        <f>OpeningTemplate!B203+"AM:!&amp;.b"</f>
        <v>#VALUE!</v>
      </c>
      <c r="AT96" t="e">
        <f>OpeningTemplate!C203+"AM:!&amp;.c"</f>
        <v>#VALUE!</v>
      </c>
      <c r="AU96" t="e">
        <f>OpeningTemplate!D203+"AM:!&amp;.d"</f>
        <v>#VALUE!</v>
      </c>
      <c r="AV96" t="e">
        <f>OpeningTemplate!E203+"AM:!&amp;.e"</f>
        <v>#VALUE!</v>
      </c>
      <c r="AW96" t="e">
        <f>OpeningTemplate!F203+"AM:!&amp;.f"</f>
        <v>#VALUE!</v>
      </c>
      <c r="AX96" t="e">
        <f>OpeningTemplate!G203+"AM:!&amp;.g"</f>
        <v>#VALUE!</v>
      </c>
      <c r="AY96" t="e">
        <f>OpeningTemplate!H203+"AM:!&amp;.h"</f>
        <v>#VALUE!</v>
      </c>
      <c r="AZ96" t="e">
        <f>OpeningTemplate!I203+"AM:!&amp;.i"</f>
        <v>#VALUE!</v>
      </c>
      <c r="BA96" t="e">
        <f>OpeningTemplate!J203+"AM:!&amp;.j"</f>
        <v>#VALUE!</v>
      </c>
      <c r="BB96" t="e">
        <f>OpeningTemplate!K203+"AM:!&amp;.k"</f>
        <v>#VALUE!</v>
      </c>
      <c r="BC96" t="e">
        <f>OpeningTemplate!L203+"AM:!&amp;.l"</f>
        <v>#VALUE!</v>
      </c>
      <c r="BD96" t="e">
        <f>OpeningTemplate!M203+"AM:!&amp;.m"</f>
        <v>#VALUE!</v>
      </c>
      <c r="BE96" t="e">
        <f>OpeningTemplate!A204+"AM:!&amp;.n"</f>
        <v>#VALUE!</v>
      </c>
      <c r="BF96" t="e">
        <f>OpeningTemplate!B204+"AM:!&amp;.o"</f>
        <v>#VALUE!</v>
      </c>
      <c r="BG96" t="e">
        <f>OpeningTemplate!C204+"AM:!&amp;.p"</f>
        <v>#VALUE!</v>
      </c>
      <c r="BH96" t="e">
        <f>OpeningTemplate!D204+"AM:!&amp;.q"</f>
        <v>#VALUE!</v>
      </c>
      <c r="BI96" t="e">
        <f>OpeningTemplate!E204+"AM:!&amp;.r"</f>
        <v>#VALUE!</v>
      </c>
      <c r="BJ96" s="103" t="e">
        <f>OpeningTemplate!F204+"AM:!&amp;.s"</f>
        <v>#VALUE!</v>
      </c>
      <c r="BK96" s="103" t="e">
        <f>OpeningTemplate!G204+"AM:!&amp;.t"</f>
        <v>#VALUE!</v>
      </c>
      <c r="BL96" s="103" t="e">
        <f>OpeningTemplate!H204+"AM:!&amp;.u"</f>
        <v>#VALUE!</v>
      </c>
      <c r="BM96" s="103" t="e">
        <f>OpeningTemplate!I204+"AM:!&amp;.v"</f>
        <v>#VALUE!</v>
      </c>
      <c r="BN96" s="103" t="e">
        <f>OpeningTemplate!J204+"AM:!&amp;.w"</f>
        <v>#VALUE!</v>
      </c>
      <c r="BO96" s="103" t="e">
        <f>OpeningTemplate!K204+"AM:!&amp;.x"</f>
        <v>#VALUE!</v>
      </c>
      <c r="BP96" t="e">
        <f>OpeningTemplate!L204+"AM:!&amp;.y"</f>
        <v>#VALUE!</v>
      </c>
      <c r="BQ96" t="e">
        <f>OpeningTemplate!M204+"AM:!&amp;.z"</f>
        <v>#VALUE!</v>
      </c>
      <c r="BR96" t="e">
        <f>OpeningTemplate!A205+"AM:!&amp;.{"</f>
        <v>#VALUE!</v>
      </c>
      <c r="BS96" t="e">
        <f>OpeningTemplate!B205+"AM:!&amp;.|"</f>
        <v>#VALUE!</v>
      </c>
      <c r="BT96" t="e">
        <f>OpeningTemplate!C205+"AM:!&amp;.}"</f>
        <v>#VALUE!</v>
      </c>
      <c r="BU96" t="e">
        <f>OpeningTemplate!D205+"AM:!&amp;.~"</f>
        <v>#VALUE!</v>
      </c>
      <c r="BV96" t="e">
        <f>OpeningTemplate!E205+"AM:!&amp;/#"</f>
        <v>#VALUE!</v>
      </c>
      <c r="BW96" t="e">
        <f>OpeningTemplate!F205+"AM:!&amp;/$"</f>
        <v>#VALUE!</v>
      </c>
      <c r="BX96" t="e">
        <f>OpeningTemplate!G205+"AM:!&amp;/%"</f>
        <v>#VALUE!</v>
      </c>
      <c r="BY96" t="e">
        <f>OpeningTemplate!H205+"AM:!&amp;/&amp;"</f>
        <v>#VALUE!</v>
      </c>
      <c r="BZ96" t="e">
        <f>OpeningTemplate!I205+"AM:!&amp;/'"</f>
        <v>#VALUE!</v>
      </c>
      <c r="CA96" t="e">
        <f>OpeningTemplate!J205+"AM:!&amp;/("</f>
        <v>#VALUE!</v>
      </c>
      <c r="CB96" t="e">
        <f>OpeningTemplate!K205+"AM:!&amp;/)"</f>
        <v>#VALUE!</v>
      </c>
      <c r="CC96" t="e">
        <f>OpeningTemplate!L205+"AM:!&amp;/."</f>
        <v>#VALUE!</v>
      </c>
      <c r="CD96" t="e">
        <f>OpeningTemplate!M205+"AM:!&amp;//"</f>
        <v>#VALUE!</v>
      </c>
      <c r="CE96" t="e">
        <f>OpeningTemplate!A206+"AM:!&amp;/0"</f>
        <v>#VALUE!</v>
      </c>
      <c r="CF96" s="103" t="e">
        <f>OpeningTemplate!B206+"AM:!&amp;/1"</f>
        <v>#VALUE!</v>
      </c>
      <c r="CG96" s="103" t="e">
        <f>OpeningTemplate!C206+"AM:!&amp;/2"</f>
        <v>#VALUE!</v>
      </c>
      <c r="CH96" s="98" t="e">
        <f>OpeningTemplate!D206+"AM:!&amp;/3"</f>
        <v>#VALUE!</v>
      </c>
      <c r="CI96" s="98" t="e">
        <f>OpeningTemplate!E206+"AM:!&amp;/4"</f>
        <v>#VALUE!</v>
      </c>
      <c r="CJ96" t="e">
        <f>OpeningTemplate!F206+"AM:!&amp;/5"</f>
        <v>#VALUE!</v>
      </c>
      <c r="CK96" t="e">
        <f>OpeningTemplate!G206+"AM:!&amp;/6"</f>
        <v>#VALUE!</v>
      </c>
      <c r="CL96" t="e">
        <f>OpeningTemplate!H206+"AM:!&amp;/7"</f>
        <v>#VALUE!</v>
      </c>
      <c r="CM96" t="e">
        <f>OpeningTemplate!I206+"AM:!&amp;/8"</f>
        <v>#VALUE!</v>
      </c>
      <c r="CN96" t="e">
        <f>OpeningTemplate!J206+"AM:!&amp;/9"</f>
        <v>#VALUE!</v>
      </c>
      <c r="CO96" t="e">
        <f>OpeningTemplate!K206+"AM:!&amp;/:"</f>
        <v>#VALUE!</v>
      </c>
      <c r="CP96" t="e">
        <f>OpeningTemplate!L206+"AM:!&amp;/;"</f>
        <v>#VALUE!</v>
      </c>
      <c r="CQ96" t="e">
        <f>OpeningTemplate!M206+"AM:!&amp;/&lt;"</f>
        <v>#VALUE!</v>
      </c>
      <c r="CR96" t="e">
        <f>OpeningTemplate!A207+"AM:!&amp;/="</f>
        <v>#VALUE!</v>
      </c>
      <c r="CS96" t="e">
        <f>OpeningTemplate!B207+"AM:!&amp;/&gt;"</f>
        <v>#VALUE!</v>
      </c>
      <c r="CT96" t="e">
        <f>OpeningTemplate!C207+"AM:!&amp;/?"</f>
        <v>#VALUE!</v>
      </c>
      <c r="CU96" t="e">
        <f>OpeningTemplate!D207+"AM:!&amp;/@"</f>
        <v>#VALUE!</v>
      </c>
      <c r="CV96" t="e">
        <f>OpeningTemplate!E207+"AM:!&amp;/A"</f>
        <v>#VALUE!</v>
      </c>
      <c r="CW96" t="e">
        <f>OpeningTemplate!F207+"AM:!&amp;/B"</f>
        <v>#VALUE!</v>
      </c>
      <c r="CX96" t="e">
        <f>OpeningTemplate!G207+"AM:!&amp;/C"</f>
        <v>#VALUE!</v>
      </c>
      <c r="CY96" t="e">
        <f>OpeningTemplate!H207+"AM:!&amp;/D"</f>
        <v>#VALUE!</v>
      </c>
      <c r="CZ96" t="e">
        <f>OpeningTemplate!I207+"AM:!&amp;/E"</f>
        <v>#VALUE!</v>
      </c>
      <c r="DA96" t="e">
        <f>OpeningTemplate!J207+"AM:!&amp;/F"</f>
        <v>#VALUE!</v>
      </c>
      <c r="DB96" t="e">
        <f>OpeningTemplate!K207+"AM:!&amp;/G"</f>
        <v>#VALUE!</v>
      </c>
      <c r="DC96" t="e">
        <f>OpeningTemplate!L207+"AM:!&amp;/H"</f>
        <v>#VALUE!</v>
      </c>
      <c r="DD96" t="e">
        <f>OpeningTemplate!M207+"AM:!&amp;/I"</f>
        <v>#VALUE!</v>
      </c>
      <c r="DE96" t="e">
        <f>OpeningTemplate!A208+"AM:!&amp;/J"</f>
        <v>#VALUE!</v>
      </c>
      <c r="DF96" t="e">
        <f>OpeningTemplate!B208+"AM:!&amp;/K"</f>
        <v>#VALUE!</v>
      </c>
      <c r="DG96" t="e">
        <f>OpeningTemplate!C208+"AM:!&amp;/L"</f>
        <v>#VALUE!</v>
      </c>
      <c r="DH96" t="e">
        <f>OpeningTemplate!D208+"AM:!&amp;/M"</f>
        <v>#VALUE!</v>
      </c>
      <c r="DI96" t="e">
        <f>OpeningTemplate!E208+"AM:!&amp;/N"</f>
        <v>#VALUE!</v>
      </c>
      <c r="DJ96" t="e">
        <f>OpeningTemplate!F208+"AM:!&amp;/O"</f>
        <v>#VALUE!</v>
      </c>
      <c r="DK96" t="e">
        <f>OpeningTemplate!G208+"AM:!&amp;/P"</f>
        <v>#VALUE!</v>
      </c>
      <c r="DL96" t="e">
        <f>OpeningTemplate!H208+"AM:!&amp;/Q"</f>
        <v>#VALUE!</v>
      </c>
      <c r="DM96" t="e">
        <f>OpeningTemplate!I208+"AM:!&amp;/R"</f>
        <v>#VALUE!</v>
      </c>
      <c r="DN96" t="e">
        <f>OpeningTemplate!J208+"AM:!&amp;/S"</f>
        <v>#VALUE!</v>
      </c>
      <c r="DO96" t="e">
        <f>OpeningTemplate!K208+"AM:!&amp;/T"</f>
        <v>#VALUE!</v>
      </c>
      <c r="DP96" t="e">
        <f>OpeningTemplate!L208+"AM:!&amp;/U"</f>
        <v>#VALUE!</v>
      </c>
      <c r="DQ96" t="e">
        <f>OpeningTemplate!M208+"AM:!&amp;/V"</f>
        <v>#VALUE!</v>
      </c>
      <c r="DR96" t="e">
        <f>OpeningTemplate!A209+"AM:!&amp;/W"</f>
        <v>#VALUE!</v>
      </c>
      <c r="DS96" s="104" t="e">
        <f>OpeningTemplate!B209+"AM:!&amp;/X"</f>
        <v>#VALUE!</v>
      </c>
      <c r="DT96" s="104" t="e">
        <f>OpeningTemplate!C209+"AM:!&amp;/Y"</f>
        <v>#VALUE!</v>
      </c>
      <c r="DU96" t="e">
        <f>OpeningTemplate!D209+"AM:!&amp;/Z"</f>
        <v>#VALUE!</v>
      </c>
      <c r="DV96" t="e">
        <f>OpeningTemplate!E209+"AM:!&amp;/["</f>
        <v>#VALUE!</v>
      </c>
      <c r="DW96" s="103" t="e">
        <f>OpeningTemplate!F209+"AM:!&amp;/\"</f>
        <v>#VALUE!</v>
      </c>
      <c r="DX96" t="e">
        <f>OpeningTemplate!G209+"AM:!&amp;/]"</f>
        <v>#VALUE!</v>
      </c>
      <c r="DY96" t="e">
        <f>OpeningTemplate!H209+"AM:!&amp;/^"</f>
        <v>#VALUE!</v>
      </c>
      <c r="DZ96" t="e">
        <f>OpeningTemplate!I209+"AM:!&amp;/_"</f>
        <v>#VALUE!</v>
      </c>
      <c r="EA96" t="e">
        <f>OpeningTemplate!J209+"AM:!&amp;/`"</f>
        <v>#VALUE!</v>
      </c>
      <c r="EB96" t="e">
        <f>OpeningTemplate!K209+"AM:!&amp;/a"</f>
        <v>#VALUE!</v>
      </c>
      <c r="EC96" t="e">
        <f>OpeningTemplate!L209+"AM:!&amp;/b"</f>
        <v>#VALUE!</v>
      </c>
      <c r="ED96" t="e">
        <f>OpeningTemplate!M209+"AM:!&amp;/c"</f>
        <v>#VALUE!</v>
      </c>
      <c r="EE96" t="e">
        <f>OpeningTemplate!A210+"AM:!&amp;/d"</f>
        <v>#VALUE!</v>
      </c>
      <c r="EF96" s="104" t="e">
        <f>OpeningTemplate!B210+"AM:!&amp;/e"</f>
        <v>#VALUE!</v>
      </c>
      <c r="EG96" s="104" t="e">
        <f>OpeningTemplate!C210+"AM:!&amp;/f"</f>
        <v>#VALUE!</v>
      </c>
      <c r="EH96" t="e">
        <f>OpeningTemplate!D210+"AM:!&amp;/g"</f>
        <v>#VALUE!</v>
      </c>
      <c r="EI96" t="e">
        <f>OpeningTemplate!E210+"AM:!&amp;/h"</f>
        <v>#VALUE!</v>
      </c>
      <c r="EJ96" s="103" t="e">
        <f>OpeningTemplate!F210+"AM:!&amp;/i"</f>
        <v>#VALUE!</v>
      </c>
      <c r="EK96" t="e">
        <f>OpeningTemplate!G210+"AM:!&amp;/j"</f>
        <v>#VALUE!</v>
      </c>
      <c r="EL96" t="e">
        <f>OpeningTemplate!H210+"AM:!&amp;/k"</f>
        <v>#VALUE!</v>
      </c>
      <c r="EM96" t="e">
        <f>OpeningTemplate!I210+"AM:!&amp;/l"</f>
        <v>#VALUE!</v>
      </c>
      <c r="EN96" t="e">
        <f>OpeningTemplate!J210+"AM:!&amp;/m"</f>
        <v>#VALUE!</v>
      </c>
      <c r="EO96" t="e">
        <f>OpeningTemplate!K210+"AM:!&amp;/n"</f>
        <v>#VALUE!</v>
      </c>
      <c r="EP96" t="e">
        <f>OpeningTemplate!L210+"AM:!&amp;/o"</f>
        <v>#VALUE!</v>
      </c>
      <c r="EQ96" t="e">
        <f>OpeningTemplate!M210+"AM:!&amp;/p"</f>
        <v>#VALUE!</v>
      </c>
      <c r="ER96" t="e">
        <f>OpeningTemplate!A211+"AM:!&amp;/q"</f>
        <v>#VALUE!</v>
      </c>
      <c r="ES96" s="104" t="e">
        <f>OpeningTemplate!B211+"AM:!&amp;/r"</f>
        <v>#VALUE!</v>
      </c>
      <c r="ET96" s="104" t="e">
        <f>OpeningTemplate!C211+"AM:!&amp;/s"</f>
        <v>#VALUE!</v>
      </c>
      <c r="EU96" t="e">
        <f>OpeningTemplate!D211+"AM:!&amp;/t"</f>
        <v>#VALUE!</v>
      </c>
      <c r="EV96" t="e">
        <f>OpeningTemplate!E211+"AM:!&amp;/u"</f>
        <v>#VALUE!</v>
      </c>
      <c r="EW96" s="103" t="e">
        <f>OpeningTemplate!F211+"AM:!&amp;/v"</f>
        <v>#VALUE!</v>
      </c>
      <c r="EX96" t="e">
        <f>OpeningTemplate!G211+"AM:!&amp;/w"</f>
        <v>#VALUE!</v>
      </c>
      <c r="EY96" t="e">
        <f>OpeningTemplate!H211+"AM:!&amp;/x"</f>
        <v>#VALUE!</v>
      </c>
      <c r="EZ96" t="e">
        <f>OpeningTemplate!I211+"AM:!&amp;/y"</f>
        <v>#VALUE!</v>
      </c>
      <c r="FA96" t="e">
        <f>OpeningTemplate!J211+"AM:!&amp;/z"</f>
        <v>#VALUE!</v>
      </c>
      <c r="FB96" t="e">
        <f>OpeningTemplate!K211+"AM:!&amp;/{"</f>
        <v>#VALUE!</v>
      </c>
      <c r="FC96" t="e">
        <f>OpeningTemplate!L211+"AM:!&amp;/|"</f>
        <v>#VALUE!</v>
      </c>
      <c r="FD96" t="e">
        <f>OpeningTemplate!M211+"AM:!&amp;/}"</f>
        <v>#VALUE!</v>
      </c>
      <c r="FE96" t="e">
        <f>OpeningTemplate!A212+"AM:!&amp;/~"</f>
        <v>#VALUE!</v>
      </c>
      <c r="FF96" t="e">
        <f>OpeningTemplate!B212+"AM:!&amp;0#"</f>
        <v>#VALUE!</v>
      </c>
      <c r="FG96" t="e">
        <f>OpeningTemplate!C212+"AM:!&amp;0$"</f>
        <v>#VALUE!</v>
      </c>
      <c r="FH96" t="e">
        <f>OpeningTemplate!D212+"AM:!&amp;0%"</f>
        <v>#VALUE!</v>
      </c>
      <c r="FI96" t="e">
        <f>OpeningTemplate!E212+"AM:!&amp;0&amp;"</f>
        <v>#VALUE!</v>
      </c>
      <c r="FJ96" t="e">
        <f>OpeningTemplate!F212+"AM:!&amp;0'"</f>
        <v>#VALUE!</v>
      </c>
      <c r="FK96" t="e">
        <f>OpeningTemplate!G212+"AM:!&amp;0("</f>
        <v>#VALUE!</v>
      </c>
      <c r="FL96" t="e">
        <f>OpeningTemplate!H212+"AM:!&amp;0)"</f>
        <v>#VALUE!</v>
      </c>
      <c r="FM96" t="e">
        <f>OpeningTemplate!I212+"AM:!&amp;0."</f>
        <v>#VALUE!</v>
      </c>
      <c r="FN96" t="e">
        <f>OpeningTemplate!J212+"AM:!&amp;0/"</f>
        <v>#VALUE!</v>
      </c>
      <c r="FO96" t="e">
        <f>OpeningTemplate!K212+"AM:!&amp;00"</f>
        <v>#VALUE!</v>
      </c>
      <c r="FP96" t="e">
        <f>OpeningTemplate!L212+"AM:!&amp;01"</f>
        <v>#VALUE!</v>
      </c>
      <c r="FQ96" t="e">
        <f>OpeningTemplate!M212+"AM:!&amp;02"</f>
        <v>#VALUE!</v>
      </c>
      <c r="FR96" t="e">
        <f>OpeningTemplate!A213+"AM:!&amp;03"</f>
        <v>#VALUE!</v>
      </c>
      <c r="FS96" t="e">
        <f>OpeningTemplate!B213+"AM:!&amp;04"</f>
        <v>#VALUE!</v>
      </c>
      <c r="FT96" t="e">
        <f>OpeningTemplate!C213+"AM:!&amp;05"</f>
        <v>#VALUE!</v>
      </c>
      <c r="FU96" t="e">
        <f>OpeningTemplate!D213+"AM:!&amp;06"</f>
        <v>#VALUE!</v>
      </c>
      <c r="FV96" t="e">
        <f>OpeningTemplate!E213+"AM:!&amp;07"</f>
        <v>#VALUE!</v>
      </c>
      <c r="FW96" t="e">
        <f>OpeningTemplate!F213+"AM:!&amp;08"</f>
        <v>#VALUE!</v>
      </c>
      <c r="FX96" t="e">
        <f>OpeningTemplate!G213+"AM:!&amp;09"</f>
        <v>#VALUE!</v>
      </c>
      <c r="FY96" t="e">
        <f>OpeningTemplate!H213+"AM:!&amp;0:"</f>
        <v>#VALUE!</v>
      </c>
      <c r="FZ96" t="e">
        <f>OpeningTemplate!I213+"AM:!&amp;0;"</f>
        <v>#VALUE!</v>
      </c>
      <c r="GA96" t="e">
        <f>OpeningTemplate!J213+"AM:!&amp;0&lt;"</f>
        <v>#VALUE!</v>
      </c>
      <c r="GB96" t="e">
        <f>OpeningTemplate!K213+"AM:!&amp;0="</f>
        <v>#VALUE!</v>
      </c>
      <c r="GC96" t="e">
        <f>OpeningTemplate!L213+"AM:!&amp;0&gt;"</f>
        <v>#VALUE!</v>
      </c>
      <c r="GD96" t="e">
        <f>OpeningTemplate!M213+"AM:!&amp;0?"</f>
        <v>#VALUE!</v>
      </c>
      <c r="GE96" t="e">
        <f>OpeningTemplate!A214+"AM:!&amp;0@"</f>
        <v>#VALUE!</v>
      </c>
      <c r="GF96" t="e">
        <f>OpeningTemplate!B214+"AM:!&amp;0A"</f>
        <v>#VALUE!</v>
      </c>
      <c r="GG96" t="e">
        <f>OpeningTemplate!C214+"AM:!&amp;0B"</f>
        <v>#VALUE!</v>
      </c>
      <c r="GH96" t="e">
        <f>OpeningTemplate!D214+"AM:!&amp;0C"</f>
        <v>#VALUE!</v>
      </c>
      <c r="GI96" t="e">
        <f>OpeningTemplate!E214+"AM:!&amp;0D"</f>
        <v>#VALUE!</v>
      </c>
      <c r="GJ96" s="103" t="e">
        <f>OpeningTemplate!F214+"AM:!&amp;0E"</f>
        <v>#VALUE!</v>
      </c>
      <c r="GK96" s="103" t="e">
        <f>OpeningTemplate!G214+"AM:!&amp;0F"</f>
        <v>#VALUE!</v>
      </c>
      <c r="GL96" s="103" t="e">
        <f>OpeningTemplate!H214+"AM:!&amp;0G"</f>
        <v>#VALUE!</v>
      </c>
      <c r="GM96" s="103" t="e">
        <f>OpeningTemplate!I214+"AM:!&amp;0H"</f>
        <v>#VALUE!</v>
      </c>
      <c r="GN96" s="103" t="e">
        <f>OpeningTemplate!J214+"AM:!&amp;0I"</f>
        <v>#VALUE!</v>
      </c>
      <c r="GO96" s="103" t="e">
        <f>OpeningTemplate!K214+"AM:!&amp;0J"</f>
        <v>#VALUE!</v>
      </c>
      <c r="GP96" t="e">
        <f>OpeningTemplate!L214+"AM:!&amp;0K"</f>
        <v>#VALUE!</v>
      </c>
      <c r="GQ96" t="e">
        <f>OpeningTemplate!M214+"AM:!&amp;0L"</f>
        <v>#VALUE!</v>
      </c>
      <c r="GR96" t="e">
        <f>OpeningTemplate!A215+"AM:!&amp;0M"</f>
        <v>#VALUE!</v>
      </c>
      <c r="GS96" t="e">
        <f>OpeningTemplate!B215+"AM:!&amp;0N"</f>
        <v>#VALUE!</v>
      </c>
      <c r="GT96" t="e">
        <f>OpeningTemplate!C215+"AM:!&amp;0O"</f>
        <v>#VALUE!</v>
      </c>
      <c r="GU96" t="e">
        <f>OpeningTemplate!D215+"AM:!&amp;0P"</f>
        <v>#VALUE!</v>
      </c>
      <c r="GV96" t="e">
        <f>OpeningTemplate!E215+"AM:!&amp;0Q"</f>
        <v>#VALUE!</v>
      </c>
      <c r="GW96" t="e">
        <f>OpeningTemplate!F215+"AM:!&amp;0R"</f>
        <v>#VALUE!</v>
      </c>
      <c r="GX96" t="e">
        <f>OpeningTemplate!G215+"AM:!&amp;0S"</f>
        <v>#VALUE!</v>
      </c>
      <c r="GY96" t="e">
        <f>OpeningTemplate!H215+"AM:!&amp;0T"</f>
        <v>#VALUE!</v>
      </c>
      <c r="GZ96" t="e">
        <f>OpeningTemplate!I215+"AM:!&amp;0U"</f>
        <v>#VALUE!</v>
      </c>
      <c r="HA96" t="e">
        <f>OpeningTemplate!J215+"AM:!&amp;0V"</f>
        <v>#VALUE!</v>
      </c>
      <c r="HB96" t="e">
        <f>OpeningTemplate!K215+"AM:!&amp;0W"</f>
        <v>#VALUE!</v>
      </c>
      <c r="HC96" t="e">
        <f>OpeningTemplate!L215+"AM:!&amp;0X"</f>
        <v>#VALUE!</v>
      </c>
      <c r="HD96" t="e">
        <f>OpeningTemplate!M215+"AM:!&amp;0Y"</f>
        <v>#VALUE!</v>
      </c>
      <c r="HE96" t="e">
        <f>OpeningTemplate!A216+"AM:!&amp;0Z"</f>
        <v>#VALUE!</v>
      </c>
      <c r="HF96" s="103" t="e">
        <f>OpeningTemplate!B216+"AM:!&amp;0["</f>
        <v>#VALUE!</v>
      </c>
      <c r="HG96" s="103" t="e">
        <f>OpeningTemplate!C216+"AM:!&amp;0\"</f>
        <v>#VALUE!</v>
      </c>
      <c r="HH96" s="98" t="e">
        <f>OpeningTemplate!D216+"AM:!&amp;0]"</f>
        <v>#VALUE!</v>
      </c>
      <c r="HI96" s="98" t="e">
        <f>OpeningTemplate!E216+"AM:!&amp;0^"</f>
        <v>#VALUE!</v>
      </c>
      <c r="HJ96" t="e">
        <f>OpeningTemplate!F216+"AM:!&amp;0_"</f>
        <v>#VALUE!</v>
      </c>
      <c r="HK96" t="e">
        <f>OpeningTemplate!G216+"AM:!&amp;0`"</f>
        <v>#VALUE!</v>
      </c>
      <c r="HL96" t="e">
        <f>OpeningTemplate!H216+"AM:!&amp;0a"</f>
        <v>#VALUE!</v>
      </c>
      <c r="HM96" t="e">
        <f>OpeningTemplate!I216+"AM:!&amp;0b"</f>
        <v>#VALUE!</v>
      </c>
      <c r="HN96" t="e">
        <f>OpeningTemplate!J216+"AM:!&amp;0c"</f>
        <v>#VALUE!</v>
      </c>
      <c r="HO96" t="e">
        <f>OpeningTemplate!K216+"AM:!&amp;0d"</f>
        <v>#VALUE!</v>
      </c>
      <c r="HP96" t="e">
        <f>OpeningTemplate!L216+"AM:!&amp;0e"</f>
        <v>#VALUE!</v>
      </c>
      <c r="HQ96" t="e">
        <f>OpeningTemplate!M216+"AM:!&amp;0f"</f>
        <v>#VALUE!</v>
      </c>
      <c r="HR96" t="e">
        <f>OpeningTemplate!A217+"AM:!&amp;0g"</f>
        <v>#VALUE!</v>
      </c>
      <c r="HS96" t="e">
        <f>OpeningTemplate!B217+"AM:!&amp;0h"</f>
        <v>#VALUE!</v>
      </c>
      <c r="HT96" t="e">
        <f>OpeningTemplate!C217+"AM:!&amp;0i"</f>
        <v>#VALUE!</v>
      </c>
      <c r="HU96" t="e">
        <f>OpeningTemplate!D217+"AM:!&amp;0j"</f>
        <v>#VALUE!</v>
      </c>
      <c r="HV96" t="e">
        <f>OpeningTemplate!E217+"AM:!&amp;0k"</f>
        <v>#VALUE!</v>
      </c>
      <c r="HW96" t="e">
        <f>OpeningTemplate!F217+"AM:!&amp;0l"</f>
        <v>#VALUE!</v>
      </c>
      <c r="HX96" t="e">
        <f>OpeningTemplate!G217+"AM:!&amp;0m"</f>
        <v>#VALUE!</v>
      </c>
      <c r="HY96" t="e">
        <f>OpeningTemplate!H217+"AM:!&amp;0n"</f>
        <v>#VALUE!</v>
      </c>
      <c r="HZ96" t="e">
        <f>OpeningTemplate!I217+"AM:!&amp;0o"</f>
        <v>#VALUE!</v>
      </c>
      <c r="IA96" t="e">
        <f>OpeningTemplate!J217+"AM:!&amp;0p"</f>
        <v>#VALUE!</v>
      </c>
      <c r="IB96" t="e">
        <f>OpeningTemplate!K217+"AM:!&amp;0q"</f>
        <v>#VALUE!</v>
      </c>
      <c r="IC96" t="e">
        <f>OpeningTemplate!L217+"AM:!&amp;0r"</f>
        <v>#VALUE!</v>
      </c>
      <c r="ID96" t="e">
        <f>OpeningTemplate!M217+"AM:!&amp;0s"</f>
        <v>#VALUE!</v>
      </c>
      <c r="IE96" t="e">
        <f>OpeningTemplate!A218+"AM:!&amp;0t"</f>
        <v>#VALUE!</v>
      </c>
      <c r="IF96" t="e">
        <f>OpeningTemplate!B218+"AM:!&amp;0u"</f>
        <v>#VALUE!</v>
      </c>
      <c r="IG96" t="e">
        <f>OpeningTemplate!C218+"AM:!&amp;0v"</f>
        <v>#VALUE!</v>
      </c>
      <c r="IH96" t="e">
        <f>OpeningTemplate!D218+"AM:!&amp;0w"</f>
        <v>#VALUE!</v>
      </c>
      <c r="II96" t="e">
        <f>OpeningTemplate!E218+"AM:!&amp;0x"</f>
        <v>#VALUE!</v>
      </c>
      <c r="IJ96" t="e">
        <f>OpeningTemplate!F218+"AM:!&amp;0y"</f>
        <v>#VALUE!</v>
      </c>
      <c r="IK96" t="e">
        <f>OpeningTemplate!G218+"AM:!&amp;0z"</f>
        <v>#VALUE!</v>
      </c>
      <c r="IL96" t="e">
        <f>OpeningTemplate!H218+"AM:!&amp;0{"</f>
        <v>#VALUE!</v>
      </c>
      <c r="IM96" t="e">
        <f>OpeningTemplate!I218+"AM:!&amp;0|"</f>
        <v>#VALUE!</v>
      </c>
      <c r="IN96" t="e">
        <f>OpeningTemplate!J218+"AM:!&amp;0}"</f>
        <v>#VALUE!</v>
      </c>
      <c r="IO96" t="e">
        <f>OpeningTemplate!K218+"AM:!&amp;0~"</f>
        <v>#VALUE!</v>
      </c>
      <c r="IP96" t="e">
        <f>OpeningTemplate!L218+"AM:!&amp;1#"</f>
        <v>#VALUE!</v>
      </c>
      <c r="IQ96" t="e">
        <f>OpeningTemplate!M218+"AM:!&amp;1$"</f>
        <v>#VALUE!</v>
      </c>
      <c r="IR96" t="e">
        <f>OpeningTemplate!A219+"AM:!&amp;1%"</f>
        <v>#VALUE!</v>
      </c>
      <c r="IS96" s="104" t="e">
        <f>OpeningTemplate!B219+"AM:!&amp;1&amp;"</f>
        <v>#VALUE!</v>
      </c>
      <c r="IT96" s="104" t="e">
        <f>OpeningTemplate!C219+"AM:!&amp;1'"</f>
        <v>#VALUE!</v>
      </c>
      <c r="IU96" t="e">
        <f>OpeningTemplate!D219+"AM:!&amp;1("</f>
        <v>#VALUE!</v>
      </c>
      <c r="IV96" t="e">
        <f>OpeningTemplate!E219+"AM:!&amp;1)"</f>
        <v>#VALUE!</v>
      </c>
    </row>
    <row r="97" spans="6:256">
      <c r="F97" s="103" t="e">
        <f>OpeningTemplate!F219+"AM:!&amp;1."</f>
        <v>#VALUE!</v>
      </c>
      <c r="G97" t="e">
        <f>OpeningTemplate!G219+"AM:!&amp;1/"</f>
        <v>#VALUE!</v>
      </c>
      <c r="H97" t="e">
        <f>OpeningTemplate!H219+"AM:!&amp;10"</f>
        <v>#VALUE!</v>
      </c>
      <c r="I97" t="e">
        <f>OpeningTemplate!I219+"AM:!&amp;11"</f>
        <v>#VALUE!</v>
      </c>
      <c r="J97" t="e">
        <f>OpeningTemplate!J219+"AM:!&amp;12"</f>
        <v>#VALUE!</v>
      </c>
      <c r="K97" t="e">
        <f>OpeningTemplate!K219+"AM:!&amp;13"</f>
        <v>#VALUE!</v>
      </c>
      <c r="L97" t="e">
        <f>OpeningTemplate!L219+"AM:!&amp;14"</f>
        <v>#VALUE!</v>
      </c>
      <c r="M97" t="e">
        <f>OpeningTemplate!M219+"AM:!&amp;15"</f>
        <v>#VALUE!</v>
      </c>
      <c r="N97" t="e">
        <f>OpeningTemplate!A220+"AM:!&amp;16"</f>
        <v>#VALUE!</v>
      </c>
      <c r="O97" s="104" t="e">
        <f>OpeningTemplate!B220+"AM:!&amp;17"</f>
        <v>#VALUE!</v>
      </c>
      <c r="P97" s="104" t="e">
        <f>OpeningTemplate!C220+"AM:!&amp;18"</f>
        <v>#VALUE!</v>
      </c>
      <c r="Q97" t="e">
        <f>OpeningTemplate!D220+"AM:!&amp;19"</f>
        <v>#VALUE!</v>
      </c>
      <c r="R97" t="e">
        <f>OpeningTemplate!E220+"AM:!&amp;1:"</f>
        <v>#VALUE!</v>
      </c>
      <c r="S97" s="103" t="e">
        <f>OpeningTemplate!F220+"AM:!&amp;1;"</f>
        <v>#VALUE!</v>
      </c>
      <c r="T97" t="e">
        <f>OpeningTemplate!G220+"AM:!&amp;1&lt;"</f>
        <v>#VALUE!</v>
      </c>
      <c r="U97" t="e">
        <f>OpeningTemplate!H220+"AM:!&amp;1="</f>
        <v>#VALUE!</v>
      </c>
      <c r="V97" t="e">
        <f>OpeningTemplate!I220+"AM:!&amp;1&gt;"</f>
        <v>#VALUE!</v>
      </c>
      <c r="W97" t="e">
        <f>OpeningTemplate!J220+"AM:!&amp;1?"</f>
        <v>#VALUE!</v>
      </c>
      <c r="X97" t="e">
        <f>OpeningTemplate!K220+"AM:!&amp;1@"</f>
        <v>#VALUE!</v>
      </c>
      <c r="Y97" t="e">
        <f>OpeningTemplate!L220+"AM:!&amp;1A"</f>
        <v>#VALUE!</v>
      </c>
      <c r="Z97" t="e">
        <f>OpeningTemplate!M220+"AM:!&amp;1B"</f>
        <v>#VALUE!</v>
      </c>
      <c r="AA97" t="e">
        <f>OpeningTemplate!A221+"AM:!&amp;1C"</f>
        <v>#VALUE!</v>
      </c>
      <c r="AB97" s="104" t="e">
        <f>OpeningTemplate!B221+"AM:!&amp;1D"</f>
        <v>#VALUE!</v>
      </c>
      <c r="AC97" s="104" t="e">
        <f>OpeningTemplate!C221+"AM:!&amp;1E"</f>
        <v>#VALUE!</v>
      </c>
      <c r="AD97" t="e">
        <f>OpeningTemplate!D221+"AM:!&amp;1F"</f>
        <v>#VALUE!</v>
      </c>
      <c r="AE97" t="e">
        <f>OpeningTemplate!E221+"AM:!&amp;1G"</f>
        <v>#VALUE!</v>
      </c>
      <c r="AF97" s="103" t="e">
        <f>OpeningTemplate!F221+"AM:!&amp;1H"</f>
        <v>#VALUE!</v>
      </c>
      <c r="AG97" t="e">
        <f>OpeningTemplate!G221+"AM:!&amp;1I"</f>
        <v>#VALUE!</v>
      </c>
      <c r="AH97" t="e">
        <f>OpeningTemplate!H221+"AM:!&amp;1J"</f>
        <v>#VALUE!</v>
      </c>
      <c r="AI97" t="e">
        <f>OpeningTemplate!I221+"AM:!&amp;1K"</f>
        <v>#VALUE!</v>
      </c>
      <c r="AJ97" t="e">
        <f>OpeningTemplate!J221+"AM:!&amp;1L"</f>
        <v>#VALUE!</v>
      </c>
      <c r="AK97" t="e">
        <f>OpeningTemplate!K221+"AM:!&amp;1M"</f>
        <v>#VALUE!</v>
      </c>
      <c r="AL97" t="e">
        <f>OpeningTemplate!L221+"AM:!&amp;1N"</f>
        <v>#VALUE!</v>
      </c>
      <c r="AM97" t="e">
        <f>OpeningTemplate!M221+"AM:!&amp;1O"</f>
        <v>#VALUE!</v>
      </c>
      <c r="AN97" t="e">
        <f>OpeningTemplate!A222+"AM:!&amp;1P"</f>
        <v>#VALUE!</v>
      </c>
      <c r="AO97" t="e">
        <f>OpeningTemplate!B222+"AM:!&amp;1Q"</f>
        <v>#VALUE!</v>
      </c>
      <c r="AP97" t="e">
        <f>OpeningTemplate!C222+"AM:!&amp;1R"</f>
        <v>#VALUE!</v>
      </c>
      <c r="AQ97" t="e">
        <f>OpeningTemplate!D222+"AM:!&amp;1S"</f>
        <v>#VALUE!</v>
      </c>
      <c r="AR97" t="e">
        <f>OpeningTemplate!E222+"AM:!&amp;1T"</f>
        <v>#VALUE!</v>
      </c>
      <c r="AS97" t="e">
        <f>OpeningTemplate!F222+"AM:!&amp;1U"</f>
        <v>#VALUE!</v>
      </c>
      <c r="AT97" t="e">
        <f>OpeningTemplate!G222+"AM:!&amp;1V"</f>
        <v>#VALUE!</v>
      </c>
      <c r="AU97" t="e">
        <f>OpeningTemplate!H222+"AM:!&amp;1W"</f>
        <v>#VALUE!</v>
      </c>
      <c r="AV97" t="e">
        <f>OpeningTemplate!I222+"AM:!&amp;1X"</f>
        <v>#VALUE!</v>
      </c>
      <c r="AW97" t="e">
        <f>OpeningTemplate!J222+"AM:!&amp;1Y"</f>
        <v>#VALUE!</v>
      </c>
      <c r="AX97" t="e">
        <f>OpeningTemplate!K222+"AM:!&amp;1Z"</f>
        <v>#VALUE!</v>
      </c>
      <c r="AY97" t="e">
        <f>OpeningTemplate!L222+"AM:!&amp;1["</f>
        <v>#VALUE!</v>
      </c>
      <c r="AZ97" t="e">
        <f>OpeningTemplate!A223+"AM:!&amp;1\"</f>
        <v>#VALUE!</v>
      </c>
      <c r="BA97" t="e">
        <f>OpeningTemplate!B223+"AM:!&amp;1]"</f>
        <v>#VALUE!</v>
      </c>
      <c r="BB97" t="e">
        <f>OpeningTemplate!C223+"AM:!&amp;1^"</f>
        <v>#VALUE!</v>
      </c>
      <c r="BC97" t="e">
        <f>OpeningTemplate!D223+"AM:!&amp;1_"</f>
        <v>#VALUE!</v>
      </c>
      <c r="BD97" t="e">
        <f>OpeningTemplate!E223+"AM:!&amp;1`"</f>
        <v>#VALUE!</v>
      </c>
      <c r="BE97" t="e">
        <f>OpeningTemplate!F223+"AM:!&amp;1a"</f>
        <v>#VALUE!</v>
      </c>
      <c r="BF97" t="e">
        <f>OpeningTemplate!G223+"AM:!&amp;1b"</f>
        <v>#VALUE!</v>
      </c>
      <c r="BG97" t="e">
        <f>OpeningTemplate!H223+"AM:!&amp;1c"</f>
        <v>#VALUE!</v>
      </c>
      <c r="BH97" t="e">
        <f>OpeningTemplate!I223+"AM:!&amp;1d"</f>
        <v>#VALUE!</v>
      </c>
      <c r="BI97" t="e">
        <f>OpeningTemplate!J223+"AM:!&amp;1e"</f>
        <v>#VALUE!</v>
      </c>
      <c r="BJ97" t="e">
        <f>OpeningTemplate!K223+"AM:!&amp;1f"</f>
        <v>#VALUE!</v>
      </c>
      <c r="BK97" t="e">
        <f>OpeningTemplate!L223+"AM:!&amp;1g"</f>
        <v>#VALUE!</v>
      </c>
      <c r="BL97" t="e">
        <f>OpeningTemplate!M223+"AM:!&amp;1h"</f>
        <v>#VALUE!</v>
      </c>
      <c r="BM97" t="e">
        <f>OpeningTemplate!A224+"AM:!&amp;1i"</f>
        <v>#VALUE!</v>
      </c>
      <c r="BN97" t="e">
        <f>OpeningTemplate!B224+"AM:!&amp;1j"</f>
        <v>#VALUE!</v>
      </c>
      <c r="BO97" t="e">
        <f>OpeningTemplate!C224+"AM:!&amp;1k"</f>
        <v>#VALUE!</v>
      </c>
      <c r="BP97" t="e">
        <f>OpeningTemplate!D224+"AM:!&amp;1l"</f>
        <v>#VALUE!</v>
      </c>
      <c r="BQ97" t="e">
        <f>OpeningTemplate!E224+"AM:!&amp;1m"</f>
        <v>#VALUE!</v>
      </c>
      <c r="BR97" s="103" t="e">
        <f>OpeningTemplate!F224+"AM:!&amp;1n"</f>
        <v>#VALUE!</v>
      </c>
      <c r="BS97" s="103" t="e">
        <f>OpeningTemplate!G224+"AM:!&amp;1o"</f>
        <v>#VALUE!</v>
      </c>
      <c r="BT97" s="103" t="e">
        <f>OpeningTemplate!H224+"AM:!&amp;1p"</f>
        <v>#VALUE!</v>
      </c>
      <c r="BU97" s="103" t="e">
        <f>OpeningTemplate!I224+"AM:!&amp;1q"</f>
        <v>#VALUE!</v>
      </c>
      <c r="BV97" s="103" t="e">
        <f>OpeningTemplate!J224+"AM:!&amp;1r"</f>
        <v>#VALUE!</v>
      </c>
      <c r="BW97" s="103" t="e">
        <f>OpeningTemplate!K224+"AM:!&amp;1s"</f>
        <v>#VALUE!</v>
      </c>
      <c r="BX97" t="e">
        <f>OpeningTemplate!L224+"AM:!&amp;1t"</f>
        <v>#VALUE!</v>
      </c>
      <c r="BY97" t="e">
        <f>OpeningTemplate!M224+"AM:!&amp;1u"</f>
        <v>#VALUE!</v>
      </c>
      <c r="BZ97" t="e">
        <f>OpeningTemplate!A225+"AM:!&amp;1v"</f>
        <v>#VALUE!</v>
      </c>
      <c r="CA97" t="e">
        <f>OpeningTemplate!B225+"AM:!&amp;1w"</f>
        <v>#VALUE!</v>
      </c>
      <c r="CB97" t="e">
        <f>OpeningTemplate!C225+"AM:!&amp;1x"</f>
        <v>#VALUE!</v>
      </c>
      <c r="CC97" t="e">
        <f>OpeningTemplate!D225+"AM:!&amp;1y"</f>
        <v>#VALUE!</v>
      </c>
      <c r="CD97" t="e">
        <f>OpeningTemplate!E225+"AM:!&amp;1z"</f>
        <v>#VALUE!</v>
      </c>
      <c r="CE97" t="e">
        <f>OpeningTemplate!F225+"AM:!&amp;1{"</f>
        <v>#VALUE!</v>
      </c>
      <c r="CF97" t="e">
        <f>OpeningTemplate!G225+"AM:!&amp;1|"</f>
        <v>#VALUE!</v>
      </c>
      <c r="CG97" t="e">
        <f>OpeningTemplate!H225+"AM:!&amp;1}"</f>
        <v>#VALUE!</v>
      </c>
      <c r="CH97" t="e">
        <f>OpeningTemplate!I225+"AM:!&amp;1~"</f>
        <v>#VALUE!</v>
      </c>
      <c r="CI97" t="e">
        <f>OpeningTemplate!J225+"AM:!&amp;2#"</f>
        <v>#VALUE!</v>
      </c>
      <c r="CJ97" t="e">
        <f>OpeningTemplate!K225+"AM:!&amp;2$"</f>
        <v>#VALUE!</v>
      </c>
      <c r="CK97" t="e">
        <f>OpeningTemplate!L225+"AM:!&amp;2%"</f>
        <v>#VALUE!</v>
      </c>
      <c r="CL97" t="e">
        <f>OpeningTemplate!M225+"AM:!&amp;2&amp;"</f>
        <v>#VALUE!</v>
      </c>
      <c r="CM97" t="e">
        <f>OpeningTemplate!A226+"AM:!&amp;2'"</f>
        <v>#VALUE!</v>
      </c>
      <c r="CN97" s="103" t="e">
        <f>OpeningTemplate!B226+"AM:!&amp;2("</f>
        <v>#VALUE!</v>
      </c>
      <c r="CO97" s="103" t="e">
        <f>OpeningTemplate!C226+"AM:!&amp;2)"</f>
        <v>#VALUE!</v>
      </c>
      <c r="CP97" s="98" t="e">
        <f>OpeningTemplate!D226+"AM:!&amp;2."</f>
        <v>#VALUE!</v>
      </c>
      <c r="CQ97" s="98" t="e">
        <f>OpeningTemplate!E226+"AM:!&amp;2/"</f>
        <v>#VALUE!</v>
      </c>
      <c r="CR97" t="e">
        <f>OpeningTemplate!F226+"AM:!&amp;20"</f>
        <v>#VALUE!</v>
      </c>
      <c r="CS97" t="e">
        <f>OpeningTemplate!G226+"AM:!&amp;21"</f>
        <v>#VALUE!</v>
      </c>
      <c r="CT97" t="e">
        <f>OpeningTemplate!H226+"AM:!&amp;22"</f>
        <v>#VALUE!</v>
      </c>
      <c r="CU97" t="e">
        <f>OpeningTemplate!I226+"AM:!&amp;23"</f>
        <v>#VALUE!</v>
      </c>
      <c r="CV97" t="e">
        <f>OpeningTemplate!J226+"AM:!&amp;24"</f>
        <v>#VALUE!</v>
      </c>
      <c r="CW97" t="e">
        <f>OpeningTemplate!K226+"AM:!&amp;25"</f>
        <v>#VALUE!</v>
      </c>
      <c r="CX97" t="e">
        <f>OpeningTemplate!L226+"AM:!&amp;26"</f>
        <v>#VALUE!</v>
      </c>
      <c r="CY97" t="e">
        <f>OpeningTemplate!M226+"AM:!&amp;27"</f>
        <v>#VALUE!</v>
      </c>
      <c r="CZ97" t="e">
        <f>OpeningTemplate!A227+"AM:!&amp;28"</f>
        <v>#VALUE!</v>
      </c>
      <c r="DA97" t="e">
        <f>OpeningTemplate!B227+"AM:!&amp;29"</f>
        <v>#VALUE!</v>
      </c>
      <c r="DB97" t="e">
        <f>OpeningTemplate!C227+"AM:!&amp;2:"</f>
        <v>#VALUE!</v>
      </c>
      <c r="DC97" t="e">
        <f>OpeningTemplate!D227+"AM:!&amp;2;"</f>
        <v>#VALUE!</v>
      </c>
      <c r="DD97" t="e">
        <f>OpeningTemplate!E227+"AM:!&amp;2&lt;"</f>
        <v>#VALUE!</v>
      </c>
      <c r="DE97" t="e">
        <f>OpeningTemplate!F227+"AM:!&amp;2="</f>
        <v>#VALUE!</v>
      </c>
      <c r="DF97" t="e">
        <f>OpeningTemplate!G227+"AM:!&amp;2&gt;"</f>
        <v>#VALUE!</v>
      </c>
      <c r="DG97" t="e">
        <f>OpeningTemplate!H227+"AM:!&amp;2?"</f>
        <v>#VALUE!</v>
      </c>
      <c r="DH97" t="e">
        <f>OpeningTemplate!I227+"AM:!&amp;2@"</f>
        <v>#VALUE!</v>
      </c>
      <c r="DI97" t="e">
        <f>OpeningTemplate!J227+"AM:!&amp;2A"</f>
        <v>#VALUE!</v>
      </c>
      <c r="DJ97" t="e">
        <f>OpeningTemplate!K227+"AM:!&amp;2B"</f>
        <v>#VALUE!</v>
      </c>
      <c r="DK97" t="e">
        <f>OpeningTemplate!L227+"AM:!&amp;2C"</f>
        <v>#VALUE!</v>
      </c>
      <c r="DL97" t="e">
        <f>OpeningTemplate!M227+"AM:!&amp;2D"</f>
        <v>#VALUE!</v>
      </c>
      <c r="DM97" t="e">
        <f>OpeningTemplate!A228+"AM:!&amp;2E"</f>
        <v>#VALUE!</v>
      </c>
      <c r="DN97" t="e">
        <f>OpeningTemplate!B228+"AM:!&amp;2F"</f>
        <v>#VALUE!</v>
      </c>
      <c r="DO97" t="e">
        <f>OpeningTemplate!C228+"AM:!&amp;2G"</f>
        <v>#VALUE!</v>
      </c>
      <c r="DP97" t="e">
        <f>OpeningTemplate!D228+"AM:!&amp;2H"</f>
        <v>#VALUE!</v>
      </c>
      <c r="DQ97" t="e">
        <f>OpeningTemplate!E228+"AM:!&amp;2I"</f>
        <v>#VALUE!</v>
      </c>
      <c r="DR97" t="e">
        <f>OpeningTemplate!F228+"AM:!&amp;2J"</f>
        <v>#VALUE!</v>
      </c>
      <c r="DS97" t="e">
        <f>OpeningTemplate!G228+"AM:!&amp;2K"</f>
        <v>#VALUE!</v>
      </c>
      <c r="DT97" t="e">
        <f>OpeningTemplate!H228+"AM:!&amp;2L"</f>
        <v>#VALUE!</v>
      </c>
      <c r="DU97" t="e">
        <f>OpeningTemplate!I228+"AM:!&amp;2M"</f>
        <v>#VALUE!</v>
      </c>
      <c r="DV97" t="e">
        <f>OpeningTemplate!J228+"AM:!&amp;2N"</f>
        <v>#VALUE!</v>
      </c>
      <c r="DW97" t="e">
        <f>OpeningTemplate!K228+"AM:!&amp;2O"</f>
        <v>#VALUE!</v>
      </c>
      <c r="DX97" t="e">
        <f>OpeningTemplate!L228+"AM:!&amp;2P"</f>
        <v>#VALUE!</v>
      </c>
      <c r="DY97" t="e">
        <f>OpeningTemplate!M228+"AM:!&amp;2Q"</f>
        <v>#VALUE!</v>
      </c>
      <c r="DZ97" t="e">
        <f>OpeningTemplate!A229+"AM:!&amp;2R"</f>
        <v>#VALUE!</v>
      </c>
      <c r="EA97" s="104" t="e">
        <f>OpeningTemplate!B229+"AM:!&amp;2S"</f>
        <v>#VALUE!</v>
      </c>
      <c r="EB97" s="104" t="e">
        <f>OpeningTemplate!C229+"AM:!&amp;2T"</f>
        <v>#VALUE!</v>
      </c>
      <c r="EC97" t="e">
        <f>OpeningTemplate!D229+"AM:!&amp;2U"</f>
        <v>#VALUE!</v>
      </c>
      <c r="ED97" t="e">
        <f>OpeningTemplate!E229+"AM:!&amp;2V"</f>
        <v>#VALUE!</v>
      </c>
      <c r="EE97" s="103" t="e">
        <f>OpeningTemplate!F229+"AM:!&amp;2W"</f>
        <v>#VALUE!</v>
      </c>
      <c r="EF97" t="e">
        <f>OpeningTemplate!G229+"AM:!&amp;2X"</f>
        <v>#VALUE!</v>
      </c>
      <c r="EG97" t="e">
        <f>OpeningTemplate!H229+"AM:!&amp;2Y"</f>
        <v>#VALUE!</v>
      </c>
      <c r="EH97" t="e">
        <f>OpeningTemplate!I229+"AM:!&amp;2Z"</f>
        <v>#VALUE!</v>
      </c>
      <c r="EI97" t="e">
        <f>OpeningTemplate!J229+"AM:!&amp;2["</f>
        <v>#VALUE!</v>
      </c>
      <c r="EJ97" t="e">
        <f>OpeningTemplate!K229+"AM:!&amp;2\"</f>
        <v>#VALUE!</v>
      </c>
      <c r="EK97" t="e">
        <f>OpeningTemplate!L229+"AM:!&amp;2]"</f>
        <v>#VALUE!</v>
      </c>
      <c r="EL97" t="e">
        <f>OpeningTemplate!A230+"AM:!&amp;2^"</f>
        <v>#VALUE!</v>
      </c>
      <c r="EM97" s="104" t="e">
        <f>OpeningTemplate!B230+"AM:!&amp;2_"</f>
        <v>#VALUE!</v>
      </c>
      <c r="EN97" s="104" t="e">
        <f>OpeningTemplate!C230+"AM:!&amp;2`"</f>
        <v>#VALUE!</v>
      </c>
      <c r="EO97" t="e">
        <f>OpeningTemplate!D230+"AM:!&amp;2a"</f>
        <v>#VALUE!</v>
      </c>
      <c r="EP97" t="e">
        <f>OpeningTemplate!E230+"AM:!&amp;2b"</f>
        <v>#VALUE!</v>
      </c>
      <c r="EQ97" s="103" t="e">
        <f>OpeningTemplate!F230+"AM:!&amp;2c"</f>
        <v>#VALUE!</v>
      </c>
      <c r="ER97" t="e">
        <f>OpeningTemplate!G230+"AM:!&amp;2d"</f>
        <v>#VALUE!</v>
      </c>
      <c r="ES97" t="e">
        <f>OpeningTemplate!H230+"AM:!&amp;2e"</f>
        <v>#VALUE!</v>
      </c>
      <c r="ET97" t="e">
        <f>OpeningTemplate!I230+"AM:!&amp;2f"</f>
        <v>#VALUE!</v>
      </c>
      <c r="EU97" t="e">
        <f>OpeningTemplate!J230+"AM:!&amp;2g"</f>
        <v>#VALUE!</v>
      </c>
      <c r="EV97" t="e">
        <f>OpeningTemplate!K230+"AM:!&amp;2h"</f>
        <v>#VALUE!</v>
      </c>
      <c r="EW97" t="e">
        <f>OpeningTemplate!L230+"AM:!&amp;2i"</f>
        <v>#VALUE!</v>
      </c>
      <c r="EX97" t="e">
        <f>OpeningTemplate!A231+"AM:!&amp;2j"</f>
        <v>#VALUE!</v>
      </c>
      <c r="EY97" s="104" t="e">
        <f>OpeningTemplate!B231+"AM:!&amp;2k"</f>
        <v>#VALUE!</v>
      </c>
      <c r="EZ97" s="104" t="e">
        <f>OpeningTemplate!C231+"AM:!&amp;2l"</f>
        <v>#VALUE!</v>
      </c>
      <c r="FA97" t="e">
        <f>OpeningTemplate!D231+"AM:!&amp;2m"</f>
        <v>#VALUE!</v>
      </c>
      <c r="FB97" t="e">
        <f>OpeningTemplate!E231+"AM:!&amp;2n"</f>
        <v>#VALUE!</v>
      </c>
      <c r="FC97" s="103" t="e">
        <f>OpeningTemplate!F231+"AM:!&amp;2o"</f>
        <v>#VALUE!</v>
      </c>
      <c r="FD97" t="e">
        <f>OpeningTemplate!G231+"AM:!&amp;2p"</f>
        <v>#VALUE!</v>
      </c>
      <c r="FE97" t="e">
        <f>OpeningTemplate!H231+"AM:!&amp;2q"</f>
        <v>#VALUE!</v>
      </c>
      <c r="FF97" t="e">
        <f>OpeningTemplate!I231+"AM:!&amp;2r"</f>
        <v>#VALUE!</v>
      </c>
      <c r="FG97" t="e">
        <f>OpeningTemplate!J231+"AM:!&amp;2s"</f>
        <v>#VALUE!</v>
      </c>
      <c r="FH97" t="e">
        <f>OpeningTemplate!K231+"AM:!&amp;2t"</f>
        <v>#VALUE!</v>
      </c>
      <c r="FI97" t="e">
        <f>OpeningTemplate!L231+"AM:!&amp;2u"</f>
        <v>#VALUE!</v>
      </c>
      <c r="FJ97" t="e">
        <f>OpeningTemplate!A232+"AM:!&amp;2v"</f>
        <v>#VALUE!</v>
      </c>
      <c r="FK97" t="e">
        <f>OpeningTemplate!B232+"AM:!&amp;2w"</f>
        <v>#VALUE!</v>
      </c>
      <c r="FL97" t="e">
        <f>OpeningTemplate!C232+"AM:!&amp;2x"</f>
        <v>#VALUE!</v>
      </c>
      <c r="FM97" t="e">
        <f>OpeningTemplate!D232+"AM:!&amp;2y"</f>
        <v>#VALUE!</v>
      </c>
      <c r="FN97" t="e">
        <f>OpeningTemplate!E232+"AM:!&amp;2z"</f>
        <v>#VALUE!</v>
      </c>
      <c r="FO97" t="e">
        <f>OpeningTemplate!F232+"AM:!&amp;2{"</f>
        <v>#VALUE!</v>
      </c>
      <c r="FP97" t="e">
        <f>OpeningTemplate!G232+"AM:!&amp;2|"</f>
        <v>#VALUE!</v>
      </c>
      <c r="FQ97" t="e">
        <f>OpeningTemplate!H232+"AM:!&amp;2}"</f>
        <v>#VALUE!</v>
      </c>
      <c r="FR97" t="e">
        <f>OpeningTemplate!I232+"AM:!&amp;2~"</f>
        <v>#VALUE!</v>
      </c>
      <c r="FS97" t="e">
        <f>OpeningTemplate!J232+"AM:!&amp;3#"</f>
        <v>#VALUE!</v>
      </c>
      <c r="FT97" t="e">
        <f>OpeningTemplate!K232+"AM:!&amp;3$"</f>
        <v>#VALUE!</v>
      </c>
      <c r="FU97" t="e">
        <f>OpeningTemplate!L232+"AM:!&amp;3%"</f>
        <v>#VALUE!</v>
      </c>
      <c r="FV97" t="e">
        <f>OpeningTemplate!A233+"AM:!&amp;3&amp;"</f>
        <v>#VALUE!</v>
      </c>
      <c r="FW97" t="e">
        <f>OpeningTemplate!B233+"AM:!&amp;3'"</f>
        <v>#VALUE!</v>
      </c>
      <c r="FX97" t="e">
        <f>OpeningTemplate!C233+"AM:!&amp;3("</f>
        <v>#VALUE!</v>
      </c>
      <c r="FY97" t="e">
        <f>OpeningTemplate!D233+"AM:!&amp;3)"</f>
        <v>#VALUE!</v>
      </c>
      <c r="FZ97" t="e">
        <f>OpeningTemplate!E233+"AM:!&amp;3."</f>
        <v>#VALUE!</v>
      </c>
      <c r="GA97" t="e">
        <f>OpeningTemplate!F233+"AM:!&amp;3/"</f>
        <v>#VALUE!</v>
      </c>
      <c r="GB97" t="e">
        <f>OpeningTemplate!G233+"AM:!&amp;30"</f>
        <v>#VALUE!</v>
      </c>
      <c r="GC97" t="e">
        <f>OpeningTemplate!H233+"AM:!&amp;31"</f>
        <v>#VALUE!</v>
      </c>
      <c r="GD97" t="e">
        <f>OpeningTemplate!I233+"AM:!&amp;32"</f>
        <v>#VALUE!</v>
      </c>
      <c r="GE97" t="e">
        <f>OpeningTemplate!J233+"AM:!&amp;33"</f>
        <v>#VALUE!</v>
      </c>
      <c r="GF97" t="e">
        <f>OpeningTemplate!K233+"AM:!&amp;34"</f>
        <v>#VALUE!</v>
      </c>
      <c r="GG97" t="e">
        <f>OpeningTemplate!L233+"AM:!&amp;35"</f>
        <v>#VALUE!</v>
      </c>
      <c r="GH97" t="e">
        <f>OpeningTemplate!A234+"AM:!&amp;36"</f>
        <v>#VALUE!</v>
      </c>
      <c r="GI97" t="e">
        <f>OpeningTemplate!B234+"AM:!&amp;37"</f>
        <v>#VALUE!</v>
      </c>
      <c r="GJ97" t="e">
        <f>OpeningTemplate!C234+"AM:!&amp;38"</f>
        <v>#VALUE!</v>
      </c>
      <c r="GK97" t="e">
        <f>OpeningTemplate!D234+"AM:!&amp;39"</f>
        <v>#VALUE!</v>
      </c>
      <c r="GL97" t="e">
        <f>OpeningTemplate!E234+"AM:!&amp;3:"</f>
        <v>#VALUE!</v>
      </c>
      <c r="GM97" s="103" t="e">
        <f>OpeningTemplate!F234+"AM:!&amp;3;"</f>
        <v>#VALUE!</v>
      </c>
      <c r="GN97" s="103" t="e">
        <f>OpeningTemplate!G234+"AM:!&amp;3&lt;"</f>
        <v>#VALUE!</v>
      </c>
      <c r="GO97" s="103" t="e">
        <f>OpeningTemplate!H234+"AM:!&amp;3="</f>
        <v>#VALUE!</v>
      </c>
      <c r="GP97" s="103" t="e">
        <f>OpeningTemplate!I234+"AM:!&amp;3&gt;"</f>
        <v>#VALUE!</v>
      </c>
      <c r="GQ97" s="103" t="e">
        <f>OpeningTemplate!J234+"AM:!&amp;3?"</f>
        <v>#VALUE!</v>
      </c>
      <c r="GR97" s="103" t="e">
        <f>OpeningTemplate!K234+"AM:!&amp;3@"</f>
        <v>#VALUE!</v>
      </c>
      <c r="GS97" t="e">
        <f>OpeningTemplate!L234+"AM:!&amp;3A"</f>
        <v>#VALUE!</v>
      </c>
      <c r="GT97" t="e">
        <f>OpeningTemplate!A235+"AM:!&amp;3B"</f>
        <v>#VALUE!</v>
      </c>
      <c r="GU97" t="e">
        <f>OpeningTemplate!B235+"AM:!&amp;3C"</f>
        <v>#VALUE!</v>
      </c>
      <c r="GV97" t="e">
        <f>OpeningTemplate!C235+"AM:!&amp;3D"</f>
        <v>#VALUE!</v>
      </c>
      <c r="GW97" t="e">
        <f>OpeningTemplate!D235+"AM:!&amp;3E"</f>
        <v>#VALUE!</v>
      </c>
      <c r="GX97" t="e">
        <f>OpeningTemplate!E235+"AM:!&amp;3F"</f>
        <v>#VALUE!</v>
      </c>
      <c r="GY97" t="e">
        <f>OpeningTemplate!F235+"AM:!&amp;3G"</f>
        <v>#VALUE!</v>
      </c>
      <c r="GZ97" t="e">
        <f>OpeningTemplate!G235+"AM:!&amp;3H"</f>
        <v>#VALUE!</v>
      </c>
      <c r="HA97" t="e">
        <f>OpeningTemplate!H235+"AM:!&amp;3I"</f>
        <v>#VALUE!</v>
      </c>
      <c r="HB97" t="e">
        <f>OpeningTemplate!I235+"AM:!&amp;3J"</f>
        <v>#VALUE!</v>
      </c>
      <c r="HC97" t="e">
        <f>OpeningTemplate!J235+"AM:!&amp;3K"</f>
        <v>#VALUE!</v>
      </c>
      <c r="HD97" t="e">
        <f>OpeningTemplate!K235+"AM:!&amp;3L"</f>
        <v>#VALUE!</v>
      </c>
      <c r="HE97" t="e">
        <f>OpeningTemplate!L235+"AM:!&amp;3M"</f>
        <v>#VALUE!</v>
      </c>
      <c r="HF97" t="e">
        <f>OpeningTemplate!A236+"AM:!&amp;3N"</f>
        <v>#VALUE!</v>
      </c>
      <c r="HG97" s="103" t="e">
        <f>OpeningTemplate!B236+"AM:!&amp;3O"</f>
        <v>#VALUE!</v>
      </c>
      <c r="HH97" s="103" t="e">
        <f>OpeningTemplate!C236+"AM:!&amp;3P"</f>
        <v>#VALUE!</v>
      </c>
      <c r="HI97" s="98" t="e">
        <f>OpeningTemplate!D236+"AM:!&amp;3Q"</f>
        <v>#VALUE!</v>
      </c>
      <c r="HJ97" s="98" t="e">
        <f>OpeningTemplate!E236+"AM:!&amp;3R"</f>
        <v>#VALUE!</v>
      </c>
      <c r="HK97" t="e">
        <f>OpeningTemplate!F236+"AM:!&amp;3S"</f>
        <v>#VALUE!</v>
      </c>
      <c r="HL97" t="e">
        <f>OpeningTemplate!G236+"AM:!&amp;3T"</f>
        <v>#VALUE!</v>
      </c>
      <c r="HM97" t="e">
        <f>OpeningTemplate!H236+"AM:!&amp;3U"</f>
        <v>#VALUE!</v>
      </c>
      <c r="HN97" t="e">
        <f>OpeningTemplate!I236+"AM:!&amp;3V"</f>
        <v>#VALUE!</v>
      </c>
      <c r="HO97" t="e">
        <f>OpeningTemplate!J236+"AM:!&amp;3W"</f>
        <v>#VALUE!</v>
      </c>
      <c r="HP97" t="e">
        <f>OpeningTemplate!K236+"AM:!&amp;3X"</f>
        <v>#VALUE!</v>
      </c>
      <c r="HQ97" t="e">
        <f>OpeningTemplate!L236+"AM:!&amp;3Y"</f>
        <v>#VALUE!</v>
      </c>
      <c r="HR97" t="e">
        <f>OpeningTemplate!A237+"AM:!&amp;3Z"</f>
        <v>#VALUE!</v>
      </c>
      <c r="HS97" t="e">
        <f>OpeningTemplate!B237+"AM:!&amp;3["</f>
        <v>#VALUE!</v>
      </c>
      <c r="HT97" t="e">
        <f>OpeningTemplate!C237+"AM:!&amp;3\"</f>
        <v>#VALUE!</v>
      </c>
      <c r="HU97" t="e">
        <f>OpeningTemplate!D237+"AM:!&amp;3]"</f>
        <v>#VALUE!</v>
      </c>
      <c r="HV97" t="e">
        <f>OpeningTemplate!E237+"AM:!&amp;3^"</f>
        <v>#VALUE!</v>
      </c>
      <c r="HW97" t="e">
        <f>OpeningTemplate!F237+"AM:!&amp;3_"</f>
        <v>#VALUE!</v>
      </c>
      <c r="HX97" t="e">
        <f>OpeningTemplate!G237+"AM:!&amp;3`"</f>
        <v>#VALUE!</v>
      </c>
      <c r="HY97" t="e">
        <f>OpeningTemplate!H237+"AM:!&amp;3a"</f>
        <v>#VALUE!</v>
      </c>
      <c r="HZ97" t="e">
        <f>OpeningTemplate!I237+"AM:!&amp;3b"</f>
        <v>#VALUE!</v>
      </c>
      <c r="IA97" t="e">
        <f>OpeningTemplate!J237+"AM:!&amp;3c"</f>
        <v>#VALUE!</v>
      </c>
      <c r="IB97" t="e">
        <f>OpeningTemplate!K237+"AM:!&amp;3d"</f>
        <v>#VALUE!</v>
      </c>
      <c r="IC97" t="e">
        <f>OpeningTemplate!L237+"AM:!&amp;3e"</f>
        <v>#VALUE!</v>
      </c>
      <c r="ID97" t="e">
        <f>OpeningTemplate!A238+"AM:!&amp;3f"</f>
        <v>#VALUE!</v>
      </c>
      <c r="IE97" t="e">
        <f>OpeningTemplate!B238+"AM:!&amp;3g"</f>
        <v>#VALUE!</v>
      </c>
      <c r="IF97" t="e">
        <f>OpeningTemplate!C238+"AM:!&amp;3h"</f>
        <v>#VALUE!</v>
      </c>
      <c r="IG97" t="e">
        <f>OpeningTemplate!D238+"AM:!&amp;3i"</f>
        <v>#VALUE!</v>
      </c>
      <c r="IH97" t="e">
        <f>OpeningTemplate!E238+"AM:!&amp;3j"</f>
        <v>#VALUE!</v>
      </c>
      <c r="II97" t="e">
        <f>OpeningTemplate!F238+"AM:!&amp;3k"</f>
        <v>#VALUE!</v>
      </c>
      <c r="IJ97" t="e">
        <f>OpeningTemplate!G238+"AM:!&amp;3l"</f>
        <v>#VALUE!</v>
      </c>
      <c r="IK97" t="e">
        <f>OpeningTemplate!H238+"AM:!&amp;3m"</f>
        <v>#VALUE!</v>
      </c>
      <c r="IL97" t="e">
        <f>OpeningTemplate!I238+"AM:!&amp;3n"</f>
        <v>#VALUE!</v>
      </c>
      <c r="IM97" t="e">
        <f>OpeningTemplate!J238+"AM:!&amp;3o"</f>
        <v>#VALUE!</v>
      </c>
      <c r="IN97" t="e">
        <f>OpeningTemplate!K238+"AM:!&amp;3p"</f>
        <v>#VALUE!</v>
      </c>
      <c r="IO97" t="e">
        <f>OpeningTemplate!L238+"AM:!&amp;3q"</f>
        <v>#VALUE!</v>
      </c>
      <c r="IP97" t="e">
        <f>OpeningTemplate!A239+"AM:!&amp;3r"</f>
        <v>#VALUE!</v>
      </c>
      <c r="IQ97" s="104" t="e">
        <f>OpeningTemplate!B239+"AM:!&amp;3s"</f>
        <v>#VALUE!</v>
      </c>
      <c r="IR97" s="104" t="e">
        <f>OpeningTemplate!C239+"AM:!&amp;3t"</f>
        <v>#VALUE!</v>
      </c>
      <c r="IS97" t="e">
        <f>OpeningTemplate!D239+"AM:!&amp;3u"</f>
        <v>#VALUE!</v>
      </c>
      <c r="IT97" t="e">
        <f>OpeningTemplate!E239+"AM:!&amp;3v"</f>
        <v>#VALUE!</v>
      </c>
      <c r="IU97" s="103" t="e">
        <f>OpeningTemplate!F239+"AM:!&amp;3w"</f>
        <v>#VALUE!</v>
      </c>
      <c r="IV97" t="e">
        <f>OpeningTemplate!G239+"AM:!&amp;3x"</f>
        <v>#VALUE!</v>
      </c>
    </row>
    <row r="98" spans="6:256">
      <c r="F98" t="e">
        <f>OpeningTemplate!H239+"AM:!&amp;3y"</f>
        <v>#VALUE!</v>
      </c>
      <c r="G98" t="e">
        <f>OpeningTemplate!I239+"AM:!&amp;3z"</f>
        <v>#VALUE!</v>
      </c>
      <c r="H98" t="e">
        <f>OpeningTemplate!J239+"AM:!&amp;3{"</f>
        <v>#VALUE!</v>
      </c>
      <c r="I98" t="e">
        <f>OpeningTemplate!K239+"AM:!&amp;3|"</f>
        <v>#VALUE!</v>
      </c>
      <c r="J98" t="e">
        <f>OpeningTemplate!L239+"AM:!&amp;3}"</f>
        <v>#VALUE!</v>
      </c>
      <c r="K98" t="e">
        <f>OpeningTemplate!A240+"AM:!&amp;3~"</f>
        <v>#VALUE!</v>
      </c>
      <c r="L98" s="104" t="e">
        <f>OpeningTemplate!B240+"AM:!&amp;4#"</f>
        <v>#VALUE!</v>
      </c>
      <c r="M98" s="104" t="e">
        <f>OpeningTemplate!C240+"AM:!&amp;4$"</f>
        <v>#VALUE!</v>
      </c>
      <c r="N98" t="e">
        <f>OpeningTemplate!D240+"AM:!&amp;4%"</f>
        <v>#VALUE!</v>
      </c>
      <c r="O98" t="e">
        <f>OpeningTemplate!E240+"AM:!&amp;4&amp;"</f>
        <v>#VALUE!</v>
      </c>
      <c r="P98" s="103" t="e">
        <f>OpeningTemplate!F240+"AM:!&amp;4'"</f>
        <v>#VALUE!</v>
      </c>
      <c r="Q98" t="e">
        <f>OpeningTemplate!G240+"AM:!&amp;4("</f>
        <v>#VALUE!</v>
      </c>
      <c r="R98" t="e">
        <f>OpeningTemplate!H240+"AM:!&amp;4)"</f>
        <v>#VALUE!</v>
      </c>
      <c r="S98" t="e">
        <f>OpeningTemplate!I240+"AM:!&amp;4."</f>
        <v>#VALUE!</v>
      </c>
      <c r="T98" t="e">
        <f>OpeningTemplate!J240+"AM:!&amp;4/"</f>
        <v>#VALUE!</v>
      </c>
      <c r="U98" t="e">
        <f>OpeningTemplate!K240+"AM:!&amp;40"</f>
        <v>#VALUE!</v>
      </c>
      <c r="V98" t="e">
        <f>OpeningTemplate!L240+"AM:!&amp;41"</f>
        <v>#VALUE!</v>
      </c>
      <c r="W98" t="e">
        <f>OpeningTemplate!A241+"AM:!&amp;42"</f>
        <v>#VALUE!</v>
      </c>
      <c r="X98" s="104" t="e">
        <f>OpeningTemplate!B241+"AM:!&amp;43"</f>
        <v>#VALUE!</v>
      </c>
      <c r="Y98" s="104" t="e">
        <f>OpeningTemplate!C241+"AM:!&amp;44"</f>
        <v>#VALUE!</v>
      </c>
      <c r="Z98" t="e">
        <f>OpeningTemplate!D241+"AM:!&amp;45"</f>
        <v>#VALUE!</v>
      </c>
      <c r="AA98" t="e">
        <f>OpeningTemplate!E241+"AM:!&amp;46"</f>
        <v>#VALUE!</v>
      </c>
      <c r="AB98" s="103" t="e">
        <f>OpeningTemplate!F241+"AM:!&amp;47"</f>
        <v>#VALUE!</v>
      </c>
      <c r="AC98" t="e">
        <f>OpeningTemplate!G241+"AM:!&amp;48"</f>
        <v>#VALUE!</v>
      </c>
      <c r="AD98" t="e">
        <f>OpeningTemplate!H241+"AM:!&amp;49"</f>
        <v>#VALUE!</v>
      </c>
      <c r="AE98" t="e">
        <f>OpeningTemplate!I241+"AM:!&amp;4:"</f>
        <v>#VALUE!</v>
      </c>
      <c r="AF98" t="e">
        <f>OpeningTemplate!J241+"AM:!&amp;4;"</f>
        <v>#VALUE!</v>
      </c>
      <c r="AG98" t="e">
        <f>OpeningTemplate!K241+"AM:!&amp;4&lt;"</f>
        <v>#VALUE!</v>
      </c>
      <c r="AH98" t="e">
        <f>OpeningTemplate!L241+"AM:!&amp;4="</f>
        <v>#VALUE!</v>
      </c>
      <c r="AI98" t="e">
        <f>OpeningTemplate!A242+"AM:!&amp;4&gt;"</f>
        <v>#VALUE!</v>
      </c>
      <c r="AJ98" t="e">
        <f>OpeningTemplate!B242+"AM:!&amp;4?"</f>
        <v>#VALUE!</v>
      </c>
      <c r="AK98" t="e">
        <f>OpeningTemplate!C242+"AM:!&amp;4@"</f>
        <v>#VALUE!</v>
      </c>
      <c r="AL98" t="e">
        <f>OpeningTemplate!D242+"AM:!&amp;4A"</f>
        <v>#VALUE!</v>
      </c>
      <c r="AM98" t="e">
        <f>OpeningTemplate!E242+"AM:!&amp;4B"</f>
        <v>#VALUE!</v>
      </c>
      <c r="AN98" t="e">
        <f>OpeningTemplate!F242+"AM:!&amp;4C"</f>
        <v>#VALUE!</v>
      </c>
      <c r="AO98" t="e">
        <f>OpeningTemplate!G242+"AM:!&amp;4D"</f>
        <v>#VALUE!</v>
      </c>
      <c r="AP98" t="e">
        <f>OpeningTemplate!H242+"AM:!&amp;4E"</f>
        <v>#VALUE!</v>
      </c>
      <c r="AQ98" t="e">
        <f>OpeningTemplate!I242+"AM:!&amp;4F"</f>
        <v>#VALUE!</v>
      </c>
      <c r="AR98" t="e">
        <f>OpeningTemplate!J242+"AM:!&amp;4G"</f>
        <v>#VALUE!</v>
      </c>
      <c r="AS98" t="e">
        <f>OpeningTemplate!K242+"AM:!&amp;4H"</f>
        <v>#VALUE!</v>
      </c>
      <c r="AT98" t="e">
        <f>OpeningTemplate!L242+"AM:!&amp;4I"</f>
        <v>#VALUE!</v>
      </c>
      <c r="AU98" t="e">
        <f>OpeningTemplate!A243+"AM:!&amp;4J"</f>
        <v>#VALUE!</v>
      </c>
      <c r="AV98" t="e">
        <f>OpeningTemplate!B243+"AM:!&amp;4K"</f>
        <v>#VALUE!</v>
      </c>
      <c r="AW98" t="e">
        <f>OpeningTemplate!C243+"AM:!&amp;4L"</f>
        <v>#VALUE!</v>
      </c>
      <c r="AX98" t="e">
        <f>OpeningTemplate!D243+"AM:!&amp;4M"</f>
        <v>#VALUE!</v>
      </c>
      <c r="AY98" t="e">
        <f>OpeningTemplate!E243+"AM:!&amp;4N"</f>
        <v>#VALUE!</v>
      </c>
      <c r="AZ98" t="e">
        <f>OpeningTemplate!F243+"AM:!&amp;4O"</f>
        <v>#VALUE!</v>
      </c>
      <c r="BA98" t="e">
        <f>OpeningTemplate!G243+"AM:!&amp;4P"</f>
        <v>#VALUE!</v>
      </c>
      <c r="BB98" t="e">
        <f>OpeningTemplate!H243+"AM:!&amp;4Q"</f>
        <v>#VALUE!</v>
      </c>
      <c r="BC98" t="e">
        <f>OpeningTemplate!I243+"AM:!&amp;4R"</f>
        <v>#VALUE!</v>
      </c>
      <c r="BD98" t="e">
        <f>OpeningTemplate!J243+"AM:!&amp;4S"</f>
        <v>#VALUE!</v>
      </c>
      <c r="BE98" t="e">
        <f>OpeningTemplate!K243+"AM:!&amp;4T"</f>
        <v>#VALUE!</v>
      </c>
      <c r="BF98" t="e">
        <f>OpeningTemplate!L243+"AM:!&amp;4U"</f>
        <v>#VALUE!</v>
      </c>
      <c r="BG98" t="e">
        <f>OpeningTemplate!A244+"AM:!&amp;4V"</f>
        <v>#VALUE!</v>
      </c>
      <c r="BH98" t="e">
        <f>OpeningTemplate!B244+"AM:!&amp;4W"</f>
        <v>#VALUE!</v>
      </c>
      <c r="BI98" t="e">
        <f>OpeningTemplate!C244+"AM:!&amp;4X"</f>
        <v>#VALUE!</v>
      </c>
      <c r="BJ98" t="e">
        <f>OpeningTemplate!D244+"AM:!&amp;4Y"</f>
        <v>#VALUE!</v>
      </c>
      <c r="BK98" t="e">
        <f>OpeningTemplate!E244+"AM:!&amp;4Z"</f>
        <v>#VALUE!</v>
      </c>
      <c r="BL98" s="103" t="e">
        <f>OpeningTemplate!F244+"AM:!&amp;4["</f>
        <v>#VALUE!</v>
      </c>
      <c r="BM98" s="103" t="e">
        <f>OpeningTemplate!G244+"AM:!&amp;4\"</f>
        <v>#VALUE!</v>
      </c>
      <c r="BN98" s="103" t="e">
        <f>OpeningTemplate!H244+"AM:!&amp;4]"</f>
        <v>#VALUE!</v>
      </c>
      <c r="BO98" s="103" t="e">
        <f>OpeningTemplate!I244+"AM:!&amp;4^"</f>
        <v>#VALUE!</v>
      </c>
      <c r="BP98" s="103" t="e">
        <f>OpeningTemplate!J244+"AM:!&amp;4_"</f>
        <v>#VALUE!</v>
      </c>
      <c r="BQ98" s="103" t="e">
        <f>OpeningTemplate!K244+"AM:!&amp;4`"</f>
        <v>#VALUE!</v>
      </c>
      <c r="BR98" t="e">
        <f>OpeningTemplate!L244+"AM:!&amp;4a"</f>
        <v>#VALUE!</v>
      </c>
      <c r="BS98" t="e">
        <f>OpeningTemplate!A245+"AM:!&amp;4b"</f>
        <v>#VALUE!</v>
      </c>
      <c r="BT98" t="e">
        <f>OpeningTemplate!B245+"AM:!&amp;4c"</f>
        <v>#VALUE!</v>
      </c>
      <c r="BU98" t="e">
        <f>OpeningTemplate!C245+"AM:!&amp;4d"</f>
        <v>#VALUE!</v>
      </c>
      <c r="BV98" t="e">
        <f>OpeningTemplate!D245+"AM:!&amp;4e"</f>
        <v>#VALUE!</v>
      </c>
      <c r="BW98" t="e">
        <f>OpeningTemplate!E245+"AM:!&amp;4f"</f>
        <v>#VALUE!</v>
      </c>
      <c r="BX98" t="e">
        <f>OpeningTemplate!F245+"AM:!&amp;4g"</f>
        <v>#VALUE!</v>
      </c>
      <c r="BY98" t="e">
        <f>OpeningTemplate!G245+"AM:!&amp;4h"</f>
        <v>#VALUE!</v>
      </c>
      <c r="BZ98" t="e">
        <f>OpeningTemplate!H245+"AM:!&amp;4i"</f>
        <v>#VALUE!</v>
      </c>
      <c r="CA98" t="e">
        <f>OpeningTemplate!I245+"AM:!&amp;4j"</f>
        <v>#VALUE!</v>
      </c>
      <c r="CB98" t="e">
        <f>OpeningTemplate!J245+"AM:!&amp;4k"</f>
        <v>#VALUE!</v>
      </c>
      <c r="CC98" t="e">
        <f>OpeningTemplate!K245+"AM:!&amp;4l"</f>
        <v>#VALUE!</v>
      </c>
      <c r="CD98" t="e">
        <f>OpeningTemplate!L245+"AM:!&amp;4m"</f>
        <v>#VALUE!</v>
      </c>
      <c r="CE98" t="e">
        <f>OpeningTemplate!A246+"AM:!&amp;4n"</f>
        <v>#VALUE!</v>
      </c>
      <c r="CF98" s="103" t="e">
        <f>OpeningTemplate!B246+"AM:!&amp;4o"</f>
        <v>#VALUE!</v>
      </c>
      <c r="CG98" s="103" t="e">
        <f>OpeningTemplate!C246+"AM:!&amp;4p"</f>
        <v>#VALUE!</v>
      </c>
      <c r="CH98" s="98" t="e">
        <f>OpeningTemplate!D246+"AM:!&amp;4q"</f>
        <v>#VALUE!</v>
      </c>
      <c r="CI98" s="98" t="e">
        <f>OpeningTemplate!E246+"AM:!&amp;4r"</f>
        <v>#VALUE!</v>
      </c>
      <c r="CJ98" t="e">
        <f>OpeningTemplate!F246+"AM:!&amp;4s"</f>
        <v>#VALUE!</v>
      </c>
      <c r="CK98" t="e">
        <f>OpeningTemplate!G246+"AM:!&amp;4t"</f>
        <v>#VALUE!</v>
      </c>
      <c r="CL98" t="e">
        <f>OpeningTemplate!H246+"AM:!&amp;4u"</f>
        <v>#VALUE!</v>
      </c>
      <c r="CM98" t="e">
        <f>OpeningTemplate!I246+"AM:!&amp;4v"</f>
        <v>#VALUE!</v>
      </c>
      <c r="CN98" t="e">
        <f>OpeningTemplate!J246+"AM:!&amp;4w"</f>
        <v>#VALUE!</v>
      </c>
      <c r="CO98" t="e">
        <f>OpeningTemplate!K246+"AM:!&amp;4x"</f>
        <v>#VALUE!</v>
      </c>
      <c r="CP98" t="e">
        <f>OpeningTemplate!L246+"AM:!&amp;4y"</f>
        <v>#VALUE!</v>
      </c>
      <c r="CQ98" t="e">
        <f>OpeningTemplate!A247+"AM:!&amp;4z"</f>
        <v>#VALUE!</v>
      </c>
      <c r="CR98" t="e">
        <f>OpeningTemplate!B247+"AM:!&amp;4{"</f>
        <v>#VALUE!</v>
      </c>
      <c r="CS98" t="e">
        <f>OpeningTemplate!C247+"AM:!&amp;4|"</f>
        <v>#VALUE!</v>
      </c>
      <c r="CT98" t="e">
        <f>OpeningTemplate!D247+"AM:!&amp;4}"</f>
        <v>#VALUE!</v>
      </c>
      <c r="CU98" t="e">
        <f>OpeningTemplate!E247+"AM:!&amp;4~"</f>
        <v>#VALUE!</v>
      </c>
      <c r="CV98" t="e">
        <f>OpeningTemplate!F247+"AM:!&amp;5#"</f>
        <v>#VALUE!</v>
      </c>
      <c r="CW98" t="e">
        <f>OpeningTemplate!G247+"AM:!&amp;5$"</f>
        <v>#VALUE!</v>
      </c>
      <c r="CX98" t="e">
        <f>OpeningTemplate!H247+"AM:!&amp;5%"</f>
        <v>#VALUE!</v>
      </c>
      <c r="CY98" t="e">
        <f>OpeningTemplate!I247+"AM:!&amp;5&amp;"</f>
        <v>#VALUE!</v>
      </c>
      <c r="CZ98" t="e">
        <f>OpeningTemplate!J247+"AM:!&amp;5'"</f>
        <v>#VALUE!</v>
      </c>
      <c r="DA98" t="e">
        <f>OpeningTemplate!K247+"AM:!&amp;5("</f>
        <v>#VALUE!</v>
      </c>
      <c r="DB98" t="e">
        <f>OpeningTemplate!L247+"AM:!&amp;5)"</f>
        <v>#VALUE!</v>
      </c>
      <c r="DC98" t="e">
        <f>OpeningTemplate!A248+"AM:!&amp;5."</f>
        <v>#VALUE!</v>
      </c>
      <c r="DD98" t="e">
        <f>OpeningTemplate!B248+"AM:!&amp;5/"</f>
        <v>#VALUE!</v>
      </c>
      <c r="DE98" t="e">
        <f>OpeningTemplate!C248+"AM:!&amp;50"</f>
        <v>#VALUE!</v>
      </c>
      <c r="DF98" t="e">
        <f>OpeningTemplate!D248+"AM:!&amp;51"</f>
        <v>#VALUE!</v>
      </c>
      <c r="DG98" t="e">
        <f>OpeningTemplate!E248+"AM:!&amp;52"</f>
        <v>#VALUE!</v>
      </c>
      <c r="DH98" t="e">
        <f>OpeningTemplate!F248+"AM:!&amp;53"</f>
        <v>#VALUE!</v>
      </c>
      <c r="DI98" t="e">
        <f>OpeningTemplate!G248+"AM:!&amp;54"</f>
        <v>#VALUE!</v>
      </c>
      <c r="DJ98" t="e">
        <f>OpeningTemplate!H248+"AM:!&amp;55"</f>
        <v>#VALUE!</v>
      </c>
      <c r="DK98" t="e">
        <f>OpeningTemplate!I248+"AM:!&amp;56"</f>
        <v>#VALUE!</v>
      </c>
      <c r="DL98" t="e">
        <f>OpeningTemplate!J248+"AM:!&amp;57"</f>
        <v>#VALUE!</v>
      </c>
      <c r="DM98" t="e">
        <f>OpeningTemplate!K248+"AM:!&amp;58"</f>
        <v>#VALUE!</v>
      </c>
      <c r="DN98" t="e">
        <f>OpeningTemplate!L248+"AM:!&amp;59"</f>
        <v>#VALUE!</v>
      </c>
      <c r="DO98" t="e">
        <f>OpeningTemplate!A249+"AM:!&amp;5:"</f>
        <v>#VALUE!</v>
      </c>
      <c r="DP98" s="104" t="e">
        <f>OpeningTemplate!B249+"AM:!&amp;5;"</f>
        <v>#VALUE!</v>
      </c>
      <c r="DQ98" s="104" t="e">
        <f>OpeningTemplate!C249+"AM:!&amp;5&lt;"</f>
        <v>#VALUE!</v>
      </c>
      <c r="DR98" t="e">
        <f>OpeningTemplate!D249+"AM:!&amp;5="</f>
        <v>#VALUE!</v>
      </c>
      <c r="DS98" t="e">
        <f>OpeningTemplate!E249+"AM:!&amp;5&gt;"</f>
        <v>#VALUE!</v>
      </c>
      <c r="DT98" s="103" t="e">
        <f>OpeningTemplate!F249+"AM:!&amp;5?"</f>
        <v>#VALUE!</v>
      </c>
      <c r="DU98" t="e">
        <f>OpeningTemplate!G249+"AM:!&amp;5@"</f>
        <v>#VALUE!</v>
      </c>
      <c r="DV98" t="e">
        <f>OpeningTemplate!H249+"AM:!&amp;5A"</f>
        <v>#VALUE!</v>
      </c>
      <c r="DW98" t="e">
        <f>OpeningTemplate!I249+"AM:!&amp;5B"</f>
        <v>#VALUE!</v>
      </c>
      <c r="DX98" t="e">
        <f>OpeningTemplate!J249+"AM:!&amp;5C"</f>
        <v>#VALUE!</v>
      </c>
      <c r="DY98" t="e">
        <f>OpeningTemplate!K249+"AM:!&amp;5D"</f>
        <v>#VALUE!</v>
      </c>
      <c r="DZ98" t="e">
        <f>OpeningTemplate!L249+"AM:!&amp;5E"</f>
        <v>#VALUE!</v>
      </c>
      <c r="EA98" t="e">
        <f>OpeningTemplate!A250+"AM:!&amp;5F"</f>
        <v>#VALUE!</v>
      </c>
      <c r="EB98" s="104" t="e">
        <f>OpeningTemplate!B250+"AM:!&amp;5G"</f>
        <v>#VALUE!</v>
      </c>
      <c r="EC98" s="104" t="e">
        <f>OpeningTemplate!C250+"AM:!&amp;5H"</f>
        <v>#VALUE!</v>
      </c>
      <c r="ED98" t="e">
        <f>OpeningTemplate!D250+"AM:!&amp;5I"</f>
        <v>#VALUE!</v>
      </c>
      <c r="EE98" t="e">
        <f>OpeningTemplate!E250+"AM:!&amp;5J"</f>
        <v>#VALUE!</v>
      </c>
      <c r="EF98" s="103" t="e">
        <f>OpeningTemplate!F250+"AM:!&amp;5K"</f>
        <v>#VALUE!</v>
      </c>
      <c r="EG98" t="e">
        <f>OpeningTemplate!G250+"AM:!&amp;5L"</f>
        <v>#VALUE!</v>
      </c>
      <c r="EH98" t="e">
        <f>OpeningTemplate!H250+"AM:!&amp;5M"</f>
        <v>#VALUE!</v>
      </c>
      <c r="EI98" t="e">
        <f>OpeningTemplate!I250+"AM:!&amp;5N"</f>
        <v>#VALUE!</v>
      </c>
      <c r="EJ98" t="e">
        <f>OpeningTemplate!J250+"AM:!&amp;5O"</f>
        <v>#VALUE!</v>
      </c>
      <c r="EK98" t="e">
        <f>OpeningTemplate!K250+"AM:!&amp;5P"</f>
        <v>#VALUE!</v>
      </c>
      <c r="EL98" t="e">
        <f>OpeningTemplate!L250+"AM:!&amp;5Q"</f>
        <v>#VALUE!</v>
      </c>
      <c r="EM98" t="e">
        <f>OpeningTemplate!A251+"AM:!&amp;5R"</f>
        <v>#VALUE!</v>
      </c>
      <c r="EN98" s="104" t="e">
        <f>OpeningTemplate!B251+"AM:!&amp;5S"</f>
        <v>#VALUE!</v>
      </c>
      <c r="EO98" s="104" t="e">
        <f>OpeningTemplate!C251+"AM:!&amp;5T"</f>
        <v>#VALUE!</v>
      </c>
      <c r="EP98" t="e">
        <f>OpeningTemplate!D251+"AM:!&amp;5U"</f>
        <v>#VALUE!</v>
      </c>
      <c r="EQ98" t="e">
        <f>OpeningTemplate!E251+"AM:!&amp;5V"</f>
        <v>#VALUE!</v>
      </c>
      <c r="ER98" s="103" t="e">
        <f>OpeningTemplate!F251+"AM:!&amp;5W"</f>
        <v>#VALUE!</v>
      </c>
      <c r="ES98" t="e">
        <f>OpeningTemplate!G251+"AM:!&amp;5X"</f>
        <v>#VALUE!</v>
      </c>
      <c r="ET98" t="e">
        <f>OpeningTemplate!H251+"AM:!&amp;5Y"</f>
        <v>#VALUE!</v>
      </c>
      <c r="EU98" t="e">
        <f>OpeningTemplate!I251+"AM:!&amp;5Z"</f>
        <v>#VALUE!</v>
      </c>
      <c r="EV98" t="e">
        <f>OpeningTemplate!J251+"AM:!&amp;5["</f>
        <v>#VALUE!</v>
      </c>
      <c r="EW98" t="e">
        <f>OpeningTemplate!K251+"AM:!&amp;5\"</f>
        <v>#VALUE!</v>
      </c>
      <c r="EX98" t="e">
        <f>OpeningTemplate!L251+"AM:!&amp;5]"</f>
        <v>#VALUE!</v>
      </c>
      <c r="EY98" t="e">
        <f>OpeningTemplate!A252+"AM:!&amp;5^"</f>
        <v>#VALUE!</v>
      </c>
      <c r="EZ98" t="e">
        <f>OpeningTemplate!B252+"AM:!&amp;5_"</f>
        <v>#VALUE!</v>
      </c>
      <c r="FA98" t="e">
        <f>OpeningTemplate!C252+"AM:!&amp;5`"</f>
        <v>#VALUE!</v>
      </c>
      <c r="FB98" t="e">
        <f>OpeningTemplate!D252+"AM:!&amp;5a"</f>
        <v>#VALUE!</v>
      </c>
      <c r="FC98" t="e">
        <f>OpeningTemplate!E252+"AM:!&amp;5b"</f>
        <v>#VALUE!</v>
      </c>
      <c r="FD98" t="e">
        <f>OpeningTemplate!F252+"AM:!&amp;5c"</f>
        <v>#VALUE!</v>
      </c>
      <c r="FE98" t="e">
        <f>OpeningTemplate!G252+"AM:!&amp;5d"</f>
        <v>#VALUE!</v>
      </c>
      <c r="FF98" t="e">
        <f>OpeningTemplate!H252+"AM:!&amp;5e"</f>
        <v>#VALUE!</v>
      </c>
      <c r="FG98" t="e">
        <f>OpeningTemplate!I252+"AM:!&amp;5f"</f>
        <v>#VALUE!</v>
      </c>
      <c r="FH98" t="e">
        <f>OpeningTemplate!J252+"AM:!&amp;5g"</f>
        <v>#VALUE!</v>
      </c>
      <c r="FI98" t="e">
        <f>OpeningTemplate!K252+"AM:!&amp;5h"</f>
        <v>#VALUE!</v>
      </c>
      <c r="FJ98" t="e">
        <f>OpeningTemplate!L252+"AM:!&amp;5i"</f>
        <v>#VALUE!</v>
      </c>
      <c r="FK98" t="e">
        <f>OpeningTemplate!A253+"AM:!&amp;5j"</f>
        <v>#VALUE!</v>
      </c>
      <c r="FL98" t="e">
        <f>OpeningTemplate!B253+"AM:!&amp;5k"</f>
        <v>#VALUE!</v>
      </c>
      <c r="FM98" t="e">
        <f>OpeningTemplate!C253+"AM:!&amp;5l"</f>
        <v>#VALUE!</v>
      </c>
      <c r="FN98" t="e">
        <f>OpeningTemplate!D253+"AM:!&amp;5m"</f>
        <v>#VALUE!</v>
      </c>
      <c r="FO98" t="e">
        <f>OpeningTemplate!E253+"AM:!&amp;5n"</f>
        <v>#VALUE!</v>
      </c>
      <c r="FP98" t="e">
        <f>OpeningTemplate!F253+"AM:!&amp;5o"</f>
        <v>#VALUE!</v>
      </c>
      <c r="FQ98" t="e">
        <f>OpeningTemplate!G253+"AM:!&amp;5p"</f>
        <v>#VALUE!</v>
      </c>
      <c r="FR98" t="e">
        <f>OpeningTemplate!H253+"AM:!&amp;5q"</f>
        <v>#VALUE!</v>
      </c>
      <c r="FS98" t="e">
        <f>OpeningTemplate!I253+"AM:!&amp;5r"</f>
        <v>#VALUE!</v>
      </c>
      <c r="FT98" t="e">
        <f>OpeningTemplate!J253+"AM:!&amp;5s"</f>
        <v>#VALUE!</v>
      </c>
      <c r="FU98" t="e">
        <f>OpeningTemplate!K253+"AM:!&amp;5t"</f>
        <v>#VALUE!</v>
      </c>
      <c r="FV98" t="e">
        <f>OpeningTemplate!L253+"AM:!&amp;5u"</f>
        <v>#VALUE!</v>
      </c>
      <c r="FW98" t="e">
        <f>OpeningTemplate!A254+"AM:!&amp;5v"</f>
        <v>#VALUE!</v>
      </c>
      <c r="FX98" t="e">
        <f>OpeningTemplate!B254+"AM:!&amp;5w"</f>
        <v>#VALUE!</v>
      </c>
      <c r="FY98" t="e">
        <f>OpeningTemplate!C254+"AM:!&amp;5x"</f>
        <v>#VALUE!</v>
      </c>
      <c r="FZ98" t="e">
        <f>OpeningTemplate!D254+"AM:!&amp;5y"</f>
        <v>#VALUE!</v>
      </c>
      <c r="GA98" t="e">
        <f>OpeningTemplate!E254+"AM:!&amp;5z"</f>
        <v>#VALUE!</v>
      </c>
      <c r="GB98" s="103" t="e">
        <f>OpeningTemplate!F254+"AM:!&amp;5{"</f>
        <v>#VALUE!</v>
      </c>
      <c r="GC98" s="103" t="e">
        <f>OpeningTemplate!G254+"AM:!&amp;5|"</f>
        <v>#VALUE!</v>
      </c>
      <c r="GD98" s="103" t="e">
        <f>OpeningTemplate!H254+"AM:!&amp;5}"</f>
        <v>#VALUE!</v>
      </c>
      <c r="GE98" s="103" t="e">
        <f>OpeningTemplate!I254+"AM:!&amp;5~"</f>
        <v>#VALUE!</v>
      </c>
      <c r="GF98" s="103" t="e">
        <f>OpeningTemplate!J254+"AM:!&amp;6#"</f>
        <v>#VALUE!</v>
      </c>
      <c r="GG98" s="103" t="e">
        <f>OpeningTemplate!K254+"AM:!&amp;6$"</f>
        <v>#VALUE!</v>
      </c>
      <c r="GH98" t="e">
        <f>OpeningTemplate!L254+"AM:!&amp;6%"</f>
        <v>#VALUE!</v>
      </c>
      <c r="GI98" t="e">
        <f>OpeningTemplate!A255+"AM:!&amp;6&amp;"</f>
        <v>#VALUE!</v>
      </c>
      <c r="GJ98" t="e">
        <f>OpeningTemplate!B255+"AM:!&amp;6'"</f>
        <v>#VALUE!</v>
      </c>
      <c r="GK98" t="e">
        <f>OpeningTemplate!C255+"AM:!&amp;6("</f>
        <v>#VALUE!</v>
      </c>
      <c r="GL98" t="e">
        <f>OpeningTemplate!D255+"AM:!&amp;6)"</f>
        <v>#VALUE!</v>
      </c>
      <c r="GM98" t="e">
        <f>OpeningTemplate!E255+"AM:!&amp;6."</f>
        <v>#VALUE!</v>
      </c>
      <c r="GN98" t="e">
        <f>OpeningTemplate!F255+"AM:!&amp;6/"</f>
        <v>#VALUE!</v>
      </c>
      <c r="GO98" t="e">
        <f>OpeningTemplate!G255+"AM:!&amp;60"</f>
        <v>#VALUE!</v>
      </c>
      <c r="GP98" t="e">
        <f>OpeningTemplate!H255+"AM:!&amp;61"</f>
        <v>#VALUE!</v>
      </c>
      <c r="GQ98" t="e">
        <f>OpeningTemplate!I255+"AM:!&amp;62"</f>
        <v>#VALUE!</v>
      </c>
      <c r="GR98" t="e">
        <f>OpeningTemplate!J255+"AM:!&amp;63"</f>
        <v>#VALUE!</v>
      </c>
      <c r="GS98" t="e">
        <f>OpeningTemplate!K255+"AM:!&amp;64"</f>
        <v>#VALUE!</v>
      </c>
      <c r="GT98" t="e">
        <f>OpeningTemplate!L255+"AM:!&amp;65"</f>
        <v>#VALUE!</v>
      </c>
      <c r="GU98" t="e">
        <f>OpeningTemplate!A256+"AM:!&amp;66"</f>
        <v>#VALUE!</v>
      </c>
      <c r="GV98" s="103" t="e">
        <f>OpeningTemplate!B256+"AM:!&amp;67"</f>
        <v>#VALUE!</v>
      </c>
      <c r="GW98" s="103" t="e">
        <f>OpeningTemplate!C256+"AM:!&amp;68"</f>
        <v>#VALUE!</v>
      </c>
      <c r="GX98" s="98" t="e">
        <f>OpeningTemplate!D256+"AM:!&amp;69"</f>
        <v>#VALUE!</v>
      </c>
      <c r="GY98" s="98" t="e">
        <f>OpeningTemplate!E256+"AM:!&amp;6:"</f>
        <v>#VALUE!</v>
      </c>
      <c r="GZ98" t="e">
        <f>OpeningTemplate!F256+"AM:!&amp;6;"</f>
        <v>#VALUE!</v>
      </c>
      <c r="HA98" t="e">
        <f>OpeningTemplate!G256+"AM:!&amp;6&lt;"</f>
        <v>#VALUE!</v>
      </c>
      <c r="HB98" t="e">
        <f>OpeningTemplate!H256+"AM:!&amp;6="</f>
        <v>#VALUE!</v>
      </c>
      <c r="HC98" t="e">
        <f>OpeningTemplate!I256+"AM:!&amp;6&gt;"</f>
        <v>#VALUE!</v>
      </c>
      <c r="HD98" t="e">
        <f>OpeningTemplate!J256+"AM:!&amp;6?"</f>
        <v>#VALUE!</v>
      </c>
      <c r="HE98" t="e">
        <f>OpeningTemplate!K256+"AM:!&amp;6@"</f>
        <v>#VALUE!</v>
      </c>
      <c r="HF98" t="e">
        <f>OpeningTemplate!L256+"AM:!&amp;6A"</f>
        <v>#VALUE!</v>
      </c>
      <c r="HG98" t="e">
        <f>OpeningTemplate!A257+"AM:!&amp;6B"</f>
        <v>#VALUE!</v>
      </c>
      <c r="HH98" t="e">
        <f>OpeningTemplate!B257+"AM:!&amp;6C"</f>
        <v>#VALUE!</v>
      </c>
      <c r="HI98" t="e">
        <f>OpeningTemplate!C257+"AM:!&amp;6D"</f>
        <v>#VALUE!</v>
      </c>
      <c r="HJ98" t="e">
        <f>OpeningTemplate!D257+"AM:!&amp;6E"</f>
        <v>#VALUE!</v>
      </c>
      <c r="HK98" t="e">
        <f>OpeningTemplate!E257+"AM:!&amp;6F"</f>
        <v>#VALUE!</v>
      </c>
      <c r="HL98" t="e">
        <f>OpeningTemplate!F257+"AM:!&amp;6G"</f>
        <v>#VALUE!</v>
      </c>
      <c r="HM98" t="e">
        <f>OpeningTemplate!G257+"AM:!&amp;6H"</f>
        <v>#VALUE!</v>
      </c>
      <c r="HN98" t="e">
        <f>OpeningTemplate!H257+"AM:!&amp;6I"</f>
        <v>#VALUE!</v>
      </c>
      <c r="HO98" t="e">
        <f>OpeningTemplate!I257+"AM:!&amp;6J"</f>
        <v>#VALUE!</v>
      </c>
      <c r="HP98" t="e">
        <f>OpeningTemplate!J257+"AM:!&amp;6K"</f>
        <v>#VALUE!</v>
      </c>
      <c r="HQ98" t="e">
        <f>OpeningTemplate!K257+"AM:!&amp;6L"</f>
        <v>#VALUE!</v>
      </c>
      <c r="HR98" t="e">
        <f>OpeningTemplate!L257+"AM:!&amp;6M"</f>
        <v>#VALUE!</v>
      </c>
      <c r="HS98" t="e">
        <f>OpeningTemplate!A258+"AM:!&amp;6N"</f>
        <v>#VALUE!</v>
      </c>
      <c r="HT98" t="e">
        <f>OpeningTemplate!B258+"AM:!&amp;6O"</f>
        <v>#VALUE!</v>
      </c>
      <c r="HU98" t="e">
        <f>OpeningTemplate!C258+"AM:!&amp;6P"</f>
        <v>#VALUE!</v>
      </c>
      <c r="HV98" t="e">
        <f>OpeningTemplate!D258+"AM:!&amp;6Q"</f>
        <v>#VALUE!</v>
      </c>
      <c r="HW98" t="e">
        <f>OpeningTemplate!E258+"AM:!&amp;6R"</f>
        <v>#VALUE!</v>
      </c>
      <c r="HX98" t="e">
        <f>OpeningTemplate!F258+"AM:!&amp;6S"</f>
        <v>#VALUE!</v>
      </c>
      <c r="HY98" t="e">
        <f>OpeningTemplate!G258+"AM:!&amp;6T"</f>
        <v>#VALUE!</v>
      </c>
      <c r="HZ98" t="e">
        <f>OpeningTemplate!H258+"AM:!&amp;6U"</f>
        <v>#VALUE!</v>
      </c>
      <c r="IA98" t="e">
        <f>OpeningTemplate!I258+"AM:!&amp;6V"</f>
        <v>#VALUE!</v>
      </c>
      <c r="IB98" t="e">
        <f>OpeningTemplate!J258+"AM:!&amp;6W"</f>
        <v>#VALUE!</v>
      </c>
      <c r="IC98" t="e">
        <f>OpeningTemplate!K258+"AM:!&amp;6X"</f>
        <v>#VALUE!</v>
      </c>
      <c r="ID98" t="e">
        <f>OpeningTemplate!L258+"AM:!&amp;6Y"</f>
        <v>#VALUE!</v>
      </c>
      <c r="IE98" t="e">
        <f>OpeningTemplate!A259+"AM:!&amp;6Z"</f>
        <v>#VALUE!</v>
      </c>
      <c r="IF98" s="104" t="e">
        <f>OpeningTemplate!B259+"AM:!&amp;6["</f>
        <v>#VALUE!</v>
      </c>
      <c r="IG98" s="104" t="e">
        <f>OpeningTemplate!C259+"AM:!&amp;6\"</f>
        <v>#VALUE!</v>
      </c>
      <c r="IH98" t="e">
        <f>OpeningTemplate!D259+"AM:!&amp;6]"</f>
        <v>#VALUE!</v>
      </c>
      <c r="II98" t="e">
        <f>OpeningTemplate!E259+"AM:!&amp;6^"</f>
        <v>#VALUE!</v>
      </c>
      <c r="IJ98" s="103" t="e">
        <f>OpeningTemplate!F259+"AM:!&amp;6_"</f>
        <v>#VALUE!</v>
      </c>
      <c r="IK98" t="e">
        <f>OpeningTemplate!G259+"AM:!&amp;6`"</f>
        <v>#VALUE!</v>
      </c>
      <c r="IL98" t="e">
        <f>OpeningTemplate!H259+"AM:!&amp;6a"</f>
        <v>#VALUE!</v>
      </c>
      <c r="IM98" t="e">
        <f>OpeningTemplate!I259+"AM:!&amp;6b"</f>
        <v>#VALUE!</v>
      </c>
      <c r="IN98" t="e">
        <f>OpeningTemplate!J259+"AM:!&amp;6c"</f>
        <v>#VALUE!</v>
      </c>
      <c r="IO98" t="e">
        <f>OpeningTemplate!K259+"AM:!&amp;6d"</f>
        <v>#VALUE!</v>
      </c>
      <c r="IP98" t="e">
        <f>OpeningTemplate!L259+"AM:!&amp;6e"</f>
        <v>#VALUE!</v>
      </c>
      <c r="IQ98" t="e">
        <f>OpeningTemplate!A260+"AM:!&amp;6f"</f>
        <v>#VALUE!</v>
      </c>
      <c r="IR98" s="104" t="e">
        <f>OpeningTemplate!B260+"AM:!&amp;6g"</f>
        <v>#VALUE!</v>
      </c>
      <c r="IS98" s="104" t="e">
        <f>OpeningTemplate!C260+"AM:!&amp;6h"</f>
        <v>#VALUE!</v>
      </c>
      <c r="IT98" t="e">
        <f>OpeningTemplate!D260+"AM:!&amp;6i"</f>
        <v>#VALUE!</v>
      </c>
      <c r="IU98" t="e">
        <f>OpeningTemplate!E260+"AM:!&amp;6j"</f>
        <v>#VALUE!</v>
      </c>
      <c r="IV98" s="103" t="e">
        <f>OpeningTemplate!F260+"AM:!&amp;6k"</f>
        <v>#VALUE!</v>
      </c>
    </row>
    <row r="99" spans="6:256">
      <c r="F99" t="e">
        <f>OpeningTemplate!G260+"AM:!&amp;6l"</f>
        <v>#VALUE!</v>
      </c>
      <c r="G99" t="e">
        <f>OpeningTemplate!H260+"AM:!&amp;6m"</f>
        <v>#VALUE!</v>
      </c>
      <c r="H99" t="e">
        <f>OpeningTemplate!I260+"AM:!&amp;6n"</f>
        <v>#VALUE!</v>
      </c>
      <c r="I99" t="e">
        <f>OpeningTemplate!J260+"AM:!&amp;6o"</f>
        <v>#VALUE!</v>
      </c>
      <c r="J99" t="e">
        <f>OpeningTemplate!K260+"AM:!&amp;6p"</f>
        <v>#VALUE!</v>
      </c>
      <c r="K99" t="e">
        <f>OpeningTemplate!L260+"AM:!&amp;6q"</f>
        <v>#VALUE!</v>
      </c>
      <c r="L99" t="e">
        <f>OpeningTemplate!A261+"AM:!&amp;6r"</f>
        <v>#VALUE!</v>
      </c>
      <c r="M99" s="104" t="e">
        <f>OpeningTemplate!B261+"AM:!&amp;6s"</f>
        <v>#VALUE!</v>
      </c>
      <c r="N99" s="104" t="e">
        <f>OpeningTemplate!C261+"AM:!&amp;6t"</f>
        <v>#VALUE!</v>
      </c>
      <c r="O99" t="e">
        <f>OpeningTemplate!D261+"AM:!&amp;6u"</f>
        <v>#VALUE!</v>
      </c>
      <c r="P99" t="e">
        <f>OpeningTemplate!E261+"AM:!&amp;6v"</f>
        <v>#VALUE!</v>
      </c>
      <c r="Q99" s="103" t="e">
        <f>OpeningTemplate!F261+"AM:!&amp;6w"</f>
        <v>#VALUE!</v>
      </c>
      <c r="R99" t="e">
        <f>OpeningTemplate!G261+"AM:!&amp;6x"</f>
        <v>#VALUE!</v>
      </c>
      <c r="S99" t="e">
        <f>OpeningTemplate!H261+"AM:!&amp;6y"</f>
        <v>#VALUE!</v>
      </c>
      <c r="T99" t="e">
        <f>OpeningTemplate!I261+"AM:!&amp;6z"</f>
        <v>#VALUE!</v>
      </c>
      <c r="U99" t="e">
        <f>OpeningTemplate!J261+"AM:!&amp;6{"</f>
        <v>#VALUE!</v>
      </c>
      <c r="V99" t="e">
        <f>OpeningTemplate!K261+"AM:!&amp;6|"</f>
        <v>#VALUE!</v>
      </c>
      <c r="W99" t="e">
        <f>OpeningTemplate!L261+"AM:!&amp;6}"</f>
        <v>#VALUE!</v>
      </c>
      <c r="X99" t="e">
        <f>OpeningTemplate!A262+"AM:!&amp;6~"</f>
        <v>#VALUE!</v>
      </c>
      <c r="Y99" t="e">
        <f>OpeningTemplate!B262+"AM:!&amp;7#"</f>
        <v>#VALUE!</v>
      </c>
      <c r="Z99" t="e">
        <f>OpeningTemplate!C262+"AM:!&amp;7$"</f>
        <v>#VALUE!</v>
      </c>
      <c r="AA99" t="e">
        <f>OpeningTemplate!D262+"AM:!&amp;7%"</f>
        <v>#VALUE!</v>
      </c>
      <c r="AB99" t="e">
        <f>OpeningTemplate!E262+"AM:!&amp;7&amp;"</f>
        <v>#VALUE!</v>
      </c>
      <c r="AC99" t="e">
        <f>OpeningTemplate!F262+"AM:!&amp;7'"</f>
        <v>#VALUE!</v>
      </c>
      <c r="AD99" t="e">
        <f>OpeningTemplate!G262+"AM:!&amp;7("</f>
        <v>#VALUE!</v>
      </c>
      <c r="AE99" t="e">
        <f>OpeningTemplate!H262+"AM:!&amp;7)"</f>
        <v>#VALUE!</v>
      </c>
      <c r="AF99" t="e">
        <f>OpeningTemplate!I262+"AM:!&amp;7."</f>
        <v>#VALUE!</v>
      </c>
      <c r="AG99" t="e">
        <f>OpeningTemplate!J262+"AM:!&amp;7/"</f>
        <v>#VALUE!</v>
      </c>
      <c r="AH99" t="e">
        <f>OpeningTemplate!K262+"AM:!&amp;70"</f>
        <v>#VALUE!</v>
      </c>
      <c r="AI99" t="e">
        <f>OpeningTemplate!L262+"AM:!&amp;71"</f>
        <v>#VALUE!</v>
      </c>
      <c r="AJ99" t="e">
        <f>OpeningTemplate!M262+"AM:!&amp;72"</f>
        <v>#VALUE!</v>
      </c>
      <c r="AK99" t="e">
        <f>OpeningTemplate!A263+"AM:!&amp;73"</f>
        <v>#VALUE!</v>
      </c>
      <c r="AL99" t="e">
        <f>OpeningTemplate!B263+"AM:!&amp;74"</f>
        <v>#VALUE!</v>
      </c>
      <c r="AM99" t="e">
        <f>OpeningTemplate!C263+"AM:!&amp;75"</f>
        <v>#VALUE!</v>
      </c>
      <c r="AN99" t="e">
        <f>OpeningTemplate!D263+"AM:!&amp;76"</f>
        <v>#VALUE!</v>
      </c>
      <c r="AO99" t="e">
        <f>OpeningTemplate!E263+"AM:!&amp;77"</f>
        <v>#VALUE!</v>
      </c>
      <c r="AP99" t="e">
        <f>OpeningTemplate!F263+"AM:!&amp;78"</f>
        <v>#VALUE!</v>
      </c>
      <c r="AQ99" t="e">
        <f>OpeningTemplate!G263+"AM:!&amp;79"</f>
        <v>#VALUE!</v>
      </c>
      <c r="AR99" t="e">
        <f>OpeningTemplate!H263+"AM:!&amp;7:"</f>
        <v>#VALUE!</v>
      </c>
      <c r="AS99" t="e">
        <f>OpeningTemplate!I263+"AM:!&amp;7;"</f>
        <v>#VALUE!</v>
      </c>
      <c r="AT99" t="e">
        <f>OpeningTemplate!J263+"AM:!&amp;7&lt;"</f>
        <v>#VALUE!</v>
      </c>
      <c r="AU99" t="e">
        <f>OpeningTemplate!K263+"AM:!&amp;7="</f>
        <v>#VALUE!</v>
      </c>
      <c r="AV99" t="e">
        <f>OpeningTemplate!L263+"AM:!&amp;7&gt;"</f>
        <v>#VALUE!</v>
      </c>
      <c r="AW99" t="e">
        <f>OpeningTemplate!A264+"AM:!&amp;7?"</f>
        <v>#VALUE!</v>
      </c>
      <c r="AX99" t="e">
        <f>OpeningTemplate!B264+"AM:!&amp;7@"</f>
        <v>#VALUE!</v>
      </c>
      <c r="AY99" t="e">
        <f>OpeningTemplate!C264+"AM:!&amp;7A"</f>
        <v>#VALUE!</v>
      </c>
      <c r="AZ99" t="e">
        <f>OpeningTemplate!D264+"AM:!&amp;7B"</f>
        <v>#VALUE!</v>
      </c>
      <c r="BA99" t="e">
        <f>OpeningTemplate!E264+"AM:!&amp;7C"</f>
        <v>#VALUE!</v>
      </c>
      <c r="BB99" s="103" t="e">
        <f>OpeningTemplate!F264+"AM:!&amp;7D"</f>
        <v>#VALUE!</v>
      </c>
      <c r="BC99" s="103" t="e">
        <f>OpeningTemplate!G264+"AM:!&amp;7E"</f>
        <v>#VALUE!</v>
      </c>
      <c r="BD99" s="103" t="e">
        <f>OpeningTemplate!H264+"AM:!&amp;7F"</f>
        <v>#VALUE!</v>
      </c>
      <c r="BE99" s="103" t="e">
        <f>OpeningTemplate!I264+"AM:!&amp;7G"</f>
        <v>#VALUE!</v>
      </c>
      <c r="BF99" s="103" t="e">
        <f>OpeningTemplate!J264+"AM:!&amp;7H"</f>
        <v>#VALUE!</v>
      </c>
      <c r="BG99" s="103" t="e">
        <f>OpeningTemplate!K264+"AM:!&amp;7I"</f>
        <v>#VALUE!</v>
      </c>
      <c r="BH99" t="e">
        <f>OpeningTemplate!L264+"AM:!&amp;7J"</f>
        <v>#VALUE!</v>
      </c>
      <c r="BI99" t="e">
        <f>OpeningTemplate!A265+"AM:!&amp;7K"</f>
        <v>#VALUE!</v>
      </c>
      <c r="BJ99" t="e">
        <f>OpeningTemplate!B265+"AM:!&amp;7L"</f>
        <v>#VALUE!</v>
      </c>
      <c r="BK99" t="e">
        <f>OpeningTemplate!C265+"AM:!&amp;7M"</f>
        <v>#VALUE!</v>
      </c>
      <c r="BL99" t="e">
        <f>OpeningTemplate!D265+"AM:!&amp;7N"</f>
        <v>#VALUE!</v>
      </c>
      <c r="BM99" t="e">
        <f>OpeningTemplate!E265+"AM:!&amp;7O"</f>
        <v>#VALUE!</v>
      </c>
      <c r="BN99" t="e">
        <f>OpeningTemplate!F265+"AM:!&amp;7P"</f>
        <v>#VALUE!</v>
      </c>
      <c r="BO99" t="e">
        <f>OpeningTemplate!G265+"AM:!&amp;7Q"</f>
        <v>#VALUE!</v>
      </c>
      <c r="BP99" t="e">
        <f>OpeningTemplate!H265+"AM:!&amp;7R"</f>
        <v>#VALUE!</v>
      </c>
      <c r="BQ99" t="e">
        <f>OpeningTemplate!I265+"AM:!&amp;7S"</f>
        <v>#VALUE!</v>
      </c>
      <c r="BR99" t="e">
        <f>OpeningTemplate!J265+"AM:!&amp;7T"</f>
        <v>#VALUE!</v>
      </c>
      <c r="BS99" t="e">
        <f>OpeningTemplate!K265+"AM:!&amp;7U"</f>
        <v>#VALUE!</v>
      </c>
      <c r="BT99" t="e">
        <f>OpeningTemplate!L265+"AM:!&amp;7V"</f>
        <v>#VALUE!</v>
      </c>
      <c r="BU99" t="e">
        <f>OpeningTemplate!A266+"AM:!&amp;7W"</f>
        <v>#VALUE!</v>
      </c>
      <c r="BV99" s="103" t="e">
        <f>OpeningTemplate!B266+"AM:!&amp;7X"</f>
        <v>#VALUE!</v>
      </c>
      <c r="BW99" s="103" t="e">
        <f>OpeningTemplate!C266+"AM:!&amp;7Y"</f>
        <v>#VALUE!</v>
      </c>
      <c r="BX99" s="98" t="e">
        <f>OpeningTemplate!D266+"AM:!&amp;7Z"</f>
        <v>#VALUE!</v>
      </c>
      <c r="BY99" s="98" t="e">
        <f>OpeningTemplate!E266+"AM:!&amp;7["</f>
        <v>#VALUE!</v>
      </c>
      <c r="BZ99" t="e">
        <f>OpeningTemplate!F266+"AM:!&amp;7\"</f>
        <v>#VALUE!</v>
      </c>
      <c r="CA99" t="e">
        <f>OpeningTemplate!G266+"AM:!&amp;7]"</f>
        <v>#VALUE!</v>
      </c>
      <c r="CB99" t="e">
        <f>OpeningTemplate!H266+"AM:!&amp;7^"</f>
        <v>#VALUE!</v>
      </c>
      <c r="CC99" t="e">
        <f>OpeningTemplate!I266+"AM:!&amp;7_"</f>
        <v>#VALUE!</v>
      </c>
      <c r="CD99" t="e">
        <f>OpeningTemplate!J266+"AM:!&amp;7`"</f>
        <v>#VALUE!</v>
      </c>
      <c r="CE99" t="e">
        <f>OpeningTemplate!K266+"AM:!&amp;7a"</f>
        <v>#VALUE!</v>
      </c>
      <c r="CF99" t="e">
        <f>OpeningTemplate!L266+"AM:!&amp;7b"</f>
        <v>#VALUE!</v>
      </c>
      <c r="CG99" t="e">
        <f>OpeningTemplate!A267+"AM:!&amp;7c"</f>
        <v>#VALUE!</v>
      </c>
      <c r="CH99" t="e">
        <f>OpeningTemplate!B267+"AM:!&amp;7d"</f>
        <v>#VALUE!</v>
      </c>
      <c r="CI99" t="e">
        <f>OpeningTemplate!C267+"AM:!&amp;7e"</f>
        <v>#VALUE!</v>
      </c>
      <c r="CJ99" t="e">
        <f>OpeningTemplate!D267+"AM:!&amp;7f"</f>
        <v>#VALUE!</v>
      </c>
      <c r="CK99" t="e">
        <f>OpeningTemplate!E267+"AM:!&amp;7g"</f>
        <v>#VALUE!</v>
      </c>
      <c r="CL99" t="e">
        <f>OpeningTemplate!F267+"AM:!&amp;7h"</f>
        <v>#VALUE!</v>
      </c>
      <c r="CM99" t="e">
        <f>OpeningTemplate!G267+"AM:!&amp;7i"</f>
        <v>#VALUE!</v>
      </c>
      <c r="CN99" t="e">
        <f>OpeningTemplate!H267+"AM:!&amp;7j"</f>
        <v>#VALUE!</v>
      </c>
      <c r="CO99" t="e">
        <f>OpeningTemplate!I267+"AM:!&amp;7k"</f>
        <v>#VALUE!</v>
      </c>
      <c r="CP99" t="e">
        <f>OpeningTemplate!J267+"AM:!&amp;7l"</f>
        <v>#VALUE!</v>
      </c>
      <c r="CQ99" t="e">
        <f>OpeningTemplate!K267+"AM:!&amp;7m"</f>
        <v>#VALUE!</v>
      </c>
      <c r="CR99" t="e">
        <f>OpeningTemplate!L267+"AM:!&amp;7n"</f>
        <v>#VALUE!</v>
      </c>
      <c r="CS99" t="e">
        <f>OpeningTemplate!A268+"AM:!&amp;7o"</f>
        <v>#VALUE!</v>
      </c>
      <c r="CT99" t="e">
        <f>OpeningTemplate!B268+"AM:!&amp;7p"</f>
        <v>#VALUE!</v>
      </c>
      <c r="CU99" t="e">
        <f>OpeningTemplate!C268+"AM:!&amp;7q"</f>
        <v>#VALUE!</v>
      </c>
      <c r="CV99" t="e">
        <f>OpeningTemplate!D268+"AM:!&amp;7r"</f>
        <v>#VALUE!</v>
      </c>
      <c r="CW99" t="e">
        <f>OpeningTemplate!E268+"AM:!&amp;7s"</f>
        <v>#VALUE!</v>
      </c>
      <c r="CX99" t="e">
        <f>OpeningTemplate!F268+"AM:!&amp;7t"</f>
        <v>#VALUE!</v>
      </c>
      <c r="CY99" t="e">
        <f>OpeningTemplate!G268+"AM:!&amp;7u"</f>
        <v>#VALUE!</v>
      </c>
      <c r="CZ99" t="e">
        <f>OpeningTemplate!H268+"AM:!&amp;7v"</f>
        <v>#VALUE!</v>
      </c>
      <c r="DA99" t="e">
        <f>OpeningTemplate!I268+"AM:!&amp;7w"</f>
        <v>#VALUE!</v>
      </c>
      <c r="DB99" t="e">
        <f>OpeningTemplate!J268+"AM:!&amp;7x"</f>
        <v>#VALUE!</v>
      </c>
      <c r="DC99" t="e">
        <f>OpeningTemplate!K268+"AM:!&amp;7y"</f>
        <v>#VALUE!</v>
      </c>
      <c r="DD99" t="e">
        <f>OpeningTemplate!L268+"AM:!&amp;7z"</f>
        <v>#VALUE!</v>
      </c>
      <c r="DE99" t="e">
        <f>OpeningTemplate!A269+"AM:!&amp;7{"</f>
        <v>#VALUE!</v>
      </c>
      <c r="DF99" s="104" t="e">
        <f>OpeningTemplate!B269+"AM:!&amp;7|"</f>
        <v>#VALUE!</v>
      </c>
      <c r="DG99" s="104" t="e">
        <f>OpeningTemplate!C269+"AM:!&amp;7}"</f>
        <v>#VALUE!</v>
      </c>
      <c r="DH99" t="e">
        <f>OpeningTemplate!D269+"AM:!&amp;7~"</f>
        <v>#VALUE!</v>
      </c>
      <c r="DI99" t="e">
        <f>OpeningTemplate!E269+"AM:!&amp;8#"</f>
        <v>#VALUE!</v>
      </c>
      <c r="DJ99" s="103" t="e">
        <f>OpeningTemplate!F269+"AM:!&amp;8$"</f>
        <v>#VALUE!</v>
      </c>
      <c r="DK99" t="e">
        <f>OpeningTemplate!G269+"AM:!&amp;8%"</f>
        <v>#VALUE!</v>
      </c>
      <c r="DL99" t="e">
        <f>OpeningTemplate!H269+"AM:!&amp;8&amp;"</f>
        <v>#VALUE!</v>
      </c>
      <c r="DM99" t="e">
        <f>OpeningTemplate!I269+"AM:!&amp;8'"</f>
        <v>#VALUE!</v>
      </c>
      <c r="DN99" t="e">
        <f>OpeningTemplate!J269+"AM:!&amp;8("</f>
        <v>#VALUE!</v>
      </c>
      <c r="DO99" t="e">
        <f>OpeningTemplate!K269+"AM:!&amp;8)"</f>
        <v>#VALUE!</v>
      </c>
      <c r="DP99" t="e">
        <f>OpeningTemplate!L269+"AM:!&amp;8."</f>
        <v>#VALUE!</v>
      </c>
      <c r="DQ99" t="e">
        <f>OpeningTemplate!A270+"AM:!&amp;8/"</f>
        <v>#VALUE!</v>
      </c>
      <c r="DR99" s="104" t="e">
        <f>OpeningTemplate!B270+"AM:!&amp;80"</f>
        <v>#VALUE!</v>
      </c>
      <c r="DS99" s="104" t="e">
        <f>OpeningTemplate!C270+"AM:!&amp;81"</f>
        <v>#VALUE!</v>
      </c>
      <c r="DT99" t="e">
        <f>OpeningTemplate!D270+"AM:!&amp;82"</f>
        <v>#VALUE!</v>
      </c>
      <c r="DU99" t="e">
        <f>OpeningTemplate!E270+"AM:!&amp;83"</f>
        <v>#VALUE!</v>
      </c>
      <c r="DV99" s="103" t="e">
        <f>OpeningTemplate!F270+"AM:!&amp;84"</f>
        <v>#VALUE!</v>
      </c>
      <c r="DW99" t="e">
        <f>OpeningTemplate!G270+"AM:!&amp;85"</f>
        <v>#VALUE!</v>
      </c>
      <c r="DX99" t="e">
        <f>OpeningTemplate!H270+"AM:!&amp;86"</f>
        <v>#VALUE!</v>
      </c>
      <c r="DY99" t="e">
        <f>OpeningTemplate!I270+"AM:!&amp;87"</f>
        <v>#VALUE!</v>
      </c>
      <c r="DZ99" t="e">
        <f>OpeningTemplate!J270+"AM:!&amp;88"</f>
        <v>#VALUE!</v>
      </c>
      <c r="EA99" t="e">
        <f>OpeningTemplate!K270+"AM:!&amp;89"</f>
        <v>#VALUE!</v>
      </c>
      <c r="EB99" t="e">
        <f>OpeningTemplate!L270+"AM:!&amp;8:"</f>
        <v>#VALUE!</v>
      </c>
      <c r="EC99" t="e">
        <f>OpeningTemplate!A271+"AM:!&amp;8;"</f>
        <v>#VALUE!</v>
      </c>
      <c r="ED99" s="104" t="e">
        <f>OpeningTemplate!B271+"AM:!&amp;8&lt;"</f>
        <v>#VALUE!</v>
      </c>
      <c r="EE99" s="104" t="e">
        <f>OpeningTemplate!C271+"AM:!&amp;8="</f>
        <v>#VALUE!</v>
      </c>
      <c r="EF99" t="e">
        <f>OpeningTemplate!D271+"AM:!&amp;8&gt;"</f>
        <v>#VALUE!</v>
      </c>
      <c r="EG99" t="e">
        <f>OpeningTemplate!E271+"AM:!&amp;8?"</f>
        <v>#VALUE!</v>
      </c>
      <c r="EH99" s="103" t="e">
        <f>OpeningTemplate!F271+"AM:!&amp;8@"</f>
        <v>#VALUE!</v>
      </c>
      <c r="EI99" t="e">
        <f>OpeningTemplate!G271+"AM:!&amp;8A"</f>
        <v>#VALUE!</v>
      </c>
      <c r="EJ99" t="e">
        <f>OpeningTemplate!H271+"AM:!&amp;8B"</f>
        <v>#VALUE!</v>
      </c>
      <c r="EK99" t="e">
        <f>OpeningTemplate!I271+"AM:!&amp;8C"</f>
        <v>#VALUE!</v>
      </c>
      <c r="EL99" t="e">
        <f>OpeningTemplate!J271+"AM:!&amp;8D"</f>
        <v>#VALUE!</v>
      </c>
      <c r="EM99" t="e">
        <f>OpeningTemplate!K271+"AM:!&amp;8E"</f>
        <v>#VALUE!</v>
      </c>
      <c r="EN99" t="e">
        <f>OpeningTemplate!L271+"AM:!&amp;8F"</f>
        <v>#VALUE!</v>
      </c>
      <c r="EO99" t="e">
        <f>OpeningTemplate!A272+"AM:!&amp;8G"</f>
        <v>#VALUE!</v>
      </c>
      <c r="EP99" t="e">
        <f>OpeningTemplate!B272+"AM:!&amp;8H"</f>
        <v>#VALUE!</v>
      </c>
      <c r="EQ99" t="e">
        <f>OpeningTemplate!C272+"AM:!&amp;8I"</f>
        <v>#VALUE!</v>
      </c>
      <c r="ER99" t="e">
        <f>OpeningTemplate!D272+"AM:!&amp;8J"</f>
        <v>#VALUE!</v>
      </c>
      <c r="ES99" t="e">
        <f>OpeningTemplate!E272+"AM:!&amp;8K"</f>
        <v>#VALUE!</v>
      </c>
      <c r="ET99" t="e">
        <f>OpeningTemplate!F272+"AM:!&amp;8L"</f>
        <v>#VALUE!</v>
      </c>
      <c r="EU99" t="e">
        <f>OpeningTemplate!G272+"AM:!&amp;8M"</f>
        <v>#VALUE!</v>
      </c>
      <c r="EV99" t="e">
        <f>OpeningTemplate!H272+"AM:!&amp;8N"</f>
        <v>#VALUE!</v>
      </c>
      <c r="EW99" t="e">
        <f>OpeningTemplate!I272+"AM:!&amp;8O"</f>
        <v>#VALUE!</v>
      </c>
      <c r="EX99" t="e">
        <f>OpeningTemplate!J272+"AM:!&amp;8P"</f>
        <v>#VALUE!</v>
      </c>
      <c r="EY99" t="e">
        <f>OpeningTemplate!K272+"AM:!&amp;8Q"</f>
        <v>#VALUE!</v>
      </c>
      <c r="EZ99" t="e">
        <f>OpeningTemplate!L272+"AM:!&amp;8R"</f>
        <v>#VALUE!</v>
      </c>
      <c r="FA99" t="e">
        <f>OpeningTemplate!A273+"AM:!&amp;8S"</f>
        <v>#VALUE!</v>
      </c>
      <c r="FB99" t="e">
        <f>OpeningTemplate!B273+"AM:!&amp;8T"</f>
        <v>#VALUE!</v>
      </c>
      <c r="FC99" t="e">
        <f>OpeningTemplate!C273+"AM:!&amp;8U"</f>
        <v>#VALUE!</v>
      </c>
      <c r="FD99" t="e">
        <f>OpeningTemplate!D273+"AM:!&amp;8V"</f>
        <v>#VALUE!</v>
      </c>
      <c r="FE99" t="e">
        <f>OpeningTemplate!E273+"AM:!&amp;8W"</f>
        <v>#VALUE!</v>
      </c>
      <c r="FF99" t="e">
        <f>OpeningTemplate!F273+"AM:!&amp;8X"</f>
        <v>#VALUE!</v>
      </c>
      <c r="FG99" t="e">
        <f>OpeningTemplate!G273+"AM:!&amp;8Y"</f>
        <v>#VALUE!</v>
      </c>
      <c r="FH99" t="e">
        <f>OpeningTemplate!H273+"AM:!&amp;8Z"</f>
        <v>#VALUE!</v>
      </c>
      <c r="FI99" t="e">
        <f>OpeningTemplate!I273+"AM:!&amp;8["</f>
        <v>#VALUE!</v>
      </c>
      <c r="FJ99" t="e">
        <f>OpeningTemplate!J273+"AM:!&amp;8\"</f>
        <v>#VALUE!</v>
      </c>
      <c r="FK99" t="e">
        <f>OpeningTemplate!K273+"AM:!&amp;8]"</f>
        <v>#VALUE!</v>
      </c>
      <c r="FL99" t="e">
        <f>OpeningTemplate!L273+"AM:!&amp;8^"</f>
        <v>#VALUE!</v>
      </c>
      <c r="FM99" t="e">
        <f>OpeningTemplate!A274+"AM:!&amp;8_"</f>
        <v>#VALUE!</v>
      </c>
      <c r="FN99" t="e">
        <f>OpeningTemplate!B274+"AM:!&amp;8`"</f>
        <v>#VALUE!</v>
      </c>
      <c r="FO99" t="e">
        <f>OpeningTemplate!C274+"AM:!&amp;8a"</f>
        <v>#VALUE!</v>
      </c>
      <c r="FP99" t="e">
        <f>OpeningTemplate!D274+"AM:!&amp;8b"</f>
        <v>#VALUE!</v>
      </c>
      <c r="FQ99" t="e">
        <f>OpeningTemplate!E274+"AM:!&amp;8c"</f>
        <v>#VALUE!</v>
      </c>
      <c r="FR99" s="103" t="e">
        <f>OpeningTemplate!F274+"AM:!&amp;8d"</f>
        <v>#VALUE!</v>
      </c>
      <c r="FS99" s="103" t="e">
        <f>OpeningTemplate!G274+"AM:!&amp;8e"</f>
        <v>#VALUE!</v>
      </c>
      <c r="FT99" s="103" t="e">
        <f>OpeningTemplate!H274+"AM:!&amp;8f"</f>
        <v>#VALUE!</v>
      </c>
      <c r="FU99" s="103" t="e">
        <f>OpeningTemplate!I274+"AM:!&amp;8g"</f>
        <v>#VALUE!</v>
      </c>
      <c r="FV99" s="103" t="e">
        <f>OpeningTemplate!J274+"AM:!&amp;8h"</f>
        <v>#VALUE!</v>
      </c>
      <c r="FW99" s="103" t="e">
        <f>OpeningTemplate!K274+"AM:!&amp;8i"</f>
        <v>#VALUE!</v>
      </c>
      <c r="FX99" t="e">
        <f>OpeningTemplate!L274+"AM:!&amp;8j"</f>
        <v>#VALUE!</v>
      </c>
      <c r="FY99" t="e">
        <f>OpeningTemplate!A275+"AM:!&amp;8k"</f>
        <v>#VALUE!</v>
      </c>
      <c r="FZ99" t="e">
        <f>OpeningTemplate!B275+"AM:!&amp;8l"</f>
        <v>#VALUE!</v>
      </c>
      <c r="GA99" t="e">
        <f>OpeningTemplate!C275+"AM:!&amp;8m"</f>
        <v>#VALUE!</v>
      </c>
      <c r="GB99" t="e">
        <f>OpeningTemplate!D275+"AM:!&amp;8n"</f>
        <v>#VALUE!</v>
      </c>
      <c r="GC99" t="e">
        <f>OpeningTemplate!E275+"AM:!&amp;8o"</f>
        <v>#VALUE!</v>
      </c>
      <c r="GD99" t="e">
        <f>OpeningTemplate!F275+"AM:!&amp;8p"</f>
        <v>#VALUE!</v>
      </c>
      <c r="GE99" t="e">
        <f>OpeningTemplate!G275+"AM:!&amp;8q"</f>
        <v>#VALUE!</v>
      </c>
      <c r="GF99" t="e">
        <f>OpeningTemplate!H275+"AM:!&amp;8r"</f>
        <v>#VALUE!</v>
      </c>
      <c r="GG99" t="e">
        <f>OpeningTemplate!I275+"AM:!&amp;8s"</f>
        <v>#VALUE!</v>
      </c>
      <c r="GH99" t="e">
        <f>OpeningTemplate!J275+"AM:!&amp;8t"</f>
        <v>#VALUE!</v>
      </c>
      <c r="GI99" t="e">
        <f>OpeningTemplate!K275+"AM:!&amp;8u"</f>
        <v>#VALUE!</v>
      </c>
      <c r="GJ99" t="e">
        <f>OpeningTemplate!L275+"AM:!&amp;8v"</f>
        <v>#VALUE!</v>
      </c>
      <c r="GK99" t="e">
        <f>OpeningTemplate!A276+"AM:!&amp;8w"</f>
        <v>#VALUE!</v>
      </c>
      <c r="GL99" s="103" t="e">
        <f>OpeningTemplate!B276+"AM:!&amp;8x"</f>
        <v>#VALUE!</v>
      </c>
      <c r="GM99" s="103" t="e">
        <f>OpeningTemplate!C276+"AM:!&amp;8y"</f>
        <v>#VALUE!</v>
      </c>
      <c r="GN99" s="98" t="e">
        <f>OpeningTemplate!D276+"AM:!&amp;8z"</f>
        <v>#VALUE!</v>
      </c>
      <c r="GO99" s="98" t="e">
        <f>OpeningTemplate!E276+"AM:!&amp;8{"</f>
        <v>#VALUE!</v>
      </c>
      <c r="GP99" t="e">
        <f>OpeningTemplate!F276+"AM:!&amp;8|"</f>
        <v>#VALUE!</v>
      </c>
      <c r="GQ99" t="e">
        <f>OpeningTemplate!G276+"AM:!&amp;8}"</f>
        <v>#VALUE!</v>
      </c>
      <c r="GR99" t="e">
        <f>OpeningTemplate!H276+"AM:!&amp;8~"</f>
        <v>#VALUE!</v>
      </c>
      <c r="GS99" t="e">
        <f>OpeningTemplate!I276+"AM:!&amp;9#"</f>
        <v>#VALUE!</v>
      </c>
      <c r="GT99" t="e">
        <f>OpeningTemplate!J276+"AM:!&amp;9$"</f>
        <v>#VALUE!</v>
      </c>
      <c r="GU99" t="e">
        <f>OpeningTemplate!K276+"AM:!&amp;9%"</f>
        <v>#VALUE!</v>
      </c>
      <c r="GV99" t="e">
        <f>OpeningTemplate!L276+"AM:!&amp;9&amp;"</f>
        <v>#VALUE!</v>
      </c>
      <c r="GW99" t="e">
        <f>OpeningTemplate!A277+"AM:!&amp;9'"</f>
        <v>#VALUE!</v>
      </c>
      <c r="GX99" t="e">
        <f>OpeningTemplate!B277+"AM:!&amp;9("</f>
        <v>#VALUE!</v>
      </c>
      <c r="GY99" t="e">
        <f>OpeningTemplate!C277+"AM:!&amp;9)"</f>
        <v>#VALUE!</v>
      </c>
      <c r="GZ99" t="e">
        <f>OpeningTemplate!D277+"AM:!&amp;9."</f>
        <v>#VALUE!</v>
      </c>
      <c r="HA99" t="e">
        <f>OpeningTemplate!E277+"AM:!&amp;9/"</f>
        <v>#VALUE!</v>
      </c>
      <c r="HB99" t="e">
        <f>OpeningTemplate!F277+"AM:!&amp;90"</f>
        <v>#VALUE!</v>
      </c>
      <c r="HC99" t="e">
        <f>OpeningTemplate!G277+"AM:!&amp;91"</f>
        <v>#VALUE!</v>
      </c>
      <c r="HD99" t="e">
        <f>OpeningTemplate!H277+"AM:!&amp;92"</f>
        <v>#VALUE!</v>
      </c>
      <c r="HE99" t="e">
        <f>OpeningTemplate!I277+"AM:!&amp;93"</f>
        <v>#VALUE!</v>
      </c>
      <c r="HF99" t="e">
        <f>OpeningTemplate!J277+"AM:!&amp;94"</f>
        <v>#VALUE!</v>
      </c>
      <c r="HG99" t="e">
        <f>OpeningTemplate!K277+"AM:!&amp;95"</f>
        <v>#VALUE!</v>
      </c>
      <c r="HH99" t="e">
        <f>OpeningTemplate!L277+"AM:!&amp;96"</f>
        <v>#VALUE!</v>
      </c>
      <c r="HI99" t="e">
        <f>OpeningTemplate!A278+"AM:!&amp;97"</f>
        <v>#VALUE!</v>
      </c>
      <c r="HJ99" t="e">
        <f>OpeningTemplate!B278+"AM:!&amp;98"</f>
        <v>#VALUE!</v>
      </c>
      <c r="HK99" t="e">
        <f>OpeningTemplate!C278+"AM:!&amp;99"</f>
        <v>#VALUE!</v>
      </c>
      <c r="HL99" t="e">
        <f>OpeningTemplate!D278+"AM:!&amp;9:"</f>
        <v>#VALUE!</v>
      </c>
      <c r="HM99" t="e">
        <f>OpeningTemplate!E278+"AM:!&amp;9;"</f>
        <v>#VALUE!</v>
      </c>
      <c r="HN99" t="e">
        <f>OpeningTemplate!F278+"AM:!&amp;9&lt;"</f>
        <v>#VALUE!</v>
      </c>
      <c r="HO99" t="e">
        <f>OpeningTemplate!G278+"AM:!&amp;9="</f>
        <v>#VALUE!</v>
      </c>
      <c r="HP99" t="e">
        <f>OpeningTemplate!H278+"AM:!&amp;9&gt;"</f>
        <v>#VALUE!</v>
      </c>
      <c r="HQ99" t="e">
        <f>OpeningTemplate!I278+"AM:!&amp;9?"</f>
        <v>#VALUE!</v>
      </c>
      <c r="HR99" t="e">
        <f>OpeningTemplate!J278+"AM:!&amp;9@"</f>
        <v>#VALUE!</v>
      </c>
      <c r="HS99" t="e">
        <f>OpeningTemplate!K278+"AM:!&amp;9A"</f>
        <v>#VALUE!</v>
      </c>
      <c r="HT99" t="e">
        <f>OpeningTemplate!L278+"AM:!&amp;9B"</f>
        <v>#VALUE!</v>
      </c>
      <c r="HU99" t="e">
        <f>OpeningTemplate!A279+"AM:!&amp;9C"</f>
        <v>#VALUE!</v>
      </c>
      <c r="HV99" s="104" t="e">
        <f>OpeningTemplate!B279+"AM:!&amp;9D"</f>
        <v>#VALUE!</v>
      </c>
      <c r="HW99" s="104" t="e">
        <f>OpeningTemplate!C279+"AM:!&amp;9E"</f>
        <v>#VALUE!</v>
      </c>
      <c r="HX99" t="e">
        <f>OpeningTemplate!D279+"AM:!&amp;9F"</f>
        <v>#VALUE!</v>
      </c>
      <c r="HY99" t="e">
        <f>OpeningTemplate!E279+"AM:!&amp;9G"</f>
        <v>#VALUE!</v>
      </c>
      <c r="HZ99" s="103" t="e">
        <f>OpeningTemplate!F279+"AM:!&amp;9H"</f>
        <v>#VALUE!</v>
      </c>
      <c r="IA99" t="e">
        <f>OpeningTemplate!G279+"AM:!&amp;9I"</f>
        <v>#VALUE!</v>
      </c>
      <c r="IB99" t="e">
        <f>OpeningTemplate!H279+"AM:!&amp;9J"</f>
        <v>#VALUE!</v>
      </c>
      <c r="IC99" t="e">
        <f>OpeningTemplate!I279+"AM:!&amp;9K"</f>
        <v>#VALUE!</v>
      </c>
      <c r="ID99" t="e">
        <f>OpeningTemplate!J279+"AM:!&amp;9L"</f>
        <v>#VALUE!</v>
      </c>
      <c r="IE99" t="e">
        <f>OpeningTemplate!K279+"AM:!&amp;9M"</f>
        <v>#VALUE!</v>
      </c>
      <c r="IF99" t="e">
        <f>OpeningTemplate!L279+"AM:!&amp;9N"</f>
        <v>#VALUE!</v>
      </c>
      <c r="IG99" t="e">
        <f>OpeningTemplate!A280+"AM:!&amp;9O"</f>
        <v>#VALUE!</v>
      </c>
      <c r="IH99" s="104" t="e">
        <f>OpeningTemplate!B280+"AM:!&amp;9P"</f>
        <v>#VALUE!</v>
      </c>
      <c r="II99" s="104" t="e">
        <f>OpeningTemplate!C280+"AM:!&amp;9Q"</f>
        <v>#VALUE!</v>
      </c>
      <c r="IJ99" t="e">
        <f>OpeningTemplate!D280+"AM:!&amp;9R"</f>
        <v>#VALUE!</v>
      </c>
      <c r="IK99" t="e">
        <f>OpeningTemplate!E280+"AM:!&amp;9S"</f>
        <v>#VALUE!</v>
      </c>
      <c r="IL99" s="103" t="e">
        <f>OpeningTemplate!F280+"AM:!&amp;9T"</f>
        <v>#VALUE!</v>
      </c>
      <c r="IM99" t="e">
        <f>OpeningTemplate!G280+"AM:!&amp;9U"</f>
        <v>#VALUE!</v>
      </c>
      <c r="IN99" t="e">
        <f>OpeningTemplate!H280+"AM:!&amp;9V"</f>
        <v>#VALUE!</v>
      </c>
      <c r="IO99" t="e">
        <f>OpeningTemplate!I280+"AM:!&amp;9W"</f>
        <v>#VALUE!</v>
      </c>
      <c r="IP99" t="e">
        <f>OpeningTemplate!J280+"AM:!&amp;9X"</f>
        <v>#VALUE!</v>
      </c>
      <c r="IQ99" t="e">
        <f>OpeningTemplate!K280+"AM:!&amp;9Y"</f>
        <v>#VALUE!</v>
      </c>
      <c r="IR99" t="e">
        <f>OpeningTemplate!L280+"AM:!&amp;9Z"</f>
        <v>#VALUE!</v>
      </c>
      <c r="IS99" t="e">
        <f>OpeningTemplate!A281+"AM:!&amp;9["</f>
        <v>#VALUE!</v>
      </c>
      <c r="IT99" s="104" t="e">
        <f>OpeningTemplate!B281+"AM:!&amp;9\"</f>
        <v>#VALUE!</v>
      </c>
      <c r="IU99" s="104" t="e">
        <f>OpeningTemplate!C281+"AM:!&amp;9]"</f>
        <v>#VALUE!</v>
      </c>
      <c r="IV99" t="e">
        <f>OpeningTemplate!D281+"AM:!&amp;9^"</f>
        <v>#VALUE!</v>
      </c>
    </row>
    <row r="100" spans="6:256">
      <c r="F100" t="e">
        <f>OpeningTemplate!E281+"AM:!&amp;9_"</f>
        <v>#VALUE!</v>
      </c>
      <c r="G100" s="103" t="e">
        <f>OpeningTemplate!F281+"AM:!&amp;9`"</f>
        <v>#VALUE!</v>
      </c>
      <c r="H100" t="e">
        <f>OpeningTemplate!G281+"AM:!&amp;9a"</f>
        <v>#VALUE!</v>
      </c>
      <c r="I100" t="e">
        <f>OpeningTemplate!H281+"AM:!&amp;9b"</f>
        <v>#VALUE!</v>
      </c>
      <c r="J100" t="e">
        <f>OpeningTemplate!I281+"AM:!&amp;9c"</f>
        <v>#VALUE!</v>
      </c>
      <c r="K100" t="e">
        <f>OpeningTemplate!J281+"AM:!&amp;9d"</f>
        <v>#VALUE!</v>
      </c>
      <c r="L100" t="e">
        <f>OpeningTemplate!K281+"AM:!&amp;9e"</f>
        <v>#VALUE!</v>
      </c>
      <c r="M100" t="e">
        <f>OpeningTemplate!L281+"AM:!&amp;9f"</f>
        <v>#VALUE!</v>
      </c>
      <c r="N100" t="e">
        <f>OpeningTemplate!A282+"AM:!&amp;9g"</f>
        <v>#VALUE!</v>
      </c>
      <c r="O100" t="e">
        <f>OpeningTemplate!B282+"AM:!&amp;9h"</f>
        <v>#VALUE!</v>
      </c>
      <c r="P100" t="e">
        <f>OpeningTemplate!C282+"AM:!&amp;9i"</f>
        <v>#VALUE!</v>
      </c>
      <c r="Q100" t="e">
        <f>OpeningTemplate!D282+"AM:!&amp;9j"</f>
        <v>#VALUE!</v>
      </c>
      <c r="R100" t="e">
        <f>OpeningTemplate!E282+"AM:!&amp;9k"</f>
        <v>#VALUE!</v>
      </c>
      <c r="S100" t="e">
        <f>OpeningTemplate!F282+"AM:!&amp;9l"</f>
        <v>#VALUE!</v>
      </c>
      <c r="T100" t="e">
        <f>OpeningTemplate!G282+"AM:!&amp;9m"</f>
        <v>#VALUE!</v>
      </c>
      <c r="U100" t="e">
        <f>OpeningTemplate!H282+"AM:!&amp;9n"</f>
        <v>#VALUE!</v>
      </c>
      <c r="V100" t="e">
        <f>OpeningTemplate!I282+"AM:!&amp;9o"</f>
        <v>#VALUE!</v>
      </c>
      <c r="W100" t="e">
        <f>OpeningTemplate!J282+"AM:!&amp;9p"</f>
        <v>#VALUE!</v>
      </c>
      <c r="X100" t="e">
        <f>OpeningTemplate!K282+"AM:!&amp;9q"</f>
        <v>#VALUE!</v>
      </c>
      <c r="Y100" t="e">
        <f>OpeningTemplate!L282+"AM:!&amp;9r"</f>
        <v>#VALUE!</v>
      </c>
      <c r="Z100" t="e">
        <f>OpeningTemplate!A283+"AM:!&amp;9s"</f>
        <v>#VALUE!</v>
      </c>
      <c r="AA100" t="e">
        <f>OpeningTemplate!B283+"AM:!&amp;9t"</f>
        <v>#VALUE!</v>
      </c>
      <c r="AB100" t="e">
        <f>OpeningTemplate!C283+"AM:!&amp;9u"</f>
        <v>#VALUE!</v>
      </c>
      <c r="AC100" t="e">
        <f>OpeningTemplate!D283+"AM:!&amp;9v"</f>
        <v>#VALUE!</v>
      </c>
      <c r="AD100" t="e">
        <f>OpeningTemplate!E283+"AM:!&amp;9w"</f>
        <v>#VALUE!</v>
      </c>
      <c r="AE100" t="e">
        <f>OpeningTemplate!F283+"AM:!&amp;9x"</f>
        <v>#VALUE!</v>
      </c>
      <c r="AF100" t="e">
        <f>OpeningTemplate!G283+"AM:!&amp;9y"</f>
        <v>#VALUE!</v>
      </c>
      <c r="AG100" t="e">
        <f>OpeningTemplate!H283+"AM:!&amp;9z"</f>
        <v>#VALUE!</v>
      </c>
      <c r="AH100" t="e">
        <f>OpeningTemplate!I283+"AM:!&amp;9{"</f>
        <v>#VALUE!</v>
      </c>
      <c r="AI100" t="e">
        <f>OpeningTemplate!J283+"AM:!&amp;9|"</f>
        <v>#VALUE!</v>
      </c>
      <c r="AJ100" t="e">
        <f>OpeningTemplate!K283+"AM:!&amp;9}"</f>
        <v>#VALUE!</v>
      </c>
      <c r="AK100" t="e">
        <f>OpeningTemplate!L283+"AM:!&amp;9~"</f>
        <v>#VALUE!</v>
      </c>
      <c r="AL100" t="e">
        <f>OpeningTemplate!A284+"AM:!&amp;:#"</f>
        <v>#VALUE!</v>
      </c>
      <c r="AM100" t="e">
        <f>OpeningTemplate!B284+"AM:!&amp;:$"</f>
        <v>#VALUE!</v>
      </c>
      <c r="AN100" t="e">
        <f>OpeningTemplate!C284+"AM:!&amp;:%"</f>
        <v>#VALUE!</v>
      </c>
      <c r="AO100" t="e">
        <f>OpeningTemplate!D284+"AM:!&amp;:&amp;"</f>
        <v>#VALUE!</v>
      </c>
      <c r="AP100" t="e">
        <f>OpeningTemplate!E284+"AM:!&amp;:'"</f>
        <v>#VALUE!</v>
      </c>
      <c r="AQ100" s="103" t="e">
        <f>OpeningTemplate!F284+"AM:!&amp;:("</f>
        <v>#VALUE!</v>
      </c>
      <c r="AR100" s="103" t="e">
        <f>OpeningTemplate!G284+"AM:!&amp;:)"</f>
        <v>#VALUE!</v>
      </c>
      <c r="AS100" s="103" t="e">
        <f>OpeningTemplate!H284+"AM:!&amp;:."</f>
        <v>#VALUE!</v>
      </c>
      <c r="AT100" s="103" t="e">
        <f>OpeningTemplate!I284+"AM:!&amp;:/"</f>
        <v>#VALUE!</v>
      </c>
      <c r="AU100" s="103" t="e">
        <f>OpeningTemplate!J284+"AM:!&amp;:0"</f>
        <v>#VALUE!</v>
      </c>
      <c r="AV100" s="103" t="e">
        <f>OpeningTemplate!K284+"AM:!&amp;:1"</f>
        <v>#VALUE!</v>
      </c>
      <c r="AW100" t="e">
        <f>OpeningTemplate!L284+"AM:!&amp;:2"</f>
        <v>#VALUE!</v>
      </c>
      <c r="AX100" t="e">
        <f>OpeningTemplate!A285+"AM:!&amp;:3"</f>
        <v>#VALUE!</v>
      </c>
      <c r="AY100" t="e">
        <f>OpeningTemplate!B285+"AM:!&amp;:4"</f>
        <v>#VALUE!</v>
      </c>
      <c r="AZ100" t="e">
        <f>OpeningTemplate!C285+"AM:!&amp;:5"</f>
        <v>#VALUE!</v>
      </c>
      <c r="BA100" t="e">
        <f>OpeningTemplate!D285+"AM:!&amp;:6"</f>
        <v>#VALUE!</v>
      </c>
      <c r="BB100" t="e">
        <f>OpeningTemplate!E285+"AM:!&amp;:7"</f>
        <v>#VALUE!</v>
      </c>
      <c r="BC100" t="e">
        <f>OpeningTemplate!F285+"AM:!&amp;:8"</f>
        <v>#VALUE!</v>
      </c>
      <c r="BD100" t="e">
        <f>OpeningTemplate!G285+"AM:!&amp;:9"</f>
        <v>#VALUE!</v>
      </c>
      <c r="BE100" t="e">
        <f>OpeningTemplate!H285+"AM:!&amp;::"</f>
        <v>#VALUE!</v>
      </c>
      <c r="BF100" t="e">
        <f>OpeningTemplate!I285+"AM:!&amp;:;"</f>
        <v>#VALUE!</v>
      </c>
      <c r="BG100" t="e">
        <f>OpeningTemplate!J285+"AM:!&amp;:&lt;"</f>
        <v>#VALUE!</v>
      </c>
      <c r="BH100" t="e">
        <f>OpeningTemplate!K285+"AM:!&amp;:="</f>
        <v>#VALUE!</v>
      </c>
      <c r="BI100" t="e">
        <f>OpeningTemplate!L285+"AM:!&amp;:&gt;"</f>
        <v>#VALUE!</v>
      </c>
      <c r="BJ100" t="e">
        <f>OpeningTemplate!A286+"AM:!&amp;:?"</f>
        <v>#VALUE!</v>
      </c>
      <c r="BK100" s="103" t="e">
        <f>OpeningTemplate!B286+"AM:!&amp;:@"</f>
        <v>#VALUE!</v>
      </c>
      <c r="BL100" s="103" t="e">
        <f>OpeningTemplate!C286+"AM:!&amp;:A"</f>
        <v>#VALUE!</v>
      </c>
      <c r="BM100" s="98" t="e">
        <f>OpeningTemplate!D286+"AM:!&amp;:B"</f>
        <v>#VALUE!</v>
      </c>
      <c r="BN100" s="98" t="e">
        <f>OpeningTemplate!E286+"AM:!&amp;:C"</f>
        <v>#VALUE!</v>
      </c>
      <c r="BO100" t="e">
        <f>OpeningTemplate!F286+"AM:!&amp;:D"</f>
        <v>#VALUE!</v>
      </c>
      <c r="BP100" t="e">
        <f>OpeningTemplate!G286+"AM:!&amp;:E"</f>
        <v>#VALUE!</v>
      </c>
      <c r="BQ100" t="e">
        <f>OpeningTemplate!H286+"AM:!&amp;:F"</f>
        <v>#VALUE!</v>
      </c>
      <c r="BR100" t="e">
        <f>OpeningTemplate!I286+"AM:!&amp;:G"</f>
        <v>#VALUE!</v>
      </c>
      <c r="BS100" t="e">
        <f>OpeningTemplate!J286+"AM:!&amp;:H"</f>
        <v>#VALUE!</v>
      </c>
      <c r="BT100" t="e">
        <f>OpeningTemplate!K286+"AM:!&amp;:I"</f>
        <v>#VALUE!</v>
      </c>
      <c r="BU100" t="e">
        <f>OpeningTemplate!L286+"AM:!&amp;:J"</f>
        <v>#VALUE!</v>
      </c>
      <c r="BV100" t="e">
        <f>OpeningTemplate!A287+"AM:!&amp;:K"</f>
        <v>#VALUE!</v>
      </c>
      <c r="BW100" t="e">
        <f>OpeningTemplate!B287+"AM:!&amp;:L"</f>
        <v>#VALUE!</v>
      </c>
      <c r="BX100" t="e">
        <f>OpeningTemplate!C287+"AM:!&amp;:M"</f>
        <v>#VALUE!</v>
      </c>
      <c r="BY100" t="e">
        <f>OpeningTemplate!D287+"AM:!&amp;:N"</f>
        <v>#VALUE!</v>
      </c>
      <c r="BZ100" t="e">
        <f>OpeningTemplate!E287+"AM:!&amp;:O"</f>
        <v>#VALUE!</v>
      </c>
      <c r="CA100" t="e">
        <f>OpeningTemplate!F287+"AM:!&amp;:P"</f>
        <v>#VALUE!</v>
      </c>
      <c r="CB100" t="e">
        <f>OpeningTemplate!G287+"AM:!&amp;:Q"</f>
        <v>#VALUE!</v>
      </c>
      <c r="CC100" t="e">
        <f>OpeningTemplate!H287+"AM:!&amp;:R"</f>
        <v>#VALUE!</v>
      </c>
      <c r="CD100" t="e">
        <f>OpeningTemplate!I287+"AM:!&amp;:S"</f>
        <v>#VALUE!</v>
      </c>
      <c r="CE100" t="e">
        <f>OpeningTemplate!J287+"AM:!&amp;:T"</f>
        <v>#VALUE!</v>
      </c>
      <c r="CF100" t="e">
        <f>OpeningTemplate!K287+"AM:!&amp;:U"</f>
        <v>#VALUE!</v>
      </c>
      <c r="CG100" t="e">
        <f>OpeningTemplate!L287+"AM:!&amp;:V"</f>
        <v>#VALUE!</v>
      </c>
      <c r="CH100" t="e">
        <f>OpeningTemplate!A288+"AM:!&amp;:W"</f>
        <v>#VALUE!</v>
      </c>
      <c r="CI100" t="e">
        <f>OpeningTemplate!B288+"AM:!&amp;:X"</f>
        <v>#VALUE!</v>
      </c>
      <c r="CJ100" t="e">
        <f>OpeningTemplate!C288+"AM:!&amp;:Y"</f>
        <v>#VALUE!</v>
      </c>
      <c r="CK100" t="e">
        <f>OpeningTemplate!D288+"AM:!&amp;:Z"</f>
        <v>#VALUE!</v>
      </c>
      <c r="CL100" t="e">
        <f>OpeningTemplate!E288+"AM:!&amp;:["</f>
        <v>#VALUE!</v>
      </c>
      <c r="CM100" t="e">
        <f>OpeningTemplate!F288+"AM:!&amp;:\"</f>
        <v>#VALUE!</v>
      </c>
      <c r="CN100" t="e">
        <f>OpeningTemplate!G288+"AM:!&amp;:]"</f>
        <v>#VALUE!</v>
      </c>
      <c r="CO100" t="e">
        <f>OpeningTemplate!H288+"AM:!&amp;:^"</f>
        <v>#VALUE!</v>
      </c>
      <c r="CP100" t="e">
        <f>OpeningTemplate!I288+"AM:!&amp;:_"</f>
        <v>#VALUE!</v>
      </c>
      <c r="CQ100" t="e">
        <f>OpeningTemplate!J288+"AM:!&amp;:`"</f>
        <v>#VALUE!</v>
      </c>
      <c r="CR100" t="e">
        <f>OpeningTemplate!K288+"AM:!&amp;:a"</f>
        <v>#VALUE!</v>
      </c>
      <c r="CS100" t="e">
        <f>OpeningTemplate!L288+"AM:!&amp;:b"</f>
        <v>#VALUE!</v>
      </c>
      <c r="CT100" t="e">
        <f>OpeningTemplate!A289+"AM:!&amp;:c"</f>
        <v>#VALUE!</v>
      </c>
      <c r="CU100" s="104" t="e">
        <f>OpeningTemplate!B289+"AM:!&amp;:d"</f>
        <v>#VALUE!</v>
      </c>
      <c r="CV100" s="104" t="e">
        <f>OpeningTemplate!C289+"AM:!&amp;:e"</f>
        <v>#VALUE!</v>
      </c>
      <c r="CW100" t="e">
        <f>OpeningTemplate!D289+"AM:!&amp;:f"</f>
        <v>#VALUE!</v>
      </c>
      <c r="CX100" t="e">
        <f>OpeningTemplate!E289+"AM:!&amp;:g"</f>
        <v>#VALUE!</v>
      </c>
      <c r="CY100" s="103" t="e">
        <f>OpeningTemplate!F289+"AM:!&amp;:h"</f>
        <v>#VALUE!</v>
      </c>
      <c r="CZ100" t="e">
        <f>OpeningTemplate!G289+"AM:!&amp;:i"</f>
        <v>#VALUE!</v>
      </c>
      <c r="DA100" t="e">
        <f>OpeningTemplate!H289+"AM:!&amp;:j"</f>
        <v>#VALUE!</v>
      </c>
      <c r="DB100" t="e">
        <f>OpeningTemplate!I289+"AM:!&amp;:k"</f>
        <v>#VALUE!</v>
      </c>
      <c r="DC100" t="e">
        <f>OpeningTemplate!J289+"AM:!&amp;:l"</f>
        <v>#VALUE!</v>
      </c>
      <c r="DD100" t="e">
        <f>OpeningTemplate!K289+"AM:!&amp;:m"</f>
        <v>#VALUE!</v>
      </c>
      <c r="DE100" t="e">
        <f>OpeningTemplate!L289+"AM:!&amp;:n"</f>
        <v>#VALUE!</v>
      </c>
      <c r="DF100" t="e">
        <f>OpeningTemplate!A290+"AM:!&amp;:o"</f>
        <v>#VALUE!</v>
      </c>
      <c r="DG100" s="104" t="e">
        <f>OpeningTemplate!B290+"AM:!&amp;:p"</f>
        <v>#VALUE!</v>
      </c>
      <c r="DH100" s="104" t="e">
        <f>OpeningTemplate!C290+"AM:!&amp;:q"</f>
        <v>#VALUE!</v>
      </c>
      <c r="DI100" t="e">
        <f>OpeningTemplate!D290+"AM:!&amp;:r"</f>
        <v>#VALUE!</v>
      </c>
      <c r="DJ100" t="e">
        <f>OpeningTemplate!E290+"AM:!&amp;:s"</f>
        <v>#VALUE!</v>
      </c>
      <c r="DK100" s="103" t="e">
        <f>OpeningTemplate!F290+"AM:!&amp;:t"</f>
        <v>#VALUE!</v>
      </c>
      <c r="DL100" t="e">
        <f>OpeningTemplate!G290+"AM:!&amp;:u"</f>
        <v>#VALUE!</v>
      </c>
      <c r="DM100" t="e">
        <f>OpeningTemplate!H290+"AM:!&amp;:v"</f>
        <v>#VALUE!</v>
      </c>
      <c r="DN100" t="e">
        <f>OpeningTemplate!I290+"AM:!&amp;:w"</f>
        <v>#VALUE!</v>
      </c>
      <c r="DO100" t="e">
        <f>OpeningTemplate!J290+"AM:!&amp;:x"</f>
        <v>#VALUE!</v>
      </c>
      <c r="DP100" t="e">
        <f>OpeningTemplate!K290+"AM:!&amp;:y"</f>
        <v>#VALUE!</v>
      </c>
      <c r="DQ100" t="e">
        <f>OpeningTemplate!L290+"AM:!&amp;:z"</f>
        <v>#VALUE!</v>
      </c>
      <c r="DR100" t="e">
        <f>OpeningTemplate!A291+"AM:!&amp;:{"</f>
        <v>#VALUE!</v>
      </c>
      <c r="DS100" s="104" t="e">
        <f>OpeningTemplate!B291+"AM:!&amp;:|"</f>
        <v>#VALUE!</v>
      </c>
      <c r="DT100" s="104" t="e">
        <f>OpeningTemplate!C291+"AM:!&amp;:}"</f>
        <v>#VALUE!</v>
      </c>
      <c r="DU100" t="e">
        <f>OpeningTemplate!D291+"AM:!&amp;:~"</f>
        <v>#VALUE!</v>
      </c>
      <c r="DV100" t="e">
        <f>OpeningTemplate!E291+"AM:!&amp;;#"</f>
        <v>#VALUE!</v>
      </c>
      <c r="DW100" s="103" t="e">
        <f>OpeningTemplate!F291+"AM:!&amp;;$"</f>
        <v>#VALUE!</v>
      </c>
      <c r="DX100" t="e">
        <f>OpeningTemplate!G291+"AM:!&amp;;%"</f>
        <v>#VALUE!</v>
      </c>
      <c r="DY100" t="e">
        <f>OpeningTemplate!H291+"AM:!&amp;;&amp;"</f>
        <v>#VALUE!</v>
      </c>
      <c r="DZ100" t="e">
        <f>OpeningTemplate!I291+"AM:!&amp;;'"</f>
        <v>#VALUE!</v>
      </c>
      <c r="EA100" t="e">
        <f>OpeningTemplate!J291+"AM:!&amp;;("</f>
        <v>#VALUE!</v>
      </c>
      <c r="EB100" t="e">
        <f>OpeningTemplate!K291+"AM:!&amp;;)"</f>
        <v>#VALUE!</v>
      </c>
      <c r="EC100" t="e">
        <f>OpeningTemplate!L291+"AM:!&amp;;."</f>
        <v>#VALUE!</v>
      </c>
      <c r="ED100" t="e">
        <f>OpeningTemplate!A292+"AM:!&amp;;/"</f>
        <v>#VALUE!</v>
      </c>
      <c r="EE100" t="e">
        <f>OpeningTemplate!B292+"AM:!&amp;;0"</f>
        <v>#VALUE!</v>
      </c>
      <c r="EF100" t="e">
        <f>OpeningTemplate!C292+"AM:!&amp;;1"</f>
        <v>#VALUE!</v>
      </c>
      <c r="EG100" t="e">
        <f>OpeningTemplate!D292+"AM:!&amp;;2"</f>
        <v>#VALUE!</v>
      </c>
      <c r="EH100" t="e">
        <f>OpeningTemplate!E292+"AM:!&amp;;3"</f>
        <v>#VALUE!</v>
      </c>
      <c r="EI100" t="e">
        <f>OpeningTemplate!F292+"AM:!&amp;;4"</f>
        <v>#VALUE!</v>
      </c>
      <c r="EJ100" t="e">
        <f>OpeningTemplate!G292+"AM:!&amp;;5"</f>
        <v>#VALUE!</v>
      </c>
      <c r="EK100" t="e">
        <f>OpeningTemplate!H292+"AM:!&amp;;6"</f>
        <v>#VALUE!</v>
      </c>
      <c r="EL100" t="e">
        <f>OpeningTemplate!I292+"AM:!&amp;;7"</f>
        <v>#VALUE!</v>
      </c>
      <c r="EM100" t="e">
        <f>OpeningTemplate!J292+"AM:!&amp;;8"</f>
        <v>#VALUE!</v>
      </c>
      <c r="EN100" t="e">
        <f>OpeningTemplate!K292+"AM:!&amp;;9"</f>
        <v>#VALUE!</v>
      </c>
      <c r="EO100" t="e">
        <f>OpeningTemplate!L292+"AM:!&amp;;:"</f>
        <v>#VALUE!</v>
      </c>
      <c r="EP100" t="e">
        <f>OpeningTemplate!A293+"AM:!&amp;;;"</f>
        <v>#VALUE!</v>
      </c>
      <c r="EQ100" t="e">
        <f>OpeningTemplate!B293+"AM:!&amp;;&lt;"</f>
        <v>#VALUE!</v>
      </c>
      <c r="ER100" t="e">
        <f>OpeningTemplate!C293+"AM:!&amp;;="</f>
        <v>#VALUE!</v>
      </c>
      <c r="ES100" t="e">
        <f>OpeningTemplate!D293+"AM:!&amp;;&gt;"</f>
        <v>#VALUE!</v>
      </c>
      <c r="ET100" t="e">
        <f>OpeningTemplate!E293+"AM:!&amp;;?"</f>
        <v>#VALUE!</v>
      </c>
      <c r="EU100" t="e">
        <f>OpeningTemplate!F293+"AM:!&amp;;@"</f>
        <v>#VALUE!</v>
      </c>
      <c r="EV100" t="e">
        <f>OpeningTemplate!G293+"AM:!&amp;;A"</f>
        <v>#VALUE!</v>
      </c>
      <c r="EW100" t="e">
        <f>OpeningTemplate!H293+"AM:!&amp;;B"</f>
        <v>#VALUE!</v>
      </c>
      <c r="EX100" t="e">
        <f>OpeningTemplate!I293+"AM:!&amp;;C"</f>
        <v>#VALUE!</v>
      </c>
      <c r="EY100" t="e">
        <f>OpeningTemplate!J293+"AM:!&amp;;D"</f>
        <v>#VALUE!</v>
      </c>
      <c r="EZ100" t="e">
        <f>OpeningTemplate!K293+"AM:!&amp;;E"</f>
        <v>#VALUE!</v>
      </c>
      <c r="FA100" t="e">
        <f>OpeningTemplate!L293+"AM:!&amp;;F"</f>
        <v>#VALUE!</v>
      </c>
      <c r="FB100" t="e">
        <f>OpeningTemplate!A294+"AM:!&amp;;G"</f>
        <v>#VALUE!</v>
      </c>
      <c r="FC100" t="e">
        <f>OpeningTemplate!B294+"AM:!&amp;;H"</f>
        <v>#VALUE!</v>
      </c>
      <c r="FD100" t="e">
        <f>OpeningTemplate!C294+"AM:!&amp;;I"</f>
        <v>#VALUE!</v>
      </c>
      <c r="FE100" t="e">
        <f>OpeningTemplate!D294+"AM:!&amp;;J"</f>
        <v>#VALUE!</v>
      </c>
      <c r="FF100" t="e">
        <f>OpeningTemplate!E294+"AM:!&amp;;K"</f>
        <v>#VALUE!</v>
      </c>
      <c r="FG100" s="103" t="e">
        <f>OpeningTemplate!F294+"AM:!&amp;;L"</f>
        <v>#VALUE!</v>
      </c>
      <c r="FH100" s="103" t="e">
        <f>OpeningTemplate!G294+"AM:!&amp;;M"</f>
        <v>#VALUE!</v>
      </c>
      <c r="FI100" s="103" t="e">
        <f>OpeningTemplate!H294+"AM:!&amp;;N"</f>
        <v>#VALUE!</v>
      </c>
      <c r="FJ100" s="103" t="e">
        <f>OpeningTemplate!I294+"AM:!&amp;;O"</f>
        <v>#VALUE!</v>
      </c>
      <c r="FK100" s="103" t="e">
        <f>OpeningTemplate!J294+"AM:!&amp;;P"</f>
        <v>#VALUE!</v>
      </c>
      <c r="FL100" s="103" t="e">
        <f>OpeningTemplate!K294+"AM:!&amp;;Q"</f>
        <v>#VALUE!</v>
      </c>
      <c r="FM100" t="e">
        <f>OpeningTemplate!L294+"AM:!&amp;;R"</f>
        <v>#VALUE!</v>
      </c>
      <c r="FN100" t="e">
        <f>OpeningTemplate!A295+"AM:!&amp;;S"</f>
        <v>#VALUE!</v>
      </c>
      <c r="FO100" t="e">
        <f>OpeningTemplate!B295+"AM:!&amp;;T"</f>
        <v>#VALUE!</v>
      </c>
      <c r="FP100" t="e">
        <f>OpeningTemplate!C295+"AM:!&amp;;U"</f>
        <v>#VALUE!</v>
      </c>
      <c r="FQ100" t="e">
        <f>OpeningTemplate!D295+"AM:!&amp;;V"</f>
        <v>#VALUE!</v>
      </c>
      <c r="FR100" t="e">
        <f>OpeningTemplate!E295+"AM:!&amp;;W"</f>
        <v>#VALUE!</v>
      </c>
      <c r="FS100" t="e">
        <f>OpeningTemplate!F295+"AM:!&amp;;X"</f>
        <v>#VALUE!</v>
      </c>
      <c r="FT100" t="e">
        <f>OpeningTemplate!G295+"AM:!&amp;;Y"</f>
        <v>#VALUE!</v>
      </c>
      <c r="FU100" t="e">
        <f>OpeningTemplate!H295+"AM:!&amp;;Z"</f>
        <v>#VALUE!</v>
      </c>
      <c r="FV100" t="e">
        <f>OpeningTemplate!I295+"AM:!&amp;;["</f>
        <v>#VALUE!</v>
      </c>
      <c r="FW100" t="e">
        <f>OpeningTemplate!J295+"AM:!&amp;;\"</f>
        <v>#VALUE!</v>
      </c>
      <c r="FX100" t="e">
        <f>OpeningTemplate!K295+"AM:!&amp;;]"</f>
        <v>#VALUE!</v>
      </c>
      <c r="FY100" t="e">
        <f>OpeningTemplate!L295+"AM:!&amp;;^"</f>
        <v>#VALUE!</v>
      </c>
      <c r="FZ100" t="e">
        <f>OpeningTemplate!A296+"AM:!&amp;;_"</f>
        <v>#VALUE!</v>
      </c>
      <c r="GA100" s="103" t="e">
        <f>OpeningTemplate!B296+"AM:!&amp;;`"</f>
        <v>#VALUE!</v>
      </c>
      <c r="GB100" s="103" t="e">
        <f>OpeningTemplate!C296+"AM:!&amp;;a"</f>
        <v>#VALUE!</v>
      </c>
      <c r="GC100" s="98" t="e">
        <f>OpeningTemplate!D296+"AM:!&amp;;b"</f>
        <v>#VALUE!</v>
      </c>
      <c r="GD100" s="98" t="e">
        <f>OpeningTemplate!E296+"AM:!&amp;;c"</f>
        <v>#VALUE!</v>
      </c>
      <c r="GE100" t="e">
        <f>OpeningTemplate!F296+"AM:!&amp;;d"</f>
        <v>#VALUE!</v>
      </c>
      <c r="GF100" t="e">
        <f>OpeningTemplate!G296+"AM:!&amp;;e"</f>
        <v>#VALUE!</v>
      </c>
      <c r="GG100" t="e">
        <f>OpeningTemplate!H296+"AM:!&amp;;f"</f>
        <v>#VALUE!</v>
      </c>
      <c r="GH100" t="e">
        <f>OpeningTemplate!I296+"AM:!&amp;;g"</f>
        <v>#VALUE!</v>
      </c>
      <c r="GI100" t="e">
        <f>OpeningTemplate!J296+"AM:!&amp;;h"</f>
        <v>#VALUE!</v>
      </c>
      <c r="GJ100" t="e">
        <f>OpeningTemplate!K296+"AM:!&amp;;i"</f>
        <v>#VALUE!</v>
      </c>
      <c r="GK100" t="e">
        <f>OpeningTemplate!L296+"AM:!&amp;;j"</f>
        <v>#VALUE!</v>
      </c>
      <c r="GL100" t="e">
        <f>OpeningTemplate!A297+"AM:!&amp;;k"</f>
        <v>#VALUE!</v>
      </c>
      <c r="GM100" t="e">
        <f>OpeningTemplate!B297+"AM:!&amp;;l"</f>
        <v>#VALUE!</v>
      </c>
      <c r="GN100" t="e">
        <f>OpeningTemplate!C297+"AM:!&amp;;m"</f>
        <v>#VALUE!</v>
      </c>
      <c r="GO100" t="e">
        <f>OpeningTemplate!D297+"AM:!&amp;;n"</f>
        <v>#VALUE!</v>
      </c>
      <c r="GP100" t="e">
        <f>OpeningTemplate!E297+"AM:!&amp;;o"</f>
        <v>#VALUE!</v>
      </c>
      <c r="GQ100" t="e">
        <f>OpeningTemplate!F297+"AM:!&amp;;p"</f>
        <v>#VALUE!</v>
      </c>
      <c r="GR100" t="e">
        <f>OpeningTemplate!G297+"AM:!&amp;;q"</f>
        <v>#VALUE!</v>
      </c>
      <c r="GS100" t="e">
        <f>OpeningTemplate!H297+"AM:!&amp;;r"</f>
        <v>#VALUE!</v>
      </c>
      <c r="GT100" t="e">
        <f>OpeningTemplate!I297+"AM:!&amp;;s"</f>
        <v>#VALUE!</v>
      </c>
      <c r="GU100" t="e">
        <f>OpeningTemplate!J297+"AM:!&amp;;t"</f>
        <v>#VALUE!</v>
      </c>
      <c r="GV100" t="e">
        <f>OpeningTemplate!K297+"AM:!&amp;;u"</f>
        <v>#VALUE!</v>
      </c>
      <c r="GW100" t="e">
        <f>OpeningTemplate!L297+"AM:!&amp;;v"</f>
        <v>#VALUE!</v>
      </c>
      <c r="GX100" t="e">
        <f>OpeningTemplate!A298+"AM:!&amp;;w"</f>
        <v>#VALUE!</v>
      </c>
      <c r="GY100" t="e">
        <f>OpeningTemplate!B298+"AM:!&amp;;x"</f>
        <v>#VALUE!</v>
      </c>
      <c r="GZ100" t="e">
        <f>OpeningTemplate!C298+"AM:!&amp;;y"</f>
        <v>#VALUE!</v>
      </c>
      <c r="HA100" t="e">
        <f>OpeningTemplate!D298+"AM:!&amp;;z"</f>
        <v>#VALUE!</v>
      </c>
      <c r="HB100" t="e">
        <f>OpeningTemplate!E298+"AM:!&amp;;{"</f>
        <v>#VALUE!</v>
      </c>
      <c r="HC100" t="e">
        <f>OpeningTemplate!F298+"AM:!&amp;;|"</f>
        <v>#VALUE!</v>
      </c>
      <c r="HD100" t="e">
        <f>OpeningTemplate!G298+"AM:!&amp;;}"</f>
        <v>#VALUE!</v>
      </c>
      <c r="HE100" t="e">
        <f>OpeningTemplate!H298+"AM:!&amp;;~"</f>
        <v>#VALUE!</v>
      </c>
      <c r="HF100" t="e">
        <f>OpeningTemplate!I298+"AM:!&amp;&lt;#"</f>
        <v>#VALUE!</v>
      </c>
      <c r="HG100" t="e">
        <f>OpeningTemplate!J298+"AM:!&amp;&lt;$"</f>
        <v>#VALUE!</v>
      </c>
      <c r="HH100" t="e">
        <f>OpeningTemplate!K298+"AM:!&amp;&lt;%"</f>
        <v>#VALUE!</v>
      </c>
      <c r="HI100" t="e">
        <f>OpeningTemplate!L298+"AM:!&amp;&lt;&amp;"</f>
        <v>#VALUE!</v>
      </c>
      <c r="HJ100" t="e">
        <f>OpeningTemplate!A299+"AM:!&amp;&lt;'"</f>
        <v>#VALUE!</v>
      </c>
      <c r="HK100" s="104" t="e">
        <f>OpeningTemplate!B299+"AM:!&amp;&lt;("</f>
        <v>#VALUE!</v>
      </c>
      <c r="HL100" s="104" t="e">
        <f>OpeningTemplate!C299+"AM:!&amp;&lt;)"</f>
        <v>#VALUE!</v>
      </c>
      <c r="HM100" t="e">
        <f>OpeningTemplate!D299+"AM:!&amp;&lt;."</f>
        <v>#VALUE!</v>
      </c>
      <c r="HN100" t="e">
        <f>OpeningTemplate!E299+"AM:!&amp;&lt;/"</f>
        <v>#VALUE!</v>
      </c>
      <c r="HO100" s="103" t="e">
        <f>OpeningTemplate!F299+"AM:!&amp;&lt;0"</f>
        <v>#VALUE!</v>
      </c>
      <c r="HP100" t="e">
        <f>OpeningTemplate!G299+"AM:!&amp;&lt;1"</f>
        <v>#VALUE!</v>
      </c>
      <c r="HQ100" t="e">
        <f>OpeningTemplate!H299+"AM:!&amp;&lt;2"</f>
        <v>#VALUE!</v>
      </c>
      <c r="HR100" t="e">
        <f>OpeningTemplate!I299+"AM:!&amp;&lt;3"</f>
        <v>#VALUE!</v>
      </c>
      <c r="HS100" t="e">
        <f>OpeningTemplate!J299+"AM:!&amp;&lt;4"</f>
        <v>#VALUE!</v>
      </c>
      <c r="HT100" t="e">
        <f>OpeningTemplate!K299+"AM:!&amp;&lt;5"</f>
        <v>#VALUE!</v>
      </c>
      <c r="HU100" t="e">
        <f>OpeningTemplate!L299+"AM:!&amp;&lt;6"</f>
        <v>#VALUE!</v>
      </c>
      <c r="HV100" t="e">
        <f>OpeningTemplate!A300+"AM:!&amp;&lt;7"</f>
        <v>#VALUE!</v>
      </c>
      <c r="HW100" s="104" t="e">
        <f>OpeningTemplate!B300+"AM:!&amp;&lt;8"</f>
        <v>#VALUE!</v>
      </c>
      <c r="HX100" s="104" t="e">
        <f>OpeningTemplate!C300+"AM:!&amp;&lt;9"</f>
        <v>#VALUE!</v>
      </c>
      <c r="HY100" t="e">
        <f>OpeningTemplate!D300+"AM:!&amp;&lt;:"</f>
        <v>#VALUE!</v>
      </c>
      <c r="HZ100" t="e">
        <f>OpeningTemplate!E300+"AM:!&amp;&lt;;"</f>
        <v>#VALUE!</v>
      </c>
      <c r="IA100" s="103" t="e">
        <f>OpeningTemplate!F300+"AM:!&amp;&lt;&lt;"</f>
        <v>#VALUE!</v>
      </c>
      <c r="IB100" t="e">
        <f>OpeningTemplate!G300+"AM:!&amp;&lt;="</f>
        <v>#VALUE!</v>
      </c>
      <c r="IC100" t="e">
        <f>OpeningTemplate!H300+"AM:!&amp;&lt;&gt;"</f>
        <v>#VALUE!</v>
      </c>
      <c r="ID100" t="e">
        <f>OpeningTemplate!I300+"AM:!&amp;&lt;?"</f>
        <v>#VALUE!</v>
      </c>
      <c r="IE100" t="e">
        <f>OpeningTemplate!J300+"AM:!&amp;&lt;@"</f>
        <v>#VALUE!</v>
      </c>
      <c r="IF100" t="e">
        <f>OpeningTemplate!K300+"AM:!&amp;&lt;A"</f>
        <v>#VALUE!</v>
      </c>
      <c r="IG100" t="e">
        <f>OpeningTemplate!L300+"AM:!&amp;&lt;B"</f>
        <v>#VALUE!</v>
      </c>
      <c r="IH100" t="e">
        <f>OpeningTemplate!A301+"AM:!&amp;&lt;C"</f>
        <v>#VALUE!</v>
      </c>
      <c r="II100" s="104" t="e">
        <f>OpeningTemplate!B301+"AM:!&amp;&lt;D"</f>
        <v>#VALUE!</v>
      </c>
      <c r="IJ100" s="104" t="e">
        <f>OpeningTemplate!C301+"AM:!&amp;&lt;E"</f>
        <v>#VALUE!</v>
      </c>
      <c r="IK100" t="e">
        <f>OpeningTemplate!D301+"AM:!&amp;&lt;F"</f>
        <v>#VALUE!</v>
      </c>
      <c r="IL100" t="e">
        <f>OpeningTemplate!E301+"AM:!&amp;&lt;G"</f>
        <v>#VALUE!</v>
      </c>
      <c r="IM100" s="103" t="e">
        <f>OpeningTemplate!F301+"AM:!&amp;&lt;H"</f>
        <v>#VALUE!</v>
      </c>
      <c r="IN100" t="e">
        <f>OpeningTemplate!G301+"AM:!&amp;&lt;I"</f>
        <v>#VALUE!</v>
      </c>
      <c r="IO100" t="e">
        <f>OpeningTemplate!H301+"AM:!&amp;&lt;J"</f>
        <v>#VALUE!</v>
      </c>
      <c r="IP100" t="e">
        <f>OpeningTemplate!I301+"AM:!&amp;&lt;K"</f>
        <v>#VALUE!</v>
      </c>
      <c r="IQ100" t="e">
        <f>OpeningTemplate!J301+"AM:!&amp;&lt;L"</f>
        <v>#VALUE!</v>
      </c>
      <c r="IR100" t="e">
        <f>OpeningTemplate!K301+"AM:!&amp;&lt;M"</f>
        <v>#VALUE!</v>
      </c>
      <c r="IS100" t="e">
        <f>OpeningTemplate!L301+"AM:!&amp;&lt;N"</f>
        <v>#VALUE!</v>
      </c>
      <c r="IT100" t="e">
        <f>OpeningTemplate!A302+"AM:!&amp;&lt;O"</f>
        <v>#VALUE!</v>
      </c>
      <c r="IU100" t="e">
        <f>OpeningTemplate!B302+"AM:!&amp;&lt;P"</f>
        <v>#VALUE!</v>
      </c>
      <c r="IV100" t="e">
        <f>OpeningTemplate!C302+"AM:!&amp;&lt;Q"</f>
        <v>#VALUE!</v>
      </c>
    </row>
    <row r="101" spans="6:256">
      <c r="F101" t="e">
        <f>OpeningTemplate!D302+"AM:!&amp;&lt;R"</f>
        <v>#VALUE!</v>
      </c>
      <c r="G101" t="e">
        <f>OpeningTemplate!E302+"AM:!&amp;&lt;S"</f>
        <v>#VALUE!</v>
      </c>
      <c r="H101" t="e">
        <f>OpeningTemplate!F302+"AM:!&amp;&lt;T"</f>
        <v>#VALUE!</v>
      </c>
      <c r="I101" t="e">
        <f>OpeningTemplate!G302+"AM:!&amp;&lt;U"</f>
        <v>#VALUE!</v>
      </c>
      <c r="J101" t="e">
        <f>OpeningTemplate!H302+"AM:!&amp;&lt;V"</f>
        <v>#VALUE!</v>
      </c>
      <c r="K101" t="e">
        <f>OpeningTemplate!I302+"AM:!&amp;&lt;W"</f>
        <v>#VALUE!</v>
      </c>
      <c r="L101" t="e">
        <f>OpeningTemplate!J302+"AM:!&amp;&lt;X"</f>
        <v>#VALUE!</v>
      </c>
      <c r="M101" t="e">
        <f>OpeningTemplate!K302+"AM:!&amp;&lt;Y"</f>
        <v>#VALUE!</v>
      </c>
      <c r="N101" t="e">
        <f>OpeningTemplate!L302+"AM:!&amp;&lt;Z"</f>
        <v>#VALUE!</v>
      </c>
      <c r="O101" t="e">
        <f>OpeningTemplate!A303+"AM:!&amp;&lt;["</f>
        <v>#VALUE!</v>
      </c>
      <c r="P101" t="e">
        <f>OpeningTemplate!B303+"AM:!&amp;&lt;\"</f>
        <v>#VALUE!</v>
      </c>
      <c r="Q101" t="e">
        <f>OpeningTemplate!C303+"AM:!&amp;&lt;]"</f>
        <v>#VALUE!</v>
      </c>
      <c r="R101" t="e">
        <f>OpeningTemplate!D303+"AM:!&amp;&lt;^"</f>
        <v>#VALUE!</v>
      </c>
      <c r="S101" t="e">
        <f>OpeningTemplate!E303+"AM:!&amp;&lt;_"</f>
        <v>#VALUE!</v>
      </c>
      <c r="T101" t="e">
        <f>OpeningTemplate!F303+"AM:!&amp;&lt;`"</f>
        <v>#VALUE!</v>
      </c>
      <c r="U101" t="e">
        <f>OpeningTemplate!G303+"AM:!&amp;&lt;a"</f>
        <v>#VALUE!</v>
      </c>
      <c r="V101" t="e">
        <f>OpeningTemplate!H303+"AM:!&amp;&lt;b"</f>
        <v>#VALUE!</v>
      </c>
      <c r="W101" t="e">
        <f>OpeningTemplate!I303+"AM:!&amp;&lt;c"</f>
        <v>#VALUE!</v>
      </c>
      <c r="X101" t="e">
        <f>OpeningTemplate!J303+"AM:!&amp;&lt;d"</f>
        <v>#VALUE!</v>
      </c>
      <c r="Y101" t="e">
        <f>OpeningTemplate!K303+"AM:!&amp;&lt;e"</f>
        <v>#VALUE!</v>
      </c>
      <c r="Z101" t="e">
        <f>OpeningTemplate!L303+"AM:!&amp;&lt;f"</f>
        <v>#VALUE!</v>
      </c>
      <c r="AA101" t="e">
        <f>OpeningTemplate!A304+"AM:!&amp;&lt;g"</f>
        <v>#VALUE!</v>
      </c>
      <c r="AB101" t="e">
        <f>OpeningTemplate!B304+"AM:!&amp;&lt;h"</f>
        <v>#VALUE!</v>
      </c>
      <c r="AC101" t="e">
        <f>OpeningTemplate!C304+"AM:!&amp;&lt;i"</f>
        <v>#VALUE!</v>
      </c>
      <c r="AD101" t="e">
        <f>OpeningTemplate!D304+"AM:!&amp;&lt;j"</f>
        <v>#VALUE!</v>
      </c>
      <c r="AE101" t="e">
        <f>OpeningTemplate!E304+"AM:!&amp;&lt;k"</f>
        <v>#VALUE!</v>
      </c>
      <c r="AF101" s="103" t="e">
        <f>OpeningTemplate!F304+"AM:!&amp;&lt;l"</f>
        <v>#VALUE!</v>
      </c>
      <c r="AG101" s="103" t="e">
        <f>OpeningTemplate!G304+"AM:!&amp;&lt;m"</f>
        <v>#VALUE!</v>
      </c>
      <c r="AH101" s="103" t="e">
        <f>OpeningTemplate!H304+"AM:!&amp;&lt;n"</f>
        <v>#VALUE!</v>
      </c>
      <c r="AI101" s="103" t="e">
        <f>OpeningTemplate!I304+"AM:!&amp;&lt;o"</f>
        <v>#VALUE!</v>
      </c>
      <c r="AJ101" s="103" t="e">
        <f>OpeningTemplate!J304+"AM:!&amp;&lt;p"</f>
        <v>#VALUE!</v>
      </c>
      <c r="AK101" s="103" t="e">
        <f>OpeningTemplate!K304+"AM:!&amp;&lt;q"</f>
        <v>#VALUE!</v>
      </c>
      <c r="AL101" t="e">
        <f>OpeningTemplate!L304+"AM:!&amp;&lt;r"</f>
        <v>#VALUE!</v>
      </c>
      <c r="AM101" t="e">
        <f>OpeningTemplate!A305+"AM:!&amp;&lt;s"</f>
        <v>#VALUE!</v>
      </c>
      <c r="AN101" t="e">
        <f>OpeningTemplate!B305+"AM:!&amp;&lt;t"</f>
        <v>#VALUE!</v>
      </c>
      <c r="AO101" t="e">
        <f>OpeningTemplate!C305+"AM:!&amp;&lt;u"</f>
        <v>#VALUE!</v>
      </c>
      <c r="AP101" t="e">
        <f>OpeningTemplate!D305+"AM:!&amp;&lt;v"</f>
        <v>#VALUE!</v>
      </c>
      <c r="AQ101" t="e">
        <f>OpeningTemplate!E305+"AM:!&amp;&lt;w"</f>
        <v>#VALUE!</v>
      </c>
      <c r="AR101" t="e">
        <f>OpeningTemplate!F305+"AM:!&amp;&lt;x"</f>
        <v>#VALUE!</v>
      </c>
      <c r="AS101" t="e">
        <f>OpeningTemplate!G305+"AM:!&amp;&lt;y"</f>
        <v>#VALUE!</v>
      </c>
      <c r="AT101" t="e">
        <f>OpeningTemplate!H305+"AM:!&amp;&lt;z"</f>
        <v>#VALUE!</v>
      </c>
      <c r="AU101" t="e">
        <f>OpeningTemplate!I305+"AM:!&amp;&lt;{"</f>
        <v>#VALUE!</v>
      </c>
      <c r="AV101" t="e">
        <f>OpeningTemplate!J305+"AM:!&amp;&lt;|"</f>
        <v>#VALUE!</v>
      </c>
      <c r="AW101" t="e">
        <f>OpeningTemplate!K305+"AM:!&amp;&lt;}"</f>
        <v>#VALUE!</v>
      </c>
      <c r="AX101" t="e">
        <f>OpeningTemplate!L305+"AM:!&amp;&lt;~"</f>
        <v>#VALUE!</v>
      </c>
      <c r="AY101" t="e">
        <f>OpeningTemplate!A306+"AM:!&amp;=#"</f>
        <v>#VALUE!</v>
      </c>
      <c r="AZ101" s="103" t="e">
        <f>OpeningTemplate!B306+"AM:!&amp;=$"</f>
        <v>#VALUE!</v>
      </c>
      <c r="BA101" s="103" t="e">
        <f>OpeningTemplate!C306+"AM:!&amp;=%"</f>
        <v>#VALUE!</v>
      </c>
      <c r="BB101" s="98" t="e">
        <f>OpeningTemplate!D306+"AM:!&amp;=&amp;"</f>
        <v>#VALUE!</v>
      </c>
      <c r="BC101" s="98" t="e">
        <f>OpeningTemplate!E306+"AM:!&amp;='"</f>
        <v>#VALUE!</v>
      </c>
      <c r="BD101" t="e">
        <f>OpeningTemplate!F306+"AM:!&amp;=("</f>
        <v>#VALUE!</v>
      </c>
      <c r="BE101" t="e">
        <f>OpeningTemplate!G306+"AM:!&amp;=)"</f>
        <v>#VALUE!</v>
      </c>
      <c r="BF101" t="e">
        <f>OpeningTemplate!H306+"AM:!&amp;=."</f>
        <v>#VALUE!</v>
      </c>
      <c r="BG101" t="e">
        <f>OpeningTemplate!I306+"AM:!&amp;=/"</f>
        <v>#VALUE!</v>
      </c>
      <c r="BH101" t="e">
        <f>OpeningTemplate!J306+"AM:!&amp;=0"</f>
        <v>#VALUE!</v>
      </c>
      <c r="BI101" t="e">
        <f>OpeningTemplate!K306+"AM:!&amp;=1"</f>
        <v>#VALUE!</v>
      </c>
      <c r="BJ101" t="e">
        <f>OpeningTemplate!L306+"AM:!&amp;=2"</f>
        <v>#VALUE!</v>
      </c>
      <c r="BK101" t="e">
        <f>OpeningTemplate!A307+"AM:!&amp;=3"</f>
        <v>#VALUE!</v>
      </c>
      <c r="BL101" t="e">
        <f>OpeningTemplate!B307+"AM:!&amp;=4"</f>
        <v>#VALUE!</v>
      </c>
      <c r="BM101" t="e">
        <f>OpeningTemplate!C307+"AM:!&amp;=5"</f>
        <v>#VALUE!</v>
      </c>
      <c r="BN101" t="e">
        <f>OpeningTemplate!D307+"AM:!&amp;=6"</f>
        <v>#VALUE!</v>
      </c>
      <c r="BO101" t="e">
        <f>OpeningTemplate!E307+"AM:!&amp;=7"</f>
        <v>#VALUE!</v>
      </c>
      <c r="BP101" t="e">
        <f>OpeningTemplate!F307+"AM:!&amp;=8"</f>
        <v>#VALUE!</v>
      </c>
      <c r="BQ101" t="e">
        <f>OpeningTemplate!G307+"AM:!&amp;=9"</f>
        <v>#VALUE!</v>
      </c>
      <c r="BR101" t="e">
        <f>OpeningTemplate!H307+"AM:!&amp;=:"</f>
        <v>#VALUE!</v>
      </c>
      <c r="BS101" t="e">
        <f>OpeningTemplate!I307+"AM:!&amp;=;"</f>
        <v>#VALUE!</v>
      </c>
      <c r="BT101" t="e">
        <f>OpeningTemplate!J307+"AM:!&amp;=&lt;"</f>
        <v>#VALUE!</v>
      </c>
      <c r="BU101" t="e">
        <f>OpeningTemplate!K307+"AM:!&amp;=="</f>
        <v>#VALUE!</v>
      </c>
      <c r="BV101" t="e">
        <f>OpeningTemplate!L307+"AM:!&amp;=&gt;"</f>
        <v>#VALUE!</v>
      </c>
      <c r="BW101" t="e">
        <f>OpeningTemplate!A308+"AM:!&amp;=?"</f>
        <v>#VALUE!</v>
      </c>
      <c r="BX101" t="e">
        <f>OpeningTemplate!B308+"AM:!&amp;=@"</f>
        <v>#VALUE!</v>
      </c>
      <c r="BY101" t="e">
        <f>OpeningTemplate!C308+"AM:!&amp;=A"</f>
        <v>#VALUE!</v>
      </c>
      <c r="BZ101" t="e">
        <f>OpeningTemplate!D308+"AM:!&amp;=B"</f>
        <v>#VALUE!</v>
      </c>
      <c r="CA101" t="e">
        <f>OpeningTemplate!E308+"AM:!&amp;=C"</f>
        <v>#VALUE!</v>
      </c>
      <c r="CB101" t="e">
        <f>OpeningTemplate!F308+"AM:!&amp;=D"</f>
        <v>#VALUE!</v>
      </c>
      <c r="CC101" t="e">
        <f>OpeningTemplate!G308+"AM:!&amp;=E"</f>
        <v>#VALUE!</v>
      </c>
      <c r="CD101" t="e">
        <f>OpeningTemplate!H308+"AM:!&amp;=F"</f>
        <v>#VALUE!</v>
      </c>
      <c r="CE101" t="e">
        <f>OpeningTemplate!I308+"AM:!&amp;=G"</f>
        <v>#VALUE!</v>
      </c>
      <c r="CF101" t="e">
        <f>OpeningTemplate!J308+"AM:!&amp;=H"</f>
        <v>#VALUE!</v>
      </c>
      <c r="CG101" t="e">
        <f>OpeningTemplate!K308+"AM:!&amp;=I"</f>
        <v>#VALUE!</v>
      </c>
      <c r="CH101" t="e">
        <f>OpeningTemplate!L308+"AM:!&amp;=J"</f>
        <v>#VALUE!</v>
      </c>
      <c r="CI101" t="e">
        <f>OpeningTemplate!A309+"AM:!&amp;=K"</f>
        <v>#VALUE!</v>
      </c>
      <c r="CJ101" s="104" t="e">
        <f>OpeningTemplate!B309+"AM:!&amp;=L"</f>
        <v>#VALUE!</v>
      </c>
      <c r="CK101" s="104" t="e">
        <f>OpeningTemplate!C309+"AM:!&amp;=M"</f>
        <v>#VALUE!</v>
      </c>
      <c r="CL101" t="e">
        <f>OpeningTemplate!D309+"AM:!&amp;=N"</f>
        <v>#VALUE!</v>
      </c>
      <c r="CM101" t="e">
        <f>OpeningTemplate!E309+"AM:!&amp;=O"</f>
        <v>#VALUE!</v>
      </c>
      <c r="CN101" s="103" t="e">
        <f>OpeningTemplate!F309+"AM:!&amp;=P"</f>
        <v>#VALUE!</v>
      </c>
      <c r="CO101" t="e">
        <f>OpeningTemplate!G309+"AM:!&amp;=Q"</f>
        <v>#VALUE!</v>
      </c>
      <c r="CP101" t="e">
        <f>OpeningTemplate!H309+"AM:!&amp;=R"</f>
        <v>#VALUE!</v>
      </c>
      <c r="CQ101" t="e">
        <f>OpeningTemplate!I309+"AM:!&amp;=S"</f>
        <v>#VALUE!</v>
      </c>
      <c r="CR101" t="e">
        <f>OpeningTemplate!J309+"AM:!&amp;=T"</f>
        <v>#VALUE!</v>
      </c>
      <c r="CS101" t="e">
        <f>OpeningTemplate!K309+"AM:!&amp;=U"</f>
        <v>#VALUE!</v>
      </c>
      <c r="CT101" t="e">
        <f>OpeningTemplate!L309+"AM:!&amp;=V"</f>
        <v>#VALUE!</v>
      </c>
      <c r="CU101" t="e">
        <f>OpeningTemplate!A310+"AM:!&amp;=W"</f>
        <v>#VALUE!</v>
      </c>
      <c r="CV101" s="104" t="e">
        <f>OpeningTemplate!B310+"AM:!&amp;=X"</f>
        <v>#VALUE!</v>
      </c>
      <c r="CW101" s="104" t="e">
        <f>OpeningTemplate!C310+"AM:!&amp;=Y"</f>
        <v>#VALUE!</v>
      </c>
      <c r="CX101" t="e">
        <f>OpeningTemplate!D310+"AM:!&amp;=Z"</f>
        <v>#VALUE!</v>
      </c>
      <c r="CY101" t="e">
        <f>OpeningTemplate!E310+"AM:!&amp;=["</f>
        <v>#VALUE!</v>
      </c>
      <c r="CZ101" s="103" t="e">
        <f>OpeningTemplate!F310+"AM:!&amp;=\"</f>
        <v>#VALUE!</v>
      </c>
      <c r="DA101" t="e">
        <f>OpeningTemplate!G310+"AM:!&amp;=]"</f>
        <v>#VALUE!</v>
      </c>
      <c r="DB101" t="e">
        <f>OpeningTemplate!H310+"AM:!&amp;=^"</f>
        <v>#VALUE!</v>
      </c>
      <c r="DC101" t="e">
        <f>OpeningTemplate!I310+"AM:!&amp;=_"</f>
        <v>#VALUE!</v>
      </c>
      <c r="DD101" t="e">
        <f>OpeningTemplate!J310+"AM:!&amp;=`"</f>
        <v>#VALUE!</v>
      </c>
      <c r="DE101" t="e">
        <f>OpeningTemplate!K310+"AM:!&amp;=a"</f>
        <v>#VALUE!</v>
      </c>
      <c r="DF101" t="e">
        <f>OpeningTemplate!L310+"AM:!&amp;=b"</f>
        <v>#VALUE!</v>
      </c>
      <c r="DG101" t="e">
        <f>OpeningTemplate!A311+"AM:!&amp;=c"</f>
        <v>#VALUE!</v>
      </c>
      <c r="DH101" s="104" t="e">
        <f>OpeningTemplate!B311+"AM:!&amp;=d"</f>
        <v>#VALUE!</v>
      </c>
      <c r="DI101" s="104" t="e">
        <f>OpeningTemplate!C311+"AM:!&amp;=e"</f>
        <v>#VALUE!</v>
      </c>
      <c r="DJ101" t="e">
        <f>OpeningTemplate!D311+"AM:!&amp;=f"</f>
        <v>#VALUE!</v>
      </c>
      <c r="DK101" t="e">
        <f>OpeningTemplate!E311+"AM:!&amp;=g"</f>
        <v>#VALUE!</v>
      </c>
      <c r="DL101" s="103" t="e">
        <f>OpeningTemplate!F311+"AM:!&amp;=h"</f>
        <v>#VALUE!</v>
      </c>
      <c r="DM101" t="e">
        <f>OpeningTemplate!G311+"AM:!&amp;=i"</f>
        <v>#VALUE!</v>
      </c>
      <c r="DN101" t="e">
        <f>OpeningTemplate!H311+"AM:!&amp;=j"</f>
        <v>#VALUE!</v>
      </c>
      <c r="DO101" t="e">
        <f>OpeningTemplate!I311+"AM:!&amp;=k"</f>
        <v>#VALUE!</v>
      </c>
      <c r="DP101" t="e">
        <f>OpeningTemplate!J311+"AM:!&amp;=l"</f>
        <v>#VALUE!</v>
      </c>
      <c r="DQ101" t="e">
        <f>OpeningTemplate!K311+"AM:!&amp;=m"</f>
        <v>#VALUE!</v>
      </c>
      <c r="DR101" t="e">
        <f>OpeningTemplate!L311+"AM:!&amp;=n"</f>
        <v>#VALUE!</v>
      </c>
      <c r="DS101" t="e">
        <f>OpeningTemplate!A312+"AM:!&amp;=o"</f>
        <v>#VALUE!</v>
      </c>
      <c r="DT101" t="e">
        <f>OpeningTemplate!B312+"AM:!&amp;=p"</f>
        <v>#VALUE!</v>
      </c>
      <c r="DU101" t="e">
        <f>OpeningTemplate!C312+"AM:!&amp;=q"</f>
        <v>#VALUE!</v>
      </c>
      <c r="DV101" t="e">
        <f>OpeningTemplate!D312+"AM:!&amp;=r"</f>
        <v>#VALUE!</v>
      </c>
      <c r="DW101" t="e">
        <f>OpeningTemplate!E312+"AM:!&amp;=s"</f>
        <v>#VALUE!</v>
      </c>
      <c r="DX101" t="e">
        <f>OpeningTemplate!F312+"AM:!&amp;=t"</f>
        <v>#VALUE!</v>
      </c>
      <c r="DY101" t="e">
        <f>OpeningTemplate!G312+"AM:!&amp;=u"</f>
        <v>#VALUE!</v>
      </c>
      <c r="DZ101" t="e">
        <f>OpeningTemplate!H312+"AM:!&amp;=v"</f>
        <v>#VALUE!</v>
      </c>
      <c r="EA101" t="e">
        <f>OpeningTemplate!I312+"AM:!&amp;=w"</f>
        <v>#VALUE!</v>
      </c>
      <c r="EB101" t="e">
        <f>OpeningTemplate!J312+"AM:!&amp;=x"</f>
        <v>#VALUE!</v>
      </c>
      <c r="EC101" t="e">
        <f>OpeningTemplate!K312+"AM:!&amp;=y"</f>
        <v>#VALUE!</v>
      </c>
      <c r="ED101" t="e">
        <f>OpeningTemplate!L312+"AM:!&amp;=z"</f>
        <v>#VALUE!</v>
      </c>
      <c r="EE101" t="e">
        <f>OpeningTemplate!M312+"AM:!&amp;={"</f>
        <v>#VALUE!</v>
      </c>
      <c r="EF101" t="e">
        <f>OpeningTemplate!A313+"AM:!&amp;=|"</f>
        <v>#VALUE!</v>
      </c>
      <c r="EG101" t="e">
        <f>OpeningTemplate!B313+"AM:!&amp;=}"</f>
        <v>#VALUE!</v>
      </c>
      <c r="EH101" t="e">
        <f>OpeningTemplate!C313+"AM:!&amp;=~"</f>
        <v>#VALUE!</v>
      </c>
      <c r="EI101" t="e">
        <f>OpeningTemplate!D313+"AM:!&amp;&gt;#"</f>
        <v>#VALUE!</v>
      </c>
      <c r="EJ101" t="e">
        <f>OpeningTemplate!E313+"AM:!&amp;&gt;$"</f>
        <v>#VALUE!</v>
      </c>
      <c r="EK101" t="e">
        <f>OpeningTemplate!F313+"AM:!&amp;&gt;%"</f>
        <v>#VALUE!</v>
      </c>
      <c r="EL101" t="e">
        <f>OpeningTemplate!G313+"AM:!&amp;&gt;&amp;"</f>
        <v>#VALUE!</v>
      </c>
      <c r="EM101" t="e">
        <f>OpeningTemplate!H313+"AM:!&amp;&gt;'"</f>
        <v>#VALUE!</v>
      </c>
      <c r="EN101" t="e">
        <f>OpeningTemplate!I313+"AM:!&amp;&gt;("</f>
        <v>#VALUE!</v>
      </c>
      <c r="EO101" t="e">
        <f>OpeningTemplate!J313+"AM:!&amp;&gt;)"</f>
        <v>#VALUE!</v>
      </c>
      <c r="EP101" t="e">
        <f>OpeningTemplate!K313+"AM:!&amp;&gt;."</f>
        <v>#VALUE!</v>
      </c>
      <c r="EQ101" t="e">
        <f>OpeningTemplate!L313+"AM:!&amp;&gt;/"</f>
        <v>#VALUE!</v>
      </c>
      <c r="ER101" t="e">
        <f>OpeningTemplate!A314+"AM:!&amp;&gt;0"</f>
        <v>#VALUE!</v>
      </c>
      <c r="ES101" t="e">
        <f>OpeningTemplate!B314+"AM:!&amp;&gt;1"</f>
        <v>#VALUE!</v>
      </c>
      <c r="ET101" t="e">
        <f>OpeningTemplate!C314+"AM:!&amp;&gt;2"</f>
        <v>#VALUE!</v>
      </c>
      <c r="EU101" t="e">
        <f>OpeningTemplate!D314+"AM:!&amp;&gt;3"</f>
        <v>#VALUE!</v>
      </c>
      <c r="EV101" t="e">
        <f>OpeningTemplate!E314+"AM:!&amp;&gt;4"</f>
        <v>#VALUE!</v>
      </c>
      <c r="EW101" s="103" t="e">
        <f>OpeningTemplate!F314+"AM:!&amp;&gt;5"</f>
        <v>#VALUE!</v>
      </c>
      <c r="EX101" s="103" t="e">
        <f>OpeningTemplate!G314+"AM:!&amp;&gt;6"</f>
        <v>#VALUE!</v>
      </c>
      <c r="EY101" s="103" t="e">
        <f>OpeningTemplate!H314+"AM:!&amp;&gt;7"</f>
        <v>#VALUE!</v>
      </c>
      <c r="EZ101" s="103" t="e">
        <f>OpeningTemplate!I314+"AM:!&amp;&gt;8"</f>
        <v>#VALUE!</v>
      </c>
      <c r="FA101" s="103" t="e">
        <f>OpeningTemplate!J314+"AM:!&amp;&gt;9"</f>
        <v>#VALUE!</v>
      </c>
      <c r="FB101" s="103" t="e">
        <f>OpeningTemplate!K314+"AM:!&amp;&gt;:"</f>
        <v>#VALUE!</v>
      </c>
      <c r="FC101" t="e">
        <f>OpeningTemplate!L314+"AM:!&amp;&gt;;"</f>
        <v>#VALUE!</v>
      </c>
      <c r="FD101" t="e">
        <f>OpeningTemplate!A315+"AM:!&amp;&gt;&lt;"</f>
        <v>#VALUE!</v>
      </c>
      <c r="FE101" t="e">
        <f>OpeningTemplate!B315+"AM:!&amp;&gt;="</f>
        <v>#VALUE!</v>
      </c>
      <c r="FF101" t="e">
        <f>OpeningTemplate!C315+"AM:!&amp;&gt;&gt;"</f>
        <v>#VALUE!</v>
      </c>
      <c r="FG101" t="e">
        <f>OpeningTemplate!D315+"AM:!&amp;&gt;?"</f>
        <v>#VALUE!</v>
      </c>
      <c r="FH101" t="e">
        <f>OpeningTemplate!E315+"AM:!&amp;&gt;@"</f>
        <v>#VALUE!</v>
      </c>
      <c r="FI101" t="e">
        <f>OpeningTemplate!F315+"AM:!&amp;&gt;A"</f>
        <v>#VALUE!</v>
      </c>
      <c r="FJ101" t="e">
        <f>OpeningTemplate!G315+"AM:!&amp;&gt;B"</f>
        <v>#VALUE!</v>
      </c>
      <c r="FK101" t="e">
        <f>OpeningTemplate!H315+"AM:!&amp;&gt;C"</f>
        <v>#VALUE!</v>
      </c>
      <c r="FL101" t="e">
        <f>OpeningTemplate!I315+"AM:!&amp;&gt;D"</f>
        <v>#VALUE!</v>
      </c>
      <c r="FM101" t="e">
        <f>OpeningTemplate!J315+"AM:!&amp;&gt;E"</f>
        <v>#VALUE!</v>
      </c>
      <c r="FN101" t="e">
        <f>OpeningTemplate!K315+"AM:!&amp;&gt;F"</f>
        <v>#VALUE!</v>
      </c>
      <c r="FO101" t="e">
        <f>OpeningTemplate!L315+"AM:!&amp;&gt;G"</f>
        <v>#VALUE!</v>
      </c>
      <c r="FP101" t="e">
        <f>OpeningTemplate!A316+"AM:!&amp;&gt;H"</f>
        <v>#VALUE!</v>
      </c>
      <c r="FQ101" s="103" t="e">
        <f>OpeningTemplate!B316+"AM:!&amp;&gt;I"</f>
        <v>#VALUE!</v>
      </c>
      <c r="FR101" s="103" t="e">
        <f>OpeningTemplate!C316+"AM:!&amp;&gt;J"</f>
        <v>#VALUE!</v>
      </c>
      <c r="FS101" s="98" t="e">
        <f>OpeningTemplate!D316+"AM:!&amp;&gt;K"</f>
        <v>#VALUE!</v>
      </c>
      <c r="FT101" s="98" t="e">
        <f>OpeningTemplate!E316+"AM:!&amp;&gt;L"</f>
        <v>#VALUE!</v>
      </c>
      <c r="FU101" t="e">
        <f>OpeningTemplate!F316+"AM:!&amp;&gt;M"</f>
        <v>#VALUE!</v>
      </c>
      <c r="FV101" t="e">
        <f>OpeningTemplate!G316+"AM:!&amp;&gt;N"</f>
        <v>#VALUE!</v>
      </c>
      <c r="FW101" t="e">
        <f>OpeningTemplate!H316+"AM:!&amp;&gt;O"</f>
        <v>#VALUE!</v>
      </c>
      <c r="FX101" t="e">
        <f>OpeningTemplate!I316+"AM:!&amp;&gt;P"</f>
        <v>#VALUE!</v>
      </c>
      <c r="FY101" t="e">
        <f>OpeningTemplate!J316+"AM:!&amp;&gt;Q"</f>
        <v>#VALUE!</v>
      </c>
      <c r="FZ101" t="e">
        <f>OpeningTemplate!K316+"AM:!&amp;&gt;R"</f>
        <v>#VALUE!</v>
      </c>
      <c r="GA101" t="e">
        <f>OpeningTemplate!L316+"AM:!&amp;&gt;S"</f>
        <v>#VALUE!</v>
      </c>
      <c r="GB101" t="e">
        <f>OpeningTemplate!A317+"AM:!&amp;&gt;T"</f>
        <v>#VALUE!</v>
      </c>
      <c r="GC101" t="e">
        <f>OpeningTemplate!B317+"AM:!&amp;&gt;U"</f>
        <v>#VALUE!</v>
      </c>
      <c r="GD101" t="e">
        <f>OpeningTemplate!C317+"AM:!&amp;&gt;V"</f>
        <v>#VALUE!</v>
      </c>
      <c r="GE101" t="e">
        <f>OpeningTemplate!D317+"AM:!&amp;&gt;W"</f>
        <v>#VALUE!</v>
      </c>
      <c r="GF101" t="e">
        <f>OpeningTemplate!E317+"AM:!&amp;&gt;X"</f>
        <v>#VALUE!</v>
      </c>
      <c r="GG101" t="e">
        <f>OpeningTemplate!F317+"AM:!&amp;&gt;Y"</f>
        <v>#VALUE!</v>
      </c>
      <c r="GH101" t="e">
        <f>OpeningTemplate!G317+"AM:!&amp;&gt;Z"</f>
        <v>#VALUE!</v>
      </c>
      <c r="GI101" t="e">
        <f>OpeningTemplate!H317+"AM:!&amp;&gt;["</f>
        <v>#VALUE!</v>
      </c>
      <c r="GJ101" t="e">
        <f>OpeningTemplate!I317+"AM:!&amp;&gt;\"</f>
        <v>#VALUE!</v>
      </c>
      <c r="GK101" t="e">
        <f>OpeningTemplate!J317+"AM:!&amp;&gt;]"</f>
        <v>#VALUE!</v>
      </c>
      <c r="GL101" t="e">
        <f>OpeningTemplate!K317+"AM:!&amp;&gt;^"</f>
        <v>#VALUE!</v>
      </c>
      <c r="GM101" t="e">
        <f>OpeningTemplate!L317+"AM:!&amp;&gt;_"</f>
        <v>#VALUE!</v>
      </c>
      <c r="GN101" t="e">
        <f>OpeningTemplate!A318+"AM:!&amp;&gt;`"</f>
        <v>#VALUE!</v>
      </c>
      <c r="GO101" t="e">
        <f>OpeningTemplate!B318+"AM:!&amp;&gt;a"</f>
        <v>#VALUE!</v>
      </c>
      <c r="GP101" t="e">
        <f>OpeningTemplate!C318+"AM:!&amp;&gt;b"</f>
        <v>#VALUE!</v>
      </c>
      <c r="GQ101" t="e">
        <f>OpeningTemplate!D318+"AM:!&amp;&gt;c"</f>
        <v>#VALUE!</v>
      </c>
      <c r="GR101" t="e">
        <f>OpeningTemplate!E318+"AM:!&amp;&gt;d"</f>
        <v>#VALUE!</v>
      </c>
      <c r="GS101" t="e">
        <f>OpeningTemplate!F318+"AM:!&amp;&gt;e"</f>
        <v>#VALUE!</v>
      </c>
      <c r="GT101" t="e">
        <f>OpeningTemplate!G318+"AM:!&amp;&gt;f"</f>
        <v>#VALUE!</v>
      </c>
      <c r="GU101" t="e">
        <f>OpeningTemplate!H318+"AM:!&amp;&gt;g"</f>
        <v>#VALUE!</v>
      </c>
      <c r="GV101" t="e">
        <f>OpeningTemplate!I318+"AM:!&amp;&gt;h"</f>
        <v>#VALUE!</v>
      </c>
      <c r="GW101" t="e">
        <f>OpeningTemplate!J318+"AM:!&amp;&gt;i"</f>
        <v>#VALUE!</v>
      </c>
      <c r="GX101" t="e">
        <f>OpeningTemplate!K318+"AM:!&amp;&gt;j"</f>
        <v>#VALUE!</v>
      </c>
      <c r="GY101" t="e">
        <f>OpeningTemplate!L318+"AM:!&amp;&gt;k"</f>
        <v>#VALUE!</v>
      </c>
      <c r="GZ101" t="e">
        <f>OpeningTemplate!A319+"AM:!&amp;&gt;l"</f>
        <v>#VALUE!</v>
      </c>
      <c r="HA101" s="104" t="e">
        <f>OpeningTemplate!B319+"AM:!&amp;&gt;m"</f>
        <v>#VALUE!</v>
      </c>
      <c r="HB101" s="104" t="e">
        <f>OpeningTemplate!C319+"AM:!&amp;&gt;n"</f>
        <v>#VALUE!</v>
      </c>
      <c r="HC101" t="e">
        <f>OpeningTemplate!D319+"AM:!&amp;&gt;o"</f>
        <v>#VALUE!</v>
      </c>
      <c r="HD101" t="e">
        <f>OpeningTemplate!E319+"AM:!&amp;&gt;p"</f>
        <v>#VALUE!</v>
      </c>
      <c r="HE101" s="103" t="e">
        <f>OpeningTemplate!F319+"AM:!&amp;&gt;q"</f>
        <v>#VALUE!</v>
      </c>
      <c r="HF101" t="e">
        <f>OpeningTemplate!G319+"AM:!&amp;&gt;r"</f>
        <v>#VALUE!</v>
      </c>
      <c r="HG101" t="e">
        <f>OpeningTemplate!H319+"AM:!&amp;&gt;s"</f>
        <v>#VALUE!</v>
      </c>
      <c r="HH101" t="e">
        <f>OpeningTemplate!I319+"AM:!&amp;&gt;t"</f>
        <v>#VALUE!</v>
      </c>
      <c r="HI101" t="e">
        <f>OpeningTemplate!J319+"AM:!&amp;&gt;u"</f>
        <v>#VALUE!</v>
      </c>
      <c r="HJ101" t="e">
        <f>OpeningTemplate!K319+"AM:!&amp;&gt;v"</f>
        <v>#VALUE!</v>
      </c>
      <c r="HK101" t="e">
        <f>OpeningTemplate!L319+"AM:!&amp;&gt;w"</f>
        <v>#VALUE!</v>
      </c>
      <c r="HL101" t="e">
        <f>OpeningTemplate!A320+"AM:!&amp;&gt;x"</f>
        <v>#VALUE!</v>
      </c>
      <c r="HM101" s="104" t="e">
        <f>OpeningTemplate!B320+"AM:!&amp;&gt;y"</f>
        <v>#VALUE!</v>
      </c>
      <c r="HN101" s="104" t="e">
        <f>OpeningTemplate!C320+"AM:!&amp;&gt;z"</f>
        <v>#VALUE!</v>
      </c>
      <c r="HO101" t="e">
        <f>OpeningTemplate!D320+"AM:!&amp;&gt;{"</f>
        <v>#VALUE!</v>
      </c>
      <c r="HP101" t="e">
        <f>OpeningTemplate!E320+"AM:!&amp;&gt;|"</f>
        <v>#VALUE!</v>
      </c>
      <c r="HQ101" s="103" t="e">
        <f>OpeningTemplate!F320+"AM:!&amp;&gt;}"</f>
        <v>#VALUE!</v>
      </c>
      <c r="HR101" t="e">
        <f>OpeningTemplate!G320+"AM:!&amp;&gt;~"</f>
        <v>#VALUE!</v>
      </c>
      <c r="HS101" t="e">
        <f>OpeningTemplate!H320+"AM:!&amp;?#"</f>
        <v>#VALUE!</v>
      </c>
      <c r="HT101" t="e">
        <f>OpeningTemplate!I320+"AM:!&amp;?$"</f>
        <v>#VALUE!</v>
      </c>
      <c r="HU101" t="e">
        <f>OpeningTemplate!J320+"AM:!&amp;?%"</f>
        <v>#VALUE!</v>
      </c>
      <c r="HV101" t="e">
        <f>OpeningTemplate!K320+"AM:!&amp;?&amp;"</f>
        <v>#VALUE!</v>
      </c>
      <c r="HW101" t="e">
        <f>OpeningTemplate!L320+"AM:!&amp;?'"</f>
        <v>#VALUE!</v>
      </c>
      <c r="HX101" t="e">
        <f>OpeningTemplate!A321+"AM:!&amp;?("</f>
        <v>#VALUE!</v>
      </c>
      <c r="HY101" s="104" t="e">
        <f>OpeningTemplate!B321+"AM:!&amp;?)"</f>
        <v>#VALUE!</v>
      </c>
      <c r="HZ101" s="104" t="e">
        <f>OpeningTemplate!C321+"AM:!&amp;?."</f>
        <v>#VALUE!</v>
      </c>
      <c r="IA101" t="e">
        <f>OpeningTemplate!D321+"AM:!&amp;?/"</f>
        <v>#VALUE!</v>
      </c>
      <c r="IB101" t="e">
        <f>OpeningTemplate!E321+"AM:!&amp;?0"</f>
        <v>#VALUE!</v>
      </c>
      <c r="IC101" s="103" t="e">
        <f>OpeningTemplate!F321+"AM:!&amp;?1"</f>
        <v>#VALUE!</v>
      </c>
      <c r="ID101" t="e">
        <f>OpeningTemplate!G321+"AM:!&amp;?2"</f>
        <v>#VALUE!</v>
      </c>
      <c r="IE101" t="e">
        <f>OpeningTemplate!H321+"AM:!&amp;?3"</f>
        <v>#VALUE!</v>
      </c>
      <c r="IF101" t="e">
        <f>OpeningTemplate!I321+"AM:!&amp;?4"</f>
        <v>#VALUE!</v>
      </c>
      <c r="IG101" t="e">
        <f>OpeningTemplate!J321+"AM:!&amp;?5"</f>
        <v>#VALUE!</v>
      </c>
      <c r="IH101" t="e">
        <f>OpeningTemplate!K321+"AM:!&amp;?6"</f>
        <v>#VALUE!</v>
      </c>
      <c r="II101" t="e">
        <f>OpeningTemplate!L321+"AM:!&amp;?7"</f>
        <v>#VALUE!</v>
      </c>
      <c r="IJ101" t="e">
        <f>OpeningTemplate!A322+"AM:!&amp;?8"</f>
        <v>#VALUE!</v>
      </c>
      <c r="IK101" t="e">
        <f>OpeningTemplate!B322+"AM:!&amp;?9"</f>
        <v>#VALUE!</v>
      </c>
      <c r="IL101" t="e">
        <f>OpeningTemplate!C322+"AM:!&amp;?:"</f>
        <v>#VALUE!</v>
      </c>
      <c r="IM101" t="e">
        <f>OpeningTemplate!D322+"AM:!&amp;?;"</f>
        <v>#VALUE!</v>
      </c>
      <c r="IN101" t="e">
        <f>OpeningTemplate!E322+"AM:!&amp;?&lt;"</f>
        <v>#VALUE!</v>
      </c>
      <c r="IO101" t="e">
        <f>OpeningTemplate!F322+"AM:!&amp;?="</f>
        <v>#VALUE!</v>
      </c>
      <c r="IP101" t="e">
        <f>OpeningTemplate!G322+"AM:!&amp;?&gt;"</f>
        <v>#VALUE!</v>
      </c>
      <c r="IQ101" t="e">
        <f>OpeningTemplate!H322+"AM:!&amp;??"</f>
        <v>#VALUE!</v>
      </c>
      <c r="IR101" t="e">
        <f>OpeningTemplate!I322+"AM:!&amp;?@"</f>
        <v>#VALUE!</v>
      </c>
      <c r="IS101" t="e">
        <f>OpeningTemplate!J322+"AM:!&amp;?A"</f>
        <v>#VALUE!</v>
      </c>
      <c r="IT101" t="e">
        <f>OpeningTemplate!K322+"AM:!&amp;?B"</f>
        <v>#VALUE!</v>
      </c>
      <c r="IU101" t="e">
        <f>OpeningTemplate!L322+"AM:!&amp;?C"</f>
        <v>#VALUE!</v>
      </c>
      <c r="IV101" t="e">
        <f>OpeningTemplate!A323+"AM:!&amp;?D"</f>
        <v>#VALUE!</v>
      </c>
    </row>
    <row r="102" spans="6:256">
      <c r="F102" t="e">
        <f>OpeningTemplate!B323+"AM:!&amp;?E"</f>
        <v>#VALUE!</v>
      </c>
      <c r="G102" t="e">
        <f>OpeningTemplate!C323+"AM:!&amp;?F"</f>
        <v>#VALUE!</v>
      </c>
      <c r="H102" t="e">
        <f>OpeningTemplate!D323+"AM:!&amp;?G"</f>
        <v>#VALUE!</v>
      </c>
      <c r="I102" t="e">
        <f>OpeningTemplate!E323+"AM:!&amp;?H"</f>
        <v>#VALUE!</v>
      </c>
      <c r="J102" t="e">
        <f>OpeningTemplate!F323+"AM:!&amp;?I"</f>
        <v>#VALUE!</v>
      </c>
      <c r="K102" t="e">
        <f>OpeningTemplate!G323+"AM:!&amp;?J"</f>
        <v>#VALUE!</v>
      </c>
      <c r="L102" t="e">
        <f>OpeningTemplate!H323+"AM:!&amp;?K"</f>
        <v>#VALUE!</v>
      </c>
      <c r="M102" t="e">
        <f>OpeningTemplate!I323+"AM:!&amp;?L"</f>
        <v>#VALUE!</v>
      </c>
      <c r="N102" t="e">
        <f>OpeningTemplate!J323+"AM:!&amp;?M"</f>
        <v>#VALUE!</v>
      </c>
      <c r="O102" t="e">
        <f>OpeningTemplate!K323+"AM:!&amp;?N"</f>
        <v>#VALUE!</v>
      </c>
      <c r="P102" t="e">
        <f>OpeningTemplate!L323+"AM:!&amp;?O"</f>
        <v>#VALUE!</v>
      </c>
      <c r="Q102" t="e">
        <f>OpeningTemplate!A324+"AM:!&amp;?P"</f>
        <v>#VALUE!</v>
      </c>
      <c r="R102" t="e">
        <f>OpeningTemplate!B324+"AM:!&amp;?Q"</f>
        <v>#VALUE!</v>
      </c>
      <c r="S102" t="e">
        <f>OpeningTemplate!C324+"AM:!&amp;?R"</f>
        <v>#VALUE!</v>
      </c>
      <c r="T102" t="e">
        <f>OpeningTemplate!D324+"AM:!&amp;?S"</f>
        <v>#VALUE!</v>
      </c>
      <c r="U102" t="e">
        <f>OpeningTemplate!E324+"AM:!&amp;?T"</f>
        <v>#VALUE!</v>
      </c>
      <c r="V102" s="103" t="e">
        <f>OpeningTemplate!F324+"AM:!&amp;?U"</f>
        <v>#VALUE!</v>
      </c>
      <c r="W102" s="103" t="e">
        <f>OpeningTemplate!G324+"AM:!&amp;?V"</f>
        <v>#VALUE!</v>
      </c>
      <c r="X102" s="103" t="e">
        <f>OpeningTemplate!H324+"AM:!&amp;?W"</f>
        <v>#VALUE!</v>
      </c>
      <c r="Y102" s="103" t="e">
        <f>OpeningTemplate!I324+"AM:!&amp;?X"</f>
        <v>#VALUE!</v>
      </c>
      <c r="Z102" s="103" t="e">
        <f>OpeningTemplate!J324+"AM:!&amp;?Y"</f>
        <v>#VALUE!</v>
      </c>
      <c r="AA102" s="103" t="e">
        <f>OpeningTemplate!K324+"AM:!&amp;?Z"</f>
        <v>#VALUE!</v>
      </c>
      <c r="AB102" t="e">
        <f>OpeningTemplate!L324+"AM:!&amp;?["</f>
        <v>#VALUE!</v>
      </c>
      <c r="AC102" t="e">
        <f>OpeningTemplate!A325+"AM:!&amp;?\"</f>
        <v>#VALUE!</v>
      </c>
      <c r="AD102" t="e">
        <f>OpeningTemplate!B325+"AM:!&amp;?]"</f>
        <v>#VALUE!</v>
      </c>
      <c r="AE102" t="e">
        <f>OpeningTemplate!C325+"AM:!&amp;?^"</f>
        <v>#VALUE!</v>
      </c>
      <c r="AF102" t="e">
        <f>OpeningTemplate!D325+"AM:!&amp;?_"</f>
        <v>#VALUE!</v>
      </c>
      <c r="AG102" t="e">
        <f>OpeningTemplate!E325+"AM:!&amp;?`"</f>
        <v>#VALUE!</v>
      </c>
      <c r="AH102" t="e">
        <f>OpeningTemplate!F325+"AM:!&amp;?a"</f>
        <v>#VALUE!</v>
      </c>
      <c r="AI102" t="e">
        <f>OpeningTemplate!G325+"AM:!&amp;?b"</f>
        <v>#VALUE!</v>
      </c>
      <c r="AJ102" t="e">
        <f>OpeningTemplate!H325+"AM:!&amp;?c"</f>
        <v>#VALUE!</v>
      </c>
      <c r="AK102" t="e">
        <f>OpeningTemplate!I325+"AM:!&amp;?d"</f>
        <v>#VALUE!</v>
      </c>
      <c r="AL102" t="e">
        <f>OpeningTemplate!J325+"AM:!&amp;?e"</f>
        <v>#VALUE!</v>
      </c>
      <c r="AM102" t="e">
        <f>OpeningTemplate!K325+"AM:!&amp;?f"</f>
        <v>#VALUE!</v>
      </c>
      <c r="AN102" t="e">
        <f>OpeningTemplate!L325+"AM:!&amp;?g"</f>
        <v>#VALUE!</v>
      </c>
      <c r="AO102" t="e">
        <f>OpeningTemplate!A326+"AM:!&amp;?h"</f>
        <v>#VALUE!</v>
      </c>
      <c r="AP102" s="103" t="e">
        <f>OpeningTemplate!B326+"AM:!&amp;?i"</f>
        <v>#VALUE!</v>
      </c>
      <c r="AQ102" s="103" t="e">
        <f>OpeningTemplate!C326+"AM:!&amp;?j"</f>
        <v>#VALUE!</v>
      </c>
      <c r="AR102" s="98" t="e">
        <f>OpeningTemplate!D326+"AM:!&amp;?k"</f>
        <v>#VALUE!</v>
      </c>
      <c r="AS102" s="98" t="e">
        <f>OpeningTemplate!E326+"AM:!&amp;?l"</f>
        <v>#VALUE!</v>
      </c>
      <c r="AT102" t="e">
        <f>OpeningTemplate!F326+"AM:!&amp;?m"</f>
        <v>#VALUE!</v>
      </c>
      <c r="AU102" t="e">
        <f>OpeningTemplate!G326+"AM:!&amp;?n"</f>
        <v>#VALUE!</v>
      </c>
      <c r="AV102" t="e">
        <f>OpeningTemplate!H326+"AM:!&amp;?o"</f>
        <v>#VALUE!</v>
      </c>
      <c r="AW102" t="e">
        <f>OpeningTemplate!I326+"AM:!&amp;?p"</f>
        <v>#VALUE!</v>
      </c>
      <c r="AX102" t="e">
        <f>OpeningTemplate!J326+"AM:!&amp;?q"</f>
        <v>#VALUE!</v>
      </c>
      <c r="AY102" t="e">
        <f>OpeningTemplate!K326+"AM:!&amp;?r"</f>
        <v>#VALUE!</v>
      </c>
      <c r="AZ102" t="e">
        <f>OpeningTemplate!L326+"AM:!&amp;?s"</f>
        <v>#VALUE!</v>
      </c>
      <c r="BA102" t="e">
        <f>OpeningTemplate!A327+"AM:!&amp;?t"</f>
        <v>#VALUE!</v>
      </c>
      <c r="BB102" t="e">
        <f>OpeningTemplate!B327+"AM:!&amp;?u"</f>
        <v>#VALUE!</v>
      </c>
      <c r="BC102" t="e">
        <f>OpeningTemplate!C327+"AM:!&amp;?v"</f>
        <v>#VALUE!</v>
      </c>
      <c r="BD102" t="e">
        <f>OpeningTemplate!D327+"AM:!&amp;?w"</f>
        <v>#VALUE!</v>
      </c>
      <c r="BE102" t="e">
        <f>OpeningTemplate!E327+"AM:!&amp;?x"</f>
        <v>#VALUE!</v>
      </c>
      <c r="BF102" t="e">
        <f>OpeningTemplate!F327+"AM:!&amp;?y"</f>
        <v>#VALUE!</v>
      </c>
      <c r="BG102" t="e">
        <f>OpeningTemplate!G327+"AM:!&amp;?z"</f>
        <v>#VALUE!</v>
      </c>
      <c r="BH102" t="e">
        <f>OpeningTemplate!H327+"AM:!&amp;?{"</f>
        <v>#VALUE!</v>
      </c>
      <c r="BI102" t="e">
        <f>OpeningTemplate!I327+"AM:!&amp;?|"</f>
        <v>#VALUE!</v>
      </c>
      <c r="BJ102" t="e">
        <f>OpeningTemplate!J327+"AM:!&amp;?}"</f>
        <v>#VALUE!</v>
      </c>
      <c r="BK102" t="e">
        <f>OpeningTemplate!K327+"AM:!&amp;?~"</f>
        <v>#VALUE!</v>
      </c>
      <c r="BL102" t="e">
        <f>OpeningTemplate!L327+"AM:!&amp;@#"</f>
        <v>#VALUE!</v>
      </c>
      <c r="BM102" t="e">
        <f>OpeningTemplate!A328+"AM:!&amp;@$"</f>
        <v>#VALUE!</v>
      </c>
      <c r="BN102" t="e">
        <f>OpeningTemplate!B328+"AM:!&amp;@%"</f>
        <v>#VALUE!</v>
      </c>
      <c r="BO102" t="e">
        <f>OpeningTemplate!C328+"AM:!&amp;@&amp;"</f>
        <v>#VALUE!</v>
      </c>
      <c r="BP102" t="e">
        <f>OpeningTemplate!D328+"AM:!&amp;@'"</f>
        <v>#VALUE!</v>
      </c>
      <c r="BQ102" t="e">
        <f>OpeningTemplate!E328+"AM:!&amp;@("</f>
        <v>#VALUE!</v>
      </c>
      <c r="BR102" t="e">
        <f>OpeningTemplate!F328+"AM:!&amp;@)"</f>
        <v>#VALUE!</v>
      </c>
      <c r="BS102" t="e">
        <f>OpeningTemplate!G328+"AM:!&amp;@."</f>
        <v>#VALUE!</v>
      </c>
      <c r="BT102" t="e">
        <f>OpeningTemplate!H328+"AM:!&amp;@/"</f>
        <v>#VALUE!</v>
      </c>
      <c r="BU102" t="e">
        <f>OpeningTemplate!I328+"AM:!&amp;@0"</f>
        <v>#VALUE!</v>
      </c>
      <c r="BV102" t="e">
        <f>OpeningTemplate!J328+"AM:!&amp;@1"</f>
        <v>#VALUE!</v>
      </c>
      <c r="BW102" t="e">
        <f>OpeningTemplate!K328+"AM:!&amp;@2"</f>
        <v>#VALUE!</v>
      </c>
      <c r="BX102" t="e">
        <f>OpeningTemplate!L328+"AM:!&amp;@3"</f>
        <v>#VALUE!</v>
      </c>
      <c r="BY102" t="e">
        <f>OpeningTemplate!A329+"AM:!&amp;@4"</f>
        <v>#VALUE!</v>
      </c>
      <c r="BZ102" s="104" t="e">
        <f>OpeningTemplate!B329+"AM:!&amp;@5"</f>
        <v>#VALUE!</v>
      </c>
      <c r="CA102" s="104" t="e">
        <f>OpeningTemplate!C329+"AM:!&amp;@6"</f>
        <v>#VALUE!</v>
      </c>
      <c r="CB102" t="e">
        <f>OpeningTemplate!D329+"AM:!&amp;@7"</f>
        <v>#VALUE!</v>
      </c>
      <c r="CC102" t="e">
        <f>OpeningTemplate!E329+"AM:!&amp;@8"</f>
        <v>#VALUE!</v>
      </c>
      <c r="CD102" s="103" t="e">
        <f>OpeningTemplate!F329+"AM:!&amp;@9"</f>
        <v>#VALUE!</v>
      </c>
      <c r="CE102" t="e">
        <f>OpeningTemplate!G329+"AM:!&amp;@:"</f>
        <v>#VALUE!</v>
      </c>
      <c r="CF102" t="e">
        <f>OpeningTemplate!H329+"AM:!&amp;@;"</f>
        <v>#VALUE!</v>
      </c>
      <c r="CG102" t="e">
        <f>OpeningTemplate!I329+"AM:!&amp;@&lt;"</f>
        <v>#VALUE!</v>
      </c>
      <c r="CH102" t="e">
        <f>OpeningTemplate!J329+"AM:!&amp;@="</f>
        <v>#VALUE!</v>
      </c>
      <c r="CI102" t="e">
        <f>OpeningTemplate!K329+"AM:!&amp;@&gt;"</f>
        <v>#VALUE!</v>
      </c>
      <c r="CJ102" t="e">
        <f>OpeningTemplate!L329+"AM:!&amp;@?"</f>
        <v>#VALUE!</v>
      </c>
      <c r="CK102" t="e">
        <f>OpeningTemplate!A330+"AM:!&amp;@@"</f>
        <v>#VALUE!</v>
      </c>
      <c r="CL102" s="104" t="e">
        <f>OpeningTemplate!B330+"AM:!&amp;@A"</f>
        <v>#VALUE!</v>
      </c>
      <c r="CM102" s="104" t="e">
        <f>OpeningTemplate!C330+"AM:!&amp;@B"</f>
        <v>#VALUE!</v>
      </c>
      <c r="CN102" t="e">
        <f>OpeningTemplate!D330+"AM:!&amp;@C"</f>
        <v>#VALUE!</v>
      </c>
      <c r="CO102" t="e">
        <f>OpeningTemplate!E330+"AM:!&amp;@D"</f>
        <v>#VALUE!</v>
      </c>
      <c r="CP102" s="103" t="e">
        <f>OpeningTemplate!F330+"AM:!&amp;@E"</f>
        <v>#VALUE!</v>
      </c>
      <c r="CQ102" t="e">
        <f>OpeningTemplate!G330+"AM:!&amp;@F"</f>
        <v>#VALUE!</v>
      </c>
      <c r="CR102" t="e">
        <f>OpeningTemplate!H330+"AM:!&amp;@G"</f>
        <v>#VALUE!</v>
      </c>
      <c r="CS102" t="e">
        <f>OpeningTemplate!I330+"AM:!&amp;@H"</f>
        <v>#VALUE!</v>
      </c>
      <c r="CT102" t="e">
        <f>OpeningTemplate!J330+"AM:!&amp;@I"</f>
        <v>#VALUE!</v>
      </c>
      <c r="CU102" t="e">
        <f>OpeningTemplate!K330+"AM:!&amp;@J"</f>
        <v>#VALUE!</v>
      </c>
      <c r="CV102" t="e">
        <f>OpeningTemplate!L330+"AM:!&amp;@K"</f>
        <v>#VALUE!</v>
      </c>
      <c r="CW102" t="e">
        <f>OpeningTemplate!A331+"AM:!&amp;@L"</f>
        <v>#VALUE!</v>
      </c>
      <c r="CX102" s="104" t="e">
        <f>OpeningTemplate!B331+"AM:!&amp;@M"</f>
        <v>#VALUE!</v>
      </c>
      <c r="CY102" s="104" t="e">
        <f>OpeningTemplate!C331+"AM:!&amp;@N"</f>
        <v>#VALUE!</v>
      </c>
      <c r="CZ102" t="e">
        <f>OpeningTemplate!D331+"AM:!&amp;@O"</f>
        <v>#VALUE!</v>
      </c>
      <c r="DA102" t="e">
        <f>OpeningTemplate!E331+"AM:!&amp;@P"</f>
        <v>#VALUE!</v>
      </c>
      <c r="DB102" s="103" t="e">
        <f>OpeningTemplate!F331+"AM:!&amp;@Q"</f>
        <v>#VALUE!</v>
      </c>
      <c r="DC102" t="e">
        <f>OpeningTemplate!G331+"AM:!&amp;@R"</f>
        <v>#VALUE!</v>
      </c>
      <c r="DD102" t="e">
        <f>OpeningTemplate!H331+"AM:!&amp;@S"</f>
        <v>#VALUE!</v>
      </c>
      <c r="DE102" t="e">
        <f>OpeningTemplate!I331+"AM:!&amp;@T"</f>
        <v>#VALUE!</v>
      </c>
      <c r="DF102" t="e">
        <f>OpeningTemplate!J331+"AM:!&amp;@U"</f>
        <v>#VALUE!</v>
      </c>
      <c r="DG102" t="e">
        <f>OpeningTemplate!K331+"AM:!&amp;@V"</f>
        <v>#VALUE!</v>
      </c>
      <c r="DH102" t="e">
        <f>OpeningTemplate!L331+"AM:!&amp;@W"</f>
        <v>#VALUE!</v>
      </c>
      <c r="DI102" t="e">
        <f>OpeningTemplate!A332+"AM:!&amp;@X"</f>
        <v>#VALUE!</v>
      </c>
      <c r="DJ102" t="e">
        <f>OpeningTemplate!B332+"AM:!&amp;@Y"</f>
        <v>#VALUE!</v>
      </c>
      <c r="DK102" t="e">
        <f>OpeningTemplate!C332+"AM:!&amp;@Z"</f>
        <v>#VALUE!</v>
      </c>
      <c r="DL102" t="e">
        <f>OpeningTemplate!D332+"AM:!&amp;@["</f>
        <v>#VALUE!</v>
      </c>
      <c r="DM102" t="e">
        <f>OpeningTemplate!E332+"AM:!&amp;@\"</f>
        <v>#VALUE!</v>
      </c>
      <c r="DN102" t="e">
        <f>OpeningTemplate!F332+"AM:!&amp;@]"</f>
        <v>#VALUE!</v>
      </c>
      <c r="DO102" t="e">
        <f>OpeningTemplate!G332+"AM:!&amp;@^"</f>
        <v>#VALUE!</v>
      </c>
      <c r="DP102" t="e">
        <f>OpeningTemplate!H332+"AM:!&amp;@_"</f>
        <v>#VALUE!</v>
      </c>
      <c r="DQ102" t="e">
        <f>OpeningTemplate!I332+"AM:!&amp;@`"</f>
        <v>#VALUE!</v>
      </c>
      <c r="DR102" t="e">
        <f>OpeningTemplate!J332+"AM:!&amp;@a"</f>
        <v>#VALUE!</v>
      </c>
      <c r="DS102" t="e">
        <f>OpeningTemplate!K332+"AM:!&amp;@b"</f>
        <v>#VALUE!</v>
      </c>
      <c r="DT102" t="e">
        <f>OpeningTemplate!L332+"AM:!&amp;@c"</f>
        <v>#VALUE!</v>
      </c>
      <c r="DU102" t="e">
        <f>OpeningTemplate!A333+"AM:!&amp;@d"</f>
        <v>#VALUE!</v>
      </c>
      <c r="DV102" t="e">
        <f>OpeningTemplate!B333+"AM:!&amp;@e"</f>
        <v>#VALUE!</v>
      </c>
      <c r="DW102" t="e">
        <f>OpeningTemplate!C333+"AM:!&amp;@f"</f>
        <v>#VALUE!</v>
      </c>
      <c r="DX102" t="e">
        <f>OpeningTemplate!D333+"AM:!&amp;@g"</f>
        <v>#VALUE!</v>
      </c>
      <c r="DY102" t="e">
        <f>OpeningTemplate!E333+"AM:!&amp;@h"</f>
        <v>#VALUE!</v>
      </c>
      <c r="DZ102" t="e">
        <f>OpeningTemplate!F333+"AM:!&amp;@i"</f>
        <v>#VALUE!</v>
      </c>
      <c r="EA102" t="e">
        <f>OpeningTemplate!G333+"AM:!&amp;@j"</f>
        <v>#VALUE!</v>
      </c>
      <c r="EB102" t="e">
        <f>OpeningTemplate!H333+"AM:!&amp;@k"</f>
        <v>#VALUE!</v>
      </c>
      <c r="EC102" t="e">
        <f>OpeningTemplate!I333+"AM:!&amp;@l"</f>
        <v>#VALUE!</v>
      </c>
      <c r="ED102" t="e">
        <f>OpeningTemplate!J333+"AM:!&amp;@m"</f>
        <v>#VALUE!</v>
      </c>
      <c r="EE102" t="e">
        <f>OpeningTemplate!K333+"AM:!&amp;@n"</f>
        <v>#VALUE!</v>
      </c>
      <c r="EF102" t="e">
        <f>OpeningTemplate!L333+"AM:!&amp;@o"</f>
        <v>#VALUE!</v>
      </c>
      <c r="EG102" t="e">
        <f>OpeningTemplate!A334+"AM:!&amp;@p"</f>
        <v>#VALUE!</v>
      </c>
      <c r="EH102" t="e">
        <f>OpeningTemplate!B334+"AM:!&amp;@q"</f>
        <v>#VALUE!</v>
      </c>
      <c r="EI102" t="e">
        <f>OpeningTemplate!C334+"AM:!&amp;@r"</f>
        <v>#VALUE!</v>
      </c>
      <c r="EJ102" t="e">
        <f>OpeningTemplate!D334+"AM:!&amp;@s"</f>
        <v>#VALUE!</v>
      </c>
      <c r="EK102" t="e">
        <f>OpeningTemplate!E334+"AM:!&amp;@t"</f>
        <v>#VALUE!</v>
      </c>
      <c r="EL102" s="103" t="e">
        <f>OpeningTemplate!F334+"AM:!&amp;@u"</f>
        <v>#VALUE!</v>
      </c>
      <c r="EM102" s="103" t="e">
        <f>OpeningTemplate!G334+"AM:!&amp;@v"</f>
        <v>#VALUE!</v>
      </c>
      <c r="EN102" s="103" t="e">
        <f>OpeningTemplate!H334+"AM:!&amp;@w"</f>
        <v>#VALUE!</v>
      </c>
      <c r="EO102" s="103" t="e">
        <f>OpeningTemplate!I334+"AM:!&amp;@x"</f>
        <v>#VALUE!</v>
      </c>
      <c r="EP102" s="103" t="e">
        <f>OpeningTemplate!J334+"AM:!&amp;@y"</f>
        <v>#VALUE!</v>
      </c>
      <c r="EQ102" s="103" t="e">
        <f>OpeningTemplate!K334+"AM:!&amp;@z"</f>
        <v>#VALUE!</v>
      </c>
      <c r="ER102" t="e">
        <f>OpeningTemplate!L334+"AM:!&amp;@{"</f>
        <v>#VALUE!</v>
      </c>
      <c r="ES102" t="e">
        <f>OpeningTemplate!A335+"AM:!&amp;@|"</f>
        <v>#VALUE!</v>
      </c>
      <c r="ET102" t="e">
        <f>OpeningTemplate!B335+"AM:!&amp;@}"</f>
        <v>#VALUE!</v>
      </c>
      <c r="EU102" t="e">
        <f>OpeningTemplate!C335+"AM:!&amp;@~"</f>
        <v>#VALUE!</v>
      </c>
      <c r="EV102" t="e">
        <f>OpeningTemplate!D335+"AM:!&amp;A#"</f>
        <v>#VALUE!</v>
      </c>
      <c r="EW102" t="e">
        <f>OpeningTemplate!E335+"AM:!&amp;A$"</f>
        <v>#VALUE!</v>
      </c>
      <c r="EX102" t="e">
        <f>OpeningTemplate!F335+"AM:!&amp;A%"</f>
        <v>#VALUE!</v>
      </c>
      <c r="EY102" t="e">
        <f>OpeningTemplate!G335+"AM:!&amp;A&amp;"</f>
        <v>#VALUE!</v>
      </c>
      <c r="EZ102" t="e">
        <f>OpeningTemplate!H335+"AM:!&amp;A'"</f>
        <v>#VALUE!</v>
      </c>
      <c r="FA102" t="e">
        <f>OpeningTemplate!I335+"AM:!&amp;A("</f>
        <v>#VALUE!</v>
      </c>
      <c r="FB102" t="e">
        <f>OpeningTemplate!J335+"AM:!&amp;A)"</f>
        <v>#VALUE!</v>
      </c>
      <c r="FC102" t="e">
        <f>OpeningTemplate!K335+"AM:!&amp;A."</f>
        <v>#VALUE!</v>
      </c>
      <c r="FD102" t="e">
        <f>OpeningTemplate!L335+"AM:!&amp;A/"</f>
        <v>#VALUE!</v>
      </c>
      <c r="FE102" t="e">
        <f>OpeningTemplate!A336+"AM:!&amp;A0"</f>
        <v>#VALUE!</v>
      </c>
      <c r="FF102" s="103" t="e">
        <f>OpeningTemplate!B336+"AM:!&amp;A1"</f>
        <v>#VALUE!</v>
      </c>
      <c r="FG102" s="103" t="e">
        <f>OpeningTemplate!C336+"AM:!&amp;A2"</f>
        <v>#VALUE!</v>
      </c>
      <c r="FH102" s="98" t="e">
        <f>OpeningTemplate!D336+"AM:!&amp;A3"</f>
        <v>#VALUE!</v>
      </c>
      <c r="FI102" s="98" t="e">
        <f>OpeningTemplate!E336+"AM:!&amp;A4"</f>
        <v>#VALUE!</v>
      </c>
      <c r="FJ102" t="e">
        <f>OpeningTemplate!F336+"AM:!&amp;A5"</f>
        <v>#VALUE!</v>
      </c>
      <c r="FK102" t="e">
        <f>OpeningTemplate!G336+"AM:!&amp;A6"</f>
        <v>#VALUE!</v>
      </c>
      <c r="FL102" t="e">
        <f>OpeningTemplate!H336+"AM:!&amp;A7"</f>
        <v>#VALUE!</v>
      </c>
      <c r="FM102" t="e">
        <f>OpeningTemplate!I336+"AM:!&amp;A8"</f>
        <v>#VALUE!</v>
      </c>
      <c r="FN102" t="e">
        <f>OpeningTemplate!J336+"AM:!&amp;A9"</f>
        <v>#VALUE!</v>
      </c>
      <c r="FO102" t="e">
        <f>OpeningTemplate!K336+"AM:!&amp;A:"</f>
        <v>#VALUE!</v>
      </c>
      <c r="FP102" t="e">
        <f>OpeningTemplate!L336+"AM:!&amp;A;"</f>
        <v>#VALUE!</v>
      </c>
      <c r="FQ102" t="e">
        <f>OpeningTemplate!A337+"AM:!&amp;A&lt;"</f>
        <v>#VALUE!</v>
      </c>
      <c r="FR102" t="e">
        <f>OpeningTemplate!B337+"AM:!&amp;A="</f>
        <v>#VALUE!</v>
      </c>
      <c r="FS102" t="e">
        <f>OpeningTemplate!C337+"AM:!&amp;A&gt;"</f>
        <v>#VALUE!</v>
      </c>
      <c r="FT102" t="e">
        <f>OpeningTemplate!D337+"AM:!&amp;A?"</f>
        <v>#VALUE!</v>
      </c>
      <c r="FU102" t="e">
        <f>OpeningTemplate!E337+"AM:!&amp;A@"</f>
        <v>#VALUE!</v>
      </c>
      <c r="FV102" t="e">
        <f>OpeningTemplate!F337+"AM:!&amp;AA"</f>
        <v>#VALUE!</v>
      </c>
      <c r="FW102" t="e">
        <f>OpeningTemplate!G337+"AM:!&amp;AB"</f>
        <v>#VALUE!</v>
      </c>
      <c r="FX102" t="e">
        <f>OpeningTemplate!H337+"AM:!&amp;AC"</f>
        <v>#VALUE!</v>
      </c>
      <c r="FY102" t="e">
        <f>OpeningTemplate!I337+"AM:!&amp;AD"</f>
        <v>#VALUE!</v>
      </c>
      <c r="FZ102" t="e">
        <f>OpeningTemplate!J337+"AM:!&amp;AE"</f>
        <v>#VALUE!</v>
      </c>
      <c r="GA102" t="e">
        <f>OpeningTemplate!K337+"AM:!&amp;AF"</f>
        <v>#VALUE!</v>
      </c>
      <c r="GB102" t="e">
        <f>OpeningTemplate!L337+"AM:!&amp;AG"</f>
        <v>#VALUE!</v>
      </c>
      <c r="GC102" t="e">
        <f>OpeningTemplate!A338+"AM:!&amp;AH"</f>
        <v>#VALUE!</v>
      </c>
      <c r="GD102" t="e">
        <f>OpeningTemplate!B338+"AM:!&amp;AI"</f>
        <v>#VALUE!</v>
      </c>
      <c r="GE102" t="e">
        <f>OpeningTemplate!C338+"AM:!&amp;AJ"</f>
        <v>#VALUE!</v>
      </c>
      <c r="GF102" t="e">
        <f>OpeningTemplate!D338+"AM:!&amp;AK"</f>
        <v>#VALUE!</v>
      </c>
      <c r="GG102" t="e">
        <f>OpeningTemplate!E338+"AM:!&amp;AL"</f>
        <v>#VALUE!</v>
      </c>
      <c r="GH102" t="e">
        <f>OpeningTemplate!F338+"AM:!&amp;AM"</f>
        <v>#VALUE!</v>
      </c>
      <c r="GI102" t="e">
        <f>OpeningTemplate!G338+"AM:!&amp;AN"</f>
        <v>#VALUE!</v>
      </c>
      <c r="GJ102" t="e">
        <f>OpeningTemplate!H338+"AM:!&amp;AO"</f>
        <v>#VALUE!</v>
      </c>
      <c r="GK102" t="e">
        <f>OpeningTemplate!I338+"AM:!&amp;AP"</f>
        <v>#VALUE!</v>
      </c>
      <c r="GL102" t="e">
        <f>OpeningTemplate!J338+"AM:!&amp;AQ"</f>
        <v>#VALUE!</v>
      </c>
      <c r="GM102" t="e">
        <f>OpeningTemplate!K338+"AM:!&amp;AR"</f>
        <v>#VALUE!</v>
      </c>
      <c r="GN102" t="e">
        <f>OpeningTemplate!L338+"AM:!&amp;AS"</f>
        <v>#VALUE!</v>
      </c>
      <c r="GO102" t="e">
        <f>OpeningTemplate!A339+"AM:!&amp;AT"</f>
        <v>#VALUE!</v>
      </c>
      <c r="GP102" s="104" t="e">
        <f>OpeningTemplate!B339+"AM:!&amp;AU"</f>
        <v>#VALUE!</v>
      </c>
      <c r="GQ102" s="104" t="e">
        <f>OpeningTemplate!C339+"AM:!&amp;AV"</f>
        <v>#VALUE!</v>
      </c>
      <c r="GR102" t="e">
        <f>OpeningTemplate!D339+"AM:!&amp;AW"</f>
        <v>#VALUE!</v>
      </c>
      <c r="GS102" t="e">
        <f>OpeningTemplate!E339+"AM:!&amp;AX"</f>
        <v>#VALUE!</v>
      </c>
      <c r="GT102" s="103" t="e">
        <f>OpeningTemplate!F339+"AM:!&amp;AY"</f>
        <v>#VALUE!</v>
      </c>
      <c r="GU102" t="e">
        <f>OpeningTemplate!G339+"AM:!&amp;AZ"</f>
        <v>#VALUE!</v>
      </c>
      <c r="GV102" t="e">
        <f>OpeningTemplate!H339+"AM:!&amp;A["</f>
        <v>#VALUE!</v>
      </c>
      <c r="GW102" t="e">
        <f>OpeningTemplate!I339+"AM:!&amp;A\"</f>
        <v>#VALUE!</v>
      </c>
      <c r="GX102" t="e">
        <f>OpeningTemplate!J339+"AM:!&amp;A]"</f>
        <v>#VALUE!</v>
      </c>
      <c r="GY102" t="e">
        <f>OpeningTemplate!K339+"AM:!&amp;A^"</f>
        <v>#VALUE!</v>
      </c>
      <c r="GZ102" t="e">
        <f>OpeningTemplate!L339+"AM:!&amp;A_"</f>
        <v>#VALUE!</v>
      </c>
      <c r="HA102" t="e">
        <f>OpeningTemplate!A340+"AM:!&amp;A`"</f>
        <v>#VALUE!</v>
      </c>
      <c r="HB102" s="104" t="e">
        <f>OpeningTemplate!B340+"AM:!&amp;Aa"</f>
        <v>#VALUE!</v>
      </c>
      <c r="HC102" s="104" t="e">
        <f>OpeningTemplate!C340+"AM:!&amp;Ab"</f>
        <v>#VALUE!</v>
      </c>
      <c r="HD102" t="e">
        <f>OpeningTemplate!D340+"AM:!&amp;Ac"</f>
        <v>#VALUE!</v>
      </c>
      <c r="HE102" t="e">
        <f>OpeningTemplate!E340+"AM:!&amp;Ad"</f>
        <v>#VALUE!</v>
      </c>
      <c r="HF102" s="103" t="e">
        <f>OpeningTemplate!F340+"AM:!&amp;Ae"</f>
        <v>#VALUE!</v>
      </c>
      <c r="HG102" t="e">
        <f>OpeningTemplate!G340+"AM:!&amp;Af"</f>
        <v>#VALUE!</v>
      </c>
      <c r="HH102" t="e">
        <f>OpeningTemplate!H340+"AM:!&amp;Ag"</f>
        <v>#VALUE!</v>
      </c>
      <c r="HI102" t="e">
        <f>OpeningTemplate!I340+"AM:!&amp;Ah"</f>
        <v>#VALUE!</v>
      </c>
      <c r="HJ102" t="e">
        <f>OpeningTemplate!J340+"AM:!&amp;Ai"</f>
        <v>#VALUE!</v>
      </c>
      <c r="HK102" t="e">
        <f>OpeningTemplate!K340+"AM:!&amp;Aj"</f>
        <v>#VALUE!</v>
      </c>
      <c r="HL102" t="e">
        <f>OpeningTemplate!L340+"AM:!&amp;Ak"</f>
        <v>#VALUE!</v>
      </c>
      <c r="HM102" t="e">
        <f>OpeningTemplate!A341+"AM:!&amp;Al"</f>
        <v>#VALUE!</v>
      </c>
      <c r="HN102" s="104" t="e">
        <f>OpeningTemplate!B341+"AM:!&amp;Am"</f>
        <v>#VALUE!</v>
      </c>
      <c r="HO102" s="104" t="e">
        <f>OpeningTemplate!C341+"AM:!&amp;An"</f>
        <v>#VALUE!</v>
      </c>
      <c r="HP102" t="e">
        <f>OpeningTemplate!D341+"AM:!&amp;Ao"</f>
        <v>#VALUE!</v>
      </c>
      <c r="HQ102" t="e">
        <f>OpeningTemplate!E341+"AM:!&amp;Ap"</f>
        <v>#VALUE!</v>
      </c>
      <c r="HR102" s="103" t="e">
        <f>OpeningTemplate!F341+"AM:!&amp;Aq"</f>
        <v>#VALUE!</v>
      </c>
      <c r="HS102" t="e">
        <f>OpeningTemplate!G341+"AM:!&amp;Ar"</f>
        <v>#VALUE!</v>
      </c>
      <c r="HT102" t="e">
        <f>OpeningTemplate!H341+"AM:!&amp;As"</f>
        <v>#VALUE!</v>
      </c>
      <c r="HU102" t="e">
        <f>OpeningTemplate!I341+"AM:!&amp;At"</f>
        <v>#VALUE!</v>
      </c>
      <c r="HV102" t="e">
        <f>OpeningTemplate!J341+"AM:!&amp;Au"</f>
        <v>#VALUE!</v>
      </c>
      <c r="HW102" t="e">
        <f>OpeningTemplate!K341+"AM:!&amp;Av"</f>
        <v>#VALUE!</v>
      </c>
      <c r="HX102" t="e">
        <f>OpeningTemplate!L341+"AM:!&amp;Aw"</f>
        <v>#VALUE!</v>
      </c>
      <c r="HY102" t="e">
        <f>OpeningTemplate!A342+"AM:!&amp;Ax"</f>
        <v>#VALUE!</v>
      </c>
      <c r="HZ102" t="e">
        <f>OpeningTemplate!C342+"AM:!&amp;Ay"</f>
        <v>#VALUE!</v>
      </c>
      <c r="IA102" t="e">
        <f>OpeningTemplate!D342+"AM:!&amp;Az"</f>
        <v>#VALUE!</v>
      </c>
      <c r="IB102" t="e">
        <f>OpeningTemplate!E342+"AM:!&amp;A{"</f>
        <v>#VALUE!</v>
      </c>
      <c r="IC102" t="e">
        <f>OpeningTemplate!F342+"AM:!&amp;A|"</f>
        <v>#VALUE!</v>
      </c>
      <c r="ID102" t="e">
        <f>OpeningTemplate!G342+"AM:!&amp;A}"</f>
        <v>#VALUE!</v>
      </c>
      <c r="IE102" t="e">
        <f>OpeningTemplate!H342+"AM:!&amp;A~"</f>
        <v>#VALUE!</v>
      </c>
      <c r="IF102" t="e">
        <f>OpeningTemplate!I342+"AM:!&amp;B#"</f>
        <v>#VALUE!</v>
      </c>
      <c r="IG102" t="e">
        <f>OpeningTemplate!J342+"AM:!&amp;B$"</f>
        <v>#VALUE!</v>
      </c>
      <c r="IH102" t="e">
        <f>OpeningTemplate!K342+"AM:!&amp;B%"</f>
        <v>#VALUE!</v>
      </c>
      <c r="II102" t="e">
        <f>OpeningTemplate!L342+"AM:!&amp;B&amp;"</f>
        <v>#VALUE!</v>
      </c>
      <c r="IJ102" t="e">
        <f>OpeningTemplate!A343+"AM:!&amp;B'"</f>
        <v>#VALUE!</v>
      </c>
      <c r="IK102" t="e">
        <f>OpeningTemplate!C343+"AM:!&amp;B("</f>
        <v>#VALUE!</v>
      </c>
      <c r="IL102" t="e">
        <f>OpeningTemplate!D343+"AM:!&amp;B)"</f>
        <v>#VALUE!</v>
      </c>
      <c r="IM102" t="e">
        <f>OpeningTemplate!E343+"AM:!&amp;B."</f>
        <v>#VALUE!</v>
      </c>
      <c r="IN102" t="e">
        <f>OpeningTemplate!F343+"AM:!&amp;B/"</f>
        <v>#VALUE!</v>
      </c>
      <c r="IO102" t="e">
        <f>OpeningTemplate!G343+"AM:!&amp;B0"</f>
        <v>#VALUE!</v>
      </c>
      <c r="IP102" t="e">
        <f>OpeningTemplate!H343+"AM:!&amp;B1"</f>
        <v>#VALUE!</v>
      </c>
      <c r="IQ102" t="e">
        <f>OpeningTemplate!I343+"AM:!&amp;B2"</f>
        <v>#VALUE!</v>
      </c>
      <c r="IR102" t="e">
        <f>OpeningTemplate!J343+"AM:!&amp;B3"</f>
        <v>#VALUE!</v>
      </c>
      <c r="IS102" t="e">
        <f>OpeningTemplate!K343+"AM:!&amp;B4"</f>
        <v>#VALUE!</v>
      </c>
      <c r="IT102" t="e">
        <f>OpeningTemplate!L343+"AM:!&amp;B5"</f>
        <v>#VALUE!</v>
      </c>
      <c r="IU102" t="e">
        <f>'Delivery Calculation'!A:A*"AM:!&amp;B8"</f>
        <v>#VALUE!</v>
      </c>
      <c r="IV102" t="e">
        <f>'Delivery Calculation'!B:B*"AM:!&amp;B9"</f>
        <v>#VALUE!</v>
      </c>
    </row>
    <row r="103" spans="6:256">
      <c r="F103" t="e">
        <f>'Delivery Calculation'!C:C*"AM:!&amp;B:"</f>
        <v>#VALUE!</v>
      </c>
      <c r="G103" t="e">
        <f>'Delivery Calculation'!D:D*"AM:!&amp;B;"</f>
        <v>#VALUE!</v>
      </c>
      <c r="H103" t="e">
        <f>'Delivery Calculation'!E:E*"AM:!&amp;B&lt;"</f>
        <v>#VALUE!</v>
      </c>
      <c r="I103" t="e">
        <f>'Delivery Calculation'!F:F*"AM:!&amp;B="</f>
        <v>#VALUE!</v>
      </c>
      <c r="J103" t="e">
        <f>'Delivery Calculation'!G:G*"AM:!&amp;B&gt;"</f>
        <v>#VALUE!</v>
      </c>
      <c r="K103" t="e">
        <f>'Delivery Calculation'!H:H*"AM:!&amp;B?"</f>
        <v>#VALUE!</v>
      </c>
      <c r="L103" t="e">
        <f>'Delivery Calculation'!I:I*"AM:!&amp;B@"</f>
        <v>#VALUE!</v>
      </c>
      <c r="M103" t="e">
        <f>'Delivery Calculation'!J:J*"AM:!&amp;BA"</f>
        <v>#VALUE!</v>
      </c>
      <c r="N103" t="e">
        <f>'Delivery Calculation'!K:K*"AM:!&amp;BB"</f>
        <v>#VALUE!</v>
      </c>
      <c r="O103" t="e">
        <f>'Delivery Calculation'!L:L*"AM:!&amp;BC"</f>
        <v>#VALUE!</v>
      </c>
      <c r="P103" t="e">
        <f>'Delivery Calculation'!M:M*"AM:!&amp;BD"</f>
        <v>#VALUE!</v>
      </c>
      <c r="Q103" t="e">
        <f>'Delivery Calculation'!N:N*"AM:!&amp;BE"</f>
        <v>#VALUE!</v>
      </c>
      <c r="R103" t="e">
        <f>'Delivery Calculation'!O:O*"AM:!&amp;BF"</f>
        <v>#VALUE!</v>
      </c>
      <c r="S103" t="e">
        <f>'Delivery Calculation'!P:P*"AM:!&amp;BG"</f>
        <v>#VALUE!</v>
      </c>
      <c r="T103" t="e">
        <f>'Delivery Calculation'!Q:Q*"AM:!&amp;BH"</f>
        <v>#VALUE!</v>
      </c>
      <c r="U103" t="e">
        <f>'Delivery Calculation'!R:R*"AM:!&amp;BI"</f>
        <v>#VALUE!</v>
      </c>
      <c r="V103" t="e">
        <f>'Delivery Calculation'!S:S*"AM:!&amp;BJ"</f>
        <v>#VALUE!</v>
      </c>
      <c r="W103" t="e">
        <f>'Delivery Calculation'!T:T*"AM:!&amp;BK"</f>
        <v>#VALUE!</v>
      </c>
      <c r="X103" t="e">
        <f>'Delivery Calculation'!U:U*"AM:!&amp;BL"</f>
        <v>#VALUE!</v>
      </c>
      <c r="Y103" t="e">
        <f>'Delivery Calculation'!V:V*"AM:!&amp;BM"</f>
        <v>#VALUE!</v>
      </c>
      <c r="Z103" t="e">
        <f>'Delivery Calculation'!W:W*"AM:!&amp;BN"</f>
        <v>#VALUE!</v>
      </c>
      <c r="AA103" t="e">
        <f>'Delivery Calculation'!X:X*"AM:!&amp;BO"</f>
        <v>#VALUE!</v>
      </c>
      <c r="AB103" t="e">
        <f>'Delivery Calculation'!Y:Y*"AM:!&amp;BP"</f>
        <v>#VALUE!</v>
      </c>
      <c r="AC103" t="e">
        <f>'Delivery Calculation'!Z:Z*"AM:!&amp;BQ"</f>
        <v>#VALUE!</v>
      </c>
      <c r="AD103" t="e">
        <f>'Delivery Calculation'!AA:AA*"AM:!&amp;BR"</f>
        <v>#VALUE!</v>
      </c>
      <c r="AE103" t="e">
        <f>'Delivery Calculation'!AB:AB*"AM:!&amp;BS"</f>
        <v>#VALUE!</v>
      </c>
      <c r="AF103" t="e">
        <f>'Delivery Calculation'!AC:AC*"AM:!&amp;BT"</f>
        <v>#VALUE!</v>
      </c>
      <c r="AG103" t="e">
        <f>'Delivery Calculation'!AD:AD*"AM:!&amp;BU"</f>
        <v>#VALUE!</v>
      </c>
      <c r="AH103" t="e">
        <f>'Delivery Calculation'!AE:AE*"AM:!&amp;BV"</f>
        <v>#VALUE!</v>
      </c>
      <c r="AI103" t="e">
        <f>'Delivery Calculation'!AF:AF*"AM:!&amp;BW"</f>
        <v>#VALUE!</v>
      </c>
      <c r="AJ103" t="e">
        <f>'Delivery Calculation'!AG:AG*"AM:!&amp;BX"</f>
        <v>#VALUE!</v>
      </c>
      <c r="AK103" t="e">
        <f>'Delivery Calculation'!AH:AH*"AM:!&amp;BY"</f>
        <v>#VALUE!</v>
      </c>
      <c r="AL103" t="e">
        <f>'Delivery Calculation'!AI:AI*"AM:!&amp;BZ"</f>
        <v>#VALUE!</v>
      </c>
      <c r="AM103" t="e">
        <f>'Delivery Calculation'!AJ:AJ*"AM:!&amp;B["</f>
        <v>#VALUE!</v>
      </c>
      <c r="AN103" t="e">
        <f>'Delivery Calculation'!AK:AK*"AM:!&amp;B\"</f>
        <v>#VALUE!</v>
      </c>
      <c r="AO103" t="e">
        <f>'Delivery Calculation'!AL:AL*"AM:!&amp;B]"</f>
        <v>#VALUE!</v>
      </c>
      <c r="AP103" t="e">
        <f>'Delivery Calculation'!AM:AM*"AM:!&amp;B^"</f>
        <v>#VALUE!</v>
      </c>
      <c r="AQ103" t="e">
        <f>'Delivery Calculation'!AN:AN*"AM:!&amp;B_"</f>
        <v>#VALUE!</v>
      </c>
      <c r="AR103" t="e">
        <f>'Delivery Calculation'!AO:AO*"AM:!&amp;B`"</f>
        <v>#VALUE!</v>
      </c>
      <c r="AS103" t="e">
        <f>'Delivery Calculation'!AP:AP*"AM:!&amp;Ba"</f>
        <v>#VALUE!</v>
      </c>
      <c r="AT103" t="e">
        <f>'Delivery Calculation'!AQ:AQ*"AM:!&amp;Bb"</f>
        <v>#VALUE!</v>
      </c>
      <c r="AU103" t="e">
        <f>'Delivery Calculation'!AR:AR*"AM:!&amp;Bc"</f>
        <v>#VALUE!</v>
      </c>
      <c r="AV103" t="e">
        <f>'Delivery Calculation'!AS:AS*"AM:!&amp;Bd"</f>
        <v>#VALUE!</v>
      </c>
      <c r="AW103" t="e">
        <f>'Delivery Calculation'!AT:AT*"AM:!&amp;Be"</f>
        <v>#VALUE!</v>
      </c>
      <c r="AX103" t="e">
        <f>'Delivery Calculation'!AU:AU*"AM:!&amp;Bf"</f>
        <v>#VALUE!</v>
      </c>
      <c r="AY103" t="e">
        <f>'Delivery Calculation'!AV:AV*"AM:!&amp;Bg"</f>
        <v>#VALUE!</v>
      </c>
      <c r="AZ103" t="e">
        <f>'Delivery Calculation'!AW:AW*"AM:!&amp;Bh"</f>
        <v>#VALUE!</v>
      </c>
      <c r="BA103" t="e">
        <f>'Delivery Calculation'!AX:AX*"AM:!&amp;Bi"</f>
        <v>#VALUE!</v>
      </c>
      <c r="BB103" t="e">
        <f>'Delivery Calculation'!AY:AY*"AM:!&amp;Bj"</f>
        <v>#VALUE!</v>
      </c>
      <c r="BC103" t="e">
        <f>'Delivery Calculation'!AZ:AZ*"AM:!&amp;Bk"</f>
        <v>#VALUE!</v>
      </c>
      <c r="BD103" t="e">
        <f>'Delivery Calculation'!BA:BA*"AM:!&amp;Bl"</f>
        <v>#VALUE!</v>
      </c>
      <c r="BE103" t="e">
        <f>'Delivery Calculation'!BB:BB*"AM:!&amp;Bm"</f>
        <v>#VALUE!</v>
      </c>
      <c r="BF103" t="e">
        <f>'Delivery Calculation'!BC:BC*"AM:!&amp;Bn"</f>
        <v>#VALUE!</v>
      </c>
      <c r="BG103" t="e">
        <f>'Delivery Calculation'!BD:BD*"AM:!&amp;Bo"</f>
        <v>#VALUE!</v>
      </c>
      <c r="BH103" t="e">
        <f>'Delivery Calculation'!BE:BE*"AM:!&amp;Bp"</f>
        <v>#VALUE!</v>
      </c>
      <c r="BI103" t="e">
        <f>'Delivery Calculation'!BF:BF*"AM:!&amp;Bq"</f>
        <v>#VALUE!</v>
      </c>
      <c r="BJ103" t="e">
        <f>'Delivery Calculation'!BG:BG*"AM:!&amp;Br"</f>
        <v>#VALUE!</v>
      </c>
      <c r="BK103" t="e">
        <f>'Delivery Calculation'!BH:BH*"AM:!&amp;Bs"</f>
        <v>#VALUE!</v>
      </c>
      <c r="BL103" t="e">
        <f>'Delivery Calculation'!BI:BI*"AM:!&amp;Bt"</f>
        <v>#VALUE!</v>
      </c>
      <c r="BM103" t="e">
        <f>'Delivery Calculation'!BJ:BJ*"AM:!&amp;Bu"</f>
        <v>#VALUE!</v>
      </c>
      <c r="BN103" t="e">
        <f>'Delivery Calculation'!BK:BK*"AM:!&amp;Bv"</f>
        <v>#VALUE!</v>
      </c>
      <c r="BO103" t="e">
        <f>'Delivery Calculation'!BL:BL*"AM:!&amp;Bw"</f>
        <v>#VALUE!</v>
      </c>
      <c r="BP103" t="e">
        <f>'Delivery Calculation'!BM:BM*"AM:!&amp;Bx"</f>
        <v>#VALUE!</v>
      </c>
      <c r="BQ103" t="e">
        <f>'Delivery Calculation'!BN:BN*"AM:!&amp;By"</f>
        <v>#VALUE!</v>
      </c>
      <c r="BR103" t="e">
        <f>'Delivery Calculation'!BO:BO*"AM:!&amp;Bz"</f>
        <v>#VALUE!</v>
      </c>
      <c r="BS103" t="e">
        <f>'Delivery Calculation'!BP:BP*"AM:!&amp;B{"</f>
        <v>#VALUE!</v>
      </c>
      <c r="BT103" t="e">
        <f>'Delivery Calculation'!BQ:BQ*"AM:!&amp;B|"</f>
        <v>#VALUE!</v>
      </c>
      <c r="BU103" t="e">
        <f>'Delivery Calculation'!BR:BR*"AM:!&amp;B}"</f>
        <v>#VALUE!</v>
      </c>
      <c r="BV103" t="e">
        <f>'Delivery Calculation'!BS:BS*"AM:!&amp;B~"</f>
        <v>#VALUE!</v>
      </c>
      <c r="BW103" t="e">
        <f>'Delivery Calculation'!BT:BT*"AM:!&amp;C#"</f>
        <v>#VALUE!</v>
      </c>
      <c r="BX103" t="e">
        <f>'Delivery Calculation'!BU:BU*"AM:!&amp;C$"</f>
        <v>#VALUE!</v>
      </c>
      <c r="BY103" t="e">
        <f>'Delivery Calculation'!BV:BV*"AM:!&amp;C%"</f>
        <v>#VALUE!</v>
      </c>
      <c r="BZ103" t="e">
        <f>'Delivery Calculation'!BW:BW*"AM:!&amp;C&amp;"</f>
        <v>#VALUE!</v>
      </c>
      <c r="CA103" t="e">
        <f>'Delivery Calculation'!BX:BX*"AM:!&amp;C'"</f>
        <v>#VALUE!</v>
      </c>
      <c r="CB103" t="e">
        <f>'Delivery Calculation'!BY:BY*"AM:!&amp;C("</f>
        <v>#VALUE!</v>
      </c>
      <c r="CC103" t="e">
        <f>'Delivery Calculation'!BZ:BZ*"AM:!&amp;C)"</f>
        <v>#VALUE!</v>
      </c>
      <c r="CD103" t="e">
        <f>'Delivery Calculation'!CA:CA*"AM:!&amp;C."</f>
        <v>#VALUE!</v>
      </c>
      <c r="CE103" t="e">
        <f>'Delivery Calculation'!CB:CB*"AM:!&amp;C/"</f>
        <v>#VALUE!</v>
      </c>
      <c r="CF103" t="e">
        <f>'Delivery Calculation'!CC:CC*"AM:!&amp;C0"</f>
        <v>#VALUE!</v>
      </c>
      <c r="CG103" t="e">
        <f>'Delivery Calculation'!CD:CD*"AM:!&amp;C1"</f>
        <v>#VALUE!</v>
      </c>
      <c r="CH103" t="e">
        <f>'Delivery Calculation'!CE:CE*"AM:!&amp;C2"</f>
        <v>#VALUE!</v>
      </c>
      <c r="CI103" t="e">
        <f>'Delivery Calculation'!CF:CF*"AM:!&amp;C3"</f>
        <v>#VALUE!</v>
      </c>
      <c r="CJ103" t="e">
        <f>'Delivery Calculation'!CG:CG*"AM:!&amp;C4"</f>
        <v>#VALUE!</v>
      </c>
      <c r="CK103" t="e">
        <f>'Delivery Calculation'!CH:CH*"AM:!&amp;C5"</f>
        <v>#VALUE!</v>
      </c>
      <c r="CL103" t="e">
        <f>'Delivery Calculation'!CI:CI*"AM:!&amp;C6"</f>
        <v>#VALUE!</v>
      </c>
      <c r="CM103" t="e">
        <f>'Delivery Calculation'!CJ:CJ*"AM:!&amp;C7"</f>
        <v>#VALUE!</v>
      </c>
      <c r="CN103" t="e">
        <f>'Delivery Calculation'!CK:CK*"AM:!&amp;C8"</f>
        <v>#VALUE!</v>
      </c>
      <c r="CO103" t="e">
        <f>'Delivery Calculation'!CL:CL*"AM:!&amp;C9"</f>
        <v>#VALUE!</v>
      </c>
      <c r="CP103" t="e">
        <f>'Delivery Calculation'!CM:CM*"AM:!&amp;C:"</f>
        <v>#VALUE!</v>
      </c>
      <c r="CQ103" t="e">
        <f>'Delivery Calculation'!CN:CN*"AM:!&amp;C;"</f>
        <v>#VALUE!</v>
      </c>
      <c r="CR103" t="e">
        <f>'Delivery Calculation'!CO:CO*"AM:!&amp;C&lt;"</f>
        <v>#VALUE!</v>
      </c>
      <c r="CS103" t="e">
        <f>'Delivery Calculation'!CP:CP*"AM:!&amp;C="</f>
        <v>#VALUE!</v>
      </c>
      <c r="CT103" t="e">
        <f>'Delivery Calculation'!CQ:CQ*"AM:!&amp;C&gt;"</f>
        <v>#VALUE!</v>
      </c>
      <c r="CU103" t="e">
        <f>'Delivery Calculation'!CR:CR*"AM:!&amp;C?"</f>
        <v>#VALUE!</v>
      </c>
      <c r="CV103" t="e">
        <f>'Delivery Calculation'!CS:CS*"AM:!&amp;C@"</f>
        <v>#VALUE!</v>
      </c>
      <c r="CW103" t="e">
        <f>'Delivery Calculation'!CT:CT*"AM:!&amp;CA"</f>
        <v>#VALUE!</v>
      </c>
      <c r="CX103" t="e">
        <f>'Delivery Calculation'!CU:CU*"AM:!&amp;CB"</f>
        <v>#VALUE!</v>
      </c>
      <c r="CY103" t="e">
        <f>'Delivery Calculation'!CV:CV*"AM:!&amp;CC"</f>
        <v>#VALUE!</v>
      </c>
      <c r="CZ103" t="e">
        <f>'Delivery Calculation'!CW:CW*"AM:!&amp;CD"</f>
        <v>#VALUE!</v>
      </c>
      <c r="DA103" t="e">
        <f>'Delivery Calculation'!CX:CX*"AM:!&amp;CE"</f>
        <v>#VALUE!</v>
      </c>
      <c r="DB103" t="e">
        <f>'Delivery Calculation'!CY:CY*"AM:!&amp;CF"</f>
        <v>#VALUE!</v>
      </c>
      <c r="DC103" t="e">
        <f>'Delivery Calculation'!CZ:CZ*"AM:!&amp;CG"</f>
        <v>#VALUE!</v>
      </c>
      <c r="DD103" t="e">
        <f>'Delivery Calculation'!1:1-"AM:!&amp;CH"</f>
        <v>#VALUE!</v>
      </c>
      <c r="DE103" t="e">
        <f>'Delivery Calculation'!2:2-"AM:!&amp;CI"</f>
        <v>#VALUE!</v>
      </c>
      <c r="DF103" t="e">
        <f>'Delivery Calculation'!3:3-"AM:!&amp;CJ"</f>
        <v>#VALUE!</v>
      </c>
      <c r="DG103" t="e">
        <f>'Delivery Calculation'!4:4-"AM:!&amp;CK"</f>
        <v>#VALUE!</v>
      </c>
      <c r="DH103" t="e">
        <f>'Delivery Calculation'!5:5-"AM:!&amp;CL"</f>
        <v>#VALUE!</v>
      </c>
      <c r="DI103" t="e">
        <f>'Delivery Calculation'!6:6-"AM:!&amp;CM"</f>
        <v>#VALUE!</v>
      </c>
      <c r="DJ103" t="e">
        <f>'Delivery Calculation'!7:7-"AM:!&amp;CN"</f>
        <v>#VALUE!</v>
      </c>
      <c r="DK103" t="e">
        <f>'Delivery Calculation'!8:8-"AM:!&amp;CO"</f>
        <v>#VALUE!</v>
      </c>
      <c r="DL103" t="e">
        <f>'Delivery Calculation'!9:9-"AM:!&amp;CP"</f>
        <v>#VALUE!</v>
      </c>
      <c r="DM103" t="e">
        <f>'Delivery Calculation'!10:10-"AM:!&amp;CQ"</f>
        <v>#VALUE!</v>
      </c>
      <c r="DN103" t="e">
        <f>'Delivery Calculation'!11:11-"AM:!&amp;CR"</f>
        <v>#VALUE!</v>
      </c>
      <c r="DO103" t="e">
        <f>'Delivery Calculation'!12:12-"AM:!&amp;CS"</f>
        <v>#VALUE!</v>
      </c>
      <c r="DP103" t="e">
        <f>'Delivery Calculation'!13:13-"AM:!&amp;CT"</f>
        <v>#VALUE!</v>
      </c>
      <c r="DQ103" t="e">
        <f>'Delivery Calculation'!14:14-"AM:!&amp;CU"</f>
        <v>#VALUE!</v>
      </c>
      <c r="DR103" t="e">
        <f>'Delivery Calculation'!15:15-"AM:!&amp;CV"</f>
        <v>#VALUE!</v>
      </c>
      <c r="DS103" t="e">
        <f>'Delivery Calculation'!16:16-"AM:!&amp;CW"</f>
        <v>#VALUE!</v>
      </c>
      <c r="DT103" t="e">
        <f>'Delivery Calculation'!17:17-"AM:!&amp;CX"</f>
        <v>#VALUE!</v>
      </c>
      <c r="DU103" t="e">
        <f>'Delivery Calculation'!18:18-"AM:!&amp;CY"</f>
        <v>#VALUE!</v>
      </c>
      <c r="DV103" t="e">
        <f>'Delivery Calculation'!19:19-"AM:!&amp;CZ"</f>
        <v>#VALUE!</v>
      </c>
      <c r="DW103" t="e">
        <f>'Delivery Calculation'!20:20-"AM:!&amp;C["</f>
        <v>#VALUE!</v>
      </c>
      <c r="DX103" t="e">
        <f>'Delivery Calculation'!21:21-"AM:!&amp;C\"</f>
        <v>#VALUE!</v>
      </c>
      <c r="DY103" t="e">
        <f>'Delivery Calculation'!22:22-"AM:!&amp;C]"</f>
        <v>#VALUE!</v>
      </c>
      <c r="DZ103" t="e">
        <f>'Delivery Calculation'!23:23-"AM:!&amp;C^"</f>
        <v>#VALUE!</v>
      </c>
      <c r="EA103" t="e">
        <f>'Delivery Calculation'!24:24-"AM:!&amp;C_"</f>
        <v>#VALUE!</v>
      </c>
      <c r="EB103" t="e">
        <f>'Delivery Calculation'!25:25-"AM:!&amp;C`"</f>
        <v>#VALUE!</v>
      </c>
      <c r="EC103" t="e">
        <f>'Delivery Calculation'!26:26-"AM:!&amp;Ca"</f>
        <v>#VALUE!</v>
      </c>
      <c r="ED103" t="e">
        <f>'Delivery Calculation'!27:27-"AM:!&amp;Cb"</f>
        <v>#VALUE!</v>
      </c>
      <c r="EE103" t="e">
        <f>'Delivery Calculation'!28:28-"AM:!&amp;Cc"</f>
        <v>#VALUE!</v>
      </c>
      <c r="EF103" t="e">
        <f>'Delivery Calculation'!29:29-"AM:!&amp;Cd"</f>
        <v>#VALUE!</v>
      </c>
      <c r="EG103" t="e">
        <f>'Delivery Calculation'!30:30-"AM:!&amp;Ce"</f>
        <v>#VALUE!</v>
      </c>
      <c r="EH103" t="e">
        <f>'Delivery Calculation'!31:31-"AM:!&amp;Cf"</f>
        <v>#VALUE!</v>
      </c>
      <c r="EI103" t="e">
        <f>'Delivery Calculation'!32:32-"AM:!&amp;Cg"</f>
        <v>#VALUE!</v>
      </c>
      <c r="EJ103" t="e">
        <f>'Delivery Calculation'!33:33-"AM:!&amp;Ch"</f>
        <v>#VALUE!</v>
      </c>
      <c r="EK103" t="e">
        <f>'Delivery Calculation'!34:34-"AM:!&amp;Ci"</f>
        <v>#VALUE!</v>
      </c>
      <c r="EL103" t="e">
        <f>'Delivery Calculation'!35:35-"AM:!&amp;Cj"</f>
        <v>#VALUE!</v>
      </c>
      <c r="EM103" t="e">
        <f>'Delivery Calculation'!36:36-"AM:!&amp;Ck"</f>
        <v>#VALUE!</v>
      </c>
      <c r="EN103" t="e">
        <f>'Delivery Calculation'!37:37-"AM:!&amp;Cl"</f>
        <v>#VALUE!</v>
      </c>
      <c r="EO103" t="e">
        <f>'Delivery Calculation'!38:38-"AM:!&amp;Cm"</f>
        <v>#VALUE!</v>
      </c>
      <c r="EP103" t="e">
        <f>'Delivery Calculation'!39:39-"AM:!&amp;Cn"</f>
        <v>#VALUE!</v>
      </c>
      <c r="EQ103" t="e">
        <f>'Delivery Calculation'!40:40-"AM:!&amp;Co"</f>
        <v>#VALUE!</v>
      </c>
      <c r="ER103" t="e">
        <f>'Delivery Calculation'!41:41-"AM:!&amp;Cp"</f>
        <v>#VALUE!</v>
      </c>
      <c r="ES103" t="e">
        <f>'Delivery Calculation'!42:42-"AM:!&amp;Cq"</f>
        <v>#VALUE!</v>
      </c>
      <c r="ET103" t="e">
        <f>'Delivery Calculation'!43:43-"AM:!&amp;Cr"</f>
        <v>#VALUE!</v>
      </c>
      <c r="EU103" t="e">
        <f>'Delivery Calculation'!44:44-"AM:!&amp;Cs"</f>
        <v>#VALUE!</v>
      </c>
      <c r="EV103" t="e">
        <f>'Delivery Calculation'!45:45-"AM:!&amp;Ct"</f>
        <v>#VALUE!</v>
      </c>
      <c r="EW103" t="e">
        <f>'Delivery Calculation'!46:46-"AM:!&amp;Cu"</f>
        <v>#VALUE!</v>
      </c>
      <c r="EX103" t="e">
        <f>'Delivery Calculation'!47:47-"AM:!&amp;Cv"</f>
        <v>#VALUE!</v>
      </c>
      <c r="EY103" t="e">
        <f>'Delivery Calculation'!48:48-"AM:!&amp;Cw"</f>
        <v>#VALUE!</v>
      </c>
      <c r="EZ103" t="e">
        <f>'Delivery Calculation'!49:49-"AM:!&amp;Cx"</f>
        <v>#VALUE!</v>
      </c>
      <c r="FA103" t="e">
        <f>'Delivery Calculation'!50:50-"AM:!&amp;Cy"</f>
        <v>#VALUE!</v>
      </c>
      <c r="FB103" t="e">
        <f>'Delivery Calculation'!51:51-"AM:!&amp;Cz"</f>
        <v>#VALUE!</v>
      </c>
      <c r="FC103" t="e">
        <f>'Delivery Calculation'!52:52-"AM:!&amp;C{"</f>
        <v>#VALUE!</v>
      </c>
      <c r="FD103" t="e">
        <f>'Delivery Calculation'!53:53-"AM:!&amp;C|"</f>
        <v>#VALUE!</v>
      </c>
      <c r="FE103" t="e">
        <f>'Delivery Calculation'!54:54-"AM:!&amp;C}"</f>
        <v>#VALUE!</v>
      </c>
      <c r="FF103" t="e">
        <f>'Delivery Calculation'!55:55-"AM:!&amp;C~"</f>
        <v>#VALUE!</v>
      </c>
      <c r="FG103" t="e">
        <f>'Delivery Calculation'!56:56-"AM:!&amp;D#"</f>
        <v>#VALUE!</v>
      </c>
      <c r="FH103" t="e">
        <f>'Delivery Calculation'!57:57-"AM:!&amp;D$"</f>
        <v>#VALUE!</v>
      </c>
      <c r="FI103" t="e">
        <f>'Delivery Calculation'!58:58-"AM:!&amp;D%"</f>
        <v>#VALUE!</v>
      </c>
      <c r="FJ103" t="e">
        <f>'Delivery Calculation'!59:59-"AM:!&amp;D&amp;"</f>
        <v>#VALUE!</v>
      </c>
      <c r="FK103" t="e">
        <f>'Delivery Calculation'!60:60-"AM:!&amp;D'"</f>
        <v>#VALUE!</v>
      </c>
      <c r="FL103" t="e">
        <f>'Delivery Calculation'!61:61-"AM:!&amp;D("</f>
        <v>#VALUE!</v>
      </c>
      <c r="FM103" t="e">
        <f>'Delivery Calculation'!62:62-"AM:!&amp;D)"</f>
        <v>#VALUE!</v>
      </c>
      <c r="FN103" t="e">
        <f>'Delivery Calculation'!63:63-"AM:!&amp;D."</f>
        <v>#VALUE!</v>
      </c>
      <c r="FO103" t="e">
        <f>'Delivery Calculation'!64:64-"AM:!&amp;D/"</f>
        <v>#VALUE!</v>
      </c>
      <c r="FP103" t="e">
        <f>'Delivery Calculation'!65:65-"AM:!&amp;D0"</f>
        <v>#VALUE!</v>
      </c>
      <c r="FQ103" t="e">
        <f>'Delivery Calculation'!66:66-"AM:!&amp;D1"</f>
        <v>#VALUE!</v>
      </c>
      <c r="FR103" t="e">
        <f>'Delivery Calculation'!67:67-"AM:!&amp;D2"</f>
        <v>#VALUE!</v>
      </c>
      <c r="FS103" t="e">
        <f>'Delivery Calculation'!68:68-"AM:!&amp;D3"</f>
        <v>#VALUE!</v>
      </c>
      <c r="FT103" t="e">
        <f>'Delivery Calculation'!69:69-"AM:!&amp;D4"</f>
        <v>#VALUE!</v>
      </c>
      <c r="FU103" t="e">
        <f>'Delivery Calculation'!70:70-"AM:!&amp;D5"</f>
        <v>#VALUE!</v>
      </c>
      <c r="FV103" t="e">
        <f>'Delivery Calculation'!71:71-"AM:!&amp;D6"</f>
        <v>#VALUE!</v>
      </c>
      <c r="FW103" t="e">
        <f>'Delivery Calculation'!72:72-"AM:!&amp;D7"</f>
        <v>#VALUE!</v>
      </c>
      <c r="FX103" t="e">
        <f>'Delivery Calculation'!73:73-"AM:!&amp;D8"</f>
        <v>#VALUE!</v>
      </c>
      <c r="FY103" t="e">
        <f>'Delivery Calculation'!74:74-"AM:!&amp;D9"</f>
        <v>#VALUE!</v>
      </c>
      <c r="FZ103" t="e">
        <f>'Delivery Calculation'!75:75-"AM:!&amp;D:"</f>
        <v>#VALUE!</v>
      </c>
      <c r="GA103" t="e">
        <f>'Delivery Calculation'!76:76-"AM:!&amp;D;"</f>
        <v>#VALUE!</v>
      </c>
      <c r="GB103" t="e">
        <f>'Delivery Calculation'!77:77-"AM:!&amp;D&lt;"</f>
        <v>#VALUE!</v>
      </c>
      <c r="GC103" t="e">
        <f>'Delivery Calculation'!78:78-"AM:!&amp;D="</f>
        <v>#VALUE!</v>
      </c>
      <c r="GD103" t="e">
        <f>'Delivery Calculation'!79:79-"AM:!&amp;D&gt;"</f>
        <v>#VALUE!</v>
      </c>
      <c r="GE103" t="e">
        <f>'Delivery Calculation'!80:80-"AM:!&amp;D?"</f>
        <v>#VALUE!</v>
      </c>
      <c r="GF103" t="e">
        <f>'Delivery Calculation'!81:81-"AM:!&amp;D@"</f>
        <v>#VALUE!</v>
      </c>
      <c r="GG103" t="e">
        <f>'Delivery Calculation'!82:82-"AM:!&amp;DA"</f>
        <v>#VALUE!</v>
      </c>
      <c r="GH103" t="e">
        <f>'Delivery Calculation'!83:83-"AM:!&amp;DB"</f>
        <v>#VALUE!</v>
      </c>
      <c r="GI103" t="e">
        <f>'Delivery Calculation'!84:84-"AM:!&amp;DC"</f>
        <v>#VALUE!</v>
      </c>
      <c r="GJ103" t="e">
        <f>'Delivery Calculation'!85:85-"AM:!&amp;DD"</f>
        <v>#VALUE!</v>
      </c>
      <c r="GK103" t="e">
        <f>'Delivery Calculation'!86:86-"AM:!&amp;DE"</f>
        <v>#VALUE!</v>
      </c>
      <c r="GL103" t="e">
        <f>'Delivery Calculation'!87:87-"AM:!&amp;DF"</f>
        <v>#VALUE!</v>
      </c>
      <c r="GM103" t="e">
        <f>'Delivery Calculation'!88:88-"AM:!&amp;DG"</f>
        <v>#VALUE!</v>
      </c>
      <c r="GN103" t="e">
        <f>'Delivery Calculation'!89:89-"AM:!&amp;DH"</f>
        <v>#VALUE!</v>
      </c>
      <c r="GO103" t="e">
        <f>'Delivery Calculation'!90:90-"AM:!&amp;DI"</f>
        <v>#VALUE!</v>
      </c>
      <c r="GP103" t="e">
        <f>'Delivery Calculation'!91:91-"AM:!&amp;DJ"</f>
        <v>#VALUE!</v>
      </c>
      <c r="GQ103" t="e">
        <f>'Delivery Calculation'!92:92-"AM:!&amp;DK"</f>
        <v>#VALUE!</v>
      </c>
      <c r="GR103" t="e">
        <f>'Delivery Calculation'!93:93-"AM:!&amp;DL"</f>
        <v>#VALUE!</v>
      </c>
      <c r="GS103" t="e">
        <f>'Delivery Calculation'!94:94-"AM:!&amp;DM"</f>
        <v>#VALUE!</v>
      </c>
      <c r="GT103" t="e">
        <f>'Delivery Calculation'!95:95-"AM:!&amp;DN"</f>
        <v>#VALUE!</v>
      </c>
      <c r="GU103" t="e">
        <f>'Delivery Calculation'!96:96-"AM:!&amp;DO"</f>
        <v>#VALUE!</v>
      </c>
      <c r="GV103" t="e">
        <f>'Delivery Calculation'!97:97-"AM:!&amp;DP"</f>
        <v>#VALUE!</v>
      </c>
      <c r="GW103" t="e">
        <f>'Delivery Calculation'!98:98-"AM:!&amp;DQ"</f>
        <v>#VALUE!</v>
      </c>
      <c r="GX103" t="e">
        <f>'Delivery Calculation'!99:99-"AM:!&amp;DR"</f>
        <v>#VALUE!</v>
      </c>
      <c r="GY103" t="e">
        <f>'Delivery Calculation'!100:100-"AM:!&amp;DS"</f>
        <v>#VALUE!</v>
      </c>
      <c r="GZ103" t="e">
        <f>'Delivery Calculation'!101:101-"AM:!&amp;DT"</f>
        <v>#VALUE!</v>
      </c>
      <c r="HA103" t="e">
        <f>'Delivery Calculation'!102:102-"AM:!&amp;DU"</f>
        <v>#VALUE!</v>
      </c>
      <c r="HB103" t="e">
        <f>'Delivery Calculation'!103:103-"AM:!&amp;DV"</f>
        <v>#VALUE!</v>
      </c>
      <c r="HC103" t="e">
        <f>'Delivery Calculation'!104:104-"AM:!&amp;DW"</f>
        <v>#VALUE!</v>
      </c>
      <c r="HD103" t="e">
        <f>'Delivery Calculation'!105:105-"AM:!&amp;DX"</f>
        <v>#VALUE!</v>
      </c>
      <c r="HE103" t="e">
        <f>'Delivery Calculation'!106:106-"AM:!&amp;DY"</f>
        <v>#VALUE!</v>
      </c>
      <c r="HF103" t="e">
        <f>'Delivery Calculation'!107:107-"AM:!&amp;DZ"</f>
        <v>#VALUE!</v>
      </c>
      <c r="HG103" t="e">
        <f>'Delivery Calculation'!108:108-"AM:!&amp;D["</f>
        <v>#VALUE!</v>
      </c>
      <c r="HH103" t="e">
        <f>'Delivery Calculation'!109:109-"AM:!&amp;D\"</f>
        <v>#VALUE!</v>
      </c>
      <c r="HI103" t="e">
        <f>'Delivery Calculation'!110:110-"AM:!&amp;D]"</f>
        <v>#VALUE!</v>
      </c>
      <c r="HJ103" t="e">
        <f>'Delivery Calculation'!111:111-"AM:!&amp;D^"</f>
        <v>#VALUE!</v>
      </c>
      <c r="HK103" t="e">
        <f>'Delivery Calculation'!112:112-"AM:!&amp;D_"</f>
        <v>#VALUE!</v>
      </c>
      <c r="HL103" t="e">
        <f>'Delivery Calculation'!113:113-"AM:!&amp;D`"</f>
        <v>#VALUE!</v>
      </c>
      <c r="HM103" t="e">
        <f>'Delivery Calculation'!114:114-"AM:!&amp;Da"</f>
        <v>#VALUE!</v>
      </c>
      <c r="HN103" t="e">
        <f>'Delivery Calculation'!115:115-"AM:!&amp;Db"</f>
        <v>#VALUE!</v>
      </c>
      <c r="HO103" t="e">
        <f>'Delivery Calculation'!116:116-"AM:!&amp;Dc"</f>
        <v>#VALUE!</v>
      </c>
      <c r="HP103" t="e">
        <f>'Delivery Calculation'!117:117-"AM:!&amp;Dd"</f>
        <v>#VALUE!</v>
      </c>
      <c r="HQ103" t="e">
        <f>'Delivery Calculation'!118:118-"AM:!&amp;De"</f>
        <v>#VALUE!</v>
      </c>
      <c r="HR103" t="e">
        <f>'Delivery Calculation'!119:119-"AM:!&amp;Df"</f>
        <v>#VALUE!</v>
      </c>
      <c r="HS103" t="e">
        <f>'Delivery Calculation'!120:120-"AM:!&amp;Dg"</f>
        <v>#VALUE!</v>
      </c>
      <c r="HT103" t="e">
        <f>'Delivery Calculation'!121:121-"AM:!&amp;Dh"</f>
        <v>#VALUE!</v>
      </c>
      <c r="HU103" t="e">
        <f>'Delivery Calculation'!122:122-"AM:!&amp;Di"</f>
        <v>#VALUE!</v>
      </c>
      <c r="HV103" t="e">
        <f>'Delivery Calculation'!123:123-"AM:!&amp;Dj"</f>
        <v>#VALUE!</v>
      </c>
      <c r="HW103" t="e">
        <f>'Delivery Calculation'!124:124-"AM:!&amp;Dk"</f>
        <v>#VALUE!</v>
      </c>
      <c r="HX103" t="e">
        <f>'Delivery Calculation'!125:125-"AM:!&amp;Dl"</f>
        <v>#VALUE!</v>
      </c>
      <c r="HY103" t="e">
        <f>'Delivery Calculation'!126:126-"AM:!&amp;Dm"</f>
        <v>#VALUE!</v>
      </c>
      <c r="HZ103" t="e">
        <f>'Delivery Calculation'!127:127-"AM:!&amp;Dn"</f>
        <v>#VALUE!</v>
      </c>
      <c r="IA103" t="e">
        <f>'Delivery Calculation'!128:128-"AM:!&amp;Do"</f>
        <v>#VALUE!</v>
      </c>
      <c r="IB103" t="e">
        <f>'Delivery Calculation'!129:129-"AM:!&amp;Dp"</f>
        <v>#VALUE!</v>
      </c>
      <c r="IC103" t="e">
        <f>'Delivery Calculation'!130:130-"AM:!&amp;Dq"</f>
        <v>#VALUE!</v>
      </c>
      <c r="ID103" t="e">
        <f>'Delivery Calculation'!131:131-"AM:!&amp;Dr"</f>
        <v>#VALUE!</v>
      </c>
      <c r="IE103" t="e">
        <f>'Delivery Calculation'!132:132-"AM:!&amp;Ds"</f>
        <v>#VALUE!</v>
      </c>
      <c r="IF103" t="e">
        <f>'Delivery Calculation'!133:133-"AM:!&amp;Dt"</f>
        <v>#VALUE!</v>
      </c>
      <c r="IG103" t="e">
        <f>'Delivery Calculation'!134:134-"AM:!&amp;Du"</f>
        <v>#VALUE!</v>
      </c>
      <c r="IH103" t="e">
        <f>'Delivery Calculation'!135:135-"AM:!&amp;Dv"</f>
        <v>#VALUE!</v>
      </c>
      <c r="II103" t="e">
        <f>'Delivery Calculation'!136:136-"AM:!&amp;Dw"</f>
        <v>#VALUE!</v>
      </c>
      <c r="IJ103" t="e">
        <f>'Delivery Calculation'!137:137-"AM:!&amp;Dx"</f>
        <v>#VALUE!</v>
      </c>
      <c r="IK103" t="e">
        <f>'Delivery Calculation'!138:138-"AM:!&amp;Dy"</f>
        <v>#VALUE!</v>
      </c>
      <c r="IL103" t="e">
        <f>'Delivery Calculation'!139:139-"AM:!&amp;Dz"</f>
        <v>#VALUE!</v>
      </c>
      <c r="IM103" t="e">
        <f>'Delivery Calculation'!140:140-"AM:!&amp;D{"</f>
        <v>#VALUE!</v>
      </c>
      <c r="IN103" t="e">
        <f>'Delivery Calculation'!141:141-"AM:!&amp;D|"</f>
        <v>#VALUE!</v>
      </c>
      <c r="IO103" t="e">
        <f>'Delivery Calculation'!142:142-"AM:!&amp;D}"</f>
        <v>#VALUE!</v>
      </c>
      <c r="IP103" t="e">
        <f>'Delivery Calculation'!143:143-"AM:!&amp;D~"</f>
        <v>#VALUE!</v>
      </c>
      <c r="IQ103" t="e">
        <f>'Delivery Calculation'!144:144-"AM:!&amp;E#"</f>
        <v>#VALUE!</v>
      </c>
      <c r="IR103" t="e">
        <f>'Delivery Calculation'!145:145-"AM:!&amp;E$"</f>
        <v>#VALUE!</v>
      </c>
      <c r="IS103" t="e">
        <f>'Delivery Calculation'!146:146-"AM:!&amp;E%"</f>
        <v>#VALUE!</v>
      </c>
      <c r="IT103" t="e">
        <f>'Delivery Calculation'!147:147-"AM:!&amp;E&amp;"</f>
        <v>#VALUE!</v>
      </c>
      <c r="IU103" t="e">
        <f>'Delivery Calculation'!148:148-"AM:!&amp;E'"</f>
        <v>#VALUE!</v>
      </c>
      <c r="IV103" t="e">
        <f>'Delivery Calculation'!149:149-"AM:!&amp;E("</f>
        <v>#VALUE!</v>
      </c>
    </row>
    <row r="104" spans="6:256">
      <c r="F104" t="e">
        <f>'Delivery Calculation'!150:150-"AM:!&amp;E)"</f>
        <v>#VALUE!</v>
      </c>
      <c r="G104" t="e">
        <f>'Delivery Calculation'!151:151-"AM:!&amp;E."</f>
        <v>#VALUE!</v>
      </c>
      <c r="H104" t="e">
        <f>'Delivery Calculation'!152:152-"AM:!&amp;E/"</f>
        <v>#VALUE!</v>
      </c>
      <c r="I104" t="e">
        <f>'Delivery Calculation'!153:153-"AM:!&amp;E0"</f>
        <v>#VALUE!</v>
      </c>
      <c r="J104" t="e">
        <f>'Delivery Calculation'!154:154-"AM:!&amp;E1"</f>
        <v>#VALUE!</v>
      </c>
      <c r="K104" t="e">
        <f>'Delivery Calculation'!155:155-"AM:!&amp;E2"</f>
        <v>#VALUE!</v>
      </c>
      <c r="L104" t="e">
        <f>'Delivery Calculation'!156:156-"AM:!&amp;E3"</f>
        <v>#VALUE!</v>
      </c>
      <c r="M104" t="e">
        <f>'Delivery Calculation'!157:157-"AM:!&amp;E4"</f>
        <v>#VALUE!</v>
      </c>
      <c r="N104" t="e">
        <f>'Delivery Calculation'!158:158-"AM:!&amp;E5"</f>
        <v>#VALUE!</v>
      </c>
      <c r="O104" t="e">
        <f>'Delivery Calculation'!159:159-"AM:!&amp;E6"</f>
        <v>#VALUE!</v>
      </c>
      <c r="P104" t="e">
        <f>'Delivery Calculation'!160:160-"AM:!&amp;E7"</f>
        <v>#VALUE!</v>
      </c>
      <c r="Q104" t="e">
        <f>'Delivery Calculation'!161:161-"AM:!&amp;E8"</f>
        <v>#VALUE!</v>
      </c>
      <c r="R104" t="e">
        <f>'Delivery Calculation'!162:162-"AM:!&amp;E9"</f>
        <v>#VALUE!</v>
      </c>
      <c r="S104" t="e">
        <f>'Delivery Calculation'!163:163-"AM:!&amp;E:"</f>
        <v>#VALUE!</v>
      </c>
      <c r="T104" t="e">
        <f>'Delivery Calculation'!164:164-"AM:!&amp;E;"</f>
        <v>#VALUE!</v>
      </c>
      <c r="U104" t="e">
        <f>'Delivery Calculation'!165:165-"AM:!&amp;E&lt;"</f>
        <v>#VALUE!</v>
      </c>
      <c r="V104" t="e">
        <f>'Delivery Calculation'!166:166-"AM:!&amp;E="</f>
        <v>#VALUE!</v>
      </c>
      <c r="W104" t="e">
        <f>'Delivery Calculation'!167:167-"AM:!&amp;E&gt;"</f>
        <v>#VALUE!</v>
      </c>
      <c r="X104" t="e">
        <f>'Delivery Calculation'!168:168-"AM:!&amp;E?"</f>
        <v>#VALUE!</v>
      </c>
      <c r="Y104" t="e">
        <f>'Delivery Calculation'!169:169-"AM:!&amp;E@"</f>
        <v>#VALUE!</v>
      </c>
      <c r="Z104" t="e">
        <f>'Delivery Calculation'!170:170-"AM:!&amp;EA"</f>
        <v>#VALUE!</v>
      </c>
      <c r="AA104" t="e">
        <f>'Delivery Calculation'!171:171-"AM:!&amp;EB"</f>
        <v>#VALUE!</v>
      </c>
      <c r="AB104" t="e">
        <f>'Delivery Calculation'!172:172-"AM:!&amp;EC"</f>
        <v>#VALUE!</v>
      </c>
      <c r="AC104" t="e">
        <f>'Delivery Calculation'!173:173-"AM:!&amp;ED"</f>
        <v>#VALUE!</v>
      </c>
      <c r="AD104" t="e">
        <f>'Delivery Calculation'!174:174-"AM:!&amp;EE"</f>
        <v>#VALUE!</v>
      </c>
      <c r="AE104" t="e">
        <f>'Delivery Calculation'!175:175-"AM:!&amp;EF"</f>
        <v>#VALUE!</v>
      </c>
      <c r="AF104" t="e">
        <f>'Delivery Calculation'!176:176-"AM:!&amp;EG"</f>
        <v>#VALUE!</v>
      </c>
      <c r="AG104" t="e">
        <f>'Delivery Calculation'!177:177-"AM:!&amp;EH"</f>
        <v>#VALUE!</v>
      </c>
      <c r="AH104" t="e">
        <f>'Delivery Calculation'!178:178-"AM:!&amp;EI"</f>
        <v>#VALUE!</v>
      </c>
      <c r="AI104" t="e">
        <f>'Delivery Calculation'!179:179-"AM:!&amp;EJ"</f>
        <v>#VALUE!</v>
      </c>
      <c r="AJ104" t="e">
        <f>'Delivery Calculation'!180:180-"AM:!&amp;EK"</f>
        <v>#VALUE!</v>
      </c>
      <c r="AK104" t="e">
        <f>'Delivery Calculation'!181:181-"AM:!&amp;EL"</f>
        <v>#VALUE!</v>
      </c>
      <c r="AL104" t="e">
        <f>'Delivery Calculation'!182:182-"AM:!&amp;EM"</f>
        <v>#VALUE!</v>
      </c>
      <c r="AM104" t="e">
        <f>'Delivery Calculation'!183:183-"AM:!&amp;EN"</f>
        <v>#VALUE!</v>
      </c>
      <c r="AN104" t="e">
        <f>'Delivery Calculation'!184:184-"AM:!&amp;EO"</f>
        <v>#VALUE!</v>
      </c>
      <c r="AO104" t="e">
        <f>'Delivery Calculation'!185:185-"AM:!&amp;EP"</f>
        <v>#VALUE!</v>
      </c>
      <c r="AP104" t="e">
        <f>'Delivery Calculation'!186:186-"AM:!&amp;EQ"</f>
        <v>#VALUE!</v>
      </c>
      <c r="AQ104" t="e">
        <f>'Delivery Calculation'!187:187-"AM:!&amp;ER"</f>
        <v>#VALUE!</v>
      </c>
      <c r="AR104" t="e">
        <f>'Delivery Calculation'!188:188-"AM:!&amp;ES"</f>
        <v>#VALUE!</v>
      </c>
      <c r="AS104" t="e">
        <f>'Delivery Calculation'!189:189-"AM:!&amp;ET"</f>
        <v>#VALUE!</v>
      </c>
      <c r="AT104" t="e">
        <f>'Delivery Calculation'!190:190-"AM:!&amp;EU"</f>
        <v>#VALUE!</v>
      </c>
      <c r="AU104" t="e">
        <f>'Delivery Calculation'!191:191-"AM:!&amp;EV"</f>
        <v>#VALUE!</v>
      </c>
      <c r="AV104" t="e">
        <f>'Delivery Calculation'!192:192-"AM:!&amp;EW"</f>
        <v>#VALUE!</v>
      </c>
      <c r="AW104" t="e">
        <f>'Delivery Calculation'!193:193-"AM:!&amp;EX"</f>
        <v>#VALUE!</v>
      </c>
      <c r="AX104" t="e">
        <f>'Delivery Calculation'!194:194-"AM:!&amp;EY"</f>
        <v>#VALUE!</v>
      </c>
      <c r="AY104" t="e">
        <f>'Delivery Calculation'!195:195-"AM:!&amp;EZ"</f>
        <v>#VALUE!</v>
      </c>
      <c r="AZ104" t="e">
        <f>'Delivery Calculation'!196:196-"AM:!&amp;E["</f>
        <v>#VALUE!</v>
      </c>
      <c r="BA104" t="e">
        <f>'Delivery Calculation'!197:197-"AM:!&amp;E\"</f>
        <v>#VALUE!</v>
      </c>
      <c r="BB104" t="e">
        <f>'Delivery Calculation'!198:198-"AM:!&amp;E]"</f>
        <v>#VALUE!</v>
      </c>
      <c r="BC104" t="e">
        <f>'Delivery Calculation'!199:199-"AM:!&amp;E^"</f>
        <v>#VALUE!</v>
      </c>
      <c r="BD104" t="e">
        <f>'Delivery Calculation'!200:200-"AM:!&amp;E_"</f>
        <v>#VALUE!</v>
      </c>
      <c r="BE104" t="e">
        <f>'Delivery Calculation'!201:201-"AM:!&amp;E`"</f>
        <v>#VALUE!</v>
      </c>
      <c r="BF104" t="e">
        <f>'Delivery Calculation'!202:202-"AM:!&amp;Ea"</f>
        <v>#VALUE!</v>
      </c>
      <c r="BG104" t="e">
        <f>'Delivery Calculation'!203:203-"AM:!&amp;Eb"</f>
        <v>#VALUE!</v>
      </c>
      <c r="BH104" t="e">
        <f>'Delivery Calculation'!204:204-"AM:!&amp;Ec"</f>
        <v>#VALUE!</v>
      </c>
      <c r="BI104" t="e">
        <f>'Delivery Calculation'!205:205-"AM:!&amp;Ed"</f>
        <v>#VALUE!</v>
      </c>
      <c r="BJ104" t="e">
        <f>'Delivery Calculation'!206:206-"AM:!&amp;Ee"</f>
        <v>#VALUE!</v>
      </c>
      <c r="BK104" t="e">
        <f>'Delivery Calculation'!207:207-"AM:!&amp;Ef"</f>
        <v>#VALUE!</v>
      </c>
      <c r="BL104" t="e">
        <f>'Delivery Calculation'!208:208-"AM:!&amp;Eg"</f>
        <v>#VALUE!</v>
      </c>
      <c r="BM104" t="e">
        <f>'Delivery Calculation'!209:209-"AM:!&amp;Eh"</f>
        <v>#VALUE!</v>
      </c>
      <c r="BN104" t="e">
        <f>'Delivery Calculation'!210:210-"AM:!&amp;Ei"</f>
        <v>#VALUE!</v>
      </c>
      <c r="BO104" t="e">
        <f>'Delivery Calculation'!211:211-"AM:!&amp;Ej"</f>
        <v>#VALUE!</v>
      </c>
      <c r="BP104" t="e">
        <f>'Delivery Calculation'!212:212-"AM:!&amp;Ek"</f>
        <v>#VALUE!</v>
      </c>
      <c r="BQ104" t="e">
        <f>'Delivery Calculation'!213:213-"AM:!&amp;El"</f>
        <v>#VALUE!</v>
      </c>
      <c r="BR104" t="e">
        <f>'Delivery Calculation'!214:214-"AM:!&amp;Em"</f>
        <v>#VALUE!</v>
      </c>
      <c r="BS104" t="e">
        <f>'Delivery Calculation'!215:215-"AM:!&amp;En"</f>
        <v>#VALUE!</v>
      </c>
      <c r="BT104" t="e">
        <f>'Delivery Calculation'!216:216-"AM:!&amp;Eo"</f>
        <v>#VALUE!</v>
      </c>
      <c r="BU104" t="e">
        <f>'Delivery Calculation'!217:217-"AM:!&amp;Ep"</f>
        <v>#VALUE!</v>
      </c>
      <c r="BV104" t="e">
        <f>'Delivery Calculation'!218:218-"AM:!&amp;Eq"</f>
        <v>#VALUE!</v>
      </c>
      <c r="BW104" t="e">
        <f>'Delivery Calculation'!219:219-"AM:!&amp;Er"</f>
        <v>#VALUE!</v>
      </c>
      <c r="BX104" t="e">
        <f>'Delivery Calculation'!220:220-"AM:!&amp;Es"</f>
        <v>#VALUE!</v>
      </c>
      <c r="BY104" t="e">
        <f>'Delivery Calculation'!221:221-"AM:!&amp;Et"</f>
        <v>#VALUE!</v>
      </c>
      <c r="BZ104" t="e">
        <f>'Delivery Calculation'!222:222-"AM:!&amp;Eu"</f>
        <v>#VALUE!</v>
      </c>
      <c r="CA104" t="e">
        <f>'Delivery Calculation'!223:223-"AM:!&amp;Ev"</f>
        <v>#VALUE!</v>
      </c>
      <c r="CB104" t="e">
        <f>'Delivery Calculation'!224:224-"AM:!&amp;Ew"</f>
        <v>#VALUE!</v>
      </c>
      <c r="CC104" t="e">
        <f>'Delivery Calculation'!225:225-"AM:!&amp;Ex"</f>
        <v>#VALUE!</v>
      </c>
      <c r="CD104" t="e">
        <f>'Delivery Calculation'!226:226-"AM:!&amp;Ey"</f>
        <v>#VALUE!</v>
      </c>
      <c r="CE104" t="e">
        <f>'Delivery Calculation'!227:227-"AM:!&amp;Ez"</f>
        <v>#VALUE!</v>
      </c>
      <c r="CF104" t="e">
        <f>'Delivery Calculation'!228:228-"AM:!&amp;E{"</f>
        <v>#VALUE!</v>
      </c>
      <c r="CG104" t="e">
        <f>'Delivery Calculation'!229:229-"AM:!&amp;E|"</f>
        <v>#VALUE!</v>
      </c>
      <c r="CH104" t="e">
        <f>'Delivery Calculation'!230:230-"AM:!&amp;E}"</f>
        <v>#VALUE!</v>
      </c>
      <c r="CI104" t="e">
        <f>'Delivery Calculation'!231:231-"AM:!&amp;E~"</f>
        <v>#VALUE!</v>
      </c>
      <c r="CJ104" t="e">
        <f>'Delivery Calculation'!232:232-"AM:!&amp;F#"</f>
        <v>#VALUE!</v>
      </c>
      <c r="CK104" t="e">
        <f>'Delivery Calculation'!233:233-"AM:!&amp;F$"</f>
        <v>#VALUE!</v>
      </c>
      <c r="CL104" t="e">
        <f>'Delivery Calculation'!234:234-"AM:!&amp;F%"</f>
        <v>#VALUE!</v>
      </c>
      <c r="CM104" t="e">
        <f>'Delivery Calculation'!235:235-"AM:!&amp;F&amp;"</f>
        <v>#VALUE!</v>
      </c>
      <c r="CN104" t="e">
        <f>'Delivery Calculation'!236:236-"AM:!&amp;F'"</f>
        <v>#VALUE!</v>
      </c>
      <c r="CO104" t="e">
        <f>'Delivery Calculation'!237:237-"AM:!&amp;F("</f>
        <v>#VALUE!</v>
      </c>
      <c r="CP104" t="e">
        <f>'Delivery Calculation'!238:238-"AM:!&amp;F)"</f>
        <v>#VALUE!</v>
      </c>
      <c r="CQ104" t="e">
        <f>'Delivery Calculation'!239:239-"AM:!&amp;F."</f>
        <v>#VALUE!</v>
      </c>
      <c r="CR104" t="e">
        <f>'Delivery Calculation'!240:240-"AM:!&amp;F/"</f>
        <v>#VALUE!</v>
      </c>
      <c r="CS104" t="e">
        <f>'Delivery Calculation'!241:241-"AM:!&amp;F0"</f>
        <v>#VALUE!</v>
      </c>
      <c r="CT104" t="e">
        <f>'Delivery Calculation'!242:242-"AM:!&amp;F1"</f>
        <v>#VALUE!</v>
      </c>
      <c r="CU104" t="e">
        <f>'Delivery Calculation'!243:243-"AM:!&amp;F2"</f>
        <v>#VALUE!</v>
      </c>
      <c r="CV104" t="e">
        <f>'Delivery Calculation'!244:244-"AM:!&amp;F3"</f>
        <v>#VALUE!</v>
      </c>
      <c r="CW104" t="e">
        <f>'Delivery Calculation'!245:245-"AM:!&amp;F4"</f>
        <v>#VALUE!</v>
      </c>
      <c r="CX104" t="e">
        <f>'Delivery Calculation'!246:246-"AM:!&amp;F5"</f>
        <v>#VALUE!</v>
      </c>
      <c r="CY104" t="e">
        <f>'Delivery Calculation'!247:247-"AM:!&amp;F6"</f>
        <v>#VALUE!</v>
      </c>
      <c r="CZ104" t="e">
        <f>'Delivery Calculation'!248:248-"AM:!&amp;F7"</f>
        <v>#VALUE!</v>
      </c>
      <c r="DA104" t="e">
        <f>'Delivery Calculation'!249:249-"AM:!&amp;F8"</f>
        <v>#VALUE!</v>
      </c>
      <c r="DB104" t="e">
        <f>'Delivery Calculation'!250:250-"AM:!&amp;F9"</f>
        <v>#VALUE!</v>
      </c>
      <c r="DC104" t="e">
        <f>'Delivery Calculation'!251:251-"AM:!&amp;F:"</f>
        <v>#VALUE!</v>
      </c>
      <c r="DD104" t="e">
        <f>'Delivery Calculation'!252:252-"AM:!&amp;F;"</f>
        <v>#VALUE!</v>
      </c>
      <c r="DE104" t="e">
        <f>'Delivery Calculation'!253:253-"AM:!&amp;F&lt;"</f>
        <v>#VALUE!</v>
      </c>
      <c r="DF104" t="e">
        <f>'Delivery Calculation'!254:254-"AM:!&amp;F="</f>
        <v>#VALUE!</v>
      </c>
      <c r="DG104" t="e">
        <f>'Delivery Calculation'!255:255-"AM:!&amp;F&gt;"</f>
        <v>#VALUE!</v>
      </c>
      <c r="DH104" t="e">
        <f>'Delivery Calculation'!256:256-"AM:!&amp;F?"</f>
        <v>#VALUE!</v>
      </c>
      <c r="DI104" t="e">
        <f>'Delivery Calculation'!257:257-"AM:!&amp;F@"</f>
        <v>#VALUE!</v>
      </c>
      <c r="DJ104" t="e">
        <f>'Delivery Calculation'!258:258-"AM:!&amp;FA"</f>
        <v>#VALUE!</v>
      </c>
      <c r="DK104" t="e">
        <f>'Delivery Calculation'!259:259-"AM:!&amp;FB"</f>
        <v>#VALUE!</v>
      </c>
      <c r="DL104" t="e">
        <f>'Delivery Calculation'!260:260-"AM:!&amp;FC"</f>
        <v>#VALUE!</v>
      </c>
      <c r="DM104" t="e">
        <f>'Delivery Calculation'!261:261-"AM:!&amp;FD"</f>
        <v>#VALUE!</v>
      </c>
      <c r="DN104" t="e">
        <f>'Delivery Calculation'!262:262-"AM:!&amp;FE"</f>
        <v>#VALUE!</v>
      </c>
      <c r="DO104" t="e">
        <f>'Delivery Calculation'!263:263-"AM:!&amp;FF"</f>
        <v>#VALUE!</v>
      </c>
      <c r="DP104" t="e">
        <f>'Delivery Calculation'!264:264-"AM:!&amp;FG"</f>
        <v>#VALUE!</v>
      </c>
      <c r="DQ104" t="e">
        <f>'Delivery Calculation'!265:265-"AM:!&amp;FH"</f>
        <v>#VALUE!</v>
      </c>
      <c r="DR104" t="e">
        <f>'Delivery Calculation'!266:266-"AM:!&amp;FI"</f>
        <v>#VALUE!</v>
      </c>
      <c r="DS104" t="e">
        <f>'Delivery Calculation'!267:267-"AM:!&amp;FJ"</f>
        <v>#VALUE!</v>
      </c>
      <c r="DT104" t="e">
        <f>'Delivery Calculation'!268:268-"AM:!&amp;FK"</f>
        <v>#VALUE!</v>
      </c>
      <c r="DU104" t="e">
        <f>'Delivery Calculation'!269:269-"AM:!&amp;FL"</f>
        <v>#VALUE!</v>
      </c>
      <c r="DV104" t="e">
        <f>'Delivery Calculation'!270:270-"AM:!&amp;FM"</f>
        <v>#VALUE!</v>
      </c>
      <c r="DW104" t="e">
        <f>'Delivery Calculation'!271:271-"AM:!&amp;FN"</f>
        <v>#VALUE!</v>
      </c>
      <c r="DX104" t="e">
        <f>'Delivery Calculation'!272:272-"AM:!&amp;FO"</f>
        <v>#VALUE!</v>
      </c>
      <c r="DY104" t="e">
        <f>'Delivery Calculation'!273:273-"AM:!&amp;FP"</f>
        <v>#VALUE!</v>
      </c>
      <c r="DZ104" t="e">
        <f>'Delivery Calculation'!274:274-"AM:!&amp;FQ"</f>
        <v>#VALUE!</v>
      </c>
      <c r="EA104" t="e">
        <f>'Delivery Calculation'!275:275-"AM:!&amp;FR"</f>
        <v>#VALUE!</v>
      </c>
      <c r="EB104" t="e">
        <f>'Delivery Calculation'!276:276-"AM:!&amp;FS"</f>
        <v>#VALUE!</v>
      </c>
      <c r="EC104" t="e">
        <f>'Delivery Calculation'!277:277-"AM:!&amp;FT"</f>
        <v>#VALUE!</v>
      </c>
      <c r="ED104" t="e">
        <f>'Delivery Calculation'!278:278-"AM:!&amp;FU"</f>
        <v>#VALUE!</v>
      </c>
      <c r="EE104" t="e">
        <f>'Delivery Calculation'!279:279-"AM:!&amp;FV"</f>
        <v>#VALUE!</v>
      </c>
      <c r="EF104" t="e">
        <f>'Delivery Calculation'!280:280-"AM:!&amp;FW"</f>
        <v>#VALUE!</v>
      </c>
      <c r="EG104" t="e">
        <f>'Delivery Calculation'!281:281-"AM:!&amp;FX"</f>
        <v>#VALUE!</v>
      </c>
      <c r="EH104" t="e">
        <f>'Delivery Calculation'!282:282-"AM:!&amp;FY"</f>
        <v>#VALUE!</v>
      </c>
      <c r="EI104" t="e">
        <f>'Delivery Calculation'!283:283-"AM:!&amp;FZ"</f>
        <v>#VALUE!</v>
      </c>
      <c r="EJ104" t="e">
        <f>'Delivery Calculation'!284:284-"AM:!&amp;F["</f>
        <v>#VALUE!</v>
      </c>
      <c r="EK104" t="e">
        <f>'Delivery Calculation'!285:285-"AM:!&amp;F\"</f>
        <v>#VALUE!</v>
      </c>
      <c r="EL104" t="e">
        <f>'Delivery Calculation'!286:286-"AM:!&amp;F]"</f>
        <v>#VALUE!</v>
      </c>
      <c r="EM104" t="e">
        <f>'Delivery Calculation'!287:287-"AM:!&amp;F^"</f>
        <v>#VALUE!</v>
      </c>
      <c r="EN104" t="e">
        <f>'Delivery Calculation'!288:288-"AM:!&amp;F_"</f>
        <v>#VALUE!</v>
      </c>
      <c r="EO104" t="e">
        <f>'Delivery Calculation'!289:289-"AM:!&amp;F`"</f>
        <v>#VALUE!</v>
      </c>
      <c r="EP104" t="e">
        <f>'Delivery Calculation'!290:290-"AM:!&amp;Fa"</f>
        <v>#VALUE!</v>
      </c>
      <c r="EQ104" t="e">
        <f>'Delivery Calculation'!291:291-"AM:!&amp;Fb"</f>
        <v>#VALUE!</v>
      </c>
      <c r="ER104" t="e">
        <f>'Delivery Calculation'!292:292-"AM:!&amp;Fc"</f>
        <v>#VALUE!</v>
      </c>
      <c r="ES104" t="e">
        <f>'Delivery Calculation'!293:293-"AM:!&amp;Fd"</f>
        <v>#VALUE!</v>
      </c>
      <c r="ET104" t="e">
        <f>'Delivery Calculation'!294:294-"AM:!&amp;Fe"</f>
        <v>#VALUE!</v>
      </c>
      <c r="EU104" t="e">
        <f>'Delivery Calculation'!295:295-"AM:!&amp;Ff"</f>
        <v>#VALUE!</v>
      </c>
      <c r="EV104" t="e">
        <f>'Delivery Calculation'!296:296-"AM:!&amp;Fg"</f>
        <v>#VALUE!</v>
      </c>
      <c r="EW104" t="e">
        <f>'Delivery Calculation'!297:297-"AM:!&amp;Fh"</f>
        <v>#VALUE!</v>
      </c>
      <c r="EX104" t="e">
        <f>'Delivery Calculation'!298:298-"AM:!&amp;Fi"</f>
        <v>#VALUE!</v>
      </c>
      <c r="EY104" t="e">
        <f>'Delivery Calculation'!299:299-"AM:!&amp;Fj"</f>
        <v>#VALUE!</v>
      </c>
      <c r="EZ104" t="e">
        <f>'Delivery Calculation'!300:300-"AM:!&amp;Fk"</f>
        <v>#VALUE!</v>
      </c>
      <c r="FA104" t="e">
        <f>'Delivery Calculation'!301:301-"AM:!&amp;Fl"</f>
        <v>#VALUE!</v>
      </c>
      <c r="FB104" t="e">
        <f>'Delivery Calculation'!302:302-"AM:!&amp;Fm"</f>
        <v>#VALUE!</v>
      </c>
      <c r="FC104" t="e">
        <f>'Delivery Calculation'!303:303-"AM:!&amp;Fn"</f>
        <v>#VALUE!</v>
      </c>
      <c r="FD104" t="e">
        <f>'Delivery Calculation'!304:304-"AM:!&amp;Fo"</f>
        <v>#VALUE!</v>
      </c>
      <c r="FE104" t="e">
        <f>'Delivery Calculation'!305:305-"AM:!&amp;Fp"</f>
        <v>#VALUE!</v>
      </c>
      <c r="FF104" t="e">
        <f>'Delivery Calculation'!306:306-"AM:!&amp;Fq"</f>
        <v>#VALUE!</v>
      </c>
      <c r="FG104" t="e">
        <f>'Delivery Calculation'!307:307-"AM:!&amp;Fr"</f>
        <v>#VALUE!</v>
      </c>
      <c r="FH104" t="e">
        <f>'Delivery Calculation'!308:308-"AM:!&amp;Fs"</f>
        <v>#VALUE!</v>
      </c>
      <c r="FI104" t="e">
        <f>'Delivery Calculation'!309:309-"AM:!&amp;Ft"</f>
        <v>#VALUE!</v>
      </c>
      <c r="FJ104" t="e">
        <f>'Delivery Calculation'!310:310-"AM:!&amp;Fu"</f>
        <v>#VALUE!</v>
      </c>
      <c r="FK104" t="e">
        <f>'Delivery Calculation'!311:311-"AM:!&amp;Fv"</f>
        <v>#VALUE!</v>
      </c>
      <c r="FL104" t="e">
        <f>'Delivery Calculation'!312:312-"AM:!&amp;Fw"</f>
        <v>#VALUE!</v>
      </c>
      <c r="FM104" t="e">
        <f>'Delivery Calculation'!313:313-"AM:!&amp;Fx"</f>
        <v>#VALUE!</v>
      </c>
      <c r="FN104" t="e">
        <f>'Delivery Calculation'!314:314-"AM:!&amp;Fy"</f>
        <v>#VALUE!</v>
      </c>
      <c r="FO104" t="e">
        <f>'Delivery Calculation'!315:315-"AM:!&amp;Fz"</f>
        <v>#VALUE!</v>
      </c>
      <c r="FP104" t="e">
        <f>'Delivery Calculation'!316:316-"AM:!&amp;F{"</f>
        <v>#VALUE!</v>
      </c>
      <c r="FQ104" t="e">
        <f>'Delivery Calculation'!317:317-"AM:!&amp;F|"</f>
        <v>#VALUE!</v>
      </c>
      <c r="FR104" t="e">
        <f>'Delivery Calculation'!318:318-"AM:!&amp;F}"</f>
        <v>#VALUE!</v>
      </c>
      <c r="FS104" t="e">
        <f>'Delivery Calculation'!319:319-"AM:!&amp;F~"</f>
        <v>#VALUE!</v>
      </c>
      <c r="FT104" t="e">
        <f>'Delivery Calculation'!320:320-"AM:!&amp;G#"</f>
        <v>#VALUE!</v>
      </c>
      <c r="FU104" t="e">
        <f>'Delivery Calculation'!321:321-"AM:!&amp;G$"</f>
        <v>#VALUE!</v>
      </c>
      <c r="FV104" t="e">
        <f>'Delivery Calculation'!322:322-"AM:!&amp;G%"</f>
        <v>#VALUE!</v>
      </c>
      <c r="FW104" t="e">
        <f>'Delivery Calculation'!323:323-"AM:!&amp;G&amp;"</f>
        <v>#VALUE!</v>
      </c>
      <c r="FX104" t="e">
        <f>'Delivery Calculation'!324:324-"AM:!&amp;G'"</f>
        <v>#VALUE!</v>
      </c>
      <c r="FY104" t="e">
        <f>'Delivery Calculation'!325:325-"AM:!&amp;G("</f>
        <v>#VALUE!</v>
      </c>
      <c r="FZ104" t="e">
        <f>'Delivery Calculation'!326:326-"AM:!&amp;G)"</f>
        <v>#VALUE!</v>
      </c>
      <c r="GA104" t="e">
        <f>'Delivery Calculation'!327:327-"AM:!&amp;G."</f>
        <v>#VALUE!</v>
      </c>
      <c r="GB104" t="e">
        <f>'Delivery Calculation'!328:328-"AM:!&amp;G/"</f>
        <v>#VALUE!</v>
      </c>
      <c r="GC104" t="e">
        <f>'Delivery Calculation'!329:329-"AM:!&amp;G0"</f>
        <v>#VALUE!</v>
      </c>
      <c r="GD104" t="e">
        <f>'Delivery Calculation'!330:330-"AM:!&amp;G1"</f>
        <v>#VALUE!</v>
      </c>
      <c r="GE104" t="e">
        <f>'Delivery Calculation'!331:331-"AM:!&amp;G2"</f>
        <v>#VALUE!</v>
      </c>
      <c r="GF104" t="e">
        <f>'Delivery Calculation'!332:332-"AM:!&amp;G3"</f>
        <v>#VALUE!</v>
      </c>
      <c r="GG104" t="e">
        <f>'Delivery Calculation'!333:333-"AM:!&amp;G4"</f>
        <v>#VALUE!</v>
      </c>
      <c r="GH104" t="e">
        <f>'Delivery Calculation'!334:334-"AM:!&amp;G5"</f>
        <v>#VALUE!</v>
      </c>
      <c r="GI104" t="e">
        <f>'Delivery Calculation'!335:335-"AM:!&amp;G6"</f>
        <v>#VALUE!</v>
      </c>
      <c r="GJ104" t="e">
        <f>'Delivery Calculation'!336:336-"AM:!&amp;G7"</f>
        <v>#VALUE!</v>
      </c>
      <c r="GK104" t="e">
        <f>'Delivery Calculation'!337:337-"AM:!&amp;G8"</f>
        <v>#VALUE!</v>
      </c>
      <c r="GL104" t="e">
        <f>'Delivery Calculation'!338:338-"AM:!&amp;G9"</f>
        <v>#VALUE!</v>
      </c>
      <c r="GM104" t="e">
        <f>'Delivery Calculation'!339:339-"AM:!&amp;G:"</f>
        <v>#VALUE!</v>
      </c>
      <c r="GN104" t="e">
        <f>'Delivery Calculation'!340:340-"AM:!&amp;G;"</f>
        <v>#VALUE!</v>
      </c>
      <c r="GO104" t="e">
        <f>'Delivery Calculation'!341:341-"AM:!&amp;G&lt;"</f>
        <v>#VALUE!</v>
      </c>
      <c r="GP104" t="e">
        <f>'Delivery Calculation'!342:342-"AM:!&amp;G="</f>
        <v>#VALUE!</v>
      </c>
      <c r="GQ104" t="e">
        <f>'Delivery Calculation'!343:343-"AM:!&amp;G&gt;"</f>
        <v>#VALUE!</v>
      </c>
      <c r="GR104" t="e">
        <f>'Delivery Calculation'!344:344-"AM:!&amp;G?"</f>
        <v>#VALUE!</v>
      </c>
      <c r="GS104" t="e">
        <f>'Delivery Calculation'!345:345-"AM:!&amp;G@"</f>
        <v>#VALUE!</v>
      </c>
      <c r="GT104" t="e">
        <f>'Delivery Calculation'!346:346-"AM:!&amp;GA"</f>
        <v>#VALUE!</v>
      </c>
      <c r="GU104" t="e">
        <f>'Delivery Calculation'!347:347-"AM:!&amp;GB"</f>
        <v>#VALUE!</v>
      </c>
      <c r="GV104" t="e">
        <f>'Delivery Calculation'!348:348-"AM:!&amp;GC"</f>
        <v>#VALUE!</v>
      </c>
      <c r="GW104" t="e">
        <f>'Delivery Calculation'!349:349-"AM:!&amp;GD"</f>
        <v>#VALUE!</v>
      </c>
      <c r="GX104" t="e">
        <f>'Delivery Calculation'!350:350-"AM:!&amp;GE"</f>
        <v>#VALUE!</v>
      </c>
      <c r="GY104" t="e">
        <f>'Delivery Calculation'!351:351-"AM:!&amp;GF"</f>
        <v>#VALUE!</v>
      </c>
      <c r="GZ104" t="e">
        <f>'Delivery Calculation'!352:352-"AM:!&amp;GG"</f>
        <v>#VALUE!</v>
      </c>
      <c r="HA104" t="e">
        <f>'Delivery Calculation'!353:353-"AM:!&amp;GH"</f>
        <v>#VALUE!</v>
      </c>
      <c r="HB104" t="e">
        <f>'Delivery Calculation'!354:354-"AM:!&amp;GI"</f>
        <v>#VALUE!</v>
      </c>
      <c r="HC104" t="e">
        <f>'Delivery Calculation'!355:355-"AM:!&amp;GJ"</f>
        <v>#VALUE!</v>
      </c>
      <c r="HD104" t="e">
        <f>'Delivery Calculation'!356:356-"AM:!&amp;GK"</f>
        <v>#VALUE!</v>
      </c>
      <c r="HE104" t="e">
        <f>'Delivery Calculation'!357:357-"AM:!&amp;GL"</f>
        <v>#VALUE!</v>
      </c>
      <c r="HF104" t="e">
        <f>'Delivery Calculation'!358:358-"AM:!&amp;GM"</f>
        <v>#VALUE!</v>
      </c>
      <c r="HG104" t="e">
        <f>'Delivery Calculation'!359:359-"AM:!&amp;GN"</f>
        <v>#VALUE!</v>
      </c>
      <c r="HH104" t="e">
        <f>'Delivery Calculation'!360:360-"AM:!&amp;GO"</f>
        <v>#VALUE!</v>
      </c>
      <c r="HI104" t="e">
        <f>'Delivery Calculation'!361:361-"AM:!&amp;GP"</f>
        <v>#VALUE!</v>
      </c>
      <c r="HJ104" t="e">
        <f>'Delivery Calculation'!362:362-"AM:!&amp;GQ"</f>
        <v>#VALUE!</v>
      </c>
      <c r="HK104" t="e">
        <f>'Delivery Calculation'!363:363-"AM:!&amp;GR"</f>
        <v>#VALUE!</v>
      </c>
      <c r="HL104" t="e">
        <f>'Delivery Calculation'!364:364-"AM:!&amp;GS"</f>
        <v>#VALUE!</v>
      </c>
      <c r="HM104" t="e">
        <f>'Delivery Calculation'!365:365-"AM:!&amp;GT"</f>
        <v>#VALUE!</v>
      </c>
      <c r="HN104" t="e">
        <f>'Delivery Calculation'!366:366-"AM:!&amp;GU"</f>
        <v>#VALUE!</v>
      </c>
      <c r="HO104" t="e">
        <f>'Delivery Calculation'!367:367-"AM:!&amp;GV"</f>
        <v>#VALUE!</v>
      </c>
      <c r="HP104" t="e">
        <f>'Delivery Calculation'!368:368-"AM:!&amp;GW"</f>
        <v>#VALUE!</v>
      </c>
      <c r="HQ104" t="e">
        <f>'Delivery Calculation'!369:369-"AM:!&amp;GX"</f>
        <v>#VALUE!</v>
      </c>
      <c r="HR104" t="e">
        <f>'Delivery Calculation'!370:370-"AM:!&amp;GY"</f>
        <v>#VALUE!</v>
      </c>
      <c r="HS104" t="e">
        <f>'Delivery Calculation'!371:371-"AM:!&amp;GZ"</f>
        <v>#VALUE!</v>
      </c>
      <c r="HT104" t="e">
        <f>'Delivery Calculation'!372:372-"AM:!&amp;G["</f>
        <v>#VALUE!</v>
      </c>
      <c r="HU104" t="e">
        <f>'Delivery Calculation'!373:373-"AM:!&amp;G\"</f>
        <v>#VALUE!</v>
      </c>
      <c r="HV104" t="e">
        <f>'Delivery Calculation'!374:374-"AM:!&amp;G]"</f>
        <v>#VALUE!</v>
      </c>
      <c r="HW104" t="e">
        <f>'Delivery Calculation'!375:375-"AM:!&amp;G^"</f>
        <v>#VALUE!</v>
      </c>
      <c r="HX104" t="e">
        <f>'Delivery Calculation'!376:376-"AM:!&amp;G_"</f>
        <v>#VALUE!</v>
      </c>
      <c r="HY104" t="e">
        <f>'Delivery Calculation'!377:377-"AM:!&amp;G`"</f>
        <v>#VALUE!</v>
      </c>
      <c r="HZ104" t="e">
        <f>'Delivery Calculation'!378:378-"AM:!&amp;Ga"</f>
        <v>#VALUE!</v>
      </c>
      <c r="IA104" t="e">
        <f>'Delivery Calculation'!379:379-"AM:!&amp;Gb"</f>
        <v>#VALUE!</v>
      </c>
      <c r="IB104" t="e">
        <f>'Delivery Calculation'!380:380-"AM:!&amp;Gc"</f>
        <v>#VALUE!</v>
      </c>
      <c r="IC104" t="e">
        <f>'Delivery Calculation'!381:381-"AM:!&amp;Gd"</f>
        <v>#VALUE!</v>
      </c>
      <c r="ID104" t="e">
        <f>'Delivery Calculation'!382:382-"AM:!&amp;Ge"</f>
        <v>#VALUE!</v>
      </c>
      <c r="IE104" t="e">
        <f>'Delivery Calculation'!383:383-"AM:!&amp;Gf"</f>
        <v>#VALUE!</v>
      </c>
      <c r="IF104" t="e">
        <f>'Delivery Calculation'!384:384-"AM:!&amp;Gg"</f>
        <v>#VALUE!</v>
      </c>
      <c r="IG104" t="e">
        <f>'Delivery Calculation'!385:385-"AM:!&amp;Gh"</f>
        <v>#VALUE!</v>
      </c>
      <c r="IH104" t="e">
        <f>'Delivery Calculation'!386:386-"AM:!&amp;Gi"</f>
        <v>#VALUE!</v>
      </c>
      <c r="II104" t="e">
        <f>'Delivery Calculation'!387:387-"AM:!&amp;Gj"</f>
        <v>#VALUE!</v>
      </c>
      <c r="IJ104" t="e">
        <f>'Delivery Calculation'!388:388-"AM:!&amp;Gk"</f>
        <v>#VALUE!</v>
      </c>
      <c r="IK104" t="e">
        <f>'Delivery Calculation'!389:389-"AM:!&amp;Gl"</f>
        <v>#VALUE!</v>
      </c>
      <c r="IL104" t="e">
        <f>'Delivery Calculation'!390:390-"AM:!&amp;Gm"</f>
        <v>#VALUE!</v>
      </c>
      <c r="IM104" t="e">
        <f>'Delivery Calculation'!391:391-"AM:!&amp;Gn"</f>
        <v>#VALUE!</v>
      </c>
      <c r="IN104" t="e">
        <f>'Delivery Calculation'!392:392-"AM:!&amp;Go"</f>
        <v>#VALUE!</v>
      </c>
      <c r="IO104" t="e">
        <f>'Delivery Calculation'!393:393-"AM:!&amp;Gp"</f>
        <v>#VALUE!</v>
      </c>
      <c r="IP104" t="e">
        <f>'Delivery Calculation'!394:394-"AM:!&amp;Gq"</f>
        <v>#VALUE!</v>
      </c>
      <c r="IQ104" t="e">
        <f>'Delivery Calculation'!395:395-"AM:!&amp;Gr"</f>
        <v>#VALUE!</v>
      </c>
      <c r="IR104" t="e">
        <f>'Delivery Calculation'!396:396-"AM:!&amp;Gs"</f>
        <v>#VALUE!</v>
      </c>
      <c r="IS104" t="e">
        <f>'Delivery Calculation'!397:397-"AM:!&amp;Gt"</f>
        <v>#VALUE!</v>
      </c>
      <c r="IT104" t="e">
        <f>'Delivery Calculation'!398:398-"AM:!&amp;Gu"</f>
        <v>#VALUE!</v>
      </c>
      <c r="IU104" t="e">
        <f>'Delivery Calculation'!399:399-"AM:!&amp;Gv"</f>
        <v>#VALUE!</v>
      </c>
      <c r="IV104" t="e">
        <f>'Delivery Calculation'!400:400-"AM:!&amp;Gw"</f>
        <v>#VALUE!</v>
      </c>
    </row>
    <row r="105" spans="6:256">
      <c r="F105" t="e">
        <f>'Delivery Calculation'!401:401-"AM:!&amp;Gx"</f>
        <v>#VALUE!</v>
      </c>
      <c r="G105" t="e">
        <f>'Delivery Calculation'!402:402-"AM:!&amp;Gy"</f>
        <v>#VALUE!</v>
      </c>
      <c r="H105" t="e">
        <f>'Delivery Calculation'!403:403-"AM:!&amp;Gz"</f>
        <v>#VALUE!</v>
      </c>
      <c r="I105" t="e">
        <f>'Delivery Calculation'!404:404-"AM:!&amp;G{"</f>
        <v>#VALUE!</v>
      </c>
      <c r="J105" t="e">
        <f>'Delivery Calculation'!405:405-"AM:!&amp;G|"</f>
        <v>#VALUE!</v>
      </c>
      <c r="K105" t="e">
        <f>'Delivery Calculation'!406:406-"AM:!&amp;G}"</f>
        <v>#VALUE!</v>
      </c>
      <c r="L105" t="e">
        <f>'Delivery Calculation'!407:407-"AM:!&amp;G~"</f>
        <v>#VALUE!</v>
      </c>
      <c r="M105" t="e">
        <f>'Delivery Calculation'!408:408-"AM:!&amp;H#"</f>
        <v>#VALUE!</v>
      </c>
      <c r="N105" t="e">
        <f>'Delivery Calculation'!409:409-"AM:!&amp;H$"</f>
        <v>#VALUE!</v>
      </c>
      <c r="O105" t="e">
        <f>'Delivery Calculation'!410:410-"AM:!&amp;H%"</f>
        <v>#VALUE!</v>
      </c>
      <c r="P105" t="e">
        <f>'Delivery Calculation'!411:411-"AM:!&amp;H&amp;"</f>
        <v>#VALUE!</v>
      </c>
      <c r="Q105" t="e">
        <f>'Delivery Calculation'!412:412-"AM:!&amp;H'"</f>
        <v>#VALUE!</v>
      </c>
      <c r="R105" t="e">
        <f>'Delivery Calculation'!413:413-"AM:!&amp;H("</f>
        <v>#VALUE!</v>
      </c>
      <c r="S105" t="e">
        <f>'Delivery Calculation'!414:414-"AM:!&amp;H)"</f>
        <v>#VALUE!</v>
      </c>
      <c r="T105" t="e">
        <f>'Delivery Calculation'!415:415-"AM:!&amp;H."</f>
        <v>#VALUE!</v>
      </c>
      <c r="U105" t="e">
        <f>'Delivery Calculation'!416:416-"AM:!&amp;H/"</f>
        <v>#VALUE!</v>
      </c>
      <c r="V105" t="e">
        <f>'Delivery Calculation'!417:417-"AM:!&amp;H0"</f>
        <v>#VALUE!</v>
      </c>
      <c r="W105" t="e">
        <f>'Delivery Calculation'!418:418-"AM:!&amp;H1"</f>
        <v>#VALUE!</v>
      </c>
      <c r="X105" t="e">
        <f>'Delivery Calculation'!419:419-"AM:!&amp;H2"</f>
        <v>#VALUE!</v>
      </c>
      <c r="Y105" t="e">
        <f>'Delivery Calculation'!420:420-"AM:!&amp;H3"</f>
        <v>#VALUE!</v>
      </c>
      <c r="Z105" t="e">
        <f>'Delivery Calculation'!421:421-"AM:!&amp;H4"</f>
        <v>#VALUE!</v>
      </c>
      <c r="AA105" t="e">
        <f>'Delivery Calculation'!422:422-"AM:!&amp;H5"</f>
        <v>#VALUE!</v>
      </c>
      <c r="AB105" t="e">
        <f>'Delivery Calculation'!423:423-"AM:!&amp;H6"</f>
        <v>#VALUE!</v>
      </c>
      <c r="AC105" t="e">
        <f>'Delivery Calculation'!424:424-"AM:!&amp;H7"</f>
        <v>#VALUE!</v>
      </c>
      <c r="AD105" t="e">
        <f>'Delivery Calculation'!425:425-"AM:!&amp;H8"</f>
        <v>#VALUE!</v>
      </c>
      <c r="AE105" t="e">
        <f>'Delivery Calculation'!426:426-"AM:!&amp;H9"</f>
        <v>#VALUE!</v>
      </c>
      <c r="AF105" t="e">
        <f>'Delivery Calculation'!427:427-"AM:!&amp;H:"</f>
        <v>#VALUE!</v>
      </c>
      <c r="AG105" t="e">
        <f>'Delivery Calculation'!428:428-"AM:!&amp;H;"</f>
        <v>#VALUE!</v>
      </c>
      <c r="AH105" t="e">
        <f>'Delivery Calculation'!429:429-"AM:!&amp;H&lt;"</f>
        <v>#VALUE!</v>
      </c>
      <c r="AI105" t="e">
        <f>'Delivery Calculation'!430:430-"AM:!&amp;H="</f>
        <v>#VALUE!</v>
      </c>
      <c r="AJ105" t="e">
        <f>'Delivery Calculation'!431:431-"AM:!&amp;H&gt;"</f>
        <v>#VALUE!</v>
      </c>
      <c r="AK105" t="e">
        <f>'Delivery Calculation'!432:432-"AM:!&amp;H?"</f>
        <v>#VALUE!</v>
      </c>
      <c r="AL105" t="e">
        <f>'Delivery Calculation'!433:433-"AM:!&amp;H@"</f>
        <v>#VALUE!</v>
      </c>
      <c r="AM105" t="e">
        <f>'Delivery Calculation'!434:434-"AM:!&amp;HA"</f>
        <v>#VALUE!</v>
      </c>
      <c r="AN105" t="e">
        <f>'Delivery Calculation'!435:435-"AM:!&amp;HB"</f>
        <v>#VALUE!</v>
      </c>
      <c r="AO105" t="e">
        <f>'Delivery Calculation'!436:436-"AM:!&amp;HC"</f>
        <v>#VALUE!</v>
      </c>
      <c r="AP105" t="e">
        <f>'Delivery Calculation'!437:437-"AM:!&amp;HD"</f>
        <v>#VALUE!</v>
      </c>
      <c r="AQ105" t="e">
        <f>'Delivery Calculation'!438:438-"AM:!&amp;HE"</f>
        <v>#VALUE!</v>
      </c>
      <c r="AR105" t="e">
        <f>'Delivery Calculation'!439:439-"AM:!&amp;HF"</f>
        <v>#VALUE!</v>
      </c>
      <c r="AS105" t="e">
        <f>'Delivery Calculation'!440:440-"AM:!&amp;HG"</f>
        <v>#VALUE!</v>
      </c>
      <c r="AT105" t="e">
        <f>'Delivery Calculation'!441:441-"AM:!&amp;HH"</f>
        <v>#VALUE!</v>
      </c>
      <c r="AU105" t="e">
        <f>'Delivery Calculation'!442:442-"AM:!&amp;HI"</f>
        <v>#VALUE!</v>
      </c>
      <c r="AV105" t="e">
        <f>'Delivery Calculation'!443:443-"AM:!&amp;HJ"</f>
        <v>#VALUE!</v>
      </c>
      <c r="AW105" t="e">
        <f>'Delivery Calculation'!444:444-"AM:!&amp;HK"</f>
        <v>#VALUE!</v>
      </c>
      <c r="AX105" t="e">
        <f>'Delivery Calculation'!445:445-"AM:!&amp;HL"</f>
        <v>#VALUE!</v>
      </c>
      <c r="AY105" t="e">
        <f>'Delivery Calculation'!446:446-"AM:!&amp;HM"</f>
        <v>#VALUE!</v>
      </c>
      <c r="AZ105" t="e">
        <f>'Delivery Calculation'!447:447-"AM:!&amp;HN"</f>
        <v>#VALUE!</v>
      </c>
      <c r="BA105" t="e">
        <f>'Delivery Calculation'!448:448-"AM:!&amp;HO"</f>
        <v>#VALUE!</v>
      </c>
      <c r="BB105" t="e">
        <f>'Delivery Calculation'!449:449-"AM:!&amp;HP"</f>
        <v>#VALUE!</v>
      </c>
      <c r="BC105" t="e">
        <f>'Delivery Calculation'!450:450-"AM:!&amp;HQ"</f>
        <v>#VALUE!</v>
      </c>
      <c r="BD105" t="e">
        <f>'Delivery Calculation'!451:451-"AM:!&amp;HR"</f>
        <v>#VALUE!</v>
      </c>
      <c r="BE105" t="e">
        <f>'Delivery Calculation'!452:452-"AM:!&amp;HS"</f>
        <v>#VALUE!</v>
      </c>
      <c r="BF105" t="e">
        <f>'Delivery Calculation'!453:453-"AM:!&amp;HT"</f>
        <v>#VALUE!</v>
      </c>
      <c r="BG105" t="e">
        <f>'Delivery Calculation'!454:454-"AM:!&amp;HU"</f>
        <v>#VALUE!</v>
      </c>
      <c r="BH105" t="e">
        <f>'Delivery Calculation'!455:455-"AM:!&amp;HV"</f>
        <v>#VALUE!</v>
      </c>
      <c r="BI105" t="e">
        <f>'Delivery Calculation'!456:456-"AM:!&amp;HW"</f>
        <v>#VALUE!</v>
      </c>
      <c r="BJ105" t="e">
        <f>'Delivery Calculation'!457:457-"AM:!&amp;HX"</f>
        <v>#VALUE!</v>
      </c>
      <c r="BK105" t="e">
        <f>'Delivery Calculation'!458:458-"AM:!&amp;HY"</f>
        <v>#VALUE!</v>
      </c>
      <c r="BL105" t="e">
        <f>'Delivery Calculation'!459:459-"AM:!&amp;HZ"</f>
        <v>#VALUE!</v>
      </c>
      <c r="BM105" t="e">
        <f>'Delivery Calculation'!460:460-"AM:!&amp;H["</f>
        <v>#VALUE!</v>
      </c>
      <c r="BN105" t="e">
        <f>'Delivery Calculation'!461:461-"AM:!&amp;H\"</f>
        <v>#VALUE!</v>
      </c>
      <c r="BO105" t="e">
        <f>'Delivery Calculation'!462:462-"AM:!&amp;H]"</f>
        <v>#VALUE!</v>
      </c>
      <c r="BP105" t="e">
        <f>'Delivery Calculation'!463:463-"AM:!&amp;H^"</f>
        <v>#VALUE!</v>
      </c>
      <c r="BQ105" t="e">
        <f>'Delivery Calculation'!464:464-"AM:!&amp;H_"</f>
        <v>#VALUE!</v>
      </c>
      <c r="BR105" t="e">
        <f>'Delivery Calculation'!465:465-"AM:!&amp;H`"</f>
        <v>#VALUE!</v>
      </c>
      <c r="BS105" t="e">
        <f>'Delivery Calculation'!466:466-"AM:!&amp;Ha"</f>
        <v>#VALUE!</v>
      </c>
      <c r="BT105" t="e">
        <f>'Delivery Calculation'!467:467-"AM:!&amp;Hb"</f>
        <v>#VALUE!</v>
      </c>
      <c r="BU105" t="e">
        <f>'Delivery Calculation'!468:468-"AM:!&amp;Hc"</f>
        <v>#VALUE!</v>
      </c>
      <c r="BV105" t="e">
        <f>'Delivery Calculation'!469:469-"AM:!&amp;Hd"</f>
        <v>#VALUE!</v>
      </c>
      <c r="BW105" t="e">
        <f>'Delivery Calculation'!470:470-"AM:!&amp;He"</f>
        <v>#VALUE!</v>
      </c>
      <c r="BX105" t="e">
        <f>'Delivery Calculation'!471:471-"AM:!&amp;Hf"</f>
        <v>#VALUE!</v>
      </c>
      <c r="BY105" t="e">
        <f>'Delivery Calculation'!472:472-"AM:!&amp;Hg"</f>
        <v>#VALUE!</v>
      </c>
      <c r="BZ105" t="e">
        <f>'Delivery Calculation'!473:473-"AM:!&amp;Hh"</f>
        <v>#VALUE!</v>
      </c>
      <c r="CA105" t="e">
        <f>'Delivery Calculation'!A1+"AM:!&amp;Hi"</f>
        <v>#VALUE!</v>
      </c>
      <c r="CB105" t="e">
        <f>'Delivery Calculation'!B1+"AM:!&amp;Hj"</f>
        <v>#VALUE!</v>
      </c>
      <c r="CC105" t="e">
        <f>'Delivery Calculation'!C1+"AM:!&amp;Hk"</f>
        <v>#VALUE!</v>
      </c>
      <c r="CD105" t="e">
        <f>'Delivery Calculation'!D1+"AM:!&amp;Hl"</f>
        <v>#VALUE!</v>
      </c>
      <c r="CE105" t="e">
        <f>'Delivery Calculation'!E1+"AM:!&amp;Hm"</f>
        <v>#VALUE!</v>
      </c>
      <c r="CF105" t="e">
        <f>'Delivery Calculation'!F1+"AM:!&amp;Hn"</f>
        <v>#VALUE!</v>
      </c>
      <c r="CG105" t="e">
        <f>'Delivery Calculation'!G1+"AM:!&amp;Ho"</f>
        <v>#VALUE!</v>
      </c>
      <c r="CH105" t="e">
        <f>'Delivery Calculation'!H1+"AM:!&amp;Hp"</f>
        <v>#VALUE!</v>
      </c>
      <c r="CI105" t="e">
        <f>'Delivery Calculation'!I1+"AM:!&amp;Hq"</f>
        <v>#VALUE!</v>
      </c>
      <c r="CJ105" t="e">
        <f>'Delivery Calculation'!J1+"AM:!&amp;Hr"</f>
        <v>#VALUE!</v>
      </c>
      <c r="CK105" t="e">
        <f>'Delivery Calculation'!K1+"AM:!&amp;Hs"</f>
        <v>#VALUE!</v>
      </c>
      <c r="CL105" t="e">
        <f>'Delivery Calculation'!L1+"AM:!&amp;Ht"</f>
        <v>#VALUE!</v>
      </c>
      <c r="CM105" t="e">
        <f>'Delivery Calculation'!M1+"AM:!&amp;Hu"</f>
        <v>#VALUE!</v>
      </c>
      <c r="CN105" t="e">
        <f>'Delivery Calculation'!N1+"AM:!&amp;Hv"</f>
        <v>#VALUE!</v>
      </c>
      <c r="CO105" t="e">
        <f>'Delivery Calculation'!O1+"AM:!&amp;Hw"</f>
        <v>#VALUE!</v>
      </c>
      <c r="CP105" t="e">
        <f>'Delivery Calculation'!P1+"AM:!&amp;Hx"</f>
        <v>#VALUE!</v>
      </c>
      <c r="CQ105" t="e">
        <f>'Delivery Calculation'!Q1+"AM:!&amp;Hy"</f>
        <v>#VALUE!</v>
      </c>
      <c r="CR105" t="e">
        <f>'Delivery Calculation'!R1+"AM:!&amp;Hz"</f>
        <v>#VALUE!</v>
      </c>
      <c r="CS105" t="e">
        <f>'Delivery Calculation'!S1+"AM:!&amp;H{"</f>
        <v>#VALUE!</v>
      </c>
      <c r="CT105" t="e">
        <f>'Delivery Calculation'!T1+"AM:!&amp;H|"</f>
        <v>#VALUE!</v>
      </c>
      <c r="CU105" t="e">
        <f>'Delivery Calculation'!A2+"AM:!&amp;H}"</f>
        <v>#VALUE!</v>
      </c>
      <c r="CV105" t="e">
        <f>'Delivery Calculation'!B2+"AM:!&amp;H~"</f>
        <v>#VALUE!</v>
      </c>
      <c r="CW105" t="e">
        <f>'Delivery Calculation'!C2+"AM:!&amp;I#"</f>
        <v>#VALUE!</v>
      </c>
      <c r="CX105" t="e">
        <f>'Delivery Calculation'!D2+"AM:!&amp;I$"</f>
        <v>#VALUE!</v>
      </c>
      <c r="CY105" t="e">
        <f>'Delivery Calculation'!E2+"AM:!&amp;I%"</f>
        <v>#VALUE!</v>
      </c>
      <c r="CZ105" t="e">
        <f>'Delivery Calculation'!F2+"AM:!&amp;I&amp;"</f>
        <v>#VALUE!</v>
      </c>
      <c r="DA105" t="e">
        <f>'Delivery Calculation'!H2+"AM:!&amp;I'"</f>
        <v>#VALUE!</v>
      </c>
      <c r="DB105" t="e">
        <f>'Delivery Calculation'!I2+"AM:!&amp;I("</f>
        <v>#VALUE!</v>
      </c>
      <c r="DC105" t="e">
        <f>'Delivery Calculation'!J2+"AM:!&amp;I)"</f>
        <v>#VALUE!</v>
      </c>
      <c r="DD105" t="e">
        <f>'Delivery Calculation'!K2+"AM:!&amp;I."</f>
        <v>#VALUE!</v>
      </c>
      <c r="DE105" t="e">
        <f>'Delivery Calculation'!L2+"AM:!&amp;I/"</f>
        <v>#VALUE!</v>
      </c>
      <c r="DF105" t="e">
        <f>'Delivery Calculation'!M2+"AM:!&amp;I0"</f>
        <v>#VALUE!</v>
      </c>
      <c r="DG105" t="e">
        <f>'Delivery Calculation'!N2+"AM:!&amp;I1"</f>
        <v>#VALUE!</v>
      </c>
      <c r="DH105" t="e">
        <f>'Delivery Calculation'!O2+"AM:!&amp;I2"</f>
        <v>#VALUE!</v>
      </c>
      <c r="DI105" t="e">
        <f>'Delivery Calculation'!P2+"AM:!&amp;I3"</f>
        <v>#VALUE!</v>
      </c>
      <c r="DJ105" t="e">
        <f>'Delivery Calculation'!Q2+"AM:!&amp;I4"</f>
        <v>#VALUE!</v>
      </c>
      <c r="DK105" t="e">
        <f>'Delivery Calculation'!R2+"AM:!&amp;I5"</f>
        <v>#VALUE!</v>
      </c>
      <c r="DL105" t="e">
        <f>'Delivery Calculation'!S2+"AM:!&amp;I6"</f>
        <v>#VALUE!</v>
      </c>
      <c r="DM105" t="e">
        <f>'Delivery Calculation'!T2+"AM:!&amp;I7"</f>
        <v>#VALUE!</v>
      </c>
      <c r="DN105" t="e">
        <f>'Delivery Calculation'!A3+"AM:!&amp;I8"</f>
        <v>#VALUE!</v>
      </c>
      <c r="DO105" t="e">
        <f>'Delivery Calculation'!B3+"AM:!&amp;I9"</f>
        <v>#VALUE!</v>
      </c>
      <c r="DP105" t="e">
        <f>'Delivery Calculation'!C3+"AM:!&amp;I:"</f>
        <v>#VALUE!</v>
      </c>
      <c r="DQ105" t="e">
        <f>'Delivery Calculation'!D3+"AM:!&amp;I;"</f>
        <v>#VALUE!</v>
      </c>
      <c r="DR105" t="e">
        <f>'Delivery Calculation'!E3+"AM:!&amp;I&lt;"</f>
        <v>#VALUE!</v>
      </c>
      <c r="DS105" t="e">
        <f>'Delivery Calculation'!F3+"AM:!&amp;I="</f>
        <v>#VALUE!</v>
      </c>
      <c r="DT105" t="e">
        <f>'Delivery Calculation'!H3+"AM:!&amp;I&gt;"</f>
        <v>#VALUE!</v>
      </c>
      <c r="DU105" t="e">
        <f>'Delivery Calculation'!I3+"AM:!&amp;I?"</f>
        <v>#VALUE!</v>
      </c>
      <c r="DV105" t="e">
        <f>'Delivery Calculation'!J3+"AM:!&amp;I@"</f>
        <v>#VALUE!</v>
      </c>
      <c r="DW105" t="e">
        <f>'Delivery Calculation'!K3+"AM:!&amp;IA"</f>
        <v>#VALUE!</v>
      </c>
      <c r="DX105" t="e">
        <f>'Delivery Calculation'!L3+"AM:!&amp;IB"</f>
        <v>#VALUE!</v>
      </c>
      <c r="DY105" t="e">
        <f>'Delivery Calculation'!M3+"AM:!&amp;IC"</f>
        <v>#VALUE!</v>
      </c>
      <c r="DZ105" t="e">
        <f>'Delivery Calculation'!N3+"AM:!&amp;ID"</f>
        <v>#VALUE!</v>
      </c>
      <c r="EA105" t="e">
        <f>'Delivery Calculation'!O3+"AM:!&amp;IE"</f>
        <v>#VALUE!</v>
      </c>
      <c r="EB105" t="e">
        <f>'Delivery Calculation'!P3+"AM:!&amp;IF"</f>
        <v>#VALUE!</v>
      </c>
      <c r="EC105" t="e">
        <f>'Delivery Calculation'!Q3+"AM:!&amp;IG"</f>
        <v>#VALUE!</v>
      </c>
      <c r="ED105" t="e">
        <f>'Delivery Calculation'!R3+"AM:!&amp;IH"</f>
        <v>#VALUE!</v>
      </c>
      <c r="EE105" t="e">
        <f>'Delivery Calculation'!S3+"AM:!&amp;II"</f>
        <v>#VALUE!</v>
      </c>
      <c r="EF105" t="e">
        <f>'Delivery Calculation'!T3+"AM:!&amp;IJ"</f>
        <v>#VALUE!</v>
      </c>
      <c r="EG105" t="e">
        <f>'Delivery Calculation'!A4+"AM:!&amp;IK"</f>
        <v>#VALUE!</v>
      </c>
      <c r="EH105" t="e">
        <f>'Delivery Calculation'!B4+"AM:!&amp;IL"</f>
        <v>#VALUE!</v>
      </c>
      <c r="EI105" t="e">
        <f>'Delivery Calculation'!C4+"AM:!&amp;IM"</f>
        <v>#VALUE!</v>
      </c>
      <c r="EJ105" t="e">
        <f>'Delivery Calculation'!D4+"AM:!&amp;IN"</f>
        <v>#VALUE!</v>
      </c>
      <c r="EK105" t="e">
        <f>'Delivery Calculation'!E4+"AM:!&amp;IO"</f>
        <v>#VALUE!</v>
      </c>
      <c r="EL105" t="e">
        <f>'Delivery Calculation'!F4+"AM:!&amp;IP"</f>
        <v>#VALUE!</v>
      </c>
      <c r="EM105" t="e">
        <f>'Delivery Calculation'!G4+"AM:!&amp;IQ"</f>
        <v>#VALUE!</v>
      </c>
      <c r="EN105" t="e">
        <f>'Delivery Calculation'!H4+"AM:!&amp;IR"</f>
        <v>#VALUE!</v>
      </c>
      <c r="EO105" t="e">
        <f>'Delivery Calculation'!I4+"AM:!&amp;IS"</f>
        <v>#VALUE!</v>
      </c>
      <c r="EP105" t="e">
        <f>'Delivery Calculation'!J4+"AM:!&amp;IT"</f>
        <v>#VALUE!</v>
      </c>
      <c r="EQ105" t="e">
        <f>'Delivery Calculation'!K4+"AM:!&amp;IU"</f>
        <v>#VALUE!</v>
      </c>
      <c r="ER105" t="e">
        <f>'Delivery Calculation'!L4+"AM:!&amp;IV"</f>
        <v>#VALUE!</v>
      </c>
      <c r="ES105" t="e">
        <f>'Delivery Calculation'!M4+"AM:!&amp;IW"</f>
        <v>#VALUE!</v>
      </c>
      <c r="ET105" t="e">
        <f>'Delivery Calculation'!N4+"AM:!&amp;IX"</f>
        <v>#VALUE!</v>
      </c>
      <c r="EU105" t="e">
        <f>'Delivery Calculation'!O4+"AM:!&amp;IY"</f>
        <v>#VALUE!</v>
      </c>
      <c r="EV105" t="e">
        <f>'Delivery Calculation'!P4+"AM:!&amp;IZ"</f>
        <v>#VALUE!</v>
      </c>
      <c r="EW105" t="e">
        <f>'Delivery Calculation'!Q4+"AM:!&amp;I["</f>
        <v>#VALUE!</v>
      </c>
      <c r="EX105" t="e">
        <f>'Delivery Calculation'!R4+"AM:!&amp;I\"</f>
        <v>#VALUE!</v>
      </c>
      <c r="EY105" t="e">
        <f>'Delivery Calculation'!S4+"AM:!&amp;I]"</f>
        <v>#VALUE!</v>
      </c>
      <c r="EZ105" t="e">
        <f>'Delivery Calculation'!T4+"AM:!&amp;I^"</f>
        <v>#VALUE!</v>
      </c>
      <c r="FA105" t="e">
        <f>'Delivery Calculation'!A5+"AM:!&amp;I_"</f>
        <v>#VALUE!</v>
      </c>
      <c r="FB105" t="e">
        <f>'Delivery Calculation'!B5+"AM:!&amp;I`"</f>
        <v>#VALUE!</v>
      </c>
      <c r="FC105" t="e">
        <f>'Delivery Calculation'!C5+"AM:!&amp;Ia"</f>
        <v>#VALUE!</v>
      </c>
      <c r="FD105" t="e">
        <f>'Delivery Calculation'!D5+"AM:!&amp;Ib"</f>
        <v>#VALUE!</v>
      </c>
      <c r="FE105" t="e">
        <f>'Delivery Calculation'!E5+"AM:!&amp;Ic"</f>
        <v>#VALUE!</v>
      </c>
      <c r="FF105" t="e">
        <f>'Delivery Calculation'!F5+"AM:!&amp;Id"</f>
        <v>#VALUE!</v>
      </c>
      <c r="FG105" t="e">
        <f>'Delivery Calculation'!G5+"AM:!&amp;Ie"</f>
        <v>#VALUE!</v>
      </c>
      <c r="FH105" t="e">
        <f>'Delivery Calculation'!H5+"AM:!&amp;If"</f>
        <v>#VALUE!</v>
      </c>
      <c r="FI105" t="e">
        <f>'Delivery Calculation'!I5+"AM:!&amp;Ig"</f>
        <v>#VALUE!</v>
      </c>
      <c r="FJ105" t="e">
        <f>'Delivery Calculation'!J5+"AM:!&amp;Ih"</f>
        <v>#VALUE!</v>
      </c>
      <c r="FK105" t="e">
        <f>'Delivery Calculation'!K5+"AM:!&amp;Ii"</f>
        <v>#VALUE!</v>
      </c>
      <c r="FL105" t="e">
        <f>'Delivery Calculation'!L5+"AM:!&amp;Ij"</f>
        <v>#VALUE!</v>
      </c>
      <c r="FM105" t="e">
        <f>'Delivery Calculation'!M5+"AM:!&amp;Ik"</f>
        <v>#VALUE!</v>
      </c>
      <c r="FN105" t="e">
        <f>'Delivery Calculation'!N5+"AM:!&amp;Il"</f>
        <v>#VALUE!</v>
      </c>
      <c r="FO105" t="e">
        <f>'Delivery Calculation'!O5+"AM:!&amp;Im"</f>
        <v>#VALUE!</v>
      </c>
      <c r="FP105" t="e">
        <f>'Delivery Calculation'!P5+"AM:!&amp;In"</f>
        <v>#VALUE!</v>
      </c>
      <c r="FQ105" t="e">
        <f>'Delivery Calculation'!Q5+"AM:!&amp;Io"</f>
        <v>#VALUE!</v>
      </c>
      <c r="FR105" t="e">
        <f>'Delivery Calculation'!R5+"AM:!&amp;Ip"</f>
        <v>#VALUE!</v>
      </c>
      <c r="FS105" t="e">
        <f>'Delivery Calculation'!S5+"AM:!&amp;Iq"</f>
        <v>#VALUE!</v>
      </c>
      <c r="FT105" t="e">
        <f>'Delivery Calculation'!T5+"AM:!&amp;Ir"</f>
        <v>#VALUE!</v>
      </c>
      <c r="FU105" t="e">
        <f>'Delivery Calculation'!U5+"AM:!&amp;Is"</f>
        <v>#VALUE!</v>
      </c>
      <c r="FV105" t="e">
        <f>'Delivery Calculation'!V5+"AM:!&amp;It"</f>
        <v>#VALUE!</v>
      </c>
      <c r="FW105" t="e">
        <f>'Delivery Calculation'!W5+"AM:!&amp;Iu"</f>
        <v>#VALUE!</v>
      </c>
      <c r="FX105" t="e">
        <f>'Delivery Calculation'!X5+"AM:!&amp;Iv"</f>
        <v>#VALUE!</v>
      </c>
      <c r="FY105" t="e">
        <f>'Delivery Calculation'!Y5+"AM:!&amp;Iw"</f>
        <v>#VALUE!</v>
      </c>
      <c r="FZ105" t="e">
        <f>'Delivery Calculation'!Z5+"AM:!&amp;Ix"</f>
        <v>#VALUE!</v>
      </c>
      <c r="GA105" t="e">
        <f>'Delivery Calculation'!AA5+"AM:!&amp;Iy"</f>
        <v>#VALUE!</v>
      </c>
      <c r="GB105" t="e">
        <f>'Delivery Calculation'!AB5+"AM:!&amp;Iz"</f>
        <v>#VALUE!</v>
      </c>
      <c r="GC105" t="e">
        <f>'Delivery Calculation'!AC5+"AM:!&amp;I{"</f>
        <v>#VALUE!</v>
      </c>
      <c r="GD105" t="e">
        <f>'Delivery Calculation'!AD5+"AM:!&amp;I|"</f>
        <v>#VALUE!</v>
      </c>
      <c r="GE105" t="e">
        <f>'Delivery Calculation'!AE5+"AM:!&amp;I}"</f>
        <v>#VALUE!</v>
      </c>
      <c r="GF105" t="e">
        <f>'Delivery Calculation'!AF5+"AM:!&amp;I~"</f>
        <v>#VALUE!</v>
      </c>
      <c r="GG105" t="e">
        <f>'Delivery Calculation'!AG5+"AM:!&amp;J#"</f>
        <v>#VALUE!</v>
      </c>
      <c r="GH105" t="e">
        <f>'Delivery Calculation'!AH5+"AM:!&amp;J$"</f>
        <v>#VALUE!</v>
      </c>
      <c r="GI105" t="e">
        <f>'Delivery Calculation'!AI5+"AM:!&amp;J%"</f>
        <v>#VALUE!</v>
      </c>
      <c r="GJ105" t="e">
        <f>'Delivery Calculation'!AJ5+"AM:!&amp;J&amp;"</f>
        <v>#VALUE!</v>
      </c>
      <c r="GK105" t="e">
        <f>'Delivery Calculation'!AK5+"AM:!&amp;J'"</f>
        <v>#VALUE!</v>
      </c>
      <c r="GL105" t="e">
        <f>'Delivery Calculation'!AL5+"AM:!&amp;J("</f>
        <v>#VALUE!</v>
      </c>
      <c r="GM105" t="e">
        <f>'Delivery Calculation'!AM5+"AM:!&amp;J)"</f>
        <v>#VALUE!</v>
      </c>
      <c r="GN105" t="e">
        <f>'Delivery Calculation'!AN5+"AM:!&amp;J."</f>
        <v>#VALUE!</v>
      </c>
      <c r="GO105" t="e">
        <f>'Delivery Calculation'!AO5+"AM:!&amp;J/"</f>
        <v>#VALUE!</v>
      </c>
      <c r="GP105" t="e">
        <f>'Delivery Calculation'!AP5+"AM:!&amp;J0"</f>
        <v>#VALUE!</v>
      </c>
      <c r="GQ105" t="e">
        <f>'Delivery Calculation'!AQ5+"AM:!&amp;J1"</f>
        <v>#VALUE!</v>
      </c>
      <c r="GR105" t="e">
        <f>'Delivery Calculation'!AR5+"AM:!&amp;J2"</f>
        <v>#VALUE!</v>
      </c>
      <c r="GS105" t="e">
        <f>'Delivery Calculation'!AS5+"AM:!&amp;J3"</f>
        <v>#VALUE!</v>
      </c>
      <c r="GT105" t="e">
        <f>'Delivery Calculation'!AT5+"AM:!&amp;J4"</f>
        <v>#VALUE!</v>
      </c>
      <c r="GU105" t="e">
        <f>'Delivery Calculation'!AU5+"AM:!&amp;J5"</f>
        <v>#VALUE!</v>
      </c>
      <c r="GV105" t="e">
        <f>'Delivery Calculation'!AV5+"AM:!&amp;J6"</f>
        <v>#VALUE!</v>
      </c>
      <c r="GW105" t="e">
        <f>'Delivery Calculation'!AW5+"AM:!&amp;J7"</f>
        <v>#VALUE!</v>
      </c>
      <c r="GX105" t="e">
        <f>'Delivery Calculation'!AX5+"AM:!&amp;J8"</f>
        <v>#VALUE!</v>
      </c>
      <c r="GY105" t="e">
        <f>'Delivery Calculation'!AY5+"AM:!&amp;J9"</f>
        <v>#VALUE!</v>
      </c>
      <c r="GZ105" t="e">
        <f>'Delivery Calculation'!AZ5+"AM:!&amp;J:"</f>
        <v>#VALUE!</v>
      </c>
      <c r="HA105" t="e">
        <f>'Delivery Calculation'!A6+"AM:!&amp;J;"</f>
        <v>#VALUE!</v>
      </c>
      <c r="HB105" t="e">
        <f>'Delivery Calculation'!B6+"AM:!&amp;J&lt;"</f>
        <v>#VALUE!</v>
      </c>
      <c r="HC105" t="e">
        <f>'Delivery Calculation'!C6+"AM:!&amp;J="</f>
        <v>#VALUE!</v>
      </c>
      <c r="HD105" t="e">
        <f>'Delivery Calculation'!D6+"AM:!&amp;J&gt;"</f>
        <v>#VALUE!</v>
      </c>
      <c r="HE105" t="e">
        <f>'Delivery Calculation'!E6+"AM:!&amp;J?"</f>
        <v>#VALUE!</v>
      </c>
      <c r="HF105" t="e">
        <f>'Delivery Calculation'!F6+"AM:!&amp;J@"</f>
        <v>#VALUE!</v>
      </c>
      <c r="HG105" t="e">
        <f>'Delivery Calculation'!G6+"AM:!&amp;JA"</f>
        <v>#VALUE!</v>
      </c>
      <c r="HH105" t="e">
        <f>'Delivery Calculation'!H6+"AM:!&amp;JB"</f>
        <v>#VALUE!</v>
      </c>
      <c r="HI105" t="e">
        <f>'Delivery Calculation'!I6+"AM:!&amp;JC"</f>
        <v>#VALUE!</v>
      </c>
      <c r="HJ105" t="e">
        <f>'Delivery Calculation'!J6+"AM:!&amp;JD"</f>
        <v>#VALUE!</v>
      </c>
      <c r="HK105" t="e">
        <f>'Delivery Calculation'!K6+"AM:!&amp;JE"</f>
        <v>#VALUE!</v>
      </c>
      <c r="HL105" t="e">
        <f>'Delivery Calculation'!L6+"AM:!&amp;JF"</f>
        <v>#VALUE!</v>
      </c>
      <c r="HM105" t="e">
        <f>'Delivery Calculation'!M6+"AM:!&amp;JG"</f>
        <v>#VALUE!</v>
      </c>
      <c r="HN105" t="e">
        <f>'Delivery Calculation'!N6+"AM:!&amp;JH"</f>
        <v>#VALUE!</v>
      </c>
      <c r="HO105" t="e">
        <f>'Delivery Calculation'!O6+"AM:!&amp;JI"</f>
        <v>#VALUE!</v>
      </c>
      <c r="HP105" t="e">
        <f>'Delivery Calculation'!P6+"AM:!&amp;JJ"</f>
        <v>#VALUE!</v>
      </c>
      <c r="HQ105" t="e">
        <f>'Delivery Calculation'!Q6+"AM:!&amp;JK"</f>
        <v>#VALUE!</v>
      </c>
      <c r="HR105" t="e">
        <f>'Delivery Calculation'!R6+"AM:!&amp;JL"</f>
        <v>#VALUE!</v>
      </c>
      <c r="HS105" t="e">
        <f>'Delivery Calculation'!S6+"AM:!&amp;JM"</f>
        <v>#VALUE!</v>
      </c>
      <c r="HT105" t="e">
        <f>'Delivery Calculation'!T6+"AM:!&amp;JN"</f>
        <v>#VALUE!</v>
      </c>
      <c r="HU105" t="e">
        <f>'Delivery Calculation'!U6+"AM:!&amp;JO"</f>
        <v>#VALUE!</v>
      </c>
      <c r="HV105" t="e">
        <f>'Delivery Calculation'!V6+"AM:!&amp;JP"</f>
        <v>#VALUE!</v>
      </c>
      <c r="HW105" t="e">
        <f>'Delivery Calculation'!W6+"AM:!&amp;JQ"</f>
        <v>#VALUE!</v>
      </c>
      <c r="HX105" t="e">
        <f>'Delivery Calculation'!X6+"AM:!&amp;JR"</f>
        <v>#VALUE!</v>
      </c>
      <c r="HY105" t="e">
        <f>'Delivery Calculation'!Y6+"AM:!&amp;JS"</f>
        <v>#VALUE!</v>
      </c>
      <c r="HZ105" t="e">
        <f>'Delivery Calculation'!Z6+"AM:!&amp;JT"</f>
        <v>#VALUE!</v>
      </c>
      <c r="IA105" t="e">
        <f>'Delivery Calculation'!AA6+"AM:!&amp;JU"</f>
        <v>#VALUE!</v>
      </c>
      <c r="IB105" t="e">
        <f>'Delivery Calculation'!AB6+"AM:!&amp;JV"</f>
        <v>#VALUE!</v>
      </c>
      <c r="IC105" t="e">
        <f>'Delivery Calculation'!AC6+"AM:!&amp;JW"</f>
        <v>#VALUE!</v>
      </c>
      <c r="ID105" t="e">
        <f>'Delivery Calculation'!AD6+"AM:!&amp;JX"</f>
        <v>#VALUE!</v>
      </c>
      <c r="IE105" t="e">
        <f>'Delivery Calculation'!AE6+"AM:!&amp;JY"</f>
        <v>#VALUE!</v>
      </c>
      <c r="IF105" t="e">
        <f>'Delivery Calculation'!AF6+"AM:!&amp;JZ"</f>
        <v>#VALUE!</v>
      </c>
      <c r="IG105" t="e">
        <f>'Delivery Calculation'!AG6+"AM:!&amp;J["</f>
        <v>#VALUE!</v>
      </c>
      <c r="IH105" t="e">
        <f>'Delivery Calculation'!AH6+"AM:!&amp;J\"</f>
        <v>#VALUE!</v>
      </c>
      <c r="II105" t="e">
        <f>'Delivery Calculation'!AI6+"AM:!&amp;J]"</f>
        <v>#VALUE!</v>
      </c>
      <c r="IJ105" t="e">
        <f>'Delivery Calculation'!AJ6+"AM:!&amp;J^"</f>
        <v>#VALUE!</v>
      </c>
      <c r="IK105" t="e">
        <f>'Delivery Calculation'!AK6+"AM:!&amp;J_"</f>
        <v>#VALUE!</v>
      </c>
      <c r="IL105" t="e">
        <f>'Delivery Calculation'!AL6+"AM:!&amp;J`"</f>
        <v>#VALUE!</v>
      </c>
      <c r="IM105" t="e">
        <f>'Delivery Calculation'!AM6+"AM:!&amp;Ja"</f>
        <v>#VALUE!</v>
      </c>
      <c r="IN105" t="e">
        <f>'Delivery Calculation'!AN6+"AM:!&amp;Jb"</f>
        <v>#VALUE!</v>
      </c>
      <c r="IO105" t="e">
        <f>'Delivery Calculation'!AO6+"AM:!&amp;Jc"</f>
        <v>#VALUE!</v>
      </c>
      <c r="IP105" t="e">
        <f>'Delivery Calculation'!AP6+"AM:!&amp;Jd"</f>
        <v>#VALUE!</v>
      </c>
      <c r="IQ105" t="e">
        <f>'Delivery Calculation'!AQ6+"AM:!&amp;Je"</f>
        <v>#VALUE!</v>
      </c>
      <c r="IR105" t="e">
        <f>'Delivery Calculation'!AR6+"AM:!&amp;Jf"</f>
        <v>#VALUE!</v>
      </c>
      <c r="IS105" t="e">
        <f>'Delivery Calculation'!AS6+"AM:!&amp;Jg"</f>
        <v>#VALUE!</v>
      </c>
      <c r="IT105" t="e">
        <f>'Delivery Calculation'!AT6+"AM:!&amp;Jh"</f>
        <v>#VALUE!</v>
      </c>
      <c r="IU105" t="e">
        <f>'Delivery Calculation'!AU6+"AM:!&amp;Ji"</f>
        <v>#VALUE!</v>
      </c>
      <c r="IV105" t="e">
        <f>'Delivery Calculation'!AV6+"AM:!&amp;Jj"</f>
        <v>#VALUE!</v>
      </c>
    </row>
    <row r="106" spans="6:256">
      <c r="F106" t="e">
        <f>'Delivery Calculation'!AW6+"AM:!&amp;Jk"</f>
        <v>#VALUE!</v>
      </c>
      <c r="G106" t="e">
        <f>'Delivery Calculation'!AX6+"AM:!&amp;Jl"</f>
        <v>#VALUE!</v>
      </c>
      <c r="H106" t="e">
        <f>'Delivery Calculation'!AY6+"AM:!&amp;Jm"</f>
        <v>#VALUE!</v>
      </c>
      <c r="I106" t="e">
        <f>'Delivery Calculation'!AZ6+"AM:!&amp;Jn"</f>
        <v>#VALUE!</v>
      </c>
      <c r="J106" t="e">
        <f>'Delivery Calculation'!A7+"AM:!&amp;Jo"</f>
        <v>#VALUE!</v>
      </c>
      <c r="K106" t="e">
        <f>'Delivery Calculation'!B7+"AM:!&amp;Jp"</f>
        <v>#VALUE!</v>
      </c>
      <c r="L106" t="e">
        <f>'Delivery Calculation'!C7+"AM:!&amp;Jq"</f>
        <v>#VALUE!</v>
      </c>
      <c r="M106" s="97" t="e">
        <f>'Delivery Calculation'!D7+"AM:!&amp;Jr"</f>
        <v>#VALUE!</v>
      </c>
      <c r="N106" s="97" t="e">
        <f>'Delivery Calculation'!E7+"AM:!&amp;Js"</f>
        <v>#VALUE!</v>
      </c>
      <c r="O106" t="e">
        <f>'Delivery Calculation'!F7+"AM:!&amp;Jt"</f>
        <v>#VALUE!</v>
      </c>
      <c r="P106" t="e">
        <f>'Delivery Calculation'!G7+"AM:!&amp;Ju"</f>
        <v>#VALUE!</v>
      </c>
      <c r="Q106" t="e">
        <f>'Delivery Calculation'!H7+"AM:!&amp;Jv"</f>
        <v>#VALUE!</v>
      </c>
      <c r="R106" t="e">
        <f>'Delivery Calculation'!I7+"AM:!&amp;Jw"</f>
        <v>#VALUE!</v>
      </c>
      <c r="S106" t="e">
        <f>'Delivery Calculation'!J7+"AM:!&amp;Jx"</f>
        <v>#VALUE!</v>
      </c>
      <c r="T106" t="e">
        <f>'Delivery Calculation'!K7+"AM:!&amp;Jy"</f>
        <v>#VALUE!</v>
      </c>
      <c r="U106" t="e">
        <f>'Delivery Calculation'!L7+"AM:!&amp;Jz"</f>
        <v>#VALUE!</v>
      </c>
      <c r="V106" t="e">
        <f>'Delivery Calculation'!M7+"AM:!&amp;J{"</f>
        <v>#VALUE!</v>
      </c>
      <c r="W106" t="e">
        <f>'Delivery Calculation'!N7+"AM:!&amp;J|"</f>
        <v>#VALUE!</v>
      </c>
      <c r="X106" t="e">
        <f>'Delivery Calculation'!O7+"AM:!&amp;J}"</f>
        <v>#VALUE!</v>
      </c>
      <c r="Y106" t="e">
        <f>'Delivery Calculation'!P7+"AM:!&amp;J~"</f>
        <v>#VALUE!</v>
      </c>
      <c r="Z106" t="e">
        <f>'Delivery Calculation'!Q7+"AM:!&amp;K#"</f>
        <v>#VALUE!</v>
      </c>
      <c r="AA106" t="e">
        <f>'Delivery Calculation'!R7+"AM:!&amp;K$"</f>
        <v>#VALUE!</v>
      </c>
      <c r="AB106" t="e">
        <f>'Delivery Calculation'!S7+"AM:!&amp;K%"</f>
        <v>#VALUE!</v>
      </c>
      <c r="AC106" t="e">
        <f>'Delivery Calculation'!T7+"AM:!&amp;K&amp;"</f>
        <v>#VALUE!</v>
      </c>
      <c r="AD106" t="e">
        <f>'Delivery Calculation'!U7+"AM:!&amp;K'"</f>
        <v>#VALUE!</v>
      </c>
      <c r="AE106" t="e">
        <f>'Delivery Calculation'!V7+"AM:!&amp;K("</f>
        <v>#VALUE!</v>
      </c>
      <c r="AF106" t="e">
        <f>'Delivery Calculation'!W7+"AM:!&amp;K)"</f>
        <v>#VALUE!</v>
      </c>
      <c r="AG106" t="e">
        <f>'Delivery Calculation'!X7+"AM:!&amp;K."</f>
        <v>#VALUE!</v>
      </c>
      <c r="AH106" t="e">
        <f>'Delivery Calculation'!Y7+"AM:!&amp;K/"</f>
        <v>#VALUE!</v>
      </c>
      <c r="AI106" t="e">
        <f>'Delivery Calculation'!Z7+"AM:!&amp;K0"</f>
        <v>#VALUE!</v>
      </c>
      <c r="AJ106" t="e">
        <f>'Delivery Calculation'!AA7+"AM:!&amp;K1"</f>
        <v>#VALUE!</v>
      </c>
      <c r="AK106" t="e">
        <f>'Delivery Calculation'!AB7+"AM:!&amp;K2"</f>
        <v>#VALUE!</v>
      </c>
      <c r="AL106" t="e">
        <f>'Delivery Calculation'!AC7+"AM:!&amp;K3"</f>
        <v>#VALUE!</v>
      </c>
      <c r="AM106" t="e">
        <f>'Delivery Calculation'!AD7+"AM:!&amp;K4"</f>
        <v>#VALUE!</v>
      </c>
      <c r="AN106" t="e">
        <f>'Delivery Calculation'!AE7+"AM:!&amp;K5"</f>
        <v>#VALUE!</v>
      </c>
      <c r="AO106" t="e">
        <f>'Delivery Calculation'!AF7+"AM:!&amp;K6"</f>
        <v>#VALUE!</v>
      </c>
      <c r="AP106" t="e">
        <f>'Delivery Calculation'!AG7+"AM:!&amp;K7"</f>
        <v>#VALUE!</v>
      </c>
      <c r="AQ106" t="e">
        <f>'Delivery Calculation'!AH7+"AM:!&amp;K8"</f>
        <v>#VALUE!</v>
      </c>
      <c r="AR106" t="e">
        <f>'Delivery Calculation'!AI7+"AM:!&amp;K9"</f>
        <v>#VALUE!</v>
      </c>
      <c r="AS106" t="e">
        <f>'Delivery Calculation'!AJ7+"AM:!&amp;K:"</f>
        <v>#VALUE!</v>
      </c>
      <c r="AT106" t="e">
        <f>'Delivery Calculation'!AK7+"AM:!&amp;K;"</f>
        <v>#VALUE!</v>
      </c>
      <c r="AU106" t="e">
        <f>'Delivery Calculation'!AL7+"AM:!&amp;K&lt;"</f>
        <v>#VALUE!</v>
      </c>
      <c r="AV106" t="e">
        <f>'Delivery Calculation'!AM7+"AM:!&amp;K="</f>
        <v>#VALUE!</v>
      </c>
      <c r="AW106" t="e">
        <f>'Delivery Calculation'!AN7+"AM:!&amp;K&gt;"</f>
        <v>#VALUE!</v>
      </c>
      <c r="AX106" t="e">
        <f>'Delivery Calculation'!AO7+"AM:!&amp;K?"</f>
        <v>#VALUE!</v>
      </c>
      <c r="AY106" t="e">
        <f>'Delivery Calculation'!AP7+"AM:!&amp;K@"</f>
        <v>#VALUE!</v>
      </c>
      <c r="AZ106" t="e">
        <f>'Delivery Calculation'!AQ7+"AM:!&amp;KA"</f>
        <v>#VALUE!</v>
      </c>
      <c r="BA106" t="e">
        <f>'Delivery Calculation'!AR7+"AM:!&amp;KB"</f>
        <v>#VALUE!</v>
      </c>
      <c r="BB106" t="e">
        <f>'Delivery Calculation'!AS7+"AM:!&amp;KC"</f>
        <v>#VALUE!</v>
      </c>
      <c r="BC106" t="e">
        <f>'Delivery Calculation'!AT7+"AM:!&amp;KD"</f>
        <v>#VALUE!</v>
      </c>
      <c r="BD106" t="e">
        <f>'Delivery Calculation'!AU7+"AM:!&amp;KE"</f>
        <v>#VALUE!</v>
      </c>
      <c r="BE106" t="e">
        <f>'Delivery Calculation'!AV7+"AM:!&amp;KF"</f>
        <v>#VALUE!</v>
      </c>
      <c r="BF106" t="e">
        <f>'Delivery Calculation'!AW7+"AM:!&amp;KG"</f>
        <v>#VALUE!</v>
      </c>
      <c r="BG106" t="e">
        <f>'Delivery Calculation'!AX7+"AM:!&amp;KH"</f>
        <v>#VALUE!</v>
      </c>
      <c r="BH106" t="e">
        <f>'Delivery Calculation'!AY7+"AM:!&amp;KI"</f>
        <v>#VALUE!</v>
      </c>
      <c r="BI106" t="e">
        <f>'Delivery Calculation'!AZ7+"AM:!&amp;KJ"</f>
        <v>#VALUE!</v>
      </c>
      <c r="BJ106" t="e">
        <f>'Delivery Calculation'!A8+"AM:!&amp;KK"</f>
        <v>#VALUE!</v>
      </c>
      <c r="BK106" t="e">
        <f>'Delivery Calculation'!B8+"AM:!&amp;KL"</f>
        <v>#VALUE!</v>
      </c>
      <c r="BL106" t="e">
        <f>'Delivery Calculation'!C8+"AM:!&amp;KM"</f>
        <v>#VALUE!</v>
      </c>
      <c r="BM106" s="97" t="e">
        <f ca="1">'Delivery Calculation'!D8+"AM:!&amp;KN"</f>
        <v>#VALUE!</v>
      </c>
      <c r="BN106" s="97" t="e">
        <f>'Delivery Calculation'!E8+"AM:!&amp;KO"</f>
        <v>#VALUE!</v>
      </c>
      <c r="BO106" t="e">
        <f>'Delivery Calculation'!F8+"AM:!&amp;KP"</f>
        <v>#VALUE!</v>
      </c>
      <c r="BP106" t="e">
        <f>'Delivery Calculation'!G8+"AM:!&amp;KQ"</f>
        <v>#VALUE!</v>
      </c>
      <c r="BQ106" t="e">
        <f>'Delivery Calculation'!H8+"AM:!&amp;KR"</f>
        <v>#VALUE!</v>
      </c>
      <c r="BR106" t="e">
        <f>'Delivery Calculation'!I8+"AM:!&amp;KS"</f>
        <v>#VALUE!</v>
      </c>
      <c r="BS106" t="e">
        <f>'Delivery Calculation'!J8+"AM:!&amp;KT"</f>
        <v>#VALUE!</v>
      </c>
      <c r="BT106" t="e">
        <f>'Delivery Calculation'!K8+"AM:!&amp;KU"</f>
        <v>#VALUE!</v>
      </c>
      <c r="BU106" t="e">
        <f>'Delivery Calculation'!L8+"AM:!&amp;KV"</f>
        <v>#VALUE!</v>
      </c>
      <c r="BV106" t="e">
        <f>'Delivery Calculation'!M8+"AM:!&amp;KW"</f>
        <v>#VALUE!</v>
      </c>
      <c r="BW106" t="e">
        <f>'Delivery Calculation'!N8+"AM:!&amp;KX"</f>
        <v>#VALUE!</v>
      </c>
      <c r="BX106" t="e">
        <f>'Delivery Calculation'!O8+"AM:!&amp;KY"</f>
        <v>#VALUE!</v>
      </c>
      <c r="BY106" t="e">
        <f>'Delivery Calculation'!P8+"AM:!&amp;KZ"</f>
        <v>#VALUE!</v>
      </c>
      <c r="BZ106" t="e">
        <f>'Delivery Calculation'!Q8+"AM:!&amp;K["</f>
        <v>#VALUE!</v>
      </c>
      <c r="CA106" t="e">
        <f>'Delivery Calculation'!R8+"AM:!&amp;K\"</f>
        <v>#VALUE!</v>
      </c>
      <c r="CB106" t="e">
        <f>'Delivery Calculation'!S8+"AM:!&amp;K]"</f>
        <v>#VALUE!</v>
      </c>
      <c r="CC106" t="e">
        <f>'Delivery Calculation'!T8+"AM:!&amp;K^"</f>
        <v>#VALUE!</v>
      </c>
      <c r="CD106" t="e">
        <f>'Delivery Calculation'!U8+"AM:!&amp;K_"</f>
        <v>#VALUE!</v>
      </c>
      <c r="CE106" t="e">
        <f>'Delivery Calculation'!V8+"AM:!&amp;K`"</f>
        <v>#VALUE!</v>
      </c>
      <c r="CF106" t="e">
        <f>'Delivery Calculation'!W8+"AM:!&amp;Ka"</f>
        <v>#VALUE!</v>
      </c>
      <c r="CG106" t="e">
        <f>'Delivery Calculation'!X8+"AM:!&amp;Kb"</f>
        <v>#VALUE!</v>
      </c>
      <c r="CH106" t="e">
        <f>'Delivery Calculation'!Y8+"AM:!&amp;Kc"</f>
        <v>#VALUE!</v>
      </c>
      <c r="CI106" t="e">
        <f>'Delivery Calculation'!Z8+"AM:!&amp;Kd"</f>
        <v>#VALUE!</v>
      </c>
      <c r="CJ106" t="e">
        <f>'Delivery Calculation'!AA8+"AM:!&amp;Ke"</f>
        <v>#VALUE!</v>
      </c>
      <c r="CK106" t="e">
        <f>'Delivery Calculation'!AB8+"AM:!&amp;Kf"</f>
        <v>#VALUE!</v>
      </c>
      <c r="CL106" t="e">
        <f>'Delivery Calculation'!AC8+"AM:!&amp;Kg"</f>
        <v>#VALUE!</v>
      </c>
      <c r="CM106" t="e">
        <f>'Delivery Calculation'!AD8+"AM:!&amp;Kh"</f>
        <v>#VALUE!</v>
      </c>
      <c r="CN106" t="e">
        <f>'Delivery Calculation'!AE8+"AM:!&amp;Ki"</f>
        <v>#VALUE!</v>
      </c>
      <c r="CO106" t="e">
        <f>'Delivery Calculation'!AF8+"AM:!&amp;Kj"</f>
        <v>#VALUE!</v>
      </c>
      <c r="CP106" t="e">
        <f>'Delivery Calculation'!AG8+"AM:!&amp;Kk"</f>
        <v>#VALUE!</v>
      </c>
      <c r="CQ106" t="e">
        <f>'Delivery Calculation'!AH8+"AM:!&amp;Kl"</f>
        <v>#VALUE!</v>
      </c>
      <c r="CR106" t="e">
        <f>'Delivery Calculation'!AI8+"AM:!&amp;Km"</f>
        <v>#VALUE!</v>
      </c>
      <c r="CS106" t="e">
        <f>'Delivery Calculation'!AJ8+"AM:!&amp;Kn"</f>
        <v>#VALUE!</v>
      </c>
      <c r="CT106" t="e">
        <f>'Delivery Calculation'!AK8+"AM:!&amp;Ko"</f>
        <v>#VALUE!</v>
      </c>
      <c r="CU106" t="e">
        <f>'Delivery Calculation'!AL8+"AM:!&amp;Kp"</f>
        <v>#VALUE!</v>
      </c>
      <c r="CV106" t="e">
        <f>'Delivery Calculation'!AM8+"AM:!&amp;Kq"</f>
        <v>#VALUE!</v>
      </c>
      <c r="CW106" t="e">
        <f>'Delivery Calculation'!AN8+"AM:!&amp;Kr"</f>
        <v>#VALUE!</v>
      </c>
      <c r="CX106" t="e">
        <f>'Delivery Calculation'!AO8+"AM:!&amp;Ks"</f>
        <v>#VALUE!</v>
      </c>
      <c r="CY106" t="e">
        <f>'Delivery Calculation'!AP8+"AM:!&amp;Kt"</f>
        <v>#VALUE!</v>
      </c>
      <c r="CZ106" t="e">
        <f>'Delivery Calculation'!AQ8+"AM:!&amp;Ku"</f>
        <v>#VALUE!</v>
      </c>
      <c r="DA106" t="e">
        <f>'Delivery Calculation'!AR8+"AM:!&amp;Kv"</f>
        <v>#VALUE!</v>
      </c>
      <c r="DB106" t="e">
        <f>'Delivery Calculation'!AS8+"AM:!&amp;Kw"</f>
        <v>#VALUE!</v>
      </c>
      <c r="DC106" t="e">
        <f>'Delivery Calculation'!AT8+"AM:!&amp;Kx"</f>
        <v>#VALUE!</v>
      </c>
      <c r="DD106" t="e">
        <f>'Delivery Calculation'!AU8+"AM:!&amp;Ky"</f>
        <v>#VALUE!</v>
      </c>
      <c r="DE106" t="e">
        <f>'Delivery Calculation'!AV8+"AM:!&amp;Kz"</f>
        <v>#VALUE!</v>
      </c>
      <c r="DF106" t="e">
        <f>'Delivery Calculation'!AW8+"AM:!&amp;K{"</f>
        <v>#VALUE!</v>
      </c>
      <c r="DG106" t="e">
        <f>'Delivery Calculation'!AX8+"AM:!&amp;K|"</f>
        <v>#VALUE!</v>
      </c>
      <c r="DH106" t="e">
        <f>'Delivery Calculation'!AY8+"AM:!&amp;K}"</f>
        <v>#VALUE!</v>
      </c>
      <c r="DI106" t="e">
        <f>'Delivery Calculation'!AZ8+"AM:!&amp;K~"</f>
        <v>#VALUE!</v>
      </c>
      <c r="DJ106" t="e">
        <f>'Delivery Calculation'!A9+"AM:!&amp;L#"</f>
        <v>#VALUE!</v>
      </c>
      <c r="DK106" t="e">
        <f>'Delivery Calculation'!B9+"AM:!&amp;L$"</f>
        <v>#VALUE!</v>
      </c>
      <c r="DL106" t="e">
        <f>'Delivery Calculation'!C9+"AM:!&amp;L%"</f>
        <v>#VALUE!</v>
      </c>
      <c r="DM106" s="97" t="e">
        <f ca="1">'Delivery Calculation'!D9+"AM:!&amp;L&amp;"</f>
        <v>#VALUE!</v>
      </c>
      <c r="DN106" s="97" t="e">
        <f>'Delivery Calculation'!E9+"AM:!&amp;L'"</f>
        <v>#VALUE!</v>
      </c>
      <c r="DO106" t="e">
        <f>'Delivery Calculation'!F9+"AM:!&amp;L("</f>
        <v>#VALUE!</v>
      </c>
      <c r="DP106" t="e">
        <f>'Delivery Calculation'!G9+"AM:!&amp;L)"</f>
        <v>#VALUE!</v>
      </c>
      <c r="DQ106" t="e">
        <f>'Delivery Calculation'!H9+"AM:!&amp;L."</f>
        <v>#VALUE!</v>
      </c>
      <c r="DR106" t="e">
        <f>'Delivery Calculation'!I9+"AM:!&amp;L/"</f>
        <v>#VALUE!</v>
      </c>
      <c r="DS106" t="e">
        <f>'Delivery Calculation'!J9+"AM:!&amp;L0"</f>
        <v>#VALUE!</v>
      </c>
      <c r="DT106" t="e">
        <f>'Delivery Calculation'!K9+"AM:!&amp;L1"</f>
        <v>#VALUE!</v>
      </c>
      <c r="DU106" t="e">
        <f>'Delivery Calculation'!L9+"AM:!&amp;L2"</f>
        <v>#VALUE!</v>
      </c>
      <c r="DV106" t="e">
        <f>'Delivery Calculation'!M9+"AM:!&amp;L3"</f>
        <v>#VALUE!</v>
      </c>
      <c r="DW106" t="e">
        <f>'Delivery Calculation'!N9+"AM:!&amp;L4"</f>
        <v>#VALUE!</v>
      </c>
      <c r="DX106" t="e">
        <f>'Delivery Calculation'!O9+"AM:!&amp;L5"</f>
        <v>#VALUE!</v>
      </c>
      <c r="DY106" t="e">
        <f>'Delivery Calculation'!P9+"AM:!&amp;L6"</f>
        <v>#VALUE!</v>
      </c>
      <c r="DZ106" t="e">
        <f>'Delivery Calculation'!Q9+"AM:!&amp;L7"</f>
        <v>#VALUE!</v>
      </c>
      <c r="EA106" t="e">
        <f>'Delivery Calculation'!R9+"AM:!&amp;L8"</f>
        <v>#VALUE!</v>
      </c>
      <c r="EB106" t="e">
        <f>'Delivery Calculation'!S9+"AM:!&amp;L9"</f>
        <v>#VALUE!</v>
      </c>
      <c r="EC106" t="e">
        <f>'Delivery Calculation'!T9+"AM:!&amp;L:"</f>
        <v>#VALUE!</v>
      </c>
      <c r="ED106" t="e">
        <f>'Delivery Calculation'!U9+"AM:!&amp;L;"</f>
        <v>#VALUE!</v>
      </c>
      <c r="EE106" t="e">
        <f>'Delivery Calculation'!V9+"AM:!&amp;L&lt;"</f>
        <v>#VALUE!</v>
      </c>
      <c r="EF106" t="e">
        <f>'Delivery Calculation'!W9+"AM:!&amp;L="</f>
        <v>#VALUE!</v>
      </c>
      <c r="EG106" t="e">
        <f>'Delivery Calculation'!X9+"AM:!&amp;L&gt;"</f>
        <v>#VALUE!</v>
      </c>
      <c r="EH106" t="e">
        <f>'Delivery Calculation'!Y9+"AM:!&amp;L?"</f>
        <v>#VALUE!</v>
      </c>
      <c r="EI106" t="e">
        <f>'Delivery Calculation'!Z9+"AM:!&amp;L@"</f>
        <v>#VALUE!</v>
      </c>
      <c r="EJ106" t="e">
        <f>'Delivery Calculation'!AA9+"AM:!&amp;LA"</f>
        <v>#VALUE!</v>
      </c>
      <c r="EK106" t="e">
        <f>'Delivery Calculation'!AB9+"AM:!&amp;LB"</f>
        <v>#VALUE!</v>
      </c>
      <c r="EL106" t="e">
        <f>'Delivery Calculation'!AC9+"AM:!&amp;LC"</f>
        <v>#VALUE!</v>
      </c>
      <c r="EM106" t="e">
        <f>'Delivery Calculation'!AD9+"AM:!&amp;LD"</f>
        <v>#VALUE!</v>
      </c>
      <c r="EN106" t="e">
        <f>'Delivery Calculation'!AE9+"AM:!&amp;LE"</f>
        <v>#VALUE!</v>
      </c>
      <c r="EO106" t="e">
        <f>'Delivery Calculation'!AF9+"AM:!&amp;LF"</f>
        <v>#VALUE!</v>
      </c>
      <c r="EP106" t="e">
        <f>'Delivery Calculation'!AG9+"AM:!&amp;LG"</f>
        <v>#VALUE!</v>
      </c>
      <c r="EQ106" t="e">
        <f>'Delivery Calculation'!AH9+"AM:!&amp;LH"</f>
        <v>#VALUE!</v>
      </c>
      <c r="ER106" t="e">
        <f>'Delivery Calculation'!AI9+"AM:!&amp;LI"</f>
        <v>#VALUE!</v>
      </c>
      <c r="ES106" t="e">
        <f>'Delivery Calculation'!AJ9+"AM:!&amp;LJ"</f>
        <v>#VALUE!</v>
      </c>
      <c r="ET106" t="e">
        <f>'Delivery Calculation'!AK9+"AM:!&amp;LK"</f>
        <v>#VALUE!</v>
      </c>
      <c r="EU106" t="e">
        <f>'Delivery Calculation'!AL9+"AM:!&amp;LL"</f>
        <v>#VALUE!</v>
      </c>
      <c r="EV106" t="e">
        <f>'Delivery Calculation'!AM9+"AM:!&amp;LM"</f>
        <v>#VALUE!</v>
      </c>
      <c r="EW106" t="e">
        <f>'Delivery Calculation'!AN9+"AM:!&amp;LN"</f>
        <v>#VALUE!</v>
      </c>
      <c r="EX106" t="e">
        <f>'Delivery Calculation'!AO9+"AM:!&amp;LO"</f>
        <v>#VALUE!</v>
      </c>
      <c r="EY106" t="e">
        <f>'Delivery Calculation'!AP9+"AM:!&amp;LP"</f>
        <v>#VALUE!</v>
      </c>
      <c r="EZ106" t="e">
        <f>'Delivery Calculation'!AQ9+"AM:!&amp;LQ"</f>
        <v>#VALUE!</v>
      </c>
      <c r="FA106" t="e">
        <f>'Delivery Calculation'!AR9+"AM:!&amp;LR"</f>
        <v>#VALUE!</v>
      </c>
      <c r="FB106" t="e">
        <f>'Delivery Calculation'!AS9+"AM:!&amp;LS"</f>
        <v>#VALUE!</v>
      </c>
      <c r="FC106" t="e">
        <f>'Delivery Calculation'!AT9+"AM:!&amp;LT"</f>
        <v>#VALUE!</v>
      </c>
      <c r="FD106" t="e">
        <f>'Delivery Calculation'!AU9+"AM:!&amp;LU"</f>
        <v>#VALUE!</v>
      </c>
      <c r="FE106" t="e">
        <f>'Delivery Calculation'!AV9+"AM:!&amp;LV"</f>
        <v>#VALUE!</v>
      </c>
      <c r="FF106" t="e">
        <f>'Delivery Calculation'!AW9+"AM:!&amp;LW"</f>
        <v>#VALUE!</v>
      </c>
      <c r="FG106" t="e">
        <f>'Delivery Calculation'!AX9+"AM:!&amp;LX"</f>
        <v>#VALUE!</v>
      </c>
      <c r="FH106" t="e">
        <f>'Delivery Calculation'!AY9+"AM:!&amp;LY"</f>
        <v>#VALUE!</v>
      </c>
      <c r="FI106" t="e">
        <f>'Delivery Calculation'!AZ9+"AM:!&amp;LZ"</f>
        <v>#VALUE!</v>
      </c>
      <c r="FJ106" t="e">
        <f>'Delivery Calculation'!A10+"AM:!&amp;L["</f>
        <v>#VALUE!</v>
      </c>
      <c r="FK106" t="e">
        <f>'Delivery Calculation'!B10+"AM:!&amp;L\"</f>
        <v>#VALUE!</v>
      </c>
      <c r="FL106" t="e">
        <f>'Delivery Calculation'!C10+"AM:!&amp;L]"</f>
        <v>#VALUE!</v>
      </c>
      <c r="FM106" t="e">
        <f>'Delivery Calculation'!D10+"AM:!&amp;L^"</f>
        <v>#VALUE!</v>
      </c>
      <c r="FN106" t="e">
        <f>'Delivery Calculation'!E10+"AM:!&amp;L_"</f>
        <v>#VALUE!</v>
      </c>
      <c r="FO106" t="e">
        <f>'Delivery Calculation'!F10+"AM:!&amp;L`"</f>
        <v>#VALUE!</v>
      </c>
      <c r="FP106" t="e">
        <f>'Delivery Calculation'!G10+"AM:!&amp;La"</f>
        <v>#VALUE!</v>
      </c>
      <c r="FQ106" t="e">
        <f>'Delivery Calculation'!H10+"AM:!&amp;Lb"</f>
        <v>#VALUE!</v>
      </c>
      <c r="FR106" t="e">
        <f>'Delivery Calculation'!I10+"AM:!&amp;Lc"</f>
        <v>#VALUE!</v>
      </c>
      <c r="FS106" t="e">
        <f>'Delivery Calculation'!J10+"AM:!&amp;Ld"</f>
        <v>#VALUE!</v>
      </c>
      <c r="FT106" t="e">
        <f>'Delivery Calculation'!K10+"AM:!&amp;Le"</f>
        <v>#VALUE!</v>
      </c>
      <c r="FU106" t="e">
        <f>'Delivery Calculation'!L10+"AM:!&amp;Lf"</f>
        <v>#VALUE!</v>
      </c>
      <c r="FV106" t="e">
        <f>'Delivery Calculation'!M10+"AM:!&amp;Lg"</f>
        <v>#VALUE!</v>
      </c>
      <c r="FW106" t="e">
        <f>'Delivery Calculation'!N10+"AM:!&amp;Lh"</f>
        <v>#VALUE!</v>
      </c>
      <c r="FX106" t="e">
        <f>'Delivery Calculation'!O10+"AM:!&amp;Li"</f>
        <v>#VALUE!</v>
      </c>
      <c r="FY106" t="e">
        <f>'Delivery Calculation'!P10+"AM:!&amp;Lj"</f>
        <v>#VALUE!</v>
      </c>
      <c r="FZ106" t="e">
        <f>'Delivery Calculation'!Q10+"AM:!&amp;Lk"</f>
        <v>#VALUE!</v>
      </c>
      <c r="GA106" t="e">
        <f>'Delivery Calculation'!R10+"AM:!&amp;Ll"</f>
        <v>#VALUE!</v>
      </c>
      <c r="GB106" t="e">
        <f>'Delivery Calculation'!S10+"AM:!&amp;Lm"</f>
        <v>#VALUE!</v>
      </c>
      <c r="GC106" t="e">
        <f>'Delivery Calculation'!T10+"AM:!&amp;Ln"</f>
        <v>#VALUE!</v>
      </c>
      <c r="GD106" t="e">
        <f>'Delivery Calculation'!U10+"AM:!&amp;Lo"</f>
        <v>#VALUE!</v>
      </c>
      <c r="GE106" t="e">
        <f>'Delivery Calculation'!V10+"AM:!&amp;Lp"</f>
        <v>#VALUE!</v>
      </c>
      <c r="GF106" t="e">
        <f>'Delivery Calculation'!W10+"AM:!&amp;Lq"</f>
        <v>#VALUE!</v>
      </c>
      <c r="GG106" t="e">
        <f>'Delivery Calculation'!X10+"AM:!&amp;Lr"</f>
        <v>#VALUE!</v>
      </c>
      <c r="GH106" t="e">
        <f>'Delivery Calculation'!Y10+"AM:!&amp;Ls"</f>
        <v>#VALUE!</v>
      </c>
      <c r="GI106" t="e">
        <f>'Delivery Calculation'!Z10+"AM:!&amp;Lt"</f>
        <v>#VALUE!</v>
      </c>
      <c r="GJ106" t="e">
        <f>'Delivery Calculation'!AA10+"AM:!&amp;Lu"</f>
        <v>#VALUE!</v>
      </c>
      <c r="GK106" t="e">
        <f>'Delivery Calculation'!AB10+"AM:!&amp;Lv"</f>
        <v>#VALUE!</v>
      </c>
      <c r="GL106" t="e">
        <f>'Delivery Calculation'!AC10+"AM:!&amp;Lw"</f>
        <v>#VALUE!</v>
      </c>
      <c r="GM106" t="e">
        <f>'Delivery Calculation'!AD10+"AM:!&amp;Lx"</f>
        <v>#VALUE!</v>
      </c>
      <c r="GN106" t="e">
        <f>'Delivery Calculation'!AE10+"AM:!&amp;Ly"</f>
        <v>#VALUE!</v>
      </c>
      <c r="GO106" t="e">
        <f>'Delivery Calculation'!AF10+"AM:!&amp;Lz"</f>
        <v>#VALUE!</v>
      </c>
      <c r="GP106" t="e">
        <f>'Delivery Calculation'!AG10+"AM:!&amp;L{"</f>
        <v>#VALUE!</v>
      </c>
      <c r="GQ106" t="e">
        <f>'Delivery Calculation'!AH10+"AM:!&amp;L|"</f>
        <v>#VALUE!</v>
      </c>
      <c r="GR106" t="e">
        <f>'Delivery Calculation'!AI10+"AM:!&amp;L}"</f>
        <v>#VALUE!</v>
      </c>
      <c r="GS106" t="e">
        <f>'Delivery Calculation'!AJ10+"AM:!&amp;L~"</f>
        <v>#VALUE!</v>
      </c>
      <c r="GT106" t="e">
        <f>'Delivery Calculation'!AK10+"AM:!&amp;M#"</f>
        <v>#VALUE!</v>
      </c>
      <c r="GU106" t="e">
        <f>'Delivery Calculation'!AL10+"AM:!&amp;M$"</f>
        <v>#VALUE!</v>
      </c>
      <c r="GV106" t="e">
        <f>'Delivery Calculation'!AM10+"AM:!&amp;M%"</f>
        <v>#VALUE!</v>
      </c>
      <c r="GW106" t="e">
        <f>'Delivery Calculation'!AN10+"AM:!&amp;M&amp;"</f>
        <v>#VALUE!</v>
      </c>
      <c r="GX106" t="e">
        <f>'Delivery Calculation'!AO10+"AM:!&amp;M'"</f>
        <v>#VALUE!</v>
      </c>
      <c r="GY106" t="e">
        <f>'Delivery Calculation'!AP10+"AM:!&amp;M("</f>
        <v>#VALUE!</v>
      </c>
      <c r="GZ106" t="e">
        <f>'Delivery Calculation'!AQ10+"AM:!&amp;M)"</f>
        <v>#VALUE!</v>
      </c>
      <c r="HA106" t="e">
        <f>'Delivery Calculation'!AR10+"AM:!&amp;M."</f>
        <v>#VALUE!</v>
      </c>
      <c r="HB106" t="e">
        <f>'Delivery Calculation'!AS10+"AM:!&amp;M/"</f>
        <v>#VALUE!</v>
      </c>
      <c r="HC106" t="e">
        <f>'Delivery Calculation'!AT10+"AM:!&amp;M0"</f>
        <v>#VALUE!</v>
      </c>
      <c r="HD106" t="e">
        <f>'Delivery Calculation'!AU10+"AM:!&amp;M1"</f>
        <v>#VALUE!</v>
      </c>
      <c r="HE106" t="e">
        <f>'Delivery Calculation'!AV10+"AM:!&amp;M2"</f>
        <v>#VALUE!</v>
      </c>
      <c r="HF106" t="e">
        <f>'Delivery Calculation'!AW10+"AM:!&amp;M3"</f>
        <v>#VALUE!</v>
      </c>
      <c r="HG106" t="e">
        <f>'Delivery Calculation'!AX10+"AM:!&amp;M4"</f>
        <v>#VALUE!</v>
      </c>
      <c r="HH106" t="e">
        <f>'Delivery Calculation'!AY10+"AM:!&amp;M5"</f>
        <v>#VALUE!</v>
      </c>
      <c r="HI106" t="e">
        <f>'Delivery Calculation'!AZ10+"AM:!&amp;M6"</f>
        <v>#VALUE!</v>
      </c>
      <c r="HJ106" t="e">
        <f>'Delivery Calculation'!A11+"AM:!&amp;M7"</f>
        <v>#VALUE!</v>
      </c>
      <c r="HK106" t="e">
        <f>'Delivery Calculation'!B11+"AM:!&amp;M8"</f>
        <v>#VALUE!</v>
      </c>
      <c r="HL106" t="e">
        <f>'Delivery Calculation'!C11+"AM:!&amp;M9"</f>
        <v>#VALUE!</v>
      </c>
      <c r="HM106" t="e">
        <f>'Delivery Calculation'!D11+"AM:!&amp;M:"</f>
        <v>#VALUE!</v>
      </c>
      <c r="HN106" t="e">
        <f>'Delivery Calculation'!E11+"AM:!&amp;M;"</f>
        <v>#VALUE!</v>
      </c>
      <c r="HO106" t="e">
        <f>'Delivery Calculation'!F11+"AM:!&amp;M&lt;"</f>
        <v>#VALUE!</v>
      </c>
      <c r="HP106" t="e">
        <f>'Delivery Calculation'!G11+"AM:!&amp;M="</f>
        <v>#VALUE!</v>
      </c>
      <c r="HQ106" t="e">
        <f>'Delivery Calculation'!H11+"AM:!&amp;M&gt;"</f>
        <v>#VALUE!</v>
      </c>
      <c r="HR106" t="e">
        <f>'Delivery Calculation'!I11+"AM:!&amp;M?"</f>
        <v>#VALUE!</v>
      </c>
      <c r="HS106" t="e">
        <f>'Delivery Calculation'!J11+"AM:!&amp;M@"</f>
        <v>#VALUE!</v>
      </c>
      <c r="HT106" t="e">
        <f>'Delivery Calculation'!K11+"AM:!&amp;MA"</f>
        <v>#VALUE!</v>
      </c>
      <c r="HU106" t="e">
        <f>'Delivery Calculation'!L11+"AM:!&amp;MB"</f>
        <v>#VALUE!</v>
      </c>
      <c r="HV106" t="e">
        <f>'Delivery Calculation'!M11+"AM:!&amp;MC"</f>
        <v>#VALUE!</v>
      </c>
      <c r="HW106" t="e">
        <f>'Delivery Calculation'!N11+"AM:!&amp;MD"</f>
        <v>#VALUE!</v>
      </c>
      <c r="HX106" t="e">
        <f>'Delivery Calculation'!O11+"AM:!&amp;ME"</f>
        <v>#VALUE!</v>
      </c>
      <c r="HY106" t="e">
        <f>'Delivery Calculation'!P11+"AM:!&amp;MF"</f>
        <v>#VALUE!</v>
      </c>
      <c r="HZ106" t="e">
        <f>'Delivery Calculation'!Q11+"AM:!&amp;MG"</f>
        <v>#VALUE!</v>
      </c>
      <c r="IA106" t="e">
        <f>'Delivery Calculation'!R11+"AM:!&amp;MH"</f>
        <v>#VALUE!</v>
      </c>
      <c r="IB106" t="e">
        <f>'Delivery Calculation'!S11+"AM:!&amp;MI"</f>
        <v>#VALUE!</v>
      </c>
      <c r="IC106" t="e">
        <f>'Delivery Calculation'!T11+"AM:!&amp;MJ"</f>
        <v>#VALUE!</v>
      </c>
      <c r="ID106" t="e">
        <f>'Delivery Calculation'!U11+"AM:!&amp;MK"</f>
        <v>#VALUE!</v>
      </c>
      <c r="IE106" t="e">
        <f>'Delivery Calculation'!V11+"AM:!&amp;ML"</f>
        <v>#VALUE!</v>
      </c>
      <c r="IF106" t="e">
        <f>'Delivery Calculation'!W11+"AM:!&amp;MM"</f>
        <v>#VALUE!</v>
      </c>
      <c r="IG106" t="e">
        <f>'Delivery Calculation'!X11+"AM:!&amp;MN"</f>
        <v>#VALUE!</v>
      </c>
      <c r="IH106" t="e">
        <f>'Delivery Calculation'!Y11+"AM:!&amp;MO"</f>
        <v>#VALUE!</v>
      </c>
      <c r="II106" t="e">
        <f>'Delivery Calculation'!Z11+"AM:!&amp;MP"</f>
        <v>#VALUE!</v>
      </c>
      <c r="IJ106" t="e">
        <f>'Delivery Calculation'!AA11+"AM:!&amp;MQ"</f>
        <v>#VALUE!</v>
      </c>
      <c r="IK106" t="e">
        <f>'Delivery Calculation'!AB11+"AM:!&amp;MR"</f>
        <v>#VALUE!</v>
      </c>
      <c r="IL106" t="e">
        <f>'Delivery Calculation'!AC11+"AM:!&amp;MS"</f>
        <v>#VALUE!</v>
      </c>
      <c r="IM106" t="e">
        <f>'Delivery Calculation'!AD11+"AM:!&amp;MT"</f>
        <v>#VALUE!</v>
      </c>
      <c r="IN106" t="e">
        <f>'Delivery Calculation'!AE11+"AM:!&amp;MU"</f>
        <v>#VALUE!</v>
      </c>
      <c r="IO106" t="e">
        <f>'Delivery Calculation'!AF11+"AM:!&amp;MV"</f>
        <v>#VALUE!</v>
      </c>
      <c r="IP106" t="e">
        <f>'Delivery Calculation'!AG11+"AM:!&amp;MW"</f>
        <v>#VALUE!</v>
      </c>
      <c r="IQ106" t="e">
        <f>'Delivery Calculation'!AH11+"AM:!&amp;MX"</f>
        <v>#VALUE!</v>
      </c>
      <c r="IR106" t="e">
        <f>'Delivery Calculation'!AI11+"AM:!&amp;MY"</f>
        <v>#VALUE!</v>
      </c>
      <c r="IS106" t="e">
        <f>'Delivery Calculation'!AJ11+"AM:!&amp;MZ"</f>
        <v>#VALUE!</v>
      </c>
      <c r="IT106" t="e">
        <f>'Delivery Calculation'!AK11+"AM:!&amp;M["</f>
        <v>#VALUE!</v>
      </c>
      <c r="IU106" t="e">
        <f>'Delivery Calculation'!AL11+"AM:!&amp;M\"</f>
        <v>#VALUE!</v>
      </c>
      <c r="IV106" t="e">
        <f>'Delivery Calculation'!AM11+"AM:!&amp;M]"</f>
        <v>#VALUE!</v>
      </c>
    </row>
    <row r="107" spans="6:256">
      <c r="F107" t="e">
        <f>'Delivery Calculation'!AN11+"AM:!&amp;M^"</f>
        <v>#VALUE!</v>
      </c>
      <c r="G107" t="e">
        <f>'Delivery Calculation'!AO11+"AM:!&amp;M_"</f>
        <v>#VALUE!</v>
      </c>
      <c r="H107" t="e">
        <f>'Delivery Calculation'!AP11+"AM:!&amp;M`"</f>
        <v>#VALUE!</v>
      </c>
      <c r="I107" t="e">
        <f>'Delivery Calculation'!AQ11+"AM:!&amp;Ma"</f>
        <v>#VALUE!</v>
      </c>
      <c r="J107" t="e">
        <f>'Delivery Calculation'!AR11+"AM:!&amp;Mb"</f>
        <v>#VALUE!</v>
      </c>
      <c r="K107" t="e">
        <f>'Delivery Calculation'!AS11+"AM:!&amp;Mc"</f>
        <v>#VALUE!</v>
      </c>
      <c r="L107" t="e">
        <f>'Delivery Calculation'!AT11+"AM:!&amp;Md"</f>
        <v>#VALUE!</v>
      </c>
      <c r="M107" t="e">
        <f>'Delivery Calculation'!AU11+"AM:!&amp;Me"</f>
        <v>#VALUE!</v>
      </c>
      <c r="N107" t="e">
        <f>'Delivery Calculation'!AV11+"AM:!&amp;Mf"</f>
        <v>#VALUE!</v>
      </c>
      <c r="O107" t="e">
        <f>'Delivery Calculation'!A12+"AM:!&amp;Mg"</f>
        <v>#VALUE!</v>
      </c>
      <c r="P107" t="e">
        <f>'Delivery Calculation'!B12+"AM:!&amp;Mh"</f>
        <v>#VALUE!</v>
      </c>
      <c r="Q107" t="e">
        <f>'Delivery Calculation'!C12+"AM:!&amp;Mi"</f>
        <v>#VALUE!</v>
      </c>
      <c r="R107" t="e">
        <f>'Delivery Calculation'!D12+"AM:!&amp;Mj"</f>
        <v>#VALUE!</v>
      </c>
      <c r="S107" t="e">
        <f>'Delivery Calculation'!E12+"AM:!&amp;Mk"</f>
        <v>#VALUE!</v>
      </c>
      <c r="T107" t="e">
        <f>'Delivery Calculation'!F12+"AM:!&amp;Ml"</f>
        <v>#VALUE!</v>
      </c>
      <c r="U107" t="e">
        <f>'Delivery Calculation'!G12+"AM:!&amp;Mm"</f>
        <v>#VALUE!</v>
      </c>
      <c r="V107" t="e">
        <f>'Delivery Calculation'!H12+"AM:!&amp;Mn"</f>
        <v>#VALUE!</v>
      </c>
      <c r="W107" t="e">
        <f>'Delivery Calculation'!I12+"AM:!&amp;Mo"</f>
        <v>#VALUE!</v>
      </c>
      <c r="X107" t="e">
        <f>'Delivery Calculation'!J12+"AM:!&amp;Mp"</f>
        <v>#VALUE!</v>
      </c>
      <c r="Y107" t="e">
        <f>'Delivery Calculation'!K12+"AM:!&amp;Mq"</f>
        <v>#VALUE!</v>
      </c>
      <c r="Z107" t="e">
        <f>'Delivery Calculation'!L12+"AM:!&amp;Mr"</f>
        <v>#VALUE!</v>
      </c>
      <c r="AA107" t="e">
        <f>'Delivery Calculation'!M12+"AM:!&amp;Ms"</f>
        <v>#VALUE!</v>
      </c>
      <c r="AB107" t="e">
        <f>'Delivery Calculation'!N12+"AM:!&amp;Mt"</f>
        <v>#VALUE!</v>
      </c>
      <c r="AC107" t="e">
        <f>'Delivery Calculation'!O12+"AM:!&amp;Mu"</f>
        <v>#VALUE!</v>
      </c>
      <c r="AD107" t="e">
        <f>'Delivery Calculation'!P12+"AM:!&amp;Mv"</f>
        <v>#VALUE!</v>
      </c>
      <c r="AE107" t="e">
        <f>'Delivery Calculation'!Q12+"AM:!&amp;Mw"</f>
        <v>#VALUE!</v>
      </c>
      <c r="AF107" t="e">
        <f>'Delivery Calculation'!R12+"AM:!&amp;Mx"</f>
        <v>#VALUE!</v>
      </c>
      <c r="AG107" t="e">
        <f>'Delivery Calculation'!S12+"AM:!&amp;My"</f>
        <v>#VALUE!</v>
      </c>
      <c r="AH107" t="e">
        <f>'Delivery Calculation'!T12+"AM:!&amp;Mz"</f>
        <v>#VALUE!</v>
      </c>
      <c r="AI107" t="e">
        <f>'Delivery Calculation'!U12+"AM:!&amp;M{"</f>
        <v>#VALUE!</v>
      </c>
      <c r="AJ107" t="e">
        <f>'Delivery Calculation'!V12+"AM:!&amp;M|"</f>
        <v>#VALUE!</v>
      </c>
      <c r="AK107" t="e">
        <f>'Delivery Calculation'!W12+"AM:!&amp;M}"</f>
        <v>#VALUE!</v>
      </c>
      <c r="AL107" t="e">
        <f>'Delivery Calculation'!X12+"AM:!&amp;M~"</f>
        <v>#VALUE!</v>
      </c>
      <c r="AM107" t="e">
        <f>'Delivery Calculation'!Y12+"AM:!&amp;N#"</f>
        <v>#VALUE!</v>
      </c>
      <c r="AN107" t="e">
        <f>'Delivery Calculation'!Z12+"AM:!&amp;N$"</f>
        <v>#VALUE!</v>
      </c>
      <c r="AO107" t="e">
        <f>'Delivery Calculation'!AA12+"AM:!&amp;N%"</f>
        <v>#VALUE!</v>
      </c>
      <c r="AP107" t="e">
        <f>'Delivery Calculation'!AB12+"AM:!&amp;N&amp;"</f>
        <v>#VALUE!</v>
      </c>
      <c r="AQ107" t="e">
        <f>'Delivery Calculation'!AC12+"AM:!&amp;N'"</f>
        <v>#VALUE!</v>
      </c>
      <c r="AR107" t="e">
        <f>'Delivery Calculation'!AD12+"AM:!&amp;N("</f>
        <v>#VALUE!</v>
      </c>
      <c r="AS107" t="e">
        <f>'Delivery Calculation'!AE12+"AM:!&amp;N)"</f>
        <v>#VALUE!</v>
      </c>
      <c r="AT107" t="e">
        <f>'Delivery Calculation'!AF12+"AM:!&amp;N."</f>
        <v>#VALUE!</v>
      </c>
      <c r="AU107" t="e">
        <f>'Delivery Calculation'!AG12+"AM:!&amp;N/"</f>
        <v>#VALUE!</v>
      </c>
      <c r="AV107" t="e">
        <f>'Delivery Calculation'!AH12+"AM:!&amp;N0"</f>
        <v>#VALUE!</v>
      </c>
      <c r="AW107" t="e">
        <f>'Delivery Calculation'!AI12+"AM:!&amp;N1"</f>
        <v>#VALUE!</v>
      </c>
      <c r="AX107" t="e">
        <f>'Delivery Calculation'!AJ12+"AM:!&amp;N2"</f>
        <v>#VALUE!</v>
      </c>
      <c r="AY107" t="e">
        <f>'Delivery Calculation'!AK12+"AM:!&amp;N3"</f>
        <v>#VALUE!</v>
      </c>
      <c r="AZ107" t="e">
        <f>'Delivery Calculation'!AL12+"AM:!&amp;N4"</f>
        <v>#VALUE!</v>
      </c>
      <c r="BA107" t="e">
        <f>'Delivery Calculation'!AM12+"AM:!&amp;N5"</f>
        <v>#VALUE!</v>
      </c>
      <c r="BB107" t="e">
        <f>'Delivery Calculation'!AN12+"AM:!&amp;N6"</f>
        <v>#VALUE!</v>
      </c>
      <c r="BC107" t="e">
        <f>'Delivery Calculation'!AO12+"AM:!&amp;N7"</f>
        <v>#VALUE!</v>
      </c>
      <c r="BD107" t="e">
        <f>'Delivery Calculation'!AP12+"AM:!&amp;N8"</f>
        <v>#VALUE!</v>
      </c>
      <c r="BE107" t="e">
        <f>'Delivery Calculation'!AQ12+"AM:!&amp;N9"</f>
        <v>#VALUE!</v>
      </c>
      <c r="BF107" t="e">
        <f>'Delivery Calculation'!AR12+"AM:!&amp;N:"</f>
        <v>#VALUE!</v>
      </c>
      <c r="BG107" t="e">
        <f>'Delivery Calculation'!AS12+"AM:!&amp;N;"</f>
        <v>#VALUE!</v>
      </c>
      <c r="BH107" t="e">
        <f>'Delivery Calculation'!AT12+"AM:!&amp;N&lt;"</f>
        <v>#VALUE!</v>
      </c>
      <c r="BI107" t="e">
        <f>'Delivery Calculation'!AU12+"AM:!&amp;N="</f>
        <v>#VALUE!</v>
      </c>
      <c r="BJ107" t="e">
        <f>'Delivery Calculation'!AV12+"AM:!&amp;N&gt;"</f>
        <v>#VALUE!</v>
      </c>
      <c r="BK107" t="e">
        <f>'Delivery Calculation'!A13+"AM:!&amp;N?"</f>
        <v>#VALUE!</v>
      </c>
      <c r="BL107" t="e">
        <f>'Delivery Calculation'!B13+"AM:!&amp;N@"</f>
        <v>#VALUE!</v>
      </c>
      <c r="BM107" t="e">
        <f>'Delivery Calculation'!C13+"AM:!&amp;NA"</f>
        <v>#VALUE!</v>
      </c>
      <c r="BN107" t="e">
        <f>'Delivery Calculation'!D13+"AM:!&amp;NB"</f>
        <v>#VALUE!</v>
      </c>
      <c r="BO107" t="e">
        <f>'Delivery Calculation'!E13+"AM:!&amp;NC"</f>
        <v>#VALUE!</v>
      </c>
      <c r="BP107" t="e">
        <f>'Delivery Calculation'!F13+"AM:!&amp;ND"</f>
        <v>#VALUE!</v>
      </c>
      <c r="BQ107" t="e">
        <f>'Delivery Calculation'!G13+"AM:!&amp;NE"</f>
        <v>#VALUE!</v>
      </c>
      <c r="BR107" t="e">
        <f>'Delivery Calculation'!H13+"AM:!&amp;NF"</f>
        <v>#VALUE!</v>
      </c>
      <c r="BS107" t="e">
        <f ca="1">'Delivery Calculation'!I13+"AM:!&amp;NG"</f>
        <v>#VALUE!</v>
      </c>
      <c r="BT107" t="e">
        <f>'Delivery Calculation'!J13+"AM:!&amp;NH"</f>
        <v>#VALUE!</v>
      </c>
      <c r="BU107" t="e">
        <f>'Delivery Calculation'!K13+"AM:!&amp;NI"</f>
        <v>#VALUE!</v>
      </c>
      <c r="BV107" t="e">
        <f>'Delivery Calculation'!L13+"AM:!&amp;NJ"</f>
        <v>#VALUE!</v>
      </c>
      <c r="BW107" t="e">
        <f>'Delivery Calculation'!M13+"AM:!&amp;NK"</f>
        <v>#VALUE!</v>
      </c>
      <c r="BX107" s="100" t="e">
        <f>'Delivery Calculation'!N13+"AM:!&amp;NL"</f>
        <v>#VALUE!</v>
      </c>
      <c r="BY107" t="e">
        <f>'Delivery Calculation'!O13+"AM:!&amp;NM"</f>
        <v>#VALUE!</v>
      </c>
      <c r="BZ107" t="e">
        <f>'Delivery Calculation'!P13+"AM:!&amp;NN"</f>
        <v>#VALUE!</v>
      </c>
      <c r="CA107" t="e">
        <f>'Delivery Calculation'!Q13+"AM:!&amp;NO"</f>
        <v>#VALUE!</v>
      </c>
      <c r="CB107" t="e">
        <f>'Delivery Calculation'!R13+"AM:!&amp;NP"</f>
        <v>#VALUE!</v>
      </c>
      <c r="CC107" t="e">
        <f>'Delivery Calculation'!S13+"AM:!&amp;NQ"</f>
        <v>#VALUE!</v>
      </c>
      <c r="CD107" t="e">
        <f>'Delivery Calculation'!T13+"AM:!&amp;NR"</f>
        <v>#VALUE!</v>
      </c>
      <c r="CE107" t="e">
        <f>'Delivery Calculation'!U13+"AM:!&amp;NS"</f>
        <v>#VALUE!</v>
      </c>
      <c r="CF107" t="e">
        <f>'Delivery Calculation'!V13+"AM:!&amp;NT"</f>
        <v>#VALUE!</v>
      </c>
      <c r="CG107" t="e">
        <f>'Delivery Calculation'!W13+"AM:!&amp;NU"</f>
        <v>#VALUE!</v>
      </c>
      <c r="CH107" t="e">
        <f>'Delivery Calculation'!X13+"AM:!&amp;NV"</f>
        <v>#VALUE!</v>
      </c>
      <c r="CI107" t="e">
        <f>'Delivery Calculation'!Y13+"AM:!&amp;NW"</f>
        <v>#VALUE!</v>
      </c>
      <c r="CJ107" t="e">
        <f>'Delivery Calculation'!Z13+"AM:!&amp;NX"</f>
        <v>#VALUE!</v>
      </c>
      <c r="CK107" t="e">
        <f>'Delivery Calculation'!AA13+"AM:!&amp;NY"</f>
        <v>#VALUE!</v>
      </c>
      <c r="CL107" t="e">
        <f>'Delivery Calculation'!AB13+"AM:!&amp;NZ"</f>
        <v>#VALUE!</v>
      </c>
      <c r="CM107" t="e">
        <f>'Delivery Calculation'!AC13+"AM:!&amp;N["</f>
        <v>#VALUE!</v>
      </c>
      <c r="CN107" t="e">
        <f>'Delivery Calculation'!AD13+"AM:!&amp;N\"</f>
        <v>#VALUE!</v>
      </c>
      <c r="CO107" t="e">
        <f>'Delivery Calculation'!AE13+"AM:!&amp;N]"</f>
        <v>#VALUE!</v>
      </c>
      <c r="CP107" t="e">
        <f>'Delivery Calculation'!AF13+"AM:!&amp;N^"</f>
        <v>#VALUE!</v>
      </c>
      <c r="CQ107" t="e">
        <f>'Delivery Calculation'!AG13+"AM:!&amp;N_"</f>
        <v>#VALUE!</v>
      </c>
      <c r="CR107" t="e">
        <f>'Delivery Calculation'!AH13+"AM:!&amp;N`"</f>
        <v>#VALUE!</v>
      </c>
      <c r="CS107" t="e">
        <f>'Delivery Calculation'!AI13+"AM:!&amp;Na"</f>
        <v>#VALUE!</v>
      </c>
      <c r="CT107" t="e">
        <f>'Delivery Calculation'!AJ13+"AM:!&amp;Nb"</f>
        <v>#VALUE!</v>
      </c>
      <c r="CU107" t="e">
        <f>'Delivery Calculation'!AK13+"AM:!&amp;Nc"</f>
        <v>#VALUE!</v>
      </c>
      <c r="CV107" t="e">
        <f>'Delivery Calculation'!AL13+"AM:!&amp;Nd"</f>
        <v>#VALUE!</v>
      </c>
      <c r="CW107" t="e">
        <f>'Delivery Calculation'!AM13+"AM:!&amp;Ne"</f>
        <v>#VALUE!</v>
      </c>
      <c r="CX107" t="e">
        <f>'Delivery Calculation'!AN13+"AM:!&amp;Nf"</f>
        <v>#VALUE!</v>
      </c>
      <c r="CY107" t="e">
        <f>'Delivery Calculation'!AO13+"AM:!&amp;Ng"</f>
        <v>#VALUE!</v>
      </c>
      <c r="CZ107" t="e">
        <f>'Delivery Calculation'!AP13+"AM:!&amp;Nh"</f>
        <v>#VALUE!</v>
      </c>
      <c r="DA107" t="e">
        <f>'Delivery Calculation'!AQ13+"AM:!&amp;Ni"</f>
        <v>#VALUE!</v>
      </c>
      <c r="DB107" t="e">
        <f>'Delivery Calculation'!AR13+"AM:!&amp;Nj"</f>
        <v>#VALUE!</v>
      </c>
      <c r="DC107" t="e">
        <f>'Delivery Calculation'!AS13+"AM:!&amp;Nk"</f>
        <v>#VALUE!</v>
      </c>
      <c r="DD107" t="e">
        <f>'Delivery Calculation'!AT13+"AM:!&amp;Nl"</f>
        <v>#VALUE!</v>
      </c>
      <c r="DE107" t="e">
        <f>'Delivery Calculation'!AU13+"AM:!&amp;Nm"</f>
        <v>#VALUE!</v>
      </c>
      <c r="DF107" t="e">
        <f>'Delivery Calculation'!AV13+"AM:!&amp;Nn"</f>
        <v>#VALUE!</v>
      </c>
      <c r="DG107" t="e">
        <f>'Delivery Calculation'!A14+"AM:!&amp;No"</f>
        <v>#VALUE!</v>
      </c>
      <c r="DH107" t="e">
        <f>'Delivery Calculation'!B14+"AM:!&amp;Np"</f>
        <v>#VALUE!</v>
      </c>
      <c r="DI107" t="e">
        <f>'Delivery Calculation'!C14+"AM:!&amp;Nq"</f>
        <v>#VALUE!</v>
      </c>
      <c r="DJ107" t="e">
        <f>'Delivery Calculation'!D14+"AM:!&amp;Nr"</f>
        <v>#VALUE!</v>
      </c>
      <c r="DK107" t="e">
        <f>'Delivery Calculation'!E14+"AM:!&amp;Ns"</f>
        <v>#VALUE!</v>
      </c>
      <c r="DL107" t="e">
        <f>'Delivery Calculation'!F14+"AM:!&amp;Nt"</f>
        <v>#VALUE!</v>
      </c>
      <c r="DM107" t="e">
        <f>'Delivery Calculation'!G14+"AM:!&amp;Nu"</f>
        <v>#VALUE!</v>
      </c>
      <c r="DN107" t="e">
        <f>'Delivery Calculation'!H14+"AM:!&amp;Nv"</f>
        <v>#VALUE!</v>
      </c>
      <c r="DO107" t="e">
        <f>'Delivery Calculation'!I14+"AM:!&amp;Nw"</f>
        <v>#VALUE!</v>
      </c>
      <c r="DP107" t="e">
        <f>'Delivery Calculation'!J14+"AM:!&amp;Nx"</f>
        <v>#VALUE!</v>
      </c>
      <c r="DQ107" t="e">
        <f>'Delivery Calculation'!K14+"AM:!&amp;Ny"</f>
        <v>#VALUE!</v>
      </c>
      <c r="DR107" t="e">
        <f>'Delivery Calculation'!L14+"AM:!&amp;Nz"</f>
        <v>#VALUE!</v>
      </c>
      <c r="DS107" t="e">
        <f>'Delivery Calculation'!M14+"AM:!&amp;N{"</f>
        <v>#VALUE!</v>
      </c>
      <c r="DT107" s="100" t="e">
        <f>'Delivery Calculation'!N14+"AM:!&amp;N|"</f>
        <v>#VALUE!</v>
      </c>
      <c r="DU107" t="e">
        <f>'Delivery Calculation'!O14+"AM:!&amp;N}"</f>
        <v>#VALUE!</v>
      </c>
      <c r="DV107" t="e">
        <f>'Delivery Calculation'!P14+"AM:!&amp;N~"</f>
        <v>#VALUE!</v>
      </c>
      <c r="DW107" t="e">
        <f>'Delivery Calculation'!Q14+"AM:!&amp;O#"</f>
        <v>#VALUE!</v>
      </c>
      <c r="DX107" t="e">
        <f>'Delivery Calculation'!R14+"AM:!&amp;O$"</f>
        <v>#VALUE!</v>
      </c>
      <c r="DY107" t="e">
        <f>'Delivery Calculation'!S14+"AM:!&amp;O%"</f>
        <v>#VALUE!</v>
      </c>
      <c r="DZ107" t="e">
        <f>'Delivery Calculation'!T14+"AM:!&amp;O&amp;"</f>
        <v>#VALUE!</v>
      </c>
      <c r="EA107" t="e">
        <f>'Delivery Calculation'!U14+"AM:!&amp;O'"</f>
        <v>#VALUE!</v>
      </c>
      <c r="EB107" t="e">
        <f>'Delivery Calculation'!V14+"AM:!&amp;O("</f>
        <v>#VALUE!</v>
      </c>
      <c r="EC107" t="e">
        <f>'Delivery Calculation'!W14+"AM:!&amp;O)"</f>
        <v>#VALUE!</v>
      </c>
      <c r="ED107" t="e">
        <f>'Delivery Calculation'!X14+"AM:!&amp;O."</f>
        <v>#VALUE!</v>
      </c>
      <c r="EE107" t="e">
        <f>'Delivery Calculation'!Y14+"AM:!&amp;O/"</f>
        <v>#VALUE!</v>
      </c>
      <c r="EF107" t="e">
        <f>'Delivery Calculation'!Z14+"AM:!&amp;O0"</f>
        <v>#VALUE!</v>
      </c>
      <c r="EG107" t="e">
        <f>'Delivery Calculation'!AA14+"AM:!&amp;O1"</f>
        <v>#VALUE!</v>
      </c>
      <c r="EH107" t="e">
        <f>'Delivery Calculation'!AB14+"AM:!&amp;O2"</f>
        <v>#VALUE!</v>
      </c>
      <c r="EI107" t="e">
        <f>'Delivery Calculation'!AC14+"AM:!&amp;O3"</f>
        <v>#VALUE!</v>
      </c>
      <c r="EJ107" t="e">
        <f>'Delivery Calculation'!AD14+"AM:!&amp;O4"</f>
        <v>#VALUE!</v>
      </c>
      <c r="EK107" t="e">
        <f>'Delivery Calculation'!AE14+"AM:!&amp;O5"</f>
        <v>#VALUE!</v>
      </c>
      <c r="EL107" t="e">
        <f>'Delivery Calculation'!AF14+"AM:!&amp;O6"</f>
        <v>#VALUE!</v>
      </c>
      <c r="EM107" t="e">
        <f>'Delivery Calculation'!AG14+"AM:!&amp;O7"</f>
        <v>#VALUE!</v>
      </c>
      <c r="EN107" t="e">
        <f>'Delivery Calculation'!AH14+"AM:!&amp;O8"</f>
        <v>#VALUE!</v>
      </c>
      <c r="EO107" t="e">
        <f>'Delivery Calculation'!AI14+"AM:!&amp;O9"</f>
        <v>#VALUE!</v>
      </c>
      <c r="EP107" t="e">
        <f>'Delivery Calculation'!AJ14+"AM:!&amp;O:"</f>
        <v>#VALUE!</v>
      </c>
      <c r="EQ107" t="e">
        <f>'Delivery Calculation'!AK14+"AM:!&amp;O;"</f>
        <v>#VALUE!</v>
      </c>
      <c r="ER107" t="e">
        <f>'Delivery Calculation'!AL14+"AM:!&amp;O&lt;"</f>
        <v>#VALUE!</v>
      </c>
      <c r="ES107" t="e">
        <f>'Delivery Calculation'!AM14+"AM:!&amp;O="</f>
        <v>#VALUE!</v>
      </c>
      <c r="ET107" t="e">
        <f>'Delivery Calculation'!AN14+"AM:!&amp;O&gt;"</f>
        <v>#VALUE!</v>
      </c>
      <c r="EU107" t="e">
        <f>'Delivery Calculation'!AO14+"AM:!&amp;O?"</f>
        <v>#VALUE!</v>
      </c>
      <c r="EV107" t="e">
        <f>'Delivery Calculation'!AP14+"AM:!&amp;O@"</f>
        <v>#VALUE!</v>
      </c>
      <c r="EW107" t="e">
        <f>'Delivery Calculation'!AQ14+"AM:!&amp;OA"</f>
        <v>#VALUE!</v>
      </c>
      <c r="EX107" t="e">
        <f>'Delivery Calculation'!AR14+"AM:!&amp;OB"</f>
        <v>#VALUE!</v>
      </c>
      <c r="EY107" t="e">
        <f>'Delivery Calculation'!AS14+"AM:!&amp;OC"</f>
        <v>#VALUE!</v>
      </c>
      <c r="EZ107" t="e">
        <f>'Delivery Calculation'!AT14+"AM:!&amp;OD"</f>
        <v>#VALUE!</v>
      </c>
      <c r="FA107" t="e">
        <f>'Delivery Calculation'!AU14+"AM:!&amp;OE"</f>
        <v>#VALUE!</v>
      </c>
      <c r="FB107" t="e">
        <f>'Delivery Calculation'!AV14+"AM:!&amp;OF"</f>
        <v>#VALUE!</v>
      </c>
      <c r="FC107" t="e">
        <f>'Delivery Calculation'!A15+"AM:!&amp;OG"</f>
        <v>#VALUE!</v>
      </c>
      <c r="FD107" t="e">
        <f>'Delivery Calculation'!B15+"AM:!&amp;OH"</f>
        <v>#VALUE!</v>
      </c>
      <c r="FE107" t="e">
        <f>'Delivery Calculation'!C15+"AM:!&amp;OI"</f>
        <v>#VALUE!</v>
      </c>
      <c r="FF107" t="e">
        <f>'Delivery Calculation'!D15+"AM:!&amp;OJ"</f>
        <v>#VALUE!</v>
      </c>
      <c r="FG107" t="e">
        <f>'Delivery Calculation'!E15+"AM:!&amp;OK"</f>
        <v>#VALUE!</v>
      </c>
      <c r="FH107" t="e">
        <f>'Delivery Calculation'!F15+"AM:!&amp;OL"</f>
        <v>#VALUE!</v>
      </c>
      <c r="FI107" t="e">
        <f>'Delivery Calculation'!G15+"AM:!&amp;OM"</f>
        <v>#VALUE!</v>
      </c>
      <c r="FJ107" t="e">
        <f>'Delivery Calculation'!H15+"AM:!&amp;ON"</f>
        <v>#VALUE!</v>
      </c>
      <c r="FK107" t="e">
        <f>'Delivery Calculation'!I15+"AM:!&amp;OO"</f>
        <v>#VALUE!</v>
      </c>
      <c r="FL107" t="e">
        <f>'Delivery Calculation'!J15+"AM:!&amp;OP"</f>
        <v>#VALUE!</v>
      </c>
      <c r="FM107" t="e">
        <f>'Delivery Calculation'!K15+"AM:!&amp;OQ"</f>
        <v>#VALUE!</v>
      </c>
      <c r="FN107" t="e">
        <f>'Delivery Calculation'!L15+"AM:!&amp;OR"</f>
        <v>#VALUE!</v>
      </c>
      <c r="FO107" t="e">
        <f>'Delivery Calculation'!M15+"AM:!&amp;OS"</f>
        <v>#VALUE!</v>
      </c>
      <c r="FP107" s="100" t="e">
        <f>'Delivery Calculation'!N15+"AM:!&amp;OT"</f>
        <v>#VALUE!</v>
      </c>
      <c r="FQ107" t="e">
        <f>'Delivery Calculation'!O15+"AM:!&amp;OU"</f>
        <v>#VALUE!</v>
      </c>
      <c r="FR107" t="e">
        <f>'Delivery Calculation'!P15+"AM:!&amp;OV"</f>
        <v>#VALUE!</v>
      </c>
      <c r="FS107" t="e">
        <f>'Delivery Calculation'!Q15+"AM:!&amp;OW"</f>
        <v>#VALUE!</v>
      </c>
      <c r="FT107" t="e">
        <f>'Delivery Calculation'!R15+"AM:!&amp;OX"</f>
        <v>#VALUE!</v>
      </c>
      <c r="FU107" t="e">
        <f>'Delivery Calculation'!S15+"AM:!&amp;OY"</f>
        <v>#VALUE!</v>
      </c>
      <c r="FV107" t="e">
        <f>'Delivery Calculation'!T15+"AM:!&amp;OZ"</f>
        <v>#VALUE!</v>
      </c>
      <c r="FW107" t="e">
        <f>'Delivery Calculation'!U15+"AM:!&amp;O["</f>
        <v>#VALUE!</v>
      </c>
      <c r="FX107" t="e">
        <f>'Delivery Calculation'!V15+"AM:!&amp;O\"</f>
        <v>#VALUE!</v>
      </c>
      <c r="FY107" t="e">
        <f>'Delivery Calculation'!W15+"AM:!&amp;O]"</f>
        <v>#VALUE!</v>
      </c>
      <c r="FZ107" t="e">
        <f>'Delivery Calculation'!X15+"AM:!&amp;O^"</f>
        <v>#VALUE!</v>
      </c>
      <c r="GA107" t="e">
        <f>'Delivery Calculation'!Y15+"AM:!&amp;O_"</f>
        <v>#VALUE!</v>
      </c>
      <c r="GB107" t="e">
        <f>'Delivery Calculation'!Z15+"AM:!&amp;O`"</f>
        <v>#VALUE!</v>
      </c>
      <c r="GC107" t="e">
        <f>'Delivery Calculation'!AA15+"AM:!&amp;Oa"</f>
        <v>#VALUE!</v>
      </c>
      <c r="GD107" t="e">
        <f>'Delivery Calculation'!AB15+"AM:!&amp;Ob"</f>
        <v>#VALUE!</v>
      </c>
      <c r="GE107" t="e">
        <f>'Delivery Calculation'!AC15+"AM:!&amp;Oc"</f>
        <v>#VALUE!</v>
      </c>
      <c r="GF107" t="e">
        <f>'Delivery Calculation'!AD15+"AM:!&amp;Od"</f>
        <v>#VALUE!</v>
      </c>
      <c r="GG107" t="e">
        <f>'Delivery Calculation'!AE15+"AM:!&amp;Oe"</f>
        <v>#VALUE!</v>
      </c>
      <c r="GH107" t="e">
        <f>'Delivery Calculation'!AF15+"AM:!&amp;Of"</f>
        <v>#VALUE!</v>
      </c>
      <c r="GI107" t="e">
        <f>'Delivery Calculation'!AG15+"AM:!&amp;Og"</f>
        <v>#VALUE!</v>
      </c>
      <c r="GJ107" t="e">
        <f>'Delivery Calculation'!AH15+"AM:!&amp;Oh"</f>
        <v>#VALUE!</v>
      </c>
      <c r="GK107" t="e">
        <f>'Delivery Calculation'!AI15+"AM:!&amp;Oi"</f>
        <v>#VALUE!</v>
      </c>
      <c r="GL107" t="e">
        <f>'Delivery Calculation'!AJ15+"AM:!&amp;Oj"</f>
        <v>#VALUE!</v>
      </c>
      <c r="GM107" t="e">
        <f>'Delivery Calculation'!AK15+"AM:!&amp;Ok"</f>
        <v>#VALUE!</v>
      </c>
      <c r="GN107" t="e">
        <f>'Delivery Calculation'!AL15+"AM:!&amp;Ol"</f>
        <v>#VALUE!</v>
      </c>
      <c r="GO107" t="e">
        <f>'Delivery Calculation'!AM15+"AM:!&amp;Om"</f>
        <v>#VALUE!</v>
      </c>
      <c r="GP107" t="e">
        <f>'Delivery Calculation'!AN15+"AM:!&amp;On"</f>
        <v>#VALUE!</v>
      </c>
      <c r="GQ107" t="e">
        <f>'Delivery Calculation'!AO15+"AM:!&amp;Oo"</f>
        <v>#VALUE!</v>
      </c>
      <c r="GR107" t="e">
        <f>'Delivery Calculation'!AP15+"AM:!&amp;Op"</f>
        <v>#VALUE!</v>
      </c>
      <c r="GS107" t="e">
        <f>'Delivery Calculation'!AQ15+"AM:!&amp;Oq"</f>
        <v>#VALUE!</v>
      </c>
      <c r="GT107" t="e">
        <f>'Delivery Calculation'!AR15+"AM:!&amp;Or"</f>
        <v>#VALUE!</v>
      </c>
      <c r="GU107" t="e">
        <f>'Delivery Calculation'!AS15+"AM:!&amp;Os"</f>
        <v>#VALUE!</v>
      </c>
      <c r="GV107" t="e">
        <f>'Delivery Calculation'!AT15+"AM:!&amp;Ot"</f>
        <v>#VALUE!</v>
      </c>
      <c r="GW107" t="e">
        <f>'Delivery Calculation'!AU15+"AM:!&amp;Ou"</f>
        <v>#VALUE!</v>
      </c>
      <c r="GX107" t="e">
        <f>'Delivery Calculation'!AV15+"AM:!&amp;Ov"</f>
        <v>#VALUE!</v>
      </c>
      <c r="GY107" t="e">
        <f>'Delivery Calculation'!A16+"AM:!&amp;Ow"</f>
        <v>#VALUE!</v>
      </c>
      <c r="GZ107" t="e">
        <f>'Delivery Calculation'!B16+"AM:!&amp;Ox"</f>
        <v>#VALUE!</v>
      </c>
      <c r="HA107" t="e">
        <f>'Delivery Calculation'!C16+"AM:!&amp;Oy"</f>
        <v>#VALUE!</v>
      </c>
      <c r="HB107" t="e">
        <f>'Delivery Calculation'!D16+"AM:!&amp;Oz"</f>
        <v>#VALUE!</v>
      </c>
      <c r="HC107" t="e">
        <f>'Delivery Calculation'!E16+"AM:!&amp;O{"</f>
        <v>#VALUE!</v>
      </c>
      <c r="HD107" t="e">
        <f>'Delivery Calculation'!F16+"AM:!&amp;O|"</f>
        <v>#VALUE!</v>
      </c>
      <c r="HE107" t="e">
        <f>'Delivery Calculation'!G16+"AM:!&amp;O}"</f>
        <v>#VALUE!</v>
      </c>
      <c r="HF107" t="e">
        <f>'Delivery Calculation'!H16+"AM:!&amp;O~"</f>
        <v>#VALUE!</v>
      </c>
      <c r="HG107" t="e">
        <f>'Delivery Calculation'!I16+"AM:!&amp;P#"</f>
        <v>#VALUE!</v>
      </c>
      <c r="HH107" t="e">
        <f>'Delivery Calculation'!J16+"AM:!&amp;P$"</f>
        <v>#VALUE!</v>
      </c>
      <c r="HI107" t="e">
        <f>'Delivery Calculation'!K16+"AM:!&amp;P%"</f>
        <v>#VALUE!</v>
      </c>
      <c r="HJ107" t="e">
        <f>'Delivery Calculation'!L16+"AM:!&amp;P&amp;"</f>
        <v>#VALUE!</v>
      </c>
      <c r="HK107" t="e">
        <f>'Delivery Calculation'!M16+"AM:!&amp;P'"</f>
        <v>#VALUE!</v>
      </c>
      <c r="HL107" s="100" t="e">
        <f>'Delivery Calculation'!N16+"AM:!&amp;P("</f>
        <v>#VALUE!</v>
      </c>
      <c r="HM107" t="e">
        <f>'Delivery Calculation'!O16+"AM:!&amp;P)"</f>
        <v>#VALUE!</v>
      </c>
      <c r="HN107" t="e">
        <f>'Delivery Calculation'!P16+"AM:!&amp;P."</f>
        <v>#VALUE!</v>
      </c>
      <c r="HO107" t="e">
        <f>'Delivery Calculation'!Q16+"AM:!&amp;P/"</f>
        <v>#VALUE!</v>
      </c>
      <c r="HP107" t="e">
        <f>'Delivery Calculation'!R16+"AM:!&amp;P0"</f>
        <v>#VALUE!</v>
      </c>
      <c r="HQ107" t="e">
        <f>'Delivery Calculation'!S16+"AM:!&amp;P1"</f>
        <v>#VALUE!</v>
      </c>
      <c r="HR107" t="e">
        <f>'Delivery Calculation'!T16+"AM:!&amp;P2"</f>
        <v>#VALUE!</v>
      </c>
      <c r="HS107" t="e">
        <f>'Delivery Calculation'!U16+"AM:!&amp;P3"</f>
        <v>#VALUE!</v>
      </c>
      <c r="HT107" t="e">
        <f>'Delivery Calculation'!V16+"AM:!&amp;P4"</f>
        <v>#VALUE!</v>
      </c>
      <c r="HU107" t="e">
        <f>'Delivery Calculation'!W16+"AM:!&amp;P5"</f>
        <v>#VALUE!</v>
      </c>
      <c r="HV107" t="e">
        <f>'Delivery Calculation'!X16+"AM:!&amp;P6"</f>
        <v>#VALUE!</v>
      </c>
      <c r="HW107" t="e">
        <f>'Delivery Calculation'!Y16+"AM:!&amp;P7"</f>
        <v>#VALUE!</v>
      </c>
      <c r="HX107" t="e">
        <f>'Delivery Calculation'!Z16+"AM:!&amp;P8"</f>
        <v>#VALUE!</v>
      </c>
      <c r="HY107" t="e">
        <f>'Delivery Calculation'!AA16+"AM:!&amp;P9"</f>
        <v>#VALUE!</v>
      </c>
      <c r="HZ107" t="e">
        <f>'Delivery Calculation'!AB16+"AM:!&amp;P:"</f>
        <v>#VALUE!</v>
      </c>
      <c r="IA107" t="e">
        <f>'Delivery Calculation'!AC16+"AM:!&amp;P;"</f>
        <v>#VALUE!</v>
      </c>
      <c r="IB107" t="e">
        <f>'Delivery Calculation'!AD16+"AM:!&amp;P&lt;"</f>
        <v>#VALUE!</v>
      </c>
      <c r="IC107" t="e">
        <f>'Delivery Calculation'!AE16+"AM:!&amp;P="</f>
        <v>#VALUE!</v>
      </c>
      <c r="ID107" t="e">
        <f>'Delivery Calculation'!AF16+"AM:!&amp;P&gt;"</f>
        <v>#VALUE!</v>
      </c>
      <c r="IE107" t="e">
        <f>'Delivery Calculation'!AG16+"AM:!&amp;P?"</f>
        <v>#VALUE!</v>
      </c>
      <c r="IF107" t="e">
        <f>'Delivery Calculation'!AH16+"AM:!&amp;P@"</f>
        <v>#VALUE!</v>
      </c>
      <c r="IG107" t="e">
        <f>'Delivery Calculation'!AI16+"AM:!&amp;PA"</f>
        <v>#VALUE!</v>
      </c>
      <c r="IH107" t="e">
        <f>'Delivery Calculation'!AJ16+"AM:!&amp;PB"</f>
        <v>#VALUE!</v>
      </c>
      <c r="II107" t="e">
        <f>'Delivery Calculation'!AK16+"AM:!&amp;PC"</f>
        <v>#VALUE!</v>
      </c>
      <c r="IJ107" t="e">
        <f>'Delivery Calculation'!AL16+"AM:!&amp;PD"</f>
        <v>#VALUE!</v>
      </c>
      <c r="IK107" t="e">
        <f>'Delivery Calculation'!AM16+"AM:!&amp;PE"</f>
        <v>#VALUE!</v>
      </c>
      <c r="IL107" t="e">
        <f>'Delivery Calculation'!AN16+"AM:!&amp;PF"</f>
        <v>#VALUE!</v>
      </c>
      <c r="IM107" t="e">
        <f>'Delivery Calculation'!AO16+"AM:!&amp;PG"</f>
        <v>#VALUE!</v>
      </c>
      <c r="IN107" t="e">
        <f>'Delivery Calculation'!AP16+"AM:!&amp;PH"</f>
        <v>#VALUE!</v>
      </c>
      <c r="IO107" t="e">
        <f>'Delivery Calculation'!AQ16+"AM:!&amp;PI"</f>
        <v>#VALUE!</v>
      </c>
      <c r="IP107" t="e">
        <f>'Delivery Calculation'!AR16+"AM:!&amp;PJ"</f>
        <v>#VALUE!</v>
      </c>
      <c r="IQ107" t="e">
        <f>'Delivery Calculation'!AS16+"AM:!&amp;PK"</f>
        <v>#VALUE!</v>
      </c>
      <c r="IR107" t="e">
        <f>'Delivery Calculation'!AT16+"AM:!&amp;PL"</f>
        <v>#VALUE!</v>
      </c>
      <c r="IS107" t="e">
        <f>'Delivery Calculation'!AU16+"AM:!&amp;PM"</f>
        <v>#VALUE!</v>
      </c>
      <c r="IT107" t="e">
        <f>'Delivery Calculation'!AV16+"AM:!&amp;PN"</f>
        <v>#VALUE!</v>
      </c>
      <c r="IU107" t="e">
        <f>'Delivery Calculation'!A17+"AM:!&amp;PO"</f>
        <v>#VALUE!</v>
      </c>
      <c r="IV107" t="e">
        <f>'Delivery Calculation'!B17+"AM:!&amp;PP"</f>
        <v>#VALUE!</v>
      </c>
    </row>
    <row r="108" spans="6:256">
      <c r="F108" t="e">
        <f>'Delivery Calculation'!C17+"AM:!&amp;PQ"</f>
        <v>#VALUE!</v>
      </c>
      <c r="G108" t="e">
        <f>'Delivery Calculation'!D17+"AM:!&amp;PR"</f>
        <v>#VALUE!</v>
      </c>
      <c r="H108" t="e">
        <f>'Delivery Calculation'!E17+"AM:!&amp;PS"</f>
        <v>#VALUE!</v>
      </c>
      <c r="I108" t="e">
        <f>'Delivery Calculation'!F17+"AM:!&amp;PT"</f>
        <v>#VALUE!</v>
      </c>
      <c r="J108" t="e">
        <f>'Delivery Calculation'!G17+"AM:!&amp;PU"</f>
        <v>#VALUE!</v>
      </c>
      <c r="K108" t="e">
        <f>'Delivery Calculation'!H17+"AM:!&amp;PV"</f>
        <v>#VALUE!</v>
      </c>
      <c r="L108" t="e">
        <f>'Delivery Calculation'!I17+"AM:!&amp;PW"</f>
        <v>#VALUE!</v>
      </c>
      <c r="M108" t="e">
        <f>'Delivery Calculation'!J17+"AM:!&amp;PX"</f>
        <v>#VALUE!</v>
      </c>
      <c r="N108" t="e">
        <f>'Delivery Calculation'!K17+"AM:!&amp;PY"</f>
        <v>#VALUE!</v>
      </c>
      <c r="O108" t="e">
        <f>'Delivery Calculation'!L17+"AM:!&amp;PZ"</f>
        <v>#VALUE!</v>
      </c>
      <c r="P108" t="e">
        <f>'Delivery Calculation'!M17+"AM:!&amp;P["</f>
        <v>#VALUE!</v>
      </c>
      <c r="Q108" s="100" t="e">
        <f>'Delivery Calculation'!N17+"AM:!&amp;P\"</f>
        <v>#VALUE!</v>
      </c>
      <c r="R108" t="e">
        <f>'Delivery Calculation'!O17+"AM:!&amp;P]"</f>
        <v>#VALUE!</v>
      </c>
      <c r="S108" t="e">
        <f>'Delivery Calculation'!P17+"AM:!&amp;P^"</f>
        <v>#VALUE!</v>
      </c>
      <c r="T108" t="e">
        <f>'Delivery Calculation'!Q17+"AM:!&amp;P_"</f>
        <v>#VALUE!</v>
      </c>
      <c r="U108" t="e">
        <f>'Delivery Calculation'!R17+"AM:!&amp;P`"</f>
        <v>#VALUE!</v>
      </c>
      <c r="V108" t="e">
        <f>'Delivery Calculation'!S17+"AM:!&amp;Pa"</f>
        <v>#VALUE!</v>
      </c>
      <c r="W108" t="e">
        <f>'Delivery Calculation'!T17+"AM:!&amp;Pb"</f>
        <v>#VALUE!</v>
      </c>
      <c r="X108" t="e">
        <f>'Delivery Calculation'!U17+"AM:!&amp;Pc"</f>
        <v>#VALUE!</v>
      </c>
      <c r="Y108" t="e">
        <f>'Delivery Calculation'!V17+"AM:!&amp;Pd"</f>
        <v>#VALUE!</v>
      </c>
      <c r="Z108" t="e">
        <f>'Delivery Calculation'!W17+"AM:!&amp;Pe"</f>
        <v>#VALUE!</v>
      </c>
      <c r="AA108" t="e">
        <f>'Delivery Calculation'!X17+"AM:!&amp;Pf"</f>
        <v>#VALUE!</v>
      </c>
      <c r="AB108" t="e">
        <f>'Delivery Calculation'!Y17+"AM:!&amp;Pg"</f>
        <v>#VALUE!</v>
      </c>
      <c r="AC108" t="e">
        <f>'Delivery Calculation'!Z17+"AM:!&amp;Ph"</f>
        <v>#VALUE!</v>
      </c>
      <c r="AD108" t="e">
        <f>'Delivery Calculation'!AA17+"AM:!&amp;Pi"</f>
        <v>#VALUE!</v>
      </c>
      <c r="AE108" t="e">
        <f>'Delivery Calculation'!AB17+"AM:!&amp;Pj"</f>
        <v>#VALUE!</v>
      </c>
      <c r="AF108" t="e">
        <f>'Delivery Calculation'!AC17+"AM:!&amp;Pk"</f>
        <v>#VALUE!</v>
      </c>
      <c r="AG108" t="e">
        <f>'Delivery Calculation'!AD17+"AM:!&amp;Pl"</f>
        <v>#VALUE!</v>
      </c>
      <c r="AH108" t="e">
        <f>'Delivery Calculation'!AE17+"AM:!&amp;Pm"</f>
        <v>#VALUE!</v>
      </c>
      <c r="AI108" t="e">
        <f>'Delivery Calculation'!AF17+"AM:!&amp;Pn"</f>
        <v>#VALUE!</v>
      </c>
      <c r="AJ108" t="e">
        <f>'Delivery Calculation'!AG17+"AM:!&amp;Po"</f>
        <v>#VALUE!</v>
      </c>
      <c r="AK108" t="e">
        <f>'Delivery Calculation'!AH17+"AM:!&amp;Pp"</f>
        <v>#VALUE!</v>
      </c>
      <c r="AL108" t="e">
        <f>'Delivery Calculation'!AI17+"AM:!&amp;Pq"</f>
        <v>#VALUE!</v>
      </c>
      <c r="AM108" t="e">
        <f>'Delivery Calculation'!AJ17+"AM:!&amp;Pr"</f>
        <v>#VALUE!</v>
      </c>
      <c r="AN108" t="e">
        <f>'Delivery Calculation'!AK17+"AM:!&amp;Ps"</f>
        <v>#VALUE!</v>
      </c>
      <c r="AO108" t="e">
        <f>'Delivery Calculation'!AL17+"AM:!&amp;Pt"</f>
        <v>#VALUE!</v>
      </c>
      <c r="AP108" t="e">
        <f>'Delivery Calculation'!AM17+"AM:!&amp;Pu"</f>
        <v>#VALUE!</v>
      </c>
      <c r="AQ108" t="e">
        <f>'Delivery Calculation'!AN17+"AM:!&amp;Pv"</f>
        <v>#VALUE!</v>
      </c>
      <c r="AR108" t="e">
        <f>'Delivery Calculation'!AO17+"AM:!&amp;Pw"</f>
        <v>#VALUE!</v>
      </c>
      <c r="AS108" t="e">
        <f>'Delivery Calculation'!AP17+"AM:!&amp;Px"</f>
        <v>#VALUE!</v>
      </c>
      <c r="AT108" t="e">
        <f>'Delivery Calculation'!AQ17+"AM:!&amp;Py"</f>
        <v>#VALUE!</v>
      </c>
      <c r="AU108" t="e">
        <f>'Delivery Calculation'!AR17+"AM:!&amp;Pz"</f>
        <v>#VALUE!</v>
      </c>
      <c r="AV108" t="e">
        <f>'Delivery Calculation'!AS17+"AM:!&amp;P{"</f>
        <v>#VALUE!</v>
      </c>
      <c r="AW108" t="e">
        <f>'Delivery Calculation'!AT17+"AM:!&amp;P|"</f>
        <v>#VALUE!</v>
      </c>
      <c r="AX108" t="e">
        <f>'Delivery Calculation'!AU17+"AM:!&amp;P}"</f>
        <v>#VALUE!</v>
      </c>
      <c r="AY108" t="e">
        <f>'Delivery Calculation'!AV17+"AM:!&amp;P~"</f>
        <v>#VALUE!</v>
      </c>
      <c r="AZ108" t="e">
        <f>'Delivery Calculation'!A18+"AM:!&amp;Q#"</f>
        <v>#VALUE!</v>
      </c>
      <c r="BA108" t="e">
        <f>'Delivery Calculation'!B18+"AM:!&amp;Q$"</f>
        <v>#VALUE!</v>
      </c>
      <c r="BB108" t="e">
        <f>'Delivery Calculation'!C18+"AM:!&amp;Q%"</f>
        <v>#VALUE!</v>
      </c>
      <c r="BC108" t="e">
        <f>'Delivery Calculation'!D18+"AM:!&amp;Q&amp;"</f>
        <v>#VALUE!</v>
      </c>
      <c r="BD108" t="e">
        <f>'Delivery Calculation'!E18+"AM:!&amp;Q'"</f>
        <v>#VALUE!</v>
      </c>
      <c r="BE108" t="e">
        <f>'Delivery Calculation'!F18+"AM:!&amp;Q("</f>
        <v>#VALUE!</v>
      </c>
      <c r="BF108" t="e">
        <f>'Delivery Calculation'!G18+"AM:!&amp;Q)"</f>
        <v>#VALUE!</v>
      </c>
      <c r="BG108" t="e">
        <f>'Delivery Calculation'!H18+"AM:!&amp;Q."</f>
        <v>#VALUE!</v>
      </c>
      <c r="BH108" t="e">
        <f>'Delivery Calculation'!I18+"AM:!&amp;Q/"</f>
        <v>#VALUE!</v>
      </c>
      <c r="BI108" t="e">
        <f>'Delivery Calculation'!J18+"AM:!&amp;Q0"</f>
        <v>#VALUE!</v>
      </c>
      <c r="BJ108" t="e">
        <f>'Delivery Calculation'!K18+"AM:!&amp;Q1"</f>
        <v>#VALUE!</v>
      </c>
      <c r="BK108" t="e">
        <f>'Delivery Calculation'!L18+"AM:!&amp;Q2"</f>
        <v>#VALUE!</v>
      </c>
      <c r="BL108" t="e">
        <f>'Delivery Calculation'!M18+"AM:!&amp;Q3"</f>
        <v>#VALUE!</v>
      </c>
      <c r="BM108" s="100" t="e">
        <f>'Delivery Calculation'!N18+"AM:!&amp;Q4"</f>
        <v>#VALUE!</v>
      </c>
      <c r="BN108" t="e">
        <f>'Delivery Calculation'!O18+"AM:!&amp;Q5"</f>
        <v>#VALUE!</v>
      </c>
      <c r="BO108" t="e">
        <f>'Delivery Calculation'!P18+"AM:!&amp;Q6"</f>
        <v>#VALUE!</v>
      </c>
      <c r="BP108" t="e">
        <f>'Delivery Calculation'!Q18+"AM:!&amp;Q7"</f>
        <v>#VALUE!</v>
      </c>
      <c r="BQ108" t="e">
        <f>'Delivery Calculation'!R18+"AM:!&amp;Q8"</f>
        <v>#VALUE!</v>
      </c>
      <c r="BR108" t="e">
        <f>'Delivery Calculation'!S18+"AM:!&amp;Q9"</f>
        <v>#VALUE!</v>
      </c>
      <c r="BS108" t="e">
        <f>'Delivery Calculation'!T18+"AM:!&amp;Q:"</f>
        <v>#VALUE!</v>
      </c>
      <c r="BT108" t="e">
        <f>'Delivery Calculation'!U18+"AM:!&amp;Q;"</f>
        <v>#VALUE!</v>
      </c>
      <c r="BU108" t="e">
        <f>'Delivery Calculation'!V18+"AM:!&amp;Q&lt;"</f>
        <v>#VALUE!</v>
      </c>
      <c r="BV108" t="e">
        <f>'Delivery Calculation'!W18+"AM:!&amp;Q="</f>
        <v>#VALUE!</v>
      </c>
      <c r="BW108" t="e">
        <f>'Delivery Calculation'!X18+"AM:!&amp;Q&gt;"</f>
        <v>#VALUE!</v>
      </c>
      <c r="BX108" t="e">
        <f>'Delivery Calculation'!Y18+"AM:!&amp;Q?"</f>
        <v>#VALUE!</v>
      </c>
      <c r="BY108" t="e">
        <f>'Delivery Calculation'!Z18+"AM:!&amp;Q@"</f>
        <v>#VALUE!</v>
      </c>
      <c r="BZ108" t="e">
        <f>'Delivery Calculation'!AA18+"AM:!&amp;QA"</f>
        <v>#VALUE!</v>
      </c>
      <c r="CA108" t="e">
        <f>'Delivery Calculation'!AB18+"AM:!&amp;QB"</f>
        <v>#VALUE!</v>
      </c>
      <c r="CB108" t="e">
        <f>'Delivery Calculation'!AC18+"AM:!&amp;QC"</f>
        <v>#VALUE!</v>
      </c>
      <c r="CC108" t="e">
        <f>'Delivery Calculation'!AD18+"AM:!&amp;QD"</f>
        <v>#VALUE!</v>
      </c>
      <c r="CD108" t="e">
        <f>'Delivery Calculation'!AE18+"AM:!&amp;QE"</f>
        <v>#VALUE!</v>
      </c>
      <c r="CE108" t="e">
        <f>'Delivery Calculation'!AF18+"AM:!&amp;QF"</f>
        <v>#VALUE!</v>
      </c>
      <c r="CF108" t="e">
        <f>'Delivery Calculation'!AG18+"AM:!&amp;QG"</f>
        <v>#VALUE!</v>
      </c>
      <c r="CG108" t="e">
        <f>'Delivery Calculation'!AH18+"AM:!&amp;QH"</f>
        <v>#VALUE!</v>
      </c>
      <c r="CH108" t="e">
        <f>'Delivery Calculation'!AI18+"AM:!&amp;QI"</f>
        <v>#VALUE!</v>
      </c>
      <c r="CI108" t="e">
        <f>'Delivery Calculation'!AJ18+"AM:!&amp;QJ"</f>
        <v>#VALUE!</v>
      </c>
      <c r="CJ108" t="e">
        <f>'Delivery Calculation'!AK18+"AM:!&amp;QK"</f>
        <v>#VALUE!</v>
      </c>
      <c r="CK108" t="e">
        <f>'Delivery Calculation'!AL18+"AM:!&amp;QL"</f>
        <v>#VALUE!</v>
      </c>
      <c r="CL108" t="e">
        <f>'Delivery Calculation'!AM18+"AM:!&amp;QM"</f>
        <v>#VALUE!</v>
      </c>
      <c r="CM108" t="e">
        <f>'Delivery Calculation'!AN18+"AM:!&amp;QN"</f>
        <v>#VALUE!</v>
      </c>
      <c r="CN108" t="e">
        <f>'Delivery Calculation'!AO18+"AM:!&amp;QO"</f>
        <v>#VALUE!</v>
      </c>
      <c r="CO108" t="e">
        <f>'Delivery Calculation'!AP18+"AM:!&amp;QP"</f>
        <v>#VALUE!</v>
      </c>
      <c r="CP108" t="e">
        <f>'Delivery Calculation'!AQ18+"AM:!&amp;QQ"</f>
        <v>#VALUE!</v>
      </c>
      <c r="CQ108" t="e">
        <f>'Delivery Calculation'!AR18+"AM:!&amp;QR"</f>
        <v>#VALUE!</v>
      </c>
      <c r="CR108" t="e">
        <f>'Delivery Calculation'!AS18+"AM:!&amp;QS"</f>
        <v>#VALUE!</v>
      </c>
      <c r="CS108" t="e">
        <f>'Delivery Calculation'!AT18+"AM:!&amp;QT"</f>
        <v>#VALUE!</v>
      </c>
      <c r="CT108" t="e">
        <f>'Delivery Calculation'!AU18+"AM:!&amp;QU"</f>
        <v>#VALUE!</v>
      </c>
      <c r="CU108" t="e">
        <f>'Delivery Calculation'!AV18+"AM:!&amp;QV"</f>
        <v>#VALUE!</v>
      </c>
      <c r="CV108" t="e">
        <f>'Delivery Calculation'!A19+"AM:!&amp;QW"</f>
        <v>#VALUE!</v>
      </c>
      <c r="CW108" t="e">
        <f>'Delivery Calculation'!B19+"AM:!&amp;QX"</f>
        <v>#VALUE!</v>
      </c>
      <c r="CX108" t="e">
        <f>'Delivery Calculation'!C19+"AM:!&amp;QY"</f>
        <v>#VALUE!</v>
      </c>
      <c r="CY108" t="e">
        <f>'Delivery Calculation'!D19+"AM:!&amp;QZ"</f>
        <v>#VALUE!</v>
      </c>
      <c r="CZ108" t="e">
        <f>'Delivery Calculation'!E19+"AM:!&amp;Q["</f>
        <v>#VALUE!</v>
      </c>
      <c r="DA108" t="e">
        <f>'Delivery Calculation'!F19+"AM:!&amp;Q\"</f>
        <v>#VALUE!</v>
      </c>
      <c r="DB108" t="e">
        <f>'Delivery Calculation'!G19+"AM:!&amp;Q]"</f>
        <v>#VALUE!</v>
      </c>
      <c r="DC108" t="e">
        <f>'Delivery Calculation'!H19+"AM:!&amp;Q^"</f>
        <v>#VALUE!</v>
      </c>
      <c r="DD108" t="e">
        <f>'Delivery Calculation'!I19+"AM:!&amp;Q_"</f>
        <v>#VALUE!</v>
      </c>
      <c r="DE108" t="e">
        <f>'Delivery Calculation'!J19+"AM:!&amp;Q`"</f>
        <v>#VALUE!</v>
      </c>
      <c r="DF108" t="e">
        <f>'Delivery Calculation'!K19+"AM:!&amp;Qa"</f>
        <v>#VALUE!</v>
      </c>
      <c r="DG108" t="e">
        <f>'Delivery Calculation'!L19+"AM:!&amp;Qb"</f>
        <v>#VALUE!</v>
      </c>
      <c r="DH108" t="e">
        <f>'Delivery Calculation'!M19+"AM:!&amp;Qc"</f>
        <v>#VALUE!</v>
      </c>
      <c r="DI108" s="100" t="e">
        <f>'Delivery Calculation'!N19+"AM:!&amp;Qd"</f>
        <v>#VALUE!</v>
      </c>
      <c r="DJ108" t="e">
        <f>'Delivery Calculation'!O19+"AM:!&amp;Qe"</f>
        <v>#VALUE!</v>
      </c>
      <c r="DK108" t="e">
        <f>'Delivery Calculation'!P19+"AM:!&amp;Qf"</f>
        <v>#VALUE!</v>
      </c>
      <c r="DL108" t="e">
        <f>'Delivery Calculation'!Q19+"AM:!&amp;Qg"</f>
        <v>#VALUE!</v>
      </c>
      <c r="DM108" t="e">
        <f>'Delivery Calculation'!R19+"AM:!&amp;Qh"</f>
        <v>#VALUE!</v>
      </c>
      <c r="DN108" t="e">
        <f>'Delivery Calculation'!S19+"AM:!&amp;Qi"</f>
        <v>#VALUE!</v>
      </c>
      <c r="DO108" t="e">
        <f>'Delivery Calculation'!T19+"AM:!&amp;Qj"</f>
        <v>#VALUE!</v>
      </c>
      <c r="DP108" t="e">
        <f>'Delivery Calculation'!U19+"AM:!&amp;Qk"</f>
        <v>#VALUE!</v>
      </c>
      <c r="DQ108" t="e">
        <f>'Delivery Calculation'!V19+"AM:!&amp;Ql"</f>
        <v>#VALUE!</v>
      </c>
      <c r="DR108" t="e">
        <f>'Delivery Calculation'!W19+"AM:!&amp;Qm"</f>
        <v>#VALUE!</v>
      </c>
      <c r="DS108" t="e">
        <f>'Delivery Calculation'!X19+"AM:!&amp;Qn"</f>
        <v>#VALUE!</v>
      </c>
      <c r="DT108" t="e">
        <f>'Delivery Calculation'!Y19+"AM:!&amp;Qo"</f>
        <v>#VALUE!</v>
      </c>
      <c r="DU108" t="e">
        <f>'Delivery Calculation'!Z19+"AM:!&amp;Qp"</f>
        <v>#VALUE!</v>
      </c>
      <c r="DV108" t="e">
        <f>'Delivery Calculation'!AA19+"AM:!&amp;Qq"</f>
        <v>#VALUE!</v>
      </c>
      <c r="DW108" t="e">
        <f>'Delivery Calculation'!AB19+"AM:!&amp;Qr"</f>
        <v>#VALUE!</v>
      </c>
      <c r="DX108" t="e">
        <f>'Delivery Calculation'!AC19+"AM:!&amp;Qs"</f>
        <v>#VALUE!</v>
      </c>
      <c r="DY108" t="e">
        <f>'Delivery Calculation'!AD19+"AM:!&amp;Qt"</f>
        <v>#VALUE!</v>
      </c>
      <c r="DZ108" t="e">
        <f>'Delivery Calculation'!AE19+"AM:!&amp;Qu"</f>
        <v>#VALUE!</v>
      </c>
      <c r="EA108" t="e">
        <f>'Delivery Calculation'!AF19+"AM:!&amp;Qv"</f>
        <v>#VALUE!</v>
      </c>
      <c r="EB108" t="e">
        <f>'Delivery Calculation'!AG19+"AM:!&amp;Qw"</f>
        <v>#VALUE!</v>
      </c>
      <c r="EC108" t="e">
        <f>'Delivery Calculation'!AH19+"AM:!&amp;Qx"</f>
        <v>#VALUE!</v>
      </c>
      <c r="ED108" t="e">
        <f>'Delivery Calculation'!AI19+"AM:!&amp;Qy"</f>
        <v>#VALUE!</v>
      </c>
      <c r="EE108" t="e">
        <f>'Delivery Calculation'!AJ19+"AM:!&amp;Qz"</f>
        <v>#VALUE!</v>
      </c>
      <c r="EF108" t="e">
        <f>'Delivery Calculation'!AK19+"AM:!&amp;Q{"</f>
        <v>#VALUE!</v>
      </c>
      <c r="EG108" t="e">
        <f>'Delivery Calculation'!AL19+"AM:!&amp;Q|"</f>
        <v>#VALUE!</v>
      </c>
      <c r="EH108" t="e">
        <f>'Delivery Calculation'!AM19+"AM:!&amp;Q}"</f>
        <v>#VALUE!</v>
      </c>
      <c r="EI108" t="e">
        <f>'Delivery Calculation'!AN19+"AM:!&amp;Q~"</f>
        <v>#VALUE!</v>
      </c>
      <c r="EJ108" t="e">
        <f>'Delivery Calculation'!AO19+"AM:!&amp;R#"</f>
        <v>#VALUE!</v>
      </c>
      <c r="EK108" t="e">
        <f>'Delivery Calculation'!AP19+"AM:!&amp;R$"</f>
        <v>#VALUE!</v>
      </c>
      <c r="EL108" t="e">
        <f>'Delivery Calculation'!AQ19+"AM:!&amp;R%"</f>
        <v>#VALUE!</v>
      </c>
      <c r="EM108" t="e">
        <f>'Delivery Calculation'!AR19+"AM:!&amp;R&amp;"</f>
        <v>#VALUE!</v>
      </c>
      <c r="EN108" t="e">
        <f>'Delivery Calculation'!AS19+"AM:!&amp;R'"</f>
        <v>#VALUE!</v>
      </c>
      <c r="EO108" t="e">
        <f>'Delivery Calculation'!AT19+"AM:!&amp;R("</f>
        <v>#VALUE!</v>
      </c>
      <c r="EP108" t="e">
        <f>'Delivery Calculation'!AU19+"AM:!&amp;R)"</f>
        <v>#VALUE!</v>
      </c>
      <c r="EQ108" t="e">
        <f>'Delivery Calculation'!AV19+"AM:!&amp;R."</f>
        <v>#VALUE!</v>
      </c>
      <c r="ER108" t="e">
        <f>'Delivery Calculation'!A20+"AM:!&amp;R/"</f>
        <v>#VALUE!</v>
      </c>
      <c r="ES108" t="e">
        <f>'Delivery Calculation'!B20+"AM:!&amp;R0"</f>
        <v>#VALUE!</v>
      </c>
      <c r="ET108" t="e">
        <f>'Delivery Calculation'!C20+"AM:!&amp;R1"</f>
        <v>#VALUE!</v>
      </c>
      <c r="EU108" t="e">
        <f>'Delivery Calculation'!D20+"AM:!&amp;R2"</f>
        <v>#VALUE!</v>
      </c>
      <c r="EV108" t="e">
        <f>'Delivery Calculation'!E20+"AM:!&amp;R3"</f>
        <v>#VALUE!</v>
      </c>
      <c r="EW108" t="e">
        <f>'Delivery Calculation'!F20+"AM:!&amp;R4"</f>
        <v>#VALUE!</v>
      </c>
      <c r="EX108" t="e">
        <f>'Delivery Calculation'!G20+"AM:!&amp;R5"</f>
        <v>#VALUE!</v>
      </c>
      <c r="EY108" t="e">
        <f>'Delivery Calculation'!H20+"AM:!&amp;R6"</f>
        <v>#VALUE!</v>
      </c>
      <c r="EZ108" t="e">
        <f>'Delivery Calculation'!I20+"AM:!&amp;R7"</f>
        <v>#VALUE!</v>
      </c>
      <c r="FA108" t="e">
        <f>'Delivery Calculation'!J20+"AM:!&amp;R8"</f>
        <v>#VALUE!</v>
      </c>
      <c r="FB108" t="e">
        <f>'Delivery Calculation'!K20+"AM:!&amp;R9"</f>
        <v>#VALUE!</v>
      </c>
      <c r="FC108" t="e">
        <f>'Delivery Calculation'!L20+"AM:!&amp;R:"</f>
        <v>#VALUE!</v>
      </c>
      <c r="FD108" t="e">
        <f>'Delivery Calculation'!M20+"AM:!&amp;R;"</f>
        <v>#VALUE!</v>
      </c>
      <c r="FE108" s="100" t="e">
        <f>'Delivery Calculation'!N20+"AM:!&amp;R&lt;"</f>
        <v>#VALUE!</v>
      </c>
      <c r="FF108" t="e">
        <f>'Delivery Calculation'!O20+"AM:!&amp;R="</f>
        <v>#VALUE!</v>
      </c>
      <c r="FG108" t="e">
        <f>'Delivery Calculation'!P20+"AM:!&amp;R&gt;"</f>
        <v>#VALUE!</v>
      </c>
      <c r="FH108" t="e">
        <f>'Delivery Calculation'!Q20+"AM:!&amp;R?"</f>
        <v>#VALUE!</v>
      </c>
      <c r="FI108" t="e">
        <f>'Delivery Calculation'!R20+"AM:!&amp;R@"</f>
        <v>#VALUE!</v>
      </c>
      <c r="FJ108" t="e">
        <f>'Delivery Calculation'!S20+"AM:!&amp;RA"</f>
        <v>#VALUE!</v>
      </c>
      <c r="FK108" t="e">
        <f>'Delivery Calculation'!T20+"AM:!&amp;RB"</f>
        <v>#VALUE!</v>
      </c>
      <c r="FL108" t="e">
        <f>'Delivery Calculation'!U20+"AM:!&amp;RC"</f>
        <v>#VALUE!</v>
      </c>
      <c r="FM108" t="e">
        <f>'Delivery Calculation'!V20+"AM:!&amp;RD"</f>
        <v>#VALUE!</v>
      </c>
      <c r="FN108" t="e">
        <f>'Delivery Calculation'!W20+"AM:!&amp;RE"</f>
        <v>#VALUE!</v>
      </c>
      <c r="FO108" t="e">
        <f>'Delivery Calculation'!X20+"AM:!&amp;RF"</f>
        <v>#VALUE!</v>
      </c>
      <c r="FP108" t="e">
        <f>'Delivery Calculation'!Y20+"AM:!&amp;RG"</f>
        <v>#VALUE!</v>
      </c>
      <c r="FQ108" t="e">
        <f>'Delivery Calculation'!Z20+"AM:!&amp;RH"</f>
        <v>#VALUE!</v>
      </c>
      <c r="FR108" t="e">
        <f>'Delivery Calculation'!AA20+"AM:!&amp;RI"</f>
        <v>#VALUE!</v>
      </c>
      <c r="FS108" t="e">
        <f>'Delivery Calculation'!AB20+"AM:!&amp;RJ"</f>
        <v>#VALUE!</v>
      </c>
      <c r="FT108" t="e">
        <f>'Delivery Calculation'!AC20+"AM:!&amp;RK"</f>
        <v>#VALUE!</v>
      </c>
      <c r="FU108" t="e">
        <f>'Delivery Calculation'!AD20+"AM:!&amp;RL"</f>
        <v>#VALUE!</v>
      </c>
      <c r="FV108" t="e">
        <f>'Delivery Calculation'!AE20+"AM:!&amp;RM"</f>
        <v>#VALUE!</v>
      </c>
      <c r="FW108" t="e">
        <f>'Delivery Calculation'!AF20+"AM:!&amp;RN"</f>
        <v>#VALUE!</v>
      </c>
      <c r="FX108" t="e">
        <f>'Delivery Calculation'!AG20+"AM:!&amp;RO"</f>
        <v>#VALUE!</v>
      </c>
      <c r="FY108" t="e">
        <f>'Delivery Calculation'!AH20+"AM:!&amp;RP"</f>
        <v>#VALUE!</v>
      </c>
      <c r="FZ108" t="e">
        <f>'Delivery Calculation'!AI20+"AM:!&amp;RQ"</f>
        <v>#VALUE!</v>
      </c>
      <c r="GA108" t="e">
        <f>'Delivery Calculation'!AJ20+"AM:!&amp;RR"</f>
        <v>#VALUE!</v>
      </c>
      <c r="GB108" t="e">
        <f>'Delivery Calculation'!AK20+"AM:!&amp;RS"</f>
        <v>#VALUE!</v>
      </c>
      <c r="GC108" t="e">
        <f>'Delivery Calculation'!AL20+"AM:!&amp;RT"</f>
        <v>#VALUE!</v>
      </c>
      <c r="GD108" t="e">
        <f>'Delivery Calculation'!AM20+"AM:!&amp;RU"</f>
        <v>#VALUE!</v>
      </c>
      <c r="GE108" t="e">
        <f>'Delivery Calculation'!AN20+"AM:!&amp;RV"</f>
        <v>#VALUE!</v>
      </c>
      <c r="GF108" t="e">
        <f>'Delivery Calculation'!AO20+"AM:!&amp;RW"</f>
        <v>#VALUE!</v>
      </c>
      <c r="GG108" t="e">
        <f>'Delivery Calculation'!AP20+"AM:!&amp;RX"</f>
        <v>#VALUE!</v>
      </c>
      <c r="GH108" t="e">
        <f>'Delivery Calculation'!AQ20+"AM:!&amp;RY"</f>
        <v>#VALUE!</v>
      </c>
      <c r="GI108" t="e">
        <f>'Delivery Calculation'!AR20+"AM:!&amp;RZ"</f>
        <v>#VALUE!</v>
      </c>
      <c r="GJ108" t="e">
        <f>'Delivery Calculation'!AS20+"AM:!&amp;R["</f>
        <v>#VALUE!</v>
      </c>
      <c r="GK108" t="e">
        <f>'Delivery Calculation'!AT20+"AM:!&amp;R\"</f>
        <v>#VALUE!</v>
      </c>
      <c r="GL108" t="e">
        <f>'Delivery Calculation'!AU20+"AM:!&amp;R]"</f>
        <v>#VALUE!</v>
      </c>
      <c r="GM108" t="e">
        <f>'Delivery Calculation'!AV20+"AM:!&amp;R^"</f>
        <v>#VALUE!</v>
      </c>
      <c r="GN108" t="e">
        <f>'Delivery Calculation'!A21+"AM:!&amp;R_"</f>
        <v>#VALUE!</v>
      </c>
      <c r="GO108" t="e">
        <f>'Delivery Calculation'!B21+"AM:!&amp;R`"</f>
        <v>#VALUE!</v>
      </c>
      <c r="GP108" t="e">
        <f>'Delivery Calculation'!C21+"AM:!&amp;Ra"</f>
        <v>#VALUE!</v>
      </c>
      <c r="GQ108" t="e">
        <f>'Delivery Calculation'!D21+"AM:!&amp;Rb"</f>
        <v>#VALUE!</v>
      </c>
      <c r="GR108" t="e">
        <f>'Delivery Calculation'!E21+"AM:!&amp;Rc"</f>
        <v>#VALUE!</v>
      </c>
      <c r="GS108" t="e">
        <f>'Delivery Calculation'!F21+"AM:!&amp;Rd"</f>
        <v>#VALUE!</v>
      </c>
      <c r="GT108" t="e">
        <f>'Delivery Calculation'!G21+"AM:!&amp;Re"</f>
        <v>#VALUE!</v>
      </c>
      <c r="GU108" t="e">
        <f>'Delivery Calculation'!H21+"AM:!&amp;Rf"</f>
        <v>#VALUE!</v>
      </c>
      <c r="GV108" t="e">
        <f>'Delivery Calculation'!I21+"AM:!&amp;Rg"</f>
        <v>#VALUE!</v>
      </c>
      <c r="GW108" t="e">
        <f>'Delivery Calculation'!J21+"AM:!&amp;Rh"</f>
        <v>#VALUE!</v>
      </c>
      <c r="GX108" t="e">
        <f>'Delivery Calculation'!K21+"AM:!&amp;Ri"</f>
        <v>#VALUE!</v>
      </c>
      <c r="GY108" t="e">
        <f>'Delivery Calculation'!L21+"AM:!&amp;Rj"</f>
        <v>#VALUE!</v>
      </c>
      <c r="GZ108" t="e">
        <f>'Delivery Calculation'!M21+"AM:!&amp;Rk"</f>
        <v>#VALUE!</v>
      </c>
      <c r="HA108" s="100" t="e">
        <f>'Delivery Calculation'!N21+"AM:!&amp;Rl"</f>
        <v>#VALUE!</v>
      </c>
      <c r="HB108" t="e">
        <f>'Delivery Calculation'!O21+"AM:!&amp;Rm"</f>
        <v>#VALUE!</v>
      </c>
      <c r="HC108" t="e">
        <f>'Delivery Calculation'!P21+"AM:!&amp;Rn"</f>
        <v>#VALUE!</v>
      </c>
      <c r="HD108" t="e">
        <f>'Delivery Calculation'!Q21+"AM:!&amp;Ro"</f>
        <v>#VALUE!</v>
      </c>
      <c r="HE108" t="e">
        <f>'Delivery Calculation'!R21+"AM:!&amp;Rp"</f>
        <v>#VALUE!</v>
      </c>
      <c r="HF108" t="e">
        <f>'Delivery Calculation'!S21+"AM:!&amp;Rq"</f>
        <v>#VALUE!</v>
      </c>
      <c r="HG108" t="e">
        <f>'Delivery Calculation'!T21+"AM:!&amp;Rr"</f>
        <v>#VALUE!</v>
      </c>
      <c r="HH108" t="e">
        <f>'Delivery Calculation'!U21+"AM:!&amp;Rs"</f>
        <v>#VALUE!</v>
      </c>
      <c r="HI108" t="e">
        <f>'Delivery Calculation'!V21+"AM:!&amp;Rt"</f>
        <v>#VALUE!</v>
      </c>
      <c r="HJ108" t="e">
        <f>'Delivery Calculation'!W21+"AM:!&amp;Ru"</f>
        <v>#VALUE!</v>
      </c>
      <c r="HK108" t="e">
        <f>'Delivery Calculation'!X21+"AM:!&amp;Rv"</f>
        <v>#VALUE!</v>
      </c>
      <c r="HL108" t="e">
        <f>'Delivery Calculation'!Y21+"AM:!&amp;Rw"</f>
        <v>#VALUE!</v>
      </c>
      <c r="HM108" t="e">
        <f>'Delivery Calculation'!Z21+"AM:!&amp;Rx"</f>
        <v>#VALUE!</v>
      </c>
      <c r="HN108" t="e">
        <f>'Delivery Calculation'!AA21+"AM:!&amp;Ry"</f>
        <v>#VALUE!</v>
      </c>
      <c r="HO108" t="e">
        <f>'Delivery Calculation'!AB21+"AM:!&amp;Rz"</f>
        <v>#VALUE!</v>
      </c>
      <c r="HP108" t="e">
        <f>'Delivery Calculation'!AC21+"AM:!&amp;R{"</f>
        <v>#VALUE!</v>
      </c>
      <c r="HQ108" t="e">
        <f>'Delivery Calculation'!AD21+"AM:!&amp;R|"</f>
        <v>#VALUE!</v>
      </c>
      <c r="HR108" t="e">
        <f>'Delivery Calculation'!AE21+"AM:!&amp;R}"</f>
        <v>#VALUE!</v>
      </c>
      <c r="HS108" t="e">
        <f>'Delivery Calculation'!AF21+"AM:!&amp;R~"</f>
        <v>#VALUE!</v>
      </c>
      <c r="HT108" t="e">
        <f>'Delivery Calculation'!AG21+"AM:!&amp;S#"</f>
        <v>#VALUE!</v>
      </c>
      <c r="HU108" t="e">
        <f>'Delivery Calculation'!AH21+"AM:!&amp;S$"</f>
        <v>#VALUE!</v>
      </c>
      <c r="HV108" t="e">
        <f>'Delivery Calculation'!AI21+"AM:!&amp;S%"</f>
        <v>#VALUE!</v>
      </c>
      <c r="HW108" t="e">
        <f>'Delivery Calculation'!AJ21+"AM:!&amp;S&amp;"</f>
        <v>#VALUE!</v>
      </c>
      <c r="HX108" t="e">
        <f>'Delivery Calculation'!AK21+"AM:!&amp;S'"</f>
        <v>#VALUE!</v>
      </c>
      <c r="HY108" t="e">
        <f>'Delivery Calculation'!AL21+"AM:!&amp;S("</f>
        <v>#VALUE!</v>
      </c>
      <c r="HZ108" t="e">
        <f>'Delivery Calculation'!AM21+"AM:!&amp;S)"</f>
        <v>#VALUE!</v>
      </c>
      <c r="IA108" t="e">
        <f>'Delivery Calculation'!AN21+"AM:!&amp;S."</f>
        <v>#VALUE!</v>
      </c>
      <c r="IB108" t="e">
        <f>'Delivery Calculation'!AO21+"AM:!&amp;S/"</f>
        <v>#VALUE!</v>
      </c>
      <c r="IC108" t="e">
        <f>'Delivery Calculation'!AP21+"AM:!&amp;S0"</f>
        <v>#VALUE!</v>
      </c>
      <c r="ID108" t="e">
        <f>'Delivery Calculation'!AQ21+"AM:!&amp;S1"</f>
        <v>#VALUE!</v>
      </c>
      <c r="IE108" t="e">
        <f>'Delivery Calculation'!AR21+"AM:!&amp;S2"</f>
        <v>#VALUE!</v>
      </c>
      <c r="IF108" t="e">
        <f>'Delivery Calculation'!AS21+"AM:!&amp;S3"</f>
        <v>#VALUE!</v>
      </c>
      <c r="IG108" t="e">
        <f>'Delivery Calculation'!AT21+"AM:!&amp;S4"</f>
        <v>#VALUE!</v>
      </c>
      <c r="IH108" t="e">
        <f>'Delivery Calculation'!AU21+"AM:!&amp;S5"</f>
        <v>#VALUE!</v>
      </c>
      <c r="II108" t="e">
        <f>'Delivery Calculation'!AV21+"AM:!&amp;S6"</f>
        <v>#VALUE!</v>
      </c>
      <c r="IJ108" t="e">
        <f>'Delivery Calculation'!A22+"AM:!&amp;S7"</f>
        <v>#VALUE!</v>
      </c>
      <c r="IK108" t="e">
        <f>'Delivery Calculation'!B22+"AM:!&amp;S8"</f>
        <v>#VALUE!</v>
      </c>
      <c r="IL108" t="e">
        <f>'Delivery Calculation'!C22+"AM:!&amp;S9"</f>
        <v>#VALUE!</v>
      </c>
      <c r="IM108" t="e">
        <f>'Delivery Calculation'!D22+"AM:!&amp;S:"</f>
        <v>#VALUE!</v>
      </c>
      <c r="IN108" t="e">
        <f>'Delivery Calculation'!E22+"AM:!&amp;S;"</f>
        <v>#VALUE!</v>
      </c>
      <c r="IO108" t="e">
        <f>'Delivery Calculation'!F22+"AM:!&amp;S&lt;"</f>
        <v>#VALUE!</v>
      </c>
      <c r="IP108" t="e">
        <f>'Delivery Calculation'!G22+"AM:!&amp;S="</f>
        <v>#VALUE!</v>
      </c>
      <c r="IQ108" t="e">
        <f>'Delivery Calculation'!H22+"AM:!&amp;S&gt;"</f>
        <v>#VALUE!</v>
      </c>
      <c r="IR108" t="e">
        <f>'Delivery Calculation'!I22+"AM:!&amp;S?"</f>
        <v>#VALUE!</v>
      </c>
      <c r="IS108" t="e">
        <f>'Delivery Calculation'!J22+"AM:!&amp;S@"</f>
        <v>#VALUE!</v>
      </c>
      <c r="IT108" t="e">
        <f>'Delivery Calculation'!K22+"AM:!&amp;SA"</f>
        <v>#VALUE!</v>
      </c>
      <c r="IU108" t="e">
        <f>'Delivery Calculation'!L22+"AM:!&amp;SB"</f>
        <v>#VALUE!</v>
      </c>
      <c r="IV108" t="e">
        <f>'Delivery Calculation'!M22+"AM:!&amp;SC"</f>
        <v>#VALUE!</v>
      </c>
    </row>
    <row r="109" spans="6:256">
      <c r="F109" s="100" t="e">
        <f>'Delivery Calculation'!N22+"AM:!&amp;SD"</f>
        <v>#VALUE!</v>
      </c>
      <c r="G109" t="e">
        <f>'Delivery Calculation'!O22+"AM:!&amp;SE"</f>
        <v>#VALUE!</v>
      </c>
      <c r="H109" t="e">
        <f>'Delivery Calculation'!P22+"AM:!&amp;SF"</f>
        <v>#VALUE!</v>
      </c>
      <c r="I109" t="e">
        <f>'Delivery Calculation'!Q22+"AM:!&amp;SG"</f>
        <v>#VALUE!</v>
      </c>
      <c r="J109" t="e">
        <f>'Delivery Calculation'!R22+"AM:!&amp;SH"</f>
        <v>#VALUE!</v>
      </c>
      <c r="K109" t="e">
        <f>'Delivery Calculation'!S22+"AM:!&amp;SI"</f>
        <v>#VALUE!</v>
      </c>
      <c r="L109" t="e">
        <f>'Delivery Calculation'!T22+"AM:!&amp;SJ"</f>
        <v>#VALUE!</v>
      </c>
      <c r="M109" t="e">
        <f>'Delivery Calculation'!U22+"AM:!&amp;SK"</f>
        <v>#VALUE!</v>
      </c>
      <c r="N109" t="e">
        <f>'Delivery Calculation'!V22+"AM:!&amp;SL"</f>
        <v>#VALUE!</v>
      </c>
      <c r="O109" t="e">
        <f>'Delivery Calculation'!W22+"AM:!&amp;SM"</f>
        <v>#VALUE!</v>
      </c>
      <c r="P109" t="e">
        <f>'Delivery Calculation'!X22+"AM:!&amp;SN"</f>
        <v>#VALUE!</v>
      </c>
      <c r="Q109" t="e">
        <f>'Delivery Calculation'!Y22+"AM:!&amp;SO"</f>
        <v>#VALUE!</v>
      </c>
      <c r="R109" t="e">
        <f>'Delivery Calculation'!Z22+"AM:!&amp;SP"</f>
        <v>#VALUE!</v>
      </c>
      <c r="S109" t="e">
        <f>'Delivery Calculation'!AA22+"AM:!&amp;SQ"</f>
        <v>#VALUE!</v>
      </c>
      <c r="T109" t="e">
        <f>'Delivery Calculation'!AB22+"AM:!&amp;SR"</f>
        <v>#VALUE!</v>
      </c>
      <c r="U109" t="e">
        <f>'Delivery Calculation'!AC22+"AM:!&amp;SS"</f>
        <v>#VALUE!</v>
      </c>
      <c r="V109" t="e">
        <f>'Delivery Calculation'!AD22+"AM:!&amp;ST"</f>
        <v>#VALUE!</v>
      </c>
      <c r="W109" t="e">
        <f>'Delivery Calculation'!AE22+"AM:!&amp;SU"</f>
        <v>#VALUE!</v>
      </c>
      <c r="X109" t="e">
        <f>'Delivery Calculation'!AF22+"AM:!&amp;SV"</f>
        <v>#VALUE!</v>
      </c>
      <c r="Y109" t="e">
        <f>'Delivery Calculation'!AG22+"AM:!&amp;SW"</f>
        <v>#VALUE!</v>
      </c>
      <c r="Z109" t="e">
        <f>'Delivery Calculation'!AH22+"AM:!&amp;SX"</f>
        <v>#VALUE!</v>
      </c>
      <c r="AA109" t="e">
        <f>'Delivery Calculation'!AI22+"AM:!&amp;SY"</f>
        <v>#VALUE!</v>
      </c>
      <c r="AB109" t="e">
        <f>'Delivery Calculation'!AJ22+"AM:!&amp;SZ"</f>
        <v>#VALUE!</v>
      </c>
      <c r="AC109" t="e">
        <f>'Delivery Calculation'!AK22+"AM:!&amp;S["</f>
        <v>#VALUE!</v>
      </c>
      <c r="AD109" t="e">
        <f>'Delivery Calculation'!AL22+"AM:!&amp;S\"</f>
        <v>#VALUE!</v>
      </c>
      <c r="AE109" t="e">
        <f>'Delivery Calculation'!AM22+"AM:!&amp;S]"</f>
        <v>#VALUE!</v>
      </c>
      <c r="AF109" t="e">
        <f>'Delivery Calculation'!AN22+"AM:!&amp;S^"</f>
        <v>#VALUE!</v>
      </c>
      <c r="AG109" t="e">
        <f>'Delivery Calculation'!AO22+"AM:!&amp;S_"</f>
        <v>#VALUE!</v>
      </c>
      <c r="AH109" t="e">
        <f>'Delivery Calculation'!AP22+"AM:!&amp;S`"</f>
        <v>#VALUE!</v>
      </c>
      <c r="AI109" t="e">
        <f>'Delivery Calculation'!AQ22+"AM:!&amp;Sa"</f>
        <v>#VALUE!</v>
      </c>
      <c r="AJ109" t="e">
        <f>'Delivery Calculation'!AR22+"AM:!&amp;Sb"</f>
        <v>#VALUE!</v>
      </c>
      <c r="AK109" t="e">
        <f>'Delivery Calculation'!AS22+"AM:!&amp;Sc"</f>
        <v>#VALUE!</v>
      </c>
      <c r="AL109" t="e">
        <f>'Delivery Calculation'!AT22+"AM:!&amp;Sd"</f>
        <v>#VALUE!</v>
      </c>
      <c r="AM109" t="e">
        <f>'Delivery Calculation'!AU22+"AM:!&amp;Se"</f>
        <v>#VALUE!</v>
      </c>
      <c r="AN109" t="e">
        <f>'Delivery Calculation'!AV22+"AM:!&amp;Sf"</f>
        <v>#VALUE!</v>
      </c>
      <c r="AO109" t="e">
        <f>'Delivery Calculation'!A23+"AM:!&amp;Sg"</f>
        <v>#VALUE!</v>
      </c>
      <c r="AP109" t="e">
        <f>'Delivery Calculation'!B23+"AM:!&amp;Sh"</f>
        <v>#VALUE!</v>
      </c>
      <c r="AQ109" t="e">
        <f>'Delivery Calculation'!C23+"AM:!&amp;Si"</f>
        <v>#VALUE!</v>
      </c>
      <c r="AR109" t="e">
        <f>'Delivery Calculation'!D23+"AM:!&amp;Sj"</f>
        <v>#VALUE!</v>
      </c>
      <c r="AS109" t="e">
        <f>'Delivery Calculation'!E23+"AM:!&amp;Sk"</f>
        <v>#VALUE!</v>
      </c>
      <c r="AT109" t="e">
        <f>'Delivery Calculation'!F23+"AM:!&amp;Sl"</f>
        <v>#VALUE!</v>
      </c>
      <c r="AU109" t="e">
        <f>'Delivery Calculation'!G23+"AM:!&amp;Sm"</f>
        <v>#VALUE!</v>
      </c>
      <c r="AV109" t="e">
        <f>'Delivery Calculation'!H23+"AM:!&amp;Sn"</f>
        <v>#VALUE!</v>
      </c>
      <c r="AW109" t="e">
        <f>'Delivery Calculation'!I23+"AM:!&amp;So"</f>
        <v>#VALUE!</v>
      </c>
      <c r="AX109" t="e">
        <f>'Delivery Calculation'!J23+"AM:!&amp;Sp"</f>
        <v>#VALUE!</v>
      </c>
      <c r="AY109" t="e">
        <f>'Delivery Calculation'!K23+"AM:!&amp;Sq"</f>
        <v>#VALUE!</v>
      </c>
      <c r="AZ109" t="e">
        <f>'Delivery Calculation'!L23+"AM:!&amp;Sr"</f>
        <v>#VALUE!</v>
      </c>
      <c r="BA109" t="e">
        <f>'Delivery Calculation'!M23+"AM:!&amp;Ss"</f>
        <v>#VALUE!</v>
      </c>
      <c r="BB109" s="100" t="e">
        <f>'Delivery Calculation'!N23+"AM:!&amp;St"</f>
        <v>#VALUE!</v>
      </c>
      <c r="BC109" t="e">
        <f>'Delivery Calculation'!O23+"AM:!&amp;Su"</f>
        <v>#VALUE!</v>
      </c>
      <c r="BD109" t="e">
        <f>'Delivery Calculation'!P23+"AM:!&amp;Sv"</f>
        <v>#VALUE!</v>
      </c>
      <c r="BE109" t="e">
        <f>'Delivery Calculation'!Q23+"AM:!&amp;Sw"</f>
        <v>#VALUE!</v>
      </c>
      <c r="BF109" t="e">
        <f>'Delivery Calculation'!R23+"AM:!&amp;Sx"</f>
        <v>#VALUE!</v>
      </c>
      <c r="BG109" t="e">
        <f>'Delivery Calculation'!S23+"AM:!&amp;Sy"</f>
        <v>#VALUE!</v>
      </c>
      <c r="BH109" t="e">
        <f>'Delivery Calculation'!T23+"AM:!&amp;Sz"</f>
        <v>#VALUE!</v>
      </c>
      <c r="BI109" t="e">
        <f>'Delivery Calculation'!U23+"AM:!&amp;S{"</f>
        <v>#VALUE!</v>
      </c>
      <c r="BJ109" t="e">
        <f>'Delivery Calculation'!V23+"AM:!&amp;S|"</f>
        <v>#VALUE!</v>
      </c>
      <c r="BK109" t="e">
        <f>'Delivery Calculation'!W23+"AM:!&amp;S}"</f>
        <v>#VALUE!</v>
      </c>
      <c r="BL109" t="e">
        <f>'Delivery Calculation'!X23+"AM:!&amp;S~"</f>
        <v>#VALUE!</v>
      </c>
      <c r="BM109" t="e">
        <f>'Delivery Calculation'!Y23+"AM:!&amp;T#"</f>
        <v>#VALUE!</v>
      </c>
      <c r="BN109" t="e">
        <f>'Delivery Calculation'!Z23+"AM:!&amp;T$"</f>
        <v>#VALUE!</v>
      </c>
      <c r="BO109" t="e">
        <f>'Delivery Calculation'!AA23+"AM:!&amp;T%"</f>
        <v>#VALUE!</v>
      </c>
      <c r="BP109" t="e">
        <f>'Delivery Calculation'!AB23+"AM:!&amp;T&amp;"</f>
        <v>#VALUE!</v>
      </c>
      <c r="BQ109" t="e">
        <f>'Delivery Calculation'!AC23+"AM:!&amp;T'"</f>
        <v>#VALUE!</v>
      </c>
      <c r="BR109" t="e">
        <f>'Delivery Calculation'!AD23+"AM:!&amp;T("</f>
        <v>#VALUE!</v>
      </c>
      <c r="BS109" t="e">
        <f>'Delivery Calculation'!AE23+"AM:!&amp;T)"</f>
        <v>#VALUE!</v>
      </c>
      <c r="BT109" t="e">
        <f>'Delivery Calculation'!AF23+"AM:!&amp;T."</f>
        <v>#VALUE!</v>
      </c>
      <c r="BU109" t="e">
        <f>'Delivery Calculation'!AG23+"AM:!&amp;T/"</f>
        <v>#VALUE!</v>
      </c>
      <c r="BV109" t="e">
        <f>'Delivery Calculation'!AH23+"AM:!&amp;T0"</f>
        <v>#VALUE!</v>
      </c>
      <c r="BW109" t="e">
        <f>'Delivery Calculation'!AI23+"AM:!&amp;T1"</f>
        <v>#VALUE!</v>
      </c>
      <c r="BX109" t="e">
        <f>'Delivery Calculation'!AJ23+"AM:!&amp;T2"</f>
        <v>#VALUE!</v>
      </c>
      <c r="BY109" t="e">
        <f>'Delivery Calculation'!AK23+"AM:!&amp;T3"</f>
        <v>#VALUE!</v>
      </c>
      <c r="BZ109" t="e">
        <f>'Delivery Calculation'!AL23+"AM:!&amp;T4"</f>
        <v>#VALUE!</v>
      </c>
      <c r="CA109" t="e">
        <f>'Delivery Calculation'!AM23+"AM:!&amp;T5"</f>
        <v>#VALUE!</v>
      </c>
      <c r="CB109" t="e">
        <f>'Delivery Calculation'!AN23+"AM:!&amp;T6"</f>
        <v>#VALUE!</v>
      </c>
      <c r="CC109" t="e">
        <f>'Delivery Calculation'!AO23+"AM:!&amp;T7"</f>
        <v>#VALUE!</v>
      </c>
      <c r="CD109" t="e">
        <f>'Delivery Calculation'!AP23+"AM:!&amp;T8"</f>
        <v>#VALUE!</v>
      </c>
      <c r="CE109" t="e">
        <f>'Delivery Calculation'!AQ23+"AM:!&amp;T9"</f>
        <v>#VALUE!</v>
      </c>
      <c r="CF109" t="e">
        <f>'Delivery Calculation'!AR23+"AM:!&amp;T:"</f>
        <v>#VALUE!</v>
      </c>
      <c r="CG109" t="e">
        <f>'Delivery Calculation'!AS23+"AM:!&amp;T;"</f>
        <v>#VALUE!</v>
      </c>
      <c r="CH109" t="e">
        <f>'Delivery Calculation'!AT23+"AM:!&amp;T&lt;"</f>
        <v>#VALUE!</v>
      </c>
      <c r="CI109" t="e">
        <f>'Delivery Calculation'!AU23+"AM:!&amp;T="</f>
        <v>#VALUE!</v>
      </c>
      <c r="CJ109" t="e">
        <f>'Delivery Calculation'!AV23+"AM:!&amp;T&gt;"</f>
        <v>#VALUE!</v>
      </c>
      <c r="CK109" t="e">
        <f>'Delivery Calculation'!A24+"AM:!&amp;T?"</f>
        <v>#VALUE!</v>
      </c>
      <c r="CL109" t="e">
        <f>'Delivery Calculation'!B24+"AM:!&amp;T@"</f>
        <v>#VALUE!</v>
      </c>
      <c r="CM109" t="e">
        <f>'Delivery Calculation'!C24+"AM:!&amp;TA"</f>
        <v>#VALUE!</v>
      </c>
      <c r="CN109" t="e">
        <f>'Delivery Calculation'!D24+"AM:!&amp;TB"</f>
        <v>#VALUE!</v>
      </c>
      <c r="CO109" t="e">
        <f>'Delivery Calculation'!E24+"AM:!&amp;TC"</f>
        <v>#VALUE!</v>
      </c>
      <c r="CP109" t="e">
        <f>'Delivery Calculation'!F24+"AM:!&amp;TD"</f>
        <v>#VALUE!</v>
      </c>
      <c r="CQ109" t="e">
        <f>'Delivery Calculation'!G24+"AM:!&amp;TE"</f>
        <v>#VALUE!</v>
      </c>
      <c r="CR109" t="e">
        <f>'Delivery Calculation'!H24+"AM:!&amp;TF"</f>
        <v>#VALUE!</v>
      </c>
      <c r="CS109" t="e">
        <f>'Delivery Calculation'!I24+"AM:!&amp;TG"</f>
        <v>#VALUE!</v>
      </c>
      <c r="CT109" t="e">
        <f>'Delivery Calculation'!J24+"AM:!&amp;TH"</f>
        <v>#VALUE!</v>
      </c>
      <c r="CU109" t="e">
        <f>'Delivery Calculation'!K24+"AM:!&amp;TI"</f>
        <v>#VALUE!</v>
      </c>
      <c r="CV109" t="e">
        <f>'Delivery Calculation'!L24+"AM:!&amp;TJ"</f>
        <v>#VALUE!</v>
      </c>
      <c r="CW109" t="e">
        <f>'Delivery Calculation'!M24+"AM:!&amp;TK"</f>
        <v>#VALUE!</v>
      </c>
      <c r="CX109" s="100" t="e">
        <f>'Delivery Calculation'!N24+"AM:!&amp;TL"</f>
        <v>#VALUE!</v>
      </c>
      <c r="CY109" t="e">
        <f>'Delivery Calculation'!O24+"AM:!&amp;TM"</f>
        <v>#VALUE!</v>
      </c>
      <c r="CZ109" t="e">
        <f>'Delivery Calculation'!P24+"AM:!&amp;TN"</f>
        <v>#VALUE!</v>
      </c>
      <c r="DA109" t="e">
        <f>'Delivery Calculation'!Q24+"AM:!&amp;TO"</f>
        <v>#VALUE!</v>
      </c>
      <c r="DB109" t="e">
        <f>'Delivery Calculation'!R24+"AM:!&amp;TP"</f>
        <v>#VALUE!</v>
      </c>
      <c r="DC109" t="e">
        <f>'Delivery Calculation'!S24+"AM:!&amp;TQ"</f>
        <v>#VALUE!</v>
      </c>
      <c r="DD109" t="e">
        <f>'Delivery Calculation'!T24+"AM:!&amp;TR"</f>
        <v>#VALUE!</v>
      </c>
      <c r="DE109" t="e">
        <f>'Delivery Calculation'!U24+"AM:!&amp;TS"</f>
        <v>#VALUE!</v>
      </c>
      <c r="DF109" t="e">
        <f>'Delivery Calculation'!V24+"AM:!&amp;TT"</f>
        <v>#VALUE!</v>
      </c>
      <c r="DG109" t="e">
        <f>'Delivery Calculation'!W24+"AM:!&amp;TU"</f>
        <v>#VALUE!</v>
      </c>
      <c r="DH109" t="e">
        <f>'Delivery Calculation'!X24+"AM:!&amp;TV"</f>
        <v>#VALUE!</v>
      </c>
      <c r="DI109" t="e">
        <f>'Delivery Calculation'!Y24+"AM:!&amp;TW"</f>
        <v>#VALUE!</v>
      </c>
      <c r="DJ109" t="e">
        <f>'Delivery Calculation'!Z24+"AM:!&amp;TX"</f>
        <v>#VALUE!</v>
      </c>
      <c r="DK109" t="e">
        <f>'Delivery Calculation'!AA24+"AM:!&amp;TY"</f>
        <v>#VALUE!</v>
      </c>
      <c r="DL109" t="e">
        <f>'Delivery Calculation'!AB24+"AM:!&amp;TZ"</f>
        <v>#VALUE!</v>
      </c>
      <c r="DM109" t="e">
        <f>'Delivery Calculation'!AC24+"AM:!&amp;T["</f>
        <v>#VALUE!</v>
      </c>
      <c r="DN109" t="e">
        <f>'Delivery Calculation'!AD24+"AM:!&amp;T\"</f>
        <v>#VALUE!</v>
      </c>
      <c r="DO109" t="e">
        <f>'Delivery Calculation'!AE24+"AM:!&amp;T]"</f>
        <v>#VALUE!</v>
      </c>
      <c r="DP109" t="e">
        <f>'Delivery Calculation'!AF24+"AM:!&amp;T^"</f>
        <v>#VALUE!</v>
      </c>
      <c r="DQ109" t="e">
        <f>'Delivery Calculation'!AG24+"AM:!&amp;T_"</f>
        <v>#VALUE!</v>
      </c>
      <c r="DR109" t="e">
        <f>'Delivery Calculation'!AH24+"AM:!&amp;T`"</f>
        <v>#VALUE!</v>
      </c>
      <c r="DS109" t="e">
        <f>'Delivery Calculation'!AI24+"AM:!&amp;Ta"</f>
        <v>#VALUE!</v>
      </c>
      <c r="DT109" t="e">
        <f>'Delivery Calculation'!AJ24+"AM:!&amp;Tb"</f>
        <v>#VALUE!</v>
      </c>
      <c r="DU109" t="e">
        <f>'Delivery Calculation'!AK24+"AM:!&amp;Tc"</f>
        <v>#VALUE!</v>
      </c>
      <c r="DV109" t="e">
        <f>'Delivery Calculation'!AL24+"AM:!&amp;Td"</f>
        <v>#VALUE!</v>
      </c>
      <c r="DW109" t="e">
        <f>'Delivery Calculation'!AM24+"AM:!&amp;Te"</f>
        <v>#VALUE!</v>
      </c>
      <c r="DX109" t="e">
        <f>'Delivery Calculation'!AN24+"AM:!&amp;Tf"</f>
        <v>#VALUE!</v>
      </c>
      <c r="DY109" t="e">
        <f>'Delivery Calculation'!AO24+"AM:!&amp;Tg"</f>
        <v>#VALUE!</v>
      </c>
      <c r="DZ109" t="e">
        <f>'Delivery Calculation'!AP24+"AM:!&amp;Th"</f>
        <v>#VALUE!</v>
      </c>
      <c r="EA109" t="e">
        <f>'Delivery Calculation'!AQ24+"AM:!&amp;Ti"</f>
        <v>#VALUE!</v>
      </c>
      <c r="EB109" t="e">
        <f>'Delivery Calculation'!AR24+"AM:!&amp;Tj"</f>
        <v>#VALUE!</v>
      </c>
      <c r="EC109" t="e">
        <f>'Delivery Calculation'!AS24+"AM:!&amp;Tk"</f>
        <v>#VALUE!</v>
      </c>
      <c r="ED109" t="e">
        <f>'Delivery Calculation'!AT24+"AM:!&amp;Tl"</f>
        <v>#VALUE!</v>
      </c>
      <c r="EE109" t="e">
        <f>'Delivery Calculation'!AU24+"AM:!&amp;Tm"</f>
        <v>#VALUE!</v>
      </c>
      <c r="EF109" t="e">
        <f>'Delivery Calculation'!AV24+"AM:!&amp;Tn"</f>
        <v>#VALUE!</v>
      </c>
      <c r="EG109" t="e">
        <f>'Delivery Calculation'!A25+"AM:!&amp;To"</f>
        <v>#VALUE!</v>
      </c>
      <c r="EH109" t="e">
        <f>'Delivery Calculation'!B25+"AM:!&amp;Tp"</f>
        <v>#VALUE!</v>
      </c>
      <c r="EI109" t="e">
        <f>'Delivery Calculation'!C25+"AM:!&amp;Tq"</f>
        <v>#VALUE!</v>
      </c>
      <c r="EJ109" t="e">
        <f>'Delivery Calculation'!D25+"AM:!&amp;Tr"</f>
        <v>#VALUE!</v>
      </c>
      <c r="EK109" t="e">
        <f>'Delivery Calculation'!E25+"AM:!&amp;Ts"</f>
        <v>#VALUE!</v>
      </c>
      <c r="EL109" t="e">
        <f>'Delivery Calculation'!F25+"AM:!&amp;Tt"</f>
        <v>#VALUE!</v>
      </c>
      <c r="EM109" t="e">
        <f>'Delivery Calculation'!G25+"AM:!&amp;Tu"</f>
        <v>#VALUE!</v>
      </c>
      <c r="EN109" t="e">
        <f>'Delivery Calculation'!H25+"AM:!&amp;Tv"</f>
        <v>#VALUE!</v>
      </c>
      <c r="EO109" t="e">
        <f>'Delivery Calculation'!I25+"AM:!&amp;Tw"</f>
        <v>#VALUE!</v>
      </c>
      <c r="EP109" t="e">
        <f>'Delivery Calculation'!J25+"AM:!&amp;Tx"</f>
        <v>#VALUE!</v>
      </c>
      <c r="EQ109" t="e">
        <f>'Delivery Calculation'!K25+"AM:!&amp;Ty"</f>
        <v>#VALUE!</v>
      </c>
      <c r="ER109" t="e">
        <f>'Delivery Calculation'!L25+"AM:!&amp;Tz"</f>
        <v>#VALUE!</v>
      </c>
      <c r="ES109" t="e">
        <f>'Delivery Calculation'!M25+"AM:!&amp;T{"</f>
        <v>#VALUE!</v>
      </c>
      <c r="ET109" s="100" t="e">
        <f>'Delivery Calculation'!N25+"AM:!&amp;T|"</f>
        <v>#VALUE!</v>
      </c>
      <c r="EU109" t="e">
        <f>'Delivery Calculation'!O25+"AM:!&amp;T}"</f>
        <v>#VALUE!</v>
      </c>
      <c r="EV109" t="e">
        <f>'Delivery Calculation'!P25+"AM:!&amp;T~"</f>
        <v>#VALUE!</v>
      </c>
      <c r="EW109" t="e">
        <f>'Delivery Calculation'!Q25+"AM:!&amp;U#"</f>
        <v>#VALUE!</v>
      </c>
      <c r="EX109" t="e">
        <f>'Delivery Calculation'!R25+"AM:!&amp;U$"</f>
        <v>#VALUE!</v>
      </c>
      <c r="EY109" t="e">
        <f>'Delivery Calculation'!S25+"AM:!&amp;U%"</f>
        <v>#VALUE!</v>
      </c>
      <c r="EZ109" t="e">
        <f>'Delivery Calculation'!T25+"AM:!&amp;U&amp;"</f>
        <v>#VALUE!</v>
      </c>
      <c r="FA109" t="e">
        <f>'Delivery Calculation'!U25+"AM:!&amp;U'"</f>
        <v>#VALUE!</v>
      </c>
      <c r="FB109" t="e">
        <f>'Delivery Calculation'!V25+"AM:!&amp;U("</f>
        <v>#VALUE!</v>
      </c>
      <c r="FC109" t="e">
        <f>'Delivery Calculation'!W25+"AM:!&amp;U)"</f>
        <v>#VALUE!</v>
      </c>
      <c r="FD109" t="e">
        <f>'Delivery Calculation'!X25+"AM:!&amp;U."</f>
        <v>#VALUE!</v>
      </c>
      <c r="FE109" t="e">
        <f>'Delivery Calculation'!Y25+"AM:!&amp;U/"</f>
        <v>#VALUE!</v>
      </c>
      <c r="FF109" t="e">
        <f>'Delivery Calculation'!Z25+"AM:!&amp;U0"</f>
        <v>#VALUE!</v>
      </c>
      <c r="FG109" t="e">
        <f>'Delivery Calculation'!AA25+"AM:!&amp;U1"</f>
        <v>#VALUE!</v>
      </c>
      <c r="FH109" t="e">
        <f>'Delivery Calculation'!AB25+"AM:!&amp;U2"</f>
        <v>#VALUE!</v>
      </c>
      <c r="FI109" t="e">
        <f>'Delivery Calculation'!AC25+"AM:!&amp;U3"</f>
        <v>#VALUE!</v>
      </c>
      <c r="FJ109" t="e">
        <f>'Delivery Calculation'!AD25+"AM:!&amp;U4"</f>
        <v>#VALUE!</v>
      </c>
      <c r="FK109" t="e">
        <f>'Delivery Calculation'!AE25+"AM:!&amp;U5"</f>
        <v>#VALUE!</v>
      </c>
      <c r="FL109" t="e">
        <f>'Delivery Calculation'!AF25+"AM:!&amp;U6"</f>
        <v>#VALUE!</v>
      </c>
      <c r="FM109" t="e">
        <f>'Delivery Calculation'!AG25+"AM:!&amp;U7"</f>
        <v>#VALUE!</v>
      </c>
      <c r="FN109" t="e">
        <f>'Delivery Calculation'!AH25+"AM:!&amp;U8"</f>
        <v>#VALUE!</v>
      </c>
      <c r="FO109" t="e">
        <f>'Delivery Calculation'!AI25+"AM:!&amp;U9"</f>
        <v>#VALUE!</v>
      </c>
      <c r="FP109" t="e">
        <f>'Delivery Calculation'!AJ25+"AM:!&amp;U:"</f>
        <v>#VALUE!</v>
      </c>
      <c r="FQ109" t="e">
        <f>'Delivery Calculation'!AK25+"AM:!&amp;U;"</f>
        <v>#VALUE!</v>
      </c>
      <c r="FR109" t="e">
        <f>'Delivery Calculation'!AL25+"AM:!&amp;U&lt;"</f>
        <v>#VALUE!</v>
      </c>
      <c r="FS109" t="e">
        <f>'Delivery Calculation'!AM25+"AM:!&amp;U="</f>
        <v>#VALUE!</v>
      </c>
      <c r="FT109" t="e">
        <f>'Delivery Calculation'!AN25+"AM:!&amp;U&gt;"</f>
        <v>#VALUE!</v>
      </c>
      <c r="FU109" t="e">
        <f>'Delivery Calculation'!AO25+"AM:!&amp;U?"</f>
        <v>#VALUE!</v>
      </c>
      <c r="FV109" t="e">
        <f>'Delivery Calculation'!AP25+"AM:!&amp;U@"</f>
        <v>#VALUE!</v>
      </c>
      <c r="FW109" t="e">
        <f>'Delivery Calculation'!AQ25+"AM:!&amp;UA"</f>
        <v>#VALUE!</v>
      </c>
      <c r="FX109" t="e">
        <f>'Delivery Calculation'!AR25+"AM:!&amp;UB"</f>
        <v>#VALUE!</v>
      </c>
      <c r="FY109" t="e">
        <f>'Delivery Calculation'!AS25+"AM:!&amp;UC"</f>
        <v>#VALUE!</v>
      </c>
      <c r="FZ109" t="e">
        <f>'Delivery Calculation'!AT25+"AM:!&amp;UD"</f>
        <v>#VALUE!</v>
      </c>
      <c r="GA109" t="e">
        <f>'Delivery Calculation'!AU25+"AM:!&amp;UE"</f>
        <v>#VALUE!</v>
      </c>
      <c r="GB109" t="e">
        <f>'Delivery Calculation'!AV25+"AM:!&amp;UF"</f>
        <v>#VALUE!</v>
      </c>
      <c r="GC109" t="e">
        <f>'Delivery Calculation'!A26+"AM:!&amp;UG"</f>
        <v>#VALUE!</v>
      </c>
      <c r="GD109" t="e">
        <f>'Delivery Calculation'!B26+"AM:!&amp;UH"</f>
        <v>#VALUE!</v>
      </c>
      <c r="GE109" t="e">
        <f>'Delivery Calculation'!C26+"AM:!&amp;UI"</f>
        <v>#VALUE!</v>
      </c>
      <c r="GF109" t="e">
        <f>'Delivery Calculation'!D26+"AM:!&amp;UJ"</f>
        <v>#VALUE!</v>
      </c>
      <c r="GG109" t="e">
        <f>'Delivery Calculation'!E26+"AM:!&amp;UK"</f>
        <v>#VALUE!</v>
      </c>
      <c r="GH109" t="e">
        <f>'Delivery Calculation'!F26+"AM:!&amp;UL"</f>
        <v>#VALUE!</v>
      </c>
      <c r="GI109" t="e">
        <f>'Delivery Calculation'!G26+"AM:!&amp;UM"</f>
        <v>#VALUE!</v>
      </c>
      <c r="GJ109" t="e">
        <f>'Delivery Calculation'!H26+"AM:!&amp;UN"</f>
        <v>#VALUE!</v>
      </c>
      <c r="GK109" t="e">
        <f>'Delivery Calculation'!I26+"AM:!&amp;UO"</f>
        <v>#VALUE!</v>
      </c>
      <c r="GL109" t="e">
        <f>'Delivery Calculation'!J26+"AM:!&amp;UP"</f>
        <v>#VALUE!</v>
      </c>
      <c r="GM109" t="e">
        <f>'Delivery Calculation'!K26+"AM:!&amp;UQ"</f>
        <v>#VALUE!</v>
      </c>
      <c r="GN109" t="e">
        <f>'Delivery Calculation'!L26+"AM:!&amp;UR"</f>
        <v>#VALUE!</v>
      </c>
      <c r="GO109" t="e">
        <f>'Delivery Calculation'!M26+"AM:!&amp;US"</f>
        <v>#VALUE!</v>
      </c>
      <c r="GP109" s="100" t="e">
        <f>'Delivery Calculation'!N26+"AM:!&amp;UT"</f>
        <v>#VALUE!</v>
      </c>
      <c r="GQ109" t="e">
        <f>'Delivery Calculation'!O26+"AM:!&amp;UU"</f>
        <v>#VALUE!</v>
      </c>
      <c r="GR109" t="e">
        <f>'Delivery Calculation'!P26+"AM:!&amp;UV"</f>
        <v>#VALUE!</v>
      </c>
      <c r="GS109" t="e">
        <f>'Delivery Calculation'!Q26+"AM:!&amp;UW"</f>
        <v>#VALUE!</v>
      </c>
      <c r="GT109" t="e">
        <f>'Delivery Calculation'!R26+"AM:!&amp;UX"</f>
        <v>#VALUE!</v>
      </c>
      <c r="GU109" t="e">
        <f>'Delivery Calculation'!S26+"AM:!&amp;UY"</f>
        <v>#VALUE!</v>
      </c>
      <c r="GV109" t="e">
        <f>'Delivery Calculation'!T26+"AM:!&amp;UZ"</f>
        <v>#VALUE!</v>
      </c>
      <c r="GW109" t="e">
        <f>'Delivery Calculation'!U26+"AM:!&amp;U["</f>
        <v>#VALUE!</v>
      </c>
      <c r="GX109" t="e">
        <f>'Delivery Calculation'!V26+"AM:!&amp;U\"</f>
        <v>#VALUE!</v>
      </c>
      <c r="GY109" t="e">
        <f>'Delivery Calculation'!W26+"AM:!&amp;U]"</f>
        <v>#VALUE!</v>
      </c>
      <c r="GZ109" t="e">
        <f>'Delivery Calculation'!X26+"AM:!&amp;U^"</f>
        <v>#VALUE!</v>
      </c>
      <c r="HA109" t="e">
        <f>'Delivery Calculation'!Y26+"AM:!&amp;U_"</f>
        <v>#VALUE!</v>
      </c>
      <c r="HB109" t="e">
        <f>'Delivery Calculation'!Z26+"AM:!&amp;U`"</f>
        <v>#VALUE!</v>
      </c>
      <c r="HC109" t="e">
        <f>'Delivery Calculation'!AA26+"AM:!&amp;Ua"</f>
        <v>#VALUE!</v>
      </c>
      <c r="HD109" t="e">
        <f>'Delivery Calculation'!AB26+"AM:!&amp;Ub"</f>
        <v>#VALUE!</v>
      </c>
      <c r="HE109" t="e">
        <f>'Delivery Calculation'!AC26+"AM:!&amp;Uc"</f>
        <v>#VALUE!</v>
      </c>
      <c r="HF109" t="e">
        <f>'Delivery Calculation'!AD26+"AM:!&amp;Ud"</f>
        <v>#VALUE!</v>
      </c>
      <c r="HG109" t="e">
        <f>'Delivery Calculation'!AE26+"AM:!&amp;Ue"</f>
        <v>#VALUE!</v>
      </c>
      <c r="HH109" t="e">
        <f>'Delivery Calculation'!AF26+"AM:!&amp;Uf"</f>
        <v>#VALUE!</v>
      </c>
      <c r="HI109" t="e">
        <f>'Delivery Calculation'!AG26+"AM:!&amp;Ug"</f>
        <v>#VALUE!</v>
      </c>
      <c r="HJ109" t="e">
        <f>'Delivery Calculation'!AH26+"AM:!&amp;Uh"</f>
        <v>#VALUE!</v>
      </c>
      <c r="HK109" t="e">
        <f>'Delivery Calculation'!AI26+"AM:!&amp;Ui"</f>
        <v>#VALUE!</v>
      </c>
      <c r="HL109" t="e">
        <f>'Delivery Calculation'!AJ26+"AM:!&amp;Uj"</f>
        <v>#VALUE!</v>
      </c>
      <c r="HM109" t="e">
        <f>'Delivery Calculation'!AK26+"AM:!&amp;Uk"</f>
        <v>#VALUE!</v>
      </c>
      <c r="HN109" t="e">
        <f>'Delivery Calculation'!AL26+"AM:!&amp;Ul"</f>
        <v>#VALUE!</v>
      </c>
      <c r="HO109" t="e">
        <f>'Delivery Calculation'!AM26+"AM:!&amp;Um"</f>
        <v>#VALUE!</v>
      </c>
      <c r="HP109" t="e">
        <f>'Delivery Calculation'!AN26+"AM:!&amp;Un"</f>
        <v>#VALUE!</v>
      </c>
      <c r="HQ109" t="e">
        <f>'Delivery Calculation'!AO26+"AM:!&amp;Uo"</f>
        <v>#VALUE!</v>
      </c>
      <c r="HR109" t="e">
        <f>'Delivery Calculation'!AP26+"AM:!&amp;Up"</f>
        <v>#VALUE!</v>
      </c>
      <c r="HS109" t="e">
        <f>'Delivery Calculation'!AQ26+"AM:!&amp;Uq"</f>
        <v>#VALUE!</v>
      </c>
      <c r="HT109" t="e">
        <f>'Delivery Calculation'!AR26+"AM:!&amp;Ur"</f>
        <v>#VALUE!</v>
      </c>
      <c r="HU109" t="e">
        <f>'Delivery Calculation'!AS26+"AM:!&amp;Us"</f>
        <v>#VALUE!</v>
      </c>
      <c r="HV109" t="e">
        <f>'Delivery Calculation'!AT26+"AM:!&amp;Ut"</f>
        <v>#VALUE!</v>
      </c>
      <c r="HW109" t="e">
        <f>'Delivery Calculation'!AU26+"AM:!&amp;Uu"</f>
        <v>#VALUE!</v>
      </c>
      <c r="HX109" t="e">
        <f>'Delivery Calculation'!AV26+"AM:!&amp;Uv"</f>
        <v>#VALUE!</v>
      </c>
      <c r="HY109" t="e">
        <f>'Delivery Calculation'!A27+"AM:!&amp;Uw"</f>
        <v>#VALUE!</v>
      </c>
      <c r="HZ109" t="e">
        <f>'Delivery Calculation'!B27+"AM:!&amp;Ux"</f>
        <v>#VALUE!</v>
      </c>
      <c r="IA109" t="e">
        <f>'Delivery Calculation'!C27+"AM:!&amp;Uy"</f>
        <v>#VALUE!</v>
      </c>
      <c r="IB109" t="e">
        <f>'Delivery Calculation'!D27+"AM:!&amp;Uz"</f>
        <v>#VALUE!</v>
      </c>
      <c r="IC109" t="e">
        <f>'Delivery Calculation'!E27+"AM:!&amp;U{"</f>
        <v>#VALUE!</v>
      </c>
      <c r="ID109" t="e">
        <f>'Delivery Calculation'!F27+"AM:!&amp;U|"</f>
        <v>#VALUE!</v>
      </c>
      <c r="IE109" t="e">
        <f>'Delivery Calculation'!G27+"AM:!&amp;U}"</f>
        <v>#VALUE!</v>
      </c>
      <c r="IF109" t="e">
        <f>'Delivery Calculation'!H27+"AM:!&amp;U~"</f>
        <v>#VALUE!</v>
      </c>
      <c r="IG109" t="e">
        <f>'Delivery Calculation'!I27+"AM:!&amp;V#"</f>
        <v>#VALUE!</v>
      </c>
      <c r="IH109" t="e">
        <f>'Delivery Calculation'!J27+"AM:!&amp;V$"</f>
        <v>#VALUE!</v>
      </c>
      <c r="II109" t="e">
        <f>'Delivery Calculation'!K27+"AM:!&amp;V%"</f>
        <v>#VALUE!</v>
      </c>
      <c r="IJ109" t="e">
        <f>'Delivery Calculation'!L27+"AM:!&amp;V&amp;"</f>
        <v>#VALUE!</v>
      </c>
      <c r="IK109" t="e">
        <f>'Delivery Calculation'!M27+"AM:!&amp;V'"</f>
        <v>#VALUE!</v>
      </c>
      <c r="IL109" s="100" t="e">
        <f>'Delivery Calculation'!N27+"AM:!&amp;V("</f>
        <v>#VALUE!</v>
      </c>
      <c r="IM109" t="e">
        <f>'Delivery Calculation'!O27+"AM:!&amp;V)"</f>
        <v>#VALUE!</v>
      </c>
      <c r="IN109" t="e">
        <f>'Delivery Calculation'!P27+"AM:!&amp;V."</f>
        <v>#VALUE!</v>
      </c>
      <c r="IO109" t="e">
        <f>'Delivery Calculation'!Q27+"AM:!&amp;V/"</f>
        <v>#VALUE!</v>
      </c>
      <c r="IP109" t="e">
        <f>'Delivery Calculation'!R27+"AM:!&amp;V0"</f>
        <v>#VALUE!</v>
      </c>
      <c r="IQ109" t="e">
        <f>'Delivery Calculation'!S27+"AM:!&amp;V1"</f>
        <v>#VALUE!</v>
      </c>
      <c r="IR109" t="e">
        <f>'Delivery Calculation'!T27+"AM:!&amp;V2"</f>
        <v>#VALUE!</v>
      </c>
      <c r="IS109" t="e">
        <f>'Delivery Calculation'!U27+"AM:!&amp;V3"</f>
        <v>#VALUE!</v>
      </c>
      <c r="IT109" t="e">
        <f>'Delivery Calculation'!V27+"AM:!&amp;V4"</f>
        <v>#VALUE!</v>
      </c>
      <c r="IU109" t="e">
        <f>'Delivery Calculation'!W27+"AM:!&amp;V5"</f>
        <v>#VALUE!</v>
      </c>
      <c r="IV109" t="e">
        <f>'Delivery Calculation'!X27+"AM:!&amp;V6"</f>
        <v>#VALUE!</v>
      </c>
    </row>
    <row r="110" spans="6:256">
      <c r="F110" t="e">
        <f>'Delivery Calculation'!Y27+"AM:!&amp;V7"</f>
        <v>#VALUE!</v>
      </c>
      <c r="G110" t="e">
        <f>'Delivery Calculation'!Z27+"AM:!&amp;V8"</f>
        <v>#VALUE!</v>
      </c>
      <c r="H110" t="e">
        <f>'Delivery Calculation'!AA27+"AM:!&amp;V9"</f>
        <v>#VALUE!</v>
      </c>
      <c r="I110" t="e">
        <f>'Delivery Calculation'!AB27+"AM:!&amp;V:"</f>
        <v>#VALUE!</v>
      </c>
      <c r="J110" t="e">
        <f>'Delivery Calculation'!AC27+"AM:!&amp;V;"</f>
        <v>#VALUE!</v>
      </c>
      <c r="K110" t="e">
        <f>'Delivery Calculation'!AD27+"AM:!&amp;V&lt;"</f>
        <v>#VALUE!</v>
      </c>
      <c r="L110" t="e">
        <f>'Delivery Calculation'!AE27+"AM:!&amp;V="</f>
        <v>#VALUE!</v>
      </c>
      <c r="M110" t="e">
        <f>'Delivery Calculation'!AF27+"AM:!&amp;V&gt;"</f>
        <v>#VALUE!</v>
      </c>
      <c r="N110" t="e">
        <f>'Delivery Calculation'!AG27+"AM:!&amp;V?"</f>
        <v>#VALUE!</v>
      </c>
      <c r="O110" t="e">
        <f>'Delivery Calculation'!AH27+"AM:!&amp;V@"</f>
        <v>#VALUE!</v>
      </c>
      <c r="P110" t="e">
        <f>'Delivery Calculation'!AI27+"AM:!&amp;VA"</f>
        <v>#VALUE!</v>
      </c>
      <c r="Q110" t="e">
        <f>'Delivery Calculation'!AJ27+"AM:!&amp;VB"</f>
        <v>#VALUE!</v>
      </c>
      <c r="R110" t="e">
        <f>'Delivery Calculation'!AK27+"AM:!&amp;VC"</f>
        <v>#VALUE!</v>
      </c>
      <c r="S110" t="e">
        <f>'Delivery Calculation'!AL27+"AM:!&amp;VD"</f>
        <v>#VALUE!</v>
      </c>
      <c r="T110" t="e">
        <f>'Delivery Calculation'!AM27+"AM:!&amp;VE"</f>
        <v>#VALUE!</v>
      </c>
      <c r="U110" t="e">
        <f>'Delivery Calculation'!AN27+"AM:!&amp;VF"</f>
        <v>#VALUE!</v>
      </c>
      <c r="V110" t="e">
        <f>'Delivery Calculation'!AO27+"AM:!&amp;VG"</f>
        <v>#VALUE!</v>
      </c>
      <c r="W110" t="e">
        <f>'Delivery Calculation'!AP27+"AM:!&amp;VH"</f>
        <v>#VALUE!</v>
      </c>
      <c r="X110" t="e">
        <f>'Delivery Calculation'!AQ27+"AM:!&amp;VI"</f>
        <v>#VALUE!</v>
      </c>
      <c r="Y110" t="e">
        <f>'Delivery Calculation'!AR27+"AM:!&amp;VJ"</f>
        <v>#VALUE!</v>
      </c>
      <c r="Z110" t="e">
        <f>'Delivery Calculation'!AS27+"AM:!&amp;VK"</f>
        <v>#VALUE!</v>
      </c>
      <c r="AA110" t="e">
        <f>'Delivery Calculation'!AT27+"AM:!&amp;VL"</f>
        <v>#VALUE!</v>
      </c>
      <c r="AB110" t="e">
        <f>'Delivery Calculation'!AU27+"AM:!&amp;VM"</f>
        <v>#VALUE!</v>
      </c>
      <c r="AC110" t="e">
        <f>'Delivery Calculation'!AV27+"AM:!&amp;VN"</f>
        <v>#VALUE!</v>
      </c>
      <c r="AD110" t="e">
        <f>'Delivery Calculation'!A28+"AM:!&amp;VO"</f>
        <v>#VALUE!</v>
      </c>
      <c r="AE110" t="e">
        <f>'Delivery Calculation'!B28+"AM:!&amp;VP"</f>
        <v>#VALUE!</v>
      </c>
      <c r="AF110" t="e">
        <f>'Delivery Calculation'!C28+"AM:!&amp;VQ"</f>
        <v>#VALUE!</v>
      </c>
      <c r="AG110" t="e">
        <f>'Delivery Calculation'!D28+"AM:!&amp;VR"</f>
        <v>#VALUE!</v>
      </c>
      <c r="AH110" t="e">
        <f>'Delivery Calculation'!E28+"AM:!&amp;VS"</f>
        <v>#VALUE!</v>
      </c>
      <c r="AI110" t="e">
        <f>'Delivery Calculation'!F28+"AM:!&amp;VT"</f>
        <v>#VALUE!</v>
      </c>
      <c r="AJ110" t="e">
        <f>'Delivery Calculation'!G28+"AM:!&amp;VU"</f>
        <v>#VALUE!</v>
      </c>
      <c r="AK110" t="e">
        <f>'Delivery Calculation'!H28+"AM:!&amp;VV"</f>
        <v>#VALUE!</v>
      </c>
      <c r="AL110" t="e">
        <f>'Delivery Calculation'!I28+"AM:!&amp;VW"</f>
        <v>#VALUE!</v>
      </c>
      <c r="AM110" t="e">
        <f>'Delivery Calculation'!J28+"AM:!&amp;VX"</f>
        <v>#VALUE!</v>
      </c>
      <c r="AN110" t="e">
        <f>'Delivery Calculation'!K28+"AM:!&amp;VY"</f>
        <v>#VALUE!</v>
      </c>
      <c r="AO110" t="e">
        <f>'Delivery Calculation'!L28+"AM:!&amp;VZ"</f>
        <v>#VALUE!</v>
      </c>
      <c r="AP110" t="e">
        <f>'Delivery Calculation'!M28+"AM:!&amp;V["</f>
        <v>#VALUE!</v>
      </c>
      <c r="AQ110" s="100" t="e">
        <f>'Delivery Calculation'!N28+"AM:!&amp;V\"</f>
        <v>#VALUE!</v>
      </c>
      <c r="AR110" t="e">
        <f>'Delivery Calculation'!O28+"AM:!&amp;V]"</f>
        <v>#VALUE!</v>
      </c>
      <c r="AS110" t="e">
        <f>'Delivery Calculation'!P28+"AM:!&amp;V^"</f>
        <v>#VALUE!</v>
      </c>
      <c r="AT110" t="e">
        <f>'Delivery Calculation'!Q28+"AM:!&amp;V_"</f>
        <v>#VALUE!</v>
      </c>
      <c r="AU110" t="e">
        <f>'Delivery Calculation'!R28+"AM:!&amp;V`"</f>
        <v>#VALUE!</v>
      </c>
      <c r="AV110" t="e">
        <f>'Delivery Calculation'!S28+"AM:!&amp;Va"</f>
        <v>#VALUE!</v>
      </c>
      <c r="AW110" t="e">
        <f>'Delivery Calculation'!T28+"AM:!&amp;Vb"</f>
        <v>#VALUE!</v>
      </c>
      <c r="AX110" t="e">
        <f>'Delivery Calculation'!U28+"AM:!&amp;Vc"</f>
        <v>#VALUE!</v>
      </c>
      <c r="AY110" t="e">
        <f>'Delivery Calculation'!V28+"AM:!&amp;Vd"</f>
        <v>#VALUE!</v>
      </c>
      <c r="AZ110" t="e">
        <f>'Delivery Calculation'!W28+"AM:!&amp;Ve"</f>
        <v>#VALUE!</v>
      </c>
      <c r="BA110" t="e">
        <f>'Delivery Calculation'!X28+"AM:!&amp;Vf"</f>
        <v>#VALUE!</v>
      </c>
      <c r="BB110" t="e">
        <f>'Delivery Calculation'!Y28+"AM:!&amp;Vg"</f>
        <v>#VALUE!</v>
      </c>
      <c r="BC110" t="e">
        <f>'Delivery Calculation'!Z28+"AM:!&amp;Vh"</f>
        <v>#VALUE!</v>
      </c>
      <c r="BD110" t="e">
        <f>'Delivery Calculation'!AA28+"AM:!&amp;Vi"</f>
        <v>#VALUE!</v>
      </c>
      <c r="BE110" t="e">
        <f>'Delivery Calculation'!AB28+"AM:!&amp;Vj"</f>
        <v>#VALUE!</v>
      </c>
      <c r="BF110" t="e">
        <f>'Delivery Calculation'!AC28+"AM:!&amp;Vk"</f>
        <v>#VALUE!</v>
      </c>
      <c r="BG110" t="e">
        <f>'Delivery Calculation'!AD28+"AM:!&amp;Vl"</f>
        <v>#VALUE!</v>
      </c>
      <c r="BH110" t="e">
        <f>'Delivery Calculation'!AE28+"AM:!&amp;Vm"</f>
        <v>#VALUE!</v>
      </c>
      <c r="BI110" t="e">
        <f>'Delivery Calculation'!AF28+"AM:!&amp;Vn"</f>
        <v>#VALUE!</v>
      </c>
      <c r="BJ110" t="e">
        <f>'Delivery Calculation'!AG28+"AM:!&amp;Vo"</f>
        <v>#VALUE!</v>
      </c>
      <c r="BK110" t="e">
        <f>'Delivery Calculation'!AH28+"AM:!&amp;Vp"</f>
        <v>#VALUE!</v>
      </c>
      <c r="BL110" t="e">
        <f>'Delivery Calculation'!AI28+"AM:!&amp;Vq"</f>
        <v>#VALUE!</v>
      </c>
      <c r="BM110" t="e">
        <f>'Delivery Calculation'!AJ28+"AM:!&amp;Vr"</f>
        <v>#VALUE!</v>
      </c>
      <c r="BN110" t="e">
        <f>'Delivery Calculation'!AK28+"AM:!&amp;Vs"</f>
        <v>#VALUE!</v>
      </c>
      <c r="BO110" t="e">
        <f>'Delivery Calculation'!AL28+"AM:!&amp;Vt"</f>
        <v>#VALUE!</v>
      </c>
      <c r="BP110" t="e">
        <f>'Delivery Calculation'!AM28+"AM:!&amp;Vu"</f>
        <v>#VALUE!</v>
      </c>
      <c r="BQ110" t="e">
        <f>'Delivery Calculation'!AN28+"AM:!&amp;Vv"</f>
        <v>#VALUE!</v>
      </c>
      <c r="BR110" t="e">
        <f>'Delivery Calculation'!AO28+"AM:!&amp;Vw"</f>
        <v>#VALUE!</v>
      </c>
      <c r="BS110" t="e">
        <f>'Delivery Calculation'!AP28+"AM:!&amp;Vx"</f>
        <v>#VALUE!</v>
      </c>
      <c r="BT110" t="e">
        <f>'Delivery Calculation'!AQ28+"AM:!&amp;Vy"</f>
        <v>#VALUE!</v>
      </c>
      <c r="BU110" t="e">
        <f>'Delivery Calculation'!AR28+"AM:!&amp;Vz"</f>
        <v>#VALUE!</v>
      </c>
      <c r="BV110" t="e">
        <f>'Delivery Calculation'!AS28+"AM:!&amp;V{"</f>
        <v>#VALUE!</v>
      </c>
      <c r="BW110" t="e">
        <f>'Delivery Calculation'!AT28+"AM:!&amp;V|"</f>
        <v>#VALUE!</v>
      </c>
      <c r="BX110" t="e">
        <f>'Delivery Calculation'!AU28+"AM:!&amp;V}"</f>
        <v>#VALUE!</v>
      </c>
      <c r="BY110" t="e">
        <f>'Delivery Calculation'!AV28+"AM:!&amp;V~"</f>
        <v>#VALUE!</v>
      </c>
      <c r="BZ110" t="e">
        <f>'Delivery Calculation'!A29+"AM:!&amp;W#"</f>
        <v>#VALUE!</v>
      </c>
      <c r="CA110" t="e">
        <f>'Delivery Calculation'!B29+"AM:!&amp;W$"</f>
        <v>#VALUE!</v>
      </c>
      <c r="CB110" t="e">
        <f>'Delivery Calculation'!C29+"AM:!&amp;W%"</f>
        <v>#VALUE!</v>
      </c>
      <c r="CC110" t="e">
        <f>'Delivery Calculation'!D29+"AM:!&amp;W&amp;"</f>
        <v>#VALUE!</v>
      </c>
      <c r="CD110" t="e">
        <f>'Delivery Calculation'!E29+"AM:!&amp;W'"</f>
        <v>#VALUE!</v>
      </c>
      <c r="CE110" t="e">
        <f>'Delivery Calculation'!F29+"AM:!&amp;W("</f>
        <v>#VALUE!</v>
      </c>
      <c r="CF110" t="e">
        <f>'Delivery Calculation'!G29+"AM:!&amp;W)"</f>
        <v>#VALUE!</v>
      </c>
      <c r="CG110" t="e">
        <f>'Delivery Calculation'!H29+"AM:!&amp;W."</f>
        <v>#VALUE!</v>
      </c>
      <c r="CH110" t="e">
        <f>'Delivery Calculation'!I29+"AM:!&amp;W/"</f>
        <v>#VALUE!</v>
      </c>
      <c r="CI110" t="e">
        <f>'Delivery Calculation'!J29+"AM:!&amp;W0"</f>
        <v>#VALUE!</v>
      </c>
      <c r="CJ110" t="e">
        <f>'Delivery Calculation'!K29+"AM:!&amp;W1"</f>
        <v>#VALUE!</v>
      </c>
      <c r="CK110" t="e">
        <f>'Delivery Calculation'!L29+"AM:!&amp;W2"</f>
        <v>#VALUE!</v>
      </c>
      <c r="CL110" t="e">
        <f>'Delivery Calculation'!M29+"AM:!&amp;W3"</f>
        <v>#VALUE!</v>
      </c>
      <c r="CM110" s="100" t="e">
        <f>'Delivery Calculation'!N29+"AM:!&amp;W4"</f>
        <v>#VALUE!</v>
      </c>
      <c r="CN110" t="e">
        <f>'Delivery Calculation'!O29+"AM:!&amp;W5"</f>
        <v>#VALUE!</v>
      </c>
      <c r="CO110" t="e">
        <f>'Delivery Calculation'!P29+"AM:!&amp;W6"</f>
        <v>#VALUE!</v>
      </c>
      <c r="CP110" t="e">
        <f>'Delivery Calculation'!Q29+"AM:!&amp;W7"</f>
        <v>#VALUE!</v>
      </c>
      <c r="CQ110" t="e">
        <f>'Delivery Calculation'!R29+"AM:!&amp;W8"</f>
        <v>#VALUE!</v>
      </c>
      <c r="CR110" t="e">
        <f>'Delivery Calculation'!S29+"AM:!&amp;W9"</f>
        <v>#VALUE!</v>
      </c>
      <c r="CS110" t="e">
        <f>'Delivery Calculation'!T29+"AM:!&amp;W:"</f>
        <v>#VALUE!</v>
      </c>
      <c r="CT110" t="e">
        <f>'Delivery Calculation'!U29+"AM:!&amp;W;"</f>
        <v>#VALUE!</v>
      </c>
      <c r="CU110" t="e">
        <f>'Delivery Calculation'!V29+"AM:!&amp;W&lt;"</f>
        <v>#VALUE!</v>
      </c>
      <c r="CV110" t="e">
        <f>'Delivery Calculation'!W29+"AM:!&amp;W="</f>
        <v>#VALUE!</v>
      </c>
      <c r="CW110" t="e">
        <f>'Delivery Calculation'!X29+"AM:!&amp;W&gt;"</f>
        <v>#VALUE!</v>
      </c>
      <c r="CX110" t="e">
        <f>'Delivery Calculation'!Y29+"AM:!&amp;W?"</f>
        <v>#VALUE!</v>
      </c>
      <c r="CY110" t="e">
        <f>'Delivery Calculation'!Z29+"AM:!&amp;W@"</f>
        <v>#VALUE!</v>
      </c>
      <c r="CZ110" t="e">
        <f>'Delivery Calculation'!AA29+"AM:!&amp;WA"</f>
        <v>#VALUE!</v>
      </c>
      <c r="DA110" t="e">
        <f>'Delivery Calculation'!AB29+"AM:!&amp;WB"</f>
        <v>#VALUE!</v>
      </c>
      <c r="DB110" t="e">
        <f>'Delivery Calculation'!AC29+"AM:!&amp;WC"</f>
        <v>#VALUE!</v>
      </c>
      <c r="DC110" t="e">
        <f>'Delivery Calculation'!AD29+"AM:!&amp;WD"</f>
        <v>#VALUE!</v>
      </c>
      <c r="DD110" t="e">
        <f>'Delivery Calculation'!AE29+"AM:!&amp;WE"</f>
        <v>#VALUE!</v>
      </c>
      <c r="DE110" t="e">
        <f>'Delivery Calculation'!AF29+"AM:!&amp;WF"</f>
        <v>#VALUE!</v>
      </c>
      <c r="DF110" t="e">
        <f>'Delivery Calculation'!AG29+"AM:!&amp;WG"</f>
        <v>#VALUE!</v>
      </c>
      <c r="DG110" t="e">
        <f>'Delivery Calculation'!AH29+"AM:!&amp;WH"</f>
        <v>#VALUE!</v>
      </c>
      <c r="DH110" t="e">
        <f>'Delivery Calculation'!AI29+"AM:!&amp;WI"</f>
        <v>#VALUE!</v>
      </c>
      <c r="DI110" t="e">
        <f>'Delivery Calculation'!AJ29+"AM:!&amp;WJ"</f>
        <v>#VALUE!</v>
      </c>
      <c r="DJ110" t="e">
        <f>'Delivery Calculation'!AK29+"AM:!&amp;WK"</f>
        <v>#VALUE!</v>
      </c>
      <c r="DK110" t="e">
        <f>'Delivery Calculation'!AL29+"AM:!&amp;WL"</f>
        <v>#VALUE!</v>
      </c>
      <c r="DL110" t="e">
        <f>'Delivery Calculation'!AM29+"AM:!&amp;WM"</f>
        <v>#VALUE!</v>
      </c>
      <c r="DM110" t="e">
        <f>'Delivery Calculation'!AN29+"AM:!&amp;WN"</f>
        <v>#VALUE!</v>
      </c>
      <c r="DN110" t="e">
        <f>'Delivery Calculation'!AO29+"AM:!&amp;WO"</f>
        <v>#VALUE!</v>
      </c>
      <c r="DO110" t="e">
        <f>'Delivery Calculation'!AP29+"AM:!&amp;WP"</f>
        <v>#VALUE!</v>
      </c>
      <c r="DP110" t="e">
        <f>'Delivery Calculation'!AQ29+"AM:!&amp;WQ"</f>
        <v>#VALUE!</v>
      </c>
      <c r="DQ110" t="e">
        <f>'Delivery Calculation'!AR29+"AM:!&amp;WR"</f>
        <v>#VALUE!</v>
      </c>
      <c r="DR110" t="e">
        <f>'Delivery Calculation'!AS29+"AM:!&amp;WS"</f>
        <v>#VALUE!</v>
      </c>
      <c r="DS110" t="e">
        <f>'Delivery Calculation'!AT29+"AM:!&amp;WT"</f>
        <v>#VALUE!</v>
      </c>
      <c r="DT110" t="e">
        <f>'Delivery Calculation'!AU29+"AM:!&amp;WU"</f>
        <v>#VALUE!</v>
      </c>
      <c r="DU110" t="e">
        <f>'Delivery Calculation'!AV29+"AM:!&amp;WV"</f>
        <v>#VALUE!</v>
      </c>
      <c r="DV110" t="e">
        <f>'Delivery Calculation'!A30+"AM:!&amp;WW"</f>
        <v>#VALUE!</v>
      </c>
      <c r="DW110" t="e">
        <f>'Delivery Calculation'!B30+"AM:!&amp;WX"</f>
        <v>#VALUE!</v>
      </c>
      <c r="DX110" t="e">
        <f>'Delivery Calculation'!C30+"AM:!&amp;WY"</f>
        <v>#VALUE!</v>
      </c>
      <c r="DY110" t="e">
        <f>'Delivery Calculation'!D30+"AM:!&amp;WZ"</f>
        <v>#VALUE!</v>
      </c>
      <c r="DZ110" t="e">
        <f>'Delivery Calculation'!E30+"AM:!&amp;W["</f>
        <v>#VALUE!</v>
      </c>
      <c r="EA110" t="e">
        <f>'Delivery Calculation'!F30+"AM:!&amp;W\"</f>
        <v>#VALUE!</v>
      </c>
      <c r="EB110" t="e">
        <f>'Delivery Calculation'!G30+"AM:!&amp;W]"</f>
        <v>#VALUE!</v>
      </c>
      <c r="EC110" t="e">
        <f>'Delivery Calculation'!H30+"AM:!&amp;W^"</f>
        <v>#VALUE!</v>
      </c>
      <c r="ED110" t="e">
        <f>'Delivery Calculation'!I30+"AM:!&amp;W_"</f>
        <v>#VALUE!</v>
      </c>
      <c r="EE110" t="e">
        <f>'Delivery Calculation'!J30+"AM:!&amp;W`"</f>
        <v>#VALUE!</v>
      </c>
      <c r="EF110" t="e">
        <f>'Delivery Calculation'!K30+"AM:!&amp;Wa"</f>
        <v>#VALUE!</v>
      </c>
      <c r="EG110" t="e">
        <f>'Delivery Calculation'!L30+"AM:!&amp;Wb"</f>
        <v>#VALUE!</v>
      </c>
      <c r="EH110" t="e">
        <f>'Delivery Calculation'!M30+"AM:!&amp;Wc"</f>
        <v>#VALUE!</v>
      </c>
      <c r="EI110" s="100" t="e">
        <f>'Delivery Calculation'!N30+"AM:!&amp;Wd"</f>
        <v>#VALUE!</v>
      </c>
      <c r="EJ110" t="e">
        <f>'Delivery Calculation'!O30+"AM:!&amp;We"</f>
        <v>#VALUE!</v>
      </c>
      <c r="EK110" t="e">
        <f>'Delivery Calculation'!P30+"AM:!&amp;Wf"</f>
        <v>#VALUE!</v>
      </c>
      <c r="EL110" t="e">
        <f>'Delivery Calculation'!Q30+"AM:!&amp;Wg"</f>
        <v>#VALUE!</v>
      </c>
      <c r="EM110" t="e">
        <f>'Delivery Calculation'!R30+"AM:!&amp;Wh"</f>
        <v>#VALUE!</v>
      </c>
      <c r="EN110" t="e">
        <f>'Delivery Calculation'!S30+"AM:!&amp;Wi"</f>
        <v>#VALUE!</v>
      </c>
      <c r="EO110" t="e">
        <f>'Delivery Calculation'!T30+"AM:!&amp;Wj"</f>
        <v>#VALUE!</v>
      </c>
      <c r="EP110" t="e">
        <f>'Delivery Calculation'!U30+"AM:!&amp;Wk"</f>
        <v>#VALUE!</v>
      </c>
      <c r="EQ110" t="e">
        <f>'Delivery Calculation'!V30+"AM:!&amp;Wl"</f>
        <v>#VALUE!</v>
      </c>
      <c r="ER110" t="e">
        <f>'Delivery Calculation'!W30+"AM:!&amp;Wm"</f>
        <v>#VALUE!</v>
      </c>
      <c r="ES110" t="e">
        <f>'Delivery Calculation'!X30+"AM:!&amp;Wn"</f>
        <v>#VALUE!</v>
      </c>
      <c r="ET110" t="e">
        <f>'Delivery Calculation'!Y30+"AM:!&amp;Wo"</f>
        <v>#VALUE!</v>
      </c>
      <c r="EU110" t="e">
        <f>'Delivery Calculation'!Z30+"AM:!&amp;Wp"</f>
        <v>#VALUE!</v>
      </c>
      <c r="EV110" t="e">
        <f>'Delivery Calculation'!AA30+"AM:!&amp;Wq"</f>
        <v>#VALUE!</v>
      </c>
      <c r="EW110" t="e">
        <f>'Delivery Calculation'!AB30+"AM:!&amp;Wr"</f>
        <v>#VALUE!</v>
      </c>
      <c r="EX110" t="e">
        <f>'Delivery Calculation'!AC30+"AM:!&amp;Ws"</f>
        <v>#VALUE!</v>
      </c>
      <c r="EY110" t="e">
        <f>'Delivery Calculation'!AD30+"AM:!&amp;Wt"</f>
        <v>#VALUE!</v>
      </c>
      <c r="EZ110" t="e">
        <f>'Delivery Calculation'!AE30+"AM:!&amp;Wu"</f>
        <v>#VALUE!</v>
      </c>
      <c r="FA110" t="e">
        <f>'Delivery Calculation'!AF30+"AM:!&amp;Wv"</f>
        <v>#VALUE!</v>
      </c>
      <c r="FB110" t="e">
        <f>'Delivery Calculation'!AG30+"AM:!&amp;Ww"</f>
        <v>#VALUE!</v>
      </c>
      <c r="FC110" t="e">
        <f>'Delivery Calculation'!AH30+"AM:!&amp;Wx"</f>
        <v>#VALUE!</v>
      </c>
      <c r="FD110" t="e">
        <f>'Delivery Calculation'!AI30+"AM:!&amp;Wy"</f>
        <v>#VALUE!</v>
      </c>
      <c r="FE110" t="e">
        <f>'Delivery Calculation'!AJ30+"AM:!&amp;Wz"</f>
        <v>#VALUE!</v>
      </c>
      <c r="FF110" t="e">
        <f>'Delivery Calculation'!AK30+"AM:!&amp;W{"</f>
        <v>#VALUE!</v>
      </c>
      <c r="FG110" t="e">
        <f>'Delivery Calculation'!AL30+"AM:!&amp;W|"</f>
        <v>#VALUE!</v>
      </c>
      <c r="FH110" t="e">
        <f>'Delivery Calculation'!AM30+"AM:!&amp;W}"</f>
        <v>#VALUE!</v>
      </c>
      <c r="FI110" t="e">
        <f>'Delivery Calculation'!AN30+"AM:!&amp;W~"</f>
        <v>#VALUE!</v>
      </c>
      <c r="FJ110" t="e">
        <f>'Delivery Calculation'!AO30+"AM:!&amp;X#"</f>
        <v>#VALUE!</v>
      </c>
      <c r="FK110" t="e">
        <f>'Delivery Calculation'!AP30+"AM:!&amp;X$"</f>
        <v>#VALUE!</v>
      </c>
      <c r="FL110" t="e">
        <f>'Delivery Calculation'!AQ30+"AM:!&amp;X%"</f>
        <v>#VALUE!</v>
      </c>
      <c r="FM110" t="e">
        <f>'Delivery Calculation'!AR30+"AM:!&amp;X&amp;"</f>
        <v>#VALUE!</v>
      </c>
      <c r="FN110" t="e">
        <f>'Delivery Calculation'!AS30+"AM:!&amp;X'"</f>
        <v>#VALUE!</v>
      </c>
      <c r="FO110" t="e">
        <f>'Delivery Calculation'!AT30+"AM:!&amp;X("</f>
        <v>#VALUE!</v>
      </c>
      <c r="FP110" t="e">
        <f>'Delivery Calculation'!AU30+"AM:!&amp;X)"</f>
        <v>#VALUE!</v>
      </c>
      <c r="FQ110" t="e">
        <f>'Delivery Calculation'!AV30+"AM:!&amp;X."</f>
        <v>#VALUE!</v>
      </c>
      <c r="FR110" t="e">
        <f>'Delivery Calculation'!A31+"AM:!&amp;X/"</f>
        <v>#VALUE!</v>
      </c>
      <c r="FS110" t="e">
        <f>'Delivery Calculation'!B31+"AM:!&amp;X0"</f>
        <v>#VALUE!</v>
      </c>
      <c r="FT110" t="e">
        <f>'Delivery Calculation'!C31+"AM:!&amp;X1"</f>
        <v>#VALUE!</v>
      </c>
      <c r="FU110" t="e">
        <f>'Delivery Calculation'!D31+"AM:!&amp;X2"</f>
        <v>#VALUE!</v>
      </c>
      <c r="FV110" t="e">
        <f>'Delivery Calculation'!E31+"AM:!&amp;X3"</f>
        <v>#VALUE!</v>
      </c>
      <c r="FW110" t="e">
        <f>'Delivery Calculation'!F31+"AM:!&amp;X4"</f>
        <v>#VALUE!</v>
      </c>
      <c r="FX110" t="e">
        <f>'Delivery Calculation'!G31+"AM:!&amp;X5"</f>
        <v>#VALUE!</v>
      </c>
      <c r="FY110" t="e">
        <f>'Delivery Calculation'!H31+"AM:!&amp;X6"</f>
        <v>#VALUE!</v>
      </c>
      <c r="FZ110" t="e">
        <f>'Delivery Calculation'!I31+"AM:!&amp;X7"</f>
        <v>#VALUE!</v>
      </c>
      <c r="GA110" t="e">
        <f>'Delivery Calculation'!J31+"AM:!&amp;X8"</f>
        <v>#VALUE!</v>
      </c>
      <c r="GB110" t="e">
        <f>'Delivery Calculation'!K31+"AM:!&amp;X9"</f>
        <v>#VALUE!</v>
      </c>
      <c r="GC110" t="e">
        <f>'Delivery Calculation'!L31+"AM:!&amp;X:"</f>
        <v>#VALUE!</v>
      </c>
      <c r="GD110" t="e">
        <f>'Delivery Calculation'!M31+"AM:!&amp;X;"</f>
        <v>#VALUE!</v>
      </c>
      <c r="GE110" s="100" t="e">
        <f>'Delivery Calculation'!N31+"AM:!&amp;X&lt;"</f>
        <v>#VALUE!</v>
      </c>
      <c r="GF110" t="e">
        <f>'Delivery Calculation'!O31+"AM:!&amp;X="</f>
        <v>#VALUE!</v>
      </c>
      <c r="GG110" t="e">
        <f>'Delivery Calculation'!P31+"AM:!&amp;X&gt;"</f>
        <v>#VALUE!</v>
      </c>
      <c r="GH110" t="e">
        <f>'Delivery Calculation'!Q31+"AM:!&amp;X?"</f>
        <v>#VALUE!</v>
      </c>
      <c r="GI110" t="e">
        <f>'Delivery Calculation'!R31+"AM:!&amp;X@"</f>
        <v>#VALUE!</v>
      </c>
      <c r="GJ110" t="e">
        <f>'Delivery Calculation'!S31+"AM:!&amp;XA"</f>
        <v>#VALUE!</v>
      </c>
      <c r="GK110" t="e">
        <f>'Delivery Calculation'!T31+"AM:!&amp;XB"</f>
        <v>#VALUE!</v>
      </c>
      <c r="GL110" t="e">
        <f>'Delivery Calculation'!U31+"AM:!&amp;XC"</f>
        <v>#VALUE!</v>
      </c>
      <c r="GM110" t="e">
        <f>'Delivery Calculation'!V31+"AM:!&amp;XD"</f>
        <v>#VALUE!</v>
      </c>
      <c r="GN110" t="e">
        <f>'Delivery Calculation'!W31+"AM:!&amp;XE"</f>
        <v>#VALUE!</v>
      </c>
      <c r="GO110" t="e">
        <f>'Delivery Calculation'!X31+"AM:!&amp;XF"</f>
        <v>#VALUE!</v>
      </c>
      <c r="GP110" t="e">
        <f>'Delivery Calculation'!Y31+"AM:!&amp;XG"</f>
        <v>#VALUE!</v>
      </c>
      <c r="GQ110" t="e">
        <f>'Delivery Calculation'!Z31+"AM:!&amp;XH"</f>
        <v>#VALUE!</v>
      </c>
      <c r="GR110" t="e">
        <f>'Delivery Calculation'!AA31+"AM:!&amp;XI"</f>
        <v>#VALUE!</v>
      </c>
      <c r="GS110" t="e">
        <f>'Delivery Calculation'!AB31+"AM:!&amp;XJ"</f>
        <v>#VALUE!</v>
      </c>
      <c r="GT110" t="e">
        <f>'Delivery Calculation'!AC31+"AM:!&amp;XK"</f>
        <v>#VALUE!</v>
      </c>
      <c r="GU110" t="e">
        <f>'Delivery Calculation'!AD31+"AM:!&amp;XL"</f>
        <v>#VALUE!</v>
      </c>
      <c r="GV110" t="e">
        <f>'Delivery Calculation'!AE31+"AM:!&amp;XM"</f>
        <v>#VALUE!</v>
      </c>
      <c r="GW110" t="e">
        <f>'Delivery Calculation'!AF31+"AM:!&amp;XN"</f>
        <v>#VALUE!</v>
      </c>
      <c r="GX110" t="e">
        <f>'Delivery Calculation'!AG31+"AM:!&amp;XO"</f>
        <v>#VALUE!</v>
      </c>
      <c r="GY110" t="e">
        <f>'Delivery Calculation'!AH31+"AM:!&amp;XP"</f>
        <v>#VALUE!</v>
      </c>
      <c r="GZ110" t="e">
        <f>'Delivery Calculation'!AI31+"AM:!&amp;XQ"</f>
        <v>#VALUE!</v>
      </c>
      <c r="HA110" t="e">
        <f>'Delivery Calculation'!AJ31+"AM:!&amp;XR"</f>
        <v>#VALUE!</v>
      </c>
      <c r="HB110" t="e">
        <f>'Delivery Calculation'!AK31+"AM:!&amp;XS"</f>
        <v>#VALUE!</v>
      </c>
      <c r="HC110" t="e">
        <f>'Delivery Calculation'!AL31+"AM:!&amp;XT"</f>
        <v>#VALUE!</v>
      </c>
      <c r="HD110" t="e">
        <f>'Delivery Calculation'!AM31+"AM:!&amp;XU"</f>
        <v>#VALUE!</v>
      </c>
      <c r="HE110" t="e">
        <f>'Delivery Calculation'!AN31+"AM:!&amp;XV"</f>
        <v>#VALUE!</v>
      </c>
      <c r="HF110" t="e">
        <f>'Delivery Calculation'!AO31+"AM:!&amp;XW"</f>
        <v>#VALUE!</v>
      </c>
      <c r="HG110" t="e">
        <f>'Delivery Calculation'!AP31+"AM:!&amp;XX"</f>
        <v>#VALUE!</v>
      </c>
      <c r="HH110" t="e">
        <f>'Delivery Calculation'!AQ31+"AM:!&amp;XY"</f>
        <v>#VALUE!</v>
      </c>
      <c r="HI110" t="e">
        <f>'Delivery Calculation'!AR31+"AM:!&amp;XZ"</f>
        <v>#VALUE!</v>
      </c>
      <c r="HJ110" t="e">
        <f>'Delivery Calculation'!AS31+"AM:!&amp;X["</f>
        <v>#VALUE!</v>
      </c>
      <c r="HK110" t="e">
        <f>'Delivery Calculation'!AT31+"AM:!&amp;X\"</f>
        <v>#VALUE!</v>
      </c>
      <c r="HL110" t="e">
        <f>'Delivery Calculation'!AU31+"AM:!&amp;X]"</f>
        <v>#VALUE!</v>
      </c>
      <c r="HM110" t="e">
        <f>'Delivery Calculation'!AV31+"AM:!&amp;X^"</f>
        <v>#VALUE!</v>
      </c>
      <c r="HN110" t="e">
        <f>'Delivery Calculation'!A32+"AM:!&amp;X_"</f>
        <v>#VALUE!</v>
      </c>
      <c r="HO110" t="e">
        <f>'Delivery Calculation'!B32+"AM:!&amp;X`"</f>
        <v>#VALUE!</v>
      </c>
      <c r="HP110" t="e">
        <f>'Delivery Calculation'!C32+"AM:!&amp;Xa"</f>
        <v>#VALUE!</v>
      </c>
      <c r="HQ110" t="e">
        <f>'Delivery Calculation'!D32+"AM:!&amp;Xb"</f>
        <v>#VALUE!</v>
      </c>
      <c r="HR110" t="e">
        <f>'Delivery Calculation'!E32+"AM:!&amp;Xc"</f>
        <v>#VALUE!</v>
      </c>
      <c r="HS110" t="e">
        <f>'Delivery Calculation'!F32+"AM:!&amp;Xd"</f>
        <v>#VALUE!</v>
      </c>
      <c r="HT110" t="e">
        <f>'Delivery Calculation'!G32+"AM:!&amp;Xe"</f>
        <v>#VALUE!</v>
      </c>
      <c r="HU110" t="e">
        <f>'Delivery Calculation'!H32+"AM:!&amp;Xf"</f>
        <v>#VALUE!</v>
      </c>
      <c r="HV110" t="e">
        <f>'Delivery Calculation'!I32+"AM:!&amp;Xg"</f>
        <v>#VALUE!</v>
      </c>
      <c r="HW110" t="e">
        <f>'Delivery Calculation'!J32+"AM:!&amp;Xh"</f>
        <v>#VALUE!</v>
      </c>
      <c r="HX110" t="e">
        <f>'Delivery Calculation'!K32+"AM:!&amp;Xi"</f>
        <v>#VALUE!</v>
      </c>
      <c r="HY110" t="e">
        <f>'Delivery Calculation'!L32+"AM:!&amp;Xj"</f>
        <v>#VALUE!</v>
      </c>
      <c r="HZ110" t="e">
        <f>'Delivery Calculation'!M32+"AM:!&amp;Xk"</f>
        <v>#VALUE!</v>
      </c>
      <c r="IA110" s="100" t="e">
        <f>'Delivery Calculation'!N32+"AM:!&amp;Xl"</f>
        <v>#VALUE!</v>
      </c>
      <c r="IB110" t="e">
        <f>'Delivery Calculation'!O32+"AM:!&amp;Xm"</f>
        <v>#VALUE!</v>
      </c>
      <c r="IC110" t="e">
        <f>'Delivery Calculation'!P32+"AM:!&amp;Xn"</f>
        <v>#VALUE!</v>
      </c>
      <c r="ID110" t="e">
        <f>'Delivery Calculation'!Q32+"AM:!&amp;Xo"</f>
        <v>#VALUE!</v>
      </c>
      <c r="IE110" t="e">
        <f>'Delivery Calculation'!R32+"AM:!&amp;Xp"</f>
        <v>#VALUE!</v>
      </c>
      <c r="IF110" t="e">
        <f>'Delivery Calculation'!S32+"AM:!&amp;Xq"</f>
        <v>#VALUE!</v>
      </c>
      <c r="IG110" t="e">
        <f>'Delivery Calculation'!T32+"AM:!&amp;Xr"</f>
        <v>#VALUE!</v>
      </c>
      <c r="IH110" t="e">
        <f>'Delivery Calculation'!U32+"AM:!&amp;Xs"</f>
        <v>#VALUE!</v>
      </c>
      <c r="II110" t="e">
        <f>'Delivery Calculation'!V32+"AM:!&amp;Xt"</f>
        <v>#VALUE!</v>
      </c>
      <c r="IJ110" t="e">
        <f>'Delivery Calculation'!W32+"AM:!&amp;Xu"</f>
        <v>#VALUE!</v>
      </c>
      <c r="IK110" t="e">
        <f>'Delivery Calculation'!X32+"AM:!&amp;Xv"</f>
        <v>#VALUE!</v>
      </c>
      <c r="IL110" t="e">
        <f>'Delivery Calculation'!Y32+"AM:!&amp;Xw"</f>
        <v>#VALUE!</v>
      </c>
      <c r="IM110" t="e">
        <f>'Delivery Calculation'!Z32+"AM:!&amp;Xx"</f>
        <v>#VALUE!</v>
      </c>
      <c r="IN110" t="e">
        <f>'Delivery Calculation'!AA32+"AM:!&amp;Xy"</f>
        <v>#VALUE!</v>
      </c>
      <c r="IO110" t="e">
        <f>'Delivery Calculation'!AB32+"AM:!&amp;Xz"</f>
        <v>#VALUE!</v>
      </c>
      <c r="IP110" t="e">
        <f>'Delivery Calculation'!AC32+"AM:!&amp;X{"</f>
        <v>#VALUE!</v>
      </c>
      <c r="IQ110" t="e">
        <f>'Delivery Calculation'!AD32+"AM:!&amp;X|"</f>
        <v>#VALUE!</v>
      </c>
      <c r="IR110" t="e">
        <f>'Delivery Calculation'!AE32+"AM:!&amp;X}"</f>
        <v>#VALUE!</v>
      </c>
      <c r="IS110" t="e">
        <f>'Delivery Calculation'!AF32+"AM:!&amp;X~"</f>
        <v>#VALUE!</v>
      </c>
      <c r="IT110" t="e">
        <f>'Delivery Calculation'!AG32+"AM:!&amp;Y#"</f>
        <v>#VALUE!</v>
      </c>
      <c r="IU110" t="e">
        <f>'Delivery Calculation'!AH32+"AM:!&amp;Y$"</f>
        <v>#VALUE!</v>
      </c>
      <c r="IV110" t="e">
        <f>'Delivery Calculation'!AI32+"AM:!&amp;Y%"</f>
        <v>#VALUE!</v>
      </c>
    </row>
    <row r="111" spans="6:256">
      <c r="F111" t="e">
        <f>'Delivery Calculation'!AJ32+"AM:!&amp;Y&amp;"</f>
        <v>#VALUE!</v>
      </c>
      <c r="G111" t="e">
        <f>'Delivery Calculation'!AK32+"AM:!&amp;Y'"</f>
        <v>#VALUE!</v>
      </c>
      <c r="H111" t="e">
        <f>'Delivery Calculation'!AL32+"AM:!&amp;Y("</f>
        <v>#VALUE!</v>
      </c>
      <c r="I111" t="e">
        <f>'Delivery Calculation'!AM32+"AM:!&amp;Y)"</f>
        <v>#VALUE!</v>
      </c>
      <c r="J111" t="e">
        <f>'Delivery Calculation'!AN32+"AM:!&amp;Y."</f>
        <v>#VALUE!</v>
      </c>
      <c r="K111" t="e">
        <f>'Delivery Calculation'!AO32+"AM:!&amp;Y/"</f>
        <v>#VALUE!</v>
      </c>
      <c r="L111" t="e">
        <f>'Delivery Calculation'!AP32+"AM:!&amp;Y0"</f>
        <v>#VALUE!</v>
      </c>
      <c r="M111" t="e">
        <f>'Delivery Calculation'!AQ32+"AM:!&amp;Y1"</f>
        <v>#VALUE!</v>
      </c>
      <c r="N111" t="e">
        <f>'Delivery Calculation'!AR32+"AM:!&amp;Y2"</f>
        <v>#VALUE!</v>
      </c>
      <c r="O111" t="e">
        <f>'Delivery Calculation'!AS32+"AM:!&amp;Y3"</f>
        <v>#VALUE!</v>
      </c>
      <c r="P111" t="e">
        <f>'Delivery Calculation'!AT32+"AM:!&amp;Y4"</f>
        <v>#VALUE!</v>
      </c>
      <c r="Q111" t="e">
        <f>'Delivery Calculation'!AU32+"AM:!&amp;Y5"</f>
        <v>#VALUE!</v>
      </c>
      <c r="R111" t="e">
        <f>'Delivery Calculation'!AV32+"AM:!&amp;Y6"</f>
        <v>#VALUE!</v>
      </c>
      <c r="S111" t="e">
        <f>'Delivery Calculation'!A33+"AM:!&amp;Y7"</f>
        <v>#VALUE!</v>
      </c>
      <c r="T111" t="e">
        <f>'Delivery Calculation'!B33+"AM:!&amp;Y8"</f>
        <v>#VALUE!</v>
      </c>
      <c r="U111" t="e">
        <f>'Delivery Calculation'!C33+"AM:!&amp;Y9"</f>
        <v>#VALUE!</v>
      </c>
      <c r="V111" t="e">
        <f>'Delivery Calculation'!D33+"AM:!&amp;Y:"</f>
        <v>#VALUE!</v>
      </c>
      <c r="W111" t="e">
        <f>'Delivery Calculation'!E33+"AM:!&amp;Y;"</f>
        <v>#VALUE!</v>
      </c>
      <c r="X111" t="e">
        <f>'Delivery Calculation'!F33+"AM:!&amp;Y&lt;"</f>
        <v>#VALUE!</v>
      </c>
      <c r="Y111" t="e">
        <f>'Delivery Calculation'!G33+"AM:!&amp;Y="</f>
        <v>#VALUE!</v>
      </c>
      <c r="Z111" t="e">
        <f>'Delivery Calculation'!H33+"AM:!&amp;Y&gt;"</f>
        <v>#VALUE!</v>
      </c>
      <c r="AA111" t="e">
        <f>'Delivery Calculation'!I33+"AM:!&amp;Y?"</f>
        <v>#VALUE!</v>
      </c>
      <c r="AB111" t="e">
        <f>'Delivery Calculation'!J33+"AM:!&amp;Y@"</f>
        <v>#VALUE!</v>
      </c>
      <c r="AC111" t="e">
        <f>'Delivery Calculation'!K33+"AM:!&amp;YA"</f>
        <v>#VALUE!</v>
      </c>
      <c r="AD111" t="e">
        <f>'Delivery Calculation'!L33+"AM:!&amp;YB"</f>
        <v>#VALUE!</v>
      </c>
      <c r="AE111" t="e">
        <f>'Delivery Calculation'!M33+"AM:!&amp;YC"</f>
        <v>#VALUE!</v>
      </c>
      <c r="AF111" s="100" t="e">
        <f>'Delivery Calculation'!N33+"AM:!&amp;YD"</f>
        <v>#VALUE!</v>
      </c>
      <c r="AG111" t="e">
        <f>'Delivery Calculation'!O33+"AM:!&amp;YE"</f>
        <v>#VALUE!</v>
      </c>
      <c r="AH111" t="e">
        <f>'Delivery Calculation'!P33+"AM:!&amp;YF"</f>
        <v>#VALUE!</v>
      </c>
      <c r="AI111" t="e">
        <f>'Delivery Calculation'!Q33+"AM:!&amp;YG"</f>
        <v>#VALUE!</v>
      </c>
      <c r="AJ111" t="e">
        <f>'Delivery Calculation'!R33+"AM:!&amp;YH"</f>
        <v>#VALUE!</v>
      </c>
      <c r="AK111" t="e">
        <f>'Delivery Calculation'!S33+"AM:!&amp;YI"</f>
        <v>#VALUE!</v>
      </c>
      <c r="AL111" t="e">
        <f>'Delivery Calculation'!T33+"AM:!&amp;YJ"</f>
        <v>#VALUE!</v>
      </c>
      <c r="AM111" t="e">
        <f>'Delivery Calculation'!U33+"AM:!&amp;YK"</f>
        <v>#VALUE!</v>
      </c>
      <c r="AN111" t="e">
        <f>'Delivery Calculation'!V33+"AM:!&amp;YL"</f>
        <v>#VALUE!</v>
      </c>
      <c r="AO111" t="e">
        <f>'Delivery Calculation'!W33+"AM:!&amp;YM"</f>
        <v>#VALUE!</v>
      </c>
      <c r="AP111" t="e">
        <f>'Delivery Calculation'!X33+"AM:!&amp;YN"</f>
        <v>#VALUE!</v>
      </c>
      <c r="AQ111" t="e">
        <f>'Delivery Calculation'!Y33+"AM:!&amp;YO"</f>
        <v>#VALUE!</v>
      </c>
      <c r="AR111" t="e">
        <f>'Delivery Calculation'!Z33+"AM:!&amp;YP"</f>
        <v>#VALUE!</v>
      </c>
      <c r="AS111" t="e">
        <f>'Delivery Calculation'!AA33+"AM:!&amp;YQ"</f>
        <v>#VALUE!</v>
      </c>
      <c r="AT111" t="e">
        <f>'Delivery Calculation'!AB33+"AM:!&amp;YR"</f>
        <v>#VALUE!</v>
      </c>
      <c r="AU111" t="e">
        <f>'Delivery Calculation'!AC33+"AM:!&amp;YS"</f>
        <v>#VALUE!</v>
      </c>
      <c r="AV111" t="e">
        <f>'Delivery Calculation'!AD33+"AM:!&amp;YT"</f>
        <v>#VALUE!</v>
      </c>
      <c r="AW111" t="e">
        <f>'Delivery Calculation'!AE33+"AM:!&amp;YU"</f>
        <v>#VALUE!</v>
      </c>
      <c r="AX111" t="e">
        <f>'Delivery Calculation'!AF33+"AM:!&amp;YV"</f>
        <v>#VALUE!</v>
      </c>
      <c r="AY111" t="e">
        <f>'Delivery Calculation'!AG33+"AM:!&amp;YW"</f>
        <v>#VALUE!</v>
      </c>
      <c r="AZ111" t="e">
        <f>'Delivery Calculation'!AH33+"AM:!&amp;YX"</f>
        <v>#VALUE!</v>
      </c>
      <c r="BA111" t="e">
        <f>'Delivery Calculation'!AI33+"AM:!&amp;YY"</f>
        <v>#VALUE!</v>
      </c>
      <c r="BB111" t="e">
        <f>'Delivery Calculation'!AJ33+"AM:!&amp;YZ"</f>
        <v>#VALUE!</v>
      </c>
      <c r="BC111" t="e">
        <f>'Delivery Calculation'!AK33+"AM:!&amp;Y["</f>
        <v>#VALUE!</v>
      </c>
      <c r="BD111" t="e">
        <f>'Delivery Calculation'!AL33+"AM:!&amp;Y\"</f>
        <v>#VALUE!</v>
      </c>
      <c r="BE111" t="e">
        <f>'Delivery Calculation'!AM33+"AM:!&amp;Y]"</f>
        <v>#VALUE!</v>
      </c>
      <c r="BF111" t="e">
        <f>'Delivery Calculation'!AN33+"AM:!&amp;Y^"</f>
        <v>#VALUE!</v>
      </c>
      <c r="BG111" t="e">
        <f>'Delivery Calculation'!AO33+"AM:!&amp;Y_"</f>
        <v>#VALUE!</v>
      </c>
      <c r="BH111" t="e">
        <f>'Delivery Calculation'!AP33+"AM:!&amp;Y`"</f>
        <v>#VALUE!</v>
      </c>
      <c r="BI111" t="e">
        <f>'Delivery Calculation'!AQ33+"AM:!&amp;Ya"</f>
        <v>#VALUE!</v>
      </c>
      <c r="BJ111" t="e">
        <f>'Delivery Calculation'!AR33+"AM:!&amp;Yb"</f>
        <v>#VALUE!</v>
      </c>
      <c r="BK111" t="e">
        <f>'Delivery Calculation'!AS33+"AM:!&amp;Yc"</f>
        <v>#VALUE!</v>
      </c>
      <c r="BL111" t="e">
        <f>'Delivery Calculation'!AT33+"AM:!&amp;Yd"</f>
        <v>#VALUE!</v>
      </c>
      <c r="BM111" t="e">
        <f>'Delivery Calculation'!AU33+"AM:!&amp;Ye"</f>
        <v>#VALUE!</v>
      </c>
      <c r="BN111" t="e">
        <f>'Delivery Calculation'!AV33+"AM:!&amp;Yf"</f>
        <v>#VALUE!</v>
      </c>
      <c r="BO111" t="e">
        <f>'Delivery Calculation'!A34+"AM:!&amp;Yg"</f>
        <v>#VALUE!</v>
      </c>
      <c r="BP111" t="e">
        <f>'Delivery Calculation'!B34+"AM:!&amp;Yh"</f>
        <v>#VALUE!</v>
      </c>
      <c r="BQ111" t="e">
        <f>'Delivery Calculation'!C34+"AM:!&amp;Yi"</f>
        <v>#VALUE!</v>
      </c>
      <c r="BR111" t="e">
        <f>'Delivery Calculation'!D34+"AM:!&amp;Yj"</f>
        <v>#VALUE!</v>
      </c>
      <c r="BS111" t="e">
        <f>'Delivery Calculation'!E34+"AM:!&amp;Yk"</f>
        <v>#VALUE!</v>
      </c>
      <c r="BT111" t="e">
        <f>'Delivery Calculation'!F34+"AM:!&amp;Yl"</f>
        <v>#VALUE!</v>
      </c>
      <c r="BU111" t="e">
        <f>'Delivery Calculation'!G34+"AM:!&amp;Ym"</f>
        <v>#VALUE!</v>
      </c>
      <c r="BV111" t="e">
        <f>'Delivery Calculation'!H34+"AM:!&amp;Yn"</f>
        <v>#VALUE!</v>
      </c>
      <c r="BW111" t="e">
        <f>'Delivery Calculation'!I34+"AM:!&amp;Yo"</f>
        <v>#VALUE!</v>
      </c>
      <c r="BX111" t="e">
        <f>'Delivery Calculation'!J34+"AM:!&amp;Yp"</f>
        <v>#VALUE!</v>
      </c>
      <c r="BY111" t="e">
        <f>'Delivery Calculation'!K34+"AM:!&amp;Yq"</f>
        <v>#VALUE!</v>
      </c>
      <c r="BZ111" t="e">
        <f>'Delivery Calculation'!L34+"AM:!&amp;Yr"</f>
        <v>#VALUE!</v>
      </c>
      <c r="CA111" t="e">
        <f>'Delivery Calculation'!M34+"AM:!&amp;Ys"</f>
        <v>#VALUE!</v>
      </c>
      <c r="CB111" s="100" t="e">
        <f>'Delivery Calculation'!N34+"AM:!&amp;Yt"</f>
        <v>#VALUE!</v>
      </c>
      <c r="CC111" t="e">
        <f>'Delivery Calculation'!O34+"AM:!&amp;Yu"</f>
        <v>#VALUE!</v>
      </c>
      <c r="CD111" t="e">
        <f>'Delivery Calculation'!P34+"AM:!&amp;Yv"</f>
        <v>#VALUE!</v>
      </c>
      <c r="CE111" t="e">
        <f>'Delivery Calculation'!Q34+"AM:!&amp;Yw"</f>
        <v>#VALUE!</v>
      </c>
      <c r="CF111" t="e">
        <f>'Delivery Calculation'!R34+"AM:!&amp;Yx"</f>
        <v>#VALUE!</v>
      </c>
      <c r="CG111" t="e">
        <f>'Delivery Calculation'!S34+"AM:!&amp;Yy"</f>
        <v>#VALUE!</v>
      </c>
      <c r="CH111" t="e">
        <f>'Delivery Calculation'!T34+"AM:!&amp;Yz"</f>
        <v>#VALUE!</v>
      </c>
      <c r="CI111" t="e">
        <f>'Delivery Calculation'!U34+"AM:!&amp;Y{"</f>
        <v>#VALUE!</v>
      </c>
      <c r="CJ111" t="e">
        <f>'Delivery Calculation'!V34+"AM:!&amp;Y|"</f>
        <v>#VALUE!</v>
      </c>
      <c r="CK111" t="e">
        <f>'Delivery Calculation'!W34+"AM:!&amp;Y}"</f>
        <v>#VALUE!</v>
      </c>
      <c r="CL111" t="e">
        <f>'Delivery Calculation'!X34+"AM:!&amp;Y~"</f>
        <v>#VALUE!</v>
      </c>
      <c r="CM111" t="e">
        <f>'Delivery Calculation'!Y34+"AM:!&amp;Z#"</f>
        <v>#VALUE!</v>
      </c>
      <c r="CN111" t="e">
        <f>'Delivery Calculation'!Z34+"AM:!&amp;Z$"</f>
        <v>#VALUE!</v>
      </c>
      <c r="CO111" t="e">
        <f>'Delivery Calculation'!AA34+"AM:!&amp;Z%"</f>
        <v>#VALUE!</v>
      </c>
      <c r="CP111" t="e">
        <f>'Delivery Calculation'!AB34+"AM:!&amp;Z&amp;"</f>
        <v>#VALUE!</v>
      </c>
      <c r="CQ111" t="e">
        <f>'Delivery Calculation'!AC34+"AM:!&amp;Z'"</f>
        <v>#VALUE!</v>
      </c>
      <c r="CR111" t="e">
        <f>'Delivery Calculation'!AD34+"AM:!&amp;Z("</f>
        <v>#VALUE!</v>
      </c>
      <c r="CS111" t="e">
        <f>'Delivery Calculation'!AE34+"AM:!&amp;Z)"</f>
        <v>#VALUE!</v>
      </c>
      <c r="CT111" t="e">
        <f>'Delivery Calculation'!AF34+"AM:!&amp;Z."</f>
        <v>#VALUE!</v>
      </c>
      <c r="CU111" t="e">
        <f>'Delivery Calculation'!AG34+"AM:!&amp;Z/"</f>
        <v>#VALUE!</v>
      </c>
      <c r="CV111" t="e">
        <f>'Delivery Calculation'!AH34+"AM:!&amp;Z0"</f>
        <v>#VALUE!</v>
      </c>
      <c r="CW111" t="e">
        <f>'Delivery Calculation'!AI34+"AM:!&amp;Z1"</f>
        <v>#VALUE!</v>
      </c>
      <c r="CX111" t="e">
        <f>'Delivery Calculation'!AJ34+"AM:!&amp;Z2"</f>
        <v>#VALUE!</v>
      </c>
      <c r="CY111" t="e">
        <f>'Delivery Calculation'!AK34+"AM:!&amp;Z3"</f>
        <v>#VALUE!</v>
      </c>
      <c r="CZ111" t="e">
        <f>'Delivery Calculation'!AL34+"AM:!&amp;Z4"</f>
        <v>#VALUE!</v>
      </c>
      <c r="DA111" t="e">
        <f>'Delivery Calculation'!AM34+"AM:!&amp;Z5"</f>
        <v>#VALUE!</v>
      </c>
      <c r="DB111" t="e">
        <f>'Delivery Calculation'!AN34+"AM:!&amp;Z6"</f>
        <v>#VALUE!</v>
      </c>
      <c r="DC111" t="e">
        <f>'Delivery Calculation'!AO34+"AM:!&amp;Z7"</f>
        <v>#VALUE!</v>
      </c>
      <c r="DD111" t="e">
        <f>'Delivery Calculation'!AP34+"AM:!&amp;Z8"</f>
        <v>#VALUE!</v>
      </c>
      <c r="DE111" t="e">
        <f>'Delivery Calculation'!AQ34+"AM:!&amp;Z9"</f>
        <v>#VALUE!</v>
      </c>
      <c r="DF111" t="e">
        <f>'Delivery Calculation'!AR34+"AM:!&amp;Z:"</f>
        <v>#VALUE!</v>
      </c>
      <c r="DG111" t="e">
        <f>'Delivery Calculation'!AS34+"AM:!&amp;Z;"</f>
        <v>#VALUE!</v>
      </c>
      <c r="DH111" t="e">
        <f>'Delivery Calculation'!AT34+"AM:!&amp;Z&lt;"</f>
        <v>#VALUE!</v>
      </c>
      <c r="DI111" t="e">
        <f>'Delivery Calculation'!AU34+"AM:!&amp;Z="</f>
        <v>#VALUE!</v>
      </c>
      <c r="DJ111" t="e">
        <f>'Delivery Calculation'!AV34+"AM:!&amp;Z&gt;"</f>
        <v>#VALUE!</v>
      </c>
      <c r="DK111" t="e">
        <f>'Delivery Calculation'!A35+"AM:!&amp;Z?"</f>
        <v>#VALUE!</v>
      </c>
      <c r="DL111" t="e">
        <f>'Delivery Calculation'!B35+"AM:!&amp;Z@"</f>
        <v>#VALUE!</v>
      </c>
      <c r="DM111" t="e">
        <f>'Delivery Calculation'!C35+"AM:!&amp;ZA"</f>
        <v>#VALUE!</v>
      </c>
      <c r="DN111" t="e">
        <f>'Delivery Calculation'!D35+"AM:!&amp;ZB"</f>
        <v>#VALUE!</v>
      </c>
      <c r="DO111" t="e">
        <f>'Delivery Calculation'!E35+"AM:!&amp;ZC"</f>
        <v>#VALUE!</v>
      </c>
      <c r="DP111" t="e">
        <f>'Delivery Calculation'!F35+"AM:!&amp;ZD"</f>
        <v>#VALUE!</v>
      </c>
      <c r="DQ111" t="e">
        <f>'Delivery Calculation'!G35+"AM:!&amp;ZE"</f>
        <v>#VALUE!</v>
      </c>
      <c r="DR111" t="e">
        <f>'Delivery Calculation'!H35+"AM:!&amp;ZF"</f>
        <v>#VALUE!</v>
      </c>
      <c r="DS111" t="e">
        <f>'Delivery Calculation'!I35+"AM:!&amp;ZG"</f>
        <v>#VALUE!</v>
      </c>
      <c r="DT111" t="e">
        <f>'Delivery Calculation'!J35+"AM:!&amp;ZH"</f>
        <v>#VALUE!</v>
      </c>
      <c r="DU111" t="e">
        <f>'Delivery Calculation'!K35+"AM:!&amp;ZI"</f>
        <v>#VALUE!</v>
      </c>
      <c r="DV111" t="e">
        <f>'Delivery Calculation'!L35+"AM:!&amp;ZJ"</f>
        <v>#VALUE!</v>
      </c>
      <c r="DW111" t="e">
        <f>'Delivery Calculation'!M35+"AM:!&amp;ZK"</f>
        <v>#VALUE!</v>
      </c>
      <c r="DX111" s="100" t="e">
        <f>'Delivery Calculation'!N35+"AM:!&amp;ZL"</f>
        <v>#VALUE!</v>
      </c>
      <c r="DY111" t="e">
        <f>'Delivery Calculation'!O35+"AM:!&amp;ZM"</f>
        <v>#VALUE!</v>
      </c>
      <c r="DZ111" t="e">
        <f>'Delivery Calculation'!P35+"AM:!&amp;ZN"</f>
        <v>#VALUE!</v>
      </c>
      <c r="EA111" t="e">
        <f>'Delivery Calculation'!Q35+"AM:!&amp;ZO"</f>
        <v>#VALUE!</v>
      </c>
      <c r="EB111" t="e">
        <f>'Delivery Calculation'!R35+"AM:!&amp;ZP"</f>
        <v>#VALUE!</v>
      </c>
      <c r="EC111" t="e">
        <f>'Delivery Calculation'!S35+"AM:!&amp;ZQ"</f>
        <v>#VALUE!</v>
      </c>
      <c r="ED111" t="e">
        <f>'Delivery Calculation'!T35+"AM:!&amp;ZR"</f>
        <v>#VALUE!</v>
      </c>
      <c r="EE111" t="e">
        <f>'Delivery Calculation'!U35+"AM:!&amp;ZS"</f>
        <v>#VALUE!</v>
      </c>
      <c r="EF111" t="e">
        <f>'Delivery Calculation'!V35+"AM:!&amp;ZT"</f>
        <v>#VALUE!</v>
      </c>
      <c r="EG111" t="e">
        <f>'Delivery Calculation'!W35+"AM:!&amp;ZU"</f>
        <v>#VALUE!</v>
      </c>
      <c r="EH111" t="e">
        <f>'Delivery Calculation'!X35+"AM:!&amp;ZV"</f>
        <v>#VALUE!</v>
      </c>
      <c r="EI111" t="e">
        <f>'Delivery Calculation'!Y35+"AM:!&amp;ZW"</f>
        <v>#VALUE!</v>
      </c>
      <c r="EJ111" t="e">
        <f>'Delivery Calculation'!Z35+"AM:!&amp;ZX"</f>
        <v>#VALUE!</v>
      </c>
      <c r="EK111" t="e">
        <f>'Delivery Calculation'!AA35+"AM:!&amp;ZY"</f>
        <v>#VALUE!</v>
      </c>
      <c r="EL111" t="e">
        <f>'Delivery Calculation'!AB35+"AM:!&amp;ZZ"</f>
        <v>#VALUE!</v>
      </c>
      <c r="EM111" t="e">
        <f>'Delivery Calculation'!AC35+"AM:!&amp;Z["</f>
        <v>#VALUE!</v>
      </c>
      <c r="EN111" t="e">
        <f>'Delivery Calculation'!AD35+"AM:!&amp;Z\"</f>
        <v>#VALUE!</v>
      </c>
      <c r="EO111" t="e">
        <f>'Delivery Calculation'!AE35+"AM:!&amp;Z]"</f>
        <v>#VALUE!</v>
      </c>
      <c r="EP111" t="e">
        <f>'Delivery Calculation'!AF35+"AM:!&amp;Z^"</f>
        <v>#VALUE!</v>
      </c>
      <c r="EQ111" t="e">
        <f>'Delivery Calculation'!AG35+"AM:!&amp;Z_"</f>
        <v>#VALUE!</v>
      </c>
      <c r="ER111" t="e">
        <f>'Delivery Calculation'!AH35+"AM:!&amp;Z`"</f>
        <v>#VALUE!</v>
      </c>
      <c r="ES111" t="e">
        <f>'Delivery Calculation'!AI35+"AM:!&amp;Za"</f>
        <v>#VALUE!</v>
      </c>
      <c r="ET111" t="e">
        <f>'Delivery Calculation'!AJ35+"AM:!&amp;Zb"</f>
        <v>#VALUE!</v>
      </c>
      <c r="EU111" t="e">
        <f>'Delivery Calculation'!AK35+"AM:!&amp;Zc"</f>
        <v>#VALUE!</v>
      </c>
      <c r="EV111" t="e">
        <f>'Delivery Calculation'!AL35+"AM:!&amp;Zd"</f>
        <v>#VALUE!</v>
      </c>
      <c r="EW111" t="e">
        <f>'Delivery Calculation'!AM35+"AM:!&amp;Ze"</f>
        <v>#VALUE!</v>
      </c>
      <c r="EX111" t="e">
        <f>'Delivery Calculation'!AN35+"AM:!&amp;Zf"</f>
        <v>#VALUE!</v>
      </c>
      <c r="EY111" t="e">
        <f>'Delivery Calculation'!AO35+"AM:!&amp;Zg"</f>
        <v>#VALUE!</v>
      </c>
      <c r="EZ111" t="e">
        <f>'Delivery Calculation'!AP35+"AM:!&amp;Zh"</f>
        <v>#VALUE!</v>
      </c>
      <c r="FA111" t="e">
        <f>'Delivery Calculation'!AQ35+"AM:!&amp;Zi"</f>
        <v>#VALUE!</v>
      </c>
      <c r="FB111" t="e">
        <f>'Delivery Calculation'!AR35+"AM:!&amp;Zj"</f>
        <v>#VALUE!</v>
      </c>
      <c r="FC111" t="e">
        <f>'Delivery Calculation'!AS35+"AM:!&amp;Zk"</f>
        <v>#VALUE!</v>
      </c>
      <c r="FD111" t="e">
        <f>'Delivery Calculation'!AT35+"AM:!&amp;Zl"</f>
        <v>#VALUE!</v>
      </c>
      <c r="FE111" t="e">
        <f>'Delivery Calculation'!AU35+"AM:!&amp;Zm"</f>
        <v>#VALUE!</v>
      </c>
      <c r="FF111" t="e">
        <f>'Delivery Calculation'!AV35+"AM:!&amp;Zn"</f>
        <v>#VALUE!</v>
      </c>
      <c r="FG111" t="e">
        <f>'Delivery Calculation'!A36+"AM:!&amp;Zo"</f>
        <v>#VALUE!</v>
      </c>
      <c r="FH111" t="e">
        <f>'Delivery Calculation'!B36+"AM:!&amp;Zp"</f>
        <v>#VALUE!</v>
      </c>
      <c r="FI111" t="e">
        <f>'Delivery Calculation'!C36+"AM:!&amp;Zq"</f>
        <v>#VALUE!</v>
      </c>
      <c r="FJ111" t="e">
        <f>'Delivery Calculation'!D36+"AM:!&amp;Zr"</f>
        <v>#VALUE!</v>
      </c>
      <c r="FK111" t="e">
        <f>'Delivery Calculation'!E36+"AM:!&amp;Zs"</f>
        <v>#VALUE!</v>
      </c>
      <c r="FL111" t="e">
        <f>'Delivery Calculation'!F36+"AM:!&amp;Zt"</f>
        <v>#VALUE!</v>
      </c>
      <c r="FM111" t="e">
        <f>'Delivery Calculation'!G36+"AM:!&amp;Zu"</f>
        <v>#VALUE!</v>
      </c>
      <c r="FN111" t="e">
        <f>'Delivery Calculation'!H36+"AM:!&amp;Zv"</f>
        <v>#VALUE!</v>
      </c>
      <c r="FO111" t="e">
        <f>'Delivery Calculation'!I36+"AM:!&amp;Zw"</f>
        <v>#VALUE!</v>
      </c>
      <c r="FP111" t="e">
        <f>'Delivery Calculation'!J36+"AM:!&amp;Zx"</f>
        <v>#VALUE!</v>
      </c>
      <c r="FQ111" t="e">
        <f>'Delivery Calculation'!K36+"AM:!&amp;Zy"</f>
        <v>#VALUE!</v>
      </c>
      <c r="FR111" t="e">
        <f>'Delivery Calculation'!L36+"AM:!&amp;Zz"</f>
        <v>#VALUE!</v>
      </c>
      <c r="FS111" t="e">
        <f>'Delivery Calculation'!M36+"AM:!&amp;Z{"</f>
        <v>#VALUE!</v>
      </c>
      <c r="FT111" s="100" t="e">
        <f>'Delivery Calculation'!N36+"AM:!&amp;Z|"</f>
        <v>#VALUE!</v>
      </c>
      <c r="FU111" t="e">
        <f>'Delivery Calculation'!O36+"AM:!&amp;Z}"</f>
        <v>#VALUE!</v>
      </c>
      <c r="FV111" t="e">
        <f>'Delivery Calculation'!P36+"AM:!&amp;Z~"</f>
        <v>#VALUE!</v>
      </c>
      <c r="FW111" t="e">
        <f>'Delivery Calculation'!Q36+"AM:!&amp;[#"</f>
        <v>#VALUE!</v>
      </c>
      <c r="FX111" t="e">
        <f>'Delivery Calculation'!R36+"AM:!&amp;[$"</f>
        <v>#VALUE!</v>
      </c>
      <c r="FY111" t="e">
        <f>'Delivery Calculation'!S36+"AM:!&amp;[%"</f>
        <v>#VALUE!</v>
      </c>
      <c r="FZ111" t="e">
        <f>'Delivery Calculation'!T36+"AM:!&amp;[&amp;"</f>
        <v>#VALUE!</v>
      </c>
      <c r="GA111" t="e">
        <f>'Delivery Calculation'!U36+"AM:!&amp;['"</f>
        <v>#VALUE!</v>
      </c>
      <c r="GB111" t="e">
        <f>'Delivery Calculation'!V36+"AM:!&amp;[("</f>
        <v>#VALUE!</v>
      </c>
      <c r="GC111" t="e">
        <f>'Delivery Calculation'!W36+"AM:!&amp;[)"</f>
        <v>#VALUE!</v>
      </c>
      <c r="GD111" t="e">
        <f>'Delivery Calculation'!X36+"AM:!&amp;[."</f>
        <v>#VALUE!</v>
      </c>
      <c r="GE111" t="e">
        <f>'Delivery Calculation'!Y36+"AM:!&amp;[/"</f>
        <v>#VALUE!</v>
      </c>
      <c r="GF111" t="e">
        <f>'Delivery Calculation'!Z36+"AM:!&amp;[0"</f>
        <v>#VALUE!</v>
      </c>
      <c r="GG111" t="e">
        <f>'Delivery Calculation'!AA36+"AM:!&amp;[1"</f>
        <v>#VALUE!</v>
      </c>
      <c r="GH111" t="e">
        <f>'Delivery Calculation'!AB36+"AM:!&amp;[2"</f>
        <v>#VALUE!</v>
      </c>
      <c r="GI111" t="e">
        <f>'Delivery Calculation'!AC36+"AM:!&amp;[3"</f>
        <v>#VALUE!</v>
      </c>
      <c r="GJ111" t="e">
        <f>'Delivery Calculation'!AD36+"AM:!&amp;[4"</f>
        <v>#VALUE!</v>
      </c>
      <c r="GK111" t="e">
        <f>'Delivery Calculation'!AE36+"AM:!&amp;[5"</f>
        <v>#VALUE!</v>
      </c>
      <c r="GL111" t="e">
        <f>'Delivery Calculation'!AF36+"AM:!&amp;[6"</f>
        <v>#VALUE!</v>
      </c>
      <c r="GM111" t="e">
        <f>'Delivery Calculation'!AG36+"AM:!&amp;[7"</f>
        <v>#VALUE!</v>
      </c>
      <c r="GN111" t="e">
        <f>'Delivery Calculation'!AH36+"AM:!&amp;[8"</f>
        <v>#VALUE!</v>
      </c>
      <c r="GO111" t="e">
        <f>'Delivery Calculation'!AI36+"AM:!&amp;[9"</f>
        <v>#VALUE!</v>
      </c>
      <c r="GP111" t="e">
        <f>'Delivery Calculation'!AJ36+"AM:!&amp;[:"</f>
        <v>#VALUE!</v>
      </c>
      <c r="GQ111" t="e">
        <f>'Delivery Calculation'!AK36+"AM:!&amp;[;"</f>
        <v>#VALUE!</v>
      </c>
      <c r="GR111" t="e">
        <f>'Delivery Calculation'!AL36+"AM:!&amp;[&lt;"</f>
        <v>#VALUE!</v>
      </c>
      <c r="GS111" t="e">
        <f>'Delivery Calculation'!AM36+"AM:!&amp;[="</f>
        <v>#VALUE!</v>
      </c>
      <c r="GT111" t="e">
        <f>'Delivery Calculation'!AN36+"AM:!&amp;[&gt;"</f>
        <v>#VALUE!</v>
      </c>
      <c r="GU111" t="e">
        <f>'Delivery Calculation'!AO36+"AM:!&amp;[?"</f>
        <v>#VALUE!</v>
      </c>
      <c r="GV111" t="e">
        <f>'Delivery Calculation'!AP36+"AM:!&amp;[@"</f>
        <v>#VALUE!</v>
      </c>
      <c r="GW111" t="e">
        <f>'Delivery Calculation'!AQ36+"AM:!&amp;[A"</f>
        <v>#VALUE!</v>
      </c>
      <c r="GX111" t="e">
        <f>'Delivery Calculation'!AR36+"AM:!&amp;[B"</f>
        <v>#VALUE!</v>
      </c>
      <c r="GY111" t="e">
        <f>'Delivery Calculation'!AS36+"AM:!&amp;[C"</f>
        <v>#VALUE!</v>
      </c>
      <c r="GZ111" t="e">
        <f>'Delivery Calculation'!AT36+"AM:!&amp;[D"</f>
        <v>#VALUE!</v>
      </c>
      <c r="HA111" t="e">
        <f>'Delivery Calculation'!AU36+"AM:!&amp;[E"</f>
        <v>#VALUE!</v>
      </c>
      <c r="HB111" t="e">
        <f>'Delivery Calculation'!AV36+"AM:!&amp;[F"</f>
        <v>#VALUE!</v>
      </c>
      <c r="HC111" t="e">
        <f>'Delivery Calculation'!A37+"AM:!&amp;[G"</f>
        <v>#VALUE!</v>
      </c>
      <c r="HD111" t="e">
        <f>'Delivery Calculation'!B37+"AM:!&amp;[H"</f>
        <v>#VALUE!</v>
      </c>
      <c r="HE111" t="e">
        <f>'Delivery Calculation'!C37+"AM:!&amp;[I"</f>
        <v>#VALUE!</v>
      </c>
      <c r="HF111" t="e">
        <f>'Delivery Calculation'!D37+"AM:!&amp;[J"</f>
        <v>#VALUE!</v>
      </c>
      <c r="HG111" t="e">
        <f>'Delivery Calculation'!E37+"AM:!&amp;[K"</f>
        <v>#VALUE!</v>
      </c>
      <c r="HH111" t="e">
        <f>'Delivery Calculation'!F37+"AM:!&amp;[L"</f>
        <v>#VALUE!</v>
      </c>
      <c r="HI111" t="e">
        <f>'Delivery Calculation'!G37+"AM:!&amp;[M"</f>
        <v>#VALUE!</v>
      </c>
      <c r="HJ111" t="e">
        <f>'Delivery Calculation'!H37+"AM:!&amp;[N"</f>
        <v>#VALUE!</v>
      </c>
      <c r="HK111" t="e">
        <f>'Delivery Calculation'!I37+"AM:!&amp;[O"</f>
        <v>#VALUE!</v>
      </c>
      <c r="HL111" t="e">
        <f>'Delivery Calculation'!J37+"AM:!&amp;[P"</f>
        <v>#VALUE!</v>
      </c>
      <c r="HM111" t="e">
        <f>'Delivery Calculation'!K37+"AM:!&amp;[Q"</f>
        <v>#VALUE!</v>
      </c>
      <c r="HN111" t="e">
        <f>'Delivery Calculation'!L37+"AM:!&amp;[R"</f>
        <v>#VALUE!</v>
      </c>
      <c r="HO111" t="e">
        <f>'Delivery Calculation'!M37+"AM:!&amp;[S"</f>
        <v>#VALUE!</v>
      </c>
      <c r="HP111" s="100" t="e">
        <f>'Delivery Calculation'!N37+"AM:!&amp;[T"</f>
        <v>#VALUE!</v>
      </c>
      <c r="HQ111" t="e">
        <f>'Delivery Calculation'!O37+"AM:!&amp;[U"</f>
        <v>#VALUE!</v>
      </c>
      <c r="HR111" t="e">
        <f>'Delivery Calculation'!P37+"AM:!&amp;[V"</f>
        <v>#VALUE!</v>
      </c>
      <c r="HS111" t="e">
        <f>'Delivery Calculation'!Q37+"AM:!&amp;[W"</f>
        <v>#VALUE!</v>
      </c>
      <c r="HT111" t="e">
        <f>'Delivery Calculation'!R37+"AM:!&amp;[X"</f>
        <v>#VALUE!</v>
      </c>
      <c r="HU111" t="e">
        <f>'Delivery Calculation'!S37+"AM:!&amp;[Y"</f>
        <v>#VALUE!</v>
      </c>
      <c r="HV111" t="e">
        <f>'Delivery Calculation'!T37+"AM:!&amp;[Z"</f>
        <v>#VALUE!</v>
      </c>
      <c r="HW111" t="e">
        <f>'Delivery Calculation'!U37+"AM:!&amp;[["</f>
        <v>#VALUE!</v>
      </c>
      <c r="HX111" t="e">
        <f>'Delivery Calculation'!V37+"AM:!&amp;[\"</f>
        <v>#VALUE!</v>
      </c>
      <c r="HY111" t="e">
        <f>'Delivery Calculation'!W37+"AM:!&amp;[]"</f>
        <v>#VALUE!</v>
      </c>
      <c r="HZ111" t="e">
        <f>'Delivery Calculation'!X37+"AM:!&amp;[^"</f>
        <v>#VALUE!</v>
      </c>
      <c r="IA111" t="e">
        <f>'Delivery Calculation'!Y37+"AM:!&amp;[_"</f>
        <v>#VALUE!</v>
      </c>
      <c r="IB111" t="e">
        <f>'Delivery Calculation'!Z37+"AM:!&amp;[`"</f>
        <v>#VALUE!</v>
      </c>
      <c r="IC111" t="e">
        <f>'Delivery Calculation'!AA37+"AM:!&amp;[a"</f>
        <v>#VALUE!</v>
      </c>
      <c r="ID111" t="e">
        <f>'Delivery Calculation'!AB37+"AM:!&amp;[b"</f>
        <v>#VALUE!</v>
      </c>
      <c r="IE111" t="e">
        <f>'Delivery Calculation'!AC37+"AM:!&amp;[c"</f>
        <v>#VALUE!</v>
      </c>
      <c r="IF111" t="e">
        <f>'Delivery Calculation'!AD37+"AM:!&amp;[d"</f>
        <v>#VALUE!</v>
      </c>
      <c r="IG111" t="e">
        <f>'Delivery Calculation'!AE37+"AM:!&amp;[e"</f>
        <v>#VALUE!</v>
      </c>
      <c r="IH111" t="e">
        <f>'Delivery Calculation'!AF37+"AM:!&amp;[f"</f>
        <v>#VALUE!</v>
      </c>
      <c r="II111" t="e">
        <f>'Delivery Calculation'!AG37+"AM:!&amp;[g"</f>
        <v>#VALUE!</v>
      </c>
      <c r="IJ111" t="e">
        <f>'Delivery Calculation'!AH37+"AM:!&amp;[h"</f>
        <v>#VALUE!</v>
      </c>
      <c r="IK111" t="e">
        <f>'Delivery Calculation'!AI37+"AM:!&amp;[i"</f>
        <v>#VALUE!</v>
      </c>
      <c r="IL111" t="e">
        <f>'Delivery Calculation'!AJ37+"AM:!&amp;[j"</f>
        <v>#VALUE!</v>
      </c>
      <c r="IM111" t="e">
        <f>'Delivery Calculation'!AK37+"AM:!&amp;[k"</f>
        <v>#VALUE!</v>
      </c>
      <c r="IN111" t="e">
        <f>'Delivery Calculation'!AL37+"AM:!&amp;[l"</f>
        <v>#VALUE!</v>
      </c>
      <c r="IO111" t="e">
        <f>'Delivery Calculation'!AM37+"AM:!&amp;[m"</f>
        <v>#VALUE!</v>
      </c>
      <c r="IP111" t="e">
        <f>'Delivery Calculation'!AN37+"AM:!&amp;[n"</f>
        <v>#VALUE!</v>
      </c>
      <c r="IQ111" t="e">
        <f>'Delivery Calculation'!AO37+"AM:!&amp;[o"</f>
        <v>#VALUE!</v>
      </c>
      <c r="IR111" t="e">
        <f>'Delivery Calculation'!AP37+"AM:!&amp;[p"</f>
        <v>#VALUE!</v>
      </c>
      <c r="IS111" t="e">
        <f>'Delivery Calculation'!AQ37+"AM:!&amp;[q"</f>
        <v>#VALUE!</v>
      </c>
      <c r="IT111" t="e">
        <f>'Delivery Calculation'!AR37+"AM:!&amp;[r"</f>
        <v>#VALUE!</v>
      </c>
      <c r="IU111" t="e">
        <f>'Delivery Calculation'!AS37+"AM:!&amp;[s"</f>
        <v>#VALUE!</v>
      </c>
      <c r="IV111" t="e">
        <f>'Delivery Calculation'!AT37+"AM:!&amp;[t"</f>
        <v>#VALUE!</v>
      </c>
    </row>
    <row r="112" spans="6:256">
      <c r="F112" t="e">
        <f>'Delivery Calculation'!AU37+"AM:!&amp;[u"</f>
        <v>#VALUE!</v>
      </c>
      <c r="G112" t="e">
        <f>'Delivery Calculation'!AV37+"AM:!&amp;[v"</f>
        <v>#VALUE!</v>
      </c>
      <c r="H112" t="e">
        <f>'Delivery Calculation'!A38+"AM:!&amp;[w"</f>
        <v>#VALUE!</v>
      </c>
      <c r="I112" t="e">
        <f>'Delivery Calculation'!B38+"AM:!&amp;[x"</f>
        <v>#VALUE!</v>
      </c>
      <c r="J112" t="e">
        <f>'Delivery Calculation'!C38+"AM:!&amp;[y"</f>
        <v>#VALUE!</v>
      </c>
      <c r="K112" t="e">
        <f>'Delivery Calculation'!D38+"AM:!&amp;[z"</f>
        <v>#VALUE!</v>
      </c>
      <c r="L112" t="e">
        <f>'Delivery Calculation'!E38+"AM:!&amp;[{"</f>
        <v>#VALUE!</v>
      </c>
      <c r="M112" t="e">
        <f>'Delivery Calculation'!F38+"AM:!&amp;[|"</f>
        <v>#VALUE!</v>
      </c>
      <c r="N112" t="e">
        <f>'Delivery Calculation'!G38+"AM:!&amp;[}"</f>
        <v>#VALUE!</v>
      </c>
      <c r="O112" t="e">
        <f>'Delivery Calculation'!H38+"AM:!&amp;[~"</f>
        <v>#VALUE!</v>
      </c>
      <c r="P112" t="e">
        <f>'Delivery Calculation'!I38+"AM:!&amp;\#"</f>
        <v>#VALUE!</v>
      </c>
      <c r="Q112" t="e">
        <f>'Delivery Calculation'!J38+"AM:!&amp;\$"</f>
        <v>#VALUE!</v>
      </c>
      <c r="R112" t="e">
        <f>'Delivery Calculation'!K38+"AM:!&amp;\%"</f>
        <v>#VALUE!</v>
      </c>
      <c r="S112" t="e">
        <f>'Delivery Calculation'!L38+"AM:!&amp;\&amp;"</f>
        <v>#VALUE!</v>
      </c>
      <c r="T112" t="e">
        <f>'Delivery Calculation'!M38+"AM:!&amp;\'"</f>
        <v>#VALUE!</v>
      </c>
      <c r="U112" s="100" t="e">
        <f>'Delivery Calculation'!N38+"AM:!&amp;\("</f>
        <v>#VALUE!</v>
      </c>
      <c r="V112" t="e">
        <f>'Delivery Calculation'!O38+"AM:!&amp;\)"</f>
        <v>#VALUE!</v>
      </c>
      <c r="W112" t="e">
        <f>'Delivery Calculation'!P38+"AM:!&amp;\."</f>
        <v>#VALUE!</v>
      </c>
      <c r="X112" t="e">
        <f>'Delivery Calculation'!Q38+"AM:!&amp;\/"</f>
        <v>#VALUE!</v>
      </c>
      <c r="Y112" t="e">
        <f>'Delivery Calculation'!R38+"AM:!&amp;\0"</f>
        <v>#VALUE!</v>
      </c>
      <c r="Z112" t="e">
        <f>'Delivery Calculation'!S38+"AM:!&amp;\1"</f>
        <v>#VALUE!</v>
      </c>
      <c r="AA112" t="e">
        <f>'Delivery Calculation'!T38+"AM:!&amp;\2"</f>
        <v>#VALUE!</v>
      </c>
      <c r="AB112" t="e">
        <f>'Delivery Calculation'!U38+"AM:!&amp;\3"</f>
        <v>#VALUE!</v>
      </c>
      <c r="AC112" t="e">
        <f>'Delivery Calculation'!V38+"AM:!&amp;\4"</f>
        <v>#VALUE!</v>
      </c>
      <c r="AD112" t="e">
        <f>'Delivery Calculation'!W38+"AM:!&amp;\5"</f>
        <v>#VALUE!</v>
      </c>
      <c r="AE112" t="e">
        <f>'Delivery Calculation'!X38+"AM:!&amp;\6"</f>
        <v>#VALUE!</v>
      </c>
      <c r="AF112" t="e">
        <f>'Delivery Calculation'!Y38+"AM:!&amp;\7"</f>
        <v>#VALUE!</v>
      </c>
      <c r="AG112" t="e">
        <f>'Delivery Calculation'!Z38+"AM:!&amp;\8"</f>
        <v>#VALUE!</v>
      </c>
      <c r="AH112" t="e">
        <f>'Delivery Calculation'!AA38+"AM:!&amp;\9"</f>
        <v>#VALUE!</v>
      </c>
      <c r="AI112" t="e">
        <f>'Delivery Calculation'!AB38+"AM:!&amp;\:"</f>
        <v>#VALUE!</v>
      </c>
      <c r="AJ112" t="e">
        <f>'Delivery Calculation'!AC38+"AM:!&amp;\;"</f>
        <v>#VALUE!</v>
      </c>
      <c r="AK112" t="e">
        <f>'Delivery Calculation'!AD38+"AM:!&amp;\&lt;"</f>
        <v>#VALUE!</v>
      </c>
      <c r="AL112" t="e">
        <f>'Delivery Calculation'!AE38+"AM:!&amp;\="</f>
        <v>#VALUE!</v>
      </c>
      <c r="AM112" t="e">
        <f>'Delivery Calculation'!AF38+"AM:!&amp;\&gt;"</f>
        <v>#VALUE!</v>
      </c>
      <c r="AN112" t="e">
        <f>'Delivery Calculation'!AG38+"AM:!&amp;\?"</f>
        <v>#VALUE!</v>
      </c>
      <c r="AO112" t="e">
        <f>'Delivery Calculation'!AH38+"AM:!&amp;\@"</f>
        <v>#VALUE!</v>
      </c>
      <c r="AP112" t="e">
        <f>'Delivery Calculation'!AI38+"AM:!&amp;\A"</f>
        <v>#VALUE!</v>
      </c>
      <c r="AQ112" t="e">
        <f>'Delivery Calculation'!AJ38+"AM:!&amp;\B"</f>
        <v>#VALUE!</v>
      </c>
      <c r="AR112" t="e">
        <f>'Delivery Calculation'!AK38+"AM:!&amp;\C"</f>
        <v>#VALUE!</v>
      </c>
      <c r="AS112" t="e">
        <f>'Delivery Calculation'!AL38+"AM:!&amp;\D"</f>
        <v>#VALUE!</v>
      </c>
      <c r="AT112" t="e">
        <f>'Delivery Calculation'!AM38+"AM:!&amp;\E"</f>
        <v>#VALUE!</v>
      </c>
      <c r="AU112" t="e">
        <f>'Delivery Calculation'!AN38+"AM:!&amp;\F"</f>
        <v>#VALUE!</v>
      </c>
      <c r="AV112" t="e">
        <f>'Delivery Calculation'!AO38+"AM:!&amp;\G"</f>
        <v>#VALUE!</v>
      </c>
      <c r="AW112" t="e">
        <f>'Delivery Calculation'!AP38+"AM:!&amp;\H"</f>
        <v>#VALUE!</v>
      </c>
      <c r="AX112" t="e">
        <f>'Delivery Calculation'!AQ38+"AM:!&amp;\I"</f>
        <v>#VALUE!</v>
      </c>
      <c r="AY112" t="e">
        <f>'Delivery Calculation'!AR38+"AM:!&amp;\J"</f>
        <v>#VALUE!</v>
      </c>
      <c r="AZ112" t="e">
        <f>'Delivery Calculation'!AS38+"AM:!&amp;\K"</f>
        <v>#VALUE!</v>
      </c>
      <c r="BA112" t="e">
        <f>'Delivery Calculation'!AT38+"AM:!&amp;\L"</f>
        <v>#VALUE!</v>
      </c>
      <c r="BB112" t="e">
        <f>'Delivery Calculation'!AU38+"AM:!&amp;\M"</f>
        <v>#VALUE!</v>
      </c>
      <c r="BC112" t="e">
        <f>'Delivery Calculation'!AV38+"AM:!&amp;\N"</f>
        <v>#VALUE!</v>
      </c>
      <c r="BD112" t="e">
        <f>'Delivery Calculation'!A39+"AM:!&amp;\O"</f>
        <v>#VALUE!</v>
      </c>
      <c r="BE112" t="e">
        <f>'Delivery Calculation'!B39+"AM:!&amp;\P"</f>
        <v>#VALUE!</v>
      </c>
      <c r="BF112" t="e">
        <f>'Delivery Calculation'!C39+"AM:!&amp;\Q"</f>
        <v>#VALUE!</v>
      </c>
      <c r="BG112" t="e">
        <f>'Delivery Calculation'!D39+"AM:!&amp;\R"</f>
        <v>#VALUE!</v>
      </c>
      <c r="BH112" t="e">
        <f>'Delivery Calculation'!E39+"AM:!&amp;\S"</f>
        <v>#VALUE!</v>
      </c>
      <c r="BI112" t="e">
        <f>'Delivery Calculation'!F39+"AM:!&amp;\T"</f>
        <v>#VALUE!</v>
      </c>
      <c r="BJ112" t="e">
        <f>'Delivery Calculation'!G39+"AM:!&amp;\U"</f>
        <v>#VALUE!</v>
      </c>
      <c r="BK112" t="e">
        <f>'Delivery Calculation'!H39+"AM:!&amp;\V"</f>
        <v>#VALUE!</v>
      </c>
      <c r="BL112" t="e">
        <f>'Delivery Calculation'!I39+"AM:!&amp;\W"</f>
        <v>#VALUE!</v>
      </c>
      <c r="BM112" t="e">
        <f>'Delivery Calculation'!J39+"AM:!&amp;\X"</f>
        <v>#VALUE!</v>
      </c>
      <c r="BN112" t="e">
        <f>'Delivery Calculation'!K39+"AM:!&amp;\Y"</f>
        <v>#VALUE!</v>
      </c>
      <c r="BO112" t="e">
        <f>'Delivery Calculation'!L39+"AM:!&amp;\Z"</f>
        <v>#VALUE!</v>
      </c>
      <c r="BP112" t="e">
        <f>'Delivery Calculation'!M39+"AM:!&amp;\["</f>
        <v>#VALUE!</v>
      </c>
      <c r="BQ112" s="100" t="e">
        <f>'Delivery Calculation'!N39+"AM:!&amp;\\"</f>
        <v>#VALUE!</v>
      </c>
      <c r="BR112" t="e">
        <f>'Delivery Calculation'!O39+"AM:!&amp;\]"</f>
        <v>#VALUE!</v>
      </c>
      <c r="BS112" t="e">
        <f>'Delivery Calculation'!P39+"AM:!&amp;\^"</f>
        <v>#VALUE!</v>
      </c>
      <c r="BT112" t="e">
        <f>'Delivery Calculation'!Q39+"AM:!&amp;\_"</f>
        <v>#VALUE!</v>
      </c>
      <c r="BU112" t="e">
        <f>'Delivery Calculation'!R39+"AM:!&amp;\`"</f>
        <v>#VALUE!</v>
      </c>
      <c r="BV112" t="e">
        <f>'Delivery Calculation'!S39+"AM:!&amp;\a"</f>
        <v>#VALUE!</v>
      </c>
      <c r="BW112" t="e">
        <f>'Delivery Calculation'!T39+"AM:!&amp;\b"</f>
        <v>#VALUE!</v>
      </c>
      <c r="BX112" t="e">
        <f>'Delivery Calculation'!U39+"AM:!&amp;\c"</f>
        <v>#VALUE!</v>
      </c>
      <c r="BY112" t="e">
        <f>'Delivery Calculation'!V39+"AM:!&amp;\d"</f>
        <v>#VALUE!</v>
      </c>
      <c r="BZ112" t="e">
        <f>'Delivery Calculation'!W39+"AM:!&amp;\e"</f>
        <v>#VALUE!</v>
      </c>
      <c r="CA112" t="e">
        <f>'Delivery Calculation'!X39+"AM:!&amp;\f"</f>
        <v>#VALUE!</v>
      </c>
      <c r="CB112" t="e">
        <f>'Delivery Calculation'!Y39+"AM:!&amp;\g"</f>
        <v>#VALUE!</v>
      </c>
      <c r="CC112" t="e">
        <f>'Delivery Calculation'!Z39+"AM:!&amp;\h"</f>
        <v>#VALUE!</v>
      </c>
      <c r="CD112" t="e">
        <f>'Delivery Calculation'!AA39+"AM:!&amp;\i"</f>
        <v>#VALUE!</v>
      </c>
      <c r="CE112" t="e">
        <f>'Delivery Calculation'!AB39+"AM:!&amp;\j"</f>
        <v>#VALUE!</v>
      </c>
      <c r="CF112" t="e">
        <f>'Delivery Calculation'!AC39+"AM:!&amp;\k"</f>
        <v>#VALUE!</v>
      </c>
      <c r="CG112" t="e">
        <f>'Delivery Calculation'!AD39+"AM:!&amp;\l"</f>
        <v>#VALUE!</v>
      </c>
      <c r="CH112" t="e">
        <f>'Delivery Calculation'!AE39+"AM:!&amp;\m"</f>
        <v>#VALUE!</v>
      </c>
      <c r="CI112" t="e">
        <f>'Delivery Calculation'!AF39+"AM:!&amp;\n"</f>
        <v>#VALUE!</v>
      </c>
      <c r="CJ112" t="e">
        <f>'Delivery Calculation'!AG39+"AM:!&amp;\o"</f>
        <v>#VALUE!</v>
      </c>
      <c r="CK112" t="e">
        <f>'Delivery Calculation'!AH39+"AM:!&amp;\p"</f>
        <v>#VALUE!</v>
      </c>
      <c r="CL112" t="e">
        <f>'Delivery Calculation'!AI39+"AM:!&amp;\q"</f>
        <v>#VALUE!</v>
      </c>
      <c r="CM112" t="e">
        <f>'Delivery Calculation'!AJ39+"AM:!&amp;\r"</f>
        <v>#VALUE!</v>
      </c>
      <c r="CN112" t="e">
        <f>'Delivery Calculation'!AK39+"AM:!&amp;\s"</f>
        <v>#VALUE!</v>
      </c>
      <c r="CO112" t="e">
        <f>'Delivery Calculation'!AL39+"AM:!&amp;\t"</f>
        <v>#VALUE!</v>
      </c>
      <c r="CP112" t="e">
        <f>'Delivery Calculation'!AM39+"AM:!&amp;\u"</f>
        <v>#VALUE!</v>
      </c>
      <c r="CQ112" t="e">
        <f>'Delivery Calculation'!AN39+"AM:!&amp;\v"</f>
        <v>#VALUE!</v>
      </c>
      <c r="CR112" t="e">
        <f>'Delivery Calculation'!AO39+"AM:!&amp;\w"</f>
        <v>#VALUE!</v>
      </c>
      <c r="CS112" t="e">
        <f>'Delivery Calculation'!AP39+"AM:!&amp;\x"</f>
        <v>#VALUE!</v>
      </c>
      <c r="CT112" t="e">
        <f>'Delivery Calculation'!AQ39+"AM:!&amp;\y"</f>
        <v>#VALUE!</v>
      </c>
      <c r="CU112" t="e">
        <f>'Delivery Calculation'!AR39+"AM:!&amp;\z"</f>
        <v>#VALUE!</v>
      </c>
      <c r="CV112" t="e">
        <f>'Delivery Calculation'!AS39+"AM:!&amp;\{"</f>
        <v>#VALUE!</v>
      </c>
      <c r="CW112" t="e">
        <f>'Delivery Calculation'!AT39+"AM:!&amp;\|"</f>
        <v>#VALUE!</v>
      </c>
      <c r="CX112" t="e">
        <f>'Delivery Calculation'!AU39+"AM:!&amp;\}"</f>
        <v>#VALUE!</v>
      </c>
      <c r="CY112" t="e">
        <f>'Delivery Calculation'!AV39+"AM:!&amp;\~"</f>
        <v>#VALUE!</v>
      </c>
      <c r="CZ112" t="e">
        <f>'Delivery Calculation'!A40+"AM:!&amp;]#"</f>
        <v>#VALUE!</v>
      </c>
      <c r="DA112" t="e">
        <f>'Delivery Calculation'!B40+"AM:!&amp;]$"</f>
        <v>#VALUE!</v>
      </c>
      <c r="DB112" t="e">
        <f>'Delivery Calculation'!C40+"AM:!&amp;]%"</f>
        <v>#VALUE!</v>
      </c>
      <c r="DC112" t="e">
        <f>'Delivery Calculation'!D40+"AM:!&amp;]&amp;"</f>
        <v>#VALUE!</v>
      </c>
      <c r="DD112" t="e">
        <f>'Delivery Calculation'!E40+"AM:!&amp;]'"</f>
        <v>#VALUE!</v>
      </c>
      <c r="DE112" t="e">
        <f>'Delivery Calculation'!F40+"AM:!&amp;]("</f>
        <v>#VALUE!</v>
      </c>
      <c r="DF112" t="e">
        <f>'Delivery Calculation'!G40+"AM:!&amp;])"</f>
        <v>#VALUE!</v>
      </c>
      <c r="DG112" t="e">
        <f>'Delivery Calculation'!H40+"AM:!&amp;]."</f>
        <v>#VALUE!</v>
      </c>
      <c r="DH112" t="e">
        <f>'Delivery Calculation'!I40+"AM:!&amp;]/"</f>
        <v>#VALUE!</v>
      </c>
      <c r="DI112" t="e">
        <f>'Delivery Calculation'!J40+"AM:!&amp;]0"</f>
        <v>#VALUE!</v>
      </c>
      <c r="DJ112" t="e">
        <f>'Delivery Calculation'!K40+"AM:!&amp;]1"</f>
        <v>#VALUE!</v>
      </c>
      <c r="DK112" t="e">
        <f>'Delivery Calculation'!L40+"AM:!&amp;]2"</f>
        <v>#VALUE!</v>
      </c>
      <c r="DL112" t="e">
        <f>'Delivery Calculation'!M40+"AM:!&amp;]3"</f>
        <v>#VALUE!</v>
      </c>
      <c r="DM112" s="100" t="e">
        <f>'Delivery Calculation'!N40+"AM:!&amp;]4"</f>
        <v>#VALUE!</v>
      </c>
      <c r="DN112" t="e">
        <f>'Delivery Calculation'!O40+"AM:!&amp;]5"</f>
        <v>#VALUE!</v>
      </c>
      <c r="DO112" t="e">
        <f>'Delivery Calculation'!P40+"AM:!&amp;]6"</f>
        <v>#VALUE!</v>
      </c>
      <c r="DP112" t="e">
        <f>'Delivery Calculation'!Q40+"AM:!&amp;]7"</f>
        <v>#VALUE!</v>
      </c>
      <c r="DQ112" t="e">
        <f>'Delivery Calculation'!R40+"AM:!&amp;]8"</f>
        <v>#VALUE!</v>
      </c>
      <c r="DR112" t="e">
        <f>'Delivery Calculation'!S40+"AM:!&amp;]9"</f>
        <v>#VALUE!</v>
      </c>
      <c r="DS112" t="e">
        <f>'Delivery Calculation'!T40+"AM:!&amp;]:"</f>
        <v>#VALUE!</v>
      </c>
      <c r="DT112" t="e">
        <f>'Delivery Calculation'!U40+"AM:!&amp;];"</f>
        <v>#VALUE!</v>
      </c>
      <c r="DU112" t="e">
        <f>'Delivery Calculation'!V40+"AM:!&amp;]&lt;"</f>
        <v>#VALUE!</v>
      </c>
      <c r="DV112" t="e">
        <f>'Delivery Calculation'!W40+"AM:!&amp;]="</f>
        <v>#VALUE!</v>
      </c>
      <c r="DW112" t="e">
        <f>'Delivery Calculation'!X40+"AM:!&amp;]&gt;"</f>
        <v>#VALUE!</v>
      </c>
      <c r="DX112" t="e">
        <f>'Delivery Calculation'!Y40+"AM:!&amp;]?"</f>
        <v>#VALUE!</v>
      </c>
      <c r="DY112" t="e">
        <f>'Delivery Calculation'!Z40+"AM:!&amp;]@"</f>
        <v>#VALUE!</v>
      </c>
      <c r="DZ112" t="e">
        <f>'Delivery Calculation'!AA40+"AM:!&amp;]A"</f>
        <v>#VALUE!</v>
      </c>
      <c r="EA112" t="e">
        <f>'Delivery Calculation'!AB40+"AM:!&amp;]B"</f>
        <v>#VALUE!</v>
      </c>
      <c r="EB112" t="e">
        <f>'Delivery Calculation'!AC40+"AM:!&amp;]C"</f>
        <v>#VALUE!</v>
      </c>
      <c r="EC112" t="e">
        <f>'Delivery Calculation'!AD40+"AM:!&amp;]D"</f>
        <v>#VALUE!</v>
      </c>
      <c r="ED112" t="e">
        <f>'Delivery Calculation'!AE40+"AM:!&amp;]E"</f>
        <v>#VALUE!</v>
      </c>
      <c r="EE112" t="e">
        <f>'Delivery Calculation'!AF40+"AM:!&amp;]F"</f>
        <v>#VALUE!</v>
      </c>
      <c r="EF112" t="e">
        <f>'Delivery Calculation'!AG40+"AM:!&amp;]G"</f>
        <v>#VALUE!</v>
      </c>
      <c r="EG112" t="e">
        <f>'Delivery Calculation'!AH40+"AM:!&amp;]H"</f>
        <v>#VALUE!</v>
      </c>
      <c r="EH112" t="e">
        <f>'Delivery Calculation'!AI40+"AM:!&amp;]I"</f>
        <v>#VALUE!</v>
      </c>
      <c r="EI112" t="e">
        <f>'Delivery Calculation'!AJ40+"AM:!&amp;]J"</f>
        <v>#VALUE!</v>
      </c>
      <c r="EJ112" t="e">
        <f>'Delivery Calculation'!AK40+"AM:!&amp;]K"</f>
        <v>#VALUE!</v>
      </c>
      <c r="EK112" t="e">
        <f>'Delivery Calculation'!AL40+"AM:!&amp;]L"</f>
        <v>#VALUE!</v>
      </c>
      <c r="EL112" t="e">
        <f>'Delivery Calculation'!AM40+"AM:!&amp;]M"</f>
        <v>#VALUE!</v>
      </c>
      <c r="EM112" t="e">
        <f>'Delivery Calculation'!AN40+"AM:!&amp;]N"</f>
        <v>#VALUE!</v>
      </c>
      <c r="EN112" t="e">
        <f>'Delivery Calculation'!AO40+"AM:!&amp;]O"</f>
        <v>#VALUE!</v>
      </c>
      <c r="EO112" t="e">
        <f>'Delivery Calculation'!AP40+"AM:!&amp;]P"</f>
        <v>#VALUE!</v>
      </c>
      <c r="EP112" t="e">
        <f>'Delivery Calculation'!AQ40+"AM:!&amp;]Q"</f>
        <v>#VALUE!</v>
      </c>
      <c r="EQ112" t="e">
        <f>'Delivery Calculation'!AR40+"AM:!&amp;]R"</f>
        <v>#VALUE!</v>
      </c>
      <c r="ER112" t="e">
        <f>'Delivery Calculation'!AS40+"AM:!&amp;]S"</f>
        <v>#VALUE!</v>
      </c>
      <c r="ES112" t="e">
        <f>'Delivery Calculation'!AT40+"AM:!&amp;]T"</f>
        <v>#VALUE!</v>
      </c>
      <c r="ET112" t="e">
        <f>'Delivery Calculation'!AU40+"AM:!&amp;]U"</f>
        <v>#VALUE!</v>
      </c>
      <c r="EU112" t="e">
        <f>'Delivery Calculation'!AV40+"AM:!&amp;]V"</f>
        <v>#VALUE!</v>
      </c>
      <c r="EV112" t="e">
        <f>'Delivery Calculation'!A41+"AM:!&amp;]W"</f>
        <v>#VALUE!</v>
      </c>
      <c r="EW112" t="e">
        <f>'Delivery Calculation'!B41+"AM:!&amp;]X"</f>
        <v>#VALUE!</v>
      </c>
      <c r="EX112" t="e">
        <f>'Delivery Calculation'!C41+"AM:!&amp;]Y"</f>
        <v>#VALUE!</v>
      </c>
      <c r="EY112" t="e">
        <f>'Delivery Calculation'!D41+"AM:!&amp;]Z"</f>
        <v>#VALUE!</v>
      </c>
      <c r="EZ112" t="e">
        <f>'Delivery Calculation'!E41+"AM:!&amp;]["</f>
        <v>#VALUE!</v>
      </c>
      <c r="FA112" t="e">
        <f>'Delivery Calculation'!F41+"AM:!&amp;]\"</f>
        <v>#VALUE!</v>
      </c>
      <c r="FB112" t="e">
        <f>'Delivery Calculation'!G41+"AM:!&amp;]]"</f>
        <v>#VALUE!</v>
      </c>
      <c r="FC112" t="e">
        <f>'Delivery Calculation'!H41+"AM:!&amp;]^"</f>
        <v>#VALUE!</v>
      </c>
      <c r="FD112" t="e">
        <f>'Delivery Calculation'!I41+"AM:!&amp;]_"</f>
        <v>#VALUE!</v>
      </c>
      <c r="FE112" t="e">
        <f>'Delivery Calculation'!J41+"AM:!&amp;]`"</f>
        <v>#VALUE!</v>
      </c>
      <c r="FF112" t="e">
        <f>'Delivery Calculation'!K41+"AM:!&amp;]a"</f>
        <v>#VALUE!</v>
      </c>
      <c r="FG112" t="e">
        <f>'Delivery Calculation'!L41+"AM:!&amp;]b"</f>
        <v>#VALUE!</v>
      </c>
      <c r="FH112" t="e">
        <f>'Delivery Calculation'!M41+"AM:!&amp;]c"</f>
        <v>#VALUE!</v>
      </c>
      <c r="FI112" s="100" t="e">
        <f>'Delivery Calculation'!N41+"AM:!&amp;]d"</f>
        <v>#VALUE!</v>
      </c>
      <c r="FJ112" t="e">
        <f>'Delivery Calculation'!O41+"AM:!&amp;]e"</f>
        <v>#VALUE!</v>
      </c>
      <c r="FK112" t="e">
        <f>'Delivery Calculation'!P41+"AM:!&amp;]f"</f>
        <v>#VALUE!</v>
      </c>
      <c r="FL112" t="e">
        <f>'Delivery Calculation'!Q41+"AM:!&amp;]g"</f>
        <v>#VALUE!</v>
      </c>
      <c r="FM112" t="e">
        <f>'Delivery Calculation'!R41+"AM:!&amp;]h"</f>
        <v>#VALUE!</v>
      </c>
      <c r="FN112" t="e">
        <f>'Delivery Calculation'!S41+"AM:!&amp;]i"</f>
        <v>#VALUE!</v>
      </c>
      <c r="FO112" t="e">
        <f>'Delivery Calculation'!T41+"AM:!&amp;]j"</f>
        <v>#VALUE!</v>
      </c>
      <c r="FP112" t="e">
        <f>'Delivery Calculation'!U41+"AM:!&amp;]k"</f>
        <v>#VALUE!</v>
      </c>
      <c r="FQ112" t="e">
        <f>'Delivery Calculation'!V41+"AM:!&amp;]l"</f>
        <v>#VALUE!</v>
      </c>
      <c r="FR112" t="e">
        <f>'Delivery Calculation'!W41+"AM:!&amp;]m"</f>
        <v>#VALUE!</v>
      </c>
      <c r="FS112" t="e">
        <f>'Delivery Calculation'!X41+"AM:!&amp;]n"</f>
        <v>#VALUE!</v>
      </c>
      <c r="FT112" t="e">
        <f>'Delivery Calculation'!Y41+"AM:!&amp;]o"</f>
        <v>#VALUE!</v>
      </c>
      <c r="FU112" t="e">
        <f>'Delivery Calculation'!Z41+"AM:!&amp;]p"</f>
        <v>#VALUE!</v>
      </c>
      <c r="FV112" t="e">
        <f>'Delivery Calculation'!AA41+"AM:!&amp;]q"</f>
        <v>#VALUE!</v>
      </c>
      <c r="FW112" t="e">
        <f>'Delivery Calculation'!AB41+"AM:!&amp;]r"</f>
        <v>#VALUE!</v>
      </c>
      <c r="FX112" t="e">
        <f>'Delivery Calculation'!AC41+"AM:!&amp;]s"</f>
        <v>#VALUE!</v>
      </c>
      <c r="FY112" t="e">
        <f>'Delivery Calculation'!AD41+"AM:!&amp;]t"</f>
        <v>#VALUE!</v>
      </c>
      <c r="FZ112" t="e">
        <f>'Delivery Calculation'!AE41+"AM:!&amp;]u"</f>
        <v>#VALUE!</v>
      </c>
      <c r="GA112" t="e">
        <f>'Delivery Calculation'!AF41+"AM:!&amp;]v"</f>
        <v>#VALUE!</v>
      </c>
      <c r="GB112" t="e">
        <f>'Delivery Calculation'!AG41+"AM:!&amp;]w"</f>
        <v>#VALUE!</v>
      </c>
      <c r="GC112" t="e">
        <f>'Delivery Calculation'!AH41+"AM:!&amp;]x"</f>
        <v>#VALUE!</v>
      </c>
      <c r="GD112" t="e">
        <f>'Delivery Calculation'!AI41+"AM:!&amp;]y"</f>
        <v>#VALUE!</v>
      </c>
      <c r="GE112" t="e">
        <f>'Delivery Calculation'!AJ41+"AM:!&amp;]z"</f>
        <v>#VALUE!</v>
      </c>
      <c r="GF112" t="e">
        <f>'Delivery Calculation'!AK41+"AM:!&amp;]{"</f>
        <v>#VALUE!</v>
      </c>
      <c r="GG112" t="e">
        <f>'Delivery Calculation'!AL41+"AM:!&amp;]|"</f>
        <v>#VALUE!</v>
      </c>
      <c r="GH112" t="e">
        <f>'Delivery Calculation'!AM41+"AM:!&amp;]}"</f>
        <v>#VALUE!</v>
      </c>
      <c r="GI112" t="e">
        <f>'Delivery Calculation'!AN41+"AM:!&amp;]~"</f>
        <v>#VALUE!</v>
      </c>
      <c r="GJ112" t="e">
        <f>'Delivery Calculation'!AO41+"AM:!&amp;^#"</f>
        <v>#VALUE!</v>
      </c>
      <c r="GK112" t="e">
        <f>'Delivery Calculation'!AP41+"AM:!&amp;^$"</f>
        <v>#VALUE!</v>
      </c>
      <c r="GL112" t="e">
        <f>'Delivery Calculation'!AQ41+"AM:!&amp;^%"</f>
        <v>#VALUE!</v>
      </c>
      <c r="GM112" t="e">
        <f>'Delivery Calculation'!AR41+"AM:!&amp;^&amp;"</f>
        <v>#VALUE!</v>
      </c>
      <c r="GN112" t="e">
        <f>'Delivery Calculation'!AS41+"AM:!&amp;^'"</f>
        <v>#VALUE!</v>
      </c>
      <c r="GO112" t="e">
        <f>'Delivery Calculation'!AT41+"AM:!&amp;^("</f>
        <v>#VALUE!</v>
      </c>
      <c r="GP112" t="e">
        <f>'Delivery Calculation'!AU41+"AM:!&amp;^)"</f>
        <v>#VALUE!</v>
      </c>
      <c r="GQ112" t="e">
        <f>'Delivery Calculation'!AV41+"AM:!&amp;^."</f>
        <v>#VALUE!</v>
      </c>
      <c r="GR112" t="e">
        <f>'Delivery Calculation'!A42+"AM:!&amp;^/"</f>
        <v>#VALUE!</v>
      </c>
      <c r="GS112" t="e">
        <f>'Delivery Calculation'!B42+"AM:!&amp;^0"</f>
        <v>#VALUE!</v>
      </c>
      <c r="GT112" t="e">
        <f>'Delivery Calculation'!C42+"AM:!&amp;^1"</f>
        <v>#VALUE!</v>
      </c>
      <c r="GU112" t="e">
        <f>'Delivery Calculation'!D42+"AM:!&amp;^2"</f>
        <v>#VALUE!</v>
      </c>
      <c r="GV112" t="e">
        <f>'Delivery Calculation'!E42+"AM:!&amp;^3"</f>
        <v>#VALUE!</v>
      </c>
      <c r="GW112" t="e">
        <f>'Delivery Calculation'!F42+"AM:!&amp;^4"</f>
        <v>#VALUE!</v>
      </c>
      <c r="GX112" t="e">
        <f>'Delivery Calculation'!G42+"AM:!&amp;^5"</f>
        <v>#VALUE!</v>
      </c>
      <c r="GY112" t="e">
        <f>'Delivery Calculation'!H42+"AM:!&amp;^6"</f>
        <v>#VALUE!</v>
      </c>
      <c r="GZ112" t="e">
        <f>'Delivery Calculation'!I42+"AM:!&amp;^7"</f>
        <v>#VALUE!</v>
      </c>
      <c r="HA112" t="e">
        <f>'Delivery Calculation'!J42+"AM:!&amp;^8"</f>
        <v>#VALUE!</v>
      </c>
      <c r="HB112" t="e">
        <f>'Delivery Calculation'!K42+"AM:!&amp;^9"</f>
        <v>#VALUE!</v>
      </c>
      <c r="HC112" t="e">
        <f>'Delivery Calculation'!L42+"AM:!&amp;^:"</f>
        <v>#VALUE!</v>
      </c>
      <c r="HD112" t="e">
        <f>'Delivery Calculation'!M42+"AM:!&amp;^;"</f>
        <v>#VALUE!</v>
      </c>
      <c r="HE112" s="100" t="e">
        <f>'Delivery Calculation'!N42+"AM:!&amp;^&lt;"</f>
        <v>#VALUE!</v>
      </c>
      <c r="HF112" t="e">
        <f>'Delivery Calculation'!O42+"AM:!&amp;^="</f>
        <v>#VALUE!</v>
      </c>
      <c r="HG112" t="e">
        <f>'Delivery Calculation'!P42+"AM:!&amp;^&gt;"</f>
        <v>#VALUE!</v>
      </c>
      <c r="HH112" t="e">
        <f>'Delivery Calculation'!Q42+"AM:!&amp;^?"</f>
        <v>#VALUE!</v>
      </c>
      <c r="HI112" t="e">
        <f>'Delivery Calculation'!R42+"AM:!&amp;^@"</f>
        <v>#VALUE!</v>
      </c>
      <c r="HJ112" t="e">
        <f>'Delivery Calculation'!S42+"AM:!&amp;^A"</f>
        <v>#VALUE!</v>
      </c>
      <c r="HK112" t="e">
        <f>'Delivery Calculation'!T42+"AM:!&amp;^B"</f>
        <v>#VALUE!</v>
      </c>
      <c r="HL112" t="e">
        <f>'Delivery Calculation'!U42+"AM:!&amp;^C"</f>
        <v>#VALUE!</v>
      </c>
      <c r="HM112" t="e">
        <f>'Delivery Calculation'!V42+"AM:!&amp;^D"</f>
        <v>#VALUE!</v>
      </c>
      <c r="HN112" t="e">
        <f>'Delivery Calculation'!W42+"AM:!&amp;^E"</f>
        <v>#VALUE!</v>
      </c>
      <c r="HO112" t="e">
        <f>'Delivery Calculation'!X42+"AM:!&amp;^F"</f>
        <v>#VALUE!</v>
      </c>
      <c r="HP112" t="e">
        <f>'Delivery Calculation'!Y42+"AM:!&amp;^G"</f>
        <v>#VALUE!</v>
      </c>
      <c r="HQ112" t="e">
        <f>'Delivery Calculation'!Z42+"AM:!&amp;^H"</f>
        <v>#VALUE!</v>
      </c>
      <c r="HR112" t="e">
        <f>'Delivery Calculation'!AA42+"AM:!&amp;^I"</f>
        <v>#VALUE!</v>
      </c>
      <c r="HS112" t="e">
        <f>'Delivery Calculation'!AB42+"AM:!&amp;^J"</f>
        <v>#VALUE!</v>
      </c>
      <c r="HT112" t="e">
        <f>'Delivery Calculation'!AC42+"AM:!&amp;^K"</f>
        <v>#VALUE!</v>
      </c>
      <c r="HU112" t="e">
        <f>'Delivery Calculation'!AD42+"AM:!&amp;^L"</f>
        <v>#VALUE!</v>
      </c>
      <c r="HV112" t="e">
        <f>'Delivery Calculation'!AE42+"AM:!&amp;^M"</f>
        <v>#VALUE!</v>
      </c>
      <c r="HW112" t="e">
        <f>'Delivery Calculation'!AF42+"AM:!&amp;^N"</f>
        <v>#VALUE!</v>
      </c>
      <c r="HX112" t="e">
        <f>'Delivery Calculation'!AG42+"AM:!&amp;^O"</f>
        <v>#VALUE!</v>
      </c>
      <c r="HY112" t="e">
        <f>'Delivery Calculation'!AH42+"AM:!&amp;^P"</f>
        <v>#VALUE!</v>
      </c>
      <c r="HZ112" t="e">
        <f>'Delivery Calculation'!AI42+"AM:!&amp;^Q"</f>
        <v>#VALUE!</v>
      </c>
      <c r="IA112" t="e">
        <f>'Delivery Calculation'!AJ42+"AM:!&amp;^R"</f>
        <v>#VALUE!</v>
      </c>
      <c r="IB112" t="e">
        <f>'Delivery Calculation'!AK42+"AM:!&amp;^S"</f>
        <v>#VALUE!</v>
      </c>
      <c r="IC112" t="e">
        <f>'Delivery Calculation'!AL42+"AM:!&amp;^T"</f>
        <v>#VALUE!</v>
      </c>
      <c r="ID112" t="e">
        <f>'Delivery Calculation'!AM42+"AM:!&amp;^U"</f>
        <v>#VALUE!</v>
      </c>
      <c r="IE112" t="e">
        <f>'Delivery Calculation'!AN42+"AM:!&amp;^V"</f>
        <v>#VALUE!</v>
      </c>
      <c r="IF112" t="e">
        <f>'Delivery Calculation'!AO42+"AM:!&amp;^W"</f>
        <v>#VALUE!</v>
      </c>
      <c r="IG112" t="e">
        <f>'Delivery Calculation'!AP42+"AM:!&amp;^X"</f>
        <v>#VALUE!</v>
      </c>
      <c r="IH112" t="e">
        <f>'Delivery Calculation'!AQ42+"AM:!&amp;^Y"</f>
        <v>#VALUE!</v>
      </c>
      <c r="II112" t="e">
        <f>'Delivery Calculation'!AR42+"AM:!&amp;^Z"</f>
        <v>#VALUE!</v>
      </c>
      <c r="IJ112" t="e">
        <f>'Delivery Calculation'!AS42+"AM:!&amp;^["</f>
        <v>#VALUE!</v>
      </c>
      <c r="IK112" t="e">
        <f>'Delivery Calculation'!AT42+"AM:!&amp;^\"</f>
        <v>#VALUE!</v>
      </c>
      <c r="IL112" t="e">
        <f>'Delivery Calculation'!AU42+"AM:!&amp;^]"</f>
        <v>#VALUE!</v>
      </c>
      <c r="IM112" t="e">
        <f>'Delivery Calculation'!AV42+"AM:!&amp;^^"</f>
        <v>#VALUE!</v>
      </c>
      <c r="IN112" t="e">
        <f>'Delivery Calculation'!A43+"AM:!&amp;^_"</f>
        <v>#VALUE!</v>
      </c>
      <c r="IO112" t="e">
        <f>'Delivery Calculation'!B43+"AM:!&amp;^`"</f>
        <v>#VALUE!</v>
      </c>
      <c r="IP112" t="e">
        <f>'Delivery Calculation'!C43+"AM:!&amp;^a"</f>
        <v>#VALUE!</v>
      </c>
      <c r="IQ112" t="e">
        <f>'Delivery Calculation'!D43+"AM:!&amp;^b"</f>
        <v>#VALUE!</v>
      </c>
      <c r="IR112" t="e">
        <f>'Delivery Calculation'!E43+"AM:!&amp;^c"</f>
        <v>#VALUE!</v>
      </c>
      <c r="IS112" t="e">
        <f>'Delivery Calculation'!F43+"AM:!&amp;^d"</f>
        <v>#VALUE!</v>
      </c>
      <c r="IT112" t="e">
        <f>'Delivery Calculation'!G43+"AM:!&amp;^e"</f>
        <v>#VALUE!</v>
      </c>
      <c r="IU112" t="e">
        <f>'Delivery Calculation'!H43+"AM:!&amp;^f"</f>
        <v>#VALUE!</v>
      </c>
      <c r="IV112" t="e">
        <f>'Delivery Calculation'!I43+"AM:!&amp;^g"</f>
        <v>#VALUE!</v>
      </c>
    </row>
    <row r="113" spans="6:256">
      <c r="F113" t="e">
        <f>'Delivery Calculation'!J43+"AM:!&amp;^h"</f>
        <v>#VALUE!</v>
      </c>
      <c r="G113" t="e">
        <f>'Delivery Calculation'!K43+"AM:!&amp;^i"</f>
        <v>#VALUE!</v>
      </c>
      <c r="H113" t="e">
        <f>'Delivery Calculation'!L43+"AM:!&amp;^j"</f>
        <v>#VALUE!</v>
      </c>
      <c r="I113" t="e">
        <f>'Delivery Calculation'!M43+"AM:!&amp;^k"</f>
        <v>#VALUE!</v>
      </c>
      <c r="J113" t="e">
        <f>'Delivery Calculation'!N43+"AM:!&amp;^l"</f>
        <v>#VALUE!</v>
      </c>
      <c r="K113" t="e">
        <f>'Delivery Calculation'!O43+"AM:!&amp;^m"</f>
        <v>#VALUE!</v>
      </c>
      <c r="L113" t="e">
        <f>'Delivery Calculation'!P43+"AM:!&amp;^n"</f>
        <v>#VALUE!</v>
      </c>
      <c r="M113" t="e">
        <f>'Delivery Calculation'!Q43+"AM:!&amp;^o"</f>
        <v>#VALUE!</v>
      </c>
      <c r="N113" t="e">
        <f>'Delivery Calculation'!R43+"AM:!&amp;^p"</f>
        <v>#VALUE!</v>
      </c>
      <c r="O113" t="e">
        <f>'Delivery Calculation'!S43+"AM:!&amp;^q"</f>
        <v>#VALUE!</v>
      </c>
      <c r="P113" t="e">
        <f>'Delivery Calculation'!T43+"AM:!&amp;^r"</f>
        <v>#VALUE!</v>
      </c>
      <c r="Q113" t="e">
        <f>'Delivery Calculation'!U43+"AM:!&amp;^s"</f>
        <v>#VALUE!</v>
      </c>
      <c r="R113" t="e">
        <f>'Delivery Calculation'!V43+"AM:!&amp;^t"</f>
        <v>#VALUE!</v>
      </c>
      <c r="S113" t="e">
        <f>'Delivery Calculation'!W43+"AM:!&amp;^u"</f>
        <v>#VALUE!</v>
      </c>
      <c r="T113" t="e">
        <f>'Delivery Calculation'!X43+"AM:!&amp;^v"</f>
        <v>#VALUE!</v>
      </c>
      <c r="U113" t="e">
        <f>'Delivery Calculation'!Y43+"AM:!&amp;^w"</f>
        <v>#VALUE!</v>
      </c>
      <c r="V113" t="e">
        <f>'Delivery Calculation'!Z43+"AM:!&amp;^x"</f>
        <v>#VALUE!</v>
      </c>
      <c r="W113" t="e">
        <f>'Delivery Calculation'!AA43+"AM:!&amp;^y"</f>
        <v>#VALUE!</v>
      </c>
      <c r="X113" t="e">
        <f>'Delivery Calculation'!AB43+"AM:!&amp;^z"</f>
        <v>#VALUE!</v>
      </c>
      <c r="Y113" t="e">
        <f>'Delivery Calculation'!AC43+"AM:!&amp;^{"</f>
        <v>#VALUE!</v>
      </c>
      <c r="Z113" t="e">
        <f>'Delivery Calculation'!AD43+"AM:!&amp;^|"</f>
        <v>#VALUE!</v>
      </c>
      <c r="AA113" t="e">
        <f>'Delivery Calculation'!AE43+"AM:!&amp;^}"</f>
        <v>#VALUE!</v>
      </c>
      <c r="AB113" t="e">
        <f>'Delivery Calculation'!AF43+"AM:!&amp;^~"</f>
        <v>#VALUE!</v>
      </c>
      <c r="AC113" t="e">
        <f>'Delivery Calculation'!AG43+"AM:!&amp;_#"</f>
        <v>#VALUE!</v>
      </c>
      <c r="AD113" t="e">
        <f>'Delivery Calculation'!AH43+"AM:!&amp;_$"</f>
        <v>#VALUE!</v>
      </c>
      <c r="AE113" t="e">
        <f>'Delivery Calculation'!AI43+"AM:!&amp;_%"</f>
        <v>#VALUE!</v>
      </c>
      <c r="AF113" t="e">
        <f>'Delivery Calculation'!AJ43+"AM:!&amp;_&amp;"</f>
        <v>#VALUE!</v>
      </c>
      <c r="AG113" t="e">
        <f>'Delivery Calculation'!AK43+"AM:!&amp;_'"</f>
        <v>#VALUE!</v>
      </c>
      <c r="AH113" t="e">
        <f>'Delivery Calculation'!AL43+"AM:!&amp;_("</f>
        <v>#VALUE!</v>
      </c>
      <c r="AI113" t="e">
        <f>'Delivery Calculation'!AM43+"AM:!&amp;_)"</f>
        <v>#VALUE!</v>
      </c>
      <c r="AJ113" t="e">
        <f>'Delivery Calculation'!AN43+"AM:!&amp;_."</f>
        <v>#VALUE!</v>
      </c>
      <c r="AK113" t="e">
        <f>'Delivery Calculation'!AO43+"AM:!&amp;_/"</f>
        <v>#VALUE!</v>
      </c>
      <c r="AL113" t="e">
        <f>'Delivery Calculation'!AP43+"AM:!&amp;_0"</f>
        <v>#VALUE!</v>
      </c>
      <c r="AM113" t="e">
        <f>'Delivery Calculation'!AQ43+"AM:!&amp;_1"</f>
        <v>#VALUE!</v>
      </c>
      <c r="AN113" t="e">
        <f>'Delivery Calculation'!AR43+"AM:!&amp;_2"</f>
        <v>#VALUE!</v>
      </c>
      <c r="AO113" t="e">
        <f>'Delivery Calculation'!AS43+"AM:!&amp;_3"</f>
        <v>#VALUE!</v>
      </c>
      <c r="AP113" t="e">
        <f>'Delivery Calculation'!AT43+"AM:!&amp;_4"</f>
        <v>#VALUE!</v>
      </c>
      <c r="AQ113" t="e">
        <f>'Delivery Calculation'!AU43+"AM:!&amp;_5"</f>
        <v>#VALUE!</v>
      </c>
      <c r="AR113" t="e">
        <f>'Delivery Calculation'!AV43+"AM:!&amp;_6"</f>
        <v>#VALUE!</v>
      </c>
      <c r="AS113" t="e">
        <f>'Delivery Calculation'!A44+"AM:!&amp;_7"</f>
        <v>#VALUE!</v>
      </c>
      <c r="AT113" t="e">
        <f>'Delivery Calculation'!B44+"AM:!&amp;_8"</f>
        <v>#VALUE!</v>
      </c>
      <c r="AU113" t="e">
        <f>'Delivery Calculation'!C44+"AM:!&amp;_9"</f>
        <v>#VALUE!</v>
      </c>
      <c r="AV113" t="e">
        <f>'Delivery Calculation'!D44+"AM:!&amp;_:"</f>
        <v>#VALUE!</v>
      </c>
      <c r="AW113" t="e">
        <f>'Delivery Calculation'!E44+"AM:!&amp;_;"</f>
        <v>#VALUE!</v>
      </c>
      <c r="AX113" t="e">
        <f>'Delivery Calculation'!F44+"AM:!&amp;_&lt;"</f>
        <v>#VALUE!</v>
      </c>
      <c r="AY113" t="e">
        <f>'Delivery Calculation'!G44+"AM:!&amp;_="</f>
        <v>#VALUE!</v>
      </c>
      <c r="AZ113" t="e">
        <f>'Delivery Calculation'!H44+"AM:!&amp;_&gt;"</f>
        <v>#VALUE!</v>
      </c>
      <c r="BA113" s="101" t="e">
        <f ca="1">'Delivery Calculation'!I44+"AM:!&amp;_?"</f>
        <v>#VALUE!</v>
      </c>
      <c r="BB113" s="101" t="e">
        <f>'Delivery Calculation'!J44+"AM:!&amp;_@"</f>
        <v>#VALUE!</v>
      </c>
      <c r="BC113" s="101" t="e">
        <f>'Delivery Calculation'!K44+"AM:!&amp;_A"</f>
        <v>#VALUE!</v>
      </c>
      <c r="BD113" s="101" t="e">
        <f>'Delivery Calculation'!L44+"AM:!&amp;_B"</f>
        <v>#VALUE!</v>
      </c>
      <c r="BE113" t="e">
        <f>'Delivery Calculation'!M44+"AM:!&amp;_C"</f>
        <v>#VALUE!</v>
      </c>
      <c r="BF113" t="e">
        <f>'Delivery Calculation'!N44+"AM:!&amp;_D"</f>
        <v>#VALUE!</v>
      </c>
      <c r="BG113" t="e">
        <f>'Delivery Calculation'!O44+"AM:!&amp;_E"</f>
        <v>#VALUE!</v>
      </c>
      <c r="BH113" t="e">
        <f>'Delivery Calculation'!P44+"AM:!&amp;_F"</f>
        <v>#VALUE!</v>
      </c>
      <c r="BI113" t="e">
        <f>'Delivery Calculation'!Q44+"AM:!&amp;_G"</f>
        <v>#VALUE!</v>
      </c>
      <c r="BJ113" t="e">
        <f>'Delivery Calculation'!R44+"AM:!&amp;_H"</f>
        <v>#VALUE!</v>
      </c>
      <c r="BK113" t="e">
        <f>'Delivery Calculation'!S44+"AM:!&amp;_I"</f>
        <v>#VALUE!</v>
      </c>
      <c r="BL113" t="e">
        <f>'Delivery Calculation'!T44+"AM:!&amp;_J"</f>
        <v>#VALUE!</v>
      </c>
      <c r="BM113" t="e">
        <f>'Delivery Calculation'!U44+"AM:!&amp;_K"</f>
        <v>#VALUE!</v>
      </c>
      <c r="BN113" t="e">
        <f>'Delivery Calculation'!V44+"AM:!&amp;_L"</f>
        <v>#VALUE!</v>
      </c>
      <c r="BO113" t="e">
        <f>'Delivery Calculation'!W44+"AM:!&amp;_M"</f>
        <v>#VALUE!</v>
      </c>
      <c r="BP113" t="e">
        <f>'Delivery Calculation'!X44+"AM:!&amp;_N"</f>
        <v>#VALUE!</v>
      </c>
      <c r="BQ113" t="e">
        <f>'Delivery Calculation'!Y44+"AM:!&amp;_O"</f>
        <v>#VALUE!</v>
      </c>
      <c r="BR113" t="e">
        <f>'Delivery Calculation'!Z44+"AM:!&amp;_P"</f>
        <v>#VALUE!</v>
      </c>
      <c r="BS113" t="e">
        <f>'Delivery Calculation'!AA44+"AM:!&amp;_Q"</f>
        <v>#VALUE!</v>
      </c>
      <c r="BT113" t="e">
        <f>'Delivery Calculation'!AB44+"AM:!&amp;_R"</f>
        <v>#VALUE!</v>
      </c>
      <c r="BU113" t="e">
        <f>'Delivery Calculation'!AC44+"AM:!&amp;_S"</f>
        <v>#VALUE!</v>
      </c>
      <c r="BV113" t="e">
        <f>'Delivery Calculation'!AD44+"AM:!&amp;_T"</f>
        <v>#VALUE!</v>
      </c>
      <c r="BW113" t="e">
        <f>'Delivery Calculation'!AE44+"AM:!&amp;_U"</f>
        <v>#VALUE!</v>
      </c>
      <c r="BX113" t="e">
        <f>'Delivery Calculation'!AF44+"AM:!&amp;_V"</f>
        <v>#VALUE!</v>
      </c>
      <c r="BY113" t="e">
        <f>'Delivery Calculation'!AG44+"AM:!&amp;_W"</f>
        <v>#VALUE!</v>
      </c>
      <c r="BZ113" t="e">
        <f>'Delivery Calculation'!AH44+"AM:!&amp;_X"</f>
        <v>#VALUE!</v>
      </c>
      <c r="CA113" t="e">
        <f>'Delivery Calculation'!AI44+"AM:!&amp;_Y"</f>
        <v>#VALUE!</v>
      </c>
      <c r="CB113" t="e">
        <f>'Delivery Calculation'!AJ44+"AM:!&amp;_Z"</f>
        <v>#VALUE!</v>
      </c>
      <c r="CC113" t="e">
        <f>'Delivery Calculation'!AK44+"AM:!&amp;_["</f>
        <v>#VALUE!</v>
      </c>
      <c r="CD113" t="e">
        <f>'Delivery Calculation'!AL44+"AM:!&amp;_\"</f>
        <v>#VALUE!</v>
      </c>
      <c r="CE113" t="e">
        <f>'Delivery Calculation'!AM44+"AM:!&amp;_]"</f>
        <v>#VALUE!</v>
      </c>
      <c r="CF113" t="e">
        <f>'Delivery Calculation'!AN44+"AM:!&amp;_^"</f>
        <v>#VALUE!</v>
      </c>
      <c r="CG113" t="e">
        <f>'Delivery Calculation'!AO44+"AM:!&amp;__"</f>
        <v>#VALUE!</v>
      </c>
      <c r="CH113" t="e">
        <f>'Delivery Calculation'!AP44+"AM:!&amp;_`"</f>
        <v>#VALUE!</v>
      </c>
      <c r="CI113" t="e">
        <f>'Delivery Calculation'!AQ44+"AM:!&amp;_a"</f>
        <v>#VALUE!</v>
      </c>
      <c r="CJ113" t="e">
        <f>'Delivery Calculation'!AR44+"AM:!&amp;_b"</f>
        <v>#VALUE!</v>
      </c>
      <c r="CK113" t="e">
        <f>'Delivery Calculation'!AS44+"AM:!&amp;_c"</f>
        <v>#VALUE!</v>
      </c>
      <c r="CL113" t="e">
        <f>'Delivery Calculation'!AT44+"AM:!&amp;_d"</f>
        <v>#VALUE!</v>
      </c>
      <c r="CM113" t="e">
        <f>'Delivery Calculation'!AU44+"AM:!&amp;_e"</f>
        <v>#VALUE!</v>
      </c>
      <c r="CN113" t="e">
        <f>'Delivery Calculation'!AV44+"AM:!&amp;_f"</f>
        <v>#VALUE!</v>
      </c>
      <c r="CO113" t="e">
        <f>'Delivery Calculation'!A45+"AM:!&amp;_g"</f>
        <v>#VALUE!</v>
      </c>
      <c r="CP113" t="e">
        <f>'Delivery Calculation'!B45+"AM:!&amp;_h"</f>
        <v>#VALUE!</v>
      </c>
      <c r="CQ113" t="e">
        <f>'Delivery Calculation'!C45+"AM:!&amp;_i"</f>
        <v>#VALUE!</v>
      </c>
      <c r="CR113" t="e">
        <f>'Delivery Calculation'!D45+"AM:!&amp;_j"</f>
        <v>#VALUE!</v>
      </c>
      <c r="CS113" t="e">
        <f>'Delivery Calculation'!E45+"AM:!&amp;_k"</f>
        <v>#VALUE!</v>
      </c>
      <c r="CT113" t="e">
        <f>'Delivery Calculation'!F45+"AM:!&amp;_l"</f>
        <v>#VALUE!</v>
      </c>
      <c r="CU113" t="e">
        <f>'Delivery Calculation'!G45+"AM:!&amp;_m"</f>
        <v>#VALUE!</v>
      </c>
      <c r="CV113" t="e">
        <f>'Delivery Calculation'!H45+"AM:!&amp;_n"</f>
        <v>#VALUE!</v>
      </c>
      <c r="CW113" t="e">
        <f>'Delivery Calculation'!I45+"AM:!&amp;_o"</f>
        <v>#VALUE!</v>
      </c>
      <c r="CX113" t="e">
        <f>'Delivery Calculation'!J45+"AM:!&amp;_p"</f>
        <v>#VALUE!</v>
      </c>
      <c r="CY113" t="e">
        <f>'Delivery Calculation'!K45+"AM:!&amp;_q"</f>
        <v>#VALUE!</v>
      </c>
      <c r="CZ113" t="e">
        <f>'Delivery Calculation'!L45+"AM:!&amp;_r"</f>
        <v>#VALUE!</v>
      </c>
      <c r="DA113" t="e">
        <f>'Delivery Calculation'!M45+"AM:!&amp;_s"</f>
        <v>#VALUE!</v>
      </c>
      <c r="DB113" t="e">
        <f>'Delivery Calculation'!N45+"AM:!&amp;_t"</f>
        <v>#VALUE!</v>
      </c>
      <c r="DC113" t="e">
        <f>'Delivery Calculation'!O45+"AM:!&amp;_u"</f>
        <v>#VALUE!</v>
      </c>
      <c r="DD113" t="e">
        <f>'Delivery Calculation'!P45+"AM:!&amp;_v"</f>
        <v>#VALUE!</v>
      </c>
      <c r="DE113" t="e">
        <f>'Delivery Calculation'!Q45+"AM:!&amp;_w"</f>
        <v>#VALUE!</v>
      </c>
      <c r="DF113" t="e">
        <f>'Delivery Calculation'!R45+"AM:!&amp;_x"</f>
        <v>#VALUE!</v>
      </c>
      <c r="DG113" t="e">
        <f>'Delivery Calculation'!S45+"AM:!&amp;_y"</f>
        <v>#VALUE!</v>
      </c>
      <c r="DH113" t="e">
        <f>'Delivery Calculation'!T45+"AM:!&amp;_z"</f>
        <v>#VALUE!</v>
      </c>
      <c r="DI113" t="e">
        <f>'Delivery Calculation'!U45+"AM:!&amp;_{"</f>
        <v>#VALUE!</v>
      </c>
      <c r="DJ113" t="e">
        <f>'Delivery Calculation'!V45+"AM:!&amp;_|"</f>
        <v>#VALUE!</v>
      </c>
      <c r="DK113" t="e">
        <f>'Delivery Calculation'!W45+"AM:!&amp;_}"</f>
        <v>#VALUE!</v>
      </c>
      <c r="DL113" t="e">
        <f>'Delivery Calculation'!X45+"AM:!&amp;_~"</f>
        <v>#VALUE!</v>
      </c>
      <c r="DM113" t="e">
        <f>'Delivery Calculation'!Y45+"AM:!&amp;`#"</f>
        <v>#VALUE!</v>
      </c>
      <c r="DN113" t="e">
        <f>'Delivery Calculation'!Z45+"AM:!&amp;`$"</f>
        <v>#VALUE!</v>
      </c>
      <c r="DO113" t="e">
        <f>'Delivery Calculation'!AA45+"AM:!&amp;`%"</f>
        <v>#VALUE!</v>
      </c>
      <c r="DP113" t="e">
        <f>'Delivery Calculation'!AB45+"AM:!&amp;`&amp;"</f>
        <v>#VALUE!</v>
      </c>
      <c r="DQ113" t="e">
        <f>'Delivery Calculation'!AC45+"AM:!&amp;`'"</f>
        <v>#VALUE!</v>
      </c>
      <c r="DR113" t="e">
        <f>'Delivery Calculation'!AD45+"AM:!&amp;`("</f>
        <v>#VALUE!</v>
      </c>
      <c r="DS113" t="e">
        <f>'Delivery Calculation'!AE45+"AM:!&amp;`)"</f>
        <v>#VALUE!</v>
      </c>
      <c r="DT113" t="e">
        <f>'Delivery Calculation'!AF45+"AM:!&amp;`."</f>
        <v>#VALUE!</v>
      </c>
      <c r="DU113" t="e">
        <f>'Delivery Calculation'!AG45+"AM:!&amp;`/"</f>
        <v>#VALUE!</v>
      </c>
      <c r="DV113" t="e">
        <f>'Delivery Calculation'!AH45+"AM:!&amp;`0"</f>
        <v>#VALUE!</v>
      </c>
      <c r="DW113" t="e">
        <f>'Delivery Calculation'!AI45+"AM:!&amp;`1"</f>
        <v>#VALUE!</v>
      </c>
      <c r="DX113" t="e">
        <f>'Delivery Calculation'!AJ45+"AM:!&amp;`2"</f>
        <v>#VALUE!</v>
      </c>
      <c r="DY113" t="e">
        <f>'Delivery Calculation'!AK45+"AM:!&amp;`3"</f>
        <v>#VALUE!</v>
      </c>
      <c r="DZ113" t="e">
        <f>'Delivery Calculation'!AL45+"AM:!&amp;`4"</f>
        <v>#VALUE!</v>
      </c>
      <c r="EA113" t="e">
        <f>'Delivery Calculation'!AM45+"AM:!&amp;`5"</f>
        <v>#VALUE!</v>
      </c>
      <c r="EB113" t="e">
        <f>'Delivery Calculation'!AN45+"AM:!&amp;`6"</f>
        <v>#VALUE!</v>
      </c>
      <c r="EC113" t="e">
        <f>'Delivery Calculation'!AO45+"AM:!&amp;`7"</f>
        <v>#VALUE!</v>
      </c>
      <c r="ED113" t="e">
        <f>'Delivery Calculation'!AP45+"AM:!&amp;`8"</f>
        <v>#VALUE!</v>
      </c>
      <c r="EE113" t="e">
        <f>'Delivery Calculation'!AQ45+"AM:!&amp;`9"</f>
        <v>#VALUE!</v>
      </c>
      <c r="EF113" t="e">
        <f>'Delivery Calculation'!AR45+"AM:!&amp;`:"</f>
        <v>#VALUE!</v>
      </c>
      <c r="EG113" t="e">
        <f>'Delivery Calculation'!AS45+"AM:!&amp;`;"</f>
        <v>#VALUE!</v>
      </c>
      <c r="EH113" t="e">
        <f>'Delivery Calculation'!AT45+"AM:!&amp;`&lt;"</f>
        <v>#VALUE!</v>
      </c>
      <c r="EI113" t="e">
        <f>'Delivery Calculation'!AU45+"AM:!&amp;`="</f>
        <v>#VALUE!</v>
      </c>
      <c r="EJ113" t="e">
        <f>'Delivery Calculation'!AV45+"AM:!&amp;`&gt;"</f>
        <v>#VALUE!</v>
      </c>
      <c r="EK113" t="e">
        <f>'Delivery Calculation'!AW45+"AM:!&amp;`?"</f>
        <v>#VALUE!</v>
      </c>
      <c r="EL113" t="e">
        <f>'Delivery Calculation'!AX45+"AM:!&amp;`@"</f>
        <v>#VALUE!</v>
      </c>
      <c r="EM113" t="e">
        <f>'Delivery Calculation'!AY45+"AM:!&amp;`A"</f>
        <v>#VALUE!</v>
      </c>
      <c r="EN113" t="e">
        <f>'Delivery Calculation'!AZ45+"AM:!&amp;`B"</f>
        <v>#VALUE!</v>
      </c>
      <c r="EO113" t="e">
        <f>'Delivery Calculation'!A46+"AM:!&amp;`C"</f>
        <v>#VALUE!</v>
      </c>
      <c r="EP113" t="e">
        <f>'Delivery Calculation'!B46+"AM:!&amp;`D"</f>
        <v>#VALUE!</v>
      </c>
      <c r="EQ113" t="e">
        <f>'Delivery Calculation'!C46+"AM:!&amp;`E"</f>
        <v>#VALUE!</v>
      </c>
      <c r="ER113" t="e">
        <f>'Delivery Calculation'!D46+"AM:!&amp;`F"</f>
        <v>#VALUE!</v>
      </c>
      <c r="ES113" t="e">
        <f>'Delivery Calculation'!E46+"AM:!&amp;`G"</f>
        <v>#VALUE!</v>
      </c>
      <c r="ET113" t="e">
        <f>'Delivery Calculation'!F46+"AM:!&amp;`H"</f>
        <v>#VALUE!</v>
      </c>
      <c r="EU113" t="e">
        <f>'Delivery Calculation'!G46+"AM:!&amp;`I"</f>
        <v>#VALUE!</v>
      </c>
      <c r="EV113" t="e">
        <f>'Delivery Calculation'!H46+"AM:!&amp;`J"</f>
        <v>#VALUE!</v>
      </c>
      <c r="EW113" t="e">
        <f>'Delivery Calculation'!I46+"AM:!&amp;`K"</f>
        <v>#VALUE!</v>
      </c>
      <c r="EX113" t="e">
        <f>'Delivery Calculation'!J46+"AM:!&amp;`L"</f>
        <v>#VALUE!</v>
      </c>
      <c r="EY113" t="e">
        <f>'Delivery Calculation'!K46+"AM:!&amp;`M"</f>
        <v>#VALUE!</v>
      </c>
      <c r="EZ113" t="e">
        <f>'Delivery Calculation'!L46+"AM:!&amp;`N"</f>
        <v>#VALUE!</v>
      </c>
      <c r="FA113" t="e">
        <f>'Delivery Calculation'!M46+"AM:!&amp;`O"</f>
        <v>#VALUE!</v>
      </c>
      <c r="FB113" t="e">
        <f>'Delivery Calculation'!N46+"AM:!&amp;`P"</f>
        <v>#VALUE!</v>
      </c>
      <c r="FC113" t="e">
        <f>'Delivery Calculation'!O46+"AM:!&amp;`Q"</f>
        <v>#VALUE!</v>
      </c>
      <c r="FD113" t="e">
        <f>'Delivery Calculation'!P46+"AM:!&amp;`R"</f>
        <v>#VALUE!</v>
      </c>
      <c r="FE113" t="e">
        <f>'Delivery Calculation'!Q46+"AM:!&amp;`S"</f>
        <v>#VALUE!</v>
      </c>
      <c r="FF113" t="e">
        <f>'Delivery Calculation'!R46+"AM:!&amp;`T"</f>
        <v>#VALUE!</v>
      </c>
      <c r="FG113" t="e">
        <f>'Delivery Calculation'!S46+"AM:!&amp;`U"</f>
        <v>#VALUE!</v>
      </c>
      <c r="FH113" t="e">
        <f>'Delivery Calculation'!T46+"AM:!&amp;`V"</f>
        <v>#VALUE!</v>
      </c>
      <c r="FI113" t="e">
        <f>'Delivery Calculation'!U46+"AM:!&amp;`W"</f>
        <v>#VALUE!</v>
      </c>
      <c r="FJ113" t="e">
        <f>'Delivery Calculation'!V46+"AM:!&amp;`X"</f>
        <v>#VALUE!</v>
      </c>
      <c r="FK113" t="e">
        <f>'Delivery Calculation'!W46+"AM:!&amp;`Y"</f>
        <v>#VALUE!</v>
      </c>
      <c r="FL113" t="e">
        <f>'Delivery Calculation'!X46+"AM:!&amp;`Z"</f>
        <v>#VALUE!</v>
      </c>
      <c r="FM113" t="e">
        <f>'Delivery Calculation'!Y46+"AM:!&amp;`["</f>
        <v>#VALUE!</v>
      </c>
      <c r="FN113" t="e">
        <f>'Delivery Calculation'!Z46+"AM:!&amp;`\"</f>
        <v>#VALUE!</v>
      </c>
      <c r="FO113" t="e">
        <f>'Delivery Calculation'!AA46+"AM:!&amp;`]"</f>
        <v>#VALUE!</v>
      </c>
      <c r="FP113" t="e">
        <f>'Delivery Calculation'!AB46+"AM:!&amp;`^"</f>
        <v>#VALUE!</v>
      </c>
      <c r="FQ113" t="e">
        <f>'Delivery Calculation'!AC46+"AM:!&amp;`_"</f>
        <v>#VALUE!</v>
      </c>
      <c r="FR113" t="e">
        <f>'Delivery Calculation'!AD46+"AM:!&amp;``"</f>
        <v>#VALUE!</v>
      </c>
      <c r="FS113" t="e">
        <f>'Delivery Calculation'!AE46+"AM:!&amp;`a"</f>
        <v>#VALUE!</v>
      </c>
      <c r="FT113" t="e">
        <f>'Delivery Calculation'!AF46+"AM:!&amp;`b"</f>
        <v>#VALUE!</v>
      </c>
      <c r="FU113" t="e">
        <f>'Delivery Calculation'!AG46+"AM:!&amp;`c"</f>
        <v>#VALUE!</v>
      </c>
      <c r="FV113" t="e">
        <f>'Delivery Calculation'!AH46+"AM:!&amp;`d"</f>
        <v>#VALUE!</v>
      </c>
      <c r="FW113" t="e">
        <f>'Delivery Calculation'!AI46+"AM:!&amp;`e"</f>
        <v>#VALUE!</v>
      </c>
      <c r="FX113" t="e">
        <f>'Delivery Calculation'!AJ46+"AM:!&amp;`f"</f>
        <v>#VALUE!</v>
      </c>
      <c r="FY113" t="e">
        <f>'Delivery Calculation'!AK46+"AM:!&amp;`g"</f>
        <v>#VALUE!</v>
      </c>
      <c r="FZ113" t="e">
        <f>'Delivery Calculation'!AL46+"AM:!&amp;`h"</f>
        <v>#VALUE!</v>
      </c>
      <c r="GA113" t="e">
        <f>'Delivery Calculation'!AM46+"AM:!&amp;`i"</f>
        <v>#VALUE!</v>
      </c>
      <c r="GB113" t="e">
        <f>'Delivery Calculation'!AN46+"AM:!&amp;`j"</f>
        <v>#VALUE!</v>
      </c>
      <c r="GC113" t="e">
        <f>'Delivery Calculation'!AO46+"AM:!&amp;`k"</f>
        <v>#VALUE!</v>
      </c>
      <c r="GD113" t="e">
        <f>'Delivery Calculation'!AP46+"AM:!&amp;`l"</f>
        <v>#VALUE!</v>
      </c>
      <c r="GE113" t="e">
        <f>'Delivery Calculation'!AQ46+"AM:!&amp;`m"</f>
        <v>#VALUE!</v>
      </c>
      <c r="GF113" t="e">
        <f>'Delivery Calculation'!AR46+"AM:!&amp;`n"</f>
        <v>#VALUE!</v>
      </c>
      <c r="GG113" t="e">
        <f>'Delivery Calculation'!AS46+"AM:!&amp;`o"</f>
        <v>#VALUE!</v>
      </c>
      <c r="GH113" t="e">
        <f>'Delivery Calculation'!AT46+"AM:!&amp;`p"</f>
        <v>#VALUE!</v>
      </c>
      <c r="GI113" t="e">
        <f>'Delivery Calculation'!AU46+"AM:!&amp;`q"</f>
        <v>#VALUE!</v>
      </c>
      <c r="GJ113" t="e">
        <f>'Delivery Calculation'!AV46+"AM:!&amp;`r"</f>
        <v>#VALUE!</v>
      </c>
      <c r="GK113" t="e">
        <f>'Delivery Calculation'!AW46+"AM:!&amp;`s"</f>
        <v>#VALUE!</v>
      </c>
      <c r="GL113" t="e">
        <f>'Delivery Calculation'!AX46+"AM:!&amp;`t"</f>
        <v>#VALUE!</v>
      </c>
      <c r="GM113" t="e">
        <f>'Delivery Calculation'!AY46+"AM:!&amp;`u"</f>
        <v>#VALUE!</v>
      </c>
      <c r="GN113" t="e">
        <f>'Delivery Calculation'!AZ46+"AM:!&amp;`v"</f>
        <v>#VALUE!</v>
      </c>
      <c r="GO113" t="e">
        <f>'Delivery Calculation'!A47+"AM:!&amp;`w"</f>
        <v>#VALUE!</v>
      </c>
      <c r="GP113" t="e">
        <f>'Delivery Calculation'!B47+"AM:!&amp;`x"</f>
        <v>#VALUE!</v>
      </c>
      <c r="GQ113" t="e">
        <f>'Delivery Calculation'!C47+"AM:!&amp;`y"</f>
        <v>#VALUE!</v>
      </c>
      <c r="GR113" t="e">
        <f>'Delivery Calculation'!D47+"AM:!&amp;`z"</f>
        <v>#VALUE!</v>
      </c>
      <c r="GS113" t="e">
        <f>'Delivery Calculation'!E47+"AM:!&amp;`{"</f>
        <v>#VALUE!</v>
      </c>
      <c r="GT113" t="e">
        <f>'Delivery Calculation'!F47+"AM:!&amp;`|"</f>
        <v>#VALUE!</v>
      </c>
      <c r="GU113" t="e">
        <f>'Delivery Calculation'!G47+"AM:!&amp;`}"</f>
        <v>#VALUE!</v>
      </c>
      <c r="GV113" t="e">
        <f>'Delivery Calculation'!H47+"AM:!&amp;`~"</f>
        <v>#VALUE!</v>
      </c>
      <c r="GW113" t="e">
        <f>'Delivery Calculation'!I47+"AM:!&amp;a#"</f>
        <v>#VALUE!</v>
      </c>
      <c r="GX113" t="e">
        <f>'Delivery Calculation'!J47+"AM:!&amp;a$"</f>
        <v>#VALUE!</v>
      </c>
      <c r="GY113" t="e">
        <f>'Delivery Calculation'!K47+"AM:!&amp;a%"</f>
        <v>#VALUE!</v>
      </c>
      <c r="GZ113" t="e">
        <f>'Delivery Calculation'!L47+"AM:!&amp;a&amp;"</f>
        <v>#VALUE!</v>
      </c>
      <c r="HA113" t="e">
        <f>'Delivery Calculation'!M47+"AM:!&amp;a'"</f>
        <v>#VALUE!</v>
      </c>
      <c r="HB113" t="e">
        <f>'Delivery Calculation'!N47+"AM:!&amp;a("</f>
        <v>#VALUE!</v>
      </c>
      <c r="HC113" t="e">
        <f>'Delivery Calculation'!O47+"AM:!&amp;a)"</f>
        <v>#VALUE!</v>
      </c>
      <c r="HD113" t="e">
        <f>'Delivery Calculation'!P47+"AM:!&amp;a."</f>
        <v>#VALUE!</v>
      </c>
      <c r="HE113" t="e">
        <f>'Delivery Calculation'!Q47+"AM:!&amp;a/"</f>
        <v>#VALUE!</v>
      </c>
      <c r="HF113" t="e">
        <f>'Delivery Calculation'!R47+"AM:!&amp;a0"</f>
        <v>#VALUE!</v>
      </c>
      <c r="HG113" t="e">
        <f>'Delivery Calculation'!S47+"AM:!&amp;a1"</f>
        <v>#VALUE!</v>
      </c>
      <c r="HH113" t="e">
        <f>'Delivery Calculation'!T47+"AM:!&amp;a2"</f>
        <v>#VALUE!</v>
      </c>
      <c r="HI113" t="e">
        <f>'Delivery Calculation'!U47+"AM:!&amp;a3"</f>
        <v>#VALUE!</v>
      </c>
      <c r="HJ113" t="e">
        <f>'Delivery Calculation'!V47+"AM:!&amp;a4"</f>
        <v>#VALUE!</v>
      </c>
      <c r="HK113" t="e">
        <f>'Delivery Calculation'!W47+"AM:!&amp;a5"</f>
        <v>#VALUE!</v>
      </c>
      <c r="HL113" t="e">
        <f>'Delivery Calculation'!X47+"AM:!&amp;a6"</f>
        <v>#VALUE!</v>
      </c>
      <c r="HM113" t="e">
        <f>'Delivery Calculation'!Y47+"AM:!&amp;a7"</f>
        <v>#VALUE!</v>
      </c>
      <c r="HN113" t="e">
        <f>'Delivery Calculation'!Z47+"AM:!&amp;a8"</f>
        <v>#VALUE!</v>
      </c>
      <c r="HO113" t="e">
        <f>'Delivery Calculation'!AA47+"AM:!&amp;a9"</f>
        <v>#VALUE!</v>
      </c>
      <c r="HP113" t="e">
        <f>'Delivery Calculation'!AB47+"AM:!&amp;a:"</f>
        <v>#VALUE!</v>
      </c>
      <c r="HQ113" t="e">
        <f>'Delivery Calculation'!AC47+"AM:!&amp;a;"</f>
        <v>#VALUE!</v>
      </c>
      <c r="HR113" t="e">
        <f>'Delivery Calculation'!AD47+"AM:!&amp;a&lt;"</f>
        <v>#VALUE!</v>
      </c>
      <c r="HS113" t="e">
        <f>'Delivery Calculation'!AE47+"AM:!&amp;a="</f>
        <v>#VALUE!</v>
      </c>
      <c r="HT113" t="e">
        <f>'Delivery Calculation'!AF47+"AM:!&amp;a&gt;"</f>
        <v>#VALUE!</v>
      </c>
      <c r="HU113" t="e">
        <f>'Delivery Calculation'!AG47+"AM:!&amp;a?"</f>
        <v>#VALUE!</v>
      </c>
      <c r="HV113" t="e">
        <f>'Delivery Calculation'!AH47+"AM:!&amp;a@"</f>
        <v>#VALUE!</v>
      </c>
      <c r="HW113" t="e">
        <f>'Delivery Calculation'!AI47+"AM:!&amp;aA"</f>
        <v>#VALUE!</v>
      </c>
      <c r="HX113" t="e">
        <f>'Delivery Calculation'!AJ47+"AM:!&amp;aB"</f>
        <v>#VALUE!</v>
      </c>
      <c r="HY113" t="e">
        <f>'Delivery Calculation'!AK47+"AM:!&amp;aC"</f>
        <v>#VALUE!</v>
      </c>
      <c r="HZ113" t="e">
        <f>'Delivery Calculation'!AL47+"AM:!&amp;aD"</f>
        <v>#VALUE!</v>
      </c>
      <c r="IA113" t="e">
        <f>'Delivery Calculation'!AM47+"AM:!&amp;aE"</f>
        <v>#VALUE!</v>
      </c>
      <c r="IB113" t="e">
        <f>'Delivery Calculation'!AN47+"AM:!&amp;aF"</f>
        <v>#VALUE!</v>
      </c>
      <c r="IC113" t="e">
        <f>'Delivery Calculation'!AO47+"AM:!&amp;aG"</f>
        <v>#VALUE!</v>
      </c>
      <c r="ID113" t="e">
        <f>'Delivery Calculation'!AP47+"AM:!&amp;aH"</f>
        <v>#VALUE!</v>
      </c>
      <c r="IE113" t="e">
        <f>'Delivery Calculation'!AQ47+"AM:!&amp;aI"</f>
        <v>#VALUE!</v>
      </c>
      <c r="IF113" t="e">
        <f>'Delivery Calculation'!AR47+"AM:!&amp;aJ"</f>
        <v>#VALUE!</v>
      </c>
      <c r="IG113" t="e">
        <f>'Delivery Calculation'!AS47+"AM:!&amp;aK"</f>
        <v>#VALUE!</v>
      </c>
      <c r="IH113" t="e">
        <f>'Delivery Calculation'!AT47+"AM:!&amp;aL"</f>
        <v>#VALUE!</v>
      </c>
      <c r="II113" t="e">
        <f>'Delivery Calculation'!AU47+"AM:!&amp;aM"</f>
        <v>#VALUE!</v>
      </c>
      <c r="IJ113" t="e">
        <f>'Delivery Calculation'!AV47+"AM:!&amp;aN"</f>
        <v>#VALUE!</v>
      </c>
      <c r="IK113" t="e">
        <f>'Delivery Calculation'!AW47+"AM:!&amp;aO"</f>
        <v>#VALUE!</v>
      </c>
      <c r="IL113" t="e">
        <f>'Delivery Calculation'!AX47+"AM:!&amp;aP"</f>
        <v>#VALUE!</v>
      </c>
      <c r="IM113" t="e">
        <f>'Delivery Calculation'!AY47+"AM:!&amp;aQ"</f>
        <v>#VALUE!</v>
      </c>
      <c r="IN113" t="e">
        <f>'Delivery Calculation'!AZ47+"AM:!&amp;aR"</f>
        <v>#VALUE!</v>
      </c>
      <c r="IO113" t="e">
        <f>'Delivery Calculation'!A48+"AM:!&amp;aS"</f>
        <v>#VALUE!</v>
      </c>
      <c r="IP113" t="e">
        <f>'Delivery Calculation'!B48+"AM:!&amp;aT"</f>
        <v>#VALUE!</v>
      </c>
      <c r="IQ113" t="e">
        <f>'Delivery Calculation'!C48+"AM:!&amp;aU"</f>
        <v>#VALUE!</v>
      </c>
      <c r="IR113" t="e">
        <f>'Delivery Calculation'!D48+"AM:!&amp;aV"</f>
        <v>#VALUE!</v>
      </c>
      <c r="IS113" t="e">
        <f>'Delivery Calculation'!E48+"AM:!&amp;aW"</f>
        <v>#VALUE!</v>
      </c>
      <c r="IT113" t="e">
        <f>'Delivery Calculation'!F48+"AM:!&amp;aX"</f>
        <v>#VALUE!</v>
      </c>
      <c r="IU113" t="e">
        <f>'Delivery Calculation'!G48+"AM:!&amp;aY"</f>
        <v>#VALUE!</v>
      </c>
      <c r="IV113" t="e">
        <f>'Delivery Calculation'!H48+"AM:!&amp;aZ"</f>
        <v>#VALUE!</v>
      </c>
    </row>
    <row r="114" spans="6:256">
      <c r="F114" t="e">
        <f>'Delivery Calculation'!I48+"AM:!&amp;a["</f>
        <v>#VALUE!</v>
      </c>
      <c r="G114" t="e">
        <f>'Delivery Calculation'!J48+"AM:!&amp;a\"</f>
        <v>#VALUE!</v>
      </c>
      <c r="H114" t="e">
        <f>'Delivery Calculation'!K48+"AM:!&amp;a]"</f>
        <v>#VALUE!</v>
      </c>
      <c r="I114" t="e">
        <f>'Delivery Calculation'!L48+"AM:!&amp;a^"</f>
        <v>#VALUE!</v>
      </c>
      <c r="J114" t="e">
        <f>'Delivery Calculation'!M48+"AM:!&amp;a_"</f>
        <v>#VALUE!</v>
      </c>
      <c r="K114" t="e">
        <f>'Delivery Calculation'!N48+"AM:!&amp;a`"</f>
        <v>#VALUE!</v>
      </c>
      <c r="L114" t="e">
        <f>'Delivery Calculation'!O48+"AM:!&amp;aa"</f>
        <v>#VALUE!</v>
      </c>
      <c r="M114" t="e">
        <f>'Delivery Calculation'!P48+"AM:!&amp;ab"</f>
        <v>#VALUE!</v>
      </c>
      <c r="N114" t="e">
        <f>'Delivery Calculation'!Q48+"AM:!&amp;ac"</f>
        <v>#VALUE!</v>
      </c>
      <c r="O114" t="e">
        <f>'Delivery Calculation'!R48+"AM:!&amp;ad"</f>
        <v>#VALUE!</v>
      </c>
      <c r="P114" t="e">
        <f>'Delivery Calculation'!S48+"AM:!&amp;ae"</f>
        <v>#VALUE!</v>
      </c>
      <c r="Q114" t="e">
        <f>'Delivery Calculation'!T48+"AM:!&amp;af"</f>
        <v>#VALUE!</v>
      </c>
      <c r="R114" t="e">
        <f>'Delivery Calculation'!U48+"AM:!&amp;ag"</f>
        <v>#VALUE!</v>
      </c>
      <c r="S114" t="e">
        <f>'Delivery Calculation'!V48+"AM:!&amp;ah"</f>
        <v>#VALUE!</v>
      </c>
      <c r="T114" t="e">
        <f>'Delivery Calculation'!W48+"AM:!&amp;ai"</f>
        <v>#VALUE!</v>
      </c>
      <c r="U114" t="e">
        <f>'Delivery Calculation'!X48+"AM:!&amp;aj"</f>
        <v>#VALUE!</v>
      </c>
      <c r="V114" t="e">
        <f>'Delivery Calculation'!Y48+"AM:!&amp;ak"</f>
        <v>#VALUE!</v>
      </c>
      <c r="W114" t="e">
        <f>'Delivery Calculation'!Z48+"AM:!&amp;al"</f>
        <v>#VALUE!</v>
      </c>
      <c r="X114" t="e">
        <f>'Delivery Calculation'!AA48+"AM:!&amp;am"</f>
        <v>#VALUE!</v>
      </c>
      <c r="Y114" t="e">
        <f>'Delivery Calculation'!AB48+"AM:!&amp;an"</f>
        <v>#VALUE!</v>
      </c>
      <c r="Z114" t="e">
        <f>'Delivery Calculation'!AC48+"AM:!&amp;ao"</f>
        <v>#VALUE!</v>
      </c>
      <c r="AA114" t="e">
        <f>'Delivery Calculation'!AD48+"AM:!&amp;ap"</f>
        <v>#VALUE!</v>
      </c>
      <c r="AB114" t="e">
        <f>'Delivery Calculation'!AE48+"AM:!&amp;aq"</f>
        <v>#VALUE!</v>
      </c>
      <c r="AC114" t="e">
        <f>'Delivery Calculation'!AF48+"AM:!&amp;ar"</f>
        <v>#VALUE!</v>
      </c>
      <c r="AD114" t="e">
        <f>'Delivery Calculation'!AG48+"AM:!&amp;as"</f>
        <v>#VALUE!</v>
      </c>
      <c r="AE114" t="e">
        <f>'Delivery Calculation'!AH48+"AM:!&amp;at"</f>
        <v>#VALUE!</v>
      </c>
      <c r="AF114" t="e">
        <f>'Delivery Calculation'!AI48+"AM:!&amp;au"</f>
        <v>#VALUE!</v>
      </c>
      <c r="AG114" t="e">
        <f>'Delivery Calculation'!AJ48+"AM:!&amp;av"</f>
        <v>#VALUE!</v>
      </c>
      <c r="AH114" t="e">
        <f>'Delivery Calculation'!AK48+"AM:!&amp;aw"</f>
        <v>#VALUE!</v>
      </c>
      <c r="AI114" t="e">
        <f>'Delivery Calculation'!AL48+"AM:!&amp;ax"</f>
        <v>#VALUE!</v>
      </c>
      <c r="AJ114" t="e">
        <f>'Delivery Calculation'!AM48+"AM:!&amp;ay"</f>
        <v>#VALUE!</v>
      </c>
      <c r="AK114" t="e">
        <f>'Delivery Calculation'!AN48+"AM:!&amp;az"</f>
        <v>#VALUE!</v>
      </c>
      <c r="AL114" t="e">
        <f>'Delivery Calculation'!AO48+"AM:!&amp;a{"</f>
        <v>#VALUE!</v>
      </c>
      <c r="AM114" t="e">
        <f>'Delivery Calculation'!AP48+"AM:!&amp;a|"</f>
        <v>#VALUE!</v>
      </c>
      <c r="AN114" t="e">
        <f>'Delivery Calculation'!AQ48+"AM:!&amp;a}"</f>
        <v>#VALUE!</v>
      </c>
      <c r="AO114" t="e">
        <f>'Delivery Calculation'!AR48+"AM:!&amp;a~"</f>
        <v>#VALUE!</v>
      </c>
      <c r="AP114" t="e">
        <f>'Delivery Calculation'!AS48+"AM:!&amp;b#"</f>
        <v>#VALUE!</v>
      </c>
      <c r="AQ114" t="e">
        <f>'Delivery Calculation'!AT48+"AM:!&amp;b$"</f>
        <v>#VALUE!</v>
      </c>
      <c r="AR114" t="e">
        <f>'Delivery Calculation'!AU48+"AM:!&amp;b%"</f>
        <v>#VALUE!</v>
      </c>
      <c r="AS114" t="e">
        <f>'Delivery Calculation'!AV48+"AM:!&amp;b&amp;"</f>
        <v>#VALUE!</v>
      </c>
      <c r="AT114" t="e">
        <f>'Delivery Calculation'!AW48+"AM:!&amp;b'"</f>
        <v>#VALUE!</v>
      </c>
      <c r="AU114" t="e">
        <f>'Delivery Calculation'!AX48+"AM:!&amp;b("</f>
        <v>#VALUE!</v>
      </c>
      <c r="AV114" t="e">
        <f>'Delivery Calculation'!AY48+"AM:!&amp;b)"</f>
        <v>#VALUE!</v>
      </c>
      <c r="AW114" t="e">
        <f>'Delivery Calculation'!AZ48+"AM:!&amp;b."</f>
        <v>#VALUE!</v>
      </c>
      <c r="AX114" t="e">
        <f>'Delivery Calculation'!A49+"AM:!&amp;b/"</f>
        <v>#VALUE!</v>
      </c>
      <c r="AY114" t="e">
        <f>'Delivery Calculation'!B49+"AM:!&amp;b0"</f>
        <v>#VALUE!</v>
      </c>
      <c r="AZ114" t="e">
        <f>'Delivery Calculation'!C49+"AM:!&amp;b1"</f>
        <v>#VALUE!</v>
      </c>
      <c r="BA114" t="e">
        <f>'Delivery Calculation'!D49+"AM:!&amp;b2"</f>
        <v>#VALUE!</v>
      </c>
      <c r="BB114" t="e">
        <f>'Delivery Calculation'!E49+"AM:!&amp;b3"</f>
        <v>#VALUE!</v>
      </c>
      <c r="BC114" t="e">
        <f>'Delivery Calculation'!F49+"AM:!&amp;b4"</f>
        <v>#VALUE!</v>
      </c>
      <c r="BD114" t="e">
        <f>'Delivery Calculation'!G49+"AM:!&amp;b5"</f>
        <v>#VALUE!</v>
      </c>
      <c r="BE114" t="e">
        <f>'Delivery Calculation'!H49+"AM:!&amp;b6"</f>
        <v>#VALUE!</v>
      </c>
      <c r="BF114" t="e">
        <f>'Delivery Calculation'!I49+"AM:!&amp;b7"</f>
        <v>#VALUE!</v>
      </c>
      <c r="BG114" t="e">
        <f>'Delivery Calculation'!J49+"AM:!&amp;b8"</f>
        <v>#VALUE!</v>
      </c>
      <c r="BH114" t="e">
        <f>'Delivery Calculation'!K49+"AM:!&amp;b9"</f>
        <v>#VALUE!</v>
      </c>
      <c r="BI114" t="e">
        <f>'Delivery Calculation'!L49+"AM:!&amp;b:"</f>
        <v>#VALUE!</v>
      </c>
      <c r="BJ114" t="e">
        <f>'Delivery Calculation'!M49+"AM:!&amp;b;"</f>
        <v>#VALUE!</v>
      </c>
      <c r="BK114" t="e">
        <f>'Delivery Calculation'!N49+"AM:!&amp;b&lt;"</f>
        <v>#VALUE!</v>
      </c>
      <c r="BL114" t="e">
        <f>'Delivery Calculation'!O49+"AM:!&amp;b="</f>
        <v>#VALUE!</v>
      </c>
      <c r="BM114" t="e">
        <f>'Delivery Calculation'!P49+"AM:!&amp;b&gt;"</f>
        <v>#VALUE!</v>
      </c>
      <c r="BN114" t="e">
        <f>'Delivery Calculation'!Q49+"AM:!&amp;b?"</f>
        <v>#VALUE!</v>
      </c>
      <c r="BO114" t="e">
        <f>'Delivery Calculation'!R49+"AM:!&amp;b@"</f>
        <v>#VALUE!</v>
      </c>
      <c r="BP114" t="e">
        <f>'Delivery Calculation'!S49+"AM:!&amp;bA"</f>
        <v>#VALUE!</v>
      </c>
      <c r="BQ114" t="e">
        <f>'Delivery Calculation'!T49+"AM:!&amp;bB"</f>
        <v>#VALUE!</v>
      </c>
      <c r="BR114" t="e">
        <f>'Delivery Calculation'!U49+"AM:!&amp;bC"</f>
        <v>#VALUE!</v>
      </c>
      <c r="BS114" t="e">
        <f>'Delivery Calculation'!V49+"AM:!&amp;bD"</f>
        <v>#VALUE!</v>
      </c>
      <c r="BT114" t="e">
        <f>'Delivery Calculation'!W49+"AM:!&amp;bE"</f>
        <v>#VALUE!</v>
      </c>
      <c r="BU114" t="e">
        <f>'Delivery Calculation'!X49+"AM:!&amp;bF"</f>
        <v>#VALUE!</v>
      </c>
      <c r="BV114" t="e">
        <f>'Delivery Calculation'!Y49+"AM:!&amp;bG"</f>
        <v>#VALUE!</v>
      </c>
      <c r="BW114" t="e">
        <f>'Delivery Calculation'!Z49+"AM:!&amp;bH"</f>
        <v>#VALUE!</v>
      </c>
      <c r="BX114" t="e">
        <f>'Delivery Calculation'!AA49+"AM:!&amp;bI"</f>
        <v>#VALUE!</v>
      </c>
      <c r="BY114" t="e">
        <f>'Delivery Calculation'!AB49+"AM:!&amp;bJ"</f>
        <v>#VALUE!</v>
      </c>
      <c r="BZ114" t="e">
        <f>'Delivery Calculation'!AC49+"AM:!&amp;bK"</f>
        <v>#VALUE!</v>
      </c>
      <c r="CA114" t="e">
        <f>'Delivery Calculation'!AD49+"AM:!&amp;bL"</f>
        <v>#VALUE!</v>
      </c>
      <c r="CB114" t="e">
        <f>'Delivery Calculation'!AE49+"AM:!&amp;bM"</f>
        <v>#VALUE!</v>
      </c>
      <c r="CC114" t="e">
        <f>'Delivery Calculation'!AF49+"AM:!&amp;bN"</f>
        <v>#VALUE!</v>
      </c>
      <c r="CD114" t="e">
        <f>'Delivery Calculation'!AG49+"AM:!&amp;bO"</f>
        <v>#VALUE!</v>
      </c>
      <c r="CE114" t="e">
        <f>'Delivery Calculation'!AH49+"AM:!&amp;bP"</f>
        <v>#VALUE!</v>
      </c>
      <c r="CF114" t="e">
        <f>'Delivery Calculation'!AI49+"AM:!&amp;bQ"</f>
        <v>#VALUE!</v>
      </c>
      <c r="CG114" t="e">
        <f>'Delivery Calculation'!AJ49+"AM:!&amp;bR"</f>
        <v>#VALUE!</v>
      </c>
      <c r="CH114" t="e">
        <f>'Delivery Calculation'!AK49+"AM:!&amp;bS"</f>
        <v>#VALUE!</v>
      </c>
      <c r="CI114" t="e">
        <f>'Delivery Calculation'!AL49+"AM:!&amp;bT"</f>
        <v>#VALUE!</v>
      </c>
      <c r="CJ114" t="e">
        <f>'Delivery Calculation'!AM49+"AM:!&amp;bU"</f>
        <v>#VALUE!</v>
      </c>
      <c r="CK114" t="e">
        <f>'Delivery Calculation'!AN49+"AM:!&amp;bV"</f>
        <v>#VALUE!</v>
      </c>
      <c r="CL114" t="e">
        <f>'Delivery Calculation'!AO49+"AM:!&amp;bW"</f>
        <v>#VALUE!</v>
      </c>
      <c r="CM114" t="e">
        <f>'Delivery Calculation'!AP49+"AM:!&amp;bX"</f>
        <v>#VALUE!</v>
      </c>
      <c r="CN114" t="e">
        <f>'Delivery Calculation'!AQ49+"AM:!&amp;bY"</f>
        <v>#VALUE!</v>
      </c>
      <c r="CO114" t="e">
        <f>'Delivery Calculation'!AR49+"AM:!&amp;bZ"</f>
        <v>#VALUE!</v>
      </c>
      <c r="CP114" t="e">
        <f>'Delivery Calculation'!AS49+"AM:!&amp;b["</f>
        <v>#VALUE!</v>
      </c>
      <c r="CQ114" t="e">
        <f>'Delivery Calculation'!AT49+"AM:!&amp;b\"</f>
        <v>#VALUE!</v>
      </c>
      <c r="CR114" t="e">
        <f>'Delivery Calculation'!AU49+"AM:!&amp;b]"</f>
        <v>#VALUE!</v>
      </c>
      <c r="CS114" t="e">
        <f>'Delivery Calculation'!AV49+"AM:!&amp;b^"</f>
        <v>#VALUE!</v>
      </c>
      <c r="CT114" t="e">
        <f>'Delivery Calculation'!AW49+"AM:!&amp;b_"</f>
        <v>#VALUE!</v>
      </c>
      <c r="CU114" t="e">
        <f>'Delivery Calculation'!AX49+"AM:!&amp;b`"</f>
        <v>#VALUE!</v>
      </c>
      <c r="CV114" t="e">
        <f>'Delivery Calculation'!AY49+"AM:!&amp;ba"</f>
        <v>#VALUE!</v>
      </c>
      <c r="CW114" t="e">
        <f>'Delivery Calculation'!AZ49+"AM:!&amp;bb"</f>
        <v>#VALUE!</v>
      </c>
      <c r="CX114" t="e">
        <f>'Delivery Calculation'!A50+"AM:!&amp;bc"</f>
        <v>#VALUE!</v>
      </c>
      <c r="CY114" t="e">
        <f>'Delivery Calculation'!B50+"AM:!&amp;bd"</f>
        <v>#VALUE!</v>
      </c>
      <c r="CZ114" t="e">
        <f>'Delivery Calculation'!C50+"AM:!&amp;be"</f>
        <v>#VALUE!</v>
      </c>
      <c r="DA114" t="e">
        <f>'Delivery Calculation'!D50+"AM:!&amp;bf"</f>
        <v>#VALUE!</v>
      </c>
      <c r="DB114" t="e">
        <f>'Delivery Calculation'!E50+"AM:!&amp;bg"</f>
        <v>#VALUE!</v>
      </c>
      <c r="DC114" t="e">
        <f>'Delivery Calculation'!F50+"AM:!&amp;bh"</f>
        <v>#VALUE!</v>
      </c>
      <c r="DD114" t="e">
        <f>'Delivery Calculation'!G50+"AM:!&amp;bi"</f>
        <v>#VALUE!</v>
      </c>
      <c r="DE114" s="97" t="e">
        <f>'Delivery Calculation'!H50+"AM:!&amp;bj"</f>
        <v>#VALUE!</v>
      </c>
      <c r="DF114" s="97" t="e">
        <f>'Delivery Calculation'!I50+"AM:!&amp;bk"</f>
        <v>#VALUE!</v>
      </c>
      <c r="DG114" s="97" t="e">
        <f>'Delivery Calculation'!J50+"AM:!&amp;bl"</f>
        <v>#VALUE!</v>
      </c>
      <c r="DH114" t="e">
        <f>'Delivery Calculation'!K50+"AM:!&amp;bm"</f>
        <v>#VALUE!</v>
      </c>
      <c r="DI114" t="e">
        <f>'Delivery Calculation'!L50+"AM:!&amp;bn"</f>
        <v>#VALUE!</v>
      </c>
      <c r="DJ114" t="e">
        <f>'Delivery Calculation'!M50+"AM:!&amp;bo"</f>
        <v>#VALUE!</v>
      </c>
      <c r="DK114" t="e">
        <f>'Delivery Calculation'!N50+"AM:!&amp;bp"</f>
        <v>#VALUE!</v>
      </c>
      <c r="DL114" t="e">
        <f>'Delivery Calculation'!O50+"AM:!&amp;bq"</f>
        <v>#VALUE!</v>
      </c>
      <c r="DM114" t="e">
        <f>'Delivery Calculation'!P50+"AM:!&amp;br"</f>
        <v>#VALUE!</v>
      </c>
      <c r="DN114" t="e">
        <f>'Delivery Calculation'!Q50+"AM:!&amp;bs"</f>
        <v>#VALUE!</v>
      </c>
      <c r="DO114" t="e">
        <f>'Delivery Calculation'!R50+"AM:!&amp;bt"</f>
        <v>#VALUE!</v>
      </c>
      <c r="DP114" t="e">
        <f>'Delivery Calculation'!S50+"AM:!&amp;bu"</f>
        <v>#VALUE!</v>
      </c>
      <c r="DQ114" t="e">
        <f>'Delivery Calculation'!T50+"AM:!&amp;bv"</f>
        <v>#VALUE!</v>
      </c>
      <c r="DR114" t="e">
        <f>'Delivery Calculation'!U50+"AM:!&amp;bw"</f>
        <v>#VALUE!</v>
      </c>
      <c r="DS114" t="e">
        <f>'Delivery Calculation'!V50+"AM:!&amp;bx"</f>
        <v>#VALUE!</v>
      </c>
      <c r="DT114" t="e">
        <f>'Delivery Calculation'!W50+"AM:!&amp;by"</f>
        <v>#VALUE!</v>
      </c>
      <c r="DU114" t="e">
        <f>'Delivery Calculation'!X50+"AM:!&amp;bz"</f>
        <v>#VALUE!</v>
      </c>
      <c r="DV114" t="e">
        <f>'Delivery Calculation'!Y50+"AM:!&amp;b{"</f>
        <v>#VALUE!</v>
      </c>
      <c r="DW114" t="e">
        <f>'Delivery Calculation'!Z50+"AM:!&amp;b|"</f>
        <v>#VALUE!</v>
      </c>
      <c r="DX114" t="e">
        <f>'Delivery Calculation'!AA50+"AM:!&amp;b}"</f>
        <v>#VALUE!</v>
      </c>
      <c r="DY114" t="e">
        <f>'Delivery Calculation'!AB50+"AM:!&amp;b~"</f>
        <v>#VALUE!</v>
      </c>
      <c r="DZ114" t="e">
        <f>'Delivery Calculation'!AC50+"AM:!&amp;c#"</f>
        <v>#VALUE!</v>
      </c>
      <c r="EA114" t="e">
        <f>'Delivery Calculation'!AD50+"AM:!&amp;c$"</f>
        <v>#VALUE!</v>
      </c>
      <c r="EB114" t="e">
        <f>'Delivery Calculation'!AE50+"AM:!&amp;c%"</f>
        <v>#VALUE!</v>
      </c>
      <c r="EC114" t="e">
        <f>'Delivery Calculation'!AF50+"AM:!&amp;c&amp;"</f>
        <v>#VALUE!</v>
      </c>
      <c r="ED114" t="e">
        <f>'Delivery Calculation'!AG50+"AM:!&amp;c'"</f>
        <v>#VALUE!</v>
      </c>
      <c r="EE114" t="e">
        <f>'Delivery Calculation'!AH50+"AM:!&amp;c("</f>
        <v>#VALUE!</v>
      </c>
      <c r="EF114" t="e">
        <f>'Delivery Calculation'!AI50+"AM:!&amp;c)"</f>
        <v>#VALUE!</v>
      </c>
      <c r="EG114" t="e">
        <f>'Delivery Calculation'!AJ50+"AM:!&amp;c."</f>
        <v>#VALUE!</v>
      </c>
      <c r="EH114" t="e">
        <f>'Delivery Calculation'!AK50+"AM:!&amp;c/"</f>
        <v>#VALUE!</v>
      </c>
      <c r="EI114" t="e">
        <f>'Delivery Calculation'!AL50+"AM:!&amp;c0"</f>
        <v>#VALUE!</v>
      </c>
      <c r="EJ114" t="e">
        <f>'Delivery Calculation'!AM50+"AM:!&amp;c1"</f>
        <v>#VALUE!</v>
      </c>
      <c r="EK114" t="e">
        <f>'Delivery Calculation'!AN50+"AM:!&amp;c2"</f>
        <v>#VALUE!</v>
      </c>
      <c r="EL114" t="e">
        <f>'Delivery Calculation'!AO50+"AM:!&amp;c3"</f>
        <v>#VALUE!</v>
      </c>
      <c r="EM114" t="e">
        <f>'Delivery Calculation'!AP50+"AM:!&amp;c4"</f>
        <v>#VALUE!</v>
      </c>
      <c r="EN114" t="e">
        <f>'Delivery Calculation'!AQ50+"AM:!&amp;c5"</f>
        <v>#VALUE!</v>
      </c>
      <c r="EO114" t="e">
        <f>'Delivery Calculation'!AR50+"AM:!&amp;c6"</f>
        <v>#VALUE!</v>
      </c>
      <c r="EP114" t="e">
        <f>'Delivery Calculation'!AS50+"AM:!&amp;c7"</f>
        <v>#VALUE!</v>
      </c>
      <c r="EQ114" t="e">
        <f>'Delivery Calculation'!AT50+"AM:!&amp;c8"</f>
        <v>#VALUE!</v>
      </c>
      <c r="ER114" t="e">
        <f>'Delivery Calculation'!AU50+"AM:!&amp;c9"</f>
        <v>#VALUE!</v>
      </c>
      <c r="ES114" t="e">
        <f>'Delivery Calculation'!AV50+"AM:!&amp;c:"</f>
        <v>#VALUE!</v>
      </c>
      <c r="ET114" t="e">
        <f>'Delivery Calculation'!AW50+"AM:!&amp;c;"</f>
        <v>#VALUE!</v>
      </c>
      <c r="EU114" t="e">
        <f>'Delivery Calculation'!AX50+"AM:!&amp;c&lt;"</f>
        <v>#VALUE!</v>
      </c>
      <c r="EV114" t="e">
        <f>'Delivery Calculation'!AY50+"AM:!&amp;c="</f>
        <v>#VALUE!</v>
      </c>
      <c r="EW114" t="e">
        <f>'Delivery Calculation'!AZ50+"AM:!&amp;c&gt;"</f>
        <v>#VALUE!</v>
      </c>
      <c r="EX114" t="e">
        <f>'Delivery Calculation'!A51+"AM:!&amp;c?"</f>
        <v>#VALUE!</v>
      </c>
      <c r="EY114" t="e">
        <f>'Delivery Calculation'!B51+"AM:!&amp;c@"</f>
        <v>#VALUE!</v>
      </c>
      <c r="EZ114" t="e">
        <f>'Delivery Calculation'!C51+"AM:!&amp;cA"</f>
        <v>#VALUE!</v>
      </c>
      <c r="FA114" t="e">
        <f>'Delivery Calculation'!D51+"AM:!&amp;cB"</f>
        <v>#VALUE!</v>
      </c>
      <c r="FB114" t="e">
        <f>'Delivery Calculation'!E51+"AM:!&amp;cC"</f>
        <v>#VALUE!</v>
      </c>
      <c r="FC114" s="98" t="e">
        <f>'Delivery Calculation'!F51+"AM:!&amp;cD"</f>
        <v>#VALUE!</v>
      </c>
      <c r="FD114" s="98" t="e">
        <f>'Delivery Calculation'!G51+"AM:!&amp;cE"</f>
        <v>#VALUE!</v>
      </c>
      <c r="FE114" s="97" t="e">
        <f>'Delivery Calculation'!H51+"AM:!&amp;cF"</f>
        <v>#VALUE!</v>
      </c>
      <c r="FF114" s="97" t="e">
        <f>'Delivery Calculation'!I51+"AM:!&amp;cG"</f>
        <v>#VALUE!</v>
      </c>
      <c r="FG114" s="103" t="e">
        <f>'Delivery Calculation'!J51+"AM:!&amp;cH"</f>
        <v>#VALUE!</v>
      </c>
      <c r="FH114" s="98" t="e">
        <f>'Delivery Calculation'!K51+"AM:!&amp;cI"</f>
        <v>#VALUE!</v>
      </c>
      <c r="FI114" s="98" t="e">
        <f>'Delivery Calculation'!L51+"AM:!&amp;cJ"</f>
        <v>#VALUE!</v>
      </c>
      <c r="FJ114" s="99" t="e">
        <f>'Delivery Calculation'!M51+"AM:!&amp;cK"</f>
        <v>#VALUE!</v>
      </c>
      <c r="FK114" s="99" t="e">
        <f>'Delivery Calculation'!N51+"AM:!&amp;cL"</f>
        <v>#VALUE!</v>
      </c>
      <c r="FL114" s="99" t="e">
        <f>'Delivery Calculation'!O51+"AM:!&amp;cM"</f>
        <v>#VALUE!</v>
      </c>
      <c r="FM114" s="99" t="e">
        <f>'Delivery Calculation'!P51+"AM:!&amp;cN"</f>
        <v>#VALUE!</v>
      </c>
      <c r="FN114" s="99" t="e">
        <f>'Delivery Calculation'!Q51+"AM:!&amp;cO"</f>
        <v>#VALUE!</v>
      </c>
      <c r="FO114" s="99" t="e">
        <f>'Delivery Calculation'!R51+"AM:!&amp;cP"</f>
        <v>#VALUE!</v>
      </c>
      <c r="FP114" s="99" t="e">
        <f>'Delivery Calculation'!S51+"AM:!&amp;cQ"</f>
        <v>#VALUE!</v>
      </c>
      <c r="FQ114" s="99" t="e">
        <f>'Delivery Calculation'!T51+"AM:!&amp;cR"</f>
        <v>#VALUE!</v>
      </c>
      <c r="FR114" s="99" t="e">
        <f>'Delivery Calculation'!U51+"AM:!&amp;cS"</f>
        <v>#VALUE!</v>
      </c>
      <c r="FS114" s="99" t="e">
        <f>'Delivery Calculation'!V51+"AM:!&amp;cT"</f>
        <v>#VALUE!</v>
      </c>
      <c r="FT114" s="99" t="e">
        <f>'Delivery Calculation'!W51+"AM:!&amp;cU"</f>
        <v>#VALUE!</v>
      </c>
      <c r="FU114" s="99" t="e">
        <f>'Delivery Calculation'!X51+"AM:!&amp;cV"</f>
        <v>#VALUE!</v>
      </c>
      <c r="FV114" s="99" t="e">
        <f>'Delivery Calculation'!Y51+"AM:!&amp;cW"</f>
        <v>#VALUE!</v>
      </c>
      <c r="FW114" s="99" t="e">
        <f>'Delivery Calculation'!Z51+"AM:!&amp;cX"</f>
        <v>#VALUE!</v>
      </c>
      <c r="FX114" s="99" t="e">
        <f>'Delivery Calculation'!AA51+"AM:!&amp;cY"</f>
        <v>#VALUE!</v>
      </c>
      <c r="FY114" s="99" t="e">
        <f>'Delivery Calculation'!AB51+"AM:!&amp;cZ"</f>
        <v>#VALUE!</v>
      </c>
      <c r="FZ114" s="99" t="e">
        <f>'Delivery Calculation'!AC51+"AM:!&amp;c["</f>
        <v>#VALUE!</v>
      </c>
      <c r="GA114" s="99" t="e">
        <f>'Delivery Calculation'!AD51+"AM:!&amp;c\"</f>
        <v>#VALUE!</v>
      </c>
      <c r="GB114" s="99" t="e">
        <f>'Delivery Calculation'!AE51+"AM:!&amp;c]"</f>
        <v>#VALUE!</v>
      </c>
      <c r="GC114" s="99" t="e">
        <f>'Delivery Calculation'!AF51+"AM:!&amp;c^"</f>
        <v>#VALUE!</v>
      </c>
      <c r="GD114" s="99" t="e">
        <f>'Delivery Calculation'!AG51+"AM:!&amp;c_"</f>
        <v>#VALUE!</v>
      </c>
      <c r="GE114" s="99" t="e">
        <f>'Delivery Calculation'!AH51+"AM:!&amp;c`"</f>
        <v>#VALUE!</v>
      </c>
      <c r="GF114" s="99" t="e">
        <f>'Delivery Calculation'!AI51+"AM:!&amp;ca"</f>
        <v>#VALUE!</v>
      </c>
      <c r="GG114" s="99" t="e">
        <f>'Delivery Calculation'!AJ51+"AM:!&amp;cb"</f>
        <v>#VALUE!</v>
      </c>
      <c r="GH114" s="99" t="e">
        <f>'Delivery Calculation'!AK51+"AM:!&amp;cc"</f>
        <v>#VALUE!</v>
      </c>
      <c r="GI114" s="99" t="e">
        <f>'Delivery Calculation'!AL51+"AM:!&amp;cd"</f>
        <v>#VALUE!</v>
      </c>
      <c r="GJ114" s="99" t="e">
        <f>'Delivery Calculation'!AM51+"AM:!&amp;ce"</f>
        <v>#VALUE!</v>
      </c>
      <c r="GK114" s="99" t="e">
        <f>'Delivery Calculation'!AN51+"AM:!&amp;cf"</f>
        <v>#VALUE!</v>
      </c>
      <c r="GL114" s="99" t="e">
        <f>'Delivery Calculation'!AO51+"AM:!&amp;cg"</f>
        <v>#VALUE!</v>
      </c>
      <c r="GM114" s="99" t="e">
        <f>'Delivery Calculation'!AP51+"AM:!&amp;ch"</f>
        <v>#VALUE!</v>
      </c>
      <c r="GN114" s="99" t="e">
        <f>'Delivery Calculation'!AQ51+"AM:!&amp;ci"</f>
        <v>#VALUE!</v>
      </c>
      <c r="GO114" s="99" t="e">
        <f>'Delivery Calculation'!AR51+"AM:!&amp;cj"</f>
        <v>#VALUE!</v>
      </c>
      <c r="GP114" s="99" t="e">
        <f>'Delivery Calculation'!AS51+"AM:!&amp;ck"</f>
        <v>#VALUE!</v>
      </c>
      <c r="GQ114" s="99" t="e">
        <f>'Delivery Calculation'!AT51+"AM:!&amp;cl"</f>
        <v>#VALUE!</v>
      </c>
      <c r="GR114" s="99" t="e">
        <f>'Delivery Calculation'!AU51+"AM:!&amp;cm"</f>
        <v>#VALUE!</v>
      </c>
      <c r="GS114" s="99" t="e">
        <f>'Delivery Calculation'!AV51+"AM:!&amp;cn"</f>
        <v>#VALUE!</v>
      </c>
      <c r="GT114" s="99" t="e">
        <f>'Delivery Calculation'!AW51+"AM:!&amp;co"</f>
        <v>#VALUE!</v>
      </c>
      <c r="GU114" s="99" t="e">
        <f>'Delivery Calculation'!AX51+"AM:!&amp;cp"</f>
        <v>#VALUE!</v>
      </c>
      <c r="GV114" t="e">
        <f>'Delivery Calculation'!AY51+"AM:!&amp;cq"</f>
        <v>#VALUE!</v>
      </c>
      <c r="GW114" t="e">
        <f>'Delivery Calculation'!AZ51+"AM:!&amp;cr"</f>
        <v>#VALUE!</v>
      </c>
      <c r="GX114" t="e">
        <f>'Delivery Calculation'!A52+"AM:!&amp;cs"</f>
        <v>#VALUE!</v>
      </c>
      <c r="GY114" t="e">
        <f>'Delivery Calculation'!B52+"AM:!&amp;ct"</f>
        <v>#VALUE!</v>
      </c>
      <c r="GZ114" t="e">
        <f>'Delivery Calculation'!C52+"AM:!&amp;cu"</f>
        <v>#VALUE!</v>
      </c>
      <c r="HA114" t="e">
        <f>'Delivery Calculation'!D52+"AM:!&amp;cv"</f>
        <v>#VALUE!</v>
      </c>
      <c r="HB114" t="e">
        <f>'Delivery Calculation'!E52+"AM:!&amp;cw"</f>
        <v>#VALUE!</v>
      </c>
      <c r="HC114" s="98" t="e">
        <f>'Delivery Calculation'!F52+"AM:!&amp;cx"</f>
        <v>#VALUE!</v>
      </c>
      <c r="HD114" s="98" t="e">
        <f>'Delivery Calculation'!G52+"AM:!&amp;cy"</f>
        <v>#VALUE!</v>
      </c>
      <c r="HE114" s="97" t="e">
        <f>'Delivery Calculation'!H52+"AM:!&amp;cz"</f>
        <v>#VALUE!</v>
      </c>
      <c r="HF114" s="97" t="e">
        <f>'Delivery Calculation'!I52+"AM:!&amp;c{"</f>
        <v>#VALUE!</v>
      </c>
      <c r="HG114" s="103" t="e">
        <f>'Delivery Calculation'!J52+"AM:!&amp;c|"</f>
        <v>#VALUE!</v>
      </c>
      <c r="HH114" s="98" t="e">
        <f>'Delivery Calculation'!K52+"AM:!&amp;c}"</f>
        <v>#VALUE!</v>
      </c>
      <c r="HI114" s="98" t="e">
        <f>'Delivery Calculation'!L52+"AM:!&amp;c~"</f>
        <v>#VALUE!</v>
      </c>
      <c r="HJ114" s="99" t="e">
        <f>'Delivery Calculation'!M52+"AM:!&amp;d#"</f>
        <v>#VALUE!</v>
      </c>
      <c r="HK114" s="99" t="e">
        <f>'Delivery Calculation'!N52+"AM:!&amp;d$"</f>
        <v>#VALUE!</v>
      </c>
      <c r="HL114" s="99" t="e">
        <f>'Delivery Calculation'!O52+"AM:!&amp;d%"</f>
        <v>#VALUE!</v>
      </c>
      <c r="HM114" s="99" t="e">
        <f>'Delivery Calculation'!P52+"AM:!&amp;d&amp;"</f>
        <v>#VALUE!</v>
      </c>
      <c r="HN114" s="99" t="e">
        <f>'Delivery Calculation'!Q52+"AM:!&amp;d'"</f>
        <v>#VALUE!</v>
      </c>
      <c r="HO114" s="99" t="e">
        <f>'Delivery Calculation'!R52+"AM:!&amp;d("</f>
        <v>#VALUE!</v>
      </c>
      <c r="HP114" s="99" t="e">
        <f>'Delivery Calculation'!S52+"AM:!&amp;d)"</f>
        <v>#VALUE!</v>
      </c>
      <c r="HQ114" s="99" t="e">
        <f>'Delivery Calculation'!T52+"AM:!&amp;d."</f>
        <v>#VALUE!</v>
      </c>
      <c r="HR114" s="99" t="e">
        <f>'Delivery Calculation'!U52+"AM:!&amp;d/"</f>
        <v>#VALUE!</v>
      </c>
      <c r="HS114" s="99" t="e">
        <f>'Delivery Calculation'!V52+"AM:!&amp;d0"</f>
        <v>#VALUE!</v>
      </c>
      <c r="HT114" s="99" t="e">
        <f>'Delivery Calculation'!W52+"AM:!&amp;d1"</f>
        <v>#VALUE!</v>
      </c>
      <c r="HU114" s="99" t="e">
        <f>'Delivery Calculation'!X52+"AM:!&amp;d2"</f>
        <v>#VALUE!</v>
      </c>
      <c r="HV114" s="99" t="e">
        <f>'Delivery Calculation'!Y52+"AM:!&amp;d3"</f>
        <v>#VALUE!</v>
      </c>
      <c r="HW114" s="99" t="e">
        <f>'Delivery Calculation'!Z52+"AM:!&amp;d4"</f>
        <v>#VALUE!</v>
      </c>
      <c r="HX114" s="99" t="e">
        <f>'Delivery Calculation'!AA52+"AM:!&amp;d5"</f>
        <v>#VALUE!</v>
      </c>
      <c r="HY114" s="99" t="e">
        <f>'Delivery Calculation'!AB52+"AM:!&amp;d6"</f>
        <v>#VALUE!</v>
      </c>
      <c r="HZ114" s="99" t="e">
        <f>'Delivery Calculation'!AC52+"AM:!&amp;d7"</f>
        <v>#VALUE!</v>
      </c>
      <c r="IA114" s="99" t="e">
        <f>'Delivery Calculation'!AD52+"AM:!&amp;d8"</f>
        <v>#VALUE!</v>
      </c>
      <c r="IB114" s="99" t="e">
        <f>'Delivery Calculation'!AE52+"AM:!&amp;d9"</f>
        <v>#VALUE!</v>
      </c>
      <c r="IC114" s="99" t="e">
        <f>'Delivery Calculation'!AF52+"AM:!&amp;d:"</f>
        <v>#VALUE!</v>
      </c>
      <c r="ID114" s="99" t="e">
        <f>'Delivery Calculation'!AG52+"AM:!&amp;d;"</f>
        <v>#VALUE!</v>
      </c>
      <c r="IE114" s="99" t="e">
        <f>'Delivery Calculation'!AH52+"AM:!&amp;d&lt;"</f>
        <v>#VALUE!</v>
      </c>
      <c r="IF114" s="99" t="e">
        <f>'Delivery Calculation'!AI52+"AM:!&amp;d="</f>
        <v>#VALUE!</v>
      </c>
      <c r="IG114" s="99" t="e">
        <f>'Delivery Calculation'!AJ52+"AM:!&amp;d&gt;"</f>
        <v>#VALUE!</v>
      </c>
      <c r="IH114" s="99" t="e">
        <f>'Delivery Calculation'!AK52+"AM:!&amp;d?"</f>
        <v>#VALUE!</v>
      </c>
      <c r="II114" s="99" t="e">
        <f>'Delivery Calculation'!AL52+"AM:!&amp;d@"</f>
        <v>#VALUE!</v>
      </c>
      <c r="IJ114" s="99" t="e">
        <f>'Delivery Calculation'!AM52+"AM:!&amp;dA"</f>
        <v>#VALUE!</v>
      </c>
      <c r="IK114" s="99" t="e">
        <f>'Delivery Calculation'!AN52+"AM:!&amp;dB"</f>
        <v>#VALUE!</v>
      </c>
      <c r="IL114" s="99" t="e">
        <f>'Delivery Calculation'!AO52+"AM:!&amp;dC"</f>
        <v>#VALUE!</v>
      </c>
      <c r="IM114" s="99" t="e">
        <f>'Delivery Calculation'!AP52+"AM:!&amp;dD"</f>
        <v>#VALUE!</v>
      </c>
      <c r="IN114" s="99" t="e">
        <f>'Delivery Calculation'!AQ52+"AM:!&amp;dE"</f>
        <v>#VALUE!</v>
      </c>
      <c r="IO114" s="99" t="e">
        <f>'Delivery Calculation'!AR52+"AM:!&amp;dF"</f>
        <v>#VALUE!</v>
      </c>
      <c r="IP114" s="99" t="e">
        <f>'Delivery Calculation'!AS52+"AM:!&amp;dG"</f>
        <v>#VALUE!</v>
      </c>
      <c r="IQ114" s="99" t="e">
        <f>'Delivery Calculation'!AT52+"AM:!&amp;dH"</f>
        <v>#VALUE!</v>
      </c>
      <c r="IR114" s="99" t="e">
        <f>'Delivery Calculation'!AU52+"AM:!&amp;dI"</f>
        <v>#VALUE!</v>
      </c>
      <c r="IS114" s="99" t="e">
        <f>'Delivery Calculation'!AV52+"AM:!&amp;dJ"</f>
        <v>#VALUE!</v>
      </c>
      <c r="IT114" s="99" t="e">
        <f>'Delivery Calculation'!AW52+"AM:!&amp;dK"</f>
        <v>#VALUE!</v>
      </c>
      <c r="IU114" s="99" t="e">
        <f>'Delivery Calculation'!AX52+"AM:!&amp;dL"</f>
        <v>#VALUE!</v>
      </c>
      <c r="IV114" t="e">
        <f>'Delivery Calculation'!AY52+"AM:!&amp;dM"</f>
        <v>#VALUE!</v>
      </c>
    </row>
    <row r="115" spans="6:256">
      <c r="F115" t="e">
        <f>'Delivery Calculation'!AZ52+"AM:!&amp;dN"</f>
        <v>#VALUE!</v>
      </c>
      <c r="G115" t="e">
        <f>'Delivery Calculation'!A53+"AM:!&amp;dO"</f>
        <v>#VALUE!</v>
      </c>
      <c r="H115" t="e">
        <f>'Delivery Calculation'!B53+"AM:!&amp;dP"</f>
        <v>#VALUE!</v>
      </c>
      <c r="I115" t="e">
        <f>'Delivery Calculation'!C53+"AM:!&amp;dQ"</f>
        <v>#VALUE!</v>
      </c>
      <c r="J115" t="e">
        <f>'Delivery Calculation'!D53+"AM:!&amp;dR"</f>
        <v>#VALUE!</v>
      </c>
      <c r="K115" t="e">
        <f>'Delivery Calculation'!E53+"AM:!&amp;dS"</f>
        <v>#VALUE!</v>
      </c>
      <c r="L115" s="98" t="e">
        <f>'Delivery Calculation'!F53+"AM:!&amp;dT"</f>
        <v>#VALUE!</v>
      </c>
      <c r="M115" s="98" t="e">
        <f>'Delivery Calculation'!G53+"AM:!&amp;dU"</f>
        <v>#VALUE!</v>
      </c>
      <c r="N115" s="97" t="e">
        <f>'Delivery Calculation'!H53+"AM:!&amp;dV"</f>
        <v>#VALUE!</v>
      </c>
      <c r="O115" s="97" t="e">
        <f>'Delivery Calculation'!I53+"AM:!&amp;dW"</f>
        <v>#VALUE!</v>
      </c>
      <c r="P115" s="103" t="e">
        <f>'Delivery Calculation'!J53+"AM:!&amp;dX"</f>
        <v>#VALUE!</v>
      </c>
      <c r="Q115" s="98" t="e">
        <f>'Delivery Calculation'!K53+"AM:!&amp;dY"</f>
        <v>#VALUE!</v>
      </c>
      <c r="R115" s="98" t="e">
        <f>'Delivery Calculation'!L53+"AM:!&amp;dZ"</f>
        <v>#VALUE!</v>
      </c>
      <c r="S115" s="99" t="e">
        <f>'Delivery Calculation'!M53+"AM:!&amp;d["</f>
        <v>#VALUE!</v>
      </c>
      <c r="T115" s="99" t="e">
        <f>'Delivery Calculation'!N53+"AM:!&amp;d\"</f>
        <v>#VALUE!</v>
      </c>
      <c r="U115" s="99" t="e">
        <f>'Delivery Calculation'!O53+"AM:!&amp;d]"</f>
        <v>#VALUE!</v>
      </c>
      <c r="V115" s="99" t="e">
        <f>'Delivery Calculation'!P53+"AM:!&amp;d^"</f>
        <v>#VALUE!</v>
      </c>
      <c r="W115" s="99" t="e">
        <f>'Delivery Calculation'!Q53+"AM:!&amp;d_"</f>
        <v>#VALUE!</v>
      </c>
      <c r="X115" s="99" t="e">
        <f>'Delivery Calculation'!R53+"AM:!&amp;d`"</f>
        <v>#VALUE!</v>
      </c>
      <c r="Y115" s="99" t="e">
        <f>'Delivery Calculation'!S53+"AM:!&amp;da"</f>
        <v>#VALUE!</v>
      </c>
      <c r="Z115" s="99" t="e">
        <f>'Delivery Calculation'!T53+"AM:!&amp;db"</f>
        <v>#VALUE!</v>
      </c>
      <c r="AA115" s="99" t="e">
        <f>'Delivery Calculation'!U53+"AM:!&amp;dc"</f>
        <v>#VALUE!</v>
      </c>
      <c r="AB115" s="99" t="e">
        <f>'Delivery Calculation'!V53+"AM:!&amp;dd"</f>
        <v>#VALUE!</v>
      </c>
      <c r="AC115" s="99" t="e">
        <f>'Delivery Calculation'!W53+"AM:!&amp;de"</f>
        <v>#VALUE!</v>
      </c>
      <c r="AD115" s="99" t="e">
        <f>'Delivery Calculation'!X53+"AM:!&amp;df"</f>
        <v>#VALUE!</v>
      </c>
      <c r="AE115" s="99" t="e">
        <f>'Delivery Calculation'!Y53+"AM:!&amp;dg"</f>
        <v>#VALUE!</v>
      </c>
      <c r="AF115" s="99" t="e">
        <f>'Delivery Calculation'!Z53+"AM:!&amp;dh"</f>
        <v>#VALUE!</v>
      </c>
      <c r="AG115" s="99" t="e">
        <f>'Delivery Calculation'!AA53+"AM:!&amp;di"</f>
        <v>#VALUE!</v>
      </c>
      <c r="AH115" s="99" t="e">
        <f>'Delivery Calculation'!AB53+"AM:!&amp;dj"</f>
        <v>#VALUE!</v>
      </c>
      <c r="AI115" s="99" t="e">
        <f>'Delivery Calculation'!AC53+"AM:!&amp;dk"</f>
        <v>#VALUE!</v>
      </c>
      <c r="AJ115" s="99" t="e">
        <f>'Delivery Calculation'!AD53+"AM:!&amp;dl"</f>
        <v>#VALUE!</v>
      </c>
      <c r="AK115" s="99" t="e">
        <f>'Delivery Calculation'!AE53+"AM:!&amp;dm"</f>
        <v>#VALUE!</v>
      </c>
      <c r="AL115" s="99" t="e">
        <f>'Delivery Calculation'!AF53+"AM:!&amp;dn"</f>
        <v>#VALUE!</v>
      </c>
      <c r="AM115" s="99" t="e">
        <f>'Delivery Calculation'!AG53+"AM:!&amp;do"</f>
        <v>#VALUE!</v>
      </c>
      <c r="AN115" s="99" t="e">
        <f>'Delivery Calculation'!AH53+"AM:!&amp;dp"</f>
        <v>#VALUE!</v>
      </c>
      <c r="AO115" s="99" t="e">
        <f>'Delivery Calculation'!AI53+"AM:!&amp;dq"</f>
        <v>#VALUE!</v>
      </c>
      <c r="AP115" s="99" t="e">
        <f>'Delivery Calculation'!AJ53+"AM:!&amp;dr"</f>
        <v>#VALUE!</v>
      </c>
      <c r="AQ115" s="99" t="e">
        <f>'Delivery Calculation'!AK53+"AM:!&amp;ds"</f>
        <v>#VALUE!</v>
      </c>
      <c r="AR115" s="99" t="e">
        <f>'Delivery Calculation'!AL53+"AM:!&amp;dt"</f>
        <v>#VALUE!</v>
      </c>
      <c r="AS115" s="99" t="e">
        <f>'Delivery Calculation'!AM53+"AM:!&amp;du"</f>
        <v>#VALUE!</v>
      </c>
      <c r="AT115" s="99" t="e">
        <f>'Delivery Calculation'!AN53+"AM:!&amp;dv"</f>
        <v>#VALUE!</v>
      </c>
      <c r="AU115" s="99" t="e">
        <f>'Delivery Calculation'!AO53+"AM:!&amp;dw"</f>
        <v>#VALUE!</v>
      </c>
      <c r="AV115" s="99" t="e">
        <f>'Delivery Calculation'!AP53+"AM:!&amp;dx"</f>
        <v>#VALUE!</v>
      </c>
      <c r="AW115" s="99" t="e">
        <f>'Delivery Calculation'!AQ53+"AM:!&amp;dy"</f>
        <v>#VALUE!</v>
      </c>
      <c r="AX115" s="99" t="e">
        <f>'Delivery Calculation'!AR53+"AM:!&amp;dz"</f>
        <v>#VALUE!</v>
      </c>
      <c r="AY115" s="99" t="e">
        <f>'Delivery Calculation'!AS53+"AM:!&amp;d{"</f>
        <v>#VALUE!</v>
      </c>
      <c r="AZ115" s="99" t="e">
        <f>'Delivery Calculation'!AT53+"AM:!&amp;d|"</f>
        <v>#VALUE!</v>
      </c>
      <c r="BA115" s="99" t="e">
        <f>'Delivery Calculation'!AU53+"AM:!&amp;d}"</f>
        <v>#VALUE!</v>
      </c>
      <c r="BB115" s="99" t="e">
        <f>'Delivery Calculation'!AV53+"AM:!&amp;d~"</f>
        <v>#VALUE!</v>
      </c>
      <c r="BC115" s="99" t="e">
        <f>'Delivery Calculation'!AW53+"AM:!&amp;e#"</f>
        <v>#VALUE!</v>
      </c>
      <c r="BD115" s="99" t="e">
        <f>'Delivery Calculation'!AX53+"AM:!&amp;e$"</f>
        <v>#VALUE!</v>
      </c>
      <c r="BE115" t="e">
        <f>'Delivery Calculation'!AY53+"AM:!&amp;e%"</f>
        <v>#VALUE!</v>
      </c>
      <c r="BF115" t="e">
        <f>'Delivery Calculation'!AZ53+"AM:!&amp;e&amp;"</f>
        <v>#VALUE!</v>
      </c>
      <c r="BG115" t="e">
        <f>'Delivery Calculation'!A54+"AM:!&amp;e'"</f>
        <v>#VALUE!</v>
      </c>
      <c r="BH115" t="e">
        <f>'Delivery Calculation'!B54+"AM:!&amp;e("</f>
        <v>#VALUE!</v>
      </c>
      <c r="BI115" t="e">
        <f>'Delivery Calculation'!C54+"AM:!&amp;e)"</f>
        <v>#VALUE!</v>
      </c>
      <c r="BJ115" t="e">
        <f>'Delivery Calculation'!D54+"AM:!&amp;e."</f>
        <v>#VALUE!</v>
      </c>
      <c r="BK115" t="e">
        <f>'Delivery Calculation'!E54+"AM:!&amp;e/"</f>
        <v>#VALUE!</v>
      </c>
      <c r="BL115" s="98" t="e">
        <f>'Delivery Calculation'!F54+"AM:!&amp;e0"</f>
        <v>#VALUE!</v>
      </c>
      <c r="BM115" s="98" t="e">
        <f>'Delivery Calculation'!G54+"AM:!&amp;e1"</f>
        <v>#VALUE!</v>
      </c>
      <c r="BN115" s="97" t="e">
        <f>'Delivery Calculation'!H54+"AM:!&amp;e2"</f>
        <v>#VALUE!</v>
      </c>
      <c r="BO115" s="97" t="e">
        <f>'Delivery Calculation'!I54+"AM:!&amp;e3"</f>
        <v>#VALUE!</v>
      </c>
      <c r="BP115" s="103" t="e">
        <f>'Delivery Calculation'!J54+"AM:!&amp;e4"</f>
        <v>#VALUE!</v>
      </c>
      <c r="BQ115" s="98" t="e">
        <f>'Delivery Calculation'!K54+"AM:!&amp;e5"</f>
        <v>#VALUE!</v>
      </c>
      <c r="BR115" s="98" t="e">
        <f>'Delivery Calculation'!L54+"AM:!&amp;e6"</f>
        <v>#VALUE!</v>
      </c>
      <c r="BS115" s="99" t="e">
        <f>'Delivery Calculation'!M54+"AM:!&amp;e7"</f>
        <v>#VALUE!</v>
      </c>
      <c r="BT115" s="99" t="e">
        <f>'Delivery Calculation'!N54+"AM:!&amp;e8"</f>
        <v>#VALUE!</v>
      </c>
      <c r="BU115" s="99" t="e">
        <f>'Delivery Calculation'!O54+"AM:!&amp;e9"</f>
        <v>#VALUE!</v>
      </c>
      <c r="BV115" s="99" t="e">
        <f>'Delivery Calculation'!P54+"AM:!&amp;e:"</f>
        <v>#VALUE!</v>
      </c>
      <c r="BW115" s="99" t="e">
        <f>'Delivery Calculation'!Q54+"AM:!&amp;e;"</f>
        <v>#VALUE!</v>
      </c>
      <c r="BX115" s="99" t="e">
        <f>'Delivery Calculation'!R54+"AM:!&amp;e&lt;"</f>
        <v>#VALUE!</v>
      </c>
      <c r="BY115" s="99" t="e">
        <f>'Delivery Calculation'!S54+"AM:!&amp;e="</f>
        <v>#VALUE!</v>
      </c>
      <c r="BZ115" s="99" t="e">
        <f>'Delivery Calculation'!T54+"AM:!&amp;e&gt;"</f>
        <v>#VALUE!</v>
      </c>
      <c r="CA115" s="99" t="e">
        <f>'Delivery Calculation'!U54+"AM:!&amp;e?"</f>
        <v>#VALUE!</v>
      </c>
      <c r="CB115" s="99" t="e">
        <f>'Delivery Calculation'!V54+"AM:!&amp;e@"</f>
        <v>#VALUE!</v>
      </c>
      <c r="CC115" s="99" t="e">
        <f>'Delivery Calculation'!W54+"AM:!&amp;eA"</f>
        <v>#VALUE!</v>
      </c>
      <c r="CD115" s="99" t="e">
        <f>'Delivery Calculation'!X54+"AM:!&amp;eB"</f>
        <v>#VALUE!</v>
      </c>
      <c r="CE115" s="99" t="e">
        <f>'Delivery Calculation'!Y54+"AM:!&amp;eC"</f>
        <v>#VALUE!</v>
      </c>
      <c r="CF115" s="99" t="e">
        <f>'Delivery Calculation'!Z54+"AM:!&amp;eD"</f>
        <v>#VALUE!</v>
      </c>
      <c r="CG115" s="99" t="e">
        <f>'Delivery Calculation'!AA54+"AM:!&amp;eE"</f>
        <v>#VALUE!</v>
      </c>
      <c r="CH115" s="99" t="e">
        <f>'Delivery Calculation'!AB54+"AM:!&amp;eF"</f>
        <v>#VALUE!</v>
      </c>
      <c r="CI115" s="99" t="e">
        <f>'Delivery Calculation'!AC54+"AM:!&amp;eG"</f>
        <v>#VALUE!</v>
      </c>
      <c r="CJ115" s="99" t="e">
        <f>'Delivery Calculation'!AD54+"AM:!&amp;eH"</f>
        <v>#VALUE!</v>
      </c>
      <c r="CK115" s="99" t="e">
        <f>'Delivery Calculation'!AE54+"AM:!&amp;eI"</f>
        <v>#VALUE!</v>
      </c>
      <c r="CL115" s="99" t="e">
        <f>'Delivery Calculation'!AF54+"AM:!&amp;eJ"</f>
        <v>#VALUE!</v>
      </c>
      <c r="CM115" s="99" t="e">
        <f>'Delivery Calculation'!AG54+"AM:!&amp;eK"</f>
        <v>#VALUE!</v>
      </c>
      <c r="CN115" s="99" t="e">
        <f>'Delivery Calculation'!AH54+"AM:!&amp;eL"</f>
        <v>#VALUE!</v>
      </c>
      <c r="CO115" s="99" t="e">
        <f>'Delivery Calculation'!AI54+"AM:!&amp;eM"</f>
        <v>#VALUE!</v>
      </c>
      <c r="CP115" s="99" t="e">
        <f>'Delivery Calculation'!AJ54+"AM:!&amp;eN"</f>
        <v>#VALUE!</v>
      </c>
      <c r="CQ115" s="99" t="e">
        <f>'Delivery Calculation'!AK54+"AM:!&amp;eO"</f>
        <v>#VALUE!</v>
      </c>
      <c r="CR115" s="99" t="e">
        <f>'Delivery Calculation'!AL54+"AM:!&amp;eP"</f>
        <v>#VALUE!</v>
      </c>
      <c r="CS115" s="99" t="e">
        <f>'Delivery Calculation'!AM54+"AM:!&amp;eQ"</f>
        <v>#VALUE!</v>
      </c>
      <c r="CT115" s="99" t="e">
        <f>'Delivery Calculation'!AN54+"AM:!&amp;eR"</f>
        <v>#VALUE!</v>
      </c>
      <c r="CU115" s="99" t="e">
        <f>'Delivery Calculation'!AO54+"AM:!&amp;eS"</f>
        <v>#VALUE!</v>
      </c>
      <c r="CV115" s="99" t="e">
        <f>'Delivery Calculation'!AP54+"AM:!&amp;eT"</f>
        <v>#VALUE!</v>
      </c>
      <c r="CW115" s="99" t="e">
        <f>'Delivery Calculation'!AQ54+"AM:!&amp;eU"</f>
        <v>#VALUE!</v>
      </c>
      <c r="CX115" s="99" t="e">
        <f>'Delivery Calculation'!AR54+"AM:!&amp;eV"</f>
        <v>#VALUE!</v>
      </c>
      <c r="CY115" s="99" t="e">
        <f>'Delivery Calculation'!AS54+"AM:!&amp;eW"</f>
        <v>#VALUE!</v>
      </c>
      <c r="CZ115" s="99" t="e">
        <f>'Delivery Calculation'!AT54+"AM:!&amp;eX"</f>
        <v>#VALUE!</v>
      </c>
      <c r="DA115" s="99" t="e">
        <f>'Delivery Calculation'!AU54+"AM:!&amp;eY"</f>
        <v>#VALUE!</v>
      </c>
      <c r="DB115" s="99" t="e">
        <f>'Delivery Calculation'!AV54+"AM:!&amp;eZ"</f>
        <v>#VALUE!</v>
      </c>
      <c r="DC115" s="99" t="e">
        <f>'Delivery Calculation'!AW54+"AM:!&amp;e["</f>
        <v>#VALUE!</v>
      </c>
      <c r="DD115" s="99" t="e">
        <f>'Delivery Calculation'!AX54+"AM:!&amp;e\"</f>
        <v>#VALUE!</v>
      </c>
      <c r="DE115" t="e">
        <f>'Delivery Calculation'!AY54+"AM:!&amp;e]"</f>
        <v>#VALUE!</v>
      </c>
      <c r="DF115" t="e">
        <f>'Delivery Calculation'!AZ54+"AM:!&amp;e^"</f>
        <v>#VALUE!</v>
      </c>
      <c r="DG115" t="e">
        <f>'Delivery Calculation'!A55+"AM:!&amp;e_"</f>
        <v>#VALUE!</v>
      </c>
      <c r="DH115" t="e">
        <f>'Delivery Calculation'!B55+"AM:!&amp;e`"</f>
        <v>#VALUE!</v>
      </c>
      <c r="DI115" t="e">
        <f>'Delivery Calculation'!C55+"AM:!&amp;ea"</f>
        <v>#VALUE!</v>
      </c>
      <c r="DJ115" t="e">
        <f>'Delivery Calculation'!D55+"AM:!&amp;eb"</f>
        <v>#VALUE!</v>
      </c>
      <c r="DK115" t="e">
        <f>'Delivery Calculation'!E55+"AM:!&amp;ec"</f>
        <v>#VALUE!</v>
      </c>
      <c r="DL115" s="98" t="e">
        <f>'Delivery Calculation'!F55+"AM:!&amp;ed"</f>
        <v>#VALUE!</v>
      </c>
      <c r="DM115" s="98" t="e">
        <f>'Delivery Calculation'!G55+"AM:!&amp;ee"</f>
        <v>#VALUE!</v>
      </c>
      <c r="DN115" s="97" t="e">
        <f>'Delivery Calculation'!H55+"AM:!&amp;ef"</f>
        <v>#VALUE!</v>
      </c>
      <c r="DO115" s="97" t="e">
        <f>'Delivery Calculation'!I55+"AM:!&amp;eg"</f>
        <v>#VALUE!</v>
      </c>
      <c r="DP115" s="103" t="e">
        <f>'Delivery Calculation'!J55+"AM:!&amp;eh"</f>
        <v>#VALUE!</v>
      </c>
      <c r="DQ115" s="98" t="e">
        <f>'Delivery Calculation'!K55+"AM:!&amp;ei"</f>
        <v>#VALUE!</v>
      </c>
      <c r="DR115" s="98" t="e">
        <f>'Delivery Calculation'!L55+"AM:!&amp;ej"</f>
        <v>#VALUE!</v>
      </c>
      <c r="DS115" s="99" t="e">
        <f>'Delivery Calculation'!M55+"AM:!&amp;ek"</f>
        <v>#VALUE!</v>
      </c>
      <c r="DT115" s="99" t="e">
        <f>'Delivery Calculation'!N55+"AM:!&amp;el"</f>
        <v>#VALUE!</v>
      </c>
      <c r="DU115" s="99" t="e">
        <f>'Delivery Calculation'!O55+"AM:!&amp;em"</f>
        <v>#VALUE!</v>
      </c>
      <c r="DV115" s="99" t="e">
        <f>'Delivery Calculation'!P55+"AM:!&amp;en"</f>
        <v>#VALUE!</v>
      </c>
      <c r="DW115" s="99" t="e">
        <f>'Delivery Calculation'!Q55+"AM:!&amp;eo"</f>
        <v>#VALUE!</v>
      </c>
      <c r="DX115" s="99" t="e">
        <f>'Delivery Calculation'!R55+"AM:!&amp;ep"</f>
        <v>#VALUE!</v>
      </c>
      <c r="DY115" s="99" t="e">
        <f>'Delivery Calculation'!S55+"AM:!&amp;eq"</f>
        <v>#VALUE!</v>
      </c>
      <c r="DZ115" s="99" t="e">
        <f>'Delivery Calculation'!T55+"AM:!&amp;er"</f>
        <v>#VALUE!</v>
      </c>
      <c r="EA115" s="99" t="e">
        <f>'Delivery Calculation'!U55+"AM:!&amp;es"</f>
        <v>#VALUE!</v>
      </c>
      <c r="EB115" s="99" t="e">
        <f>'Delivery Calculation'!V55+"AM:!&amp;et"</f>
        <v>#VALUE!</v>
      </c>
      <c r="EC115" s="99" t="e">
        <f>'Delivery Calculation'!W55+"AM:!&amp;eu"</f>
        <v>#VALUE!</v>
      </c>
      <c r="ED115" s="99" t="e">
        <f>'Delivery Calculation'!X55+"AM:!&amp;ev"</f>
        <v>#VALUE!</v>
      </c>
      <c r="EE115" s="99" t="e">
        <f>'Delivery Calculation'!Y55+"AM:!&amp;ew"</f>
        <v>#VALUE!</v>
      </c>
      <c r="EF115" s="99" t="e">
        <f>'Delivery Calculation'!Z55+"AM:!&amp;ex"</f>
        <v>#VALUE!</v>
      </c>
      <c r="EG115" s="99" t="e">
        <f>'Delivery Calculation'!AA55+"AM:!&amp;ey"</f>
        <v>#VALUE!</v>
      </c>
      <c r="EH115" s="99" t="e">
        <f>'Delivery Calculation'!AB55+"AM:!&amp;ez"</f>
        <v>#VALUE!</v>
      </c>
      <c r="EI115" s="99" t="e">
        <f>'Delivery Calculation'!AC55+"AM:!&amp;e{"</f>
        <v>#VALUE!</v>
      </c>
      <c r="EJ115" s="99" t="e">
        <f>'Delivery Calculation'!AD55+"AM:!&amp;e|"</f>
        <v>#VALUE!</v>
      </c>
      <c r="EK115" s="99" t="e">
        <f>'Delivery Calculation'!AE55+"AM:!&amp;e}"</f>
        <v>#VALUE!</v>
      </c>
      <c r="EL115" s="99" t="e">
        <f>'Delivery Calculation'!AF55+"AM:!&amp;e~"</f>
        <v>#VALUE!</v>
      </c>
      <c r="EM115" s="99" t="e">
        <f>'Delivery Calculation'!AG55+"AM:!&amp;f#"</f>
        <v>#VALUE!</v>
      </c>
      <c r="EN115" s="99" t="e">
        <f>'Delivery Calculation'!AH55+"AM:!&amp;f$"</f>
        <v>#VALUE!</v>
      </c>
      <c r="EO115" s="99" t="e">
        <f>'Delivery Calculation'!AI55+"AM:!&amp;f%"</f>
        <v>#VALUE!</v>
      </c>
      <c r="EP115" s="99" t="e">
        <f>'Delivery Calculation'!AJ55+"AM:!&amp;f&amp;"</f>
        <v>#VALUE!</v>
      </c>
      <c r="EQ115" s="99" t="e">
        <f>'Delivery Calculation'!AK55+"AM:!&amp;f'"</f>
        <v>#VALUE!</v>
      </c>
      <c r="ER115" s="99" t="e">
        <f>'Delivery Calculation'!AL55+"AM:!&amp;f("</f>
        <v>#VALUE!</v>
      </c>
      <c r="ES115" s="99" t="e">
        <f>'Delivery Calculation'!AM55+"AM:!&amp;f)"</f>
        <v>#VALUE!</v>
      </c>
      <c r="ET115" s="99" t="e">
        <f>'Delivery Calculation'!AN55+"AM:!&amp;f."</f>
        <v>#VALUE!</v>
      </c>
      <c r="EU115" s="99" t="e">
        <f>'Delivery Calculation'!AO55+"AM:!&amp;f/"</f>
        <v>#VALUE!</v>
      </c>
      <c r="EV115" s="99" t="e">
        <f>'Delivery Calculation'!AP55+"AM:!&amp;f0"</f>
        <v>#VALUE!</v>
      </c>
      <c r="EW115" s="99" t="e">
        <f>'Delivery Calculation'!AQ55+"AM:!&amp;f1"</f>
        <v>#VALUE!</v>
      </c>
      <c r="EX115" s="99" t="e">
        <f>'Delivery Calculation'!AR55+"AM:!&amp;f2"</f>
        <v>#VALUE!</v>
      </c>
      <c r="EY115" s="99" t="e">
        <f>'Delivery Calculation'!AS55+"AM:!&amp;f3"</f>
        <v>#VALUE!</v>
      </c>
      <c r="EZ115" s="99" t="e">
        <f>'Delivery Calculation'!AT55+"AM:!&amp;f4"</f>
        <v>#VALUE!</v>
      </c>
      <c r="FA115" s="99" t="e">
        <f>'Delivery Calculation'!AU55+"AM:!&amp;f5"</f>
        <v>#VALUE!</v>
      </c>
      <c r="FB115" s="99" t="e">
        <f>'Delivery Calculation'!AV55+"AM:!&amp;f6"</f>
        <v>#VALUE!</v>
      </c>
      <c r="FC115" s="99" t="e">
        <f>'Delivery Calculation'!AW55+"AM:!&amp;f7"</f>
        <v>#VALUE!</v>
      </c>
      <c r="FD115" s="99" t="e">
        <f>'Delivery Calculation'!AX55+"AM:!&amp;f8"</f>
        <v>#VALUE!</v>
      </c>
      <c r="FE115" t="e">
        <f>'Delivery Calculation'!AY55+"AM:!&amp;f9"</f>
        <v>#VALUE!</v>
      </c>
      <c r="FF115" t="e">
        <f>'Delivery Calculation'!AZ55+"AM:!&amp;f:"</f>
        <v>#VALUE!</v>
      </c>
      <c r="FG115" t="e">
        <f>'Delivery Calculation'!A56+"AM:!&amp;f;"</f>
        <v>#VALUE!</v>
      </c>
      <c r="FH115" t="e">
        <f>'Delivery Calculation'!B56+"AM:!&amp;f&lt;"</f>
        <v>#VALUE!</v>
      </c>
      <c r="FI115" t="e">
        <f>'Delivery Calculation'!C56+"AM:!&amp;f="</f>
        <v>#VALUE!</v>
      </c>
      <c r="FJ115" t="e">
        <f>'Delivery Calculation'!D56+"AM:!&amp;f&gt;"</f>
        <v>#VALUE!</v>
      </c>
      <c r="FK115" t="e">
        <f>'Delivery Calculation'!E56+"AM:!&amp;f?"</f>
        <v>#VALUE!</v>
      </c>
      <c r="FL115" s="98" t="e">
        <f>'Delivery Calculation'!F56+"AM:!&amp;f@"</f>
        <v>#VALUE!</v>
      </c>
      <c r="FM115" s="98" t="e">
        <f>'Delivery Calculation'!G56+"AM:!&amp;fA"</f>
        <v>#VALUE!</v>
      </c>
      <c r="FN115" s="97" t="e">
        <f>'Delivery Calculation'!H56+"AM:!&amp;fB"</f>
        <v>#VALUE!</v>
      </c>
      <c r="FO115" s="97" t="e">
        <f>'Delivery Calculation'!I56+"AM:!&amp;fC"</f>
        <v>#VALUE!</v>
      </c>
      <c r="FP115" s="103" t="e">
        <f>'Delivery Calculation'!J56+"AM:!&amp;fD"</f>
        <v>#VALUE!</v>
      </c>
      <c r="FQ115" s="98" t="e">
        <f>'Delivery Calculation'!K56+"AM:!&amp;fE"</f>
        <v>#VALUE!</v>
      </c>
      <c r="FR115" s="98" t="e">
        <f>'Delivery Calculation'!L56+"AM:!&amp;fF"</f>
        <v>#VALUE!</v>
      </c>
      <c r="FS115" s="99" t="e">
        <f>'Delivery Calculation'!M56+"AM:!&amp;fG"</f>
        <v>#VALUE!</v>
      </c>
      <c r="FT115" s="99" t="e">
        <f>'Delivery Calculation'!N56+"AM:!&amp;fH"</f>
        <v>#VALUE!</v>
      </c>
      <c r="FU115" s="99" t="e">
        <f>'Delivery Calculation'!O56+"AM:!&amp;fI"</f>
        <v>#VALUE!</v>
      </c>
      <c r="FV115" s="99" t="e">
        <f>'Delivery Calculation'!P56+"AM:!&amp;fJ"</f>
        <v>#VALUE!</v>
      </c>
      <c r="FW115" s="99" t="e">
        <f>'Delivery Calculation'!Q56+"AM:!&amp;fK"</f>
        <v>#VALUE!</v>
      </c>
      <c r="FX115" s="99" t="e">
        <f>'Delivery Calculation'!R56+"AM:!&amp;fL"</f>
        <v>#VALUE!</v>
      </c>
      <c r="FY115" s="99" t="e">
        <f>'Delivery Calculation'!S56+"AM:!&amp;fM"</f>
        <v>#VALUE!</v>
      </c>
      <c r="FZ115" s="99" t="e">
        <f>'Delivery Calculation'!T56+"AM:!&amp;fN"</f>
        <v>#VALUE!</v>
      </c>
      <c r="GA115" s="99" t="e">
        <f>'Delivery Calculation'!U56+"AM:!&amp;fO"</f>
        <v>#VALUE!</v>
      </c>
      <c r="GB115" s="99" t="e">
        <f>'Delivery Calculation'!V56+"AM:!&amp;fP"</f>
        <v>#VALUE!</v>
      </c>
      <c r="GC115" s="99" t="e">
        <f>'Delivery Calculation'!W56+"AM:!&amp;fQ"</f>
        <v>#VALUE!</v>
      </c>
      <c r="GD115" s="99" t="e">
        <f>'Delivery Calculation'!X56+"AM:!&amp;fR"</f>
        <v>#VALUE!</v>
      </c>
      <c r="GE115" s="99" t="e">
        <f>'Delivery Calculation'!Y56+"AM:!&amp;fS"</f>
        <v>#VALUE!</v>
      </c>
      <c r="GF115" s="99" t="e">
        <f>'Delivery Calculation'!Z56+"AM:!&amp;fT"</f>
        <v>#VALUE!</v>
      </c>
      <c r="GG115" s="99" t="e">
        <f>'Delivery Calculation'!AA56+"AM:!&amp;fU"</f>
        <v>#VALUE!</v>
      </c>
      <c r="GH115" s="99" t="e">
        <f>'Delivery Calculation'!AB56+"AM:!&amp;fV"</f>
        <v>#VALUE!</v>
      </c>
      <c r="GI115" s="99" t="e">
        <f>'Delivery Calculation'!AC56+"AM:!&amp;fW"</f>
        <v>#VALUE!</v>
      </c>
      <c r="GJ115" s="99" t="e">
        <f>'Delivery Calculation'!AD56+"AM:!&amp;fX"</f>
        <v>#VALUE!</v>
      </c>
      <c r="GK115" s="99" t="e">
        <f>'Delivery Calculation'!AE56+"AM:!&amp;fY"</f>
        <v>#VALUE!</v>
      </c>
      <c r="GL115" s="99" t="e">
        <f>'Delivery Calculation'!AF56+"AM:!&amp;fZ"</f>
        <v>#VALUE!</v>
      </c>
      <c r="GM115" s="99" t="e">
        <f>'Delivery Calculation'!AG56+"AM:!&amp;f["</f>
        <v>#VALUE!</v>
      </c>
      <c r="GN115" s="99" t="e">
        <f>'Delivery Calculation'!AH56+"AM:!&amp;f\"</f>
        <v>#VALUE!</v>
      </c>
      <c r="GO115" s="99" t="e">
        <f>'Delivery Calculation'!AI56+"AM:!&amp;f]"</f>
        <v>#VALUE!</v>
      </c>
      <c r="GP115" s="99" t="e">
        <f>'Delivery Calculation'!AJ56+"AM:!&amp;f^"</f>
        <v>#VALUE!</v>
      </c>
      <c r="GQ115" s="99" t="e">
        <f>'Delivery Calculation'!AK56+"AM:!&amp;f_"</f>
        <v>#VALUE!</v>
      </c>
      <c r="GR115" s="99" t="e">
        <f>'Delivery Calculation'!AL56+"AM:!&amp;f`"</f>
        <v>#VALUE!</v>
      </c>
      <c r="GS115" s="99" t="e">
        <f>'Delivery Calculation'!AM56+"AM:!&amp;fa"</f>
        <v>#VALUE!</v>
      </c>
      <c r="GT115" s="99" t="e">
        <f>'Delivery Calculation'!AN56+"AM:!&amp;fb"</f>
        <v>#VALUE!</v>
      </c>
      <c r="GU115" s="99" t="e">
        <f>'Delivery Calculation'!AO56+"AM:!&amp;fc"</f>
        <v>#VALUE!</v>
      </c>
      <c r="GV115" s="99" t="e">
        <f>'Delivery Calculation'!AP56+"AM:!&amp;fd"</f>
        <v>#VALUE!</v>
      </c>
      <c r="GW115" s="99" t="e">
        <f>'Delivery Calculation'!AQ56+"AM:!&amp;fe"</f>
        <v>#VALUE!</v>
      </c>
      <c r="GX115" s="99" t="e">
        <f>'Delivery Calculation'!AR56+"AM:!&amp;ff"</f>
        <v>#VALUE!</v>
      </c>
      <c r="GY115" s="99" t="e">
        <f>'Delivery Calculation'!AS56+"AM:!&amp;fg"</f>
        <v>#VALUE!</v>
      </c>
      <c r="GZ115" s="99" t="e">
        <f>'Delivery Calculation'!AT56+"AM:!&amp;fh"</f>
        <v>#VALUE!</v>
      </c>
      <c r="HA115" s="99" t="e">
        <f>'Delivery Calculation'!AU56+"AM:!&amp;fi"</f>
        <v>#VALUE!</v>
      </c>
      <c r="HB115" s="99" t="e">
        <f>'Delivery Calculation'!AV56+"AM:!&amp;fj"</f>
        <v>#VALUE!</v>
      </c>
      <c r="HC115" s="99" t="e">
        <f>'Delivery Calculation'!AW56+"AM:!&amp;fk"</f>
        <v>#VALUE!</v>
      </c>
      <c r="HD115" s="99" t="e">
        <f>'Delivery Calculation'!AX56+"AM:!&amp;fl"</f>
        <v>#VALUE!</v>
      </c>
      <c r="HE115" t="e">
        <f>'Delivery Calculation'!AY56+"AM:!&amp;fm"</f>
        <v>#VALUE!</v>
      </c>
      <c r="HF115" t="e">
        <f>'Delivery Calculation'!AZ56+"AM:!&amp;fn"</f>
        <v>#VALUE!</v>
      </c>
      <c r="HG115" t="e">
        <f>'Delivery Calculation'!A57+"AM:!&amp;fo"</f>
        <v>#VALUE!</v>
      </c>
      <c r="HH115" t="e">
        <f>'Delivery Calculation'!B57+"AM:!&amp;fp"</f>
        <v>#VALUE!</v>
      </c>
      <c r="HI115" t="e">
        <f>'Delivery Calculation'!C57+"AM:!&amp;fq"</f>
        <v>#VALUE!</v>
      </c>
      <c r="HJ115" t="e">
        <f>'Delivery Calculation'!D57+"AM:!&amp;fr"</f>
        <v>#VALUE!</v>
      </c>
      <c r="HK115" t="e">
        <f>'Delivery Calculation'!E57+"AM:!&amp;fs"</f>
        <v>#VALUE!</v>
      </c>
      <c r="HL115" s="98" t="e">
        <f>'Delivery Calculation'!F57+"AM:!&amp;ft"</f>
        <v>#VALUE!</v>
      </c>
      <c r="HM115" s="98" t="e">
        <f>'Delivery Calculation'!G57+"AM:!&amp;fu"</f>
        <v>#VALUE!</v>
      </c>
      <c r="HN115" s="97" t="e">
        <f>'Delivery Calculation'!H57+"AM:!&amp;fv"</f>
        <v>#VALUE!</v>
      </c>
      <c r="HO115" s="97" t="e">
        <f>'Delivery Calculation'!I57+"AM:!&amp;fw"</f>
        <v>#VALUE!</v>
      </c>
      <c r="HP115" s="103" t="e">
        <f>'Delivery Calculation'!J57+"AM:!&amp;fx"</f>
        <v>#VALUE!</v>
      </c>
      <c r="HQ115" s="98" t="e">
        <f>'Delivery Calculation'!K57+"AM:!&amp;fy"</f>
        <v>#VALUE!</v>
      </c>
      <c r="HR115" s="98" t="e">
        <f>'Delivery Calculation'!L57+"AM:!&amp;fz"</f>
        <v>#VALUE!</v>
      </c>
      <c r="HS115" s="99" t="e">
        <f>'Delivery Calculation'!M57+"AM:!&amp;f{"</f>
        <v>#VALUE!</v>
      </c>
      <c r="HT115" s="99" t="e">
        <f>'Delivery Calculation'!N57+"AM:!&amp;f|"</f>
        <v>#VALUE!</v>
      </c>
      <c r="HU115" s="99" t="e">
        <f>'Delivery Calculation'!O57+"AM:!&amp;f}"</f>
        <v>#VALUE!</v>
      </c>
      <c r="HV115" s="99" t="e">
        <f>'Delivery Calculation'!P57+"AM:!&amp;f~"</f>
        <v>#VALUE!</v>
      </c>
      <c r="HW115" s="99" t="e">
        <f>'Delivery Calculation'!Q57+"AM:!&amp;g#"</f>
        <v>#VALUE!</v>
      </c>
      <c r="HX115" s="99" t="e">
        <f>'Delivery Calculation'!R57+"AM:!&amp;g$"</f>
        <v>#VALUE!</v>
      </c>
      <c r="HY115" s="99" t="e">
        <f>'Delivery Calculation'!S57+"AM:!&amp;g%"</f>
        <v>#VALUE!</v>
      </c>
      <c r="HZ115" s="99" t="e">
        <f>'Delivery Calculation'!T57+"AM:!&amp;g&amp;"</f>
        <v>#VALUE!</v>
      </c>
      <c r="IA115" s="99" t="e">
        <f>'Delivery Calculation'!U57+"AM:!&amp;g'"</f>
        <v>#VALUE!</v>
      </c>
      <c r="IB115" s="99" t="e">
        <f>'Delivery Calculation'!V57+"AM:!&amp;g("</f>
        <v>#VALUE!</v>
      </c>
      <c r="IC115" s="99" t="e">
        <f>'Delivery Calculation'!W57+"AM:!&amp;g)"</f>
        <v>#VALUE!</v>
      </c>
      <c r="ID115" s="99" t="e">
        <f>'Delivery Calculation'!X57+"AM:!&amp;g."</f>
        <v>#VALUE!</v>
      </c>
      <c r="IE115" s="99" t="e">
        <f>'Delivery Calculation'!Y57+"AM:!&amp;g/"</f>
        <v>#VALUE!</v>
      </c>
      <c r="IF115" s="99" t="e">
        <f>'Delivery Calculation'!Z57+"AM:!&amp;g0"</f>
        <v>#VALUE!</v>
      </c>
      <c r="IG115" s="99" t="e">
        <f>'Delivery Calculation'!AA57+"AM:!&amp;g1"</f>
        <v>#VALUE!</v>
      </c>
      <c r="IH115" s="99" t="e">
        <f>'Delivery Calculation'!AB57+"AM:!&amp;g2"</f>
        <v>#VALUE!</v>
      </c>
      <c r="II115" s="99" t="e">
        <f>'Delivery Calculation'!AC57+"AM:!&amp;g3"</f>
        <v>#VALUE!</v>
      </c>
      <c r="IJ115" s="99" t="e">
        <f>'Delivery Calculation'!AD57+"AM:!&amp;g4"</f>
        <v>#VALUE!</v>
      </c>
      <c r="IK115" s="99" t="e">
        <f>'Delivery Calculation'!AE57+"AM:!&amp;g5"</f>
        <v>#VALUE!</v>
      </c>
      <c r="IL115" s="99" t="e">
        <f>'Delivery Calculation'!AF57+"AM:!&amp;g6"</f>
        <v>#VALUE!</v>
      </c>
      <c r="IM115" s="99" t="e">
        <f>'Delivery Calculation'!AG57+"AM:!&amp;g7"</f>
        <v>#VALUE!</v>
      </c>
      <c r="IN115" s="99" t="e">
        <f>'Delivery Calculation'!AH57+"AM:!&amp;g8"</f>
        <v>#VALUE!</v>
      </c>
      <c r="IO115" s="99" t="e">
        <f>'Delivery Calculation'!AI57+"AM:!&amp;g9"</f>
        <v>#VALUE!</v>
      </c>
      <c r="IP115" s="99" t="e">
        <f>'Delivery Calculation'!AJ57+"AM:!&amp;g:"</f>
        <v>#VALUE!</v>
      </c>
      <c r="IQ115" s="99" t="e">
        <f>'Delivery Calculation'!AK57+"AM:!&amp;g;"</f>
        <v>#VALUE!</v>
      </c>
      <c r="IR115" s="99" t="e">
        <f>'Delivery Calculation'!AL57+"AM:!&amp;g&lt;"</f>
        <v>#VALUE!</v>
      </c>
      <c r="IS115" s="99" t="e">
        <f>'Delivery Calculation'!AM57+"AM:!&amp;g="</f>
        <v>#VALUE!</v>
      </c>
      <c r="IT115" s="99" t="e">
        <f>'Delivery Calculation'!AN57+"AM:!&amp;g&gt;"</f>
        <v>#VALUE!</v>
      </c>
      <c r="IU115" s="99" t="e">
        <f>'Delivery Calculation'!AO57+"AM:!&amp;g?"</f>
        <v>#VALUE!</v>
      </c>
      <c r="IV115" s="99" t="e">
        <f>'Delivery Calculation'!AP57+"AM:!&amp;g@"</f>
        <v>#VALUE!</v>
      </c>
    </row>
    <row r="116" spans="6:256">
      <c r="F116" s="99" t="e">
        <f>'Delivery Calculation'!AQ57+"AM:!&amp;gA"</f>
        <v>#VALUE!</v>
      </c>
      <c r="G116" s="99" t="e">
        <f>'Delivery Calculation'!AR57+"AM:!&amp;gB"</f>
        <v>#VALUE!</v>
      </c>
      <c r="H116" s="99" t="e">
        <f>'Delivery Calculation'!AS57+"AM:!&amp;gC"</f>
        <v>#VALUE!</v>
      </c>
      <c r="I116" s="99" t="e">
        <f>'Delivery Calculation'!AT57+"AM:!&amp;gD"</f>
        <v>#VALUE!</v>
      </c>
      <c r="J116" s="99" t="e">
        <f>'Delivery Calculation'!AU57+"AM:!&amp;gE"</f>
        <v>#VALUE!</v>
      </c>
      <c r="K116" s="99" t="e">
        <f>'Delivery Calculation'!AV57+"AM:!&amp;gF"</f>
        <v>#VALUE!</v>
      </c>
      <c r="L116" s="99" t="e">
        <f>'Delivery Calculation'!AW57+"AM:!&amp;gG"</f>
        <v>#VALUE!</v>
      </c>
      <c r="M116" s="99" t="e">
        <f>'Delivery Calculation'!AX57+"AM:!&amp;gH"</f>
        <v>#VALUE!</v>
      </c>
      <c r="N116" t="e">
        <f>'Delivery Calculation'!AY57+"AM:!&amp;gI"</f>
        <v>#VALUE!</v>
      </c>
      <c r="O116" t="e">
        <f>'Delivery Calculation'!AZ57+"AM:!&amp;gJ"</f>
        <v>#VALUE!</v>
      </c>
      <c r="P116" t="e">
        <f>'Delivery Calculation'!A58+"AM:!&amp;gK"</f>
        <v>#VALUE!</v>
      </c>
      <c r="Q116" t="e">
        <f>'Delivery Calculation'!B58+"AM:!&amp;gL"</f>
        <v>#VALUE!</v>
      </c>
      <c r="R116" t="e">
        <f>'Delivery Calculation'!C58+"AM:!&amp;gM"</f>
        <v>#VALUE!</v>
      </c>
      <c r="S116" t="e">
        <f>'Delivery Calculation'!D58+"AM:!&amp;gN"</f>
        <v>#VALUE!</v>
      </c>
      <c r="T116" t="e">
        <f>'Delivery Calculation'!E58+"AM:!&amp;gO"</f>
        <v>#VALUE!</v>
      </c>
      <c r="U116" s="98" t="e">
        <f>'Delivery Calculation'!F58+"AM:!&amp;gP"</f>
        <v>#VALUE!</v>
      </c>
      <c r="V116" s="98" t="e">
        <f>'Delivery Calculation'!G58+"AM:!&amp;gQ"</f>
        <v>#VALUE!</v>
      </c>
      <c r="W116" s="97" t="e">
        <f>'Delivery Calculation'!H58+"AM:!&amp;gR"</f>
        <v>#VALUE!</v>
      </c>
      <c r="X116" s="97" t="e">
        <f>'Delivery Calculation'!I58+"AM:!&amp;gS"</f>
        <v>#VALUE!</v>
      </c>
      <c r="Y116" s="103" t="e">
        <f>'Delivery Calculation'!J58+"AM:!&amp;gT"</f>
        <v>#VALUE!</v>
      </c>
      <c r="Z116" s="98" t="e">
        <f>'Delivery Calculation'!K58+"AM:!&amp;gU"</f>
        <v>#VALUE!</v>
      </c>
      <c r="AA116" s="98" t="e">
        <f>'Delivery Calculation'!L58+"AM:!&amp;gV"</f>
        <v>#VALUE!</v>
      </c>
      <c r="AB116" s="99" t="e">
        <f>'Delivery Calculation'!M58+"AM:!&amp;gW"</f>
        <v>#VALUE!</v>
      </c>
      <c r="AC116" s="99" t="e">
        <f>'Delivery Calculation'!N58+"AM:!&amp;gX"</f>
        <v>#VALUE!</v>
      </c>
      <c r="AD116" s="99" t="e">
        <f>'Delivery Calculation'!O58+"AM:!&amp;gY"</f>
        <v>#VALUE!</v>
      </c>
      <c r="AE116" s="99" t="e">
        <f>'Delivery Calculation'!P58+"AM:!&amp;gZ"</f>
        <v>#VALUE!</v>
      </c>
      <c r="AF116" s="99" t="e">
        <f>'Delivery Calculation'!Q58+"AM:!&amp;g["</f>
        <v>#VALUE!</v>
      </c>
      <c r="AG116" s="99" t="e">
        <f>'Delivery Calculation'!R58+"AM:!&amp;g\"</f>
        <v>#VALUE!</v>
      </c>
      <c r="AH116" s="99" t="e">
        <f>'Delivery Calculation'!S58+"AM:!&amp;g]"</f>
        <v>#VALUE!</v>
      </c>
      <c r="AI116" s="99" t="e">
        <f>'Delivery Calculation'!T58+"AM:!&amp;g^"</f>
        <v>#VALUE!</v>
      </c>
      <c r="AJ116" s="99" t="e">
        <f>'Delivery Calculation'!U58+"AM:!&amp;g_"</f>
        <v>#VALUE!</v>
      </c>
      <c r="AK116" s="99" t="e">
        <f>'Delivery Calculation'!V58+"AM:!&amp;g`"</f>
        <v>#VALUE!</v>
      </c>
      <c r="AL116" s="99" t="e">
        <f>'Delivery Calculation'!W58+"AM:!&amp;ga"</f>
        <v>#VALUE!</v>
      </c>
      <c r="AM116" s="99" t="e">
        <f>'Delivery Calculation'!X58+"AM:!&amp;gb"</f>
        <v>#VALUE!</v>
      </c>
      <c r="AN116" s="99" t="e">
        <f>'Delivery Calculation'!Y58+"AM:!&amp;gc"</f>
        <v>#VALUE!</v>
      </c>
      <c r="AO116" s="99" t="e">
        <f>'Delivery Calculation'!Z58+"AM:!&amp;gd"</f>
        <v>#VALUE!</v>
      </c>
      <c r="AP116" s="99" t="e">
        <f>'Delivery Calculation'!AA58+"AM:!&amp;ge"</f>
        <v>#VALUE!</v>
      </c>
      <c r="AQ116" s="99" t="e">
        <f>'Delivery Calculation'!AB58+"AM:!&amp;gf"</f>
        <v>#VALUE!</v>
      </c>
      <c r="AR116" s="99" t="e">
        <f>'Delivery Calculation'!AC58+"AM:!&amp;gg"</f>
        <v>#VALUE!</v>
      </c>
      <c r="AS116" s="99" t="e">
        <f>'Delivery Calculation'!AD58+"AM:!&amp;gh"</f>
        <v>#VALUE!</v>
      </c>
      <c r="AT116" s="99" t="e">
        <f>'Delivery Calculation'!AE58+"AM:!&amp;gi"</f>
        <v>#VALUE!</v>
      </c>
      <c r="AU116" s="99" t="e">
        <f>'Delivery Calculation'!AF58+"AM:!&amp;gj"</f>
        <v>#VALUE!</v>
      </c>
      <c r="AV116" s="99" t="e">
        <f>'Delivery Calculation'!AG58+"AM:!&amp;gk"</f>
        <v>#VALUE!</v>
      </c>
      <c r="AW116" s="99" t="e">
        <f>'Delivery Calculation'!AH58+"AM:!&amp;gl"</f>
        <v>#VALUE!</v>
      </c>
      <c r="AX116" s="99" t="e">
        <f>'Delivery Calculation'!AI58+"AM:!&amp;gm"</f>
        <v>#VALUE!</v>
      </c>
      <c r="AY116" s="99" t="e">
        <f>'Delivery Calculation'!AJ58+"AM:!&amp;gn"</f>
        <v>#VALUE!</v>
      </c>
      <c r="AZ116" s="99" t="e">
        <f>'Delivery Calculation'!AK58+"AM:!&amp;go"</f>
        <v>#VALUE!</v>
      </c>
      <c r="BA116" s="99" t="e">
        <f>'Delivery Calculation'!AL58+"AM:!&amp;gp"</f>
        <v>#VALUE!</v>
      </c>
      <c r="BB116" s="99" t="e">
        <f>'Delivery Calculation'!AM58+"AM:!&amp;gq"</f>
        <v>#VALUE!</v>
      </c>
      <c r="BC116" s="99" t="e">
        <f>'Delivery Calculation'!AN58+"AM:!&amp;gr"</f>
        <v>#VALUE!</v>
      </c>
      <c r="BD116" s="99" t="e">
        <f>'Delivery Calculation'!AO58+"AM:!&amp;gs"</f>
        <v>#VALUE!</v>
      </c>
      <c r="BE116" s="99" t="e">
        <f>'Delivery Calculation'!AP58+"AM:!&amp;gt"</f>
        <v>#VALUE!</v>
      </c>
      <c r="BF116" s="99" t="e">
        <f>'Delivery Calculation'!AQ58+"AM:!&amp;gu"</f>
        <v>#VALUE!</v>
      </c>
      <c r="BG116" s="99" t="e">
        <f>'Delivery Calculation'!AR58+"AM:!&amp;gv"</f>
        <v>#VALUE!</v>
      </c>
      <c r="BH116" s="99" t="e">
        <f>'Delivery Calculation'!AS58+"AM:!&amp;gw"</f>
        <v>#VALUE!</v>
      </c>
      <c r="BI116" s="99" t="e">
        <f>'Delivery Calculation'!AT58+"AM:!&amp;gx"</f>
        <v>#VALUE!</v>
      </c>
      <c r="BJ116" s="99" t="e">
        <f>'Delivery Calculation'!AU58+"AM:!&amp;gy"</f>
        <v>#VALUE!</v>
      </c>
      <c r="BK116" s="99" t="e">
        <f>'Delivery Calculation'!AV58+"AM:!&amp;gz"</f>
        <v>#VALUE!</v>
      </c>
      <c r="BL116" s="99" t="e">
        <f>'Delivery Calculation'!AW58+"AM:!&amp;g{"</f>
        <v>#VALUE!</v>
      </c>
      <c r="BM116" s="99" t="e">
        <f>'Delivery Calculation'!AX58+"AM:!&amp;g|"</f>
        <v>#VALUE!</v>
      </c>
      <c r="BN116" t="e">
        <f>'Delivery Calculation'!AY58+"AM:!&amp;g}"</f>
        <v>#VALUE!</v>
      </c>
      <c r="BO116" t="e">
        <f>'Delivery Calculation'!AZ58+"AM:!&amp;g~"</f>
        <v>#VALUE!</v>
      </c>
      <c r="BP116" t="e">
        <f>'Delivery Calculation'!A59+"AM:!&amp;h#"</f>
        <v>#VALUE!</v>
      </c>
      <c r="BQ116" t="e">
        <f>'Delivery Calculation'!B59+"AM:!&amp;h$"</f>
        <v>#VALUE!</v>
      </c>
      <c r="BR116" t="e">
        <f>'Delivery Calculation'!C59+"AM:!&amp;h%"</f>
        <v>#VALUE!</v>
      </c>
      <c r="BS116" t="e">
        <f>'Delivery Calculation'!D59+"AM:!&amp;h&amp;"</f>
        <v>#VALUE!</v>
      </c>
      <c r="BT116" t="e">
        <f>'Delivery Calculation'!E59+"AM:!&amp;h'"</f>
        <v>#VALUE!</v>
      </c>
      <c r="BU116" s="98" t="e">
        <f>'Delivery Calculation'!F59+"AM:!&amp;h("</f>
        <v>#VALUE!</v>
      </c>
      <c r="BV116" s="98" t="e">
        <f>'Delivery Calculation'!G59+"AM:!&amp;h)"</f>
        <v>#VALUE!</v>
      </c>
      <c r="BW116" s="97" t="e">
        <f>'Delivery Calculation'!H59+"AM:!&amp;h."</f>
        <v>#VALUE!</v>
      </c>
      <c r="BX116" s="97" t="e">
        <f>'Delivery Calculation'!I59+"AM:!&amp;h/"</f>
        <v>#VALUE!</v>
      </c>
      <c r="BY116" s="103" t="e">
        <f>'Delivery Calculation'!J59+"AM:!&amp;h0"</f>
        <v>#VALUE!</v>
      </c>
      <c r="BZ116" s="98" t="e">
        <f>'Delivery Calculation'!K59+"AM:!&amp;h1"</f>
        <v>#VALUE!</v>
      </c>
      <c r="CA116" s="98" t="e">
        <f>'Delivery Calculation'!L59+"AM:!&amp;h2"</f>
        <v>#VALUE!</v>
      </c>
      <c r="CB116" s="99" t="e">
        <f>'Delivery Calculation'!M59+"AM:!&amp;h3"</f>
        <v>#VALUE!</v>
      </c>
      <c r="CC116" s="99" t="e">
        <f>'Delivery Calculation'!N59+"AM:!&amp;h4"</f>
        <v>#VALUE!</v>
      </c>
      <c r="CD116" s="99" t="e">
        <f>'Delivery Calculation'!O59+"AM:!&amp;h5"</f>
        <v>#VALUE!</v>
      </c>
      <c r="CE116" s="99" t="e">
        <f>'Delivery Calculation'!P59+"AM:!&amp;h6"</f>
        <v>#VALUE!</v>
      </c>
      <c r="CF116" s="99" t="e">
        <f>'Delivery Calculation'!Q59+"AM:!&amp;h7"</f>
        <v>#VALUE!</v>
      </c>
      <c r="CG116" s="99" t="e">
        <f>'Delivery Calculation'!R59+"AM:!&amp;h8"</f>
        <v>#VALUE!</v>
      </c>
      <c r="CH116" s="99" t="e">
        <f>'Delivery Calculation'!S59+"AM:!&amp;h9"</f>
        <v>#VALUE!</v>
      </c>
      <c r="CI116" s="99" t="e">
        <f>'Delivery Calculation'!T59+"AM:!&amp;h:"</f>
        <v>#VALUE!</v>
      </c>
      <c r="CJ116" s="99" t="e">
        <f>'Delivery Calculation'!U59+"AM:!&amp;h;"</f>
        <v>#VALUE!</v>
      </c>
      <c r="CK116" s="99" t="e">
        <f>'Delivery Calculation'!V59+"AM:!&amp;h&lt;"</f>
        <v>#VALUE!</v>
      </c>
      <c r="CL116" s="99" t="e">
        <f>'Delivery Calculation'!W59+"AM:!&amp;h="</f>
        <v>#VALUE!</v>
      </c>
      <c r="CM116" s="99" t="e">
        <f>'Delivery Calculation'!X59+"AM:!&amp;h&gt;"</f>
        <v>#VALUE!</v>
      </c>
      <c r="CN116" s="99" t="e">
        <f>'Delivery Calculation'!Y59+"AM:!&amp;h?"</f>
        <v>#VALUE!</v>
      </c>
      <c r="CO116" s="99" t="e">
        <f>'Delivery Calculation'!Z59+"AM:!&amp;h@"</f>
        <v>#VALUE!</v>
      </c>
      <c r="CP116" s="99" t="e">
        <f>'Delivery Calculation'!AA59+"AM:!&amp;hA"</f>
        <v>#VALUE!</v>
      </c>
      <c r="CQ116" s="99" t="e">
        <f>'Delivery Calculation'!AB59+"AM:!&amp;hB"</f>
        <v>#VALUE!</v>
      </c>
      <c r="CR116" s="99" t="e">
        <f>'Delivery Calculation'!AC59+"AM:!&amp;hC"</f>
        <v>#VALUE!</v>
      </c>
      <c r="CS116" s="99" t="e">
        <f>'Delivery Calculation'!AD59+"AM:!&amp;hD"</f>
        <v>#VALUE!</v>
      </c>
      <c r="CT116" s="99" t="e">
        <f>'Delivery Calculation'!AE59+"AM:!&amp;hE"</f>
        <v>#VALUE!</v>
      </c>
      <c r="CU116" s="99" t="e">
        <f>'Delivery Calculation'!AF59+"AM:!&amp;hF"</f>
        <v>#VALUE!</v>
      </c>
      <c r="CV116" s="99" t="e">
        <f>'Delivery Calculation'!AG59+"AM:!&amp;hG"</f>
        <v>#VALUE!</v>
      </c>
      <c r="CW116" s="99" t="e">
        <f>'Delivery Calculation'!AH59+"AM:!&amp;hH"</f>
        <v>#VALUE!</v>
      </c>
      <c r="CX116" s="99" t="e">
        <f>'Delivery Calculation'!AI59+"AM:!&amp;hI"</f>
        <v>#VALUE!</v>
      </c>
      <c r="CY116" s="99" t="e">
        <f>'Delivery Calculation'!AJ59+"AM:!&amp;hJ"</f>
        <v>#VALUE!</v>
      </c>
      <c r="CZ116" s="99" t="e">
        <f>'Delivery Calculation'!AK59+"AM:!&amp;hK"</f>
        <v>#VALUE!</v>
      </c>
      <c r="DA116" s="99" t="e">
        <f>'Delivery Calculation'!AL59+"AM:!&amp;hL"</f>
        <v>#VALUE!</v>
      </c>
      <c r="DB116" s="99" t="e">
        <f>'Delivery Calculation'!AM59+"AM:!&amp;hM"</f>
        <v>#VALUE!</v>
      </c>
      <c r="DC116" s="99" t="e">
        <f>'Delivery Calculation'!AN59+"AM:!&amp;hN"</f>
        <v>#VALUE!</v>
      </c>
      <c r="DD116" s="99" t="e">
        <f>'Delivery Calculation'!AO59+"AM:!&amp;hO"</f>
        <v>#VALUE!</v>
      </c>
      <c r="DE116" s="99" t="e">
        <f>'Delivery Calculation'!AP59+"AM:!&amp;hP"</f>
        <v>#VALUE!</v>
      </c>
      <c r="DF116" s="99" t="e">
        <f>'Delivery Calculation'!AQ59+"AM:!&amp;hQ"</f>
        <v>#VALUE!</v>
      </c>
      <c r="DG116" s="99" t="e">
        <f>'Delivery Calculation'!AR59+"AM:!&amp;hR"</f>
        <v>#VALUE!</v>
      </c>
      <c r="DH116" s="99" t="e">
        <f>'Delivery Calculation'!AS59+"AM:!&amp;hS"</f>
        <v>#VALUE!</v>
      </c>
      <c r="DI116" s="99" t="e">
        <f>'Delivery Calculation'!AT59+"AM:!&amp;hT"</f>
        <v>#VALUE!</v>
      </c>
      <c r="DJ116" s="99" t="e">
        <f>'Delivery Calculation'!AU59+"AM:!&amp;hU"</f>
        <v>#VALUE!</v>
      </c>
      <c r="DK116" s="99" t="e">
        <f>'Delivery Calculation'!AV59+"AM:!&amp;hV"</f>
        <v>#VALUE!</v>
      </c>
      <c r="DL116" s="99" t="e">
        <f>'Delivery Calculation'!AW59+"AM:!&amp;hW"</f>
        <v>#VALUE!</v>
      </c>
      <c r="DM116" s="99" t="e">
        <f>'Delivery Calculation'!AX59+"AM:!&amp;hX"</f>
        <v>#VALUE!</v>
      </c>
      <c r="DN116" t="e">
        <f>'Delivery Calculation'!AY59+"AM:!&amp;hY"</f>
        <v>#VALUE!</v>
      </c>
      <c r="DO116" t="e">
        <f>'Delivery Calculation'!AZ59+"AM:!&amp;hZ"</f>
        <v>#VALUE!</v>
      </c>
      <c r="DP116" t="e">
        <f>'Delivery Calculation'!A60+"AM:!&amp;h["</f>
        <v>#VALUE!</v>
      </c>
      <c r="DQ116" t="e">
        <f>'Delivery Calculation'!B60+"AM:!&amp;h\"</f>
        <v>#VALUE!</v>
      </c>
      <c r="DR116" t="e">
        <f>'Delivery Calculation'!C60+"AM:!&amp;h]"</f>
        <v>#VALUE!</v>
      </c>
      <c r="DS116" t="e">
        <f>'Delivery Calculation'!D60+"AM:!&amp;h^"</f>
        <v>#VALUE!</v>
      </c>
      <c r="DT116" t="e">
        <f>'Delivery Calculation'!E60+"AM:!&amp;h_"</f>
        <v>#VALUE!</v>
      </c>
      <c r="DU116" s="98" t="e">
        <f>'Delivery Calculation'!F60+"AM:!&amp;h`"</f>
        <v>#VALUE!</v>
      </c>
      <c r="DV116" s="98" t="e">
        <f>'Delivery Calculation'!G60+"AM:!&amp;ha"</f>
        <v>#VALUE!</v>
      </c>
      <c r="DW116" s="97" t="e">
        <f>'Delivery Calculation'!H60+"AM:!&amp;hb"</f>
        <v>#VALUE!</v>
      </c>
      <c r="DX116" s="97" t="e">
        <f>'Delivery Calculation'!I60+"AM:!&amp;hc"</f>
        <v>#VALUE!</v>
      </c>
      <c r="DY116" s="103" t="e">
        <f>'Delivery Calculation'!J60+"AM:!&amp;hd"</f>
        <v>#VALUE!</v>
      </c>
      <c r="DZ116" s="98" t="e">
        <f>'Delivery Calculation'!K60+"AM:!&amp;he"</f>
        <v>#VALUE!</v>
      </c>
      <c r="EA116" s="98" t="e">
        <f>'Delivery Calculation'!L60+"AM:!&amp;hf"</f>
        <v>#VALUE!</v>
      </c>
      <c r="EB116" s="99" t="e">
        <f>'Delivery Calculation'!M60+"AM:!&amp;hg"</f>
        <v>#VALUE!</v>
      </c>
      <c r="EC116" s="99" t="e">
        <f>'Delivery Calculation'!N60+"AM:!&amp;hh"</f>
        <v>#VALUE!</v>
      </c>
      <c r="ED116" s="99" t="e">
        <f>'Delivery Calculation'!O60+"AM:!&amp;hi"</f>
        <v>#VALUE!</v>
      </c>
      <c r="EE116" s="99" t="e">
        <f>'Delivery Calculation'!P60+"AM:!&amp;hj"</f>
        <v>#VALUE!</v>
      </c>
      <c r="EF116" s="99" t="e">
        <f>'Delivery Calculation'!Q60+"AM:!&amp;hk"</f>
        <v>#VALUE!</v>
      </c>
      <c r="EG116" s="99" t="e">
        <f>'Delivery Calculation'!R60+"AM:!&amp;hl"</f>
        <v>#VALUE!</v>
      </c>
      <c r="EH116" s="99" t="e">
        <f>'Delivery Calculation'!S60+"AM:!&amp;hm"</f>
        <v>#VALUE!</v>
      </c>
      <c r="EI116" s="99" t="e">
        <f>'Delivery Calculation'!T60+"AM:!&amp;hn"</f>
        <v>#VALUE!</v>
      </c>
      <c r="EJ116" s="99" t="e">
        <f>'Delivery Calculation'!U60+"AM:!&amp;ho"</f>
        <v>#VALUE!</v>
      </c>
      <c r="EK116" s="99" t="e">
        <f>'Delivery Calculation'!V60+"AM:!&amp;hp"</f>
        <v>#VALUE!</v>
      </c>
      <c r="EL116" s="99" t="e">
        <f>'Delivery Calculation'!W60+"AM:!&amp;hq"</f>
        <v>#VALUE!</v>
      </c>
      <c r="EM116" s="99" t="e">
        <f>'Delivery Calculation'!X60+"AM:!&amp;hr"</f>
        <v>#VALUE!</v>
      </c>
      <c r="EN116" s="99" t="e">
        <f>'Delivery Calculation'!Y60+"AM:!&amp;hs"</f>
        <v>#VALUE!</v>
      </c>
      <c r="EO116" s="99" t="e">
        <f>'Delivery Calculation'!Z60+"AM:!&amp;ht"</f>
        <v>#VALUE!</v>
      </c>
      <c r="EP116" s="99" t="e">
        <f>'Delivery Calculation'!AA60+"AM:!&amp;hu"</f>
        <v>#VALUE!</v>
      </c>
      <c r="EQ116" s="99" t="e">
        <f>'Delivery Calculation'!AB60+"AM:!&amp;hv"</f>
        <v>#VALUE!</v>
      </c>
      <c r="ER116" s="99" t="e">
        <f>'Delivery Calculation'!AC60+"AM:!&amp;hw"</f>
        <v>#VALUE!</v>
      </c>
      <c r="ES116" s="99" t="e">
        <f>'Delivery Calculation'!AD60+"AM:!&amp;hx"</f>
        <v>#VALUE!</v>
      </c>
      <c r="ET116" s="99" t="e">
        <f>'Delivery Calculation'!AE60+"AM:!&amp;hy"</f>
        <v>#VALUE!</v>
      </c>
      <c r="EU116" s="99" t="e">
        <f>'Delivery Calculation'!AF60+"AM:!&amp;hz"</f>
        <v>#VALUE!</v>
      </c>
      <c r="EV116" s="99" t="e">
        <f>'Delivery Calculation'!AG60+"AM:!&amp;h{"</f>
        <v>#VALUE!</v>
      </c>
      <c r="EW116" s="99" t="e">
        <f>'Delivery Calculation'!AH60+"AM:!&amp;h|"</f>
        <v>#VALUE!</v>
      </c>
      <c r="EX116" s="99" t="e">
        <f>'Delivery Calculation'!AI60+"AM:!&amp;h}"</f>
        <v>#VALUE!</v>
      </c>
      <c r="EY116" s="99" t="e">
        <f>'Delivery Calculation'!AJ60+"AM:!&amp;h~"</f>
        <v>#VALUE!</v>
      </c>
      <c r="EZ116" s="99" t="e">
        <f>'Delivery Calculation'!AK60+"AM:!&amp;i#"</f>
        <v>#VALUE!</v>
      </c>
      <c r="FA116" s="99" t="e">
        <f>'Delivery Calculation'!AL60+"AM:!&amp;i$"</f>
        <v>#VALUE!</v>
      </c>
      <c r="FB116" s="99" t="e">
        <f>'Delivery Calculation'!AM60+"AM:!&amp;i%"</f>
        <v>#VALUE!</v>
      </c>
      <c r="FC116" s="99" t="e">
        <f>'Delivery Calculation'!AN60+"AM:!&amp;i&amp;"</f>
        <v>#VALUE!</v>
      </c>
      <c r="FD116" s="99" t="e">
        <f>'Delivery Calculation'!AO60+"AM:!&amp;i'"</f>
        <v>#VALUE!</v>
      </c>
      <c r="FE116" s="99" t="e">
        <f>'Delivery Calculation'!AP60+"AM:!&amp;i("</f>
        <v>#VALUE!</v>
      </c>
      <c r="FF116" s="99" t="e">
        <f>'Delivery Calculation'!AQ60+"AM:!&amp;i)"</f>
        <v>#VALUE!</v>
      </c>
      <c r="FG116" s="99" t="e">
        <f>'Delivery Calculation'!AR60+"AM:!&amp;i."</f>
        <v>#VALUE!</v>
      </c>
      <c r="FH116" s="99" t="e">
        <f>'Delivery Calculation'!AS60+"AM:!&amp;i/"</f>
        <v>#VALUE!</v>
      </c>
      <c r="FI116" s="99" t="e">
        <f>'Delivery Calculation'!AT60+"AM:!&amp;i0"</f>
        <v>#VALUE!</v>
      </c>
      <c r="FJ116" s="99" t="e">
        <f>'Delivery Calculation'!AU60+"AM:!&amp;i1"</f>
        <v>#VALUE!</v>
      </c>
      <c r="FK116" s="99" t="e">
        <f>'Delivery Calculation'!AV60+"AM:!&amp;i2"</f>
        <v>#VALUE!</v>
      </c>
      <c r="FL116" s="99" t="e">
        <f>'Delivery Calculation'!AW60+"AM:!&amp;i3"</f>
        <v>#VALUE!</v>
      </c>
      <c r="FM116" s="99" t="e">
        <f>'Delivery Calculation'!AX60+"AM:!&amp;i4"</f>
        <v>#VALUE!</v>
      </c>
      <c r="FN116" t="e">
        <f>'Delivery Calculation'!AY60+"AM:!&amp;i5"</f>
        <v>#VALUE!</v>
      </c>
      <c r="FO116" t="e">
        <f>'Delivery Calculation'!AZ60+"AM:!&amp;i6"</f>
        <v>#VALUE!</v>
      </c>
      <c r="FP116" t="e">
        <f>'Delivery Calculation'!A61+"AM:!&amp;i7"</f>
        <v>#VALUE!</v>
      </c>
      <c r="FQ116" t="e">
        <f>'Delivery Calculation'!B61+"AM:!&amp;i8"</f>
        <v>#VALUE!</v>
      </c>
      <c r="FR116" t="e">
        <f>'Delivery Calculation'!C61+"AM:!&amp;i9"</f>
        <v>#VALUE!</v>
      </c>
      <c r="FS116" t="e">
        <f>'Delivery Calculation'!D61+"AM:!&amp;i:"</f>
        <v>#VALUE!</v>
      </c>
      <c r="FT116" t="e">
        <f>'Delivery Calculation'!E61+"AM:!&amp;i;"</f>
        <v>#VALUE!</v>
      </c>
      <c r="FU116" s="98" t="e">
        <f>'Delivery Calculation'!F61+"AM:!&amp;i&lt;"</f>
        <v>#VALUE!</v>
      </c>
      <c r="FV116" s="98" t="e">
        <f>'Delivery Calculation'!G61+"AM:!&amp;i="</f>
        <v>#VALUE!</v>
      </c>
      <c r="FW116" s="97" t="e">
        <f>'Delivery Calculation'!H61+"AM:!&amp;i&gt;"</f>
        <v>#VALUE!</v>
      </c>
      <c r="FX116" s="97" t="e">
        <f>'Delivery Calculation'!I61+"AM:!&amp;i?"</f>
        <v>#VALUE!</v>
      </c>
      <c r="FY116" s="103" t="e">
        <f>'Delivery Calculation'!J61+"AM:!&amp;i@"</f>
        <v>#VALUE!</v>
      </c>
      <c r="FZ116" s="98" t="e">
        <f>'Delivery Calculation'!K61+"AM:!&amp;iA"</f>
        <v>#VALUE!</v>
      </c>
      <c r="GA116" s="98" t="e">
        <f>'Delivery Calculation'!L61+"AM:!&amp;iB"</f>
        <v>#VALUE!</v>
      </c>
      <c r="GB116" s="99" t="e">
        <f>'Delivery Calculation'!M61+"AM:!&amp;iC"</f>
        <v>#VALUE!</v>
      </c>
      <c r="GC116" s="99" t="e">
        <f>'Delivery Calculation'!N61+"AM:!&amp;iD"</f>
        <v>#VALUE!</v>
      </c>
      <c r="GD116" s="99" t="e">
        <f>'Delivery Calculation'!O61+"AM:!&amp;iE"</f>
        <v>#VALUE!</v>
      </c>
      <c r="GE116" s="99" t="e">
        <f>'Delivery Calculation'!P61+"AM:!&amp;iF"</f>
        <v>#VALUE!</v>
      </c>
      <c r="GF116" s="99" t="e">
        <f>'Delivery Calculation'!Q61+"AM:!&amp;iG"</f>
        <v>#VALUE!</v>
      </c>
      <c r="GG116" s="99" t="e">
        <f>'Delivery Calculation'!R61+"AM:!&amp;iH"</f>
        <v>#VALUE!</v>
      </c>
      <c r="GH116" s="99" t="e">
        <f>'Delivery Calculation'!S61+"AM:!&amp;iI"</f>
        <v>#VALUE!</v>
      </c>
      <c r="GI116" s="99" t="e">
        <f>'Delivery Calculation'!T61+"AM:!&amp;iJ"</f>
        <v>#VALUE!</v>
      </c>
      <c r="GJ116" s="99" t="e">
        <f>'Delivery Calculation'!U61+"AM:!&amp;iK"</f>
        <v>#VALUE!</v>
      </c>
      <c r="GK116" s="99" t="e">
        <f>'Delivery Calculation'!V61+"AM:!&amp;iL"</f>
        <v>#VALUE!</v>
      </c>
      <c r="GL116" s="99" t="e">
        <f>'Delivery Calculation'!W61+"AM:!&amp;iM"</f>
        <v>#VALUE!</v>
      </c>
      <c r="GM116" s="99" t="e">
        <f>'Delivery Calculation'!X61+"AM:!&amp;iN"</f>
        <v>#VALUE!</v>
      </c>
      <c r="GN116" s="99" t="e">
        <f>'Delivery Calculation'!Y61+"AM:!&amp;iO"</f>
        <v>#VALUE!</v>
      </c>
      <c r="GO116" s="99" t="e">
        <f>'Delivery Calculation'!Z61+"AM:!&amp;iP"</f>
        <v>#VALUE!</v>
      </c>
      <c r="GP116" s="99" t="e">
        <f>'Delivery Calculation'!AA61+"AM:!&amp;iQ"</f>
        <v>#VALUE!</v>
      </c>
      <c r="GQ116" s="99" t="e">
        <f>'Delivery Calculation'!AB61+"AM:!&amp;iR"</f>
        <v>#VALUE!</v>
      </c>
      <c r="GR116" s="99" t="e">
        <f>'Delivery Calculation'!AC61+"AM:!&amp;iS"</f>
        <v>#VALUE!</v>
      </c>
      <c r="GS116" s="99" t="e">
        <f>'Delivery Calculation'!AD61+"AM:!&amp;iT"</f>
        <v>#VALUE!</v>
      </c>
      <c r="GT116" s="99" t="e">
        <f>'Delivery Calculation'!AE61+"AM:!&amp;iU"</f>
        <v>#VALUE!</v>
      </c>
      <c r="GU116" s="99" t="e">
        <f>'Delivery Calculation'!AF61+"AM:!&amp;iV"</f>
        <v>#VALUE!</v>
      </c>
      <c r="GV116" s="99" t="e">
        <f>'Delivery Calculation'!AG61+"AM:!&amp;iW"</f>
        <v>#VALUE!</v>
      </c>
      <c r="GW116" s="99" t="e">
        <f>'Delivery Calculation'!AH61+"AM:!&amp;iX"</f>
        <v>#VALUE!</v>
      </c>
      <c r="GX116" s="99" t="e">
        <f>'Delivery Calculation'!AI61+"AM:!&amp;iY"</f>
        <v>#VALUE!</v>
      </c>
      <c r="GY116" s="99" t="e">
        <f>'Delivery Calculation'!AJ61+"AM:!&amp;iZ"</f>
        <v>#VALUE!</v>
      </c>
      <c r="GZ116" s="99" t="e">
        <f>'Delivery Calculation'!AK61+"AM:!&amp;i["</f>
        <v>#VALUE!</v>
      </c>
      <c r="HA116" s="99" t="e">
        <f>'Delivery Calculation'!AL61+"AM:!&amp;i\"</f>
        <v>#VALUE!</v>
      </c>
      <c r="HB116" s="99" t="e">
        <f>'Delivery Calculation'!AM61+"AM:!&amp;i]"</f>
        <v>#VALUE!</v>
      </c>
      <c r="HC116" s="99" t="e">
        <f>'Delivery Calculation'!AN61+"AM:!&amp;i^"</f>
        <v>#VALUE!</v>
      </c>
      <c r="HD116" s="99" t="e">
        <f>'Delivery Calculation'!AO61+"AM:!&amp;i_"</f>
        <v>#VALUE!</v>
      </c>
      <c r="HE116" s="99" t="e">
        <f>'Delivery Calculation'!AP61+"AM:!&amp;i`"</f>
        <v>#VALUE!</v>
      </c>
      <c r="HF116" s="99" t="e">
        <f>'Delivery Calculation'!AQ61+"AM:!&amp;ia"</f>
        <v>#VALUE!</v>
      </c>
      <c r="HG116" s="99" t="e">
        <f>'Delivery Calculation'!AR61+"AM:!&amp;ib"</f>
        <v>#VALUE!</v>
      </c>
      <c r="HH116" s="99" t="e">
        <f>'Delivery Calculation'!AS61+"AM:!&amp;ic"</f>
        <v>#VALUE!</v>
      </c>
      <c r="HI116" s="99" t="e">
        <f>'Delivery Calculation'!AT61+"AM:!&amp;id"</f>
        <v>#VALUE!</v>
      </c>
      <c r="HJ116" s="99" t="e">
        <f>'Delivery Calculation'!AU61+"AM:!&amp;ie"</f>
        <v>#VALUE!</v>
      </c>
      <c r="HK116" s="99" t="e">
        <f>'Delivery Calculation'!AV61+"AM:!&amp;if"</f>
        <v>#VALUE!</v>
      </c>
      <c r="HL116" s="99" t="e">
        <f>'Delivery Calculation'!AW61+"AM:!&amp;ig"</f>
        <v>#VALUE!</v>
      </c>
      <c r="HM116" s="99" t="e">
        <f>'Delivery Calculation'!AX61+"AM:!&amp;ih"</f>
        <v>#VALUE!</v>
      </c>
      <c r="HN116" t="e">
        <f>'Delivery Calculation'!AY61+"AM:!&amp;ii"</f>
        <v>#VALUE!</v>
      </c>
      <c r="HO116" t="e">
        <f>'Delivery Calculation'!AZ61+"AM:!&amp;ij"</f>
        <v>#VALUE!</v>
      </c>
      <c r="HP116" t="e">
        <f>'Delivery Calculation'!A62+"AM:!&amp;ik"</f>
        <v>#VALUE!</v>
      </c>
      <c r="HQ116" t="e">
        <f>'Delivery Calculation'!B62+"AM:!&amp;il"</f>
        <v>#VALUE!</v>
      </c>
      <c r="HR116" t="e">
        <f>'Delivery Calculation'!C62+"AM:!&amp;im"</f>
        <v>#VALUE!</v>
      </c>
      <c r="HS116" t="e">
        <f>'Delivery Calculation'!D62+"AM:!&amp;in"</f>
        <v>#VALUE!</v>
      </c>
      <c r="HT116" t="e">
        <f>'Delivery Calculation'!E62+"AM:!&amp;io"</f>
        <v>#VALUE!</v>
      </c>
      <c r="HU116" s="98" t="e">
        <f>'Delivery Calculation'!F62+"AM:!&amp;ip"</f>
        <v>#VALUE!</v>
      </c>
      <c r="HV116" s="98" t="e">
        <f>'Delivery Calculation'!G62+"AM:!&amp;iq"</f>
        <v>#VALUE!</v>
      </c>
      <c r="HW116" s="97" t="e">
        <f>'Delivery Calculation'!H62+"AM:!&amp;ir"</f>
        <v>#VALUE!</v>
      </c>
      <c r="HX116" s="97" t="e">
        <f>'Delivery Calculation'!I62+"AM:!&amp;is"</f>
        <v>#VALUE!</v>
      </c>
      <c r="HY116" s="103" t="e">
        <f>'Delivery Calculation'!J62+"AM:!&amp;it"</f>
        <v>#VALUE!</v>
      </c>
      <c r="HZ116" s="98" t="e">
        <f>'Delivery Calculation'!K62+"AM:!&amp;iu"</f>
        <v>#VALUE!</v>
      </c>
      <c r="IA116" s="98" t="e">
        <f>'Delivery Calculation'!L62+"AM:!&amp;iv"</f>
        <v>#VALUE!</v>
      </c>
      <c r="IB116" s="99" t="e">
        <f>'Delivery Calculation'!M62+"AM:!&amp;iw"</f>
        <v>#VALUE!</v>
      </c>
      <c r="IC116" s="99" t="e">
        <f>'Delivery Calculation'!N62+"AM:!&amp;ix"</f>
        <v>#VALUE!</v>
      </c>
      <c r="ID116" s="99" t="e">
        <f>'Delivery Calculation'!O62+"AM:!&amp;iy"</f>
        <v>#VALUE!</v>
      </c>
      <c r="IE116" s="99" t="e">
        <f>'Delivery Calculation'!P62+"AM:!&amp;iz"</f>
        <v>#VALUE!</v>
      </c>
      <c r="IF116" s="99" t="e">
        <f>'Delivery Calculation'!Q62+"AM:!&amp;i{"</f>
        <v>#VALUE!</v>
      </c>
      <c r="IG116" s="99" t="e">
        <f>'Delivery Calculation'!R62+"AM:!&amp;i|"</f>
        <v>#VALUE!</v>
      </c>
      <c r="IH116" s="99" t="e">
        <f>'Delivery Calculation'!S62+"AM:!&amp;i}"</f>
        <v>#VALUE!</v>
      </c>
      <c r="II116" s="99" t="e">
        <f>'Delivery Calculation'!T62+"AM:!&amp;i~"</f>
        <v>#VALUE!</v>
      </c>
      <c r="IJ116" s="99" t="e">
        <f>'Delivery Calculation'!U62+"AM:!&amp;j#"</f>
        <v>#VALUE!</v>
      </c>
      <c r="IK116" s="99" t="e">
        <f>'Delivery Calculation'!V62+"AM:!&amp;j$"</f>
        <v>#VALUE!</v>
      </c>
      <c r="IL116" s="99" t="e">
        <f>'Delivery Calculation'!W62+"AM:!&amp;j%"</f>
        <v>#VALUE!</v>
      </c>
      <c r="IM116" s="99" t="e">
        <f>'Delivery Calculation'!X62+"AM:!&amp;j&amp;"</f>
        <v>#VALUE!</v>
      </c>
      <c r="IN116" s="99" t="e">
        <f>'Delivery Calculation'!Y62+"AM:!&amp;j'"</f>
        <v>#VALUE!</v>
      </c>
      <c r="IO116" s="99" t="e">
        <f>'Delivery Calculation'!Z62+"AM:!&amp;j("</f>
        <v>#VALUE!</v>
      </c>
      <c r="IP116" s="99" t="e">
        <f>'Delivery Calculation'!AA62+"AM:!&amp;j)"</f>
        <v>#VALUE!</v>
      </c>
      <c r="IQ116" s="99" t="e">
        <f>'Delivery Calculation'!AB62+"AM:!&amp;j."</f>
        <v>#VALUE!</v>
      </c>
      <c r="IR116" s="99" t="e">
        <f>'Delivery Calculation'!AC62+"AM:!&amp;j/"</f>
        <v>#VALUE!</v>
      </c>
      <c r="IS116" s="99" t="e">
        <f>'Delivery Calculation'!AD62+"AM:!&amp;j0"</f>
        <v>#VALUE!</v>
      </c>
      <c r="IT116" s="99" t="e">
        <f>'Delivery Calculation'!AE62+"AM:!&amp;j1"</f>
        <v>#VALUE!</v>
      </c>
      <c r="IU116" s="99" t="e">
        <f>'Delivery Calculation'!AF62+"AM:!&amp;j2"</f>
        <v>#VALUE!</v>
      </c>
      <c r="IV116" s="99" t="e">
        <f>'Delivery Calculation'!AG62+"AM:!&amp;j3"</f>
        <v>#VALUE!</v>
      </c>
    </row>
    <row r="117" spans="6:256">
      <c r="F117" s="99" t="e">
        <f>'Delivery Calculation'!AH62+"AM:!&amp;j4"</f>
        <v>#VALUE!</v>
      </c>
      <c r="G117" s="99" t="e">
        <f>'Delivery Calculation'!AI62+"AM:!&amp;j5"</f>
        <v>#VALUE!</v>
      </c>
      <c r="H117" s="99" t="e">
        <f>'Delivery Calculation'!AJ62+"AM:!&amp;j6"</f>
        <v>#VALUE!</v>
      </c>
      <c r="I117" s="99" t="e">
        <f>'Delivery Calculation'!AK62+"AM:!&amp;j7"</f>
        <v>#VALUE!</v>
      </c>
      <c r="J117" s="99" t="e">
        <f>'Delivery Calculation'!AL62+"AM:!&amp;j8"</f>
        <v>#VALUE!</v>
      </c>
      <c r="K117" s="99" t="e">
        <f>'Delivery Calculation'!AM62+"AM:!&amp;j9"</f>
        <v>#VALUE!</v>
      </c>
      <c r="L117" s="99" t="e">
        <f>'Delivery Calculation'!AN62+"AM:!&amp;j:"</f>
        <v>#VALUE!</v>
      </c>
      <c r="M117" s="99" t="e">
        <f>'Delivery Calculation'!AO62+"AM:!&amp;j;"</f>
        <v>#VALUE!</v>
      </c>
      <c r="N117" s="99" t="e">
        <f>'Delivery Calculation'!AP62+"AM:!&amp;j&lt;"</f>
        <v>#VALUE!</v>
      </c>
      <c r="O117" s="99" t="e">
        <f>'Delivery Calculation'!AQ62+"AM:!&amp;j="</f>
        <v>#VALUE!</v>
      </c>
      <c r="P117" s="99" t="e">
        <f>'Delivery Calculation'!AR62+"AM:!&amp;j&gt;"</f>
        <v>#VALUE!</v>
      </c>
      <c r="Q117" s="99" t="e">
        <f>'Delivery Calculation'!AS62+"AM:!&amp;j?"</f>
        <v>#VALUE!</v>
      </c>
      <c r="R117" s="99" t="e">
        <f>'Delivery Calculation'!AT62+"AM:!&amp;j@"</f>
        <v>#VALUE!</v>
      </c>
      <c r="S117" s="99" t="e">
        <f>'Delivery Calculation'!AU62+"AM:!&amp;jA"</f>
        <v>#VALUE!</v>
      </c>
      <c r="T117" s="99" t="e">
        <f>'Delivery Calculation'!AV62+"AM:!&amp;jB"</f>
        <v>#VALUE!</v>
      </c>
      <c r="U117" s="99" t="e">
        <f>'Delivery Calculation'!AW62+"AM:!&amp;jC"</f>
        <v>#VALUE!</v>
      </c>
      <c r="V117" s="99" t="e">
        <f>'Delivery Calculation'!AX62+"AM:!&amp;jD"</f>
        <v>#VALUE!</v>
      </c>
      <c r="W117" t="e">
        <f>'Delivery Calculation'!AY62+"AM:!&amp;jE"</f>
        <v>#VALUE!</v>
      </c>
      <c r="X117" t="e">
        <f>'Delivery Calculation'!AZ62+"AM:!&amp;jF"</f>
        <v>#VALUE!</v>
      </c>
      <c r="Y117" t="e">
        <f>'Delivery Calculation'!A63+"AM:!&amp;jG"</f>
        <v>#VALUE!</v>
      </c>
      <c r="Z117" t="e">
        <f>'Delivery Calculation'!B63+"AM:!&amp;jH"</f>
        <v>#VALUE!</v>
      </c>
      <c r="AA117" t="e">
        <f>'Delivery Calculation'!C63+"AM:!&amp;jI"</f>
        <v>#VALUE!</v>
      </c>
      <c r="AB117" t="e">
        <f>'Delivery Calculation'!D63+"AM:!&amp;jJ"</f>
        <v>#VALUE!</v>
      </c>
      <c r="AC117" t="e">
        <f>'Delivery Calculation'!E63+"AM:!&amp;jK"</f>
        <v>#VALUE!</v>
      </c>
      <c r="AD117" s="98" t="e">
        <f>'Delivery Calculation'!F63+"AM:!&amp;jL"</f>
        <v>#VALUE!</v>
      </c>
      <c r="AE117" s="98" t="e">
        <f>'Delivery Calculation'!G63+"AM:!&amp;jM"</f>
        <v>#VALUE!</v>
      </c>
      <c r="AF117" s="97" t="e">
        <f>'Delivery Calculation'!H63+"AM:!&amp;jN"</f>
        <v>#VALUE!</v>
      </c>
      <c r="AG117" s="97" t="e">
        <f>'Delivery Calculation'!I63+"AM:!&amp;jO"</f>
        <v>#VALUE!</v>
      </c>
      <c r="AH117" s="103" t="e">
        <f>'Delivery Calculation'!J63+"AM:!&amp;jP"</f>
        <v>#VALUE!</v>
      </c>
      <c r="AI117" s="98" t="e">
        <f>'Delivery Calculation'!K63+"AM:!&amp;jQ"</f>
        <v>#VALUE!</v>
      </c>
      <c r="AJ117" s="98" t="e">
        <f>'Delivery Calculation'!L63+"AM:!&amp;jR"</f>
        <v>#VALUE!</v>
      </c>
      <c r="AK117" s="99" t="e">
        <f>'Delivery Calculation'!M63+"AM:!&amp;jS"</f>
        <v>#VALUE!</v>
      </c>
      <c r="AL117" s="99" t="e">
        <f>'Delivery Calculation'!N63+"AM:!&amp;jT"</f>
        <v>#VALUE!</v>
      </c>
      <c r="AM117" s="99" t="e">
        <f>'Delivery Calculation'!O63+"AM:!&amp;jU"</f>
        <v>#VALUE!</v>
      </c>
      <c r="AN117" s="99" t="e">
        <f>'Delivery Calculation'!P63+"AM:!&amp;jV"</f>
        <v>#VALUE!</v>
      </c>
      <c r="AO117" s="99" t="e">
        <f>'Delivery Calculation'!Q63+"AM:!&amp;jW"</f>
        <v>#VALUE!</v>
      </c>
      <c r="AP117" s="99" t="e">
        <f>'Delivery Calculation'!R63+"AM:!&amp;jX"</f>
        <v>#VALUE!</v>
      </c>
      <c r="AQ117" s="99" t="e">
        <f>'Delivery Calculation'!S63+"AM:!&amp;jY"</f>
        <v>#VALUE!</v>
      </c>
      <c r="AR117" s="99" t="e">
        <f>'Delivery Calculation'!T63+"AM:!&amp;jZ"</f>
        <v>#VALUE!</v>
      </c>
      <c r="AS117" s="99" t="e">
        <f>'Delivery Calculation'!U63+"AM:!&amp;j["</f>
        <v>#VALUE!</v>
      </c>
      <c r="AT117" s="99" t="e">
        <f>'Delivery Calculation'!V63+"AM:!&amp;j\"</f>
        <v>#VALUE!</v>
      </c>
      <c r="AU117" s="99" t="e">
        <f>'Delivery Calculation'!W63+"AM:!&amp;j]"</f>
        <v>#VALUE!</v>
      </c>
      <c r="AV117" s="99" t="e">
        <f>'Delivery Calculation'!X63+"AM:!&amp;j^"</f>
        <v>#VALUE!</v>
      </c>
      <c r="AW117" s="99" t="e">
        <f>'Delivery Calculation'!Y63+"AM:!&amp;j_"</f>
        <v>#VALUE!</v>
      </c>
      <c r="AX117" s="99" t="e">
        <f>'Delivery Calculation'!Z63+"AM:!&amp;j`"</f>
        <v>#VALUE!</v>
      </c>
      <c r="AY117" s="99" t="e">
        <f>'Delivery Calculation'!AA63+"AM:!&amp;ja"</f>
        <v>#VALUE!</v>
      </c>
      <c r="AZ117" s="99" t="e">
        <f>'Delivery Calculation'!AB63+"AM:!&amp;jb"</f>
        <v>#VALUE!</v>
      </c>
      <c r="BA117" s="99" t="e">
        <f>'Delivery Calculation'!AC63+"AM:!&amp;jc"</f>
        <v>#VALUE!</v>
      </c>
      <c r="BB117" s="99" t="e">
        <f>'Delivery Calculation'!AD63+"AM:!&amp;jd"</f>
        <v>#VALUE!</v>
      </c>
      <c r="BC117" s="99" t="e">
        <f>'Delivery Calculation'!AE63+"AM:!&amp;je"</f>
        <v>#VALUE!</v>
      </c>
      <c r="BD117" s="99" t="e">
        <f>'Delivery Calculation'!AF63+"AM:!&amp;jf"</f>
        <v>#VALUE!</v>
      </c>
      <c r="BE117" s="99" t="e">
        <f>'Delivery Calculation'!AG63+"AM:!&amp;jg"</f>
        <v>#VALUE!</v>
      </c>
      <c r="BF117" s="99" t="e">
        <f>'Delivery Calculation'!AH63+"AM:!&amp;jh"</f>
        <v>#VALUE!</v>
      </c>
      <c r="BG117" s="99" t="e">
        <f>'Delivery Calculation'!AI63+"AM:!&amp;ji"</f>
        <v>#VALUE!</v>
      </c>
      <c r="BH117" s="99" t="e">
        <f>'Delivery Calculation'!AJ63+"AM:!&amp;jj"</f>
        <v>#VALUE!</v>
      </c>
      <c r="BI117" s="99" t="e">
        <f>'Delivery Calculation'!AK63+"AM:!&amp;jk"</f>
        <v>#VALUE!</v>
      </c>
      <c r="BJ117" s="99" t="e">
        <f>'Delivery Calculation'!AL63+"AM:!&amp;jl"</f>
        <v>#VALUE!</v>
      </c>
      <c r="BK117" s="99" t="e">
        <f>'Delivery Calculation'!AM63+"AM:!&amp;jm"</f>
        <v>#VALUE!</v>
      </c>
      <c r="BL117" s="99" t="e">
        <f>'Delivery Calculation'!AN63+"AM:!&amp;jn"</f>
        <v>#VALUE!</v>
      </c>
      <c r="BM117" s="99" t="e">
        <f>'Delivery Calculation'!AO63+"AM:!&amp;jo"</f>
        <v>#VALUE!</v>
      </c>
      <c r="BN117" s="99" t="e">
        <f>'Delivery Calculation'!AP63+"AM:!&amp;jp"</f>
        <v>#VALUE!</v>
      </c>
      <c r="BO117" s="99" t="e">
        <f>'Delivery Calculation'!AQ63+"AM:!&amp;jq"</f>
        <v>#VALUE!</v>
      </c>
      <c r="BP117" s="99" t="e">
        <f>'Delivery Calculation'!AR63+"AM:!&amp;jr"</f>
        <v>#VALUE!</v>
      </c>
      <c r="BQ117" s="99" t="e">
        <f>'Delivery Calculation'!AS63+"AM:!&amp;js"</f>
        <v>#VALUE!</v>
      </c>
      <c r="BR117" s="99" t="e">
        <f>'Delivery Calculation'!AT63+"AM:!&amp;jt"</f>
        <v>#VALUE!</v>
      </c>
      <c r="BS117" s="99" t="e">
        <f>'Delivery Calculation'!AU63+"AM:!&amp;ju"</f>
        <v>#VALUE!</v>
      </c>
      <c r="BT117" s="99" t="e">
        <f>'Delivery Calculation'!AV63+"AM:!&amp;jv"</f>
        <v>#VALUE!</v>
      </c>
      <c r="BU117" s="99" t="e">
        <f>'Delivery Calculation'!AW63+"AM:!&amp;jw"</f>
        <v>#VALUE!</v>
      </c>
      <c r="BV117" s="99" t="e">
        <f>'Delivery Calculation'!AX63+"AM:!&amp;jx"</f>
        <v>#VALUE!</v>
      </c>
      <c r="BW117" t="e">
        <f>'Delivery Calculation'!AY63+"AM:!&amp;jy"</f>
        <v>#VALUE!</v>
      </c>
      <c r="BX117" t="e">
        <f>'Delivery Calculation'!AZ63+"AM:!&amp;jz"</f>
        <v>#VALUE!</v>
      </c>
      <c r="BY117" t="e">
        <f>'Delivery Calculation'!A64+"AM:!&amp;j{"</f>
        <v>#VALUE!</v>
      </c>
      <c r="BZ117" t="e">
        <f>'Delivery Calculation'!B64+"AM:!&amp;j|"</f>
        <v>#VALUE!</v>
      </c>
      <c r="CA117" t="e">
        <f>'Delivery Calculation'!C64+"AM:!&amp;j}"</f>
        <v>#VALUE!</v>
      </c>
      <c r="CB117" t="e">
        <f>'Delivery Calculation'!D64+"AM:!&amp;j~"</f>
        <v>#VALUE!</v>
      </c>
      <c r="CC117" t="e">
        <f>'Delivery Calculation'!E64+"AM:!&amp;k#"</f>
        <v>#VALUE!</v>
      </c>
      <c r="CD117" s="98" t="e">
        <f>'Delivery Calculation'!F64+"AM:!&amp;k$"</f>
        <v>#VALUE!</v>
      </c>
      <c r="CE117" s="98" t="e">
        <f>'Delivery Calculation'!G64+"AM:!&amp;k%"</f>
        <v>#VALUE!</v>
      </c>
      <c r="CF117" s="97" t="e">
        <f>'Delivery Calculation'!H64+"AM:!&amp;k&amp;"</f>
        <v>#VALUE!</v>
      </c>
      <c r="CG117" s="97" t="e">
        <f>'Delivery Calculation'!I64+"AM:!&amp;k'"</f>
        <v>#VALUE!</v>
      </c>
      <c r="CH117" s="103" t="e">
        <f>'Delivery Calculation'!J64+"AM:!&amp;k("</f>
        <v>#VALUE!</v>
      </c>
      <c r="CI117" s="98" t="e">
        <f>'Delivery Calculation'!K64+"AM:!&amp;k)"</f>
        <v>#VALUE!</v>
      </c>
      <c r="CJ117" s="98" t="e">
        <f>'Delivery Calculation'!L64+"AM:!&amp;k."</f>
        <v>#VALUE!</v>
      </c>
      <c r="CK117" s="99" t="e">
        <f>'Delivery Calculation'!M64+"AM:!&amp;k/"</f>
        <v>#VALUE!</v>
      </c>
      <c r="CL117" s="99" t="e">
        <f>'Delivery Calculation'!N64+"AM:!&amp;k0"</f>
        <v>#VALUE!</v>
      </c>
      <c r="CM117" s="99" t="e">
        <f>'Delivery Calculation'!O64+"AM:!&amp;k1"</f>
        <v>#VALUE!</v>
      </c>
      <c r="CN117" s="99" t="e">
        <f>'Delivery Calculation'!P64+"AM:!&amp;k2"</f>
        <v>#VALUE!</v>
      </c>
      <c r="CO117" s="99" t="e">
        <f>'Delivery Calculation'!Q64+"AM:!&amp;k3"</f>
        <v>#VALUE!</v>
      </c>
      <c r="CP117" s="99" t="e">
        <f>'Delivery Calculation'!R64+"AM:!&amp;k4"</f>
        <v>#VALUE!</v>
      </c>
      <c r="CQ117" s="99" t="e">
        <f>'Delivery Calculation'!S64+"AM:!&amp;k5"</f>
        <v>#VALUE!</v>
      </c>
      <c r="CR117" s="99" t="e">
        <f>'Delivery Calculation'!T64+"AM:!&amp;k6"</f>
        <v>#VALUE!</v>
      </c>
      <c r="CS117" s="99" t="e">
        <f>'Delivery Calculation'!U64+"AM:!&amp;k7"</f>
        <v>#VALUE!</v>
      </c>
      <c r="CT117" s="99" t="e">
        <f>'Delivery Calculation'!V64+"AM:!&amp;k8"</f>
        <v>#VALUE!</v>
      </c>
      <c r="CU117" s="99" t="e">
        <f>'Delivery Calculation'!W64+"AM:!&amp;k9"</f>
        <v>#VALUE!</v>
      </c>
      <c r="CV117" s="99" t="e">
        <f>'Delivery Calculation'!X64+"AM:!&amp;k:"</f>
        <v>#VALUE!</v>
      </c>
      <c r="CW117" s="99" t="e">
        <f>'Delivery Calculation'!Y64+"AM:!&amp;k;"</f>
        <v>#VALUE!</v>
      </c>
      <c r="CX117" s="99" t="e">
        <f>'Delivery Calculation'!Z64+"AM:!&amp;k&lt;"</f>
        <v>#VALUE!</v>
      </c>
      <c r="CY117" s="99" t="e">
        <f>'Delivery Calculation'!AA64+"AM:!&amp;k="</f>
        <v>#VALUE!</v>
      </c>
      <c r="CZ117" s="99" t="e">
        <f>'Delivery Calculation'!AB64+"AM:!&amp;k&gt;"</f>
        <v>#VALUE!</v>
      </c>
      <c r="DA117" s="99" t="e">
        <f>'Delivery Calculation'!AC64+"AM:!&amp;k?"</f>
        <v>#VALUE!</v>
      </c>
      <c r="DB117" s="99" t="e">
        <f>'Delivery Calculation'!AD64+"AM:!&amp;k@"</f>
        <v>#VALUE!</v>
      </c>
      <c r="DC117" s="99" t="e">
        <f>'Delivery Calculation'!AE64+"AM:!&amp;kA"</f>
        <v>#VALUE!</v>
      </c>
      <c r="DD117" s="99" t="e">
        <f>'Delivery Calculation'!AF64+"AM:!&amp;kB"</f>
        <v>#VALUE!</v>
      </c>
      <c r="DE117" s="99" t="e">
        <f>'Delivery Calculation'!AG64+"AM:!&amp;kC"</f>
        <v>#VALUE!</v>
      </c>
      <c r="DF117" s="99" t="e">
        <f>'Delivery Calculation'!AH64+"AM:!&amp;kD"</f>
        <v>#VALUE!</v>
      </c>
      <c r="DG117" s="99" t="e">
        <f>'Delivery Calculation'!AI64+"AM:!&amp;kE"</f>
        <v>#VALUE!</v>
      </c>
      <c r="DH117" s="99" t="e">
        <f>'Delivery Calculation'!AJ64+"AM:!&amp;kF"</f>
        <v>#VALUE!</v>
      </c>
      <c r="DI117" s="99" t="e">
        <f>'Delivery Calculation'!AK64+"AM:!&amp;kG"</f>
        <v>#VALUE!</v>
      </c>
      <c r="DJ117" s="99" t="e">
        <f>'Delivery Calculation'!AL64+"AM:!&amp;kH"</f>
        <v>#VALUE!</v>
      </c>
      <c r="DK117" s="99" t="e">
        <f>'Delivery Calculation'!AM64+"AM:!&amp;kI"</f>
        <v>#VALUE!</v>
      </c>
      <c r="DL117" s="99" t="e">
        <f>'Delivery Calculation'!AN64+"AM:!&amp;kJ"</f>
        <v>#VALUE!</v>
      </c>
      <c r="DM117" s="99" t="e">
        <f>'Delivery Calculation'!AO64+"AM:!&amp;kK"</f>
        <v>#VALUE!</v>
      </c>
      <c r="DN117" s="99" t="e">
        <f>'Delivery Calculation'!AP64+"AM:!&amp;kL"</f>
        <v>#VALUE!</v>
      </c>
      <c r="DO117" s="99" t="e">
        <f>'Delivery Calculation'!AQ64+"AM:!&amp;kM"</f>
        <v>#VALUE!</v>
      </c>
      <c r="DP117" s="99" t="e">
        <f>'Delivery Calculation'!AR64+"AM:!&amp;kN"</f>
        <v>#VALUE!</v>
      </c>
      <c r="DQ117" s="99" t="e">
        <f>'Delivery Calculation'!AS64+"AM:!&amp;kO"</f>
        <v>#VALUE!</v>
      </c>
      <c r="DR117" s="99" t="e">
        <f>'Delivery Calculation'!AT64+"AM:!&amp;kP"</f>
        <v>#VALUE!</v>
      </c>
      <c r="DS117" s="99" t="e">
        <f>'Delivery Calculation'!AU64+"AM:!&amp;kQ"</f>
        <v>#VALUE!</v>
      </c>
      <c r="DT117" s="99" t="e">
        <f>'Delivery Calculation'!AV64+"AM:!&amp;kR"</f>
        <v>#VALUE!</v>
      </c>
      <c r="DU117" s="99" t="e">
        <f>'Delivery Calculation'!AW64+"AM:!&amp;kS"</f>
        <v>#VALUE!</v>
      </c>
      <c r="DV117" s="99" t="e">
        <f>'Delivery Calculation'!AX64+"AM:!&amp;kT"</f>
        <v>#VALUE!</v>
      </c>
      <c r="DW117" t="e">
        <f>'Delivery Calculation'!AY64+"AM:!&amp;kU"</f>
        <v>#VALUE!</v>
      </c>
      <c r="DX117" t="e">
        <f>'Delivery Calculation'!AZ64+"AM:!&amp;kV"</f>
        <v>#VALUE!</v>
      </c>
      <c r="DY117" t="e">
        <f>'Delivery Calculation'!A65+"AM:!&amp;kW"</f>
        <v>#VALUE!</v>
      </c>
      <c r="DZ117" t="e">
        <f>'Delivery Calculation'!B65+"AM:!&amp;kX"</f>
        <v>#VALUE!</v>
      </c>
      <c r="EA117" t="e">
        <f>'Delivery Calculation'!C65+"AM:!&amp;kY"</f>
        <v>#VALUE!</v>
      </c>
      <c r="EB117" t="e">
        <f>'Delivery Calculation'!D65+"AM:!&amp;kZ"</f>
        <v>#VALUE!</v>
      </c>
      <c r="EC117" t="e">
        <f>'Delivery Calculation'!E65+"AM:!&amp;k["</f>
        <v>#VALUE!</v>
      </c>
      <c r="ED117" s="98" t="e">
        <f>'Delivery Calculation'!F65+"AM:!&amp;k\"</f>
        <v>#VALUE!</v>
      </c>
      <c r="EE117" s="98" t="e">
        <f>'Delivery Calculation'!G65+"AM:!&amp;k]"</f>
        <v>#VALUE!</v>
      </c>
      <c r="EF117" s="97" t="e">
        <f>'Delivery Calculation'!H65+"AM:!&amp;k^"</f>
        <v>#VALUE!</v>
      </c>
      <c r="EG117" s="97" t="e">
        <f>'Delivery Calculation'!I65+"AM:!&amp;k_"</f>
        <v>#VALUE!</v>
      </c>
      <c r="EH117" s="103" t="e">
        <f>'Delivery Calculation'!J65+"AM:!&amp;k`"</f>
        <v>#VALUE!</v>
      </c>
      <c r="EI117" s="98" t="e">
        <f>'Delivery Calculation'!K65+"AM:!&amp;ka"</f>
        <v>#VALUE!</v>
      </c>
      <c r="EJ117" s="98" t="e">
        <f>'Delivery Calculation'!L65+"AM:!&amp;kb"</f>
        <v>#VALUE!</v>
      </c>
      <c r="EK117" s="99" t="e">
        <f>'Delivery Calculation'!M65+"AM:!&amp;kc"</f>
        <v>#VALUE!</v>
      </c>
      <c r="EL117" s="99" t="e">
        <f>'Delivery Calculation'!N65+"AM:!&amp;kd"</f>
        <v>#VALUE!</v>
      </c>
      <c r="EM117" s="99" t="e">
        <f>'Delivery Calculation'!O65+"AM:!&amp;ke"</f>
        <v>#VALUE!</v>
      </c>
      <c r="EN117" s="99" t="e">
        <f>'Delivery Calculation'!P65+"AM:!&amp;kf"</f>
        <v>#VALUE!</v>
      </c>
      <c r="EO117" s="99" t="e">
        <f>'Delivery Calculation'!Q65+"AM:!&amp;kg"</f>
        <v>#VALUE!</v>
      </c>
      <c r="EP117" s="99" t="e">
        <f>'Delivery Calculation'!R65+"AM:!&amp;kh"</f>
        <v>#VALUE!</v>
      </c>
      <c r="EQ117" s="99" t="e">
        <f>'Delivery Calculation'!S65+"AM:!&amp;ki"</f>
        <v>#VALUE!</v>
      </c>
      <c r="ER117" s="99" t="e">
        <f>'Delivery Calculation'!T65+"AM:!&amp;kj"</f>
        <v>#VALUE!</v>
      </c>
      <c r="ES117" s="99" t="e">
        <f>'Delivery Calculation'!U65+"AM:!&amp;kk"</f>
        <v>#VALUE!</v>
      </c>
      <c r="ET117" s="99" t="e">
        <f>'Delivery Calculation'!V65+"AM:!&amp;kl"</f>
        <v>#VALUE!</v>
      </c>
      <c r="EU117" s="99" t="e">
        <f>'Delivery Calculation'!W65+"AM:!&amp;km"</f>
        <v>#VALUE!</v>
      </c>
      <c r="EV117" s="99" t="e">
        <f>'Delivery Calculation'!X65+"AM:!&amp;kn"</f>
        <v>#VALUE!</v>
      </c>
      <c r="EW117" s="99" t="e">
        <f>'Delivery Calculation'!Y65+"AM:!&amp;ko"</f>
        <v>#VALUE!</v>
      </c>
      <c r="EX117" s="99" t="e">
        <f>'Delivery Calculation'!Z65+"AM:!&amp;kp"</f>
        <v>#VALUE!</v>
      </c>
      <c r="EY117" s="99" t="e">
        <f>'Delivery Calculation'!AA65+"AM:!&amp;kq"</f>
        <v>#VALUE!</v>
      </c>
      <c r="EZ117" s="99" t="e">
        <f>'Delivery Calculation'!AB65+"AM:!&amp;kr"</f>
        <v>#VALUE!</v>
      </c>
      <c r="FA117" s="99" t="e">
        <f>'Delivery Calculation'!AC65+"AM:!&amp;ks"</f>
        <v>#VALUE!</v>
      </c>
      <c r="FB117" s="99" t="e">
        <f>'Delivery Calculation'!AD65+"AM:!&amp;kt"</f>
        <v>#VALUE!</v>
      </c>
      <c r="FC117" s="99" t="e">
        <f>'Delivery Calculation'!AE65+"AM:!&amp;ku"</f>
        <v>#VALUE!</v>
      </c>
      <c r="FD117" s="99" t="e">
        <f>'Delivery Calculation'!AF65+"AM:!&amp;kv"</f>
        <v>#VALUE!</v>
      </c>
      <c r="FE117" s="99" t="e">
        <f>'Delivery Calculation'!AG65+"AM:!&amp;kw"</f>
        <v>#VALUE!</v>
      </c>
      <c r="FF117" s="99" t="e">
        <f>'Delivery Calculation'!AH65+"AM:!&amp;kx"</f>
        <v>#VALUE!</v>
      </c>
      <c r="FG117" s="99" t="e">
        <f>'Delivery Calculation'!AI65+"AM:!&amp;ky"</f>
        <v>#VALUE!</v>
      </c>
      <c r="FH117" s="99" t="e">
        <f>'Delivery Calculation'!AJ65+"AM:!&amp;kz"</f>
        <v>#VALUE!</v>
      </c>
      <c r="FI117" s="99" t="e">
        <f>'Delivery Calculation'!AK65+"AM:!&amp;k{"</f>
        <v>#VALUE!</v>
      </c>
      <c r="FJ117" s="99" t="e">
        <f>'Delivery Calculation'!AL65+"AM:!&amp;k|"</f>
        <v>#VALUE!</v>
      </c>
      <c r="FK117" s="99" t="e">
        <f>'Delivery Calculation'!AM65+"AM:!&amp;k}"</f>
        <v>#VALUE!</v>
      </c>
      <c r="FL117" s="99" t="e">
        <f>'Delivery Calculation'!AN65+"AM:!&amp;k~"</f>
        <v>#VALUE!</v>
      </c>
      <c r="FM117" s="99" t="e">
        <f>'Delivery Calculation'!AO65+"AM:!&amp;l#"</f>
        <v>#VALUE!</v>
      </c>
      <c r="FN117" s="99" t="e">
        <f>'Delivery Calculation'!AP65+"AM:!&amp;l$"</f>
        <v>#VALUE!</v>
      </c>
      <c r="FO117" s="99" t="e">
        <f>'Delivery Calculation'!AQ65+"AM:!&amp;l%"</f>
        <v>#VALUE!</v>
      </c>
      <c r="FP117" s="99" t="e">
        <f>'Delivery Calculation'!AR65+"AM:!&amp;l&amp;"</f>
        <v>#VALUE!</v>
      </c>
      <c r="FQ117" s="99" t="e">
        <f>'Delivery Calculation'!AS65+"AM:!&amp;l'"</f>
        <v>#VALUE!</v>
      </c>
      <c r="FR117" s="99" t="e">
        <f>'Delivery Calculation'!AT65+"AM:!&amp;l("</f>
        <v>#VALUE!</v>
      </c>
      <c r="FS117" s="99" t="e">
        <f>'Delivery Calculation'!AU65+"AM:!&amp;l)"</f>
        <v>#VALUE!</v>
      </c>
      <c r="FT117" s="99" t="e">
        <f>'Delivery Calculation'!AV65+"AM:!&amp;l."</f>
        <v>#VALUE!</v>
      </c>
      <c r="FU117" s="99" t="e">
        <f>'Delivery Calculation'!AW65+"AM:!&amp;l/"</f>
        <v>#VALUE!</v>
      </c>
      <c r="FV117" s="99" t="e">
        <f>'Delivery Calculation'!AX65+"AM:!&amp;l0"</f>
        <v>#VALUE!</v>
      </c>
      <c r="FW117" t="e">
        <f>'Delivery Calculation'!AY65+"AM:!&amp;l1"</f>
        <v>#VALUE!</v>
      </c>
      <c r="FX117" t="e">
        <f>'Delivery Calculation'!AZ65+"AM:!&amp;l2"</f>
        <v>#VALUE!</v>
      </c>
      <c r="FY117" t="e">
        <f>'Delivery Calculation'!A66+"AM:!&amp;l3"</f>
        <v>#VALUE!</v>
      </c>
      <c r="FZ117" t="e">
        <f>'Delivery Calculation'!B66+"AM:!&amp;l4"</f>
        <v>#VALUE!</v>
      </c>
      <c r="GA117" t="e">
        <f>'Delivery Calculation'!C66+"AM:!&amp;l5"</f>
        <v>#VALUE!</v>
      </c>
      <c r="GB117" t="e">
        <f>'Delivery Calculation'!D66+"AM:!&amp;l6"</f>
        <v>#VALUE!</v>
      </c>
      <c r="GC117" t="e">
        <f>'Delivery Calculation'!E66+"AM:!&amp;l7"</f>
        <v>#VALUE!</v>
      </c>
      <c r="GD117" s="98" t="e">
        <f>'Delivery Calculation'!F66+"AM:!&amp;l8"</f>
        <v>#VALUE!</v>
      </c>
      <c r="GE117" s="98" t="e">
        <f>'Delivery Calculation'!G66+"AM:!&amp;l9"</f>
        <v>#VALUE!</v>
      </c>
      <c r="GF117" s="97" t="e">
        <f>'Delivery Calculation'!H66+"AM:!&amp;l:"</f>
        <v>#VALUE!</v>
      </c>
      <c r="GG117" s="97" t="e">
        <f>'Delivery Calculation'!I66+"AM:!&amp;l;"</f>
        <v>#VALUE!</v>
      </c>
      <c r="GH117" s="103" t="e">
        <f>'Delivery Calculation'!J66+"AM:!&amp;l&lt;"</f>
        <v>#VALUE!</v>
      </c>
      <c r="GI117" s="98" t="e">
        <f>'Delivery Calculation'!K66+"AM:!&amp;l="</f>
        <v>#VALUE!</v>
      </c>
      <c r="GJ117" s="98" t="e">
        <f>'Delivery Calculation'!L66+"AM:!&amp;l&gt;"</f>
        <v>#VALUE!</v>
      </c>
      <c r="GK117" s="99" t="e">
        <f>'Delivery Calculation'!M66+"AM:!&amp;l?"</f>
        <v>#VALUE!</v>
      </c>
      <c r="GL117" s="99" t="e">
        <f>'Delivery Calculation'!N66+"AM:!&amp;l@"</f>
        <v>#VALUE!</v>
      </c>
      <c r="GM117" s="99" t="e">
        <f>'Delivery Calculation'!O66+"AM:!&amp;lA"</f>
        <v>#VALUE!</v>
      </c>
      <c r="GN117" s="99" t="e">
        <f>'Delivery Calculation'!P66+"AM:!&amp;lB"</f>
        <v>#VALUE!</v>
      </c>
      <c r="GO117" s="99" t="e">
        <f>'Delivery Calculation'!Q66+"AM:!&amp;lC"</f>
        <v>#VALUE!</v>
      </c>
      <c r="GP117" s="99" t="e">
        <f>'Delivery Calculation'!R66+"AM:!&amp;lD"</f>
        <v>#VALUE!</v>
      </c>
      <c r="GQ117" s="99" t="e">
        <f>'Delivery Calculation'!S66+"AM:!&amp;lE"</f>
        <v>#VALUE!</v>
      </c>
      <c r="GR117" s="99" t="e">
        <f>'Delivery Calculation'!T66+"AM:!&amp;lF"</f>
        <v>#VALUE!</v>
      </c>
      <c r="GS117" s="99" t="e">
        <f>'Delivery Calculation'!U66+"AM:!&amp;lG"</f>
        <v>#VALUE!</v>
      </c>
      <c r="GT117" s="99" t="e">
        <f>'Delivery Calculation'!V66+"AM:!&amp;lH"</f>
        <v>#VALUE!</v>
      </c>
      <c r="GU117" s="99" t="e">
        <f>'Delivery Calculation'!W66+"AM:!&amp;lI"</f>
        <v>#VALUE!</v>
      </c>
      <c r="GV117" s="99" t="e">
        <f>'Delivery Calculation'!X66+"AM:!&amp;lJ"</f>
        <v>#VALUE!</v>
      </c>
      <c r="GW117" s="99" t="e">
        <f>'Delivery Calculation'!Y66+"AM:!&amp;lK"</f>
        <v>#VALUE!</v>
      </c>
      <c r="GX117" s="99" t="e">
        <f>'Delivery Calculation'!Z66+"AM:!&amp;lL"</f>
        <v>#VALUE!</v>
      </c>
      <c r="GY117" s="99" t="e">
        <f>'Delivery Calculation'!AA66+"AM:!&amp;lM"</f>
        <v>#VALUE!</v>
      </c>
      <c r="GZ117" s="99" t="e">
        <f>'Delivery Calculation'!AB66+"AM:!&amp;lN"</f>
        <v>#VALUE!</v>
      </c>
      <c r="HA117" s="99" t="e">
        <f>'Delivery Calculation'!AC66+"AM:!&amp;lO"</f>
        <v>#VALUE!</v>
      </c>
      <c r="HB117" s="99" t="e">
        <f>'Delivery Calculation'!AD66+"AM:!&amp;lP"</f>
        <v>#VALUE!</v>
      </c>
      <c r="HC117" s="99" t="e">
        <f>'Delivery Calculation'!AE66+"AM:!&amp;lQ"</f>
        <v>#VALUE!</v>
      </c>
      <c r="HD117" s="99" t="e">
        <f>'Delivery Calculation'!AF66+"AM:!&amp;lR"</f>
        <v>#VALUE!</v>
      </c>
      <c r="HE117" s="99" t="e">
        <f>'Delivery Calculation'!AG66+"AM:!&amp;lS"</f>
        <v>#VALUE!</v>
      </c>
      <c r="HF117" s="99" t="e">
        <f>'Delivery Calculation'!AH66+"AM:!&amp;lT"</f>
        <v>#VALUE!</v>
      </c>
      <c r="HG117" s="99" t="e">
        <f>'Delivery Calculation'!AI66+"AM:!&amp;lU"</f>
        <v>#VALUE!</v>
      </c>
      <c r="HH117" s="99" t="e">
        <f>'Delivery Calculation'!AJ66+"AM:!&amp;lV"</f>
        <v>#VALUE!</v>
      </c>
      <c r="HI117" s="99" t="e">
        <f>'Delivery Calculation'!AK66+"AM:!&amp;lW"</f>
        <v>#VALUE!</v>
      </c>
      <c r="HJ117" s="99" t="e">
        <f>'Delivery Calculation'!AL66+"AM:!&amp;lX"</f>
        <v>#VALUE!</v>
      </c>
      <c r="HK117" s="99" t="e">
        <f>'Delivery Calculation'!AM66+"AM:!&amp;lY"</f>
        <v>#VALUE!</v>
      </c>
      <c r="HL117" s="99" t="e">
        <f>'Delivery Calculation'!AN66+"AM:!&amp;lZ"</f>
        <v>#VALUE!</v>
      </c>
      <c r="HM117" s="99" t="e">
        <f>'Delivery Calculation'!AO66+"AM:!&amp;l["</f>
        <v>#VALUE!</v>
      </c>
      <c r="HN117" s="99" t="e">
        <f>'Delivery Calculation'!AP66+"AM:!&amp;l\"</f>
        <v>#VALUE!</v>
      </c>
      <c r="HO117" s="99" t="e">
        <f>'Delivery Calculation'!AQ66+"AM:!&amp;l]"</f>
        <v>#VALUE!</v>
      </c>
      <c r="HP117" s="99" t="e">
        <f>'Delivery Calculation'!AR66+"AM:!&amp;l^"</f>
        <v>#VALUE!</v>
      </c>
      <c r="HQ117" s="99" t="e">
        <f>'Delivery Calculation'!AS66+"AM:!&amp;l_"</f>
        <v>#VALUE!</v>
      </c>
      <c r="HR117" s="99" t="e">
        <f>'Delivery Calculation'!AT66+"AM:!&amp;l`"</f>
        <v>#VALUE!</v>
      </c>
      <c r="HS117" s="99" t="e">
        <f>'Delivery Calculation'!AU66+"AM:!&amp;la"</f>
        <v>#VALUE!</v>
      </c>
      <c r="HT117" s="99" t="e">
        <f>'Delivery Calculation'!AV66+"AM:!&amp;lb"</f>
        <v>#VALUE!</v>
      </c>
      <c r="HU117" s="99" t="e">
        <f>'Delivery Calculation'!AW66+"AM:!&amp;lc"</f>
        <v>#VALUE!</v>
      </c>
      <c r="HV117" s="99" t="e">
        <f>'Delivery Calculation'!AX66+"AM:!&amp;ld"</f>
        <v>#VALUE!</v>
      </c>
      <c r="HW117" t="e">
        <f>'Delivery Calculation'!AY66+"AM:!&amp;le"</f>
        <v>#VALUE!</v>
      </c>
      <c r="HX117" t="e">
        <f>'Delivery Calculation'!AZ66+"AM:!&amp;lf"</f>
        <v>#VALUE!</v>
      </c>
      <c r="HY117" t="e">
        <f>'Delivery Calculation'!A67+"AM:!&amp;lg"</f>
        <v>#VALUE!</v>
      </c>
      <c r="HZ117" t="e">
        <f>'Delivery Calculation'!B67+"AM:!&amp;lh"</f>
        <v>#VALUE!</v>
      </c>
      <c r="IA117" t="e">
        <f>'Delivery Calculation'!C67+"AM:!&amp;li"</f>
        <v>#VALUE!</v>
      </c>
      <c r="IB117" t="e">
        <f>'Delivery Calculation'!D67+"AM:!&amp;lj"</f>
        <v>#VALUE!</v>
      </c>
      <c r="IC117" t="e">
        <f>'Delivery Calculation'!E67+"AM:!&amp;lk"</f>
        <v>#VALUE!</v>
      </c>
      <c r="ID117" s="98" t="e">
        <f>'Delivery Calculation'!F67+"AM:!&amp;ll"</f>
        <v>#VALUE!</v>
      </c>
      <c r="IE117" s="98" t="e">
        <f>'Delivery Calculation'!G67+"AM:!&amp;lm"</f>
        <v>#VALUE!</v>
      </c>
      <c r="IF117" s="97" t="e">
        <f>'Delivery Calculation'!H67+"AM:!&amp;ln"</f>
        <v>#VALUE!</v>
      </c>
      <c r="IG117" s="97" t="e">
        <f>'Delivery Calculation'!I67+"AM:!&amp;lo"</f>
        <v>#VALUE!</v>
      </c>
      <c r="IH117" s="103" t="e">
        <f>'Delivery Calculation'!J67+"AM:!&amp;lp"</f>
        <v>#VALUE!</v>
      </c>
      <c r="II117" s="98" t="e">
        <f>'Delivery Calculation'!K67+"AM:!&amp;lq"</f>
        <v>#VALUE!</v>
      </c>
      <c r="IJ117" s="98" t="e">
        <f>'Delivery Calculation'!L67+"AM:!&amp;lr"</f>
        <v>#VALUE!</v>
      </c>
      <c r="IK117" s="99" t="e">
        <f>'Delivery Calculation'!M67+"AM:!&amp;ls"</f>
        <v>#VALUE!</v>
      </c>
      <c r="IL117" s="99" t="e">
        <f>'Delivery Calculation'!N67+"AM:!&amp;lt"</f>
        <v>#VALUE!</v>
      </c>
      <c r="IM117" s="99" t="e">
        <f>'Delivery Calculation'!O67+"AM:!&amp;lu"</f>
        <v>#VALUE!</v>
      </c>
      <c r="IN117" s="99" t="e">
        <f>'Delivery Calculation'!P67+"AM:!&amp;lv"</f>
        <v>#VALUE!</v>
      </c>
      <c r="IO117" s="99" t="e">
        <f>'Delivery Calculation'!Q67+"AM:!&amp;lw"</f>
        <v>#VALUE!</v>
      </c>
      <c r="IP117" s="99" t="e">
        <f>'Delivery Calculation'!R67+"AM:!&amp;lx"</f>
        <v>#VALUE!</v>
      </c>
      <c r="IQ117" s="99" t="e">
        <f>'Delivery Calculation'!S67+"AM:!&amp;ly"</f>
        <v>#VALUE!</v>
      </c>
      <c r="IR117" s="99" t="e">
        <f>'Delivery Calculation'!T67+"AM:!&amp;lz"</f>
        <v>#VALUE!</v>
      </c>
      <c r="IS117" s="99" t="e">
        <f>'Delivery Calculation'!U67+"AM:!&amp;l{"</f>
        <v>#VALUE!</v>
      </c>
      <c r="IT117" s="99" t="e">
        <f>'Delivery Calculation'!V67+"AM:!&amp;l|"</f>
        <v>#VALUE!</v>
      </c>
      <c r="IU117" s="99" t="e">
        <f>'Delivery Calculation'!W67+"AM:!&amp;l}"</f>
        <v>#VALUE!</v>
      </c>
      <c r="IV117" s="99" t="e">
        <f>'Delivery Calculation'!X67+"AM:!&amp;l~"</f>
        <v>#VALUE!</v>
      </c>
    </row>
    <row r="118" spans="6:256">
      <c r="F118" s="99" t="e">
        <f>'Delivery Calculation'!Y67+"AM:!&amp;m#"</f>
        <v>#VALUE!</v>
      </c>
      <c r="G118" s="99" t="e">
        <f>'Delivery Calculation'!Z67+"AM:!&amp;m$"</f>
        <v>#VALUE!</v>
      </c>
      <c r="H118" s="99" t="e">
        <f>'Delivery Calculation'!AA67+"AM:!&amp;m%"</f>
        <v>#VALUE!</v>
      </c>
      <c r="I118" s="99" t="e">
        <f>'Delivery Calculation'!AB67+"AM:!&amp;m&amp;"</f>
        <v>#VALUE!</v>
      </c>
      <c r="J118" s="99" t="e">
        <f>'Delivery Calculation'!AC67+"AM:!&amp;m'"</f>
        <v>#VALUE!</v>
      </c>
      <c r="K118" s="99" t="e">
        <f>'Delivery Calculation'!AD67+"AM:!&amp;m("</f>
        <v>#VALUE!</v>
      </c>
      <c r="L118" s="99" t="e">
        <f>'Delivery Calculation'!AE67+"AM:!&amp;m)"</f>
        <v>#VALUE!</v>
      </c>
      <c r="M118" s="99" t="e">
        <f>'Delivery Calculation'!AF67+"AM:!&amp;m."</f>
        <v>#VALUE!</v>
      </c>
      <c r="N118" s="99" t="e">
        <f>'Delivery Calculation'!AG67+"AM:!&amp;m/"</f>
        <v>#VALUE!</v>
      </c>
      <c r="O118" s="99" t="e">
        <f>'Delivery Calculation'!AH67+"AM:!&amp;m0"</f>
        <v>#VALUE!</v>
      </c>
      <c r="P118" s="99" t="e">
        <f>'Delivery Calculation'!AI67+"AM:!&amp;m1"</f>
        <v>#VALUE!</v>
      </c>
      <c r="Q118" s="99" t="e">
        <f>'Delivery Calculation'!AJ67+"AM:!&amp;m2"</f>
        <v>#VALUE!</v>
      </c>
      <c r="R118" s="99" t="e">
        <f>'Delivery Calculation'!AK67+"AM:!&amp;m3"</f>
        <v>#VALUE!</v>
      </c>
      <c r="S118" s="99" t="e">
        <f>'Delivery Calculation'!AL67+"AM:!&amp;m4"</f>
        <v>#VALUE!</v>
      </c>
      <c r="T118" s="99" t="e">
        <f>'Delivery Calculation'!AM67+"AM:!&amp;m5"</f>
        <v>#VALUE!</v>
      </c>
      <c r="U118" s="99" t="e">
        <f>'Delivery Calculation'!AN67+"AM:!&amp;m6"</f>
        <v>#VALUE!</v>
      </c>
      <c r="V118" s="99" t="e">
        <f>'Delivery Calculation'!AO67+"AM:!&amp;m7"</f>
        <v>#VALUE!</v>
      </c>
      <c r="W118" s="99" t="e">
        <f>'Delivery Calculation'!AP67+"AM:!&amp;m8"</f>
        <v>#VALUE!</v>
      </c>
      <c r="X118" s="99" t="e">
        <f>'Delivery Calculation'!AQ67+"AM:!&amp;m9"</f>
        <v>#VALUE!</v>
      </c>
      <c r="Y118" s="99" t="e">
        <f>'Delivery Calculation'!AR67+"AM:!&amp;m:"</f>
        <v>#VALUE!</v>
      </c>
      <c r="Z118" s="99" t="e">
        <f>'Delivery Calculation'!AS67+"AM:!&amp;m;"</f>
        <v>#VALUE!</v>
      </c>
      <c r="AA118" s="99" t="e">
        <f>'Delivery Calculation'!AT67+"AM:!&amp;m&lt;"</f>
        <v>#VALUE!</v>
      </c>
      <c r="AB118" s="99" t="e">
        <f>'Delivery Calculation'!AU67+"AM:!&amp;m="</f>
        <v>#VALUE!</v>
      </c>
      <c r="AC118" s="99" t="e">
        <f>'Delivery Calculation'!AV67+"AM:!&amp;m&gt;"</f>
        <v>#VALUE!</v>
      </c>
      <c r="AD118" s="99" t="e">
        <f>'Delivery Calculation'!AW67+"AM:!&amp;m?"</f>
        <v>#VALUE!</v>
      </c>
      <c r="AE118" s="99" t="e">
        <f>'Delivery Calculation'!AX67+"AM:!&amp;m@"</f>
        <v>#VALUE!</v>
      </c>
      <c r="AF118" t="e">
        <f>'Delivery Calculation'!AY67+"AM:!&amp;mA"</f>
        <v>#VALUE!</v>
      </c>
      <c r="AG118" t="e">
        <f>'Delivery Calculation'!AZ67+"AM:!&amp;mB"</f>
        <v>#VALUE!</v>
      </c>
      <c r="AH118" t="e">
        <f>'Delivery Calculation'!A68+"AM:!&amp;mC"</f>
        <v>#VALUE!</v>
      </c>
      <c r="AI118" t="e">
        <f>'Delivery Calculation'!B68+"AM:!&amp;mD"</f>
        <v>#VALUE!</v>
      </c>
      <c r="AJ118" t="e">
        <f>'Delivery Calculation'!C68+"AM:!&amp;mE"</f>
        <v>#VALUE!</v>
      </c>
      <c r="AK118" t="e">
        <f>'Delivery Calculation'!D68+"AM:!&amp;mF"</f>
        <v>#VALUE!</v>
      </c>
      <c r="AL118" t="e">
        <f>'Delivery Calculation'!E68+"AM:!&amp;mG"</f>
        <v>#VALUE!</v>
      </c>
      <c r="AM118" s="98" t="e">
        <f>'Delivery Calculation'!F68+"AM:!&amp;mH"</f>
        <v>#VALUE!</v>
      </c>
      <c r="AN118" s="98" t="e">
        <f>'Delivery Calculation'!G68+"AM:!&amp;mI"</f>
        <v>#VALUE!</v>
      </c>
      <c r="AO118" s="97" t="e">
        <f>'Delivery Calculation'!H68+"AM:!&amp;mJ"</f>
        <v>#VALUE!</v>
      </c>
      <c r="AP118" s="97" t="e">
        <f>'Delivery Calculation'!I68+"AM:!&amp;mK"</f>
        <v>#VALUE!</v>
      </c>
      <c r="AQ118" s="103" t="e">
        <f>'Delivery Calculation'!J68+"AM:!&amp;mL"</f>
        <v>#VALUE!</v>
      </c>
      <c r="AR118" s="98" t="e">
        <f>'Delivery Calculation'!K68+"AM:!&amp;mM"</f>
        <v>#VALUE!</v>
      </c>
      <c r="AS118" s="98" t="e">
        <f>'Delivery Calculation'!L68+"AM:!&amp;mN"</f>
        <v>#VALUE!</v>
      </c>
      <c r="AT118" s="99" t="e">
        <f>'Delivery Calculation'!M68+"AM:!&amp;mO"</f>
        <v>#VALUE!</v>
      </c>
      <c r="AU118" s="99" t="e">
        <f>'Delivery Calculation'!N68+"AM:!&amp;mP"</f>
        <v>#VALUE!</v>
      </c>
      <c r="AV118" s="99" t="e">
        <f>'Delivery Calculation'!O68+"AM:!&amp;mQ"</f>
        <v>#VALUE!</v>
      </c>
      <c r="AW118" s="99" t="e">
        <f>'Delivery Calculation'!P68+"AM:!&amp;mR"</f>
        <v>#VALUE!</v>
      </c>
      <c r="AX118" s="99" t="e">
        <f>'Delivery Calculation'!Q68+"AM:!&amp;mS"</f>
        <v>#VALUE!</v>
      </c>
      <c r="AY118" s="99" t="e">
        <f>'Delivery Calculation'!R68+"AM:!&amp;mT"</f>
        <v>#VALUE!</v>
      </c>
      <c r="AZ118" s="99" t="e">
        <f>'Delivery Calculation'!S68+"AM:!&amp;mU"</f>
        <v>#VALUE!</v>
      </c>
      <c r="BA118" s="99" t="e">
        <f>'Delivery Calculation'!T68+"AM:!&amp;mV"</f>
        <v>#VALUE!</v>
      </c>
      <c r="BB118" s="99" t="e">
        <f>'Delivery Calculation'!U68+"AM:!&amp;mW"</f>
        <v>#VALUE!</v>
      </c>
      <c r="BC118" s="99" t="e">
        <f>'Delivery Calculation'!V68+"AM:!&amp;mX"</f>
        <v>#VALUE!</v>
      </c>
      <c r="BD118" s="99" t="e">
        <f>'Delivery Calculation'!W68+"AM:!&amp;mY"</f>
        <v>#VALUE!</v>
      </c>
      <c r="BE118" s="99" t="e">
        <f>'Delivery Calculation'!X68+"AM:!&amp;mZ"</f>
        <v>#VALUE!</v>
      </c>
      <c r="BF118" s="99" t="e">
        <f>'Delivery Calculation'!Y68+"AM:!&amp;m["</f>
        <v>#VALUE!</v>
      </c>
      <c r="BG118" s="99" t="e">
        <f>'Delivery Calculation'!Z68+"AM:!&amp;m\"</f>
        <v>#VALUE!</v>
      </c>
      <c r="BH118" s="99" t="e">
        <f>'Delivery Calculation'!AA68+"AM:!&amp;m]"</f>
        <v>#VALUE!</v>
      </c>
      <c r="BI118" s="99" t="e">
        <f>'Delivery Calculation'!AB68+"AM:!&amp;m^"</f>
        <v>#VALUE!</v>
      </c>
      <c r="BJ118" s="99" t="e">
        <f>'Delivery Calculation'!AC68+"AM:!&amp;m_"</f>
        <v>#VALUE!</v>
      </c>
      <c r="BK118" s="99" t="e">
        <f>'Delivery Calculation'!AD68+"AM:!&amp;m`"</f>
        <v>#VALUE!</v>
      </c>
      <c r="BL118" s="99" t="e">
        <f>'Delivery Calculation'!AE68+"AM:!&amp;ma"</f>
        <v>#VALUE!</v>
      </c>
      <c r="BM118" s="99" t="e">
        <f>'Delivery Calculation'!AF68+"AM:!&amp;mb"</f>
        <v>#VALUE!</v>
      </c>
      <c r="BN118" s="99" t="e">
        <f>'Delivery Calculation'!AG68+"AM:!&amp;mc"</f>
        <v>#VALUE!</v>
      </c>
      <c r="BO118" s="99" t="e">
        <f>'Delivery Calculation'!AH68+"AM:!&amp;md"</f>
        <v>#VALUE!</v>
      </c>
      <c r="BP118" s="99" t="e">
        <f>'Delivery Calculation'!AI68+"AM:!&amp;me"</f>
        <v>#VALUE!</v>
      </c>
      <c r="BQ118" s="99" t="e">
        <f>'Delivery Calculation'!AJ68+"AM:!&amp;mf"</f>
        <v>#VALUE!</v>
      </c>
      <c r="BR118" s="99" t="e">
        <f>'Delivery Calculation'!AK68+"AM:!&amp;mg"</f>
        <v>#VALUE!</v>
      </c>
      <c r="BS118" s="99" t="e">
        <f>'Delivery Calculation'!AL68+"AM:!&amp;mh"</f>
        <v>#VALUE!</v>
      </c>
      <c r="BT118" s="99" t="e">
        <f>'Delivery Calculation'!AM68+"AM:!&amp;mi"</f>
        <v>#VALUE!</v>
      </c>
      <c r="BU118" s="99" t="e">
        <f>'Delivery Calculation'!AN68+"AM:!&amp;mj"</f>
        <v>#VALUE!</v>
      </c>
      <c r="BV118" s="99" t="e">
        <f>'Delivery Calculation'!AO68+"AM:!&amp;mk"</f>
        <v>#VALUE!</v>
      </c>
      <c r="BW118" s="99" t="e">
        <f>'Delivery Calculation'!AP68+"AM:!&amp;ml"</f>
        <v>#VALUE!</v>
      </c>
      <c r="BX118" s="99" t="e">
        <f>'Delivery Calculation'!AQ68+"AM:!&amp;mm"</f>
        <v>#VALUE!</v>
      </c>
      <c r="BY118" s="99" t="e">
        <f>'Delivery Calculation'!AR68+"AM:!&amp;mn"</f>
        <v>#VALUE!</v>
      </c>
      <c r="BZ118" s="99" t="e">
        <f>'Delivery Calculation'!AS68+"AM:!&amp;mo"</f>
        <v>#VALUE!</v>
      </c>
      <c r="CA118" s="99" t="e">
        <f>'Delivery Calculation'!AT68+"AM:!&amp;mp"</f>
        <v>#VALUE!</v>
      </c>
      <c r="CB118" s="99" t="e">
        <f>'Delivery Calculation'!AU68+"AM:!&amp;mq"</f>
        <v>#VALUE!</v>
      </c>
      <c r="CC118" s="99" t="e">
        <f>'Delivery Calculation'!AV68+"AM:!&amp;mr"</f>
        <v>#VALUE!</v>
      </c>
      <c r="CD118" s="99" t="e">
        <f>'Delivery Calculation'!AW68+"AM:!&amp;ms"</f>
        <v>#VALUE!</v>
      </c>
      <c r="CE118" s="99" t="e">
        <f>'Delivery Calculation'!AX68+"AM:!&amp;mt"</f>
        <v>#VALUE!</v>
      </c>
      <c r="CF118" t="e">
        <f>'Delivery Calculation'!AY68+"AM:!&amp;mu"</f>
        <v>#VALUE!</v>
      </c>
      <c r="CG118" t="e">
        <f>'Delivery Calculation'!AZ68+"AM:!&amp;mv"</f>
        <v>#VALUE!</v>
      </c>
      <c r="CH118" t="e">
        <f>'Delivery Calculation'!A69+"AM:!&amp;mw"</f>
        <v>#VALUE!</v>
      </c>
      <c r="CI118" t="e">
        <f>'Delivery Calculation'!B69+"AM:!&amp;mx"</f>
        <v>#VALUE!</v>
      </c>
      <c r="CJ118" t="e">
        <f>'Delivery Calculation'!C69+"AM:!&amp;my"</f>
        <v>#VALUE!</v>
      </c>
      <c r="CK118" t="e">
        <f>'Delivery Calculation'!D69+"AM:!&amp;mz"</f>
        <v>#VALUE!</v>
      </c>
      <c r="CL118" t="e">
        <f>'Delivery Calculation'!E69+"AM:!&amp;m{"</f>
        <v>#VALUE!</v>
      </c>
      <c r="CM118" s="98" t="e">
        <f>'Delivery Calculation'!F69+"AM:!&amp;m|"</f>
        <v>#VALUE!</v>
      </c>
      <c r="CN118" s="98" t="e">
        <f>'Delivery Calculation'!G69+"AM:!&amp;m}"</f>
        <v>#VALUE!</v>
      </c>
      <c r="CO118" s="97" t="e">
        <f>'Delivery Calculation'!H69+"AM:!&amp;m~"</f>
        <v>#VALUE!</v>
      </c>
      <c r="CP118" s="97" t="e">
        <f>'Delivery Calculation'!I69+"AM:!&amp;n#"</f>
        <v>#VALUE!</v>
      </c>
      <c r="CQ118" s="103" t="e">
        <f>'Delivery Calculation'!J69+"AM:!&amp;n$"</f>
        <v>#VALUE!</v>
      </c>
      <c r="CR118" s="98" t="e">
        <f>'Delivery Calculation'!K69+"AM:!&amp;n%"</f>
        <v>#VALUE!</v>
      </c>
      <c r="CS118" s="98" t="e">
        <f>'Delivery Calculation'!L69+"AM:!&amp;n&amp;"</f>
        <v>#VALUE!</v>
      </c>
      <c r="CT118" s="99" t="e">
        <f>'Delivery Calculation'!M69+"AM:!&amp;n'"</f>
        <v>#VALUE!</v>
      </c>
      <c r="CU118" s="99" t="e">
        <f>'Delivery Calculation'!N69+"AM:!&amp;n("</f>
        <v>#VALUE!</v>
      </c>
      <c r="CV118" s="99" t="e">
        <f>'Delivery Calculation'!O69+"AM:!&amp;n)"</f>
        <v>#VALUE!</v>
      </c>
      <c r="CW118" s="99" t="e">
        <f>'Delivery Calculation'!P69+"AM:!&amp;n."</f>
        <v>#VALUE!</v>
      </c>
      <c r="CX118" s="99" t="e">
        <f>'Delivery Calculation'!Q69+"AM:!&amp;n/"</f>
        <v>#VALUE!</v>
      </c>
      <c r="CY118" s="99" t="e">
        <f>'Delivery Calculation'!R69+"AM:!&amp;n0"</f>
        <v>#VALUE!</v>
      </c>
      <c r="CZ118" s="99" t="e">
        <f>'Delivery Calculation'!S69+"AM:!&amp;n1"</f>
        <v>#VALUE!</v>
      </c>
      <c r="DA118" s="99" t="e">
        <f>'Delivery Calculation'!T69+"AM:!&amp;n2"</f>
        <v>#VALUE!</v>
      </c>
      <c r="DB118" s="99" t="e">
        <f>'Delivery Calculation'!U69+"AM:!&amp;n3"</f>
        <v>#VALUE!</v>
      </c>
      <c r="DC118" s="99" t="e">
        <f>'Delivery Calculation'!V69+"AM:!&amp;n4"</f>
        <v>#VALUE!</v>
      </c>
      <c r="DD118" s="99" t="e">
        <f>'Delivery Calculation'!W69+"AM:!&amp;n5"</f>
        <v>#VALUE!</v>
      </c>
      <c r="DE118" s="99" t="e">
        <f>'Delivery Calculation'!X69+"AM:!&amp;n6"</f>
        <v>#VALUE!</v>
      </c>
      <c r="DF118" s="99" t="e">
        <f>'Delivery Calculation'!Y69+"AM:!&amp;n7"</f>
        <v>#VALUE!</v>
      </c>
      <c r="DG118" s="99" t="e">
        <f>'Delivery Calculation'!Z69+"AM:!&amp;n8"</f>
        <v>#VALUE!</v>
      </c>
      <c r="DH118" s="99" t="e">
        <f>'Delivery Calculation'!AA69+"AM:!&amp;n9"</f>
        <v>#VALUE!</v>
      </c>
      <c r="DI118" s="99" t="e">
        <f>'Delivery Calculation'!AB69+"AM:!&amp;n:"</f>
        <v>#VALUE!</v>
      </c>
      <c r="DJ118" s="99" t="e">
        <f>'Delivery Calculation'!AC69+"AM:!&amp;n;"</f>
        <v>#VALUE!</v>
      </c>
      <c r="DK118" s="99" t="e">
        <f>'Delivery Calculation'!AD69+"AM:!&amp;n&lt;"</f>
        <v>#VALUE!</v>
      </c>
      <c r="DL118" s="99" t="e">
        <f>'Delivery Calculation'!AE69+"AM:!&amp;n="</f>
        <v>#VALUE!</v>
      </c>
      <c r="DM118" s="99" t="e">
        <f>'Delivery Calculation'!AF69+"AM:!&amp;n&gt;"</f>
        <v>#VALUE!</v>
      </c>
      <c r="DN118" s="99" t="e">
        <f>'Delivery Calculation'!AG69+"AM:!&amp;n?"</f>
        <v>#VALUE!</v>
      </c>
      <c r="DO118" s="99" t="e">
        <f>'Delivery Calculation'!AH69+"AM:!&amp;n@"</f>
        <v>#VALUE!</v>
      </c>
      <c r="DP118" s="99" t="e">
        <f>'Delivery Calculation'!AI69+"AM:!&amp;nA"</f>
        <v>#VALUE!</v>
      </c>
      <c r="DQ118" s="99" t="e">
        <f>'Delivery Calculation'!AJ69+"AM:!&amp;nB"</f>
        <v>#VALUE!</v>
      </c>
      <c r="DR118" s="99" t="e">
        <f>'Delivery Calculation'!AK69+"AM:!&amp;nC"</f>
        <v>#VALUE!</v>
      </c>
      <c r="DS118" s="99" t="e">
        <f>'Delivery Calculation'!AL69+"AM:!&amp;nD"</f>
        <v>#VALUE!</v>
      </c>
      <c r="DT118" s="99" t="e">
        <f>'Delivery Calculation'!AM69+"AM:!&amp;nE"</f>
        <v>#VALUE!</v>
      </c>
      <c r="DU118" s="99" t="e">
        <f>'Delivery Calculation'!AN69+"AM:!&amp;nF"</f>
        <v>#VALUE!</v>
      </c>
      <c r="DV118" s="99" t="e">
        <f>'Delivery Calculation'!AO69+"AM:!&amp;nG"</f>
        <v>#VALUE!</v>
      </c>
      <c r="DW118" s="99" t="e">
        <f>'Delivery Calculation'!AP69+"AM:!&amp;nH"</f>
        <v>#VALUE!</v>
      </c>
      <c r="DX118" s="99" t="e">
        <f>'Delivery Calculation'!AQ69+"AM:!&amp;nI"</f>
        <v>#VALUE!</v>
      </c>
      <c r="DY118" s="99" t="e">
        <f>'Delivery Calculation'!AR69+"AM:!&amp;nJ"</f>
        <v>#VALUE!</v>
      </c>
      <c r="DZ118" s="99" t="e">
        <f>'Delivery Calculation'!AS69+"AM:!&amp;nK"</f>
        <v>#VALUE!</v>
      </c>
      <c r="EA118" s="99" t="e">
        <f>'Delivery Calculation'!AT69+"AM:!&amp;nL"</f>
        <v>#VALUE!</v>
      </c>
      <c r="EB118" s="99" t="e">
        <f>'Delivery Calculation'!AU69+"AM:!&amp;nM"</f>
        <v>#VALUE!</v>
      </c>
      <c r="EC118" s="99" t="e">
        <f>'Delivery Calculation'!AV69+"AM:!&amp;nN"</f>
        <v>#VALUE!</v>
      </c>
      <c r="ED118" s="99" t="e">
        <f>'Delivery Calculation'!AW69+"AM:!&amp;nO"</f>
        <v>#VALUE!</v>
      </c>
      <c r="EE118" s="99" t="e">
        <f>'Delivery Calculation'!AX69+"AM:!&amp;nP"</f>
        <v>#VALUE!</v>
      </c>
      <c r="EF118" t="e">
        <f>'Delivery Calculation'!AY69+"AM:!&amp;nQ"</f>
        <v>#VALUE!</v>
      </c>
      <c r="EG118" t="e">
        <f>'Delivery Calculation'!AZ69+"AM:!&amp;nR"</f>
        <v>#VALUE!</v>
      </c>
      <c r="EH118" t="e">
        <f>'Delivery Calculation'!A70+"AM:!&amp;nS"</f>
        <v>#VALUE!</v>
      </c>
      <c r="EI118" t="e">
        <f>'Delivery Calculation'!B70+"AM:!&amp;nT"</f>
        <v>#VALUE!</v>
      </c>
      <c r="EJ118" t="e">
        <f>'Delivery Calculation'!C70+"AM:!&amp;nU"</f>
        <v>#VALUE!</v>
      </c>
      <c r="EK118" t="e">
        <f>'Delivery Calculation'!D70+"AM:!&amp;nV"</f>
        <v>#VALUE!</v>
      </c>
      <c r="EL118" t="e">
        <f>'Delivery Calculation'!E70+"AM:!&amp;nW"</f>
        <v>#VALUE!</v>
      </c>
      <c r="EM118" s="98" t="e">
        <f>'Delivery Calculation'!F70+"AM:!&amp;nX"</f>
        <v>#VALUE!</v>
      </c>
      <c r="EN118" s="98" t="e">
        <f>'Delivery Calculation'!G70+"AM:!&amp;nY"</f>
        <v>#VALUE!</v>
      </c>
      <c r="EO118" s="97" t="e">
        <f>'Delivery Calculation'!H70+"AM:!&amp;nZ"</f>
        <v>#VALUE!</v>
      </c>
      <c r="EP118" s="97" t="e">
        <f>'Delivery Calculation'!I70+"AM:!&amp;n["</f>
        <v>#VALUE!</v>
      </c>
      <c r="EQ118" s="103" t="e">
        <f>'Delivery Calculation'!J70+"AM:!&amp;n\"</f>
        <v>#VALUE!</v>
      </c>
      <c r="ER118" s="98" t="e">
        <f>'Delivery Calculation'!K70+"AM:!&amp;n]"</f>
        <v>#VALUE!</v>
      </c>
      <c r="ES118" s="98" t="e">
        <f>'Delivery Calculation'!L70+"AM:!&amp;n^"</f>
        <v>#VALUE!</v>
      </c>
      <c r="ET118" s="99" t="e">
        <f>'Delivery Calculation'!M70+"AM:!&amp;n_"</f>
        <v>#VALUE!</v>
      </c>
      <c r="EU118" s="99" t="e">
        <f>'Delivery Calculation'!N70+"AM:!&amp;n`"</f>
        <v>#VALUE!</v>
      </c>
      <c r="EV118" s="99" t="e">
        <f>'Delivery Calculation'!O70+"AM:!&amp;na"</f>
        <v>#VALUE!</v>
      </c>
      <c r="EW118" s="99" t="e">
        <f>'Delivery Calculation'!P70+"AM:!&amp;nb"</f>
        <v>#VALUE!</v>
      </c>
      <c r="EX118" s="99" t="e">
        <f>'Delivery Calculation'!Q70+"AM:!&amp;nc"</f>
        <v>#VALUE!</v>
      </c>
      <c r="EY118" s="99" t="e">
        <f>'Delivery Calculation'!R70+"AM:!&amp;nd"</f>
        <v>#VALUE!</v>
      </c>
      <c r="EZ118" s="99" t="e">
        <f>'Delivery Calculation'!S70+"AM:!&amp;ne"</f>
        <v>#VALUE!</v>
      </c>
      <c r="FA118" s="99" t="e">
        <f>'Delivery Calculation'!T70+"AM:!&amp;nf"</f>
        <v>#VALUE!</v>
      </c>
      <c r="FB118" s="99" t="e">
        <f>'Delivery Calculation'!U70+"AM:!&amp;ng"</f>
        <v>#VALUE!</v>
      </c>
      <c r="FC118" s="99" t="e">
        <f>'Delivery Calculation'!V70+"AM:!&amp;nh"</f>
        <v>#VALUE!</v>
      </c>
      <c r="FD118" s="99" t="e">
        <f>'Delivery Calculation'!W70+"AM:!&amp;ni"</f>
        <v>#VALUE!</v>
      </c>
      <c r="FE118" s="99" t="e">
        <f>'Delivery Calculation'!X70+"AM:!&amp;nj"</f>
        <v>#VALUE!</v>
      </c>
      <c r="FF118" s="99" t="e">
        <f>'Delivery Calculation'!Y70+"AM:!&amp;nk"</f>
        <v>#VALUE!</v>
      </c>
      <c r="FG118" s="99" t="e">
        <f>'Delivery Calculation'!Z70+"AM:!&amp;nl"</f>
        <v>#VALUE!</v>
      </c>
      <c r="FH118" s="99" t="e">
        <f>'Delivery Calculation'!AA70+"AM:!&amp;nm"</f>
        <v>#VALUE!</v>
      </c>
      <c r="FI118" s="99" t="e">
        <f>'Delivery Calculation'!AB70+"AM:!&amp;nn"</f>
        <v>#VALUE!</v>
      </c>
      <c r="FJ118" s="99" t="e">
        <f>'Delivery Calculation'!AC70+"AM:!&amp;no"</f>
        <v>#VALUE!</v>
      </c>
      <c r="FK118" s="99" t="e">
        <f>'Delivery Calculation'!AD70+"AM:!&amp;np"</f>
        <v>#VALUE!</v>
      </c>
      <c r="FL118" s="99" t="e">
        <f>'Delivery Calculation'!AE70+"AM:!&amp;nq"</f>
        <v>#VALUE!</v>
      </c>
      <c r="FM118" s="99" t="e">
        <f>'Delivery Calculation'!AF70+"AM:!&amp;nr"</f>
        <v>#VALUE!</v>
      </c>
      <c r="FN118" s="99" t="e">
        <f>'Delivery Calculation'!AG70+"AM:!&amp;ns"</f>
        <v>#VALUE!</v>
      </c>
      <c r="FO118" s="99" t="e">
        <f>'Delivery Calculation'!AH70+"AM:!&amp;nt"</f>
        <v>#VALUE!</v>
      </c>
      <c r="FP118" s="99" t="e">
        <f>'Delivery Calculation'!AI70+"AM:!&amp;nu"</f>
        <v>#VALUE!</v>
      </c>
      <c r="FQ118" s="99" t="e">
        <f>'Delivery Calculation'!AJ70+"AM:!&amp;nv"</f>
        <v>#VALUE!</v>
      </c>
      <c r="FR118" s="99" t="e">
        <f>'Delivery Calculation'!AK70+"AM:!&amp;nw"</f>
        <v>#VALUE!</v>
      </c>
      <c r="FS118" s="99" t="e">
        <f>'Delivery Calculation'!AL70+"AM:!&amp;nx"</f>
        <v>#VALUE!</v>
      </c>
      <c r="FT118" s="99" t="e">
        <f>'Delivery Calculation'!AM70+"AM:!&amp;ny"</f>
        <v>#VALUE!</v>
      </c>
      <c r="FU118" s="99" t="e">
        <f>'Delivery Calculation'!AN70+"AM:!&amp;nz"</f>
        <v>#VALUE!</v>
      </c>
      <c r="FV118" s="99" t="e">
        <f>'Delivery Calculation'!AO70+"AM:!&amp;n{"</f>
        <v>#VALUE!</v>
      </c>
      <c r="FW118" s="99" t="e">
        <f>'Delivery Calculation'!AP70+"AM:!&amp;n|"</f>
        <v>#VALUE!</v>
      </c>
      <c r="FX118" s="99" t="e">
        <f>'Delivery Calculation'!AQ70+"AM:!&amp;n}"</f>
        <v>#VALUE!</v>
      </c>
      <c r="FY118" s="99" t="e">
        <f>'Delivery Calculation'!AR70+"AM:!&amp;n~"</f>
        <v>#VALUE!</v>
      </c>
      <c r="FZ118" s="99" t="e">
        <f>'Delivery Calculation'!AS70+"AM:!&amp;o#"</f>
        <v>#VALUE!</v>
      </c>
      <c r="GA118" s="99" t="e">
        <f>'Delivery Calculation'!AT70+"AM:!&amp;o$"</f>
        <v>#VALUE!</v>
      </c>
      <c r="GB118" s="99" t="e">
        <f>'Delivery Calculation'!AU70+"AM:!&amp;o%"</f>
        <v>#VALUE!</v>
      </c>
      <c r="GC118" s="99" t="e">
        <f>'Delivery Calculation'!AV70+"AM:!&amp;o&amp;"</f>
        <v>#VALUE!</v>
      </c>
      <c r="GD118" s="99" t="e">
        <f>'Delivery Calculation'!AW70+"AM:!&amp;o'"</f>
        <v>#VALUE!</v>
      </c>
      <c r="GE118" s="99" t="e">
        <f>'Delivery Calculation'!AX70+"AM:!&amp;o("</f>
        <v>#VALUE!</v>
      </c>
      <c r="GF118" t="e">
        <f>'Delivery Calculation'!AY70+"AM:!&amp;o)"</f>
        <v>#VALUE!</v>
      </c>
      <c r="GG118" t="e">
        <f>'Delivery Calculation'!AZ70+"AM:!&amp;o."</f>
        <v>#VALUE!</v>
      </c>
      <c r="GH118" t="e">
        <f>'Delivery Calculation'!A71+"AM:!&amp;o/"</f>
        <v>#VALUE!</v>
      </c>
      <c r="GI118" t="e">
        <f>'Delivery Calculation'!B71+"AM:!&amp;o0"</f>
        <v>#VALUE!</v>
      </c>
      <c r="GJ118" t="e">
        <f>'Delivery Calculation'!C71+"AM:!&amp;o1"</f>
        <v>#VALUE!</v>
      </c>
      <c r="GK118" t="e">
        <f>'Delivery Calculation'!D71+"AM:!&amp;o2"</f>
        <v>#VALUE!</v>
      </c>
      <c r="GL118" t="e">
        <f>'Delivery Calculation'!E71+"AM:!&amp;o3"</f>
        <v>#VALUE!</v>
      </c>
      <c r="GM118" s="98" t="e">
        <f>'Delivery Calculation'!F71+"AM:!&amp;o4"</f>
        <v>#VALUE!</v>
      </c>
      <c r="GN118" s="98" t="e">
        <f>'Delivery Calculation'!G71+"AM:!&amp;o5"</f>
        <v>#VALUE!</v>
      </c>
      <c r="GO118" s="97" t="e">
        <f>'Delivery Calculation'!H71+"AM:!&amp;o6"</f>
        <v>#VALUE!</v>
      </c>
      <c r="GP118" s="97" t="e">
        <f>'Delivery Calculation'!I71+"AM:!&amp;o7"</f>
        <v>#VALUE!</v>
      </c>
      <c r="GQ118" s="103" t="e">
        <f>'Delivery Calculation'!J71+"AM:!&amp;o8"</f>
        <v>#VALUE!</v>
      </c>
      <c r="GR118" s="98" t="e">
        <f>'Delivery Calculation'!K71+"AM:!&amp;o9"</f>
        <v>#VALUE!</v>
      </c>
      <c r="GS118" s="98" t="e">
        <f>'Delivery Calculation'!L71+"AM:!&amp;o:"</f>
        <v>#VALUE!</v>
      </c>
      <c r="GT118" s="99" t="e">
        <f>'Delivery Calculation'!M71+"AM:!&amp;o;"</f>
        <v>#VALUE!</v>
      </c>
      <c r="GU118" s="99" t="e">
        <f>'Delivery Calculation'!N71+"AM:!&amp;o&lt;"</f>
        <v>#VALUE!</v>
      </c>
      <c r="GV118" s="99" t="e">
        <f>'Delivery Calculation'!O71+"AM:!&amp;o="</f>
        <v>#VALUE!</v>
      </c>
      <c r="GW118" s="99" t="e">
        <f>'Delivery Calculation'!P71+"AM:!&amp;o&gt;"</f>
        <v>#VALUE!</v>
      </c>
      <c r="GX118" s="99" t="e">
        <f>'Delivery Calculation'!Q71+"AM:!&amp;o?"</f>
        <v>#VALUE!</v>
      </c>
      <c r="GY118" s="99" t="e">
        <f>'Delivery Calculation'!R71+"AM:!&amp;o@"</f>
        <v>#VALUE!</v>
      </c>
      <c r="GZ118" s="99" t="e">
        <f>'Delivery Calculation'!S71+"AM:!&amp;oA"</f>
        <v>#VALUE!</v>
      </c>
      <c r="HA118" s="99" t="e">
        <f>'Delivery Calculation'!T71+"AM:!&amp;oB"</f>
        <v>#VALUE!</v>
      </c>
      <c r="HB118" s="99" t="e">
        <f>'Delivery Calculation'!U71+"AM:!&amp;oC"</f>
        <v>#VALUE!</v>
      </c>
      <c r="HC118" s="99" t="e">
        <f>'Delivery Calculation'!V71+"AM:!&amp;oD"</f>
        <v>#VALUE!</v>
      </c>
      <c r="HD118" s="99" t="e">
        <f>'Delivery Calculation'!W71+"AM:!&amp;oE"</f>
        <v>#VALUE!</v>
      </c>
      <c r="HE118" s="99" t="e">
        <f>'Delivery Calculation'!X71+"AM:!&amp;oF"</f>
        <v>#VALUE!</v>
      </c>
      <c r="HF118" s="99" t="e">
        <f>'Delivery Calculation'!Y71+"AM:!&amp;oG"</f>
        <v>#VALUE!</v>
      </c>
      <c r="HG118" s="99" t="e">
        <f>'Delivery Calculation'!Z71+"AM:!&amp;oH"</f>
        <v>#VALUE!</v>
      </c>
      <c r="HH118" s="99" t="e">
        <f>'Delivery Calculation'!AA71+"AM:!&amp;oI"</f>
        <v>#VALUE!</v>
      </c>
      <c r="HI118" s="99" t="e">
        <f>'Delivery Calculation'!AB71+"AM:!&amp;oJ"</f>
        <v>#VALUE!</v>
      </c>
      <c r="HJ118" s="99" t="e">
        <f>'Delivery Calculation'!AC71+"AM:!&amp;oK"</f>
        <v>#VALUE!</v>
      </c>
      <c r="HK118" s="99" t="e">
        <f>'Delivery Calculation'!AD71+"AM:!&amp;oL"</f>
        <v>#VALUE!</v>
      </c>
      <c r="HL118" s="99" t="e">
        <f>'Delivery Calculation'!AE71+"AM:!&amp;oM"</f>
        <v>#VALUE!</v>
      </c>
      <c r="HM118" s="99" t="e">
        <f>'Delivery Calculation'!AF71+"AM:!&amp;oN"</f>
        <v>#VALUE!</v>
      </c>
      <c r="HN118" s="99" t="e">
        <f>'Delivery Calculation'!AG71+"AM:!&amp;oO"</f>
        <v>#VALUE!</v>
      </c>
      <c r="HO118" s="99" t="e">
        <f>'Delivery Calculation'!AH71+"AM:!&amp;oP"</f>
        <v>#VALUE!</v>
      </c>
      <c r="HP118" s="99" t="e">
        <f>'Delivery Calculation'!AI71+"AM:!&amp;oQ"</f>
        <v>#VALUE!</v>
      </c>
      <c r="HQ118" s="99" t="e">
        <f>'Delivery Calculation'!AJ71+"AM:!&amp;oR"</f>
        <v>#VALUE!</v>
      </c>
      <c r="HR118" s="99" t="e">
        <f>'Delivery Calculation'!AK71+"AM:!&amp;oS"</f>
        <v>#VALUE!</v>
      </c>
      <c r="HS118" s="99" t="e">
        <f>'Delivery Calculation'!AL71+"AM:!&amp;oT"</f>
        <v>#VALUE!</v>
      </c>
      <c r="HT118" s="99" t="e">
        <f>'Delivery Calculation'!AM71+"AM:!&amp;oU"</f>
        <v>#VALUE!</v>
      </c>
      <c r="HU118" s="99" t="e">
        <f>'Delivery Calculation'!AN71+"AM:!&amp;oV"</f>
        <v>#VALUE!</v>
      </c>
      <c r="HV118" s="99" t="e">
        <f>'Delivery Calculation'!AO71+"AM:!&amp;oW"</f>
        <v>#VALUE!</v>
      </c>
      <c r="HW118" s="99" t="e">
        <f>'Delivery Calculation'!AP71+"AM:!&amp;oX"</f>
        <v>#VALUE!</v>
      </c>
      <c r="HX118" s="99" t="e">
        <f>'Delivery Calculation'!AQ71+"AM:!&amp;oY"</f>
        <v>#VALUE!</v>
      </c>
      <c r="HY118" s="99" t="e">
        <f>'Delivery Calculation'!AR71+"AM:!&amp;oZ"</f>
        <v>#VALUE!</v>
      </c>
      <c r="HZ118" s="99" t="e">
        <f>'Delivery Calculation'!AS71+"AM:!&amp;o["</f>
        <v>#VALUE!</v>
      </c>
      <c r="IA118" s="99" t="e">
        <f>'Delivery Calculation'!AT71+"AM:!&amp;o\"</f>
        <v>#VALUE!</v>
      </c>
      <c r="IB118" s="99" t="e">
        <f>'Delivery Calculation'!AU71+"AM:!&amp;o]"</f>
        <v>#VALUE!</v>
      </c>
      <c r="IC118" s="99" t="e">
        <f>'Delivery Calculation'!AV71+"AM:!&amp;o^"</f>
        <v>#VALUE!</v>
      </c>
      <c r="ID118" s="99" t="e">
        <f>'Delivery Calculation'!AW71+"AM:!&amp;o_"</f>
        <v>#VALUE!</v>
      </c>
      <c r="IE118" s="99" t="e">
        <f>'Delivery Calculation'!AX71+"AM:!&amp;o`"</f>
        <v>#VALUE!</v>
      </c>
      <c r="IF118" t="e">
        <f>'Delivery Calculation'!AY71+"AM:!&amp;oa"</f>
        <v>#VALUE!</v>
      </c>
      <c r="IG118" t="e">
        <f>'Delivery Calculation'!AZ71+"AM:!&amp;ob"</f>
        <v>#VALUE!</v>
      </c>
      <c r="IH118" t="e">
        <f>'Delivery Calculation'!A72+"AM:!&amp;oc"</f>
        <v>#VALUE!</v>
      </c>
      <c r="II118" t="e">
        <f>'Delivery Calculation'!B72+"AM:!&amp;od"</f>
        <v>#VALUE!</v>
      </c>
      <c r="IJ118" t="e">
        <f>'Delivery Calculation'!C72+"AM:!&amp;oe"</f>
        <v>#VALUE!</v>
      </c>
      <c r="IK118" t="e">
        <f>'Delivery Calculation'!D72+"AM:!&amp;of"</f>
        <v>#VALUE!</v>
      </c>
      <c r="IL118" t="e">
        <f>'Delivery Calculation'!E72+"AM:!&amp;og"</f>
        <v>#VALUE!</v>
      </c>
      <c r="IM118" s="98" t="e">
        <f>'Delivery Calculation'!F72+"AM:!&amp;oh"</f>
        <v>#VALUE!</v>
      </c>
      <c r="IN118" s="98" t="e">
        <f>'Delivery Calculation'!G72+"AM:!&amp;oi"</f>
        <v>#VALUE!</v>
      </c>
      <c r="IO118" s="97" t="e">
        <f>'Delivery Calculation'!H72+"AM:!&amp;oj"</f>
        <v>#VALUE!</v>
      </c>
      <c r="IP118" s="97" t="e">
        <f>'Delivery Calculation'!I72+"AM:!&amp;ok"</f>
        <v>#VALUE!</v>
      </c>
      <c r="IQ118" s="103" t="e">
        <f>'Delivery Calculation'!J72+"AM:!&amp;ol"</f>
        <v>#VALUE!</v>
      </c>
      <c r="IR118" s="98" t="e">
        <f>'Delivery Calculation'!K72+"AM:!&amp;om"</f>
        <v>#VALUE!</v>
      </c>
      <c r="IS118" s="98" t="e">
        <f>'Delivery Calculation'!L72+"AM:!&amp;on"</f>
        <v>#VALUE!</v>
      </c>
      <c r="IT118" s="99" t="e">
        <f>'Delivery Calculation'!M72+"AM:!&amp;oo"</f>
        <v>#VALUE!</v>
      </c>
      <c r="IU118" s="99" t="e">
        <f>'Delivery Calculation'!N72+"AM:!&amp;op"</f>
        <v>#VALUE!</v>
      </c>
      <c r="IV118" s="99" t="e">
        <f>'Delivery Calculation'!O72+"AM:!&amp;oq"</f>
        <v>#VALUE!</v>
      </c>
    </row>
    <row r="119" spans="6:256">
      <c r="F119" s="99" t="e">
        <f>'Delivery Calculation'!P72+"AM:!&amp;or"</f>
        <v>#VALUE!</v>
      </c>
      <c r="G119" s="99" t="e">
        <f>'Delivery Calculation'!Q72+"AM:!&amp;os"</f>
        <v>#VALUE!</v>
      </c>
      <c r="H119" s="99" t="e">
        <f>'Delivery Calculation'!R72+"AM:!&amp;ot"</f>
        <v>#VALUE!</v>
      </c>
      <c r="I119" s="99" t="e">
        <f>'Delivery Calculation'!S72+"AM:!&amp;ou"</f>
        <v>#VALUE!</v>
      </c>
      <c r="J119" s="99" t="e">
        <f>'Delivery Calculation'!T72+"AM:!&amp;ov"</f>
        <v>#VALUE!</v>
      </c>
      <c r="K119" s="99" t="e">
        <f>'Delivery Calculation'!U72+"AM:!&amp;ow"</f>
        <v>#VALUE!</v>
      </c>
      <c r="L119" s="99" t="e">
        <f>'Delivery Calculation'!V72+"AM:!&amp;ox"</f>
        <v>#VALUE!</v>
      </c>
      <c r="M119" s="99" t="e">
        <f>'Delivery Calculation'!W72+"AM:!&amp;oy"</f>
        <v>#VALUE!</v>
      </c>
      <c r="N119" s="99" t="e">
        <f>'Delivery Calculation'!X72+"AM:!&amp;oz"</f>
        <v>#VALUE!</v>
      </c>
      <c r="O119" s="99" t="e">
        <f>'Delivery Calculation'!Y72+"AM:!&amp;o{"</f>
        <v>#VALUE!</v>
      </c>
      <c r="P119" s="99" t="e">
        <f>'Delivery Calculation'!Z72+"AM:!&amp;o|"</f>
        <v>#VALUE!</v>
      </c>
      <c r="Q119" s="99" t="e">
        <f>'Delivery Calculation'!AA72+"AM:!&amp;o}"</f>
        <v>#VALUE!</v>
      </c>
      <c r="R119" s="99" t="e">
        <f>'Delivery Calculation'!AB72+"AM:!&amp;o~"</f>
        <v>#VALUE!</v>
      </c>
      <c r="S119" s="99" t="e">
        <f>'Delivery Calculation'!AC72+"AM:!&amp;p#"</f>
        <v>#VALUE!</v>
      </c>
      <c r="T119" s="99" t="e">
        <f>'Delivery Calculation'!AD72+"AM:!&amp;p$"</f>
        <v>#VALUE!</v>
      </c>
      <c r="U119" s="99" t="e">
        <f>'Delivery Calculation'!AE72+"AM:!&amp;p%"</f>
        <v>#VALUE!</v>
      </c>
      <c r="V119" s="99" t="e">
        <f>'Delivery Calculation'!AF72+"AM:!&amp;p&amp;"</f>
        <v>#VALUE!</v>
      </c>
      <c r="W119" s="99" t="e">
        <f>'Delivery Calculation'!AG72+"AM:!&amp;p'"</f>
        <v>#VALUE!</v>
      </c>
      <c r="X119" s="99" t="e">
        <f>'Delivery Calculation'!AH72+"AM:!&amp;p("</f>
        <v>#VALUE!</v>
      </c>
      <c r="Y119" s="99" t="e">
        <f>'Delivery Calculation'!AI72+"AM:!&amp;p)"</f>
        <v>#VALUE!</v>
      </c>
      <c r="Z119" s="99" t="e">
        <f>'Delivery Calculation'!AJ72+"AM:!&amp;p."</f>
        <v>#VALUE!</v>
      </c>
      <c r="AA119" s="99" t="e">
        <f>'Delivery Calculation'!AK72+"AM:!&amp;p/"</f>
        <v>#VALUE!</v>
      </c>
      <c r="AB119" s="99" t="e">
        <f>'Delivery Calculation'!AL72+"AM:!&amp;p0"</f>
        <v>#VALUE!</v>
      </c>
      <c r="AC119" s="99" t="e">
        <f>'Delivery Calculation'!AM72+"AM:!&amp;p1"</f>
        <v>#VALUE!</v>
      </c>
      <c r="AD119" s="99" t="e">
        <f>'Delivery Calculation'!AN72+"AM:!&amp;p2"</f>
        <v>#VALUE!</v>
      </c>
      <c r="AE119" s="99" t="e">
        <f>'Delivery Calculation'!AO72+"AM:!&amp;p3"</f>
        <v>#VALUE!</v>
      </c>
      <c r="AF119" s="99" t="e">
        <f>'Delivery Calculation'!AP72+"AM:!&amp;p4"</f>
        <v>#VALUE!</v>
      </c>
      <c r="AG119" s="99" t="e">
        <f>'Delivery Calculation'!AQ72+"AM:!&amp;p5"</f>
        <v>#VALUE!</v>
      </c>
      <c r="AH119" s="99" t="e">
        <f>'Delivery Calculation'!AR72+"AM:!&amp;p6"</f>
        <v>#VALUE!</v>
      </c>
      <c r="AI119" s="99" t="e">
        <f>'Delivery Calculation'!AS72+"AM:!&amp;p7"</f>
        <v>#VALUE!</v>
      </c>
      <c r="AJ119" s="99" t="e">
        <f>'Delivery Calculation'!AT72+"AM:!&amp;p8"</f>
        <v>#VALUE!</v>
      </c>
      <c r="AK119" s="99" t="e">
        <f>'Delivery Calculation'!AU72+"AM:!&amp;p9"</f>
        <v>#VALUE!</v>
      </c>
      <c r="AL119" s="99" t="e">
        <f>'Delivery Calculation'!AV72+"AM:!&amp;p:"</f>
        <v>#VALUE!</v>
      </c>
      <c r="AM119" s="99" t="e">
        <f>'Delivery Calculation'!AW72+"AM:!&amp;p;"</f>
        <v>#VALUE!</v>
      </c>
      <c r="AN119" s="99" t="e">
        <f>'Delivery Calculation'!AX72+"AM:!&amp;p&lt;"</f>
        <v>#VALUE!</v>
      </c>
      <c r="AO119" t="e">
        <f>'Delivery Calculation'!AY72+"AM:!&amp;p="</f>
        <v>#VALUE!</v>
      </c>
      <c r="AP119" t="e">
        <f>'Delivery Calculation'!AZ72+"AM:!&amp;p&gt;"</f>
        <v>#VALUE!</v>
      </c>
      <c r="AQ119" t="e">
        <f>'Delivery Calculation'!A73+"AM:!&amp;p?"</f>
        <v>#VALUE!</v>
      </c>
      <c r="AR119" t="e">
        <f>'Delivery Calculation'!B73+"AM:!&amp;p@"</f>
        <v>#VALUE!</v>
      </c>
      <c r="AS119" t="e">
        <f>'Delivery Calculation'!C73+"AM:!&amp;pA"</f>
        <v>#VALUE!</v>
      </c>
      <c r="AT119" t="e">
        <f>'Delivery Calculation'!D73+"AM:!&amp;pB"</f>
        <v>#VALUE!</v>
      </c>
      <c r="AU119" t="e">
        <f>'Delivery Calculation'!E73+"AM:!&amp;pC"</f>
        <v>#VALUE!</v>
      </c>
      <c r="AV119" s="98" t="e">
        <f>'Delivery Calculation'!F73+"AM:!&amp;pD"</f>
        <v>#VALUE!</v>
      </c>
      <c r="AW119" s="98" t="e">
        <f>'Delivery Calculation'!G73+"AM:!&amp;pE"</f>
        <v>#VALUE!</v>
      </c>
      <c r="AX119" s="97" t="e">
        <f>'Delivery Calculation'!H73+"AM:!&amp;pF"</f>
        <v>#VALUE!</v>
      </c>
      <c r="AY119" s="97" t="e">
        <f>'Delivery Calculation'!I73+"AM:!&amp;pG"</f>
        <v>#VALUE!</v>
      </c>
      <c r="AZ119" s="103" t="e">
        <f>'Delivery Calculation'!J73+"AM:!&amp;pH"</f>
        <v>#VALUE!</v>
      </c>
      <c r="BA119" s="98" t="e">
        <f>'Delivery Calculation'!K73+"AM:!&amp;pI"</f>
        <v>#VALUE!</v>
      </c>
      <c r="BB119" s="98" t="e">
        <f>'Delivery Calculation'!L73+"AM:!&amp;pJ"</f>
        <v>#VALUE!</v>
      </c>
      <c r="BC119" s="99" t="e">
        <f>'Delivery Calculation'!M73+"AM:!&amp;pK"</f>
        <v>#VALUE!</v>
      </c>
      <c r="BD119" s="99" t="e">
        <f>'Delivery Calculation'!N73+"AM:!&amp;pL"</f>
        <v>#VALUE!</v>
      </c>
      <c r="BE119" s="99" t="e">
        <f>'Delivery Calculation'!O73+"AM:!&amp;pM"</f>
        <v>#VALUE!</v>
      </c>
      <c r="BF119" s="99" t="e">
        <f>'Delivery Calculation'!P73+"AM:!&amp;pN"</f>
        <v>#VALUE!</v>
      </c>
      <c r="BG119" s="99" t="e">
        <f>'Delivery Calculation'!Q73+"AM:!&amp;pO"</f>
        <v>#VALUE!</v>
      </c>
      <c r="BH119" s="99" t="e">
        <f>'Delivery Calculation'!R73+"AM:!&amp;pP"</f>
        <v>#VALUE!</v>
      </c>
      <c r="BI119" s="99" t="e">
        <f>'Delivery Calculation'!S73+"AM:!&amp;pQ"</f>
        <v>#VALUE!</v>
      </c>
      <c r="BJ119" s="99" t="e">
        <f>'Delivery Calculation'!T73+"AM:!&amp;pR"</f>
        <v>#VALUE!</v>
      </c>
      <c r="BK119" s="99" t="e">
        <f>'Delivery Calculation'!U73+"AM:!&amp;pS"</f>
        <v>#VALUE!</v>
      </c>
      <c r="BL119" s="99" t="e">
        <f>'Delivery Calculation'!V73+"AM:!&amp;pT"</f>
        <v>#VALUE!</v>
      </c>
      <c r="BM119" s="99" t="e">
        <f>'Delivery Calculation'!W73+"AM:!&amp;pU"</f>
        <v>#VALUE!</v>
      </c>
      <c r="BN119" s="99" t="e">
        <f>'Delivery Calculation'!X73+"AM:!&amp;pV"</f>
        <v>#VALUE!</v>
      </c>
      <c r="BO119" s="99" t="e">
        <f>'Delivery Calculation'!Y73+"AM:!&amp;pW"</f>
        <v>#VALUE!</v>
      </c>
      <c r="BP119" s="99" t="e">
        <f>'Delivery Calculation'!Z73+"AM:!&amp;pX"</f>
        <v>#VALUE!</v>
      </c>
      <c r="BQ119" s="99" t="e">
        <f>'Delivery Calculation'!AA73+"AM:!&amp;pY"</f>
        <v>#VALUE!</v>
      </c>
      <c r="BR119" s="99" t="e">
        <f>'Delivery Calculation'!AB73+"AM:!&amp;pZ"</f>
        <v>#VALUE!</v>
      </c>
      <c r="BS119" s="99" t="e">
        <f>'Delivery Calculation'!AC73+"AM:!&amp;p["</f>
        <v>#VALUE!</v>
      </c>
      <c r="BT119" s="99" t="e">
        <f>'Delivery Calculation'!AD73+"AM:!&amp;p\"</f>
        <v>#VALUE!</v>
      </c>
      <c r="BU119" s="99" t="e">
        <f>'Delivery Calculation'!AE73+"AM:!&amp;p]"</f>
        <v>#VALUE!</v>
      </c>
      <c r="BV119" s="99" t="e">
        <f>'Delivery Calculation'!AF73+"AM:!&amp;p^"</f>
        <v>#VALUE!</v>
      </c>
      <c r="BW119" s="99" t="e">
        <f>'Delivery Calculation'!AG73+"AM:!&amp;p_"</f>
        <v>#VALUE!</v>
      </c>
      <c r="BX119" s="99" t="e">
        <f>'Delivery Calculation'!AH73+"AM:!&amp;p`"</f>
        <v>#VALUE!</v>
      </c>
      <c r="BY119" s="99" t="e">
        <f>'Delivery Calculation'!AI73+"AM:!&amp;pa"</f>
        <v>#VALUE!</v>
      </c>
      <c r="BZ119" s="99" t="e">
        <f>'Delivery Calculation'!AJ73+"AM:!&amp;pb"</f>
        <v>#VALUE!</v>
      </c>
      <c r="CA119" s="99" t="e">
        <f>'Delivery Calculation'!AK73+"AM:!&amp;pc"</f>
        <v>#VALUE!</v>
      </c>
      <c r="CB119" s="99" t="e">
        <f>'Delivery Calculation'!AL73+"AM:!&amp;pd"</f>
        <v>#VALUE!</v>
      </c>
      <c r="CC119" s="99" t="e">
        <f>'Delivery Calculation'!AM73+"AM:!&amp;pe"</f>
        <v>#VALUE!</v>
      </c>
      <c r="CD119" s="99" t="e">
        <f>'Delivery Calculation'!AN73+"AM:!&amp;pf"</f>
        <v>#VALUE!</v>
      </c>
      <c r="CE119" s="99" t="e">
        <f>'Delivery Calculation'!AO73+"AM:!&amp;pg"</f>
        <v>#VALUE!</v>
      </c>
      <c r="CF119" s="99" t="e">
        <f>'Delivery Calculation'!AP73+"AM:!&amp;ph"</f>
        <v>#VALUE!</v>
      </c>
      <c r="CG119" s="99" t="e">
        <f>'Delivery Calculation'!AQ73+"AM:!&amp;pi"</f>
        <v>#VALUE!</v>
      </c>
      <c r="CH119" s="99" t="e">
        <f>'Delivery Calculation'!AR73+"AM:!&amp;pj"</f>
        <v>#VALUE!</v>
      </c>
      <c r="CI119" s="99" t="e">
        <f>'Delivery Calculation'!AS73+"AM:!&amp;pk"</f>
        <v>#VALUE!</v>
      </c>
      <c r="CJ119" s="99" t="e">
        <f>'Delivery Calculation'!AT73+"AM:!&amp;pl"</f>
        <v>#VALUE!</v>
      </c>
      <c r="CK119" s="99" t="e">
        <f>'Delivery Calculation'!AU73+"AM:!&amp;pm"</f>
        <v>#VALUE!</v>
      </c>
      <c r="CL119" s="99" t="e">
        <f>'Delivery Calculation'!AV73+"AM:!&amp;pn"</f>
        <v>#VALUE!</v>
      </c>
      <c r="CM119" s="99" t="e">
        <f>'Delivery Calculation'!AW73+"AM:!&amp;po"</f>
        <v>#VALUE!</v>
      </c>
      <c r="CN119" s="99" t="e">
        <f>'Delivery Calculation'!AX73+"AM:!&amp;pp"</f>
        <v>#VALUE!</v>
      </c>
      <c r="CO119" t="e">
        <f>'Delivery Calculation'!AY73+"AM:!&amp;pq"</f>
        <v>#VALUE!</v>
      </c>
      <c r="CP119" t="e">
        <f>'Delivery Calculation'!AZ73+"AM:!&amp;pr"</f>
        <v>#VALUE!</v>
      </c>
      <c r="CQ119" t="e">
        <f>'Delivery Calculation'!A74+"AM:!&amp;ps"</f>
        <v>#VALUE!</v>
      </c>
      <c r="CR119" t="e">
        <f>'Delivery Calculation'!B74+"AM:!&amp;pt"</f>
        <v>#VALUE!</v>
      </c>
      <c r="CS119" t="e">
        <f>'Delivery Calculation'!C74+"AM:!&amp;pu"</f>
        <v>#VALUE!</v>
      </c>
      <c r="CT119" t="e">
        <f>'Delivery Calculation'!D74+"AM:!&amp;pv"</f>
        <v>#VALUE!</v>
      </c>
      <c r="CU119" t="e">
        <f>'Delivery Calculation'!E74+"AM:!&amp;pw"</f>
        <v>#VALUE!</v>
      </c>
      <c r="CV119" s="98" t="e">
        <f>'Delivery Calculation'!F74+"AM:!&amp;px"</f>
        <v>#VALUE!</v>
      </c>
      <c r="CW119" s="98" t="e">
        <f>'Delivery Calculation'!G74+"AM:!&amp;py"</f>
        <v>#VALUE!</v>
      </c>
      <c r="CX119" s="97" t="e">
        <f>'Delivery Calculation'!H74+"AM:!&amp;pz"</f>
        <v>#VALUE!</v>
      </c>
      <c r="CY119" s="97" t="e">
        <f>'Delivery Calculation'!I74+"AM:!&amp;p{"</f>
        <v>#VALUE!</v>
      </c>
      <c r="CZ119" s="103" t="e">
        <f>'Delivery Calculation'!J74+"AM:!&amp;p|"</f>
        <v>#VALUE!</v>
      </c>
      <c r="DA119" s="98" t="e">
        <f>'Delivery Calculation'!K74+"AM:!&amp;p}"</f>
        <v>#VALUE!</v>
      </c>
      <c r="DB119" s="98" t="e">
        <f>'Delivery Calculation'!L74+"AM:!&amp;p~"</f>
        <v>#VALUE!</v>
      </c>
      <c r="DC119" s="99" t="e">
        <f>'Delivery Calculation'!M74+"AM:!&amp;q#"</f>
        <v>#VALUE!</v>
      </c>
      <c r="DD119" s="99" t="e">
        <f>'Delivery Calculation'!N74+"AM:!&amp;q$"</f>
        <v>#VALUE!</v>
      </c>
      <c r="DE119" s="99" t="e">
        <f>'Delivery Calculation'!O74+"AM:!&amp;q%"</f>
        <v>#VALUE!</v>
      </c>
      <c r="DF119" s="99" t="e">
        <f>'Delivery Calculation'!P74+"AM:!&amp;q&amp;"</f>
        <v>#VALUE!</v>
      </c>
      <c r="DG119" s="99" t="e">
        <f>'Delivery Calculation'!Q74+"AM:!&amp;q'"</f>
        <v>#VALUE!</v>
      </c>
      <c r="DH119" s="99" t="e">
        <f>'Delivery Calculation'!R74+"AM:!&amp;q("</f>
        <v>#VALUE!</v>
      </c>
      <c r="DI119" s="99" t="e">
        <f>'Delivery Calculation'!S74+"AM:!&amp;q)"</f>
        <v>#VALUE!</v>
      </c>
      <c r="DJ119" s="99" t="e">
        <f>'Delivery Calculation'!T74+"AM:!&amp;q."</f>
        <v>#VALUE!</v>
      </c>
      <c r="DK119" s="99" t="e">
        <f>'Delivery Calculation'!U74+"AM:!&amp;q/"</f>
        <v>#VALUE!</v>
      </c>
      <c r="DL119" s="99" t="e">
        <f>'Delivery Calculation'!V74+"AM:!&amp;q0"</f>
        <v>#VALUE!</v>
      </c>
      <c r="DM119" s="99" t="e">
        <f>'Delivery Calculation'!W74+"AM:!&amp;q1"</f>
        <v>#VALUE!</v>
      </c>
      <c r="DN119" s="99" t="e">
        <f>'Delivery Calculation'!X74+"AM:!&amp;q2"</f>
        <v>#VALUE!</v>
      </c>
      <c r="DO119" s="99" t="e">
        <f>'Delivery Calculation'!Y74+"AM:!&amp;q3"</f>
        <v>#VALUE!</v>
      </c>
      <c r="DP119" s="99" t="e">
        <f>'Delivery Calculation'!Z74+"AM:!&amp;q4"</f>
        <v>#VALUE!</v>
      </c>
      <c r="DQ119" s="99" t="e">
        <f>'Delivery Calculation'!AA74+"AM:!&amp;q5"</f>
        <v>#VALUE!</v>
      </c>
      <c r="DR119" s="99" t="e">
        <f>'Delivery Calculation'!AB74+"AM:!&amp;q6"</f>
        <v>#VALUE!</v>
      </c>
      <c r="DS119" s="99" t="e">
        <f>'Delivery Calculation'!AC74+"AM:!&amp;q7"</f>
        <v>#VALUE!</v>
      </c>
      <c r="DT119" s="99" t="e">
        <f>'Delivery Calculation'!AD74+"AM:!&amp;q8"</f>
        <v>#VALUE!</v>
      </c>
      <c r="DU119" s="99" t="e">
        <f>'Delivery Calculation'!AE74+"AM:!&amp;q9"</f>
        <v>#VALUE!</v>
      </c>
      <c r="DV119" s="99" t="e">
        <f>'Delivery Calculation'!AF74+"AM:!&amp;q:"</f>
        <v>#VALUE!</v>
      </c>
      <c r="DW119" s="99" t="e">
        <f>'Delivery Calculation'!AG74+"AM:!&amp;q;"</f>
        <v>#VALUE!</v>
      </c>
      <c r="DX119" s="99" t="e">
        <f>'Delivery Calculation'!AH74+"AM:!&amp;q&lt;"</f>
        <v>#VALUE!</v>
      </c>
      <c r="DY119" s="99" t="e">
        <f>'Delivery Calculation'!AI74+"AM:!&amp;q="</f>
        <v>#VALUE!</v>
      </c>
      <c r="DZ119" s="99" t="e">
        <f>'Delivery Calculation'!AJ74+"AM:!&amp;q&gt;"</f>
        <v>#VALUE!</v>
      </c>
      <c r="EA119" s="99" t="e">
        <f>'Delivery Calculation'!AK74+"AM:!&amp;q?"</f>
        <v>#VALUE!</v>
      </c>
      <c r="EB119" s="99" t="e">
        <f>'Delivery Calculation'!AL74+"AM:!&amp;q@"</f>
        <v>#VALUE!</v>
      </c>
      <c r="EC119" s="99" t="e">
        <f>'Delivery Calculation'!AM74+"AM:!&amp;qA"</f>
        <v>#VALUE!</v>
      </c>
      <c r="ED119" s="99" t="e">
        <f>'Delivery Calculation'!AN74+"AM:!&amp;qB"</f>
        <v>#VALUE!</v>
      </c>
      <c r="EE119" s="99" t="e">
        <f>'Delivery Calculation'!AO74+"AM:!&amp;qC"</f>
        <v>#VALUE!</v>
      </c>
      <c r="EF119" s="99" t="e">
        <f>'Delivery Calculation'!AP74+"AM:!&amp;qD"</f>
        <v>#VALUE!</v>
      </c>
      <c r="EG119" s="99" t="e">
        <f>'Delivery Calculation'!AQ74+"AM:!&amp;qE"</f>
        <v>#VALUE!</v>
      </c>
      <c r="EH119" s="99" t="e">
        <f>'Delivery Calculation'!AR74+"AM:!&amp;qF"</f>
        <v>#VALUE!</v>
      </c>
      <c r="EI119" s="99" t="e">
        <f>'Delivery Calculation'!AS74+"AM:!&amp;qG"</f>
        <v>#VALUE!</v>
      </c>
      <c r="EJ119" s="99" t="e">
        <f>'Delivery Calculation'!AT74+"AM:!&amp;qH"</f>
        <v>#VALUE!</v>
      </c>
      <c r="EK119" s="99" t="e">
        <f>'Delivery Calculation'!AU74+"AM:!&amp;qI"</f>
        <v>#VALUE!</v>
      </c>
      <c r="EL119" s="99" t="e">
        <f>'Delivery Calculation'!AV74+"AM:!&amp;qJ"</f>
        <v>#VALUE!</v>
      </c>
      <c r="EM119" s="99" t="e">
        <f>'Delivery Calculation'!AW74+"AM:!&amp;qK"</f>
        <v>#VALUE!</v>
      </c>
      <c r="EN119" s="99" t="e">
        <f>'Delivery Calculation'!AX74+"AM:!&amp;qL"</f>
        <v>#VALUE!</v>
      </c>
      <c r="EO119" t="e">
        <f>'Delivery Calculation'!AY74+"AM:!&amp;qM"</f>
        <v>#VALUE!</v>
      </c>
      <c r="EP119" t="e">
        <f>'Delivery Calculation'!AZ74+"AM:!&amp;qN"</f>
        <v>#VALUE!</v>
      </c>
      <c r="EQ119" t="e">
        <f>'Delivery Calculation'!A75+"AM:!&amp;qO"</f>
        <v>#VALUE!</v>
      </c>
      <c r="ER119" t="e">
        <f>'Delivery Calculation'!B75+"AM:!&amp;qP"</f>
        <v>#VALUE!</v>
      </c>
      <c r="ES119" t="e">
        <f>'Delivery Calculation'!C75+"AM:!&amp;qQ"</f>
        <v>#VALUE!</v>
      </c>
      <c r="ET119" t="e">
        <f>'Delivery Calculation'!D75+"AM:!&amp;qR"</f>
        <v>#VALUE!</v>
      </c>
      <c r="EU119" t="e">
        <f>'Delivery Calculation'!E75+"AM:!&amp;qS"</f>
        <v>#VALUE!</v>
      </c>
      <c r="EV119" s="98" t="e">
        <f>'Delivery Calculation'!F75+"AM:!&amp;qT"</f>
        <v>#VALUE!</v>
      </c>
      <c r="EW119" s="98" t="e">
        <f>'Delivery Calculation'!G75+"AM:!&amp;qU"</f>
        <v>#VALUE!</v>
      </c>
      <c r="EX119" s="97" t="e">
        <f>'Delivery Calculation'!H75+"AM:!&amp;qV"</f>
        <v>#VALUE!</v>
      </c>
      <c r="EY119" s="97" t="e">
        <f>'Delivery Calculation'!I75+"AM:!&amp;qW"</f>
        <v>#VALUE!</v>
      </c>
      <c r="EZ119" s="103" t="e">
        <f>'Delivery Calculation'!J75+"AM:!&amp;qX"</f>
        <v>#VALUE!</v>
      </c>
      <c r="FA119" s="98" t="e">
        <f>'Delivery Calculation'!K75+"AM:!&amp;qY"</f>
        <v>#VALUE!</v>
      </c>
      <c r="FB119" s="98" t="e">
        <f>'Delivery Calculation'!L75+"AM:!&amp;qZ"</f>
        <v>#VALUE!</v>
      </c>
      <c r="FC119" s="99" t="e">
        <f>'Delivery Calculation'!M75+"AM:!&amp;q["</f>
        <v>#VALUE!</v>
      </c>
      <c r="FD119" s="99" t="e">
        <f>'Delivery Calculation'!N75+"AM:!&amp;q\"</f>
        <v>#VALUE!</v>
      </c>
      <c r="FE119" s="99" t="e">
        <f>'Delivery Calculation'!O75+"AM:!&amp;q]"</f>
        <v>#VALUE!</v>
      </c>
      <c r="FF119" s="99" t="e">
        <f>'Delivery Calculation'!P75+"AM:!&amp;q^"</f>
        <v>#VALUE!</v>
      </c>
      <c r="FG119" s="99" t="e">
        <f>'Delivery Calculation'!Q75+"AM:!&amp;q_"</f>
        <v>#VALUE!</v>
      </c>
      <c r="FH119" s="99" t="e">
        <f>'Delivery Calculation'!R75+"AM:!&amp;q`"</f>
        <v>#VALUE!</v>
      </c>
      <c r="FI119" s="99" t="e">
        <f>'Delivery Calculation'!S75+"AM:!&amp;qa"</f>
        <v>#VALUE!</v>
      </c>
      <c r="FJ119" s="99" t="e">
        <f>'Delivery Calculation'!T75+"AM:!&amp;qb"</f>
        <v>#VALUE!</v>
      </c>
      <c r="FK119" s="99" t="e">
        <f>'Delivery Calculation'!U75+"AM:!&amp;qc"</f>
        <v>#VALUE!</v>
      </c>
      <c r="FL119" s="99" t="e">
        <f>'Delivery Calculation'!V75+"AM:!&amp;qd"</f>
        <v>#VALUE!</v>
      </c>
      <c r="FM119" s="99" t="e">
        <f>'Delivery Calculation'!W75+"AM:!&amp;qe"</f>
        <v>#VALUE!</v>
      </c>
      <c r="FN119" s="99" t="e">
        <f>'Delivery Calculation'!X75+"AM:!&amp;qf"</f>
        <v>#VALUE!</v>
      </c>
      <c r="FO119" s="99" t="e">
        <f>'Delivery Calculation'!Y75+"AM:!&amp;qg"</f>
        <v>#VALUE!</v>
      </c>
      <c r="FP119" s="99" t="e">
        <f>'Delivery Calculation'!Z75+"AM:!&amp;qh"</f>
        <v>#VALUE!</v>
      </c>
      <c r="FQ119" s="99" t="e">
        <f>'Delivery Calculation'!AA75+"AM:!&amp;qi"</f>
        <v>#VALUE!</v>
      </c>
      <c r="FR119" s="99" t="e">
        <f>'Delivery Calculation'!AB75+"AM:!&amp;qj"</f>
        <v>#VALUE!</v>
      </c>
      <c r="FS119" s="99" t="e">
        <f>'Delivery Calculation'!AC75+"AM:!&amp;qk"</f>
        <v>#VALUE!</v>
      </c>
      <c r="FT119" s="99" t="e">
        <f>'Delivery Calculation'!AD75+"AM:!&amp;ql"</f>
        <v>#VALUE!</v>
      </c>
      <c r="FU119" s="99" t="e">
        <f>'Delivery Calculation'!AE75+"AM:!&amp;qm"</f>
        <v>#VALUE!</v>
      </c>
      <c r="FV119" s="99" t="e">
        <f>'Delivery Calculation'!AF75+"AM:!&amp;qn"</f>
        <v>#VALUE!</v>
      </c>
      <c r="FW119" s="99" t="e">
        <f>'Delivery Calculation'!AG75+"AM:!&amp;qo"</f>
        <v>#VALUE!</v>
      </c>
      <c r="FX119" s="99" t="e">
        <f>'Delivery Calculation'!AH75+"AM:!&amp;qp"</f>
        <v>#VALUE!</v>
      </c>
      <c r="FY119" s="99" t="e">
        <f>'Delivery Calculation'!AI75+"AM:!&amp;qq"</f>
        <v>#VALUE!</v>
      </c>
      <c r="FZ119" s="99" t="e">
        <f>'Delivery Calculation'!AJ75+"AM:!&amp;qr"</f>
        <v>#VALUE!</v>
      </c>
      <c r="GA119" s="99" t="e">
        <f>'Delivery Calculation'!AK75+"AM:!&amp;qs"</f>
        <v>#VALUE!</v>
      </c>
      <c r="GB119" s="99" t="e">
        <f>'Delivery Calculation'!AL75+"AM:!&amp;qt"</f>
        <v>#VALUE!</v>
      </c>
      <c r="GC119" s="99" t="e">
        <f>'Delivery Calculation'!AM75+"AM:!&amp;qu"</f>
        <v>#VALUE!</v>
      </c>
      <c r="GD119" s="99" t="e">
        <f>'Delivery Calculation'!AN75+"AM:!&amp;qv"</f>
        <v>#VALUE!</v>
      </c>
      <c r="GE119" s="99" t="e">
        <f>'Delivery Calculation'!AO75+"AM:!&amp;qw"</f>
        <v>#VALUE!</v>
      </c>
      <c r="GF119" s="99" t="e">
        <f>'Delivery Calculation'!AP75+"AM:!&amp;qx"</f>
        <v>#VALUE!</v>
      </c>
      <c r="GG119" s="99" t="e">
        <f>'Delivery Calculation'!AQ75+"AM:!&amp;qy"</f>
        <v>#VALUE!</v>
      </c>
      <c r="GH119" s="99" t="e">
        <f>'Delivery Calculation'!AR75+"AM:!&amp;qz"</f>
        <v>#VALUE!</v>
      </c>
      <c r="GI119" s="99" t="e">
        <f>'Delivery Calculation'!AS75+"AM:!&amp;q{"</f>
        <v>#VALUE!</v>
      </c>
      <c r="GJ119" s="99" t="e">
        <f>'Delivery Calculation'!AT75+"AM:!&amp;q|"</f>
        <v>#VALUE!</v>
      </c>
      <c r="GK119" s="99" t="e">
        <f>'Delivery Calculation'!AU75+"AM:!&amp;q}"</f>
        <v>#VALUE!</v>
      </c>
      <c r="GL119" s="99" t="e">
        <f>'Delivery Calculation'!AV75+"AM:!&amp;q~"</f>
        <v>#VALUE!</v>
      </c>
      <c r="GM119" s="99" t="e">
        <f>'Delivery Calculation'!AW75+"AM:!&amp;r#"</f>
        <v>#VALUE!</v>
      </c>
      <c r="GN119" s="99" t="e">
        <f>'Delivery Calculation'!AX75+"AM:!&amp;r$"</f>
        <v>#VALUE!</v>
      </c>
      <c r="GO119" t="e">
        <f>'Delivery Calculation'!AY75+"AM:!&amp;r%"</f>
        <v>#VALUE!</v>
      </c>
      <c r="GP119" t="e">
        <f>'Delivery Calculation'!AZ75+"AM:!&amp;r&amp;"</f>
        <v>#VALUE!</v>
      </c>
      <c r="GQ119" t="e">
        <f>'Delivery Calculation'!A76+"AM:!&amp;r'"</f>
        <v>#VALUE!</v>
      </c>
      <c r="GR119" t="e">
        <f>'Delivery Calculation'!B76+"AM:!&amp;r("</f>
        <v>#VALUE!</v>
      </c>
      <c r="GS119" t="e">
        <f>'Delivery Calculation'!C76+"AM:!&amp;r)"</f>
        <v>#VALUE!</v>
      </c>
      <c r="GT119" t="e">
        <f>'Delivery Calculation'!D76+"AM:!&amp;r."</f>
        <v>#VALUE!</v>
      </c>
      <c r="GU119" t="e">
        <f>'Delivery Calculation'!E76+"AM:!&amp;r/"</f>
        <v>#VALUE!</v>
      </c>
      <c r="GV119" s="98" t="e">
        <f>'Delivery Calculation'!F76+"AM:!&amp;r0"</f>
        <v>#VALUE!</v>
      </c>
      <c r="GW119" s="98" t="e">
        <f>'Delivery Calculation'!G76+"AM:!&amp;r1"</f>
        <v>#VALUE!</v>
      </c>
      <c r="GX119" s="97" t="e">
        <f>'Delivery Calculation'!H76+"AM:!&amp;r2"</f>
        <v>#VALUE!</v>
      </c>
      <c r="GY119" s="97" t="e">
        <f>'Delivery Calculation'!I76+"AM:!&amp;r3"</f>
        <v>#VALUE!</v>
      </c>
      <c r="GZ119" s="103" t="e">
        <f>'Delivery Calculation'!J76+"AM:!&amp;r4"</f>
        <v>#VALUE!</v>
      </c>
      <c r="HA119" s="98" t="e">
        <f>'Delivery Calculation'!K76+"AM:!&amp;r5"</f>
        <v>#VALUE!</v>
      </c>
      <c r="HB119" s="98" t="e">
        <f>'Delivery Calculation'!L76+"AM:!&amp;r6"</f>
        <v>#VALUE!</v>
      </c>
      <c r="HC119" s="99" t="e">
        <f>'Delivery Calculation'!M76+"AM:!&amp;r7"</f>
        <v>#VALUE!</v>
      </c>
      <c r="HD119" s="99" t="e">
        <f>'Delivery Calculation'!N76+"AM:!&amp;r8"</f>
        <v>#VALUE!</v>
      </c>
      <c r="HE119" s="99" t="e">
        <f>'Delivery Calculation'!O76+"AM:!&amp;r9"</f>
        <v>#VALUE!</v>
      </c>
      <c r="HF119" s="99" t="e">
        <f>'Delivery Calculation'!P76+"AM:!&amp;r:"</f>
        <v>#VALUE!</v>
      </c>
      <c r="HG119" s="99" t="e">
        <f>'Delivery Calculation'!Q76+"AM:!&amp;r;"</f>
        <v>#VALUE!</v>
      </c>
      <c r="HH119" s="99" t="e">
        <f>'Delivery Calculation'!R76+"AM:!&amp;r&lt;"</f>
        <v>#VALUE!</v>
      </c>
      <c r="HI119" s="99" t="e">
        <f>'Delivery Calculation'!S76+"AM:!&amp;r="</f>
        <v>#VALUE!</v>
      </c>
      <c r="HJ119" s="99" t="e">
        <f>'Delivery Calculation'!T76+"AM:!&amp;r&gt;"</f>
        <v>#VALUE!</v>
      </c>
      <c r="HK119" s="99" t="e">
        <f>'Delivery Calculation'!U76+"AM:!&amp;r?"</f>
        <v>#VALUE!</v>
      </c>
      <c r="HL119" s="99" t="e">
        <f>'Delivery Calculation'!V76+"AM:!&amp;r@"</f>
        <v>#VALUE!</v>
      </c>
      <c r="HM119" s="99" t="e">
        <f>'Delivery Calculation'!W76+"AM:!&amp;rA"</f>
        <v>#VALUE!</v>
      </c>
      <c r="HN119" s="99" t="e">
        <f>'Delivery Calculation'!X76+"AM:!&amp;rB"</f>
        <v>#VALUE!</v>
      </c>
      <c r="HO119" s="99" t="e">
        <f>'Delivery Calculation'!Y76+"AM:!&amp;rC"</f>
        <v>#VALUE!</v>
      </c>
      <c r="HP119" s="99" t="e">
        <f>'Delivery Calculation'!Z76+"AM:!&amp;rD"</f>
        <v>#VALUE!</v>
      </c>
      <c r="HQ119" s="99" t="e">
        <f>'Delivery Calculation'!AA76+"AM:!&amp;rE"</f>
        <v>#VALUE!</v>
      </c>
      <c r="HR119" s="99" t="e">
        <f>'Delivery Calculation'!AB76+"AM:!&amp;rF"</f>
        <v>#VALUE!</v>
      </c>
      <c r="HS119" s="99" t="e">
        <f>'Delivery Calculation'!AC76+"AM:!&amp;rG"</f>
        <v>#VALUE!</v>
      </c>
      <c r="HT119" s="99" t="e">
        <f>'Delivery Calculation'!AD76+"AM:!&amp;rH"</f>
        <v>#VALUE!</v>
      </c>
      <c r="HU119" s="99" t="e">
        <f>'Delivery Calculation'!AE76+"AM:!&amp;rI"</f>
        <v>#VALUE!</v>
      </c>
      <c r="HV119" s="99" t="e">
        <f>'Delivery Calculation'!AF76+"AM:!&amp;rJ"</f>
        <v>#VALUE!</v>
      </c>
      <c r="HW119" s="99" t="e">
        <f>'Delivery Calculation'!AG76+"AM:!&amp;rK"</f>
        <v>#VALUE!</v>
      </c>
      <c r="HX119" s="99" t="e">
        <f>'Delivery Calculation'!AH76+"AM:!&amp;rL"</f>
        <v>#VALUE!</v>
      </c>
      <c r="HY119" s="99" t="e">
        <f>'Delivery Calculation'!AI76+"AM:!&amp;rM"</f>
        <v>#VALUE!</v>
      </c>
      <c r="HZ119" s="99" t="e">
        <f>'Delivery Calculation'!AJ76+"AM:!&amp;rN"</f>
        <v>#VALUE!</v>
      </c>
      <c r="IA119" s="99" t="e">
        <f>'Delivery Calculation'!AK76+"AM:!&amp;rO"</f>
        <v>#VALUE!</v>
      </c>
      <c r="IB119" s="99" t="e">
        <f>'Delivery Calculation'!AL76+"AM:!&amp;rP"</f>
        <v>#VALUE!</v>
      </c>
      <c r="IC119" s="99" t="e">
        <f>'Delivery Calculation'!AM76+"AM:!&amp;rQ"</f>
        <v>#VALUE!</v>
      </c>
      <c r="ID119" s="99" t="e">
        <f>'Delivery Calculation'!AN76+"AM:!&amp;rR"</f>
        <v>#VALUE!</v>
      </c>
      <c r="IE119" s="99" t="e">
        <f>'Delivery Calculation'!AO76+"AM:!&amp;rS"</f>
        <v>#VALUE!</v>
      </c>
      <c r="IF119" s="99" t="e">
        <f>'Delivery Calculation'!AP76+"AM:!&amp;rT"</f>
        <v>#VALUE!</v>
      </c>
      <c r="IG119" s="99" t="e">
        <f>'Delivery Calculation'!AQ76+"AM:!&amp;rU"</f>
        <v>#VALUE!</v>
      </c>
      <c r="IH119" s="99" t="e">
        <f>'Delivery Calculation'!AR76+"AM:!&amp;rV"</f>
        <v>#VALUE!</v>
      </c>
      <c r="II119" s="99" t="e">
        <f>'Delivery Calculation'!AS76+"AM:!&amp;rW"</f>
        <v>#VALUE!</v>
      </c>
      <c r="IJ119" s="99" t="e">
        <f>'Delivery Calculation'!AT76+"AM:!&amp;rX"</f>
        <v>#VALUE!</v>
      </c>
      <c r="IK119" s="99" t="e">
        <f>'Delivery Calculation'!AU76+"AM:!&amp;rY"</f>
        <v>#VALUE!</v>
      </c>
      <c r="IL119" s="99" t="e">
        <f>'Delivery Calculation'!AV76+"AM:!&amp;rZ"</f>
        <v>#VALUE!</v>
      </c>
      <c r="IM119" s="99" t="e">
        <f>'Delivery Calculation'!AW76+"AM:!&amp;r["</f>
        <v>#VALUE!</v>
      </c>
      <c r="IN119" s="99" t="e">
        <f>'Delivery Calculation'!AX76+"AM:!&amp;r\"</f>
        <v>#VALUE!</v>
      </c>
      <c r="IO119" t="e">
        <f>'Delivery Calculation'!AY76+"AM:!&amp;r]"</f>
        <v>#VALUE!</v>
      </c>
      <c r="IP119" t="e">
        <f>'Delivery Calculation'!AZ76+"AM:!&amp;r^"</f>
        <v>#VALUE!</v>
      </c>
      <c r="IQ119" t="e">
        <f>'Delivery Calculation'!A77+"AM:!&amp;r_"</f>
        <v>#VALUE!</v>
      </c>
      <c r="IR119" t="e">
        <f>'Delivery Calculation'!B77+"AM:!&amp;r`"</f>
        <v>#VALUE!</v>
      </c>
      <c r="IS119" t="e">
        <f>'Delivery Calculation'!C77+"AM:!&amp;ra"</f>
        <v>#VALUE!</v>
      </c>
      <c r="IT119" t="e">
        <f>'Delivery Calculation'!D77+"AM:!&amp;rb"</f>
        <v>#VALUE!</v>
      </c>
      <c r="IU119" t="e">
        <f>'Delivery Calculation'!E77+"AM:!&amp;rc"</f>
        <v>#VALUE!</v>
      </c>
      <c r="IV119" s="98" t="e">
        <f>'Delivery Calculation'!F77+"AM:!&amp;rd"</f>
        <v>#VALUE!</v>
      </c>
    </row>
    <row r="120" spans="6:256">
      <c r="F120" s="98" t="e">
        <f>'Delivery Calculation'!G77+"AM:!&amp;re"</f>
        <v>#VALUE!</v>
      </c>
      <c r="G120" s="97" t="e">
        <f>'Delivery Calculation'!H77+"AM:!&amp;rf"</f>
        <v>#VALUE!</v>
      </c>
      <c r="H120" s="97" t="e">
        <f>'Delivery Calculation'!I77+"AM:!&amp;rg"</f>
        <v>#VALUE!</v>
      </c>
      <c r="I120" s="103" t="e">
        <f>'Delivery Calculation'!J77+"AM:!&amp;rh"</f>
        <v>#VALUE!</v>
      </c>
      <c r="J120" s="98" t="e">
        <f>'Delivery Calculation'!K77+"AM:!&amp;ri"</f>
        <v>#VALUE!</v>
      </c>
      <c r="K120" s="98" t="e">
        <f>'Delivery Calculation'!L77+"AM:!&amp;rj"</f>
        <v>#VALUE!</v>
      </c>
      <c r="L120" s="99" t="e">
        <f>'Delivery Calculation'!M77+"AM:!&amp;rk"</f>
        <v>#VALUE!</v>
      </c>
      <c r="M120" s="99" t="e">
        <f>'Delivery Calculation'!N77+"AM:!&amp;rl"</f>
        <v>#VALUE!</v>
      </c>
      <c r="N120" s="99" t="e">
        <f>'Delivery Calculation'!O77+"AM:!&amp;rm"</f>
        <v>#VALUE!</v>
      </c>
      <c r="O120" s="99" t="e">
        <f>'Delivery Calculation'!P77+"AM:!&amp;rn"</f>
        <v>#VALUE!</v>
      </c>
      <c r="P120" s="99" t="e">
        <f>'Delivery Calculation'!Q77+"AM:!&amp;ro"</f>
        <v>#VALUE!</v>
      </c>
      <c r="Q120" s="99" t="e">
        <f>'Delivery Calculation'!R77+"AM:!&amp;rp"</f>
        <v>#VALUE!</v>
      </c>
      <c r="R120" s="99" t="e">
        <f>'Delivery Calculation'!S77+"AM:!&amp;rq"</f>
        <v>#VALUE!</v>
      </c>
      <c r="S120" s="99" t="e">
        <f>'Delivery Calculation'!T77+"AM:!&amp;rr"</f>
        <v>#VALUE!</v>
      </c>
      <c r="T120" s="99" t="e">
        <f>'Delivery Calculation'!U77+"AM:!&amp;rs"</f>
        <v>#VALUE!</v>
      </c>
      <c r="U120" s="99" t="e">
        <f>'Delivery Calculation'!V77+"AM:!&amp;rt"</f>
        <v>#VALUE!</v>
      </c>
      <c r="V120" s="99" t="e">
        <f>'Delivery Calculation'!W77+"AM:!&amp;ru"</f>
        <v>#VALUE!</v>
      </c>
      <c r="W120" s="99" t="e">
        <f>'Delivery Calculation'!X77+"AM:!&amp;rv"</f>
        <v>#VALUE!</v>
      </c>
      <c r="X120" s="99" t="e">
        <f>'Delivery Calculation'!Y77+"AM:!&amp;rw"</f>
        <v>#VALUE!</v>
      </c>
      <c r="Y120" s="99" t="e">
        <f>'Delivery Calculation'!Z77+"AM:!&amp;rx"</f>
        <v>#VALUE!</v>
      </c>
      <c r="Z120" s="99" t="e">
        <f>'Delivery Calculation'!AA77+"AM:!&amp;ry"</f>
        <v>#VALUE!</v>
      </c>
      <c r="AA120" s="99" t="e">
        <f>'Delivery Calculation'!AB77+"AM:!&amp;rz"</f>
        <v>#VALUE!</v>
      </c>
      <c r="AB120" s="99" t="e">
        <f>'Delivery Calculation'!AC77+"AM:!&amp;r{"</f>
        <v>#VALUE!</v>
      </c>
      <c r="AC120" s="99" t="e">
        <f>'Delivery Calculation'!AD77+"AM:!&amp;r|"</f>
        <v>#VALUE!</v>
      </c>
      <c r="AD120" s="99" t="e">
        <f>'Delivery Calculation'!AE77+"AM:!&amp;r}"</f>
        <v>#VALUE!</v>
      </c>
      <c r="AE120" s="99" t="e">
        <f>'Delivery Calculation'!AF77+"AM:!&amp;r~"</f>
        <v>#VALUE!</v>
      </c>
      <c r="AF120" s="99" t="e">
        <f>'Delivery Calculation'!AG77+"AM:!&amp;s#"</f>
        <v>#VALUE!</v>
      </c>
      <c r="AG120" s="99" t="e">
        <f>'Delivery Calculation'!AH77+"AM:!&amp;s$"</f>
        <v>#VALUE!</v>
      </c>
      <c r="AH120" s="99" t="e">
        <f>'Delivery Calculation'!AI77+"AM:!&amp;s%"</f>
        <v>#VALUE!</v>
      </c>
      <c r="AI120" s="99" t="e">
        <f>'Delivery Calculation'!AJ77+"AM:!&amp;s&amp;"</f>
        <v>#VALUE!</v>
      </c>
      <c r="AJ120" s="99" t="e">
        <f>'Delivery Calculation'!AK77+"AM:!&amp;s'"</f>
        <v>#VALUE!</v>
      </c>
      <c r="AK120" s="99" t="e">
        <f>'Delivery Calculation'!AL77+"AM:!&amp;s("</f>
        <v>#VALUE!</v>
      </c>
      <c r="AL120" s="99" t="e">
        <f>'Delivery Calculation'!AM77+"AM:!&amp;s)"</f>
        <v>#VALUE!</v>
      </c>
      <c r="AM120" s="99" t="e">
        <f>'Delivery Calculation'!AN77+"AM:!&amp;s."</f>
        <v>#VALUE!</v>
      </c>
      <c r="AN120" s="99" t="e">
        <f>'Delivery Calculation'!AO77+"AM:!&amp;s/"</f>
        <v>#VALUE!</v>
      </c>
      <c r="AO120" s="99" t="e">
        <f>'Delivery Calculation'!AP77+"AM:!&amp;s0"</f>
        <v>#VALUE!</v>
      </c>
      <c r="AP120" s="99" t="e">
        <f>'Delivery Calculation'!AQ77+"AM:!&amp;s1"</f>
        <v>#VALUE!</v>
      </c>
      <c r="AQ120" s="99" t="e">
        <f>'Delivery Calculation'!AR77+"AM:!&amp;s2"</f>
        <v>#VALUE!</v>
      </c>
      <c r="AR120" s="99" t="e">
        <f>'Delivery Calculation'!AS77+"AM:!&amp;s3"</f>
        <v>#VALUE!</v>
      </c>
      <c r="AS120" s="99" t="e">
        <f>'Delivery Calculation'!AT77+"AM:!&amp;s4"</f>
        <v>#VALUE!</v>
      </c>
      <c r="AT120" s="99" t="e">
        <f>'Delivery Calculation'!AU77+"AM:!&amp;s5"</f>
        <v>#VALUE!</v>
      </c>
      <c r="AU120" s="99" t="e">
        <f>'Delivery Calculation'!AV77+"AM:!&amp;s6"</f>
        <v>#VALUE!</v>
      </c>
      <c r="AV120" s="99" t="e">
        <f>'Delivery Calculation'!AW77+"AM:!&amp;s7"</f>
        <v>#VALUE!</v>
      </c>
      <c r="AW120" s="99" t="e">
        <f>'Delivery Calculation'!AX77+"AM:!&amp;s8"</f>
        <v>#VALUE!</v>
      </c>
      <c r="AX120" t="e">
        <f>'Delivery Calculation'!AY77+"AM:!&amp;s9"</f>
        <v>#VALUE!</v>
      </c>
      <c r="AY120" t="e">
        <f>'Delivery Calculation'!AZ77+"AM:!&amp;s:"</f>
        <v>#VALUE!</v>
      </c>
      <c r="AZ120" t="e">
        <f>'Delivery Calculation'!A78+"AM:!&amp;s;"</f>
        <v>#VALUE!</v>
      </c>
      <c r="BA120" t="e">
        <f>'Delivery Calculation'!B78+"AM:!&amp;s&lt;"</f>
        <v>#VALUE!</v>
      </c>
      <c r="BB120" t="e">
        <f>'Delivery Calculation'!C78+"AM:!&amp;s="</f>
        <v>#VALUE!</v>
      </c>
      <c r="BC120" t="e">
        <f>'Delivery Calculation'!D78+"AM:!&amp;s&gt;"</f>
        <v>#VALUE!</v>
      </c>
      <c r="BD120" t="e">
        <f>'Delivery Calculation'!E78+"AM:!&amp;s?"</f>
        <v>#VALUE!</v>
      </c>
      <c r="BE120" s="98" t="e">
        <f>'Delivery Calculation'!F78+"AM:!&amp;s@"</f>
        <v>#VALUE!</v>
      </c>
      <c r="BF120" s="98" t="e">
        <f>'Delivery Calculation'!G78+"AM:!&amp;sA"</f>
        <v>#VALUE!</v>
      </c>
      <c r="BG120" s="97" t="e">
        <f>'Delivery Calculation'!H78+"AM:!&amp;sB"</f>
        <v>#VALUE!</v>
      </c>
      <c r="BH120" s="97" t="e">
        <f>'Delivery Calculation'!I78+"AM:!&amp;sC"</f>
        <v>#VALUE!</v>
      </c>
      <c r="BI120" s="103" t="e">
        <f>'Delivery Calculation'!J78+"AM:!&amp;sD"</f>
        <v>#VALUE!</v>
      </c>
      <c r="BJ120" s="98" t="e">
        <f>'Delivery Calculation'!K78+"AM:!&amp;sE"</f>
        <v>#VALUE!</v>
      </c>
      <c r="BK120" s="98" t="e">
        <f>'Delivery Calculation'!L78+"AM:!&amp;sF"</f>
        <v>#VALUE!</v>
      </c>
      <c r="BL120" s="99" t="e">
        <f>'Delivery Calculation'!M78+"AM:!&amp;sG"</f>
        <v>#VALUE!</v>
      </c>
      <c r="BM120" s="99" t="e">
        <f>'Delivery Calculation'!N78+"AM:!&amp;sH"</f>
        <v>#VALUE!</v>
      </c>
      <c r="BN120" s="99" t="e">
        <f>'Delivery Calculation'!O78+"AM:!&amp;sI"</f>
        <v>#VALUE!</v>
      </c>
      <c r="BO120" s="99" t="e">
        <f>'Delivery Calculation'!P78+"AM:!&amp;sJ"</f>
        <v>#VALUE!</v>
      </c>
      <c r="BP120" s="99" t="e">
        <f>'Delivery Calculation'!Q78+"AM:!&amp;sK"</f>
        <v>#VALUE!</v>
      </c>
      <c r="BQ120" s="99" t="e">
        <f>'Delivery Calculation'!R78+"AM:!&amp;sL"</f>
        <v>#VALUE!</v>
      </c>
      <c r="BR120" s="99" t="e">
        <f>'Delivery Calculation'!S78+"AM:!&amp;sM"</f>
        <v>#VALUE!</v>
      </c>
      <c r="BS120" s="99" t="e">
        <f>'Delivery Calculation'!T78+"AM:!&amp;sN"</f>
        <v>#VALUE!</v>
      </c>
      <c r="BT120" s="99" t="e">
        <f>'Delivery Calculation'!U78+"AM:!&amp;sO"</f>
        <v>#VALUE!</v>
      </c>
      <c r="BU120" s="99" t="e">
        <f>'Delivery Calculation'!V78+"AM:!&amp;sP"</f>
        <v>#VALUE!</v>
      </c>
      <c r="BV120" s="99" t="e">
        <f>'Delivery Calculation'!W78+"AM:!&amp;sQ"</f>
        <v>#VALUE!</v>
      </c>
      <c r="BW120" s="99" t="e">
        <f>'Delivery Calculation'!X78+"AM:!&amp;sR"</f>
        <v>#VALUE!</v>
      </c>
      <c r="BX120" s="99" t="e">
        <f>'Delivery Calculation'!Y78+"AM:!&amp;sS"</f>
        <v>#VALUE!</v>
      </c>
      <c r="BY120" s="99" t="e">
        <f>'Delivery Calculation'!Z78+"AM:!&amp;sT"</f>
        <v>#VALUE!</v>
      </c>
      <c r="BZ120" s="99" t="e">
        <f>'Delivery Calculation'!AA78+"AM:!&amp;sU"</f>
        <v>#VALUE!</v>
      </c>
      <c r="CA120" s="99" t="e">
        <f>'Delivery Calculation'!AB78+"AM:!&amp;sV"</f>
        <v>#VALUE!</v>
      </c>
      <c r="CB120" s="99" t="e">
        <f>'Delivery Calculation'!AC78+"AM:!&amp;sW"</f>
        <v>#VALUE!</v>
      </c>
      <c r="CC120" s="99" t="e">
        <f>'Delivery Calculation'!AD78+"AM:!&amp;sX"</f>
        <v>#VALUE!</v>
      </c>
      <c r="CD120" s="99" t="e">
        <f>'Delivery Calculation'!AE78+"AM:!&amp;sY"</f>
        <v>#VALUE!</v>
      </c>
      <c r="CE120" s="99" t="e">
        <f>'Delivery Calculation'!AF78+"AM:!&amp;sZ"</f>
        <v>#VALUE!</v>
      </c>
      <c r="CF120" s="99" t="e">
        <f>'Delivery Calculation'!AG78+"AM:!&amp;s["</f>
        <v>#VALUE!</v>
      </c>
      <c r="CG120" s="99" t="e">
        <f>'Delivery Calculation'!AH78+"AM:!&amp;s\"</f>
        <v>#VALUE!</v>
      </c>
      <c r="CH120" s="99" t="e">
        <f>'Delivery Calculation'!AI78+"AM:!&amp;s]"</f>
        <v>#VALUE!</v>
      </c>
      <c r="CI120" s="99" t="e">
        <f>'Delivery Calculation'!AJ78+"AM:!&amp;s^"</f>
        <v>#VALUE!</v>
      </c>
      <c r="CJ120" s="99" t="e">
        <f>'Delivery Calculation'!AK78+"AM:!&amp;s_"</f>
        <v>#VALUE!</v>
      </c>
      <c r="CK120" s="99" t="e">
        <f>'Delivery Calculation'!AL78+"AM:!&amp;s`"</f>
        <v>#VALUE!</v>
      </c>
      <c r="CL120" s="99" t="e">
        <f>'Delivery Calculation'!AM78+"AM:!&amp;sa"</f>
        <v>#VALUE!</v>
      </c>
      <c r="CM120" s="99" t="e">
        <f>'Delivery Calculation'!AN78+"AM:!&amp;sb"</f>
        <v>#VALUE!</v>
      </c>
      <c r="CN120" s="99" t="e">
        <f>'Delivery Calculation'!AO78+"AM:!&amp;sc"</f>
        <v>#VALUE!</v>
      </c>
      <c r="CO120" s="99" t="e">
        <f>'Delivery Calculation'!AP78+"AM:!&amp;sd"</f>
        <v>#VALUE!</v>
      </c>
      <c r="CP120" s="99" t="e">
        <f>'Delivery Calculation'!AQ78+"AM:!&amp;se"</f>
        <v>#VALUE!</v>
      </c>
      <c r="CQ120" s="99" t="e">
        <f>'Delivery Calculation'!AR78+"AM:!&amp;sf"</f>
        <v>#VALUE!</v>
      </c>
      <c r="CR120" s="99" t="e">
        <f>'Delivery Calculation'!AS78+"AM:!&amp;sg"</f>
        <v>#VALUE!</v>
      </c>
      <c r="CS120" s="99" t="e">
        <f>'Delivery Calculation'!AT78+"AM:!&amp;sh"</f>
        <v>#VALUE!</v>
      </c>
      <c r="CT120" s="99" t="e">
        <f>'Delivery Calculation'!AU78+"AM:!&amp;si"</f>
        <v>#VALUE!</v>
      </c>
      <c r="CU120" s="99" t="e">
        <f>'Delivery Calculation'!AV78+"AM:!&amp;sj"</f>
        <v>#VALUE!</v>
      </c>
      <c r="CV120" s="99" t="e">
        <f>'Delivery Calculation'!AW78+"AM:!&amp;sk"</f>
        <v>#VALUE!</v>
      </c>
      <c r="CW120" s="99" t="e">
        <f>'Delivery Calculation'!AX78+"AM:!&amp;sl"</f>
        <v>#VALUE!</v>
      </c>
      <c r="CX120" t="e">
        <f>'Delivery Calculation'!AY78+"AM:!&amp;sm"</f>
        <v>#VALUE!</v>
      </c>
      <c r="CY120" t="e">
        <f>'Delivery Calculation'!AZ78+"AM:!&amp;sn"</f>
        <v>#VALUE!</v>
      </c>
      <c r="CZ120" t="e">
        <f>'Delivery Calculation'!A79+"AM:!&amp;so"</f>
        <v>#VALUE!</v>
      </c>
      <c r="DA120" t="e">
        <f>'Delivery Calculation'!B79+"AM:!&amp;sp"</f>
        <v>#VALUE!</v>
      </c>
      <c r="DB120" t="e">
        <f>'Delivery Calculation'!C79+"AM:!&amp;sq"</f>
        <v>#VALUE!</v>
      </c>
      <c r="DC120" t="e">
        <f>'Delivery Calculation'!D79+"AM:!&amp;sr"</f>
        <v>#VALUE!</v>
      </c>
      <c r="DD120" t="e">
        <f>'Delivery Calculation'!E79+"AM:!&amp;ss"</f>
        <v>#VALUE!</v>
      </c>
      <c r="DE120" s="98" t="e">
        <f>'Delivery Calculation'!F79+"AM:!&amp;st"</f>
        <v>#VALUE!</v>
      </c>
      <c r="DF120" s="98" t="e">
        <f>'Delivery Calculation'!G79+"AM:!&amp;su"</f>
        <v>#VALUE!</v>
      </c>
      <c r="DG120" s="97" t="e">
        <f>'Delivery Calculation'!H79+"AM:!&amp;sv"</f>
        <v>#VALUE!</v>
      </c>
      <c r="DH120" s="97" t="e">
        <f>'Delivery Calculation'!I79+"AM:!&amp;sw"</f>
        <v>#VALUE!</v>
      </c>
      <c r="DI120" s="103" t="e">
        <f>'Delivery Calculation'!J79+"AM:!&amp;sx"</f>
        <v>#VALUE!</v>
      </c>
      <c r="DJ120" s="98" t="e">
        <f>'Delivery Calculation'!K79+"AM:!&amp;sy"</f>
        <v>#VALUE!</v>
      </c>
      <c r="DK120" s="98" t="e">
        <f>'Delivery Calculation'!L79+"AM:!&amp;sz"</f>
        <v>#VALUE!</v>
      </c>
      <c r="DL120" s="99" t="e">
        <f>'Delivery Calculation'!M79+"AM:!&amp;s{"</f>
        <v>#VALUE!</v>
      </c>
      <c r="DM120" s="99" t="e">
        <f>'Delivery Calculation'!N79+"AM:!&amp;s|"</f>
        <v>#VALUE!</v>
      </c>
      <c r="DN120" s="99" t="e">
        <f>'Delivery Calculation'!O79+"AM:!&amp;s}"</f>
        <v>#VALUE!</v>
      </c>
      <c r="DO120" s="99" t="e">
        <f>'Delivery Calculation'!P79+"AM:!&amp;s~"</f>
        <v>#VALUE!</v>
      </c>
      <c r="DP120" s="99" t="e">
        <f>'Delivery Calculation'!Q79+"AM:!&amp;t#"</f>
        <v>#VALUE!</v>
      </c>
      <c r="DQ120" s="99" t="e">
        <f>'Delivery Calculation'!R79+"AM:!&amp;t$"</f>
        <v>#VALUE!</v>
      </c>
      <c r="DR120" s="99" t="e">
        <f>'Delivery Calculation'!S79+"AM:!&amp;t%"</f>
        <v>#VALUE!</v>
      </c>
      <c r="DS120" s="99" t="e">
        <f>'Delivery Calculation'!T79+"AM:!&amp;t&amp;"</f>
        <v>#VALUE!</v>
      </c>
      <c r="DT120" s="99" t="e">
        <f>'Delivery Calculation'!U79+"AM:!&amp;t'"</f>
        <v>#VALUE!</v>
      </c>
      <c r="DU120" s="99" t="e">
        <f>'Delivery Calculation'!V79+"AM:!&amp;t("</f>
        <v>#VALUE!</v>
      </c>
      <c r="DV120" s="99" t="e">
        <f>'Delivery Calculation'!W79+"AM:!&amp;t)"</f>
        <v>#VALUE!</v>
      </c>
      <c r="DW120" s="99" t="e">
        <f>'Delivery Calculation'!X79+"AM:!&amp;t."</f>
        <v>#VALUE!</v>
      </c>
      <c r="DX120" s="99" t="e">
        <f>'Delivery Calculation'!Y79+"AM:!&amp;t/"</f>
        <v>#VALUE!</v>
      </c>
      <c r="DY120" s="99" t="e">
        <f>'Delivery Calculation'!Z79+"AM:!&amp;t0"</f>
        <v>#VALUE!</v>
      </c>
      <c r="DZ120" s="99" t="e">
        <f>'Delivery Calculation'!AA79+"AM:!&amp;t1"</f>
        <v>#VALUE!</v>
      </c>
      <c r="EA120" s="99" t="e">
        <f>'Delivery Calculation'!AB79+"AM:!&amp;t2"</f>
        <v>#VALUE!</v>
      </c>
      <c r="EB120" s="99" t="e">
        <f>'Delivery Calculation'!AC79+"AM:!&amp;t3"</f>
        <v>#VALUE!</v>
      </c>
      <c r="EC120" s="99" t="e">
        <f>'Delivery Calculation'!AD79+"AM:!&amp;t4"</f>
        <v>#VALUE!</v>
      </c>
      <c r="ED120" s="99" t="e">
        <f>'Delivery Calculation'!AE79+"AM:!&amp;t5"</f>
        <v>#VALUE!</v>
      </c>
      <c r="EE120" s="99" t="e">
        <f>'Delivery Calculation'!AF79+"AM:!&amp;t6"</f>
        <v>#VALUE!</v>
      </c>
      <c r="EF120" s="99" t="e">
        <f>'Delivery Calculation'!AG79+"AM:!&amp;t7"</f>
        <v>#VALUE!</v>
      </c>
      <c r="EG120" s="99" t="e">
        <f>'Delivery Calculation'!AH79+"AM:!&amp;t8"</f>
        <v>#VALUE!</v>
      </c>
      <c r="EH120" s="99" t="e">
        <f>'Delivery Calculation'!AI79+"AM:!&amp;t9"</f>
        <v>#VALUE!</v>
      </c>
      <c r="EI120" s="99" t="e">
        <f>'Delivery Calculation'!AJ79+"AM:!&amp;t:"</f>
        <v>#VALUE!</v>
      </c>
      <c r="EJ120" s="99" t="e">
        <f>'Delivery Calculation'!AK79+"AM:!&amp;t;"</f>
        <v>#VALUE!</v>
      </c>
      <c r="EK120" s="99" t="e">
        <f>'Delivery Calculation'!AL79+"AM:!&amp;t&lt;"</f>
        <v>#VALUE!</v>
      </c>
      <c r="EL120" s="99" t="e">
        <f>'Delivery Calculation'!AM79+"AM:!&amp;t="</f>
        <v>#VALUE!</v>
      </c>
      <c r="EM120" s="99" t="e">
        <f>'Delivery Calculation'!AN79+"AM:!&amp;t&gt;"</f>
        <v>#VALUE!</v>
      </c>
      <c r="EN120" s="99" t="e">
        <f>'Delivery Calculation'!AO79+"AM:!&amp;t?"</f>
        <v>#VALUE!</v>
      </c>
      <c r="EO120" s="99" t="e">
        <f>'Delivery Calculation'!AP79+"AM:!&amp;t@"</f>
        <v>#VALUE!</v>
      </c>
      <c r="EP120" s="99" t="e">
        <f>'Delivery Calculation'!AQ79+"AM:!&amp;tA"</f>
        <v>#VALUE!</v>
      </c>
      <c r="EQ120" s="99" t="e">
        <f>'Delivery Calculation'!AR79+"AM:!&amp;tB"</f>
        <v>#VALUE!</v>
      </c>
      <c r="ER120" s="99" t="e">
        <f>'Delivery Calculation'!AS79+"AM:!&amp;tC"</f>
        <v>#VALUE!</v>
      </c>
      <c r="ES120" s="99" t="e">
        <f>'Delivery Calculation'!AT79+"AM:!&amp;tD"</f>
        <v>#VALUE!</v>
      </c>
      <c r="ET120" s="99" t="e">
        <f>'Delivery Calculation'!AU79+"AM:!&amp;tE"</f>
        <v>#VALUE!</v>
      </c>
      <c r="EU120" s="99" t="e">
        <f>'Delivery Calculation'!AV79+"AM:!&amp;tF"</f>
        <v>#VALUE!</v>
      </c>
      <c r="EV120" s="99" t="e">
        <f>'Delivery Calculation'!AW79+"AM:!&amp;tG"</f>
        <v>#VALUE!</v>
      </c>
      <c r="EW120" s="99" t="e">
        <f>'Delivery Calculation'!AX79+"AM:!&amp;tH"</f>
        <v>#VALUE!</v>
      </c>
      <c r="EX120" t="e">
        <f>'Delivery Calculation'!AY79+"AM:!&amp;tI"</f>
        <v>#VALUE!</v>
      </c>
      <c r="EY120" t="e">
        <f>'Delivery Calculation'!AZ79+"AM:!&amp;tJ"</f>
        <v>#VALUE!</v>
      </c>
      <c r="EZ120" t="e">
        <f>'Delivery Calculation'!A80+"AM:!&amp;tK"</f>
        <v>#VALUE!</v>
      </c>
      <c r="FA120" t="e">
        <f>'Delivery Calculation'!B80+"AM:!&amp;tL"</f>
        <v>#VALUE!</v>
      </c>
      <c r="FB120" t="e">
        <f>'Delivery Calculation'!C80+"AM:!&amp;tM"</f>
        <v>#VALUE!</v>
      </c>
      <c r="FC120" t="e">
        <f>'Delivery Calculation'!D80+"AM:!&amp;tN"</f>
        <v>#VALUE!</v>
      </c>
      <c r="FD120" t="e">
        <f>'Delivery Calculation'!E80+"AM:!&amp;tO"</f>
        <v>#VALUE!</v>
      </c>
      <c r="FE120" s="98" t="e">
        <f>'Delivery Calculation'!F80+"AM:!&amp;tP"</f>
        <v>#VALUE!</v>
      </c>
      <c r="FF120" s="98" t="e">
        <f>'Delivery Calculation'!G80+"AM:!&amp;tQ"</f>
        <v>#VALUE!</v>
      </c>
      <c r="FG120" s="97" t="e">
        <f>'Delivery Calculation'!H80+"AM:!&amp;tR"</f>
        <v>#VALUE!</v>
      </c>
      <c r="FH120" s="97" t="e">
        <f>'Delivery Calculation'!I80+"AM:!&amp;tS"</f>
        <v>#VALUE!</v>
      </c>
      <c r="FI120" s="103" t="e">
        <f>'Delivery Calculation'!J80+"AM:!&amp;tT"</f>
        <v>#VALUE!</v>
      </c>
      <c r="FJ120" s="98" t="e">
        <f>'Delivery Calculation'!K80+"AM:!&amp;tU"</f>
        <v>#VALUE!</v>
      </c>
      <c r="FK120" s="98" t="e">
        <f>'Delivery Calculation'!L80+"AM:!&amp;tV"</f>
        <v>#VALUE!</v>
      </c>
      <c r="FL120" s="99" t="e">
        <f>'Delivery Calculation'!M80+"AM:!&amp;tW"</f>
        <v>#VALUE!</v>
      </c>
      <c r="FM120" s="99" t="e">
        <f>'Delivery Calculation'!N80+"AM:!&amp;tX"</f>
        <v>#VALUE!</v>
      </c>
      <c r="FN120" s="99" t="e">
        <f>'Delivery Calculation'!O80+"AM:!&amp;tY"</f>
        <v>#VALUE!</v>
      </c>
      <c r="FO120" s="99" t="e">
        <f>'Delivery Calculation'!P80+"AM:!&amp;tZ"</f>
        <v>#VALUE!</v>
      </c>
      <c r="FP120" s="99" t="e">
        <f>'Delivery Calculation'!Q80+"AM:!&amp;t["</f>
        <v>#VALUE!</v>
      </c>
      <c r="FQ120" s="99" t="e">
        <f>'Delivery Calculation'!R80+"AM:!&amp;t\"</f>
        <v>#VALUE!</v>
      </c>
      <c r="FR120" s="99" t="e">
        <f>'Delivery Calculation'!S80+"AM:!&amp;t]"</f>
        <v>#VALUE!</v>
      </c>
      <c r="FS120" s="99" t="e">
        <f>'Delivery Calculation'!T80+"AM:!&amp;t^"</f>
        <v>#VALUE!</v>
      </c>
      <c r="FT120" s="99" t="e">
        <f>'Delivery Calculation'!U80+"AM:!&amp;t_"</f>
        <v>#VALUE!</v>
      </c>
      <c r="FU120" s="99" t="e">
        <f>'Delivery Calculation'!V80+"AM:!&amp;t`"</f>
        <v>#VALUE!</v>
      </c>
      <c r="FV120" s="99" t="e">
        <f>'Delivery Calculation'!W80+"AM:!&amp;ta"</f>
        <v>#VALUE!</v>
      </c>
      <c r="FW120" s="99" t="e">
        <f>'Delivery Calculation'!X80+"AM:!&amp;tb"</f>
        <v>#VALUE!</v>
      </c>
      <c r="FX120" s="99" t="e">
        <f>'Delivery Calculation'!Y80+"AM:!&amp;tc"</f>
        <v>#VALUE!</v>
      </c>
      <c r="FY120" s="99" t="e">
        <f>'Delivery Calculation'!Z80+"AM:!&amp;td"</f>
        <v>#VALUE!</v>
      </c>
      <c r="FZ120" s="99" t="e">
        <f>'Delivery Calculation'!AA80+"AM:!&amp;te"</f>
        <v>#VALUE!</v>
      </c>
      <c r="GA120" s="99" t="e">
        <f>'Delivery Calculation'!AB80+"AM:!&amp;tf"</f>
        <v>#VALUE!</v>
      </c>
      <c r="GB120" s="99" t="e">
        <f>'Delivery Calculation'!AC80+"AM:!&amp;tg"</f>
        <v>#VALUE!</v>
      </c>
      <c r="GC120" s="99" t="e">
        <f>'Delivery Calculation'!AD80+"AM:!&amp;th"</f>
        <v>#VALUE!</v>
      </c>
      <c r="GD120" s="99" t="e">
        <f>'Delivery Calculation'!AE80+"AM:!&amp;ti"</f>
        <v>#VALUE!</v>
      </c>
      <c r="GE120" s="99" t="e">
        <f>'Delivery Calculation'!AF80+"AM:!&amp;tj"</f>
        <v>#VALUE!</v>
      </c>
      <c r="GF120" s="99" t="e">
        <f>'Delivery Calculation'!AG80+"AM:!&amp;tk"</f>
        <v>#VALUE!</v>
      </c>
      <c r="GG120" s="99" t="e">
        <f>'Delivery Calculation'!AH80+"AM:!&amp;tl"</f>
        <v>#VALUE!</v>
      </c>
      <c r="GH120" s="99" t="e">
        <f>'Delivery Calculation'!AI80+"AM:!&amp;tm"</f>
        <v>#VALUE!</v>
      </c>
      <c r="GI120" s="99" t="e">
        <f>'Delivery Calculation'!AJ80+"AM:!&amp;tn"</f>
        <v>#VALUE!</v>
      </c>
      <c r="GJ120" s="99" t="e">
        <f>'Delivery Calculation'!AK80+"AM:!&amp;to"</f>
        <v>#VALUE!</v>
      </c>
      <c r="GK120" s="99" t="e">
        <f>'Delivery Calculation'!AL80+"AM:!&amp;tp"</f>
        <v>#VALUE!</v>
      </c>
      <c r="GL120" s="99" t="e">
        <f>'Delivery Calculation'!AM80+"AM:!&amp;tq"</f>
        <v>#VALUE!</v>
      </c>
      <c r="GM120" s="99" t="e">
        <f>'Delivery Calculation'!AN80+"AM:!&amp;tr"</f>
        <v>#VALUE!</v>
      </c>
      <c r="GN120" s="99" t="e">
        <f>'Delivery Calculation'!AO80+"AM:!&amp;ts"</f>
        <v>#VALUE!</v>
      </c>
      <c r="GO120" s="99" t="e">
        <f>'Delivery Calculation'!AP80+"AM:!&amp;tt"</f>
        <v>#VALUE!</v>
      </c>
      <c r="GP120" s="99" t="e">
        <f>'Delivery Calculation'!AQ80+"AM:!&amp;tu"</f>
        <v>#VALUE!</v>
      </c>
      <c r="GQ120" s="99" t="e">
        <f>'Delivery Calculation'!AR80+"AM:!&amp;tv"</f>
        <v>#VALUE!</v>
      </c>
      <c r="GR120" s="99" t="e">
        <f>'Delivery Calculation'!AS80+"AM:!&amp;tw"</f>
        <v>#VALUE!</v>
      </c>
      <c r="GS120" s="99" t="e">
        <f>'Delivery Calculation'!AT80+"AM:!&amp;tx"</f>
        <v>#VALUE!</v>
      </c>
      <c r="GT120" s="99" t="e">
        <f>'Delivery Calculation'!AU80+"AM:!&amp;ty"</f>
        <v>#VALUE!</v>
      </c>
      <c r="GU120" s="99" t="e">
        <f>'Delivery Calculation'!AV80+"AM:!&amp;tz"</f>
        <v>#VALUE!</v>
      </c>
      <c r="GV120" s="99" t="e">
        <f>'Delivery Calculation'!AW80+"AM:!&amp;t{"</f>
        <v>#VALUE!</v>
      </c>
      <c r="GW120" s="99" t="e">
        <f>'Delivery Calculation'!AX80+"AM:!&amp;t|"</f>
        <v>#VALUE!</v>
      </c>
      <c r="GX120" t="e">
        <f>'Delivery Calculation'!AY80+"AM:!&amp;t}"</f>
        <v>#VALUE!</v>
      </c>
      <c r="GY120" t="e">
        <f>'Delivery Calculation'!AZ80+"AM:!&amp;t~"</f>
        <v>#VALUE!</v>
      </c>
      <c r="GZ120" t="e">
        <f>'Delivery Calculation'!A81+"AM:!&amp;u#"</f>
        <v>#VALUE!</v>
      </c>
      <c r="HA120" t="e">
        <f>'Delivery Calculation'!B81+"AM:!&amp;u$"</f>
        <v>#VALUE!</v>
      </c>
      <c r="HB120" t="e">
        <f>'Delivery Calculation'!C81+"AM:!&amp;u%"</f>
        <v>#VALUE!</v>
      </c>
      <c r="HC120" t="e">
        <f>'Delivery Calculation'!D81+"AM:!&amp;u&amp;"</f>
        <v>#VALUE!</v>
      </c>
      <c r="HD120" t="e">
        <f>'Delivery Calculation'!E81+"AM:!&amp;u'"</f>
        <v>#VALUE!</v>
      </c>
      <c r="HE120" t="e">
        <f>'Delivery Calculation'!F81+"AM:!&amp;u("</f>
        <v>#VALUE!</v>
      </c>
      <c r="HF120" t="e">
        <f>'Delivery Calculation'!G81+"AM:!&amp;u)"</f>
        <v>#VALUE!</v>
      </c>
      <c r="HG120" t="e">
        <f>'Delivery Calculation'!H81+"AM:!&amp;u."</f>
        <v>#VALUE!</v>
      </c>
      <c r="HH120" t="e">
        <f>'Delivery Calculation'!I81+"AM:!&amp;u/"</f>
        <v>#VALUE!</v>
      </c>
      <c r="HI120" t="e">
        <f>'Delivery Calculation'!J81+"AM:!&amp;u0"</f>
        <v>#VALUE!</v>
      </c>
      <c r="HJ120" t="e">
        <f>'Delivery Calculation'!K81+"AM:!&amp;u1"</f>
        <v>#VALUE!</v>
      </c>
      <c r="HK120" t="e">
        <f>'Delivery Calculation'!L81+"AM:!&amp;u2"</f>
        <v>#VALUE!</v>
      </c>
      <c r="HL120" t="e">
        <f>'Delivery Calculation'!M81+"AM:!&amp;u3"</f>
        <v>#VALUE!</v>
      </c>
      <c r="HM120" t="e">
        <f>'Delivery Calculation'!N81+"AM:!&amp;u4"</f>
        <v>#VALUE!</v>
      </c>
      <c r="HN120" t="e">
        <f>'Delivery Calculation'!O81+"AM:!&amp;u5"</f>
        <v>#VALUE!</v>
      </c>
      <c r="HO120" t="e">
        <f>'Delivery Calculation'!P81+"AM:!&amp;u6"</f>
        <v>#VALUE!</v>
      </c>
      <c r="HP120" t="e">
        <f>'Delivery Calculation'!Q81+"AM:!&amp;u7"</f>
        <v>#VALUE!</v>
      </c>
      <c r="HQ120" t="e">
        <f>'Delivery Calculation'!R81+"AM:!&amp;u8"</f>
        <v>#VALUE!</v>
      </c>
      <c r="HR120" t="e">
        <f>'Delivery Calculation'!S81+"AM:!&amp;u9"</f>
        <v>#VALUE!</v>
      </c>
      <c r="HS120" t="e">
        <f>'Delivery Calculation'!T81+"AM:!&amp;u:"</f>
        <v>#VALUE!</v>
      </c>
      <c r="HT120" t="e">
        <f>'Delivery Calculation'!U81+"AM:!&amp;u;"</f>
        <v>#VALUE!</v>
      </c>
      <c r="HU120" t="e">
        <f>'Delivery Calculation'!V81+"AM:!&amp;u&lt;"</f>
        <v>#VALUE!</v>
      </c>
      <c r="HV120" t="e">
        <f>'Delivery Calculation'!W81+"AM:!&amp;u="</f>
        <v>#VALUE!</v>
      </c>
      <c r="HW120" t="e">
        <f>'Delivery Calculation'!X81+"AM:!&amp;u&gt;"</f>
        <v>#VALUE!</v>
      </c>
      <c r="HX120" t="e">
        <f>'Delivery Calculation'!Y81+"AM:!&amp;u?"</f>
        <v>#VALUE!</v>
      </c>
      <c r="HY120" t="e">
        <f>'Delivery Calculation'!Z81+"AM:!&amp;u@"</f>
        <v>#VALUE!</v>
      </c>
      <c r="HZ120" t="e">
        <f>'Delivery Calculation'!AA81+"AM:!&amp;uA"</f>
        <v>#VALUE!</v>
      </c>
      <c r="IA120" t="e">
        <f>'Delivery Calculation'!AB81+"AM:!&amp;uB"</f>
        <v>#VALUE!</v>
      </c>
      <c r="IB120" t="e">
        <f>'Delivery Calculation'!AC81+"AM:!&amp;uC"</f>
        <v>#VALUE!</v>
      </c>
      <c r="IC120" t="e">
        <f>'Delivery Calculation'!AD81+"AM:!&amp;uD"</f>
        <v>#VALUE!</v>
      </c>
      <c r="ID120" t="e">
        <f>'Delivery Calculation'!AE81+"AM:!&amp;uE"</f>
        <v>#VALUE!</v>
      </c>
      <c r="IE120" t="e">
        <f>'Delivery Calculation'!AF81+"AM:!&amp;uF"</f>
        <v>#VALUE!</v>
      </c>
      <c r="IF120" t="e">
        <f>'Delivery Calculation'!AG81+"AM:!&amp;uG"</f>
        <v>#VALUE!</v>
      </c>
      <c r="IG120" t="e">
        <f>'Delivery Calculation'!AH81+"AM:!&amp;uH"</f>
        <v>#VALUE!</v>
      </c>
      <c r="IH120" t="e">
        <f>'Delivery Calculation'!AI81+"AM:!&amp;uI"</f>
        <v>#VALUE!</v>
      </c>
      <c r="II120" t="e">
        <f>'Delivery Calculation'!AJ81+"AM:!&amp;uJ"</f>
        <v>#VALUE!</v>
      </c>
      <c r="IJ120" t="e">
        <f>'Delivery Calculation'!AK81+"AM:!&amp;uK"</f>
        <v>#VALUE!</v>
      </c>
      <c r="IK120" t="e">
        <f>'Delivery Calculation'!AL81+"AM:!&amp;uL"</f>
        <v>#VALUE!</v>
      </c>
      <c r="IL120" t="e">
        <f>'Delivery Calculation'!AM81+"AM:!&amp;uM"</f>
        <v>#VALUE!</v>
      </c>
      <c r="IM120" t="e">
        <f>'Delivery Calculation'!AN81+"AM:!&amp;uN"</f>
        <v>#VALUE!</v>
      </c>
      <c r="IN120" t="e">
        <f>'Delivery Calculation'!AO81+"AM:!&amp;uO"</f>
        <v>#VALUE!</v>
      </c>
      <c r="IO120" t="e">
        <f>'Delivery Calculation'!AP81+"AM:!&amp;uP"</f>
        <v>#VALUE!</v>
      </c>
      <c r="IP120" t="e">
        <f>'Delivery Calculation'!AQ81+"AM:!&amp;uQ"</f>
        <v>#VALUE!</v>
      </c>
      <c r="IQ120" t="e">
        <f>'Delivery Calculation'!AR81+"AM:!&amp;uR"</f>
        <v>#VALUE!</v>
      </c>
      <c r="IR120" t="e">
        <f>'Delivery Calculation'!AS81+"AM:!&amp;uS"</f>
        <v>#VALUE!</v>
      </c>
      <c r="IS120" t="e">
        <f>'Delivery Calculation'!AT81+"AM:!&amp;uT"</f>
        <v>#VALUE!</v>
      </c>
      <c r="IT120" t="e">
        <f>'Delivery Calculation'!AU81+"AM:!&amp;uU"</f>
        <v>#VALUE!</v>
      </c>
      <c r="IU120" t="e">
        <f>'Delivery Calculation'!AV81+"AM:!&amp;uV"</f>
        <v>#VALUE!</v>
      </c>
      <c r="IV120" t="e">
        <f>'Delivery Calculation'!AW81+"AM:!&amp;uW"</f>
        <v>#VALUE!</v>
      </c>
    </row>
    <row r="121" spans="6:256">
      <c r="F121" t="e">
        <f>'Delivery Calculation'!AX81+"AM:!&amp;uX"</f>
        <v>#VALUE!</v>
      </c>
      <c r="G121" t="e">
        <f>'Delivery Calculation'!AY81+"AM:!&amp;uY"</f>
        <v>#VALUE!</v>
      </c>
      <c r="H121" t="e">
        <f>'Delivery Calculation'!AZ81+"AM:!&amp;uZ"</f>
        <v>#VALUE!</v>
      </c>
      <c r="I121" t="e">
        <f>'Delivery Calculation'!A82+"AM:!&amp;u["</f>
        <v>#VALUE!</v>
      </c>
      <c r="J121" t="e">
        <f>'Delivery Calculation'!B82+"AM:!&amp;u\"</f>
        <v>#VALUE!</v>
      </c>
      <c r="K121" t="e">
        <f>'Delivery Calculation'!C82+"AM:!&amp;u]"</f>
        <v>#VALUE!</v>
      </c>
      <c r="L121" t="e">
        <f>'Delivery Calculation'!D82+"AM:!&amp;u^"</f>
        <v>#VALUE!</v>
      </c>
      <c r="M121" t="e">
        <f>'Delivery Calculation'!E82+"AM:!&amp;u_"</f>
        <v>#VALUE!</v>
      </c>
      <c r="N121" t="e">
        <f>'Delivery Calculation'!F82+"AM:!&amp;u`"</f>
        <v>#VALUE!</v>
      </c>
      <c r="O121" t="e">
        <f>'Delivery Calculation'!G82+"AM:!&amp;ua"</f>
        <v>#VALUE!</v>
      </c>
      <c r="P121" t="e">
        <f>'Delivery Calculation'!H82+"AM:!&amp;ub"</f>
        <v>#VALUE!</v>
      </c>
      <c r="Q121" t="e">
        <f>'Delivery Calculation'!I82+"AM:!&amp;uc"</f>
        <v>#VALUE!</v>
      </c>
      <c r="R121" t="e">
        <f>'Delivery Calculation'!J82+"AM:!&amp;ud"</f>
        <v>#VALUE!</v>
      </c>
      <c r="S121" t="e">
        <f>'Delivery Calculation'!K82+"AM:!&amp;ue"</f>
        <v>#VALUE!</v>
      </c>
      <c r="T121" t="e">
        <f>'Delivery Calculation'!L82+"AM:!&amp;uf"</f>
        <v>#VALUE!</v>
      </c>
      <c r="U121" t="e">
        <f>'Delivery Calculation'!M82+"AM:!&amp;ug"</f>
        <v>#VALUE!</v>
      </c>
      <c r="V121" t="e">
        <f>'Delivery Calculation'!N82+"AM:!&amp;uh"</f>
        <v>#VALUE!</v>
      </c>
      <c r="W121" t="e">
        <f>'Delivery Calculation'!O82+"AM:!&amp;ui"</f>
        <v>#VALUE!</v>
      </c>
      <c r="X121" t="e">
        <f>'Delivery Calculation'!P82+"AM:!&amp;uj"</f>
        <v>#VALUE!</v>
      </c>
      <c r="Y121" t="e">
        <f>'Delivery Calculation'!Q82+"AM:!&amp;uk"</f>
        <v>#VALUE!</v>
      </c>
      <c r="Z121" t="e">
        <f>'Delivery Calculation'!R82+"AM:!&amp;ul"</f>
        <v>#VALUE!</v>
      </c>
      <c r="AA121" t="e">
        <f>'Delivery Calculation'!S82+"AM:!&amp;um"</f>
        <v>#VALUE!</v>
      </c>
      <c r="AB121" t="e">
        <f>'Delivery Calculation'!T82+"AM:!&amp;un"</f>
        <v>#VALUE!</v>
      </c>
      <c r="AC121" t="e">
        <f>'Delivery Calculation'!U82+"AM:!&amp;uo"</f>
        <v>#VALUE!</v>
      </c>
      <c r="AD121" t="e">
        <f>'Delivery Calculation'!V82+"AM:!&amp;up"</f>
        <v>#VALUE!</v>
      </c>
      <c r="AE121" t="e">
        <f>'Delivery Calculation'!W82+"AM:!&amp;uq"</f>
        <v>#VALUE!</v>
      </c>
      <c r="AF121" t="e">
        <f>'Delivery Calculation'!X82+"AM:!&amp;ur"</f>
        <v>#VALUE!</v>
      </c>
      <c r="AG121" t="e">
        <f>'Delivery Calculation'!Y82+"AM:!&amp;us"</f>
        <v>#VALUE!</v>
      </c>
      <c r="AH121" t="e">
        <f>'Delivery Calculation'!Z82+"AM:!&amp;ut"</f>
        <v>#VALUE!</v>
      </c>
      <c r="AI121" t="e">
        <f>'Delivery Calculation'!AA82+"AM:!&amp;uu"</f>
        <v>#VALUE!</v>
      </c>
      <c r="AJ121" t="e">
        <f>'Delivery Calculation'!AB82+"AM:!&amp;uv"</f>
        <v>#VALUE!</v>
      </c>
      <c r="AK121" t="e">
        <f>'Delivery Calculation'!AC82+"AM:!&amp;uw"</f>
        <v>#VALUE!</v>
      </c>
      <c r="AL121" t="e">
        <f>'Delivery Calculation'!AD82+"AM:!&amp;ux"</f>
        <v>#VALUE!</v>
      </c>
      <c r="AM121" t="e">
        <f>'Delivery Calculation'!AE82+"AM:!&amp;uy"</f>
        <v>#VALUE!</v>
      </c>
      <c r="AN121" t="e">
        <f>'Delivery Calculation'!AF82+"AM:!&amp;uz"</f>
        <v>#VALUE!</v>
      </c>
      <c r="AO121" t="e">
        <f>'Delivery Calculation'!AG82+"AM:!&amp;u{"</f>
        <v>#VALUE!</v>
      </c>
      <c r="AP121" t="e">
        <f>'Delivery Calculation'!AH82+"AM:!&amp;u|"</f>
        <v>#VALUE!</v>
      </c>
      <c r="AQ121" t="e">
        <f>'Delivery Calculation'!AI82+"AM:!&amp;u}"</f>
        <v>#VALUE!</v>
      </c>
      <c r="AR121" t="e">
        <f>'Delivery Calculation'!AJ82+"AM:!&amp;u~"</f>
        <v>#VALUE!</v>
      </c>
      <c r="AS121" t="e">
        <f>'Delivery Calculation'!AK82+"AM:!&amp;v#"</f>
        <v>#VALUE!</v>
      </c>
      <c r="AT121" t="e">
        <f>'Delivery Calculation'!AL82+"AM:!&amp;v$"</f>
        <v>#VALUE!</v>
      </c>
      <c r="AU121" t="e">
        <f>'Delivery Calculation'!AM82+"AM:!&amp;v%"</f>
        <v>#VALUE!</v>
      </c>
      <c r="AV121" t="e">
        <f>'Delivery Calculation'!AN82+"AM:!&amp;v&amp;"</f>
        <v>#VALUE!</v>
      </c>
      <c r="AW121" t="e">
        <f>'Delivery Calculation'!AO82+"AM:!&amp;v'"</f>
        <v>#VALUE!</v>
      </c>
      <c r="AX121" t="e">
        <f>'Delivery Calculation'!AP82+"AM:!&amp;v("</f>
        <v>#VALUE!</v>
      </c>
      <c r="AY121" t="e">
        <f>'Delivery Calculation'!AQ82+"AM:!&amp;v)"</f>
        <v>#VALUE!</v>
      </c>
      <c r="AZ121" t="e">
        <f>'Delivery Calculation'!AR82+"AM:!&amp;v."</f>
        <v>#VALUE!</v>
      </c>
      <c r="BA121" t="e">
        <f>'Delivery Calculation'!AS82+"AM:!&amp;v/"</f>
        <v>#VALUE!</v>
      </c>
      <c r="BB121" t="e">
        <f>'Delivery Calculation'!AT82+"AM:!&amp;v0"</f>
        <v>#VALUE!</v>
      </c>
      <c r="BC121" t="e">
        <f>'Delivery Calculation'!AU82+"AM:!&amp;v1"</f>
        <v>#VALUE!</v>
      </c>
      <c r="BD121" t="e">
        <f>'Delivery Calculation'!AV82+"AM:!&amp;v2"</f>
        <v>#VALUE!</v>
      </c>
      <c r="BE121" t="e">
        <f>'Delivery Calculation'!AW82+"AM:!&amp;v3"</f>
        <v>#VALUE!</v>
      </c>
      <c r="BF121" t="e">
        <f>'Delivery Calculation'!AX82+"AM:!&amp;v4"</f>
        <v>#VALUE!</v>
      </c>
      <c r="BG121" t="e">
        <f>'Delivery Calculation'!AY82+"AM:!&amp;v5"</f>
        <v>#VALUE!</v>
      </c>
      <c r="BH121" t="e">
        <f>'Delivery Calculation'!AZ82+"AM:!&amp;v6"</f>
        <v>#VALUE!</v>
      </c>
      <c r="BI121" t="e">
        <f>'Delivery Calculation'!A83+"AM:!&amp;v7"</f>
        <v>#VALUE!</v>
      </c>
      <c r="BJ121" t="e">
        <f>'Delivery Calculation'!B83+"AM:!&amp;v8"</f>
        <v>#VALUE!</v>
      </c>
      <c r="BK121" t="e">
        <f>'Delivery Calculation'!C83+"AM:!&amp;v9"</f>
        <v>#VALUE!</v>
      </c>
      <c r="BL121" t="e">
        <f>'Delivery Calculation'!D83+"AM:!&amp;v:"</f>
        <v>#VALUE!</v>
      </c>
      <c r="BM121" t="e">
        <f>'Delivery Calculation'!E83+"AM:!&amp;v;"</f>
        <v>#VALUE!</v>
      </c>
      <c r="BN121" t="e">
        <f>'Delivery Calculation'!F83+"AM:!&amp;v&lt;"</f>
        <v>#VALUE!</v>
      </c>
      <c r="BO121" t="e">
        <f>'Delivery Calculation'!G83+"AM:!&amp;v="</f>
        <v>#VALUE!</v>
      </c>
      <c r="BP121" t="e">
        <f>'Delivery Calculation'!H83+"AM:!&amp;v&gt;"</f>
        <v>#VALUE!</v>
      </c>
      <c r="BQ121" t="e">
        <f>'Delivery Calculation'!I83+"AM:!&amp;v?"</f>
        <v>#VALUE!</v>
      </c>
      <c r="BR121" t="e">
        <f>'Delivery Calculation'!J83+"AM:!&amp;v@"</f>
        <v>#VALUE!</v>
      </c>
      <c r="BS121" t="e">
        <f>'Delivery Calculation'!K83+"AM:!&amp;vA"</f>
        <v>#VALUE!</v>
      </c>
      <c r="BT121" t="e">
        <f>'Delivery Calculation'!L83+"AM:!&amp;vB"</f>
        <v>#VALUE!</v>
      </c>
      <c r="BU121" t="e">
        <f>'Delivery Calculation'!M83+"AM:!&amp;vC"</f>
        <v>#VALUE!</v>
      </c>
      <c r="BV121" t="e">
        <f>'Delivery Calculation'!N83+"AM:!&amp;vD"</f>
        <v>#VALUE!</v>
      </c>
      <c r="BW121" t="e">
        <f>'Delivery Calculation'!O83+"AM:!&amp;vE"</f>
        <v>#VALUE!</v>
      </c>
      <c r="BX121" t="e">
        <f>'Delivery Calculation'!P83+"AM:!&amp;vF"</f>
        <v>#VALUE!</v>
      </c>
      <c r="BY121" t="e">
        <f>'Delivery Calculation'!Q83+"AM:!&amp;vG"</f>
        <v>#VALUE!</v>
      </c>
      <c r="BZ121" t="e">
        <f>'Delivery Calculation'!R83+"AM:!&amp;vH"</f>
        <v>#VALUE!</v>
      </c>
      <c r="CA121" t="e">
        <f>'Delivery Calculation'!S83+"AM:!&amp;vI"</f>
        <v>#VALUE!</v>
      </c>
      <c r="CB121" t="e">
        <f>'Delivery Calculation'!T83+"AM:!&amp;vJ"</f>
        <v>#VALUE!</v>
      </c>
      <c r="CC121" t="e">
        <f>'Delivery Calculation'!U83+"AM:!&amp;vK"</f>
        <v>#VALUE!</v>
      </c>
      <c r="CD121" t="e">
        <f>'Delivery Calculation'!V83+"AM:!&amp;vL"</f>
        <v>#VALUE!</v>
      </c>
      <c r="CE121" t="e">
        <f>'Delivery Calculation'!W83+"AM:!&amp;vM"</f>
        <v>#VALUE!</v>
      </c>
      <c r="CF121" t="e">
        <f>'Delivery Calculation'!X83+"AM:!&amp;vN"</f>
        <v>#VALUE!</v>
      </c>
      <c r="CG121" t="e">
        <f>'Delivery Calculation'!Y83+"AM:!&amp;vO"</f>
        <v>#VALUE!</v>
      </c>
      <c r="CH121" t="e">
        <f>'Delivery Calculation'!Z83+"AM:!&amp;vP"</f>
        <v>#VALUE!</v>
      </c>
      <c r="CI121" t="e">
        <f>'Delivery Calculation'!AA83+"AM:!&amp;vQ"</f>
        <v>#VALUE!</v>
      </c>
      <c r="CJ121" t="e">
        <f>'Delivery Calculation'!AB83+"AM:!&amp;vR"</f>
        <v>#VALUE!</v>
      </c>
      <c r="CK121" t="e">
        <f>'Delivery Calculation'!AC83+"AM:!&amp;vS"</f>
        <v>#VALUE!</v>
      </c>
      <c r="CL121" t="e">
        <f>'Delivery Calculation'!AD83+"AM:!&amp;vT"</f>
        <v>#VALUE!</v>
      </c>
      <c r="CM121" t="e">
        <f>'Delivery Calculation'!AE83+"AM:!&amp;vU"</f>
        <v>#VALUE!</v>
      </c>
      <c r="CN121" t="e">
        <f>'Delivery Calculation'!AF83+"AM:!&amp;vV"</f>
        <v>#VALUE!</v>
      </c>
      <c r="CO121" t="e">
        <f>'Delivery Calculation'!AG83+"AM:!&amp;vW"</f>
        <v>#VALUE!</v>
      </c>
      <c r="CP121" t="e">
        <f>'Delivery Calculation'!AH83+"AM:!&amp;vX"</f>
        <v>#VALUE!</v>
      </c>
      <c r="CQ121" t="e">
        <f>'Delivery Calculation'!AI83+"AM:!&amp;vY"</f>
        <v>#VALUE!</v>
      </c>
      <c r="CR121" t="e">
        <f>'Delivery Calculation'!AJ83+"AM:!&amp;vZ"</f>
        <v>#VALUE!</v>
      </c>
      <c r="CS121" t="e">
        <f>'Delivery Calculation'!AK83+"AM:!&amp;v["</f>
        <v>#VALUE!</v>
      </c>
      <c r="CT121" t="e">
        <f>'Delivery Calculation'!AL83+"AM:!&amp;v\"</f>
        <v>#VALUE!</v>
      </c>
      <c r="CU121" t="e">
        <f>'Delivery Calculation'!AM83+"AM:!&amp;v]"</f>
        <v>#VALUE!</v>
      </c>
      <c r="CV121" t="e">
        <f>'Delivery Calculation'!AN83+"AM:!&amp;v^"</f>
        <v>#VALUE!</v>
      </c>
      <c r="CW121" t="e">
        <f>'Delivery Calculation'!AO83+"AM:!&amp;v_"</f>
        <v>#VALUE!</v>
      </c>
      <c r="CX121" t="e">
        <f>'Delivery Calculation'!AP83+"AM:!&amp;v`"</f>
        <v>#VALUE!</v>
      </c>
      <c r="CY121" t="e">
        <f>'Delivery Calculation'!AQ83+"AM:!&amp;va"</f>
        <v>#VALUE!</v>
      </c>
      <c r="CZ121" t="e">
        <f>'Delivery Calculation'!AR83+"AM:!&amp;vb"</f>
        <v>#VALUE!</v>
      </c>
      <c r="DA121" t="e">
        <f>'Delivery Calculation'!AS83+"AM:!&amp;vc"</f>
        <v>#VALUE!</v>
      </c>
      <c r="DB121" t="e">
        <f>'Delivery Calculation'!AT83+"AM:!&amp;vd"</f>
        <v>#VALUE!</v>
      </c>
      <c r="DC121" t="e">
        <f>'Delivery Calculation'!AU83+"AM:!&amp;ve"</f>
        <v>#VALUE!</v>
      </c>
      <c r="DD121" t="e">
        <f>'Delivery Calculation'!AV83+"AM:!&amp;vf"</f>
        <v>#VALUE!</v>
      </c>
      <c r="DE121" t="e">
        <f>'Delivery Calculation'!AW83+"AM:!&amp;vg"</f>
        <v>#VALUE!</v>
      </c>
      <c r="DF121" t="e">
        <f>'Delivery Calculation'!AX83+"AM:!&amp;vh"</f>
        <v>#VALUE!</v>
      </c>
      <c r="DG121" t="e">
        <f>'Delivery Calculation'!AY83+"AM:!&amp;vi"</f>
        <v>#VALUE!</v>
      </c>
      <c r="DH121" t="e">
        <f>'Delivery Calculation'!AZ83+"AM:!&amp;vj"</f>
        <v>#VALUE!</v>
      </c>
      <c r="DI121" t="e">
        <f>'Delivery Calculation'!A84+"AM:!&amp;vk"</f>
        <v>#VALUE!</v>
      </c>
      <c r="DJ121" t="e">
        <f>'Delivery Calculation'!B84+"AM:!&amp;vl"</f>
        <v>#VALUE!</v>
      </c>
      <c r="DK121" t="e">
        <f>'Delivery Calculation'!C84+"AM:!&amp;vm"</f>
        <v>#VALUE!</v>
      </c>
      <c r="DL121" t="e">
        <f>'Delivery Calculation'!D84+"AM:!&amp;vn"</f>
        <v>#VALUE!</v>
      </c>
      <c r="DM121" t="e">
        <f>'Delivery Calculation'!E84+"AM:!&amp;vo"</f>
        <v>#VALUE!</v>
      </c>
      <c r="DN121" t="e">
        <f>'Delivery Calculation'!F84+"AM:!&amp;vp"</f>
        <v>#VALUE!</v>
      </c>
      <c r="DO121" t="e">
        <f>'Delivery Calculation'!G84+"AM:!&amp;vq"</f>
        <v>#VALUE!</v>
      </c>
      <c r="DP121" t="e">
        <f>'Delivery Calculation'!H84+"AM:!&amp;vr"</f>
        <v>#VALUE!</v>
      </c>
      <c r="DQ121" t="e">
        <f>'Delivery Calculation'!I84+"AM:!&amp;vs"</f>
        <v>#VALUE!</v>
      </c>
      <c r="DR121" t="e">
        <f>'Delivery Calculation'!J84+"AM:!&amp;vt"</f>
        <v>#VALUE!</v>
      </c>
      <c r="DS121" t="e">
        <f>'Delivery Calculation'!K84+"AM:!&amp;vu"</f>
        <v>#VALUE!</v>
      </c>
      <c r="DT121" t="e">
        <f>'Delivery Calculation'!L84+"AM:!&amp;vv"</f>
        <v>#VALUE!</v>
      </c>
      <c r="DU121" t="e">
        <f>'Delivery Calculation'!M84+"AM:!&amp;vw"</f>
        <v>#VALUE!</v>
      </c>
      <c r="DV121" t="e">
        <f>'Delivery Calculation'!N84+"AM:!&amp;vx"</f>
        <v>#VALUE!</v>
      </c>
      <c r="DW121" t="e">
        <f>'Delivery Calculation'!O84+"AM:!&amp;vy"</f>
        <v>#VALUE!</v>
      </c>
      <c r="DX121" t="e">
        <f>'Delivery Calculation'!P84+"AM:!&amp;vz"</f>
        <v>#VALUE!</v>
      </c>
      <c r="DY121" t="e">
        <f>'Delivery Calculation'!Q84+"AM:!&amp;v{"</f>
        <v>#VALUE!</v>
      </c>
      <c r="DZ121" t="e">
        <f>'Delivery Calculation'!R84+"AM:!&amp;v|"</f>
        <v>#VALUE!</v>
      </c>
      <c r="EA121" t="e">
        <f>'Delivery Calculation'!S84+"AM:!&amp;v}"</f>
        <v>#VALUE!</v>
      </c>
      <c r="EB121" t="e">
        <f>'Delivery Calculation'!T84+"AM:!&amp;v~"</f>
        <v>#VALUE!</v>
      </c>
      <c r="EC121" t="e">
        <f>'Delivery Calculation'!U84+"AM:!&amp;w#"</f>
        <v>#VALUE!</v>
      </c>
      <c r="ED121" t="e">
        <f>'Delivery Calculation'!V84+"AM:!&amp;w$"</f>
        <v>#VALUE!</v>
      </c>
      <c r="EE121" t="e">
        <f>'Delivery Calculation'!W84+"AM:!&amp;w%"</f>
        <v>#VALUE!</v>
      </c>
      <c r="EF121" t="e">
        <f>'Delivery Calculation'!X84+"AM:!&amp;w&amp;"</f>
        <v>#VALUE!</v>
      </c>
      <c r="EG121" t="e">
        <f>'Delivery Calculation'!Y84+"AM:!&amp;w'"</f>
        <v>#VALUE!</v>
      </c>
      <c r="EH121" t="e">
        <f>'Delivery Calculation'!Z84+"AM:!&amp;w("</f>
        <v>#VALUE!</v>
      </c>
      <c r="EI121" t="e">
        <f>'Delivery Calculation'!AA84+"AM:!&amp;w)"</f>
        <v>#VALUE!</v>
      </c>
      <c r="EJ121" t="e">
        <f>'Delivery Calculation'!AB84+"AM:!&amp;w."</f>
        <v>#VALUE!</v>
      </c>
      <c r="EK121" t="e">
        <f>'Delivery Calculation'!AC84+"AM:!&amp;w/"</f>
        <v>#VALUE!</v>
      </c>
      <c r="EL121" t="e">
        <f>'Delivery Calculation'!AD84+"AM:!&amp;w0"</f>
        <v>#VALUE!</v>
      </c>
      <c r="EM121" t="e">
        <f>'Delivery Calculation'!AE84+"AM:!&amp;w1"</f>
        <v>#VALUE!</v>
      </c>
      <c r="EN121" t="e">
        <f>'Delivery Calculation'!AF84+"AM:!&amp;w2"</f>
        <v>#VALUE!</v>
      </c>
      <c r="EO121" t="e">
        <f>'Delivery Calculation'!AG84+"AM:!&amp;w3"</f>
        <v>#VALUE!</v>
      </c>
      <c r="EP121" t="e">
        <f>'Delivery Calculation'!AH84+"AM:!&amp;w4"</f>
        <v>#VALUE!</v>
      </c>
      <c r="EQ121" t="e">
        <f>'Delivery Calculation'!AI84+"AM:!&amp;w5"</f>
        <v>#VALUE!</v>
      </c>
      <c r="ER121" t="e">
        <f>'Delivery Calculation'!AJ84+"AM:!&amp;w6"</f>
        <v>#VALUE!</v>
      </c>
      <c r="ES121" t="e">
        <f>'Delivery Calculation'!AK84+"AM:!&amp;w7"</f>
        <v>#VALUE!</v>
      </c>
      <c r="ET121" t="e">
        <f>'Delivery Calculation'!AL84+"AM:!&amp;w8"</f>
        <v>#VALUE!</v>
      </c>
      <c r="EU121" t="e">
        <f>'Delivery Calculation'!AM84+"AM:!&amp;w9"</f>
        <v>#VALUE!</v>
      </c>
      <c r="EV121" t="e">
        <f>'Delivery Calculation'!AN84+"AM:!&amp;w:"</f>
        <v>#VALUE!</v>
      </c>
      <c r="EW121" t="e">
        <f>'Delivery Calculation'!AO84+"AM:!&amp;w;"</f>
        <v>#VALUE!</v>
      </c>
      <c r="EX121" t="e">
        <f>'Delivery Calculation'!AP84+"AM:!&amp;w&lt;"</f>
        <v>#VALUE!</v>
      </c>
      <c r="EY121" t="e">
        <f>'Delivery Calculation'!AQ84+"AM:!&amp;w="</f>
        <v>#VALUE!</v>
      </c>
      <c r="EZ121" t="e">
        <f>'Delivery Calculation'!AR84+"AM:!&amp;w&gt;"</f>
        <v>#VALUE!</v>
      </c>
      <c r="FA121" t="e">
        <f>'Delivery Calculation'!AS84+"AM:!&amp;w?"</f>
        <v>#VALUE!</v>
      </c>
      <c r="FB121" t="e">
        <f>'Delivery Calculation'!AT84+"AM:!&amp;w@"</f>
        <v>#VALUE!</v>
      </c>
      <c r="FC121" t="e">
        <f>'Delivery Calculation'!AU84+"AM:!&amp;wA"</f>
        <v>#VALUE!</v>
      </c>
      <c r="FD121" t="e">
        <f>'Delivery Calculation'!AV84+"AM:!&amp;wB"</f>
        <v>#VALUE!</v>
      </c>
      <c r="FE121" t="e">
        <f>'Delivery Calculation'!AW84+"AM:!&amp;wC"</f>
        <v>#VALUE!</v>
      </c>
      <c r="FF121" t="e">
        <f>'Delivery Calculation'!AX84+"AM:!&amp;wD"</f>
        <v>#VALUE!</v>
      </c>
      <c r="FG121" t="e">
        <f>'Delivery Calculation'!AY84+"AM:!&amp;wE"</f>
        <v>#VALUE!</v>
      </c>
      <c r="FH121" t="e">
        <f>'Delivery Calculation'!AZ84+"AM:!&amp;wF"</f>
        <v>#VALUE!</v>
      </c>
      <c r="FI121" t="e">
        <f>'Delivery Calculation'!A85+"AM:!&amp;wG"</f>
        <v>#VALUE!</v>
      </c>
      <c r="FJ121" t="e">
        <f>'Delivery Calculation'!B85+"AM:!&amp;wH"</f>
        <v>#VALUE!</v>
      </c>
      <c r="FK121" t="e">
        <f>'Delivery Calculation'!C85+"AM:!&amp;wI"</f>
        <v>#VALUE!</v>
      </c>
      <c r="FL121" t="e">
        <f>'Delivery Calculation'!D85+"AM:!&amp;wJ"</f>
        <v>#VALUE!</v>
      </c>
      <c r="FM121" t="e">
        <f>'Delivery Calculation'!E85+"AM:!&amp;wK"</f>
        <v>#VALUE!</v>
      </c>
      <c r="FN121" t="e">
        <f>'Delivery Calculation'!F85+"AM:!&amp;wL"</f>
        <v>#VALUE!</v>
      </c>
      <c r="FO121" t="e">
        <f>'Delivery Calculation'!G85+"AM:!&amp;wM"</f>
        <v>#VALUE!</v>
      </c>
      <c r="FP121" t="e">
        <f>'Delivery Calculation'!H85+"AM:!&amp;wN"</f>
        <v>#VALUE!</v>
      </c>
      <c r="FQ121" t="e">
        <f>'Delivery Calculation'!I85+"AM:!&amp;wO"</f>
        <v>#VALUE!</v>
      </c>
      <c r="FR121" t="e">
        <f>'Delivery Calculation'!J85+"AM:!&amp;wP"</f>
        <v>#VALUE!</v>
      </c>
      <c r="FS121" t="e">
        <f>'Delivery Calculation'!K85+"AM:!&amp;wQ"</f>
        <v>#VALUE!</v>
      </c>
      <c r="FT121" t="e">
        <f>'Delivery Calculation'!L85+"AM:!&amp;wR"</f>
        <v>#VALUE!</v>
      </c>
      <c r="FU121" t="e">
        <f>'Delivery Calculation'!M85+"AM:!&amp;wS"</f>
        <v>#VALUE!</v>
      </c>
      <c r="FV121" t="e">
        <f>'Delivery Calculation'!N85+"AM:!&amp;wT"</f>
        <v>#VALUE!</v>
      </c>
      <c r="FW121" t="e">
        <f>'Delivery Calculation'!O85+"AM:!&amp;wU"</f>
        <v>#VALUE!</v>
      </c>
      <c r="FX121" t="e">
        <f>'Delivery Calculation'!P85+"AM:!&amp;wV"</f>
        <v>#VALUE!</v>
      </c>
      <c r="FY121" t="e">
        <f>'Delivery Calculation'!Q85+"AM:!&amp;wW"</f>
        <v>#VALUE!</v>
      </c>
      <c r="FZ121" t="e">
        <f>'Delivery Calculation'!R85+"AM:!&amp;wX"</f>
        <v>#VALUE!</v>
      </c>
      <c r="GA121" t="e">
        <f>'Delivery Calculation'!S85+"AM:!&amp;wY"</f>
        <v>#VALUE!</v>
      </c>
      <c r="GB121" t="e">
        <f>'Delivery Calculation'!T85+"AM:!&amp;wZ"</f>
        <v>#VALUE!</v>
      </c>
      <c r="GC121" t="e">
        <f>'Delivery Calculation'!U85+"AM:!&amp;w["</f>
        <v>#VALUE!</v>
      </c>
      <c r="GD121" t="e">
        <f>'Delivery Calculation'!V85+"AM:!&amp;w\"</f>
        <v>#VALUE!</v>
      </c>
      <c r="GE121" t="e">
        <f>'Delivery Calculation'!W85+"AM:!&amp;w]"</f>
        <v>#VALUE!</v>
      </c>
      <c r="GF121" t="e">
        <f>'Delivery Calculation'!X85+"AM:!&amp;w^"</f>
        <v>#VALUE!</v>
      </c>
      <c r="GG121" t="e">
        <f>'Delivery Calculation'!Y85+"AM:!&amp;w_"</f>
        <v>#VALUE!</v>
      </c>
      <c r="GH121" t="e">
        <f>'Delivery Calculation'!Z85+"AM:!&amp;w`"</f>
        <v>#VALUE!</v>
      </c>
      <c r="GI121" t="e">
        <f>'Delivery Calculation'!AA85+"AM:!&amp;wa"</f>
        <v>#VALUE!</v>
      </c>
      <c r="GJ121" t="e">
        <f>'Delivery Calculation'!AB85+"AM:!&amp;wb"</f>
        <v>#VALUE!</v>
      </c>
      <c r="GK121" t="e">
        <f>'Delivery Calculation'!AC85+"AM:!&amp;wc"</f>
        <v>#VALUE!</v>
      </c>
      <c r="GL121" t="e">
        <f>'Delivery Calculation'!AD85+"AM:!&amp;wd"</f>
        <v>#VALUE!</v>
      </c>
      <c r="GM121" t="e">
        <f>'Delivery Calculation'!AE85+"AM:!&amp;we"</f>
        <v>#VALUE!</v>
      </c>
      <c r="GN121" t="e">
        <f>'Delivery Calculation'!AF85+"AM:!&amp;wf"</f>
        <v>#VALUE!</v>
      </c>
      <c r="GO121" t="e">
        <f>'Delivery Calculation'!AG85+"AM:!&amp;wg"</f>
        <v>#VALUE!</v>
      </c>
      <c r="GP121" t="e">
        <f>'Delivery Calculation'!AH85+"AM:!&amp;wh"</f>
        <v>#VALUE!</v>
      </c>
      <c r="GQ121" t="e">
        <f>'Delivery Calculation'!AI85+"AM:!&amp;wi"</f>
        <v>#VALUE!</v>
      </c>
      <c r="GR121" t="e">
        <f>'Delivery Calculation'!AJ85+"AM:!&amp;wj"</f>
        <v>#VALUE!</v>
      </c>
      <c r="GS121" t="e">
        <f>'Delivery Calculation'!AK85+"AM:!&amp;wk"</f>
        <v>#VALUE!</v>
      </c>
      <c r="GT121" t="e">
        <f>'Delivery Calculation'!AL85+"AM:!&amp;wl"</f>
        <v>#VALUE!</v>
      </c>
      <c r="GU121" t="e">
        <f>'Delivery Calculation'!AM85+"AM:!&amp;wm"</f>
        <v>#VALUE!</v>
      </c>
      <c r="GV121" t="e">
        <f>'Delivery Calculation'!AN85+"AM:!&amp;wn"</f>
        <v>#VALUE!</v>
      </c>
      <c r="GW121" t="e">
        <f>'Delivery Calculation'!AO85+"AM:!&amp;wo"</f>
        <v>#VALUE!</v>
      </c>
      <c r="GX121" t="e">
        <f>'Delivery Calculation'!AP85+"AM:!&amp;wp"</f>
        <v>#VALUE!</v>
      </c>
      <c r="GY121" t="e">
        <f>'Delivery Calculation'!AQ85+"AM:!&amp;wq"</f>
        <v>#VALUE!</v>
      </c>
      <c r="GZ121" t="e">
        <f>'Delivery Calculation'!AR85+"AM:!&amp;wr"</f>
        <v>#VALUE!</v>
      </c>
      <c r="HA121" t="e">
        <f>'Delivery Calculation'!AS85+"AM:!&amp;ws"</f>
        <v>#VALUE!</v>
      </c>
      <c r="HB121" t="e">
        <f>'Delivery Calculation'!AT85+"AM:!&amp;wt"</f>
        <v>#VALUE!</v>
      </c>
      <c r="HC121" t="e">
        <f>'Delivery Calculation'!AU85+"AM:!&amp;wu"</f>
        <v>#VALUE!</v>
      </c>
      <c r="HD121" t="e">
        <f>'Delivery Calculation'!AV85+"AM:!&amp;wv"</f>
        <v>#VALUE!</v>
      </c>
      <c r="HE121" t="e">
        <f>'Delivery Calculation'!AW85+"AM:!&amp;ww"</f>
        <v>#VALUE!</v>
      </c>
      <c r="HF121" t="e">
        <f>'Delivery Calculation'!AX85+"AM:!&amp;wx"</f>
        <v>#VALUE!</v>
      </c>
      <c r="HG121" t="e">
        <f>'Delivery Calculation'!AY85+"AM:!&amp;wy"</f>
        <v>#VALUE!</v>
      </c>
      <c r="HH121" t="e">
        <f>'Delivery Calculation'!AZ85+"AM:!&amp;wz"</f>
        <v>#VALUE!</v>
      </c>
      <c r="HI121" t="e">
        <f>'Delivery Calculation'!A86+"AM:!&amp;w{"</f>
        <v>#VALUE!</v>
      </c>
      <c r="HJ121" t="e">
        <f>'Delivery Calculation'!B86+"AM:!&amp;w|"</f>
        <v>#VALUE!</v>
      </c>
      <c r="HK121" t="e">
        <f>'Delivery Calculation'!C86+"AM:!&amp;w}"</f>
        <v>#VALUE!</v>
      </c>
      <c r="HL121" t="e">
        <f>'Delivery Calculation'!D86+"AM:!&amp;w~"</f>
        <v>#VALUE!</v>
      </c>
      <c r="HM121" t="e">
        <f>'Delivery Calculation'!E86+"AM:!&amp;x#"</f>
        <v>#VALUE!</v>
      </c>
      <c r="HN121" t="e">
        <f>'Delivery Calculation'!F86+"AM:!&amp;x$"</f>
        <v>#VALUE!</v>
      </c>
      <c r="HO121" t="e">
        <f>'Delivery Calculation'!G86+"AM:!&amp;x%"</f>
        <v>#VALUE!</v>
      </c>
      <c r="HP121" s="97" t="e">
        <f>'Delivery Calculation'!H86+"AM:!&amp;x&amp;"</f>
        <v>#VALUE!</v>
      </c>
      <c r="HQ121" s="97" t="e">
        <f>'Delivery Calculation'!I86+"AM:!&amp;x'"</f>
        <v>#VALUE!</v>
      </c>
      <c r="HR121" s="97" t="e">
        <f>'Delivery Calculation'!J86+"AM:!&amp;x("</f>
        <v>#VALUE!</v>
      </c>
      <c r="HS121" t="e">
        <f>'Delivery Calculation'!K86+"AM:!&amp;x)"</f>
        <v>#VALUE!</v>
      </c>
      <c r="HT121" t="e">
        <f>'Delivery Calculation'!L86+"AM:!&amp;x."</f>
        <v>#VALUE!</v>
      </c>
      <c r="HU121" t="e">
        <f>'Delivery Calculation'!M86+"AM:!&amp;x/"</f>
        <v>#VALUE!</v>
      </c>
      <c r="HV121" t="e">
        <f>'Delivery Calculation'!N86+"AM:!&amp;x0"</f>
        <v>#VALUE!</v>
      </c>
      <c r="HW121" t="e">
        <f>'Delivery Calculation'!O86+"AM:!&amp;x1"</f>
        <v>#VALUE!</v>
      </c>
      <c r="HX121" t="e">
        <f>'Delivery Calculation'!P86+"AM:!&amp;x2"</f>
        <v>#VALUE!</v>
      </c>
      <c r="HY121" t="e">
        <f>'Delivery Calculation'!Q86+"AM:!&amp;x3"</f>
        <v>#VALUE!</v>
      </c>
      <c r="HZ121" t="e">
        <f>'Delivery Calculation'!R86+"AM:!&amp;x4"</f>
        <v>#VALUE!</v>
      </c>
      <c r="IA121" t="e">
        <f>'Delivery Calculation'!S86+"AM:!&amp;x5"</f>
        <v>#VALUE!</v>
      </c>
      <c r="IB121" t="e">
        <f>'Delivery Calculation'!T86+"AM:!&amp;x6"</f>
        <v>#VALUE!</v>
      </c>
      <c r="IC121" t="e">
        <f>'Delivery Calculation'!U86+"AM:!&amp;x7"</f>
        <v>#VALUE!</v>
      </c>
      <c r="ID121" t="e">
        <f>'Delivery Calculation'!V86+"AM:!&amp;x8"</f>
        <v>#VALUE!</v>
      </c>
      <c r="IE121" t="e">
        <f>'Delivery Calculation'!W86+"AM:!&amp;x9"</f>
        <v>#VALUE!</v>
      </c>
      <c r="IF121" t="e">
        <f>'Delivery Calculation'!X86+"AM:!&amp;x:"</f>
        <v>#VALUE!</v>
      </c>
      <c r="IG121" t="e">
        <f>'Delivery Calculation'!Y86+"AM:!&amp;x;"</f>
        <v>#VALUE!</v>
      </c>
      <c r="IH121" t="e">
        <f>'Delivery Calculation'!Z86+"AM:!&amp;x&lt;"</f>
        <v>#VALUE!</v>
      </c>
      <c r="II121" t="e">
        <f>'Delivery Calculation'!AA86+"AM:!&amp;x="</f>
        <v>#VALUE!</v>
      </c>
      <c r="IJ121" t="e">
        <f>'Delivery Calculation'!AB86+"AM:!&amp;x&gt;"</f>
        <v>#VALUE!</v>
      </c>
      <c r="IK121" t="e">
        <f>'Delivery Calculation'!AC86+"AM:!&amp;x?"</f>
        <v>#VALUE!</v>
      </c>
      <c r="IL121" t="e">
        <f>'Delivery Calculation'!AD86+"AM:!&amp;x@"</f>
        <v>#VALUE!</v>
      </c>
      <c r="IM121" t="e">
        <f>'Delivery Calculation'!AE86+"AM:!&amp;xA"</f>
        <v>#VALUE!</v>
      </c>
      <c r="IN121" t="e">
        <f>'Delivery Calculation'!AF86+"AM:!&amp;xB"</f>
        <v>#VALUE!</v>
      </c>
      <c r="IO121" t="e">
        <f>'Delivery Calculation'!AG86+"AM:!&amp;xC"</f>
        <v>#VALUE!</v>
      </c>
      <c r="IP121" t="e">
        <f>'Delivery Calculation'!AH86+"AM:!&amp;xD"</f>
        <v>#VALUE!</v>
      </c>
      <c r="IQ121" t="e">
        <f>'Delivery Calculation'!AI86+"AM:!&amp;xE"</f>
        <v>#VALUE!</v>
      </c>
      <c r="IR121" t="e">
        <f>'Delivery Calculation'!AJ86+"AM:!&amp;xF"</f>
        <v>#VALUE!</v>
      </c>
      <c r="IS121" t="e">
        <f>'Delivery Calculation'!AK86+"AM:!&amp;xG"</f>
        <v>#VALUE!</v>
      </c>
      <c r="IT121" t="e">
        <f>'Delivery Calculation'!AL86+"AM:!&amp;xH"</f>
        <v>#VALUE!</v>
      </c>
      <c r="IU121" t="e">
        <f>'Delivery Calculation'!AM86+"AM:!&amp;xI"</f>
        <v>#VALUE!</v>
      </c>
      <c r="IV121" t="e">
        <f>'Delivery Calculation'!AN86+"AM:!&amp;xJ"</f>
        <v>#VALUE!</v>
      </c>
    </row>
    <row r="122" spans="6:256">
      <c r="F122" t="e">
        <f>'Delivery Calculation'!AO86+"AM:!&amp;xK"</f>
        <v>#VALUE!</v>
      </c>
      <c r="G122" t="e">
        <f>'Delivery Calculation'!AP86+"AM:!&amp;xL"</f>
        <v>#VALUE!</v>
      </c>
      <c r="H122" t="e">
        <f>'Delivery Calculation'!AQ86+"AM:!&amp;xM"</f>
        <v>#VALUE!</v>
      </c>
      <c r="I122" t="e">
        <f>'Delivery Calculation'!AR86+"AM:!&amp;xN"</f>
        <v>#VALUE!</v>
      </c>
      <c r="J122" t="e">
        <f>'Delivery Calculation'!AS86+"AM:!&amp;xO"</f>
        <v>#VALUE!</v>
      </c>
      <c r="K122" t="e">
        <f>'Delivery Calculation'!AT86+"AM:!&amp;xP"</f>
        <v>#VALUE!</v>
      </c>
      <c r="L122" t="e">
        <f>'Delivery Calculation'!AU86+"AM:!&amp;xQ"</f>
        <v>#VALUE!</v>
      </c>
      <c r="M122" t="e">
        <f>'Delivery Calculation'!AV86+"AM:!&amp;xR"</f>
        <v>#VALUE!</v>
      </c>
      <c r="N122" t="e">
        <f>'Delivery Calculation'!AW86+"AM:!&amp;xS"</f>
        <v>#VALUE!</v>
      </c>
      <c r="O122" t="e">
        <f>'Delivery Calculation'!AX86+"AM:!&amp;xT"</f>
        <v>#VALUE!</v>
      </c>
      <c r="P122" t="e">
        <f>'Delivery Calculation'!AY86+"AM:!&amp;xU"</f>
        <v>#VALUE!</v>
      </c>
      <c r="Q122" t="e">
        <f>'Delivery Calculation'!AZ86+"AM:!&amp;xV"</f>
        <v>#VALUE!</v>
      </c>
      <c r="R122" t="e">
        <f>'Delivery Calculation'!A87+"AM:!&amp;xW"</f>
        <v>#VALUE!</v>
      </c>
      <c r="S122" t="e">
        <f>'Delivery Calculation'!B87+"AM:!&amp;xX"</f>
        <v>#VALUE!</v>
      </c>
      <c r="T122" t="e">
        <f>'Delivery Calculation'!C87+"AM:!&amp;xY"</f>
        <v>#VALUE!</v>
      </c>
      <c r="U122" t="e">
        <f>'Delivery Calculation'!D87+"AM:!&amp;xZ"</f>
        <v>#VALUE!</v>
      </c>
      <c r="V122" t="e">
        <f>'Delivery Calculation'!E87+"AM:!&amp;x["</f>
        <v>#VALUE!</v>
      </c>
      <c r="W122" s="98" t="e">
        <f>'Delivery Calculation'!F87+"AM:!&amp;x\"</f>
        <v>#VALUE!</v>
      </c>
      <c r="X122" s="98" t="e">
        <f>'Delivery Calculation'!G87+"AM:!&amp;x]"</f>
        <v>#VALUE!</v>
      </c>
      <c r="Y122" s="97" t="e">
        <f ca="1">'Delivery Calculation'!H87+"AM:!&amp;x^"</f>
        <v>#VALUE!</v>
      </c>
      <c r="Z122" s="97" t="e">
        <f>'Delivery Calculation'!I87+"AM:!&amp;x_"</f>
        <v>#VALUE!</v>
      </c>
      <c r="AA122" s="103" t="e">
        <f>'Delivery Calculation'!J87+"AM:!&amp;x`"</f>
        <v>#VALUE!</v>
      </c>
      <c r="AB122" s="98" t="e">
        <f ca="1">'Delivery Calculation'!K87+"AM:!&amp;xa"</f>
        <v>#VALUE!</v>
      </c>
      <c r="AC122" s="98" t="e">
        <f ca="1">'Delivery Calculation'!L87+"AM:!&amp;xb"</f>
        <v>#VALUE!</v>
      </c>
      <c r="AD122" s="99" t="e">
        <f ca="1">'Delivery Calculation'!M87+"AM:!&amp;xc"</f>
        <v>#VALUE!</v>
      </c>
      <c r="AE122" s="99" t="e">
        <f ca="1">'Delivery Calculation'!N87+"AM:!&amp;xd"</f>
        <v>#VALUE!</v>
      </c>
      <c r="AF122" s="99" t="e">
        <f ca="1">'Delivery Calculation'!O87+"AM:!&amp;xe"</f>
        <v>#VALUE!</v>
      </c>
      <c r="AG122" s="99" t="e">
        <f ca="1">'Delivery Calculation'!P87+"AM:!&amp;xf"</f>
        <v>#VALUE!</v>
      </c>
      <c r="AH122" s="99" t="e">
        <f ca="1">'Delivery Calculation'!Q87+"AM:!&amp;xg"</f>
        <v>#VALUE!</v>
      </c>
      <c r="AI122" s="99" t="e">
        <f ca="1">'Delivery Calculation'!R87+"AM:!&amp;xh"</f>
        <v>#VALUE!</v>
      </c>
      <c r="AJ122" s="99" t="e">
        <f ca="1">'Delivery Calculation'!S87+"AM:!&amp;xi"</f>
        <v>#VALUE!</v>
      </c>
      <c r="AK122" s="99" t="e">
        <f ca="1">'Delivery Calculation'!T87+"AM:!&amp;xj"</f>
        <v>#VALUE!</v>
      </c>
      <c r="AL122" s="99" t="e">
        <f ca="1">'Delivery Calculation'!U87+"AM:!&amp;xk"</f>
        <v>#VALUE!</v>
      </c>
      <c r="AM122" s="99" t="e">
        <f ca="1">'Delivery Calculation'!V87+"AM:!&amp;xl"</f>
        <v>#VALUE!</v>
      </c>
      <c r="AN122" s="99" t="e">
        <f ca="1">'Delivery Calculation'!W87+"AM:!&amp;xm"</f>
        <v>#VALUE!</v>
      </c>
      <c r="AO122" s="99" t="e">
        <f ca="1">'Delivery Calculation'!X87+"AM:!&amp;xn"</f>
        <v>#VALUE!</v>
      </c>
      <c r="AP122" s="99" t="e">
        <f ca="1">'Delivery Calculation'!Y87+"AM:!&amp;xo"</f>
        <v>#VALUE!</v>
      </c>
      <c r="AQ122" s="99" t="e">
        <f ca="1">'Delivery Calculation'!Z87+"AM:!&amp;xp"</f>
        <v>#VALUE!</v>
      </c>
      <c r="AR122" s="99" t="e">
        <f ca="1">'Delivery Calculation'!AA87+"AM:!&amp;xq"</f>
        <v>#VALUE!</v>
      </c>
      <c r="AS122" s="99" t="e">
        <f ca="1">'Delivery Calculation'!AB87+"AM:!&amp;xr"</f>
        <v>#VALUE!</v>
      </c>
      <c r="AT122" s="99" t="e">
        <f ca="1">'Delivery Calculation'!AC87+"AM:!&amp;xs"</f>
        <v>#VALUE!</v>
      </c>
      <c r="AU122" s="99" t="e">
        <f ca="1">'Delivery Calculation'!AD87+"AM:!&amp;xt"</f>
        <v>#VALUE!</v>
      </c>
      <c r="AV122" s="99" t="e">
        <f ca="1">'Delivery Calculation'!AE87+"AM:!&amp;xu"</f>
        <v>#VALUE!</v>
      </c>
      <c r="AW122" s="99" t="e">
        <f ca="1">'Delivery Calculation'!AF87+"AM:!&amp;xv"</f>
        <v>#VALUE!</v>
      </c>
      <c r="AX122" s="99" t="e">
        <f ca="1">'Delivery Calculation'!AG87+"AM:!&amp;xw"</f>
        <v>#VALUE!</v>
      </c>
      <c r="AY122" s="99" t="e">
        <f ca="1">'Delivery Calculation'!AH87+"AM:!&amp;xx"</f>
        <v>#VALUE!</v>
      </c>
      <c r="AZ122" s="99" t="e">
        <f ca="1">'Delivery Calculation'!AI87+"AM:!&amp;xy"</f>
        <v>#VALUE!</v>
      </c>
      <c r="BA122" s="99" t="e">
        <f ca="1">'Delivery Calculation'!AJ87+"AM:!&amp;xz"</f>
        <v>#VALUE!</v>
      </c>
      <c r="BB122" s="99" t="e">
        <f ca="1">'Delivery Calculation'!AK87+"AM:!&amp;x{"</f>
        <v>#VALUE!</v>
      </c>
      <c r="BC122" s="99" t="e">
        <f ca="1">'Delivery Calculation'!AL87+"AM:!&amp;x|"</f>
        <v>#VALUE!</v>
      </c>
      <c r="BD122" s="99" t="e">
        <f ca="1">'Delivery Calculation'!AM87+"AM:!&amp;x}"</f>
        <v>#VALUE!</v>
      </c>
      <c r="BE122" s="99" t="e">
        <f ca="1">'Delivery Calculation'!AN87+"AM:!&amp;x~"</f>
        <v>#VALUE!</v>
      </c>
      <c r="BF122" s="99" t="e">
        <f ca="1">'Delivery Calculation'!AO87+"AM:!&amp;y#"</f>
        <v>#VALUE!</v>
      </c>
      <c r="BG122" s="99" t="e">
        <f ca="1">'Delivery Calculation'!AP87+"AM:!&amp;y$"</f>
        <v>#VALUE!</v>
      </c>
      <c r="BH122" s="99" t="e">
        <f ca="1">'Delivery Calculation'!AQ87+"AM:!&amp;y%"</f>
        <v>#VALUE!</v>
      </c>
      <c r="BI122" s="99" t="e">
        <f ca="1">'Delivery Calculation'!AR87+"AM:!&amp;y&amp;"</f>
        <v>#VALUE!</v>
      </c>
      <c r="BJ122" s="99" t="e">
        <f ca="1">'Delivery Calculation'!AS87+"AM:!&amp;y'"</f>
        <v>#VALUE!</v>
      </c>
      <c r="BK122" s="99" t="e">
        <f ca="1">'Delivery Calculation'!AT87+"AM:!&amp;y("</f>
        <v>#VALUE!</v>
      </c>
      <c r="BL122" s="99" t="e">
        <f ca="1">'Delivery Calculation'!AU87+"AM:!&amp;y)"</f>
        <v>#VALUE!</v>
      </c>
      <c r="BM122" s="99" t="e">
        <f ca="1">'Delivery Calculation'!AV87+"AM:!&amp;y."</f>
        <v>#VALUE!</v>
      </c>
      <c r="BN122" s="99" t="e">
        <f ca="1">'Delivery Calculation'!AW87+"AM:!&amp;y/"</f>
        <v>#VALUE!</v>
      </c>
      <c r="BO122" s="99" t="e">
        <f ca="1">'Delivery Calculation'!AX87+"AM:!&amp;y0"</f>
        <v>#VALUE!</v>
      </c>
      <c r="BP122" t="e">
        <f ca="1">'Delivery Calculation'!AY87+"AM:!&amp;y1"</f>
        <v>#VALUE!</v>
      </c>
      <c r="BQ122" t="e">
        <f>'Delivery Calculation'!AZ87+"AM:!&amp;y2"</f>
        <v>#VALUE!</v>
      </c>
      <c r="BR122" t="e">
        <f>'Delivery Calculation'!A88+"AM:!&amp;y3"</f>
        <v>#VALUE!</v>
      </c>
      <c r="BS122" t="e">
        <f>'Delivery Calculation'!B88+"AM:!&amp;y4"</f>
        <v>#VALUE!</v>
      </c>
      <c r="BT122" t="e">
        <f>'Delivery Calculation'!C88+"AM:!&amp;y5"</f>
        <v>#VALUE!</v>
      </c>
      <c r="BU122" t="e">
        <f>'Delivery Calculation'!D88+"AM:!&amp;y6"</f>
        <v>#VALUE!</v>
      </c>
      <c r="BV122" t="e">
        <f>'Delivery Calculation'!E88+"AM:!&amp;y7"</f>
        <v>#VALUE!</v>
      </c>
      <c r="BW122" s="98" t="e">
        <f>'Delivery Calculation'!F88+"AM:!&amp;y8"</f>
        <v>#VALUE!</v>
      </c>
      <c r="BX122" s="98" t="e">
        <f>'Delivery Calculation'!G88+"AM:!&amp;y9"</f>
        <v>#VALUE!</v>
      </c>
      <c r="BY122" s="97" t="e">
        <f>'Delivery Calculation'!H88+"AM:!&amp;y:"</f>
        <v>#VALUE!</v>
      </c>
      <c r="BZ122" s="97" t="e">
        <f>'Delivery Calculation'!I88+"AM:!&amp;y;"</f>
        <v>#VALUE!</v>
      </c>
      <c r="CA122" s="103" t="e">
        <f>'Delivery Calculation'!J88+"AM:!&amp;y&lt;"</f>
        <v>#VALUE!</v>
      </c>
      <c r="CB122" s="98" t="e">
        <f>'Delivery Calculation'!K88+"AM:!&amp;y="</f>
        <v>#VALUE!</v>
      </c>
      <c r="CC122" s="98" t="e">
        <f>'Delivery Calculation'!L88+"AM:!&amp;y&gt;"</f>
        <v>#VALUE!</v>
      </c>
      <c r="CD122" s="99" t="e">
        <f>'Delivery Calculation'!M88+"AM:!&amp;y?"</f>
        <v>#VALUE!</v>
      </c>
      <c r="CE122" s="99" t="e">
        <f>'Delivery Calculation'!N88+"AM:!&amp;y@"</f>
        <v>#VALUE!</v>
      </c>
      <c r="CF122" s="99" t="e">
        <f>'Delivery Calculation'!O88+"AM:!&amp;yA"</f>
        <v>#VALUE!</v>
      </c>
      <c r="CG122" s="99" t="e">
        <f>'Delivery Calculation'!P88+"AM:!&amp;yB"</f>
        <v>#VALUE!</v>
      </c>
      <c r="CH122" s="99" t="e">
        <f>'Delivery Calculation'!Q88+"AM:!&amp;yC"</f>
        <v>#VALUE!</v>
      </c>
      <c r="CI122" s="99" t="e">
        <f>'Delivery Calculation'!R88+"AM:!&amp;yD"</f>
        <v>#VALUE!</v>
      </c>
      <c r="CJ122" s="99" t="e">
        <f>'Delivery Calculation'!S88+"AM:!&amp;yE"</f>
        <v>#VALUE!</v>
      </c>
      <c r="CK122" s="99" t="e">
        <f>'Delivery Calculation'!T88+"AM:!&amp;yF"</f>
        <v>#VALUE!</v>
      </c>
      <c r="CL122" s="99" t="e">
        <f>'Delivery Calculation'!U88+"AM:!&amp;yG"</f>
        <v>#VALUE!</v>
      </c>
      <c r="CM122" s="99" t="e">
        <f>'Delivery Calculation'!V88+"AM:!&amp;yH"</f>
        <v>#VALUE!</v>
      </c>
      <c r="CN122" s="99" t="e">
        <f>'Delivery Calculation'!W88+"AM:!&amp;yI"</f>
        <v>#VALUE!</v>
      </c>
      <c r="CO122" s="99" t="e">
        <f>'Delivery Calculation'!X88+"AM:!&amp;yJ"</f>
        <v>#VALUE!</v>
      </c>
      <c r="CP122" s="99" t="e">
        <f>'Delivery Calculation'!Y88+"AM:!&amp;yK"</f>
        <v>#VALUE!</v>
      </c>
      <c r="CQ122" s="99" t="e">
        <f>'Delivery Calculation'!Z88+"AM:!&amp;yL"</f>
        <v>#VALUE!</v>
      </c>
      <c r="CR122" s="99" t="e">
        <f>'Delivery Calculation'!AA88+"AM:!&amp;yM"</f>
        <v>#VALUE!</v>
      </c>
      <c r="CS122" s="99" t="e">
        <f>'Delivery Calculation'!AB88+"AM:!&amp;yN"</f>
        <v>#VALUE!</v>
      </c>
      <c r="CT122" s="99" t="e">
        <f>'Delivery Calculation'!AC88+"AM:!&amp;yO"</f>
        <v>#VALUE!</v>
      </c>
      <c r="CU122" s="99" t="e">
        <f>'Delivery Calculation'!AD88+"AM:!&amp;yP"</f>
        <v>#VALUE!</v>
      </c>
      <c r="CV122" s="99" t="e">
        <f>'Delivery Calculation'!AE88+"AM:!&amp;yQ"</f>
        <v>#VALUE!</v>
      </c>
      <c r="CW122" s="99" t="e">
        <f>'Delivery Calculation'!AF88+"AM:!&amp;yR"</f>
        <v>#VALUE!</v>
      </c>
      <c r="CX122" s="99" t="e">
        <f>'Delivery Calculation'!AG88+"AM:!&amp;yS"</f>
        <v>#VALUE!</v>
      </c>
      <c r="CY122" s="99" t="e">
        <f>'Delivery Calculation'!AH88+"AM:!&amp;yT"</f>
        <v>#VALUE!</v>
      </c>
      <c r="CZ122" s="99" t="e">
        <f>'Delivery Calculation'!AI88+"AM:!&amp;yU"</f>
        <v>#VALUE!</v>
      </c>
      <c r="DA122" s="99" t="e">
        <f>'Delivery Calculation'!AJ88+"AM:!&amp;yV"</f>
        <v>#VALUE!</v>
      </c>
      <c r="DB122" s="99" t="e">
        <f>'Delivery Calculation'!AK88+"AM:!&amp;yW"</f>
        <v>#VALUE!</v>
      </c>
      <c r="DC122" s="99" t="e">
        <f>'Delivery Calculation'!AL88+"AM:!&amp;yX"</f>
        <v>#VALUE!</v>
      </c>
      <c r="DD122" s="99" t="e">
        <f>'Delivery Calculation'!AM88+"AM:!&amp;yY"</f>
        <v>#VALUE!</v>
      </c>
      <c r="DE122" s="99" t="e">
        <f>'Delivery Calculation'!AN88+"AM:!&amp;yZ"</f>
        <v>#VALUE!</v>
      </c>
      <c r="DF122" s="99" t="e">
        <f>'Delivery Calculation'!AO88+"AM:!&amp;y["</f>
        <v>#VALUE!</v>
      </c>
      <c r="DG122" s="99" t="e">
        <f>'Delivery Calculation'!AP88+"AM:!&amp;y\"</f>
        <v>#VALUE!</v>
      </c>
      <c r="DH122" s="99" t="e">
        <f>'Delivery Calculation'!AQ88+"AM:!&amp;y]"</f>
        <v>#VALUE!</v>
      </c>
      <c r="DI122" s="99" t="e">
        <f>'Delivery Calculation'!AR88+"AM:!&amp;y^"</f>
        <v>#VALUE!</v>
      </c>
      <c r="DJ122" s="99" t="e">
        <f>'Delivery Calculation'!AS88+"AM:!&amp;y_"</f>
        <v>#VALUE!</v>
      </c>
      <c r="DK122" s="99" t="e">
        <f>'Delivery Calculation'!AT88+"AM:!&amp;y`"</f>
        <v>#VALUE!</v>
      </c>
      <c r="DL122" s="99" t="e">
        <f>'Delivery Calculation'!AU88+"AM:!&amp;ya"</f>
        <v>#VALUE!</v>
      </c>
      <c r="DM122" s="99" t="e">
        <f>'Delivery Calculation'!AV88+"AM:!&amp;yb"</f>
        <v>#VALUE!</v>
      </c>
      <c r="DN122" s="99" t="e">
        <f>'Delivery Calculation'!AW88+"AM:!&amp;yc"</f>
        <v>#VALUE!</v>
      </c>
      <c r="DO122" s="99" t="e">
        <f>'Delivery Calculation'!AX88+"AM:!&amp;yd"</f>
        <v>#VALUE!</v>
      </c>
      <c r="DP122" t="e">
        <f>'Delivery Calculation'!AY88+"AM:!&amp;ye"</f>
        <v>#VALUE!</v>
      </c>
      <c r="DQ122" t="e">
        <f>'Delivery Calculation'!AZ88+"AM:!&amp;yf"</f>
        <v>#VALUE!</v>
      </c>
      <c r="DR122" t="e">
        <f>'Delivery Calculation'!A89+"AM:!&amp;yg"</f>
        <v>#VALUE!</v>
      </c>
      <c r="DS122" t="e">
        <f>'Delivery Calculation'!B89+"AM:!&amp;yh"</f>
        <v>#VALUE!</v>
      </c>
      <c r="DT122" t="e">
        <f>'Delivery Calculation'!C89+"AM:!&amp;yi"</f>
        <v>#VALUE!</v>
      </c>
      <c r="DU122" t="e">
        <f>'Delivery Calculation'!D89+"AM:!&amp;yj"</f>
        <v>#VALUE!</v>
      </c>
      <c r="DV122" t="e">
        <f>'Delivery Calculation'!E89+"AM:!&amp;yk"</f>
        <v>#VALUE!</v>
      </c>
      <c r="DW122" s="98" t="e">
        <f>'Delivery Calculation'!F89+"AM:!&amp;yl"</f>
        <v>#VALUE!</v>
      </c>
      <c r="DX122" s="98" t="e">
        <f>'Delivery Calculation'!G89+"AM:!&amp;ym"</f>
        <v>#VALUE!</v>
      </c>
      <c r="DY122" s="97" t="e">
        <f>'Delivery Calculation'!H89+"AM:!&amp;yn"</f>
        <v>#VALUE!</v>
      </c>
      <c r="DZ122" s="97" t="e">
        <f>'Delivery Calculation'!I89+"AM:!&amp;yo"</f>
        <v>#VALUE!</v>
      </c>
      <c r="EA122" s="103" t="e">
        <f>'Delivery Calculation'!J89+"AM:!&amp;yp"</f>
        <v>#VALUE!</v>
      </c>
      <c r="EB122" s="98" t="e">
        <f>'Delivery Calculation'!K89+"AM:!&amp;yq"</f>
        <v>#VALUE!</v>
      </c>
      <c r="EC122" s="98" t="e">
        <f>'Delivery Calculation'!L89+"AM:!&amp;yr"</f>
        <v>#VALUE!</v>
      </c>
      <c r="ED122" s="99" t="e">
        <f>'Delivery Calculation'!M89+"AM:!&amp;ys"</f>
        <v>#VALUE!</v>
      </c>
      <c r="EE122" s="99" t="e">
        <f>'Delivery Calculation'!N89+"AM:!&amp;yt"</f>
        <v>#VALUE!</v>
      </c>
      <c r="EF122" s="99" t="e">
        <f>'Delivery Calculation'!O89+"AM:!&amp;yu"</f>
        <v>#VALUE!</v>
      </c>
      <c r="EG122" s="99" t="e">
        <f>'Delivery Calculation'!P89+"AM:!&amp;yv"</f>
        <v>#VALUE!</v>
      </c>
      <c r="EH122" s="99" t="e">
        <f>'Delivery Calculation'!Q89+"AM:!&amp;yw"</f>
        <v>#VALUE!</v>
      </c>
      <c r="EI122" s="99" t="e">
        <f>'Delivery Calculation'!R89+"AM:!&amp;yx"</f>
        <v>#VALUE!</v>
      </c>
      <c r="EJ122" s="99" t="e">
        <f>'Delivery Calculation'!S89+"AM:!&amp;yy"</f>
        <v>#VALUE!</v>
      </c>
      <c r="EK122" s="99" t="e">
        <f>'Delivery Calculation'!T89+"AM:!&amp;yz"</f>
        <v>#VALUE!</v>
      </c>
      <c r="EL122" s="99" t="e">
        <f>'Delivery Calculation'!U89+"AM:!&amp;y{"</f>
        <v>#VALUE!</v>
      </c>
      <c r="EM122" s="99" t="e">
        <f>'Delivery Calculation'!V89+"AM:!&amp;y|"</f>
        <v>#VALUE!</v>
      </c>
      <c r="EN122" s="99" t="e">
        <f>'Delivery Calculation'!W89+"AM:!&amp;y}"</f>
        <v>#VALUE!</v>
      </c>
      <c r="EO122" s="99" t="e">
        <f>'Delivery Calculation'!X89+"AM:!&amp;y~"</f>
        <v>#VALUE!</v>
      </c>
      <c r="EP122" s="99" t="e">
        <f>'Delivery Calculation'!Y89+"AM:!&amp;z#"</f>
        <v>#VALUE!</v>
      </c>
      <c r="EQ122" s="99" t="e">
        <f>'Delivery Calculation'!Z89+"AM:!&amp;z$"</f>
        <v>#VALUE!</v>
      </c>
      <c r="ER122" s="99" t="e">
        <f>'Delivery Calculation'!AA89+"AM:!&amp;z%"</f>
        <v>#VALUE!</v>
      </c>
      <c r="ES122" s="99" t="e">
        <f>'Delivery Calculation'!AB89+"AM:!&amp;z&amp;"</f>
        <v>#VALUE!</v>
      </c>
      <c r="ET122" s="99" t="e">
        <f>'Delivery Calculation'!AC89+"AM:!&amp;z'"</f>
        <v>#VALUE!</v>
      </c>
      <c r="EU122" s="99" t="e">
        <f>'Delivery Calculation'!AD89+"AM:!&amp;z("</f>
        <v>#VALUE!</v>
      </c>
      <c r="EV122" s="99" t="e">
        <f>'Delivery Calculation'!AE89+"AM:!&amp;z)"</f>
        <v>#VALUE!</v>
      </c>
      <c r="EW122" s="99" t="e">
        <f>'Delivery Calculation'!AF89+"AM:!&amp;z."</f>
        <v>#VALUE!</v>
      </c>
      <c r="EX122" s="99" t="e">
        <f>'Delivery Calculation'!AG89+"AM:!&amp;z/"</f>
        <v>#VALUE!</v>
      </c>
      <c r="EY122" s="99" t="e">
        <f>'Delivery Calculation'!AH89+"AM:!&amp;z0"</f>
        <v>#VALUE!</v>
      </c>
      <c r="EZ122" s="99" t="e">
        <f>'Delivery Calculation'!AI89+"AM:!&amp;z1"</f>
        <v>#VALUE!</v>
      </c>
      <c r="FA122" s="99" t="e">
        <f>'Delivery Calculation'!AJ89+"AM:!&amp;z2"</f>
        <v>#VALUE!</v>
      </c>
      <c r="FB122" s="99" t="e">
        <f>'Delivery Calculation'!AK89+"AM:!&amp;z3"</f>
        <v>#VALUE!</v>
      </c>
      <c r="FC122" s="99" t="e">
        <f>'Delivery Calculation'!AL89+"AM:!&amp;z4"</f>
        <v>#VALUE!</v>
      </c>
      <c r="FD122" s="99" t="e">
        <f>'Delivery Calculation'!AM89+"AM:!&amp;z5"</f>
        <v>#VALUE!</v>
      </c>
      <c r="FE122" s="99" t="e">
        <f>'Delivery Calculation'!AN89+"AM:!&amp;z6"</f>
        <v>#VALUE!</v>
      </c>
      <c r="FF122" s="99" t="e">
        <f>'Delivery Calculation'!AO89+"AM:!&amp;z7"</f>
        <v>#VALUE!</v>
      </c>
      <c r="FG122" s="99" t="e">
        <f>'Delivery Calculation'!AP89+"AM:!&amp;z8"</f>
        <v>#VALUE!</v>
      </c>
      <c r="FH122" s="99" t="e">
        <f>'Delivery Calculation'!AQ89+"AM:!&amp;z9"</f>
        <v>#VALUE!</v>
      </c>
      <c r="FI122" s="99" t="e">
        <f>'Delivery Calculation'!AR89+"AM:!&amp;z:"</f>
        <v>#VALUE!</v>
      </c>
      <c r="FJ122" s="99" t="e">
        <f>'Delivery Calculation'!AS89+"AM:!&amp;z;"</f>
        <v>#VALUE!</v>
      </c>
      <c r="FK122" s="99" t="e">
        <f>'Delivery Calculation'!AT89+"AM:!&amp;z&lt;"</f>
        <v>#VALUE!</v>
      </c>
      <c r="FL122" s="99" t="e">
        <f>'Delivery Calculation'!AU89+"AM:!&amp;z="</f>
        <v>#VALUE!</v>
      </c>
      <c r="FM122" s="99" t="e">
        <f>'Delivery Calculation'!AV89+"AM:!&amp;z&gt;"</f>
        <v>#VALUE!</v>
      </c>
      <c r="FN122" s="99" t="e">
        <f>'Delivery Calculation'!AW89+"AM:!&amp;z?"</f>
        <v>#VALUE!</v>
      </c>
      <c r="FO122" s="99" t="e">
        <f>'Delivery Calculation'!AX89+"AM:!&amp;z@"</f>
        <v>#VALUE!</v>
      </c>
      <c r="FP122" t="e">
        <f>'Delivery Calculation'!AY89+"AM:!&amp;zA"</f>
        <v>#VALUE!</v>
      </c>
      <c r="FQ122" t="e">
        <f>'Delivery Calculation'!AZ89+"AM:!&amp;zB"</f>
        <v>#VALUE!</v>
      </c>
      <c r="FR122" t="e">
        <f>'Delivery Calculation'!A90+"AM:!&amp;zC"</f>
        <v>#VALUE!</v>
      </c>
      <c r="FS122" t="e">
        <f>'Delivery Calculation'!B90+"AM:!&amp;zD"</f>
        <v>#VALUE!</v>
      </c>
      <c r="FT122" t="e">
        <f>'Delivery Calculation'!C90+"AM:!&amp;zE"</f>
        <v>#VALUE!</v>
      </c>
      <c r="FU122" t="e">
        <f>'Delivery Calculation'!D90+"AM:!&amp;zF"</f>
        <v>#VALUE!</v>
      </c>
      <c r="FV122" t="e">
        <f>'Delivery Calculation'!E90+"AM:!&amp;zG"</f>
        <v>#VALUE!</v>
      </c>
      <c r="FW122" s="98" t="e">
        <f>'Delivery Calculation'!F90+"AM:!&amp;zH"</f>
        <v>#VALUE!</v>
      </c>
      <c r="FX122" s="98" t="e">
        <f>'Delivery Calculation'!G90+"AM:!&amp;zI"</f>
        <v>#VALUE!</v>
      </c>
      <c r="FY122" s="97" t="e">
        <f>'Delivery Calculation'!H90+"AM:!&amp;zJ"</f>
        <v>#VALUE!</v>
      </c>
      <c r="FZ122" s="97" t="e">
        <f>'Delivery Calculation'!I90+"AM:!&amp;zK"</f>
        <v>#VALUE!</v>
      </c>
      <c r="GA122" s="103" t="e">
        <f>'Delivery Calculation'!J90+"AM:!&amp;zL"</f>
        <v>#VALUE!</v>
      </c>
      <c r="GB122" s="98" t="e">
        <f>'Delivery Calculation'!K90+"AM:!&amp;zM"</f>
        <v>#VALUE!</v>
      </c>
      <c r="GC122" s="98" t="e">
        <f>'Delivery Calculation'!L90+"AM:!&amp;zN"</f>
        <v>#VALUE!</v>
      </c>
      <c r="GD122" s="99" t="e">
        <f>'Delivery Calculation'!M90+"AM:!&amp;zO"</f>
        <v>#VALUE!</v>
      </c>
      <c r="GE122" s="99" t="e">
        <f>'Delivery Calculation'!N90+"AM:!&amp;zP"</f>
        <v>#VALUE!</v>
      </c>
      <c r="GF122" s="99" t="e">
        <f>'Delivery Calculation'!O90+"AM:!&amp;zQ"</f>
        <v>#VALUE!</v>
      </c>
      <c r="GG122" s="99" t="e">
        <f>'Delivery Calculation'!P90+"AM:!&amp;zR"</f>
        <v>#VALUE!</v>
      </c>
      <c r="GH122" s="99" t="e">
        <f>'Delivery Calculation'!Q90+"AM:!&amp;zS"</f>
        <v>#VALUE!</v>
      </c>
      <c r="GI122" s="99" t="e">
        <f>'Delivery Calculation'!R90+"AM:!&amp;zT"</f>
        <v>#VALUE!</v>
      </c>
      <c r="GJ122" s="99" t="e">
        <f>'Delivery Calculation'!S90+"AM:!&amp;zU"</f>
        <v>#VALUE!</v>
      </c>
      <c r="GK122" s="99" t="e">
        <f>'Delivery Calculation'!T90+"AM:!&amp;zV"</f>
        <v>#VALUE!</v>
      </c>
      <c r="GL122" s="99" t="e">
        <f>'Delivery Calculation'!U90+"AM:!&amp;zW"</f>
        <v>#VALUE!</v>
      </c>
      <c r="GM122" s="99" t="e">
        <f>'Delivery Calculation'!V90+"AM:!&amp;zX"</f>
        <v>#VALUE!</v>
      </c>
      <c r="GN122" s="99" t="e">
        <f>'Delivery Calculation'!W90+"AM:!&amp;zY"</f>
        <v>#VALUE!</v>
      </c>
      <c r="GO122" s="99" t="e">
        <f>'Delivery Calculation'!X90+"AM:!&amp;zZ"</f>
        <v>#VALUE!</v>
      </c>
      <c r="GP122" s="99" t="e">
        <f>'Delivery Calculation'!Y90+"AM:!&amp;z["</f>
        <v>#VALUE!</v>
      </c>
      <c r="GQ122" s="99" t="e">
        <f>'Delivery Calculation'!Z90+"AM:!&amp;z\"</f>
        <v>#VALUE!</v>
      </c>
      <c r="GR122" s="99" t="e">
        <f>'Delivery Calculation'!AA90+"AM:!&amp;z]"</f>
        <v>#VALUE!</v>
      </c>
      <c r="GS122" s="99" t="e">
        <f>'Delivery Calculation'!AB90+"AM:!&amp;z^"</f>
        <v>#VALUE!</v>
      </c>
      <c r="GT122" s="99" t="e">
        <f>'Delivery Calculation'!AC90+"AM:!&amp;z_"</f>
        <v>#VALUE!</v>
      </c>
      <c r="GU122" s="99" t="e">
        <f>'Delivery Calculation'!AD90+"AM:!&amp;z`"</f>
        <v>#VALUE!</v>
      </c>
      <c r="GV122" s="99" t="e">
        <f>'Delivery Calculation'!AE90+"AM:!&amp;za"</f>
        <v>#VALUE!</v>
      </c>
      <c r="GW122" s="99" t="e">
        <f>'Delivery Calculation'!AF90+"AM:!&amp;zb"</f>
        <v>#VALUE!</v>
      </c>
      <c r="GX122" s="99" t="e">
        <f>'Delivery Calculation'!AG90+"AM:!&amp;zc"</f>
        <v>#VALUE!</v>
      </c>
      <c r="GY122" s="99" t="e">
        <f>'Delivery Calculation'!AH90+"AM:!&amp;zd"</f>
        <v>#VALUE!</v>
      </c>
      <c r="GZ122" s="99" t="e">
        <f>'Delivery Calculation'!AI90+"AM:!&amp;ze"</f>
        <v>#VALUE!</v>
      </c>
      <c r="HA122" s="99" t="e">
        <f>'Delivery Calculation'!AJ90+"AM:!&amp;zf"</f>
        <v>#VALUE!</v>
      </c>
      <c r="HB122" s="99" t="e">
        <f>'Delivery Calculation'!AK90+"AM:!&amp;zg"</f>
        <v>#VALUE!</v>
      </c>
      <c r="HC122" s="99" t="e">
        <f>'Delivery Calculation'!AL90+"AM:!&amp;zh"</f>
        <v>#VALUE!</v>
      </c>
      <c r="HD122" s="99" t="e">
        <f>'Delivery Calculation'!AM90+"AM:!&amp;zi"</f>
        <v>#VALUE!</v>
      </c>
      <c r="HE122" s="99" t="e">
        <f>'Delivery Calculation'!AN90+"AM:!&amp;zj"</f>
        <v>#VALUE!</v>
      </c>
      <c r="HF122" s="99" t="e">
        <f>'Delivery Calculation'!AO90+"AM:!&amp;zk"</f>
        <v>#VALUE!</v>
      </c>
      <c r="HG122" s="99" t="e">
        <f>'Delivery Calculation'!AP90+"AM:!&amp;zl"</f>
        <v>#VALUE!</v>
      </c>
      <c r="HH122" s="99" t="e">
        <f>'Delivery Calculation'!AQ90+"AM:!&amp;zm"</f>
        <v>#VALUE!</v>
      </c>
      <c r="HI122" s="99" t="e">
        <f>'Delivery Calculation'!AR90+"AM:!&amp;zn"</f>
        <v>#VALUE!</v>
      </c>
      <c r="HJ122" s="99" t="e">
        <f>'Delivery Calculation'!AS90+"AM:!&amp;zo"</f>
        <v>#VALUE!</v>
      </c>
      <c r="HK122" s="99" t="e">
        <f>'Delivery Calculation'!AT90+"AM:!&amp;zp"</f>
        <v>#VALUE!</v>
      </c>
      <c r="HL122" s="99" t="e">
        <f>'Delivery Calculation'!AU90+"AM:!&amp;zq"</f>
        <v>#VALUE!</v>
      </c>
      <c r="HM122" s="99" t="e">
        <f>'Delivery Calculation'!AV90+"AM:!&amp;zr"</f>
        <v>#VALUE!</v>
      </c>
      <c r="HN122" s="99" t="e">
        <f>'Delivery Calculation'!AW90+"AM:!&amp;zs"</f>
        <v>#VALUE!</v>
      </c>
      <c r="HO122" s="99" t="e">
        <f>'Delivery Calculation'!AX90+"AM:!&amp;zt"</f>
        <v>#VALUE!</v>
      </c>
      <c r="HP122" t="e">
        <f>'Delivery Calculation'!AY90+"AM:!&amp;zu"</f>
        <v>#VALUE!</v>
      </c>
      <c r="HQ122" t="e">
        <f>'Delivery Calculation'!AZ90+"AM:!&amp;zv"</f>
        <v>#VALUE!</v>
      </c>
      <c r="HR122" t="e">
        <f>'Delivery Calculation'!A91+"AM:!&amp;zw"</f>
        <v>#VALUE!</v>
      </c>
      <c r="HS122" t="e">
        <f>'Delivery Calculation'!B91+"AM:!&amp;zx"</f>
        <v>#VALUE!</v>
      </c>
      <c r="HT122" t="e">
        <f>'Delivery Calculation'!C91+"AM:!&amp;zy"</f>
        <v>#VALUE!</v>
      </c>
      <c r="HU122" t="e">
        <f>'Delivery Calculation'!D91+"AM:!&amp;zz"</f>
        <v>#VALUE!</v>
      </c>
      <c r="HV122" t="e">
        <f>'Delivery Calculation'!E91+"AM:!&amp;z{"</f>
        <v>#VALUE!</v>
      </c>
      <c r="HW122" s="98" t="e">
        <f>'Delivery Calculation'!F91+"AM:!&amp;z|"</f>
        <v>#VALUE!</v>
      </c>
      <c r="HX122" s="98" t="e">
        <f>'Delivery Calculation'!G91+"AM:!&amp;z}"</f>
        <v>#VALUE!</v>
      </c>
      <c r="HY122" s="97" t="e">
        <f>'Delivery Calculation'!H91+"AM:!&amp;z~"</f>
        <v>#VALUE!</v>
      </c>
      <c r="HZ122" s="97" t="e">
        <f>'Delivery Calculation'!I91+"AM:!&amp;{#"</f>
        <v>#VALUE!</v>
      </c>
      <c r="IA122" s="103" t="e">
        <f>'Delivery Calculation'!J91+"AM:!&amp;{$"</f>
        <v>#VALUE!</v>
      </c>
      <c r="IB122" s="98" t="e">
        <f>'Delivery Calculation'!K91+"AM:!&amp;{%"</f>
        <v>#VALUE!</v>
      </c>
      <c r="IC122" s="98" t="e">
        <f>'Delivery Calculation'!L91+"AM:!&amp;{&amp;"</f>
        <v>#VALUE!</v>
      </c>
      <c r="ID122" s="99" t="e">
        <f>'Delivery Calculation'!M91+"AM:!&amp;{'"</f>
        <v>#VALUE!</v>
      </c>
      <c r="IE122" s="99" t="e">
        <f>'Delivery Calculation'!N91+"AM:!&amp;{("</f>
        <v>#VALUE!</v>
      </c>
      <c r="IF122" s="99" t="e">
        <f>'Delivery Calculation'!O91+"AM:!&amp;{)"</f>
        <v>#VALUE!</v>
      </c>
      <c r="IG122" s="99" t="e">
        <f>'Delivery Calculation'!P91+"AM:!&amp;{."</f>
        <v>#VALUE!</v>
      </c>
      <c r="IH122" s="99" t="e">
        <f>'Delivery Calculation'!Q91+"AM:!&amp;{/"</f>
        <v>#VALUE!</v>
      </c>
      <c r="II122" s="99" t="e">
        <f>'Delivery Calculation'!R91+"AM:!&amp;{0"</f>
        <v>#VALUE!</v>
      </c>
      <c r="IJ122" s="99" t="e">
        <f>'Delivery Calculation'!S91+"AM:!&amp;{1"</f>
        <v>#VALUE!</v>
      </c>
      <c r="IK122" s="99" t="e">
        <f>'Delivery Calculation'!T91+"AM:!&amp;{2"</f>
        <v>#VALUE!</v>
      </c>
      <c r="IL122" s="99" t="e">
        <f>'Delivery Calculation'!U91+"AM:!&amp;{3"</f>
        <v>#VALUE!</v>
      </c>
      <c r="IM122" s="99" t="e">
        <f>'Delivery Calculation'!V91+"AM:!&amp;{4"</f>
        <v>#VALUE!</v>
      </c>
      <c r="IN122" s="99" t="e">
        <f>'Delivery Calculation'!W91+"AM:!&amp;{5"</f>
        <v>#VALUE!</v>
      </c>
      <c r="IO122" s="99" t="e">
        <f>'Delivery Calculation'!X91+"AM:!&amp;{6"</f>
        <v>#VALUE!</v>
      </c>
      <c r="IP122" s="99" t="e">
        <f>'Delivery Calculation'!Y91+"AM:!&amp;{7"</f>
        <v>#VALUE!</v>
      </c>
      <c r="IQ122" s="99" t="e">
        <f>'Delivery Calculation'!Z91+"AM:!&amp;{8"</f>
        <v>#VALUE!</v>
      </c>
      <c r="IR122" s="99" t="e">
        <f>'Delivery Calculation'!AA91+"AM:!&amp;{9"</f>
        <v>#VALUE!</v>
      </c>
      <c r="IS122" s="99" t="e">
        <f>'Delivery Calculation'!AB91+"AM:!&amp;{:"</f>
        <v>#VALUE!</v>
      </c>
      <c r="IT122" s="99" t="e">
        <f>'Delivery Calculation'!AC91+"AM:!&amp;{;"</f>
        <v>#VALUE!</v>
      </c>
      <c r="IU122" s="99" t="e">
        <f>'Delivery Calculation'!AD91+"AM:!&amp;{&lt;"</f>
        <v>#VALUE!</v>
      </c>
      <c r="IV122" s="99" t="e">
        <f>'Delivery Calculation'!AE91+"AM:!&amp;{="</f>
        <v>#VALUE!</v>
      </c>
    </row>
    <row r="123" spans="6:256">
      <c r="F123" s="99" t="e">
        <f>'Delivery Calculation'!AF91+"AM:!&amp;{&gt;"</f>
        <v>#VALUE!</v>
      </c>
      <c r="G123" s="99" t="e">
        <f>'Delivery Calculation'!AG91+"AM:!&amp;{?"</f>
        <v>#VALUE!</v>
      </c>
      <c r="H123" s="99" t="e">
        <f>'Delivery Calculation'!AH91+"AM:!&amp;{@"</f>
        <v>#VALUE!</v>
      </c>
      <c r="I123" s="99" t="e">
        <f>'Delivery Calculation'!AI91+"AM:!&amp;{A"</f>
        <v>#VALUE!</v>
      </c>
      <c r="J123" s="99" t="e">
        <f>'Delivery Calculation'!AJ91+"AM:!&amp;{B"</f>
        <v>#VALUE!</v>
      </c>
      <c r="K123" s="99" t="e">
        <f>'Delivery Calculation'!AK91+"AM:!&amp;{C"</f>
        <v>#VALUE!</v>
      </c>
      <c r="L123" s="99" t="e">
        <f>'Delivery Calculation'!AL91+"AM:!&amp;{D"</f>
        <v>#VALUE!</v>
      </c>
      <c r="M123" s="99" t="e">
        <f>'Delivery Calculation'!AM91+"AM:!&amp;{E"</f>
        <v>#VALUE!</v>
      </c>
      <c r="N123" s="99" t="e">
        <f>'Delivery Calculation'!AN91+"AM:!&amp;{F"</f>
        <v>#VALUE!</v>
      </c>
      <c r="O123" s="99" t="e">
        <f>'Delivery Calculation'!AO91+"AM:!&amp;{G"</f>
        <v>#VALUE!</v>
      </c>
      <c r="P123" s="99" t="e">
        <f>'Delivery Calculation'!AP91+"AM:!&amp;{H"</f>
        <v>#VALUE!</v>
      </c>
      <c r="Q123" s="99" t="e">
        <f>'Delivery Calculation'!AQ91+"AM:!&amp;{I"</f>
        <v>#VALUE!</v>
      </c>
      <c r="R123" s="99" t="e">
        <f>'Delivery Calculation'!AR91+"AM:!&amp;{J"</f>
        <v>#VALUE!</v>
      </c>
      <c r="S123" s="99" t="e">
        <f>'Delivery Calculation'!AS91+"AM:!&amp;{K"</f>
        <v>#VALUE!</v>
      </c>
      <c r="T123" s="99" t="e">
        <f>'Delivery Calculation'!AT91+"AM:!&amp;{L"</f>
        <v>#VALUE!</v>
      </c>
      <c r="U123" s="99" t="e">
        <f>'Delivery Calculation'!AU91+"AM:!&amp;{M"</f>
        <v>#VALUE!</v>
      </c>
      <c r="V123" s="99" t="e">
        <f>'Delivery Calculation'!AV91+"AM:!&amp;{N"</f>
        <v>#VALUE!</v>
      </c>
      <c r="W123" s="99" t="e">
        <f>'Delivery Calculation'!AW91+"AM:!&amp;{O"</f>
        <v>#VALUE!</v>
      </c>
      <c r="X123" s="99" t="e">
        <f>'Delivery Calculation'!AX91+"AM:!&amp;{P"</f>
        <v>#VALUE!</v>
      </c>
      <c r="Y123" t="e">
        <f>'Delivery Calculation'!AY91+"AM:!&amp;{Q"</f>
        <v>#VALUE!</v>
      </c>
      <c r="Z123" t="e">
        <f>'Delivery Calculation'!AZ91+"AM:!&amp;{R"</f>
        <v>#VALUE!</v>
      </c>
      <c r="AA123" t="e">
        <f>'Delivery Calculation'!A92+"AM:!&amp;{S"</f>
        <v>#VALUE!</v>
      </c>
      <c r="AB123" t="e">
        <f>'Delivery Calculation'!B92+"AM:!&amp;{T"</f>
        <v>#VALUE!</v>
      </c>
      <c r="AC123" t="e">
        <f>'Delivery Calculation'!C92+"AM:!&amp;{U"</f>
        <v>#VALUE!</v>
      </c>
      <c r="AD123" t="e">
        <f>'Delivery Calculation'!D92+"AM:!&amp;{V"</f>
        <v>#VALUE!</v>
      </c>
      <c r="AE123" t="e">
        <f>'Delivery Calculation'!E92+"AM:!&amp;{W"</f>
        <v>#VALUE!</v>
      </c>
      <c r="AF123" s="98" t="e">
        <f>'Delivery Calculation'!F92+"AM:!&amp;{X"</f>
        <v>#VALUE!</v>
      </c>
      <c r="AG123" s="98" t="e">
        <f>'Delivery Calculation'!G92+"AM:!&amp;{Y"</f>
        <v>#VALUE!</v>
      </c>
      <c r="AH123" s="97" t="e">
        <f>'Delivery Calculation'!H92+"AM:!&amp;{Z"</f>
        <v>#VALUE!</v>
      </c>
      <c r="AI123" s="97" t="e">
        <f>'Delivery Calculation'!I92+"AM:!&amp;{["</f>
        <v>#VALUE!</v>
      </c>
      <c r="AJ123" s="103" t="e">
        <f>'Delivery Calculation'!J92+"AM:!&amp;{\"</f>
        <v>#VALUE!</v>
      </c>
      <c r="AK123" s="98" t="e">
        <f>'Delivery Calculation'!K92+"AM:!&amp;{]"</f>
        <v>#VALUE!</v>
      </c>
      <c r="AL123" s="98" t="e">
        <f>'Delivery Calculation'!L92+"AM:!&amp;{^"</f>
        <v>#VALUE!</v>
      </c>
      <c r="AM123" s="99" t="e">
        <f>'Delivery Calculation'!M92+"AM:!&amp;{_"</f>
        <v>#VALUE!</v>
      </c>
      <c r="AN123" s="99" t="e">
        <f>'Delivery Calculation'!N92+"AM:!&amp;{`"</f>
        <v>#VALUE!</v>
      </c>
      <c r="AO123" s="99" t="e">
        <f>'Delivery Calculation'!O92+"AM:!&amp;{a"</f>
        <v>#VALUE!</v>
      </c>
      <c r="AP123" s="99" t="e">
        <f>'Delivery Calculation'!P92+"AM:!&amp;{b"</f>
        <v>#VALUE!</v>
      </c>
      <c r="AQ123" s="99" t="e">
        <f>'Delivery Calculation'!Q92+"AM:!&amp;{c"</f>
        <v>#VALUE!</v>
      </c>
      <c r="AR123" s="99" t="e">
        <f>'Delivery Calculation'!R92+"AM:!&amp;{d"</f>
        <v>#VALUE!</v>
      </c>
      <c r="AS123" s="99" t="e">
        <f>'Delivery Calculation'!S92+"AM:!&amp;{e"</f>
        <v>#VALUE!</v>
      </c>
      <c r="AT123" s="99" t="e">
        <f>'Delivery Calculation'!T92+"AM:!&amp;{f"</f>
        <v>#VALUE!</v>
      </c>
      <c r="AU123" s="99" t="e">
        <f>'Delivery Calculation'!U92+"AM:!&amp;{g"</f>
        <v>#VALUE!</v>
      </c>
      <c r="AV123" s="99" t="e">
        <f>'Delivery Calculation'!V92+"AM:!&amp;{h"</f>
        <v>#VALUE!</v>
      </c>
      <c r="AW123" s="99" t="e">
        <f>'Delivery Calculation'!W92+"AM:!&amp;{i"</f>
        <v>#VALUE!</v>
      </c>
      <c r="AX123" s="99" t="e">
        <f>'Delivery Calculation'!X92+"AM:!&amp;{j"</f>
        <v>#VALUE!</v>
      </c>
      <c r="AY123" s="99" t="e">
        <f>'Delivery Calculation'!Y92+"AM:!&amp;{k"</f>
        <v>#VALUE!</v>
      </c>
      <c r="AZ123" s="99" t="e">
        <f>'Delivery Calculation'!Z92+"AM:!&amp;{l"</f>
        <v>#VALUE!</v>
      </c>
      <c r="BA123" s="99" t="e">
        <f>'Delivery Calculation'!AA92+"AM:!&amp;{m"</f>
        <v>#VALUE!</v>
      </c>
      <c r="BB123" s="99" t="e">
        <f>'Delivery Calculation'!AB92+"AM:!&amp;{n"</f>
        <v>#VALUE!</v>
      </c>
      <c r="BC123" s="99" t="e">
        <f>'Delivery Calculation'!AC92+"AM:!&amp;{o"</f>
        <v>#VALUE!</v>
      </c>
      <c r="BD123" s="99" t="e">
        <f>'Delivery Calculation'!AD92+"AM:!&amp;{p"</f>
        <v>#VALUE!</v>
      </c>
      <c r="BE123" s="99" t="e">
        <f>'Delivery Calculation'!AE92+"AM:!&amp;{q"</f>
        <v>#VALUE!</v>
      </c>
      <c r="BF123" s="99" t="e">
        <f>'Delivery Calculation'!AF92+"AM:!&amp;{r"</f>
        <v>#VALUE!</v>
      </c>
      <c r="BG123" s="99" t="e">
        <f>'Delivery Calculation'!AG92+"AM:!&amp;{s"</f>
        <v>#VALUE!</v>
      </c>
      <c r="BH123" s="99" t="e">
        <f>'Delivery Calculation'!AH92+"AM:!&amp;{t"</f>
        <v>#VALUE!</v>
      </c>
      <c r="BI123" s="99" t="e">
        <f>'Delivery Calculation'!AI92+"AM:!&amp;{u"</f>
        <v>#VALUE!</v>
      </c>
      <c r="BJ123" s="99" t="e">
        <f>'Delivery Calculation'!AJ92+"AM:!&amp;{v"</f>
        <v>#VALUE!</v>
      </c>
      <c r="BK123" s="99" t="e">
        <f>'Delivery Calculation'!AK92+"AM:!&amp;{w"</f>
        <v>#VALUE!</v>
      </c>
      <c r="BL123" s="99" t="e">
        <f>'Delivery Calculation'!AL92+"AM:!&amp;{x"</f>
        <v>#VALUE!</v>
      </c>
      <c r="BM123" s="99" t="e">
        <f>'Delivery Calculation'!AM92+"AM:!&amp;{y"</f>
        <v>#VALUE!</v>
      </c>
      <c r="BN123" s="99" t="e">
        <f>'Delivery Calculation'!AN92+"AM:!&amp;{z"</f>
        <v>#VALUE!</v>
      </c>
      <c r="BO123" s="99" t="e">
        <f>'Delivery Calculation'!AO92+"AM:!&amp;{{"</f>
        <v>#VALUE!</v>
      </c>
      <c r="BP123" s="99" t="e">
        <f>'Delivery Calculation'!AP92+"AM:!&amp;{|"</f>
        <v>#VALUE!</v>
      </c>
      <c r="BQ123" s="99" t="e">
        <f>'Delivery Calculation'!AQ92+"AM:!&amp;{}"</f>
        <v>#VALUE!</v>
      </c>
      <c r="BR123" s="99" t="e">
        <f>'Delivery Calculation'!AR92+"AM:!&amp;{~"</f>
        <v>#VALUE!</v>
      </c>
      <c r="BS123" s="99" t="e">
        <f>'Delivery Calculation'!AS92+"AM:!&amp;|#"</f>
        <v>#VALUE!</v>
      </c>
      <c r="BT123" s="99" t="e">
        <f>'Delivery Calculation'!AT92+"AM:!&amp;|$"</f>
        <v>#VALUE!</v>
      </c>
      <c r="BU123" s="99" t="e">
        <f>'Delivery Calculation'!AU92+"AM:!&amp;|%"</f>
        <v>#VALUE!</v>
      </c>
      <c r="BV123" s="99" t="e">
        <f>'Delivery Calculation'!AV92+"AM:!&amp;|&amp;"</f>
        <v>#VALUE!</v>
      </c>
      <c r="BW123" s="99" t="e">
        <f>'Delivery Calculation'!AW92+"AM:!&amp;|'"</f>
        <v>#VALUE!</v>
      </c>
      <c r="BX123" s="99" t="e">
        <f>'Delivery Calculation'!AX92+"AM:!&amp;|("</f>
        <v>#VALUE!</v>
      </c>
      <c r="BY123" t="e">
        <f>'Delivery Calculation'!AY92+"AM:!&amp;|)"</f>
        <v>#VALUE!</v>
      </c>
      <c r="BZ123" t="e">
        <f>'Delivery Calculation'!AZ92+"AM:!&amp;|."</f>
        <v>#VALUE!</v>
      </c>
      <c r="CA123" t="e">
        <f>'Delivery Calculation'!A93+"AM:!&amp;|/"</f>
        <v>#VALUE!</v>
      </c>
      <c r="CB123" t="e">
        <f>'Delivery Calculation'!B93+"AM:!&amp;|0"</f>
        <v>#VALUE!</v>
      </c>
      <c r="CC123" t="e">
        <f>'Delivery Calculation'!C93+"AM:!&amp;|1"</f>
        <v>#VALUE!</v>
      </c>
      <c r="CD123" t="e">
        <f>'Delivery Calculation'!D93+"AM:!&amp;|2"</f>
        <v>#VALUE!</v>
      </c>
      <c r="CE123" t="e">
        <f>'Delivery Calculation'!E93+"AM:!&amp;|3"</f>
        <v>#VALUE!</v>
      </c>
      <c r="CF123" s="98" t="e">
        <f>'Delivery Calculation'!F93+"AM:!&amp;|4"</f>
        <v>#VALUE!</v>
      </c>
      <c r="CG123" s="98" t="e">
        <f>'Delivery Calculation'!G93+"AM:!&amp;|5"</f>
        <v>#VALUE!</v>
      </c>
      <c r="CH123" s="97" t="e">
        <f>'Delivery Calculation'!H93+"AM:!&amp;|6"</f>
        <v>#VALUE!</v>
      </c>
      <c r="CI123" s="97" t="e">
        <f>'Delivery Calculation'!I93+"AM:!&amp;|7"</f>
        <v>#VALUE!</v>
      </c>
      <c r="CJ123" s="103" t="e">
        <f>'Delivery Calculation'!J93+"AM:!&amp;|8"</f>
        <v>#VALUE!</v>
      </c>
      <c r="CK123" s="98" t="e">
        <f>'Delivery Calculation'!K93+"AM:!&amp;|9"</f>
        <v>#VALUE!</v>
      </c>
      <c r="CL123" s="98" t="e">
        <f>'Delivery Calculation'!L93+"AM:!&amp;|:"</f>
        <v>#VALUE!</v>
      </c>
      <c r="CM123" s="99" t="e">
        <f>'Delivery Calculation'!M93+"AM:!&amp;|;"</f>
        <v>#VALUE!</v>
      </c>
      <c r="CN123" s="99" t="e">
        <f>'Delivery Calculation'!N93+"AM:!&amp;|&lt;"</f>
        <v>#VALUE!</v>
      </c>
      <c r="CO123" s="99" t="e">
        <f>'Delivery Calculation'!O93+"AM:!&amp;|="</f>
        <v>#VALUE!</v>
      </c>
      <c r="CP123" s="99" t="e">
        <f>'Delivery Calculation'!P93+"AM:!&amp;|&gt;"</f>
        <v>#VALUE!</v>
      </c>
      <c r="CQ123" s="99" t="e">
        <f>'Delivery Calculation'!Q93+"AM:!&amp;|?"</f>
        <v>#VALUE!</v>
      </c>
      <c r="CR123" s="99" t="e">
        <f>'Delivery Calculation'!R93+"AM:!&amp;|@"</f>
        <v>#VALUE!</v>
      </c>
      <c r="CS123" s="99" t="e">
        <f>'Delivery Calculation'!S93+"AM:!&amp;|A"</f>
        <v>#VALUE!</v>
      </c>
      <c r="CT123" s="99" t="e">
        <f>'Delivery Calculation'!T93+"AM:!&amp;|B"</f>
        <v>#VALUE!</v>
      </c>
      <c r="CU123" s="99" t="e">
        <f>'Delivery Calculation'!U93+"AM:!&amp;|C"</f>
        <v>#VALUE!</v>
      </c>
      <c r="CV123" s="99" t="e">
        <f>'Delivery Calculation'!V93+"AM:!&amp;|D"</f>
        <v>#VALUE!</v>
      </c>
      <c r="CW123" s="99" t="e">
        <f>'Delivery Calculation'!W93+"AM:!&amp;|E"</f>
        <v>#VALUE!</v>
      </c>
      <c r="CX123" s="99" t="e">
        <f>'Delivery Calculation'!X93+"AM:!&amp;|F"</f>
        <v>#VALUE!</v>
      </c>
      <c r="CY123" s="99" t="e">
        <f>'Delivery Calculation'!Y93+"AM:!&amp;|G"</f>
        <v>#VALUE!</v>
      </c>
      <c r="CZ123" s="99" t="e">
        <f>'Delivery Calculation'!Z93+"AM:!&amp;|H"</f>
        <v>#VALUE!</v>
      </c>
      <c r="DA123" s="99" t="e">
        <f>'Delivery Calculation'!AA93+"AM:!&amp;|I"</f>
        <v>#VALUE!</v>
      </c>
      <c r="DB123" s="99" t="e">
        <f>'Delivery Calculation'!AB93+"AM:!&amp;|J"</f>
        <v>#VALUE!</v>
      </c>
      <c r="DC123" s="99" t="e">
        <f>'Delivery Calculation'!AC93+"AM:!&amp;|K"</f>
        <v>#VALUE!</v>
      </c>
      <c r="DD123" s="99" t="e">
        <f>'Delivery Calculation'!AD93+"AM:!&amp;|L"</f>
        <v>#VALUE!</v>
      </c>
      <c r="DE123" s="99" t="e">
        <f>'Delivery Calculation'!AE93+"AM:!&amp;|M"</f>
        <v>#VALUE!</v>
      </c>
      <c r="DF123" s="99" t="e">
        <f>'Delivery Calculation'!AF93+"AM:!&amp;|N"</f>
        <v>#VALUE!</v>
      </c>
      <c r="DG123" s="99" t="e">
        <f>'Delivery Calculation'!AG93+"AM:!&amp;|O"</f>
        <v>#VALUE!</v>
      </c>
      <c r="DH123" s="99" t="e">
        <f>'Delivery Calculation'!AH93+"AM:!&amp;|P"</f>
        <v>#VALUE!</v>
      </c>
      <c r="DI123" s="99" t="e">
        <f>'Delivery Calculation'!AI93+"AM:!&amp;|Q"</f>
        <v>#VALUE!</v>
      </c>
      <c r="DJ123" s="99" t="e">
        <f>'Delivery Calculation'!AJ93+"AM:!&amp;|R"</f>
        <v>#VALUE!</v>
      </c>
      <c r="DK123" s="99" t="e">
        <f>'Delivery Calculation'!AK93+"AM:!&amp;|S"</f>
        <v>#VALUE!</v>
      </c>
      <c r="DL123" s="99" t="e">
        <f>'Delivery Calculation'!AL93+"AM:!&amp;|T"</f>
        <v>#VALUE!</v>
      </c>
      <c r="DM123" s="99" t="e">
        <f>'Delivery Calculation'!AM93+"AM:!&amp;|U"</f>
        <v>#VALUE!</v>
      </c>
      <c r="DN123" s="99" t="e">
        <f>'Delivery Calculation'!AN93+"AM:!&amp;|V"</f>
        <v>#VALUE!</v>
      </c>
      <c r="DO123" s="99" t="e">
        <f>'Delivery Calculation'!AO93+"AM:!&amp;|W"</f>
        <v>#VALUE!</v>
      </c>
      <c r="DP123" s="99" t="e">
        <f>'Delivery Calculation'!AP93+"AM:!&amp;|X"</f>
        <v>#VALUE!</v>
      </c>
      <c r="DQ123" s="99" t="e">
        <f>'Delivery Calculation'!AQ93+"AM:!&amp;|Y"</f>
        <v>#VALUE!</v>
      </c>
      <c r="DR123" s="99" t="e">
        <f>'Delivery Calculation'!AR93+"AM:!&amp;|Z"</f>
        <v>#VALUE!</v>
      </c>
      <c r="DS123" s="99" t="e">
        <f>'Delivery Calculation'!AS93+"AM:!&amp;|["</f>
        <v>#VALUE!</v>
      </c>
      <c r="DT123" s="99" t="e">
        <f>'Delivery Calculation'!AT93+"AM:!&amp;|\"</f>
        <v>#VALUE!</v>
      </c>
      <c r="DU123" s="99" t="e">
        <f>'Delivery Calculation'!AU93+"AM:!&amp;|]"</f>
        <v>#VALUE!</v>
      </c>
      <c r="DV123" s="99" t="e">
        <f>'Delivery Calculation'!AV93+"AM:!&amp;|^"</f>
        <v>#VALUE!</v>
      </c>
      <c r="DW123" s="99" t="e">
        <f>'Delivery Calculation'!AW93+"AM:!&amp;|_"</f>
        <v>#VALUE!</v>
      </c>
      <c r="DX123" s="99" t="e">
        <f>'Delivery Calculation'!AX93+"AM:!&amp;|`"</f>
        <v>#VALUE!</v>
      </c>
      <c r="DY123" t="e">
        <f>'Delivery Calculation'!AY93+"AM:!&amp;|a"</f>
        <v>#VALUE!</v>
      </c>
      <c r="DZ123" t="e">
        <f>'Delivery Calculation'!AZ93+"AM:!&amp;|b"</f>
        <v>#VALUE!</v>
      </c>
      <c r="EA123" t="e">
        <f>'Delivery Calculation'!A94+"AM:!&amp;|c"</f>
        <v>#VALUE!</v>
      </c>
      <c r="EB123" t="e">
        <f>'Delivery Calculation'!B94+"AM:!&amp;|d"</f>
        <v>#VALUE!</v>
      </c>
      <c r="EC123" t="e">
        <f>'Delivery Calculation'!C94+"AM:!&amp;|e"</f>
        <v>#VALUE!</v>
      </c>
      <c r="ED123" t="e">
        <f>'Delivery Calculation'!D94+"AM:!&amp;|f"</f>
        <v>#VALUE!</v>
      </c>
      <c r="EE123" t="e">
        <f>'Delivery Calculation'!E94+"AM:!&amp;|g"</f>
        <v>#VALUE!</v>
      </c>
      <c r="EF123" s="98" t="e">
        <f>'Delivery Calculation'!F94+"AM:!&amp;|h"</f>
        <v>#VALUE!</v>
      </c>
      <c r="EG123" s="98" t="e">
        <f>'Delivery Calculation'!G94+"AM:!&amp;|i"</f>
        <v>#VALUE!</v>
      </c>
      <c r="EH123" s="97" t="e">
        <f>'Delivery Calculation'!H94+"AM:!&amp;|j"</f>
        <v>#VALUE!</v>
      </c>
      <c r="EI123" s="97" t="e">
        <f>'Delivery Calculation'!I94+"AM:!&amp;|k"</f>
        <v>#VALUE!</v>
      </c>
      <c r="EJ123" s="103" t="e">
        <f>'Delivery Calculation'!J94+"AM:!&amp;|l"</f>
        <v>#VALUE!</v>
      </c>
      <c r="EK123" s="98" t="e">
        <f>'Delivery Calculation'!K94+"AM:!&amp;|m"</f>
        <v>#VALUE!</v>
      </c>
      <c r="EL123" s="98" t="e">
        <f>'Delivery Calculation'!L94+"AM:!&amp;|n"</f>
        <v>#VALUE!</v>
      </c>
      <c r="EM123" s="99" t="e">
        <f>'Delivery Calculation'!M94+"AM:!&amp;|o"</f>
        <v>#VALUE!</v>
      </c>
      <c r="EN123" s="99" t="e">
        <f>'Delivery Calculation'!N94+"AM:!&amp;|p"</f>
        <v>#VALUE!</v>
      </c>
      <c r="EO123" s="99" t="e">
        <f>'Delivery Calculation'!O94+"AM:!&amp;|q"</f>
        <v>#VALUE!</v>
      </c>
      <c r="EP123" s="99" t="e">
        <f>'Delivery Calculation'!P94+"AM:!&amp;|r"</f>
        <v>#VALUE!</v>
      </c>
      <c r="EQ123" s="99" t="e">
        <f>'Delivery Calculation'!Q94+"AM:!&amp;|s"</f>
        <v>#VALUE!</v>
      </c>
      <c r="ER123" s="99" t="e">
        <f>'Delivery Calculation'!R94+"AM:!&amp;|t"</f>
        <v>#VALUE!</v>
      </c>
      <c r="ES123" s="99" t="e">
        <f>'Delivery Calculation'!S94+"AM:!&amp;|u"</f>
        <v>#VALUE!</v>
      </c>
      <c r="ET123" s="99" t="e">
        <f>'Delivery Calculation'!T94+"AM:!&amp;|v"</f>
        <v>#VALUE!</v>
      </c>
      <c r="EU123" s="99" t="e">
        <f>'Delivery Calculation'!U94+"AM:!&amp;|w"</f>
        <v>#VALUE!</v>
      </c>
      <c r="EV123" s="99" t="e">
        <f>'Delivery Calculation'!V94+"AM:!&amp;|x"</f>
        <v>#VALUE!</v>
      </c>
      <c r="EW123" s="99" t="e">
        <f>'Delivery Calculation'!W94+"AM:!&amp;|y"</f>
        <v>#VALUE!</v>
      </c>
      <c r="EX123" s="99" t="e">
        <f>'Delivery Calculation'!X94+"AM:!&amp;|z"</f>
        <v>#VALUE!</v>
      </c>
      <c r="EY123" s="99" t="e">
        <f>'Delivery Calculation'!Y94+"AM:!&amp;|{"</f>
        <v>#VALUE!</v>
      </c>
      <c r="EZ123" s="99" t="e">
        <f>'Delivery Calculation'!Z94+"AM:!&amp;||"</f>
        <v>#VALUE!</v>
      </c>
      <c r="FA123" s="99" t="e">
        <f>'Delivery Calculation'!AA94+"AM:!&amp;|}"</f>
        <v>#VALUE!</v>
      </c>
      <c r="FB123" s="99" t="e">
        <f>'Delivery Calculation'!AB94+"AM:!&amp;|~"</f>
        <v>#VALUE!</v>
      </c>
      <c r="FC123" s="99" t="e">
        <f>'Delivery Calculation'!AC94+"AM:!&amp;}#"</f>
        <v>#VALUE!</v>
      </c>
      <c r="FD123" s="99" t="e">
        <f>'Delivery Calculation'!AD94+"AM:!&amp;}$"</f>
        <v>#VALUE!</v>
      </c>
      <c r="FE123" s="99" t="e">
        <f>'Delivery Calculation'!AE94+"AM:!&amp;}%"</f>
        <v>#VALUE!</v>
      </c>
      <c r="FF123" s="99" t="e">
        <f>'Delivery Calculation'!AF94+"AM:!&amp;}&amp;"</f>
        <v>#VALUE!</v>
      </c>
      <c r="FG123" s="99" t="e">
        <f>'Delivery Calculation'!AG94+"AM:!&amp;}'"</f>
        <v>#VALUE!</v>
      </c>
      <c r="FH123" s="99" t="e">
        <f>'Delivery Calculation'!AH94+"AM:!&amp;}("</f>
        <v>#VALUE!</v>
      </c>
      <c r="FI123" s="99" t="e">
        <f>'Delivery Calculation'!AI94+"AM:!&amp;})"</f>
        <v>#VALUE!</v>
      </c>
      <c r="FJ123" s="99" t="e">
        <f>'Delivery Calculation'!AJ94+"AM:!&amp;}."</f>
        <v>#VALUE!</v>
      </c>
      <c r="FK123" s="99" t="e">
        <f>'Delivery Calculation'!AK94+"AM:!&amp;}/"</f>
        <v>#VALUE!</v>
      </c>
      <c r="FL123" s="99" t="e">
        <f>'Delivery Calculation'!AL94+"AM:!&amp;}0"</f>
        <v>#VALUE!</v>
      </c>
      <c r="FM123" s="99" t="e">
        <f>'Delivery Calculation'!AM94+"AM:!&amp;}1"</f>
        <v>#VALUE!</v>
      </c>
      <c r="FN123" s="99" t="e">
        <f>'Delivery Calculation'!AN94+"AM:!&amp;}2"</f>
        <v>#VALUE!</v>
      </c>
      <c r="FO123" s="99" t="e">
        <f>'Delivery Calculation'!AO94+"AM:!&amp;}3"</f>
        <v>#VALUE!</v>
      </c>
      <c r="FP123" s="99" t="e">
        <f>'Delivery Calculation'!AP94+"AM:!&amp;}4"</f>
        <v>#VALUE!</v>
      </c>
      <c r="FQ123" s="99" t="e">
        <f>'Delivery Calculation'!AQ94+"AM:!&amp;}5"</f>
        <v>#VALUE!</v>
      </c>
      <c r="FR123" s="99" t="e">
        <f>'Delivery Calculation'!AR94+"AM:!&amp;}6"</f>
        <v>#VALUE!</v>
      </c>
      <c r="FS123" s="99" t="e">
        <f>'Delivery Calculation'!AS94+"AM:!&amp;}7"</f>
        <v>#VALUE!</v>
      </c>
      <c r="FT123" s="99" t="e">
        <f>'Delivery Calculation'!AT94+"AM:!&amp;}8"</f>
        <v>#VALUE!</v>
      </c>
      <c r="FU123" s="99" t="e">
        <f>'Delivery Calculation'!AU94+"AM:!&amp;}9"</f>
        <v>#VALUE!</v>
      </c>
      <c r="FV123" s="99" t="e">
        <f>'Delivery Calculation'!AV94+"AM:!&amp;}:"</f>
        <v>#VALUE!</v>
      </c>
      <c r="FW123" s="99" t="e">
        <f>'Delivery Calculation'!AW94+"AM:!&amp;};"</f>
        <v>#VALUE!</v>
      </c>
      <c r="FX123" s="99" t="e">
        <f>'Delivery Calculation'!AX94+"AM:!&amp;}&lt;"</f>
        <v>#VALUE!</v>
      </c>
      <c r="FY123" t="e">
        <f>'Delivery Calculation'!AY94+"AM:!&amp;}="</f>
        <v>#VALUE!</v>
      </c>
      <c r="FZ123" t="e">
        <f>'Delivery Calculation'!AZ94+"AM:!&amp;}&gt;"</f>
        <v>#VALUE!</v>
      </c>
      <c r="GA123" t="e">
        <f>'Delivery Calculation'!A95+"AM:!&amp;}?"</f>
        <v>#VALUE!</v>
      </c>
      <c r="GB123" t="e">
        <f>'Delivery Calculation'!B95+"AM:!&amp;}@"</f>
        <v>#VALUE!</v>
      </c>
      <c r="GC123" t="e">
        <f>'Delivery Calculation'!C95+"AM:!&amp;}A"</f>
        <v>#VALUE!</v>
      </c>
      <c r="GD123" t="e">
        <f>'Delivery Calculation'!D95+"AM:!&amp;}B"</f>
        <v>#VALUE!</v>
      </c>
      <c r="GE123" t="e">
        <f>'Delivery Calculation'!E95+"AM:!&amp;}C"</f>
        <v>#VALUE!</v>
      </c>
      <c r="GF123" s="98" t="e">
        <f>'Delivery Calculation'!F95+"AM:!&amp;}D"</f>
        <v>#VALUE!</v>
      </c>
      <c r="GG123" s="98" t="e">
        <f>'Delivery Calculation'!G95+"AM:!&amp;}E"</f>
        <v>#VALUE!</v>
      </c>
      <c r="GH123" s="97" t="e">
        <f>'Delivery Calculation'!H95+"AM:!&amp;}F"</f>
        <v>#VALUE!</v>
      </c>
      <c r="GI123" s="97" t="e">
        <f>'Delivery Calculation'!I95+"AM:!&amp;}G"</f>
        <v>#VALUE!</v>
      </c>
      <c r="GJ123" s="103" t="e">
        <f>'Delivery Calculation'!J95+"AM:!&amp;}H"</f>
        <v>#VALUE!</v>
      </c>
      <c r="GK123" s="98" t="e">
        <f>'Delivery Calculation'!K95+"AM:!&amp;}I"</f>
        <v>#VALUE!</v>
      </c>
      <c r="GL123" s="98" t="e">
        <f>'Delivery Calculation'!L95+"AM:!&amp;}J"</f>
        <v>#VALUE!</v>
      </c>
      <c r="GM123" s="99" t="e">
        <f>'Delivery Calculation'!M95+"AM:!&amp;}K"</f>
        <v>#VALUE!</v>
      </c>
      <c r="GN123" s="99" t="e">
        <f>'Delivery Calculation'!N95+"AM:!&amp;}L"</f>
        <v>#VALUE!</v>
      </c>
      <c r="GO123" s="99" t="e">
        <f>'Delivery Calculation'!O95+"AM:!&amp;}M"</f>
        <v>#VALUE!</v>
      </c>
      <c r="GP123" s="99" t="e">
        <f>'Delivery Calculation'!P95+"AM:!&amp;}N"</f>
        <v>#VALUE!</v>
      </c>
      <c r="GQ123" s="99" t="e">
        <f>'Delivery Calculation'!Q95+"AM:!&amp;}O"</f>
        <v>#VALUE!</v>
      </c>
      <c r="GR123" s="99" t="e">
        <f>'Delivery Calculation'!R95+"AM:!&amp;}P"</f>
        <v>#VALUE!</v>
      </c>
      <c r="GS123" s="99" t="e">
        <f>'Delivery Calculation'!S95+"AM:!&amp;}Q"</f>
        <v>#VALUE!</v>
      </c>
      <c r="GT123" s="99" t="e">
        <f>'Delivery Calculation'!T95+"AM:!&amp;}R"</f>
        <v>#VALUE!</v>
      </c>
      <c r="GU123" s="99" t="e">
        <f>'Delivery Calculation'!U95+"AM:!&amp;}S"</f>
        <v>#VALUE!</v>
      </c>
      <c r="GV123" s="99" t="e">
        <f>'Delivery Calculation'!V95+"AM:!&amp;}T"</f>
        <v>#VALUE!</v>
      </c>
      <c r="GW123" s="99" t="e">
        <f>'Delivery Calculation'!W95+"AM:!&amp;}U"</f>
        <v>#VALUE!</v>
      </c>
      <c r="GX123" s="99" t="e">
        <f>'Delivery Calculation'!X95+"AM:!&amp;}V"</f>
        <v>#VALUE!</v>
      </c>
      <c r="GY123" s="99" t="e">
        <f>'Delivery Calculation'!Y95+"AM:!&amp;}W"</f>
        <v>#VALUE!</v>
      </c>
      <c r="GZ123" s="99" t="e">
        <f>'Delivery Calculation'!Z95+"AM:!&amp;}X"</f>
        <v>#VALUE!</v>
      </c>
      <c r="HA123" s="99" t="e">
        <f>'Delivery Calculation'!AA95+"AM:!&amp;}Y"</f>
        <v>#VALUE!</v>
      </c>
      <c r="HB123" s="99" t="e">
        <f>'Delivery Calculation'!AB95+"AM:!&amp;}Z"</f>
        <v>#VALUE!</v>
      </c>
      <c r="HC123" s="99" t="e">
        <f>'Delivery Calculation'!AC95+"AM:!&amp;}["</f>
        <v>#VALUE!</v>
      </c>
      <c r="HD123" s="99" t="e">
        <f>'Delivery Calculation'!AD95+"AM:!&amp;}\"</f>
        <v>#VALUE!</v>
      </c>
      <c r="HE123" s="99" t="e">
        <f>'Delivery Calculation'!AE95+"AM:!&amp;}]"</f>
        <v>#VALUE!</v>
      </c>
      <c r="HF123" s="99" t="e">
        <f>'Delivery Calculation'!AF95+"AM:!&amp;}^"</f>
        <v>#VALUE!</v>
      </c>
      <c r="HG123" s="99" t="e">
        <f>'Delivery Calculation'!AG95+"AM:!&amp;}_"</f>
        <v>#VALUE!</v>
      </c>
      <c r="HH123" s="99" t="e">
        <f>'Delivery Calculation'!AH95+"AM:!&amp;}`"</f>
        <v>#VALUE!</v>
      </c>
      <c r="HI123" s="99" t="e">
        <f>'Delivery Calculation'!AI95+"AM:!&amp;}a"</f>
        <v>#VALUE!</v>
      </c>
      <c r="HJ123" s="99" t="e">
        <f>'Delivery Calculation'!AJ95+"AM:!&amp;}b"</f>
        <v>#VALUE!</v>
      </c>
      <c r="HK123" s="99" t="e">
        <f>'Delivery Calculation'!AK95+"AM:!&amp;}c"</f>
        <v>#VALUE!</v>
      </c>
      <c r="HL123" s="99" t="e">
        <f>'Delivery Calculation'!AL95+"AM:!&amp;}d"</f>
        <v>#VALUE!</v>
      </c>
      <c r="HM123" s="99" t="e">
        <f>'Delivery Calculation'!AM95+"AM:!&amp;}e"</f>
        <v>#VALUE!</v>
      </c>
      <c r="HN123" s="99" t="e">
        <f>'Delivery Calculation'!AN95+"AM:!&amp;}f"</f>
        <v>#VALUE!</v>
      </c>
      <c r="HO123" s="99" t="e">
        <f>'Delivery Calculation'!AO95+"AM:!&amp;}g"</f>
        <v>#VALUE!</v>
      </c>
      <c r="HP123" s="99" t="e">
        <f>'Delivery Calculation'!AP95+"AM:!&amp;}h"</f>
        <v>#VALUE!</v>
      </c>
      <c r="HQ123" s="99" t="e">
        <f>'Delivery Calculation'!AQ95+"AM:!&amp;}i"</f>
        <v>#VALUE!</v>
      </c>
      <c r="HR123" s="99" t="e">
        <f>'Delivery Calculation'!AR95+"AM:!&amp;}j"</f>
        <v>#VALUE!</v>
      </c>
      <c r="HS123" s="99" t="e">
        <f>'Delivery Calculation'!AS95+"AM:!&amp;}k"</f>
        <v>#VALUE!</v>
      </c>
      <c r="HT123" s="99" t="e">
        <f>'Delivery Calculation'!AT95+"AM:!&amp;}l"</f>
        <v>#VALUE!</v>
      </c>
      <c r="HU123" s="99" t="e">
        <f>'Delivery Calculation'!AU95+"AM:!&amp;}m"</f>
        <v>#VALUE!</v>
      </c>
      <c r="HV123" s="99" t="e">
        <f>'Delivery Calculation'!AV95+"AM:!&amp;}n"</f>
        <v>#VALUE!</v>
      </c>
      <c r="HW123" s="99" t="e">
        <f>'Delivery Calculation'!AW95+"AM:!&amp;}o"</f>
        <v>#VALUE!</v>
      </c>
      <c r="HX123" s="99" t="e">
        <f>'Delivery Calculation'!AX95+"AM:!&amp;}p"</f>
        <v>#VALUE!</v>
      </c>
      <c r="HY123" t="e">
        <f>'Delivery Calculation'!AY95+"AM:!&amp;}q"</f>
        <v>#VALUE!</v>
      </c>
      <c r="HZ123" t="e">
        <f>'Delivery Calculation'!AZ95+"AM:!&amp;}r"</f>
        <v>#VALUE!</v>
      </c>
      <c r="IA123" t="e">
        <f>'Delivery Calculation'!A96+"AM:!&amp;}s"</f>
        <v>#VALUE!</v>
      </c>
      <c r="IB123" t="e">
        <f>'Delivery Calculation'!B96+"AM:!&amp;}t"</f>
        <v>#VALUE!</v>
      </c>
      <c r="IC123" t="e">
        <f>'Delivery Calculation'!C96+"AM:!&amp;}u"</f>
        <v>#VALUE!</v>
      </c>
      <c r="ID123" t="e">
        <f>'Delivery Calculation'!D96+"AM:!&amp;}v"</f>
        <v>#VALUE!</v>
      </c>
      <c r="IE123" t="e">
        <f>'Delivery Calculation'!E96+"AM:!&amp;}w"</f>
        <v>#VALUE!</v>
      </c>
      <c r="IF123" s="98" t="e">
        <f>'Delivery Calculation'!F96+"AM:!&amp;}x"</f>
        <v>#VALUE!</v>
      </c>
      <c r="IG123" s="98" t="e">
        <f>'Delivery Calculation'!G96+"AM:!&amp;}y"</f>
        <v>#VALUE!</v>
      </c>
      <c r="IH123" s="97" t="e">
        <f>'Delivery Calculation'!H96+"AM:!&amp;}z"</f>
        <v>#VALUE!</v>
      </c>
      <c r="II123" s="97" t="e">
        <f>'Delivery Calculation'!I96+"AM:!&amp;}{"</f>
        <v>#VALUE!</v>
      </c>
      <c r="IJ123" s="103" t="e">
        <f>'Delivery Calculation'!J96+"AM:!&amp;}|"</f>
        <v>#VALUE!</v>
      </c>
      <c r="IK123" s="98" t="e">
        <f>'Delivery Calculation'!K96+"AM:!&amp;}}"</f>
        <v>#VALUE!</v>
      </c>
      <c r="IL123" s="98" t="e">
        <f>'Delivery Calculation'!L96+"AM:!&amp;}~"</f>
        <v>#VALUE!</v>
      </c>
      <c r="IM123" s="99" t="e">
        <f>'Delivery Calculation'!M96+"AM:!&amp;~#"</f>
        <v>#VALUE!</v>
      </c>
      <c r="IN123" s="99" t="e">
        <f>'Delivery Calculation'!N96+"AM:!&amp;~$"</f>
        <v>#VALUE!</v>
      </c>
      <c r="IO123" s="99" t="e">
        <f>'Delivery Calculation'!O96+"AM:!&amp;~%"</f>
        <v>#VALUE!</v>
      </c>
      <c r="IP123" s="99" t="e">
        <f>'Delivery Calculation'!P96+"AM:!&amp;~&amp;"</f>
        <v>#VALUE!</v>
      </c>
      <c r="IQ123" s="99" t="e">
        <f>'Delivery Calculation'!Q96+"AM:!&amp;~'"</f>
        <v>#VALUE!</v>
      </c>
      <c r="IR123" s="99" t="e">
        <f>'Delivery Calculation'!R96+"AM:!&amp;~("</f>
        <v>#VALUE!</v>
      </c>
      <c r="IS123" s="99" t="e">
        <f>'Delivery Calculation'!S96+"AM:!&amp;~)"</f>
        <v>#VALUE!</v>
      </c>
      <c r="IT123" s="99" t="e">
        <f>'Delivery Calculation'!T96+"AM:!&amp;~."</f>
        <v>#VALUE!</v>
      </c>
      <c r="IU123" s="99" t="e">
        <f>'Delivery Calculation'!U96+"AM:!&amp;~/"</f>
        <v>#VALUE!</v>
      </c>
      <c r="IV123" s="99" t="e">
        <f>'Delivery Calculation'!V96+"AM:!&amp;~0"</f>
        <v>#VALUE!</v>
      </c>
    </row>
    <row r="124" spans="6:256">
      <c r="F124" s="99" t="e">
        <f>'Delivery Calculation'!W96+"AM:!&amp;~1"</f>
        <v>#VALUE!</v>
      </c>
      <c r="G124" s="99" t="e">
        <f>'Delivery Calculation'!X96+"AM:!&amp;~2"</f>
        <v>#VALUE!</v>
      </c>
      <c r="H124" s="99" t="e">
        <f>'Delivery Calculation'!Y96+"AM:!&amp;~3"</f>
        <v>#VALUE!</v>
      </c>
      <c r="I124" s="99" t="e">
        <f>'Delivery Calculation'!Z96+"AM:!&amp;~4"</f>
        <v>#VALUE!</v>
      </c>
      <c r="J124" s="99" t="e">
        <f>'Delivery Calculation'!AA96+"AM:!&amp;~5"</f>
        <v>#VALUE!</v>
      </c>
      <c r="K124" s="99" t="e">
        <f>'Delivery Calculation'!AB96+"AM:!&amp;~6"</f>
        <v>#VALUE!</v>
      </c>
      <c r="L124" s="99" t="e">
        <f>'Delivery Calculation'!AC96+"AM:!&amp;~7"</f>
        <v>#VALUE!</v>
      </c>
      <c r="M124" s="99" t="e">
        <f>'Delivery Calculation'!AD96+"AM:!&amp;~8"</f>
        <v>#VALUE!</v>
      </c>
      <c r="N124" s="99" t="e">
        <f>'Delivery Calculation'!AE96+"AM:!&amp;~9"</f>
        <v>#VALUE!</v>
      </c>
      <c r="O124" s="99" t="e">
        <f>'Delivery Calculation'!AF96+"AM:!&amp;~:"</f>
        <v>#VALUE!</v>
      </c>
      <c r="P124" s="99" t="e">
        <f>'Delivery Calculation'!AG96+"AM:!&amp;~;"</f>
        <v>#VALUE!</v>
      </c>
      <c r="Q124" s="99" t="e">
        <f>'Delivery Calculation'!AH96+"AM:!&amp;~&lt;"</f>
        <v>#VALUE!</v>
      </c>
      <c r="R124" s="99" t="e">
        <f>'Delivery Calculation'!AI96+"AM:!&amp;~="</f>
        <v>#VALUE!</v>
      </c>
      <c r="S124" s="99" t="e">
        <f>'Delivery Calculation'!AJ96+"AM:!&amp;~&gt;"</f>
        <v>#VALUE!</v>
      </c>
      <c r="T124" s="99" t="e">
        <f>'Delivery Calculation'!AK96+"AM:!&amp;~?"</f>
        <v>#VALUE!</v>
      </c>
      <c r="U124" s="99" t="e">
        <f>'Delivery Calculation'!AL96+"AM:!&amp;~@"</f>
        <v>#VALUE!</v>
      </c>
      <c r="V124" s="99" t="e">
        <f>'Delivery Calculation'!AM96+"AM:!&amp;~A"</f>
        <v>#VALUE!</v>
      </c>
      <c r="W124" s="99" t="e">
        <f>'Delivery Calculation'!AN96+"AM:!&amp;~B"</f>
        <v>#VALUE!</v>
      </c>
      <c r="X124" s="99" t="e">
        <f>'Delivery Calculation'!AO96+"AM:!&amp;~C"</f>
        <v>#VALUE!</v>
      </c>
      <c r="Y124" s="99" t="e">
        <f>'Delivery Calculation'!AP96+"AM:!&amp;~D"</f>
        <v>#VALUE!</v>
      </c>
      <c r="Z124" s="99" t="e">
        <f>'Delivery Calculation'!AQ96+"AM:!&amp;~E"</f>
        <v>#VALUE!</v>
      </c>
      <c r="AA124" s="99" t="e">
        <f>'Delivery Calculation'!AR96+"AM:!&amp;~F"</f>
        <v>#VALUE!</v>
      </c>
      <c r="AB124" s="99" t="e">
        <f>'Delivery Calculation'!AS96+"AM:!&amp;~G"</f>
        <v>#VALUE!</v>
      </c>
      <c r="AC124" s="99" t="e">
        <f>'Delivery Calculation'!AT96+"AM:!&amp;~H"</f>
        <v>#VALUE!</v>
      </c>
      <c r="AD124" s="99" t="e">
        <f>'Delivery Calculation'!AU96+"AM:!&amp;~I"</f>
        <v>#VALUE!</v>
      </c>
      <c r="AE124" s="99" t="e">
        <f>'Delivery Calculation'!AV96+"AM:!&amp;~J"</f>
        <v>#VALUE!</v>
      </c>
      <c r="AF124" s="99" t="e">
        <f>'Delivery Calculation'!AW96+"AM:!&amp;~K"</f>
        <v>#VALUE!</v>
      </c>
      <c r="AG124" s="99" t="e">
        <f>'Delivery Calculation'!AX96+"AM:!&amp;~L"</f>
        <v>#VALUE!</v>
      </c>
      <c r="AH124" t="e">
        <f>'Delivery Calculation'!AY96+"AM:!&amp;~M"</f>
        <v>#VALUE!</v>
      </c>
      <c r="AI124" t="e">
        <f>'Delivery Calculation'!AZ96+"AM:!&amp;~N"</f>
        <v>#VALUE!</v>
      </c>
      <c r="AJ124" t="e">
        <f>'Delivery Calculation'!A97+"AM:!&amp;~O"</f>
        <v>#VALUE!</v>
      </c>
      <c r="AK124" t="e">
        <f>'Delivery Calculation'!B97+"AM:!&amp;~P"</f>
        <v>#VALUE!</v>
      </c>
      <c r="AL124" t="e">
        <f>'Delivery Calculation'!C97+"AM:!&amp;~Q"</f>
        <v>#VALUE!</v>
      </c>
      <c r="AM124" t="e">
        <f>'Delivery Calculation'!D97+"AM:!&amp;~R"</f>
        <v>#VALUE!</v>
      </c>
      <c r="AN124" t="e">
        <f>'Delivery Calculation'!E97+"AM:!&amp;~S"</f>
        <v>#VALUE!</v>
      </c>
      <c r="AO124" s="98" t="e">
        <f>'Delivery Calculation'!F97+"AM:!&amp;~T"</f>
        <v>#VALUE!</v>
      </c>
      <c r="AP124" s="98" t="e">
        <f>'Delivery Calculation'!G97+"AM:!&amp;~U"</f>
        <v>#VALUE!</v>
      </c>
      <c r="AQ124" s="97" t="e">
        <f>'Delivery Calculation'!H97+"AM:!&amp;~V"</f>
        <v>#VALUE!</v>
      </c>
      <c r="AR124" s="97" t="e">
        <f>'Delivery Calculation'!I97+"AM:!&amp;~W"</f>
        <v>#VALUE!</v>
      </c>
      <c r="AS124" s="103" t="e">
        <f>'Delivery Calculation'!J97+"AM:!&amp;~X"</f>
        <v>#VALUE!</v>
      </c>
      <c r="AT124" s="98" t="e">
        <f>'Delivery Calculation'!K97+"AM:!&amp;~Y"</f>
        <v>#VALUE!</v>
      </c>
      <c r="AU124" s="98" t="e">
        <f>'Delivery Calculation'!L97+"AM:!&amp;~Z"</f>
        <v>#VALUE!</v>
      </c>
      <c r="AV124" s="99" t="e">
        <f>'Delivery Calculation'!M97+"AM:!&amp;~["</f>
        <v>#VALUE!</v>
      </c>
      <c r="AW124" s="99" t="e">
        <f>'Delivery Calculation'!N97+"AM:!&amp;~\"</f>
        <v>#VALUE!</v>
      </c>
      <c r="AX124" s="99" t="e">
        <f>'Delivery Calculation'!O97+"AM:!&amp;~]"</f>
        <v>#VALUE!</v>
      </c>
      <c r="AY124" s="99" t="e">
        <f>'Delivery Calculation'!P97+"AM:!&amp;~^"</f>
        <v>#VALUE!</v>
      </c>
      <c r="AZ124" s="99" t="e">
        <f>'Delivery Calculation'!Q97+"AM:!&amp;~_"</f>
        <v>#VALUE!</v>
      </c>
      <c r="BA124" s="99" t="e">
        <f>'Delivery Calculation'!R97+"AM:!&amp;~`"</f>
        <v>#VALUE!</v>
      </c>
      <c r="BB124" s="99" t="e">
        <f>'Delivery Calculation'!S97+"AM:!&amp;~a"</f>
        <v>#VALUE!</v>
      </c>
      <c r="BC124" s="99" t="e">
        <f>'Delivery Calculation'!T97+"AM:!&amp;~b"</f>
        <v>#VALUE!</v>
      </c>
      <c r="BD124" s="99" t="e">
        <f>'Delivery Calculation'!U97+"AM:!&amp;~c"</f>
        <v>#VALUE!</v>
      </c>
      <c r="BE124" s="99" t="e">
        <f>'Delivery Calculation'!V97+"AM:!&amp;~d"</f>
        <v>#VALUE!</v>
      </c>
      <c r="BF124" s="99" t="e">
        <f>'Delivery Calculation'!W97+"AM:!&amp;~e"</f>
        <v>#VALUE!</v>
      </c>
      <c r="BG124" s="99" t="e">
        <f>'Delivery Calculation'!X97+"AM:!&amp;~f"</f>
        <v>#VALUE!</v>
      </c>
      <c r="BH124" s="99" t="e">
        <f>'Delivery Calculation'!Y97+"AM:!&amp;~g"</f>
        <v>#VALUE!</v>
      </c>
      <c r="BI124" s="99" t="e">
        <f>'Delivery Calculation'!Z97+"AM:!&amp;~h"</f>
        <v>#VALUE!</v>
      </c>
      <c r="BJ124" s="99" t="e">
        <f>'Delivery Calculation'!AA97+"AM:!&amp;~i"</f>
        <v>#VALUE!</v>
      </c>
      <c r="BK124" s="99" t="e">
        <f>'Delivery Calculation'!AB97+"AM:!&amp;~j"</f>
        <v>#VALUE!</v>
      </c>
      <c r="BL124" s="99" t="e">
        <f>'Delivery Calculation'!AC97+"AM:!&amp;~k"</f>
        <v>#VALUE!</v>
      </c>
      <c r="BM124" s="99" t="e">
        <f>'Delivery Calculation'!AD97+"AM:!&amp;~l"</f>
        <v>#VALUE!</v>
      </c>
      <c r="BN124" s="99" t="e">
        <f>'Delivery Calculation'!AE97+"AM:!&amp;~m"</f>
        <v>#VALUE!</v>
      </c>
      <c r="BO124" s="99" t="e">
        <f>'Delivery Calculation'!AF97+"AM:!&amp;~n"</f>
        <v>#VALUE!</v>
      </c>
      <c r="BP124" s="99" t="e">
        <f>'Delivery Calculation'!AG97+"AM:!&amp;~o"</f>
        <v>#VALUE!</v>
      </c>
      <c r="BQ124" s="99" t="e">
        <f>'Delivery Calculation'!AH97+"AM:!&amp;~p"</f>
        <v>#VALUE!</v>
      </c>
      <c r="BR124" s="99" t="e">
        <f>'Delivery Calculation'!AI97+"AM:!&amp;~q"</f>
        <v>#VALUE!</v>
      </c>
      <c r="BS124" s="99" t="e">
        <f>'Delivery Calculation'!AJ97+"AM:!&amp;~r"</f>
        <v>#VALUE!</v>
      </c>
      <c r="BT124" s="99" t="e">
        <f>'Delivery Calculation'!AK97+"AM:!&amp;~s"</f>
        <v>#VALUE!</v>
      </c>
      <c r="BU124" s="99" t="e">
        <f>'Delivery Calculation'!AL97+"AM:!&amp;~t"</f>
        <v>#VALUE!</v>
      </c>
      <c r="BV124" s="99" t="e">
        <f>'Delivery Calculation'!AM97+"AM:!&amp;~u"</f>
        <v>#VALUE!</v>
      </c>
      <c r="BW124" s="99" t="e">
        <f>'Delivery Calculation'!AN97+"AM:!&amp;~v"</f>
        <v>#VALUE!</v>
      </c>
      <c r="BX124" s="99" t="e">
        <f>'Delivery Calculation'!AO97+"AM:!&amp;~w"</f>
        <v>#VALUE!</v>
      </c>
      <c r="BY124" s="99" t="e">
        <f>'Delivery Calculation'!AP97+"AM:!&amp;~x"</f>
        <v>#VALUE!</v>
      </c>
      <c r="BZ124" s="99" t="e">
        <f>'Delivery Calculation'!AQ97+"AM:!&amp;~y"</f>
        <v>#VALUE!</v>
      </c>
      <c r="CA124" s="99" t="e">
        <f>'Delivery Calculation'!AR97+"AM:!&amp;~z"</f>
        <v>#VALUE!</v>
      </c>
      <c r="CB124" s="99" t="e">
        <f>'Delivery Calculation'!AS97+"AM:!&amp;~{"</f>
        <v>#VALUE!</v>
      </c>
      <c r="CC124" s="99" t="e">
        <f>'Delivery Calculation'!AT97+"AM:!&amp;~|"</f>
        <v>#VALUE!</v>
      </c>
      <c r="CD124" s="99" t="e">
        <f>'Delivery Calculation'!AU97+"AM:!&amp;~}"</f>
        <v>#VALUE!</v>
      </c>
      <c r="CE124" s="99" t="e">
        <f>'Delivery Calculation'!AV97+"AM:!&amp;~~"</f>
        <v>#VALUE!</v>
      </c>
      <c r="CF124" s="99" t="e">
        <f>'Delivery Calculation'!AW97+"AM:!'##"</f>
        <v>#VALUE!</v>
      </c>
      <c r="CG124" s="99" t="e">
        <f>'Delivery Calculation'!AX97+"AM:!'#$"</f>
        <v>#VALUE!</v>
      </c>
      <c r="CH124" t="e">
        <f>'Delivery Calculation'!AY97+"AM:!'#%"</f>
        <v>#VALUE!</v>
      </c>
      <c r="CI124" t="e">
        <f>'Delivery Calculation'!AZ97+"AM:!'#&amp;"</f>
        <v>#VALUE!</v>
      </c>
      <c r="CJ124" t="e">
        <f>'Delivery Calculation'!A98+"AM:!'#'"</f>
        <v>#VALUE!</v>
      </c>
      <c r="CK124" t="e">
        <f>'Delivery Calculation'!B98+"AM:!'#("</f>
        <v>#VALUE!</v>
      </c>
      <c r="CL124" t="e">
        <f>'Delivery Calculation'!C98+"AM:!'#)"</f>
        <v>#VALUE!</v>
      </c>
      <c r="CM124" t="e">
        <f>'Delivery Calculation'!D98+"AM:!'#."</f>
        <v>#VALUE!</v>
      </c>
      <c r="CN124" t="e">
        <f>'Delivery Calculation'!E98+"AM:!'#/"</f>
        <v>#VALUE!</v>
      </c>
      <c r="CO124" s="98" t="e">
        <f>'Delivery Calculation'!F98+"AM:!'#0"</f>
        <v>#VALUE!</v>
      </c>
      <c r="CP124" s="98" t="e">
        <f>'Delivery Calculation'!G98+"AM:!'#1"</f>
        <v>#VALUE!</v>
      </c>
      <c r="CQ124" s="97" t="e">
        <f>'Delivery Calculation'!H98+"AM:!'#2"</f>
        <v>#VALUE!</v>
      </c>
      <c r="CR124" s="97" t="e">
        <f>'Delivery Calculation'!I98+"AM:!'#3"</f>
        <v>#VALUE!</v>
      </c>
      <c r="CS124" s="103" t="e">
        <f>'Delivery Calculation'!J98+"AM:!'#4"</f>
        <v>#VALUE!</v>
      </c>
      <c r="CT124" s="98" t="e">
        <f>'Delivery Calculation'!K98+"AM:!'#5"</f>
        <v>#VALUE!</v>
      </c>
      <c r="CU124" s="98" t="e">
        <f>'Delivery Calculation'!L98+"AM:!'#6"</f>
        <v>#VALUE!</v>
      </c>
      <c r="CV124" s="99" t="e">
        <f>'Delivery Calculation'!M98+"AM:!'#7"</f>
        <v>#VALUE!</v>
      </c>
      <c r="CW124" s="99" t="e">
        <f>'Delivery Calculation'!N98+"AM:!'#8"</f>
        <v>#VALUE!</v>
      </c>
      <c r="CX124" s="99" t="e">
        <f>'Delivery Calculation'!O98+"AM:!'#9"</f>
        <v>#VALUE!</v>
      </c>
      <c r="CY124" s="99" t="e">
        <f>'Delivery Calculation'!P98+"AM:!'#:"</f>
        <v>#VALUE!</v>
      </c>
      <c r="CZ124" s="99" t="e">
        <f>'Delivery Calculation'!Q98+"AM:!'#;"</f>
        <v>#VALUE!</v>
      </c>
      <c r="DA124" s="99" t="e">
        <f>'Delivery Calculation'!R98+"AM:!'#&lt;"</f>
        <v>#VALUE!</v>
      </c>
      <c r="DB124" s="99" t="e">
        <f>'Delivery Calculation'!S98+"AM:!'#="</f>
        <v>#VALUE!</v>
      </c>
      <c r="DC124" s="99" t="e">
        <f>'Delivery Calculation'!T98+"AM:!'#&gt;"</f>
        <v>#VALUE!</v>
      </c>
      <c r="DD124" s="99" t="e">
        <f>'Delivery Calculation'!U98+"AM:!'#?"</f>
        <v>#VALUE!</v>
      </c>
      <c r="DE124" s="99" t="e">
        <f>'Delivery Calculation'!V98+"AM:!'#@"</f>
        <v>#VALUE!</v>
      </c>
      <c r="DF124" s="99" t="e">
        <f>'Delivery Calculation'!W98+"AM:!'#A"</f>
        <v>#VALUE!</v>
      </c>
      <c r="DG124" s="99" t="e">
        <f>'Delivery Calculation'!X98+"AM:!'#B"</f>
        <v>#VALUE!</v>
      </c>
      <c r="DH124" s="99" t="e">
        <f>'Delivery Calculation'!Y98+"AM:!'#C"</f>
        <v>#VALUE!</v>
      </c>
      <c r="DI124" s="99" t="e">
        <f>'Delivery Calculation'!Z98+"AM:!'#D"</f>
        <v>#VALUE!</v>
      </c>
      <c r="DJ124" s="99" t="e">
        <f>'Delivery Calculation'!AA98+"AM:!'#E"</f>
        <v>#VALUE!</v>
      </c>
      <c r="DK124" s="99" t="e">
        <f>'Delivery Calculation'!AB98+"AM:!'#F"</f>
        <v>#VALUE!</v>
      </c>
      <c r="DL124" s="99" t="e">
        <f>'Delivery Calculation'!AC98+"AM:!'#G"</f>
        <v>#VALUE!</v>
      </c>
      <c r="DM124" s="99" t="e">
        <f>'Delivery Calculation'!AD98+"AM:!'#H"</f>
        <v>#VALUE!</v>
      </c>
      <c r="DN124" s="99" t="e">
        <f>'Delivery Calculation'!AE98+"AM:!'#I"</f>
        <v>#VALUE!</v>
      </c>
      <c r="DO124" s="99" t="e">
        <f>'Delivery Calculation'!AF98+"AM:!'#J"</f>
        <v>#VALUE!</v>
      </c>
      <c r="DP124" s="99" t="e">
        <f>'Delivery Calculation'!AG98+"AM:!'#K"</f>
        <v>#VALUE!</v>
      </c>
      <c r="DQ124" s="99" t="e">
        <f>'Delivery Calculation'!AH98+"AM:!'#L"</f>
        <v>#VALUE!</v>
      </c>
      <c r="DR124" s="99" t="e">
        <f>'Delivery Calculation'!AI98+"AM:!'#M"</f>
        <v>#VALUE!</v>
      </c>
      <c r="DS124" s="99" t="e">
        <f>'Delivery Calculation'!AJ98+"AM:!'#N"</f>
        <v>#VALUE!</v>
      </c>
      <c r="DT124" s="99" t="e">
        <f>'Delivery Calculation'!AK98+"AM:!'#O"</f>
        <v>#VALUE!</v>
      </c>
      <c r="DU124" s="99" t="e">
        <f>'Delivery Calculation'!AL98+"AM:!'#P"</f>
        <v>#VALUE!</v>
      </c>
      <c r="DV124" s="99" t="e">
        <f>'Delivery Calculation'!AM98+"AM:!'#Q"</f>
        <v>#VALUE!</v>
      </c>
      <c r="DW124" s="99" t="e">
        <f>'Delivery Calculation'!AN98+"AM:!'#R"</f>
        <v>#VALUE!</v>
      </c>
      <c r="DX124" s="99" t="e">
        <f>'Delivery Calculation'!AO98+"AM:!'#S"</f>
        <v>#VALUE!</v>
      </c>
      <c r="DY124" s="99" t="e">
        <f>'Delivery Calculation'!AP98+"AM:!'#T"</f>
        <v>#VALUE!</v>
      </c>
      <c r="DZ124" s="99" t="e">
        <f>'Delivery Calculation'!AQ98+"AM:!'#U"</f>
        <v>#VALUE!</v>
      </c>
      <c r="EA124" s="99" t="e">
        <f>'Delivery Calculation'!AR98+"AM:!'#V"</f>
        <v>#VALUE!</v>
      </c>
      <c r="EB124" s="99" t="e">
        <f>'Delivery Calculation'!AS98+"AM:!'#W"</f>
        <v>#VALUE!</v>
      </c>
      <c r="EC124" s="99" t="e">
        <f>'Delivery Calculation'!AT98+"AM:!'#X"</f>
        <v>#VALUE!</v>
      </c>
      <c r="ED124" s="99" t="e">
        <f>'Delivery Calculation'!AU98+"AM:!'#Y"</f>
        <v>#VALUE!</v>
      </c>
      <c r="EE124" s="99" t="e">
        <f>'Delivery Calculation'!AV98+"AM:!'#Z"</f>
        <v>#VALUE!</v>
      </c>
      <c r="EF124" s="99" t="e">
        <f>'Delivery Calculation'!AW98+"AM:!'#["</f>
        <v>#VALUE!</v>
      </c>
      <c r="EG124" s="99" t="e">
        <f>'Delivery Calculation'!AX98+"AM:!'#\"</f>
        <v>#VALUE!</v>
      </c>
      <c r="EH124" t="e">
        <f>'Delivery Calculation'!AY98+"AM:!'#]"</f>
        <v>#VALUE!</v>
      </c>
      <c r="EI124" t="e">
        <f>'Delivery Calculation'!AZ98+"AM:!'#^"</f>
        <v>#VALUE!</v>
      </c>
      <c r="EJ124" t="e">
        <f>'Delivery Calculation'!A99+"AM:!'#_"</f>
        <v>#VALUE!</v>
      </c>
      <c r="EK124" t="e">
        <f>'Delivery Calculation'!B99+"AM:!'#`"</f>
        <v>#VALUE!</v>
      </c>
      <c r="EL124" t="e">
        <f>'Delivery Calculation'!C99+"AM:!'#a"</f>
        <v>#VALUE!</v>
      </c>
      <c r="EM124" t="e">
        <f>'Delivery Calculation'!D99+"AM:!'#b"</f>
        <v>#VALUE!</v>
      </c>
      <c r="EN124" t="e">
        <f>'Delivery Calculation'!E99+"AM:!'#c"</f>
        <v>#VALUE!</v>
      </c>
      <c r="EO124" s="98" t="e">
        <f>'Delivery Calculation'!F99+"AM:!'#d"</f>
        <v>#VALUE!</v>
      </c>
      <c r="EP124" s="98" t="e">
        <f>'Delivery Calculation'!G99+"AM:!'#e"</f>
        <v>#VALUE!</v>
      </c>
      <c r="EQ124" s="97" t="e">
        <f>'Delivery Calculation'!H99+"AM:!'#f"</f>
        <v>#VALUE!</v>
      </c>
      <c r="ER124" s="97" t="e">
        <f>'Delivery Calculation'!I99+"AM:!'#g"</f>
        <v>#VALUE!</v>
      </c>
      <c r="ES124" s="103" t="e">
        <f>'Delivery Calculation'!J99+"AM:!'#h"</f>
        <v>#VALUE!</v>
      </c>
      <c r="ET124" s="98" t="e">
        <f>'Delivery Calculation'!K99+"AM:!'#i"</f>
        <v>#VALUE!</v>
      </c>
      <c r="EU124" s="98" t="e">
        <f>'Delivery Calculation'!L99+"AM:!'#j"</f>
        <v>#VALUE!</v>
      </c>
      <c r="EV124" s="99" t="e">
        <f>'Delivery Calculation'!M99+"AM:!'#k"</f>
        <v>#VALUE!</v>
      </c>
      <c r="EW124" s="99" t="e">
        <f>'Delivery Calculation'!N99+"AM:!'#l"</f>
        <v>#VALUE!</v>
      </c>
      <c r="EX124" s="99" t="e">
        <f>'Delivery Calculation'!O99+"AM:!'#m"</f>
        <v>#VALUE!</v>
      </c>
      <c r="EY124" s="99" t="e">
        <f>'Delivery Calculation'!P99+"AM:!'#n"</f>
        <v>#VALUE!</v>
      </c>
      <c r="EZ124" s="99" t="e">
        <f>'Delivery Calculation'!Q99+"AM:!'#o"</f>
        <v>#VALUE!</v>
      </c>
      <c r="FA124" s="99" t="e">
        <f>'Delivery Calculation'!R99+"AM:!'#p"</f>
        <v>#VALUE!</v>
      </c>
      <c r="FB124" s="99" t="e">
        <f>'Delivery Calculation'!S99+"AM:!'#q"</f>
        <v>#VALUE!</v>
      </c>
      <c r="FC124" s="99" t="e">
        <f>'Delivery Calculation'!T99+"AM:!'#r"</f>
        <v>#VALUE!</v>
      </c>
      <c r="FD124" s="99" t="e">
        <f>'Delivery Calculation'!U99+"AM:!'#s"</f>
        <v>#VALUE!</v>
      </c>
      <c r="FE124" s="99" t="e">
        <f>'Delivery Calculation'!V99+"AM:!'#t"</f>
        <v>#VALUE!</v>
      </c>
      <c r="FF124" s="99" t="e">
        <f>'Delivery Calculation'!W99+"AM:!'#u"</f>
        <v>#VALUE!</v>
      </c>
      <c r="FG124" s="99" t="e">
        <f>'Delivery Calculation'!X99+"AM:!'#v"</f>
        <v>#VALUE!</v>
      </c>
      <c r="FH124" s="99" t="e">
        <f>'Delivery Calculation'!Y99+"AM:!'#w"</f>
        <v>#VALUE!</v>
      </c>
      <c r="FI124" s="99" t="e">
        <f>'Delivery Calculation'!Z99+"AM:!'#x"</f>
        <v>#VALUE!</v>
      </c>
      <c r="FJ124" s="99" t="e">
        <f>'Delivery Calculation'!AA99+"AM:!'#y"</f>
        <v>#VALUE!</v>
      </c>
      <c r="FK124" s="99" t="e">
        <f>'Delivery Calculation'!AB99+"AM:!'#z"</f>
        <v>#VALUE!</v>
      </c>
      <c r="FL124" s="99" t="e">
        <f>'Delivery Calculation'!AC99+"AM:!'#{"</f>
        <v>#VALUE!</v>
      </c>
      <c r="FM124" s="99" t="e">
        <f>'Delivery Calculation'!AD99+"AM:!'#|"</f>
        <v>#VALUE!</v>
      </c>
      <c r="FN124" s="99" t="e">
        <f>'Delivery Calculation'!AE99+"AM:!'#}"</f>
        <v>#VALUE!</v>
      </c>
      <c r="FO124" s="99" t="e">
        <f>'Delivery Calculation'!AF99+"AM:!'#~"</f>
        <v>#VALUE!</v>
      </c>
      <c r="FP124" s="99" t="e">
        <f>'Delivery Calculation'!AG99+"AM:!'$#"</f>
        <v>#VALUE!</v>
      </c>
      <c r="FQ124" s="99" t="e">
        <f>'Delivery Calculation'!AH99+"AM:!'$$"</f>
        <v>#VALUE!</v>
      </c>
      <c r="FR124" s="99" t="e">
        <f>'Delivery Calculation'!AI99+"AM:!'$%"</f>
        <v>#VALUE!</v>
      </c>
      <c r="FS124" s="99" t="e">
        <f>'Delivery Calculation'!AJ99+"AM:!'$&amp;"</f>
        <v>#VALUE!</v>
      </c>
      <c r="FT124" s="99" t="e">
        <f>'Delivery Calculation'!AK99+"AM:!'$'"</f>
        <v>#VALUE!</v>
      </c>
      <c r="FU124" s="99" t="e">
        <f>'Delivery Calculation'!AL99+"AM:!'$("</f>
        <v>#VALUE!</v>
      </c>
      <c r="FV124" s="99" t="e">
        <f>'Delivery Calculation'!AM99+"AM:!'$)"</f>
        <v>#VALUE!</v>
      </c>
      <c r="FW124" s="99" t="e">
        <f>'Delivery Calculation'!AN99+"AM:!'$."</f>
        <v>#VALUE!</v>
      </c>
      <c r="FX124" s="99" t="e">
        <f>'Delivery Calculation'!AO99+"AM:!'$/"</f>
        <v>#VALUE!</v>
      </c>
      <c r="FY124" s="99" t="e">
        <f>'Delivery Calculation'!AP99+"AM:!'$0"</f>
        <v>#VALUE!</v>
      </c>
      <c r="FZ124" s="99" t="e">
        <f>'Delivery Calculation'!AQ99+"AM:!'$1"</f>
        <v>#VALUE!</v>
      </c>
      <c r="GA124" s="99" t="e">
        <f>'Delivery Calculation'!AR99+"AM:!'$2"</f>
        <v>#VALUE!</v>
      </c>
      <c r="GB124" s="99" t="e">
        <f>'Delivery Calculation'!AS99+"AM:!'$3"</f>
        <v>#VALUE!</v>
      </c>
      <c r="GC124" s="99" t="e">
        <f>'Delivery Calculation'!AT99+"AM:!'$4"</f>
        <v>#VALUE!</v>
      </c>
      <c r="GD124" s="99" t="e">
        <f>'Delivery Calculation'!AU99+"AM:!'$5"</f>
        <v>#VALUE!</v>
      </c>
      <c r="GE124" s="99" t="e">
        <f>'Delivery Calculation'!AV99+"AM:!'$6"</f>
        <v>#VALUE!</v>
      </c>
      <c r="GF124" s="99" t="e">
        <f>'Delivery Calculation'!AW99+"AM:!'$7"</f>
        <v>#VALUE!</v>
      </c>
      <c r="GG124" s="99" t="e">
        <f>'Delivery Calculation'!AX99+"AM:!'$8"</f>
        <v>#VALUE!</v>
      </c>
      <c r="GH124" t="e">
        <f>'Delivery Calculation'!AY99+"AM:!'$9"</f>
        <v>#VALUE!</v>
      </c>
      <c r="GI124" t="e">
        <f>'Delivery Calculation'!AZ99+"AM:!'$:"</f>
        <v>#VALUE!</v>
      </c>
      <c r="GJ124" t="e">
        <f>'Delivery Calculation'!A100+"AM:!'$;"</f>
        <v>#VALUE!</v>
      </c>
      <c r="GK124" t="e">
        <f>'Delivery Calculation'!B100+"AM:!'$&lt;"</f>
        <v>#VALUE!</v>
      </c>
      <c r="GL124" t="e">
        <f>'Delivery Calculation'!C100+"AM:!'$="</f>
        <v>#VALUE!</v>
      </c>
      <c r="GM124" t="e">
        <f>'Delivery Calculation'!D100+"AM:!'$&gt;"</f>
        <v>#VALUE!</v>
      </c>
      <c r="GN124" t="e">
        <f>'Delivery Calculation'!E100+"AM:!'$?"</f>
        <v>#VALUE!</v>
      </c>
      <c r="GO124" s="98" t="e">
        <f>'Delivery Calculation'!F100+"AM:!'$@"</f>
        <v>#VALUE!</v>
      </c>
      <c r="GP124" s="98" t="e">
        <f>'Delivery Calculation'!G100+"AM:!'$A"</f>
        <v>#VALUE!</v>
      </c>
      <c r="GQ124" s="97" t="e">
        <f>'Delivery Calculation'!H100+"AM:!'$B"</f>
        <v>#VALUE!</v>
      </c>
      <c r="GR124" s="97" t="e">
        <f>'Delivery Calculation'!I100+"AM:!'$C"</f>
        <v>#VALUE!</v>
      </c>
      <c r="GS124" s="103" t="e">
        <f>'Delivery Calculation'!J100+"AM:!'$D"</f>
        <v>#VALUE!</v>
      </c>
      <c r="GT124" s="98" t="e">
        <f>'Delivery Calculation'!K100+"AM:!'$E"</f>
        <v>#VALUE!</v>
      </c>
      <c r="GU124" s="98" t="e">
        <f>'Delivery Calculation'!L100+"AM:!'$F"</f>
        <v>#VALUE!</v>
      </c>
      <c r="GV124" s="99" t="e">
        <f>'Delivery Calculation'!M100+"AM:!'$G"</f>
        <v>#VALUE!</v>
      </c>
      <c r="GW124" s="99" t="e">
        <f>'Delivery Calculation'!N100+"AM:!'$H"</f>
        <v>#VALUE!</v>
      </c>
      <c r="GX124" s="99" t="e">
        <f>'Delivery Calculation'!O100+"AM:!'$I"</f>
        <v>#VALUE!</v>
      </c>
      <c r="GY124" s="99" t="e">
        <f>'Delivery Calculation'!P100+"AM:!'$J"</f>
        <v>#VALUE!</v>
      </c>
      <c r="GZ124" s="99" t="e">
        <f>'Delivery Calculation'!Q100+"AM:!'$K"</f>
        <v>#VALUE!</v>
      </c>
      <c r="HA124" s="99" t="e">
        <f>'Delivery Calculation'!R100+"AM:!'$L"</f>
        <v>#VALUE!</v>
      </c>
      <c r="HB124" s="99" t="e">
        <f>'Delivery Calculation'!S100+"AM:!'$M"</f>
        <v>#VALUE!</v>
      </c>
      <c r="HC124" s="99" t="e">
        <f>'Delivery Calculation'!T100+"AM:!'$N"</f>
        <v>#VALUE!</v>
      </c>
      <c r="HD124" s="99" t="e">
        <f>'Delivery Calculation'!U100+"AM:!'$O"</f>
        <v>#VALUE!</v>
      </c>
      <c r="HE124" s="99" t="e">
        <f>'Delivery Calculation'!V100+"AM:!'$P"</f>
        <v>#VALUE!</v>
      </c>
      <c r="HF124" s="99" t="e">
        <f>'Delivery Calculation'!W100+"AM:!'$Q"</f>
        <v>#VALUE!</v>
      </c>
      <c r="HG124" s="99" t="e">
        <f>'Delivery Calculation'!X100+"AM:!'$R"</f>
        <v>#VALUE!</v>
      </c>
      <c r="HH124" s="99" t="e">
        <f>'Delivery Calculation'!Y100+"AM:!'$S"</f>
        <v>#VALUE!</v>
      </c>
      <c r="HI124" s="99" t="e">
        <f>'Delivery Calculation'!Z100+"AM:!'$T"</f>
        <v>#VALUE!</v>
      </c>
      <c r="HJ124" s="99" t="e">
        <f>'Delivery Calculation'!AA100+"AM:!'$U"</f>
        <v>#VALUE!</v>
      </c>
      <c r="HK124" s="99" t="e">
        <f>'Delivery Calculation'!AB100+"AM:!'$V"</f>
        <v>#VALUE!</v>
      </c>
      <c r="HL124" s="99" t="e">
        <f>'Delivery Calculation'!AC100+"AM:!'$W"</f>
        <v>#VALUE!</v>
      </c>
      <c r="HM124" s="99" t="e">
        <f>'Delivery Calculation'!AD100+"AM:!'$X"</f>
        <v>#VALUE!</v>
      </c>
      <c r="HN124" s="99" t="e">
        <f>'Delivery Calculation'!AE100+"AM:!'$Y"</f>
        <v>#VALUE!</v>
      </c>
      <c r="HO124" s="99" t="e">
        <f>'Delivery Calculation'!AF100+"AM:!'$Z"</f>
        <v>#VALUE!</v>
      </c>
      <c r="HP124" s="99" t="e">
        <f>'Delivery Calculation'!AG100+"AM:!'$["</f>
        <v>#VALUE!</v>
      </c>
      <c r="HQ124" s="99" t="e">
        <f>'Delivery Calculation'!AH100+"AM:!'$\"</f>
        <v>#VALUE!</v>
      </c>
      <c r="HR124" s="99" t="e">
        <f>'Delivery Calculation'!AI100+"AM:!'$]"</f>
        <v>#VALUE!</v>
      </c>
      <c r="HS124" s="99" t="e">
        <f>'Delivery Calculation'!AJ100+"AM:!'$^"</f>
        <v>#VALUE!</v>
      </c>
      <c r="HT124" s="99" t="e">
        <f>'Delivery Calculation'!AK100+"AM:!'$_"</f>
        <v>#VALUE!</v>
      </c>
      <c r="HU124" s="99" t="e">
        <f>'Delivery Calculation'!AL100+"AM:!'$`"</f>
        <v>#VALUE!</v>
      </c>
      <c r="HV124" s="99" t="e">
        <f>'Delivery Calculation'!AM100+"AM:!'$a"</f>
        <v>#VALUE!</v>
      </c>
      <c r="HW124" s="99" t="e">
        <f>'Delivery Calculation'!AN100+"AM:!'$b"</f>
        <v>#VALUE!</v>
      </c>
      <c r="HX124" s="99" t="e">
        <f>'Delivery Calculation'!AO100+"AM:!'$c"</f>
        <v>#VALUE!</v>
      </c>
      <c r="HY124" s="99" t="e">
        <f>'Delivery Calculation'!AP100+"AM:!'$d"</f>
        <v>#VALUE!</v>
      </c>
      <c r="HZ124" s="99" t="e">
        <f>'Delivery Calculation'!AQ100+"AM:!'$e"</f>
        <v>#VALUE!</v>
      </c>
      <c r="IA124" s="99" t="e">
        <f>'Delivery Calculation'!AR100+"AM:!'$f"</f>
        <v>#VALUE!</v>
      </c>
      <c r="IB124" s="99" t="e">
        <f>'Delivery Calculation'!AS100+"AM:!'$g"</f>
        <v>#VALUE!</v>
      </c>
      <c r="IC124" s="99" t="e">
        <f>'Delivery Calculation'!AT100+"AM:!'$h"</f>
        <v>#VALUE!</v>
      </c>
      <c r="ID124" s="99" t="e">
        <f>'Delivery Calculation'!AU100+"AM:!'$i"</f>
        <v>#VALUE!</v>
      </c>
      <c r="IE124" s="99" t="e">
        <f>'Delivery Calculation'!AV100+"AM:!'$j"</f>
        <v>#VALUE!</v>
      </c>
      <c r="IF124" s="99" t="e">
        <f>'Delivery Calculation'!AW100+"AM:!'$k"</f>
        <v>#VALUE!</v>
      </c>
      <c r="IG124" s="99" t="e">
        <f>'Delivery Calculation'!AX100+"AM:!'$l"</f>
        <v>#VALUE!</v>
      </c>
      <c r="IH124" t="e">
        <f>'Delivery Calculation'!AY100+"AM:!'$m"</f>
        <v>#VALUE!</v>
      </c>
      <c r="II124" t="e">
        <f>'Delivery Calculation'!AZ100+"AM:!'$n"</f>
        <v>#VALUE!</v>
      </c>
      <c r="IJ124" t="e">
        <f>'Delivery Calculation'!A101+"AM:!'$o"</f>
        <v>#VALUE!</v>
      </c>
      <c r="IK124" t="e">
        <f>'Delivery Calculation'!B101+"AM:!'$p"</f>
        <v>#VALUE!</v>
      </c>
      <c r="IL124" t="e">
        <f>'Delivery Calculation'!C101+"AM:!'$q"</f>
        <v>#VALUE!</v>
      </c>
      <c r="IM124" t="e">
        <f>'Delivery Calculation'!D101+"AM:!'$r"</f>
        <v>#VALUE!</v>
      </c>
      <c r="IN124" t="e">
        <f>'Delivery Calculation'!E101+"AM:!'$s"</f>
        <v>#VALUE!</v>
      </c>
      <c r="IO124" s="98" t="e">
        <f>'Delivery Calculation'!F101+"AM:!'$t"</f>
        <v>#VALUE!</v>
      </c>
      <c r="IP124" s="98" t="e">
        <f>'Delivery Calculation'!G101+"AM:!'$u"</f>
        <v>#VALUE!</v>
      </c>
      <c r="IQ124" s="97" t="e">
        <f>'Delivery Calculation'!H101+"AM:!'$v"</f>
        <v>#VALUE!</v>
      </c>
      <c r="IR124" s="97" t="e">
        <f>'Delivery Calculation'!I101+"AM:!'$w"</f>
        <v>#VALUE!</v>
      </c>
      <c r="IS124" s="103" t="e">
        <f>'Delivery Calculation'!J101+"AM:!'$x"</f>
        <v>#VALUE!</v>
      </c>
      <c r="IT124" s="98" t="e">
        <f>'Delivery Calculation'!K101+"AM:!'$y"</f>
        <v>#VALUE!</v>
      </c>
      <c r="IU124" s="98" t="e">
        <f>'Delivery Calculation'!L101+"AM:!'$z"</f>
        <v>#VALUE!</v>
      </c>
      <c r="IV124" s="99" t="e">
        <f>'Delivery Calculation'!M101+"AM:!'${"</f>
        <v>#VALUE!</v>
      </c>
    </row>
    <row r="125" spans="6:256">
      <c r="F125" s="99" t="e">
        <f>'Delivery Calculation'!N101+"AM:!'$|"</f>
        <v>#VALUE!</v>
      </c>
      <c r="G125" s="99" t="e">
        <f>'Delivery Calculation'!O101+"AM:!'$}"</f>
        <v>#VALUE!</v>
      </c>
      <c r="H125" s="99" t="e">
        <f>'Delivery Calculation'!P101+"AM:!'$~"</f>
        <v>#VALUE!</v>
      </c>
      <c r="I125" s="99" t="e">
        <f>'Delivery Calculation'!Q101+"AM:!'%#"</f>
        <v>#VALUE!</v>
      </c>
      <c r="J125" s="99" t="e">
        <f>'Delivery Calculation'!R101+"AM:!'%$"</f>
        <v>#VALUE!</v>
      </c>
      <c r="K125" s="99" t="e">
        <f>'Delivery Calculation'!S101+"AM:!'%%"</f>
        <v>#VALUE!</v>
      </c>
      <c r="L125" s="99" t="e">
        <f>'Delivery Calculation'!T101+"AM:!'%&amp;"</f>
        <v>#VALUE!</v>
      </c>
      <c r="M125" s="99" t="e">
        <f>'Delivery Calculation'!U101+"AM:!'%'"</f>
        <v>#VALUE!</v>
      </c>
      <c r="N125" s="99" t="e">
        <f>'Delivery Calculation'!V101+"AM:!'%("</f>
        <v>#VALUE!</v>
      </c>
      <c r="O125" s="99" t="e">
        <f>'Delivery Calculation'!W101+"AM:!'%)"</f>
        <v>#VALUE!</v>
      </c>
      <c r="P125" s="99" t="e">
        <f>'Delivery Calculation'!X101+"AM:!'%."</f>
        <v>#VALUE!</v>
      </c>
      <c r="Q125" s="99" t="e">
        <f>'Delivery Calculation'!Y101+"AM:!'%/"</f>
        <v>#VALUE!</v>
      </c>
      <c r="R125" s="99" t="e">
        <f>'Delivery Calculation'!Z101+"AM:!'%0"</f>
        <v>#VALUE!</v>
      </c>
      <c r="S125" s="99" t="e">
        <f>'Delivery Calculation'!AA101+"AM:!'%1"</f>
        <v>#VALUE!</v>
      </c>
      <c r="T125" s="99" t="e">
        <f>'Delivery Calculation'!AB101+"AM:!'%2"</f>
        <v>#VALUE!</v>
      </c>
      <c r="U125" s="99" t="e">
        <f>'Delivery Calculation'!AC101+"AM:!'%3"</f>
        <v>#VALUE!</v>
      </c>
      <c r="V125" s="99" t="e">
        <f>'Delivery Calculation'!AD101+"AM:!'%4"</f>
        <v>#VALUE!</v>
      </c>
      <c r="W125" s="99" t="e">
        <f>'Delivery Calculation'!AE101+"AM:!'%5"</f>
        <v>#VALUE!</v>
      </c>
      <c r="X125" s="99" t="e">
        <f>'Delivery Calculation'!AF101+"AM:!'%6"</f>
        <v>#VALUE!</v>
      </c>
      <c r="Y125" s="99" t="e">
        <f>'Delivery Calculation'!AG101+"AM:!'%7"</f>
        <v>#VALUE!</v>
      </c>
      <c r="Z125" s="99" t="e">
        <f>'Delivery Calculation'!AH101+"AM:!'%8"</f>
        <v>#VALUE!</v>
      </c>
      <c r="AA125" s="99" t="e">
        <f>'Delivery Calculation'!AI101+"AM:!'%9"</f>
        <v>#VALUE!</v>
      </c>
      <c r="AB125" s="99" t="e">
        <f>'Delivery Calculation'!AJ101+"AM:!'%:"</f>
        <v>#VALUE!</v>
      </c>
      <c r="AC125" s="99" t="e">
        <f>'Delivery Calculation'!AK101+"AM:!'%;"</f>
        <v>#VALUE!</v>
      </c>
      <c r="AD125" s="99" t="e">
        <f>'Delivery Calculation'!AL101+"AM:!'%&lt;"</f>
        <v>#VALUE!</v>
      </c>
      <c r="AE125" s="99" t="e">
        <f>'Delivery Calculation'!AM101+"AM:!'%="</f>
        <v>#VALUE!</v>
      </c>
      <c r="AF125" s="99" t="e">
        <f>'Delivery Calculation'!AN101+"AM:!'%&gt;"</f>
        <v>#VALUE!</v>
      </c>
      <c r="AG125" s="99" t="e">
        <f>'Delivery Calculation'!AO101+"AM:!'%?"</f>
        <v>#VALUE!</v>
      </c>
      <c r="AH125" s="99" t="e">
        <f>'Delivery Calculation'!AP101+"AM:!'%@"</f>
        <v>#VALUE!</v>
      </c>
      <c r="AI125" s="99" t="e">
        <f>'Delivery Calculation'!AQ101+"AM:!'%A"</f>
        <v>#VALUE!</v>
      </c>
      <c r="AJ125" s="99" t="e">
        <f>'Delivery Calculation'!AR101+"AM:!'%B"</f>
        <v>#VALUE!</v>
      </c>
      <c r="AK125" s="99" t="e">
        <f>'Delivery Calculation'!AS101+"AM:!'%C"</f>
        <v>#VALUE!</v>
      </c>
      <c r="AL125" s="99" t="e">
        <f>'Delivery Calculation'!AT101+"AM:!'%D"</f>
        <v>#VALUE!</v>
      </c>
      <c r="AM125" s="99" t="e">
        <f>'Delivery Calculation'!AU101+"AM:!'%E"</f>
        <v>#VALUE!</v>
      </c>
      <c r="AN125" s="99" t="e">
        <f>'Delivery Calculation'!AV101+"AM:!'%F"</f>
        <v>#VALUE!</v>
      </c>
      <c r="AO125" s="99" t="e">
        <f>'Delivery Calculation'!AW101+"AM:!'%G"</f>
        <v>#VALUE!</v>
      </c>
      <c r="AP125" s="99" t="e">
        <f>'Delivery Calculation'!AX101+"AM:!'%H"</f>
        <v>#VALUE!</v>
      </c>
      <c r="AQ125" t="e">
        <f>'Delivery Calculation'!AY101+"AM:!'%I"</f>
        <v>#VALUE!</v>
      </c>
      <c r="AR125" t="e">
        <f>'Delivery Calculation'!AZ101+"AM:!'%J"</f>
        <v>#VALUE!</v>
      </c>
      <c r="AS125" t="e">
        <f>'Delivery Calculation'!A102+"AM:!'%K"</f>
        <v>#VALUE!</v>
      </c>
      <c r="AT125" t="e">
        <f>'Delivery Calculation'!B102+"AM:!'%L"</f>
        <v>#VALUE!</v>
      </c>
      <c r="AU125" t="e">
        <f>'Delivery Calculation'!C102+"AM:!'%M"</f>
        <v>#VALUE!</v>
      </c>
      <c r="AV125" t="e">
        <f>'Delivery Calculation'!D102+"AM:!'%N"</f>
        <v>#VALUE!</v>
      </c>
      <c r="AW125" t="e">
        <f>'Delivery Calculation'!E102+"AM:!'%O"</f>
        <v>#VALUE!</v>
      </c>
      <c r="AX125" s="98" t="e">
        <f>'Delivery Calculation'!F102+"AM:!'%P"</f>
        <v>#VALUE!</v>
      </c>
      <c r="AY125" s="98" t="e">
        <f>'Delivery Calculation'!G102+"AM:!'%Q"</f>
        <v>#VALUE!</v>
      </c>
      <c r="AZ125" s="97" t="e">
        <f>'Delivery Calculation'!H102+"AM:!'%R"</f>
        <v>#VALUE!</v>
      </c>
      <c r="BA125" s="97" t="e">
        <f>'Delivery Calculation'!I102+"AM:!'%S"</f>
        <v>#VALUE!</v>
      </c>
      <c r="BB125" s="103" t="e">
        <f>'Delivery Calculation'!J102+"AM:!'%T"</f>
        <v>#VALUE!</v>
      </c>
      <c r="BC125" s="98" t="e">
        <f>'Delivery Calculation'!K102+"AM:!'%U"</f>
        <v>#VALUE!</v>
      </c>
      <c r="BD125" s="98" t="e">
        <f>'Delivery Calculation'!L102+"AM:!'%V"</f>
        <v>#VALUE!</v>
      </c>
      <c r="BE125" s="99" t="e">
        <f>'Delivery Calculation'!M102+"AM:!'%W"</f>
        <v>#VALUE!</v>
      </c>
      <c r="BF125" s="99" t="e">
        <f>'Delivery Calculation'!N102+"AM:!'%X"</f>
        <v>#VALUE!</v>
      </c>
      <c r="BG125" s="99" t="e">
        <f>'Delivery Calculation'!O102+"AM:!'%Y"</f>
        <v>#VALUE!</v>
      </c>
      <c r="BH125" s="99" t="e">
        <f>'Delivery Calculation'!P102+"AM:!'%Z"</f>
        <v>#VALUE!</v>
      </c>
      <c r="BI125" s="99" t="e">
        <f>'Delivery Calculation'!Q102+"AM:!'%["</f>
        <v>#VALUE!</v>
      </c>
      <c r="BJ125" s="99" t="e">
        <f>'Delivery Calculation'!R102+"AM:!'%\"</f>
        <v>#VALUE!</v>
      </c>
      <c r="BK125" s="99" t="e">
        <f>'Delivery Calculation'!S102+"AM:!'%]"</f>
        <v>#VALUE!</v>
      </c>
      <c r="BL125" s="99" t="e">
        <f>'Delivery Calculation'!T102+"AM:!'%^"</f>
        <v>#VALUE!</v>
      </c>
      <c r="BM125" s="99" t="e">
        <f>'Delivery Calculation'!U102+"AM:!'%_"</f>
        <v>#VALUE!</v>
      </c>
      <c r="BN125" s="99" t="e">
        <f>'Delivery Calculation'!V102+"AM:!'%`"</f>
        <v>#VALUE!</v>
      </c>
      <c r="BO125" s="99" t="e">
        <f>'Delivery Calculation'!W102+"AM:!'%a"</f>
        <v>#VALUE!</v>
      </c>
      <c r="BP125" s="99" t="e">
        <f>'Delivery Calculation'!X102+"AM:!'%b"</f>
        <v>#VALUE!</v>
      </c>
      <c r="BQ125" s="99" t="e">
        <f>'Delivery Calculation'!Y102+"AM:!'%c"</f>
        <v>#VALUE!</v>
      </c>
      <c r="BR125" s="99" t="e">
        <f>'Delivery Calculation'!Z102+"AM:!'%d"</f>
        <v>#VALUE!</v>
      </c>
      <c r="BS125" s="99" t="e">
        <f>'Delivery Calculation'!AA102+"AM:!'%e"</f>
        <v>#VALUE!</v>
      </c>
      <c r="BT125" s="99" t="e">
        <f>'Delivery Calculation'!AB102+"AM:!'%f"</f>
        <v>#VALUE!</v>
      </c>
      <c r="BU125" s="99" t="e">
        <f>'Delivery Calculation'!AC102+"AM:!'%g"</f>
        <v>#VALUE!</v>
      </c>
      <c r="BV125" s="99" t="e">
        <f>'Delivery Calculation'!AD102+"AM:!'%h"</f>
        <v>#VALUE!</v>
      </c>
      <c r="BW125" s="99" t="e">
        <f>'Delivery Calculation'!AE102+"AM:!'%i"</f>
        <v>#VALUE!</v>
      </c>
      <c r="BX125" s="99" t="e">
        <f>'Delivery Calculation'!AF102+"AM:!'%j"</f>
        <v>#VALUE!</v>
      </c>
      <c r="BY125" s="99" t="e">
        <f>'Delivery Calculation'!AG102+"AM:!'%k"</f>
        <v>#VALUE!</v>
      </c>
      <c r="BZ125" s="99" t="e">
        <f>'Delivery Calculation'!AH102+"AM:!'%l"</f>
        <v>#VALUE!</v>
      </c>
      <c r="CA125" s="99" t="e">
        <f>'Delivery Calculation'!AI102+"AM:!'%m"</f>
        <v>#VALUE!</v>
      </c>
      <c r="CB125" s="99" t="e">
        <f>'Delivery Calculation'!AJ102+"AM:!'%n"</f>
        <v>#VALUE!</v>
      </c>
      <c r="CC125" s="99" t="e">
        <f>'Delivery Calculation'!AK102+"AM:!'%o"</f>
        <v>#VALUE!</v>
      </c>
      <c r="CD125" s="99" t="e">
        <f>'Delivery Calculation'!AL102+"AM:!'%p"</f>
        <v>#VALUE!</v>
      </c>
      <c r="CE125" s="99" t="e">
        <f>'Delivery Calculation'!AM102+"AM:!'%q"</f>
        <v>#VALUE!</v>
      </c>
      <c r="CF125" s="99" t="e">
        <f>'Delivery Calculation'!AN102+"AM:!'%r"</f>
        <v>#VALUE!</v>
      </c>
      <c r="CG125" s="99" t="e">
        <f>'Delivery Calculation'!AO102+"AM:!'%s"</f>
        <v>#VALUE!</v>
      </c>
      <c r="CH125" s="99" t="e">
        <f>'Delivery Calculation'!AP102+"AM:!'%t"</f>
        <v>#VALUE!</v>
      </c>
      <c r="CI125" s="99" t="e">
        <f>'Delivery Calculation'!AQ102+"AM:!'%u"</f>
        <v>#VALUE!</v>
      </c>
      <c r="CJ125" s="99" t="e">
        <f>'Delivery Calculation'!AR102+"AM:!'%v"</f>
        <v>#VALUE!</v>
      </c>
      <c r="CK125" s="99" t="e">
        <f>'Delivery Calculation'!AS102+"AM:!'%w"</f>
        <v>#VALUE!</v>
      </c>
      <c r="CL125" s="99" t="e">
        <f>'Delivery Calculation'!AT102+"AM:!'%x"</f>
        <v>#VALUE!</v>
      </c>
      <c r="CM125" s="99" t="e">
        <f>'Delivery Calculation'!AU102+"AM:!'%y"</f>
        <v>#VALUE!</v>
      </c>
      <c r="CN125" s="99" t="e">
        <f>'Delivery Calculation'!AV102+"AM:!'%z"</f>
        <v>#VALUE!</v>
      </c>
      <c r="CO125" s="99" t="e">
        <f>'Delivery Calculation'!AW102+"AM:!'%{"</f>
        <v>#VALUE!</v>
      </c>
      <c r="CP125" s="99" t="e">
        <f>'Delivery Calculation'!AX102+"AM:!'%|"</f>
        <v>#VALUE!</v>
      </c>
      <c r="CQ125" t="e">
        <f>'Delivery Calculation'!AY102+"AM:!'%}"</f>
        <v>#VALUE!</v>
      </c>
      <c r="CR125" t="e">
        <f>'Delivery Calculation'!AZ102+"AM:!'%~"</f>
        <v>#VALUE!</v>
      </c>
      <c r="CS125" t="e">
        <f>'Delivery Calculation'!A103+"AM:!'&amp;#"</f>
        <v>#VALUE!</v>
      </c>
      <c r="CT125" t="e">
        <f>'Delivery Calculation'!B103+"AM:!'&amp;$"</f>
        <v>#VALUE!</v>
      </c>
      <c r="CU125" t="e">
        <f>'Delivery Calculation'!C103+"AM:!'&amp;%"</f>
        <v>#VALUE!</v>
      </c>
      <c r="CV125" t="e">
        <f>'Delivery Calculation'!D103+"AM:!'&amp;&amp;"</f>
        <v>#VALUE!</v>
      </c>
      <c r="CW125" t="e">
        <f>'Delivery Calculation'!E103+"AM:!'&amp;'"</f>
        <v>#VALUE!</v>
      </c>
      <c r="CX125" s="98" t="e">
        <f>'Delivery Calculation'!F103+"AM:!'&amp;("</f>
        <v>#VALUE!</v>
      </c>
      <c r="CY125" s="98" t="e">
        <f>'Delivery Calculation'!G103+"AM:!'&amp;)"</f>
        <v>#VALUE!</v>
      </c>
      <c r="CZ125" s="97" t="e">
        <f>'Delivery Calculation'!H103+"AM:!'&amp;."</f>
        <v>#VALUE!</v>
      </c>
      <c r="DA125" s="97" t="e">
        <f>'Delivery Calculation'!I103+"AM:!'&amp;/"</f>
        <v>#VALUE!</v>
      </c>
      <c r="DB125" s="103" t="e">
        <f>'Delivery Calculation'!J103+"AM:!'&amp;0"</f>
        <v>#VALUE!</v>
      </c>
      <c r="DC125" s="98" t="e">
        <f>'Delivery Calculation'!K103+"AM:!'&amp;1"</f>
        <v>#VALUE!</v>
      </c>
      <c r="DD125" s="98" t="e">
        <f>'Delivery Calculation'!L103+"AM:!'&amp;2"</f>
        <v>#VALUE!</v>
      </c>
      <c r="DE125" s="99" t="e">
        <f>'Delivery Calculation'!M103+"AM:!'&amp;3"</f>
        <v>#VALUE!</v>
      </c>
      <c r="DF125" s="99" t="e">
        <f>'Delivery Calculation'!N103+"AM:!'&amp;4"</f>
        <v>#VALUE!</v>
      </c>
      <c r="DG125" s="99" t="e">
        <f>'Delivery Calculation'!O103+"AM:!'&amp;5"</f>
        <v>#VALUE!</v>
      </c>
      <c r="DH125" s="99" t="e">
        <f>'Delivery Calculation'!P103+"AM:!'&amp;6"</f>
        <v>#VALUE!</v>
      </c>
      <c r="DI125" s="99" t="e">
        <f>'Delivery Calculation'!Q103+"AM:!'&amp;7"</f>
        <v>#VALUE!</v>
      </c>
      <c r="DJ125" s="99" t="e">
        <f>'Delivery Calculation'!R103+"AM:!'&amp;8"</f>
        <v>#VALUE!</v>
      </c>
      <c r="DK125" s="99" t="e">
        <f>'Delivery Calculation'!S103+"AM:!'&amp;9"</f>
        <v>#VALUE!</v>
      </c>
      <c r="DL125" s="99" t="e">
        <f>'Delivery Calculation'!T103+"AM:!'&amp;:"</f>
        <v>#VALUE!</v>
      </c>
      <c r="DM125" s="99" t="e">
        <f>'Delivery Calculation'!U103+"AM:!'&amp;;"</f>
        <v>#VALUE!</v>
      </c>
      <c r="DN125" s="99" t="e">
        <f>'Delivery Calculation'!V103+"AM:!'&amp;&lt;"</f>
        <v>#VALUE!</v>
      </c>
      <c r="DO125" s="99" t="e">
        <f>'Delivery Calculation'!W103+"AM:!'&amp;="</f>
        <v>#VALUE!</v>
      </c>
      <c r="DP125" s="99" t="e">
        <f>'Delivery Calculation'!X103+"AM:!'&amp;&gt;"</f>
        <v>#VALUE!</v>
      </c>
      <c r="DQ125" s="99" t="e">
        <f>'Delivery Calculation'!Y103+"AM:!'&amp;?"</f>
        <v>#VALUE!</v>
      </c>
      <c r="DR125" s="99" t="e">
        <f>'Delivery Calculation'!Z103+"AM:!'&amp;@"</f>
        <v>#VALUE!</v>
      </c>
      <c r="DS125" s="99" t="e">
        <f>'Delivery Calculation'!AA103+"AM:!'&amp;A"</f>
        <v>#VALUE!</v>
      </c>
      <c r="DT125" s="99" t="e">
        <f>'Delivery Calculation'!AB103+"AM:!'&amp;B"</f>
        <v>#VALUE!</v>
      </c>
      <c r="DU125" s="99" t="e">
        <f>'Delivery Calculation'!AC103+"AM:!'&amp;C"</f>
        <v>#VALUE!</v>
      </c>
      <c r="DV125" s="99" t="e">
        <f>'Delivery Calculation'!AD103+"AM:!'&amp;D"</f>
        <v>#VALUE!</v>
      </c>
      <c r="DW125" s="99" t="e">
        <f>'Delivery Calculation'!AE103+"AM:!'&amp;E"</f>
        <v>#VALUE!</v>
      </c>
      <c r="DX125" s="99" t="e">
        <f>'Delivery Calculation'!AF103+"AM:!'&amp;F"</f>
        <v>#VALUE!</v>
      </c>
      <c r="DY125" s="99" t="e">
        <f>'Delivery Calculation'!AG103+"AM:!'&amp;G"</f>
        <v>#VALUE!</v>
      </c>
      <c r="DZ125" s="99" t="e">
        <f>'Delivery Calculation'!AH103+"AM:!'&amp;H"</f>
        <v>#VALUE!</v>
      </c>
      <c r="EA125" s="99" t="e">
        <f>'Delivery Calculation'!AI103+"AM:!'&amp;I"</f>
        <v>#VALUE!</v>
      </c>
      <c r="EB125" s="99" t="e">
        <f>'Delivery Calculation'!AJ103+"AM:!'&amp;J"</f>
        <v>#VALUE!</v>
      </c>
      <c r="EC125" s="99" t="e">
        <f>'Delivery Calculation'!AK103+"AM:!'&amp;K"</f>
        <v>#VALUE!</v>
      </c>
      <c r="ED125" s="99" t="e">
        <f>'Delivery Calculation'!AL103+"AM:!'&amp;L"</f>
        <v>#VALUE!</v>
      </c>
      <c r="EE125" s="99" t="e">
        <f>'Delivery Calculation'!AM103+"AM:!'&amp;M"</f>
        <v>#VALUE!</v>
      </c>
      <c r="EF125" s="99" t="e">
        <f>'Delivery Calculation'!AN103+"AM:!'&amp;N"</f>
        <v>#VALUE!</v>
      </c>
      <c r="EG125" s="99" t="e">
        <f>'Delivery Calculation'!AO103+"AM:!'&amp;O"</f>
        <v>#VALUE!</v>
      </c>
      <c r="EH125" s="99" t="e">
        <f>'Delivery Calculation'!AP103+"AM:!'&amp;P"</f>
        <v>#VALUE!</v>
      </c>
      <c r="EI125" s="99" t="e">
        <f>'Delivery Calculation'!AQ103+"AM:!'&amp;Q"</f>
        <v>#VALUE!</v>
      </c>
      <c r="EJ125" s="99" t="e">
        <f>'Delivery Calculation'!AR103+"AM:!'&amp;R"</f>
        <v>#VALUE!</v>
      </c>
      <c r="EK125" s="99" t="e">
        <f>'Delivery Calculation'!AS103+"AM:!'&amp;S"</f>
        <v>#VALUE!</v>
      </c>
      <c r="EL125" s="99" t="e">
        <f>'Delivery Calculation'!AT103+"AM:!'&amp;T"</f>
        <v>#VALUE!</v>
      </c>
      <c r="EM125" s="99" t="e">
        <f>'Delivery Calculation'!AU103+"AM:!'&amp;U"</f>
        <v>#VALUE!</v>
      </c>
      <c r="EN125" s="99" t="e">
        <f>'Delivery Calculation'!AV103+"AM:!'&amp;V"</f>
        <v>#VALUE!</v>
      </c>
      <c r="EO125" s="99" t="e">
        <f>'Delivery Calculation'!AW103+"AM:!'&amp;W"</f>
        <v>#VALUE!</v>
      </c>
      <c r="EP125" s="99" t="e">
        <f>'Delivery Calculation'!AX103+"AM:!'&amp;X"</f>
        <v>#VALUE!</v>
      </c>
      <c r="EQ125" t="e">
        <f>'Delivery Calculation'!AY103+"AM:!'&amp;Y"</f>
        <v>#VALUE!</v>
      </c>
      <c r="ER125" t="e">
        <f>'Delivery Calculation'!AZ103+"AM:!'&amp;Z"</f>
        <v>#VALUE!</v>
      </c>
      <c r="ES125" t="e">
        <f>'Delivery Calculation'!A104+"AM:!'&amp;["</f>
        <v>#VALUE!</v>
      </c>
      <c r="ET125" t="e">
        <f>'Delivery Calculation'!B104+"AM:!'&amp;\"</f>
        <v>#VALUE!</v>
      </c>
      <c r="EU125" t="e">
        <f>'Delivery Calculation'!C104+"AM:!'&amp;]"</f>
        <v>#VALUE!</v>
      </c>
      <c r="EV125" t="e">
        <f>'Delivery Calculation'!D104+"AM:!'&amp;^"</f>
        <v>#VALUE!</v>
      </c>
      <c r="EW125" t="e">
        <f>'Delivery Calculation'!E104+"AM:!'&amp;_"</f>
        <v>#VALUE!</v>
      </c>
      <c r="EX125" s="98" t="e">
        <f>'Delivery Calculation'!F104+"AM:!'&amp;`"</f>
        <v>#VALUE!</v>
      </c>
      <c r="EY125" s="98" t="e">
        <f>'Delivery Calculation'!G104+"AM:!'&amp;a"</f>
        <v>#VALUE!</v>
      </c>
      <c r="EZ125" s="97" t="e">
        <f>'Delivery Calculation'!H104+"AM:!'&amp;b"</f>
        <v>#VALUE!</v>
      </c>
      <c r="FA125" s="97" t="e">
        <f>'Delivery Calculation'!I104+"AM:!'&amp;c"</f>
        <v>#VALUE!</v>
      </c>
      <c r="FB125" s="103" t="e">
        <f>'Delivery Calculation'!J104+"AM:!'&amp;d"</f>
        <v>#VALUE!</v>
      </c>
      <c r="FC125" s="98" t="e">
        <f>'Delivery Calculation'!K104+"AM:!'&amp;e"</f>
        <v>#VALUE!</v>
      </c>
      <c r="FD125" s="98" t="e">
        <f>'Delivery Calculation'!L104+"AM:!'&amp;f"</f>
        <v>#VALUE!</v>
      </c>
      <c r="FE125" s="99" t="e">
        <f>'Delivery Calculation'!M104+"AM:!'&amp;g"</f>
        <v>#VALUE!</v>
      </c>
      <c r="FF125" s="99" t="e">
        <f>'Delivery Calculation'!N104+"AM:!'&amp;h"</f>
        <v>#VALUE!</v>
      </c>
      <c r="FG125" s="99" t="e">
        <f>'Delivery Calculation'!O104+"AM:!'&amp;i"</f>
        <v>#VALUE!</v>
      </c>
      <c r="FH125" s="99" t="e">
        <f>'Delivery Calculation'!P104+"AM:!'&amp;j"</f>
        <v>#VALUE!</v>
      </c>
      <c r="FI125" s="99" t="e">
        <f>'Delivery Calculation'!Q104+"AM:!'&amp;k"</f>
        <v>#VALUE!</v>
      </c>
      <c r="FJ125" s="99" t="e">
        <f>'Delivery Calculation'!R104+"AM:!'&amp;l"</f>
        <v>#VALUE!</v>
      </c>
      <c r="FK125" s="99" t="e">
        <f>'Delivery Calculation'!S104+"AM:!'&amp;m"</f>
        <v>#VALUE!</v>
      </c>
      <c r="FL125" s="99" t="e">
        <f>'Delivery Calculation'!T104+"AM:!'&amp;n"</f>
        <v>#VALUE!</v>
      </c>
      <c r="FM125" s="99" t="e">
        <f>'Delivery Calculation'!U104+"AM:!'&amp;o"</f>
        <v>#VALUE!</v>
      </c>
      <c r="FN125" s="99" t="e">
        <f>'Delivery Calculation'!V104+"AM:!'&amp;p"</f>
        <v>#VALUE!</v>
      </c>
      <c r="FO125" s="99" t="e">
        <f>'Delivery Calculation'!W104+"AM:!'&amp;q"</f>
        <v>#VALUE!</v>
      </c>
      <c r="FP125" s="99" t="e">
        <f>'Delivery Calculation'!X104+"AM:!'&amp;r"</f>
        <v>#VALUE!</v>
      </c>
      <c r="FQ125" s="99" t="e">
        <f>'Delivery Calculation'!Y104+"AM:!'&amp;s"</f>
        <v>#VALUE!</v>
      </c>
      <c r="FR125" s="99" t="e">
        <f>'Delivery Calculation'!Z104+"AM:!'&amp;t"</f>
        <v>#VALUE!</v>
      </c>
      <c r="FS125" s="99" t="e">
        <f>'Delivery Calculation'!AA104+"AM:!'&amp;u"</f>
        <v>#VALUE!</v>
      </c>
      <c r="FT125" s="99" t="e">
        <f>'Delivery Calculation'!AB104+"AM:!'&amp;v"</f>
        <v>#VALUE!</v>
      </c>
      <c r="FU125" s="99" t="e">
        <f>'Delivery Calculation'!AC104+"AM:!'&amp;w"</f>
        <v>#VALUE!</v>
      </c>
      <c r="FV125" s="99" t="e">
        <f>'Delivery Calculation'!AD104+"AM:!'&amp;x"</f>
        <v>#VALUE!</v>
      </c>
      <c r="FW125" s="99" t="e">
        <f>'Delivery Calculation'!AE104+"AM:!'&amp;y"</f>
        <v>#VALUE!</v>
      </c>
      <c r="FX125" s="99" t="e">
        <f>'Delivery Calculation'!AF104+"AM:!'&amp;z"</f>
        <v>#VALUE!</v>
      </c>
      <c r="FY125" s="99" t="e">
        <f>'Delivery Calculation'!AG104+"AM:!'&amp;{"</f>
        <v>#VALUE!</v>
      </c>
      <c r="FZ125" s="99" t="e">
        <f>'Delivery Calculation'!AH104+"AM:!'&amp;|"</f>
        <v>#VALUE!</v>
      </c>
      <c r="GA125" s="99" t="e">
        <f>'Delivery Calculation'!AI104+"AM:!'&amp;}"</f>
        <v>#VALUE!</v>
      </c>
      <c r="GB125" s="99" t="e">
        <f>'Delivery Calculation'!AJ104+"AM:!'&amp;~"</f>
        <v>#VALUE!</v>
      </c>
      <c r="GC125" s="99" t="e">
        <f>'Delivery Calculation'!AK104+"AM:!''#"</f>
        <v>#VALUE!</v>
      </c>
      <c r="GD125" s="99" t="e">
        <f>'Delivery Calculation'!AL104+"AM:!''$"</f>
        <v>#VALUE!</v>
      </c>
      <c r="GE125" s="99" t="e">
        <f>'Delivery Calculation'!AM104+"AM:!''%"</f>
        <v>#VALUE!</v>
      </c>
      <c r="GF125" s="99" t="e">
        <f>'Delivery Calculation'!AN104+"AM:!''&amp;"</f>
        <v>#VALUE!</v>
      </c>
      <c r="GG125" s="99" t="e">
        <f>'Delivery Calculation'!AO104+"AM:!'''"</f>
        <v>#VALUE!</v>
      </c>
      <c r="GH125" s="99" t="e">
        <f>'Delivery Calculation'!AP104+"AM:!''("</f>
        <v>#VALUE!</v>
      </c>
      <c r="GI125" s="99" t="e">
        <f>'Delivery Calculation'!AQ104+"AM:!'')"</f>
        <v>#VALUE!</v>
      </c>
      <c r="GJ125" s="99" t="e">
        <f>'Delivery Calculation'!AR104+"AM:!''."</f>
        <v>#VALUE!</v>
      </c>
      <c r="GK125" s="99" t="e">
        <f>'Delivery Calculation'!AS104+"AM:!''/"</f>
        <v>#VALUE!</v>
      </c>
      <c r="GL125" s="99" t="e">
        <f>'Delivery Calculation'!AT104+"AM:!''0"</f>
        <v>#VALUE!</v>
      </c>
      <c r="GM125" s="99" t="e">
        <f>'Delivery Calculation'!AU104+"AM:!''1"</f>
        <v>#VALUE!</v>
      </c>
      <c r="GN125" s="99" t="e">
        <f>'Delivery Calculation'!AV104+"AM:!''2"</f>
        <v>#VALUE!</v>
      </c>
      <c r="GO125" s="99" t="e">
        <f>'Delivery Calculation'!AW104+"AM:!''3"</f>
        <v>#VALUE!</v>
      </c>
      <c r="GP125" s="99" t="e">
        <f>'Delivery Calculation'!AX104+"AM:!''4"</f>
        <v>#VALUE!</v>
      </c>
      <c r="GQ125" t="e">
        <f>'Delivery Calculation'!AY104+"AM:!''5"</f>
        <v>#VALUE!</v>
      </c>
      <c r="GR125" t="e">
        <f>'Delivery Calculation'!AZ104+"AM:!''6"</f>
        <v>#VALUE!</v>
      </c>
      <c r="GS125" t="e">
        <f>'Delivery Calculation'!A105+"AM:!''7"</f>
        <v>#VALUE!</v>
      </c>
      <c r="GT125" t="e">
        <f>'Delivery Calculation'!B105+"AM:!''8"</f>
        <v>#VALUE!</v>
      </c>
      <c r="GU125" t="e">
        <f>'Delivery Calculation'!C105+"AM:!''9"</f>
        <v>#VALUE!</v>
      </c>
      <c r="GV125" t="e">
        <f>'Delivery Calculation'!D105+"AM:!'':"</f>
        <v>#VALUE!</v>
      </c>
      <c r="GW125" t="e">
        <f>'Delivery Calculation'!E105+"AM:!'';"</f>
        <v>#VALUE!</v>
      </c>
      <c r="GX125" s="98" t="e">
        <f>'Delivery Calculation'!F105+"AM:!''&lt;"</f>
        <v>#VALUE!</v>
      </c>
      <c r="GY125" s="98" t="e">
        <f>'Delivery Calculation'!G105+"AM:!''="</f>
        <v>#VALUE!</v>
      </c>
      <c r="GZ125" s="97" t="e">
        <f>'Delivery Calculation'!H105+"AM:!''&gt;"</f>
        <v>#VALUE!</v>
      </c>
      <c r="HA125" s="97" t="e">
        <f>'Delivery Calculation'!I105+"AM:!''?"</f>
        <v>#VALUE!</v>
      </c>
      <c r="HB125" s="103" t="e">
        <f>'Delivery Calculation'!J105+"AM:!''@"</f>
        <v>#VALUE!</v>
      </c>
      <c r="HC125" s="98" t="e">
        <f>'Delivery Calculation'!K105+"AM:!''A"</f>
        <v>#VALUE!</v>
      </c>
      <c r="HD125" s="98" t="e">
        <f>'Delivery Calculation'!L105+"AM:!''B"</f>
        <v>#VALUE!</v>
      </c>
      <c r="HE125" s="99" t="e">
        <f>'Delivery Calculation'!M105+"AM:!''C"</f>
        <v>#VALUE!</v>
      </c>
      <c r="HF125" s="99" t="e">
        <f>'Delivery Calculation'!N105+"AM:!''D"</f>
        <v>#VALUE!</v>
      </c>
      <c r="HG125" s="99" t="e">
        <f>'Delivery Calculation'!O105+"AM:!''E"</f>
        <v>#VALUE!</v>
      </c>
      <c r="HH125" s="99" t="e">
        <f>'Delivery Calculation'!P105+"AM:!''F"</f>
        <v>#VALUE!</v>
      </c>
      <c r="HI125" s="99" t="e">
        <f>'Delivery Calculation'!Q105+"AM:!''G"</f>
        <v>#VALUE!</v>
      </c>
      <c r="HJ125" s="99" t="e">
        <f>'Delivery Calculation'!R105+"AM:!''H"</f>
        <v>#VALUE!</v>
      </c>
      <c r="HK125" s="99" t="e">
        <f>'Delivery Calculation'!S105+"AM:!''I"</f>
        <v>#VALUE!</v>
      </c>
      <c r="HL125" s="99" t="e">
        <f>'Delivery Calculation'!T105+"AM:!''J"</f>
        <v>#VALUE!</v>
      </c>
      <c r="HM125" s="99" t="e">
        <f>'Delivery Calculation'!U105+"AM:!''K"</f>
        <v>#VALUE!</v>
      </c>
      <c r="HN125" s="99" t="e">
        <f>'Delivery Calculation'!V105+"AM:!''L"</f>
        <v>#VALUE!</v>
      </c>
      <c r="HO125" s="99" t="e">
        <f>'Delivery Calculation'!W105+"AM:!''M"</f>
        <v>#VALUE!</v>
      </c>
      <c r="HP125" s="99" t="e">
        <f>'Delivery Calculation'!X105+"AM:!''N"</f>
        <v>#VALUE!</v>
      </c>
      <c r="HQ125" s="99" t="e">
        <f>'Delivery Calculation'!Y105+"AM:!''O"</f>
        <v>#VALUE!</v>
      </c>
      <c r="HR125" s="99" t="e">
        <f>'Delivery Calculation'!Z105+"AM:!''P"</f>
        <v>#VALUE!</v>
      </c>
      <c r="HS125" s="99" t="e">
        <f>'Delivery Calculation'!AA105+"AM:!''Q"</f>
        <v>#VALUE!</v>
      </c>
      <c r="HT125" s="99" t="e">
        <f>'Delivery Calculation'!AB105+"AM:!''R"</f>
        <v>#VALUE!</v>
      </c>
      <c r="HU125" s="99" t="e">
        <f>'Delivery Calculation'!AC105+"AM:!''S"</f>
        <v>#VALUE!</v>
      </c>
      <c r="HV125" s="99" t="e">
        <f>'Delivery Calculation'!AD105+"AM:!''T"</f>
        <v>#VALUE!</v>
      </c>
      <c r="HW125" s="99" t="e">
        <f>'Delivery Calculation'!AE105+"AM:!''U"</f>
        <v>#VALUE!</v>
      </c>
      <c r="HX125" s="99" t="e">
        <f>'Delivery Calculation'!AF105+"AM:!''V"</f>
        <v>#VALUE!</v>
      </c>
      <c r="HY125" s="99" t="e">
        <f>'Delivery Calculation'!AG105+"AM:!''W"</f>
        <v>#VALUE!</v>
      </c>
      <c r="HZ125" s="99" t="e">
        <f>'Delivery Calculation'!AH105+"AM:!''X"</f>
        <v>#VALUE!</v>
      </c>
      <c r="IA125" s="99" t="e">
        <f>'Delivery Calculation'!AI105+"AM:!''Y"</f>
        <v>#VALUE!</v>
      </c>
      <c r="IB125" s="99" t="e">
        <f>'Delivery Calculation'!AJ105+"AM:!''Z"</f>
        <v>#VALUE!</v>
      </c>
      <c r="IC125" s="99" t="e">
        <f>'Delivery Calculation'!AK105+"AM:!''["</f>
        <v>#VALUE!</v>
      </c>
      <c r="ID125" s="99" t="e">
        <f>'Delivery Calculation'!AL105+"AM:!''\"</f>
        <v>#VALUE!</v>
      </c>
      <c r="IE125" s="99" t="e">
        <f>'Delivery Calculation'!AM105+"AM:!'']"</f>
        <v>#VALUE!</v>
      </c>
      <c r="IF125" s="99" t="e">
        <f>'Delivery Calculation'!AN105+"AM:!''^"</f>
        <v>#VALUE!</v>
      </c>
      <c r="IG125" s="99" t="e">
        <f>'Delivery Calculation'!AO105+"AM:!''_"</f>
        <v>#VALUE!</v>
      </c>
      <c r="IH125" s="99" t="e">
        <f>'Delivery Calculation'!AP105+"AM:!''`"</f>
        <v>#VALUE!</v>
      </c>
      <c r="II125" s="99" t="e">
        <f>'Delivery Calculation'!AQ105+"AM:!''a"</f>
        <v>#VALUE!</v>
      </c>
      <c r="IJ125" s="99" t="e">
        <f>'Delivery Calculation'!AR105+"AM:!''b"</f>
        <v>#VALUE!</v>
      </c>
      <c r="IK125" s="99" t="e">
        <f>'Delivery Calculation'!AS105+"AM:!''c"</f>
        <v>#VALUE!</v>
      </c>
      <c r="IL125" s="99" t="e">
        <f>'Delivery Calculation'!AT105+"AM:!''d"</f>
        <v>#VALUE!</v>
      </c>
      <c r="IM125" s="99" t="e">
        <f>'Delivery Calculation'!AU105+"AM:!''e"</f>
        <v>#VALUE!</v>
      </c>
      <c r="IN125" s="99" t="e">
        <f>'Delivery Calculation'!AV105+"AM:!''f"</f>
        <v>#VALUE!</v>
      </c>
      <c r="IO125" s="99" t="e">
        <f>'Delivery Calculation'!AW105+"AM:!''g"</f>
        <v>#VALUE!</v>
      </c>
      <c r="IP125" s="99" t="e">
        <f>'Delivery Calculation'!AX105+"AM:!''h"</f>
        <v>#VALUE!</v>
      </c>
      <c r="IQ125" t="e">
        <f>'Delivery Calculation'!AY105+"AM:!''i"</f>
        <v>#VALUE!</v>
      </c>
      <c r="IR125" t="e">
        <f>'Delivery Calculation'!AZ105+"AM:!''j"</f>
        <v>#VALUE!</v>
      </c>
      <c r="IS125" t="e">
        <f>'Delivery Calculation'!A106+"AM:!''k"</f>
        <v>#VALUE!</v>
      </c>
      <c r="IT125" t="e">
        <f>'Delivery Calculation'!B106+"AM:!''l"</f>
        <v>#VALUE!</v>
      </c>
      <c r="IU125" t="e">
        <f>'Delivery Calculation'!C106+"AM:!''m"</f>
        <v>#VALUE!</v>
      </c>
      <c r="IV125" t="e">
        <f>'Delivery Calculation'!D106+"AM:!''n"</f>
        <v>#VALUE!</v>
      </c>
    </row>
    <row r="126" spans="6:256">
      <c r="F126" t="e">
        <f>'Delivery Calculation'!E106+"AM:!''o"</f>
        <v>#VALUE!</v>
      </c>
      <c r="G126" s="98" t="e">
        <f>'Delivery Calculation'!F106+"AM:!''p"</f>
        <v>#VALUE!</v>
      </c>
      <c r="H126" s="98" t="e">
        <f>'Delivery Calculation'!G106+"AM:!''q"</f>
        <v>#VALUE!</v>
      </c>
      <c r="I126" s="97" t="e">
        <f>'Delivery Calculation'!H106+"AM:!''r"</f>
        <v>#VALUE!</v>
      </c>
      <c r="J126" s="97" t="e">
        <f>'Delivery Calculation'!I106+"AM:!''s"</f>
        <v>#VALUE!</v>
      </c>
      <c r="K126" s="103" t="e">
        <f>'Delivery Calculation'!J106+"AM:!''t"</f>
        <v>#VALUE!</v>
      </c>
      <c r="L126" s="98" t="e">
        <f>'Delivery Calculation'!K106+"AM:!''u"</f>
        <v>#VALUE!</v>
      </c>
      <c r="M126" s="98" t="e">
        <f>'Delivery Calculation'!L106+"AM:!''v"</f>
        <v>#VALUE!</v>
      </c>
      <c r="N126" s="99" t="e">
        <f>'Delivery Calculation'!M106+"AM:!''w"</f>
        <v>#VALUE!</v>
      </c>
      <c r="O126" s="99" t="e">
        <f>'Delivery Calculation'!N106+"AM:!''x"</f>
        <v>#VALUE!</v>
      </c>
      <c r="P126" s="99" t="e">
        <f>'Delivery Calculation'!O106+"AM:!''y"</f>
        <v>#VALUE!</v>
      </c>
      <c r="Q126" s="99" t="e">
        <f>'Delivery Calculation'!P106+"AM:!''z"</f>
        <v>#VALUE!</v>
      </c>
      <c r="R126" s="99" t="e">
        <f>'Delivery Calculation'!Q106+"AM:!''{"</f>
        <v>#VALUE!</v>
      </c>
      <c r="S126" s="99" t="e">
        <f>'Delivery Calculation'!R106+"AM:!''|"</f>
        <v>#VALUE!</v>
      </c>
      <c r="T126" s="99" t="e">
        <f>'Delivery Calculation'!S106+"AM:!''}"</f>
        <v>#VALUE!</v>
      </c>
      <c r="U126" s="99" t="e">
        <f>'Delivery Calculation'!T106+"AM:!''~"</f>
        <v>#VALUE!</v>
      </c>
      <c r="V126" s="99" t="e">
        <f>'Delivery Calculation'!U106+"AM:!'(#"</f>
        <v>#VALUE!</v>
      </c>
      <c r="W126" s="99" t="e">
        <f>'Delivery Calculation'!V106+"AM:!'($"</f>
        <v>#VALUE!</v>
      </c>
      <c r="X126" s="99" t="e">
        <f>'Delivery Calculation'!W106+"AM:!'(%"</f>
        <v>#VALUE!</v>
      </c>
      <c r="Y126" s="99" t="e">
        <f>'Delivery Calculation'!X106+"AM:!'(&amp;"</f>
        <v>#VALUE!</v>
      </c>
      <c r="Z126" s="99" t="e">
        <f>'Delivery Calculation'!Y106+"AM:!'('"</f>
        <v>#VALUE!</v>
      </c>
      <c r="AA126" s="99" t="e">
        <f>'Delivery Calculation'!Z106+"AM:!'(("</f>
        <v>#VALUE!</v>
      </c>
      <c r="AB126" s="99" t="e">
        <f>'Delivery Calculation'!AA106+"AM:!'()"</f>
        <v>#VALUE!</v>
      </c>
      <c r="AC126" s="99" t="e">
        <f>'Delivery Calculation'!AB106+"AM:!'(."</f>
        <v>#VALUE!</v>
      </c>
      <c r="AD126" s="99" t="e">
        <f>'Delivery Calculation'!AC106+"AM:!'(/"</f>
        <v>#VALUE!</v>
      </c>
      <c r="AE126" s="99" t="e">
        <f>'Delivery Calculation'!AD106+"AM:!'(0"</f>
        <v>#VALUE!</v>
      </c>
      <c r="AF126" s="99" t="e">
        <f>'Delivery Calculation'!AE106+"AM:!'(1"</f>
        <v>#VALUE!</v>
      </c>
      <c r="AG126" s="99" t="e">
        <f>'Delivery Calculation'!AF106+"AM:!'(2"</f>
        <v>#VALUE!</v>
      </c>
      <c r="AH126" s="99" t="e">
        <f>'Delivery Calculation'!AG106+"AM:!'(3"</f>
        <v>#VALUE!</v>
      </c>
      <c r="AI126" s="99" t="e">
        <f>'Delivery Calculation'!AH106+"AM:!'(4"</f>
        <v>#VALUE!</v>
      </c>
      <c r="AJ126" s="99" t="e">
        <f>'Delivery Calculation'!AI106+"AM:!'(5"</f>
        <v>#VALUE!</v>
      </c>
      <c r="AK126" s="99" t="e">
        <f>'Delivery Calculation'!AJ106+"AM:!'(6"</f>
        <v>#VALUE!</v>
      </c>
      <c r="AL126" s="99" t="e">
        <f>'Delivery Calculation'!AK106+"AM:!'(7"</f>
        <v>#VALUE!</v>
      </c>
      <c r="AM126" s="99" t="e">
        <f>'Delivery Calculation'!AL106+"AM:!'(8"</f>
        <v>#VALUE!</v>
      </c>
      <c r="AN126" s="99" t="e">
        <f>'Delivery Calculation'!AM106+"AM:!'(9"</f>
        <v>#VALUE!</v>
      </c>
      <c r="AO126" s="99" t="e">
        <f>'Delivery Calculation'!AN106+"AM:!'(:"</f>
        <v>#VALUE!</v>
      </c>
      <c r="AP126" s="99" t="e">
        <f>'Delivery Calculation'!AO106+"AM:!'(;"</f>
        <v>#VALUE!</v>
      </c>
      <c r="AQ126" s="99" t="e">
        <f>'Delivery Calculation'!AP106+"AM:!'(&lt;"</f>
        <v>#VALUE!</v>
      </c>
      <c r="AR126" s="99" t="e">
        <f>'Delivery Calculation'!AQ106+"AM:!'(="</f>
        <v>#VALUE!</v>
      </c>
      <c r="AS126" s="99" t="e">
        <f>'Delivery Calculation'!AR106+"AM:!'(&gt;"</f>
        <v>#VALUE!</v>
      </c>
      <c r="AT126" s="99" t="e">
        <f>'Delivery Calculation'!AS106+"AM:!'(?"</f>
        <v>#VALUE!</v>
      </c>
      <c r="AU126" s="99" t="e">
        <f>'Delivery Calculation'!AT106+"AM:!'(@"</f>
        <v>#VALUE!</v>
      </c>
      <c r="AV126" s="99" t="e">
        <f>'Delivery Calculation'!AU106+"AM:!'(A"</f>
        <v>#VALUE!</v>
      </c>
      <c r="AW126" s="99" t="e">
        <f>'Delivery Calculation'!AV106+"AM:!'(B"</f>
        <v>#VALUE!</v>
      </c>
      <c r="AX126" s="99" t="e">
        <f>'Delivery Calculation'!AW106+"AM:!'(C"</f>
        <v>#VALUE!</v>
      </c>
      <c r="AY126" s="99" t="e">
        <f>'Delivery Calculation'!AX106+"AM:!'(D"</f>
        <v>#VALUE!</v>
      </c>
      <c r="AZ126" t="e">
        <f>'Delivery Calculation'!AY106+"AM:!'(E"</f>
        <v>#VALUE!</v>
      </c>
      <c r="BA126" t="e">
        <f>'Delivery Calculation'!AZ106+"AM:!'(F"</f>
        <v>#VALUE!</v>
      </c>
      <c r="BB126" t="e">
        <f>'Delivery Calculation'!A107+"AM:!'(G"</f>
        <v>#VALUE!</v>
      </c>
      <c r="BC126" t="e">
        <f>'Delivery Calculation'!B107+"AM:!'(H"</f>
        <v>#VALUE!</v>
      </c>
      <c r="BD126" t="e">
        <f>'Delivery Calculation'!C107+"AM:!'(I"</f>
        <v>#VALUE!</v>
      </c>
      <c r="BE126" t="e">
        <f>'Delivery Calculation'!D107+"AM:!'(J"</f>
        <v>#VALUE!</v>
      </c>
      <c r="BF126" t="e">
        <f>'Delivery Calculation'!E107+"AM:!'(K"</f>
        <v>#VALUE!</v>
      </c>
      <c r="BG126" s="98" t="e">
        <f>'Delivery Calculation'!F107+"AM:!'(L"</f>
        <v>#VALUE!</v>
      </c>
      <c r="BH126" s="98" t="e">
        <f>'Delivery Calculation'!G107+"AM:!'(M"</f>
        <v>#VALUE!</v>
      </c>
      <c r="BI126" s="97" t="e">
        <f>'Delivery Calculation'!H107+"AM:!'(N"</f>
        <v>#VALUE!</v>
      </c>
      <c r="BJ126" s="97" t="e">
        <f>'Delivery Calculation'!I107+"AM:!'(O"</f>
        <v>#VALUE!</v>
      </c>
      <c r="BK126" s="103" t="e">
        <f>'Delivery Calculation'!J107+"AM:!'(P"</f>
        <v>#VALUE!</v>
      </c>
      <c r="BL126" s="98" t="e">
        <f>'Delivery Calculation'!K107+"AM:!'(Q"</f>
        <v>#VALUE!</v>
      </c>
      <c r="BM126" s="98" t="e">
        <f>'Delivery Calculation'!L107+"AM:!'(R"</f>
        <v>#VALUE!</v>
      </c>
      <c r="BN126" s="99" t="e">
        <f>'Delivery Calculation'!M107+"AM:!'(S"</f>
        <v>#VALUE!</v>
      </c>
      <c r="BO126" s="99" t="e">
        <f>'Delivery Calculation'!N107+"AM:!'(T"</f>
        <v>#VALUE!</v>
      </c>
      <c r="BP126" s="99" t="e">
        <f>'Delivery Calculation'!O107+"AM:!'(U"</f>
        <v>#VALUE!</v>
      </c>
      <c r="BQ126" s="99" t="e">
        <f>'Delivery Calculation'!P107+"AM:!'(V"</f>
        <v>#VALUE!</v>
      </c>
      <c r="BR126" s="99" t="e">
        <f>'Delivery Calculation'!Q107+"AM:!'(W"</f>
        <v>#VALUE!</v>
      </c>
      <c r="BS126" s="99" t="e">
        <f>'Delivery Calculation'!R107+"AM:!'(X"</f>
        <v>#VALUE!</v>
      </c>
      <c r="BT126" s="99" t="e">
        <f>'Delivery Calculation'!S107+"AM:!'(Y"</f>
        <v>#VALUE!</v>
      </c>
      <c r="BU126" s="99" t="e">
        <f>'Delivery Calculation'!T107+"AM:!'(Z"</f>
        <v>#VALUE!</v>
      </c>
      <c r="BV126" s="99" t="e">
        <f>'Delivery Calculation'!U107+"AM:!'(["</f>
        <v>#VALUE!</v>
      </c>
      <c r="BW126" s="99" t="e">
        <f>'Delivery Calculation'!V107+"AM:!'(\"</f>
        <v>#VALUE!</v>
      </c>
      <c r="BX126" s="99" t="e">
        <f>'Delivery Calculation'!W107+"AM:!'(]"</f>
        <v>#VALUE!</v>
      </c>
      <c r="BY126" s="99" t="e">
        <f>'Delivery Calculation'!X107+"AM:!'(^"</f>
        <v>#VALUE!</v>
      </c>
      <c r="BZ126" s="99" t="e">
        <f>'Delivery Calculation'!Y107+"AM:!'(_"</f>
        <v>#VALUE!</v>
      </c>
      <c r="CA126" s="99" t="e">
        <f>'Delivery Calculation'!Z107+"AM:!'(`"</f>
        <v>#VALUE!</v>
      </c>
      <c r="CB126" s="99" t="e">
        <f>'Delivery Calculation'!AA107+"AM:!'(a"</f>
        <v>#VALUE!</v>
      </c>
      <c r="CC126" s="99" t="e">
        <f>'Delivery Calculation'!AB107+"AM:!'(b"</f>
        <v>#VALUE!</v>
      </c>
      <c r="CD126" s="99" t="e">
        <f>'Delivery Calculation'!AC107+"AM:!'(c"</f>
        <v>#VALUE!</v>
      </c>
      <c r="CE126" s="99" t="e">
        <f>'Delivery Calculation'!AD107+"AM:!'(d"</f>
        <v>#VALUE!</v>
      </c>
      <c r="CF126" s="99" t="e">
        <f>'Delivery Calculation'!AE107+"AM:!'(e"</f>
        <v>#VALUE!</v>
      </c>
      <c r="CG126" s="99" t="e">
        <f>'Delivery Calculation'!AF107+"AM:!'(f"</f>
        <v>#VALUE!</v>
      </c>
      <c r="CH126" s="99" t="e">
        <f>'Delivery Calculation'!AG107+"AM:!'(g"</f>
        <v>#VALUE!</v>
      </c>
      <c r="CI126" s="99" t="e">
        <f>'Delivery Calculation'!AH107+"AM:!'(h"</f>
        <v>#VALUE!</v>
      </c>
      <c r="CJ126" s="99" t="e">
        <f>'Delivery Calculation'!AI107+"AM:!'(i"</f>
        <v>#VALUE!</v>
      </c>
      <c r="CK126" s="99" t="e">
        <f>'Delivery Calculation'!AJ107+"AM:!'(j"</f>
        <v>#VALUE!</v>
      </c>
      <c r="CL126" s="99" t="e">
        <f>'Delivery Calculation'!AK107+"AM:!'(k"</f>
        <v>#VALUE!</v>
      </c>
      <c r="CM126" s="99" t="e">
        <f>'Delivery Calculation'!AL107+"AM:!'(l"</f>
        <v>#VALUE!</v>
      </c>
      <c r="CN126" s="99" t="e">
        <f>'Delivery Calculation'!AM107+"AM:!'(m"</f>
        <v>#VALUE!</v>
      </c>
      <c r="CO126" s="99" t="e">
        <f>'Delivery Calculation'!AN107+"AM:!'(n"</f>
        <v>#VALUE!</v>
      </c>
      <c r="CP126" s="99" t="e">
        <f>'Delivery Calculation'!AO107+"AM:!'(o"</f>
        <v>#VALUE!</v>
      </c>
      <c r="CQ126" s="99" t="e">
        <f>'Delivery Calculation'!AP107+"AM:!'(p"</f>
        <v>#VALUE!</v>
      </c>
      <c r="CR126" s="99" t="e">
        <f>'Delivery Calculation'!AQ107+"AM:!'(q"</f>
        <v>#VALUE!</v>
      </c>
      <c r="CS126" s="99" t="e">
        <f>'Delivery Calculation'!AR107+"AM:!'(r"</f>
        <v>#VALUE!</v>
      </c>
      <c r="CT126" s="99" t="e">
        <f>'Delivery Calculation'!AS107+"AM:!'(s"</f>
        <v>#VALUE!</v>
      </c>
      <c r="CU126" s="99" t="e">
        <f>'Delivery Calculation'!AT107+"AM:!'(t"</f>
        <v>#VALUE!</v>
      </c>
      <c r="CV126" s="99" t="e">
        <f>'Delivery Calculation'!AU107+"AM:!'(u"</f>
        <v>#VALUE!</v>
      </c>
      <c r="CW126" s="99" t="e">
        <f>'Delivery Calculation'!AV107+"AM:!'(v"</f>
        <v>#VALUE!</v>
      </c>
      <c r="CX126" s="99" t="e">
        <f>'Delivery Calculation'!AW107+"AM:!'(w"</f>
        <v>#VALUE!</v>
      </c>
      <c r="CY126" s="99" t="e">
        <f>'Delivery Calculation'!AX107+"AM:!'(x"</f>
        <v>#VALUE!</v>
      </c>
      <c r="CZ126" t="e">
        <f>'Delivery Calculation'!AY107+"AM:!'(y"</f>
        <v>#VALUE!</v>
      </c>
      <c r="DA126" t="e">
        <f>'Delivery Calculation'!AZ107+"AM:!'(z"</f>
        <v>#VALUE!</v>
      </c>
      <c r="DB126" t="e">
        <f>'Delivery Calculation'!A108+"AM:!'({"</f>
        <v>#VALUE!</v>
      </c>
      <c r="DC126" t="e">
        <f>'Delivery Calculation'!B108+"AM:!'(|"</f>
        <v>#VALUE!</v>
      </c>
      <c r="DD126" t="e">
        <f>'Delivery Calculation'!C108+"AM:!'(}"</f>
        <v>#VALUE!</v>
      </c>
      <c r="DE126" t="e">
        <f>'Delivery Calculation'!D108+"AM:!'(~"</f>
        <v>#VALUE!</v>
      </c>
      <c r="DF126" t="e">
        <f>'Delivery Calculation'!E108+"AM:!')#"</f>
        <v>#VALUE!</v>
      </c>
      <c r="DG126" s="98" t="e">
        <f>'Delivery Calculation'!F108+"AM:!')$"</f>
        <v>#VALUE!</v>
      </c>
      <c r="DH126" s="98" t="e">
        <f>'Delivery Calculation'!G108+"AM:!')%"</f>
        <v>#VALUE!</v>
      </c>
      <c r="DI126" s="97" t="e">
        <f>'Delivery Calculation'!H108+"AM:!')&amp;"</f>
        <v>#VALUE!</v>
      </c>
      <c r="DJ126" s="97" t="e">
        <f>'Delivery Calculation'!I108+"AM:!')'"</f>
        <v>#VALUE!</v>
      </c>
      <c r="DK126" s="103" t="e">
        <f>'Delivery Calculation'!J108+"AM:!')("</f>
        <v>#VALUE!</v>
      </c>
      <c r="DL126" s="98" t="e">
        <f>'Delivery Calculation'!K108+"AM:!'))"</f>
        <v>#VALUE!</v>
      </c>
      <c r="DM126" s="98" t="e">
        <f>'Delivery Calculation'!L108+"AM:!')."</f>
        <v>#VALUE!</v>
      </c>
      <c r="DN126" s="99" t="e">
        <f>'Delivery Calculation'!M108+"AM:!')/"</f>
        <v>#VALUE!</v>
      </c>
      <c r="DO126" s="99" t="e">
        <f>'Delivery Calculation'!N108+"AM:!')0"</f>
        <v>#VALUE!</v>
      </c>
      <c r="DP126" s="99" t="e">
        <f>'Delivery Calculation'!O108+"AM:!')1"</f>
        <v>#VALUE!</v>
      </c>
      <c r="DQ126" s="99" t="e">
        <f>'Delivery Calculation'!P108+"AM:!')2"</f>
        <v>#VALUE!</v>
      </c>
      <c r="DR126" s="99" t="e">
        <f>'Delivery Calculation'!Q108+"AM:!')3"</f>
        <v>#VALUE!</v>
      </c>
      <c r="DS126" s="99" t="e">
        <f>'Delivery Calculation'!R108+"AM:!')4"</f>
        <v>#VALUE!</v>
      </c>
      <c r="DT126" s="99" t="e">
        <f>'Delivery Calculation'!S108+"AM:!')5"</f>
        <v>#VALUE!</v>
      </c>
      <c r="DU126" s="99" t="e">
        <f>'Delivery Calculation'!T108+"AM:!')6"</f>
        <v>#VALUE!</v>
      </c>
      <c r="DV126" s="99" t="e">
        <f>'Delivery Calculation'!U108+"AM:!')7"</f>
        <v>#VALUE!</v>
      </c>
      <c r="DW126" s="99" t="e">
        <f>'Delivery Calculation'!V108+"AM:!')8"</f>
        <v>#VALUE!</v>
      </c>
      <c r="DX126" s="99" t="e">
        <f>'Delivery Calculation'!W108+"AM:!')9"</f>
        <v>#VALUE!</v>
      </c>
      <c r="DY126" s="99" t="e">
        <f>'Delivery Calculation'!X108+"AM:!'):"</f>
        <v>#VALUE!</v>
      </c>
      <c r="DZ126" s="99" t="e">
        <f>'Delivery Calculation'!Y108+"AM:!');"</f>
        <v>#VALUE!</v>
      </c>
      <c r="EA126" s="99" t="e">
        <f>'Delivery Calculation'!Z108+"AM:!')&lt;"</f>
        <v>#VALUE!</v>
      </c>
      <c r="EB126" s="99" t="e">
        <f>'Delivery Calculation'!AA108+"AM:!')="</f>
        <v>#VALUE!</v>
      </c>
      <c r="EC126" s="99" t="e">
        <f>'Delivery Calculation'!AB108+"AM:!')&gt;"</f>
        <v>#VALUE!</v>
      </c>
      <c r="ED126" s="99" t="e">
        <f>'Delivery Calculation'!AC108+"AM:!')?"</f>
        <v>#VALUE!</v>
      </c>
      <c r="EE126" s="99" t="e">
        <f>'Delivery Calculation'!AD108+"AM:!')@"</f>
        <v>#VALUE!</v>
      </c>
      <c r="EF126" s="99" t="e">
        <f>'Delivery Calculation'!AE108+"AM:!')A"</f>
        <v>#VALUE!</v>
      </c>
      <c r="EG126" s="99" t="e">
        <f>'Delivery Calculation'!AF108+"AM:!')B"</f>
        <v>#VALUE!</v>
      </c>
      <c r="EH126" s="99" t="e">
        <f>'Delivery Calculation'!AG108+"AM:!')C"</f>
        <v>#VALUE!</v>
      </c>
      <c r="EI126" s="99" t="e">
        <f>'Delivery Calculation'!AH108+"AM:!')D"</f>
        <v>#VALUE!</v>
      </c>
      <c r="EJ126" s="99" t="e">
        <f>'Delivery Calculation'!AI108+"AM:!')E"</f>
        <v>#VALUE!</v>
      </c>
      <c r="EK126" s="99" t="e">
        <f>'Delivery Calculation'!AJ108+"AM:!')F"</f>
        <v>#VALUE!</v>
      </c>
      <c r="EL126" s="99" t="e">
        <f>'Delivery Calculation'!AK108+"AM:!')G"</f>
        <v>#VALUE!</v>
      </c>
      <c r="EM126" s="99" t="e">
        <f>'Delivery Calculation'!AL108+"AM:!')H"</f>
        <v>#VALUE!</v>
      </c>
      <c r="EN126" s="99" t="e">
        <f>'Delivery Calculation'!AM108+"AM:!')I"</f>
        <v>#VALUE!</v>
      </c>
      <c r="EO126" s="99" t="e">
        <f>'Delivery Calculation'!AN108+"AM:!')J"</f>
        <v>#VALUE!</v>
      </c>
      <c r="EP126" s="99" t="e">
        <f>'Delivery Calculation'!AO108+"AM:!')K"</f>
        <v>#VALUE!</v>
      </c>
      <c r="EQ126" s="99" t="e">
        <f>'Delivery Calculation'!AP108+"AM:!')L"</f>
        <v>#VALUE!</v>
      </c>
      <c r="ER126" s="99" t="e">
        <f>'Delivery Calculation'!AQ108+"AM:!')M"</f>
        <v>#VALUE!</v>
      </c>
      <c r="ES126" s="99" t="e">
        <f>'Delivery Calculation'!AR108+"AM:!')N"</f>
        <v>#VALUE!</v>
      </c>
      <c r="ET126" s="99" t="e">
        <f>'Delivery Calculation'!AS108+"AM:!')O"</f>
        <v>#VALUE!</v>
      </c>
      <c r="EU126" s="99" t="e">
        <f>'Delivery Calculation'!AT108+"AM:!')P"</f>
        <v>#VALUE!</v>
      </c>
      <c r="EV126" s="99" t="e">
        <f>'Delivery Calculation'!AU108+"AM:!')Q"</f>
        <v>#VALUE!</v>
      </c>
      <c r="EW126" s="99" t="e">
        <f>'Delivery Calculation'!AV108+"AM:!')R"</f>
        <v>#VALUE!</v>
      </c>
      <c r="EX126" s="99" t="e">
        <f>'Delivery Calculation'!AW108+"AM:!')S"</f>
        <v>#VALUE!</v>
      </c>
      <c r="EY126" s="99" t="e">
        <f>'Delivery Calculation'!AX108+"AM:!')T"</f>
        <v>#VALUE!</v>
      </c>
      <c r="EZ126" t="e">
        <f>'Delivery Calculation'!AY108+"AM:!')U"</f>
        <v>#VALUE!</v>
      </c>
      <c r="FA126" t="e">
        <f>'Delivery Calculation'!AZ108+"AM:!')V"</f>
        <v>#VALUE!</v>
      </c>
      <c r="FB126" t="e">
        <f>'Delivery Calculation'!A109+"AM:!')W"</f>
        <v>#VALUE!</v>
      </c>
      <c r="FC126" t="e">
        <f>'Delivery Calculation'!B109+"AM:!')X"</f>
        <v>#VALUE!</v>
      </c>
      <c r="FD126" t="e">
        <f>'Delivery Calculation'!C109+"AM:!')Y"</f>
        <v>#VALUE!</v>
      </c>
      <c r="FE126" t="e">
        <f>'Delivery Calculation'!D109+"AM:!')Z"</f>
        <v>#VALUE!</v>
      </c>
      <c r="FF126" t="e">
        <f>'Delivery Calculation'!E109+"AM:!')["</f>
        <v>#VALUE!</v>
      </c>
      <c r="FG126" s="98" t="e">
        <f>'Delivery Calculation'!F109+"AM:!')\"</f>
        <v>#VALUE!</v>
      </c>
      <c r="FH126" s="98" t="e">
        <f>'Delivery Calculation'!G109+"AM:!')]"</f>
        <v>#VALUE!</v>
      </c>
      <c r="FI126" s="97" t="e">
        <f>'Delivery Calculation'!H109+"AM:!')^"</f>
        <v>#VALUE!</v>
      </c>
      <c r="FJ126" s="97" t="e">
        <f>'Delivery Calculation'!I109+"AM:!')_"</f>
        <v>#VALUE!</v>
      </c>
      <c r="FK126" s="103" t="e">
        <f>'Delivery Calculation'!J109+"AM:!')`"</f>
        <v>#VALUE!</v>
      </c>
      <c r="FL126" s="98" t="e">
        <f>'Delivery Calculation'!K109+"AM:!')a"</f>
        <v>#VALUE!</v>
      </c>
      <c r="FM126" s="98" t="e">
        <f>'Delivery Calculation'!L109+"AM:!')b"</f>
        <v>#VALUE!</v>
      </c>
      <c r="FN126" s="99" t="e">
        <f>'Delivery Calculation'!M109+"AM:!')c"</f>
        <v>#VALUE!</v>
      </c>
      <c r="FO126" s="99" t="e">
        <f>'Delivery Calculation'!N109+"AM:!')d"</f>
        <v>#VALUE!</v>
      </c>
      <c r="FP126" s="99" t="e">
        <f>'Delivery Calculation'!O109+"AM:!')e"</f>
        <v>#VALUE!</v>
      </c>
      <c r="FQ126" s="99" t="e">
        <f>'Delivery Calculation'!P109+"AM:!')f"</f>
        <v>#VALUE!</v>
      </c>
      <c r="FR126" s="99" t="e">
        <f>'Delivery Calculation'!Q109+"AM:!')g"</f>
        <v>#VALUE!</v>
      </c>
      <c r="FS126" s="99" t="e">
        <f>'Delivery Calculation'!R109+"AM:!')h"</f>
        <v>#VALUE!</v>
      </c>
      <c r="FT126" s="99" t="e">
        <f>'Delivery Calculation'!S109+"AM:!')i"</f>
        <v>#VALUE!</v>
      </c>
      <c r="FU126" s="99" t="e">
        <f>'Delivery Calculation'!T109+"AM:!')j"</f>
        <v>#VALUE!</v>
      </c>
      <c r="FV126" s="99" t="e">
        <f>'Delivery Calculation'!U109+"AM:!')k"</f>
        <v>#VALUE!</v>
      </c>
      <c r="FW126" s="99" t="e">
        <f>'Delivery Calculation'!V109+"AM:!')l"</f>
        <v>#VALUE!</v>
      </c>
      <c r="FX126" s="99" t="e">
        <f>'Delivery Calculation'!W109+"AM:!')m"</f>
        <v>#VALUE!</v>
      </c>
      <c r="FY126" s="99" t="e">
        <f>'Delivery Calculation'!X109+"AM:!')n"</f>
        <v>#VALUE!</v>
      </c>
      <c r="FZ126" s="99" t="e">
        <f>'Delivery Calculation'!Y109+"AM:!')o"</f>
        <v>#VALUE!</v>
      </c>
      <c r="GA126" s="99" t="e">
        <f>'Delivery Calculation'!Z109+"AM:!')p"</f>
        <v>#VALUE!</v>
      </c>
      <c r="GB126" s="99" t="e">
        <f>'Delivery Calculation'!AA109+"AM:!')q"</f>
        <v>#VALUE!</v>
      </c>
      <c r="GC126" s="99" t="e">
        <f>'Delivery Calculation'!AB109+"AM:!')r"</f>
        <v>#VALUE!</v>
      </c>
      <c r="GD126" s="99" t="e">
        <f>'Delivery Calculation'!AC109+"AM:!')s"</f>
        <v>#VALUE!</v>
      </c>
      <c r="GE126" s="99" t="e">
        <f>'Delivery Calculation'!AD109+"AM:!')t"</f>
        <v>#VALUE!</v>
      </c>
      <c r="GF126" s="99" t="e">
        <f>'Delivery Calculation'!AE109+"AM:!')u"</f>
        <v>#VALUE!</v>
      </c>
      <c r="GG126" s="99" t="e">
        <f>'Delivery Calculation'!AF109+"AM:!')v"</f>
        <v>#VALUE!</v>
      </c>
      <c r="GH126" s="99" t="e">
        <f>'Delivery Calculation'!AG109+"AM:!')w"</f>
        <v>#VALUE!</v>
      </c>
      <c r="GI126" s="99" t="e">
        <f>'Delivery Calculation'!AH109+"AM:!')x"</f>
        <v>#VALUE!</v>
      </c>
      <c r="GJ126" s="99" t="e">
        <f>'Delivery Calculation'!AI109+"AM:!')y"</f>
        <v>#VALUE!</v>
      </c>
      <c r="GK126" s="99" t="e">
        <f>'Delivery Calculation'!AJ109+"AM:!')z"</f>
        <v>#VALUE!</v>
      </c>
      <c r="GL126" s="99" t="e">
        <f>'Delivery Calculation'!AK109+"AM:!'){"</f>
        <v>#VALUE!</v>
      </c>
      <c r="GM126" s="99" t="e">
        <f>'Delivery Calculation'!AL109+"AM:!')|"</f>
        <v>#VALUE!</v>
      </c>
      <c r="GN126" s="99" t="e">
        <f>'Delivery Calculation'!AM109+"AM:!')}"</f>
        <v>#VALUE!</v>
      </c>
      <c r="GO126" s="99" t="e">
        <f>'Delivery Calculation'!AN109+"AM:!')~"</f>
        <v>#VALUE!</v>
      </c>
      <c r="GP126" s="99" t="e">
        <f>'Delivery Calculation'!AO109+"AM:!'.#"</f>
        <v>#VALUE!</v>
      </c>
      <c r="GQ126" s="99" t="e">
        <f>'Delivery Calculation'!AP109+"AM:!'.$"</f>
        <v>#VALUE!</v>
      </c>
      <c r="GR126" s="99" t="e">
        <f>'Delivery Calculation'!AQ109+"AM:!'.%"</f>
        <v>#VALUE!</v>
      </c>
      <c r="GS126" s="99" t="e">
        <f>'Delivery Calculation'!AR109+"AM:!'.&amp;"</f>
        <v>#VALUE!</v>
      </c>
      <c r="GT126" s="99" t="e">
        <f>'Delivery Calculation'!AS109+"AM:!'.'"</f>
        <v>#VALUE!</v>
      </c>
      <c r="GU126" s="99" t="e">
        <f>'Delivery Calculation'!AT109+"AM:!'.("</f>
        <v>#VALUE!</v>
      </c>
      <c r="GV126" s="99" t="e">
        <f>'Delivery Calculation'!AU109+"AM:!'.)"</f>
        <v>#VALUE!</v>
      </c>
      <c r="GW126" s="99" t="e">
        <f>'Delivery Calculation'!AV109+"AM:!'.."</f>
        <v>#VALUE!</v>
      </c>
      <c r="GX126" s="99" t="e">
        <f>'Delivery Calculation'!AW109+"AM:!'./"</f>
        <v>#VALUE!</v>
      </c>
      <c r="GY126" s="99" t="e">
        <f>'Delivery Calculation'!AX109+"AM:!'.0"</f>
        <v>#VALUE!</v>
      </c>
      <c r="GZ126" t="e">
        <f>'Delivery Calculation'!AY109+"AM:!'.1"</f>
        <v>#VALUE!</v>
      </c>
      <c r="HA126" t="e">
        <f>'Delivery Calculation'!AZ109+"AM:!'.2"</f>
        <v>#VALUE!</v>
      </c>
      <c r="HB126" t="e">
        <f>'Delivery Calculation'!A110+"AM:!'.3"</f>
        <v>#VALUE!</v>
      </c>
      <c r="HC126" t="e">
        <f>'Delivery Calculation'!B110+"AM:!'.4"</f>
        <v>#VALUE!</v>
      </c>
      <c r="HD126" t="e">
        <f>'Delivery Calculation'!C110+"AM:!'.5"</f>
        <v>#VALUE!</v>
      </c>
      <c r="HE126" t="e">
        <f>'Delivery Calculation'!D110+"AM:!'.6"</f>
        <v>#VALUE!</v>
      </c>
      <c r="HF126" t="e">
        <f>'Delivery Calculation'!E110+"AM:!'.7"</f>
        <v>#VALUE!</v>
      </c>
      <c r="HG126" s="98" t="e">
        <f>'Delivery Calculation'!F110+"AM:!'.8"</f>
        <v>#VALUE!</v>
      </c>
      <c r="HH126" s="98" t="e">
        <f>'Delivery Calculation'!G110+"AM:!'.9"</f>
        <v>#VALUE!</v>
      </c>
      <c r="HI126" s="97" t="e">
        <f>'Delivery Calculation'!H110+"AM:!'.:"</f>
        <v>#VALUE!</v>
      </c>
      <c r="HJ126" s="97" t="e">
        <f>'Delivery Calculation'!I110+"AM:!'.;"</f>
        <v>#VALUE!</v>
      </c>
      <c r="HK126" s="103" t="e">
        <f>'Delivery Calculation'!J110+"AM:!'.&lt;"</f>
        <v>#VALUE!</v>
      </c>
      <c r="HL126" s="98" t="e">
        <f>'Delivery Calculation'!K110+"AM:!'.="</f>
        <v>#VALUE!</v>
      </c>
      <c r="HM126" s="98" t="e">
        <f>'Delivery Calculation'!L110+"AM:!'.&gt;"</f>
        <v>#VALUE!</v>
      </c>
      <c r="HN126" s="99" t="e">
        <f>'Delivery Calculation'!M110+"AM:!'.?"</f>
        <v>#VALUE!</v>
      </c>
      <c r="HO126" s="99" t="e">
        <f>'Delivery Calculation'!N110+"AM:!'.@"</f>
        <v>#VALUE!</v>
      </c>
      <c r="HP126" s="99" t="e">
        <f>'Delivery Calculation'!O110+"AM:!'.A"</f>
        <v>#VALUE!</v>
      </c>
      <c r="HQ126" s="99" t="e">
        <f>'Delivery Calculation'!P110+"AM:!'.B"</f>
        <v>#VALUE!</v>
      </c>
      <c r="HR126" s="99" t="e">
        <f>'Delivery Calculation'!Q110+"AM:!'.C"</f>
        <v>#VALUE!</v>
      </c>
      <c r="HS126" s="99" t="e">
        <f>'Delivery Calculation'!R110+"AM:!'.D"</f>
        <v>#VALUE!</v>
      </c>
      <c r="HT126" s="99" t="e">
        <f>'Delivery Calculation'!S110+"AM:!'.E"</f>
        <v>#VALUE!</v>
      </c>
      <c r="HU126" s="99" t="e">
        <f>'Delivery Calculation'!T110+"AM:!'.F"</f>
        <v>#VALUE!</v>
      </c>
      <c r="HV126" s="99" t="e">
        <f>'Delivery Calculation'!U110+"AM:!'.G"</f>
        <v>#VALUE!</v>
      </c>
      <c r="HW126" s="99" t="e">
        <f>'Delivery Calculation'!V110+"AM:!'.H"</f>
        <v>#VALUE!</v>
      </c>
      <c r="HX126" s="99" t="e">
        <f>'Delivery Calculation'!W110+"AM:!'.I"</f>
        <v>#VALUE!</v>
      </c>
      <c r="HY126" s="99" t="e">
        <f>'Delivery Calculation'!X110+"AM:!'.J"</f>
        <v>#VALUE!</v>
      </c>
      <c r="HZ126" s="99" t="e">
        <f>'Delivery Calculation'!Y110+"AM:!'.K"</f>
        <v>#VALUE!</v>
      </c>
      <c r="IA126" s="99" t="e">
        <f>'Delivery Calculation'!Z110+"AM:!'.L"</f>
        <v>#VALUE!</v>
      </c>
      <c r="IB126" s="99" t="e">
        <f>'Delivery Calculation'!AA110+"AM:!'.M"</f>
        <v>#VALUE!</v>
      </c>
      <c r="IC126" s="99" t="e">
        <f>'Delivery Calculation'!AB110+"AM:!'.N"</f>
        <v>#VALUE!</v>
      </c>
      <c r="ID126" s="99" t="e">
        <f>'Delivery Calculation'!AC110+"AM:!'.O"</f>
        <v>#VALUE!</v>
      </c>
      <c r="IE126" s="99" t="e">
        <f>'Delivery Calculation'!AD110+"AM:!'.P"</f>
        <v>#VALUE!</v>
      </c>
      <c r="IF126" s="99" t="e">
        <f>'Delivery Calculation'!AE110+"AM:!'.Q"</f>
        <v>#VALUE!</v>
      </c>
      <c r="IG126" s="99" t="e">
        <f>'Delivery Calculation'!AF110+"AM:!'.R"</f>
        <v>#VALUE!</v>
      </c>
      <c r="IH126" s="99" t="e">
        <f>'Delivery Calculation'!AG110+"AM:!'.S"</f>
        <v>#VALUE!</v>
      </c>
      <c r="II126" s="99" t="e">
        <f>'Delivery Calculation'!AH110+"AM:!'.T"</f>
        <v>#VALUE!</v>
      </c>
      <c r="IJ126" s="99" t="e">
        <f>'Delivery Calculation'!AI110+"AM:!'.U"</f>
        <v>#VALUE!</v>
      </c>
      <c r="IK126" s="99" t="e">
        <f>'Delivery Calculation'!AJ110+"AM:!'.V"</f>
        <v>#VALUE!</v>
      </c>
      <c r="IL126" s="99" t="e">
        <f>'Delivery Calculation'!AK110+"AM:!'.W"</f>
        <v>#VALUE!</v>
      </c>
      <c r="IM126" s="99" t="e">
        <f>'Delivery Calculation'!AL110+"AM:!'.X"</f>
        <v>#VALUE!</v>
      </c>
      <c r="IN126" s="99" t="e">
        <f>'Delivery Calculation'!AM110+"AM:!'.Y"</f>
        <v>#VALUE!</v>
      </c>
      <c r="IO126" s="99" t="e">
        <f>'Delivery Calculation'!AN110+"AM:!'.Z"</f>
        <v>#VALUE!</v>
      </c>
      <c r="IP126" s="99" t="e">
        <f>'Delivery Calculation'!AO110+"AM:!'.["</f>
        <v>#VALUE!</v>
      </c>
      <c r="IQ126" s="99" t="e">
        <f>'Delivery Calculation'!AP110+"AM:!'.\"</f>
        <v>#VALUE!</v>
      </c>
      <c r="IR126" s="99" t="e">
        <f>'Delivery Calculation'!AQ110+"AM:!'.]"</f>
        <v>#VALUE!</v>
      </c>
      <c r="IS126" s="99" t="e">
        <f>'Delivery Calculation'!AR110+"AM:!'.^"</f>
        <v>#VALUE!</v>
      </c>
      <c r="IT126" s="99" t="e">
        <f>'Delivery Calculation'!AS110+"AM:!'._"</f>
        <v>#VALUE!</v>
      </c>
      <c r="IU126" s="99" t="e">
        <f>'Delivery Calculation'!AT110+"AM:!'.`"</f>
        <v>#VALUE!</v>
      </c>
      <c r="IV126" s="99" t="e">
        <f>'Delivery Calculation'!AU110+"AM:!'.a"</f>
        <v>#VALUE!</v>
      </c>
    </row>
    <row r="127" spans="6:256">
      <c r="F127" s="99" t="e">
        <f>'Delivery Calculation'!AV110+"AM:!'.b"</f>
        <v>#VALUE!</v>
      </c>
      <c r="G127" s="99" t="e">
        <f>'Delivery Calculation'!AW110+"AM:!'.c"</f>
        <v>#VALUE!</v>
      </c>
      <c r="H127" s="99" t="e">
        <f>'Delivery Calculation'!AX110+"AM:!'.d"</f>
        <v>#VALUE!</v>
      </c>
      <c r="I127" t="e">
        <f>'Delivery Calculation'!AY110+"AM:!'.e"</f>
        <v>#VALUE!</v>
      </c>
      <c r="J127" t="e">
        <f>'Delivery Calculation'!AZ110+"AM:!'.f"</f>
        <v>#VALUE!</v>
      </c>
      <c r="K127" t="e">
        <f>'Delivery Calculation'!A111+"AM:!'.g"</f>
        <v>#VALUE!</v>
      </c>
      <c r="L127" t="e">
        <f>'Delivery Calculation'!B111+"AM:!'.h"</f>
        <v>#VALUE!</v>
      </c>
      <c r="M127" t="e">
        <f>'Delivery Calculation'!C111+"AM:!'.i"</f>
        <v>#VALUE!</v>
      </c>
      <c r="N127" t="e">
        <f>'Delivery Calculation'!D111+"AM:!'.j"</f>
        <v>#VALUE!</v>
      </c>
      <c r="O127" t="e">
        <f>'Delivery Calculation'!E111+"AM:!'.k"</f>
        <v>#VALUE!</v>
      </c>
      <c r="P127" s="98" t="e">
        <f>'Delivery Calculation'!F111+"AM:!'.l"</f>
        <v>#VALUE!</v>
      </c>
      <c r="Q127" s="98" t="e">
        <f>'Delivery Calculation'!G111+"AM:!'.m"</f>
        <v>#VALUE!</v>
      </c>
      <c r="R127" s="97" t="e">
        <f>'Delivery Calculation'!H111+"AM:!'.n"</f>
        <v>#VALUE!</v>
      </c>
      <c r="S127" s="97" t="e">
        <f>'Delivery Calculation'!I111+"AM:!'.o"</f>
        <v>#VALUE!</v>
      </c>
      <c r="T127" s="103" t="e">
        <f>'Delivery Calculation'!J111+"AM:!'.p"</f>
        <v>#VALUE!</v>
      </c>
      <c r="U127" s="98" t="e">
        <f>'Delivery Calculation'!K111+"AM:!'.q"</f>
        <v>#VALUE!</v>
      </c>
      <c r="V127" s="98" t="e">
        <f>'Delivery Calculation'!L111+"AM:!'.r"</f>
        <v>#VALUE!</v>
      </c>
      <c r="W127" s="99" t="e">
        <f>'Delivery Calculation'!M111+"AM:!'.s"</f>
        <v>#VALUE!</v>
      </c>
      <c r="X127" s="99" t="e">
        <f>'Delivery Calculation'!N111+"AM:!'.t"</f>
        <v>#VALUE!</v>
      </c>
      <c r="Y127" s="99" t="e">
        <f>'Delivery Calculation'!O111+"AM:!'.u"</f>
        <v>#VALUE!</v>
      </c>
      <c r="Z127" s="99" t="e">
        <f>'Delivery Calculation'!P111+"AM:!'.v"</f>
        <v>#VALUE!</v>
      </c>
      <c r="AA127" s="99" t="e">
        <f>'Delivery Calculation'!Q111+"AM:!'.w"</f>
        <v>#VALUE!</v>
      </c>
      <c r="AB127" s="99" t="e">
        <f>'Delivery Calculation'!R111+"AM:!'.x"</f>
        <v>#VALUE!</v>
      </c>
      <c r="AC127" s="99" t="e">
        <f>'Delivery Calculation'!S111+"AM:!'.y"</f>
        <v>#VALUE!</v>
      </c>
      <c r="AD127" s="99" t="e">
        <f>'Delivery Calculation'!T111+"AM:!'.z"</f>
        <v>#VALUE!</v>
      </c>
      <c r="AE127" s="99" t="e">
        <f>'Delivery Calculation'!U111+"AM:!'.{"</f>
        <v>#VALUE!</v>
      </c>
      <c r="AF127" s="99" t="e">
        <f>'Delivery Calculation'!V111+"AM:!'.|"</f>
        <v>#VALUE!</v>
      </c>
      <c r="AG127" s="99" t="e">
        <f>'Delivery Calculation'!W111+"AM:!'.}"</f>
        <v>#VALUE!</v>
      </c>
      <c r="AH127" s="99" t="e">
        <f>'Delivery Calculation'!X111+"AM:!'.~"</f>
        <v>#VALUE!</v>
      </c>
      <c r="AI127" s="99" t="e">
        <f>'Delivery Calculation'!Y111+"AM:!'/#"</f>
        <v>#VALUE!</v>
      </c>
      <c r="AJ127" s="99" t="e">
        <f>'Delivery Calculation'!Z111+"AM:!'/$"</f>
        <v>#VALUE!</v>
      </c>
      <c r="AK127" s="99" t="e">
        <f>'Delivery Calculation'!AA111+"AM:!'/%"</f>
        <v>#VALUE!</v>
      </c>
      <c r="AL127" s="99" t="e">
        <f>'Delivery Calculation'!AB111+"AM:!'/&amp;"</f>
        <v>#VALUE!</v>
      </c>
      <c r="AM127" s="99" t="e">
        <f>'Delivery Calculation'!AC111+"AM:!'/'"</f>
        <v>#VALUE!</v>
      </c>
      <c r="AN127" s="99" t="e">
        <f>'Delivery Calculation'!AD111+"AM:!'/("</f>
        <v>#VALUE!</v>
      </c>
      <c r="AO127" s="99" t="e">
        <f>'Delivery Calculation'!AE111+"AM:!'/)"</f>
        <v>#VALUE!</v>
      </c>
      <c r="AP127" s="99" t="e">
        <f>'Delivery Calculation'!AF111+"AM:!'/."</f>
        <v>#VALUE!</v>
      </c>
      <c r="AQ127" s="99" t="e">
        <f>'Delivery Calculation'!AG111+"AM:!'//"</f>
        <v>#VALUE!</v>
      </c>
      <c r="AR127" s="99" t="e">
        <f>'Delivery Calculation'!AH111+"AM:!'/0"</f>
        <v>#VALUE!</v>
      </c>
      <c r="AS127" s="99" t="e">
        <f>'Delivery Calculation'!AI111+"AM:!'/1"</f>
        <v>#VALUE!</v>
      </c>
      <c r="AT127" s="99" t="e">
        <f>'Delivery Calculation'!AJ111+"AM:!'/2"</f>
        <v>#VALUE!</v>
      </c>
      <c r="AU127" s="99" t="e">
        <f>'Delivery Calculation'!AK111+"AM:!'/3"</f>
        <v>#VALUE!</v>
      </c>
      <c r="AV127" s="99" t="e">
        <f>'Delivery Calculation'!AL111+"AM:!'/4"</f>
        <v>#VALUE!</v>
      </c>
      <c r="AW127" s="99" t="e">
        <f>'Delivery Calculation'!AM111+"AM:!'/5"</f>
        <v>#VALUE!</v>
      </c>
      <c r="AX127" s="99" t="e">
        <f>'Delivery Calculation'!AN111+"AM:!'/6"</f>
        <v>#VALUE!</v>
      </c>
      <c r="AY127" s="99" t="e">
        <f>'Delivery Calculation'!AO111+"AM:!'/7"</f>
        <v>#VALUE!</v>
      </c>
      <c r="AZ127" s="99" t="e">
        <f>'Delivery Calculation'!AP111+"AM:!'/8"</f>
        <v>#VALUE!</v>
      </c>
      <c r="BA127" s="99" t="e">
        <f>'Delivery Calculation'!AQ111+"AM:!'/9"</f>
        <v>#VALUE!</v>
      </c>
      <c r="BB127" s="99" t="e">
        <f>'Delivery Calculation'!AR111+"AM:!'/:"</f>
        <v>#VALUE!</v>
      </c>
      <c r="BC127" s="99" t="e">
        <f>'Delivery Calculation'!AS111+"AM:!'/;"</f>
        <v>#VALUE!</v>
      </c>
      <c r="BD127" s="99" t="e">
        <f>'Delivery Calculation'!AT111+"AM:!'/&lt;"</f>
        <v>#VALUE!</v>
      </c>
      <c r="BE127" s="99" t="e">
        <f>'Delivery Calculation'!AU111+"AM:!'/="</f>
        <v>#VALUE!</v>
      </c>
      <c r="BF127" s="99" t="e">
        <f>'Delivery Calculation'!AV111+"AM:!'/&gt;"</f>
        <v>#VALUE!</v>
      </c>
      <c r="BG127" s="99" t="e">
        <f>'Delivery Calculation'!AW111+"AM:!'/?"</f>
        <v>#VALUE!</v>
      </c>
      <c r="BH127" s="99" t="e">
        <f>'Delivery Calculation'!AX111+"AM:!'/@"</f>
        <v>#VALUE!</v>
      </c>
      <c r="BI127" t="e">
        <f>'Delivery Calculation'!AY111+"AM:!'/A"</f>
        <v>#VALUE!</v>
      </c>
      <c r="BJ127" t="e">
        <f>'Delivery Calculation'!AZ111+"AM:!'/B"</f>
        <v>#VALUE!</v>
      </c>
      <c r="BK127" t="e">
        <f>'Delivery Calculation'!A112+"AM:!'/C"</f>
        <v>#VALUE!</v>
      </c>
      <c r="BL127" t="e">
        <f>'Delivery Calculation'!B112+"AM:!'/D"</f>
        <v>#VALUE!</v>
      </c>
      <c r="BM127" t="e">
        <f>'Delivery Calculation'!C112+"AM:!'/E"</f>
        <v>#VALUE!</v>
      </c>
      <c r="BN127" t="e">
        <f>'Delivery Calculation'!D112+"AM:!'/F"</f>
        <v>#VALUE!</v>
      </c>
      <c r="BO127" t="e">
        <f>'Delivery Calculation'!E112+"AM:!'/G"</f>
        <v>#VALUE!</v>
      </c>
      <c r="BP127" s="98" t="e">
        <f>'Delivery Calculation'!F112+"AM:!'/H"</f>
        <v>#VALUE!</v>
      </c>
      <c r="BQ127" s="98" t="e">
        <f>'Delivery Calculation'!G112+"AM:!'/I"</f>
        <v>#VALUE!</v>
      </c>
      <c r="BR127" s="97" t="e">
        <f>'Delivery Calculation'!H112+"AM:!'/J"</f>
        <v>#VALUE!</v>
      </c>
      <c r="BS127" s="97" t="e">
        <f>'Delivery Calculation'!I112+"AM:!'/K"</f>
        <v>#VALUE!</v>
      </c>
      <c r="BT127" s="103" t="e">
        <f>'Delivery Calculation'!J112+"AM:!'/L"</f>
        <v>#VALUE!</v>
      </c>
      <c r="BU127" s="98" t="e">
        <f>'Delivery Calculation'!K112+"AM:!'/M"</f>
        <v>#VALUE!</v>
      </c>
      <c r="BV127" s="98" t="e">
        <f>'Delivery Calculation'!L112+"AM:!'/N"</f>
        <v>#VALUE!</v>
      </c>
      <c r="BW127" s="99" t="e">
        <f>'Delivery Calculation'!M112+"AM:!'/O"</f>
        <v>#VALUE!</v>
      </c>
      <c r="BX127" s="99" t="e">
        <f>'Delivery Calculation'!N112+"AM:!'/P"</f>
        <v>#VALUE!</v>
      </c>
      <c r="BY127" s="99" t="e">
        <f>'Delivery Calculation'!O112+"AM:!'/Q"</f>
        <v>#VALUE!</v>
      </c>
      <c r="BZ127" s="99" t="e">
        <f>'Delivery Calculation'!P112+"AM:!'/R"</f>
        <v>#VALUE!</v>
      </c>
      <c r="CA127" s="99" t="e">
        <f>'Delivery Calculation'!Q112+"AM:!'/S"</f>
        <v>#VALUE!</v>
      </c>
      <c r="CB127" s="99" t="e">
        <f>'Delivery Calculation'!R112+"AM:!'/T"</f>
        <v>#VALUE!</v>
      </c>
      <c r="CC127" s="99" t="e">
        <f>'Delivery Calculation'!S112+"AM:!'/U"</f>
        <v>#VALUE!</v>
      </c>
      <c r="CD127" s="99" t="e">
        <f>'Delivery Calculation'!T112+"AM:!'/V"</f>
        <v>#VALUE!</v>
      </c>
      <c r="CE127" s="99" t="e">
        <f>'Delivery Calculation'!U112+"AM:!'/W"</f>
        <v>#VALUE!</v>
      </c>
      <c r="CF127" s="99" t="e">
        <f>'Delivery Calculation'!V112+"AM:!'/X"</f>
        <v>#VALUE!</v>
      </c>
      <c r="CG127" s="99" t="e">
        <f>'Delivery Calculation'!W112+"AM:!'/Y"</f>
        <v>#VALUE!</v>
      </c>
      <c r="CH127" s="99" t="e">
        <f>'Delivery Calculation'!X112+"AM:!'/Z"</f>
        <v>#VALUE!</v>
      </c>
      <c r="CI127" s="99" t="e">
        <f>'Delivery Calculation'!Y112+"AM:!'/["</f>
        <v>#VALUE!</v>
      </c>
      <c r="CJ127" s="99" t="e">
        <f>'Delivery Calculation'!Z112+"AM:!'/\"</f>
        <v>#VALUE!</v>
      </c>
      <c r="CK127" s="99" t="e">
        <f>'Delivery Calculation'!AA112+"AM:!'/]"</f>
        <v>#VALUE!</v>
      </c>
      <c r="CL127" s="99" t="e">
        <f>'Delivery Calculation'!AB112+"AM:!'/^"</f>
        <v>#VALUE!</v>
      </c>
      <c r="CM127" s="99" t="e">
        <f>'Delivery Calculation'!AC112+"AM:!'/_"</f>
        <v>#VALUE!</v>
      </c>
      <c r="CN127" s="99" t="e">
        <f>'Delivery Calculation'!AD112+"AM:!'/`"</f>
        <v>#VALUE!</v>
      </c>
      <c r="CO127" s="99" t="e">
        <f>'Delivery Calculation'!AE112+"AM:!'/a"</f>
        <v>#VALUE!</v>
      </c>
      <c r="CP127" s="99" t="e">
        <f>'Delivery Calculation'!AF112+"AM:!'/b"</f>
        <v>#VALUE!</v>
      </c>
      <c r="CQ127" s="99" t="e">
        <f>'Delivery Calculation'!AG112+"AM:!'/c"</f>
        <v>#VALUE!</v>
      </c>
      <c r="CR127" s="99" t="e">
        <f>'Delivery Calculation'!AH112+"AM:!'/d"</f>
        <v>#VALUE!</v>
      </c>
      <c r="CS127" s="99" t="e">
        <f>'Delivery Calculation'!AI112+"AM:!'/e"</f>
        <v>#VALUE!</v>
      </c>
      <c r="CT127" s="99" t="e">
        <f>'Delivery Calculation'!AJ112+"AM:!'/f"</f>
        <v>#VALUE!</v>
      </c>
      <c r="CU127" s="99" t="e">
        <f>'Delivery Calculation'!AK112+"AM:!'/g"</f>
        <v>#VALUE!</v>
      </c>
      <c r="CV127" s="99" t="e">
        <f>'Delivery Calculation'!AL112+"AM:!'/h"</f>
        <v>#VALUE!</v>
      </c>
      <c r="CW127" s="99" t="e">
        <f>'Delivery Calculation'!AM112+"AM:!'/i"</f>
        <v>#VALUE!</v>
      </c>
      <c r="CX127" s="99" t="e">
        <f>'Delivery Calculation'!AN112+"AM:!'/j"</f>
        <v>#VALUE!</v>
      </c>
      <c r="CY127" s="99" t="e">
        <f>'Delivery Calculation'!AO112+"AM:!'/k"</f>
        <v>#VALUE!</v>
      </c>
      <c r="CZ127" s="99" t="e">
        <f>'Delivery Calculation'!AP112+"AM:!'/l"</f>
        <v>#VALUE!</v>
      </c>
      <c r="DA127" s="99" t="e">
        <f>'Delivery Calculation'!AQ112+"AM:!'/m"</f>
        <v>#VALUE!</v>
      </c>
      <c r="DB127" s="99" t="e">
        <f>'Delivery Calculation'!AR112+"AM:!'/n"</f>
        <v>#VALUE!</v>
      </c>
      <c r="DC127" s="99" t="e">
        <f>'Delivery Calculation'!AS112+"AM:!'/o"</f>
        <v>#VALUE!</v>
      </c>
      <c r="DD127" s="99" t="e">
        <f>'Delivery Calculation'!AT112+"AM:!'/p"</f>
        <v>#VALUE!</v>
      </c>
      <c r="DE127" s="99" t="e">
        <f>'Delivery Calculation'!AU112+"AM:!'/q"</f>
        <v>#VALUE!</v>
      </c>
      <c r="DF127" s="99" t="e">
        <f>'Delivery Calculation'!AV112+"AM:!'/r"</f>
        <v>#VALUE!</v>
      </c>
      <c r="DG127" s="99" t="e">
        <f>'Delivery Calculation'!AW112+"AM:!'/s"</f>
        <v>#VALUE!</v>
      </c>
      <c r="DH127" s="99" t="e">
        <f>'Delivery Calculation'!AX112+"AM:!'/t"</f>
        <v>#VALUE!</v>
      </c>
      <c r="DI127" t="e">
        <f>'Delivery Calculation'!AY112+"AM:!'/u"</f>
        <v>#VALUE!</v>
      </c>
      <c r="DJ127" t="e">
        <f>'Delivery Calculation'!AZ112+"AM:!'/v"</f>
        <v>#VALUE!</v>
      </c>
      <c r="DK127" t="e">
        <f>'Delivery Calculation'!A113+"AM:!'/w"</f>
        <v>#VALUE!</v>
      </c>
      <c r="DL127" t="e">
        <f>'Delivery Calculation'!B113+"AM:!'/x"</f>
        <v>#VALUE!</v>
      </c>
      <c r="DM127" t="e">
        <f>'Delivery Calculation'!C113+"AM:!'/y"</f>
        <v>#VALUE!</v>
      </c>
      <c r="DN127" t="e">
        <f>'Delivery Calculation'!D113+"AM:!'/z"</f>
        <v>#VALUE!</v>
      </c>
      <c r="DO127" t="e">
        <f>'Delivery Calculation'!E113+"AM:!'/{"</f>
        <v>#VALUE!</v>
      </c>
      <c r="DP127" s="98" t="e">
        <f>'Delivery Calculation'!F113+"AM:!'/|"</f>
        <v>#VALUE!</v>
      </c>
      <c r="DQ127" s="98" t="e">
        <f>'Delivery Calculation'!G113+"AM:!'/}"</f>
        <v>#VALUE!</v>
      </c>
      <c r="DR127" s="97" t="e">
        <f>'Delivery Calculation'!H113+"AM:!'/~"</f>
        <v>#VALUE!</v>
      </c>
      <c r="DS127" s="97" t="e">
        <f>'Delivery Calculation'!I113+"AM:!'0#"</f>
        <v>#VALUE!</v>
      </c>
      <c r="DT127" s="103" t="e">
        <f>'Delivery Calculation'!J113+"AM:!'0$"</f>
        <v>#VALUE!</v>
      </c>
      <c r="DU127" s="98" t="e">
        <f>'Delivery Calculation'!K113+"AM:!'0%"</f>
        <v>#VALUE!</v>
      </c>
      <c r="DV127" s="98" t="e">
        <f>'Delivery Calculation'!L113+"AM:!'0&amp;"</f>
        <v>#VALUE!</v>
      </c>
      <c r="DW127" s="99" t="e">
        <f>'Delivery Calculation'!M113+"AM:!'0'"</f>
        <v>#VALUE!</v>
      </c>
      <c r="DX127" s="99" t="e">
        <f>'Delivery Calculation'!N113+"AM:!'0("</f>
        <v>#VALUE!</v>
      </c>
      <c r="DY127" s="99" t="e">
        <f>'Delivery Calculation'!O113+"AM:!'0)"</f>
        <v>#VALUE!</v>
      </c>
      <c r="DZ127" s="99" t="e">
        <f>'Delivery Calculation'!P113+"AM:!'0."</f>
        <v>#VALUE!</v>
      </c>
      <c r="EA127" s="99" t="e">
        <f>'Delivery Calculation'!Q113+"AM:!'0/"</f>
        <v>#VALUE!</v>
      </c>
      <c r="EB127" s="99" t="e">
        <f>'Delivery Calculation'!R113+"AM:!'00"</f>
        <v>#VALUE!</v>
      </c>
      <c r="EC127" s="99" t="e">
        <f>'Delivery Calculation'!S113+"AM:!'01"</f>
        <v>#VALUE!</v>
      </c>
      <c r="ED127" s="99" t="e">
        <f>'Delivery Calculation'!T113+"AM:!'02"</f>
        <v>#VALUE!</v>
      </c>
      <c r="EE127" s="99" t="e">
        <f>'Delivery Calculation'!U113+"AM:!'03"</f>
        <v>#VALUE!</v>
      </c>
      <c r="EF127" s="99" t="e">
        <f>'Delivery Calculation'!V113+"AM:!'04"</f>
        <v>#VALUE!</v>
      </c>
      <c r="EG127" s="99" t="e">
        <f>'Delivery Calculation'!W113+"AM:!'05"</f>
        <v>#VALUE!</v>
      </c>
      <c r="EH127" s="99" t="e">
        <f>'Delivery Calculation'!X113+"AM:!'06"</f>
        <v>#VALUE!</v>
      </c>
      <c r="EI127" s="99" t="e">
        <f>'Delivery Calculation'!Y113+"AM:!'07"</f>
        <v>#VALUE!</v>
      </c>
      <c r="EJ127" s="99" t="e">
        <f>'Delivery Calculation'!Z113+"AM:!'08"</f>
        <v>#VALUE!</v>
      </c>
      <c r="EK127" s="99" t="e">
        <f>'Delivery Calculation'!AA113+"AM:!'09"</f>
        <v>#VALUE!</v>
      </c>
      <c r="EL127" s="99" t="e">
        <f>'Delivery Calculation'!AB113+"AM:!'0:"</f>
        <v>#VALUE!</v>
      </c>
      <c r="EM127" s="99" t="e">
        <f>'Delivery Calculation'!AC113+"AM:!'0;"</f>
        <v>#VALUE!</v>
      </c>
      <c r="EN127" s="99" t="e">
        <f>'Delivery Calculation'!AD113+"AM:!'0&lt;"</f>
        <v>#VALUE!</v>
      </c>
      <c r="EO127" s="99" t="e">
        <f>'Delivery Calculation'!AE113+"AM:!'0="</f>
        <v>#VALUE!</v>
      </c>
      <c r="EP127" s="99" t="e">
        <f>'Delivery Calculation'!AF113+"AM:!'0&gt;"</f>
        <v>#VALUE!</v>
      </c>
      <c r="EQ127" s="99" t="e">
        <f>'Delivery Calculation'!AG113+"AM:!'0?"</f>
        <v>#VALUE!</v>
      </c>
      <c r="ER127" s="99" t="e">
        <f>'Delivery Calculation'!AH113+"AM:!'0@"</f>
        <v>#VALUE!</v>
      </c>
      <c r="ES127" s="99" t="e">
        <f>'Delivery Calculation'!AI113+"AM:!'0A"</f>
        <v>#VALUE!</v>
      </c>
      <c r="ET127" s="99" t="e">
        <f>'Delivery Calculation'!AJ113+"AM:!'0B"</f>
        <v>#VALUE!</v>
      </c>
      <c r="EU127" s="99" t="e">
        <f>'Delivery Calculation'!AK113+"AM:!'0C"</f>
        <v>#VALUE!</v>
      </c>
      <c r="EV127" s="99" t="e">
        <f>'Delivery Calculation'!AL113+"AM:!'0D"</f>
        <v>#VALUE!</v>
      </c>
      <c r="EW127" s="99" t="e">
        <f>'Delivery Calculation'!AM113+"AM:!'0E"</f>
        <v>#VALUE!</v>
      </c>
      <c r="EX127" s="99" t="e">
        <f>'Delivery Calculation'!AN113+"AM:!'0F"</f>
        <v>#VALUE!</v>
      </c>
      <c r="EY127" s="99" t="e">
        <f>'Delivery Calculation'!AO113+"AM:!'0G"</f>
        <v>#VALUE!</v>
      </c>
      <c r="EZ127" s="99" t="e">
        <f>'Delivery Calculation'!AP113+"AM:!'0H"</f>
        <v>#VALUE!</v>
      </c>
      <c r="FA127" s="99" t="e">
        <f>'Delivery Calculation'!AQ113+"AM:!'0I"</f>
        <v>#VALUE!</v>
      </c>
      <c r="FB127" s="99" t="e">
        <f>'Delivery Calculation'!AR113+"AM:!'0J"</f>
        <v>#VALUE!</v>
      </c>
      <c r="FC127" s="99" t="e">
        <f>'Delivery Calculation'!AS113+"AM:!'0K"</f>
        <v>#VALUE!</v>
      </c>
      <c r="FD127" s="99" t="e">
        <f>'Delivery Calculation'!AT113+"AM:!'0L"</f>
        <v>#VALUE!</v>
      </c>
      <c r="FE127" s="99" t="e">
        <f>'Delivery Calculation'!AU113+"AM:!'0M"</f>
        <v>#VALUE!</v>
      </c>
      <c r="FF127" s="99" t="e">
        <f>'Delivery Calculation'!AV113+"AM:!'0N"</f>
        <v>#VALUE!</v>
      </c>
      <c r="FG127" s="99" t="e">
        <f>'Delivery Calculation'!AW113+"AM:!'0O"</f>
        <v>#VALUE!</v>
      </c>
      <c r="FH127" s="99" t="e">
        <f>'Delivery Calculation'!AX113+"AM:!'0P"</f>
        <v>#VALUE!</v>
      </c>
      <c r="FI127" t="e">
        <f>'Delivery Calculation'!AY113+"AM:!'0Q"</f>
        <v>#VALUE!</v>
      </c>
      <c r="FJ127" t="e">
        <f>'Delivery Calculation'!AZ113+"AM:!'0R"</f>
        <v>#VALUE!</v>
      </c>
      <c r="FK127" t="e">
        <f>'Delivery Calculation'!A114+"AM:!'0S"</f>
        <v>#VALUE!</v>
      </c>
      <c r="FL127" t="e">
        <f>'Delivery Calculation'!B114+"AM:!'0T"</f>
        <v>#VALUE!</v>
      </c>
      <c r="FM127" t="e">
        <f>'Delivery Calculation'!C114+"AM:!'0U"</f>
        <v>#VALUE!</v>
      </c>
      <c r="FN127" t="e">
        <f>'Delivery Calculation'!D114+"AM:!'0V"</f>
        <v>#VALUE!</v>
      </c>
      <c r="FO127" t="e">
        <f>'Delivery Calculation'!E114+"AM:!'0W"</f>
        <v>#VALUE!</v>
      </c>
      <c r="FP127" s="98" t="e">
        <f>'Delivery Calculation'!F114+"AM:!'0X"</f>
        <v>#VALUE!</v>
      </c>
      <c r="FQ127" s="98" t="e">
        <f>'Delivery Calculation'!G114+"AM:!'0Y"</f>
        <v>#VALUE!</v>
      </c>
      <c r="FR127" s="97" t="e">
        <f>'Delivery Calculation'!H114+"AM:!'0Z"</f>
        <v>#VALUE!</v>
      </c>
      <c r="FS127" s="97" t="e">
        <f>'Delivery Calculation'!I114+"AM:!'0["</f>
        <v>#VALUE!</v>
      </c>
      <c r="FT127" s="103" t="e">
        <f>'Delivery Calculation'!J114+"AM:!'0\"</f>
        <v>#VALUE!</v>
      </c>
      <c r="FU127" s="98" t="e">
        <f>'Delivery Calculation'!K114+"AM:!'0]"</f>
        <v>#VALUE!</v>
      </c>
      <c r="FV127" s="98" t="e">
        <f>'Delivery Calculation'!L114+"AM:!'0^"</f>
        <v>#VALUE!</v>
      </c>
      <c r="FW127" s="99" t="e">
        <f>'Delivery Calculation'!M114+"AM:!'0_"</f>
        <v>#VALUE!</v>
      </c>
      <c r="FX127" s="99" t="e">
        <f>'Delivery Calculation'!N114+"AM:!'0`"</f>
        <v>#VALUE!</v>
      </c>
      <c r="FY127" s="99" t="e">
        <f>'Delivery Calculation'!O114+"AM:!'0a"</f>
        <v>#VALUE!</v>
      </c>
      <c r="FZ127" s="99" t="e">
        <f>'Delivery Calculation'!P114+"AM:!'0b"</f>
        <v>#VALUE!</v>
      </c>
      <c r="GA127" s="99" t="e">
        <f>'Delivery Calculation'!Q114+"AM:!'0c"</f>
        <v>#VALUE!</v>
      </c>
      <c r="GB127" s="99" t="e">
        <f>'Delivery Calculation'!R114+"AM:!'0d"</f>
        <v>#VALUE!</v>
      </c>
      <c r="GC127" s="99" t="e">
        <f>'Delivery Calculation'!S114+"AM:!'0e"</f>
        <v>#VALUE!</v>
      </c>
      <c r="GD127" s="99" t="e">
        <f>'Delivery Calculation'!T114+"AM:!'0f"</f>
        <v>#VALUE!</v>
      </c>
      <c r="GE127" s="99" t="e">
        <f>'Delivery Calculation'!U114+"AM:!'0g"</f>
        <v>#VALUE!</v>
      </c>
      <c r="GF127" s="99" t="e">
        <f>'Delivery Calculation'!V114+"AM:!'0h"</f>
        <v>#VALUE!</v>
      </c>
      <c r="GG127" s="99" t="e">
        <f>'Delivery Calculation'!W114+"AM:!'0i"</f>
        <v>#VALUE!</v>
      </c>
      <c r="GH127" s="99" t="e">
        <f>'Delivery Calculation'!X114+"AM:!'0j"</f>
        <v>#VALUE!</v>
      </c>
      <c r="GI127" s="99" t="e">
        <f>'Delivery Calculation'!Y114+"AM:!'0k"</f>
        <v>#VALUE!</v>
      </c>
      <c r="GJ127" s="99" t="e">
        <f>'Delivery Calculation'!Z114+"AM:!'0l"</f>
        <v>#VALUE!</v>
      </c>
      <c r="GK127" s="99" t="e">
        <f>'Delivery Calculation'!AA114+"AM:!'0m"</f>
        <v>#VALUE!</v>
      </c>
      <c r="GL127" s="99" t="e">
        <f>'Delivery Calculation'!AB114+"AM:!'0n"</f>
        <v>#VALUE!</v>
      </c>
      <c r="GM127" s="99" t="e">
        <f>'Delivery Calculation'!AC114+"AM:!'0o"</f>
        <v>#VALUE!</v>
      </c>
      <c r="GN127" s="99" t="e">
        <f>'Delivery Calculation'!AD114+"AM:!'0p"</f>
        <v>#VALUE!</v>
      </c>
      <c r="GO127" s="99" t="e">
        <f>'Delivery Calculation'!AE114+"AM:!'0q"</f>
        <v>#VALUE!</v>
      </c>
      <c r="GP127" s="99" t="e">
        <f>'Delivery Calculation'!AF114+"AM:!'0r"</f>
        <v>#VALUE!</v>
      </c>
      <c r="GQ127" s="99" t="e">
        <f>'Delivery Calculation'!AG114+"AM:!'0s"</f>
        <v>#VALUE!</v>
      </c>
      <c r="GR127" s="99" t="e">
        <f>'Delivery Calculation'!AH114+"AM:!'0t"</f>
        <v>#VALUE!</v>
      </c>
      <c r="GS127" s="99" t="e">
        <f>'Delivery Calculation'!AI114+"AM:!'0u"</f>
        <v>#VALUE!</v>
      </c>
      <c r="GT127" s="99" t="e">
        <f>'Delivery Calculation'!AJ114+"AM:!'0v"</f>
        <v>#VALUE!</v>
      </c>
      <c r="GU127" s="99" t="e">
        <f>'Delivery Calculation'!AK114+"AM:!'0w"</f>
        <v>#VALUE!</v>
      </c>
      <c r="GV127" s="99" t="e">
        <f>'Delivery Calculation'!AL114+"AM:!'0x"</f>
        <v>#VALUE!</v>
      </c>
      <c r="GW127" s="99" t="e">
        <f>'Delivery Calculation'!AM114+"AM:!'0y"</f>
        <v>#VALUE!</v>
      </c>
      <c r="GX127" s="99" t="e">
        <f>'Delivery Calculation'!AN114+"AM:!'0z"</f>
        <v>#VALUE!</v>
      </c>
      <c r="GY127" s="99" t="e">
        <f>'Delivery Calculation'!AO114+"AM:!'0{"</f>
        <v>#VALUE!</v>
      </c>
      <c r="GZ127" s="99" t="e">
        <f>'Delivery Calculation'!AP114+"AM:!'0|"</f>
        <v>#VALUE!</v>
      </c>
      <c r="HA127" s="99" t="e">
        <f>'Delivery Calculation'!AQ114+"AM:!'0}"</f>
        <v>#VALUE!</v>
      </c>
      <c r="HB127" s="99" t="e">
        <f>'Delivery Calculation'!AR114+"AM:!'0~"</f>
        <v>#VALUE!</v>
      </c>
      <c r="HC127" s="99" t="e">
        <f>'Delivery Calculation'!AS114+"AM:!'1#"</f>
        <v>#VALUE!</v>
      </c>
      <c r="HD127" s="99" t="e">
        <f>'Delivery Calculation'!AT114+"AM:!'1$"</f>
        <v>#VALUE!</v>
      </c>
      <c r="HE127" s="99" t="e">
        <f>'Delivery Calculation'!AU114+"AM:!'1%"</f>
        <v>#VALUE!</v>
      </c>
      <c r="HF127" s="99" t="e">
        <f>'Delivery Calculation'!AV114+"AM:!'1&amp;"</f>
        <v>#VALUE!</v>
      </c>
      <c r="HG127" s="99" t="e">
        <f>'Delivery Calculation'!AW114+"AM:!'1'"</f>
        <v>#VALUE!</v>
      </c>
      <c r="HH127" s="99" t="e">
        <f>'Delivery Calculation'!AX114+"AM:!'1("</f>
        <v>#VALUE!</v>
      </c>
      <c r="HI127" t="e">
        <f>'Delivery Calculation'!AY114+"AM:!'1)"</f>
        <v>#VALUE!</v>
      </c>
      <c r="HJ127" t="e">
        <f>'Delivery Calculation'!AZ114+"AM:!'1."</f>
        <v>#VALUE!</v>
      </c>
      <c r="HK127" t="e">
        <f>'Delivery Calculation'!A115+"AM:!'1/"</f>
        <v>#VALUE!</v>
      </c>
      <c r="HL127" t="e">
        <f>'Delivery Calculation'!B115+"AM:!'10"</f>
        <v>#VALUE!</v>
      </c>
      <c r="HM127" t="e">
        <f>'Delivery Calculation'!C115+"AM:!'11"</f>
        <v>#VALUE!</v>
      </c>
      <c r="HN127" t="e">
        <f>'Delivery Calculation'!D115+"AM:!'12"</f>
        <v>#VALUE!</v>
      </c>
      <c r="HO127" t="e">
        <f>'Delivery Calculation'!E115+"AM:!'13"</f>
        <v>#VALUE!</v>
      </c>
      <c r="HP127" s="98" t="e">
        <f>'Delivery Calculation'!F115+"AM:!'14"</f>
        <v>#VALUE!</v>
      </c>
      <c r="HQ127" s="98" t="e">
        <f>'Delivery Calculation'!G115+"AM:!'15"</f>
        <v>#VALUE!</v>
      </c>
      <c r="HR127" s="97" t="e">
        <f>'Delivery Calculation'!H115+"AM:!'16"</f>
        <v>#VALUE!</v>
      </c>
      <c r="HS127" s="97" t="e">
        <f>'Delivery Calculation'!I115+"AM:!'17"</f>
        <v>#VALUE!</v>
      </c>
      <c r="HT127" s="103" t="e">
        <f>'Delivery Calculation'!J115+"AM:!'18"</f>
        <v>#VALUE!</v>
      </c>
      <c r="HU127" s="98" t="e">
        <f>'Delivery Calculation'!K115+"AM:!'19"</f>
        <v>#VALUE!</v>
      </c>
      <c r="HV127" s="98" t="e">
        <f>'Delivery Calculation'!L115+"AM:!'1:"</f>
        <v>#VALUE!</v>
      </c>
      <c r="HW127" s="99" t="e">
        <f>'Delivery Calculation'!M115+"AM:!'1;"</f>
        <v>#VALUE!</v>
      </c>
      <c r="HX127" s="99" t="e">
        <f>'Delivery Calculation'!N115+"AM:!'1&lt;"</f>
        <v>#VALUE!</v>
      </c>
      <c r="HY127" s="99" t="e">
        <f>'Delivery Calculation'!O115+"AM:!'1="</f>
        <v>#VALUE!</v>
      </c>
      <c r="HZ127" s="99" t="e">
        <f>'Delivery Calculation'!P115+"AM:!'1&gt;"</f>
        <v>#VALUE!</v>
      </c>
      <c r="IA127" s="99" t="e">
        <f>'Delivery Calculation'!Q115+"AM:!'1?"</f>
        <v>#VALUE!</v>
      </c>
      <c r="IB127" s="99" t="e">
        <f>'Delivery Calculation'!R115+"AM:!'1@"</f>
        <v>#VALUE!</v>
      </c>
      <c r="IC127" s="99" t="e">
        <f>'Delivery Calculation'!S115+"AM:!'1A"</f>
        <v>#VALUE!</v>
      </c>
      <c r="ID127" s="99" t="e">
        <f>'Delivery Calculation'!T115+"AM:!'1B"</f>
        <v>#VALUE!</v>
      </c>
      <c r="IE127" s="99" t="e">
        <f>'Delivery Calculation'!U115+"AM:!'1C"</f>
        <v>#VALUE!</v>
      </c>
      <c r="IF127" s="99" t="e">
        <f>'Delivery Calculation'!V115+"AM:!'1D"</f>
        <v>#VALUE!</v>
      </c>
      <c r="IG127" s="99" t="e">
        <f>'Delivery Calculation'!W115+"AM:!'1E"</f>
        <v>#VALUE!</v>
      </c>
      <c r="IH127" s="99" t="e">
        <f>'Delivery Calculation'!X115+"AM:!'1F"</f>
        <v>#VALUE!</v>
      </c>
      <c r="II127" s="99" t="e">
        <f>'Delivery Calculation'!Y115+"AM:!'1G"</f>
        <v>#VALUE!</v>
      </c>
      <c r="IJ127" s="99" t="e">
        <f>'Delivery Calculation'!Z115+"AM:!'1H"</f>
        <v>#VALUE!</v>
      </c>
      <c r="IK127" s="99" t="e">
        <f>'Delivery Calculation'!AA115+"AM:!'1I"</f>
        <v>#VALUE!</v>
      </c>
      <c r="IL127" s="99" t="e">
        <f>'Delivery Calculation'!AB115+"AM:!'1J"</f>
        <v>#VALUE!</v>
      </c>
      <c r="IM127" s="99" t="e">
        <f>'Delivery Calculation'!AC115+"AM:!'1K"</f>
        <v>#VALUE!</v>
      </c>
      <c r="IN127" s="99" t="e">
        <f>'Delivery Calculation'!AD115+"AM:!'1L"</f>
        <v>#VALUE!</v>
      </c>
      <c r="IO127" s="99" t="e">
        <f>'Delivery Calculation'!AE115+"AM:!'1M"</f>
        <v>#VALUE!</v>
      </c>
      <c r="IP127" s="99" t="e">
        <f>'Delivery Calculation'!AF115+"AM:!'1N"</f>
        <v>#VALUE!</v>
      </c>
      <c r="IQ127" s="99" t="e">
        <f>'Delivery Calculation'!AG115+"AM:!'1O"</f>
        <v>#VALUE!</v>
      </c>
      <c r="IR127" s="99" t="e">
        <f>'Delivery Calculation'!AH115+"AM:!'1P"</f>
        <v>#VALUE!</v>
      </c>
      <c r="IS127" s="99" t="e">
        <f>'Delivery Calculation'!AI115+"AM:!'1Q"</f>
        <v>#VALUE!</v>
      </c>
      <c r="IT127" s="99" t="e">
        <f>'Delivery Calculation'!AJ115+"AM:!'1R"</f>
        <v>#VALUE!</v>
      </c>
      <c r="IU127" s="99" t="e">
        <f>'Delivery Calculation'!AK115+"AM:!'1S"</f>
        <v>#VALUE!</v>
      </c>
      <c r="IV127" s="99" t="e">
        <f>'Delivery Calculation'!AL115+"AM:!'1T"</f>
        <v>#VALUE!</v>
      </c>
    </row>
    <row r="128" spans="6:256">
      <c r="F128" s="99" t="e">
        <f>'Delivery Calculation'!AM115+"AM:!'1U"</f>
        <v>#VALUE!</v>
      </c>
      <c r="G128" s="99" t="e">
        <f>'Delivery Calculation'!AN115+"AM:!'1V"</f>
        <v>#VALUE!</v>
      </c>
      <c r="H128" s="99" t="e">
        <f>'Delivery Calculation'!AO115+"AM:!'1W"</f>
        <v>#VALUE!</v>
      </c>
      <c r="I128" s="99" t="e">
        <f>'Delivery Calculation'!AP115+"AM:!'1X"</f>
        <v>#VALUE!</v>
      </c>
      <c r="J128" s="99" t="e">
        <f>'Delivery Calculation'!AQ115+"AM:!'1Y"</f>
        <v>#VALUE!</v>
      </c>
      <c r="K128" s="99" t="e">
        <f>'Delivery Calculation'!AR115+"AM:!'1Z"</f>
        <v>#VALUE!</v>
      </c>
      <c r="L128" s="99" t="e">
        <f>'Delivery Calculation'!AS115+"AM:!'1["</f>
        <v>#VALUE!</v>
      </c>
      <c r="M128" s="99" t="e">
        <f>'Delivery Calculation'!AT115+"AM:!'1\"</f>
        <v>#VALUE!</v>
      </c>
      <c r="N128" s="99" t="e">
        <f>'Delivery Calculation'!AU115+"AM:!'1]"</f>
        <v>#VALUE!</v>
      </c>
      <c r="O128" s="99" t="e">
        <f>'Delivery Calculation'!AV115+"AM:!'1^"</f>
        <v>#VALUE!</v>
      </c>
      <c r="P128" s="99" t="e">
        <f>'Delivery Calculation'!AW115+"AM:!'1_"</f>
        <v>#VALUE!</v>
      </c>
      <c r="Q128" s="99" t="e">
        <f>'Delivery Calculation'!AX115+"AM:!'1`"</f>
        <v>#VALUE!</v>
      </c>
      <c r="R128" t="e">
        <f>'Delivery Calculation'!AY115+"AM:!'1a"</f>
        <v>#VALUE!</v>
      </c>
      <c r="S128" t="e">
        <f>'Delivery Calculation'!AZ115+"AM:!'1b"</f>
        <v>#VALUE!</v>
      </c>
      <c r="T128" t="e">
        <f>'Delivery Calculation'!A116+"AM:!'1c"</f>
        <v>#VALUE!</v>
      </c>
      <c r="U128" t="e">
        <f>'Delivery Calculation'!B116+"AM:!'1d"</f>
        <v>#VALUE!</v>
      </c>
      <c r="V128" t="e">
        <f>'Delivery Calculation'!C116+"AM:!'1e"</f>
        <v>#VALUE!</v>
      </c>
      <c r="W128" t="e">
        <f>'Delivery Calculation'!D116+"AM:!'1f"</f>
        <v>#VALUE!</v>
      </c>
      <c r="X128" t="e">
        <f>'Delivery Calculation'!E116+"AM:!'1g"</f>
        <v>#VALUE!</v>
      </c>
      <c r="Y128" s="98" t="e">
        <f>'Delivery Calculation'!F116+"AM:!'1h"</f>
        <v>#VALUE!</v>
      </c>
      <c r="Z128" s="98" t="e">
        <f>'Delivery Calculation'!G116+"AM:!'1i"</f>
        <v>#VALUE!</v>
      </c>
      <c r="AA128" s="97" t="e">
        <f>'Delivery Calculation'!H116+"AM:!'1j"</f>
        <v>#VALUE!</v>
      </c>
      <c r="AB128" s="97" t="e">
        <f>'Delivery Calculation'!I116+"AM:!'1k"</f>
        <v>#VALUE!</v>
      </c>
      <c r="AC128" s="103" t="e">
        <f>'Delivery Calculation'!J116+"AM:!'1l"</f>
        <v>#VALUE!</v>
      </c>
      <c r="AD128" s="98" t="e">
        <f>'Delivery Calculation'!K116+"AM:!'1m"</f>
        <v>#VALUE!</v>
      </c>
      <c r="AE128" s="98" t="e">
        <f>'Delivery Calculation'!L116+"AM:!'1n"</f>
        <v>#VALUE!</v>
      </c>
      <c r="AF128" s="99" t="e">
        <f>'Delivery Calculation'!M116+"AM:!'1o"</f>
        <v>#VALUE!</v>
      </c>
      <c r="AG128" s="99" t="e">
        <f>'Delivery Calculation'!N116+"AM:!'1p"</f>
        <v>#VALUE!</v>
      </c>
      <c r="AH128" s="99" t="e">
        <f>'Delivery Calculation'!O116+"AM:!'1q"</f>
        <v>#VALUE!</v>
      </c>
      <c r="AI128" s="99" t="e">
        <f>'Delivery Calculation'!P116+"AM:!'1r"</f>
        <v>#VALUE!</v>
      </c>
      <c r="AJ128" s="99" t="e">
        <f>'Delivery Calculation'!Q116+"AM:!'1s"</f>
        <v>#VALUE!</v>
      </c>
      <c r="AK128" s="99" t="e">
        <f>'Delivery Calculation'!R116+"AM:!'1t"</f>
        <v>#VALUE!</v>
      </c>
      <c r="AL128" s="99" t="e">
        <f>'Delivery Calculation'!S116+"AM:!'1u"</f>
        <v>#VALUE!</v>
      </c>
      <c r="AM128" s="99" t="e">
        <f>'Delivery Calculation'!T116+"AM:!'1v"</f>
        <v>#VALUE!</v>
      </c>
      <c r="AN128" s="99" t="e">
        <f>'Delivery Calculation'!U116+"AM:!'1w"</f>
        <v>#VALUE!</v>
      </c>
      <c r="AO128" s="99" t="e">
        <f>'Delivery Calculation'!V116+"AM:!'1x"</f>
        <v>#VALUE!</v>
      </c>
      <c r="AP128" s="99" t="e">
        <f>'Delivery Calculation'!W116+"AM:!'1y"</f>
        <v>#VALUE!</v>
      </c>
      <c r="AQ128" s="99" t="e">
        <f>'Delivery Calculation'!X116+"AM:!'1z"</f>
        <v>#VALUE!</v>
      </c>
      <c r="AR128" s="99" t="e">
        <f>'Delivery Calculation'!Y116+"AM:!'1{"</f>
        <v>#VALUE!</v>
      </c>
      <c r="AS128" s="99" t="e">
        <f>'Delivery Calculation'!Z116+"AM:!'1|"</f>
        <v>#VALUE!</v>
      </c>
      <c r="AT128" s="99" t="e">
        <f>'Delivery Calculation'!AA116+"AM:!'1}"</f>
        <v>#VALUE!</v>
      </c>
      <c r="AU128" s="99" t="e">
        <f>'Delivery Calculation'!AB116+"AM:!'1~"</f>
        <v>#VALUE!</v>
      </c>
      <c r="AV128" s="99" t="e">
        <f>'Delivery Calculation'!AC116+"AM:!'2#"</f>
        <v>#VALUE!</v>
      </c>
      <c r="AW128" s="99" t="e">
        <f>'Delivery Calculation'!AD116+"AM:!'2$"</f>
        <v>#VALUE!</v>
      </c>
      <c r="AX128" s="99" t="e">
        <f>'Delivery Calculation'!AE116+"AM:!'2%"</f>
        <v>#VALUE!</v>
      </c>
      <c r="AY128" s="99" t="e">
        <f>'Delivery Calculation'!AF116+"AM:!'2&amp;"</f>
        <v>#VALUE!</v>
      </c>
      <c r="AZ128" s="99" t="e">
        <f>'Delivery Calculation'!AG116+"AM:!'2'"</f>
        <v>#VALUE!</v>
      </c>
      <c r="BA128" s="99" t="e">
        <f>'Delivery Calculation'!AH116+"AM:!'2("</f>
        <v>#VALUE!</v>
      </c>
      <c r="BB128" s="99" t="e">
        <f>'Delivery Calculation'!AI116+"AM:!'2)"</f>
        <v>#VALUE!</v>
      </c>
      <c r="BC128" s="99" t="e">
        <f>'Delivery Calculation'!AJ116+"AM:!'2."</f>
        <v>#VALUE!</v>
      </c>
      <c r="BD128" s="99" t="e">
        <f>'Delivery Calculation'!AK116+"AM:!'2/"</f>
        <v>#VALUE!</v>
      </c>
      <c r="BE128" s="99" t="e">
        <f>'Delivery Calculation'!AL116+"AM:!'20"</f>
        <v>#VALUE!</v>
      </c>
      <c r="BF128" s="99" t="e">
        <f>'Delivery Calculation'!AM116+"AM:!'21"</f>
        <v>#VALUE!</v>
      </c>
      <c r="BG128" s="99" t="e">
        <f>'Delivery Calculation'!AN116+"AM:!'22"</f>
        <v>#VALUE!</v>
      </c>
      <c r="BH128" s="99" t="e">
        <f>'Delivery Calculation'!AO116+"AM:!'23"</f>
        <v>#VALUE!</v>
      </c>
      <c r="BI128" s="99" t="e">
        <f>'Delivery Calculation'!AP116+"AM:!'24"</f>
        <v>#VALUE!</v>
      </c>
      <c r="BJ128" s="99" t="e">
        <f>'Delivery Calculation'!AQ116+"AM:!'25"</f>
        <v>#VALUE!</v>
      </c>
      <c r="BK128" s="99" t="e">
        <f>'Delivery Calculation'!AR116+"AM:!'26"</f>
        <v>#VALUE!</v>
      </c>
      <c r="BL128" s="99" t="e">
        <f>'Delivery Calculation'!AS116+"AM:!'27"</f>
        <v>#VALUE!</v>
      </c>
      <c r="BM128" s="99" t="e">
        <f>'Delivery Calculation'!AT116+"AM:!'28"</f>
        <v>#VALUE!</v>
      </c>
      <c r="BN128" s="99" t="e">
        <f>'Delivery Calculation'!AU116+"AM:!'29"</f>
        <v>#VALUE!</v>
      </c>
      <c r="BO128" s="99" t="e">
        <f>'Delivery Calculation'!AV116+"AM:!'2:"</f>
        <v>#VALUE!</v>
      </c>
      <c r="BP128" s="99" t="e">
        <f>'Delivery Calculation'!AW116+"AM:!'2;"</f>
        <v>#VALUE!</v>
      </c>
      <c r="BQ128" s="99" t="e">
        <f>'Delivery Calculation'!AX116+"AM:!'2&lt;"</f>
        <v>#VALUE!</v>
      </c>
      <c r="BR128" t="e">
        <f>'Delivery Calculation'!AY116+"AM:!'2="</f>
        <v>#VALUE!</v>
      </c>
      <c r="BS128" t="e">
        <f>'Delivery Calculation'!AZ116+"AM:!'2&gt;"</f>
        <v>#VALUE!</v>
      </c>
      <c r="BT128" t="e">
        <f>'Delivery Calculation'!A117+"AM:!'2?"</f>
        <v>#VALUE!</v>
      </c>
      <c r="BU128" t="e">
        <f>'Delivery Calculation'!B117+"AM:!'2@"</f>
        <v>#VALUE!</v>
      </c>
      <c r="BV128" t="e">
        <f>'Delivery Calculation'!C117+"AM:!'2A"</f>
        <v>#VALUE!</v>
      </c>
      <c r="BW128" t="e">
        <f>'Delivery Calculation'!D117+"AM:!'2B"</f>
        <v>#VALUE!</v>
      </c>
      <c r="BX128" t="e">
        <f>'Delivery Calculation'!E117+"AM:!'2C"</f>
        <v>#VALUE!</v>
      </c>
      <c r="BY128" t="e">
        <f>'Delivery Calculation'!F117+"AM:!'2D"</f>
        <v>#VALUE!</v>
      </c>
      <c r="BZ128" t="e">
        <f>'Delivery Calculation'!G117+"AM:!'2E"</f>
        <v>#VALUE!</v>
      </c>
      <c r="CA128" t="e">
        <f>'Delivery Calculation'!H117+"AM:!'2F"</f>
        <v>#VALUE!</v>
      </c>
      <c r="CB128" t="e">
        <f>'Delivery Calculation'!I117+"AM:!'2G"</f>
        <v>#VALUE!</v>
      </c>
      <c r="CC128" t="e">
        <f>'Delivery Calculation'!J117+"AM:!'2H"</f>
        <v>#VALUE!</v>
      </c>
      <c r="CD128" t="e">
        <f>'Delivery Calculation'!K117+"AM:!'2I"</f>
        <v>#VALUE!</v>
      </c>
      <c r="CE128" t="e">
        <f>'Delivery Calculation'!L117+"AM:!'2J"</f>
        <v>#VALUE!</v>
      </c>
      <c r="CF128" t="e">
        <f ca="1">'Delivery Calculation'!M117+"AM:!'2K"</f>
        <v>#VALUE!</v>
      </c>
      <c r="CG128" t="e">
        <f ca="1">'Delivery Calculation'!N117+"AM:!'2L"</f>
        <v>#VALUE!</v>
      </c>
      <c r="CH128" t="e">
        <f ca="1">'Delivery Calculation'!O117+"AM:!'2M"</f>
        <v>#VALUE!</v>
      </c>
      <c r="CI128" t="e">
        <f ca="1">'Delivery Calculation'!P117+"AM:!'2N"</f>
        <v>#VALUE!</v>
      </c>
      <c r="CJ128" t="e">
        <f ca="1">'Delivery Calculation'!Q117+"AM:!'2O"</f>
        <v>#VALUE!</v>
      </c>
      <c r="CK128" t="e">
        <f ca="1">'Delivery Calculation'!R117+"AM:!'2P"</f>
        <v>#VALUE!</v>
      </c>
      <c r="CL128" t="e">
        <f ca="1">'Delivery Calculation'!S117+"AM:!'2Q"</f>
        <v>#VALUE!</v>
      </c>
      <c r="CM128" t="e">
        <f ca="1">'Delivery Calculation'!T117+"AM:!'2R"</f>
        <v>#VALUE!</v>
      </c>
      <c r="CN128" t="e">
        <f ca="1">'Delivery Calculation'!U117+"AM:!'2S"</f>
        <v>#VALUE!</v>
      </c>
      <c r="CO128" t="e">
        <f ca="1">'Delivery Calculation'!V117+"AM:!'2T"</f>
        <v>#VALUE!</v>
      </c>
      <c r="CP128" t="e">
        <f ca="1">'Delivery Calculation'!W117+"AM:!'2U"</f>
        <v>#VALUE!</v>
      </c>
      <c r="CQ128" t="e">
        <f ca="1">'Delivery Calculation'!X117+"AM:!'2V"</f>
        <v>#VALUE!</v>
      </c>
      <c r="CR128" t="e">
        <f ca="1">'Delivery Calculation'!Y117+"AM:!'2W"</f>
        <v>#VALUE!</v>
      </c>
      <c r="CS128" t="e">
        <f ca="1">'Delivery Calculation'!Z117+"AM:!'2X"</f>
        <v>#VALUE!</v>
      </c>
      <c r="CT128" t="e">
        <f ca="1">'Delivery Calculation'!AA117+"AM:!'2Y"</f>
        <v>#VALUE!</v>
      </c>
      <c r="CU128" t="e">
        <f ca="1">'Delivery Calculation'!AB117+"AM:!'2Z"</f>
        <v>#VALUE!</v>
      </c>
      <c r="CV128" t="e">
        <f ca="1">'Delivery Calculation'!AC117+"AM:!'2["</f>
        <v>#VALUE!</v>
      </c>
      <c r="CW128" t="e">
        <f ca="1">'Delivery Calculation'!AD117+"AM:!'2\"</f>
        <v>#VALUE!</v>
      </c>
      <c r="CX128" t="e">
        <f ca="1">'Delivery Calculation'!AE117+"AM:!'2]"</f>
        <v>#VALUE!</v>
      </c>
      <c r="CY128" t="e">
        <f ca="1">'Delivery Calculation'!AF117+"AM:!'2^"</f>
        <v>#VALUE!</v>
      </c>
      <c r="CZ128" t="e">
        <f ca="1">'Delivery Calculation'!AG117+"AM:!'2_"</f>
        <v>#VALUE!</v>
      </c>
      <c r="DA128" t="e">
        <f ca="1">'Delivery Calculation'!AH117+"AM:!'2`"</f>
        <v>#VALUE!</v>
      </c>
      <c r="DB128" t="e">
        <f ca="1">'Delivery Calculation'!AI117+"AM:!'2a"</f>
        <v>#VALUE!</v>
      </c>
      <c r="DC128" t="e">
        <f ca="1">'Delivery Calculation'!AJ117+"AM:!'2b"</f>
        <v>#VALUE!</v>
      </c>
      <c r="DD128" t="e">
        <f ca="1">'Delivery Calculation'!AK117+"AM:!'2c"</f>
        <v>#VALUE!</v>
      </c>
      <c r="DE128" t="e">
        <f ca="1">'Delivery Calculation'!AL117+"AM:!'2d"</f>
        <v>#VALUE!</v>
      </c>
      <c r="DF128" t="e">
        <f ca="1">'Delivery Calculation'!AM117+"AM:!'2e"</f>
        <v>#VALUE!</v>
      </c>
      <c r="DG128" t="e">
        <f ca="1">'Delivery Calculation'!AN117+"AM:!'2f"</f>
        <v>#VALUE!</v>
      </c>
      <c r="DH128" t="e">
        <f ca="1">'Delivery Calculation'!AO117+"AM:!'2g"</f>
        <v>#VALUE!</v>
      </c>
      <c r="DI128" t="e">
        <f ca="1">'Delivery Calculation'!AP117+"AM:!'2h"</f>
        <v>#VALUE!</v>
      </c>
      <c r="DJ128" t="e">
        <f ca="1">'Delivery Calculation'!AQ117+"AM:!'2i"</f>
        <v>#VALUE!</v>
      </c>
      <c r="DK128" t="e">
        <f ca="1">'Delivery Calculation'!AR117+"AM:!'2j"</f>
        <v>#VALUE!</v>
      </c>
      <c r="DL128" t="e">
        <f ca="1">'Delivery Calculation'!AS117+"AM:!'2k"</f>
        <v>#VALUE!</v>
      </c>
      <c r="DM128" t="e">
        <f ca="1">'Delivery Calculation'!AT117+"AM:!'2l"</f>
        <v>#VALUE!</v>
      </c>
      <c r="DN128" t="e">
        <f ca="1">'Delivery Calculation'!AU117+"AM:!'2m"</f>
        <v>#VALUE!</v>
      </c>
      <c r="DO128" t="e">
        <f ca="1">'Delivery Calculation'!AV117+"AM:!'2n"</f>
        <v>#VALUE!</v>
      </c>
      <c r="DP128" t="e">
        <f ca="1">'Delivery Calculation'!AW117+"AM:!'2o"</f>
        <v>#VALUE!</v>
      </c>
      <c r="DQ128" t="e">
        <f ca="1">'Delivery Calculation'!AX117+"AM:!'2p"</f>
        <v>#VALUE!</v>
      </c>
      <c r="DR128" t="e">
        <f ca="1">'Delivery Calculation'!AY117+"AM:!'2q"</f>
        <v>#VALUE!</v>
      </c>
      <c r="DS128" t="e">
        <f>'Delivery Calculation'!AZ117+"AM:!'2r"</f>
        <v>#VALUE!</v>
      </c>
      <c r="DT128" t="e">
        <f>'Delivery Calculation'!A118+"AM:!'2s"</f>
        <v>#VALUE!</v>
      </c>
      <c r="DU128" t="e">
        <f>'Delivery Calculation'!B118+"AM:!'2t"</f>
        <v>#VALUE!</v>
      </c>
      <c r="DV128" t="e">
        <f>'Delivery Calculation'!C118+"AM:!'2u"</f>
        <v>#VALUE!</v>
      </c>
      <c r="DW128" t="e">
        <f>'Delivery Calculation'!D118+"AM:!'2v"</f>
        <v>#VALUE!</v>
      </c>
      <c r="DX128" t="e">
        <f>'Delivery Calculation'!E118+"AM:!'2w"</f>
        <v>#VALUE!</v>
      </c>
      <c r="DY128" t="e">
        <f>'Delivery Calculation'!F118+"AM:!'2x"</f>
        <v>#VALUE!</v>
      </c>
      <c r="DZ128" t="e">
        <f>'Delivery Calculation'!G118+"AM:!'2y"</f>
        <v>#VALUE!</v>
      </c>
      <c r="EA128" t="e">
        <f>'Delivery Calculation'!H118+"AM:!'2z"</f>
        <v>#VALUE!</v>
      </c>
      <c r="EB128" t="e">
        <f>'Delivery Calculation'!I118+"AM:!'2{"</f>
        <v>#VALUE!</v>
      </c>
      <c r="EC128" t="e">
        <f>'Delivery Calculation'!J118+"AM:!'2|"</f>
        <v>#VALUE!</v>
      </c>
      <c r="ED128" t="e">
        <f>'Delivery Calculation'!K118+"AM:!'2}"</f>
        <v>#VALUE!</v>
      </c>
      <c r="EE128" t="e">
        <f>'Delivery Calculation'!L118+"AM:!'2~"</f>
        <v>#VALUE!</v>
      </c>
      <c r="EF128" t="e">
        <f>'Delivery Calculation'!M118+"AM:!'3#"</f>
        <v>#VALUE!</v>
      </c>
      <c r="EG128" t="e">
        <f>'Delivery Calculation'!N118+"AM:!'3$"</f>
        <v>#VALUE!</v>
      </c>
      <c r="EH128" t="e">
        <f>'Delivery Calculation'!O118+"AM:!'3%"</f>
        <v>#VALUE!</v>
      </c>
      <c r="EI128" t="e">
        <f>'Delivery Calculation'!P118+"AM:!'3&amp;"</f>
        <v>#VALUE!</v>
      </c>
      <c r="EJ128" t="e">
        <f>'Delivery Calculation'!Q118+"AM:!'3'"</f>
        <v>#VALUE!</v>
      </c>
      <c r="EK128" t="e">
        <f>'Delivery Calculation'!R118+"AM:!'3("</f>
        <v>#VALUE!</v>
      </c>
      <c r="EL128" t="e">
        <f>'Delivery Calculation'!S118+"AM:!'3)"</f>
        <v>#VALUE!</v>
      </c>
      <c r="EM128" t="e">
        <f>'Delivery Calculation'!T118+"AM:!'3."</f>
        <v>#VALUE!</v>
      </c>
      <c r="EN128" t="e">
        <f>'Delivery Calculation'!U118+"AM:!'3/"</f>
        <v>#VALUE!</v>
      </c>
      <c r="EO128" t="e">
        <f>'Delivery Calculation'!V118+"AM:!'30"</f>
        <v>#VALUE!</v>
      </c>
      <c r="EP128" t="e">
        <f>'Delivery Calculation'!W118+"AM:!'31"</f>
        <v>#VALUE!</v>
      </c>
      <c r="EQ128" t="e">
        <f>'Delivery Calculation'!X118+"AM:!'32"</f>
        <v>#VALUE!</v>
      </c>
      <c r="ER128" t="e">
        <f>'Delivery Calculation'!Y118+"AM:!'33"</f>
        <v>#VALUE!</v>
      </c>
      <c r="ES128" t="e">
        <f>'Delivery Calculation'!Z118+"AM:!'34"</f>
        <v>#VALUE!</v>
      </c>
      <c r="ET128" t="e">
        <f>'Delivery Calculation'!AA118+"AM:!'35"</f>
        <v>#VALUE!</v>
      </c>
      <c r="EU128" t="e">
        <f>'Delivery Calculation'!AB118+"AM:!'36"</f>
        <v>#VALUE!</v>
      </c>
      <c r="EV128" t="e">
        <f>'Delivery Calculation'!AC118+"AM:!'37"</f>
        <v>#VALUE!</v>
      </c>
      <c r="EW128" t="e">
        <f>'Delivery Calculation'!AD118+"AM:!'38"</f>
        <v>#VALUE!</v>
      </c>
      <c r="EX128" t="e">
        <f>'Delivery Calculation'!AE118+"AM:!'39"</f>
        <v>#VALUE!</v>
      </c>
      <c r="EY128" t="e">
        <f>'Delivery Calculation'!AF118+"AM:!'3:"</f>
        <v>#VALUE!</v>
      </c>
      <c r="EZ128" t="e">
        <f>'Delivery Calculation'!AG118+"AM:!'3;"</f>
        <v>#VALUE!</v>
      </c>
      <c r="FA128" t="e">
        <f>'Delivery Calculation'!AH118+"AM:!'3&lt;"</f>
        <v>#VALUE!</v>
      </c>
      <c r="FB128" t="e">
        <f>'Delivery Calculation'!AI118+"AM:!'3="</f>
        <v>#VALUE!</v>
      </c>
      <c r="FC128" t="e">
        <f>'Delivery Calculation'!AJ118+"AM:!'3&gt;"</f>
        <v>#VALUE!</v>
      </c>
      <c r="FD128" t="e">
        <f>'Delivery Calculation'!AK118+"AM:!'3?"</f>
        <v>#VALUE!</v>
      </c>
      <c r="FE128" t="e">
        <f>'Delivery Calculation'!AL118+"AM:!'3@"</f>
        <v>#VALUE!</v>
      </c>
      <c r="FF128" t="e">
        <f>'Delivery Calculation'!AM118+"AM:!'3A"</f>
        <v>#VALUE!</v>
      </c>
      <c r="FG128" t="e">
        <f>'Delivery Calculation'!AN118+"AM:!'3B"</f>
        <v>#VALUE!</v>
      </c>
      <c r="FH128" t="e">
        <f>'Delivery Calculation'!AO118+"AM:!'3C"</f>
        <v>#VALUE!</v>
      </c>
      <c r="FI128" t="e">
        <f>'Delivery Calculation'!AP118+"AM:!'3D"</f>
        <v>#VALUE!</v>
      </c>
      <c r="FJ128" t="e">
        <f>'Delivery Calculation'!AQ118+"AM:!'3E"</f>
        <v>#VALUE!</v>
      </c>
      <c r="FK128" t="e">
        <f>'Delivery Calculation'!AR118+"AM:!'3F"</f>
        <v>#VALUE!</v>
      </c>
      <c r="FL128" t="e">
        <f>'Delivery Calculation'!AS118+"AM:!'3G"</f>
        <v>#VALUE!</v>
      </c>
      <c r="FM128" t="e">
        <f>'Delivery Calculation'!AT118+"AM:!'3H"</f>
        <v>#VALUE!</v>
      </c>
      <c r="FN128" t="e">
        <f>'Delivery Calculation'!AU118+"AM:!'3I"</f>
        <v>#VALUE!</v>
      </c>
      <c r="FO128" t="e">
        <f>'Delivery Calculation'!AV118+"AM:!'3J"</f>
        <v>#VALUE!</v>
      </c>
      <c r="FP128" t="e">
        <f>'Delivery Calculation'!AW118+"AM:!'3K"</f>
        <v>#VALUE!</v>
      </c>
      <c r="FQ128" t="e">
        <f>'Delivery Calculation'!AX118+"AM:!'3L"</f>
        <v>#VALUE!</v>
      </c>
      <c r="FR128" t="e">
        <f>'Delivery Calculation'!AY118+"AM:!'3M"</f>
        <v>#VALUE!</v>
      </c>
      <c r="FS128" t="e">
        <f>'Delivery Calculation'!AZ118+"AM:!'3N"</f>
        <v>#VALUE!</v>
      </c>
      <c r="FT128" t="e">
        <f>'Delivery Calculation'!A119+"AM:!'3O"</f>
        <v>#VALUE!</v>
      </c>
      <c r="FU128" t="e">
        <f>'Delivery Calculation'!B119+"AM:!'3P"</f>
        <v>#VALUE!</v>
      </c>
      <c r="FV128" t="e">
        <f>'Delivery Calculation'!C119+"AM:!'3Q"</f>
        <v>#VALUE!</v>
      </c>
      <c r="FW128" t="e">
        <f>'Delivery Calculation'!D119+"AM:!'3R"</f>
        <v>#VALUE!</v>
      </c>
      <c r="FX128" t="e">
        <f>'Delivery Calculation'!E119+"AM:!'3S"</f>
        <v>#VALUE!</v>
      </c>
      <c r="FY128" t="e">
        <f>'Delivery Calculation'!F119+"AM:!'3T"</f>
        <v>#VALUE!</v>
      </c>
      <c r="FZ128" t="e">
        <f>'Delivery Calculation'!G119+"AM:!'3U"</f>
        <v>#VALUE!</v>
      </c>
      <c r="GA128" t="e">
        <f>'Delivery Calculation'!H119+"AM:!'3V"</f>
        <v>#VALUE!</v>
      </c>
      <c r="GB128" t="e">
        <f>'Delivery Calculation'!I119+"AM:!'3W"</f>
        <v>#VALUE!</v>
      </c>
      <c r="GC128" t="e">
        <f>'Delivery Calculation'!J119+"AM:!'3X"</f>
        <v>#VALUE!</v>
      </c>
      <c r="GD128" t="e">
        <f>'Delivery Calculation'!K119+"AM:!'3Y"</f>
        <v>#VALUE!</v>
      </c>
      <c r="GE128" t="e">
        <f>'Delivery Calculation'!L119+"AM:!'3Z"</f>
        <v>#VALUE!</v>
      </c>
      <c r="GF128" t="e">
        <f>'Delivery Calculation'!M119+"AM:!'3["</f>
        <v>#VALUE!</v>
      </c>
      <c r="GG128" t="e">
        <f>'Delivery Calculation'!N119+"AM:!'3\"</f>
        <v>#VALUE!</v>
      </c>
      <c r="GH128" t="e">
        <f>'Delivery Calculation'!O119+"AM:!'3]"</f>
        <v>#VALUE!</v>
      </c>
      <c r="GI128" t="e">
        <f>'Delivery Calculation'!P119+"AM:!'3^"</f>
        <v>#VALUE!</v>
      </c>
      <c r="GJ128" t="e">
        <f>'Delivery Calculation'!Q119+"AM:!'3_"</f>
        <v>#VALUE!</v>
      </c>
      <c r="GK128" t="e">
        <f>'Delivery Calculation'!R119+"AM:!'3`"</f>
        <v>#VALUE!</v>
      </c>
      <c r="GL128" t="e">
        <f>'Delivery Calculation'!S119+"AM:!'3a"</f>
        <v>#VALUE!</v>
      </c>
      <c r="GM128" t="e">
        <f>'Delivery Calculation'!T119+"AM:!'3b"</f>
        <v>#VALUE!</v>
      </c>
      <c r="GN128" t="e">
        <f>'Delivery Calculation'!U119+"AM:!'3c"</f>
        <v>#VALUE!</v>
      </c>
      <c r="GO128" t="e">
        <f>'Delivery Calculation'!V119+"AM:!'3d"</f>
        <v>#VALUE!</v>
      </c>
      <c r="GP128" t="e">
        <f>'Delivery Calculation'!W119+"AM:!'3e"</f>
        <v>#VALUE!</v>
      </c>
      <c r="GQ128" t="e">
        <f>'Delivery Calculation'!X119+"AM:!'3f"</f>
        <v>#VALUE!</v>
      </c>
      <c r="GR128" t="e">
        <f>'Delivery Calculation'!Y119+"AM:!'3g"</f>
        <v>#VALUE!</v>
      </c>
      <c r="GS128" t="e">
        <f>'Delivery Calculation'!Z119+"AM:!'3h"</f>
        <v>#VALUE!</v>
      </c>
      <c r="GT128" t="e">
        <f>'Delivery Calculation'!AA119+"AM:!'3i"</f>
        <v>#VALUE!</v>
      </c>
      <c r="GU128" t="e">
        <f>'Delivery Calculation'!AB119+"AM:!'3j"</f>
        <v>#VALUE!</v>
      </c>
      <c r="GV128" t="e">
        <f>'Delivery Calculation'!AC119+"AM:!'3k"</f>
        <v>#VALUE!</v>
      </c>
      <c r="GW128" t="e">
        <f>'Delivery Calculation'!AD119+"AM:!'3l"</f>
        <v>#VALUE!</v>
      </c>
      <c r="GX128" t="e">
        <f>'Delivery Calculation'!AE119+"AM:!'3m"</f>
        <v>#VALUE!</v>
      </c>
      <c r="GY128" t="e">
        <f>'Delivery Calculation'!AF119+"AM:!'3n"</f>
        <v>#VALUE!</v>
      </c>
      <c r="GZ128" t="e">
        <f>'Delivery Calculation'!AG119+"AM:!'3o"</f>
        <v>#VALUE!</v>
      </c>
      <c r="HA128" t="e">
        <f>'Delivery Calculation'!AH119+"AM:!'3p"</f>
        <v>#VALUE!</v>
      </c>
      <c r="HB128" t="e">
        <f>'Delivery Calculation'!AI119+"AM:!'3q"</f>
        <v>#VALUE!</v>
      </c>
      <c r="HC128" t="e">
        <f>'Delivery Calculation'!AJ119+"AM:!'3r"</f>
        <v>#VALUE!</v>
      </c>
      <c r="HD128" t="e">
        <f>'Delivery Calculation'!AK119+"AM:!'3s"</f>
        <v>#VALUE!</v>
      </c>
      <c r="HE128" t="e">
        <f>'Delivery Calculation'!AL119+"AM:!'3t"</f>
        <v>#VALUE!</v>
      </c>
      <c r="HF128" t="e">
        <f>'Delivery Calculation'!AM119+"AM:!'3u"</f>
        <v>#VALUE!</v>
      </c>
      <c r="HG128" t="e">
        <f>'Delivery Calculation'!AN119+"AM:!'3v"</f>
        <v>#VALUE!</v>
      </c>
      <c r="HH128" t="e">
        <f>'Delivery Calculation'!AO119+"AM:!'3w"</f>
        <v>#VALUE!</v>
      </c>
      <c r="HI128" t="e">
        <f>'Delivery Calculation'!AP119+"AM:!'3x"</f>
        <v>#VALUE!</v>
      </c>
      <c r="HJ128" t="e">
        <f>'Delivery Calculation'!AQ119+"AM:!'3y"</f>
        <v>#VALUE!</v>
      </c>
      <c r="HK128" t="e">
        <f>'Delivery Calculation'!AR119+"AM:!'3z"</f>
        <v>#VALUE!</v>
      </c>
      <c r="HL128" t="e">
        <f>'Delivery Calculation'!AS119+"AM:!'3{"</f>
        <v>#VALUE!</v>
      </c>
      <c r="HM128" t="e">
        <f>'Delivery Calculation'!AT119+"AM:!'3|"</f>
        <v>#VALUE!</v>
      </c>
      <c r="HN128" t="e">
        <f>'Delivery Calculation'!AU119+"AM:!'3}"</f>
        <v>#VALUE!</v>
      </c>
      <c r="HO128" t="e">
        <f>'Delivery Calculation'!AV119+"AM:!'3~"</f>
        <v>#VALUE!</v>
      </c>
      <c r="HP128" t="e">
        <f>'Delivery Calculation'!AW119+"AM:!'4#"</f>
        <v>#VALUE!</v>
      </c>
      <c r="HQ128" t="e">
        <f>'Delivery Calculation'!AX119+"AM:!'4$"</f>
        <v>#VALUE!</v>
      </c>
      <c r="HR128" t="e">
        <f>'Delivery Calculation'!AY119+"AM:!'4%"</f>
        <v>#VALUE!</v>
      </c>
      <c r="HS128" t="e">
        <f>'Delivery Calculation'!AZ119+"AM:!'4&amp;"</f>
        <v>#VALUE!</v>
      </c>
      <c r="HT128" t="e">
        <f>'Delivery Calculation'!A120+"AM:!'4'"</f>
        <v>#VALUE!</v>
      </c>
      <c r="HU128" t="e">
        <f>'Delivery Calculation'!B120+"AM:!'4("</f>
        <v>#VALUE!</v>
      </c>
      <c r="HV128" t="e">
        <f>'Delivery Calculation'!C120+"AM:!'4)"</f>
        <v>#VALUE!</v>
      </c>
      <c r="HW128" t="e">
        <f>'Delivery Calculation'!D120+"AM:!'4."</f>
        <v>#VALUE!</v>
      </c>
      <c r="HX128" t="e">
        <f>'Delivery Calculation'!E120+"AM:!'4/"</f>
        <v>#VALUE!</v>
      </c>
      <c r="HY128" t="e">
        <f>'Delivery Calculation'!F120+"AM:!'40"</f>
        <v>#VALUE!</v>
      </c>
      <c r="HZ128" t="e">
        <f>'Delivery Calculation'!G120+"AM:!'41"</f>
        <v>#VALUE!</v>
      </c>
      <c r="IA128" t="e">
        <f>'Delivery Calculation'!H120+"AM:!'42"</f>
        <v>#VALUE!</v>
      </c>
      <c r="IB128" t="e">
        <f>'Delivery Calculation'!I120+"AM:!'43"</f>
        <v>#VALUE!</v>
      </c>
      <c r="IC128" t="e">
        <f>'Delivery Calculation'!J120+"AM:!'44"</f>
        <v>#VALUE!</v>
      </c>
      <c r="ID128" t="e">
        <f>'Delivery Calculation'!K120+"AM:!'45"</f>
        <v>#VALUE!</v>
      </c>
      <c r="IE128" t="e">
        <f>'Delivery Calculation'!L120+"AM:!'46"</f>
        <v>#VALUE!</v>
      </c>
      <c r="IF128" t="e">
        <f>'Delivery Calculation'!M120+"AM:!'47"</f>
        <v>#VALUE!</v>
      </c>
      <c r="IG128" t="e">
        <f>'Delivery Calculation'!N120+"AM:!'48"</f>
        <v>#VALUE!</v>
      </c>
      <c r="IH128" t="e">
        <f>'Delivery Calculation'!O120+"AM:!'49"</f>
        <v>#VALUE!</v>
      </c>
      <c r="II128" t="e">
        <f>'Delivery Calculation'!P120+"AM:!'4:"</f>
        <v>#VALUE!</v>
      </c>
      <c r="IJ128" t="e">
        <f>'Delivery Calculation'!Q120+"AM:!'4;"</f>
        <v>#VALUE!</v>
      </c>
      <c r="IK128" t="e">
        <f>'Delivery Calculation'!R120+"AM:!'4&lt;"</f>
        <v>#VALUE!</v>
      </c>
      <c r="IL128" t="e">
        <f>'Delivery Calculation'!S120+"AM:!'4="</f>
        <v>#VALUE!</v>
      </c>
      <c r="IM128" t="e">
        <f>'Delivery Calculation'!T120+"AM:!'4&gt;"</f>
        <v>#VALUE!</v>
      </c>
      <c r="IN128" t="e">
        <f>'Delivery Calculation'!U120+"AM:!'4?"</f>
        <v>#VALUE!</v>
      </c>
      <c r="IO128" t="e">
        <f>'Delivery Calculation'!V120+"AM:!'4@"</f>
        <v>#VALUE!</v>
      </c>
      <c r="IP128" t="e">
        <f>'Delivery Calculation'!W120+"AM:!'4A"</f>
        <v>#VALUE!</v>
      </c>
      <c r="IQ128" t="e">
        <f>'Delivery Calculation'!X120+"AM:!'4B"</f>
        <v>#VALUE!</v>
      </c>
      <c r="IR128" t="e">
        <f>'Delivery Calculation'!Y120+"AM:!'4C"</f>
        <v>#VALUE!</v>
      </c>
      <c r="IS128" t="e">
        <f>'Delivery Calculation'!Z120+"AM:!'4D"</f>
        <v>#VALUE!</v>
      </c>
      <c r="IT128" t="e">
        <f>'Delivery Calculation'!AA120+"AM:!'4E"</f>
        <v>#VALUE!</v>
      </c>
      <c r="IU128" t="e">
        <f>'Delivery Calculation'!AB120+"AM:!'4F"</f>
        <v>#VALUE!</v>
      </c>
      <c r="IV128" t="e">
        <f>'Delivery Calculation'!AC120+"AM:!'4G"</f>
        <v>#VALUE!</v>
      </c>
    </row>
    <row r="129" spans="6:256">
      <c r="F129" t="e">
        <f>'Delivery Calculation'!AD120+"AM:!'4H"</f>
        <v>#VALUE!</v>
      </c>
      <c r="G129" t="e">
        <f>'Delivery Calculation'!AE120+"AM:!'4I"</f>
        <v>#VALUE!</v>
      </c>
      <c r="H129" t="e">
        <f>'Delivery Calculation'!AF120+"AM:!'4J"</f>
        <v>#VALUE!</v>
      </c>
      <c r="I129" t="e">
        <f>'Delivery Calculation'!AG120+"AM:!'4K"</f>
        <v>#VALUE!</v>
      </c>
      <c r="J129" t="e">
        <f>'Delivery Calculation'!AH120+"AM:!'4L"</f>
        <v>#VALUE!</v>
      </c>
      <c r="K129" t="e">
        <f>'Delivery Calculation'!AI120+"AM:!'4M"</f>
        <v>#VALUE!</v>
      </c>
      <c r="L129" t="e">
        <f>'Delivery Calculation'!AJ120+"AM:!'4N"</f>
        <v>#VALUE!</v>
      </c>
      <c r="M129" t="e">
        <f>'Delivery Calculation'!AK120+"AM:!'4O"</f>
        <v>#VALUE!</v>
      </c>
      <c r="N129" t="e">
        <f>'Delivery Calculation'!AL120+"AM:!'4P"</f>
        <v>#VALUE!</v>
      </c>
      <c r="O129" t="e">
        <f>'Delivery Calculation'!AM120+"AM:!'4Q"</f>
        <v>#VALUE!</v>
      </c>
      <c r="P129" t="e">
        <f>'Delivery Calculation'!AN120+"AM:!'4R"</f>
        <v>#VALUE!</v>
      </c>
      <c r="Q129" t="e">
        <f>'Delivery Calculation'!AO120+"AM:!'4S"</f>
        <v>#VALUE!</v>
      </c>
      <c r="R129" t="e">
        <f>'Delivery Calculation'!AP120+"AM:!'4T"</f>
        <v>#VALUE!</v>
      </c>
      <c r="S129" t="e">
        <f>'Delivery Calculation'!AQ120+"AM:!'4U"</f>
        <v>#VALUE!</v>
      </c>
      <c r="T129" t="e">
        <f>'Delivery Calculation'!AR120+"AM:!'4V"</f>
        <v>#VALUE!</v>
      </c>
      <c r="U129" t="e">
        <f>'Delivery Calculation'!AS120+"AM:!'4W"</f>
        <v>#VALUE!</v>
      </c>
      <c r="V129" t="e">
        <f>'Delivery Calculation'!AT120+"AM:!'4X"</f>
        <v>#VALUE!</v>
      </c>
      <c r="W129" t="e">
        <f>'Delivery Calculation'!AU120+"AM:!'4Y"</f>
        <v>#VALUE!</v>
      </c>
      <c r="X129" t="e">
        <f>'Delivery Calculation'!AV120+"AM:!'4Z"</f>
        <v>#VALUE!</v>
      </c>
      <c r="Y129" t="e">
        <f>'Delivery Calculation'!AW120+"AM:!'4["</f>
        <v>#VALUE!</v>
      </c>
      <c r="Z129" t="e">
        <f>'Delivery Calculation'!AX120+"AM:!'4\"</f>
        <v>#VALUE!</v>
      </c>
      <c r="AA129" t="e">
        <f>'Delivery Calculation'!AY120+"AM:!'4]"</f>
        <v>#VALUE!</v>
      </c>
      <c r="AB129" t="e">
        <f>'Delivery Calculation'!AZ120+"AM:!'4^"</f>
        <v>#VALUE!</v>
      </c>
      <c r="AC129" t="e">
        <f>'Delivery Calculation'!A121+"AM:!'4_"</f>
        <v>#VALUE!</v>
      </c>
      <c r="AD129" t="e">
        <f>'Delivery Calculation'!B121+"AM:!'4`"</f>
        <v>#VALUE!</v>
      </c>
      <c r="AE129" t="e">
        <f>'Delivery Calculation'!C121+"AM:!'4a"</f>
        <v>#VALUE!</v>
      </c>
      <c r="AF129" t="e">
        <f>'Delivery Calculation'!D121+"AM:!'4b"</f>
        <v>#VALUE!</v>
      </c>
      <c r="AG129" t="e">
        <f>'Delivery Calculation'!E121+"AM:!'4c"</f>
        <v>#VALUE!</v>
      </c>
      <c r="AH129" t="e">
        <f>'Delivery Calculation'!F121+"AM:!'4d"</f>
        <v>#VALUE!</v>
      </c>
      <c r="AI129" t="e">
        <f>'Delivery Calculation'!G121+"AM:!'4e"</f>
        <v>#VALUE!</v>
      </c>
      <c r="AJ129" t="e">
        <f>'Delivery Calculation'!H121+"AM:!'4f"</f>
        <v>#VALUE!</v>
      </c>
      <c r="AK129" t="e">
        <f>'Delivery Calculation'!I121+"AM:!'4g"</f>
        <v>#VALUE!</v>
      </c>
      <c r="AL129" t="e">
        <f>'Delivery Calculation'!J121+"AM:!'4h"</f>
        <v>#VALUE!</v>
      </c>
      <c r="AM129" t="e">
        <f>'Delivery Calculation'!K121+"AM:!'4i"</f>
        <v>#VALUE!</v>
      </c>
      <c r="AN129" t="e">
        <f>'Delivery Calculation'!L121+"AM:!'4j"</f>
        <v>#VALUE!</v>
      </c>
      <c r="AO129" t="e">
        <f>'Delivery Calculation'!M121+"AM:!'4k"</f>
        <v>#VALUE!</v>
      </c>
      <c r="AP129" t="e">
        <f>'Delivery Calculation'!N121+"AM:!'4l"</f>
        <v>#VALUE!</v>
      </c>
      <c r="AQ129" t="e">
        <f>'Delivery Calculation'!O121+"AM:!'4m"</f>
        <v>#VALUE!</v>
      </c>
      <c r="AR129" t="e">
        <f>'Delivery Calculation'!P121+"AM:!'4n"</f>
        <v>#VALUE!</v>
      </c>
      <c r="AS129" t="e">
        <f>'Delivery Calculation'!Q121+"AM:!'4o"</f>
        <v>#VALUE!</v>
      </c>
      <c r="AT129" t="e">
        <f>'Delivery Calculation'!R121+"AM:!'4p"</f>
        <v>#VALUE!</v>
      </c>
      <c r="AU129" t="e">
        <f>'Delivery Calculation'!S121+"AM:!'4q"</f>
        <v>#VALUE!</v>
      </c>
      <c r="AV129" t="e">
        <f>'Delivery Calculation'!T121+"AM:!'4r"</f>
        <v>#VALUE!</v>
      </c>
      <c r="AW129" t="e">
        <f>'Delivery Calculation'!U121+"AM:!'4s"</f>
        <v>#VALUE!</v>
      </c>
      <c r="AX129" t="e">
        <f>'Delivery Calculation'!V121+"AM:!'4t"</f>
        <v>#VALUE!</v>
      </c>
      <c r="AY129" t="e">
        <f>'Delivery Calculation'!W121+"AM:!'4u"</f>
        <v>#VALUE!</v>
      </c>
      <c r="AZ129" t="e">
        <f>'Delivery Calculation'!X121+"AM:!'4v"</f>
        <v>#VALUE!</v>
      </c>
      <c r="BA129" t="e">
        <f>'Delivery Calculation'!Y121+"AM:!'4w"</f>
        <v>#VALUE!</v>
      </c>
      <c r="BB129" t="e">
        <f>'Delivery Calculation'!Z121+"AM:!'4x"</f>
        <v>#VALUE!</v>
      </c>
      <c r="BC129" t="e">
        <f>'Delivery Calculation'!AA121+"AM:!'4y"</f>
        <v>#VALUE!</v>
      </c>
      <c r="BD129" t="e">
        <f>'Delivery Calculation'!AB121+"AM:!'4z"</f>
        <v>#VALUE!</v>
      </c>
      <c r="BE129" t="e">
        <f>'Delivery Calculation'!AC121+"AM:!'4{"</f>
        <v>#VALUE!</v>
      </c>
      <c r="BF129" t="e">
        <f>'Delivery Calculation'!AD121+"AM:!'4|"</f>
        <v>#VALUE!</v>
      </c>
      <c r="BG129" t="e">
        <f>'Delivery Calculation'!AE121+"AM:!'4}"</f>
        <v>#VALUE!</v>
      </c>
      <c r="BH129" t="e">
        <f>'Delivery Calculation'!AF121+"AM:!'4~"</f>
        <v>#VALUE!</v>
      </c>
      <c r="BI129" t="e">
        <f>'Delivery Calculation'!AG121+"AM:!'5#"</f>
        <v>#VALUE!</v>
      </c>
      <c r="BJ129" t="e">
        <f>'Delivery Calculation'!AH121+"AM:!'5$"</f>
        <v>#VALUE!</v>
      </c>
      <c r="BK129" t="e">
        <f>'Delivery Calculation'!AI121+"AM:!'5%"</f>
        <v>#VALUE!</v>
      </c>
      <c r="BL129" t="e">
        <f>'Delivery Calculation'!AJ121+"AM:!'5&amp;"</f>
        <v>#VALUE!</v>
      </c>
      <c r="BM129" t="e">
        <f>'Delivery Calculation'!AK121+"AM:!'5'"</f>
        <v>#VALUE!</v>
      </c>
      <c r="BN129" t="e">
        <f>'Delivery Calculation'!AL121+"AM:!'5("</f>
        <v>#VALUE!</v>
      </c>
      <c r="BO129" t="e">
        <f>'Delivery Calculation'!AM121+"AM:!'5)"</f>
        <v>#VALUE!</v>
      </c>
      <c r="BP129" t="e">
        <f>'Delivery Calculation'!AN121+"AM:!'5."</f>
        <v>#VALUE!</v>
      </c>
      <c r="BQ129" t="e">
        <f>'Delivery Calculation'!AO121+"AM:!'5/"</f>
        <v>#VALUE!</v>
      </c>
      <c r="BR129" t="e">
        <f>'Delivery Calculation'!AP121+"AM:!'50"</f>
        <v>#VALUE!</v>
      </c>
      <c r="BS129" t="e">
        <f>'Delivery Calculation'!AQ121+"AM:!'51"</f>
        <v>#VALUE!</v>
      </c>
      <c r="BT129" t="e">
        <f>'Delivery Calculation'!AR121+"AM:!'52"</f>
        <v>#VALUE!</v>
      </c>
      <c r="BU129" t="e">
        <f>'Delivery Calculation'!AS121+"AM:!'53"</f>
        <v>#VALUE!</v>
      </c>
      <c r="BV129" t="e">
        <f>'Delivery Calculation'!AT121+"AM:!'54"</f>
        <v>#VALUE!</v>
      </c>
      <c r="BW129" t="e">
        <f>'Delivery Calculation'!AU121+"AM:!'55"</f>
        <v>#VALUE!</v>
      </c>
      <c r="BX129" t="e">
        <f>'Delivery Calculation'!AV121+"AM:!'56"</f>
        <v>#VALUE!</v>
      </c>
      <c r="BY129" t="e">
        <f>'Delivery Calculation'!AW121+"AM:!'57"</f>
        <v>#VALUE!</v>
      </c>
      <c r="BZ129" t="e">
        <f>'Delivery Calculation'!AX121+"AM:!'58"</f>
        <v>#VALUE!</v>
      </c>
      <c r="CA129" t="e">
        <f>'Delivery Calculation'!AY121+"AM:!'59"</f>
        <v>#VALUE!</v>
      </c>
      <c r="CB129" t="e">
        <f>'Delivery Calculation'!AZ121+"AM:!'5:"</f>
        <v>#VALUE!</v>
      </c>
      <c r="CC129" t="e">
        <f>'Delivery Calculation'!A122+"AM:!'5;"</f>
        <v>#VALUE!</v>
      </c>
      <c r="CD129" t="e">
        <f>'Delivery Calculation'!B122+"AM:!'5&lt;"</f>
        <v>#VALUE!</v>
      </c>
      <c r="CE129" t="e">
        <f>'Delivery Calculation'!C122+"AM:!'5="</f>
        <v>#VALUE!</v>
      </c>
      <c r="CF129" t="e">
        <f>'Delivery Calculation'!D122+"AM:!'5&gt;"</f>
        <v>#VALUE!</v>
      </c>
      <c r="CG129" t="e">
        <f>'Delivery Calculation'!E122+"AM:!'5?"</f>
        <v>#VALUE!</v>
      </c>
      <c r="CH129" t="e">
        <f>'Delivery Calculation'!F122+"AM:!'5@"</f>
        <v>#VALUE!</v>
      </c>
      <c r="CI129" t="e">
        <f>'Delivery Calculation'!G122+"AM:!'5A"</f>
        <v>#VALUE!</v>
      </c>
      <c r="CJ129" s="97" t="e">
        <f>'Delivery Calculation'!H122+"AM:!'5B"</f>
        <v>#VALUE!</v>
      </c>
      <c r="CK129" s="97" t="e">
        <f>'Delivery Calculation'!I122+"AM:!'5C"</f>
        <v>#VALUE!</v>
      </c>
      <c r="CL129" s="97" t="e">
        <f>'Delivery Calculation'!J122+"AM:!'5D"</f>
        <v>#VALUE!</v>
      </c>
      <c r="CM129" t="e">
        <f>'Delivery Calculation'!K122+"AM:!'5E"</f>
        <v>#VALUE!</v>
      </c>
      <c r="CN129" t="e">
        <f>'Delivery Calculation'!L122+"AM:!'5F"</f>
        <v>#VALUE!</v>
      </c>
      <c r="CO129" t="e">
        <f>'Delivery Calculation'!M122+"AM:!'5G"</f>
        <v>#VALUE!</v>
      </c>
      <c r="CP129" t="e">
        <f>'Delivery Calculation'!N122+"AM:!'5H"</f>
        <v>#VALUE!</v>
      </c>
      <c r="CQ129" t="e">
        <f>'Delivery Calculation'!O122+"AM:!'5I"</f>
        <v>#VALUE!</v>
      </c>
      <c r="CR129" t="e">
        <f>'Delivery Calculation'!P122+"AM:!'5J"</f>
        <v>#VALUE!</v>
      </c>
      <c r="CS129" t="e">
        <f>'Delivery Calculation'!Q122+"AM:!'5K"</f>
        <v>#VALUE!</v>
      </c>
      <c r="CT129" t="e">
        <f>'Delivery Calculation'!R122+"AM:!'5L"</f>
        <v>#VALUE!</v>
      </c>
      <c r="CU129" t="e">
        <f>'Delivery Calculation'!S122+"AM:!'5M"</f>
        <v>#VALUE!</v>
      </c>
      <c r="CV129" t="e">
        <f>'Delivery Calculation'!T122+"AM:!'5N"</f>
        <v>#VALUE!</v>
      </c>
      <c r="CW129" t="e">
        <f>'Delivery Calculation'!U122+"AM:!'5O"</f>
        <v>#VALUE!</v>
      </c>
      <c r="CX129" t="e">
        <f>'Delivery Calculation'!V122+"AM:!'5P"</f>
        <v>#VALUE!</v>
      </c>
      <c r="CY129" t="e">
        <f>'Delivery Calculation'!W122+"AM:!'5Q"</f>
        <v>#VALUE!</v>
      </c>
      <c r="CZ129" t="e">
        <f>'Delivery Calculation'!X122+"AM:!'5R"</f>
        <v>#VALUE!</v>
      </c>
      <c r="DA129" t="e">
        <f>'Delivery Calculation'!Y122+"AM:!'5S"</f>
        <v>#VALUE!</v>
      </c>
      <c r="DB129" t="e">
        <f>'Delivery Calculation'!Z122+"AM:!'5T"</f>
        <v>#VALUE!</v>
      </c>
      <c r="DC129" t="e">
        <f>'Delivery Calculation'!AA122+"AM:!'5U"</f>
        <v>#VALUE!</v>
      </c>
      <c r="DD129" t="e">
        <f>'Delivery Calculation'!AB122+"AM:!'5V"</f>
        <v>#VALUE!</v>
      </c>
      <c r="DE129" t="e">
        <f>'Delivery Calculation'!AC122+"AM:!'5W"</f>
        <v>#VALUE!</v>
      </c>
      <c r="DF129" t="e">
        <f>'Delivery Calculation'!AD122+"AM:!'5X"</f>
        <v>#VALUE!</v>
      </c>
      <c r="DG129" t="e">
        <f>'Delivery Calculation'!AE122+"AM:!'5Y"</f>
        <v>#VALUE!</v>
      </c>
      <c r="DH129" t="e">
        <f>'Delivery Calculation'!AF122+"AM:!'5Z"</f>
        <v>#VALUE!</v>
      </c>
      <c r="DI129" t="e">
        <f>'Delivery Calculation'!AG122+"AM:!'5["</f>
        <v>#VALUE!</v>
      </c>
      <c r="DJ129" t="e">
        <f>'Delivery Calculation'!AH122+"AM:!'5\"</f>
        <v>#VALUE!</v>
      </c>
      <c r="DK129" t="e">
        <f>'Delivery Calculation'!AI122+"AM:!'5]"</f>
        <v>#VALUE!</v>
      </c>
      <c r="DL129" t="e">
        <f>'Delivery Calculation'!AJ122+"AM:!'5^"</f>
        <v>#VALUE!</v>
      </c>
      <c r="DM129" t="e">
        <f>'Delivery Calculation'!AK122+"AM:!'5_"</f>
        <v>#VALUE!</v>
      </c>
      <c r="DN129" t="e">
        <f>'Delivery Calculation'!AL122+"AM:!'5`"</f>
        <v>#VALUE!</v>
      </c>
      <c r="DO129" t="e">
        <f>'Delivery Calculation'!AM122+"AM:!'5a"</f>
        <v>#VALUE!</v>
      </c>
      <c r="DP129" t="e">
        <f>'Delivery Calculation'!AN122+"AM:!'5b"</f>
        <v>#VALUE!</v>
      </c>
      <c r="DQ129" t="e">
        <f>'Delivery Calculation'!AO122+"AM:!'5c"</f>
        <v>#VALUE!</v>
      </c>
      <c r="DR129" t="e">
        <f>'Delivery Calculation'!AP122+"AM:!'5d"</f>
        <v>#VALUE!</v>
      </c>
      <c r="DS129" t="e">
        <f>'Delivery Calculation'!AQ122+"AM:!'5e"</f>
        <v>#VALUE!</v>
      </c>
      <c r="DT129" t="e">
        <f>'Delivery Calculation'!AR122+"AM:!'5f"</f>
        <v>#VALUE!</v>
      </c>
      <c r="DU129" t="e">
        <f>'Delivery Calculation'!AS122+"AM:!'5g"</f>
        <v>#VALUE!</v>
      </c>
      <c r="DV129" t="e">
        <f>'Delivery Calculation'!AT122+"AM:!'5h"</f>
        <v>#VALUE!</v>
      </c>
      <c r="DW129" t="e">
        <f>'Delivery Calculation'!AU122+"AM:!'5i"</f>
        <v>#VALUE!</v>
      </c>
      <c r="DX129" t="e">
        <f>'Delivery Calculation'!AV122+"AM:!'5j"</f>
        <v>#VALUE!</v>
      </c>
      <c r="DY129" t="e">
        <f>'Delivery Calculation'!AW122+"AM:!'5k"</f>
        <v>#VALUE!</v>
      </c>
      <c r="DZ129" t="e">
        <f>'Delivery Calculation'!AX122+"AM:!'5l"</f>
        <v>#VALUE!</v>
      </c>
      <c r="EA129" t="e">
        <f>'Delivery Calculation'!AY122+"AM:!'5m"</f>
        <v>#VALUE!</v>
      </c>
      <c r="EB129" t="e">
        <f>'Delivery Calculation'!AZ122+"AM:!'5n"</f>
        <v>#VALUE!</v>
      </c>
      <c r="EC129" t="e">
        <f>'Delivery Calculation'!A123+"AM:!'5o"</f>
        <v>#VALUE!</v>
      </c>
      <c r="ED129" t="e">
        <f>'Delivery Calculation'!B123+"AM:!'5p"</f>
        <v>#VALUE!</v>
      </c>
      <c r="EE129" t="e">
        <f>'Delivery Calculation'!C123+"AM:!'5q"</f>
        <v>#VALUE!</v>
      </c>
      <c r="EF129" t="e">
        <f>'Delivery Calculation'!D123+"AM:!'5r"</f>
        <v>#VALUE!</v>
      </c>
      <c r="EG129" t="e">
        <f>'Delivery Calculation'!E123+"AM:!'5s"</f>
        <v>#VALUE!</v>
      </c>
      <c r="EH129" s="98" t="e">
        <f>'Delivery Calculation'!F123+"AM:!'5t"</f>
        <v>#VALUE!</v>
      </c>
      <c r="EI129" s="98" t="e">
        <f>'Delivery Calculation'!G123+"AM:!'5u"</f>
        <v>#VALUE!</v>
      </c>
      <c r="EJ129" s="97" t="e">
        <f>'Delivery Calculation'!H123+"AM:!'5v"</f>
        <v>#VALUE!</v>
      </c>
      <c r="EK129" s="97" t="e">
        <f>'Delivery Calculation'!I123+"AM:!'5w"</f>
        <v>#VALUE!</v>
      </c>
      <c r="EL129" s="103" t="e">
        <f>'Delivery Calculation'!J123+"AM:!'5x"</f>
        <v>#VALUE!</v>
      </c>
      <c r="EM129" s="98" t="e">
        <f>'Delivery Calculation'!K123+"AM:!'5y"</f>
        <v>#VALUE!</v>
      </c>
      <c r="EN129" s="98" t="e">
        <f>'Delivery Calculation'!L123+"AM:!'5z"</f>
        <v>#VALUE!</v>
      </c>
      <c r="EO129" s="99" t="e">
        <f>'Delivery Calculation'!M123+"AM:!'5{"</f>
        <v>#VALUE!</v>
      </c>
      <c r="EP129" s="99" t="e">
        <f>'Delivery Calculation'!N123+"AM:!'5|"</f>
        <v>#VALUE!</v>
      </c>
      <c r="EQ129" s="99" t="e">
        <f>'Delivery Calculation'!O123+"AM:!'5}"</f>
        <v>#VALUE!</v>
      </c>
      <c r="ER129" s="99" t="e">
        <f>'Delivery Calculation'!P123+"AM:!'5~"</f>
        <v>#VALUE!</v>
      </c>
      <c r="ES129" s="99" t="e">
        <f>'Delivery Calculation'!Q123+"AM:!'6#"</f>
        <v>#VALUE!</v>
      </c>
      <c r="ET129" s="99" t="e">
        <f>'Delivery Calculation'!R123+"AM:!'6$"</f>
        <v>#VALUE!</v>
      </c>
      <c r="EU129" s="99" t="e">
        <f>'Delivery Calculation'!S123+"AM:!'6%"</f>
        <v>#VALUE!</v>
      </c>
      <c r="EV129" s="99" t="e">
        <f>'Delivery Calculation'!T123+"AM:!'6&amp;"</f>
        <v>#VALUE!</v>
      </c>
      <c r="EW129" s="99" t="e">
        <f>'Delivery Calculation'!U123+"AM:!'6'"</f>
        <v>#VALUE!</v>
      </c>
      <c r="EX129" s="99" t="e">
        <f>'Delivery Calculation'!V123+"AM:!'6("</f>
        <v>#VALUE!</v>
      </c>
      <c r="EY129" s="99" t="e">
        <f>'Delivery Calculation'!W123+"AM:!'6)"</f>
        <v>#VALUE!</v>
      </c>
      <c r="EZ129" s="99" t="e">
        <f>'Delivery Calculation'!X123+"AM:!'6."</f>
        <v>#VALUE!</v>
      </c>
      <c r="FA129" s="99" t="e">
        <f>'Delivery Calculation'!Y123+"AM:!'6/"</f>
        <v>#VALUE!</v>
      </c>
      <c r="FB129" s="99" t="e">
        <f>'Delivery Calculation'!Z123+"AM:!'60"</f>
        <v>#VALUE!</v>
      </c>
      <c r="FC129" s="99" t="e">
        <f>'Delivery Calculation'!AA123+"AM:!'61"</f>
        <v>#VALUE!</v>
      </c>
      <c r="FD129" s="99" t="e">
        <f>'Delivery Calculation'!AB123+"AM:!'62"</f>
        <v>#VALUE!</v>
      </c>
      <c r="FE129" s="99" t="e">
        <f>'Delivery Calculation'!AC123+"AM:!'63"</f>
        <v>#VALUE!</v>
      </c>
      <c r="FF129" s="99" t="e">
        <f>'Delivery Calculation'!AD123+"AM:!'64"</f>
        <v>#VALUE!</v>
      </c>
      <c r="FG129" s="99" t="e">
        <f>'Delivery Calculation'!AE123+"AM:!'65"</f>
        <v>#VALUE!</v>
      </c>
      <c r="FH129" s="99" t="e">
        <f>'Delivery Calculation'!AF123+"AM:!'66"</f>
        <v>#VALUE!</v>
      </c>
      <c r="FI129" s="99" t="e">
        <f>'Delivery Calculation'!AG123+"AM:!'67"</f>
        <v>#VALUE!</v>
      </c>
      <c r="FJ129" s="99" t="e">
        <f>'Delivery Calculation'!AH123+"AM:!'68"</f>
        <v>#VALUE!</v>
      </c>
      <c r="FK129" s="99" t="e">
        <f>'Delivery Calculation'!AI123+"AM:!'69"</f>
        <v>#VALUE!</v>
      </c>
      <c r="FL129" s="99" t="e">
        <f>'Delivery Calculation'!AJ123+"AM:!'6:"</f>
        <v>#VALUE!</v>
      </c>
      <c r="FM129" s="99" t="e">
        <f>'Delivery Calculation'!AK123+"AM:!'6;"</f>
        <v>#VALUE!</v>
      </c>
      <c r="FN129" s="99" t="e">
        <f>'Delivery Calculation'!AL123+"AM:!'6&lt;"</f>
        <v>#VALUE!</v>
      </c>
      <c r="FO129" s="99" t="e">
        <f>'Delivery Calculation'!AM123+"AM:!'6="</f>
        <v>#VALUE!</v>
      </c>
      <c r="FP129" s="99" t="e">
        <f>'Delivery Calculation'!AN123+"AM:!'6&gt;"</f>
        <v>#VALUE!</v>
      </c>
      <c r="FQ129" s="99" t="e">
        <f>'Delivery Calculation'!AO123+"AM:!'6?"</f>
        <v>#VALUE!</v>
      </c>
      <c r="FR129" s="99" t="e">
        <f>'Delivery Calculation'!AP123+"AM:!'6@"</f>
        <v>#VALUE!</v>
      </c>
      <c r="FS129" s="99" t="e">
        <f>'Delivery Calculation'!AQ123+"AM:!'6A"</f>
        <v>#VALUE!</v>
      </c>
      <c r="FT129" s="99" t="e">
        <f>'Delivery Calculation'!AR123+"AM:!'6B"</f>
        <v>#VALUE!</v>
      </c>
      <c r="FU129" s="99" t="e">
        <f>'Delivery Calculation'!AS123+"AM:!'6C"</f>
        <v>#VALUE!</v>
      </c>
      <c r="FV129" s="99" t="e">
        <f>'Delivery Calculation'!AT123+"AM:!'6D"</f>
        <v>#VALUE!</v>
      </c>
      <c r="FW129" s="99" t="e">
        <f>'Delivery Calculation'!AU123+"AM:!'6E"</f>
        <v>#VALUE!</v>
      </c>
      <c r="FX129" s="99" t="e">
        <f>'Delivery Calculation'!AV123+"AM:!'6F"</f>
        <v>#VALUE!</v>
      </c>
      <c r="FY129" s="99" t="e">
        <f>'Delivery Calculation'!AW123+"AM:!'6G"</f>
        <v>#VALUE!</v>
      </c>
      <c r="FZ129" s="99" t="e">
        <f>'Delivery Calculation'!AX123+"AM:!'6H"</f>
        <v>#VALUE!</v>
      </c>
      <c r="GA129" s="101" t="e">
        <f>'Delivery Calculation'!AY123+"AM:!'6I"</f>
        <v>#VALUE!</v>
      </c>
      <c r="GB129" t="e">
        <f>'Delivery Calculation'!AZ123+"AM:!'6J"</f>
        <v>#VALUE!</v>
      </c>
      <c r="GC129" t="e">
        <f>'Delivery Calculation'!A124+"AM:!'6K"</f>
        <v>#VALUE!</v>
      </c>
      <c r="GD129" t="e">
        <f>'Delivery Calculation'!B124+"AM:!'6L"</f>
        <v>#VALUE!</v>
      </c>
      <c r="GE129" t="e">
        <f>'Delivery Calculation'!C124+"AM:!'6M"</f>
        <v>#VALUE!</v>
      </c>
      <c r="GF129" t="e">
        <f>'Delivery Calculation'!D124+"AM:!'6N"</f>
        <v>#VALUE!</v>
      </c>
      <c r="GG129" t="e">
        <f>'Delivery Calculation'!E124+"AM:!'6O"</f>
        <v>#VALUE!</v>
      </c>
      <c r="GH129" s="98" t="e">
        <f>'Delivery Calculation'!F124+"AM:!'6P"</f>
        <v>#VALUE!</v>
      </c>
      <c r="GI129" s="98" t="e">
        <f>'Delivery Calculation'!G124+"AM:!'6Q"</f>
        <v>#VALUE!</v>
      </c>
      <c r="GJ129" s="97" t="e">
        <f>'Delivery Calculation'!H124+"AM:!'6R"</f>
        <v>#VALUE!</v>
      </c>
      <c r="GK129" s="97" t="e">
        <f>'Delivery Calculation'!I124+"AM:!'6S"</f>
        <v>#VALUE!</v>
      </c>
      <c r="GL129" s="103" t="e">
        <f>'Delivery Calculation'!J124+"AM:!'6T"</f>
        <v>#VALUE!</v>
      </c>
      <c r="GM129" s="98" t="e">
        <f>'Delivery Calculation'!K124+"AM:!'6U"</f>
        <v>#VALUE!</v>
      </c>
      <c r="GN129" s="98" t="e">
        <f>'Delivery Calculation'!L124+"AM:!'6V"</f>
        <v>#VALUE!</v>
      </c>
      <c r="GO129" s="99" t="e">
        <f>'Delivery Calculation'!M124+"AM:!'6W"</f>
        <v>#VALUE!</v>
      </c>
      <c r="GP129" s="99" t="e">
        <f>'Delivery Calculation'!N124+"AM:!'6X"</f>
        <v>#VALUE!</v>
      </c>
      <c r="GQ129" s="99" t="e">
        <f>'Delivery Calculation'!O124+"AM:!'6Y"</f>
        <v>#VALUE!</v>
      </c>
      <c r="GR129" s="99" t="e">
        <f>'Delivery Calculation'!P124+"AM:!'6Z"</f>
        <v>#VALUE!</v>
      </c>
      <c r="GS129" s="99" t="e">
        <f>'Delivery Calculation'!Q124+"AM:!'6["</f>
        <v>#VALUE!</v>
      </c>
      <c r="GT129" s="99" t="e">
        <f>'Delivery Calculation'!R124+"AM:!'6\"</f>
        <v>#VALUE!</v>
      </c>
      <c r="GU129" s="99" t="e">
        <f>'Delivery Calculation'!S124+"AM:!'6]"</f>
        <v>#VALUE!</v>
      </c>
      <c r="GV129" s="99" t="e">
        <f>'Delivery Calculation'!T124+"AM:!'6^"</f>
        <v>#VALUE!</v>
      </c>
      <c r="GW129" s="99" t="e">
        <f>'Delivery Calculation'!U124+"AM:!'6_"</f>
        <v>#VALUE!</v>
      </c>
      <c r="GX129" s="99" t="e">
        <f>'Delivery Calculation'!V124+"AM:!'6`"</f>
        <v>#VALUE!</v>
      </c>
      <c r="GY129" s="99" t="e">
        <f>'Delivery Calculation'!W124+"AM:!'6a"</f>
        <v>#VALUE!</v>
      </c>
      <c r="GZ129" s="99" t="e">
        <f>'Delivery Calculation'!X124+"AM:!'6b"</f>
        <v>#VALUE!</v>
      </c>
      <c r="HA129" s="99" t="e">
        <f>'Delivery Calculation'!Y124+"AM:!'6c"</f>
        <v>#VALUE!</v>
      </c>
      <c r="HB129" s="99" t="e">
        <f>'Delivery Calculation'!Z124+"AM:!'6d"</f>
        <v>#VALUE!</v>
      </c>
      <c r="HC129" s="99" t="e">
        <f>'Delivery Calculation'!AA124+"AM:!'6e"</f>
        <v>#VALUE!</v>
      </c>
      <c r="HD129" s="99" t="e">
        <f>'Delivery Calculation'!AB124+"AM:!'6f"</f>
        <v>#VALUE!</v>
      </c>
      <c r="HE129" s="99" t="e">
        <f>'Delivery Calculation'!AC124+"AM:!'6g"</f>
        <v>#VALUE!</v>
      </c>
      <c r="HF129" s="99" t="e">
        <f>'Delivery Calculation'!AD124+"AM:!'6h"</f>
        <v>#VALUE!</v>
      </c>
      <c r="HG129" s="99" t="e">
        <f>'Delivery Calculation'!AE124+"AM:!'6i"</f>
        <v>#VALUE!</v>
      </c>
      <c r="HH129" s="99" t="e">
        <f>'Delivery Calculation'!AF124+"AM:!'6j"</f>
        <v>#VALUE!</v>
      </c>
      <c r="HI129" s="99" t="e">
        <f>'Delivery Calculation'!AG124+"AM:!'6k"</f>
        <v>#VALUE!</v>
      </c>
      <c r="HJ129" s="99" t="e">
        <f>'Delivery Calculation'!AH124+"AM:!'6l"</f>
        <v>#VALUE!</v>
      </c>
      <c r="HK129" s="99" t="e">
        <f>'Delivery Calculation'!AI124+"AM:!'6m"</f>
        <v>#VALUE!</v>
      </c>
      <c r="HL129" s="99" t="e">
        <f>'Delivery Calculation'!AJ124+"AM:!'6n"</f>
        <v>#VALUE!</v>
      </c>
      <c r="HM129" s="99" t="e">
        <f>'Delivery Calculation'!AK124+"AM:!'6o"</f>
        <v>#VALUE!</v>
      </c>
      <c r="HN129" s="99" t="e">
        <f>'Delivery Calculation'!AL124+"AM:!'6p"</f>
        <v>#VALUE!</v>
      </c>
      <c r="HO129" s="99" t="e">
        <f>'Delivery Calculation'!AM124+"AM:!'6q"</f>
        <v>#VALUE!</v>
      </c>
      <c r="HP129" s="99" t="e">
        <f>'Delivery Calculation'!AN124+"AM:!'6r"</f>
        <v>#VALUE!</v>
      </c>
      <c r="HQ129" s="99" t="e">
        <f>'Delivery Calculation'!AO124+"AM:!'6s"</f>
        <v>#VALUE!</v>
      </c>
      <c r="HR129" s="99" t="e">
        <f>'Delivery Calculation'!AP124+"AM:!'6t"</f>
        <v>#VALUE!</v>
      </c>
      <c r="HS129" s="99" t="e">
        <f>'Delivery Calculation'!AQ124+"AM:!'6u"</f>
        <v>#VALUE!</v>
      </c>
      <c r="HT129" s="99" t="e">
        <f>'Delivery Calculation'!AR124+"AM:!'6v"</f>
        <v>#VALUE!</v>
      </c>
      <c r="HU129" s="99" t="e">
        <f>'Delivery Calculation'!AS124+"AM:!'6w"</f>
        <v>#VALUE!</v>
      </c>
      <c r="HV129" s="99" t="e">
        <f>'Delivery Calculation'!AT124+"AM:!'6x"</f>
        <v>#VALUE!</v>
      </c>
      <c r="HW129" s="99" t="e">
        <f>'Delivery Calculation'!AU124+"AM:!'6y"</f>
        <v>#VALUE!</v>
      </c>
      <c r="HX129" s="99" t="e">
        <f>'Delivery Calculation'!AV124+"AM:!'6z"</f>
        <v>#VALUE!</v>
      </c>
      <c r="HY129" s="99" t="e">
        <f>'Delivery Calculation'!AW124+"AM:!'6{"</f>
        <v>#VALUE!</v>
      </c>
      <c r="HZ129" s="99" t="e">
        <f>'Delivery Calculation'!AX124+"AM:!'6|"</f>
        <v>#VALUE!</v>
      </c>
      <c r="IA129" s="101" t="e">
        <f>'Delivery Calculation'!AY124+"AM:!'6}"</f>
        <v>#VALUE!</v>
      </c>
      <c r="IB129" t="e">
        <f>'Delivery Calculation'!AZ124+"AM:!'6~"</f>
        <v>#VALUE!</v>
      </c>
      <c r="IC129" t="e">
        <f>'Delivery Calculation'!A125+"AM:!'7#"</f>
        <v>#VALUE!</v>
      </c>
      <c r="ID129" t="e">
        <f>'Delivery Calculation'!B125+"AM:!'7$"</f>
        <v>#VALUE!</v>
      </c>
      <c r="IE129" t="e">
        <f>'Delivery Calculation'!C125+"AM:!'7%"</f>
        <v>#VALUE!</v>
      </c>
      <c r="IF129" t="e">
        <f>'Delivery Calculation'!D125+"AM:!'7&amp;"</f>
        <v>#VALUE!</v>
      </c>
      <c r="IG129" t="e">
        <f>'Delivery Calculation'!E125+"AM:!'7'"</f>
        <v>#VALUE!</v>
      </c>
      <c r="IH129" s="98" t="e">
        <f>'Delivery Calculation'!F125+"AM:!'7("</f>
        <v>#VALUE!</v>
      </c>
      <c r="II129" s="98" t="e">
        <f>'Delivery Calculation'!G125+"AM:!'7)"</f>
        <v>#VALUE!</v>
      </c>
      <c r="IJ129" s="97" t="e">
        <f>'Delivery Calculation'!H125+"AM:!'7."</f>
        <v>#VALUE!</v>
      </c>
      <c r="IK129" s="97" t="e">
        <f>'Delivery Calculation'!I125+"AM:!'7/"</f>
        <v>#VALUE!</v>
      </c>
      <c r="IL129" s="103" t="e">
        <f>'Delivery Calculation'!J125+"AM:!'70"</f>
        <v>#VALUE!</v>
      </c>
      <c r="IM129" s="98" t="e">
        <f>'Delivery Calculation'!K125+"AM:!'71"</f>
        <v>#VALUE!</v>
      </c>
      <c r="IN129" s="98" t="e">
        <f>'Delivery Calculation'!L125+"AM:!'72"</f>
        <v>#VALUE!</v>
      </c>
      <c r="IO129" s="99" t="e">
        <f>'Delivery Calculation'!M125+"AM:!'73"</f>
        <v>#VALUE!</v>
      </c>
      <c r="IP129" s="99" t="e">
        <f>'Delivery Calculation'!N125+"AM:!'74"</f>
        <v>#VALUE!</v>
      </c>
      <c r="IQ129" s="99" t="e">
        <f>'Delivery Calculation'!O125+"AM:!'75"</f>
        <v>#VALUE!</v>
      </c>
      <c r="IR129" s="99" t="e">
        <f>'Delivery Calculation'!P125+"AM:!'76"</f>
        <v>#VALUE!</v>
      </c>
      <c r="IS129" s="99" t="e">
        <f>'Delivery Calculation'!Q125+"AM:!'77"</f>
        <v>#VALUE!</v>
      </c>
      <c r="IT129" s="99" t="e">
        <f>'Delivery Calculation'!R125+"AM:!'78"</f>
        <v>#VALUE!</v>
      </c>
      <c r="IU129" s="99" t="e">
        <f>'Delivery Calculation'!S125+"AM:!'79"</f>
        <v>#VALUE!</v>
      </c>
      <c r="IV129" s="99" t="e">
        <f>'Delivery Calculation'!T125+"AM:!'7:"</f>
        <v>#VALUE!</v>
      </c>
    </row>
    <row r="130" spans="6:256">
      <c r="F130" s="99" t="e">
        <f>'Delivery Calculation'!U125+"AM:!'7;"</f>
        <v>#VALUE!</v>
      </c>
      <c r="G130" s="99" t="e">
        <f>'Delivery Calculation'!V125+"AM:!'7&lt;"</f>
        <v>#VALUE!</v>
      </c>
      <c r="H130" s="99" t="e">
        <f>'Delivery Calculation'!W125+"AM:!'7="</f>
        <v>#VALUE!</v>
      </c>
      <c r="I130" s="99" t="e">
        <f>'Delivery Calculation'!X125+"AM:!'7&gt;"</f>
        <v>#VALUE!</v>
      </c>
      <c r="J130" s="99" t="e">
        <f>'Delivery Calculation'!Y125+"AM:!'7?"</f>
        <v>#VALUE!</v>
      </c>
      <c r="K130" s="99" t="e">
        <f>'Delivery Calculation'!Z125+"AM:!'7@"</f>
        <v>#VALUE!</v>
      </c>
      <c r="L130" s="99" t="e">
        <f>'Delivery Calculation'!AA125+"AM:!'7A"</f>
        <v>#VALUE!</v>
      </c>
      <c r="M130" s="99" t="e">
        <f>'Delivery Calculation'!AB125+"AM:!'7B"</f>
        <v>#VALUE!</v>
      </c>
      <c r="N130" s="99" t="e">
        <f>'Delivery Calculation'!AC125+"AM:!'7C"</f>
        <v>#VALUE!</v>
      </c>
      <c r="O130" s="99" t="e">
        <f>'Delivery Calculation'!AD125+"AM:!'7D"</f>
        <v>#VALUE!</v>
      </c>
      <c r="P130" s="99" t="e">
        <f>'Delivery Calculation'!AE125+"AM:!'7E"</f>
        <v>#VALUE!</v>
      </c>
      <c r="Q130" s="99" t="e">
        <f>'Delivery Calculation'!AF125+"AM:!'7F"</f>
        <v>#VALUE!</v>
      </c>
      <c r="R130" s="99" t="e">
        <f>'Delivery Calculation'!AG125+"AM:!'7G"</f>
        <v>#VALUE!</v>
      </c>
      <c r="S130" s="99" t="e">
        <f>'Delivery Calculation'!AH125+"AM:!'7H"</f>
        <v>#VALUE!</v>
      </c>
      <c r="T130" s="99" t="e">
        <f>'Delivery Calculation'!AI125+"AM:!'7I"</f>
        <v>#VALUE!</v>
      </c>
      <c r="U130" s="99" t="e">
        <f>'Delivery Calculation'!AJ125+"AM:!'7J"</f>
        <v>#VALUE!</v>
      </c>
      <c r="V130" s="99" t="e">
        <f>'Delivery Calculation'!AK125+"AM:!'7K"</f>
        <v>#VALUE!</v>
      </c>
      <c r="W130" s="99" t="e">
        <f>'Delivery Calculation'!AL125+"AM:!'7L"</f>
        <v>#VALUE!</v>
      </c>
      <c r="X130" s="99" t="e">
        <f>'Delivery Calculation'!AM125+"AM:!'7M"</f>
        <v>#VALUE!</v>
      </c>
      <c r="Y130" s="99" t="e">
        <f>'Delivery Calculation'!AN125+"AM:!'7N"</f>
        <v>#VALUE!</v>
      </c>
      <c r="Z130" s="99" t="e">
        <f>'Delivery Calculation'!AO125+"AM:!'7O"</f>
        <v>#VALUE!</v>
      </c>
      <c r="AA130" s="99" t="e">
        <f>'Delivery Calculation'!AP125+"AM:!'7P"</f>
        <v>#VALUE!</v>
      </c>
      <c r="AB130" s="99" t="e">
        <f>'Delivery Calculation'!AQ125+"AM:!'7Q"</f>
        <v>#VALUE!</v>
      </c>
      <c r="AC130" s="99" t="e">
        <f>'Delivery Calculation'!AR125+"AM:!'7R"</f>
        <v>#VALUE!</v>
      </c>
      <c r="AD130" s="99" t="e">
        <f>'Delivery Calculation'!AS125+"AM:!'7S"</f>
        <v>#VALUE!</v>
      </c>
      <c r="AE130" s="99" t="e">
        <f>'Delivery Calculation'!AT125+"AM:!'7T"</f>
        <v>#VALUE!</v>
      </c>
      <c r="AF130" s="99" t="e">
        <f>'Delivery Calculation'!AU125+"AM:!'7U"</f>
        <v>#VALUE!</v>
      </c>
      <c r="AG130" s="99" t="e">
        <f>'Delivery Calculation'!AV125+"AM:!'7V"</f>
        <v>#VALUE!</v>
      </c>
      <c r="AH130" s="99" t="e">
        <f>'Delivery Calculation'!AW125+"AM:!'7W"</f>
        <v>#VALUE!</v>
      </c>
      <c r="AI130" s="99" t="e">
        <f>'Delivery Calculation'!AX125+"AM:!'7X"</f>
        <v>#VALUE!</v>
      </c>
      <c r="AJ130" s="101" t="e">
        <f>'Delivery Calculation'!AY125+"AM:!'7Y"</f>
        <v>#VALUE!</v>
      </c>
      <c r="AK130" t="e">
        <f>'Delivery Calculation'!AZ125+"AM:!'7Z"</f>
        <v>#VALUE!</v>
      </c>
      <c r="AL130" t="e">
        <f>'Delivery Calculation'!A126+"AM:!'7["</f>
        <v>#VALUE!</v>
      </c>
      <c r="AM130" t="e">
        <f>'Delivery Calculation'!B126+"AM:!'7\"</f>
        <v>#VALUE!</v>
      </c>
      <c r="AN130" t="e">
        <f>'Delivery Calculation'!C126+"AM:!'7]"</f>
        <v>#VALUE!</v>
      </c>
      <c r="AO130" t="e">
        <f>'Delivery Calculation'!D126+"AM:!'7^"</f>
        <v>#VALUE!</v>
      </c>
      <c r="AP130" t="e">
        <f>'Delivery Calculation'!E126+"AM:!'7_"</f>
        <v>#VALUE!</v>
      </c>
      <c r="AQ130" s="98" t="e">
        <f>'Delivery Calculation'!F126+"AM:!'7`"</f>
        <v>#VALUE!</v>
      </c>
      <c r="AR130" s="98" t="e">
        <f>'Delivery Calculation'!G126+"AM:!'7a"</f>
        <v>#VALUE!</v>
      </c>
      <c r="AS130" s="97" t="e">
        <f>'Delivery Calculation'!H126+"AM:!'7b"</f>
        <v>#VALUE!</v>
      </c>
      <c r="AT130" s="97" t="e">
        <f>'Delivery Calculation'!I126+"AM:!'7c"</f>
        <v>#VALUE!</v>
      </c>
      <c r="AU130" s="103" t="e">
        <f>'Delivery Calculation'!J126+"AM:!'7d"</f>
        <v>#VALUE!</v>
      </c>
      <c r="AV130" s="98" t="e">
        <f>'Delivery Calculation'!K126+"AM:!'7e"</f>
        <v>#VALUE!</v>
      </c>
      <c r="AW130" s="98" t="e">
        <f>'Delivery Calculation'!L126+"AM:!'7f"</f>
        <v>#VALUE!</v>
      </c>
      <c r="AX130" s="99" t="e">
        <f>'Delivery Calculation'!M126+"AM:!'7g"</f>
        <v>#VALUE!</v>
      </c>
      <c r="AY130" s="99" t="e">
        <f>'Delivery Calculation'!N126+"AM:!'7h"</f>
        <v>#VALUE!</v>
      </c>
      <c r="AZ130" s="99" t="e">
        <f>'Delivery Calculation'!O126+"AM:!'7i"</f>
        <v>#VALUE!</v>
      </c>
      <c r="BA130" s="99" t="e">
        <f>'Delivery Calculation'!P126+"AM:!'7j"</f>
        <v>#VALUE!</v>
      </c>
      <c r="BB130" s="99" t="e">
        <f>'Delivery Calculation'!Q126+"AM:!'7k"</f>
        <v>#VALUE!</v>
      </c>
      <c r="BC130" s="99" t="e">
        <f>'Delivery Calculation'!R126+"AM:!'7l"</f>
        <v>#VALUE!</v>
      </c>
      <c r="BD130" s="99" t="e">
        <f>'Delivery Calculation'!S126+"AM:!'7m"</f>
        <v>#VALUE!</v>
      </c>
      <c r="BE130" s="99" t="e">
        <f>'Delivery Calculation'!T126+"AM:!'7n"</f>
        <v>#VALUE!</v>
      </c>
      <c r="BF130" s="99" t="e">
        <f>'Delivery Calculation'!U126+"AM:!'7o"</f>
        <v>#VALUE!</v>
      </c>
      <c r="BG130" s="99" t="e">
        <f>'Delivery Calculation'!V126+"AM:!'7p"</f>
        <v>#VALUE!</v>
      </c>
      <c r="BH130" s="99" t="e">
        <f>'Delivery Calculation'!W126+"AM:!'7q"</f>
        <v>#VALUE!</v>
      </c>
      <c r="BI130" s="99" t="e">
        <f>'Delivery Calculation'!X126+"AM:!'7r"</f>
        <v>#VALUE!</v>
      </c>
      <c r="BJ130" s="99" t="e">
        <f>'Delivery Calculation'!Y126+"AM:!'7s"</f>
        <v>#VALUE!</v>
      </c>
      <c r="BK130" s="99" t="e">
        <f>'Delivery Calculation'!Z126+"AM:!'7t"</f>
        <v>#VALUE!</v>
      </c>
      <c r="BL130" s="99" t="e">
        <f>'Delivery Calculation'!AA126+"AM:!'7u"</f>
        <v>#VALUE!</v>
      </c>
      <c r="BM130" s="99" t="e">
        <f>'Delivery Calculation'!AB126+"AM:!'7v"</f>
        <v>#VALUE!</v>
      </c>
      <c r="BN130" s="99" t="e">
        <f>'Delivery Calculation'!AC126+"AM:!'7w"</f>
        <v>#VALUE!</v>
      </c>
      <c r="BO130" s="99" t="e">
        <f>'Delivery Calculation'!AD126+"AM:!'7x"</f>
        <v>#VALUE!</v>
      </c>
      <c r="BP130" s="99" t="e">
        <f>'Delivery Calculation'!AE126+"AM:!'7y"</f>
        <v>#VALUE!</v>
      </c>
      <c r="BQ130" s="99" t="e">
        <f>'Delivery Calculation'!AF126+"AM:!'7z"</f>
        <v>#VALUE!</v>
      </c>
      <c r="BR130" s="99" t="e">
        <f>'Delivery Calculation'!AG126+"AM:!'7{"</f>
        <v>#VALUE!</v>
      </c>
      <c r="BS130" s="99" t="e">
        <f>'Delivery Calculation'!AH126+"AM:!'7|"</f>
        <v>#VALUE!</v>
      </c>
      <c r="BT130" s="99" t="e">
        <f>'Delivery Calculation'!AI126+"AM:!'7}"</f>
        <v>#VALUE!</v>
      </c>
      <c r="BU130" s="99" t="e">
        <f>'Delivery Calculation'!AJ126+"AM:!'7~"</f>
        <v>#VALUE!</v>
      </c>
      <c r="BV130" s="99" t="e">
        <f>'Delivery Calculation'!AK126+"AM:!'8#"</f>
        <v>#VALUE!</v>
      </c>
      <c r="BW130" s="99" t="e">
        <f>'Delivery Calculation'!AL126+"AM:!'8$"</f>
        <v>#VALUE!</v>
      </c>
      <c r="BX130" s="99" t="e">
        <f>'Delivery Calculation'!AM126+"AM:!'8%"</f>
        <v>#VALUE!</v>
      </c>
      <c r="BY130" s="99" t="e">
        <f>'Delivery Calculation'!AN126+"AM:!'8&amp;"</f>
        <v>#VALUE!</v>
      </c>
      <c r="BZ130" s="99" t="e">
        <f>'Delivery Calculation'!AO126+"AM:!'8'"</f>
        <v>#VALUE!</v>
      </c>
      <c r="CA130" s="99" t="e">
        <f>'Delivery Calculation'!AP126+"AM:!'8("</f>
        <v>#VALUE!</v>
      </c>
      <c r="CB130" s="99" t="e">
        <f>'Delivery Calculation'!AQ126+"AM:!'8)"</f>
        <v>#VALUE!</v>
      </c>
      <c r="CC130" s="99" t="e">
        <f>'Delivery Calculation'!AR126+"AM:!'8."</f>
        <v>#VALUE!</v>
      </c>
      <c r="CD130" s="99" t="e">
        <f>'Delivery Calculation'!AS126+"AM:!'8/"</f>
        <v>#VALUE!</v>
      </c>
      <c r="CE130" s="99" t="e">
        <f>'Delivery Calculation'!AT126+"AM:!'80"</f>
        <v>#VALUE!</v>
      </c>
      <c r="CF130" s="99" t="e">
        <f>'Delivery Calculation'!AU126+"AM:!'81"</f>
        <v>#VALUE!</v>
      </c>
      <c r="CG130" s="99" t="e">
        <f>'Delivery Calculation'!AV126+"AM:!'82"</f>
        <v>#VALUE!</v>
      </c>
      <c r="CH130" s="99" t="e">
        <f>'Delivery Calculation'!AW126+"AM:!'83"</f>
        <v>#VALUE!</v>
      </c>
      <c r="CI130" s="99" t="e">
        <f>'Delivery Calculation'!AX126+"AM:!'84"</f>
        <v>#VALUE!</v>
      </c>
      <c r="CJ130" s="101" t="e">
        <f>'Delivery Calculation'!AY126+"AM:!'85"</f>
        <v>#VALUE!</v>
      </c>
      <c r="CK130" t="e">
        <f>'Delivery Calculation'!AZ126+"AM:!'86"</f>
        <v>#VALUE!</v>
      </c>
      <c r="CL130" t="e">
        <f>'Delivery Calculation'!A127+"AM:!'87"</f>
        <v>#VALUE!</v>
      </c>
      <c r="CM130" t="e">
        <f>'Delivery Calculation'!B127+"AM:!'88"</f>
        <v>#VALUE!</v>
      </c>
      <c r="CN130" t="e">
        <f>'Delivery Calculation'!C127+"AM:!'89"</f>
        <v>#VALUE!</v>
      </c>
      <c r="CO130" t="e">
        <f>'Delivery Calculation'!D127+"AM:!'8:"</f>
        <v>#VALUE!</v>
      </c>
      <c r="CP130" t="e">
        <f>'Delivery Calculation'!E127+"AM:!'8;"</f>
        <v>#VALUE!</v>
      </c>
      <c r="CQ130" s="98" t="e">
        <f>'Delivery Calculation'!F127+"AM:!'8&lt;"</f>
        <v>#VALUE!</v>
      </c>
      <c r="CR130" s="98" t="e">
        <f>'Delivery Calculation'!G127+"AM:!'8="</f>
        <v>#VALUE!</v>
      </c>
      <c r="CS130" s="97" t="e">
        <f>'Delivery Calculation'!H127+"AM:!'8&gt;"</f>
        <v>#VALUE!</v>
      </c>
      <c r="CT130" s="97" t="e">
        <f>'Delivery Calculation'!I127+"AM:!'8?"</f>
        <v>#VALUE!</v>
      </c>
      <c r="CU130" s="103" t="e">
        <f>'Delivery Calculation'!J127+"AM:!'8@"</f>
        <v>#VALUE!</v>
      </c>
      <c r="CV130" s="98" t="e">
        <f>'Delivery Calculation'!K127+"AM:!'8A"</f>
        <v>#VALUE!</v>
      </c>
      <c r="CW130" s="98" t="e">
        <f>'Delivery Calculation'!L127+"AM:!'8B"</f>
        <v>#VALUE!</v>
      </c>
      <c r="CX130" s="99" t="e">
        <f>'Delivery Calculation'!M127+"AM:!'8C"</f>
        <v>#VALUE!</v>
      </c>
      <c r="CY130" s="99" t="e">
        <f>'Delivery Calculation'!N127+"AM:!'8D"</f>
        <v>#VALUE!</v>
      </c>
      <c r="CZ130" s="99" t="e">
        <f>'Delivery Calculation'!O127+"AM:!'8E"</f>
        <v>#VALUE!</v>
      </c>
      <c r="DA130" s="99" t="e">
        <f>'Delivery Calculation'!P127+"AM:!'8F"</f>
        <v>#VALUE!</v>
      </c>
      <c r="DB130" s="99" t="e">
        <f>'Delivery Calculation'!Q127+"AM:!'8G"</f>
        <v>#VALUE!</v>
      </c>
      <c r="DC130" s="99" t="e">
        <f>'Delivery Calculation'!R127+"AM:!'8H"</f>
        <v>#VALUE!</v>
      </c>
      <c r="DD130" s="99" t="e">
        <f>'Delivery Calculation'!S127+"AM:!'8I"</f>
        <v>#VALUE!</v>
      </c>
      <c r="DE130" s="99" t="e">
        <f>'Delivery Calculation'!T127+"AM:!'8J"</f>
        <v>#VALUE!</v>
      </c>
      <c r="DF130" s="99" t="e">
        <f>'Delivery Calculation'!U127+"AM:!'8K"</f>
        <v>#VALUE!</v>
      </c>
      <c r="DG130" s="99" t="e">
        <f>'Delivery Calculation'!V127+"AM:!'8L"</f>
        <v>#VALUE!</v>
      </c>
      <c r="DH130" s="99" t="e">
        <f>'Delivery Calculation'!W127+"AM:!'8M"</f>
        <v>#VALUE!</v>
      </c>
      <c r="DI130" s="99" t="e">
        <f>'Delivery Calculation'!X127+"AM:!'8N"</f>
        <v>#VALUE!</v>
      </c>
      <c r="DJ130" s="99" t="e">
        <f>'Delivery Calculation'!Y127+"AM:!'8O"</f>
        <v>#VALUE!</v>
      </c>
      <c r="DK130" s="99" t="e">
        <f>'Delivery Calculation'!Z127+"AM:!'8P"</f>
        <v>#VALUE!</v>
      </c>
      <c r="DL130" s="99" t="e">
        <f>'Delivery Calculation'!AA127+"AM:!'8Q"</f>
        <v>#VALUE!</v>
      </c>
      <c r="DM130" s="99" t="e">
        <f>'Delivery Calculation'!AB127+"AM:!'8R"</f>
        <v>#VALUE!</v>
      </c>
      <c r="DN130" s="99" t="e">
        <f>'Delivery Calculation'!AC127+"AM:!'8S"</f>
        <v>#VALUE!</v>
      </c>
      <c r="DO130" s="99" t="e">
        <f>'Delivery Calculation'!AD127+"AM:!'8T"</f>
        <v>#VALUE!</v>
      </c>
      <c r="DP130" s="99" t="e">
        <f>'Delivery Calculation'!AE127+"AM:!'8U"</f>
        <v>#VALUE!</v>
      </c>
      <c r="DQ130" s="99" t="e">
        <f>'Delivery Calculation'!AF127+"AM:!'8V"</f>
        <v>#VALUE!</v>
      </c>
      <c r="DR130" s="99" t="e">
        <f>'Delivery Calculation'!AG127+"AM:!'8W"</f>
        <v>#VALUE!</v>
      </c>
      <c r="DS130" s="99" t="e">
        <f>'Delivery Calculation'!AH127+"AM:!'8X"</f>
        <v>#VALUE!</v>
      </c>
      <c r="DT130" s="99" t="e">
        <f>'Delivery Calculation'!AI127+"AM:!'8Y"</f>
        <v>#VALUE!</v>
      </c>
      <c r="DU130" s="99" t="e">
        <f>'Delivery Calculation'!AJ127+"AM:!'8Z"</f>
        <v>#VALUE!</v>
      </c>
      <c r="DV130" s="99" t="e">
        <f>'Delivery Calculation'!AK127+"AM:!'8["</f>
        <v>#VALUE!</v>
      </c>
      <c r="DW130" s="99" t="e">
        <f>'Delivery Calculation'!AL127+"AM:!'8\"</f>
        <v>#VALUE!</v>
      </c>
      <c r="DX130" s="99" t="e">
        <f>'Delivery Calculation'!AM127+"AM:!'8]"</f>
        <v>#VALUE!</v>
      </c>
      <c r="DY130" s="99" t="e">
        <f>'Delivery Calculation'!AN127+"AM:!'8^"</f>
        <v>#VALUE!</v>
      </c>
      <c r="DZ130" s="99" t="e">
        <f>'Delivery Calculation'!AO127+"AM:!'8_"</f>
        <v>#VALUE!</v>
      </c>
      <c r="EA130" s="99" t="e">
        <f>'Delivery Calculation'!AP127+"AM:!'8`"</f>
        <v>#VALUE!</v>
      </c>
      <c r="EB130" s="99" t="e">
        <f>'Delivery Calculation'!AQ127+"AM:!'8a"</f>
        <v>#VALUE!</v>
      </c>
      <c r="EC130" s="99" t="e">
        <f>'Delivery Calculation'!AR127+"AM:!'8b"</f>
        <v>#VALUE!</v>
      </c>
      <c r="ED130" s="99" t="e">
        <f>'Delivery Calculation'!AS127+"AM:!'8c"</f>
        <v>#VALUE!</v>
      </c>
      <c r="EE130" s="99" t="e">
        <f>'Delivery Calculation'!AT127+"AM:!'8d"</f>
        <v>#VALUE!</v>
      </c>
      <c r="EF130" s="99" t="e">
        <f>'Delivery Calculation'!AU127+"AM:!'8e"</f>
        <v>#VALUE!</v>
      </c>
      <c r="EG130" s="99" t="e">
        <f>'Delivery Calculation'!AV127+"AM:!'8f"</f>
        <v>#VALUE!</v>
      </c>
      <c r="EH130" s="99" t="e">
        <f>'Delivery Calculation'!AW127+"AM:!'8g"</f>
        <v>#VALUE!</v>
      </c>
      <c r="EI130" s="99" t="e">
        <f>'Delivery Calculation'!AX127+"AM:!'8h"</f>
        <v>#VALUE!</v>
      </c>
      <c r="EJ130" s="101" t="e">
        <f>'Delivery Calculation'!AY127+"AM:!'8i"</f>
        <v>#VALUE!</v>
      </c>
      <c r="EK130" t="e">
        <f>'Delivery Calculation'!AZ127+"AM:!'8j"</f>
        <v>#VALUE!</v>
      </c>
      <c r="EL130" t="e">
        <f>'Delivery Calculation'!A128+"AM:!'8k"</f>
        <v>#VALUE!</v>
      </c>
      <c r="EM130" t="e">
        <f>'Delivery Calculation'!B128+"AM:!'8l"</f>
        <v>#VALUE!</v>
      </c>
      <c r="EN130" t="e">
        <f>'Delivery Calculation'!C128+"AM:!'8m"</f>
        <v>#VALUE!</v>
      </c>
      <c r="EO130" t="e">
        <f>'Delivery Calculation'!D128+"AM:!'8n"</f>
        <v>#VALUE!</v>
      </c>
      <c r="EP130" t="e">
        <f>'Delivery Calculation'!E128+"AM:!'8o"</f>
        <v>#VALUE!</v>
      </c>
      <c r="EQ130" s="98" t="e">
        <f>'Delivery Calculation'!F128+"AM:!'8p"</f>
        <v>#VALUE!</v>
      </c>
      <c r="ER130" s="98" t="e">
        <f>'Delivery Calculation'!G128+"AM:!'8q"</f>
        <v>#VALUE!</v>
      </c>
      <c r="ES130" s="97" t="e">
        <f>'Delivery Calculation'!H128+"AM:!'8r"</f>
        <v>#VALUE!</v>
      </c>
      <c r="ET130" s="97" t="e">
        <f>'Delivery Calculation'!I128+"AM:!'8s"</f>
        <v>#VALUE!</v>
      </c>
      <c r="EU130" s="103" t="e">
        <f>'Delivery Calculation'!J128+"AM:!'8t"</f>
        <v>#VALUE!</v>
      </c>
      <c r="EV130" s="98" t="e">
        <f>'Delivery Calculation'!K128+"AM:!'8u"</f>
        <v>#VALUE!</v>
      </c>
      <c r="EW130" s="98" t="e">
        <f>'Delivery Calculation'!L128+"AM:!'8v"</f>
        <v>#VALUE!</v>
      </c>
      <c r="EX130" s="99" t="e">
        <f>'Delivery Calculation'!M128+"AM:!'8w"</f>
        <v>#VALUE!</v>
      </c>
      <c r="EY130" s="99" t="e">
        <f>'Delivery Calculation'!N128+"AM:!'8x"</f>
        <v>#VALUE!</v>
      </c>
      <c r="EZ130" s="99" t="e">
        <f>'Delivery Calculation'!O128+"AM:!'8y"</f>
        <v>#VALUE!</v>
      </c>
      <c r="FA130" s="99" t="e">
        <f>'Delivery Calculation'!P128+"AM:!'8z"</f>
        <v>#VALUE!</v>
      </c>
      <c r="FB130" s="99" t="e">
        <f>'Delivery Calculation'!Q128+"AM:!'8{"</f>
        <v>#VALUE!</v>
      </c>
      <c r="FC130" s="99" t="e">
        <f>'Delivery Calculation'!R128+"AM:!'8|"</f>
        <v>#VALUE!</v>
      </c>
      <c r="FD130" s="99" t="e">
        <f>'Delivery Calculation'!S128+"AM:!'8}"</f>
        <v>#VALUE!</v>
      </c>
      <c r="FE130" s="99" t="e">
        <f>'Delivery Calculation'!T128+"AM:!'8~"</f>
        <v>#VALUE!</v>
      </c>
      <c r="FF130" s="99" t="e">
        <f>'Delivery Calculation'!U128+"AM:!'9#"</f>
        <v>#VALUE!</v>
      </c>
      <c r="FG130" s="99" t="e">
        <f>'Delivery Calculation'!V128+"AM:!'9$"</f>
        <v>#VALUE!</v>
      </c>
      <c r="FH130" s="99" t="e">
        <f>'Delivery Calculation'!W128+"AM:!'9%"</f>
        <v>#VALUE!</v>
      </c>
      <c r="FI130" s="99" t="e">
        <f>'Delivery Calculation'!X128+"AM:!'9&amp;"</f>
        <v>#VALUE!</v>
      </c>
      <c r="FJ130" s="99" t="e">
        <f>'Delivery Calculation'!Y128+"AM:!'9'"</f>
        <v>#VALUE!</v>
      </c>
      <c r="FK130" s="99" t="e">
        <f>'Delivery Calculation'!Z128+"AM:!'9("</f>
        <v>#VALUE!</v>
      </c>
      <c r="FL130" s="99" t="e">
        <f>'Delivery Calculation'!AA128+"AM:!'9)"</f>
        <v>#VALUE!</v>
      </c>
      <c r="FM130" s="99" t="e">
        <f>'Delivery Calculation'!AB128+"AM:!'9."</f>
        <v>#VALUE!</v>
      </c>
      <c r="FN130" s="99" t="e">
        <f>'Delivery Calculation'!AC128+"AM:!'9/"</f>
        <v>#VALUE!</v>
      </c>
      <c r="FO130" s="99" t="e">
        <f>'Delivery Calculation'!AD128+"AM:!'90"</f>
        <v>#VALUE!</v>
      </c>
      <c r="FP130" s="99" t="e">
        <f>'Delivery Calculation'!AE128+"AM:!'91"</f>
        <v>#VALUE!</v>
      </c>
      <c r="FQ130" s="99" t="e">
        <f>'Delivery Calculation'!AF128+"AM:!'92"</f>
        <v>#VALUE!</v>
      </c>
      <c r="FR130" s="99" t="e">
        <f>'Delivery Calculation'!AG128+"AM:!'93"</f>
        <v>#VALUE!</v>
      </c>
      <c r="FS130" s="99" t="e">
        <f>'Delivery Calculation'!AH128+"AM:!'94"</f>
        <v>#VALUE!</v>
      </c>
      <c r="FT130" s="99" t="e">
        <f>'Delivery Calculation'!AI128+"AM:!'95"</f>
        <v>#VALUE!</v>
      </c>
      <c r="FU130" s="99" t="e">
        <f>'Delivery Calculation'!AJ128+"AM:!'96"</f>
        <v>#VALUE!</v>
      </c>
      <c r="FV130" s="99" t="e">
        <f>'Delivery Calculation'!AK128+"AM:!'97"</f>
        <v>#VALUE!</v>
      </c>
      <c r="FW130" s="99" t="e">
        <f>'Delivery Calculation'!AL128+"AM:!'98"</f>
        <v>#VALUE!</v>
      </c>
      <c r="FX130" s="99" t="e">
        <f>'Delivery Calculation'!AM128+"AM:!'99"</f>
        <v>#VALUE!</v>
      </c>
      <c r="FY130" s="99" t="e">
        <f>'Delivery Calculation'!AN128+"AM:!'9:"</f>
        <v>#VALUE!</v>
      </c>
      <c r="FZ130" s="99" t="e">
        <f>'Delivery Calculation'!AO128+"AM:!'9;"</f>
        <v>#VALUE!</v>
      </c>
      <c r="GA130" s="99" t="e">
        <f>'Delivery Calculation'!AP128+"AM:!'9&lt;"</f>
        <v>#VALUE!</v>
      </c>
      <c r="GB130" s="99" t="e">
        <f>'Delivery Calculation'!AQ128+"AM:!'9="</f>
        <v>#VALUE!</v>
      </c>
      <c r="GC130" s="99" t="e">
        <f>'Delivery Calculation'!AR128+"AM:!'9&gt;"</f>
        <v>#VALUE!</v>
      </c>
      <c r="GD130" s="99" t="e">
        <f>'Delivery Calculation'!AS128+"AM:!'9?"</f>
        <v>#VALUE!</v>
      </c>
      <c r="GE130" s="99" t="e">
        <f>'Delivery Calculation'!AT128+"AM:!'9@"</f>
        <v>#VALUE!</v>
      </c>
      <c r="GF130" s="99" t="e">
        <f>'Delivery Calculation'!AU128+"AM:!'9A"</f>
        <v>#VALUE!</v>
      </c>
      <c r="GG130" s="99" t="e">
        <f>'Delivery Calculation'!AV128+"AM:!'9B"</f>
        <v>#VALUE!</v>
      </c>
      <c r="GH130" s="99" t="e">
        <f>'Delivery Calculation'!AW128+"AM:!'9C"</f>
        <v>#VALUE!</v>
      </c>
      <c r="GI130" s="99" t="e">
        <f>'Delivery Calculation'!AX128+"AM:!'9D"</f>
        <v>#VALUE!</v>
      </c>
      <c r="GJ130" s="101" t="e">
        <f>'Delivery Calculation'!AY128+"AM:!'9E"</f>
        <v>#VALUE!</v>
      </c>
      <c r="GK130" t="e">
        <f>'Delivery Calculation'!AZ128+"AM:!'9F"</f>
        <v>#VALUE!</v>
      </c>
      <c r="GL130" t="e">
        <f>'Delivery Calculation'!A129+"AM:!'9G"</f>
        <v>#VALUE!</v>
      </c>
      <c r="GM130" t="e">
        <f>'Delivery Calculation'!B129+"AM:!'9H"</f>
        <v>#VALUE!</v>
      </c>
      <c r="GN130" t="e">
        <f>'Delivery Calculation'!C129+"AM:!'9I"</f>
        <v>#VALUE!</v>
      </c>
      <c r="GO130" t="e">
        <f>'Delivery Calculation'!D129+"AM:!'9J"</f>
        <v>#VALUE!</v>
      </c>
      <c r="GP130" t="e">
        <f>'Delivery Calculation'!E129+"AM:!'9K"</f>
        <v>#VALUE!</v>
      </c>
      <c r="GQ130" s="98" t="e">
        <f>'Delivery Calculation'!F129+"AM:!'9L"</f>
        <v>#VALUE!</v>
      </c>
      <c r="GR130" s="98" t="e">
        <f>'Delivery Calculation'!G129+"AM:!'9M"</f>
        <v>#VALUE!</v>
      </c>
      <c r="GS130" s="97" t="e">
        <f>'Delivery Calculation'!H129+"AM:!'9N"</f>
        <v>#VALUE!</v>
      </c>
      <c r="GT130" s="97" t="e">
        <f>'Delivery Calculation'!I129+"AM:!'9O"</f>
        <v>#VALUE!</v>
      </c>
      <c r="GU130" s="103" t="e">
        <f>'Delivery Calculation'!J129+"AM:!'9P"</f>
        <v>#VALUE!</v>
      </c>
      <c r="GV130" s="98" t="e">
        <f>'Delivery Calculation'!K129+"AM:!'9Q"</f>
        <v>#VALUE!</v>
      </c>
      <c r="GW130" s="98" t="e">
        <f>'Delivery Calculation'!L129+"AM:!'9R"</f>
        <v>#VALUE!</v>
      </c>
      <c r="GX130" s="99" t="e">
        <f>'Delivery Calculation'!M129+"AM:!'9S"</f>
        <v>#VALUE!</v>
      </c>
      <c r="GY130" s="99" t="e">
        <f>'Delivery Calculation'!N129+"AM:!'9T"</f>
        <v>#VALUE!</v>
      </c>
      <c r="GZ130" s="99" t="e">
        <f>'Delivery Calculation'!O129+"AM:!'9U"</f>
        <v>#VALUE!</v>
      </c>
      <c r="HA130" s="99" t="e">
        <f>'Delivery Calculation'!P129+"AM:!'9V"</f>
        <v>#VALUE!</v>
      </c>
      <c r="HB130" s="99" t="e">
        <f>'Delivery Calculation'!Q129+"AM:!'9W"</f>
        <v>#VALUE!</v>
      </c>
      <c r="HC130" s="99" t="e">
        <f>'Delivery Calculation'!R129+"AM:!'9X"</f>
        <v>#VALUE!</v>
      </c>
      <c r="HD130" s="99" t="e">
        <f>'Delivery Calculation'!S129+"AM:!'9Y"</f>
        <v>#VALUE!</v>
      </c>
      <c r="HE130" s="99" t="e">
        <f>'Delivery Calculation'!T129+"AM:!'9Z"</f>
        <v>#VALUE!</v>
      </c>
      <c r="HF130" s="99" t="e">
        <f>'Delivery Calculation'!U129+"AM:!'9["</f>
        <v>#VALUE!</v>
      </c>
      <c r="HG130" s="99" t="e">
        <f>'Delivery Calculation'!V129+"AM:!'9\"</f>
        <v>#VALUE!</v>
      </c>
      <c r="HH130" s="99" t="e">
        <f>'Delivery Calculation'!W129+"AM:!'9]"</f>
        <v>#VALUE!</v>
      </c>
      <c r="HI130" s="99" t="e">
        <f>'Delivery Calculation'!X129+"AM:!'9^"</f>
        <v>#VALUE!</v>
      </c>
      <c r="HJ130" s="99" t="e">
        <f>'Delivery Calculation'!Y129+"AM:!'9_"</f>
        <v>#VALUE!</v>
      </c>
      <c r="HK130" s="99" t="e">
        <f>'Delivery Calculation'!Z129+"AM:!'9`"</f>
        <v>#VALUE!</v>
      </c>
      <c r="HL130" s="99" t="e">
        <f>'Delivery Calculation'!AA129+"AM:!'9a"</f>
        <v>#VALUE!</v>
      </c>
      <c r="HM130" s="99" t="e">
        <f>'Delivery Calculation'!AB129+"AM:!'9b"</f>
        <v>#VALUE!</v>
      </c>
      <c r="HN130" s="99" t="e">
        <f>'Delivery Calculation'!AC129+"AM:!'9c"</f>
        <v>#VALUE!</v>
      </c>
      <c r="HO130" s="99" t="e">
        <f>'Delivery Calculation'!AD129+"AM:!'9d"</f>
        <v>#VALUE!</v>
      </c>
      <c r="HP130" s="99" t="e">
        <f>'Delivery Calculation'!AE129+"AM:!'9e"</f>
        <v>#VALUE!</v>
      </c>
      <c r="HQ130" s="99" t="e">
        <f>'Delivery Calculation'!AF129+"AM:!'9f"</f>
        <v>#VALUE!</v>
      </c>
      <c r="HR130" s="99" t="e">
        <f>'Delivery Calculation'!AG129+"AM:!'9g"</f>
        <v>#VALUE!</v>
      </c>
      <c r="HS130" s="99" t="e">
        <f>'Delivery Calculation'!AH129+"AM:!'9h"</f>
        <v>#VALUE!</v>
      </c>
      <c r="HT130" s="99" t="e">
        <f>'Delivery Calculation'!AI129+"AM:!'9i"</f>
        <v>#VALUE!</v>
      </c>
      <c r="HU130" s="99" t="e">
        <f>'Delivery Calculation'!AJ129+"AM:!'9j"</f>
        <v>#VALUE!</v>
      </c>
      <c r="HV130" s="99" t="e">
        <f>'Delivery Calculation'!AK129+"AM:!'9k"</f>
        <v>#VALUE!</v>
      </c>
      <c r="HW130" s="99" t="e">
        <f>'Delivery Calculation'!AL129+"AM:!'9l"</f>
        <v>#VALUE!</v>
      </c>
      <c r="HX130" s="99" t="e">
        <f>'Delivery Calculation'!AM129+"AM:!'9m"</f>
        <v>#VALUE!</v>
      </c>
      <c r="HY130" s="99" t="e">
        <f>'Delivery Calculation'!AN129+"AM:!'9n"</f>
        <v>#VALUE!</v>
      </c>
      <c r="HZ130" s="99" t="e">
        <f>'Delivery Calculation'!AO129+"AM:!'9o"</f>
        <v>#VALUE!</v>
      </c>
      <c r="IA130" s="99" t="e">
        <f>'Delivery Calculation'!AP129+"AM:!'9p"</f>
        <v>#VALUE!</v>
      </c>
      <c r="IB130" s="99" t="e">
        <f>'Delivery Calculation'!AQ129+"AM:!'9q"</f>
        <v>#VALUE!</v>
      </c>
      <c r="IC130" s="99" t="e">
        <f>'Delivery Calculation'!AR129+"AM:!'9r"</f>
        <v>#VALUE!</v>
      </c>
      <c r="ID130" s="99" t="e">
        <f>'Delivery Calculation'!AS129+"AM:!'9s"</f>
        <v>#VALUE!</v>
      </c>
      <c r="IE130" s="99" t="e">
        <f>'Delivery Calculation'!AT129+"AM:!'9t"</f>
        <v>#VALUE!</v>
      </c>
      <c r="IF130" s="99" t="e">
        <f>'Delivery Calculation'!AU129+"AM:!'9u"</f>
        <v>#VALUE!</v>
      </c>
      <c r="IG130" s="99" t="e">
        <f>'Delivery Calculation'!AV129+"AM:!'9v"</f>
        <v>#VALUE!</v>
      </c>
      <c r="IH130" s="99" t="e">
        <f>'Delivery Calculation'!AW129+"AM:!'9w"</f>
        <v>#VALUE!</v>
      </c>
      <c r="II130" s="99" t="e">
        <f>'Delivery Calculation'!AX129+"AM:!'9x"</f>
        <v>#VALUE!</v>
      </c>
      <c r="IJ130" s="101" t="e">
        <f>'Delivery Calculation'!AY129+"AM:!'9y"</f>
        <v>#VALUE!</v>
      </c>
      <c r="IK130" t="e">
        <f>'Delivery Calculation'!AZ129+"AM:!'9z"</f>
        <v>#VALUE!</v>
      </c>
      <c r="IL130" t="e">
        <f>'Delivery Calculation'!A130+"AM:!'9{"</f>
        <v>#VALUE!</v>
      </c>
      <c r="IM130" t="e">
        <f>'Delivery Calculation'!B130+"AM:!'9|"</f>
        <v>#VALUE!</v>
      </c>
      <c r="IN130" t="e">
        <f>'Delivery Calculation'!C130+"AM:!'9}"</f>
        <v>#VALUE!</v>
      </c>
      <c r="IO130" t="e">
        <f>'Delivery Calculation'!D130+"AM:!'9~"</f>
        <v>#VALUE!</v>
      </c>
      <c r="IP130" t="e">
        <f>'Delivery Calculation'!E130+"AM:!':#"</f>
        <v>#VALUE!</v>
      </c>
      <c r="IQ130" s="98" t="e">
        <f>'Delivery Calculation'!F130+"AM:!':$"</f>
        <v>#VALUE!</v>
      </c>
      <c r="IR130" s="98" t="e">
        <f>'Delivery Calculation'!G130+"AM:!':%"</f>
        <v>#VALUE!</v>
      </c>
      <c r="IS130" s="97" t="e">
        <f>'Delivery Calculation'!H130+"AM:!':&amp;"</f>
        <v>#VALUE!</v>
      </c>
      <c r="IT130" s="97" t="e">
        <f>'Delivery Calculation'!I130+"AM:!':'"</f>
        <v>#VALUE!</v>
      </c>
      <c r="IU130" s="103" t="e">
        <f>'Delivery Calculation'!J130+"AM:!':("</f>
        <v>#VALUE!</v>
      </c>
      <c r="IV130" s="98" t="e">
        <f>'Delivery Calculation'!K130+"AM:!':)"</f>
        <v>#VALUE!</v>
      </c>
    </row>
    <row r="131" spans="6:256">
      <c r="F131" s="98" t="e">
        <f>'Delivery Calculation'!L130+"AM:!':."</f>
        <v>#VALUE!</v>
      </c>
      <c r="G131" s="99" t="e">
        <f>'Delivery Calculation'!M130+"AM:!':/"</f>
        <v>#VALUE!</v>
      </c>
      <c r="H131" s="99" t="e">
        <f>'Delivery Calculation'!N130+"AM:!':0"</f>
        <v>#VALUE!</v>
      </c>
      <c r="I131" s="99" t="e">
        <f>'Delivery Calculation'!O130+"AM:!':1"</f>
        <v>#VALUE!</v>
      </c>
      <c r="J131" s="99" t="e">
        <f>'Delivery Calculation'!P130+"AM:!':2"</f>
        <v>#VALUE!</v>
      </c>
      <c r="K131" s="99" t="e">
        <f>'Delivery Calculation'!Q130+"AM:!':3"</f>
        <v>#VALUE!</v>
      </c>
      <c r="L131" s="99" t="e">
        <f>'Delivery Calculation'!R130+"AM:!':4"</f>
        <v>#VALUE!</v>
      </c>
      <c r="M131" s="99" t="e">
        <f>'Delivery Calculation'!S130+"AM:!':5"</f>
        <v>#VALUE!</v>
      </c>
      <c r="N131" s="99" t="e">
        <f>'Delivery Calculation'!T130+"AM:!':6"</f>
        <v>#VALUE!</v>
      </c>
      <c r="O131" s="99" t="e">
        <f>'Delivery Calculation'!U130+"AM:!':7"</f>
        <v>#VALUE!</v>
      </c>
      <c r="P131" s="99" t="e">
        <f>'Delivery Calculation'!V130+"AM:!':8"</f>
        <v>#VALUE!</v>
      </c>
      <c r="Q131" s="99" t="e">
        <f>'Delivery Calculation'!W130+"AM:!':9"</f>
        <v>#VALUE!</v>
      </c>
      <c r="R131" s="99" t="e">
        <f>'Delivery Calculation'!X130+"AM:!'::"</f>
        <v>#VALUE!</v>
      </c>
      <c r="S131" s="99" t="e">
        <f>'Delivery Calculation'!Y130+"AM:!':;"</f>
        <v>#VALUE!</v>
      </c>
      <c r="T131" s="99" t="e">
        <f>'Delivery Calculation'!Z130+"AM:!':&lt;"</f>
        <v>#VALUE!</v>
      </c>
      <c r="U131" s="99" t="e">
        <f>'Delivery Calculation'!AA130+"AM:!':="</f>
        <v>#VALUE!</v>
      </c>
      <c r="V131" s="99" t="e">
        <f>'Delivery Calculation'!AB130+"AM:!':&gt;"</f>
        <v>#VALUE!</v>
      </c>
      <c r="W131" s="99" t="e">
        <f>'Delivery Calculation'!AC130+"AM:!':?"</f>
        <v>#VALUE!</v>
      </c>
      <c r="X131" s="99" t="e">
        <f>'Delivery Calculation'!AD130+"AM:!':@"</f>
        <v>#VALUE!</v>
      </c>
      <c r="Y131" s="99" t="e">
        <f>'Delivery Calculation'!AE130+"AM:!':A"</f>
        <v>#VALUE!</v>
      </c>
      <c r="Z131" s="99" t="e">
        <f>'Delivery Calculation'!AF130+"AM:!':B"</f>
        <v>#VALUE!</v>
      </c>
      <c r="AA131" s="99" t="e">
        <f>'Delivery Calculation'!AG130+"AM:!':C"</f>
        <v>#VALUE!</v>
      </c>
      <c r="AB131" s="99" t="e">
        <f>'Delivery Calculation'!AH130+"AM:!':D"</f>
        <v>#VALUE!</v>
      </c>
      <c r="AC131" s="99" t="e">
        <f>'Delivery Calculation'!AI130+"AM:!':E"</f>
        <v>#VALUE!</v>
      </c>
      <c r="AD131" s="99" t="e">
        <f>'Delivery Calculation'!AJ130+"AM:!':F"</f>
        <v>#VALUE!</v>
      </c>
      <c r="AE131" s="99" t="e">
        <f>'Delivery Calculation'!AK130+"AM:!':G"</f>
        <v>#VALUE!</v>
      </c>
      <c r="AF131" s="99" t="e">
        <f>'Delivery Calculation'!AL130+"AM:!':H"</f>
        <v>#VALUE!</v>
      </c>
      <c r="AG131" s="99" t="e">
        <f>'Delivery Calculation'!AM130+"AM:!':I"</f>
        <v>#VALUE!</v>
      </c>
      <c r="AH131" s="99" t="e">
        <f>'Delivery Calculation'!AN130+"AM:!':J"</f>
        <v>#VALUE!</v>
      </c>
      <c r="AI131" s="99" t="e">
        <f>'Delivery Calculation'!AO130+"AM:!':K"</f>
        <v>#VALUE!</v>
      </c>
      <c r="AJ131" s="99" t="e">
        <f>'Delivery Calculation'!AP130+"AM:!':L"</f>
        <v>#VALUE!</v>
      </c>
      <c r="AK131" s="99" t="e">
        <f>'Delivery Calculation'!AQ130+"AM:!':M"</f>
        <v>#VALUE!</v>
      </c>
      <c r="AL131" s="99" t="e">
        <f>'Delivery Calculation'!AR130+"AM:!':N"</f>
        <v>#VALUE!</v>
      </c>
      <c r="AM131" s="99" t="e">
        <f>'Delivery Calculation'!AS130+"AM:!':O"</f>
        <v>#VALUE!</v>
      </c>
      <c r="AN131" s="99" t="e">
        <f>'Delivery Calculation'!AT130+"AM:!':P"</f>
        <v>#VALUE!</v>
      </c>
      <c r="AO131" s="99" t="e">
        <f>'Delivery Calculation'!AU130+"AM:!':Q"</f>
        <v>#VALUE!</v>
      </c>
      <c r="AP131" s="99" t="e">
        <f>'Delivery Calculation'!AV130+"AM:!':R"</f>
        <v>#VALUE!</v>
      </c>
      <c r="AQ131" s="99" t="e">
        <f>'Delivery Calculation'!AW130+"AM:!':S"</f>
        <v>#VALUE!</v>
      </c>
      <c r="AR131" s="99" t="e">
        <f>'Delivery Calculation'!AX130+"AM:!':T"</f>
        <v>#VALUE!</v>
      </c>
      <c r="AS131" s="101" t="e">
        <f>'Delivery Calculation'!AY130+"AM:!':U"</f>
        <v>#VALUE!</v>
      </c>
      <c r="AT131" t="e">
        <f>'Delivery Calculation'!AZ130+"AM:!':V"</f>
        <v>#VALUE!</v>
      </c>
      <c r="AU131" t="e">
        <f>'Delivery Calculation'!A131+"AM:!':W"</f>
        <v>#VALUE!</v>
      </c>
      <c r="AV131" t="e">
        <f>'Delivery Calculation'!B131+"AM:!':X"</f>
        <v>#VALUE!</v>
      </c>
      <c r="AW131" t="e">
        <f>'Delivery Calculation'!C131+"AM:!':Y"</f>
        <v>#VALUE!</v>
      </c>
      <c r="AX131" t="e">
        <f>'Delivery Calculation'!D131+"AM:!':Z"</f>
        <v>#VALUE!</v>
      </c>
      <c r="AY131" t="e">
        <f>'Delivery Calculation'!E131+"AM:!':["</f>
        <v>#VALUE!</v>
      </c>
      <c r="AZ131" s="98" t="e">
        <f>'Delivery Calculation'!F131+"AM:!':\"</f>
        <v>#VALUE!</v>
      </c>
      <c r="BA131" s="98" t="e">
        <f>'Delivery Calculation'!G131+"AM:!':]"</f>
        <v>#VALUE!</v>
      </c>
      <c r="BB131" s="97" t="e">
        <f>'Delivery Calculation'!H131+"AM:!':^"</f>
        <v>#VALUE!</v>
      </c>
      <c r="BC131" s="97" t="e">
        <f>'Delivery Calculation'!I131+"AM:!':_"</f>
        <v>#VALUE!</v>
      </c>
      <c r="BD131" s="103" t="e">
        <f>'Delivery Calculation'!J131+"AM:!':`"</f>
        <v>#VALUE!</v>
      </c>
      <c r="BE131" s="98" t="e">
        <f>'Delivery Calculation'!K131+"AM:!':a"</f>
        <v>#VALUE!</v>
      </c>
      <c r="BF131" s="98" t="e">
        <f>'Delivery Calculation'!L131+"AM:!':b"</f>
        <v>#VALUE!</v>
      </c>
      <c r="BG131" s="99" t="e">
        <f>'Delivery Calculation'!M131+"AM:!':c"</f>
        <v>#VALUE!</v>
      </c>
      <c r="BH131" s="99" t="e">
        <f>'Delivery Calculation'!N131+"AM:!':d"</f>
        <v>#VALUE!</v>
      </c>
      <c r="BI131" s="99" t="e">
        <f>'Delivery Calculation'!O131+"AM:!':e"</f>
        <v>#VALUE!</v>
      </c>
      <c r="BJ131" s="99" t="e">
        <f>'Delivery Calculation'!P131+"AM:!':f"</f>
        <v>#VALUE!</v>
      </c>
      <c r="BK131" s="99" t="e">
        <f>'Delivery Calculation'!Q131+"AM:!':g"</f>
        <v>#VALUE!</v>
      </c>
      <c r="BL131" s="99" t="e">
        <f>'Delivery Calculation'!R131+"AM:!':h"</f>
        <v>#VALUE!</v>
      </c>
      <c r="BM131" s="99" t="e">
        <f>'Delivery Calculation'!S131+"AM:!':i"</f>
        <v>#VALUE!</v>
      </c>
      <c r="BN131" s="99" t="e">
        <f>'Delivery Calculation'!T131+"AM:!':j"</f>
        <v>#VALUE!</v>
      </c>
      <c r="BO131" s="99" t="e">
        <f>'Delivery Calculation'!U131+"AM:!':k"</f>
        <v>#VALUE!</v>
      </c>
      <c r="BP131" s="99" t="e">
        <f>'Delivery Calculation'!V131+"AM:!':l"</f>
        <v>#VALUE!</v>
      </c>
      <c r="BQ131" s="99" t="e">
        <f>'Delivery Calculation'!W131+"AM:!':m"</f>
        <v>#VALUE!</v>
      </c>
      <c r="BR131" s="99" t="e">
        <f>'Delivery Calculation'!X131+"AM:!':n"</f>
        <v>#VALUE!</v>
      </c>
      <c r="BS131" s="99" t="e">
        <f>'Delivery Calculation'!Y131+"AM:!':o"</f>
        <v>#VALUE!</v>
      </c>
      <c r="BT131" s="99" t="e">
        <f>'Delivery Calculation'!Z131+"AM:!':p"</f>
        <v>#VALUE!</v>
      </c>
      <c r="BU131" s="99" t="e">
        <f>'Delivery Calculation'!AA131+"AM:!':q"</f>
        <v>#VALUE!</v>
      </c>
      <c r="BV131" s="99" t="e">
        <f>'Delivery Calculation'!AB131+"AM:!':r"</f>
        <v>#VALUE!</v>
      </c>
      <c r="BW131" s="99" t="e">
        <f>'Delivery Calculation'!AC131+"AM:!':s"</f>
        <v>#VALUE!</v>
      </c>
      <c r="BX131" s="99" t="e">
        <f>'Delivery Calculation'!AD131+"AM:!':t"</f>
        <v>#VALUE!</v>
      </c>
      <c r="BY131" s="99" t="e">
        <f>'Delivery Calculation'!AE131+"AM:!':u"</f>
        <v>#VALUE!</v>
      </c>
      <c r="BZ131" s="99" t="e">
        <f>'Delivery Calculation'!AF131+"AM:!':v"</f>
        <v>#VALUE!</v>
      </c>
      <c r="CA131" s="99" t="e">
        <f>'Delivery Calculation'!AG131+"AM:!':w"</f>
        <v>#VALUE!</v>
      </c>
      <c r="CB131" s="99" t="e">
        <f>'Delivery Calculation'!AH131+"AM:!':x"</f>
        <v>#VALUE!</v>
      </c>
      <c r="CC131" s="99" t="e">
        <f>'Delivery Calculation'!AI131+"AM:!':y"</f>
        <v>#VALUE!</v>
      </c>
      <c r="CD131" s="99" t="e">
        <f>'Delivery Calculation'!AJ131+"AM:!':z"</f>
        <v>#VALUE!</v>
      </c>
      <c r="CE131" s="99" t="e">
        <f>'Delivery Calculation'!AK131+"AM:!':{"</f>
        <v>#VALUE!</v>
      </c>
      <c r="CF131" s="99" t="e">
        <f>'Delivery Calculation'!AL131+"AM:!':|"</f>
        <v>#VALUE!</v>
      </c>
      <c r="CG131" s="99" t="e">
        <f>'Delivery Calculation'!AM131+"AM:!':}"</f>
        <v>#VALUE!</v>
      </c>
      <c r="CH131" s="99" t="e">
        <f>'Delivery Calculation'!AN131+"AM:!':~"</f>
        <v>#VALUE!</v>
      </c>
      <c r="CI131" s="99" t="e">
        <f>'Delivery Calculation'!AO131+"AM:!';#"</f>
        <v>#VALUE!</v>
      </c>
      <c r="CJ131" s="99" t="e">
        <f>'Delivery Calculation'!AP131+"AM:!';$"</f>
        <v>#VALUE!</v>
      </c>
      <c r="CK131" s="99" t="e">
        <f>'Delivery Calculation'!AQ131+"AM:!';%"</f>
        <v>#VALUE!</v>
      </c>
      <c r="CL131" s="99" t="e">
        <f>'Delivery Calculation'!AR131+"AM:!';&amp;"</f>
        <v>#VALUE!</v>
      </c>
      <c r="CM131" s="99" t="e">
        <f>'Delivery Calculation'!AS131+"AM:!';'"</f>
        <v>#VALUE!</v>
      </c>
      <c r="CN131" s="99" t="e">
        <f>'Delivery Calculation'!AT131+"AM:!';("</f>
        <v>#VALUE!</v>
      </c>
      <c r="CO131" s="99" t="e">
        <f>'Delivery Calculation'!AU131+"AM:!';)"</f>
        <v>#VALUE!</v>
      </c>
      <c r="CP131" s="99" t="e">
        <f>'Delivery Calculation'!AV131+"AM:!';."</f>
        <v>#VALUE!</v>
      </c>
      <c r="CQ131" s="99" t="e">
        <f>'Delivery Calculation'!AW131+"AM:!';/"</f>
        <v>#VALUE!</v>
      </c>
      <c r="CR131" s="99" t="e">
        <f>'Delivery Calculation'!AX131+"AM:!';0"</f>
        <v>#VALUE!</v>
      </c>
      <c r="CS131" s="101" t="e">
        <f>'Delivery Calculation'!AY131+"AM:!';1"</f>
        <v>#VALUE!</v>
      </c>
      <c r="CT131" t="e">
        <f>'Delivery Calculation'!AZ131+"AM:!';2"</f>
        <v>#VALUE!</v>
      </c>
      <c r="CU131" t="e">
        <f>'Delivery Calculation'!A132+"AM:!';3"</f>
        <v>#VALUE!</v>
      </c>
      <c r="CV131" t="e">
        <f>'Delivery Calculation'!B132+"AM:!';4"</f>
        <v>#VALUE!</v>
      </c>
      <c r="CW131" t="e">
        <f>'Delivery Calculation'!C132+"AM:!';5"</f>
        <v>#VALUE!</v>
      </c>
      <c r="CX131" t="e">
        <f>'Delivery Calculation'!D132+"AM:!';6"</f>
        <v>#VALUE!</v>
      </c>
      <c r="CY131" t="e">
        <f>'Delivery Calculation'!E132+"AM:!';7"</f>
        <v>#VALUE!</v>
      </c>
      <c r="CZ131" s="98" t="e">
        <f>'Delivery Calculation'!F132+"AM:!';8"</f>
        <v>#VALUE!</v>
      </c>
      <c r="DA131" s="98" t="e">
        <f>'Delivery Calculation'!G132+"AM:!';9"</f>
        <v>#VALUE!</v>
      </c>
      <c r="DB131" s="97" t="e">
        <f>'Delivery Calculation'!H132+"AM:!';:"</f>
        <v>#VALUE!</v>
      </c>
      <c r="DC131" s="97" t="e">
        <f>'Delivery Calculation'!I132+"AM:!';;"</f>
        <v>#VALUE!</v>
      </c>
      <c r="DD131" s="103" t="e">
        <f>'Delivery Calculation'!J132+"AM:!';&lt;"</f>
        <v>#VALUE!</v>
      </c>
      <c r="DE131" s="98" t="e">
        <f>'Delivery Calculation'!K132+"AM:!';="</f>
        <v>#VALUE!</v>
      </c>
      <c r="DF131" s="98" t="e">
        <f>'Delivery Calculation'!L132+"AM:!';&gt;"</f>
        <v>#VALUE!</v>
      </c>
      <c r="DG131" s="99" t="e">
        <f>'Delivery Calculation'!M132+"AM:!';?"</f>
        <v>#VALUE!</v>
      </c>
      <c r="DH131" s="99" t="e">
        <f>'Delivery Calculation'!N132+"AM:!';@"</f>
        <v>#VALUE!</v>
      </c>
      <c r="DI131" s="99" t="e">
        <f>'Delivery Calculation'!O132+"AM:!';A"</f>
        <v>#VALUE!</v>
      </c>
      <c r="DJ131" s="99" t="e">
        <f>'Delivery Calculation'!P132+"AM:!';B"</f>
        <v>#VALUE!</v>
      </c>
      <c r="DK131" s="99" t="e">
        <f>'Delivery Calculation'!Q132+"AM:!';C"</f>
        <v>#VALUE!</v>
      </c>
      <c r="DL131" s="99" t="e">
        <f>'Delivery Calculation'!R132+"AM:!';D"</f>
        <v>#VALUE!</v>
      </c>
      <c r="DM131" s="99" t="e">
        <f>'Delivery Calculation'!S132+"AM:!';E"</f>
        <v>#VALUE!</v>
      </c>
      <c r="DN131" s="99" t="e">
        <f>'Delivery Calculation'!T132+"AM:!';F"</f>
        <v>#VALUE!</v>
      </c>
      <c r="DO131" s="99" t="e">
        <f>'Delivery Calculation'!U132+"AM:!';G"</f>
        <v>#VALUE!</v>
      </c>
      <c r="DP131" s="99" t="e">
        <f>'Delivery Calculation'!V132+"AM:!';H"</f>
        <v>#VALUE!</v>
      </c>
      <c r="DQ131" s="99" t="e">
        <f>'Delivery Calculation'!W132+"AM:!';I"</f>
        <v>#VALUE!</v>
      </c>
      <c r="DR131" s="99" t="e">
        <f>'Delivery Calculation'!X132+"AM:!';J"</f>
        <v>#VALUE!</v>
      </c>
      <c r="DS131" s="99" t="e">
        <f>'Delivery Calculation'!Y132+"AM:!';K"</f>
        <v>#VALUE!</v>
      </c>
      <c r="DT131" s="99" t="e">
        <f>'Delivery Calculation'!Z132+"AM:!';L"</f>
        <v>#VALUE!</v>
      </c>
      <c r="DU131" s="99" t="e">
        <f>'Delivery Calculation'!AA132+"AM:!';M"</f>
        <v>#VALUE!</v>
      </c>
      <c r="DV131" s="99" t="e">
        <f>'Delivery Calculation'!AB132+"AM:!';N"</f>
        <v>#VALUE!</v>
      </c>
      <c r="DW131" s="99" t="e">
        <f>'Delivery Calculation'!AC132+"AM:!';O"</f>
        <v>#VALUE!</v>
      </c>
      <c r="DX131" s="99" t="e">
        <f>'Delivery Calculation'!AD132+"AM:!';P"</f>
        <v>#VALUE!</v>
      </c>
      <c r="DY131" s="99" t="e">
        <f>'Delivery Calculation'!AE132+"AM:!';Q"</f>
        <v>#VALUE!</v>
      </c>
      <c r="DZ131" s="99" t="e">
        <f>'Delivery Calculation'!AF132+"AM:!';R"</f>
        <v>#VALUE!</v>
      </c>
      <c r="EA131" s="99" t="e">
        <f>'Delivery Calculation'!AG132+"AM:!';S"</f>
        <v>#VALUE!</v>
      </c>
      <c r="EB131" s="99" t="e">
        <f>'Delivery Calculation'!AH132+"AM:!';T"</f>
        <v>#VALUE!</v>
      </c>
      <c r="EC131" s="99" t="e">
        <f>'Delivery Calculation'!AI132+"AM:!';U"</f>
        <v>#VALUE!</v>
      </c>
      <c r="ED131" s="99" t="e">
        <f>'Delivery Calculation'!AJ132+"AM:!';V"</f>
        <v>#VALUE!</v>
      </c>
      <c r="EE131" s="99" t="e">
        <f>'Delivery Calculation'!AK132+"AM:!';W"</f>
        <v>#VALUE!</v>
      </c>
      <c r="EF131" s="99" t="e">
        <f>'Delivery Calculation'!AL132+"AM:!';X"</f>
        <v>#VALUE!</v>
      </c>
      <c r="EG131" s="99" t="e">
        <f>'Delivery Calculation'!AM132+"AM:!';Y"</f>
        <v>#VALUE!</v>
      </c>
      <c r="EH131" s="99" t="e">
        <f>'Delivery Calculation'!AN132+"AM:!';Z"</f>
        <v>#VALUE!</v>
      </c>
      <c r="EI131" s="99" t="e">
        <f>'Delivery Calculation'!AO132+"AM:!';["</f>
        <v>#VALUE!</v>
      </c>
      <c r="EJ131" s="99" t="e">
        <f>'Delivery Calculation'!AP132+"AM:!';\"</f>
        <v>#VALUE!</v>
      </c>
      <c r="EK131" s="99" t="e">
        <f>'Delivery Calculation'!AQ132+"AM:!';]"</f>
        <v>#VALUE!</v>
      </c>
      <c r="EL131" s="99" t="e">
        <f>'Delivery Calculation'!AR132+"AM:!';^"</f>
        <v>#VALUE!</v>
      </c>
      <c r="EM131" s="99" t="e">
        <f>'Delivery Calculation'!AS132+"AM:!';_"</f>
        <v>#VALUE!</v>
      </c>
      <c r="EN131" s="99" t="e">
        <f>'Delivery Calculation'!AT132+"AM:!';`"</f>
        <v>#VALUE!</v>
      </c>
      <c r="EO131" s="99" t="e">
        <f>'Delivery Calculation'!AU132+"AM:!';a"</f>
        <v>#VALUE!</v>
      </c>
      <c r="EP131" s="99" t="e">
        <f>'Delivery Calculation'!AV132+"AM:!';b"</f>
        <v>#VALUE!</v>
      </c>
      <c r="EQ131" s="99" t="e">
        <f>'Delivery Calculation'!AW132+"AM:!';c"</f>
        <v>#VALUE!</v>
      </c>
      <c r="ER131" s="99" t="e">
        <f>'Delivery Calculation'!AX132+"AM:!';d"</f>
        <v>#VALUE!</v>
      </c>
      <c r="ES131" s="101" t="e">
        <f>'Delivery Calculation'!AY132+"AM:!';e"</f>
        <v>#VALUE!</v>
      </c>
      <c r="ET131" t="e">
        <f>'Delivery Calculation'!AZ132+"AM:!';f"</f>
        <v>#VALUE!</v>
      </c>
      <c r="EU131" t="e">
        <f>'Delivery Calculation'!A133+"AM:!';g"</f>
        <v>#VALUE!</v>
      </c>
      <c r="EV131" t="e">
        <f>'Delivery Calculation'!B133+"AM:!';h"</f>
        <v>#VALUE!</v>
      </c>
      <c r="EW131" t="e">
        <f>'Delivery Calculation'!C133+"AM:!';i"</f>
        <v>#VALUE!</v>
      </c>
      <c r="EX131" t="e">
        <f>'Delivery Calculation'!D133+"AM:!';j"</f>
        <v>#VALUE!</v>
      </c>
      <c r="EY131" t="e">
        <f>'Delivery Calculation'!E133+"AM:!';k"</f>
        <v>#VALUE!</v>
      </c>
      <c r="EZ131" s="98" t="e">
        <f>'Delivery Calculation'!F133+"AM:!';l"</f>
        <v>#VALUE!</v>
      </c>
      <c r="FA131" s="98" t="e">
        <f>'Delivery Calculation'!G133+"AM:!';m"</f>
        <v>#VALUE!</v>
      </c>
      <c r="FB131" s="97" t="e">
        <f>'Delivery Calculation'!H133+"AM:!';n"</f>
        <v>#VALUE!</v>
      </c>
      <c r="FC131" s="97" t="e">
        <f>'Delivery Calculation'!I133+"AM:!';o"</f>
        <v>#VALUE!</v>
      </c>
      <c r="FD131" s="103" t="e">
        <f>'Delivery Calculation'!J133+"AM:!';p"</f>
        <v>#VALUE!</v>
      </c>
      <c r="FE131" s="98" t="e">
        <f>'Delivery Calculation'!K133+"AM:!';q"</f>
        <v>#VALUE!</v>
      </c>
      <c r="FF131" s="98" t="e">
        <f>'Delivery Calculation'!L133+"AM:!';r"</f>
        <v>#VALUE!</v>
      </c>
      <c r="FG131" s="99" t="e">
        <f>'Delivery Calculation'!M133+"AM:!';s"</f>
        <v>#VALUE!</v>
      </c>
      <c r="FH131" s="99" t="e">
        <f>'Delivery Calculation'!N133+"AM:!';t"</f>
        <v>#VALUE!</v>
      </c>
      <c r="FI131" s="99" t="e">
        <f>'Delivery Calculation'!O133+"AM:!';u"</f>
        <v>#VALUE!</v>
      </c>
      <c r="FJ131" s="99" t="e">
        <f>'Delivery Calculation'!P133+"AM:!';v"</f>
        <v>#VALUE!</v>
      </c>
      <c r="FK131" s="99" t="e">
        <f>'Delivery Calculation'!Q133+"AM:!';w"</f>
        <v>#VALUE!</v>
      </c>
      <c r="FL131" s="99" t="e">
        <f>'Delivery Calculation'!R133+"AM:!';x"</f>
        <v>#VALUE!</v>
      </c>
      <c r="FM131" s="99" t="e">
        <f>'Delivery Calculation'!S133+"AM:!';y"</f>
        <v>#VALUE!</v>
      </c>
      <c r="FN131" s="99" t="e">
        <f>'Delivery Calculation'!T133+"AM:!';z"</f>
        <v>#VALUE!</v>
      </c>
      <c r="FO131" s="99" t="e">
        <f>'Delivery Calculation'!U133+"AM:!';{"</f>
        <v>#VALUE!</v>
      </c>
      <c r="FP131" s="99" t="e">
        <f>'Delivery Calculation'!V133+"AM:!';|"</f>
        <v>#VALUE!</v>
      </c>
      <c r="FQ131" s="99" t="e">
        <f>'Delivery Calculation'!W133+"AM:!';}"</f>
        <v>#VALUE!</v>
      </c>
      <c r="FR131" s="99" t="e">
        <f>'Delivery Calculation'!X133+"AM:!';~"</f>
        <v>#VALUE!</v>
      </c>
      <c r="FS131" s="99" t="e">
        <f>'Delivery Calculation'!Y133+"AM:!'&lt;#"</f>
        <v>#VALUE!</v>
      </c>
      <c r="FT131" s="99" t="e">
        <f>'Delivery Calculation'!Z133+"AM:!'&lt;$"</f>
        <v>#VALUE!</v>
      </c>
      <c r="FU131" s="99" t="e">
        <f>'Delivery Calculation'!AA133+"AM:!'&lt;%"</f>
        <v>#VALUE!</v>
      </c>
      <c r="FV131" s="99" t="e">
        <f>'Delivery Calculation'!AB133+"AM:!'&lt;&amp;"</f>
        <v>#VALUE!</v>
      </c>
      <c r="FW131" s="99" t="e">
        <f>'Delivery Calculation'!AC133+"AM:!'&lt;'"</f>
        <v>#VALUE!</v>
      </c>
      <c r="FX131" s="99" t="e">
        <f>'Delivery Calculation'!AD133+"AM:!'&lt;("</f>
        <v>#VALUE!</v>
      </c>
      <c r="FY131" s="99" t="e">
        <f>'Delivery Calculation'!AE133+"AM:!'&lt;)"</f>
        <v>#VALUE!</v>
      </c>
      <c r="FZ131" s="99" t="e">
        <f>'Delivery Calculation'!AF133+"AM:!'&lt;."</f>
        <v>#VALUE!</v>
      </c>
      <c r="GA131" s="99" t="e">
        <f>'Delivery Calculation'!AG133+"AM:!'&lt;/"</f>
        <v>#VALUE!</v>
      </c>
      <c r="GB131" s="99" t="e">
        <f>'Delivery Calculation'!AH133+"AM:!'&lt;0"</f>
        <v>#VALUE!</v>
      </c>
      <c r="GC131" s="99" t="e">
        <f>'Delivery Calculation'!AI133+"AM:!'&lt;1"</f>
        <v>#VALUE!</v>
      </c>
      <c r="GD131" s="99" t="e">
        <f>'Delivery Calculation'!AJ133+"AM:!'&lt;2"</f>
        <v>#VALUE!</v>
      </c>
      <c r="GE131" s="99" t="e">
        <f>'Delivery Calculation'!AK133+"AM:!'&lt;3"</f>
        <v>#VALUE!</v>
      </c>
      <c r="GF131" s="99" t="e">
        <f>'Delivery Calculation'!AL133+"AM:!'&lt;4"</f>
        <v>#VALUE!</v>
      </c>
      <c r="GG131" s="99" t="e">
        <f>'Delivery Calculation'!AM133+"AM:!'&lt;5"</f>
        <v>#VALUE!</v>
      </c>
      <c r="GH131" s="99" t="e">
        <f>'Delivery Calculation'!AN133+"AM:!'&lt;6"</f>
        <v>#VALUE!</v>
      </c>
      <c r="GI131" s="99" t="e">
        <f>'Delivery Calculation'!AO133+"AM:!'&lt;7"</f>
        <v>#VALUE!</v>
      </c>
      <c r="GJ131" s="99" t="e">
        <f>'Delivery Calculation'!AP133+"AM:!'&lt;8"</f>
        <v>#VALUE!</v>
      </c>
      <c r="GK131" s="99" t="e">
        <f>'Delivery Calculation'!AQ133+"AM:!'&lt;9"</f>
        <v>#VALUE!</v>
      </c>
      <c r="GL131" s="99" t="e">
        <f>'Delivery Calculation'!AR133+"AM:!'&lt;:"</f>
        <v>#VALUE!</v>
      </c>
      <c r="GM131" s="99" t="e">
        <f>'Delivery Calculation'!AS133+"AM:!'&lt;;"</f>
        <v>#VALUE!</v>
      </c>
      <c r="GN131" s="99" t="e">
        <f>'Delivery Calculation'!AT133+"AM:!'&lt;&lt;"</f>
        <v>#VALUE!</v>
      </c>
      <c r="GO131" s="99" t="e">
        <f>'Delivery Calculation'!AU133+"AM:!'&lt;="</f>
        <v>#VALUE!</v>
      </c>
      <c r="GP131" s="99" t="e">
        <f>'Delivery Calculation'!AV133+"AM:!'&lt;&gt;"</f>
        <v>#VALUE!</v>
      </c>
      <c r="GQ131" s="99" t="e">
        <f>'Delivery Calculation'!AW133+"AM:!'&lt;?"</f>
        <v>#VALUE!</v>
      </c>
      <c r="GR131" s="99" t="e">
        <f>'Delivery Calculation'!AX133+"AM:!'&lt;@"</f>
        <v>#VALUE!</v>
      </c>
      <c r="GS131" s="101" t="e">
        <f>'Delivery Calculation'!AY133+"AM:!'&lt;A"</f>
        <v>#VALUE!</v>
      </c>
      <c r="GT131" t="e">
        <f>'Delivery Calculation'!AZ133+"AM:!'&lt;B"</f>
        <v>#VALUE!</v>
      </c>
      <c r="GU131" t="e">
        <f>'Delivery Calculation'!A134+"AM:!'&lt;C"</f>
        <v>#VALUE!</v>
      </c>
      <c r="GV131" t="e">
        <f>'Delivery Calculation'!B134+"AM:!'&lt;D"</f>
        <v>#VALUE!</v>
      </c>
      <c r="GW131" t="e">
        <f>'Delivery Calculation'!C134+"AM:!'&lt;E"</f>
        <v>#VALUE!</v>
      </c>
      <c r="GX131" t="e">
        <f>'Delivery Calculation'!D134+"AM:!'&lt;F"</f>
        <v>#VALUE!</v>
      </c>
      <c r="GY131" t="e">
        <f>'Delivery Calculation'!E134+"AM:!'&lt;G"</f>
        <v>#VALUE!</v>
      </c>
      <c r="GZ131" s="98" t="e">
        <f>'Delivery Calculation'!F134+"AM:!'&lt;H"</f>
        <v>#VALUE!</v>
      </c>
      <c r="HA131" s="98" t="e">
        <f>'Delivery Calculation'!G134+"AM:!'&lt;I"</f>
        <v>#VALUE!</v>
      </c>
      <c r="HB131" s="97" t="e">
        <f>'Delivery Calculation'!H134+"AM:!'&lt;J"</f>
        <v>#VALUE!</v>
      </c>
      <c r="HC131" s="97" t="e">
        <f>'Delivery Calculation'!I134+"AM:!'&lt;K"</f>
        <v>#VALUE!</v>
      </c>
      <c r="HD131" s="103" t="e">
        <f>'Delivery Calculation'!J134+"AM:!'&lt;L"</f>
        <v>#VALUE!</v>
      </c>
      <c r="HE131" s="98" t="e">
        <f>'Delivery Calculation'!K134+"AM:!'&lt;M"</f>
        <v>#VALUE!</v>
      </c>
      <c r="HF131" s="98" t="e">
        <f>'Delivery Calculation'!L134+"AM:!'&lt;N"</f>
        <v>#VALUE!</v>
      </c>
      <c r="HG131" s="99" t="e">
        <f>'Delivery Calculation'!M134+"AM:!'&lt;O"</f>
        <v>#VALUE!</v>
      </c>
      <c r="HH131" s="99" t="e">
        <f>'Delivery Calculation'!N134+"AM:!'&lt;P"</f>
        <v>#VALUE!</v>
      </c>
      <c r="HI131" s="99" t="e">
        <f>'Delivery Calculation'!O134+"AM:!'&lt;Q"</f>
        <v>#VALUE!</v>
      </c>
      <c r="HJ131" s="99" t="e">
        <f>'Delivery Calculation'!P134+"AM:!'&lt;R"</f>
        <v>#VALUE!</v>
      </c>
      <c r="HK131" s="99" t="e">
        <f>'Delivery Calculation'!Q134+"AM:!'&lt;S"</f>
        <v>#VALUE!</v>
      </c>
      <c r="HL131" s="99" t="e">
        <f>'Delivery Calculation'!R134+"AM:!'&lt;T"</f>
        <v>#VALUE!</v>
      </c>
      <c r="HM131" s="99" t="e">
        <f>'Delivery Calculation'!S134+"AM:!'&lt;U"</f>
        <v>#VALUE!</v>
      </c>
      <c r="HN131" s="99" t="e">
        <f>'Delivery Calculation'!T134+"AM:!'&lt;V"</f>
        <v>#VALUE!</v>
      </c>
      <c r="HO131" s="99" t="e">
        <f>'Delivery Calculation'!U134+"AM:!'&lt;W"</f>
        <v>#VALUE!</v>
      </c>
      <c r="HP131" s="99" t="e">
        <f>'Delivery Calculation'!V134+"AM:!'&lt;X"</f>
        <v>#VALUE!</v>
      </c>
      <c r="HQ131" s="99" t="e">
        <f>'Delivery Calculation'!W134+"AM:!'&lt;Y"</f>
        <v>#VALUE!</v>
      </c>
      <c r="HR131" s="99" t="e">
        <f>'Delivery Calculation'!X134+"AM:!'&lt;Z"</f>
        <v>#VALUE!</v>
      </c>
      <c r="HS131" s="99" t="e">
        <f>'Delivery Calculation'!Y134+"AM:!'&lt;["</f>
        <v>#VALUE!</v>
      </c>
      <c r="HT131" s="99" t="e">
        <f>'Delivery Calculation'!Z134+"AM:!'&lt;\"</f>
        <v>#VALUE!</v>
      </c>
      <c r="HU131" s="99" t="e">
        <f>'Delivery Calculation'!AA134+"AM:!'&lt;]"</f>
        <v>#VALUE!</v>
      </c>
      <c r="HV131" s="99" t="e">
        <f>'Delivery Calculation'!AB134+"AM:!'&lt;^"</f>
        <v>#VALUE!</v>
      </c>
      <c r="HW131" s="99" t="e">
        <f>'Delivery Calculation'!AC134+"AM:!'&lt;_"</f>
        <v>#VALUE!</v>
      </c>
      <c r="HX131" s="99" t="e">
        <f>'Delivery Calculation'!AD134+"AM:!'&lt;`"</f>
        <v>#VALUE!</v>
      </c>
      <c r="HY131" s="99" t="e">
        <f>'Delivery Calculation'!AE134+"AM:!'&lt;a"</f>
        <v>#VALUE!</v>
      </c>
      <c r="HZ131" s="99" t="e">
        <f>'Delivery Calculation'!AF134+"AM:!'&lt;b"</f>
        <v>#VALUE!</v>
      </c>
      <c r="IA131" s="99" t="e">
        <f>'Delivery Calculation'!AG134+"AM:!'&lt;c"</f>
        <v>#VALUE!</v>
      </c>
      <c r="IB131" s="99" t="e">
        <f>'Delivery Calculation'!AH134+"AM:!'&lt;d"</f>
        <v>#VALUE!</v>
      </c>
      <c r="IC131" s="99" t="e">
        <f>'Delivery Calculation'!AI134+"AM:!'&lt;e"</f>
        <v>#VALUE!</v>
      </c>
      <c r="ID131" s="99" t="e">
        <f>'Delivery Calculation'!AJ134+"AM:!'&lt;f"</f>
        <v>#VALUE!</v>
      </c>
      <c r="IE131" s="99" t="e">
        <f>'Delivery Calculation'!AK134+"AM:!'&lt;g"</f>
        <v>#VALUE!</v>
      </c>
      <c r="IF131" s="99" t="e">
        <f>'Delivery Calculation'!AL134+"AM:!'&lt;h"</f>
        <v>#VALUE!</v>
      </c>
      <c r="IG131" s="99" t="e">
        <f>'Delivery Calculation'!AM134+"AM:!'&lt;i"</f>
        <v>#VALUE!</v>
      </c>
      <c r="IH131" s="99" t="e">
        <f>'Delivery Calculation'!AN134+"AM:!'&lt;j"</f>
        <v>#VALUE!</v>
      </c>
      <c r="II131" s="99" t="e">
        <f>'Delivery Calculation'!AO134+"AM:!'&lt;k"</f>
        <v>#VALUE!</v>
      </c>
      <c r="IJ131" s="99" t="e">
        <f>'Delivery Calculation'!AP134+"AM:!'&lt;l"</f>
        <v>#VALUE!</v>
      </c>
      <c r="IK131" s="99" t="e">
        <f>'Delivery Calculation'!AQ134+"AM:!'&lt;m"</f>
        <v>#VALUE!</v>
      </c>
      <c r="IL131" s="99" t="e">
        <f>'Delivery Calculation'!AR134+"AM:!'&lt;n"</f>
        <v>#VALUE!</v>
      </c>
      <c r="IM131" s="99" t="e">
        <f>'Delivery Calculation'!AS134+"AM:!'&lt;o"</f>
        <v>#VALUE!</v>
      </c>
      <c r="IN131" s="99" t="e">
        <f>'Delivery Calculation'!AT134+"AM:!'&lt;p"</f>
        <v>#VALUE!</v>
      </c>
      <c r="IO131" s="99" t="e">
        <f>'Delivery Calculation'!AU134+"AM:!'&lt;q"</f>
        <v>#VALUE!</v>
      </c>
      <c r="IP131" s="99" t="e">
        <f>'Delivery Calculation'!AV134+"AM:!'&lt;r"</f>
        <v>#VALUE!</v>
      </c>
      <c r="IQ131" s="99" t="e">
        <f>'Delivery Calculation'!AW134+"AM:!'&lt;s"</f>
        <v>#VALUE!</v>
      </c>
      <c r="IR131" s="99" t="e">
        <f>'Delivery Calculation'!AX134+"AM:!'&lt;t"</f>
        <v>#VALUE!</v>
      </c>
      <c r="IS131" s="101" t="e">
        <f>'Delivery Calculation'!AY134+"AM:!'&lt;u"</f>
        <v>#VALUE!</v>
      </c>
      <c r="IT131" t="e">
        <f>'Delivery Calculation'!AZ134+"AM:!'&lt;v"</f>
        <v>#VALUE!</v>
      </c>
      <c r="IU131" t="e">
        <f>'Delivery Calculation'!A135+"AM:!'&lt;w"</f>
        <v>#VALUE!</v>
      </c>
      <c r="IV131" t="e">
        <f>'Delivery Calculation'!B135+"AM:!'&lt;x"</f>
        <v>#VALUE!</v>
      </c>
    </row>
    <row r="132" spans="6:256">
      <c r="F132" t="e">
        <f>'Delivery Calculation'!C135+"AM:!'&lt;y"</f>
        <v>#VALUE!</v>
      </c>
      <c r="G132" t="e">
        <f>'Delivery Calculation'!D135+"AM:!'&lt;z"</f>
        <v>#VALUE!</v>
      </c>
      <c r="H132" t="e">
        <f>'Delivery Calculation'!E135+"AM:!'&lt;{"</f>
        <v>#VALUE!</v>
      </c>
      <c r="I132" s="98" t="e">
        <f>'Delivery Calculation'!F135+"AM:!'&lt;|"</f>
        <v>#VALUE!</v>
      </c>
      <c r="J132" s="98" t="e">
        <f>'Delivery Calculation'!G135+"AM:!'&lt;}"</f>
        <v>#VALUE!</v>
      </c>
      <c r="K132" s="97" t="e">
        <f>'Delivery Calculation'!H135+"AM:!'&lt;~"</f>
        <v>#VALUE!</v>
      </c>
      <c r="L132" s="97" t="e">
        <f>'Delivery Calculation'!I135+"AM:!'=#"</f>
        <v>#VALUE!</v>
      </c>
      <c r="M132" s="103" t="e">
        <f>'Delivery Calculation'!J135+"AM:!'=$"</f>
        <v>#VALUE!</v>
      </c>
      <c r="N132" s="98" t="e">
        <f>'Delivery Calculation'!K135+"AM:!'=%"</f>
        <v>#VALUE!</v>
      </c>
      <c r="O132" s="98" t="e">
        <f>'Delivery Calculation'!L135+"AM:!'=&amp;"</f>
        <v>#VALUE!</v>
      </c>
      <c r="P132" s="99" t="e">
        <f>'Delivery Calculation'!M135+"AM:!'='"</f>
        <v>#VALUE!</v>
      </c>
      <c r="Q132" s="99" t="e">
        <f>'Delivery Calculation'!N135+"AM:!'=("</f>
        <v>#VALUE!</v>
      </c>
      <c r="R132" s="99" t="e">
        <f>'Delivery Calculation'!O135+"AM:!'=)"</f>
        <v>#VALUE!</v>
      </c>
      <c r="S132" s="99" t="e">
        <f>'Delivery Calculation'!P135+"AM:!'=."</f>
        <v>#VALUE!</v>
      </c>
      <c r="T132" s="99" t="e">
        <f>'Delivery Calculation'!Q135+"AM:!'=/"</f>
        <v>#VALUE!</v>
      </c>
      <c r="U132" s="99" t="e">
        <f>'Delivery Calculation'!R135+"AM:!'=0"</f>
        <v>#VALUE!</v>
      </c>
      <c r="V132" s="99" t="e">
        <f>'Delivery Calculation'!S135+"AM:!'=1"</f>
        <v>#VALUE!</v>
      </c>
      <c r="W132" s="99" t="e">
        <f>'Delivery Calculation'!T135+"AM:!'=2"</f>
        <v>#VALUE!</v>
      </c>
      <c r="X132" s="99" t="e">
        <f>'Delivery Calculation'!U135+"AM:!'=3"</f>
        <v>#VALUE!</v>
      </c>
      <c r="Y132" s="99" t="e">
        <f>'Delivery Calculation'!V135+"AM:!'=4"</f>
        <v>#VALUE!</v>
      </c>
      <c r="Z132" s="99" t="e">
        <f>'Delivery Calculation'!W135+"AM:!'=5"</f>
        <v>#VALUE!</v>
      </c>
      <c r="AA132" s="99" t="e">
        <f>'Delivery Calculation'!X135+"AM:!'=6"</f>
        <v>#VALUE!</v>
      </c>
      <c r="AB132" s="99" t="e">
        <f>'Delivery Calculation'!Y135+"AM:!'=7"</f>
        <v>#VALUE!</v>
      </c>
      <c r="AC132" s="99" t="e">
        <f>'Delivery Calculation'!Z135+"AM:!'=8"</f>
        <v>#VALUE!</v>
      </c>
      <c r="AD132" s="99" t="e">
        <f>'Delivery Calculation'!AA135+"AM:!'=9"</f>
        <v>#VALUE!</v>
      </c>
      <c r="AE132" s="99" t="e">
        <f>'Delivery Calculation'!AB135+"AM:!'=:"</f>
        <v>#VALUE!</v>
      </c>
      <c r="AF132" s="99" t="e">
        <f>'Delivery Calculation'!AC135+"AM:!'=;"</f>
        <v>#VALUE!</v>
      </c>
      <c r="AG132" s="99" t="e">
        <f>'Delivery Calculation'!AD135+"AM:!'=&lt;"</f>
        <v>#VALUE!</v>
      </c>
      <c r="AH132" s="99" t="e">
        <f>'Delivery Calculation'!AE135+"AM:!'=="</f>
        <v>#VALUE!</v>
      </c>
      <c r="AI132" s="99" t="e">
        <f>'Delivery Calculation'!AF135+"AM:!'=&gt;"</f>
        <v>#VALUE!</v>
      </c>
      <c r="AJ132" s="99" t="e">
        <f>'Delivery Calculation'!AG135+"AM:!'=?"</f>
        <v>#VALUE!</v>
      </c>
      <c r="AK132" s="99" t="e">
        <f>'Delivery Calculation'!AH135+"AM:!'=@"</f>
        <v>#VALUE!</v>
      </c>
      <c r="AL132" s="99" t="e">
        <f>'Delivery Calculation'!AI135+"AM:!'=A"</f>
        <v>#VALUE!</v>
      </c>
      <c r="AM132" s="99" t="e">
        <f>'Delivery Calculation'!AJ135+"AM:!'=B"</f>
        <v>#VALUE!</v>
      </c>
      <c r="AN132" s="99" t="e">
        <f>'Delivery Calculation'!AK135+"AM:!'=C"</f>
        <v>#VALUE!</v>
      </c>
      <c r="AO132" s="99" t="e">
        <f>'Delivery Calculation'!AL135+"AM:!'=D"</f>
        <v>#VALUE!</v>
      </c>
      <c r="AP132" s="99" t="e">
        <f>'Delivery Calculation'!AM135+"AM:!'=E"</f>
        <v>#VALUE!</v>
      </c>
      <c r="AQ132" s="99" t="e">
        <f>'Delivery Calculation'!AN135+"AM:!'=F"</f>
        <v>#VALUE!</v>
      </c>
      <c r="AR132" s="99" t="e">
        <f>'Delivery Calculation'!AO135+"AM:!'=G"</f>
        <v>#VALUE!</v>
      </c>
      <c r="AS132" s="99" t="e">
        <f>'Delivery Calculation'!AP135+"AM:!'=H"</f>
        <v>#VALUE!</v>
      </c>
      <c r="AT132" s="99" t="e">
        <f>'Delivery Calculation'!AQ135+"AM:!'=I"</f>
        <v>#VALUE!</v>
      </c>
      <c r="AU132" s="99" t="e">
        <f>'Delivery Calculation'!AR135+"AM:!'=J"</f>
        <v>#VALUE!</v>
      </c>
      <c r="AV132" s="99" t="e">
        <f>'Delivery Calculation'!AS135+"AM:!'=K"</f>
        <v>#VALUE!</v>
      </c>
      <c r="AW132" s="99" t="e">
        <f>'Delivery Calculation'!AT135+"AM:!'=L"</f>
        <v>#VALUE!</v>
      </c>
      <c r="AX132" s="99" t="e">
        <f>'Delivery Calculation'!AU135+"AM:!'=M"</f>
        <v>#VALUE!</v>
      </c>
      <c r="AY132" s="99" t="e">
        <f>'Delivery Calculation'!AV135+"AM:!'=N"</f>
        <v>#VALUE!</v>
      </c>
      <c r="AZ132" s="99" t="e">
        <f>'Delivery Calculation'!AW135+"AM:!'=O"</f>
        <v>#VALUE!</v>
      </c>
      <c r="BA132" s="99" t="e">
        <f>'Delivery Calculation'!AX135+"AM:!'=P"</f>
        <v>#VALUE!</v>
      </c>
      <c r="BB132" s="101" t="e">
        <f>'Delivery Calculation'!AY135+"AM:!'=Q"</f>
        <v>#VALUE!</v>
      </c>
      <c r="BC132" t="e">
        <f>'Delivery Calculation'!AZ135+"AM:!'=R"</f>
        <v>#VALUE!</v>
      </c>
      <c r="BD132" t="e">
        <f>'Delivery Calculation'!A136+"AM:!'=S"</f>
        <v>#VALUE!</v>
      </c>
      <c r="BE132" t="e">
        <f>'Delivery Calculation'!B136+"AM:!'=T"</f>
        <v>#VALUE!</v>
      </c>
      <c r="BF132" t="e">
        <f>'Delivery Calculation'!C136+"AM:!'=U"</f>
        <v>#VALUE!</v>
      </c>
      <c r="BG132" t="e">
        <f>'Delivery Calculation'!D136+"AM:!'=V"</f>
        <v>#VALUE!</v>
      </c>
      <c r="BH132" t="e">
        <f>'Delivery Calculation'!E136+"AM:!'=W"</f>
        <v>#VALUE!</v>
      </c>
      <c r="BI132" s="98" t="e">
        <f>'Delivery Calculation'!F136+"AM:!'=X"</f>
        <v>#VALUE!</v>
      </c>
      <c r="BJ132" s="98" t="e">
        <f>'Delivery Calculation'!G136+"AM:!'=Y"</f>
        <v>#VALUE!</v>
      </c>
      <c r="BK132" s="97" t="e">
        <f>'Delivery Calculation'!H136+"AM:!'=Z"</f>
        <v>#VALUE!</v>
      </c>
      <c r="BL132" s="97" t="e">
        <f>'Delivery Calculation'!I136+"AM:!'=["</f>
        <v>#VALUE!</v>
      </c>
      <c r="BM132" s="103" t="e">
        <f>'Delivery Calculation'!J136+"AM:!'=\"</f>
        <v>#VALUE!</v>
      </c>
      <c r="BN132" s="98" t="e">
        <f>'Delivery Calculation'!K136+"AM:!'=]"</f>
        <v>#VALUE!</v>
      </c>
      <c r="BO132" s="98" t="e">
        <f>'Delivery Calculation'!L136+"AM:!'=^"</f>
        <v>#VALUE!</v>
      </c>
      <c r="BP132" s="99" t="e">
        <f>'Delivery Calculation'!M136+"AM:!'=_"</f>
        <v>#VALUE!</v>
      </c>
      <c r="BQ132" s="99" t="e">
        <f>'Delivery Calculation'!N136+"AM:!'=`"</f>
        <v>#VALUE!</v>
      </c>
      <c r="BR132" s="99" t="e">
        <f>'Delivery Calculation'!O136+"AM:!'=a"</f>
        <v>#VALUE!</v>
      </c>
      <c r="BS132" s="99" t="e">
        <f>'Delivery Calculation'!P136+"AM:!'=b"</f>
        <v>#VALUE!</v>
      </c>
      <c r="BT132" s="99" t="e">
        <f>'Delivery Calculation'!Q136+"AM:!'=c"</f>
        <v>#VALUE!</v>
      </c>
      <c r="BU132" s="99" t="e">
        <f>'Delivery Calculation'!R136+"AM:!'=d"</f>
        <v>#VALUE!</v>
      </c>
      <c r="BV132" s="99" t="e">
        <f>'Delivery Calculation'!S136+"AM:!'=e"</f>
        <v>#VALUE!</v>
      </c>
      <c r="BW132" s="99" t="e">
        <f>'Delivery Calculation'!T136+"AM:!'=f"</f>
        <v>#VALUE!</v>
      </c>
      <c r="BX132" s="99" t="e">
        <f>'Delivery Calculation'!U136+"AM:!'=g"</f>
        <v>#VALUE!</v>
      </c>
      <c r="BY132" s="99" t="e">
        <f>'Delivery Calculation'!V136+"AM:!'=h"</f>
        <v>#VALUE!</v>
      </c>
      <c r="BZ132" s="99" t="e">
        <f>'Delivery Calculation'!W136+"AM:!'=i"</f>
        <v>#VALUE!</v>
      </c>
      <c r="CA132" s="99" t="e">
        <f>'Delivery Calculation'!X136+"AM:!'=j"</f>
        <v>#VALUE!</v>
      </c>
      <c r="CB132" s="99" t="e">
        <f>'Delivery Calculation'!Y136+"AM:!'=k"</f>
        <v>#VALUE!</v>
      </c>
      <c r="CC132" s="99" t="e">
        <f>'Delivery Calculation'!Z136+"AM:!'=l"</f>
        <v>#VALUE!</v>
      </c>
      <c r="CD132" s="99" t="e">
        <f>'Delivery Calculation'!AA136+"AM:!'=m"</f>
        <v>#VALUE!</v>
      </c>
      <c r="CE132" s="99" t="e">
        <f>'Delivery Calculation'!AB136+"AM:!'=n"</f>
        <v>#VALUE!</v>
      </c>
      <c r="CF132" s="99" t="e">
        <f>'Delivery Calculation'!AC136+"AM:!'=o"</f>
        <v>#VALUE!</v>
      </c>
      <c r="CG132" s="99" t="e">
        <f>'Delivery Calculation'!AD136+"AM:!'=p"</f>
        <v>#VALUE!</v>
      </c>
      <c r="CH132" s="99" t="e">
        <f>'Delivery Calculation'!AE136+"AM:!'=q"</f>
        <v>#VALUE!</v>
      </c>
      <c r="CI132" s="99" t="e">
        <f>'Delivery Calculation'!AF136+"AM:!'=r"</f>
        <v>#VALUE!</v>
      </c>
      <c r="CJ132" s="99" t="e">
        <f>'Delivery Calculation'!AG136+"AM:!'=s"</f>
        <v>#VALUE!</v>
      </c>
      <c r="CK132" s="99" t="e">
        <f>'Delivery Calculation'!AH136+"AM:!'=t"</f>
        <v>#VALUE!</v>
      </c>
      <c r="CL132" s="99" t="e">
        <f>'Delivery Calculation'!AI136+"AM:!'=u"</f>
        <v>#VALUE!</v>
      </c>
      <c r="CM132" s="99" t="e">
        <f>'Delivery Calculation'!AJ136+"AM:!'=v"</f>
        <v>#VALUE!</v>
      </c>
      <c r="CN132" s="99" t="e">
        <f>'Delivery Calculation'!AK136+"AM:!'=w"</f>
        <v>#VALUE!</v>
      </c>
      <c r="CO132" s="99" t="e">
        <f>'Delivery Calculation'!AL136+"AM:!'=x"</f>
        <v>#VALUE!</v>
      </c>
      <c r="CP132" s="99" t="e">
        <f>'Delivery Calculation'!AM136+"AM:!'=y"</f>
        <v>#VALUE!</v>
      </c>
      <c r="CQ132" s="99" t="e">
        <f>'Delivery Calculation'!AN136+"AM:!'=z"</f>
        <v>#VALUE!</v>
      </c>
      <c r="CR132" s="99" t="e">
        <f>'Delivery Calculation'!AO136+"AM:!'={"</f>
        <v>#VALUE!</v>
      </c>
      <c r="CS132" s="99" t="e">
        <f>'Delivery Calculation'!AP136+"AM:!'=|"</f>
        <v>#VALUE!</v>
      </c>
      <c r="CT132" s="99" t="e">
        <f>'Delivery Calculation'!AQ136+"AM:!'=}"</f>
        <v>#VALUE!</v>
      </c>
      <c r="CU132" s="99" t="e">
        <f>'Delivery Calculation'!AR136+"AM:!'=~"</f>
        <v>#VALUE!</v>
      </c>
      <c r="CV132" s="99" t="e">
        <f>'Delivery Calculation'!AS136+"AM:!'&gt;#"</f>
        <v>#VALUE!</v>
      </c>
      <c r="CW132" s="99" t="e">
        <f>'Delivery Calculation'!AT136+"AM:!'&gt;$"</f>
        <v>#VALUE!</v>
      </c>
      <c r="CX132" s="99" t="e">
        <f>'Delivery Calculation'!AU136+"AM:!'&gt;%"</f>
        <v>#VALUE!</v>
      </c>
      <c r="CY132" s="99" t="e">
        <f>'Delivery Calculation'!AV136+"AM:!'&gt;&amp;"</f>
        <v>#VALUE!</v>
      </c>
      <c r="CZ132" s="99" t="e">
        <f>'Delivery Calculation'!AW136+"AM:!'&gt;'"</f>
        <v>#VALUE!</v>
      </c>
      <c r="DA132" s="99" t="e">
        <f>'Delivery Calculation'!AX136+"AM:!'&gt;("</f>
        <v>#VALUE!</v>
      </c>
      <c r="DB132" s="101" t="e">
        <f>'Delivery Calculation'!AY136+"AM:!'&gt;)"</f>
        <v>#VALUE!</v>
      </c>
      <c r="DC132" t="e">
        <f>'Delivery Calculation'!AZ136+"AM:!'&gt;."</f>
        <v>#VALUE!</v>
      </c>
      <c r="DD132" t="e">
        <f>'Delivery Calculation'!A137+"AM:!'&gt;/"</f>
        <v>#VALUE!</v>
      </c>
      <c r="DE132" t="e">
        <f>'Delivery Calculation'!B137+"AM:!'&gt;0"</f>
        <v>#VALUE!</v>
      </c>
      <c r="DF132" t="e">
        <f>'Delivery Calculation'!C137+"AM:!'&gt;1"</f>
        <v>#VALUE!</v>
      </c>
      <c r="DG132" t="e">
        <f>'Delivery Calculation'!D137+"AM:!'&gt;2"</f>
        <v>#VALUE!</v>
      </c>
      <c r="DH132" t="e">
        <f>'Delivery Calculation'!E137+"AM:!'&gt;3"</f>
        <v>#VALUE!</v>
      </c>
      <c r="DI132" s="98" t="e">
        <f>'Delivery Calculation'!F137+"AM:!'&gt;4"</f>
        <v>#VALUE!</v>
      </c>
      <c r="DJ132" s="98" t="e">
        <f>'Delivery Calculation'!G137+"AM:!'&gt;5"</f>
        <v>#VALUE!</v>
      </c>
      <c r="DK132" s="97" t="e">
        <f>'Delivery Calculation'!H137+"AM:!'&gt;6"</f>
        <v>#VALUE!</v>
      </c>
      <c r="DL132" s="97" t="e">
        <f>'Delivery Calculation'!I137+"AM:!'&gt;7"</f>
        <v>#VALUE!</v>
      </c>
      <c r="DM132" s="103" t="e">
        <f>'Delivery Calculation'!J137+"AM:!'&gt;8"</f>
        <v>#VALUE!</v>
      </c>
      <c r="DN132" s="98" t="e">
        <f>'Delivery Calculation'!K137+"AM:!'&gt;9"</f>
        <v>#VALUE!</v>
      </c>
      <c r="DO132" s="98" t="e">
        <f>'Delivery Calculation'!L137+"AM:!'&gt;:"</f>
        <v>#VALUE!</v>
      </c>
      <c r="DP132" s="99" t="e">
        <f>'Delivery Calculation'!M137+"AM:!'&gt;;"</f>
        <v>#VALUE!</v>
      </c>
      <c r="DQ132" s="99" t="e">
        <f>'Delivery Calculation'!N137+"AM:!'&gt;&lt;"</f>
        <v>#VALUE!</v>
      </c>
      <c r="DR132" s="99" t="e">
        <f>'Delivery Calculation'!O137+"AM:!'&gt;="</f>
        <v>#VALUE!</v>
      </c>
      <c r="DS132" s="99" t="e">
        <f>'Delivery Calculation'!P137+"AM:!'&gt;&gt;"</f>
        <v>#VALUE!</v>
      </c>
      <c r="DT132" s="99" t="e">
        <f>'Delivery Calculation'!Q137+"AM:!'&gt;?"</f>
        <v>#VALUE!</v>
      </c>
      <c r="DU132" s="99" t="e">
        <f>'Delivery Calculation'!R137+"AM:!'&gt;@"</f>
        <v>#VALUE!</v>
      </c>
      <c r="DV132" s="99" t="e">
        <f>'Delivery Calculation'!S137+"AM:!'&gt;A"</f>
        <v>#VALUE!</v>
      </c>
      <c r="DW132" s="99" t="e">
        <f>'Delivery Calculation'!T137+"AM:!'&gt;B"</f>
        <v>#VALUE!</v>
      </c>
      <c r="DX132" s="99" t="e">
        <f>'Delivery Calculation'!U137+"AM:!'&gt;C"</f>
        <v>#VALUE!</v>
      </c>
      <c r="DY132" s="99" t="e">
        <f>'Delivery Calculation'!V137+"AM:!'&gt;D"</f>
        <v>#VALUE!</v>
      </c>
      <c r="DZ132" s="99" t="e">
        <f>'Delivery Calculation'!W137+"AM:!'&gt;E"</f>
        <v>#VALUE!</v>
      </c>
      <c r="EA132" s="99" t="e">
        <f>'Delivery Calculation'!X137+"AM:!'&gt;F"</f>
        <v>#VALUE!</v>
      </c>
      <c r="EB132" s="99" t="e">
        <f>'Delivery Calculation'!Y137+"AM:!'&gt;G"</f>
        <v>#VALUE!</v>
      </c>
      <c r="EC132" s="99" t="e">
        <f>'Delivery Calculation'!Z137+"AM:!'&gt;H"</f>
        <v>#VALUE!</v>
      </c>
      <c r="ED132" s="99" t="e">
        <f>'Delivery Calculation'!AA137+"AM:!'&gt;I"</f>
        <v>#VALUE!</v>
      </c>
      <c r="EE132" s="99" t="e">
        <f>'Delivery Calculation'!AB137+"AM:!'&gt;J"</f>
        <v>#VALUE!</v>
      </c>
      <c r="EF132" s="99" t="e">
        <f>'Delivery Calculation'!AC137+"AM:!'&gt;K"</f>
        <v>#VALUE!</v>
      </c>
      <c r="EG132" s="99" t="e">
        <f>'Delivery Calculation'!AD137+"AM:!'&gt;L"</f>
        <v>#VALUE!</v>
      </c>
      <c r="EH132" s="99" t="e">
        <f>'Delivery Calculation'!AE137+"AM:!'&gt;M"</f>
        <v>#VALUE!</v>
      </c>
      <c r="EI132" s="99" t="e">
        <f>'Delivery Calculation'!AF137+"AM:!'&gt;N"</f>
        <v>#VALUE!</v>
      </c>
      <c r="EJ132" s="99" t="e">
        <f>'Delivery Calculation'!AG137+"AM:!'&gt;O"</f>
        <v>#VALUE!</v>
      </c>
      <c r="EK132" s="99" t="e">
        <f>'Delivery Calculation'!AH137+"AM:!'&gt;P"</f>
        <v>#VALUE!</v>
      </c>
      <c r="EL132" s="99" t="e">
        <f>'Delivery Calculation'!AI137+"AM:!'&gt;Q"</f>
        <v>#VALUE!</v>
      </c>
      <c r="EM132" s="99" t="e">
        <f>'Delivery Calculation'!AJ137+"AM:!'&gt;R"</f>
        <v>#VALUE!</v>
      </c>
      <c r="EN132" s="99" t="e">
        <f>'Delivery Calculation'!AK137+"AM:!'&gt;S"</f>
        <v>#VALUE!</v>
      </c>
      <c r="EO132" s="99" t="e">
        <f>'Delivery Calculation'!AL137+"AM:!'&gt;T"</f>
        <v>#VALUE!</v>
      </c>
      <c r="EP132" s="99" t="e">
        <f>'Delivery Calculation'!AM137+"AM:!'&gt;U"</f>
        <v>#VALUE!</v>
      </c>
      <c r="EQ132" s="99" t="e">
        <f>'Delivery Calculation'!AN137+"AM:!'&gt;V"</f>
        <v>#VALUE!</v>
      </c>
      <c r="ER132" s="99" t="e">
        <f>'Delivery Calculation'!AO137+"AM:!'&gt;W"</f>
        <v>#VALUE!</v>
      </c>
      <c r="ES132" s="99" t="e">
        <f>'Delivery Calculation'!AP137+"AM:!'&gt;X"</f>
        <v>#VALUE!</v>
      </c>
      <c r="ET132" s="99" t="e">
        <f>'Delivery Calculation'!AQ137+"AM:!'&gt;Y"</f>
        <v>#VALUE!</v>
      </c>
      <c r="EU132" s="99" t="e">
        <f>'Delivery Calculation'!AR137+"AM:!'&gt;Z"</f>
        <v>#VALUE!</v>
      </c>
      <c r="EV132" s="99" t="e">
        <f>'Delivery Calculation'!AS137+"AM:!'&gt;["</f>
        <v>#VALUE!</v>
      </c>
      <c r="EW132" s="99" t="e">
        <f>'Delivery Calculation'!AT137+"AM:!'&gt;\"</f>
        <v>#VALUE!</v>
      </c>
      <c r="EX132" s="99" t="e">
        <f>'Delivery Calculation'!AU137+"AM:!'&gt;]"</f>
        <v>#VALUE!</v>
      </c>
      <c r="EY132" s="99" t="e">
        <f>'Delivery Calculation'!AV137+"AM:!'&gt;^"</f>
        <v>#VALUE!</v>
      </c>
      <c r="EZ132" s="99" t="e">
        <f>'Delivery Calculation'!AW137+"AM:!'&gt;_"</f>
        <v>#VALUE!</v>
      </c>
      <c r="FA132" s="99" t="e">
        <f>'Delivery Calculation'!AX137+"AM:!'&gt;`"</f>
        <v>#VALUE!</v>
      </c>
      <c r="FB132" s="101" t="e">
        <f>'Delivery Calculation'!AY137+"AM:!'&gt;a"</f>
        <v>#VALUE!</v>
      </c>
      <c r="FC132" t="e">
        <f>'Delivery Calculation'!AZ137+"AM:!'&gt;b"</f>
        <v>#VALUE!</v>
      </c>
      <c r="FD132" t="e">
        <f>'Delivery Calculation'!A138+"AM:!'&gt;c"</f>
        <v>#VALUE!</v>
      </c>
      <c r="FE132" t="e">
        <f>'Delivery Calculation'!B138+"AM:!'&gt;d"</f>
        <v>#VALUE!</v>
      </c>
      <c r="FF132" t="e">
        <f>'Delivery Calculation'!C138+"AM:!'&gt;e"</f>
        <v>#VALUE!</v>
      </c>
      <c r="FG132" t="e">
        <f>'Delivery Calculation'!D138+"AM:!'&gt;f"</f>
        <v>#VALUE!</v>
      </c>
      <c r="FH132" t="e">
        <f>'Delivery Calculation'!E138+"AM:!'&gt;g"</f>
        <v>#VALUE!</v>
      </c>
      <c r="FI132" s="98" t="e">
        <f>'Delivery Calculation'!F138+"AM:!'&gt;h"</f>
        <v>#VALUE!</v>
      </c>
      <c r="FJ132" s="98" t="e">
        <f>'Delivery Calculation'!G138+"AM:!'&gt;i"</f>
        <v>#VALUE!</v>
      </c>
      <c r="FK132" s="97" t="e">
        <f>'Delivery Calculation'!H138+"AM:!'&gt;j"</f>
        <v>#VALUE!</v>
      </c>
      <c r="FL132" s="97" t="e">
        <f>'Delivery Calculation'!I138+"AM:!'&gt;k"</f>
        <v>#VALUE!</v>
      </c>
      <c r="FM132" s="103" t="e">
        <f>'Delivery Calculation'!J138+"AM:!'&gt;l"</f>
        <v>#VALUE!</v>
      </c>
      <c r="FN132" s="98" t="e">
        <f>'Delivery Calculation'!K138+"AM:!'&gt;m"</f>
        <v>#VALUE!</v>
      </c>
      <c r="FO132" s="98" t="e">
        <f>'Delivery Calculation'!L138+"AM:!'&gt;n"</f>
        <v>#VALUE!</v>
      </c>
      <c r="FP132" s="99" t="e">
        <f>'Delivery Calculation'!M138+"AM:!'&gt;o"</f>
        <v>#VALUE!</v>
      </c>
      <c r="FQ132" s="99" t="e">
        <f>'Delivery Calculation'!N138+"AM:!'&gt;p"</f>
        <v>#VALUE!</v>
      </c>
      <c r="FR132" s="99" t="e">
        <f>'Delivery Calculation'!O138+"AM:!'&gt;q"</f>
        <v>#VALUE!</v>
      </c>
      <c r="FS132" s="99" t="e">
        <f>'Delivery Calculation'!P138+"AM:!'&gt;r"</f>
        <v>#VALUE!</v>
      </c>
      <c r="FT132" s="99" t="e">
        <f>'Delivery Calculation'!Q138+"AM:!'&gt;s"</f>
        <v>#VALUE!</v>
      </c>
      <c r="FU132" s="99" t="e">
        <f>'Delivery Calculation'!R138+"AM:!'&gt;t"</f>
        <v>#VALUE!</v>
      </c>
      <c r="FV132" s="99" t="e">
        <f>'Delivery Calculation'!S138+"AM:!'&gt;u"</f>
        <v>#VALUE!</v>
      </c>
      <c r="FW132" s="99" t="e">
        <f>'Delivery Calculation'!T138+"AM:!'&gt;v"</f>
        <v>#VALUE!</v>
      </c>
      <c r="FX132" s="99" t="e">
        <f>'Delivery Calculation'!U138+"AM:!'&gt;w"</f>
        <v>#VALUE!</v>
      </c>
      <c r="FY132" s="99" t="e">
        <f>'Delivery Calculation'!V138+"AM:!'&gt;x"</f>
        <v>#VALUE!</v>
      </c>
      <c r="FZ132" s="99" t="e">
        <f>'Delivery Calculation'!W138+"AM:!'&gt;y"</f>
        <v>#VALUE!</v>
      </c>
      <c r="GA132" s="99" t="e">
        <f>'Delivery Calculation'!X138+"AM:!'&gt;z"</f>
        <v>#VALUE!</v>
      </c>
      <c r="GB132" s="99" t="e">
        <f>'Delivery Calculation'!Y138+"AM:!'&gt;{"</f>
        <v>#VALUE!</v>
      </c>
      <c r="GC132" s="99" t="e">
        <f>'Delivery Calculation'!Z138+"AM:!'&gt;|"</f>
        <v>#VALUE!</v>
      </c>
      <c r="GD132" s="99" t="e">
        <f>'Delivery Calculation'!AA138+"AM:!'&gt;}"</f>
        <v>#VALUE!</v>
      </c>
      <c r="GE132" s="99" t="e">
        <f>'Delivery Calculation'!AB138+"AM:!'&gt;~"</f>
        <v>#VALUE!</v>
      </c>
      <c r="GF132" s="99" t="e">
        <f>'Delivery Calculation'!AC138+"AM:!'?#"</f>
        <v>#VALUE!</v>
      </c>
      <c r="GG132" s="99" t="e">
        <f>'Delivery Calculation'!AD138+"AM:!'?$"</f>
        <v>#VALUE!</v>
      </c>
      <c r="GH132" s="99" t="e">
        <f>'Delivery Calculation'!AE138+"AM:!'?%"</f>
        <v>#VALUE!</v>
      </c>
      <c r="GI132" s="99" t="e">
        <f>'Delivery Calculation'!AF138+"AM:!'?&amp;"</f>
        <v>#VALUE!</v>
      </c>
      <c r="GJ132" s="99" t="e">
        <f>'Delivery Calculation'!AG138+"AM:!'?'"</f>
        <v>#VALUE!</v>
      </c>
      <c r="GK132" s="99" t="e">
        <f>'Delivery Calculation'!AH138+"AM:!'?("</f>
        <v>#VALUE!</v>
      </c>
      <c r="GL132" s="99" t="e">
        <f>'Delivery Calculation'!AI138+"AM:!'?)"</f>
        <v>#VALUE!</v>
      </c>
      <c r="GM132" s="99" t="e">
        <f>'Delivery Calculation'!AJ138+"AM:!'?."</f>
        <v>#VALUE!</v>
      </c>
      <c r="GN132" s="99" t="e">
        <f>'Delivery Calculation'!AK138+"AM:!'?/"</f>
        <v>#VALUE!</v>
      </c>
      <c r="GO132" s="99" t="e">
        <f>'Delivery Calculation'!AL138+"AM:!'?0"</f>
        <v>#VALUE!</v>
      </c>
      <c r="GP132" s="99" t="e">
        <f>'Delivery Calculation'!AM138+"AM:!'?1"</f>
        <v>#VALUE!</v>
      </c>
      <c r="GQ132" s="99" t="e">
        <f>'Delivery Calculation'!AN138+"AM:!'?2"</f>
        <v>#VALUE!</v>
      </c>
      <c r="GR132" s="99" t="e">
        <f>'Delivery Calculation'!AO138+"AM:!'?3"</f>
        <v>#VALUE!</v>
      </c>
      <c r="GS132" s="99" t="e">
        <f>'Delivery Calculation'!AP138+"AM:!'?4"</f>
        <v>#VALUE!</v>
      </c>
      <c r="GT132" s="99" t="e">
        <f>'Delivery Calculation'!AQ138+"AM:!'?5"</f>
        <v>#VALUE!</v>
      </c>
      <c r="GU132" s="99" t="e">
        <f>'Delivery Calculation'!AR138+"AM:!'?6"</f>
        <v>#VALUE!</v>
      </c>
      <c r="GV132" s="99" t="e">
        <f>'Delivery Calculation'!AS138+"AM:!'?7"</f>
        <v>#VALUE!</v>
      </c>
      <c r="GW132" s="99" t="e">
        <f>'Delivery Calculation'!AT138+"AM:!'?8"</f>
        <v>#VALUE!</v>
      </c>
      <c r="GX132" s="99" t="e">
        <f>'Delivery Calculation'!AU138+"AM:!'?9"</f>
        <v>#VALUE!</v>
      </c>
      <c r="GY132" s="99" t="e">
        <f>'Delivery Calculation'!AV138+"AM:!'?:"</f>
        <v>#VALUE!</v>
      </c>
      <c r="GZ132" s="99" t="e">
        <f>'Delivery Calculation'!AW138+"AM:!'?;"</f>
        <v>#VALUE!</v>
      </c>
      <c r="HA132" s="99" t="e">
        <f>'Delivery Calculation'!AX138+"AM:!'?&lt;"</f>
        <v>#VALUE!</v>
      </c>
      <c r="HB132" s="101" t="e">
        <f>'Delivery Calculation'!AY138+"AM:!'?="</f>
        <v>#VALUE!</v>
      </c>
      <c r="HC132" t="e">
        <f>'Delivery Calculation'!AZ138+"AM:!'?&gt;"</f>
        <v>#VALUE!</v>
      </c>
      <c r="HD132" t="e">
        <f>'Delivery Calculation'!A139+"AM:!'??"</f>
        <v>#VALUE!</v>
      </c>
      <c r="HE132" t="e">
        <f>'Delivery Calculation'!B139+"AM:!'?@"</f>
        <v>#VALUE!</v>
      </c>
      <c r="HF132" t="e">
        <f>'Delivery Calculation'!C139+"AM:!'?A"</f>
        <v>#VALUE!</v>
      </c>
      <c r="HG132" t="e">
        <f>'Delivery Calculation'!D139+"AM:!'?B"</f>
        <v>#VALUE!</v>
      </c>
      <c r="HH132" t="e">
        <f>'Delivery Calculation'!E139+"AM:!'?C"</f>
        <v>#VALUE!</v>
      </c>
      <c r="HI132" s="98" t="e">
        <f>'Delivery Calculation'!F139+"AM:!'?D"</f>
        <v>#VALUE!</v>
      </c>
      <c r="HJ132" s="98" t="e">
        <f>'Delivery Calculation'!G139+"AM:!'?E"</f>
        <v>#VALUE!</v>
      </c>
      <c r="HK132" s="97" t="e">
        <f>'Delivery Calculation'!H139+"AM:!'?F"</f>
        <v>#VALUE!</v>
      </c>
      <c r="HL132" s="97" t="e">
        <f>'Delivery Calculation'!I139+"AM:!'?G"</f>
        <v>#VALUE!</v>
      </c>
      <c r="HM132" s="103" t="e">
        <f>'Delivery Calculation'!J139+"AM:!'?H"</f>
        <v>#VALUE!</v>
      </c>
      <c r="HN132" s="98" t="e">
        <f>'Delivery Calculation'!K139+"AM:!'?I"</f>
        <v>#VALUE!</v>
      </c>
      <c r="HO132" s="98" t="e">
        <f>'Delivery Calculation'!L139+"AM:!'?J"</f>
        <v>#VALUE!</v>
      </c>
      <c r="HP132" s="99" t="e">
        <f>'Delivery Calculation'!M139+"AM:!'?K"</f>
        <v>#VALUE!</v>
      </c>
      <c r="HQ132" s="99" t="e">
        <f>'Delivery Calculation'!N139+"AM:!'?L"</f>
        <v>#VALUE!</v>
      </c>
      <c r="HR132" s="99" t="e">
        <f>'Delivery Calculation'!O139+"AM:!'?M"</f>
        <v>#VALUE!</v>
      </c>
      <c r="HS132" s="99" t="e">
        <f>'Delivery Calculation'!P139+"AM:!'?N"</f>
        <v>#VALUE!</v>
      </c>
      <c r="HT132" s="99" t="e">
        <f>'Delivery Calculation'!Q139+"AM:!'?O"</f>
        <v>#VALUE!</v>
      </c>
      <c r="HU132" s="99" t="e">
        <f>'Delivery Calculation'!R139+"AM:!'?P"</f>
        <v>#VALUE!</v>
      </c>
      <c r="HV132" s="99" t="e">
        <f>'Delivery Calculation'!S139+"AM:!'?Q"</f>
        <v>#VALUE!</v>
      </c>
      <c r="HW132" s="99" t="e">
        <f>'Delivery Calculation'!T139+"AM:!'?R"</f>
        <v>#VALUE!</v>
      </c>
      <c r="HX132" s="99" t="e">
        <f>'Delivery Calculation'!U139+"AM:!'?S"</f>
        <v>#VALUE!</v>
      </c>
      <c r="HY132" s="99" t="e">
        <f>'Delivery Calculation'!V139+"AM:!'?T"</f>
        <v>#VALUE!</v>
      </c>
      <c r="HZ132" s="99" t="e">
        <f>'Delivery Calculation'!W139+"AM:!'?U"</f>
        <v>#VALUE!</v>
      </c>
      <c r="IA132" s="99" t="e">
        <f>'Delivery Calculation'!X139+"AM:!'?V"</f>
        <v>#VALUE!</v>
      </c>
      <c r="IB132" s="99" t="e">
        <f>'Delivery Calculation'!Y139+"AM:!'?W"</f>
        <v>#VALUE!</v>
      </c>
      <c r="IC132" s="99" t="e">
        <f>'Delivery Calculation'!Z139+"AM:!'?X"</f>
        <v>#VALUE!</v>
      </c>
      <c r="ID132" s="99" t="e">
        <f>'Delivery Calculation'!AA139+"AM:!'?Y"</f>
        <v>#VALUE!</v>
      </c>
      <c r="IE132" s="99" t="e">
        <f>'Delivery Calculation'!AB139+"AM:!'?Z"</f>
        <v>#VALUE!</v>
      </c>
      <c r="IF132" s="99" t="e">
        <f>'Delivery Calculation'!AC139+"AM:!'?["</f>
        <v>#VALUE!</v>
      </c>
      <c r="IG132" s="99" t="e">
        <f>'Delivery Calculation'!AD139+"AM:!'?\"</f>
        <v>#VALUE!</v>
      </c>
      <c r="IH132" s="99" t="e">
        <f>'Delivery Calculation'!AE139+"AM:!'?]"</f>
        <v>#VALUE!</v>
      </c>
      <c r="II132" s="99" t="e">
        <f>'Delivery Calculation'!AF139+"AM:!'?^"</f>
        <v>#VALUE!</v>
      </c>
      <c r="IJ132" s="99" t="e">
        <f>'Delivery Calculation'!AG139+"AM:!'?_"</f>
        <v>#VALUE!</v>
      </c>
      <c r="IK132" s="99" t="e">
        <f>'Delivery Calculation'!AH139+"AM:!'?`"</f>
        <v>#VALUE!</v>
      </c>
      <c r="IL132" s="99" t="e">
        <f>'Delivery Calculation'!AI139+"AM:!'?a"</f>
        <v>#VALUE!</v>
      </c>
      <c r="IM132" s="99" t="e">
        <f>'Delivery Calculation'!AJ139+"AM:!'?b"</f>
        <v>#VALUE!</v>
      </c>
      <c r="IN132" s="99" t="e">
        <f>'Delivery Calculation'!AK139+"AM:!'?c"</f>
        <v>#VALUE!</v>
      </c>
      <c r="IO132" s="99" t="e">
        <f>'Delivery Calculation'!AL139+"AM:!'?d"</f>
        <v>#VALUE!</v>
      </c>
      <c r="IP132" s="99" t="e">
        <f>'Delivery Calculation'!AM139+"AM:!'?e"</f>
        <v>#VALUE!</v>
      </c>
      <c r="IQ132" s="99" t="e">
        <f>'Delivery Calculation'!AN139+"AM:!'?f"</f>
        <v>#VALUE!</v>
      </c>
      <c r="IR132" s="99" t="e">
        <f>'Delivery Calculation'!AO139+"AM:!'?g"</f>
        <v>#VALUE!</v>
      </c>
      <c r="IS132" s="99" t="e">
        <f>'Delivery Calculation'!AP139+"AM:!'?h"</f>
        <v>#VALUE!</v>
      </c>
      <c r="IT132" s="99" t="e">
        <f>'Delivery Calculation'!AQ139+"AM:!'?i"</f>
        <v>#VALUE!</v>
      </c>
      <c r="IU132" s="99" t="e">
        <f>'Delivery Calculation'!AR139+"AM:!'?j"</f>
        <v>#VALUE!</v>
      </c>
      <c r="IV132" s="99" t="e">
        <f>'Delivery Calculation'!AS139+"AM:!'?k"</f>
        <v>#VALUE!</v>
      </c>
    </row>
    <row r="133" spans="6:256">
      <c r="F133" s="99" t="e">
        <f>'Delivery Calculation'!AT139+"AM:!'?l"</f>
        <v>#VALUE!</v>
      </c>
      <c r="G133" s="99" t="e">
        <f>'Delivery Calculation'!AU139+"AM:!'?m"</f>
        <v>#VALUE!</v>
      </c>
      <c r="H133" s="99" t="e">
        <f>'Delivery Calculation'!AV139+"AM:!'?n"</f>
        <v>#VALUE!</v>
      </c>
      <c r="I133" s="99" t="e">
        <f>'Delivery Calculation'!AW139+"AM:!'?o"</f>
        <v>#VALUE!</v>
      </c>
      <c r="J133" s="99" t="e">
        <f>'Delivery Calculation'!AX139+"AM:!'?p"</f>
        <v>#VALUE!</v>
      </c>
      <c r="K133" s="101" t="e">
        <f>'Delivery Calculation'!AY139+"AM:!'?q"</f>
        <v>#VALUE!</v>
      </c>
      <c r="L133" t="e">
        <f>'Delivery Calculation'!AZ139+"AM:!'?r"</f>
        <v>#VALUE!</v>
      </c>
      <c r="M133" t="e">
        <f>'Delivery Calculation'!A140+"AM:!'?s"</f>
        <v>#VALUE!</v>
      </c>
      <c r="N133" t="e">
        <f>'Delivery Calculation'!B140+"AM:!'?t"</f>
        <v>#VALUE!</v>
      </c>
      <c r="O133" t="e">
        <f>'Delivery Calculation'!C140+"AM:!'?u"</f>
        <v>#VALUE!</v>
      </c>
      <c r="P133" t="e">
        <f>'Delivery Calculation'!D140+"AM:!'?v"</f>
        <v>#VALUE!</v>
      </c>
      <c r="Q133" t="e">
        <f>'Delivery Calculation'!E140+"AM:!'?w"</f>
        <v>#VALUE!</v>
      </c>
      <c r="R133" s="98" t="e">
        <f>'Delivery Calculation'!F140+"AM:!'?x"</f>
        <v>#VALUE!</v>
      </c>
      <c r="S133" s="98" t="e">
        <f>'Delivery Calculation'!G140+"AM:!'?y"</f>
        <v>#VALUE!</v>
      </c>
      <c r="T133" s="97" t="e">
        <f>'Delivery Calculation'!H140+"AM:!'?z"</f>
        <v>#VALUE!</v>
      </c>
      <c r="U133" s="97" t="e">
        <f>'Delivery Calculation'!I140+"AM:!'?{"</f>
        <v>#VALUE!</v>
      </c>
      <c r="V133" s="103" t="e">
        <f>'Delivery Calculation'!J140+"AM:!'?|"</f>
        <v>#VALUE!</v>
      </c>
      <c r="W133" s="98" t="e">
        <f>'Delivery Calculation'!K140+"AM:!'?}"</f>
        <v>#VALUE!</v>
      </c>
      <c r="X133" s="98" t="e">
        <f>'Delivery Calculation'!L140+"AM:!'?~"</f>
        <v>#VALUE!</v>
      </c>
      <c r="Y133" s="99" t="e">
        <f>'Delivery Calculation'!M140+"AM:!'@#"</f>
        <v>#VALUE!</v>
      </c>
      <c r="Z133" s="99" t="e">
        <f>'Delivery Calculation'!N140+"AM:!'@$"</f>
        <v>#VALUE!</v>
      </c>
      <c r="AA133" s="99" t="e">
        <f>'Delivery Calculation'!O140+"AM:!'@%"</f>
        <v>#VALUE!</v>
      </c>
      <c r="AB133" s="99" t="e">
        <f>'Delivery Calculation'!P140+"AM:!'@&amp;"</f>
        <v>#VALUE!</v>
      </c>
      <c r="AC133" s="99" t="e">
        <f>'Delivery Calculation'!Q140+"AM:!'@'"</f>
        <v>#VALUE!</v>
      </c>
      <c r="AD133" s="99" t="e">
        <f>'Delivery Calculation'!R140+"AM:!'@("</f>
        <v>#VALUE!</v>
      </c>
      <c r="AE133" s="99" t="e">
        <f>'Delivery Calculation'!S140+"AM:!'@)"</f>
        <v>#VALUE!</v>
      </c>
      <c r="AF133" s="99" t="e">
        <f>'Delivery Calculation'!T140+"AM:!'@."</f>
        <v>#VALUE!</v>
      </c>
      <c r="AG133" s="99" t="e">
        <f>'Delivery Calculation'!U140+"AM:!'@/"</f>
        <v>#VALUE!</v>
      </c>
      <c r="AH133" s="99" t="e">
        <f>'Delivery Calculation'!V140+"AM:!'@0"</f>
        <v>#VALUE!</v>
      </c>
      <c r="AI133" s="99" t="e">
        <f>'Delivery Calculation'!W140+"AM:!'@1"</f>
        <v>#VALUE!</v>
      </c>
      <c r="AJ133" s="99" t="e">
        <f>'Delivery Calculation'!X140+"AM:!'@2"</f>
        <v>#VALUE!</v>
      </c>
      <c r="AK133" s="99" t="e">
        <f>'Delivery Calculation'!Y140+"AM:!'@3"</f>
        <v>#VALUE!</v>
      </c>
      <c r="AL133" s="99" t="e">
        <f>'Delivery Calculation'!Z140+"AM:!'@4"</f>
        <v>#VALUE!</v>
      </c>
      <c r="AM133" s="99" t="e">
        <f>'Delivery Calculation'!AA140+"AM:!'@5"</f>
        <v>#VALUE!</v>
      </c>
      <c r="AN133" s="99" t="e">
        <f>'Delivery Calculation'!AB140+"AM:!'@6"</f>
        <v>#VALUE!</v>
      </c>
      <c r="AO133" s="99" t="e">
        <f>'Delivery Calculation'!AC140+"AM:!'@7"</f>
        <v>#VALUE!</v>
      </c>
      <c r="AP133" s="99" t="e">
        <f>'Delivery Calculation'!AD140+"AM:!'@8"</f>
        <v>#VALUE!</v>
      </c>
      <c r="AQ133" s="99" t="e">
        <f>'Delivery Calculation'!AE140+"AM:!'@9"</f>
        <v>#VALUE!</v>
      </c>
      <c r="AR133" s="99" t="e">
        <f>'Delivery Calculation'!AF140+"AM:!'@:"</f>
        <v>#VALUE!</v>
      </c>
      <c r="AS133" s="99" t="e">
        <f>'Delivery Calculation'!AG140+"AM:!'@;"</f>
        <v>#VALUE!</v>
      </c>
      <c r="AT133" s="99" t="e">
        <f>'Delivery Calculation'!AH140+"AM:!'@&lt;"</f>
        <v>#VALUE!</v>
      </c>
      <c r="AU133" s="99" t="e">
        <f>'Delivery Calculation'!AI140+"AM:!'@="</f>
        <v>#VALUE!</v>
      </c>
      <c r="AV133" s="99" t="e">
        <f>'Delivery Calculation'!AJ140+"AM:!'@&gt;"</f>
        <v>#VALUE!</v>
      </c>
      <c r="AW133" s="99" t="e">
        <f>'Delivery Calculation'!AK140+"AM:!'@?"</f>
        <v>#VALUE!</v>
      </c>
      <c r="AX133" s="99" t="e">
        <f>'Delivery Calculation'!AL140+"AM:!'@@"</f>
        <v>#VALUE!</v>
      </c>
      <c r="AY133" s="99" t="e">
        <f>'Delivery Calculation'!AM140+"AM:!'@A"</f>
        <v>#VALUE!</v>
      </c>
      <c r="AZ133" s="99" t="e">
        <f>'Delivery Calculation'!AN140+"AM:!'@B"</f>
        <v>#VALUE!</v>
      </c>
      <c r="BA133" s="99" t="e">
        <f>'Delivery Calculation'!AO140+"AM:!'@C"</f>
        <v>#VALUE!</v>
      </c>
      <c r="BB133" s="99" t="e">
        <f>'Delivery Calculation'!AP140+"AM:!'@D"</f>
        <v>#VALUE!</v>
      </c>
      <c r="BC133" s="99" t="e">
        <f>'Delivery Calculation'!AQ140+"AM:!'@E"</f>
        <v>#VALUE!</v>
      </c>
      <c r="BD133" s="99" t="e">
        <f>'Delivery Calculation'!AR140+"AM:!'@F"</f>
        <v>#VALUE!</v>
      </c>
      <c r="BE133" s="99" t="e">
        <f>'Delivery Calculation'!AS140+"AM:!'@G"</f>
        <v>#VALUE!</v>
      </c>
      <c r="BF133" s="99" t="e">
        <f>'Delivery Calculation'!AT140+"AM:!'@H"</f>
        <v>#VALUE!</v>
      </c>
      <c r="BG133" s="99" t="e">
        <f>'Delivery Calculation'!AU140+"AM:!'@I"</f>
        <v>#VALUE!</v>
      </c>
      <c r="BH133" s="99" t="e">
        <f>'Delivery Calculation'!AV140+"AM:!'@J"</f>
        <v>#VALUE!</v>
      </c>
      <c r="BI133" s="99" t="e">
        <f>'Delivery Calculation'!AW140+"AM:!'@K"</f>
        <v>#VALUE!</v>
      </c>
      <c r="BJ133" s="99" t="e">
        <f>'Delivery Calculation'!AX140+"AM:!'@L"</f>
        <v>#VALUE!</v>
      </c>
      <c r="BK133" s="101" t="e">
        <f>'Delivery Calculation'!AY140+"AM:!'@M"</f>
        <v>#VALUE!</v>
      </c>
      <c r="BL133" t="e">
        <f>'Delivery Calculation'!AZ140+"AM:!'@N"</f>
        <v>#VALUE!</v>
      </c>
      <c r="BM133" t="e">
        <f>'Delivery Calculation'!A141+"AM:!'@O"</f>
        <v>#VALUE!</v>
      </c>
      <c r="BN133" t="e">
        <f>'Delivery Calculation'!B141+"AM:!'@P"</f>
        <v>#VALUE!</v>
      </c>
      <c r="BO133" t="e">
        <f>'Delivery Calculation'!C141+"AM:!'@Q"</f>
        <v>#VALUE!</v>
      </c>
      <c r="BP133" t="e">
        <f>'Delivery Calculation'!D141+"AM:!'@R"</f>
        <v>#VALUE!</v>
      </c>
      <c r="BQ133" t="e">
        <f>'Delivery Calculation'!E141+"AM:!'@S"</f>
        <v>#VALUE!</v>
      </c>
      <c r="BR133" s="98" t="e">
        <f>'Delivery Calculation'!F141+"AM:!'@T"</f>
        <v>#VALUE!</v>
      </c>
      <c r="BS133" s="98" t="e">
        <f>'Delivery Calculation'!G141+"AM:!'@U"</f>
        <v>#VALUE!</v>
      </c>
      <c r="BT133" s="97" t="e">
        <f>'Delivery Calculation'!H141+"AM:!'@V"</f>
        <v>#VALUE!</v>
      </c>
      <c r="BU133" s="97" t="e">
        <f>'Delivery Calculation'!I141+"AM:!'@W"</f>
        <v>#VALUE!</v>
      </c>
      <c r="BV133" s="103" t="e">
        <f>'Delivery Calculation'!J141+"AM:!'@X"</f>
        <v>#VALUE!</v>
      </c>
      <c r="BW133" s="98" t="e">
        <f>'Delivery Calculation'!K141+"AM:!'@Y"</f>
        <v>#VALUE!</v>
      </c>
      <c r="BX133" s="98" t="e">
        <f>'Delivery Calculation'!L141+"AM:!'@Z"</f>
        <v>#VALUE!</v>
      </c>
      <c r="BY133" s="99" t="e">
        <f>'Delivery Calculation'!M141+"AM:!'@["</f>
        <v>#VALUE!</v>
      </c>
      <c r="BZ133" s="99" t="e">
        <f>'Delivery Calculation'!N141+"AM:!'@\"</f>
        <v>#VALUE!</v>
      </c>
      <c r="CA133" s="99" t="e">
        <f>'Delivery Calculation'!O141+"AM:!'@]"</f>
        <v>#VALUE!</v>
      </c>
      <c r="CB133" s="99" t="e">
        <f>'Delivery Calculation'!P141+"AM:!'@^"</f>
        <v>#VALUE!</v>
      </c>
      <c r="CC133" s="99" t="e">
        <f>'Delivery Calculation'!Q141+"AM:!'@_"</f>
        <v>#VALUE!</v>
      </c>
      <c r="CD133" s="99" t="e">
        <f>'Delivery Calculation'!R141+"AM:!'@`"</f>
        <v>#VALUE!</v>
      </c>
      <c r="CE133" s="99" t="e">
        <f>'Delivery Calculation'!S141+"AM:!'@a"</f>
        <v>#VALUE!</v>
      </c>
      <c r="CF133" s="99" t="e">
        <f>'Delivery Calculation'!T141+"AM:!'@b"</f>
        <v>#VALUE!</v>
      </c>
      <c r="CG133" s="99" t="e">
        <f>'Delivery Calculation'!U141+"AM:!'@c"</f>
        <v>#VALUE!</v>
      </c>
      <c r="CH133" s="99" t="e">
        <f>'Delivery Calculation'!V141+"AM:!'@d"</f>
        <v>#VALUE!</v>
      </c>
      <c r="CI133" s="99" t="e">
        <f>'Delivery Calculation'!W141+"AM:!'@e"</f>
        <v>#VALUE!</v>
      </c>
      <c r="CJ133" s="99" t="e">
        <f>'Delivery Calculation'!X141+"AM:!'@f"</f>
        <v>#VALUE!</v>
      </c>
      <c r="CK133" s="99" t="e">
        <f>'Delivery Calculation'!Y141+"AM:!'@g"</f>
        <v>#VALUE!</v>
      </c>
      <c r="CL133" s="99" t="e">
        <f>'Delivery Calculation'!Z141+"AM:!'@h"</f>
        <v>#VALUE!</v>
      </c>
      <c r="CM133" s="99" t="e">
        <f>'Delivery Calculation'!AA141+"AM:!'@i"</f>
        <v>#VALUE!</v>
      </c>
      <c r="CN133" s="99" t="e">
        <f>'Delivery Calculation'!AB141+"AM:!'@j"</f>
        <v>#VALUE!</v>
      </c>
      <c r="CO133" s="99" t="e">
        <f>'Delivery Calculation'!AC141+"AM:!'@k"</f>
        <v>#VALUE!</v>
      </c>
      <c r="CP133" s="99" t="e">
        <f>'Delivery Calculation'!AD141+"AM:!'@l"</f>
        <v>#VALUE!</v>
      </c>
      <c r="CQ133" s="99" t="e">
        <f>'Delivery Calculation'!AE141+"AM:!'@m"</f>
        <v>#VALUE!</v>
      </c>
      <c r="CR133" s="99" t="e">
        <f>'Delivery Calculation'!AF141+"AM:!'@n"</f>
        <v>#VALUE!</v>
      </c>
      <c r="CS133" s="99" t="e">
        <f>'Delivery Calculation'!AG141+"AM:!'@o"</f>
        <v>#VALUE!</v>
      </c>
      <c r="CT133" s="99" t="e">
        <f>'Delivery Calculation'!AH141+"AM:!'@p"</f>
        <v>#VALUE!</v>
      </c>
      <c r="CU133" s="99" t="e">
        <f>'Delivery Calculation'!AI141+"AM:!'@q"</f>
        <v>#VALUE!</v>
      </c>
      <c r="CV133" s="99" t="e">
        <f>'Delivery Calculation'!AJ141+"AM:!'@r"</f>
        <v>#VALUE!</v>
      </c>
      <c r="CW133" s="99" t="e">
        <f>'Delivery Calculation'!AK141+"AM:!'@s"</f>
        <v>#VALUE!</v>
      </c>
      <c r="CX133" s="99" t="e">
        <f>'Delivery Calculation'!AL141+"AM:!'@t"</f>
        <v>#VALUE!</v>
      </c>
      <c r="CY133" s="99" t="e">
        <f>'Delivery Calculation'!AM141+"AM:!'@u"</f>
        <v>#VALUE!</v>
      </c>
      <c r="CZ133" s="99" t="e">
        <f>'Delivery Calculation'!AN141+"AM:!'@v"</f>
        <v>#VALUE!</v>
      </c>
      <c r="DA133" s="99" t="e">
        <f>'Delivery Calculation'!AO141+"AM:!'@w"</f>
        <v>#VALUE!</v>
      </c>
      <c r="DB133" s="99" t="e">
        <f>'Delivery Calculation'!AP141+"AM:!'@x"</f>
        <v>#VALUE!</v>
      </c>
      <c r="DC133" s="99" t="e">
        <f>'Delivery Calculation'!AQ141+"AM:!'@y"</f>
        <v>#VALUE!</v>
      </c>
      <c r="DD133" s="99" t="e">
        <f>'Delivery Calculation'!AR141+"AM:!'@z"</f>
        <v>#VALUE!</v>
      </c>
      <c r="DE133" s="99" t="e">
        <f>'Delivery Calculation'!AS141+"AM:!'@{"</f>
        <v>#VALUE!</v>
      </c>
      <c r="DF133" s="99" t="e">
        <f>'Delivery Calculation'!AT141+"AM:!'@|"</f>
        <v>#VALUE!</v>
      </c>
      <c r="DG133" s="99" t="e">
        <f>'Delivery Calculation'!AU141+"AM:!'@}"</f>
        <v>#VALUE!</v>
      </c>
      <c r="DH133" s="99" t="e">
        <f>'Delivery Calculation'!AV141+"AM:!'@~"</f>
        <v>#VALUE!</v>
      </c>
      <c r="DI133" s="99" t="e">
        <f>'Delivery Calculation'!AW141+"AM:!'A#"</f>
        <v>#VALUE!</v>
      </c>
      <c r="DJ133" s="99" t="e">
        <f>'Delivery Calculation'!AX141+"AM:!'A$"</f>
        <v>#VALUE!</v>
      </c>
      <c r="DK133" s="101" t="e">
        <f>'Delivery Calculation'!AY141+"AM:!'A%"</f>
        <v>#VALUE!</v>
      </c>
      <c r="DL133" t="e">
        <f>'Delivery Calculation'!AZ141+"AM:!'A&amp;"</f>
        <v>#VALUE!</v>
      </c>
      <c r="DM133" t="e">
        <f>'Delivery Calculation'!A142+"AM:!'A'"</f>
        <v>#VALUE!</v>
      </c>
      <c r="DN133" t="e">
        <f>'Delivery Calculation'!B142+"AM:!'A("</f>
        <v>#VALUE!</v>
      </c>
      <c r="DO133" t="e">
        <f>'Delivery Calculation'!C142+"AM:!'A)"</f>
        <v>#VALUE!</v>
      </c>
      <c r="DP133" t="e">
        <f>'Delivery Calculation'!D142+"AM:!'A."</f>
        <v>#VALUE!</v>
      </c>
      <c r="DQ133" t="e">
        <f>'Delivery Calculation'!E142+"AM:!'A/"</f>
        <v>#VALUE!</v>
      </c>
      <c r="DR133" s="98" t="e">
        <f>'Delivery Calculation'!F142+"AM:!'A0"</f>
        <v>#VALUE!</v>
      </c>
      <c r="DS133" s="98" t="e">
        <f>'Delivery Calculation'!G142+"AM:!'A1"</f>
        <v>#VALUE!</v>
      </c>
      <c r="DT133" s="97" t="e">
        <f>'Delivery Calculation'!H142+"AM:!'A2"</f>
        <v>#VALUE!</v>
      </c>
      <c r="DU133" s="97" t="e">
        <f>'Delivery Calculation'!I142+"AM:!'A3"</f>
        <v>#VALUE!</v>
      </c>
      <c r="DV133" s="103" t="e">
        <f>'Delivery Calculation'!J142+"AM:!'A4"</f>
        <v>#VALUE!</v>
      </c>
      <c r="DW133" s="98" t="e">
        <f>'Delivery Calculation'!K142+"AM:!'A5"</f>
        <v>#VALUE!</v>
      </c>
      <c r="DX133" s="98" t="e">
        <f>'Delivery Calculation'!L142+"AM:!'A6"</f>
        <v>#VALUE!</v>
      </c>
      <c r="DY133" s="99" t="e">
        <f>'Delivery Calculation'!M142+"AM:!'A7"</f>
        <v>#VALUE!</v>
      </c>
      <c r="DZ133" s="99" t="e">
        <f>'Delivery Calculation'!N142+"AM:!'A8"</f>
        <v>#VALUE!</v>
      </c>
      <c r="EA133" s="99" t="e">
        <f>'Delivery Calculation'!O142+"AM:!'A9"</f>
        <v>#VALUE!</v>
      </c>
      <c r="EB133" s="99" t="e">
        <f>'Delivery Calculation'!P142+"AM:!'A:"</f>
        <v>#VALUE!</v>
      </c>
      <c r="EC133" s="99" t="e">
        <f>'Delivery Calculation'!Q142+"AM:!'A;"</f>
        <v>#VALUE!</v>
      </c>
      <c r="ED133" s="99" t="e">
        <f>'Delivery Calculation'!R142+"AM:!'A&lt;"</f>
        <v>#VALUE!</v>
      </c>
      <c r="EE133" s="99" t="e">
        <f>'Delivery Calculation'!S142+"AM:!'A="</f>
        <v>#VALUE!</v>
      </c>
      <c r="EF133" s="99" t="e">
        <f>'Delivery Calculation'!T142+"AM:!'A&gt;"</f>
        <v>#VALUE!</v>
      </c>
      <c r="EG133" s="99" t="e">
        <f>'Delivery Calculation'!U142+"AM:!'A?"</f>
        <v>#VALUE!</v>
      </c>
      <c r="EH133" s="99" t="e">
        <f>'Delivery Calculation'!V142+"AM:!'A@"</f>
        <v>#VALUE!</v>
      </c>
      <c r="EI133" s="99" t="e">
        <f>'Delivery Calculation'!W142+"AM:!'AA"</f>
        <v>#VALUE!</v>
      </c>
      <c r="EJ133" s="99" t="e">
        <f>'Delivery Calculation'!X142+"AM:!'AB"</f>
        <v>#VALUE!</v>
      </c>
      <c r="EK133" s="99" t="e">
        <f>'Delivery Calculation'!Y142+"AM:!'AC"</f>
        <v>#VALUE!</v>
      </c>
      <c r="EL133" s="99" t="e">
        <f>'Delivery Calculation'!Z142+"AM:!'AD"</f>
        <v>#VALUE!</v>
      </c>
      <c r="EM133" s="99" t="e">
        <f>'Delivery Calculation'!AA142+"AM:!'AE"</f>
        <v>#VALUE!</v>
      </c>
      <c r="EN133" s="99" t="e">
        <f>'Delivery Calculation'!AB142+"AM:!'AF"</f>
        <v>#VALUE!</v>
      </c>
      <c r="EO133" s="99" t="e">
        <f>'Delivery Calculation'!AC142+"AM:!'AG"</f>
        <v>#VALUE!</v>
      </c>
      <c r="EP133" s="99" t="e">
        <f>'Delivery Calculation'!AD142+"AM:!'AH"</f>
        <v>#VALUE!</v>
      </c>
      <c r="EQ133" s="99" t="e">
        <f>'Delivery Calculation'!AE142+"AM:!'AI"</f>
        <v>#VALUE!</v>
      </c>
      <c r="ER133" s="99" t="e">
        <f>'Delivery Calculation'!AF142+"AM:!'AJ"</f>
        <v>#VALUE!</v>
      </c>
      <c r="ES133" s="99" t="e">
        <f>'Delivery Calculation'!AG142+"AM:!'AK"</f>
        <v>#VALUE!</v>
      </c>
      <c r="ET133" s="99" t="e">
        <f>'Delivery Calculation'!AH142+"AM:!'AL"</f>
        <v>#VALUE!</v>
      </c>
      <c r="EU133" s="99" t="e">
        <f>'Delivery Calculation'!AI142+"AM:!'AM"</f>
        <v>#VALUE!</v>
      </c>
      <c r="EV133" s="99" t="e">
        <f>'Delivery Calculation'!AJ142+"AM:!'AN"</f>
        <v>#VALUE!</v>
      </c>
      <c r="EW133" s="99" t="e">
        <f>'Delivery Calculation'!AK142+"AM:!'AO"</f>
        <v>#VALUE!</v>
      </c>
      <c r="EX133" s="99" t="e">
        <f>'Delivery Calculation'!AL142+"AM:!'AP"</f>
        <v>#VALUE!</v>
      </c>
      <c r="EY133" s="99" t="e">
        <f>'Delivery Calculation'!AM142+"AM:!'AQ"</f>
        <v>#VALUE!</v>
      </c>
      <c r="EZ133" s="99" t="e">
        <f>'Delivery Calculation'!AN142+"AM:!'AR"</f>
        <v>#VALUE!</v>
      </c>
      <c r="FA133" s="99" t="e">
        <f>'Delivery Calculation'!AO142+"AM:!'AS"</f>
        <v>#VALUE!</v>
      </c>
      <c r="FB133" s="99" t="e">
        <f>'Delivery Calculation'!AP142+"AM:!'AT"</f>
        <v>#VALUE!</v>
      </c>
      <c r="FC133" s="99" t="e">
        <f>'Delivery Calculation'!AQ142+"AM:!'AU"</f>
        <v>#VALUE!</v>
      </c>
      <c r="FD133" s="99" t="e">
        <f>'Delivery Calculation'!AR142+"AM:!'AV"</f>
        <v>#VALUE!</v>
      </c>
      <c r="FE133" s="99" t="e">
        <f>'Delivery Calculation'!AS142+"AM:!'AW"</f>
        <v>#VALUE!</v>
      </c>
      <c r="FF133" s="99" t="e">
        <f>'Delivery Calculation'!AT142+"AM:!'AX"</f>
        <v>#VALUE!</v>
      </c>
      <c r="FG133" s="99" t="e">
        <f>'Delivery Calculation'!AU142+"AM:!'AY"</f>
        <v>#VALUE!</v>
      </c>
      <c r="FH133" s="99" t="e">
        <f>'Delivery Calculation'!AV142+"AM:!'AZ"</f>
        <v>#VALUE!</v>
      </c>
      <c r="FI133" s="99" t="e">
        <f>'Delivery Calculation'!AW142+"AM:!'A["</f>
        <v>#VALUE!</v>
      </c>
      <c r="FJ133" s="99" t="e">
        <f>'Delivery Calculation'!AX142+"AM:!'A\"</f>
        <v>#VALUE!</v>
      </c>
      <c r="FK133" s="101" t="e">
        <f>'Delivery Calculation'!AY142+"AM:!'A]"</f>
        <v>#VALUE!</v>
      </c>
      <c r="FL133" t="e">
        <f>'Delivery Calculation'!AZ142+"AM:!'A^"</f>
        <v>#VALUE!</v>
      </c>
      <c r="FM133" t="e">
        <f>'Delivery Calculation'!A143+"AM:!'A_"</f>
        <v>#VALUE!</v>
      </c>
      <c r="FN133" t="e">
        <f>'Delivery Calculation'!B143+"AM:!'A`"</f>
        <v>#VALUE!</v>
      </c>
      <c r="FO133" t="e">
        <f>'Delivery Calculation'!C143+"AM:!'Aa"</f>
        <v>#VALUE!</v>
      </c>
      <c r="FP133" t="e">
        <f>'Delivery Calculation'!D143+"AM:!'Ab"</f>
        <v>#VALUE!</v>
      </c>
      <c r="FQ133" t="e">
        <f>'Delivery Calculation'!E143+"AM:!'Ac"</f>
        <v>#VALUE!</v>
      </c>
      <c r="FR133" s="98" t="e">
        <f>'Delivery Calculation'!F143+"AM:!'Ad"</f>
        <v>#VALUE!</v>
      </c>
      <c r="FS133" s="98" t="e">
        <f>'Delivery Calculation'!G143+"AM:!'Ae"</f>
        <v>#VALUE!</v>
      </c>
      <c r="FT133" s="97" t="e">
        <f>'Delivery Calculation'!H143+"AM:!'Af"</f>
        <v>#VALUE!</v>
      </c>
      <c r="FU133" s="97" t="e">
        <f>'Delivery Calculation'!I143+"AM:!'Ag"</f>
        <v>#VALUE!</v>
      </c>
      <c r="FV133" s="103" t="e">
        <f>'Delivery Calculation'!J143+"AM:!'Ah"</f>
        <v>#VALUE!</v>
      </c>
      <c r="FW133" s="98" t="e">
        <f>'Delivery Calculation'!K143+"AM:!'Ai"</f>
        <v>#VALUE!</v>
      </c>
      <c r="FX133" s="98" t="e">
        <f>'Delivery Calculation'!L143+"AM:!'Aj"</f>
        <v>#VALUE!</v>
      </c>
      <c r="FY133" s="99" t="e">
        <f>'Delivery Calculation'!M143+"AM:!'Ak"</f>
        <v>#VALUE!</v>
      </c>
      <c r="FZ133" s="99" t="e">
        <f>'Delivery Calculation'!N143+"AM:!'Al"</f>
        <v>#VALUE!</v>
      </c>
      <c r="GA133" s="99" t="e">
        <f>'Delivery Calculation'!O143+"AM:!'Am"</f>
        <v>#VALUE!</v>
      </c>
      <c r="GB133" s="99" t="e">
        <f>'Delivery Calculation'!P143+"AM:!'An"</f>
        <v>#VALUE!</v>
      </c>
      <c r="GC133" s="99" t="e">
        <f>'Delivery Calculation'!Q143+"AM:!'Ao"</f>
        <v>#VALUE!</v>
      </c>
      <c r="GD133" s="99" t="e">
        <f>'Delivery Calculation'!R143+"AM:!'Ap"</f>
        <v>#VALUE!</v>
      </c>
      <c r="GE133" s="99" t="e">
        <f>'Delivery Calculation'!S143+"AM:!'Aq"</f>
        <v>#VALUE!</v>
      </c>
      <c r="GF133" s="99" t="e">
        <f>'Delivery Calculation'!T143+"AM:!'Ar"</f>
        <v>#VALUE!</v>
      </c>
      <c r="GG133" s="99" t="e">
        <f>'Delivery Calculation'!U143+"AM:!'As"</f>
        <v>#VALUE!</v>
      </c>
      <c r="GH133" s="99" t="e">
        <f>'Delivery Calculation'!V143+"AM:!'At"</f>
        <v>#VALUE!</v>
      </c>
      <c r="GI133" s="99" t="e">
        <f>'Delivery Calculation'!W143+"AM:!'Au"</f>
        <v>#VALUE!</v>
      </c>
      <c r="GJ133" s="99" t="e">
        <f>'Delivery Calculation'!X143+"AM:!'Av"</f>
        <v>#VALUE!</v>
      </c>
      <c r="GK133" s="99" t="e">
        <f>'Delivery Calculation'!Y143+"AM:!'Aw"</f>
        <v>#VALUE!</v>
      </c>
      <c r="GL133" s="99" t="e">
        <f>'Delivery Calculation'!Z143+"AM:!'Ax"</f>
        <v>#VALUE!</v>
      </c>
      <c r="GM133" s="99" t="e">
        <f>'Delivery Calculation'!AA143+"AM:!'Ay"</f>
        <v>#VALUE!</v>
      </c>
      <c r="GN133" s="99" t="e">
        <f>'Delivery Calculation'!AB143+"AM:!'Az"</f>
        <v>#VALUE!</v>
      </c>
      <c r="GO133" s="99" t="e">
        <f>'Delivery Calculation'!AC143+"AM:!'A{"</f>
        <v>#VALUE!</v>
      </c>
      <c r="GP133" s="99" t="e">
        <f>'Delivery Calculation'!AD143+"AM:!'A|"</f>
        <v>#VALUE!</v>
      </c>
      <c r="GQ133" s="99" t="e">
        <f>'Delivery Calculation'!AE143+"AM:!'A}"</f>
        <v>#VALUE!</v>
      </c>
      <c r="GR133" s="99" t="e">
        <f>'Delivery Calculation'!AF143+"AM:!'A~"</f>
        <v>#VALUE!</v>
      </c>
      <c r="GS133" s="99" t="e">
        <f>'Delivery Calculation'!AG143+"AM:!'B#"</f>
        <v>#VALUE!</v>
      </c>
      <c r="GT133" s="99" t="e">
        <f>'Delivery Calculation'!AH143+"AM:!'B$"</f>
        <v>#VALUE!</v>
      </c>
      <c r="GU133" s="99" t="e">
        <f>'Delivery Calculation'!AI143+"AM:!'B%"</f>
        <v>#VALUE!</v>
      </c>
      <c r="GV133" s="99" t="e">
        <f>'Delivery Calculation'!AJ143+"AM:!'B&amp;"</f>
        <v>#VALUE!</v>
      </c>
      <c r="GW133" s="99" t="e">
        <f>'Delivery Calculation'!AK143+"AM:!'B'"</f>
        <v>#VALUE!</v>
      </c>
      <c r="GX133" s="99" t="e">
        <f>'Delivery Calculation'!AL143+"AM:!'B("</f>
        <v>#VALUE!</v>
      </c>
      <c r="GY133" s="99" t="e">
        <f>'Delivery Calculation'!AM143+"AM:!'B)"</f>
        <v>#VALUE!</v>
      </c>
      <c r="GZ133" s="99" t="e">
        <f>'Delivery Calculation'!AN143+"AM:!'B."</f>
        <v>#VALUE!</v>
      </c>
      <c r="HA133" s="99" t="e">
        <f>'Delivery Calculation'!AO143+"AM:!'B/"</f>
        <v>#VALUE!</v>
      </c>
      <c r="HB133" s="99" t="e">
        <f>'Delivery Calculation'!AP143+"AM:!'B0"</f>
        <v>#VALUE!</v>
      </c>
      <c r="HC133" s="99" t="e">
        <f>'Delivery Calculation'!AQ143+"AM:!'B1"</f>
        <v>#VALUE!</v>
      </c>
      <c r="HD133" s="99" t="e">
        <f>'Delivery Calculation'!AR143+"AM:!'B2"</f>
        <v>#VALUE!</v>
      </c>
      <c r="HE133" s="99" t="e">
        <f>'Delivery Calculation'!AS143+"AM:!'B3"</f>
        <v>#VALUE!</v>
      </c>
      <c r="HF133" s="99" t="e">
        <f>'Delivery Calculation'!AT143+"AM:!'B4"</f>
        <v>#VALUE!</v>
      </c>
      <c r="HG133" s="99" t="e">
        <f>'Delivery Calculation'!AU143+"AM:!'B5"</f>
        <v>#VALUE!</v>
      </c>
      <c r="HH133" s="99" t="e">
        <f>'Delivery Calculation'!AV143+"AM:!'B6"</f>
        <v>#VALUE!</v>
      </c>
      <c r="HI133" s="99" t="e">
        <f>'Delivery Calculation'!AW143+"AM:!'B7"</f>
        <v>#VALUE!</v>
      </c>
      <c r="HJ133" s="99" t="e">
        <f>'Delivery Calculation'!AX143+"AM:!'B8"</f>
        <v>#VALUE!</v>
      </c>
      <c r="HK133" s="101" t="e">
        <f>'Delivery Calculation'!AY143+"AM:!'B9"</f>
        <v>#VALUE!</v>
      </c>
      <c r="HL133" t="e">
        <f>'Delivery Calculation'!AZ143+"AM:!'B:"</f>
        <v>#VALUE!</v>
      </c>
      <c r="HM133" t="e">
        <f>'Delivery Calculation'!A144+"AM:!'B;"</f>
        <v>#VALUE!</v>
      </c>
      <c r="HN133" t="e">
        <f>'Delivery Calculation'!B144+"AM:!'B&lt;"</f>
        <v>#VALUE!</v>
      </c>
      <c r="HO133" t="e">
        <f>'Delivery Calculation'!C144+"AM:!'B="</f>
        <v>#VALUE!</v>
      </c>
      <c r="HP133" t="e">
        <f>'Delivery Calculation'!D144+"AM:!'B&gt;"</f>
        <v>#VALUE!</v>
      </c>
      <c r="HQ133" t="e">
        <f>'Delivery Calculation'!E144+"AM:!'B?"</f>
        <v>#VALUE!</v>
      </c>
      <c r="HR133" s="98" t="e">
        <f>'Delivery Calculation'!F144+"AM:!'B@"</f>
        <v>#VALUE!</v>
      </c>
      <c r="HS133" s="98" t="e">
        <f>'Delivery Calculation'!G144+"AM:!'BA"</f>
        <v>#VALUE!</v>
      </c>
      <c r="HT133" s="97" t="e">
        <f>'Delivery Calculation'!H144+"AM:!'BB"</f>
        <v>#VALUE!</v>
      </c>
      <c r="HU133" s="97" t="e">
        <f>'Delivery Calculation'!I144+"AM:!'BC"</f>
        <v>#VALUE!</v>
      </c>
      <c r="HV133" s="103" t="e">
        <f>'Delivery Calculation'!J144+"AM:!'BD"</f>
        <v>#VALUE!</v>
      </c>
      <c r="HW133" s="98" t="e">
        <f>'Delivery Calculation'!K144+"AM:!'BE"</f>
        <v>#VALUE!</v>
      </c>
      <c r="HX133" s="98" t="e">
        <f>'Delivery Calculation'!L144+"AM:!'BF"</f>
        <v>#VALUE!</v>
      </c>
      <c r="HY133" s="99" t="e">
        <f>'Delivery Calculation'!M144+"AM:!'BG"</f>
        <v>#VALUE!</v>
      </c>
      <c r="HZ133" s="99" t="e">
        <f>'Delivery Calculation'!N144+"AM:!'BH"</f>
        <v>#VALUE!</v>
      </c>
      <c r="IA133" s="99" t="e">
        <f>'Delivery Calculation'!O144+"AM:!'BI"</f>
        <v>#VALUE!</v>
      </c>
      <c r="IB133" s="99" t="e">
        <f>'Delivery Calculation'!P144+"AM:!'BJ"</f>
        <v>#VALUE!</v>
      </c>
      <c r="IC133" s="99" t="e">
        <f>'Delivery Calculation'!Q144+"AM:!'BK"</f>
        <v>#VALUE!</v>
      </c>
      <c r="ID133" s="99" t="e">
        <f>'Delivery Calculation'!R144+"AM:!'BL"</f>
        <v>#VALUE!</v>
      </c>
      <c r="IE133" s="99" t="e">
        <f>'Delivery Calculation'!S144+"AM:!'BM"</f>
        <v>#VALUE!</v>
      </c>
      <c r="IF133" s="99" t="e">
        <f>'Delivery Calculation'!T144+"AM:!'BN"</f>
        <v>#VALUE!</v>
      </c>
      <c r="IG133" s="99" t="e">
        <f>'Delivery Calculation'!U144+"AM:!'BO"</f>
        <v>#VALUE!</v>
      </c>
      <c r="IH133" s="99" t="e">
        <f>'Delivery Calculation'!V144+"AM:!'BP"</f>
        <v>#VALUE!</v>
      </c>
      <c r="II133" s="99" t="e">
        <f>'Delivery Calculation'!W144+"AM:!'BQ"</f>
        <v>#VALUE!</v>
      </c>
      <c r="IJ133" s="99" t="e">
        <f>'Delivery Calculation'!X144+"AM:!'BR"</f>
        <v>#VALUE!</v>
      </c>
      <c r="IK133" s="99" t="e">
        <f>'Delivery Calculation'!Y144+"AM:!'BS"</f>
        <v>#VALUE!</v>
      </c>
      <c r="IL133" s="99" t="e">
        <f>'Delivery Calculation'!Z144+"AM:!'BT"</f>
        <v>#VALUE!</v>
      </c>
      <c r="IM133" s="99" t="e">
        <f>'Delivery Calculation'!AA144+"AM:!'BU"</f>
        <v>#VALUE!</v>
      </c>
      <c r="IN133" s="99" t="e">
        <f>'Delivery Calculation'!AB144+"AM:!'BV"</f>
        <v>#VALUE!</v>
      </c>
      <c r="IO133" s="99" t="e">
        <f>'Delivery Calculation'!AC144+"AM:!'BW"</f>
        <v>#VALUE!</v>
      </c>
      <c r="IP133" s="99" t="e">
        <f>'Delivery Calculation'!AD144+"AM:!'BX"</f>
        <v>#VALUE!</v>
      </c>
      <c r="IQ133" s="99" t="e">
        <f>'Delivery Calculation'!AE144+"AM:!'BY"</f>
        <v>#VALUE!</v>
      </c>
      <c r="IR133" s="99" t="e">
        <f>'Delivery Calculation'!AF144+"AM:!'BZ"</f>
        <v>#VALUE!</v>
      </c>
      <c r="IS133" s="99" t="e">
        <f>'Delivery Calculation'!AG144+"AM:!'B["</f>
        <v>#VALUE!</v>
      </c>
      <c r="IT133" s="99" t="e">
        <f>'Delivery Calculation'!AH144+"AM:!'B\"</f>
        <v>#VALUE!</v>
      </c>
      <c r="IU133" s="99" t="e">
        <f>'Delivery Calculation'!AI144+"AM:!'B]"</f>
        <v>#VALUE!</v>
      </c>
      <c r="IV133" s="99" t="e">
        <f>'Delivery Calculation'!AJ144+"AM:!'B^"</f>
        <v>#VALUE!</v>
      </c>
    </row>
    <row r="134" spans="6:256">
      <c r="F134" s="99" t="e">
        <f>'Delivery Calculation'!AK144+"AM:!'B_"</f>
        <v>#VALUE!</v>
      </c>
      <c r="G134" s="99" t="e">
        <f>'Delivery Calculation'!AL144+"AM:!'B`"</f>
        <v>#VALUE!</v>
      </c>
      <c r="H134" s="99" t="e">
        <f>'Delivery Calculation'!AM144+"AM:!'Ba"</f>
        <v>#VALUE!</v>
      </c>
      <c r="I134" s="99" t="e">
        <f>'Delivery Calculation'!AN144+"AM:!'Bb"</f>
        <v>#VALUE!</v>
      </c>
      <c r="J134" s="99" t="e">
        <f>'Delivery Calculation'!AO144+"AM:!'Bc"</f>
        <v>#VALUE!</v>
      </c>
      <c r="K134" s="99" t="e">
        <f>'Delivery Calculation'!AP144+"AM:!'Bd"</f>
        <v>#VALUE!</v>
      </c>
      <c r="L134" s="99" t="e">
        <f>'Delivery Calculation'!AQ144+"AM:!'Be"</f>
        <v>#VALUE!</v>
      </c>
      <c r="M134" s="99" t="e">
        <f>'Delivery Calculation'!AR144+"AM:!'Bf"</f>
        <v>#VALUE!</v>
      </c>
      <c r="N134" s="99" t="e">
        <f>'Delivery Calculation'!AS144+"AM:!'Bg"</f>
        <v>#VALUE!</v>
      </c>
      <c r="O134" s="99" t="e">
        <f>'Delivery Calculation'!AT144+"AM:!'Bh"</f>
        <v>#VALUE!</v>
      </c>
      <c r="P134" s="99" t="e">
        <f>'Delivery Calculation'!AU144+"AM:!'Bi"</f>
        <v>#VALUE!</v>
      </c>
      <c r="Q134" s="99" t="e">
        <f>'Delivery Calculation'!AV144+"AM:!'Bj"</f>
        <v>#VALUE!</v>
      </c>
      <c r="R134" s="99" t="e">
        <f>'Delivery Calculation'!AW144+"AM:!'Bk"</f>
        <v>#VALUE!</v>
      </c>
      <c r="S134" s="99" t="e">
        <f>'Delivery Calculation'!AX144+"AM:!'Bl"</f>
        <v>#VALUE!</v>
      </c>
      <c r="T134" s="101" t="e">
        <f>'Delivery Calculation'!AY144+"AM:!'Bm"</f>
        <v>#VALUE!</v>
      </c>
      <c r="U134" t="e">
        <f>'Delivery Calculation'!AZ144+"AM:!'Bn"</f>
        <v>#VALUE!</v>
      </c>
      <c r="V134" t="e">
        <f>'Delivery Calculation'!A145+"AM:!'Bo"</f>
        <v>#VALUE!</v>
      </c>
      <c r="W134" t="e">
        <f>'Delivery Calculation'!B145+"AM:!'Bp"</f>
        <v>#VALUE!</v>
      </c>
      <c r="X134" t="e">
        <f>'Delivery Calculation'!C145+"AM:!'Bq"</f>
        <v>#VALUE!</v>
      </c>
      <c r="Y134" t="e">
        <f>'Delivery Calculation'!D145+"AM:!'Br"</f>
        <v>#VALUE!</v>
      </c>
      <c r="Z134" t="e">
        <f>'Delivery Calculation'!E145+"AM:!'Bs"</f>
        <v>#VALUE!</v>
      </c>
      <c r="AA134" s="98" t="e">
        <f>'Delivery Calculation'!F145+"AM:!'Bt"</f>
        <v>#VALUE!</v>
      </c>
      <c r="AB134" s="98" t="e">
        <f>'Delivery Calculation'!G145+"AM:!'Bu"</f>
        <v>#VALUE!</v>
      </c>
      <c r="AC134" s="97" t="e">
        <f>'Delivery Calculation'!H145+"AM:!'Bv"</f>
        <v>#VALUE!</v>
      </c>
      <c r="AD134" s="97" t="e">
        <f>'Delivery Calculation'!I145+"AM:!'Bw"</f>
        <v>#VALUE!</v>
      </c>
      <c r="AE134" s="103" t="e">
        <f>'Delivery Calculation'!J145+"AM:!'Bx"</f>
        <v>#VALUE!</v>
      </c>
      <c r="AF134" s="98" t="e">
        <f>'Delivery Calculation'!K145+"AM:!'By"</f>
        <v>#VALUE!</v>
      </c>
      <c r="AG134" s="98" t="e">
        <f>'Delivery Calculation'!L145+"AM:!'Bz"</f>
        <v>#VALUE!</v>
      </c>
      <c r="AH134" s="99" t="e">
        <f>'Delivery Calculation'!M145+"AM:!'B{"</f>
        <v>#VALUE!</v>
      </c>
      <c r="AI134" s="99" t="e">
        <f>'Delivery Calculation'!N145+"AM:!'B|"</f>
        <v>#VALUE!</v>
      </c>
      <c r="AJ134" s="99" t="e">
        <f>'Delivery Calculation'!O145+"AM:!'B}"</f>
        <v>#VALUE!</v>
      </c>
      <c r="AK134" s="99" t="e">
        <f>'Delivery Calculation'!P145+"AM:!'B~"</f>
        <v>#VALUE!</v>
      </c>
      <c r="AL134" s="99" t="e">
        <f>'Delivery Calculation'!Q145+"AM:!'C#"</f>
        <v>#VALUE!</v>
      </c>
      <c r="AM134" s="99" t="e">
        <f>'Delivery Calculation'!R145+"AM:!'C$"</f>
        <v>#VALUE!</v>
      </c>
      <c r="AN134" s="99" t="e">
        <f>'Delivery Calculation'!S145+"AM:!'C%"</f>
        <v>#VALUE!</v>
      </c>
      <c r="AO134" s="99" t="e">
        <f>'Delivery Calculation'!T145+"AM:!'C&amp;"</f>
        <v>#VALUE!</v>
      </c>
      <c r="AP134" s="99" t="e">
        <f>'Delivery Calculation'!U145+"AM:!'C'"</f>
        <v>#VALUE!</v>
      </c>
      <c r="AQ134" s="99" t="e">
        <f>'Delivery Calculation'!V145+"AM:!'C("</f>
        <v>#VALUE!</v>
      </c>
      <c r="AR134" s="99" t="e">
        <f>'Delivery Calculation'!W145+"AM:!'C)"</f>
        <v>#VALUE!</v>
      </c>
      <c r="AS134" s="99" t="e">
        <f>'Delivery Calculation'!X145+"AM:!'C."</f>
        <v>#VALUE!</v>
      </c>
      <c r="AT134" s="99" t="e">
        <f>'Delivery Calculation'!Y145+"AM:!'C/"</f>
        <v>#VALUE!</v>
      </c>
      <c r="AU134" s="99" t="e">
        <f>'Delivery Calculation'!Z145+"AM:!'C0"</f>
        <v>#VALUE!</v>
      </c>
      <c r="AV134" s="99" t="e">
        <f>'Delivery Calculation'!AA145+"AM:!'C1"</f>
        <v>#VALUE!</v>
      </c>
      <c r="AW134" s="99" t="e">
        <f>'Delivery Calculation'!AB145+"AM:!'C2"</f>
        <v>#VALUE!</v>
      </c>
      <c r="AX134" s="99" t="e">
        <f>'Delivery Calculation'!AC145+"AM:!'C3"</f>
        <v>#VALUE!</v>
      </c>
      <c r="AY134" s="99" t="e">
        <f>'Delivery Calculation'!AD145+"AM:!'C4"</f>
        <v>#VALUE!</v>
      </c>
      <c r="AZ134" s="99" t="e">
        <f>'Delivery Calculation'!AE145+"AM:!'C5"</f>
        <v>#VALUE!</v>
      </c>
      <c r="BA134" s="99" t="e">
        <f>'Delivery Calculation'!AF145+"AM:!'C6"</f>
        <v>#VALUE!</v>
      </c>
      <c r="BB134" s="99" t="e">
        <f>'Delivery Calculation'!AG145+"AM:!'C7"</f>
        <v>#VALUE!</v>
      </c>
      <c r="BC134" s="99" t="e">
        <f>'Delivery Calculation'!AH145+"AM:!'C8"</f>
        <v>#VALUE!</v>
      </c>
      <c r="BD134" s="99" t="e">
        <f>'Delivery Calculation'!AI145+"AM:!'C9"</f>
        <v>#VALUE!</v>
      </c>
      <c r="BE134" s="99" t="e">
        <f>'Delivery Calculation'!AJ145+"AM:!'C:"</f>
        <v>#VALUE!</v>
      </c>
      <c r="BF134" s="99" t="e">
        <f>'Delivery Calculation'!AK145+"AM:!'C;"</f>
        <v>#VALUE!</v>
      </c>
      <c r="BG134" s="99" t="e">
        <f>'Delivery Calculation'!AL145+"AM:!'C&lt;"</f>
        <v>#VALUE!</v>
      </c>
      <c r="BH134" s="99" t="e">
        <f>'Delivery Calculation'!AM145+"AM:!'C="</f>
        <v>#VALUE!</v>
      </c>
      <c r="BI134" s="99" t="e">
        <f>'Delivery Calculation'!AN145+"AM:!'C&gt;"</f>
        <v>#VALUE!</v>
      </c>
      <c r="BJ134" s="99" t="e">
        <f>'Delivery Calculation'!AO145+"AM:!'C?"</f>
        <v>#VALUE!</v>
      </c>
      <c r="BK134" s="99" t="e">
        <f>'Delivery Calculation'!AP145+"AM:!'C@"</f>
        <v>#VALUE!</v>
      </c>
      <c r="BL134" s="99" t="e">
        <f>'Delivery Calculation'!AQ145+"AM:!'CA"</f>
        <v>#VALUE!</v>
      </c>
      <c r="BM134" s="99" t="e">
        <f>'Delivery Calculation'!AR145+"AM:!'CB"</f>
        <v>#VALUE!</v>
      </c>
      <c r="BN134" s="99" t="e">
        <f>'Delivery Calculation'!AS145+"AM:!'CC"</f>
        <v>#VALUE!</v>
      </c>
      <c r="BO134" s="99" t="e">
        <f>'Delivery Calculation'!AT145+"AM:!'CD"</f>
        <v>#VALUE!</v>
      </c>
      <c r="BP134" s="99" t="e">
        <f>'Delivery Calculation'!AU145+"AM:!'CE"</f>
        <v>#VALUE!</v>
      </c>
      <c r="BQ134" s="99" t="e">
        <f>'Delivery Calculation'!AV145+"AM:!'CF"</f>
        <v>#VALUE!</v>
      </c>
      <c r="BR134" s="99" t="e">
        <f>'Delivery Calculation'!AW145+"AM:!'CG"</f>
        <v>#VALUE!</v>
      </c>
      <c r="BS134" s="99" t="e">
        <f>'Delivery Calculation'!AX145+"AM:!'CH"</f>
        <v>#VALUE!</v>
      </c>
      <c r="BT134" s="101" t="e">
        <f>'Delivery Calculation'!AY145+"AM:!'CI"</f>
        <v>#VALUE!</v>
      </c>
      <c r="BU134" t="e">
        <f>'Delivery Calculation'!AZ145+"AM:!'CJ"</f>
        <v>#VALUE!</v>
      </c>
      <c r="BV134" t="e">
        <f>'Delivery Calculation'!A146+"AM:!'CK"</f>
        <v>#VALUE!</v>
      </c>
      <c r="BW134" t="e">
        <f>'Delivery Calculation'!B146+"AM:!'CL"</f>
        <v>#VALUE!</v>
      </c>
      <c r="BX134" t="e">
        <f>'Delivery Calculation'!C146+"AM:!'CM"</f>
        <v>#VALUE!</v>
      </c>
      <c r="BY134" t="e">
        <f>'Delivery Calculation'!D146+"AM:!'CN"</f>
        <v>#VALUE!</v>
      </c>
      <c r="BZ134" t="e">
        <f>'Delivery Calculation'!E146+"AM:!'CO"</f>
        <v>#VALUE!</v>
      </c>
      <c r="CA134" s="98" t="e">
        <f>'Delivery Calculation'!F146+"AM:!'CP"</f>
        <v>#VALUE!</v>
      </c>
      <c r="CB134" s="98" t="e">
        <f>'Delivery Calculation'!G146+"AM:!'CQ"</f>
        <v>#VALUE!</v>
      </c>
      <c r="CC134" s="97" t="e">
        <f>'Delivery Calculation'!H146+"AM:!'CR"</f>
        <v>#VALUE!</v>
      </c>
      <c r="CD134" s="97" t="e">
        <f>'Delivery Calculation'!I146+"AM:!'CS"</f>
        <v>#VALUE!</v>
      </c>
      <c r="CE134" s="103" t="e">
        <f>'Delivery Calculation'!J146+"AM:!'CT"</f>
        <v>#VALUE!</v>
      </c>
      <c r="CF134" s="98" t="e">
        <f>'Delivery Calculation'!K146+"AM:!'CU"</f>
        <v>#VALUE!</v>
      </c>
      <c r="CG134" s="98" t="e">
        <f>'Delivery Calculation'!L146+"AM:!'CV"</f>
        <v>#VALUE!</v>
      </c>
      <c r="CH134" s="99" t="e">
        <f>'Delivery Calculation'!M146+"AM:!'CW"</f>
        <v>#VALUE!</v>
      </c>
      <c r="CI134" s="99" t="e">
        <f>'Delivery Calculation'!N146+"AM:!'CX"</f>
        <v>#VALUE!</v>
      </c>
      <c r="CJ134" s="99" t="e">
        <f>'Delivery Calculation'!O146+"AM:!'CY"</f>
        <v>#VALUE!</v>
      </c>
      <c r="CK134" s="99" t="e">
        <f>'Delivery Calculation'!P146+"AM:!'CZ"</f>
        <v>#VALUE!</v>
      </c>
      <c r="CL134" s="99" t="e">
        <f>'Delivery Calculation'!Q146+"AM:!'C["</f>
        <v>#VALUE!</v>
      </c>
      <c r="CM134" s="99" t="e">
        <f>'Delivery Calculation'!R146+"AM:!'C\"</f>
        <v>#VALUE!</v>
      </c>
      <c r="CN134" s="99" t="e">
        <f>'Delivery Calculation'!S146+"AM:!'C]"</f>
        <v>#VALUE!</v>
      </c>
      <c r="CO134" s="99" t="e">
        <f>'Delivery Calculation'!T146+"AM:!'C^"</f>
        <v>#VALUE!</v>
      </c>
      <c r="CP134" s="99" t="e">
        <f>'Delivery Calculation'!U146+"AM:!'C_"</f>
        <v>#VALUE!</v>
      </c>
      <c r="CQ134" s="99" t="e">
        <f>'Delivery Calculation'!V146+"AM:!'C`"</f>
        <v>#VALUE!</v>
      </c>
      <c r="CR134" s="99" t="e">
        <f>'Delivery Calculation'!W146+"AM:!'Ca"</f>
        <v>#VALUE!</v>
      </c>
      <c r="CS134" s="99" t="e">
        <f>'Delivery Calculation'!X146+"AM:!'Cb"</f>
        <v>#VALUE!</v>
      </c>
      <c r="CT134" s="99" t="e">
        <f>'Delivery Calculation'!Y146+"AM:!'Cc"</f>
        <v>#VALUE!</v>
      </c>
      <c r="CU134" s="99" t="e">
        <f>'Delivery Calculation'!Z146+"AM:!'Cd"</f>
        <v>#VALUE!</v>
      </c>
      <c r="CV134" s="99" t="e">
        <f>'Delivery Calculation'!AA146+"AM:!'Ce"</f>
        <v>#VALUE!</v>
      </c>
      <c r="CW134" s="99" t="e">
        <f>'Delivery Calculation'!AB146+"AM:!'Cf"</f>
        <v>#VALUE!</v>
      </c>
      <c r="CX134" s="99" t="e">
        <f>'Delivery Calculation'!AC146+"AM:!'Cg"</f>
        <v>#VALUE!</v>
      </c>
      <c r="CY134" s="99" t="e">
        <f>'Delivery Calculation'!AD146+"AM:!'Ch"</f>
        <v>#VALUE!</v>
      </c>
      <c r="CZ134" s="99" t="e">
        <f>'Delivery Calculation'!AE146+"AM:!'Ci"</f>
        <v>#VALUE!</v>
      </c>
      <c r="DA134" s="99" t="e">
        <f>'Delivery Calculation'!AF146+"AM:!'Cj"</f>
        <v>#VALUE!</v>
      </c>
      <c r="DB134" s="99" t="e">
        <f>'Delivery Calculation'!AG146+"AM:!'Ck"</f>
        <v>#VALUE!</v>
      </c>
      <c r="DC134" s="99" t="e">
        <f>'Delivery Calculation'!AH146+"AM:!'Cl"</f>
        <v>#VALUE!</v>
      </c>
      <c r="DD134" s="99" t="e">
        <f>'Delivery Calculation'!AI146+"AM:!'Cm"</f>
        <v>#VALUE!</v>
      </c>
      <c r="DE134" s="99" t="e">
        <f>'Delivery Calculation'!AJ146+"AM:!'Cn"</f>
        <v>#VALUE!</v>
      </c>
      <c r="DF134" s="99" t="e">
        <f>'Delivery Calculation'!AK146+"AM:!'Co"</f>
        <v>#VALUE!</v>
      </c>
      <c r="DG134" s="99" t="e">
        <f>'Delivery Calculation'!AL146+"AM:!'Cp"</f>
        <v>#VALUE!</v>
      </c>
      <c r="DH134" s="99" t="e">
        <f>'Delivery Calculation'!AM146+"AM:!'Cq"</f>
        <v>#VALUE!</v>
      </c>
      <c r="DI134" s="99" t="e">
        <f>'Delivery Calculation'!AN146+"AM:!'Cr"</f>
        <v>#VALUE!</v>
      </c>
      <c r="DJ134" s="99" t="e">
        <f>'Delivery Calculation'!AO146+"AM:!'Cs"</f>
        <v>#VALUE!</v>
      </c>
      <c r="DK134" s="99" t="e">
        <f>'Delivery Calculation'!AP146+"AM:!'Ct"</f>
        <v>#VALUE!</v>
      </c>
      <c r="DL134" s="99" t="e">
        <f>'Delivery Calculation'!AQ146+"AM:!'Cu"</f>
        <v>#VALUE!</v>
      </c>
      <c r="DM134" s="99" t="e">
        <f>'Delivery Calculation'!AR146+"AM:!'Cv"</f>
        <v>#VALUE!</v>
      </c>
      <c r="DN134" s="99" t="e">
        <f>'Delivery Calculation'!AS146+"AM:!'Cw"</f>
        <v>#VALUE!</v>
      </c>
      <c r="DO134" s="99" t="e">
        <f>'Delivery Calculation'!AT146+"AM:!'Cx"</f>
        <v>#VALUE!</v>
      </c>
      <c r="DP134" s="99" t="e">
        <f>'Delivery Calculation'!AU146+"AM:!'Cy"</f>
        <v>#VALUE!</v>
      </c>
      <c r="DQ134" s="99" t="e">
        <f>'Delivery Calculation'!AV146+"AM:!'Cz"</f>
        <v>#VALUE!</v>
      </c>
      <c r="DR134" s="99" t="e">
        <f>'Delivery Calculation'!AW146+"AM:!'C{"</f>
        <v>#VALUE!</v>
      </c>
      <c r="DS134" s="99" t="e">
        <f>'Delivery Calculation'!AX146+"AM:!'C|"</f>
        <v>#VALUE!</v>
      </c>
      <c r="DT134" s="101" t="e">
        <f>'Delivery Calculation'!AY146+"AM:!'C}"</f>
        <v>#VALUE!</v>
      </c>
      <c r="DU134" t="e">
        <f>'Delivery Calculation'!AZ146+"AM:!'C~"</f>
        <v>#VALUE!</v>
      </c>
      <c r="DV134" t="e">
        <f>'Delivery Calculation'!A147+"AM:!'D#"</f>
        <v>#VALUE!</v>
      </c>
      <c r="DW134" t="e">
        <f>'Delivery Calculation'!B147+"AM:!'D$"</f>
        <v>#VALUE!</v>
      </c>
      <c r="DX134" t="e">
        <f>'Delivery Calculation'!C147+"AM:!'D%"</f>
        <v>#VALUE!</v>
      </c>
      <c r="DY134" t="e">
        <f>'Delivery Calculation'!D147+"AM:!'D&amp;"</f>
        <v>#VALUE!</v>
      </c>
      <c r="DZ134" t="e">
        <f>'Delivery Calculation'!E147+"AM:!'D'"</f>
        <v>#VALUE!</v>
      </c>
      <c r="EA134" s="98" t="e">
        <f>'Delivery Calculation'!F147+"AM:!'D("</f>
        <v>#VALUE!</v>
      </c>
      <c r="EB134" s="98" t="e">
        <f>'Delivery Calculation'!G147+"AM:!'D)"</f>
        <v>#VALUE!</v>
      </c>
      <c r="EC134" s="97" t="e">
        <f>'Delivery Calculation'!H147+"AM:!'D."</f>
        <v>#VALUE!</v>
      </c>
      <c r="ED134" s="97" t="e">
        <f>'Delivery Calculation'!I147+"AM:!'D/"</f>
        <v>#VALUE!</v>
      </c>
      <c r="EE134" s="103" t="e">
        <f>'Delivery Calculation'!J147+"AM:!'D0"</f>
        <v>#VALUE!</v>
      </c>
      <c r="EF134" s="98" t="e">
        <f>'Delivery Calculation'!K147+"AM:!'D1"</f>
        <v>#VALUE!</v>
      </c>
      <c r="EG134" s="98" t="e">
        <f>'Delivery Calculation'!L147+"AM:!'D2"</f>
        <v>#VALUE!</v>
      </c>
      <c r="EH134" s="99" t="e">
        <f>'Delivery Calculation'!M147+"AM:!'D3"</f>
        <v>#VALUE!</v>
      </c>
      <c r="EI134" s="99" t="e">
        <f>'Delivery Calculation'!N147+"AM:!'D4"</f>
        <v>#VALUE!</v>
      </c>
      <c r="EJ134" s="99" t="e">
        <f>'Delivery Calculation'!O147+"AM:!'D5"</f>
        <v>#VALUE!</v>
      </c>
      <c r="EK134" s="99" t="e">
        <f>'Delivery Calculation'!P147+"AM:!'D6"</f>
        <v>#VALUE!</v>
      </c>
      <c r="EL134" s="99" t="e">
        <f>'Delivery Calculation'!Q147+"AM:!'D7"</f>
        <v>#VALUE!</v>
      </c>
      <c r="EM134" s="99" t="e">
        <f>'Delivery Calculation'!R147+"AM:!'D8"</f>
        <v>#VALUE!</v>
      </c>
      <c r="EN134" s="99" t="e">
        <f>'Delivery Calculation'!S147+"AM:!'D9"</f>
        <v>#VALUE!</v>
      </c>
      <c r="EO134" s="99" t="e">
        <f>'Delivery Calculation'!T147+"AM:!'D:"</f>
        <v>#VALUE!</v>
      </c>
      <c r="EP134" s="99" t="e">
        <f>'Delivery Calculation'!U147+"AM:!'D;"</f>
        <v>#VALUE!</v>
      </c>
      <c r="EQ134" s="99" t="e">
        <f>'Delivery Calculation'!V147+"AM:!'D&lt;"</f>
        <v>#VALUE!</v>
      </c>
      <c r="ER134" s="99" t="e">
        <f>'Delivery Calculation'!W147+"AM:!'D="</f>
        <v>#VALUE!</v>
      </c>
      <c r="ES134" s="99" t="e">
        <f>'Delivery Calculation'!X147+"AM:!'D&gt;"</f>
        <v>#VALUE!</v>
      </c>
      <c r="ET134" s="99" t="e">
        <f>'Delivery Calculation'!Y147+"AM:!'D?"</f>
        <v>#VALUE!</v>
      </c>
      <c r="EU134" s="99" t="e">
        <f>'Delivery Calculation'!Z147+"AM:!'D@"</f>
        <v>#VALUE!</v>
      </c>
      <c r="EV134" s="99" t="e">
        <f>'Delivery Calculation'!AA147+"AM:!'DA"</f>
        <v>#VALUE!</v>
      </c>
      <c r="EW134" s="99" t="e">
        <f>'Delivery Calculation'!AB147+"AM:!'DB"</f>
        <v>#VALUE!</v>
      </c>
      <c r="EX134" s="99" t="e">
        <f>'Delivery Calculation'!AC147+"AM:!'DC"</f>
        <v>#VALUE!</v>
      </c>
      <c r="EY134" s="99" t="e">
        <f>'Delivery Calculation'!AD147+"AM:!'DD"</f>
        <v>#VALUE!</v>
      </c>
      <c r="EZ134" s="99" t="e">
        <f>'Delivery Calculation'!AE147+"AM:!'DE"</f>
        <v>#VALUE!</v>
      </c>
      <c r="FA134" s="99" t="e">
        <f>'Delivery Calculation'!AF147+"AM:!'DF"</f>
        <v>#VALUE!</v>
      </c>
      <c r="FB134" s="99" t="e">
        <f>'Delivery Calculation'!AG147+"AM:!'DG"</f>
        <v>#VALUE!</v>
      </c>
      <c r="FC134" s="99" t="e">
        <f>'Delivery Calculation'!AH147+"AM:!'DH"</f>
        <v>#VALUE!</v>
      </c>
      <c r="FD134" s="99" t="e">
        <f>'Delivery Calculation'!AI147+"AM:!'DI"</f>
        <v>#VALUE!</v>
      </c>
      <c r="FE134" s="99" t="e">
        <f>'Delivery Calculation'!AJ147+"AM:!'DJ"</f>
        <v>#VALUE!</v>
      </c>
      <c r="FF134" s="99" t="e">
        <f>'Delivery Calculation'!AK147+"AM:!'DK"</f>
        <v>#VALUE!</v>
      </c>
      <c r="FG134" s="99" t="e">
        <f>'Delivery Calculation'!AL147+"AM:!'DL"</f>
        <v>#VALUE!</v>
      </c>
      <c r="FH134" s="99" t="e">
        <f>'Delivery Calculation'!AM147+"AM:!'DM"</f>
        <v>#VALUE!</v>
      </c>
      <c r="FI134" s="99" t="e">
        <f>'Delivery Calculation'!AN147+"AM:!'DN"</f>
        <v>#VALUE!</v>
      </c>
      <c r="FJ134" s="99" t="e">
        <f>'Delivery Calculation'!AO147+"AM:!'DO"</f>
        <v>#VALUE!</v>
      </c>
      <c r="FK134" s="99" t="e">
        <f>'Delivery Calculation'!AP147+"AM:!'DP"</f>
        <v>#VALUE!</v>
      </c>
      <c r="FL134" s="99" t="e">
        <f>'Delivery Calculation'!AQ147+"AM:!'DQ"</f>
        <v>#VALUE!</v>
      </c>
      <c r="FM134" s="99" t="e">
        <f>'Delivery Calculation'!AR147+"AM:!'DR"</f>
        <v>#VALUE!</v>
      </c>
      <c r="FN134" s="99" t="e">
        <f>'Delivery Calculation'!AS147+"AM:!'DS"</f>
        <v>#VALUE!</v>
      </c>
      <c r="FO134" s="99" t="e">
        <f>'Delivery Calculation'!AT147+"AM:!'DT"</f>
        <v>#VALUE!</v>
      </c>
      <c r="FP134" s="99" t="e">
        <f>'Delivery Calculation'!AU147+"AM:!'DU"</f>
        <v>#VALUE!</v>
      </c>
      <c r="FQ134" s="99" t="e">
        <f>'Delivery Calculation'!AV147+"AM:!'DV"</f>
        <v>#VALUE!</v>
      </c>
      <c r="FR134" s="99" t="e">
        <f>'Delivery Calculation'!AW147+"AM:!'DW"</f>
        <v>#VALUE!</v>
      </c>
      <c r="FS134" s="99" t="e">
        <f>'Delivery Calculation'!AX147+"AM:!'DX"</f>
        <v>#VALUE!</v>
      </c>
      <c r="FT134" s="101" t="e">
        <f>'Delivery Calculation'!AY147+"AM:!'DY"</f>
        <v>#VALUE!</v>
      </c>
      <c r="FU134" t="e">
        <f>'Delivery Calculation'!AZ147+"AM:!'DZ"</f>
        <v>#VALUE!</v>
      </c>
      <c r="FV134" t="e">
        <f>'Delivery Calculation'!A148+"AM:!'D["</f>
        <v>#VALUE!</v>
      </c>
      <c r="FW134" t="e">
        <f>'Delivery Calculation'!B148+"AM:!'D\"</f>
        <v>#VALUE!</v>
      </c>
      <c r="FX134" t="e">
        <f>'Delivery Calculation'!C148+"AM:!'D]"</f>
        <v>#VALUE!</v>
      </c>
      <c r="FY134" t="e">
        <f>'Delivery Calculation'!D148+"AM:!'D^"</f>
        <v>#VALUE!</v>
      </c>
      <c r="FZ134" t="e">
        <f>'Delivery Calculation'!E148+"AM:!'D_"</f>
        <v>#VALUE!</v>
      </c>
      <c r="GA134" s="98" t="e">
        <f>'Delivery Calculation'!F148+"AM:!'D`"</f>
        <v>#VALUE!</v>
      </c>
      <c r="GB134" s="98" t="e">
        <f>'Delivery Calculation'!G148+"AM:!'Da"</f>
        <v>#VALUE!</v>
      </c>
      <c r="GC134" s="97" t="e">
        <f>'Delivery Calculation'!H148+"AM:!'Db"</f>
        <v>#VALUE!</v>
      </c>
      <c r="GD134" s="97" t="e">
        <f>'Delivery Calculation'!I148+"AM:!'Dc"</f>
        <v>#VALUE!</v>
      </c>
      <c r="GE134" s="103" t="e">
        <f>'Delivery Calculation'!J148+"AM:!'Dd"</f>
        <v>#VALUE!</v>
      </c>
      <c r="GF134" s="98" t="e">
        <f>'Delivery Calculation'!K148+"AM:!'De"</f>
        <v>#VALUE!</v>
      </c>
      <c r="GG134" s="98" t="e">
        <f>'Delivery Calculation'!L148+"AM:!'Df"</f>
        <v>#VALUE!</v>
      </c>
      <c r="GH134" s="99" t="e">
        <f>'Delivery Calculation'!M148+"AM:!'Dg"</f>
        <v>#VALUE!</v>
      </c>
      <c r="GI134" s="99" t="e">
        <f>'Delivery Calculation'!N148+"AM:!'Dh"</f>
        <v>#VALUE!</v>
      </c>
      <c r="GJ134" s="99" t="e">
        <f>'Delivery Calculation'!O148+"AM:!'Di"</f>
        <v>#VALUE!</v>
      </c>
      <c r="GK134" s="99" t="e">
        <f>'Delivery Calculation'!P148+"AM:!'Dj"</f>
        <v>#VALUE!</v>
      </c>
      <c r="GL134" s="99" t="e">
        <f>'Delivery Calculation'!Q148+"AM:!'Dk"</f>
        <v>#VALUE!</v>
      </c>
      <c r="GM134" s="99" t="e">
        <f>'Delivery Calculation'!R148+"AM:!'Dl"</f>
        <v>#VALUE!</v>
      </c>
      <c r="GN134" s="99" t="e">
        <f>'Delivery Calculation'!S148+"AM:!'Dm"</f>
        <v>#VALUE!</v>
      </c>
      <c r="GO134" s="99" t="e">
        <f>'Delivery Calculation'!T148+"AM:!'Dn"</f>
        <v>#VALUE!</v>
      </c>
      <c r="GP134" s="99" t="e">
        <f>'Delivery Calculation'!U148+"AM:!'Do"</f>
        <v>#VALUE!</v>
      </c>
      <c r="GQ134" s="99" t="e">
        <f>'Delivery Calculation'!V148+"AM:!'Dp"</f>
        <v>#VALUE!</v>
      </c>
      <c r="GR134" s="99" t="e">
        <f>'Delivery Calculation'!W148+"AM:!'Dq"</f>
        <v>#VALUE!</v>
      </c>
      <c r="GS134" s="99" t="e">
        <f>'Delivery Calculation'!X148+"AM:!'Dr"</f>
        <v>#VALUE!</v>
      </c>
      <c r="GT134" s="99" t="e">
        <f>'Delivery Calculation'!Y148+"AM:!'Ds"</f>
        <v>#VALUE!</v>
      </c>
      <c r="GU134" s="99" t="e">
        <f>'Delivery Calculation'!Z148+"AM:!'Dt"</f>
        <v>#VALUE!</v>
      </c>
      <c r="GV134" s="99" t="e">
        <f>'Delivery Calculation'!AA148+"AM:!'Du"</f>
        <v>#VALUE!</v>
      </c>
      <c r="GW134" s="99" t="e">
        <f>'Delivery Calculation'!AB148+"AM:!'Dv"</f>
        <v>#VALUE!</v>
      </c>
      <c r="GX134" s="99" t="e">
        <f>'Delivery Calculation'!AC148+"AM:!'Dw"</f>
        <v>#VALUE!</v>
      </c>
      <c r="GY134" s="99" t="e">
        <f>'Delivery Calculation'!AD148+"AM:!'Dx"</f>
        <v>#VALUE!</v>
      </c>
      <c r="GZ134" s="99" t="e">
        <f>'Delivery Calculation'!AE148+"AM:!'Dy"</f>
        <v>#VALUE!</v>
      </c>
      <c r="HA134" s="99" t="e">
        <f>'Delivery Calculation'!AF148+"AM:!'Dz"</f>
        <v>#VALUE!</v>
      </c>
      <c r="HB134" s="99" t="e">
        <f>'Delivery Calculation'!AG148+"AM:!'D{"</f>
        <v>#VALUE!</v>
      </c>
      <c r="HC134" s="99" t="e">
        <f>'Delivery Calculation'!AH148+"AM:!'D|"</f>
        <v>#VALUE!</v>
      </c>
      <c r="HD134" s="99" t="e">
        <f>'Delivery Calculation'!AI148+"AM:!'D}"</f>
        <v>#VALUE!</v>
      </c>
      <c r="HE134" s="99" t="e">
        <f>'Delivery Calculation'!AJ148+"AM:!'D~"</f>
        <v>#VALUE!</v>
      </c>
      <c r="HF134" s="99" t="e">
        <f>'Delivery Calculation'!AK148+"AM:!'E#"</f>
        <v>#VALUE!</v>
      </c>
      <c r="HG134" s="99" t="e">
        <f>'Delivery Calculation'!AL148+"AM:!'E$"</f>
        <v>#VALUE!</v>
      </c>
      <c r="HH134" s="99" t="e">
        <f>'Delivery Calculation'!AM148+"AM:!'E%"</f>
        <v>#VALUE!</v>
      </c>
      <c r="HI134" s="99" t="e">
        <f>'Delivery Calculation'!AN148+"AM:!'E&amp;"</f>
        <v>#VALUE!</v>
      </c>
      <c r="HJ134" s="99" t="e">
        <f>'Delivery Calculation'!AO148+"AM:!'E'"</f>
        <v>#VALUE!</v>
      </c>
      <c r="HK134" s="99" t="e">
        <f>'Delivery Calculation'!AP148+"AM:!'E("</f>
        <v>#VALUE!</v>
      </c>
      <c r="HL134" s="99" t="e">
        <f>'Delivery Calculation'!AQ148+"AM:!'E)"</f>
        <v>#VALUE!</v>
      </c>
      <c r="HM134" s="99" t="e">
        <f>'Delivery Calculation'!AR148+"AM:!'E."</f>
        <v>#VALUE!</v>
      </c>
      <c r="HN134" s="99" t="e">
        <f>'Delivery Calculation'!AS148+"AM:!'E/"</f>
        <v>#VALUE!</v>
      </c>
      <c r="HO134" s="99" t="e">
        <f>'Delivery Calculation'!AT148+"AM:!'E0"</f>
        <v>#VALUE!</v>
      </c>
      <c r="HP134" s="99" t="e">
        <f>'Delivery Calculation'!AU148+"AM:!'E1"</f>
        <v>#VALUE!</v>
      </c>
      <c r="HQ134" s="99" t="e">
        <f>'Delivery Calculation'!AV148+"AM:!'E2"</f>
        <v>#VALUE!</v>
      </c>
      <c r="HR134" s="99" t="e">
        <f>'Delivery Calculation'!AW148+"AM:!'E3"</f>
        <v>#VALUE!</v>
      </c>
      <c r="HS134" s="99" t="e">
        <f>'Delivery Calculation'!AX148+"AM:!'E4"</f>
        <v>#VALUE!</v>
      </c>
      <c r="HT134" s="101" t="e">
        <f>'Delivery Calculation'!AY148+"AM:!'E5"</f>
        <v>#VALUE!</v>
      </c>
      <c r="HU134" t="e">
        <f>'Delivery Calculation'!AZ148+"AM:!'E6"</f>
        <v>#VALUE!</v>
      </c>
      <c r="HV134" t="e">
        <f>'Delivery Calculation'!A149+"AM:!'E7"</f>
        <v>#VALUE!</v>
      </c>
      <c r="HW134" t="e">
        <f>'Delivery Calculation'!B149+"AM:!'E8"</f>
        <v>#VALUE!</v>
      </c>
      <c r="HX134" t="e">
        <f>'Delivery Calculation'!C149+"AM:!'E9"</f>
        <v>#VALUE!</v>
      </c>
      <c r="HY134" t="e">
        <f>'Delivery Calculation'!D149+"AM:!'E:"</f>
        <v>#VALUE!</v>
      </c>
      <c r="HZ134" t="e">
        <f>'Delivery Calculation'!E149+"AM:!'E;"</f>
        <v>#VALUE!</v>
      </c>
      <c r="IA134" s="98" t="e">
        <f>'Delivery Calculation'!F149+"AM:!'E&lt;"</f>
        <v>#VALUE!</v>
      </c>
      <c r="IB134" s="98" t="e">
        <f>'Delivery Calculation'!G149+"AM:!'E="</f>
        <v>#VALUE!</v>
      </c>
      <c r="IC134" s="97" t="e">
        <f>'Delivery Calculation'!H149+"AM:!'E&gt;"</f>
        <v>#VALUE!</v>
      </c>
      <c r="ID134" s="97" t="e">
        <f>'Delivery Calculation'!I149+"AM:!'E?"</f>
        <v>#VALUE!</v>
      </c>
      <c r="IE134" s="103" t="e">
        <f>'Delivery Calculation'!J149+"AM:!'E@"</f>
        <v>#VALUE!</v>
      </c>
      <c r="IF134" s="98" t="e">
        <f>'Delivery Calculation'!K149+"AM:!'EA"</f>
        <v>#VALUE!</v>
      </c>
      <c r="IG134" s="98" t="e">
        <f>'Delivery Calculation'!L149+"AM:!'EB"</f>
        <v>#VALUE!</v>
      </c>
      <c r="IH134" s="99" t="e">
        <f>'Delivery Calculation'!M149+"AM:!'EC"</f>
        <v>#VALUE!</v>
      </c>
      <c r="II134" s="99" t="e">
        <f>'Delivery Calculation'!N149+"AM:!'ED"</f>
        <v>#VALUE!</v>
      </c>
      <c r="IJ134" s="99" t="e">
        <f>'Delivery Calculation'!O149+"AM:!'EE"</f>
        <v>#VALUE!</v>
      </c>
      <c r="IK134" s="99" t="e">
        <f>'Delivery Calculation'!P149+"AM:!'EF"</f>
        <v>#VALUE!</v>
      </c>
      <c r="IL134" s="99" t="e">
        <f>'Delivery Calculation'!Q149+"AM:!'EG"</f>
        <v>#VALUE!</v>
      </c>
      <c r="IM134" s="99" t="e">
        <f>'Delivery Calculation'!R149+"AM:!'EH"</f>
        <v>#VALUE!</v>
      </c>
      <c r="IN134" s="99" t="e">
        <f>'Delivery Calculation'!S149+"AM:!'EI"</f>
        <v>#VALUE!</v>
      </c>
      <c r="IO134" s="99" t="e">
        <f>'Delivery Calculation'!T149+"AM:!'EJ"</f>
        <v>#VALUE!</v>
      </c>
      <c r="IP134" s="99" t="e">
        <f>'Delivery Calculation'!U149+"AM:!'EK"</f>
        <v>#VALUE!</v>
      </c>
      <c r="IQ134" s="99" t="e">
        <f>'Delivery Calculation'!V149+"AM:!'EL"</f>
        <v>#VALUE!</v>
      </c>
      <c r="IR134" s="99" t="e">
        <f>'Delivery Calculation'!W149+"AM:!'EM"</f>
        <v>#VALUE!</v>
      </c>
      <c r="IS134" s="99" t="e">
        <f>'Delivery Calculation'!X149+"AM:!'EN"</f>
        <v>#VALUE!</v>
      </c>
      <c r="IT134" s="99" t="e">
        <f>'Delivery Calculation'!Y149+"AM:!'EO"</f>
        <v>#VALUE!</v>
      </c>
      <c r="IU134" s="99" t="e">
        <f>'Delivery Calculation'!Z149+"AM:!'EP"</f>
        <v>#VALUE!</v>
      </c>
      <c r="IV134" s="99" t="e">
        <f>'Delivery Calculation'!AA149+"AM:!'EQ"</f>
        <v>#VALUE!</v>
      </c>
    </row>
    <row r="135" spans="6:256">
      <c r="F135" s="99" t="e">
        <f>'Delivery Calculation'!AB149+"AM:!'ER"</f>
        <v>#VALUE!</v>
      </c>
      <c r="G135" s="99" t="e">
        <f>'Delivery Calculation'!AC149+"AM:!'ES"</f>
        <v>#VALUE!</v>
      </c>
      <c r="H135" s="99" t="e">
        <f>'Delivery Calculation'!AD149+"AM:!'ET"</f>
        <v>#VALUE!</v>
      </c>
      <c r="I135" s="99" t="e">
        <f>'Delivery Calculation'!AE149+"AM:!'EU"</f>
        <v>#VALUE!</v>
      </c>
      <c r="J135" s="99" t="e">
        <f>'Delivery Calculation'!AF149+"AM:!'EV"</f>
        <v>#VALUE!</v>
      </c>
      <c r="K135" s="99" t="e">
        <f>'Delivery Calculation'!AG149+"AM:!'EW"</f>
        <v>#VALUE!</v>
      </c>
      <c r="L135" s="99" t="e">
        <f>'Delivery Calculation'!AH149+"AM:!'EX"</f>
        <v>#VALUE!</v>
      </c>
      <c r="M135" s="99" t="e">
        <f>'Delivery Calculation'!AI149+"AM:!'EY"</f>
        <v>#VALUE!</v>
      </c>
      <c r="N135" s="99" t="e">
        <f>'Delivery Calculation'!AJ149+"AM:!'EZ"</f>
        <v>#VALUE!</v>
      </c>
      <c r="O135" s="99" t="e">
        <f>'Delivery Calculation'!AK149+"AM:!'E["</f>
        <v>#VALUE!</v>
      </c>
      <c r="P135" s="99" t="e">
        <f>'Delivery Calculation'!AL149+"AM:!'E\"</f>
        <v>#VALUE!</v>
      </c>
      <c r="Q135" s="99" t="e">
        <f>'Delivery Calculation'!AM149+"AM:!'E]"</f>
        <v>#VALUE!</v>
      </c>
      <c r="R135" s="99" t="e">
        <f>'Delivery Calculation'!AN149+"AM:!'E^"</f>
        <v>#VALUE!</v>
      </c>
      <c r="S135" s="99" t="e">
        <f>'Delivery Calculation'!AO149+"AM:!'E_"</f>
        <v>#VALUE!</v>
      </c>
      <c r="T135" s="99" t="e">
        <f>'Delivery Calculation'!AP149+"AM:!'E`"</f>
        <v>#VALUE!</v>
      </c>
      <c r="U135" s="99" t="e">
        <f>'Delivery Calculation'!AQ149+"AM:!'Ea"</f>
        <v>#VALUE!</v>
      </c>
      <c r="V135" s="99" t="e">
        <f>'Delivery Calculation'!AR149+"AM:!'Eb"</f>
        <v>#VALUE!</v>
      </c>
      <c r="W135" s="99" t="e">
        <f>'Delivery Calculation'!AS149+"AM:!'Ec"</f>
        <v>#VALUE!</v>
      </c>
      <c r="X135" s="99" t="e">
        <f>'Delivery Calculation'!AT149+"AM:!'Ed"</f>
        <v>#VALUE!</v>
      </c>
      <c r="Y135" s="99" t="e">
        <f>'Delivery Calculation'!AU149+"AM:!'Ee"</f>
        <v>#VALUE!</v>
      </c>
      <c r="Z135" s="99" t="e">
        <f>'Delivery Calculation'!AV149+"AM:!'Ef"</f>
        <v>#VALUE!</v>
      </c>
      <c r="AA135" s="99" t="e">
        <f>'Delivery Calculation'!AW149+"AM:!'Eg"</f>
        <v>#VALUE!</v>
      </c>
      <c r="AB135" s="99" t="e">
        <f>'Delivery Calculation'!AX149+"AM:!'Eh"</f>
        <v>#VALUE!</v>
      </c>
      <c r="AC135" s="101" t="e">
        <f>'Delivery Calculation'!AY149+"AM:!'Ei"</f>
        <v>#VALUE!</v>
      </c>
      <c r="AD135" t="e">
        <f>'Delivery Calculation'!AZ149+"AM:!'Ej"</f>
        <v>#VALUE!</v>
      </c>
      <c r="AE135" t="e">
        <f>'Delivery Calculation'!A150+"AM:!'Ek"</f>
        <v>#VALUE!</v>
      </c>
      <c r="AF135" t="e">
        <f>'Delivery Calculation'!B150+"AM:!'El"</f>
        <v>#VALUE!</v>
      </c>
      <c r="AG135" t="e">
        <f>'Delivery Calculation'!C150+"AM:!'Em"</f>
        <v>#VALUE!</v>
      </c>
      <c r="AH135" t="e">
        <f>'Delivery Calculation'!D150+"AM:!'En"</f>
        <v>#VALUE!</v>
      </c>
      <c r="AI135" t="e">
        <f>'Delivery Calculation'!E150+"AM:!'Eo"</f>
        <v>#VALUE!</v>
      </c>
      <c r="AJ135" s="98" t="e">
        <f>'Delivery Calculation'!F150+"AM:!'Ep"</f>
        <v>#VALUE!</v>
      </c>
      <c r="AK135" s="98" t="e">
        <f>'Delivery Calculation'!G150+"AM:!'Eq"</f>
        <v>#VALUE!</v>
      </c>
      <c r="AL135" s="97" t="e">
        <f>'Delivery Calculation'!H150+"AM:!'Er"</f>
        <v>#VALUE!</v>
      </c>
      <c r="AM135" s="97" t="e">
        <f>'Delivery Calculation'!I150+"AM:!'Es"</f>
        <v>#VALUE!</v>
      </c>
      <c r="AN135" s="103" t="e">
        <f>'Delivery Calculation'!J150+"AM:!'Et"</f>
        <v>#VALUE!</v>
      </c>
      <c r="AO135" s="98" t="e">
        <f>'Delivery Calculation'!K150+"AM:!'Eu"</f>
        <v>#VALUE!</v>
      </c>
      <c r="AP135" s="98" t="e">
        <f>'Delivery Calculation'!L150+"AM:!'Ev"</f>
        <v>#VALUE!</v>
      </c>
      <c r="AQ135" s="99" t="e">
        <f>'Delivery Calculation'!M150+"AM:!'Ew"</f>
        <v>#VALUE!</v>
      </c>
      <c r="AR135" s="99" t="e">
        <f>'Delivery Calculation'!N150+"AM:!'Ex"</f>
        <v>#VALUE!</v>
      </c>
      <c r="AS135" s="99" t="e">
        <f>'Delivery Calculation'!O150+"AM:!'Ey"</f>
        <v>#VALUE!</v>
      </c>
      <c r="AT135" s="99" t="e">
        <f>'Delivery Calculation'!P150+"AM:!'Ez"</f>
        <v>#VALUE!</v>
      </c>
      <c r="AU135" s="99" t="e">
        <f>'Delivery Calculation'!Q150+"AM:!'E{"</f>
        <v>#VALUE!</v>
      </c>
      <c r="AV135" s="99" t="e">
        <f>'Delivery Calculation'!R150+"AM:!'E|"</f>
        <v>#VALUE!</v>
      </c>
      <c r="AW135" s="99" t="e">
        <f>'Delivery Calculation'!S150+"AM:!'E}"</f>
        <v>#VALUE!</v>
      </c>
      <c r="AX135" s="99" t="e">
        <f>'Delivery Calculation'!T150+"AM:!'E~"</f>
        <v>#VALUE!</v>
      </c>
      <c r="AY135" s="99" t="e">
        <f>'Delivery Calculation'!U150+"AM:!'F#"</f>
        <v>#VALUE!</v>
      </c>
      <c r="AZ135" s="99" t="e">
        <f>'Delivery Calculation'!V150+"AM:!'F$"</f>
        <v>#VALUE!</v>
      </c>
      <c r="BA135" s="99" t="e">
        <f>'Delivery Calculation'!W150+"AM:!'F%"</f>
        <v>#VALUE!</v>
      </c>
      <c r="BB135" s="99" t="e">
        <f>'Delivery Calculation'!X150+"AM:!'F&amp;"</f>
        <v>#VALUE!</v>
      </c>
      <c r="BC135" s="99" t="e">
        <f>'Delivery Calculation'!Y150+"AM:!'F'"</f>
        <v>#VALUE!</v>
      </c>
      <c r="BD135" s="99" t="e">
        <f>'Delivery Calculation'!Z150+"AM:!'F("</f>
        <v>#VALUE!</v>
      </c>
      <c r="BE135" s="99" t="e">
        <f>'Delivery Calculation'!AA150+"AM:!'F)"</f>
        <v>#VALUE!</v>
      </c>
      <c r="BF135" s="99" t="e">
        <f>'Delivery Calculation'!AB150+"AM:!'F."</f>
        <v>#VALUE!</v>
      </c>
      <c r="BG135" s="99" t="e">
        <f>'Delivery Calculation'!AC150+"AM:!'F/"</f>
        <v>#VALUE!</v>
      </c>
      <c r="BH135" s="99" t="e">
        <f>'Delivery Calculation'!AD150+"AM:!'F0"</f>
        <v>#VALUE!</v>
      </c>
      <c r="BI135" s="99" t="e">
        <f>'Delivery Calculation'!AE150+"AM:!'F1"</f>
        <v>#VALUE!</v>
      </c>
      <c r="BJ135" s="99" t="e">
        <f>'Delivery Calculation'!AF150+"AM:!'F2"</f>
        <v>#VALUE!</v>
      </c>
      <c r="BK135" s="99" t="e">
        <f>'Delivery Calculation'!AG150+"AM:!'F3"</f>
        <v>#VALUE!</v>
      </c>
      <c r="BL135" s="99" t="e">
        <f>'Delivery Calculation'!AH150+"AM:!'F4"</f>
        <v>#VALUE!</v>
      </c>
      <c r="BM135" s="99" t="e">
        <f>'Delivery Calculation'!AI150+"AM:!'F5"</f>
        <v>#VALUE!</v>
      </c>
      <c r="BN135" s="99" t="e">
        <f>'Delivery Calculation'!AJ150+"AM:!'F6"</f>
        <v>#VALUE!</v>
      </c>
      <c r="BO135" s="99" t="e">
        <f>'Delivery Calculation'!AK150+"AM:!'F7"</f>
        <v>#VALUE!</v>
      </c>
      <c r="BP135" s="99" t="e">
        <f>'Delivery Calculation'!AL150+"AM:!'F8"</f>
        <v>#VALUE!</v>
      </c>
      <c r="BQ135" s="99" t="e">
        <f>'Delivery Calculation'!AM150+"AM:!'F9"</f>
        <v>#VALUE!</v>
      </c>
      <c r="BR135" s="99" t="e">
        <f>'Delivery Calculation'!AN150+"AM:!'F:"</f>
        <v>#VALUE!</v>
      </c>
      <c r="BS135" s="99" t="e">
        <f>'Delivery Calculation'!AO150+"AM:!'F;"</f>
        <v>#VALUE!</v>
      </c>
      <c r="BT135" s="99" t="e">
        <f>'Delivery Calculation'!AP150+"AM:!'F&lt;"</f>
        <v>#VALUE!</v>
      </c>
      <c r="BU135" s="99" t="e">
        <f>'Delivery Calculation'!AQ150+"AM:!'F="</f>
        <v>#VALUE!</v>
      </c>
      <c r="BV135" s="99" t="e">
        <f>'Delivery Calculation'!AR150+"AM:!'F&gt;"</f>
        <v>#VALUE!</v>
      </c>
      <c r="BW135" s="99" t="e">
        <f>'Delivery Calculation'!AS150+"AM:!'F?"</f>
        <v>#VALUE!</v>
      </c>
      <c r="BX135" s="99" t="e">
        <f>'Delivery Calculation'!AT150+"AM:!'F@"</f>
        <v>#VALUE!</v>
      </c>
      <c r="BY135" s="99" t="e">
        <f>'Delivery Calculation'!AU150+"AM:!'FA"</f>
        <v>#VALUE!</v>
      </c>
      <c r="BZ135" s="99" t="e">
        <f>'Delivery Calculation'!AV150+"AM:!'FB"</f>
        <v>#VALUE!</v>
      </c>
      <c r="CA135" s="99" t="e">
        <f>'Delivery Calculation'!AW150+"AM:!'FC"</f>
        <v>#VALUE!</v>
      </c>
      <c r="CB135" s="99" t="e">
        <f>'Delivery Calculation'!AX150+"AM:!'FD"</f>
        <v>#VALUE!</v>
      </c>
      <c r="CC135" s="101" t="e">
        <f>'Delivery Calculation'!AY150+"AM:!'FE"</f>
        <v>#VALUE!</v>
      </c>
      <c r="CD135" t="e">
        <f>'Delivery Calculation'!AZ150+"AM:!'FF"</f>
        <v>#VALUE!</v>
      </c>
      <c r="CE135" t="e">
        <f>'Delivery Calculation'!A151+"AM:!'FG"</f>
        <v>#VALUE!</v>
      </c>
      <c r="CF135" t="e">
        <f>'Delivery Calculation'!B151+"AM:!'FH"</f>
        <v>#VALUE!</v>
      </c>
      <c r="CG135" t="e">
        <f>'Delivery Calculation'!C151+"AM:!'FI"</f>
        <v>#VALUE!</v>
      </c>
      <c r="CH135" t="e">
        <f>'Delivery Calculation'!D151+"AM:!'FJ"</f>
        <v>#VALUE!</v>
      </c>
      <c r="CI135" t="e">
        <f>'Delivery Calculation'!E151+"AM:!'FK"</f>
        <v>#VALUE!</v>
      </c>
      <c r="CJ135" s="98" t="e">
        <f>'Delivery Calculation'!F151+"AM:!'FL"</f>
        <v>#VALUE!</v>
      </c>
      <c r="CK135" s="98" t="e">
        <f>'Delivery Calculation'!G151+"AM:!'FM"</f>
        <v>#VALUE!</v>
      </c>
      <c r="CL135" s="97" t="e">
        <f>'Delivery Calculation'!H151+"AM:!'FN"</f>
        <v>#VALUE!</v>
      </c>
      <c r="CM135" s="97" t="e">
        <f>'Delivery Calculation'!I151+"AM:!'FO"</f>
        <v>#VALUE!</v>
      </c>
      <c r="CN135" s="103" t="e">
        <f>'Delivery Calculation'!J151+"AM:!'FP"</f>
        <v>#VALUE!</v>
      </c>
      <c r="CO135" s="98" t="e">
        <f>'Delivery Calculation'!K151+"AM:!'FQ"</f>
        <v>#VALUE!</v>
      </c>
      <c r="CP135" s="98" t="e">
        <f>'Delivery Calculation'!L151+"AM:!'FR"</f>
        <v>#VALUE!</v>
      </c>
      <c r="CQ135" s="99" t="e">
        <f>'Delivery Calculation'!M151+"AM:!'FS"</f>
        <v>#VALUE!</v>
      </c>
      <c r="CR135" s="99" t="e">
        <f>'Delivery Calculation'!N151+"AM:!'FT"</f>
        <v>#VALUE!</v>
      </c>
      <c r="CS135" s="99" t="e">
        <f>'Delivery Calculation'!O151+"AM:!'FU"</f>
        <v>#VALUE!</v>
      </c>
      <c r="CT135" s="99" t="e">
        <f>'Delivery Calculation'!P151+"AM:!'FV"</f>
        <v>#VALUE!</v>
      </c>
      <c r="CU135" s="99" t="e">
        <f>'Delivery Calculation'!Q151+"AM:!'FW"</f>
        <v>#VALUE!</v>
      </c>
      <c r="CV135" s="99" t="e">
        <f>'Delivery Calculation'!R151+"AM:!'FX"</f>
        <v>#VALUE!</v>
      </c>
      <c r="CW135" s="99" t="e">
        <f>'Delivery Calculation'!S151+"AM:!'FY"</f>
        <v>#VALUE!</v>
      </c>
      <c r="CX135" s="99" t="e">
        <f>'Delivery Calculation'!T151+"AM:!'FZ"</f>
        <v>#VALUE!</v>
      </c>
      <c r="CY135" s="99" t="e">
        <f>'Delivery Calculation'!U151+"AM:!'F["</f>
        <v>#VALUE!</v>
      </c>
      <c r="CZ135" s="99" t="e">
        <f>'Delivery Calculation'!V151+"AM:!'F\"</f>
        <v>#VALUE!</v>
      </c>
      <c r="DA135" s="99" t="e">
        <f>'Delivery Calculation'!W151+"AM:!'F]"</f>
        <v>#VALUE!</v>
      </c>
      <c r="DB135" s="99" t="e">
        <f>'Delivery Calculation'!X151+"AM:!'F^"</f>
        <v>#VALUE!</v>
      </c>
      <c r="DC135" s="99" t="e">
        <f>'Delivery Calculation'!Y151+"AM:!'F_"</f>
        <v>#VALUE!</v>
      </c>
      <c r="DD135" s="99" t="e">
        <f>'Delivery Calculation'!Z151+"AM:!'F`"</f>
        <v>#VALUE!</v>
      </c>
      <c r="DE135" s="99" t="e">
        <f>'Delivery Calculation'!AA151+"AM:!'Fa"</f>
        <v>#VALUE!</v>
      </c>
      <c r="DF135" s="99" t="e">
        <f>'Delivery Calculation'!AB151+"AM:!'Fb"</f>
        <v>#VALUE!</v>
      </c>
      <c r="DG135" s="99" t="e">
        <f>'Delivery Calculation'!AC151+"AM:!'Fc"</f>
        <v>#VALUE!</v>
      </c>
      <c r="DH135" s="99" t="e">
        <f>'Delivery Calculation'!AD151+"AM:!'Fd"</f>
        <v>#VALUE!</v>
      </c>
      <c r="DI135" s="99" t="e">
        <f>'Delivery Calculation'!AE151+"AM:!'Fe"</f>
        <v>#VALUE!</v>
      </c>
      <c r="DJ135" s="99" t="e">
        <f>'Delivery Calculation'!AF151+"AM:!'Ff"</f>
        <v>#VALUE!</v>
      </c>
      <c r="DK135" s="99" t="e">
        <f>'Delivery Calculation'!AG151+"AM:!'Fg"</f>
        <v>#VALUE!</v>
      </c>
      <c r="DL135" s="99" t="e">
        <f>'Delivery Calculation'!AH151+"AM:!'Fh"</f>
        <v>#VALUE!</v>
      </c>
      <c r="DM135" s="99" t="e">
        <f>'Delivery Calculation'!AI151+"AM:!'Fi"</f>
        <v>#VALUE!</v>
      </c>
      <c r="DN135" s="99" t="e">
        <f>'Delivery Calculation'!AJ151+"AM:!'Fj"</f>
        <v>#VALUE!</v>
      </c>
      <c r="DO135" s="99" t="e">
        <f>'Delivery Calculation'!AK151+"AM:!'Fk"</f>
        <v>#VALUE!</v>
      </c>
      <c r="DP135" s="99" t="e">
        <f>'Delivery Calculation'!AL151+"AM:!'Fl"</f>
        <v>#VALUE!</v>
      </c>
      <c r="DQ135" s="99" t="e">
        <f>'Delivery Calculation'!AM151+"AM:!'Fm"</f>
        <v>#VALUE!</v>
      </c>
      <c r="DR135" s="99" t="e">
        <f>'Delivery Calculation'!AN151+"AM:!'Fn"</f>
        <v>#VALUE!</v>
      </c>
      <c r="DS135" s="99" t="e">
        <f>'Delivery Calculation'!AO151+"AM:!'Fo"</f>
        <v>#VALUE!</v>
      </c>
      <c r="DT135" s="99" t="e">
        <f>'Delivery Calculation'!AP151+"AM:!'Fp"</f>
        <v>#VALUE!</v>
      </c>
      <c r="DU135" s="99" t="e">
        <f>'Delivery Calculation'!AQ151+"AM:!'Fq"</f>
        <v>#VALUE!</v>
      </c>
      <c r="DV135" s="99" t="e">
        <f>'Delivery Calculation'!AR151+"AM:!'Fr"</f>
        <v>#VALUE!</v>
      </c>
      <c r="DW135" s="99" t="e">
        <f>'Delivery Calculation'!AS151+"AM:!'Fs"</f>
        <v>#VALUE!</v>
      </c>
      <c r="DX135" s="99" t="e">
        <f>'Delivery Calculation'!AT151+"AM:!'Ft"</f>
        <v>#VALUE!</v>
      </c>
      <c r="DY135" s="99" t="e">
        <f>'Delivery Calculation'!AU151+"AM:!'Fu"</f>
        <v>#VALUE!</v>
      </c>
      <c r="DZ135" s="99" t="e">
        <f>'Delivery Calculation'!AV151+"AM:!'Fv"</f>
        <v>#VALUE!</v>
      </c>
      <c r="EA135" s="99" t="e">
        <f>'Delivery Calculation'!AW151+"AM:!'Fw"</f>
        <v>#VALUE!</v>
      </c>
      <c r="EB135" s="99" t="e">
        <f>'Delivery Calculation'!AX151+"AM:!'Fx"</f>
        <v>#VALUE!</v>
      </c>
      <c r="EC135" s="101" t="e">
        <f>'Delivery Calculation'!AY151+"AM:!'Fy"</f>
        <v>#VALUE!</v>
      </c>
      <c r="ED135" t="e">
        <f>'Delivery Calculation'!AZ151+"AM:!'Fz"</f>
        <v>#VALUE!</v>
      </c>
      <c r="EE135" t="e">
        <f>'Delivery Calculation'!A152+"AM:!'F{"</f>
        <v>#VALUE!</v>
      </c>
      <c r="EF135" t="e">
        <f>'Delivery Calculation'!B152+"AM:!'F|"</f>
        <v>#VALUE!</v>
      </c>
      <c r="EG135" t="e">
        <f>'Delivery Calculation'!C152+"AM:!'F}"</f>
        <v>#VALUE!</v>
      </c>
      <c r="EH135" t="e">
        <f>'Delivery Calculation'!D152+"AM:!'F~"</f>
        <v>#VALUE!</v>
      </c>
      <c r="EI135" t="e">
        <f>'Delivery Calculation'!E152+"AM:!'G#"</f>
        <v>#VALUE!</v>
      </c>
      <c r="EJ135" s="98" t="e">
        <f>'Delivery Calculation'!F152+"AM:!'G$"</f>
        <v>#VALUE!</v>
      </c>
      <c r="EK135" s="98" t="e">
        <f>'Delivery Calculation'!G152+"AM:!'G%"</f>
        <v>#VALUE!</v>
      </c>
      <c r="EL135" s="97" t="e">
        <f>'Delivery Calculation'!H152+"AM:!'G&amp;"</f>
        <v>#VALUE!</v>
      </c>
      <c r="EM135" s="97" t="e">
        <f>'Delivery Calculation'!I152+"AM:!'G'"</f>
        <v>#VALUE!</v>
      </c>
      <c r="EN135" s="103" t="e">
        <f>'Delivery Calculation'!J152+"AM:!'G("</f>
        <v>#VALUE!</v>
      </c>
      <c r="EO135" s="98" t="e">
        <f>'Delivery Calculation'!K152+"AM:!'G)"</f>
        <v>#VALUE!</v>
      </c>
      <c r="EP135" s="98" t="e">
        <f>'Delivery Calculation'!L152+"AM:!'G."</f>
        <v>#VALUE!</v>
      </c>
      <c r="EQ135" s="99" t="e">
        <f>'Delivery Calculation'!M152+"AM:!'G/"</f>
        <v>#VALUE!</v>
      </c>
      <c r="ER135" s="99" t="e">
        <f>'Delivery Calculation'!N152+"AM:!'G0"</f>
        <v>#VALUE!</v>
      </c>
      <c r="ES135" s="99" t="e">
        <f>'Delivery Calculation'!O152+"AM:!'G1"</f>
        <v>#VALUE!</v>
      </c>
      <c r="ET135" s="99" t="e">
        <f>'Delivery Calculation'!P152+"AM:!'G2"</f>
        <v>#VALUE!</v>
      </c>
      <c r="EU135" s="99" t="e">
        <f>'Delivery Calculation'!Q152+"AM:!'G3"</f>
        <v>#VALUE!</v>
      </c>
      <c r="EV135" s="99" t="e">
        <f>'Delivery Calculation'!R152+"AM:!'G4"</f>
        <v>#VALUE!</v>
      </c>
      <c r="EW135" s="99" t="e">
        <f>'Delivery Calculation'!S152+"AM:!'G5"</f>
        <v>#VALUE!</v>
      </c>
      <c r="EX135" s="99" t="e">
        <f>'Delivery Calculation'!T152+"AM:!'G6"</f>
        <v>#VALUE!</v>
      </c>
      <c r="EY135" s="99" t="e">
        <f>'Delivery Calculation'!U152+"AM:!'G7"</f>
        <v>#VALUE!</v>
      </c>
      <c r="EZ135" s="99" t="e">
        <f>'Delivery Calculation'!V152+"AM:!'G8"</f>
        <v>#VALUE!</v>
      </c>
      <c r="FA135" s="99" t="e">
        <f>'Delivery Calculation'!W152+"AM:!'G9"</f>
        <v>#VALUE!</v>
      </c>
      <c r="FB135" s="99" t="e">
        <f>'Delivery Calculation'!X152+"AM:!'G:"</f>
        <v>#VALUE!</v>
      </c>
      <c r="FC135" s="99" t="e">
        <f>'Delivery Calculation'!Y152+"AM:!'G;"</f>
        <v>#VALUE!</v>
      </c>
      <c r="FD135" s="99" t="e">
        <f>'Delivery Calculation'!Z152+"AM:!'G&lt;"</f>
        <v>#VALUE!</v>
      </c>
      <c r="FE135" s="99" t="e">
        <f>'Delivery Calculation'!AA152+"AM:!'G="</f>
        <v>#VALUE!</v>
      </c>
      <c r="FF135" s="99" t="e">
        <f>'Delivery Calculation'!AB152+"AM:!'G&gt;"</f>
        <v>#VALUE!</v>
      </c>
      <c r="FG135" s="99" t="e">
        <f>'Delivery Calculation'!AC152+"AM:!'G?"</f>
        <v>#VALUE!</v>
      </c>
      <c r="FH135" s="99" t="e">
        <f>'Delivery Calculation'!AD152+"AM:!'G@"</f>
        <v>#VALUE!</v>
      </c>
      <c r="FI135" s="99" t="e">
        <f>'Delivery Calculation'!AE152+"AM:!'GA"</f>
        <v>#VALUE!</v>
      </c>
      <c r="FJ135" s="99" t="e">
        <f>'Delivery Calculation'!AF152+"AM:!'GB"</f>
        <v>#VALUE!</v>
      </c>
      <c r="FK135" s="99" t="e">
        <f>'Delivery Calculation'!AG152+"AM:!'GC"</f>
        <v>#VALUE!</v>
      </c>
      <c r="FL135" s="99" t="e">
        <f>'Delivery Calculation'!AH152+"AM:!'GD"</f>
        <v>#VALUE!</v>
      </c>
      <c r="FM135" s="99" t="e">
        <f>'Delivery Calculation'!AI152+"AM:!'GE"</f>
        <v>#VALUE!</v>
      </c>
      <c r="FN135" s="99" t="e">
        <f>'Delivery Calculation'!AJ152+"AM:!'GF"</f>
        <v>#VALUE!</v>
      </c>
      <c r="FO135" s="99" t="e">
        <f>'Delivery Calculation'!AK152+"AM:!'GG"</f>
        <v>#VALUE!</v>
      </c>
      <c r="FP135" s="99" t="e">
        <f>'Delivery Calculation'!AL152+"AM:!'GH"</f>
        <v>#VALUE!</v>
      </c>
      <c r="FQ135" s="99" t="e">
        <f>'Delivery Calculation'!AM152+"AM:!'GI"</f>
        <v>#VALUE!</v>
      </c>
      <c r="FR135" s="99" t="e">
        <f>'Delivery Calculation'!AN152+"AM:!'GJ"</f>
        <v>#VALUE!</v>
      </c>
      <c r="FS135" s="99" t="e">
        <f>'Delivery Calculation'!AO152+"AM:!'GK"</f>
        <v>#VALUE!</v>
      </c>
      <c r="FT135" s="99" t="e">
        <f>'Delivery Calculation'!AP152+"AM:!'GL"</f>
        <v>#VALUE!</v>
      </c>
      <c r="FU135" s="99" t="e">
        <f>'Delivery Calculation'!AQ152+"AM:!'GM"</f>
        <v>#VALUE!</v>
      </c>
      <c r="FV135" s="99" t="e">
        <f>'Delivery Calculation'!AR152+"AM:!'GN"</f>
        <v>#VALUE!</v>
      </c>
      <c r="FW135" s="99" t="e">
        <f>'Delivery Calculation'!AS152+"AM:!'GO"</f>
        <v>#VALUE!</v>
      </c>
      <c r="FX135" s="99" t="e">
        <f>'Delivery Calculation'!AT152+"AM:!'GP"</f>
        <v>#VALUE!</v>
      </c>
      <c r="FY135" s="99" t="e">
        <f>'Delivery Calculation'!AU152+"AM:!'GQ"</f>
        <v>#VALUE!</v>
      </c>
      <c r="FZ135" s="99" t="e">
        <f>'Delivery Calculation'!AV152+"AM:!'GR"</f>
        <v>#VALUE!</v>
      </c>
      <c r="GA135" s="99" t="e">
        <f>'Delivery Calculation'!AW152+"AM:!'GS"</f>
        <v>#VALUE!</v>
      </c>
      <c r="GB135" s="99" t="e">
        <f>'Delivery Calculation'!AX152+"AM:!'GT"</f>
        <v>#VALUE!</v>
      </c>
      <c r="GC135" s="101" t="e">
        <f>'Delivery Calculation'!AY152+"AM:!'GU"</f>
        <v>#VALUE!</v>
      </c>
      <c r="GD135" t="e">
        <f>'Delivery Calculation'!AZ152+"AM:!'GV"</f>
        <v>#VALUE!</v>
      </c>
      <c r="GE135" t="e">
        <f>'Delivery Calculation'!A153+"AM:!'GW"</f>
        <v>#VALUE!</v>
      </c>
      <c r="GF135" t="e">
        <f>'Delivery Calculation'!B153+"AM:!'GX"</f>
        <v>#VALUE!</v>
      </c>
      <c r="GG135" t="e">
        <f>'Delivery Calculation'!C153+"AM:!'GY"</f>
        <v>#VALUE!</v>
      </c>
      <c r="GH135" t="e">
        <f>'Delivery Calculation'!D153+"AM:!'GZ"</f>
        <v>#VALUE!</v>
      </c>
      <c r="GI135" t="e">
        <f>'Delivery Calculation'!E153+"AM:!'G["</f>
        <v>#VALUE!</v>
      </c>
      <c r="GJ135" t="e">
        <f>'Delivery Calculation'!F153+"AM:!'G\"</f>
        <v>#VALUE!</v>
      </c>
      <c r="GK135" t="e">
        <f>'Delivery Calculation'!G153+"AM:!'G]"</f>
        <v>#VALUE!</v>
      </c>
      <c r="GL135" t="e">
        <f>'Delivery Calculation'!H153+"AM:!'G^"</f>
        <v>#VALUE!</v>
      </c>
      <c r="GM135" t="e">
        <f>'Delivery Calculation'!I153+"AM:!'G_"</f>
        <v>#VALUE!</v>
      </c>
      <c r="GN135" t="e">
        <f>'Delivery Calculation'!J153+"AM:!'G`"</f>
        <v>#VALUE!</v>
      </c>
      <c r="GO135" t="e">
        <f>'Delivery Calculation'!K153+"AM:!'Ga"</f>
        <v>#VALUE!</v>
      </c>
      <c r="GP135" t="e">
        <f>'Delivery Calculation'!L153+"AM:!'Gb"</f>
        <v>#VALUE!</v>
      </c>
      <c r="GQ135" t="e">
        <f>'Delivery Calculation'!M153+"AM:!'Gc"</f>
        <v>#VALUE!</v>
      </c>
      <c r="GR135" t="e">
        <f>'Delivery Calculation'!N153+"AM:!'Gd"</f>
        <v>#VALUE!</v>
      </c>
      <c r="GS135" t="e">
        <f>'Delivery Calculation'!O153+"AM:!'Ge"</f>
        <v>#VALUE!</v>
      </c>
      <c r="GT135" t="e">
        <f>'Delivery Calculation'!P153+"AM:!'Gf"</f>
        <v>#VALUE!</v>
      </c>
      <c r="GU135" t="e">
        <f>'Delivery Calculation'!Q153+"AM:!'Gg"</f>
        <v>#VALUE!</v>
      </c>
      <c r="GV135" t="e">
        <f>'Delivery Calculation'!R153+"AM:!'Gh"</f>
        <v>#VALUE!</v>
      </c>
      <c r="GW135" t="e">
        <f>'Delivery Calculation'!S153+"AM:!'Gi"</f>
        <v>#VALUE!</v>
      </c>
      <c r="GX135" t="e">
        <f>'Delivery Calculation'!T153+"AM:!'Gj"</f>
        <v>#VALUE!</v>
      </c>
      <c r="GY135" t="e">
        <f>'Delivery Calculation'!U153+"AM:!'Gk"</f>
        <v>#VALUE!</v>
      </c>
      <c r="GZ135" t="e">
        <f>'Delivery Calculation'!V153+"AM:!'Gl"</f>
        <v>#VALUE!</v>
      </c>
      <c r="HA135" t="e">
        <f>'Delivery Calculation'!W153+"AM:!'Gm"</f>
        <v>#VALUE!</v>
      </c>
      <c r="HB135" t="e">
        <f>'Delivery Calculation'!X153+"AM:!'Gn"</f>
        <v>#VALUE!</v>
      </c>
      <c r="HC135" t="e">
        <f>'Delivery Calculation'!Y153+"AM:!'Go"</f>
        <v>#VALUE!</v>
      </c>
      <c r="HD135" t="e">
        <f>'Delivery Calculation'!Z153+"AM:!'Gp"</f>
        <v>#VALUE!</v>
      </c>
      <c r="HE135" t="e">
        <f>'Delivery Calculation'!AA153+"AM:!'Gq"</f>
        <v>#VALUE!</v>
      </c>
      <c r="HF135" t="e">
        <f>'Delivery Calculation'!AB153+"AM:!'Gr"</f>
        <v>#VALUE!</v>
      </c>
      <c r="HG135" t="e">
        <f>'Delivery Calculation'!AC153+"AM:!'Gs"</f>
        <v>#VALUE!</v>
      </c>
      <c r="HH135" t="e">
        <f>'Delivery Calculation'!AD153+"AM:!'Gt"</f>
        <v>#VALUE!</v>
      </c>
      <c r="HI135" t="e">
        <f>'Delivery Calculation'!AE153+"AM:!'Gu"</f>
        <v>#VALUE!</v>
      </c>
      <c r="HJ135" t="e">
        <f>'Delivery Calculation'!AF153+"AM:!'Gv"</f>
        <v>#VALUE!</v>
      </c>
      <c r="HK135" t="e">
        <f>'Delivery Calculation'!AG153+"AM:!'Gw"</f>
        <v>#VALUE!</v>
      </c>
      <c r="HL135" t="e">
        <f>'Delivery Calculation'!AH153+"AM:!'Gx"</f>
        <v>#VALUE!</v>
      </c>
      <c r="HM135" t="e">
        <f>'Delivery Calculation'!AI153+"AM:!'Gy"</f>
        <v>#VALUE!</v>
      </c>
      <c r="HN135" t="e">
        <f>'Delivery Calculation'!AJ153+"AM:!'Gz"</f>
        <v>#VALUE!</v>
      </c>
      <c r="HO135" t="e">
        <f>'Delivery Calculation'!AK153+"AM:!'G{"</f>
        <v>#VALUE!</v>
      </c>
      <c r="HP135" t="e">
        <f>'Delivery Calculation'!AL153+"AM:!'G|"</f>
        <v>#VALUE!</v>
      </c>
      <c r="HQ135" t="e">
        <f>'Delivery Calculation'!AM153+"AM:!'G}"</f>
        <v>#VALUE!</v>
      </c>
      <c r="HR135" t="e">
        <f>'Delivery Calculation'!AN153+"AM:!'G~"</f>
        <v>#VALUE!</v>
      </c>
      <c r="HS135" t="e">
        <f>'Delivery Calculation'!AO153+"AM:!'H#"</f>
        <v>#VALUE!</v>
      </c>
      <c r="HT135" t="e">
        <f>'Delivery Calculation'!AP153+"AM:!'H$"</f>
        <v>#VALUE!</v>
      </c>
      <c r="HU135" t="e">
        <f>'Delivery Calculation'!AQ153+"AM:!'H%"</f>
        <v>#VALUE!</v>
      </c>
      <c r="HV135" t="e">
        <f>'Delivery Calculation'!AR153+"AM:!'H&amp;"</f>
        <v>#VALUE!</v>
      </c>
      <c r="HW135" t="e">
        <f>'Delivery Calculation'!AS153+"AM:!'H'"</f>
        <v>#VALUE!</v>
      </c>
      <c r="HX135" t="e">
        <f>'Delivery Calculation'!AT153+"AM:!'H("</f>
        <v>#VALUE!</v>
      </c>
      <c r="HY135" t="e">
        <f>'Delivery Calculation'!AU153+"AM:!'H)"</f>
        <v>#VALUE!</v>
      </c>
      <c r="HZ135" t="e">
        <f>'Delivery Calculation'!AV153+"AM:!'H."</f>
        <v>#VALUE!</v>
      </c>
      <c r="IA135" t="e">
        <f>'Delivery Calculation'!AW153+"AM:!'H/"</f>
        <v>#VALUE!</v>
      </c>
      <c r="IB135" t="e">
        <f>'Delivery Calculation'!AX153+"AM:!'H0"</f>
        <v>#VALUE!</v>
      </c>
      <c r="IC135" t="e">
        <f>'Delivery Calculation'!AY153+"AM:!'H1"</f>
        <v>#VALUE!</v>
      </c>
      <c r="ID135" t="e">
        <f>'Delivery Calculation'!AZ153+"AM:!'H2"</f>
        <v>#VALUE!</v>
      </c>
      <c r="IE135" t="e">
        <f>'Delivery Calculation'!A154+"AM:!'H3"</f>
        <v>#VALUE!</v>
      </c>
      <c r="IF135" t="e">
        <f>'Delivery Calculation'!B154+"AM:!'H4"</f>
        <v>#VALUE!</v>
      </c>
      <c r="IG135" t="e">
        <f>'Delivery Calculation'!C154+"AM:!'H5"</f>
        <v>#VALUE!</v>
      </c>
      <c r="IH135" t="e">
        <f>'Delivery Calculation'!D154+"AM:!'H6"</f>
        <v>#VALUE!</v>
      </c>
      <c r="II135" t="e">
        <f>'Delivery Calculation'!E154+"AM:!'H7"</f>
        <v>#VALUE!</v>
      </c>
      <c r="IJ135" t="e">
        <f>'Delivery Calculation'!F154+"AM:!'H8"</f>
        <v>#VALUE!</v>
      </c>
      <c r="IK135" t="e">
        <f>'Delivery Calculation'!G154+"AM:!'H9"</f>
        <v>#VALUE!</v>
      </c>
      <c r="IL135" t="e">
        <f>'Delivery Calculation'!H154+"AM:!'H:"</f>
        <v>#VALUE!</v>
      </c>
      <c r="IM135" t="e">
        <f>'Delivery Calculation'!I154+"AM:!'H;"</f>
        <v>#VALUE!</v>
      </c>
      <c r="IN135" t="e">
        <f>'Delivery Calculation'!J154+"AM:!'H&lt;"</f>
        <v>#VALUE!</v>
      </c>
      <c r="IO135" t="e">
        <f>'Delivery Calculation'!K154+"AM:!'H="</f>
        <v>#VALUE!</v>
      </c>
      <c r="IP135" t="e">
        <f>'Delivery Calculation'!L154+"AM:!'H&gt;"</f>
        <v>#VALUE!</v>
      </c>
      <c r="IQ135" t="e">
        <f>'Delivery Calculation'!M154+"AM:!'H?"</f>
        <v>#VALUE!</v>
      </c>
      <c r="IR135" t="e">
        <f>'Delivery Calculation'!N154+"AM:!'H@"</f>
        <v>#VALUE!</v>
      </c>
      <c r="IS135" t="e">
        <f>'Delivery Calculation'!O154+"AM:!'HA"</f>
        <v>#VALUE!</v>
      </c>
      <c r="IT135" t="e">
        <f>'Delivery Calculation'!P154+"AM:!'HB"</f>
        <v>#VALUE!</v>
      </c>
      <c r="IU135" t="e">
        <f>'Delivery Calculation'!Q154+"AM:!'HC"</f>
        <v>#VALUE!</v>
      </c>
      <c r="IV135" t="e">
        <f>'Delivery Calculation'!R154+"AM:!'HD"</f>
        <v>#VALUE!</v>
      </c>
    </row>
    <row r="136" spans="6:256">
      <c r="F136" t="e">
        <f>'Delivery Calculation'!S154+"AM:!'HE"</f>
        <v>#VALUE!</v>
      </c>
      <c r="G136" t="e">
        <f>'Delivery Calculation'!T154+"AM:!'HF"</f>
        <v>#VALUE!</v>
      </c>
      <c r="H136" t="e">
        <f>'Delivery Calculation'!U154+"AM:!'HG"</f>
        <v>#VALUE!</v>
      </c>
      <c r="I136" t="e">
        <f>'Delivery Calculation'!V154+"AM:!'HH"</f>
        <v>#VALUE!</v>
      </c>
      <c r="J136" t="e">
        <f>'Delivery Calculation'!W154+"AM:!'HI"</f>
        <v>#VALUE!</v>
      </c>
      <c r="K136" t="e">
        <f>'Delivery Calculation'!X154+"AM:!'HJ"</f>
        <v>#VALUE!</v>
      </c>
      <c r="L136" t="e">
        <f>'Delivery Calculation'!Y154+"AM:!'HK"</f>
        <v>#VALUE!</v>
      </c>
      <c r="M136" t="e">
        <f>'Delivery Calculation'!Z154+"AM:!'HL"</f>
        <v>#VALUE!</v>
      </c>
      <c r="N136" t="e">
        <f>'Delivery Calculation'!AA154+"AM:!'HM"</f>
        <v>#VALUE!</v>
      </c>
      <c r="O136" t="e">
        <f>'Delivery Calculation'!AB154+"AM:!'HN"</f>
        <v>#VALUE!</v>
      </c>
      <c r="P136" t="e">
        <f>'Delivery Calculation'!AC154+"AM:!'HO"</f>
        <v>#VALUE!</v>
      </c>
      <c r="Q136" t="e">
        <f>'Delivery Calculation'!AD154+"AM:!'HP"</f>
        <v>#VALUE!</v>
      </c>
      <c r="R136" t="e">
        <f>'Delivery Calculation'!AE154+"AM:!'HQ"</f>
        <v>#VALUE!</v>
      </c>
      <c r="S136" t="e">
        <f>'Delivery Calculation'!AF154+"AM:!'HR"</f>
        <v>#VALUE!</v>
      </c>
      <c r="T136" t="e">
        <f>'Delivery Calculation'!AG154+"AM:!'HS"</f>
        <v>#VALUE!</v>
      </c>
      <c r="U136" t="e">
        <f>'Delivery Calculation'!AH154+"AM:!'HT"</f>
        <v>#VALUE!</v>
      </c>
      <c r="V136" t="e">
        <f>'Delivery Calculation'!AI154+"AM:!'HU"</f>
        <v>#VALUE!</v>
      </c>
      <c r="W136" t="e">
        <f>'Delivery Calculation'!AJ154+"AM:!'HV"</f>
        <v>#VALUE!</v>
      </c>
      <c r="X136" t="e">
        <f>'Delivery Calculation'!AK154+"AM:!'HW"</f>
        <v>#VALUE!</v>
      </c>
      <c r="Y136" t="e">
        <f>'Delivery Calculation'!AL154+"AM:!'HX"</f>
        <v>#VALUE!</v>
      </c>
      <c r="Z136" t="e">
        <f>'Delivery Calculation'!AM154+"AM:!'HY"</f>
        <v>#VALUE!</v>
      </c>
      <c r="AA136" t="e">
        <f>'Delivery Calculation'!AN154+"AM:!'HZ"</f>
        <v>#VALUE!</v>
      </c>
      <c r="AB136" t="e">
        <f>'Delivery Calculation'!AO154+"AM:!'H["</f>
        <v>#VALUE!</v>
      </c>
      <c r="AC136" t="e">
        <f>'Delivery Calculation'!AP154+"AM:!'H\"</f>
        <v>#VALUE!</v>
      </c>
      <c r="AD136" t="e">
        <f>'Delivery Calculation'!AQ154+"AM:!'H]"</f>
        <v>#VALUE!</v>
      </c>
      <c r="AE136" t="e">
        <f>'Delivery Calculation'!AR154+"AM:!'H^"</f>
        <v>#VALUE!</v>
      </c>
      <c r="AF136" t="e">
        <f>'Delivery Calculation'!AS154+"AM:!'H_"</f>
        <v>#VALUE!</v>
      </c>
      <c r="AG136" t="e">
        <f>'Delivery Calculation'!AT154+"AM:!'H`"</f>
        <v>#VALUE!</v>
      </c>
      <c r="AH136" t="e">
        <f>'Delivery Calculation'!AU154+"AM:!'Ha"</f>
        <v>#VALUE!</v>
      </c>
      <c r="AI136" t="e">
        <f>'Delivery Calculation'!AV154+"AM:!'Hb"</f>
        <v>#VALUE!</v>
      </c>
      <c r="AJ136" t="e">
        <f>'Delivery Calculation'!AW154+"AM:!'Hc"</f>
        <v>#VALUE!</v>
      </c>
      <c r="AK136" t="e">
        <f>'Delivery Calculation'!AX154+"AM:!'Hd"</f>
        <v>#VALUE!</v>
      </c>
      <c r="AL136" t="e">
        <f>'Delivery Calculation'!AY154+"AM:!'He"</f>
        <v>#VALUE!</v>
      </c>
      <c r="AM136" t="e">
        <f>'Delivery Calculation'!AZ154+"AM:!'Hf"</f>
        <v>#VALUE!</v>
      </c>
      <c r="AN136" t="e">
        <f>'Delivery Calculation'!A155+"AM:!'Hg"</f>
        <v>#VALUE!</v>
      </c>
      <c r="AO136" t="e">
        <f>'Delivery Calculation'!B155+"AM:!'Hh"</f>
        <v>#VALUE!</v>
      </c>
      <c r="AP136" t="e">
        <f>'Delivery Calculation'!C155+"AM:!'Hi"</f>
        <v>#VALUE!</v>
      </c>
      <c r="AQ136" t="e">
        <f>'Delivery Calculation'!D155+"AM:!'Hj"</f>
        <v>#VALUE!</v>
      </c>
      <c r="AR136" t="e">
        <f>'Delivery Calculation'!E155+"AM:!'Hk"</f>
        <v>#VALUE!</v>
      </c>
      <c r="AS136" t="e">
        <f>'Delivery Calculation'!F155+"AM:!'Hl"</f>
        <v>#VALUE!</v>
      </c>
      <c r="AT136" t="e">
        <f>'Delivery Calculation'!G155+"AM:!'Hm"</f>
        <v>#VALUE!</v>
      </c>
      <c r="AU136" t="e">
        <f>'Delivery Calculation'!H155+"AM:!'Hn"</f>
        <v>#VALUE!</v>
      </c>
      <c r="AV136" t="e">
        <f>'Delivery Calculation'!I155+"AM:!'Ho"</f>
        <v>#VALUE!</v>
      </c>
      <c r="AW136" t="e">
        <f>'Delivery Calculation'!J155+"AM:!'Hp"</f>
        <v>#VALUE!</v>
      </c>
      <c r="AX136" t="e">
        <f>'Delivery Calculation'!K155+"AM:!'Hq"</f>
        <v>#VALUE!</v>
      </c>
      <c r="AY136" t="e">
        <f>'Delivery Calculation'!L155+"AM:!'Hr"</f>
        <v>#VALUE!</v>
      </c>
      <c r="AZ136" t="e">
        <f>'Delivery Calculation'!M155+"AM:!'Hs"</f>
        <v>#VALUE!</v>
      </c>
      <c r="BA136" t="e">
        <f>'Delivery Calculation'!N155+"AM:!'Ht"</f>
        <v>#VALUE!</v>
      </c>
      <c r="BB136" t="e">
        <f>'Delivery Calculation'!O155+"AM:!'Hu"</f>
        <v>#VALUE!</v>
      </c>
      <c r="BC136" t="e">
        <f>'Delivery Calculation'!P155+"AM:!'Hv"</f>
        <v>#VALUE!</v>
      </c>
      <c r="BD136" t="e">
        <f>'Delivery Calculation'!Q155+"AM:!'Hw"</f>
        <v>#VALUE!</v>
      </c>
      <c r="BE136" t="e">
        <f>'Delivery Calculation'!R155+"AM:!'Hx"</f>
        <v>#VALUE!</v>
      </c>
      <c r="BF136" t="e">
        <f>'Delivery Calculation'!S155+"AM:!'Hy"</f>
        <v>#VALUE!</v>
      </c>
      <c r="BG136" t="e">
        <f>'Delivery Calculation'!T155+"AM:!'Hz"</f>
        <v>#VALUE!</v>
      </c>
      <c r="BH136" t="e">
        <f>'Delivery Calculation'!U155+"AM:!'H{"</f>
        <v>#VALUE!</v>
      </c>
      <c r="BI136" t="e">
        <f>'Delivery Calculation'!V155+"AM:!'H|"</f>
        <v>#VALUE!</v>
      </c>
      <c r="BJ136" t="e">
        <f>'Delivery Calculation'!W155+"AM:!'H}"</f>
        <v>#VALUE!</v>
      </c>
      <c r="BK136" t="e">
        <f>'Delivery Calculation'!X155+"AM:!'H~"</f>
        <v>#VALUE!</v>
      </c>
      <c r="BL136" t="e">
        <f>'Delivery Calculation'!Y155+"AM:!'I#"</f>
        <v>#VALUE!</v>
      </c>
      <c r="BM136" t="e">
        <f>'Delivery Calculation'!Z155+"AM:!'I$"</f>
        <v>#VALUE!</v>
      </c>
      <c r="BN136" t="e">
        <f>'Delivery Calculation'!AA155+"AM:!'I%"</f>
        <v>#VALUE!</v>
      </c>
      <c r="BO136" t="e">
        <f>'Delivery Calculation'!AB155+"AM:!'I&amp;"</f>
        <v>#VALUE!</v>
      </c>
      <c r="BP136" t="e">
        <f>'Delivery Calculation'!AC155+"AM:!'I'"</f>
        <v>#VALUE!</v>
      </c>
      <c r="BQ136" t="e">
        <f>'Delivery Calculation'!AD155+"AM:!'I("</f>
        <v>#VALUE!</v>
      </c>
      <c r="BR136" t="e">
        <f>'Delivery Calculation'!AE155+"AM:!'I)"</f>
        <v>#VALUE!</v>
      </c>
      <c r="BS136" t="e">
        <f>'Delivery Calculation'!AF155+"AM:!'I."</f>
        <v>#VALUE!</v>
      </c>
      <c r="BT136" t="e">
        <f>'Delivery Calculation'!AG155+"AM:!'I/"</f>
        <v>#VALUE!</v>
      </c>
      <c r="BU136" t="e">
        <f>'Delivery Calculation'!AH155+"AM:!'I0"</f>
        <v>#VALUE!</v>
      </c>
      <c r="BV136" t="e">
        <f>'Delivery Calculation'!AI155+"AM:!'I1"</f>
        <v>#VALUE!</v>
      </c>
      <c r="BW136" t="e">
        <f>'Delivery Calculation'!AJ155+"AM:!'I2"</f>
        <v>#VALUE!</v>
      </c>
      <c r="BX136" t="e">
        <f>'Delivery Calculation'!AK155+"AM:!'I3"</f>
        <v>#VALUE!</v>
      </c>
      <c r="BY136" t="e">
        <f>'Delivery Calculation'!AL155+"AM:!'I4"</f>
        <v>#VALUE!</v>
      </c>
      <c r="BZ136" t="e">
        <f>'Delivery Calculation'!AM155+"AM:!'I5"</f>
        <v>#VALUE!</v>
      </c>
      <c r="CA136" t="e">
        <f>'Delivery Calculation'!AN155+"AM:!'I6"</f>
        <v>#VALUE!</v>
      </c>
      <c r="CB136" t="e">
        <f>'Delivery Calculation'!AO155+"AM:!'I7"</f>
        <v>#VALUE!</v>
      </c>
      <c r="CC136" t="e">
        <f>'Delivery Calculation'!AP155+"AM:!'I8"</f>
        <v>#VALUE!</v>
      </c>
      <c r="CD136" t="e">
        <f>'Delivery Calculation'!AQ155+"AM:!'I9"</f>
        <v>#VALUE!</v>
      </c>
      <c r="CE136" t="e">
        <f>'Delivery Calculation'!AR155+"AM:!'I:"</f>
        <v>#VALUE!</v>
      </c>
      <c r="CF136" t="e">
        <f>'Delivery Calculation'!AS155+"AM:!'I;"</f>
        <v>#VALUE!</v>
      </c>
      <c r="CG136" t="e">
        <f>'Delivery Calculation'!AT155+"AM:!'I&lt;"</f>
        <v>#VALUE!</v>
      </c>
      <c r="CH136" t="e">
        <f>'Delivery Calculation'!AU155+"AM:!'I="</f>
        <v>#VALUE!</v>
      </c>
      <c r="CI136" t="e">
        <f>'Delivery Calculation'!AV155+"AM:!'I&gt;"</f>
        <v>#VALUE!</v>
      </c>
      <c r="CJ136" t="e">
        <f>'Delivery Calculation'!AW155+"AM:!'I?"</f>
        <v>#VALUE!</v>
      </c>
      <c r="CK136" t="e">
        <f>'Delivery Calculation'!AX155+"AM:!'I@"</f>
        <v>#VALUE!</v>
      </c>
      <c r="CL136" t="e">
        <f>'Delivery Calculation'!AY155+"AM:!'IA"</f>
        <v>#VALUE!</v>
      </c>
      <c r="CM136" t="e">
        <f>'Delivery Calculation'!AZ155+"AM:!'IB"</f>
        <v>#VALUE!</v>
      </c>
      <c r="CN136" t="e">
        <f>'Delivery Calculation'!A156+"AM:!'IC"</f>
        <v>#VALUE!</v>
      </c>
      <c r="CO136" t="e">
        <f>'Delivery Calculation'!B156+"AM:!'ID"</f>
        <v>#VALUE!</v>
      </c>
      <c r="CP136" t="e">
        <f>'Delivery Calculation'!C156+"AM:!'IE"</f>
        <v>#VALUE!</v>
      </c>
      <c r="CQ136" t="e">
        <f>'Delivery Calculation'!D156+"AM:!'IF"</f>
        <v>#VALUE!</v>
      </c>
      <c r="CR136" t="e">
        <f>'Delivery Calculation'!E156+"AM:!'IG"</f>
        <v>#VALUE!</v>
      </c>
      <c r="CS136" t="e">
        <f>'Delivery Calculation'!F156+"AM:!'IH"</f>
        <v>#VALUE!</v>
      </c>
      <c r="CT136" t="e">
        <f>'Delivery Calculation'!G156+"AM:!'II"</f>
        <v>#VALUE!</v>
      </c>
      <c r="CU136" t="e">
        <f>'Delivery Calculation'!H156+"AM:!'IJ"</f>
        <v>#VALUE!</v>
      </c>
      <c r="CV136" t="e">
        <f>'Delivery Calculation'!I156+"AM:!'IK"</f>
        <v>#VALUE!</v>
      </c>
      <c r="CW136" t="e">
        <f>'Delivery Calculation'!J156+"AM:!'IL"</f>
        <v>#VALUE!</v>
      </c>
      <c r="CX136" t="e">
        <f>'Delivery Calculation'!K156+"AM:!'IM"</f>
        <v>#VALUE!</v>
      </c>
      <c r="CY136" t="e">
        <f>'Delivery Calculation'!L156+"AM:!'IN"</f>
        <v>#VALUE!</v>
      </c>
      <c r="CZ136" t="e">
        <f>'Delivery Calculation'!M156+"AM:!'IO"</f>
        <v>#VALUE!</v>
      </c>
      <c r="DA136" t="e">
        <f>'Delivery Calculation'!N156+"AM:!'IP"</f>
        <v>#VALUE!</v>
      </c>
      <c r="DB136" t="e">
        <f>'Delivery Calculation'!O156+"AM:!'IQ"</f>
        <v>#VALUE!</v>
      </c>
      <c r="DC136" t="e">
        <f>'Delivery Calculation'!P156+"AM:!'IR"</f>
        <v>#VALUE!</v>
      </c>
      <c r="DD136" t="e">
        <f>'Delivery Calculation'!Q156+"AM:!'IS"</f>
        <v>#VALUE!</v>
      </c>
      <c r="DE136" t="e">
        <f>'Delivery Calculation'!R156+"AM:!'IT"</f>
        <v>#VALUE!</v>
      </c>
      <c r="DF136" t="e">
        <f>'Delivery Calculation'!S156+"AM:!'IU"</f>
        <v>#VALUE!</v>
      </c>
      <c r="DG136" t="e">
        <f>'Delivery Calculation'!T156+"AM:!'IV"</f>
        <v>#VALUE!</v>
      </c>
      <c r="DH136" t="e">
        <f>'Delivery Calculation'!U156+"AM:!'IW"</f>
        <v>#VALUE!</v>
      </c>
      <c r="DI136" t="e">
        <f>'Delivery Calculation'!V156+"AM:!'IX"</f>
        <v>#VALUE!</v>
      </c>
      <c r="DJ136" t="e">
        <f>'Delivery Calculation'!W156+"AM:!'IY"</f>
        <v>#VALUE!</v>
      </c>
      <c r="DK136" t="e">
        <f>'Delivery Calculation'!X156+"AM:!'IZ"</f>
        <v>#VALUE!</v>
      </c>
      <c r="DL136" t="e">
        <f>'Delivery Calculation'!Y156+"AM:!'I["</f>
        <v>#VALUE!</v>
      </c>
      <c r="DM136" t="e">
        <f>'Delivery Calculation'!Z156+"AM:!'I\"</f>
        <v>#VALUE!</v>
      </c>
      <c r="DN136" t="e">
        <f>'Delivery Calculation'!AA156+"AM:!'I]"</f>
        <v>#VALUE!</v>
      </c>
      <c r="DO136" t="e">
        <f>'Delivery Calculation'!AB156+"AM:!'I^"</f>
        <v>#VALUE!</v>
      </c>
      <c r="DP136" t="e">
        <f>'Delivery Calculation'!AC156+"AM:!'I_"</f>
        <v>#VALUE!</v>
      </c>
      <c r="DQ136" t="e">
        <f>'Delivery Calculation'!AD156+"AM:!'I`"</f>
        <v>#VALUE!</v>
      </c>
      <c r="DR136" t="e">
        <f>'Delivery Calculation'!AE156+"AM:!'Ia"</f>
        <v>#VALUE!</v>
      </c>
      <c r="DS136" t="e">
        <f>'Delivery Calculation'!AF156+"AM:!'Ib"</f>
        <v>#VALUE!</v>
      </c>
      <c r="DT136" t="e">
        <f>'Delivery Calculation'!AG156+"AM:!'Ic"</f>
        <v>#VALUE!</v>
      </c>
      <c r="DU136" t="e">
        <f>'Delivery Calculation'!AH156+"AM:!'Id"</f>
        <v>#VALUE!</v>
      </c>
      <c r="DV136" t="e">
        <f>'Delivery Calculation'!AI156+"AM:!'Ie"</f>
        <v>#VALUE!</v>
      </c>
      <c r="DW136" t="e">
        <f>'Delivery Calculation'!AJ156+"AM:!'If"</f>
        <v>#VALUE!</v>
      </c>
      <c r="DX136" t="e">
        <f>'Delivery Calculation'!AK156+"AM:!'Ig"</f>
        <v>#VALUE!</v>
      </c>
      <c r="DY136" t="e">
        <f>'Delivery Calculation'!AL156+"AM:!'Ih"</f>
        <v>#VALUE!</v>
      </c>
      <c r="DZ136" t="e">
        <f>'Delivery Calculation'!AM156+"AM:!'Ii"</f>
        <v>#VALUE!</v>
      </c>
      <c r="EA136" t="e">
        <f>'Delivery Calculation'!AN156+"AM:!'Ij"</f>
        <v>#VALUE!</v>
      </c>
      <c r="EB136" t="e">
        <f>'Delivery Calculation'!AO156+"AM:!'Ik"</f>
        <v>#VALUE!</v>
      </c>
      <c r="EC136" t="e">
        <f>'Delivery Calculation'!AP156+"AM:!'Il"</f>
        <v>#VALUE!</v>
      </c>
      <c r="ED136" t="e">
        <f>'Delivery Calculation'!AQ156+"AM:!'Im"</f>
        <v>#VALUE!</v>
      </c>
      <c r="EE136" t="e">
        <f>'Delivery Calculation'!AR156+"AM:!'In"</f>
        <v>#VALUE!</v>
      </c>
      <c r="EF136" t="e">
        <f>'Delivery Calculation'!AS156+"AM:!'Io"</f>
        <v>#VALUE!</v>
      </c>
      <c r="EG136" t="e">
        <f>'Delivery Calculation'!AT156+"AM:!'Ip"</f>
        <v>#VALUE!</v>
      </c>
      <c r="EH136" t="e">
        <f>'Delivery Calculation'!AU156+"AM:!'Iq"</f>
        <v>#VALUE!</v>
      </c>
      <c r="EI136" t="e">
        <f>'Delivery Calculation'!AV156+"AM:!'Ir"</f>
        <v>#VALUE!</v>
      </c>
      <c r="EJ136" t="e">
        <f>'Delivery Calculation'!AW156+"AM:!'Is"</f>
        <v>#VALUE!</v>
      </c>
      <c r="EK136" t="e">
        <f>'Delivery Calculation'!AX156+"AM:!'It"</f>
        <v>#VALUE!</v>
      </c>
      <c r="EL136" t="e">
        <f>'Delivery Calculation'!AY156+"AM:!'Iu"</f>
        <v>#VALUE!</v>
      </c>
      <c r="EM136" t="e">
        <f>'Delivery Calculation'!AZ156+"AM:!'Iv"</f>
        <v>#VALUE!</v>
      </c>
      <c r="EN136" t="e">
        <f>'Delivery Calculation'!A157+"AM:!'Iw"</f>
        <v>#VALUE!</v>
      </c>
      <c r="EO136" t="e">
        <f>'Delivery Calculation'!B157+"AM:!'Ix"</f>
        <v>#VALUE!</v>
      </c>
      <c r="EP136" t="e">
        <f>'Delivery Calculation'!C157+"AM:!'Iy"</f>
        <v>#VALUE!</v>
      </c>
      <c r="EQ136" t="e">
        <f>'Delivery Calculation'!D157+"AM:!'Iz"</f>
        <v>#VALUE!</v>
      </c>
      <c r="ER136" t="e">
        <f>'Delivery Calculation'!E157+"AM:!'I{"</f>
        <v>#VALUE!</v>
      </c>
      <c r="ES136" t="e">
        <f>'Delivery Calculation'!F157+"AM:!'I|"</f>
        <v>#VALUE!</v>
      </c>
      <c r="ET136" t="e">
        <f>'Delivery Calculation'!G157+"AM:!'I}"</f>
        <v>#VALUE!</v>
      </c>
      <c r="EU136" t="e">
        <f>'Delivery Calculation'!H157+"AM:!'I~"</f>
        <v>#VALUE!</v>
      </c>
      <c r="EV136" t="e">
        <f>'Delivery Calculation'!I157+"AM:!'J#"</f>
        <v>#VALUE!</v>
      </c>
      <c r="EW136" t="e">
        <f>'Delivery Calculation'!J157+"AM:!'J$"</f>
        <v>#VALUE!</v>
      </c>
      <c r="EX136" t="e">
        <f>'Delivery Calculation'!K157+"AM:!'J%"</f>
        <v>#VALUE!</v>
      </c>
      <c r="EY136" t="e">
        <f>'Delivery Calculation'!L157+"AM:!'J&amp;"</f>
        <v>#VALUE!</v>
      </c>
      <c r="EZ136" t="e">
        <f>'Delivery Calculation'!M157+"AM:!'J'"</f>
        <v>#VALUE!</v>
      </c>
      <c r="FA136" t="e">
        <f>'Delivery Calculation'!N157+"AM:!'J("</f>
        <v>#VALUE!</v>
      </c>
      <c r="FB136" t="e">
        <f>'Delivery Calculation'!O157+"AM:!'J)"</f>
        <v>#VALUE!</v>
      </c>
      <c r="FC136" t="e">
        <f>'Delivery Calculation'!P157+"AM:!'J."</f>
        <v>#VALUE!</v>
      </c>
      <c r="FD136" t="e">
        <f>'Delivery Calculation'!Q157+"AM:!'J/"</f>
        <v>#VALUE!</v>
      </c>
      <c r="FE136" t="e">
        <f>'Delivery Calculation'!R157+"AM:!'J0"</f>
        <v>#VALUE!</v>
      </c>
      <c r="FF136" t="e">
        <f>'Delivery Calculation'!S157+"AM:!'J1"</f>
        <v>#VALUE!</v>
      </c>
      <c r="FG136" t="e">
        <f>'Delivery Calculation'!T157+"AM:!'J2"</f>
        <v>#VALUE!</v>
      </c>
      <c r="FH136" t="e">
        <f>'Delivery Calculation'!U157+"AM:!'J3"</f>
        <v>#VALUE!</v>
      </c>
      <c r="FI136" t="e">
        <f>'Delivery Calculation'!V157+"AM:!'J4"</f>
        <v>#VALUE!</v>
      </c>
      <c r="FJ136" t="e">
        <f>'Delivery Calculation'!W157+"AM:!'J5"</f>
        <v>#VALUE!</v>
      </c>
      <c r="FK136" t="e">
        <f>'Delivery Calculation'!X157+"AM:!'J6"</f>
        <v>#VALUE!</v>
      </c>
      <c r="FL136" t="e">
        <f>'Delivery Calculation'!Y157+"AM:!'J7"</f>
        <v>#VALUE!</v>
      </c>
      <c r="FM136" t="e">
        <f>'Delivery Calculation'!Z157+"AM:!'J8"</f>
        <v>#VALUE!</v>
      </c>
      <c r="FN136" t="e">
        <f>'Delivery Calculation'!AA157+"AM:!'J9"</f>
        <v>#VALUE!</v>
      </c>
      <c r="FO136" t="e">
        <f>'Delivery Calculation'!AB157+"AM:!'J:"</f>
        <v>#VALUE!</v>
      </c>
      <c r="FP136" t="e">
        <f>'Delivery Calculation'!AC157+"AM:!'J;"</f>
        <v>#VALUE!</v>
      </c>
      <c r="FQ136" t="e">
        <f>'Delivery Calculation'!AD157+"AM:!'J&lt;"</f>
        <v>#VALUE!</v>
      </c>
      <c r="FR136" t="e">
        <f>'Delivery Calculation'!AE157+"AM:!'J="</f>
        <v>#VALUE!</v>
      </c>
      <c r="FS136" t="e">
        <f>'Delivery Calculation'!AF157+"AM:!'J&gt;"</f>
        <v>#VALUE!</v>
      </c>
      <c r="FT136" t="e">
        <f>'Delivery Calculation'!AG157+"AM:!'J?"</f>
        <v>#VALUE!</v>
      </c>
      <c r="FU136" t="e">
        <f>'Delivery Calculation'!AH157+"AM:!'J@"</f>
        <v>#VALUE!</v>
      </c>
      <c r="FV136" t="e">
        <f>'Delivery Calculation'!AI157+"AM:!'JA"</f>
        <v>#VALUE!</v>
      </c>
      <c r="FW136" t="e">
        <f>'Delivery Calculation'!AJ157+"AM:!'JB"</f>
        <v>#VALUE!</v>
      </c>
      <c r="FX136" t="e">
        <f>'Delivery Calculation'!AK157+"AM:!'JC"</f>
        <v>#VALUE!</v>
      </c>
      <c r="FY136" t="e">
        <f>'Delivery Calculation'!AL157+"AM:!'JD"</f>
        <v>#VALUE!</v>
      </c>
      <c r="FZ136" t="e">
        <f>'Delivery Calculation'!AM157+"AM:!'JE"</f>
        <v>#VALUE!</v>
      </c>
      <c r="GA136" t="e">
        <f>'Delivery Calculation'!AN157+"AM:!'JF"</f>
        <v>#VALUE!</v>
      </c>
      <c r="GB136" t="e">
        <f>'Delivery Calculation'!AO157+"AM:!'JG"</f>
        <v>#VALUE!</v>
      </c>
      <c r="GC136" t="e">
        <f>'Delivery Calculation'!AP157+"AM:!'JH"</f>
        <v>#VALUE!</v>
      </c>
      <c r="GD136" t="e">
        <f>'Delivery Calculation'!AQ157+"AM:!'JI"</f>
        <v>#VALUE!</v>
      </c>
      <c r="GE136" t="e">
        <f>'Delivery Calculation'!AR157+"AM:!'JJ"</f>
        <v>#VALUE!</v>
      </c>
      <c r="GF136" t="e">
        <f>'Delivery Calculation'!AS157+"AM:!'JK"</f>
        <v>#VALUE!</v>
      </c>
      <c r="GG136" t="e">
        <f>'Delivery Calculation'!AT157+"AM:!'JL"</f>
        <v>#VALUE!</v>
      </c>
      <c r="GH136" t="e">
        <f>'Delivery Calculation'!AU157+"AM:!'JM"</f>
        <v>#VALUE!</v>
      </c>
      <c r="GI136" t="e">
        <f>'Delivery Calculation'!AV157+"AM:!'JN"</f>
        <v>#VALUE!</v>
      </c>
      <c r="GJ136" t="e">
        <f>'Delivery Calculation'!AW157+"AM:!'JO"</f>
        <v>#VALUE!</v>
      </c>
      <c r="GK136" t="e">
        <f>'Delivery Calculation'!AX157+"AM:!'JP"</f>
        <v>#VALUE!</v>
      </c>
      <c r="GL136" t="e">
        <f>'Delivery Calculation'!AY157+"AM:!'JQ"</f>
        <v>#VALUE!</v>
      </c>
      <c r="GM136" t="e">
        <f>'Delivery Calculation'!AZ157+"AM:!'JR"</f>
        <v>#VALUE!</v>
      </c>
      <c r="GN136" t="e">
        <f>'Delivery Calculation'!A158+"AM:!'JS"</f>
        <v>#VALUE!</v>
      </c>
      <c r="GO136" t="e">
        <f>'Delivery Calculation'!B158+"AM:!'JT"</f>
        <v>#VALUE!</v>
      </c>
      <c r="GP136" t="e">
        <f>'Delivery Calculation'!C158+"AM:!'JU"</f>
        <v>#VALUE!</v>
      </c>
      <c r="GQ136" t="e">
        <f>'Delivery Calculation'!D158+"AM:!'JV"</f>
        <v>#VALUE!</v>
      </c>
      <c r="GR136" t="e">
        <f>'Delivery Calculation'!E158+"AM:!'JW"</f>
        <v>#VALUE!</v>
      </c>
      <c r="GS136" t="e">
        <f>'Delivery Calculation'!F158+"AM:!'JX"</f>
        <v>#VALUE!</v>
      </c>
      <c r="GT136" t="e">
        <f>'Delivery Calculation'!G158+"AM:!'JY"</f>
        <v>#VALUE!</v>
      </c>
      <c r="GU136" t="e">
        <f>'Delivery Calculation'!H158+"AM:!'JZ"</f>
        <v>#VALUE!</v>
      </c>
      <c r="GV136" s="97" t="e">
        <f>'Delivery Calculation'!I158+"AM:!'J["</f>
        <v>#VALUE!</v>
      </c>
      <c r="GW136" s="97" t="e">
        <f>'Delivery Calculation'!J158+"AM:!'J\"</f>
        <v>#VALUE!</v>
      </c>
      <c r="GX136" s="97" t="e">
        <f>'Delivery Calculation'!K158+"AM:!'J]"</f>
        <v>#VALUE!</v>
      </c>
      <c r="GY136" s="97" t="e">
        <f>'Delivery Calculation'!L158+"AM:!'J^"</f>
        <v>#VALUE!</v>
      </c>
      <c r="GZ136" t="e">
        <f>'Delivery Calculation'!M158+"AM:!'J_"</f>
        <v>#VALUE!</v>
      </c>
      <c r="HA136" t="e">
        <f>'Delivery Calculation'!N158+"AM:!'J`"</f>
        <v>#VALUE!</v>
      </c>
      <c r="HB136" t="e">
        <f>'Delivery Calculation'!O158+"AM:!'Ja"</f>
        <v>#VALUE!</v>
      </c>
      <c r="HC136" t="e">
        <f>'Delivery Calculation'!P158+"AM:!'Jb"</f>
        <v>#VALUE!</v>
      </c>
      <c r="HD136" t="e">
        <f>'Delivery Calculation'!Q158+"AM:!'Jc"</f>
        <v>#VALUE!</v>
      </c>
      <c r="HE136" t="e">
        <f>'Delivery Calculation'!R158+"AM:!'Jd"</f>
        <v>#VALUE!</v>
      </c>
      <c r="HF136" t="e">
        <f>'Delivery Calculation'!S158+"AM:!'Je"</f>
        <v>#VALUE!</v>
      </c>
      <c r="HG136" t="e">
        <f>'Delivery Calculation'!T158+"AM:!'Jf"</f>
        <v>#VALUE!</v>
      </c>
      <c r="HH136" t="e">
        <f>'Delivery Calculation'!U158+"AM:!'Jg"</f>
        <v>#VALUE!</v>
      </c>
      <c r="HI136" t="e">
        <f>'Delivery Calculation'!V158+"AM:!'Jh"</f>
        <v>#VALUE!</v>
      </c>
      <c r="HJ136" t="e">
        <f>'Delivery Calculation'!W158+"AM:!'Ji"</f>
        <v>#VALUE!</v>
      </c>
      <c r="HK136" t="e">
        <f>'Delivery Calculation'!X158+"AM:!'Jj"</f>
        <v>#VALUE!</v>
      </c>
      <c r="HL136" t="e">
        <f>'Delivery Calculation'!Y158+"AM:!'Jk"</f>
        <v>#VALUE!</v>
      </c>
      <c r="HM136" t="e">
        <f>'Delivery Calculation'!Z158+"AM:!'Jl"</f>
        <v>#VALUE!</v>
      </c>
      <c r="HN136" t="e">
        <f>'Delivery Calculation'!AA158+"AM:!'Jm"</f>
        <v>#VALUE!</v>
      </c>
      <c r="HO136" t="e">
        <f>'Delivery Calculation'!AB158+"AM:!'Jn"</f>
        <v>#VALUE!</v>
      </c>
      <c r="HP136" t="e">
        <f>'Delivery Calculation'!AC158+"AM:!'Jo"</f>
        <v>#VALUE!</v>
      </c>
      <c r="HQ136" t="e">
        <f>'Delivery Calculation'!AD158+"AM:!'Jp"</f>
        <v>#VALUE!</v>
      </c>
      <c r="HR136" t="e">
        <f>'Delivery Calculation'!AE158+"AM:!'Jq"</f>
        <v>#VALUE!</v>
      </c>
      <c r="HS136" t="e">
        <f>'Delivery Calculation'!AF158+"AM:!'Jr"</f>
        <v>#VALUE!</v>
      </c>
      <c r="HT136" t="e">
        <f>'Delivery Calculation'!AG158+"AM:!'Js"</f>
        <v>#VALUE!</v>
      </c>
      <c r="HU136" t="e">
        <f>'Delivery Calculation'!AH158+"AM:!'Jt"</f>
        <v>#VALUE!</v>
      </c>
      <c r="HV136" t="e">
        <f>'Delivery Calculation'!AI158+"AM:!'Ju"</f>
        <v>#VALUE!</v>
      </c>
      <c r="HW136" t="e">
        <f>'Delivery Calculation'!AJ158+"AM:!'Jv"</f>
        <v>#VALUE!</v>
      </c>
      <c r="HX136" t="e">
        <f>'Delivery Calculation'!AK158+"AM:!'Jw"</f>
        <v>#VALUE!</v>
      </c>
      <c r="HY136" t="e">
        <f>'Delivery Calculation'!AL158+"AM:!'Jx"</f>
        <v>#VALUE!</v>
      </c>
      <c r="HZ136" t="e">
        <f>'Delivery Calculation'!AM158+"AM:!'Jy"</f>
        <v>#VALUE!</v>
      </c>
      <c r="IA136" t="e">
        <f>'Delivery Calculation'!AN158+"AM:!'Jz"</f>
        <v>#VALUE!</v>
      </c>
      <c r="IB136" t="e">
        <f>'Delivery Calculation'!AO158+"AM:!'J{"</f>
        <v>#VALUE!</v>
      </c>
      <c r="IC136" t="e">
        <f>'Delivery Calculation'!AP158+"AM:!'J|"</f>
        <v>#VALUE!</v>
      </c>
      <c r="ID136" t="e">
        <f>'Delivery Calculation'!AQ158+"AM:!'J}"</f>
        <v>#VALUE!</v>
      </c>
      <c r="IE136" t="e">
        <f>'Delivery Calculation'!AR158+"AM:!'J~"</f>
        <v>#VALUE!</v>
      </c>
      <c r="IF136" t="e">
        <f>'Delivery Calculation'!AS158+"AM:!'K#"</f>
        <v>#VALUE!</v>
      </c>
      <c r="IG136" t="e">
        <f>'Delivery Calculation'!AT158+"AM:!'K$"</f>
        <v>#VALUE!</v>
      </c>
      <c r="IH136" t="e">
        <f>'Delivery Calculation'!AU158+"AM:!'K%"</f>
        <v>#VALUE!</v>
      </c>
      <c r="II136" t="e">
        <f>'Delivery Calculation'!AV158+"AM:!'K&amp;"</f>
        <v>#VALUE!</v>
      </c>
      <c r="IJ136" t="e">
        <f>'Delivery Calculation'!AW158+"AM:!'K'"</f>
        <v>#VALUE!</v>
      </c>
      <c r="IK136" t="e">
        <f>'Delivery Calculation'!AX158+"AM:!'K("</f>
        <v>#VALUE!</v>
      </c>
      <c r="IL136" t="e">
        <f>'Delivery Calculation'!AY158+"AM:!'K)"</f>
        <v>#VALUE!</v>
      </c>
      <c r="IM136" t="e">
        <f>'Delivery Calculation'!A159+"AM:!'K."</f>
        <v>#VALUE!</v>
      </c>
      <c r="IN136" t="e">
        <f>'Delivery Calculation'!B159+"AM:!'K/"</f>
        <v>#VALUE!</v>
      </c>
      <c r="IO136" t="e">
        <f>'Delivery Calculation'!C159+"AM:!'K0"</f>
        <v>#VALUE!</v>
      </c>
      <c r="IP136" t="e">
        <f>'Delivery Calculation'!D159+"AM:!'K1"</f>
        <v>#VALUE!</v>
      </c>
      <c r="IQ136" t="e">
        <f>'Delivery Calculation'!E159+"AM:!'K2"</f>
        <v>#VALUE!</v>
      </c>
      <c r="IR136" s="98" t="e">
        <f>'Delivery Calculation'!F159+"AM:!'K3"</f>
        <v>#VALUE!</v>
      </c>
      <c r="IS136" s="98" t="e">
        <f>'Delivery Calculation'!G159+"AM:!'K4"</f>
        <v>#VALUE!</v>
      </c>
      <c r="IT136" s="98" t="e">
        <f>'Delivery Calculation'!H159+"AM:!'K5"</f>
        <v>#VALUE!</v>
      </c>
      <c r="IU136" s="100" t="e">
        <f>'Delivery Calculation'!I159+"AM:!'K6"</f>
        <v>#VALUE!</v>
      </c>
      <c r="IV136" s="100" t="e">
        <f>'Delivery Calculation'!J159+"AM:!'K7"</f>
        <v>#VALUE!</v>
      </c>
    </row>
    <row r="137" spans="6:256">
      <c r="F137" s="100" t="e">
        <f>'Delivery Calculation'!K159+"AM:!'K8"</f>
        <v>#VALUE!</v>
      </c>
      <c r="G137" s="100" t="e">
        <f>'Delivery Calculation'!L159+"AM:!'K9"</f>
        <v>#VALUE!</v>
      </c>
      <c r="H137" s="100" t="e">
        <f>'Delivery Calculation'!M159+"AM:!'K:"</f>
        <v>#VALUE!</v>
      </c>
      <c r="I137" s="100" t="e">
        <f>'Delivery Calculation'!N159+"AM:!'K;"</f>
        <v>#VALUE!</v>
      </c>
      <c r="J137" s="100" t="e">
        <f>'Delivery Calculation'!O159+"AM:!'K&lt;"</f>
        <v>#VALUE!</v>
      </c>
      <c r="K137" s="100" t="e">
        <f>'Delivery Calculation'!P159+"AM:!'K="</f>
        <v>#VALUE!</v>
      </c>
      <c r="L137" s="100" t="e">
        <f>'Delivery Calculation'!Q159+"AM:!'K&gt;"</f>
        <v>#VALUE!</v>
      </c>
      <c r="M137" s="100" t="e">
        <f>'Delivery Calculation'!R159+"AM:!'K?"</f>
        <v>#VALUE!</v>
      </c>
      <c r="N137" s="100" t="e">
        <f>'Delivery Calculation'!S159+"AM:!'K@"</f>
        <v>#VALUE!</v>
      </c>
      <c r="O137" s="100" t="e">
        <f>'Delivery Calculation'!T159+"AM:!'KA"</f>
        <v>#VALUE!</v>
      </c>
      <c r="P137" s="100" t="e">
        <f>'Delivery Calculation'!U159+"AM:!'KB"</f>
        <v>#VALUE!</v>
      </c>
      <c r="Q137" s="100" t="e">
        <f>'Delivery Calculation'!V159+"AM:!'KC"</f>
        <v>#VALUE!</v>
      </c>
      <c r="R137" s="100" t="e">
        <f>'Delivery Calculation'!W159+"AM:!'KD"</f>
        <v>#VALUE!</v>
      </c>
      <c r="S137" s="100" t="e">
        <f>'Delivery Calculation'!X159+"AM:!'KE"</f>
        <v>#VALUE!</v>
      </c>
      <c r="T137" s="100" t="e">
        <f>'Delivery Calculation'!Y159+"AM:!'KF"</f>
        <v>#VALUE!</v>
      </c>
      <c r="U137" s="100" t="e">
        <f>'Delivery Calculation'!Z159+"AM:!'KG"</f>
        <v>#VALUE!</v>
      </c>
      <c r="V137" s="100" t="e">
        <f>'Delivery Calculation'!AA159+"AM:!'KH"</f>
        <v>#VALUE!</v>
      </c>
      <c r="W137" s="100" t="e">
        <f>'Delivery Calculation'!AB159+"AM:!'KI"</f>
        <v>#VALUE!</v>
      </c>
      <c r="X137" s="100" t="e">
        <f>'Delivery Calculation'!AC159+"AM:!'KJ"</f>
        <v>#VALUE!</v>
      </c>
      <c r="Y137" s="100" t="e">
        <f>'Delivery Calculation'!AD159+"AM:!'KK"</f>
        <v>#VALUE!</v>
      </c>
      <c r="Z137" s="100" t="e">
        <f>'Delivery Calculation'!AE159+"AM:!'KL"</f>
        <v>#VALUE!</v>
      </c>
      <c r="AA137" s="100" t="e">
        <f>'Delivery Calculation'!AF159+"AM:!'KM"</f>
        <v>#VALUE!</v>
      </c>
      <c r="AB137" s="100" t="e">
        <f>'Delivery Calculation'!AG159+"AM:!'KN"</f>
        <v>#VALUE!</v>
      </c>
      <c r="AC137" s="100" t="e">
        <f>'Delivery Calculation'!AH159+"AM:!'KO"</f>
        <v>#VALUE!</v>
      </c>
      <c r="AD137" s="100" t="e">
        <f>'Delivery Calculation'!AI159+"AM:!'KP"</f>
        <v>#VALUE!</v>
      </c>
      <c r="AE137" s="100" t="e">
        <f>'Delivery Calculation'!AJ159+"AM:!'KQ"</f>
        <v>#VALUE!</v>
      </c>
      <c r="AF137" s="100" t="e">
        <f>'Delivery Calculation'!AK159+"AM:!'KR"</f>
        <v>#VALUE!</v>
      </c>
      <c r="AG137" s="100" t="e">
        <f>'Delivery Calculation'!AL159+"AM:!'KS"</f>
        <v>#VALUE!</v>
      </c>
      <c r="AH137" s="100" t="e">
        <f>'Delivery Calculation'!AM159+"AM:!'KT"</f>
        <v>#VALUE!</v>
      </c>
      <c r="AI137" s="100" t="e">
        <f>'Delivery Calculation'!AN159+"AM:!'KU"</f>
        <v>#VALUE!</v>
      </c>
      <c r="AJ137" s="100" t="e">
        <f>'Delivery Calculation'!AO159+"AM:!'KV"</f>
        <v>#VALUE!</v>
      </c>
      <c r="AK137" s="100" t="e">
        <f>'Delivery Calculation'!AP159+"AM:!'KW"</f>
        <v>#VALUE!</v>
      </c>
      <c r="AL137" s="100" t="e">
        <f>'Delivery Calculation'!AQ159+"AM:!'KX"</f>
        <v>#VALUE!</v>
      </c>
      <c r="AM137" s="100" t="e">
        <f>'Delivery Calculation'!AR159+"AM:!'KY"</f>
        <v>#VALUE!</v>
      </c>
      <c r="AN137" s="100" t="e">
        <f>'Delivery Calculation'!AS159+"AM:!'KZ"</f>
        <v>#VALUE!</v>
      </c>
      <c r="AO137" s="100" t="e">
        <f>'Delivery Calculation'!AT159+"AM:!'K["</f>
        <v>#VALUE!</v>
      </c>
      <c r="AP137" s="100" t="e">
        <f>'Delivery Calculation'!AU159+"AM:!'K\"</f>
        <v>#VALUE!</v>
      </c>
      <c r="AQ137" s="100" t="e">
        <f>'Delivery Calculation'!AV159+"AM:!'K]"</f>
        <v>#VALUE!</v>
      </c>
      <c r="AR137" s="100" t="e">
        <f>'Delivery Calculation'!AW159+"AM:!'K^"</f>
        <v>#VALUE!</v>
      </c>
      <c r="AS137" s="100" t="e">
        <f>'Delivery Calculation'!AX159+"AM:!'K_"</f>
        <v>#VALUE!</v>
      </c>
      <c r="AT137" t="e">
        <f>'Delivery Calculation'!AY159+"AM:!'K`"</f>
        <v>#VALUE!</v>
      </c>
      <c r="AU137" t="e">
        <f>'Delivery Calculation'!A160+"AM:!'Ka"</f>
        <v>#VALUE!</v>
      </c>
      <c r="AV137" t="e">
        <f>'Delivery Calculation'!B160+"AM:!'Kb"</f>
        <v>#VALUE!</v>
      </c>
      <c r="AW137" t="e">
        <f>'Delivery Calculation'!C160+"AM:!'Kc"</f>
        <v>#VALUE!</v>
      </c>
      <c r="AX137" t="e">
        <f>'Delivery Calculation'!D160+"AM:!'Kd"</f>
        <v>#VALUE!</v>
      </c>
      <c r="AY137" t="e">
        <f>'Delivery Calculation'!E160+"AM:!'Ke"</f>
        <v>#VALUE!</v>
      </c>
      <c r="AZ137" s="98" t="e">
        <f>'Delivery Calculation'!F160+"AM:!'Kf"</f>
        <v>#VALUE!</v>
      </c>
      <c r="BA137" s="98" t="e">
        <f>'Delivery Calculation'!G160+"AM:!'Kg"</f>
        <v>#VALUE!</v>
      </c>
      <c r="BB137" s="98" t="e">
        <f>'Delivery Calculation'!H160+"AM:!'Kh"</f>
        <v>#VALUE!</v>
      </c>
      <c r="BC137" s="100" t="e">
        <f>'Delivery Calculation'!I160+"AM:!'Ki"</f>
        <v>#VALUE!</v>
      </c>
      <c r="BD137" s="100" t="e">
        <f>'Delivery Calculation'!J160+"AM:!'Kj"</f>
        <v>#VALUE!</v>
      </c>
      <c r="BE137" s="100" t="e">
        <f>'Delivery Calculation'!K160+"AM:!'Kk"</f>
        <v>#VALUE!</v>
      </c>
      <c r="BF137" s="100" t="e">
        <f>'Delivery Calculation'!L160+"AM:!'Kl"</f>
        <v>#VALUE!</v>
      </c>
      <c r="BG137" s="100" t="e">
        <f>'Delivery Calculation'!M160+"AM:!'Km"</f>
        <v>#VALUE!</v>
      </c>
      <c r="BH137" s="100" t="e">
        <f>'Delivery Calculation'!N160+"AM:!'Kn"</f>
        <v>#VALUE!</v>
      </c>
      <c r="BI137" s="100" t="e">
        <f>'Delivery Calculation'!O160+"AM:!'Ko"</f>
        <v>#VALUE!</v>
      </c>
      <c r="BJ137" s="100" t="e">
        <f>'Delivery Calculation'!P160+"AM:!'Kp"</f>
        <v>#VALUE!</v>
      </c>
      <c r="BK137" s="100" t="e">
        <f>'Delivery Calculation'!Q160+"AM:!'Kq"</f>
        <v>#VALUE!</v>
      </c>
      <c r="BL137" s="100" t="e">
        <f>'Delivery Calculation'!R160+"AM:!'Kr"</f>
        <v>#VALUE!</v>
      </c>
      <c r="BM137" s="100" t="e">
        <f>'Delivery Calculation'!S160+"AM:!'Ks"</f>
        <v>#VALUE!</v>
      </c>
      <c r="BN137" s="100" t="e">
        <f>'Delivery Calculation'!T160+"AM:!'Kt"</f>
        <v>#VALUE!</v>
      </c>
      <c r="BO137" s="100" t="e">
        <f>'Delivery Calculation'!U160+"AM:!'Ku"</f>
        <v>#VALUE!</v>
      </c>
      <c r="BP137" s="100" t="e">
        <f>'Delivery Calculation'!V160+"AM:!'Kv"</f>
        <v>#VALUE!</v>
      </c>
      <c r="BQ137" s="100" t="e">
        <f>'Delivery Calculation'!W160+"AM:!'Kw"</f>
        <v>#VALUE!</v>
      </c>
      <c r="BR137" s="100" t="e">
        <f>'Delivery Calculation'!X160+"AM:!'Kx"</f>
        <v>#VALUE!</v>
      </c>
      <c r="BS137" s="100" t="e">
        <f>'Delivery Calculation'!Y160+"AM:!'Ky"</f>
        <v>#VALUE!</v>
      </c>
      <c r="BT137" s="100" t="e">
        <f>'Delivery Calculation'!Z160+"AM:!'Kz"</f>
        <v>#VALUE!</v>
      </c>
      <c r="BU137" s="100" t="e">
        <f>'Delivery Calculation'!AA160+"AM:!'K{"</f>
        <v>#VALUE!</v>
      </c>
      <c r="BV137" s="100" t="e">
        <f>'Delivery Calculation'!AB160+"AM:!'K|"</f>
        <v>#VALUE!</v>
      </c>
      <c r="BW137" s="100" t="e">
        <f>'Delivery Calculation'!AC160+"AM:!'K}"</f>
        <v>#VALUE!</v>
      </c>
      <c r="BX137" s="100" t="e">
        <f>'Delivery Calculation'!AD160+"AM:!'K~"</f>
        <v>#VALUE!</v>
      </c>
      <c r="BY137" s="100" t="e">
        <f>'Delivery Calculation'!AE160+"AM:!'L#"</f>
        <v>#VALUE!</v>
      </c>
      <c r="BZ137" s="100" t="e">
        <f>'Delivery Calculation'!AF160+"AM:!'L$"</f>
        <v>#VALUE!</v>
      </c>
      <c r="CA137" s="100" t="e">
        <f>'Delivery Calculation'!AG160+"AM:!'L%"</f>
        <v>#VALUE!</v>
      </c>
      <c r="CB137" s="100" t="e">
        <f>'Delivery Calculation'!AH160+"AM:!'L&amp;"</f>
        <v>#VALUE!</v>
      </c>
      <c r="CC137" s="100" t="e">
        <f>'Delivery Calculation'!AI160+"AM:!'L'"</f>
        <v>#VALUE!</v>
      </c>
      <c r="CD137" s="100" t="e">
        <f>'Delivery Calculation'!AJ160+"AM:!'L("</f>
        <v>#VALUE!</v>
      </c>
      <c r="CE137" s="100" t="e">
        <f>'Delivery Calculation'!AK160+"AM:!'L)"</f>
        <v>#VALUE!</v>
      </c>
      <c r="CF137" s="100" t="e">
        <f>'Delivery Calculation'!AL160+"AM:!'L."</f>
        <v>#VALUE!</v>
      </c>
      <c r="CG137" s="100" t="e">
        <f>'Delivery Calculation'!AM160+"AM:!'L/"</f>
        <v>#VALUE!</v>
      </c>
      <c r="CH137" s="100" t="e">
        <f>'Delivery Calculation'!AN160+"AM:!'L0"</f>
        <v>#VALUE!</v>
      </c>
      <c r="CI137" s="100" t="e">
        <f>'Delivery Calculation'!AO160+"AM:!'L1"</f>
        <v>#VALUE!</v>
      </c>
      <c r="CJ137" s="100" t="e">
        <f>'Delivery Calculation'!AP160+"AM:!'L2"</f>
        <v>#VALUE!</v>
      </c>
      <c r="CK137" s="100" t="e">
        <f>'Delivery Calculation'!AQ160+"AM:!'L3"</f>
        <v>#VALUE!</v>
      </c>
      <c r="CL137" s="100" t="e">
        <f>'Delivery Calculation'!AR160+"AM:!'L4"</f>
        <v>#VALUE!</v>
      </c>
      <c r="CM137" s="100" t="e">
        <f>'Delivery Calculation'!AS160+"AM:!'L5"</f>
        <v>#VALUE!</v>
      </c>
      <c r="CN137" s="100" t="e">
        <f>'Delivery Calculation'!AT160+"AM:!'L6"</f>
        <v>#VALUE!</v>
      </c>
      <c r="CO137" s="100" t="e">
        <f>'Delivery Calculation'!AU160+"AM:!'L7"</f>
        <v>#VALUE!</v>
      </c>
      <c r="CP137" s="100" t="e">
        <f>'Delivery Calculation'!AV160+"AM:!'L8"</f>
        <v>#VALUE!</v>
      </c>
      <c r="CQ137" s="100" t="e">
        <f>'Delivery Calculation'!AW160+"AM:!'L9"</f>
        <v>#VALUE!</v>
      </c>
      <c r="CR137" s="100" t="e">
        <f>'Delivery Calculation'!AX160+"AM:!'L:"</f>
        <v>#VALUE!</v>
      </c>
      <c r="CS137" t="e">
        <f>'Delivery Calculation'!AY160+"AM:!'L;"</f>
        <v>#VALUE!</v>
      </c>
      <c r="CT137" t="e">
        <f>'Delivery Calculation'!A161+"AM:!'L&lt;"</f>
        <v>#VALUE!</v>
      </c>
      <c r="CU137" t="e">
        <f>'Delivery Calculation'!B161+"AM:!'L="</f>
        <v>#VALUE!</v>
      </c>
      <c r="CV137" t="e">
        <f>'Delivery Calculation'!C161+"AM:!'L&gt;"</f>
        <v>#VALUE!</v>
      </c>
      <c r="CW137" t="e">
        <f>'Delivery Calculation'!D161+"AM:!'L?"</f>
        <v>#VALUE!</v>
      </c>
      <c r="CX137" t="e">
        <f>'Delivery Calculation'!E161+"AM:!'L@"</f>
        <v>#VALUE!</v>
      </c>
      <c r="CY137" s="98" t="e">
        <f>'Delivery Calculation'!F161+"AM:!'LA"</f>
        <v>#VALUE!</v>
      </c>
      <c r="CZ137" s="98" t="e">
        <f>'Delivery Calculation'!G161+"AM:!'LB"</f>
        <v>#VALUE!</v>
      </c>
      <c r="DA137" s="98" t="e">
        <f>'Delivery Calculation'!H161+"AM:!'LC"</f>
        <v>#VALUE!</v>
      </c>
      <c r="DB137" s="100" t="e">
        <f>'Delivery Calculation'!I161+"AM:!'LD"</f>
        <v>#VALUE!</v>
      </c>
      <c r="DC137" s="100" t="e">
        <f>'Delivery Calculation'!J161+"AM:!'LE"</f>
        <v>#VALUE!</v>
      </c>
      <c r="DD137" s="100" t="e">
        <f>'Delivery Calculation'!K161+"AM:!'LF"</f>
        <v>#VALUE!</v>
      </c>
      <c r="DE137" s="100" t="e">
        <f>'Delivery Calculation'!L161+"AM:!'LG"</f>
        <v>#VALUE!</v>
      </c>
      <c r="DF137" s="100" t="e">
        <f>'Delivery Calculation'!M161+"AM:!'LH"</f>
        <v>#VALUE!</v>
      </c>
      <c r="DG137" s="100" t="e">
        <f>'Delivery Calculation'!N161+"AM:!'LI"</f>
        <v>#VALUE!</v>
      </c>
      <c r="DH137" s="100" t="e">
        <f>'Delivery Calculation'!O161+"AM:!'LJ"</f>
        <v>#VALUE!</v>
      </c>
      <c r="DI137" s="100" t="e">
        <f>'Delivery Calculation'!P161+"AM:!'LK"</f>
        <v>#VALUE!</v>
      </c>
      <c r="DJ137" s="100" t="e">
        <f>'Delivery Calculation'!Q161+"AM:!'LL"</f>
        <v>#VALUE!</v>
      </c>
      <c r="DK137" s="100" t="e">
        <f>'Delivery Calculation'!R161+"AM:!'LM"</f>
        <v>#VALUE!</v>
      </c>
      <c r="DL137" s="100" t="e">
        <f>'Delivery Calculation'!S161+"AM:!'LN"</f>
        <v>#VALUE!</v>
      </c>
      <c r="DM137" s="100" t="e">
        <f>'Delivery Calculation'!T161+"AM:!'LO"</f>
        <v>#VALUE!</v>
      </c>
      <c r="DN137" s="100" t="e">
        <f>'Delivery Calculation'!U161+"AM:!'LP"</f>
        <v>#VALUE!</v>
      </c>
      <c r="DO137" s="100" t="e">
        <f>'Delivery Calculation'!V161+"AM:!'LQ"</f>
        <v>#VALUE!</v>
      </c>
      <c r="DP137" s="100" t="e">
        <f>'Delivery Calculation'!W161+"AM:!'LR"</f>
        <v>#VALUE!</v>
      </c>
      <c r="DQ137" s="100" t="e">
        <f>'Delivery Calculation'!X161+"AM:!'LS"</f>
        <v>#VALUE!</v>
      </c>
      <c r="DR137" s="100" t="e">
        <f>'Delivery Calculation'!Y161+"AM:!'LT"</f>
        <v>#VALUE!</v>
      </c>
      <c r="DS137" s="100" t="e">
        <f>'Delivery Calculation'!Z161+"AM:!'LU"</f>
        <v>#VALUE!</v>
      </c>
      <c r="DT137" s="100" t="e">
        <f>'Delivery Calculation'!AA161+"AM:!'LV"</f>
        <v>#VALUE!</v>
      </c>
      <c r="DU137" s="100" t="e">
        <f>'Delivery Calculation'!AB161+"AM:!'LW"</f>
        <v>#VALUE!</v>
      </c>
      <c r="DV137" s="100" t="e">
        <f>'Delivery Calculation'!AC161+"AM:!'LX"</f>
        <v>#VALUE!</v>
      </c>
      <c r="DW137" s="100" t="e">
        <f>'Delivery Calculation'!AD161+"AM:!'LY"</f>
        <v>#VALUE!</v>
      </c>
      <c r="DX137" s="100" t="e">
        <f>'Delivery Calculation'!AE161+"AM:!'LZ"</f>
        <v>#VALUE!</v>
      </c>
      <c r="DY137" s="100" t="e">
        <f>'Delivery Calculation'!AF161+"AM:!'L["</f>
        <v>#VALUE!</v>
      </c>
      <c r="DZ137" s="100" t="e">
        <f>'Delivery Calculation'!AG161+"AM:!'L\"</f>
        <v>#VALUE!</v>
      </c>
      <c r="EA137" s="100" t="e">
        <f>'Delivery Calculation'!AH161+"AM:!'L]"</f>
        <v>#VALUE!</v>
      </c>
      <c r="EB137" s="100" t="e">
        <f>'Delivery Calculation'!AI161+"AM:!'L^"</f>
        <v>#VALUE!</v>
      </c>
      <c r="EC137" s="100" t="e">
        <f>'Delivery Calculation'!AJ161+"AM:!'L_"</f>
        <v>#VALUE!</v>
      </c>
      <c r="ED137" s="100" t="e">
        <f>'Delivery Calculation'!AK161+"AM:!'L`"</f>
        <v>#VALUE!</v>
      </c>
      <c r="EE137" s="100" t="e">
        <f>'Delivery Calculation'!AL161+"AM:!'La"</f>
        <v>#VALUE!</v>
      </c>
      <c r="EF137" s="100" t="e">
        <f>'Delivery Calculation'!AM161+"AM:!'Lb"</f>
        <v>#VALUE!</v>
      </c>
      <c r="EG137" s="100" t="e">
        <f>'Delivery Calculation'!AN161+"AM:!'Lc"</f>
        <v>#VALUE!</v>
      </c>
      <c r="EH137" s="100" t="e">
        <f>'Delivery Calculation'!AO161+"AM:!'Ld"</f>
        <v>#VALUE!</v>
      </c>
      <c r="EI137" s="100" t="e">
        <f>'Delivery Calculation'!AP161+"AM:!'Le"</f>
        <v>#VALUE!</v>
      </c>
      <c r="EJ137" s="100" t="e">
        <f>'Delivery Calculation'!AQ161+"AM:!'Lf"</f>
        <v>#VALUE!</v>
      </c>
      <c r="EK137" s="100" t="e">
        <f>'Delivery Calculation'!AR161+"AM:!'Lg"</f>
        <v>#VALUE!</v>
      </c>
      <c r="EL137" s="100" t="e">
        <f>'Delivery Calculation'!AS161+"AM:!'Lh"</f>
        <v>#VALUE!</v>
      </c>
      <c r="EM137" s="100" t="e">
        <f>'Delivery Calculation'!AT161+"AM:!'Li"</f>
        <v>#VALUE!</v>
      </c>
      <c r="EN137" s="100" t="e">
        <f>'Delivery Calculation'!AU161+"AM:!'Lj"</f>
        <v>#VALUE!</v>
      </c>
      <c r="EO137" s="100" t="e">
        <f>'Delivery Calculation'!AV161+"AM:!'Lk"</f>
        <v>#VALUE!</v>
      </c>
      <c r="EP137" s="100" t="e">
        <f>'Delivery Calculation'!AW161+"AM:!'Ll"</f>
        <v>#VALUE!</v>
      </c>
      <c r="EQ137" s="100" t="e">
        <f>'Delivery Calculation'!AX161+"AM:!'Lm"</f>
        <v>#VALUE!</v>
      </c>
      <c r="ER137" t="e">
        <f>'Delivery Calculation'!AY161+"AM:!'Ln"</f>
        <v>#VALUE!</v>
      </c>
      <c r="ES137" t="e">
        <f>'Delivery Calculation'!A162+"AM:!'Lo"</f>
        <v>#VALUE!</v>
      </c>
      <c r="ET137" t="e">
        <f>'Delivery Calculation'!B162+"AM:!'Lp"</f>
        <v>#VALUE!</v>
      </c>
      <c r="EU137" t="e">
        <f>'Delivery Calculation'!C162+"AM:!'Lq"</f>
        <v>#VALUE!</v>
      </c>
      <c r="EV137" t="e">
        <f>'Delivery Calculation'!D162+"AM:!'Lr"</f>
        <v>#VALUE!</v>
      </c>
      <c r="EW137" t="e">
        <f>'Delivery Calculation'!E162+"AM:!'Ls"</f>
        <v>#VALUE!</v>
      </c>
      <c r="EX137" s="98" t="e">
        <f>'Delivery Calculation'!F162+"AM:!'Lt"</f>
        <v>#VALUE!</v>
      </c>
      <c r="EY137" s="98" t="e">
        <f>'Delivery Calculation'!G162+"AM:!'Lu"</f>
        <v>#VALUE!</v>
      </c>
      <c r="EZ137" s="98" t="e">
        <f>'Delivery Calculation'!H162+"AM:!'Lv"</f>
        <v>#VALUE!</v>
      </c>
      <c r="FA137" s="100" t="e">
        <f>'Delivery Calculation'!I162+"AM:!'Lw"</f>
        <v>#VALUE!</v>
      </c>
      <c r="FB137" s="100" t="e">
        <f>'Delivery Calculation'!J162+"AM:!'Lx"</f>
        <v>#VALUE!</v>
      </c>
      <c r="FC137" s="100" t="e">
        <f>'Delivery Calculation'!K162+"AM:!'Ly"</f>
        <v>#VALUE!</v>
      </c>
      <c r="FD137" s="100" t="e">
        <f>'Delivery Calculation'!L162+"AM:!'Lz"</f>
        <v>#VALUE!</v>
      </c>
      <c r="FE137" s="100" t="e">
        <f>'Delivery Calculation'!M162+"AM:!'L{"</f>
        <v>#VALUE!</v>
      </c>
      <c r="FF137" s="100" t="e">
        <f>'Delivery Calculation'!N162+"AM:!'L|"</f>
        <v>#VALUE!</v>
      </c>
      <c r="FG137" s="100" t="e">
        <f>'Delivery Calculation'!O162+"AM:!'L}"</f>
        <v>#VALUE!</v>
      </c>
      <c r="FH137" s="100" t="e">
        <f>'Delivery Calculation'!P162+"AM:!'L~"</f>
        <v>#VALUE!</v>
      </c>
      <c r="FI137" s="100" t="e">
        <f>'Delivery Calculation'!Q162+"AM:!'M#"</f>
        <v>#VALUE!</v>
      </c>
      <c r="FJ137" s="100" t="e">
        <f>'Delivery Calculation'!R162+"AM:!'M$"</f>
        <v>#VALUE!</v>
      </c>
      <c r="FK137" s="100" t="e">
        <f>'Delivery Calculation'!S162+"AM:!'M%"</f>
        <v>#VALUE!</v>
      </c>
      <c r="FL137" s="100" t="e">
        <f>'Delivery Calculation'!T162+"AM:!'M&amp;"</f>
        <v>#VALUE!</v>
      </c>
      <c r="FM137" s="100" t="e">
        <f>'Delivery Calculation'!U162+"AM:!'M'"</f>
        <v>#VALUE!</v>
      </c>
      <c r="FN137" s="100" t="e">
        <f>'Delivery Calculation'!V162+"AM:!'M("</f>
        <v>#VALUE!</v>
      </c>
      <c r="FO137" s="100" t="e">
        <f>'Delivery Calculation'!W162+"AM:!'M)"</f>
        <v>#VALUE!</v>
      </c>
      <c r="FP137" s="100" t="e">
        <f>'Delivery Calculation'!X162+"AM:!'M."</f>
        <v>#VALUE!</v>
      </c>
      <c r="FQ137" s="100" t="e">
        <f>'Delivery Calculation'!Y162+"AM:!'M/"</f>
        <v>#VALUE!</v>
      </c>
      <c r="FR137" s="100" t="e">
        <f>'Delivery Calculation'!Z162+"AM:!'M0"</f>
        <v>#VALUE!</v>
      </c>
      <c r="FS137" s="100" t="e">
        <f>'Delivery Calculation'!AA162+"AM:!'M1"</f>
        <v>#VALUE!</v>
      </c>
      <c r="FT137" s="100" t="e">
        <f>'Delivery Calculation'!AB162+"AM:!'M2"</f>
        <v>#VALUE!</v>
      </c>
      <c r="FU137" s="100" t="e">
        <f>'Delivery Calculation'!AC162+"AM:!'M3"</f>
        <v>#VALUE!</v>
      </c>
      <c r="FV137" s="100" t="e">
        <f>'Delivery Calculation'!AD162+"AM:!'M4"</f>
        <v>#VALUE!</v>
      </c>
      <c r="FW137" s="100" t="e">
        <f>'Delivery Calculation'!AE162+"AM:!'M5"</f>
        <v>#VALUE!</v>
      </c>
      <c r="FX137" s="100" t="e">
        <f>'Delivery Calculation'!AF162+"AM:!'M6"</f>
        <v>#VALUE!</v>
      </c>
      <c r="FY137" s="100" t="e">
        <f>'Delivery Calculation'!AG162+"AM:!'M7"</f>
        <v>#VALUE!</v>
      </c>
      <c r="FZ137" s="100" t="e">
        <f>'Delivery Calculation'!AH162+"AM:!'M8"</f>
        <v>#VALUE!</v>
      </c>
      <c r="GA137" s="100" t="e">
        <f>'Delivery Calculation'!AI162+"AM:!'M9"</f>
        <v>#VALUE!</v>
      </c>
      <c r="GB137" s="100" t="e">
        <f>'Delivery Calculation'!AJ162+"AM:!'M:"</f>
        <v>#VALUE!</v>
      </c>
      <c r="GC137" s="100" t="e">
        <f>'Delivery Calculation'!AK162+"AM:!'M;"</f>
        <v>#VALUE!</v>
      </c>
      <c r="GD137" s="100" t="e">
        <f>'Delivery Calculation'!AL162+"AM:!'M&lt;"</f>
        <v>#VALUE!</v>
      </c>
      <c r="GE137" s="100" t="e">
        <f>'Delivery Calculation'!AM162+"AM:!'M="</f>
        <v>#VALUE!</v>
      </c>
      <c r="GF137" s="100" t="e">
        <f>'Delivery Calculation'!AN162+"AM:!'M&gt;"</f>
        <v>#VALUE!</v>
      </c>
      <c r="GG137" s="100" t="e">
        <f>'Delivery Calculation'!AO162+"AM:!'M?"</f>
        <v>#VALUE!</v>
      </c>
      <c r="GH137" s="100" t="e">
        <f>'Delivery Calculation'!AP162+"AM:!'M@"</f>
        <v>#VALUE!</v>
      </c>
      <c r="GI137" s="100" t="e">
        <f>'Delivery Calculation'!AQ162+"AM:!'MA"</f>
        <v>#VALUE!</v>
      </c>
      <c r="GJ137" s="100" t="e">
        <f>'Delivery Calculation'!AR162+"AM:!'MB"</f>
        <v>#VALUE!</v>
      </c>
      <c r="GK137" s="100" t="e">
        <f>'Delivery Calculation'!AS162+"AM:!'MC"</f>
        <v>#VALUE!</v>
      </c>
      <c r="GL137" s="100" t="e">
        <f>'Delivery Calculation'!AT162+"AM:!'MD"</f>
        <v>#VALUE!</v>
      </c>
      <c r="GM137" s="100" t="e">
        <f>'Delivery Calculation'!AU162+"AM:!'ME"</f>
        <v>#VALUE!</v>
      </c>
      <c r="GN137" s="100" t="e">
        <f>'Delivery Calculation'!AV162+"AM:!'MF"</f>
        <v>#VALUE!</v>
      </c>
      <c r="GO137" s="100" t="e">
        <f>'Delivery Calculation'!AW162+"AM:!'MG"</f>
        <v>#VALUE!</v>
      </c>
      <c r="GP137" s="100" t="e">
        <f>'Delivery Calculation'!AX162+"AM:!'MH"</f>
        <v>#VALUE!</v>
      </c>
      <c r="GQ137" t="e">
        <f>'Delivery Calculation'!AY162+"AM:!'MI"</f>
        <v>#VALUE!</v>
      </c>
      <c r="GR137" t="e">
        <f>'Delivery Calculation'!A163+"AM:!'MJ"</f>
        <v>#VALUE!</v>
      </c>
      <c r="GS137" t="e">
        <f>'Delivery Calculation'!B163+"AM:!'MK"</f>
        <v>#VALUE!</v>
      </c>
      <c r="GT137" t="e">
        <f>'Delivery Calculation'!C163+"AM:!'ML"</f>
        <v>#VALUE!</v>
      </c>
      <c r="GU137" t="e">
        <f>'Delivery Calculation'!D163+"AM:!'MM"</f>
        <v>#VALUE!</v>
      </c>
      <c r="GV137" t="e">
        <f>'Delivery Calculation'!E163+"AM:!'MN"</f>
        <v>#VALUE!</v>
      </c>
      <c r="GW137" s="98" t="e">
        <f>'Delivery Calculation'!F163+"AM:!'MO"</f>
        <v>#VALUE!</v>
      </c>
      <c r="GX137" s="98" t="e">
        <f>'Delivery Calculation'!G163+"AM:!'MP"</f>
        <v>#VALUE!</v>
      </c>
      <c r="GY137" s="98" t="e">
        <f>'Delivery Calculation'!H163+"AM:!'MQ"</f>
        <v>#VALUE!</v>
      </c>
      <c r="GZ137" s="100" t="e">
        <f>'Delivery Calculation'!I163+"AM:!'MR"</f>
        <v>#VALUE!</v>
      </c>
      <c r="HA137" s="100" t="e">
        <f>'Delivery Calculation'!J163+"AM:!'MS"</f>
        <v>#VALUE!</v>
      </c>
      <c r="HB137" s="100" t="e">
        <f>'Delivery Calculation'!K163+"AM:!'MT"</f>
        <v>#VALUE!</v>
      </c>
      <c r="HC137" s="100" t="e">
        <f>'Delivery Calculation'!L163+"AM:!'MU"</f>
        <v>#VALUE!</v>
      </c>
      <c r="HD137" s="100" t="e">
        <f>'Delivery Calculation'!M163+"AM:!'MV"</f>
        <v>#VALUE!</v>
      </c>
      <c r="HE137" s="100" t="e">
        <f>'Delivery Calculation'!N163+"AM:!'MW"</f>
        <v>#VALUE!</v>
      </c>
      <c r="HF137" s="100" t="e">
        <f>'Delivery Calculation'!O163+"AM:!'MX"</f>
        <v>#VALUE!</v>
      </c>
      <c r="HG137" s="100" t="e">
        <f>'Delivery Calculation'!P163+"AM:!'MY"</f>
        <v>#VALUE!</v>
      </c>
      <c r="HH137" s="100" t="e">
        <f>'Delivery Calculation'!Q163+"AM:!'MZ"</f>
        <v>#VALUE!</v>
      </c>
      <c r="HI137" s="100" t="e">
        <f>'Delivery Calculation'!R163+"AM:!'M["</f>
        <v>#VALUE!</v>
      </c>
      <c r="HJ137" s="100" t="e">
        <f>'Delivery Calculation'!S163+"AM:!'M\"</f>
        <v>#VALUE!</v>
      </c>
      <c r="HK137" s="100" t="e">
        <f>'Delivery Calculation'!T163+"AM:!'M]"</f>
        <v>#VALUE!</v>
      </c>
      <c r="HL137" s="100" t="e">
        <f>'Delivery Calculation'!U163+"AM:!'M^"</f>
        <v>#VALUE!</v>
      </c>
      <c r="HM137" s="100" t="e">
        <f>'Delivery Calculation'!V163+"AM:!'M_"</f>
        <v>#VALUE!</v>
      </c>
      <c r="HN137" s="100" t="e">
        <f>'Delivery Calculation'!W163+"AM:!'M`"</f>
        <v>#VALUE!</v>
      </c>
      <c r="HO137" s="100" t="e">
        <f>'Delivery Calculation'!X163+"AM:!'Ma"</f>
        <v>#VALUE!</v>
      </c>
      <c r="HP137" s="100" t="e">
        <f>'Delivery Calculation'!Y163+"AM:!'Mb"</f>
        <v>#VALUE!</v>
      </c>
      <c r="HQ137" s="100" t="e">
        <f>'Delivery Calculation'!Z163+"AM:!'Mc"</f>
        <v>#VALUE!</v>
      </c>
      <c r="HR137" s="100" t="e">
        <f>'Delivery Calculation'!AA163+"AM:!'Md"</f>
        <v>#VALUE!</v>
      </c>
      <c r="HS137" s="100" t="e">
        <f>'Delivery Calculation'!AB163+"AM:!'Me"</f>
        <v>#VALUE!</v>
      </c>
      <c r="HT137" s="100" t="e">
        <f>'Delivery Calculation'!AC163+"AM:!'Mf"</f>
        <v>#VALUE!</v>
      </c>
      <c r="HU137" s="100" t="e">
        <f>'Delivery Calculation'!AD163+"AM:!'Mg"</f>
        <v>#VALUE!</v>
      </c>
      <c r="HV137" s="100" t="e">
        <f>'Delivery Calculation'!AE163+"AM:!'Mh"</f>
        <v>#VALUE!</v>
      </c>
      <c r="HW137" s="100" t="e">
        <f>'Delivery Calculation'!AF163+"AM:!'Mi"</f>
        <v>#VALUE!</v>
      </c>
      <c r="HX137" s="100" t="e">
        <f>'Delivery Calculation'!AG163+"AM:!'Mj"</f>
        <v>#VALUE!</v>
      </c>
      <c r="HY137" s="100" t="e">
        <f>'Delivery Calculation'!AH163+"AM:!'Mk"</f>
        <v>#VALUE!</v>
      </c>
      <c r="HZ137" s="100" t="e">
        <f>'Delivery Calculation'!AI163+"AM:!'Ml"</f>
        <v>#VALUE!</v>
      </c>
      <c r="IA137" s="100" t="e">
        <f>'Delivery Calculation'!AJ163+"AM:!'Mm"</f>
        <v>#VALUE!</v>
      </c>
      <c r="IB137" s="100" t="e">
        <f>'Delivery Calculation'!AK163+"AM:!'Mn"</f>
        <v>#VALUE!</v>
      </c>
      <c r="IC137" s="100" t="e">
        <f>'Delivery Calculation'!AL163+"AM:!'Mo"</f>
        <v>#VALUE!</v>
      </c>
      <c r="ID137" s="100" t="e">
        <f>'Delivery Calculation'!AM163+"AM:!'Mp"</f>
        <v>#VALUE!</v>
      </c>
      <c r="IE137" s="100" t="e">
        <f>'Delivery Calculation'!AN163+"AM:!'Mq"</f>
        <v>#VALUE!</v>
      </c>
      <c r="IF137" s="100" t="e">
        <f>'Delivery Calculation'!AO163+"AM:!'Mr"</f>
        <v>#VALUE!</v>
      </c>
      <c r="IG137" s="100" t="e">
        <f>'Delivery Calculation'!AP163+"AM:!'Ms"</f>
        <v>#VALUE!</v>
      </c>
      <c r="IH137" s="100" t="e">
        <f>'Delivery Calculation'!AQ163+"AM:!'Mt"</f>
        <v>#VALUE!</v>
      </c>
      <c r="II137" s="100" t="e">
        <f>'Delivery Calculation'!AR163+"AM:!'Mu"</f>
        <v>#VALUE!</v>
      </c>
      <c r="IJ137" s="100" t="e">
        <f>'Delivery Calculation'!AS163+"AM:!'Mv"</f>
        <v>#VALUE!</v>
      </c>
      <c r="IK137" s="100" t="e">
        <f>'Delivery Calculation'!AT163+"AM:!'Mw"</f>
        <v>#VALUE!</v>
      </c>
      <c r="IL137" s="100" t="e">
        <f>'Delivery Calculation'!AU163+"AM:!'Mx"</f>
        <v>#VALUE!</v>
      </c>
      <c r="IM137" s="100" t="e">
        <f>'Delivery Calculation'!AV163+"AM:!'My"</f>
        <v>#VALUE!</v>
      </c>
      <c r="IN137" s="100" t="e">
        <f>'Delivery Calculation'!AW163+"AM:!'Mz"</f>
        <v>#VALUE!</v>
      </c>
      <c r="IO137" s="100" t="e">
        <f>'Delivery Calculation'!AX163+"AM:!'M{"</f>
        <v>#VALUE!</v>
      </c>
      <c r="IP137" t="e">
        <f>'Delivery Calculation'!AY163+"AM:!'M|"</f>
        <v>#VALUE!</v>
      </c>
      <c r="IQ137" t="e">
        <f>'Delivery Calculation'!A164+"AM:!'M}"</f>
        <v>#VALUE!</v>
      </c>
      <c r="IR137" t="e">
        <f>'Delivery Calculation'!B164+"AM:!'M~"</f>
        <v>#VALUE!</v>
      </c>
      <c r="IS137" t="e">
        <f>'Delivery Calculation'!C164+"AM:!'N#"</f>
        <v>#VALUE!</v>
      </c>
      <c r="IT137" t="e">
        <f>'Delivery Calculation'!D164+"AM:!'N$"</f>
        <v>#VALUE!</v>
      </c>
      <c r="IU137" t="e">
        <f>'Delivery Calculation'!E164+"AM:!'N%"</f>
        <v>#VALUE!</v>
      </c>
      <c r="IV137" s="98" t="e">
        <f>'Delivery Calculation'!F164+"AM:!'N&amp;"</f>
        <v>#VALUE!</v>
      </c>
    </row>
    <row r="138" spans="6:256">
      <c r="F138" s="98" t="e">
        <f>'Delivery Calculation'!G164+"AM:!'N'"</f>
        <v>#VALUE!</v>
      </c>
      <c r="G138" s="98" t="e">
        <f>'Delivery Calculation'!H164+"AM:!'N("</f>
        <v>#VALUE!</v>
      </c>
      <c r="H138" s="100" t="e">
        <f>'Delivery Calculation'!I164+"AM:!'N)"</f>
        <v>#VALUE!</v>
      </c>
      <c r="I138" s="100" t="e">
        <f>'Delivery Calculation'!J164+"AM:!'N."</f>
        <v>#VALUE!</v>
      </c>
      <c r="J138" s="100" t="e">
        <f>'Delivery Calculation'!K164+"AM:!'N/"</f>
        <v>#VALUE!</v>
      </c>
      <c r="K138" s="100" t="e">
        <f>'Delivery Calculation'!L164+"AM:!'N0"</f>
        <v>#VALUE!</v>
      </c>
      <c r="L138" s="100" t="e">
        <f>'Delivery Calculation'!M164+"AM:!'N1"</f>
        <v>#VALUE!</v>
      </c>
      <c r="M138" s="100" t="e">
        <f>'Delivery Calculation'!N164+"AM:!'N2"</f>
        <v>#VALUE!</v>
      </c>
      <c r="N138" s="100" t="e">
        <f>'Delivery Calculation'!O164+"AM:!'N3"</f>
        <v>#VALUE!</v>
      </c>
      <c r="O138" s="100" t="e">
        <f>'Delivery Calculation'!P164+"AM:!'N4"</f>
        <v>#VALUE!</v>
      </c>
      <c r="P138" s="100" t="e">
        <f>'Delivery Calculation'!Q164+"AM:!'N5"</f>
        <v>#VALUE!</v>
      </c>
      <c r="Q138" s="100" t="e">
        <f>'Delivery Calculation'!R164+"AM:!'N6"</f>
        <v>#VALUE!</v>
      </c>
      <c r="R138" s="100" t="e">
        <f>'Delivery Calculation'!S164+"AM:!'N7"</f>
        <v>#VALUE!</v>
      </c>
      <c r="S138" s="100" t="e">
        <f>'Delivery Calculation'!T164+"AM:!'N8"</f>
        <v>#VALUE!</v>
      </c>
      <c r="T138" s="100" t="e">
        <f>'Delivery Calculation'!U164+"AM:!'N9"</f>
        <v>#VALUE!</v>
      </c>
      <c r="U138" s="100" t="e">
        <f>'Delivery Calculation'!V164+"AM:!'N:"</f>
        <v>#VALUE!</v>
      </c>
      <c r="V138" s="100" t="e">
        <f>'Delivery Calculation'!W164+"AM:!'N;"</f>
        <v>#VALUE!</v>
      </c>
      <c r="W138" s="100" t="e">
        <f>'Delivery Calculation'!X164+"AM:!'N&lt;"</f>
        <v>#VALUE!</v>
      </c>
      <c r="X138" s="100" t="e">
        <f>'Delivery Calculation'!Y164+"AM:!'N="</f>
        <v>#VALUE!</v>
      </c>
      <c r="Y138" s="100" t="e">
        <f>'Delivery Calculation'!Z164+"AM:!'N&gt;"</f>
        <v>#VALUE!</v>
      </c>
      <c r="Z138" s="100" t="e">
        <f>'Delivery Calculation'!AA164+"AM:!'N?"</f>
        <v>#VALUE!</v>
      </c>
      <c r="AA138" s="100" t="e">
        <f>'Delivery Calculation'!AB164+"AM:!'N@"</f>
        <v>#VALUE!</v>
      </c>
      <c r="AB138" s="100" t="e">
        <f>'Delivery Calculation'!AC164+"AM:!'NA"</f>
        <v>#VALUE!</v>
      </c>
      <c r="AC138" s="100" t="e">
        <f>'Delivery Calculation'!AD164+"AM:!'NB"</f>
        <v>#VALUE!</v>
      </c>
      <c r="AD138" s="100" t="e">
        <f>'Delivery Calculation'!AE164+"AM:!'NC"</f>
        <v>#VALUE!</v>
      </c>
      <c r="AE138" s="100" t="e">
        <f>'Delivery Calculation'!AF164+"AM:!'ND"</f>
        <v>#VALUE!</v>
      </c>
      <c r="AF138" s="100" t="e">
        <f>'Delivery Calculation'!AG164+"AM:!'NE"</f>
        <v>#VALUE!</v>
      </c>
      <c r="AG138" s="100" t="e">
        <f>'Delivery Calculation'!AH164+"AM:!'NF"</f>
        <v>#VALUE!</v>
      </c>
      <c r="AH138" s="100" t="e">
        <f>'Delivery Calculation'!AI164+"AM:!'NG"</f>
        <v>#VALUE!</v>
      </c>
      <c r="AI138" s="100" t="e">
        <f>'Delivery Calculation'!AJ164+"AM:!'NH"</f>
        <v>#VALUE!</v>
      </c>
      <c r="AJ138" s="100" t="e">
        <f>'Delivery Calculation'!AK164+"AM:!'NI"</f>
        <v>#VALUE!</v>
      </c>
      <c r="AK138" s="100" t="e">
        <f>'Delivery Calculation'!AL164+"AM:!'NJ"</f>
        <v>#VALUE!</v>
      </c>
      <c r="AL138" s="100" t="e">
        <f>'Delivery Calculation'!AM164+"AM:!'NK"</f>
        <v>#VALUE!</v>
      </c>
      <c r="AM138" s="100" t="e">
        <f>'Delivery Calculation'!AN164+"AM:!'NL"</f>
        <v>#VALUE!</v>
      </c>
      <c r="AN138" s="100" t="e">
        <f>'Delivery Calculation'!AO164+"AM:!'NM"</f>
        <v>#VALUE!</v>
      </c>
      <c r="AO138" s="100" t="e">
        <f>'Delivery Calculation'!AP164+"AM:!'NN"</f>
        <v>#VALUE!</v>
      </c>
      <c r="AP138" s="100" t="e">
        <f>'Delivery Calculation'!AQ164+"AM:!'NO"</f>
        <v>#VALUE!</v>
      </c>
      <c r="AQ138" s="100" t="e">
        <f>'Delivery Calculation'!AR164+"AM:!'NP"</f>
        <v>#VALUE!</v>
      </c>
      <c r="AR138" s="100" t="e">
        <f>'Delivery Calculation'!AS164+"AM:!'NQ"</f>
        <v>#VALUE!</v>
      </c>
      <c r="AS138" s="100" t="e">
        <f>'Delivery Calculation'!AT164+"AM:!'NR"</f>
        <v>#VALUE!</v>
      </c>
      <c r="AT138" s="100" t="e">
        <f>'Delivery Calculation'!AU164+"AM:!'NS"</f>
        <v>#VALUE!</v>
      </c>
      <c r="AU138" s="100" t="e">
        <f>'Delivery Calculation'!AV164+"AM:!'NT"</f>
        <v>#VALUE!</v>
      </c>
      <c r="AV138" s="100" t="e">
        <f>'Delivery Calculation'!AW164+"AM:!'NU"</f>
        <v>#VALUE!</v>
      </c>
      <c r="AW138" s="100" t="e">
        <f>'Delivery Calculation'!AX164+"AM:!'NV"</f>
        <v>#VALUE!</v>
      </c>
      <c r="AX138" t="e">
        <f>'Delivery Calculation'!AY164+"AM:!'NW"</f>
        <v>#VALUE!</v>
      </c>
      <c r="AY138" t="e">
        <f>'Delivery Calculation'!A165+"AM:!'NX"</f>
        <v>#VALUE!</v>
      </c>
      <c r="AZ138" t="e">
        <f>'Delivery Calculation'!B165+"AM:!'NY"</f>
        <v>#VALUE!</v>
      </c>
      <c r="BA138" t="e">
        <f>'Delivery Calculation'!C165+"AM:!'NZ"</f>
        <v>#VALUE!</v>
      </c>
      <c r="BB138" t="e">
        <f>'Delivery Calculation'!D165+"AM:!'N["</f>
        <v>#VALUE!</v>
      </c>
      <c r="BC138" t="e">
        <f>'Delivery Calculation'!E165+"AM:!'N\"</f>
        <v>#VALUE!</v>
      </c>
      <c r="BD138" s="98" t="e">
        <f>'Delivery Calculation'!F165+"AM:!'N]"</f>
        <v>#VALUE!</v>
      </c>
      <c r="BE138" s="98" t="e">
        <f>'Delivery Calculation'!G165+"AM:!'N^"</f>
        <v>#VALUE!</v>
      </c>
      <c r="BF138" s="98" t="e">
        <f>'Delivery Calculation'!H165+"AM:!'N_"</f>
        <v>#VALUE!</v>
      </c>
      <c r="BG138" s="100" t="e">
        <f>'Delivery Calculation'!I165+"AM:!'N`"</f>
        <v>#VALUE!</v>
      </c>
      <c r="BH138" s="100" t="e">
        <f>'Delivery Calculation'!J165+"AM:!'Na"</f>
        <v>#VALUE!</v>
      </c>
      <c r="BI138" s="100" t="e">
        <f>'Delivery Calculation'!K165+"AM:!'Nb"</f>
        <v>#VALUE!</v>
      </c>
      <c r="BJ138" s="100" t="e">
        <f>'Delivery Calculation'!L165+"AM:!'Nc"</f>
        <v>#VALUE!</v>
      </c>
      <c r="BK138" s="100" t="e">
        <f>'Delivery Calculation'!M165+"AM:!'Nd"</f>
        <v>#VALUE!</v>
      </c>
      <c r="BL138" s="100" t="e">
        <f>'Delivery Calculation'!N165+"AM:!'Ne"</f>
        <v>#VALUE!</v>
      </c>
      <c r="BM138" s="100" t="e">
        <f>'Delivery Calculation'!O165+"AM:!'Nf"</f>
        <v>#VALUE!</v>
      </c>
      <c r="BN138" s="100" t="e">
        <f>'Delivery Calculation'!P165+"AM:!'Ng"</f>
        <v>#VALUE!</v>
      </c>
      <c r="BO138" s="100" t="e">
        <f>'Delivery Calculation'!Q165+"AM:!'Nh"</f>
        <v>#VALUE!</v>
      </c>
      <c r="BP138" s="100" t="e">
        <f>'Delivery Calculation'!R165+"AM:!'Ni"</f>
        <v>#VALUE!</v>
      </c>
      <c r="BQ138" s="100" t="e">
        <f>'Delivery Calculation'!S165+"AM:!'Nj"</f>
        <v>#VALUE!</v>
      </c>
      <c r="BR138" s="100" t="e">
        <f>'Delivery Calculation'!T165+"AM:!'Nk"</f>
        <v>#VALUE!</v>
      </c>
      <c r="BS138" s="100" t="e">
        <f>'Delivery Calculation'!U165+"AM:!'Nl"</f>
        <v>#VALUE!</v>
      </c>
      <c r="BT138" s="100" t="e">
        <f>'Delivery Calculation'!V165+"AM:!'Nm"</f>
        <v>#VALUE!</v>
      </c>
      <c r="BU138" s="100" t="e">
        <f>'Delivery Calculation'!W165+"AM:!'Nn"</f>
        <v>#VALUE!</v>
      </c>
      <c r="BV138" s="100" t="e">
        <f>'Delivery Calculation'!X165+"AM:!'No"</f>
        <v>#VALUE!</v>
      </c>
      <c r="BW138" s="100" t="e">
        <f>'Delivery Calculation'!Y165+"AM:!'Np"</f>
        <v>#VALUE!</v>
      </c>
      <c r="BX138" s="100" t="e">
        <f>'Delivery Calculation'!Z165+"AM:!'Nq"</f>
        <v>#VALUE!</v>
      </c>
      <c r="BY138" s="100" t="e">
        <f>'Delivery Calculation'!AA165+"AM:!'Nr"</f>
        <v>#VALUE!</v>
      </c>
      <c r="BZ138" s="100" t="e">
        <f>'Delivery Calculation'!AB165+"AM:!'Ns"</f>
        <v>#VALUE!</v>
      </c>
      <c r="CA138" s="100" t="e">
        <f>'Delivery Calculation'!AC165+"AM:!'Nt"</f>
        <v>#VALUE!</v>
      </c>
      <c r="CB138" s="100" t="e">
        <f>'Delivery Calculation'!AD165+"AM:!'Nu"</f>
        <v>#VALUE!</v>
      </c>
      <c r="CC138" s="100" t="e">
        <f>'Delivery Calculation'!AE165+"AM:!'Nv"</f>
        <v>#VALUE!</v>
      </c>
      <c r="CD138" s="100" t="e">
        <f>'Delivery Calculation'!AF165+"AM:!'Nw"</f>
        <v>#VALUE!</v>
      </c>
      <c r="CE138" s="100" t="e">
        <f>'Delivery Calculation'!AG165+"AM:!'Nx"</f>
        <v>#VALUE!</v>
      </c>
      <c r="CF138" s="100" t="e">
        <f>'Delivery Calculation'!AH165+"AM:!'Ny"</f>
        <v>#VALUE!</v>
      </c>
      <c r="CG138" s="100" t="e">
        <f>'Delivery Calculation'!AI165+"AM:!'Nz"</f>
        <v>#VALUE!</v>
      </c>
      <c r="CH138" s="100" t="e">
        <f>'Delivery Calculation'!AJ165+"AM:!'N{"</f>
        <v>#VALUE!</v>
      </c>
      <c r="CI138" s="100" t="e">
        <f>'Delivery Calculation'!AK165+"AM:!'N|"</f>
        <v>#VALUE!</v>
      </c>
      <c r="CJ138" s="100" t="e">
        <f>'Delivery Calculation'!AL165+"AM:!'N}"</f>
        <v>#VALUE!</v>
      </c>
      <c r="CK138" s="100" t="e">
        <f>'Delivery Calculation'!AM165+"AM:!'N~"</f>
        <v>#VALUE!</v>
      </c>
      <c r="CL138" s="100" t="e">
        <f>'Delivery Calculation'!AN165+"AM:!'O#"</f>
        <v>#VALUE!</v>
      </c>
      <c r="CM138" s="100" t="e">
        <f>'Delivery Calculation'!AO165+"AM:!'O$"</f>
        <v>#VALUE!</v>
      </c>
      <c r="CN138" s="100" t="e">
        <f>'Delivery Calculation'!AP165+"AM:!'O%"</f>
        <v>#VALUE!</v>
      </c>
      <c r="CO138" s="100" t="e">
        <f>'Delivery Calculation'!AQ165+"AM:!'O&amp;"</f>
        <v>#VALUE!</v>
      </c>
      <c r="CP138" s="100" t="e">
        <f>'Delivery Calculation'!AR165+"AM:!'O'"</f>
        <v>#VALUE!</v>
      </c>
      <c r="CQ138" s="100" t="e">
        <f>'Delivery Calculation'!AS165+"AM:!'O("</f>
        <v>#VALUE!</v>
      </c>
      <c r="CR138" s="100" t="e">
        <f>'Delivery Calculation'!AT165+"AM:!'O)"</f>
        <v>#VALUE!</v>
      </c>
      <c r="CS138" s="100" t="e">
        <f>'Delivery Calculation'!AU165+"AM:!'O."</f>
        <v>#VALUE!</v>
      </c>
      <c r="CT138" s="100" t="e">
        <f>'Delivery Calculation'!AV165+"AM:!'O/"</f>
        <v>#VALUE!</v>
      </c>
      <c r="CU138" s="100" t="e">
        <f>'Delivery Calculation'!AW165+"AM:!'O0"</f>
        <v>#VALUE!</v>
      </c>
      <c r="CV138" s="100" t="e">
        <f>'Delivery Calculation'!AX165+"AM:!'O1"</f>
        <v>#VALUE!</v>
      </c>
      <c r="CW138" t="e">
        <f>'Delivery Calculation'!AY165+"AM:!'O2"</f>
        <v>#VALUE!</v>
      </c>
      <c r="CX138" t="e">
        <f>'Delivery Calculation'!A166+"AM:!'O3"</f>
        <v>#VALUE!</v>
      </c>
      <c r="CY138" t="e">
        <f>'Delivery Calculation'!B166+"AM:!'O4"</f>
        <v>#VALUE!</v>
      </c>
      <c r="CZ138" t="e">
        <f>'Delivery Calculation'!C166+"AM:!'O5"</f>
        <v>#VALUE!</v>
      </c>
      <c r="DA138" t="e">
        <f>'Delivery Calculation'!D166+"AM:!'O6"</f>
        <v>#VALUE!</v>
      </c>
      <c r="DB138" t="e">
        <f>'Delivery Calculation'!E166+"AM:!'O7"</f>
        <v>#VALUE!</v>
      </c>
      <c r="DC138" s="98" t="e">
        <f>'Delivery Calculation'!F166+"AM:!'O8"</f>
        <v>#VALUE!</v>
      </c>
      <c r="DD138" s="98" t="e">
        <f>'Delivery Calculation'!G166+"AM:!'O9"</f>
        <v>#VALUE!</v>
      </c>
      <c r="DE138" s="98" t="e">
        <f>'Delivery Calculation'!H166+"AM:!'O:"</f>
        <v>#VALUE!</v>
      </c>
      <c r="DF138" s="100" t="e">
        <f>'Delivery Calculation'!I166+"AM:!'O;"</f>
        <v>#VALUE!</v>
      </c>
      <c r="DG138" s="100" t="e">
        <f>'Delivery Calculation'!J166+"AM:!'O&lt;"</f>
        <v>#VALUE!</v>
      </c>
      <c r="DH138" s="100" t="e">
        <f>'Delivery Calculation'!K166+"AM:!'O="</f>
        <v>#VALUE!</v>
      </c>
      <c r="DI138" s="100" t="e">
        <f>'Delivery Calculation'!L166+"AM:!'O&gt;"</f>
        <v>#VALUE!</v>
      </c>
      <c r="DJ138" s="100" t="e">
        <f>'Delivery Calculation'!M166+"AM:!'O?"</f>
        <v>#VALUE!</v>
      </c>
      <c r="DK138" s="100" t="e">
        <f>'Delivery Calculation'!N166+"AM:!'O@"</f>
        <v>#VALUE!</v>
      </c>
      <c r="DL138" s="100" t="e">
        <f>'Delivery Calculation'!O166+"AM:!'OA"</f>
        <v>#VALUE!</v>
      </c>
      <c r="DM138" s="100" t="e">
        <f>'Delivery Calculation'!P166+"AM:!'OB"</f>
        <v>#VALUE!</v>
      </c>
      <c r="DN138" s="100" t="e">
        <f>'Delivery Calculation'!Q166+"AM:!'OC"</f>
        <v>#VALUE!</v>
      </c>
      <c r="DO138" s="100" t="e">
        <f>'Delivery Calculation'!R166+"AM:!'OD"</f>
        <v>#VALUE!</v>
      </c>
      <c r="DP138" s="100" t="e">
        <f>'Delivery Calculation'!S166+"AM:!'OE"</f>
        <v>#VALUE!</v>
      </c>
      <c r="DQ138" s="100" t="e">
        <f>'Delivery Calculation'!T166+"AM:!'OF"</f>
        <v>#VALUE!</v>
      </c>
      <c r="DR138" s="100" t="e">
        <f>'Delivery Calculation'!U166+"AM:!'OG"</f>
        <v>#VALUE!</v>
      </c>
      <c r="DS138" s="100" t="e">
        <f>'Delivery Calculation'!V166+"AM:!'OH"</f>
        <v>#VALUE!</v>
      </c>
      <c r="DT138" s="100" t="e">
        <f>'Delivery Calculation'!W166+"AM:!'OI"</f>
        <v>#VALUE!</v>
      </c>
      <c r="DU138" s="100" t="e">
        <f>'Delivery Calculation'!X166+"AM:!'OJ"</f>
        <v>#VALUE!</v>
      </c>
      <c r="DV138" s="100" t="e">
        <f>'Delivery Calculation'!Y166+"AM:!'OK"</f>
        <v>#VALUE!</v>
      </c>
      <c r="DW138" s="100" t="e">
        <f>'Delivery Calculation'!Z166+"AM:!'OL"</f>
        <v>#VALUE!</v>
      </c>
      <c r="DX138" s="100" t="e">
        <f>'Delivery Calculation'!AA166+"AM:!'OM"</f>
        <v>#VALUE!</v>
      </c>
      <c r="DY138" s="100" t="e">
        <f>'Delivery Calculation'!AB166+"AM:!'ON"</f>
        <v>#VALUE!</v>
      </c>
      <c r="DZ138" s="100" t="e">
        <f>'Delivery Calculation'!AC166+"AM:!'OO"</f>
        <v>#VALUE!</v>
      </c>
      <c r="EA138" s="100" t="e">
        <f>'Delivery Calculation'!AD166+"AM:!'OP"</f>
        <v>#VALUE!</v>
      </c>
      <c r="EB138" s="100" t="e">
        <f>'Delivery Calculation'!AE166+"AM:!'OQ"</f>
        <v>#VALUE!</v>
      </c>
      <c r="EC138" s="100" t="e">
        <f>'Delivery Calculation'!AF166+"AM:!'OR"</f>
        <v>#VALUE!</v>
      </c>
      <c r="ED138" s="100" t="e">
        <f>'Delivery Calculation'!AG166+"AM:!'OS"</f>
        <v>#VALUE!</v>
      </c>
      <c r="EE138" s="100" t="e">
        <f>'Delivery Calculation'!AH166+"AM:!'OT"</f>
        <v>#VALUE!</v>
      </c>
      <c r="EF138" s="100" t="e">
        <f>'Delivery Calculation'!AI166+"AM:!'OU"</f>
        <v>#VALUE!</v>
      </c>
      <c r="EG138" s="100" t="e">
        <f>'Delivery Calculation'!AJ166+"AM:!'OV"</f>
        <v>#VALUE!</v>
      </c>
      <c r="EH138" s="100" t="e">
        <f>'Delivery Calculation'!AK166+"AM:!'OW"</f>
        <v>#VALUE!</v>
      </c>
      <c r="EI138" s="100" t="e">
        <f>'Delivery Calculation'!AL166+"AM:!'OX"</f>
        <v>#VALUE!</v>
      </c>
      <c r="EJ138" s="100" t="e">
        <f>'Delivery Calculation'!AM166+"AM:!'OY"</f>
        <v>#VALUE!</v>
      </c>
      <c r="EK138" s="100" t="e">
        <f>'Delivery Calculation'!AN166+"AM:!'OZ"</f>
        <v>#VALUE!</v>
      </c>
      <c r="EL138" s="100" t="e">
        <f>'Delivery Calculation'!AO166+"AM:!'O["</f>
        <v>#VALUE!</v>
      </c>
      <c r="EM138" s="100" t="e">
        <f>'Delivery Calculation'!AP166+"AM:!'O\"</f>
        <v>#VALUE!</v>
      </c>
      <c r="EN138" s="100" t="e">
        <f>'Delivery Calculation'!AQ166+"AM:!'O]"</f>
        <v>#VALUE!</v>
      </c>
      <c r="EO138" s="100" t="e">
        <f>'Delivery Calculation'!AR166+"AM:!'O^"</f>
        <v>#VALUE!</v>
      </c>
      <c r="EP138" s="100" t="e">
        <f>'Delivery Calculation'!AS166+"AM:!'O_"</f>
        <v>#VALUE!</v>
      </c>
      <c r="EQ138" s="100" t="e">
        <f>'Delivery Calculation'!AT166+"AM:!'O`"</f>
        <v>#VALUE!</v>
      </c>
      <c r="ER138" s="100" t="e">
        <f>'Delivery Calculation'!AU166+"AM:!'Oa"</f>
        <v>#VALUE!</v>
      </c>
      <c r="ES138" s="100" t="e">
        <f>'Delivery Calculation'!AV166+"AM:!'Ob"</f>
        <v>#VALUE!</v>
      </c>
      <c r="ET138" s="100" t="e">
        <f>'Delivery Calculation'!AW166+"AM:!'Oc"</f>
        <v>#VALUE!</v>
      </c>
      <c r="EU138" s="100" t="e">
        <f>'Delivery Calculation'!AX166+"AM:!'Od"</f>
        <v>#VALUE!</v>
      </c>
      <c r="EV138" t="e">
        <f>'Delivery Calculation'!AY166+"AM:!'Oe"</f>
        <v>#VALUE!</v>
      </c>
      <c r="EW138" t="e">
        <f>'Delivery Calculation'!A167+"AM:!'Of"</f>
        <v>#VALUE!</v>
      </c>
      <c r="EX138" t="e">
        <f>'Delivery Calculation'!B167+"AM:!'Og"</f>
        <v>#VALUE!</v>
      </c>
      <c r="EY138" t="e">
        <f>'Delivery Calculation'!C167+"AM:!'Oh"</f>
        <v>#VALUE!</v>
      </c>
      <c r="EZ138" t="e">
        <f>'Delivery Calculation'!D167+"AM:!'Oi"</f>
        <v>#VALUE!</v>
      </c>
      <c r="FA138" t="e">
        <f>'Delivery Calculation'!E167+"AM:!'Oj"</f>
        <v>#VALUE!</v>
      </c>
      <c r="FB138" s="98" t="e">
        <f>'Delivery Calculation'!F167+"AM:!'Ok"</f>
        <v>#VALUE!</v>
      </c>
      <c r="FC138" s="98" t="e">
        <f>'Delivery Calculation'!G167+"AM:!'Ol"</f>
        <v>#VALUE!</v>
      </c>
      <c r="FD138" s="98" t="e">
        <f>'Delivery Calculation'!H167+"AM:!'Om"</f>
        <v>#VALUE!</v>
      </c>
      <c r="FE138" s="100" t="e">
        <f>'Delivery Calculation'!I167+"AM:!'On"</f>
        <v>#VALUE!</v>
      </c>
      <c r="FF138" s="100" t="e">
        <f>'Delivery Calculation'!J167+"AM:!'Oo"</f>
        <v>#VALUE!</v>
      </c>
      <c r="FG138" s="100" t="e">
        <f>'Delivery Calculation'!K167+"AM:!'Op"</f>
        <v>#VALUE!</v>
      </c>
      <c r="FH138" s="100" t="e">
        <f>'Delivery Calculation'!L167+"AM:!'Oq"</f>
        <v>#VALUE!</v>
      </c>
      <c r="FI138" s="100" t="e">
        <f>'Delivery Calculation'!M167+"AM:!'Or"</f>
        <v>#VALUE!</v>
      </c>
      <c r="FJ138" s="100" t="e">
        <f>'Delivery Calculation'!N167+"AM:!'Os"</f>
        <v>#VALUE!</v>
      </c>
      <c r="FK138" s="100" t="e">
        <f>'Delivery Calculation'!O167+"AM:!'Ot"</f>
        <v>#VALUE!</v>
      </c>
      <c r="FL138" s="100" t="e">
        <f>'Delivery Calculation'!P167+"AM:!'Ou"</f>
        <v>#VALUE!</v>
      </c>
      <c r="FM138" s="100" t="e">
        <f>'Delivery Calculation'!Q167+"AM:!'Ov"</f>
        <v>#VALUE!</v>
      </c>
      <c r="FN138" s="100" t="e">
        <f>'Delivery Calculation'!R167+"AM:!'Ow"</f>
        <v>#VALUE!</v>
      </c>
      <c r="FO138" s="100" t="e">
        <f>'Delivery Calculation'!S167+"AM:!'Ox"</f>
        <v>#VALUE!</v>
      </c>
      <c r="FP138" s="100" t="e">
        <f>'Delivery Calculation'!T167+"AM:!'Oy"</f>
        <v>#VALUE!</v>
      </c>
      <c r="FQ138" s="100" t="e">
        <f>'Delivery Calculation'!U167+"AM:!'Oz"</f>
        <v>#VALUE!</v>
      </c>
      <c r="FR138" s="100" t="e">
        <f>'Delivery Calculation'!V167+"AM:!'O{"</f>
        <v>#VALUE!</v>
      </c>
      <c r="FS138" s="100" t="e">
        <f>'Delivery Calculation'!W167+"AM:!'O|"</f>
        <v>#VALUE!</v>
      </c>
      <c r="FT138" s="100" t="e">
        <f>'Delivery Calculation'!X167+"AM:!'O}"</f>
        <v>#VALUE!</v>
      </c>
      <c r="FU138" s="100" t="e">
        <f>'Delivery Calculation'!Y167+"AM:!'O~"</f>
        <v>#VALUE!</v>
      </c>
      <c r="FV138" s="100" t="e">
        <f>'Delivery Calculation'!Z167+"AM:!'P#"</f>
        <v>#VALUE!</v>
      </c>
      <c r="FW138" s="100" t="e">
        <f>'Delivery Calculation'!AA167+"AM:!'P$"</f>
        <v>#VALUE!</v>
      </c>
      <c r="FX138" s="100" t="e">
        <f>'Delivery Calculation'!AB167+"AM:!'P%"</f>
        <v>#VALUE!</v>
      </c>
      <c r="FY138" s="100" t="e">
        <f>'Delivery Calculation'!AC167+"AM:!'P&amp;"</f>
        <v>#VALUE!</v>
      </c>
      <c r="FZ138" s="100" t="e">
        <f>'Delivery Calculation'!AD167+"AM:!'P'"</f>
        <v>#VALUE!</v>
      </c>
      <c r="GA138" s="100" t="e">
        <f>'Delivery Calculation'!AE167+"AM:!'P("</f>
        <v>#VALUE!</v>
      </c>
      <c r="GB138" s="100" t="e">
        <f>'Delivery Calculation'!AF167+"AM:!'P)"</f>
        <v>#VALUE!</v>
      </c>
      <c r="GC138" s="100" t="e">
        <f>'Delivery Calculation'!AG167+"AM:!'P."</f>
        <v>#VALUE!</v>
      </c>
      <c r="GD138" s="100" t="e">
        <f>'Delivery Calculation'!AH167+"AM:!'P/"</f>
        <v>#VALUE!</v>
      </c>
      <c r="GE138" s="100" t="e">
        <f>'Delivery Calculation'!AI167+"AM:!'P0"</f>
        <v>#VALUE!</v>
      </c>
      <c r="GF138" s="100" t="e">
        <f>'Delivery Calculation'!AJ167+"AM:!'P1"</f>
        <v>#VALUE!</v>
      </c>
      <c r="GG138" s="100" t="e">
        <f>'Delivery Calculation'!AK167+"AM:!'P2"</f>
        <v>#VALUE!</v>
      </c>
      <c r="GH138" s="100" t="e">
        <f>'Delivery Calculation'!AL167+"AM:!'P3"</f>
        <v>#VALUE!</v>
      </c>
      <c r="GI138" s="100" t="e">
        <f>'Delivery Calculation'!AM167+"AM:!'P4"</f>
        <v>#VALUE!</v>
      </c>
      <c r="GJ138" s="100" t="e">
        <f>'Delivery Calculation'!AN167+"AM:!'P5"</f>
        <v>#VALUE!</v>
      </c>
      <c r="GK138" s="100" t="e">
        <f>'Delivery Calculation'!AO167+"AM:!'P6"</f>
        <v>#VALUE!</v>
      </c>
      <c r="GL138" s="100" t="e">
        <f>'Delivery Calculation'!AP167+"AM:!'P7"</f>
        <v>#VALUE!</v>
      </c>
      <c r="GM138" s="100" t="e">
        <f>'Delivery Calculation'!AQ167+"AM:!'P8"</f>
        <v>#VALUE!</v>
      </c>
      <c r="GN138" s="100" t="e">
        <f>'Delivery Calculation'!AR167+"AM:!'P9"</f>
        <v>#VALUE!</v>
      </c>
      <c r="GO138" s="100" t="e">
        <f>'Delivery Calculation'!AS167+"AM:!'P:"</f>
        <v>#VALUE!</v>
      </c>
      <c r="GP138" s="100" t="e">
        <f>'Delivery Calculation'!AT167+"AM:!'P;"</f>
        <v>#VALUE!</v>
      </c>
      <c r="GQ138" s="100" t="e">
        <f>'Delivery Calculation'!AU167+"AM:!'P&lt;"</f>
        <v>#VALUE!</v>
      </c>
      <c r="GR138" s="100" t="e">
        <f>'Delivery Calculation'!AV167+"AM:!'P="</f>
        <v>#VALUE!</v>
      </c>
      <c r="GS138" s="100" t="e">
        <f>'Delivery Calculation'!AW167+"AM:!'P&gt;"</f>
        <v>#VALUE!</v>
      </c>
      <c r="GT138" s="100" t="e">
        <f>'Delivery Calculation'!AX167+"AM:!'P?"</f>
        <v>#VALUE!</v>
      </c>
      <c r="GU138" t="e">
        <f>'Delivery Calculation'!AY167+"AM:!'P@"</f>
        <v>#VALUE!</v>
      </c>
      <c r="GV138" t="e">
        <f>'Delivery Calculation'!A168+"AM:!'PA"</f>
        <v>#VALUE!</v>
      </c>
      <c r="GW138" t="e">
        <f>'Delivery Calculation'!B168+"AM:!'PB"</f>
        <v>#VALUE!</v>
      </c>
      <c r="GX138" t="e">
        <f>'Delivery Calculation'!C168+"AM:!'PC"</f>
        <v>#VALUE!</v>
      </c>
      <c r="GY138" t="e">
        <f>'Delivery Calculation'!D168+"AM:!'PD"</f>
        <v>#VALUE!</v>
      </c>
      <c r="GZ138" t="e">
        <f>'Delivery Calculation'!E168+"AM:!'PE"</f>
        <v>#VALUE!</v>
      </c>
      <c r="HA138" s="98" t="e">
        <f>'Delivery Calculation'!F168+"AM:!'PF"</f>
        <v>#VALUE!</v>
      </c>
      <c r="HB138" s="98" t="e">
        <f>'Delivery Calculation'!G168+"AM:!'PG"</f>
        <v>#VALUE!</v>
      </c>
      <c r="HC138" s="98" t="e">
        <f>'Delivery Calculation'!H168+"AM:!'PH"</f>
        <v>#VALUE!</v>
      </c>
      <c r="HD138" s="100" t="e">
        <f>'Delivery Calculation'!I168+"AM:!'PI"</f>
        <v>#VALUE!</v>
      </c>
      <c r="HE138" s="100" t="e">
        <f>'Delivery Calculation'!J168+"AM:!'PJ"</f>
        <v>#VALUE!</v>
      </c>
      <c r="HF138" s="100" t="e">
        <f>'Delivery Calculation'!K168+"AM:!'PK"</f>
        <v>#VALUE!</v>
      </c>
      <c r="HG138" s="100" t="e">
        <f>'Delivery Calculation'!L168+"AM:!'PL"</f>
        <v>#VALUE!</v>
      </c>
      <c r="HH138" s="100" t="e">
        <f>'Delivery Calculation'!M168+"AM:!'PM"</f>
        <v>#VALUE!</v>
      </c>
      <c r="HI138" s="100" t="e">
        <f>'Delivery Calculation'!N168+"AM:!'PN"</f>
        <v>#VALUE!</v>
      </c>
      <c r="HJ138" s="100" t="e">
        <f>'Delivery Calculation'!O168+"AM:!'PO"</f>
        <v>#VALUE!</v>
      </c>
      <c r="HK138" s="100" t="e">
        <f>'Delivery Calculation'!P168+"AM:!'PP"</f>
        <v>#VALUE!</v>
      </c>
      <c r="HL138" s="100" t="e">
        <f>'Delivery Calculation'!Q168+"AM:!'PQ"</f>
        <v>#VALUE!</v>
      </c>
      <c r="HM138" s="100" t="e">
        <f>'Delivery Calculation'!R168+"AM:!'PR"</f>
        <v>#VALUE!</v>
      </c>
      <c r="HN138" s="100" t="e">
        <f>'Delivery Calculation'!S168+"AM:!'PS"</f>
        <v>#VALUE!</v>
      </c>
      <c r="HO138" s="100" t="e">
        <f>'Delivery Calculation'!T168+"AM:!'PT"</f>
        <v>#VALUE!</v>
      </c>
      <c r="HP138" s="100" t="e">
        <f>'Delivery Calculation'!U168+"AM:!'PU"</f>
        <v>#VALUE!</v>
      </c>
      <c r="HQ138" s="100" t="e">
        <f>'Delivery Calculation'!V168+"AM:!'PV"</f>
        <v>#VALUE!</v>
      </c>
      <c r="HR138" s="100" t="e">
        <f>'Delivery Calculation'!W168+"AM:!'PW"</f>
        <v>#VALUE!</v>
      </c>
      <c r="HS138" s="100" t="e">
        <f>'Delivery Calculation'!X168+"AM:!'PX"</f>
        <v>#VALUE!</v>
      </c>
      <c r="HT138" s="100" t="e">
        <f>'Delivery Calculation'!Y168+"AM:!'PY"</f>
        <v>#VALUE!</v>
      </c>
      <c r="HU138" s="100" t="e">
        <f>'Delivery Calculation'!Z168+"AM:!'PZ"</f>
        <v>#VALUE!</v>
      </c>
      <c r="HV138" s="100" t="e">
        <f>'Delivery Calculation'!AA168+"AM:!'P["</f>
        <v>#VALUE!</v>
      </c>
      <c r="HW138" s="100" t="e">
        <f>'Delivery Calculation'!AB168+"AM:!'P\"</f>
        <v>#VALUE!</v>
      </c>
      <c r="HX138" s="100" t="e">
        <f>'Delivery Calculation'!AC168+"AM:!'P]"</f>
        <v>#VALUE!</v>
      </c>
      <c r="HY138" s="100" t="e">
        <f>'Delivery Calculation'!AD168+"AM:!'P^"</f>
        <v>#VALUE!</v>
      </c>
      <c r="HZ138" s="100" t="e">
        <f>'Delivery Calculation'!AE168+"AM:!'P_"</f>
        <v>#VALUE!</v>
      </c>
      <c r="IA138" s="100" t="e">
        <f>'Delivery Calculation'!AF168+"AM:!'P`"</f>
        <v>#VALUE!</v>
      </c>
      <c r="IB138" s="100" t="e">
        <f>'Delivery Calculation'!AG168+"AM:!'Pa"</f>
        <v>#VALUE!</v>
      </c>
      <c r="IC138" s="100" t="e">
        <f>'Delivery Calculation'!AH168+"AM:!'Pb"</f>
        <v>#VALUE!</v>
      </c>
      <c r="ID138" s="100" t="e">
        <f>'Delivery Calculation'!AI168+"AM:!'Pc"</f>
        <v>#VALUE!</v>
      </c>
      <c r="IE138" s="100" t="e">
        <f>'Delivery Calculation'!AJ168+"AM:!'Pd"</f>
        <v>#VALUE!</v>
      </c>
      <c r="IF138" s="100" t="e">
        <f>'Delivery Calculation'!AK168+"AM:!'Pe"</f>
        <v>#VALUE!</v>
      </c>
      <c r="IG138" s="100" t="e">
        <f>'Delivery Calculation'!AL168+"AM:!'Pf"</f>
        <v>#VALUE!</v>
      </c>
      <c r="IH138" s="100" t="e">
        <f>'Delivery Calculation'!AM168+"AM:!'Pg"</f>
        <v>#VALUE!</v>
      </c>
      <c r="II138" s="100" t="e">
        <f>'Delivery Calculation'!AN168+"AM:!'Ph"</f>
        <v>#VALUE!</v>
      </c>
      <c r="IJ138" s="100" t="e">
        <f>'Delivery Calculation'!AO168+"AM:!'Pi"</f>
        <v>#VALUE!</v>
      </c>
      <c r="IK138" s="100" t="e">
        <f>'Delivery Calculation'!AP168+"AM:!'Pj"</f>
        <v>#VALUE!</v>
      </c>
      <c r="IL138" s="100" t="e">
        <f>'Delivery Calculation'!AQ168+"AM:!'Pk"</f>
        <v>#VALUE!</v>
      </c>
      <c r="IM138" s="100" t="e">
        <f>'Delivery Calculation'!AR168+"AM:!'Pl"</f>
        <v>#VALUE!</v>
      </c>
      <c r="IN138" s="100" t="e">
        <f>'Delivery Calculation'!AS168+"AM:!'Pm"</f>
        <v>#VALUE!</v>
      </c>
      <c r="IO138" s="100" t="e">
        <f>'Delivery Calculation'!AT168+"AM:!'Pn"</f>
        <v>#VALUE!</v>
      </c>
      <c r="IP138" s="100" t="e">
        <f>'Delivery Calculation'!AU168+"AM:!'Po"</f>
        <v>#VALUE!</v>
      </c>
      <c r="IQ138" s="100" t="e">
        <f>'Delivery Calculation'!AV168+"AM:!'Pp"</f>
        <v>#VALUE!</v>
      </c>
      <c r="IR138" s="100" t="e">
        <f>'Delivery Calculation'!AW168+"AM:!'Pq"</f>
        <v>#VALUE!</v>
      </c>
      <c r="IS138" s="100" t="e">
        <f>'Delivery Calculation'!AX168+"AM:!'Pr"</f>
        <v>#VALUE!</v>
      </c>
      <c r="IT138" t="e">
        <f>'Delivery Calculation'!AY168+"AM:!'Ps"</f>
        <v>#VALUE!</v>
      </c>
      <c r="IU138" t="e">
        <f>'Delivery Calculation'!A169+"AM:!'Pt"</f>
        <v>#VALUE!</v>
      </c>
      <c r="IV138" t="e">
        <f>'Delivery Calculation'!B169+"AM:!'Pu"</f>
        <v>#VALUE!</v>
      </c>
    </row>
    <row r="139" spans="6:256">
      <c r="F139" t="e">
        <f>'Delivery Calculation'!C169+"AM:!'Pv"</f>
        <v>#VALUE!</v>
      </c>
      <c r="G139" t="e">
        <f>'Delivery Calculation'!D169+"AM:!'Pw"</f>
        <v>#VALUE!</v>
      </c>
      <c r="H139" t="e">
        <f>'Delivery Calculation'!E169+"AM:!'Px"</f>
        <v>#VALUE!</v>
      </c>
      <c r="I139" s="98" t="e">
        <f>'Delivery Calculation'!F169+"AM:!'Py"</f>
        <v>#VALUE!</v>
      </c>
      <c r="J139" s="98" t="e">
        <f>'Delivery Calculation'!G169+"AM:!'Pz"</f>
        <v>#VALUE!</v>
      </c>
      <c r="K139" s="98" t="e">
        <f>'Delivery Calculation'!H169+"AM:!'P{"</f>
        <v>#VALUE!</v>
      </c>
      <c r="L139" s="100" t="e">
        <f>'Delivery Calculation'!I169+"AM:!'P|"</f>
        <v>#VALUE!</v>
      </c>
      <c r="M139" s="100" t="e">
        <f>'Delivery Calculation'!J169+"AM:!'P}"</f>
        <v>#VALUE!</v>
      </c>
      <c r="N139" s="100" t="e">
        <f>'Delivery Calculation'!K169+"AM:!'P~"</f>
        <v>#VALUE!</v>
      </c>
      <c r="O139" s="100" t="e">
        <f>'Delivery Calculation'!L169+"AM:!'Q#"</f>
        <v>#VALUE!</v>
      </c>
      <c r="P139" s="100" t="e">
        <f>'Delivery Calculation'!M169+"AM:!'Q$"</f>
        <v>#VALUE!</v>
      </c>
      <c r="Q139" s="100" t="e">
        <f>'Delivery Calculation'!N169+"AM:!'Q%"</f>
        <v>#VALUE!</v>
      </c>
      <c r="R139" s="100" t="e">
        <f>'Delivery Calculation'!O169+"AM:!'Q&amp;"</f>
        <v>#VALUE!</v>
      </c>
      <c r="S139" s="100" t="e">
        <f>'Delivery Calculation'!P169+"AM:!'Q'"</f>
        <v>#VALUE!</v>
      </c>
      <c r="T139" s="100" t="e">
        <f>'Delivery Calculation'!Q169+"AM:!'Q("</f>
        <v>#VALUE!</v>
      </c>
      <c r="U139" s="100" t="e">
        <f>'Delivery Calculation'!R169+"AM:!'Q)"</f>
        <v>#VALUE!</v>
      </c>
      <c r="V139" s="100" t="e">
        <f>'Delivery Calculation'!S169+"AM:!'Q."</f>
        <v>#VALUE!</v>
      </c>
      <c r="W139" s="100" t="e">
        <f>'Delivery Calculation'!T169+"AM:!'Q/"</f>
        <v>#VALUE!</v>
      </c>
      <c r="X139" s="100" t="e">
        <f>'Delivery Calculation'!U169+"AM:!'Q0"</f>
        <v>#VALUE!</v>
      </c>
      <c r="Y139" s="100" t="e">
        <f>'Delivery Calculation'!V169+"AM:!'Q1"</f>
        <v>#VALUE!</v>
      </c>
      <c r="Z139" s="100" t="e">
        <f>'Delivery Calculation'!W169+"AM:!'Q2"</f>
        <v>#VALUE!</v>
      </c>
      <c r="AA139" s="100" t="e">
        <f>'Delivery Calculation'!X169+"AM:!'Q3"</f>
        <v>#VALUE!</v>
      </c>
      <c r="AB139" s="100" t="e">
        <f>'Delivery Calculation'!Y169+"AM:!'Q4"</f>
        <v>#VALUE!</v>
      </c>
      <c r="AC139" s="100" t="e">
        <f>'Delivery Calculation'!Z169+"AM:!'Q5"</f>
        <v>#VALUE!</v>
      </c>
      <c r="AD139" s="100" t="e">
        <f>'Delivery Calculation'!AA169+"AM:!'Q6"</f>
        <v>#VALUE!</v>
      </c>
      <c r="AE139" s="100" t="e">
        <f>'Delivery Calculation'!AB169+"AM:!'Q7"</f>
        <v>#VALUE!</v>
      </c>
      <c r="AF139" s="100" t="e">
        <f>'Delivery Calculation'!AC169+"AM:!'Q8"</f>
        <v>#VALUE!</v>
      </c>
      <c r="AG139" s="100" t="e">
        <f>'Delivery Calculation'!AD169+"AM:!'Q9"</f>
        <v>#VALUE!</v>
      </c>
      <c r="AH139" s="100" t="e">
        <f>'Delivery Calculation'!AE169+"AM:!'Q:"</f>
        <v>#VALUE!</v>
      </c>
      <c r="AI139" s="100" t="e">
        <f>'Delivery Calculation'!AF169+"AM:!'Q;"</f>
        <v>#VALUE!</v>
      </c>
      <c r="AJ139" s="100" t="e">
        <f>'Delivery Calculation'!AG169+"AM:!'Q&lt;"</f>
        <v>#VALUE!</v>
      </c>
      <c r="AK139" s="100" t="e">
        <f>'Delivery Calculation'!AH169+"AM:!'Q="</f>
        <v>#VALUE!</v>
      </c>
      <c r="AL139" s="100" t="e">
        <f>'Delivery Calculation'!AI169+"AM:!'Q&gt;"</f>
        <v>#VALUE!</v>
      </c>
      <c r="AM139" s="100" t="e">
        <f>'Delivery Calculation'!AJ169+"AM:!'Q?"</f>
        <v>#VALUE!</v>
      </c>
      <c r="AN139" s="100" t="e">
        <f>'Delivery Calculation'!AK169+"AM:!'Q@"</f>
        <v>#VALUE!</v>
      </c>
      <c r="AO139" s="100" t="e">
        <f>'Delivery Calculation'!AL169+"AM:!'QA"</f>
        <v>#VALUE!</v>
      </c>
      <c r="AP139" s="100" t="e">
        <f>'Delivery Calculation'!AM169+"AM:!'QB"</f>
        <v>#VALUE!</v>
      </c>
      <c r="AQ139" s="100" t="e">
        <f>'Delivery Calculation'!AN169+"AM:!'QC"</f>
        <v>#VALUE!</v>
      </c>
      <c r="AR139" s="100" t="e">
        <f>'Delivery Calculation'!AO169+"AM:!'QD"</f>
        <v>#VALUE!</v>
      </c>
      <c r="AS139" s="100" t="e">
        <f>'Delivery Calculation'!AP169+"AM:!'QE"</f>
        <v>#VALUE!</v>
      </c>
      <c r="AT139" s="100" t="e">
        <f>'Delivery Calculation'!AQ169+"AM:!'QF"</f>
        <v>#VALUE!</v>
      </c>
      <c r="AU139" s="100" t="e">
        <f>'Delivery Calculation'!AR169+"AM:!'QG"</f>
        <v>#VALUE!</v>
      </c>
      <c r="AV139" s="100" t="e">
        <f>'Delivery Calculation'!AS169+"AM:!'QH"</f>
        <v>#VALUE!</v>
      </c>
      <c r="AW139" s="100" t="e">
        <f>'Delivery Calculation'!AT169+"AM:!'QI"</f>
        <v>#VALUE!</v>
      </c>
      <c r="AX139" s="100" t="e">
        <f>'Delivery Calculation'!AU169+"AM:!'QJ"</f>
        <v>#VALUE!</v>
      </c>
      <c r="AY139" s="100" t="e">
        <f>'Delivery Calculation'!AV169+"AM:!'QK"</f>
        <v>#VALUE!</v>
      </c>
      <c r="AZ139" s="100" t="e">
        <f>'Delivery Calculation'!AW169+"AM:!'QL"</f>
        <v>#VALUE!</v>
      </c>
      <c r="BA139" s="100" t="e">
        <f>'Delivery Calculation'!AX169+"AM:!'QM"</f>
        <v>#VALUE!</v>
      </c>
      <c r="BB139" t="e">
        <f>'Delivery Calculation'!AY169+"AM:!'QN"</f>
        <v>#VALUE!</v>
      </c>
      <c r="BC139" t="e">
        <f>'Delivery Calculation'!A170+"AM:!'QO"</f>
        <v>#VALUE!</v>
      </c>
      <c r="BD139" t="e">
        <f>'Delivery Calculation'!B170+"AM:!'QP"</f>
        <v>#VALUE!</v>
      </c>
      <c r="BE139" t="e">
        <f>'Delivery Calculation'!C170+"AM:!'QQ"</f>
        <v>#VALUE!</v>
      </c>
      <c r="BF139" t="e">
        <f>'Delivery Calculation'!D170+"AM:!'QR"</f>
        <v>#VALUE!</v>
      </c>
      <c r="BG139" t="e">
        <f>'Delivery Calculation'!E170+"AM:!'QS"</f>
        <v>#VALUE!</v>
      </c>
      <c r="BH139" s="98" t="e">
        <f>'Delivery Calculation'!F170+"AM:!'QT"</f>
        <v>#VALUE!</v>
      </c>
      <c r="BI139" s="98" t="e">
        <f>'Delivery Calculation'!G170+"AM:!'QU"</f>
        <v>#VALUE!</v>
      </c>
      <c r="BJ139" s="98" t="e">
        <f>'Delivery Calculation'!H170+"AM:!'QV"</f>
        <v>#VALUE!</v>
      </c>
      <c r="BK139" s="100" t="e">
        <f>'Delivery Calculation'!I170+"AM:!'QW"</f>
        <v>#VALUE!</v>
      </c>
      <c r="BL139" s="100" t="e">
        <f>'Delivery Calculation'!J170+"AM:!'QX"</f>
        <v>#VALUE!</v>
      </c>
      <c r="BM139" s="100" t="e">
        <f>'Delivery Calculation'!K170+"AM:!'QY"</f>
        <v>#VALUE!</v>
      </c>
      <c r="BN139" s="100" t="e">
        <f>'Delivery Calculation'!L170+"AM:!'QZ"</f>
        <v>#VALUE!</v>
      </c>
      <c r="BO139" s="100" t="e">
        <f>'Delivery Calculation'!M170+"AM:!'Q["</f>
        <v>#VALUE!</v>
      </c>
      <c r="BP139" s="100" t="e">
        <f>'Delivery Calculation'!N170+"AM:!'Q\"</f>
        <v>#VALUE!</v>
      </c>
      <c r="BQ139" s="100" t="e">
        <f>'Delivery Calculation'!O170+"AM:!'Q]"</f>
        <v>#VALUE!</v>
      </c>
      <c r="BR139" s="100" t="e">
        <f>'Delivery Calculation'!P170+"AM:!'Q^"</f>
        <v>#VALUE!</v>
      </c>
      <c r="BS139" s="100" t="e">
        <f>'Delivery Calculation'!Q170+"AM:!'Q_"</f>
        <v>#VALUE!</v>
      </c>
      <c r="BT139" s="100" t="e">
        <f>'Delivery Calculation'!R170+"AM:!'Q`"</f>
        <v>#VALUE!</v>
      </c>
      <c r="BU139" s="100" t="e">
        <f>'Delivery Calculation'!S170+"AM:!'Qa"</f>
        <v>#VALUE!</v>
      </c>
      <c r="BV139" s="100" t="e">
        <f>'Delivery Calculation'!T170+"AM:!'Qb"</f>
        <v>#VALUE!</v>
      </c>
      <c r="BW139" s="100" t="e">
        <f>'Delivery Calculation'!U170+"AM:!'Qc"</f>
        <v>#VALUE!</v>
      </c>
      <c r="BX139" s="100" t="e">
        <f>'Delivery Calculation'!V170+"AM:!'Qd"</f>
        <v>#VALUE!</v>
      </c>
      <c r="BY139" s="100" t="e">
        <f>'Delivery Calculation'!W170+"AM:!'Qe"</f>
        <v>#VALUE!</v>
      </c>
      <c r="BZ139" s="100" t="e">
        <f>'Delivery Calculation'!X170+"AM:!'Qf"</f>
        <v>#VALUE!</v>
      </c>
      <c r="CA139" s="100" t="e">
        <f>'Delivery Calculation'!Y170+"AM:!'Qg"</f>
        <v>#VALUE!</v>
      </c>
      <c r="CB139" s="100" t="e">
        <f>'Delivery Calculation'!Z170+"AM:!'Qh"</f>
        <v>#VALUE!</v>
      </c>
      <c r="CC139" s="100" t="e">
        <f>'Delivery Calculation'!AA170+"AM:!'Qi"</f>
        <v>#VALUE!</v>
      </c>
      <c r="CD139" s="100" t="e">
        <f>'Delivery Calculation'!AB170+"AM:!'Qj"</f>
        <v>#VALUE!</v>
      </c>
      <c r="CE139" s="100" t="e">
        <f>'Delivery Calculation'!AC170+"AM:!'Qk"</f>
        <v>#VALUE!</v>
      </c>
      <c r="CF139" s="100" t="e">
        <f>'Delivery Calculation'!AD170+"AM:!'Ql"</f>
        <v>#VALUE!</v>
      </c>
      <c r="CG139" s="100" t="e">
        <f>'Delivery Calculation'!AE170+"AM:!'Qm"</f>
        <v>#VALUE!</v>
      </c>
      <c r="CH139" s="100" t="e">
        <f>'Delivery Calculation'!AF170+"AM:!'Qn"</f>
        <v>#VALUE!</v>
      </c>
      <c r="CI139" s="100" t="e">
        <f>'Delivery Calculation'!AG170+"AM:!'Qo"</f>
        <v>#VALUE!</v>
      </c>
      <c r="CJ139" s="100" t="e">
        <f>'Delivery Calculation'!AH170+"AM:!'Qp"</f>
        <v>#VALUE!</v>
      </c>
      <c r="CK139" s="100" t="e">
        <f>'Delivery Calculation'!AI170+"AM:!'Qq"</f>
        <v>#VALUE!</v>
      </c>
      <c r="CL139" s="100" t="e">
        <f>'Delivery Calculation'!AJ170+"AM:!'Qr"</f>
        <v>#VALUE!</v>
      </c>
      <c r="CM139" s="100" t="e">
        <f>'Delivery Calculation'!AK170+"AM:!'Qs"</f>
        <v>#VALUE!</v>
      </c>
      <c r="CN139" s="100" t="e">
        <f>'Delivery Calculation'!AL170+"AM:!'Qt"</f>
        <v>#VALUE!</v>
      </c>
      <c r="CO139" s="100" t="e">
        <f>'Delivery Calculation'!AM170+"AM:!'Qu"</f>
        <v>#VALUE!</v>
      </c>
      <c r="CP139" s="100" t="e">
        <f>'Delivery Calculation'!AN170+"AM:!'Qv"</f>
        <v>#VALUE!</v>
      </c>
      <c r="CQ139" s="100" t="e">
        <f>'Delivery Calculation'!AO170+"AM:!'Qw"</f>
        <v>#VALUE!</v>
      </c>
      <c r="CR139" s="100" t="e">
        <f>'Delivery Calculation'!AP170+"AM:!'Qx"</f>
        <v>#VALUE!</v>
      </c>
      <c r="CS139" s="100" t="e">
        <f>'Delivery Calculation'!AQ170+"AM:!'Qy"</f>
        <v>#VALUE!</v>
      </c>
      <c r="CT139" s="100" t="e">
        <f>'Delivery Calculation'!AR170+"AM:!'Qz"</f>
        <v>#VALUE!</v>
      </c>
      <c r="CU139" s="100" t="e">
        <f>'Delivery Calculation'!AS170+"AM:!'Q{"</f>
        <v>#VALUE!</v>
      </c>
      <c r="CV139" s="100" t="e">
        <f>'Delivery Calculation'!AT170+"AM:!'Q|"</f>
        <v>#VALUE!</v>
      </c>
      <c r="CW139" s="100" t="e">
        <f>'Delivery Calculation'!AU170+"AM:!'Q}"</f>
        <v>#VALUE!</v>
      </c>
      <c r="CX139" s="100" t="e">
        <f>'Delivery Calculation'!AV170+"AM:!'Q~"</f>
        <v>#VALUE!</v>
      </c>
      <c r="CY139" s="100" t="e">
        <f>'Delivery Calculation'!AW170+"AM:!'R#"</f>
        <v>#VALUE!</v>
      </c>
      <c r="CZ139" s="100" t="e">
        <f>'Delivery Calculation'!AX170+"AM:!'R$"</f>
        <v>#VALUE!</v>
      </c>
      <c r="DA139" t="e">
        <f>'Delivery Calculation'!AY170+"AM:!'R%"</f>
        <v>#VALUE!</v>
      </c>
      <c r="DB139" t="e">
        <f>'Delivery Calculation'!A171+"AM:!'R&amp;"</f>
        <v>#VALUE!</v>
      </c>
      <c r="DC139" t="e">
        <f>'Delivery Calculation'!B171+"AM:!'R'"</f>
        <v>#VALUE!</v>
      </c>
      <c r="DD139" t="e">
        <f>'Delivery Calculation'!C171+"AM:!'R("</f>
        <v>#VALUE!</v>
      </c>
      <c r="DE139" t="e">
        <f>'Delivery Calculation'!D171+"AM:!'R)"</f>
        <v>#VALUE!</v>
      </c>
      <c r="DF139" t="e">
        <f>'Delivery Calculation'!E171+"AM:!'R."</f>
        <v>#VALUE!</v>
      </c>
      <c r="DG139" s="98" t="e">
        <f>'Delivery Calculation'!F171+"AM:!'R/"</f>
        <v>#VALUE!</v>
      </c>
      <c r="DH139" s="98" t="e">
        <f>'Delivery Calculation'!G171+"AM:!'R0"</f>
        <v>#VALUE!</v>
      </c>
      <c r="DI139" s="98" t="e">
        <f>'Delivery Calculation'!H171+"AM:!'R1"</f>
        <v>#VALUE!</v>
      </c>
      <c r="DJ139" s="100" t="e">
        <f>'Delivery Calculation'!I171+"AM:!'R2"</f>
        <v>#VALUE!</v>
      </c>
      <c r="DK139" s="100" t="e">
        <f>'Delivery Calculation'!J171+"AM:!'R3"</f>
        <v>#VALUE!</v>
      </c>
      <c r="DL139" s="100" t="e">
        <f>'Delivery Calculation'!K171+"AM:!'R4"</f>
        <v>#VALUE!</v>
      </c>
      <c r="DM139" s="100" t="e">
        <f>'Delivery Calculation'!L171+"AM:!'R5"</f>
        <v>#VALUE!</v>
      </c>
      <c r="DN139" s="100" t="e">
        <f>'Delivery Calculation'!M171+"AM:!'R6"</f>
        <v>#VALUE!</v>
      </c>
      <c r="DO139" s="100" t="e">
        <f>'Delivery Calculation'!N171+"AM:!'R7"</f>
        <v>#VALUE!</v>
      </c>
      <c r="DP139" s="100" t="e">
        <f>'Delivery Calculation'!O171+"AM:!'R8"</f>
        <v>#VALUE!</v>
      </c>
      <c r="DQ139" s="100" t="e">
        <f>'Delivery Calculation'!P171+"AM:!'R9"</f>
        <v>#VALUE!</v>
      </c>
      <c r="DR139" s="100" t="e">
        <f>'Delivery Calculation'!Q171+"AM:!'R:"</f>
        <v>#VALUE!</v>
      </c>
      <c r="DS139" s="100" t="e">
        <f>'Delivery Calculation'!R171+"AM:!'R;"</f>
        <v>#VALUE!</v>
      </c>
      <c r="DT139" s="100" t="e">
        <f>'Delivery Calculation'!S171+"AM:!'R&lt;"</f>
        <v>#VALUE!</v>
      </c>
      <c r="DU139" s="100" t="e">
        <f>'Delivery Calculation'!T171+"AM:!'R="</f>
        <v>#VALUE!</v>
      </c>
      <c r="DV139" s="100" t="e">
        <f>'Delivery Calculation'!U171+"AM:!'R&gt;"</f>
        <v>#VALUE!</v>
      </c>
      <c r="DW139" s="100" t="e">
        <f>'Delivery Calculation'!V171+"AM:!'R?"</f>
        <v>#VALUE!</v>
      </c>
      <c r="DX139" s="100" t="e">
        <f>'Delivery Calculation'!W171+"AM:!'R@"</f>
        <v>#VALUE!</v>
      </c>
      <c r="DY139" s="100" t="e">
        <f>'Delivery Calculation'!X171+"AM:!'RA"</f>
        <v>#VALUE!</v>
      </c>
      <c r="DZ139" s="100" t="e">
        <f>'Delivery Calculation'!Y171+"AM:!'RB"</f>
        <v>#VALUE!</v>
      </c>
      <c r="EA139" s="100" t="e">
        <f>'Delivery Calculation'!Z171+"AM:!'RC"</f>
        <v>#VALUE!</v>
      </c>
      <c r="EB139" s="100" t="e">
        <f>'Delivery Calculation'!AA171+"AM:!'RD"</f>
        <v>#VALUE!</v>
      </c>
      <c r="EC139" s="100" t="e">
        <f>'Delivery Calculation'!AB171+"AM:!'RE"</f>
        <v>#VALUE!</v>
      </c>
      <c r="ED139" s="100" t="e">
        <f>'Delivery Calculation'!AC171+"AM:!'RF"</f>
        <v>#VALUE!</v>
      </c>
      <c r="EE139" s="100" t="e">
        <f>'Delivery Calculation'!AD171+"AM:!'RG"</f>
        <v>#VALUE!</v>
      </c>
      <c r="EF139" s="100" t="e">
        <f>'Delivery Calculation'!AE171+"AM:!'RH"</f>
        <v>#VALUE!</v>
      </c>
      <c r="EG139" s="100" t="e">
        <f>'Delivery Calculation'!AF171+"AM:!'RI"</f>
        <v>#VALUE!</v>
      </c>
      <c r="EH139" s="100" t="e">
        <f>'Delivery Calculation'!AG171+"AM:!'RJ"</f>
        <v>#VALUE!</v>
      </c>
      <c r="EI139" s="100" t="e">
        <f>'Delivery Calculation'!AH171+"AM:!'RK"</f>
        <v>#VALUE!</v>
      </c>
      <c r="EJ139" s="100" t="e">
        <f>'Delivery Calculation'!AI171+"AM:!'RL"</f>
        <v>#VALUE!</v>
      </c>
      <c r="EK139" s="100" t="e">
        <f>'Delivery Calculation'!AJ171+"AM:!'RM"</f>
        <v>#VALUE!</v>
      </c>
      <c r="EL139" s="100" t="e">
        <f>'Delivery Calculation'!AK171+"AM:!'RN"</f>
        <v>#VALUE!</v>
      </c>
      <c r="EM139" s="100" t="e">
        <f>'Delivery Calculation'!AL171+"AM:!'RO"</f>
        <v>#VALUE!</v>
      </c>
      <c r="EN139" s="100" t="e">
        <f>'Delivery Calculation'!AM171+"AM:!'RP"</f>
        <v>#VALUE!</v>
      </c>
      <c r="EO139" s="100" t="e">
        <f>'Delivery Calculation'!AN171+"AM:!'RQ"</f>
        <v>#VALUE!</v>
      </c>
      <c r="EP139" s="100" t="e">
        <f>'Delivery Calculation'!AO171+"AM:!'RR"</f>
        <v>#VALUE!</v>
      </c>
      <c r="EQ139" s="100" t="e">
        <f>'Delivery Calculation'!AP171+"AM:!'RS"</f>
        <v>#VALUE!</v>
      </c>
      <c r="ER139" s="100" t="e">
        <f>'Delivery Calculation'!AQ171+"AM:!'RT"</f>
        <v>#VALUE!</v>
      </c>
      <c r="ES139" s="100" t="e">
        <f>'Delivery Calculation'!AR171+"AM:!'RU"</f>
        <v>#VALUE!</v>
      </c>
      <c r="ET139" s="100" t="e">
        <f>'Delivery Calculation'!AS171+"AM:!'RV"</f>
        <v>#VALUE!</v>
      </c>
      <c r="EU139" s="100" t="e">
        <f>'Delivery Calculation'!AT171+"AM:!'RW"</f>
        <v>#VALUE!</v>
      </c>
      <c r="EV139" s="100" t="e">
        <f>'Delivery Calculation'!AU171+"AM:!'RX"</f>
        <v>#VALUE!</v>
      </c>
      <c r="EW139" s="100" t="e">
        <f>'Delivery Calculation'!AV171+"AM:!'RY"</f>
        <v>#VALUE!</v>
      </c>
      <c r="EX139" s="100" t="e">
        <f>'Delivery Calculation'!AW171+"AM:!'RZ"</f>
        <v>#VALUE!</v>
      </c>
      <c r="EY139" s="100" t="e">
        <f>'Delivery Calculation'!AX171+"AM:!'R["</f>
        <v>#VALUE!</v>
      </c>
      <c r="EZ139" t="e">
        <f>'Delivery Calculation'!AY171+"AM:!'R\"</f>
        <v>#VALUE!</v>
      </c>
      <c r="FA139" t="e">
        <f>'Delivery Calculation'!A172+"AM:!'R]"</f>
        <v>#VALUE!</v>
      </c>
      <c r="FB139" t="e">
        <f>'Delivery Calculation'!B172+"AM:!'R^"</f>
        <v>#VALUE!</v>
      </c>
      <c r="FC139" t="e">
        <f>'Delivery Calculation'!C172+"AM:!'R_"</f>
        <v>#VALUE!</v>
      </c>
      <c r="FD139" t="e">
        <f>'Delivery Calculation'!D172+"AM:!'R`"</f>
        <v>#VALUE!</v>
      </c>
      <c r="FE139" t="e">
        <f>'Delivery Calculation'!E172+"AM:!'Ra"</f>
        <v>#VALUE!</v>
      </c>
      <c r="FF139" s="98" t="e">
        <f>'Delivery Calculation'!F172+"AM:!'Rb"</f>
        <v>#VALUE!</v>
      </c>
      <c r="FG139" s="98" t="e">
        <f>'Delivery Calculation'!G172+"AM:!'Rc"</f>
        <v>#VALUE!</v>
      </c>
      <c r="FH139" s="98" t="e">
        <f>'Delivery Calculation'!H172+"AM:!'Rd"</f>
        <v>#VALUE!</v>
      </c>
      <c r="FI139" s="100" t="e">
        <f>'Delivery Calculation'!I172+"AM:!'Re"</f>
        <v>#VALUE!</v>
      </c>
      <c r="FJ139" s="100" t="e">
        <f>'Delivery Calculation'!J172+"AM:!'Rf"</f>
        <v>#VALUE!</v>
      </c>
      <c r="FK139" s="100" t="e">
        <f>'Delivery Calculation'!K172+"AM:!'Rg"</f>
        <v>#VALUE!</v>
      </c>
      <c r="FL139" s="100" t="e">
        <f>'Delivery Calculation'!L172+"AM:!'Rh"</f>
        <v>#VALUE!</v>
      </c>
      <c r="FM139" s="100" t="e">
        <f>'Delivery Calculation'!M172+"AM:!'Ri"</f>
        <v>#VALUE!</v>
      </c>
      <c r="FN139" s="100" t="e">
        <f>'Delivery Calculation'!N172+"AM:!'Rj"</f>
        <v>#VALUE!</v>
      </c>
      <c r="FO139" s="100" t="e">
        <f>'Delivery Calculation'!O172+"AM:!'Rk"</f>
        <v>#VALUE!</v>
      </c>
      <c r="FP139" s="100" t="e">
        <f>'Delivery Calculation'!P172+"AM:!'Rl"</f>
        <v>#VALUE!</v>
      </c>
      <c r="FQ139" s="100" t="e">
        <f>'Delivery Calculation'!Q172+"AM:!'Rm"</f>
        <v>#VALUE!</v>
      </c>
      <c r="FR139" s="100" t="e">
        <f>'Delivery Calculation'!R172+"AM:!'Rn"</f>
        <v>#VALUE!</v>
      </c>
      <c r="FS139" s="100" t="e">
        <f>'Delivery Calculation'!S172+"AM:!'Ro"</f>
        <v>#VALUE!</v>
      </c>
      <c r="FT139" s="100" t="e">
        <f>'Delivery Calculation'!T172+"AM:!'Rp"</f>
        <v>#VALUE!</v>
      </c>
      <c r="FU139" s="100" t="e">
        <f>'Delivery Calculation'!U172+"AM:!'Rq"</f>
        <v>#VALUE!</v>
      </c>
      <c r="FV139" s="100" t="e">
        <f>'Delivery Calculation'!V172+"AM:!'Rr"</f>
        <v>#VALUE!</v>
      </c>
      <c r="FW139" s="100" t="e">
        <f>'Delivery Calculation'!W172+"AM:!'Rs"</f>
        <v>#VALUE!</v>
      </c>
      <c r="FX139" s="100" t="e">
        <f>'Delivery Calculation'!X172+"AM:!'Rt"</f>
        <v>#VALUE!</v>
      </c>
      <c r="FY139" s="100" t="e">
        <f>'Delivery Calculation'!Y172+"AM:!'Ru"</f>
        <v>#VALUE!</v>
      </c>
      <c r="FZ139" s="100" t="e">
        <f>'Delivery Calculation'!Z172+"AM:!'Rv"</f>
        <v>#VALUE!</v>
      </c>
      <c r="GA139" s="100" t="e">
        <f>'Delivery Calculation'!AA172+"AM:!'Rw"</f>
        <v>#VALUE!</v>
      </c>
      <c r="GB139" s="100" t="e">
        <f>'Delivery Calculation'!AB172+"AM:!'Rx"</f>
        <v>#VALUE!</v>
      </c>
      <c r="GC139" s="100" t="e">
        <f>'Delivery Calculation'!AC172+"AM:!'Ry"</f>
        <v>#VALUE!</v>
      </c>
      <c r="GD139" s="100" t="e">
        <f>'Delivery Calculation'!AD172+"AM:!'Rz"</f>
        <v>#VALUE!</v>
      </c>
      <c r="GE139" s="100" t="e">
        <f>'Delivery Calculation'!AE172+"AM:!'R{"</f>
        <v>#VALUE!</v>
      </c>
      <c r="GF139" s="100" t="e">
        <f>'Delivery Calculation'!AF172+"AM:!'R|"</f>
        <v>#VALUE!</v>
      </c>
      <c r="GG139" s="100" t="e">
        <f>'Delivery Calculation'!AG172+"AM:!'R}"</f>
        <v>#VALUE!</v>
      </c>
      <c r="GH139" s="100" t="e">
        <f>'Delivery Calculation'!AH172+"AM:!'R~"</f>
        <v>#VALUE!</v>
      </c>
      <c r="GI139" s="100" t="e">
        <f>'Delivery Calculation'!AI172+"AM:!'S#"</f>
        <v>#VALUE!</v>
      </c>
      <c r="GJ139" s="100" t="e">
        <f>'Delivery Calculation'!AJ172+"AM:!'S$"</f>
        <v>#VALUE!</v>
      </c>
      <c r="GK139" s="100" t="e">
        <f>'Delivery Calculation'!AK172+"AM:!'S%"</f>
        <v>#VALUE!</v>
      </c>
      <c r="GL139" s="100" t="e">
        <f>'Delivery Calculation'!AL172+"AM:!'S&amp;"</f>
        <v>#VALUE!</v>
      </c>
      <c r="GM139" s="100" t="e">
        <f>'Delivery Calculation'!AM172+"AM:!'S'"</f>
        <v>#VALUE!</v>
      </c>
      <c r="GN139" s="100" t="e">
        <f>'Delivery Calculation'!AN172+"AM:!'S("</f>
        <v>#VALUE!</v>
      </c>
      <c r="GO139" s="100" t="e">
        <f>'Delivery Calculation'!AO172+"AM:!'S)"</f>
        <v>#VALUE!</v>
      </c>
      <c r="GP139" s="100" t="e">
        <f>'Delivery Calculation'!AP172+"AM:!'S."</f>
        <v>#VALUE!</v>
      </c>
      <c r="GQ139" s="100" t="e">
        <f>'Delivery Calculation'!AQ172+"AM:!'S/"</f>
        <v>#VALUE!</v>
      </c>
      <c r="GR139" s="100" t="e">
        <f>'Delivery Calculation'!AR172+"AM:!'S0"</f>
        <v>#VALUE!</v>
      </c>
      <c r="GS139" s="100" t="e">
        <f>'Delivery Calculation'!AS172+"AM:!'S1"</f>
        <v>#VALUE!</v>
      </c>
      <c r="GT139" s="100" t="e">
        <f>'Delivery Calculation'!AT172+"AM:!'S2"</f>
        <v>#VALUE!</v>
      </c>
      <c r="GU139" s="100" t="e">
        <f>'Delivery Calculation'!AU172+"AM:!'S3"</f>
        <v>#VALUE!</v>
      </c>
      <c r="GV139" s="100" t="e">
        <f>'Delivery Calculation'!AV172+"AM:!'S4"</f>
        <v>#VALUE!</v>
      </c>
      <c r="GW139" s="100" t="e">
        <f>'Delivery Calculation'!AW172+"AM:!'S5"</f>
        <v>#VALUE!</v>
      </c>
      <c r="GX139" s="100" t="e">
        <f>'Delivery Calculation'!AX172+"AM:!'S6"</f>
        <v>#VALUE!</v>
      </c>
      <c r="GY139" t="e">
        <f>'Delivery Calculation'!AY172+"AM:!'S7"</f>
        <v>#VALUE!</v>
      </c>
      <c r="GZ139" t="e">
        <f>'Delivery Calculation'!A173+"AM:!'S8"</f>
        <v>#VALUE!</v>
      </c>
      <c r="HA139" t="e">
        <f>'Delivery Calculation'!B173+"AM:!'S9"</f>
        <v>#VALUE!</v>
      </c>
      <c r="HB139" t="e">
        <f>'Delivery Calculation'!C173+"AM:!'S:"</f>
        <v>#VALUE!</v>
      </c>
      <c r="HC139" t="e">
        <f>'Delivery Calculation'!D173+"AM:!'S;"</f>
        <v>#VALUE!</v>
      </c>
      <c r="HD139" t="e">
        <f>'Delivery Calculation'!E173+"AM:!'S&lt;"</f>
        <v>#VALUE!</v>
      </c>
      <c r="HE139" s="98" t="e">
        <f>'Delivery Calculation'!F173+"AM:!'S="</f>
        <v>#VALUE!</v>
      </c>
      <c r="HF139" s="98" t="e">
        <f>'Delivery Calculation'!G173+"AM:!'S&gt;"</f>
        <v>#VALUE!</v>
      </c>
      <c r="HG139" s="98" t="e">
        <f>'Delivery Calculation'!H173+"AM:!'S?"</f>
        <v>#VALUE!</v>
      </c>
      <c r="HH139" s="100" t="e">
        <f>'Delivery Calculation'!I173+"AM:!'S@"</f>
        <v>#VALUE!</v>
      </c>
      <c r="HI139" s="100" t="e">
        <f>'Delivery Calculation'!J173+"AM:!'SA"</f>
        <v>#VALUE!</v>
      </c>
      <c r="HJ139" s="100" t="e">
        <f>'Delivery Calculation'!K173+"AM:!'SB"</f>
        <v>#VALUE!</v>
      </c>
      <c r="HK139" s="100" t="e">
        <f>'Delivery Calculation'!L173+"AM:!'SC"</f>
        <v>#VALUE!</v>
      </c>
      <c r="HL139" s="100" t="e">
        <f>'Delivery Calculation'!M173+"AM:!'SD"</f>
        <v>#VALUE!</v>
      </c>
      <c r="HM139" s="100" t="e">
        <f>'Delivery Calculation'!N173+"AM:!'SE"</f>
        <v>#VALUE!</v>
      </c>
      <c r="HN139" s="100" t="e">
        <f>'Delivery Calculation'!O173+"AM:!'SF"</f>
        <v>#VALUE!</v>
      </c>
      <c r="HO139" s="100" t="e">
        <f>'Delivery Calculation'!P173+"AM:!'SG"</f>
        <v>#VALUE!</v>
      </c>
      <c r="HP139" s="100" t="e">
        <f>'Delivery Calculation'!Q173+"AM:!'SH"</f>
        <v>#VALUE!</v>
      </c>
      <c r="HQ139" s="100" t="e">
        <f>'Delivery Calculation'!R173+"AM:!'SI"</f>
        <v>#VALUE!</v>
      </c>
      <c r="HR139" s="100" t="e">
        <f>'Delivery Calculation'!S173+"AM:!'SJ"</f>
        <v>#VALUE!</v>
      </c>
      <c r="HS139" s="100" t="e">
        <f>'Delivery Calculation'!T173+"AM:!'SK"</f>
        <v>#VALUE!</v>
      </c>
      <c r="HT139" s="100" t="e">
        <f>'Delivery Calculation'!U173+"AM:!'SL"</f>
        <v>#VALUE!</v>
      </c>
      <c r="HU139" s="100" t="e">
        <f>'Delivery Calculation'!V173+"AM:!'SM"</f>
        <v>#VALUE!</v>
      </c>
      <c r="HV139" s="100" t="e">
        <f>'Delivery Calculation'!W173+"AM:!'SN"</f>
        <v>#VALUE!</v>
      </c>
      <c r="HW139" s="100" t="e">
        <f>'Delivery Calculation'!X173+"AM:!'SO"</f>
        <v>#VALUE!</v>
      </c>
      <c r="HX139" s="100" t="e">
        <f>'Delivery Calculation'!Y173+"AM:!'SP"</f>
        <v>#VALUE!</v>
      </c>
      <c r="HY139" s="100" t="e">
        <f>'Delivery Calculation'!Z173+"AM:!'SQ"</f>
        <v>#VALUE!</v>
      </c>
      <c r="HZ139" s="100" t="e">
        <f>'Delivery Calculation'!AA173+"AM:!'SR"</f>
        <v>#VALUE!</v>
      </c>
      <c r="IA139" s="100" t="e">
        <f>'Delivery Calculation'!AB173+"AM:!'SS"</f>
        <v>#VALUE!</v>
      </c>
      <c r="IB139" s="100" t="e">
        <f>'Delivery Calculation'!AC173+"AM:!'ST"</f>
        <v>#VALUE!</v>
      </c>
      <c r="IC139" s="100" t="e">
        <f>'Delivery Calculation'!AD173+"AM:!'SU"</f>
        <v>#VALUE!</v>
      </c>
      <c r="ID139" s="100" t="e">
        <f>'Delivery Calculation'!AE173+"AM:!'SV"</f>
        <v>#VALUE!</v>
      </c>
      <c r="IE139" s="100" t="e">
        <f>'Delivery Calculation'!AF173+"AM:!'SW"</f>
        <v>#VALUE!</v>
      </c>
      <c r="IF139" s="100" t="e">
        <f>'Delivery Calculation'!AG173+"AM:!'SX"</f>
        <v>#VALUE!</v>
      </c>
      <c r="IG139" s="100" t="e">
        <f>'Delivery Calculation'!AH173+"AM:!'SY"</f>
        <v>#VALUE!</v>
      </c>
      <c r="IH139" s="100" t="e">
        <f>'Delivery Calculation'!AI173+"AM:!'SZ"</f>
        <v>#VALUE!</v>
      </c>
      <c r="II139" s="100" t="e">
        <f>'Delivery Calculation'!AJ173+"AM:!'S["</f>
        <v>#VALUE!</v>
      </c>
      <c r="IJ139" s="100" t="e">
        <f>'Delivery Calculation'!AK173+"AM:!'S\"</f>
        <v>#VALUE!</v>
      </c>
      <c r="IK139" s="100" t="e">
        <f>'Delivery Calculation'!AL173+"AM:!'S]"</f>
        <v>#VALUE!</v>
      </c>
      <c r="IL139" s="100" t="e">
        <f>'Delivery Calculation'!AM173+"AM:!'S^"</f>
        <v>#VALUE!</v>
      </c>
      <c r="IM139" s="100" t="e">
        <f>'Delivery Calculation'!AN173+"AM:!'S_"</f>
        <v>#VALUE!</v>
      </c>
      <c r="IN139" s="100" t="e">
        <f>'Delivery Calculation'!AO173+"AM:!'S`"</f>
        <v>#VALUE!</v>
      </c>
      <c r="IO139" s="100" t="e">
        <f>'Delivery Calculation'!AP173+"AM:!'Sa"</f>
        <v>#VALUE!</v>
      </c>
      <c r="IP139" s="100" t="e">
        <f>'Delivery Calculation'!AQ173+"AM:!'Sb"</f>
        <v>#VALUE!</v>
      </c>
      <c r="IQ139" s="100" t="e">
        <f>'Delivery Calculation'!AR173+"AM:!'Sc"</f>
        <v>#VALUE!</v>
      </c>
      <c r="IR139" s="100" t="e">
        <f>'Delivery Calculation'!AS173+"AM:!'Sd"</f>
        <v>#VALUE!</v>
      </c>
      <c r="IS139" s="100" t="e">
        <f>'Delivery Calculation'!AT173+"AM:!'Se"</f>
        <v>#VALUE!</v>
      </c>
      <c r="IT139" s="100" t="e">
        <f>'Delivery Calculation'!AU173+"AM:!'Sf"</f>
        <v>#VALUE!</v>
      </c>
      <c r="IU139" s="100" t="e">
        <f>'Delivery Calculation'!AV173+"AM:!'Sg"</f>
        <v>#VALUE!</v>
      </c>
      <c r="IV139" s="100" t="e">
        <f>'Delivery Calculation'!AW173+"AM:!'Sh"</f>
        <v>#VALUE!</v>
      </c>
    </row>
    <row r="140" spans="6:256">
      <c r="F140" s="100" t="e">
        <f>'Delivery Calculation'!AX173+"AM:!'Si"</f>
        <v>#VALUE!</v>
      </c>
      <c r="G140" t="e">
        <f>'Delivery Calculation'!AY173+"AM:!'Sj"</f>
        <v>#VALUE!</v>
      </c>
      <c r="H140" t="e">
        <f>'Delivery Calculation'!A174+"AM:!'Sk"</f>
        <v>#VALUE!</v>
      </c>
      <c r="I140" t="e">
        <f>'Delivery Calculation'!B174+"AM:!'Sl"</f>
        <v>#VALUE!</v>
      </c>
      <c r="J140" t="e">
        <f>'Delivery Calculation'!C174+"AM:!'Sm"</f>
        <v>#VALUE!</v>
      </c>
      <c r="K140" t="e">
        <f>'Delivery Calculation'!D174+"AM:!'Sn"</f>
        <v>#VALUE!</v>
      </c>
      <c r="L140" t="e">
        <f>'Delivery Calculation'!E174+"AM:!'So"</f>
        <v>#VALUE!</v>
      </c>
      <c r="M140" s="98" t="e">
        <f>'Delivery Calculation'!F174+"AM:!'Sp"</f>
        <v>#VALUE!</v>
      </c>
      <c r="N140" s="98" t="e">
        <f>'Delivery Calculation'!G174+"AM:!'Sq"</f>
        <v>#VALUE!</v>
      </c>
      <c r="O140" s="98" t="e">
        <f>'Delivery Calculation'!H174+"AM:!'Sr"</f>
        <v>#VALUE!</v>
      </c>
      <c r="P140" s="100" t="e">
        <f>'Delivery Calculation'!I174+"AM:!'Ss"</f>
        <v>#VALUE!</v>
      </c>
      <c r="Q140" s="100" t="e">
        <f>'Delivery Calculation'!J174+"AM:!'St"</f>
        <v>#VALUE!</v>
      </c>
      <c r="R140" s="100" t="e">
        <f>'Delivery Calculation'!K174+"AM:!'Su"</f>
        <v>#VALUE!</v>
      </c>
      <c r="S140" s="100" t="e">
        <f>'Delivery Calculation'!L174+"AM:!'Sv"</f>
        <v>#VALUE!</v>
      </c>
      <c r="T140" s="100" t="e">
        <f>'Delivery Calculation'!M174+"AM:!'Sw"</f>
        <v>#VALUE!</v>
      </c>
      <c r="U140" s="100" t="e">
        <f>'Delivery Calculation'!N174+"AM:!'Sx"</f>
        <v>#VALUE!</v>
      </c>
      <c r="V140" s="100" t="e">
        <f>'Delivery Calculation'!O174+"AM:!'Sy"</f>
        <v>#VALUE!</v>
      </c>
      <c r="W140" s="100" t="e">
        <f>'Delivery Calculation'!P174+"AM:!'Sz"</f>
        <v>#VALUE!</v>
      </c>
      <c r="X140" s="100" t="e">
        <f>'Delivery Calculation'!Q174+"AM:!'S{"</f>
        <v>#VALUE!</v>
      </c>
      <c r="Y140" s="100" t="e">
        <f>'Delivery Calculation'!R174+"AM:!'S|"</f>
        <v>#VALUE!</v>
      </c>
      <c r="Z140" s="100" t="e">
        <f>'Delivery Calculation'!S174+"AM:!'S}"</f>
        <v>#VALUE!</v>
      </c>
      <c r="AA140" s="100" t="e">
        <f>'Delivery Calculation'!T174+"AM:!'S~"</f>
        <v>#VALUE!</v>
      </c>
      <c r="AB140" s="100" t="e">
        <f>'Delivery Calculation'!U174+"AM:!'T#"</f>
        <v>#VALUE!</v>
      </c>
      <c r="AC140" s="100" t="e">
        <f>'Delivery Calculation'!V174+"AM:!'T$"</f>
        <v>#VALUE!</v>
      </c>
      <c r="AD140" s="100" t="e">
        <f>'Delivery Calculation'!W174+"AM:!'T%"</f>
        <v>#VALUE!</v>
      </c>
      <c r="AE140" s="100" t="e">
        <f>'Delivery Calculation'!X174+"AM:!'T&amp;"</f>
        <v>#VALUE!</v>
      </c>
      <c r="AF140" s="100" t="e">
        <f>'Delivery Calculation'!Y174+"AM:!'T'"</f>
        <v>#VALUE!</v>
      </c>
      <c r="AG140" s="100" t="e">
        <f>'Delivery Calculation'!Z174+"AM:!'T("</f>
        <v>#VALUE!</v>
      </c>
      <c r="AH140" s="100" t="e">
        <f>'Delivery Calculation'!AA174+"AM:!'T)"</f>
        <v>#VALUE!</v>
      </c>
      <c r="AI140" s="100" t="e">
        <f>'Delivery Calculation'!AB174+"AM:!'T."</f>
        <v>#VALUE!</v>
      </c>
      <c r="AJ140" s="100" t="e">
        <f>'Delivery Calculation'!AC174+"AM:!'T/"</f>
        <v>#VALUE!</v>
      </c>
      <c r="AK140" s="100" t="e">
        <f>'Delivery Calculation'!AD174+"AM:!'T0"</f>
        <v>#VALUE!</v>
      </c>
      <c r="AL140" s="100" t="e">
        <f>'Delivery Calculation'!AE174+"AM:!'T1"</f>
        <v>#VALUE!</v>
      </c>
      <c r="AM140" s="100" t="e">
        <f>'Delivery Calculation'!AF174+"AM:!'T2"</f>
        <v>#VALUE!</v>
      </c>
      <c r="AN140" s="100" t="e">
        <f>'Delivery Calculation'!AG174+"AM:!'T3"</f>
        <v>#VALUE!</v>
      </c>
      <c r="AO140" s="100" t="e">
        <f>'Delivery Calculation'!AH174+"AM:!'T4"</f>
        <v>#VALUE!</v>
      </c>
      <c r="AP140" s="100" t="e">
        <f>'Delivery Calculation'!AI174+"AM:!'T5"</f>
        <v>#VALUE!</v>
      </c>
      <c r="AQ140" s="100" t="e">
        <f>'Delivery Calculation'!AJ174+"AM:!'T6"</f>
        <v>#VALUE!</v>
      </c>
      <c r="AR140" s="100" t="e">
        <f>'Delivery Calculation'!AK174+"AM:!'T7"</f>
        <v>#VALUE!</v>
      </c>
      <c r="AS140" s="100" t="e">
        <f>'Delivery Calculation'!AL174+"AM:!'T8"</f>
        <v>#VALUE!</v>
      </c>
      <c r="AT140" s="100" t="e">
        <f>'Delivery Calculation'!AM174+"AM:!'T9"</f>
        <v>#VALUE!</v>
      </c>
      <c r="AU140" s="100" t="e">
        <f>'Delivery Calculation'!AN174+"AM:!'T:"</f>
        <v>#VALUE!</v>
      </c>
      <c r="AV140" s="100" t="e">
        <f>'Delivery Calculation'!AO174+"AM:!'T;"</f>
        <v>#VALUE!</v>
      </c>
      <c r="AW140" s="100" t="e">
        <f>'Delivery Calculation'!AP174+"AM:!'T&lt;"</f>
        <v>#VALUE!</v>
      </c>
      <c r="AX140" s="100" t="e">
        <f>'Delivery Calculation'!AQ174+"AM:!'T="</f>
        <v>#VALUE!</v>
      </c>
      <c r="AY140" s="100" t="e">
        <f>'Delivery Calculation'!AR174+"AM:!'T&gt;"</f>
        <v>#VALUE!</v>
      </c>
      <c r="AZ140" s="100" t="e">
        <f>'Delivery Calculation'!AS174+"AM:!'T?"</f>
        <v>#VALUE!</v>
      </c>
      <c r="BA140" s="100" t="e">
        <f>'Delivery Calculation'!AT174+"AM:!'T@"</f>
        <v>#VALUE!</v>
      </c>
      <c r="BB140" s="100" t="e">
        <f>'Delivery Calculation'!AU174+"AM:!'TA"</f>
        <v>#VALUE!</v>
      </c>
      <c r="BC140" s="100" t="e">
        <f>'Delivery Calculation'!AV174+"AM:!'TB"</f>
        <v>#VALUE!</v>
      </c>
      <c r="BD140" s="100" t="e">
        <f>'Delivery Calculation'!AW174+"AM:!'TC"</f>
        <v>#VALUE!</v>
      </c>
      <c r="BE140" s="100" t="e">
        <f>'Delivery Calculation'!AX174+"AM:!'TD"</f>
        <v>#VALUE!</v>
      </c>
      <c r="BF140" t="e">
        <f>'Delivery Calculation'!AY174+"AM:!'TE"</f>
        <v>#VALUE!</v>
      </c>
      <c r="BG140" t="e">
        <f>'Delivery Calculation'!A175+"AM:!'TF"</f>
        <v>#VALUE!</v>
      </c>
      <c r="BH140" t="e">
        <f>'Delivery Calculation'!B175+"AM:!'TG"</f>
        <v>#VALUE!</v>
      </c>
      <c r="BI140" t="e">
        <f>'Delivery Calculation'!C175+"AM:!'TH"</f>
        <v>#VALUE!</v>
      </c>
      <c r="BJ140" t="e">
        <f>'Delivery Calculation'!D175+"AM:!'TI"</f>
        <v>#VALUE!</v>
      </c>
      <c r="BK140" t="e">
        <f>'Delivery Calculation'!E175+"AM:!'TJ"</f>
        <v>#VALUE!</v>
      </c>
      <c r="BL140" s="98" t="e">
        <f>'Delivery Calculation'!F175+"AM:!'TK"</f>
        <v>#VALUE!</v>
      </c>
      <c r="BM140" s="98" t="e">
        <f>'Delivery Calculation'!G175+"AM:!'TL"</f>
        <v>#VALUE!</v>
      </c>
      <c r="BN140" s="98" t="e">
        <f>'Delivery Calculation'!H175+"AM:!'TM"</f>
        <v>#VALUE!</v>
      </c>
      <c r="BO140" s="100" t="e">
        <f>'Delivery Calculation'!I175+"AM:!'TN"</f>
        <v>#VALUE!</v>
      </c>
      <c r="BP140" s="100" t="e">
        <f>'Delivery Calculation'!J175+"AM:!'TO"</f>
        <v>#VALUE!</v>
      </c>
      <c r="BQ140" s="100" t="e">
        <f>'Delivery Calculation'!K175+"AM:!'TP"</f>
        <v>#VALUE!</v>
      </c>
      <c r="BR140" s="100" t="e">
        <f>'Delivery Calculation'!L175+"AM:!'TQ"</f>
        <v>#VALUE!</v>
      </c>
      <c r="BS140" s="100" t="e">
        <f>'Delivery Calculation'!M175+"AM:!'TR"</f>
        <v>#VALUE!</v>
      </c>
      <c r="BT140" s="100" t="e">
        <f>'Delivery Calculation'!N175+"AM:!'TS"</f>
        <v>#VALUE!</v>
      </c>
      <c r="BU140" s="100" t="e">
        <f>'Delivery Calculation'!O175+"AM:!'TT"</f>
        <v>#VALUE!</v>
      </c>
      <c r="BV140" s="100" t="e">
        <f>'Delivery Calculation'!P175+"AM:!'TU"</f>
        <v>#VALUE!</v>
      </c>
      <c r="BW140" s="100" t="e">
        <f>'Delivery Calculation'!Q175+"AM:!'TV"</f>
        <v>#VALUE!</v>
      </c>
      <c r="BX140" s="100" t="e">
        <f>'Delivery Calculation'!R175+"AM:!'TW"</f>
        <v>#VALUE!</v>
      </c>
      <c r="BY140" s="100" t="e">
        <f>'Delivery Calculation'!S175+"AM:!'TX"</f>
        <v>#VALUE!</v>
      </c>
      <c r="BZ140" s="100" t="e">
        <f>'Delivery Calculation'!T175+"AM:!'TY"</f>
        <v>#VALUE!</v>
      </c>
      <c r="CA140" s="100" t="e">
        <f>'Delivery Calculation'!U175+"AM:!'TZ"</f>
        <v>#VALUE!</v>
      </c>
      <c r="CB140" s="100" t="e">
        <f>'Delivery Calculation'!V175+"AM:!'T["</f>
        <v>#VALUE!</v>
      </c>
      <c r="CC140" s="100" t="e">
        <f>'Delivery Calculation'!W175+"AM:!'T\"</f>
        <v>#VALUE!</v>
      </c>
      <c r="CD140" s="100" t="e">
        <f>'Delivery Calculation'!X175+"AM:!'T]"</f>
        <v>#VALUE!</v>
      </c>
      <c r="CE140" s="100" t="e">
        <f>'Delivery Calculation'!Y175+"AM:!'T^"</f>
        <v>#VALUE!</v>
      </c>
      <c r="CF140" s="100" t="e">
        <f>'Delivery Calculation'!Z175+"AM:!'T_"</f>
        <v>#VALUE!</v>
      </c>
      <c r="CG140" s="100" t="e">
        <f>'Delivery Calculation'!AA175+"AM:!'T`"</f>
        <v>#VALUE!</v>
      </c>
      <c r="CH140" s="100" t="e">
        <f>'Delivery Calculation'!AB175+"AM:!'Ta"</f>
        <v>#VALUE!</v>
      </c>
      <c r="CI140" s="100" t="e">
        <f>'Delivery Calculation'!AC175+"AM:!'Tb"</f>
        <v>#VALUE!</v>
      </c>
      <c r="CJ140" s="100" t="e">
        <f>'Delivery Calculation'!AD175+"AM:!'Tc"</f>
        <v>#VALUE!</v>
      </c>
      <c r="CK140" s="100" t="e">
        <f>'Delivery Calculation'!AE175+"AM:!'Td"</f>
        <v>#VALUE!</v>
      </c>
      <c r="CL140" s="100" t="e">
        <f>'Delivery Calculation'!AF175+"AM:!'Te"</f>
        <v>#VALUE!</v>
      </c>
      <c r="CM140" s="100" t="e">
        <f>'Delivery Calculation'!AG175+"AM:!'Tf"</f>
        <v>#VALUE!</v>
      </c>
      <c r="CN140" s="100" t="e">
        <f>'Delivery Calculation'!AH175+"AM:!'Tg"</f>
        <v>#VALUE!</v>
      </c>
      <c r="CO140" s="100" t="e">
        <f>'Delivery Calculation'!AI175+"AM:!'Th"</f>
        <v>#VALUE!</v>
      </c>
      <c r="CP140" s="100" t="e">
        <f>'Delivery Calculation'!AJ175+"AM:!'Ti"</f>
        <v>#VALUE!</v>
      </c>
      <c r="CQ140" s="100" t="e">
        <f>'Delivery Calculation'!AK175+"AM:!'Tj"</f>
        <v>#VALUE!</v>
      </c>
      <c r="CR140" s="100" t="e">
        <f>'Delivery Calculation'!AL175+"AM:!'Tk"</f>
        <v>#VALUE!</v>
      </c>
      <c r="CS140" s="100" t="e">
        <f>'Delivery Calculation'!AM175+"AM:!'Tl"</f>
        <v>#VALUE!</v>
      </c>
      <c r="CT140" s="100" t="e">
        <f>'Delivery Calculation'!AN175+"AM:!'Tm"</f>
        <v>#VALUE!</v>
      </c>
      <c r="CU140" s="100" t="e">
        <f>'Delivery Calculation'!AO175+"AM:!'Tn"</f>
        <v>#VALUE!</v>
      </c>
      <c r="CV140" s="100" t="e">
        <f>'Delivery Calculation'!AP175+"AM:!'To"</f>
        <v>#VALUE!</v>
      </c>
      <c r="CW140" s="100" t="e">
        <f>'Delivery Calculation'!AQ175+"AM:!'Tp"</f>
        <v>#VALUE!</v>
      </c>
      <c r="CX140" s="100" t="e">
        <f>'Delivery Calculation'!AR175+"AM:!'Tq"</f>
        <v>#VALUE!</v>
      </c>
      <c r="CY140" s="100" t="e">
        <f>'Delivery Calculation'!AS175+"AM:!'Tr"</f>
        <v>#VALUE!</v>
      </c>
      <c r="CZ140" s="100" t="e">
        <f>'Delivery Calculation'!AT175+"AM:!'Ts"</f>
        <v>#VALUE!</v>
      </c>
      <c r="DA140" s="100" t="e">
        <f>'Delivery Calculation'!AU175+"AM:!'Tt"</f>
        <v>#VALUE!</v>
      </c>
      <c r="DB140" s="100" t="e">
        <f>'Delivery Calculation'!AV175+"AM:!'Tu"</f>
        <v>#VALUE!</v>
      </c>
      <c r="DC140" s="100" t="e">
        <f>'Delivery Calculation'!AW175+"AM:!'Tv"</f>
        <v>#VALUE!</v>
      </c>
      <c r="DD140" s="100" t="e">
        <f>'Delivery Calculation'!AX175+"AM:!'Tw"</f>
        <v>#VALUE!</v>
      </c>
      <c r="DE140" t="e">
        <f>'Delivery Calculation'!AY175+"AM:!'Tx"</f>
        <v>#VALUE!</v>
      </c>
      <c r="DF140" t="e">
        <f>'Delivery Calculation'!A176+"AM:!'Ty"</f>
        <v>#VALUE!</v>
      </c>
      <c r="DG140" t="e">
        <f>'Delivery Calculation'!B176+"AM:!'Tz"</f>
        <v>#VALUE!</v>
      </c>
      <c r="DH140" t="e">
        <f>'Delivery Calculation'!C176+"AM:!'T{"</f>
        <v>#VALUE!</v>
      </c>
      <c r="DI140" t="e">
        <f>'Delivery Calculation'!D176+"AM:!'T|"</f>
        <v>#VALUE!</v>
      </c>
      <c r="DJ140" t="e">
        <f>'Delivery Calculation'!E176+"AM:!'T}"</f>
        <v>#VALUE!</v>
      </c>
      <c r="DK140" s="98" t="e">
        <f>'Delivery Calculation'!F176+"AM:!'T~"</f>
        <v>#VALUE!</v>
      </c>
      <c r="DL140" s="98" t="e">
        <f>'Delivery Calculation'!G176+"AM:!'U#"</f>
        <v>#VALUE!</v>
      </c>
      <c r="DM140" s="98" t="e">
        <f>'Delivery Calculation'!H176+"AM:!'U$"</f>
        <v>#VALUE!</v>
      </c>
      <c r="DN140" s="100" t="e">
        <f>'Delivery Calculation'!I176+"AM:!'U%"</f>
        <v>#VALUE!</v>
      </c>
      <c r="DO140" s="100" t="e">
        <f>'Delivery Calculation'!J176+"AM:!'U&amp;"</f>
        <v>#VALUE!</v>
      </c>
      <c r="DP140" s="100" t="e">
        <f>'Delivery Calculation'!K176+"AM:!'U'"</f>
        <v>#VALUE!</v>
      </c>
      <c r="DQ140" s="100" t="e">
        <f>'Delivery Calculation'!L176+"AM:!'U("</f>
        <v>#VALUE!</v>
      </c>
      <c r="DR140" s="100" t="e">
        <f>'Delivery Calculation'!M176+"AM:!'U)"</f>
        <v>#VALUE!</v>
      </c>
      <c r="DS140" s="100" t="e">
        <f>'Delivery Calculation'!N176+"AM:!'U."</f>
        <v>#VALUE!</v>
      </c>
      <c r="DT140" s="100" t="e">
        <f>'Delivery Calculation'!O176+"AM:!'U/"</f>
        <v>#VALUE!</v>
      </c>
      <c r="DU140" s="100" t="e">
        <f>'Delivery Calculation'!P176+"AM:!'U0"</f>
        <v>#VALUE!</v>
      </c>
      <c r="DV140" s="100" t="e">
        <f>'Delivery Calculation'!Q176+"AM:!'U1"</f>
        <v>#VALUE!</v>
      </c>
      <c r="DW140" s="100" t="e">
        <f>'Delivery Calculation'!R176+"AM:!'U2"</f>
        <v>#VALUE!</v>
      </c>
      <c r="DX140" s="100" t="e">
        <f>'Delivery Calculation'!S176+"AM:!'U3"</f>
        <v>#VALUE!</v>
      </c>
      <c r="DY140" s="100" t="e">
        <f>'Delivery Calculation'!T176+"AM:!'U4"</f>
        <v>#VALUE!</v>
      </c>
      <c r="DZ140" s="100" t="e">
        <f>'Delivery Calculation'!U176+"AM:!'U5"</f>
        <v>#VALUE!</v>
      </c>
      <c r="EA140" s="100" t="e">
        <f>'Delivery Calculation'!V176+"AM:!'U6"</f>
        <v>#VALUE!</v>
      </c>
      <c r="EB140" s="100" t="e">
        <f>'Delivery Calculation'!W176+"AM:!'U7"</f>
        <v>#VALUE!</v>
      </c>
      <c r="EC140" s="100" t="e">
        <f>'Delivery Calculation'!X176+"AM:!'U8"</f>
        <v>#VALUE!</v>
      </c>
      <c r="ED140" s="100" t="e">
        <f>'Delivery Calculation'!Y176+"AM:!'U9"</f>
        <v>#VALUE!</v>
      </c>
      <c r="EE140" s="100" t="e">
        <f>'Delivery Calculation'!Z176+"AM:!'U:"</f>
        <v>#VALUE!</v>
      </c>
      <c r="EF140" s="100" t="e">
        <f>'Delivery Calculation'!AA176+"AM:!'U;"</f>
        <v>#VALUE!</v>
      </c>
      <c r="EG140" s="100" t="e">
        <f>'Delivery Calculation'!AB176+"AM:!'U&lt;"</f>
        <v>#VALUE!</v>
      </c>
      <c r="EH140" s="100" t="e">
        <f>'Delivery Calculation'!AC176+"AM:!'U="</f>
        <v>#VALUE!</v>
      </c>
      <c r="EI140" s="100" t="e">
        <f>'Delivery Calculation'!AD176+"AM:!'U&gt;"</f>
        <v>#VALUE!</v>
      </c>
      <c r="EJ140" s="100" t="e">
        <f>'Delivery Calculation'!AE176+"AM:!'U?"</f>
        <v>#VALUE!</v>
      </c>
      <c r="EK140" s="100" t="e">
        <f>'Delivery Calculation'!AF176+"AM:!'U@"</f>
        <v>#VALUE!</v>
      </c>
      <c r="EL140" s="100" t="e">
        <f>'Delivery Calculation'!AG176+"AM:!'UA"</f>
        <v>#VALUE!</v>
      </c>
      <c r="EM140" s="100" t="e">
        <f>'Delivery Calculation'!AH176+"AM:!'UB"</f>
        <v>#VALUE!</v>
      </c>
      <c r="EN140" s="100" t="e">
        <f>'Delivery Calculation'!AI176+"AM:!'UC"</f>
        <v>#VALUE!</v>
      </c>
      <c r="EO140" s="100" t="e">
        <f>'Delivery Calculation'!AJ176+"AM:!'UD"</f>
        <v>#VALUE!</v>
      </c>
      <c r="EP140" s="100" t="e">
        <f>'Delivery Calculation'!AK176+"AM:!'UE"</f>
        <v>#VALUE!</v>
      </c>
      <c r="EQ140" s="100" t="e">
        <f>'Delivery Calculation'!AL176+"AM:!'UF"</f>
        <v>#VALUE!</v>
      </c>
      <c r="ER140" s="100" t="e">
        <f>'Delivery Calculation'!AM176+"AM:!'UG"</f>
        <v>#VALUE!</v>
      </c>
      <c r="ES140" s="100" t="e">
        <f>'Delivery Calculation'!AN176+"AM:!'UH"</f>
        <v>#VALUE!</v>
      </c>
      <c r="ET140" s="100" t="e">
        <f>'Delivery Calculation'!AO176+"AM:!'UI"</f>
        <v>#VALUE!</v>
      </c>
      <c r="EU140" s="100" t="e">
        <f>'Delivery Calculation'!AP176+"AM:!'UJ"</f>
        <v>#VALUE!</v>
      </c>
      <c r="EV140" s="100" t="e">
        <f>'Delivery Calculation'!AQ176+"AM:!'UK"</f>
        <v>#VALUE!</v>
      </c>
      <c r="EW140" s="100" t="e">
        <f>'Delivery Calculation'!AR176+"AM:!'UL"</f>
        <v>#VALUE!</v>
      </c>
      <c r="EX140" s="100" t="e">
        <f>'Delivery Calculation'!AS176+"AM:!'UM"</f>
        <v>#VALUE!</v>
      </c>
      <c r="EY140" s="100" t="e">
        <f>'Delivery Calculation'!AT176+"AM:!'UN"</f>
        <v>#VALUE!</v>
      </c>
      <c r="EZ140" s="100" t="e">
        <f>'Delivery Calculation'!AU176+"AM:!'UO"</f>
        <v>#VALUE!</v>
      </c>
      <c r="FA140" s="100" t="e">
        <f>'Delivery Calculation'!AV176+"AM:!'UP"</f>
        <v>#VALUE!</v>
      </c>
      <c r="FB140" s="100" t="e">
        <f>'Delivery Calculation'!AW176+"AM:!'UQ"</f>
        <v>#VALUE!</v>
      </c>
      <c r="FC140" s="100" t="e">
        <f>'Delivery Calculation'!AX176+"AM:!'UR"</f>
        <v>#VALUE!</v>
      </c>
      <c r="FD140" t="e">
        <f>'Delivery Calculation'!AY176+"AM:!'US"</f>
        <v>#VALUE!</v>
      </c>
      <c r="FE140" t="e">
        <f>'Delivery Calculation'!A177+"AM:!'UT"</f>
        <v>#VALUE!</v>
      </c>
      <c r="FF140" t="e">
        <f>'Delivery Calculation'!B177+"AM:!'UU"</f>
        <v>#VALUE!</v>
      </c>
      <c r="FG140" t="e">
        <f>'Delivery Calculation'!C177+"AM:!'UV"</f>
        <v>#VALUE!</v>
      </c>
      <c r="FH140" t="e">
        <f>'Delivery Calculation'!D177+"AM:!'UW"</f>
        <v>#VALUE!</v>
      </c>
      <c r="FI140" t="e">
        <f>'Delivery Calculation'!E177+"AM:!'UX"</f>
        <v>#VALUE!</v>
      </c>
      <c r="FJ140" s="98" t="e">
        <f>'Delivery Calculation'!F177+"AM:!'UY"</f>
        <v>#VALUE!</v>
      </c>
      <c r="FK140" s="98" t="e">
        <f>'Delivery Calculation'!G177+"AM:!'UZ"</f>
        <v>#VALUE!</v>
      </c>
      <c r="FL140" s="98" t="e">
        <f>'Delivery Calculation'!H177+"AM:!'U["</f>
        <v>#VALUE!</v>
      </c>
      <c r="FM140" s="100" t="e">
        <f>'Delivery Calculation'!I177+"AM:!'U\"</f>
        <v>#VALUE!</v>
      </c>
      <c r="FN140" s="100" t="e">
        <f>'Delivery Calculation'!J177+"AM:!'U]"</f>
        <v>#VALUE!</v>
      </c>
      <c r="FO140" s="100" t="e">
        <f>'Delivery Calculation'!K177+"AM:!'U^"</f>
        <v>#VALUE!</v>
      </c>
      <c r="FP140" s="100" t="e">
        <f>'Delivery Calculation'!L177+"AM:!'U_"</f>
        <v>#VALUE!</v>
      </c>
      <c r="FQ140" s="100" t="e">
        <f>'Delivery Calculation'!M177+"AM:!'U`"</f>
        <v>#VALUE!</v>
      </c>
      <c r="FR140" s="100" t="e">
        <f>'Delivery Calculation'!N177+"AM:!'Ua"</f>
        <v>#VALUE!</v>
      </c>
      <c r="FS140" s="100" t="e">
        <f>'Delivery Calculation'!O177+"AM:!'Ub"</f>
        <v>#VALUE!</v>
      </c>
      <c r="FT140" s="100" t="e">
        <f>'Delivery Calculation'!P177+"AM:!'Uc"</f>
        <v>#VALUE!</v>
      </c>
      <c r="FU140" s="100" t="e">
        <f>'Delivery Calculation'!Q177+"AM:!'Ud"</f>
        <v>#VALUE!</v>
      </c>
      <c r="FV140" s="100" t="e">
        <f>'Delivery Calculation'!R177+"AM:!'Ue"</f>
        <v>#VALUE!</v>
      </c>
      <c r="FW140" s="100" t="e">
        <f>'Delivery Calculation'!S177+"AM:!'Uf"</f>
        <v>#VALUE!</v>
      </c>
      <c r="FX140" s="100" t="e">
        <f>'Delivery Calculation'!T177+"AM:!'Ug"</f>
        <v>#VALUE!</v>
      </c>
      <c r="FY140" s="100" t="e">
        <f>'Delivery Calculation'!U177+"AM:!'Uh"</f>
        <v>#VALUE!</v>
      </c>
      <c r="FZ140" s="100" t="e">
        <f>'Delivery Calculation'!V177+"AM:!'Ui"</f>
        <v>#VALUE!</v>
      </c>
      <c r="GA140" s="100" t="e">
        <f>'Delivery Calculation'!W177+"AM:!'Uj"</f>
        <v>#VALUE!</v>
      </c>
      <c r="GB140" s="100" t="e">
        <f>'Delivery Calculation'!X177+"AM:!'Uk"</f>
        <v>#VALUE!</v>
      </c>
      <c r="GC140" s="100" t="e">
        <f>'Delivery Calculation'!Y177+"AM:!'Ul"</f>
        <v>#VALUE!</v>
      </c>
      <c r="GD140" s="100" t="e">
        <f>'Delivery Calculation'!Z177+"AM:!'Um"</f>
        <v>#VALUE!</v>
      </c>
      <c r="GE140" s="100" t="e">
        <f>'Delivery Calculation'!AA177+"AM:!'Un"</f>
        <v>#VALUE!</v>
      </c>
      <c r="GF140" s="100" t="e">
        <f>'Delivery Calculation'!AB177+"AM:!'Uo"</f>
        <v>#VALUE!</v>
      </c>
      <c r="GG140" s="100" t="e">
        <f>'Delivery Calculation'!AC177+"AM:!'Up"</f>
        <v>#VALUE!</v>
      </c>
      <c r="GH140" s="100" t="e">
        <f>'Delivery Calculation'!AD177+"AM:!'Uq"</f>
        <v>#VALUE!</v>
      </c>
      <c r="GI140" s="100" t="e">
        <f>'Delivery Calculation'!AE177+"AM:!'Ur"</f>
        <v>#VALUE!</v>
      </c>
      <c r="GJ140" s="100" t="e">
        <f>'Delivery Calculation'!AF177+"AM:!'Us"</f>
        <v>#VALUE!</v>
      </c>
      <c r="GK140" s="100" t="e">
        <f>'Delivery Calculation'!AG177+"AM:!'Ut"</f>
        <v>#VALUE!</v>
      </c>
      <c r="GL140" s="100" t="e">
        <f>'Delivery Calculation'!AH177+"AM:!'Uu"</f>
        <v>#VALUE!</v>
      </c>
      <c r="GM140" s="100" t="e">
        <f>'Delivery Calculation'!AI177+"AM:!'Uv"</f>
        <v>#VALUE!</v>
      </c>
      <c r="GN140" s="100" t="e">
        <f>'Delivery Calculation'!AJ177+"AM:!'Uw"</f>
        <v>#VALUE!</v>
      </c>
      <c r="GO140" s="100" t="e">
        <f>'Delivery Calculation'!AK177+"AM:!'Ux"</f>
        <v>#VALUE!</v>
      </c>
      <c r="GP140" s="100" t="e">
        <f>'Delivery Calculation'!AL177+"AM:!'Uy"</f>
        <v>#VALUE!</v>
      </c>
      <c r="GQ140" s="100" t="e">
        <f>'Delivery Calculation'!AM177+"AM:!'Uz"</f>
        <v>#VALUE!</v>
      </c>
      <c r="GR140" s="100" t="e">
        <f>'Delivery Calculation'!AN177+"AM:!'U{"</f>
        <v>#VALUE!</v>
      </c>
      <c r="GS140" s="100" t="e">
        <f>'Delivery Calculation'!AO177+"AM:!'U|"</f>
        <v>#VALUE!</v>
      </c>
      <c r="GT140" s="100" t="e">
        <f>'Delivery Calculation'!AP177+"AM:!'U}"</f>
        <v>#VALUE!</v>
      </c>
      <c r="GU140" s="100" t="e">
        <f>'Delivery Calculation'!AQ177+"AM:!'U~"</f>
        <v>#VALUE!</v>
      </c>
      <c r="GV140" s="100" t="e">
        <f>'Delivery Calculation'!AR177+"AM:!'V#"</f>
        <v>#VALUE!</v>
      </c>
      <c r="GW140" s="100" t="e">
        <f>'Delivery Calculation'!AS177+"AM:!'V$"</f>
        <v>#VALUE!</v>
      </c>
      <c r="GX140" s="100" t="e">
        <f>'Delivery Calculation'!AT177+"AM:!'V%"</f>
        <v>#VALUE!</v>
      </c>
      <c r="GY140" s="100" t="e">
        <f>'Delivery Calculation'!AU177+"AM:!'V&amp;"</f>
        <v>#VALUE!</v>
      </c>
      <c r="GZ140" s="100" t="e">
        <f>'Delivery Calculation'!AV177+"AM:!'V'"</f>
        <v>#VALUE!</v>
      </c>
      <c r="HA140" s="100" t="e">
        <f>'Delivery Calculation'!AW177+"AM:!'V("</f>
        <v>#VALUE!</v>
      </c>
      <c r="HB140" s="100" t="e">
        <f>'Delivery Calculation'!AX177+"AM:!'V)"</f>
        <v>#VALUE!</v>
      </c>
      <c r="HC140" t="e">
        <f>'Delivery Calculation'!AY177+"AM:!'V."</f>
        <v>#VALUE!</v>
      </c>
      <c r="HD140" t="e">
        <f>'Delivery Calculation'!A178+"AM:!'V/"</f>
        <v>#VALUE!</v>
      </c>
      <c r="HE140" t="e">
        <f>'Delivery Calculation'!B178+"AM:!'V0"</f>
        <v>#VALUE!</v>
      </c>
      <c r="HF140" t="e">
        <f>'Delivery Calculation'!C178+"AM:!'V1"</f>
        <v>#VALUE!</v>
      </c>
      <c r="HG140" t="e">
        <f>'Delivery Calculation'!D178+"AM:!'V2"</f>
        <v>#VALUE!</v>
      </c>
      <c r="HH140" t="e">
        <f>'Delivery Calculation'!E178+"AM:!'V3"</f>
        <v>#VALUE!</v>
      </c>
      <c r="HI140" s="98" t="e">
        <f>'Delivery Calculation'!F178+"AM:!'V4"</f>
        <v>#VALUE!</v>
      </c>
      <c r="HJ140" s="98" t="e">
        <f>'Delivery Calculation'!G178+"AM:!'V5"</f>
        <v>#VALUE!</v>
      </c>
      <c r="HK140" s="98" t="e">
        <f>'Delivery Calculation'!H178+"AM:!'V6"</f>
        <v>#VALUE!</v>
      </c>
      <c r="HL140" s="100" t="e">
        <f>'Delivery Calculation'!I178+"AM:!'V7"</f>
        <v>#VALUE!</v>
      </c>
      <c r="HM140" s="100" t="e">
        <f>'Delivery Calculation'!J178+"AM:!'V8"</f>
        <v>#VALUE!</v>
      </c>
      <c r="HN140" s="100" t="e">
        <f>'Delivery Calculation'!K178+"AM:!'V9"</f>
        <v>#VALUE!</v>
      </c>
      <c r="HO140" s="100" t="e">
        <f>'Delivery Calculation'!L178+"AM:!'V:"</f>
        <v>#VALUE!</v>
      </c>
      <c r="HP140" s="100" t="e">
        <f>'Delivery Calculation'!M178+"AM:!'V;"</f>
        <v>#VALUE!</v>
      </c>
      <c r="HQ140" s="100" t="e">
        <f>'Delivery Calculation'!N178+"AM:!'V&lt;"</f>
        <v>#VALUE!</v>
      </c>
      <c r="HR140" s="100" t="e">
        <f>'Delivery Calculation'!O178+"AM:!'V="</f>
        <v>#VALUE!</v>
      </c>
      <c r="HS140" s="100" t="e">
        <f>'Delivery Calculation'!P178+"AM:!'V&gt;"</f>
        <v>#VALUE!</v>
      </c>
      <c r="HT140" s="100" t="e">
        <f>'Delivery Calculation'!Q178+"AM:!'V?"</f>
        <v>#VALUE!</v>
      </c>
      <c r="HU140" s="100" t="e">
        <f>'Delivery Calculation'!R178+"AM:!'V@"</f>
        <v>#VALUE!</v>
      </c>
      <c r="HV140" s="100" t="e">
        <f>'Delivery Calculation'!S178+"AM:!'VA"</f>
        <v>#VALUE!</v>
      </c>
      <c r="HW140" s="100" t="e">
        <f>'Delivery Calculation'!T178+"AM:!'VB"</f>
        <v>#VALUE!</v>
      </c>
      <c r="HX140" s="100" t="e">
        <f>'Delivery Calculation'!U178+"AM:!'VC"</f>
        <v>#VALUE!</v>
      </c>
      <c r="HY140" s="100" t="e">
        <f>'Delivery Calculation'!V178+"AM:!'VD"</f>
        <v>#VALUE!</v>
      </c>
      <c r="HZ140" s="100" t="e">
        <f>'Delivery Calculation'!W178+"AM:!'VE"</f>
        <v>#VALUE!</v>
      </c>
      <c r="IA140" s="100" t="e">
        <f>'Delivery Calculation'!X178+"AM:!'VF"</f>
        <v>#VALUE!</v>
      </c>
      <c r="IB140" s="100" t="e">
        <f>'Delivery Calculation'!Y178+"AM:!'VG"</f>
        <v>#VALUE!</v>
      </c>
      <c r="IC140" s="100" t="e">
        <f>'Delivery Calculation'!Z178+"AM:!'VH"</f>
        <v>#VALUE!</v>
      </c>
      <c r="ID140" s="100" t="e">
        <f>'Delivery Calculation'!AA178+"AM:!'VI"</f>
        <v>#VALUE!</v>
      </c>
      <c r="IE140" s="100" t="e">
        <f>'Delivery Calculation'!AB178+"AM:!'VJ"</f>
        <v>#VALUE!</v>
      </c>
      <c r="IF140" s="100" t="e">
        <f>'Delivery Calculation'!AC178+"AM:!'VK"</f>
        <v>#VALUE!</v>
      </c>
      <c r="IG140" s="100" t="e">
        <f>'Delivery Calculation'!AD178+"AM:!'VL"</f>
        <v>#VALUE!</v>
      </c>
      <c r="IH140" s="100" t="e">
        <f>'Delivery Calculation'!AE178+"AM:!'VM"</f>
        <v>#VALUE!</v>
      </c>
      <c r="II140" s="100" t="e">
        <f>'Delivery Calculation'!AF178+"AM:!'VN"</f>
        <v>#VALUE!</v>
      </c>
      <c r="IJ140" s="100" t="e">
        <f>'Delivery Calculation'!AG178+"AM:!'VO"</f>
        <v>#VALUE!</v>
      </c>
      <c r="IK140" s="100" t="e">
        <f>'Delivery Calculation'!AH178+"AM:!'VP"</f>
        <v>#VALUE!</v>
      </c>
      <c r="IL140" s="100" t="e">
        <f>'Delivery Calculation'!AI178+"AM:!'VQ"</f>
        <v>#VALUE!</v>
      </c>
      <c r="IM140" s="100" t="e">
        <f>'Delivery Calculation'!AJ178+"AM:!'VR"</f>
        <v>#VALUE!</v>
      </c>
      <c r="IN140" s="100" t="e">
        <f>'Delivery Calculation'!AK178+"AM:!'VS"</f>
        <v>#VALUE!</v>
      </c>
      <c r="IO140" s="100" t="e">
        <f>'Delivery Calculation'!AL178+"AM:!'VT"</f>
        <v>#VALUE!</v>
      </c>
      <c r="IP140" s="100" t="e">
        <f>'Delivery Calculation'!AM178+"AM:!'VU"</f>
        <v>#VALUE!</v>
      </c>
      <c r="IQ140" s="100" t="e">
        <f>'Delivery Calculation'!AN178+"AM:!'VV"</f>
        <v>#VALUE!</v>
      </c>
      <c r="IR140" s="100" t="e">
        <f>'Delivery Calculation'!AO178+"AM:!'VW"</f>
        <v>#VALUE!</v>
      </c>
      <c r="IS140" s="100" t="e">
        <f>'Delivery Calculation'!AP178+"AM:!'VX"</f>
        <v>#VALUE!</v>
      </c>
      <c r="IT140" s="100" t="e">
        <f>'Delivery Calculation'!AQ178+"AM:!'VY"</f>
        <v>#VALUE!</v>
      </c>
      <c r="IU140" s="100" t="e">
        <f>'Delivery Calculation'!AR178+"AM:!'VZ"</f>
        <v>#VALUE!</v>
      </c>
      <c r="IV140" s="100" t="e">
        <f>'Delivery Calculation'!AS178+"AM:!'V["</f>
        <v>#VALUE!</v>
      </c>
    </row>
    <row r="141" spans="6:256">
      <c r="F141" s="100" t="e">
        <f>'Delivery Calculation'!AT178+"AM:!'V\"</f>
        <v>#VALUE!</v>
      </c>
      <c r="G141" s="100" t="e">
        <f>'Delivery Calculation'!AU178+"AM:!'V]"</f>
        <v>#VALUE!</v>
      </c>
      <c r="H141" s="100" t="e">
        <f>'Delivery Calculation'!AV178+"AM:!'V^"</f>
        <v>#VALUE!</v>
      </c>
      <c r="I141" s="100" t="e">
        <f>'Delivery Calculation'!AW178+"AM:!'V_"</f>
        <v>#VALUE!</v>
      </c>
      <c r="J141" s="100" t="e">
        <f>'Delivery Calculation'!AX178+"AM:!'V`"</f>
        <v>#VALUE!</v>
      </c>
      <c r="K141" t="e">
        <f>'Delivery Calculation'!AY178+"AM:!'Va"</f>
        <v>#VALUE!</v>
      </c>
      <c r="L141" t="e">
        <f>'Delivery Calculation'!A179+"AM:!'Vb"</f>
        <v>#VALUE!</v>
      </c>
      <c r="M141" t="e">
        <f>'Delivery Calculation'!B179+"AM:!'Vc"</f>
        <v>#VALUE!</v>
      </c>
      <c r="N141" t="e">
        <f>'Delivery Calculation'!C179+"AM:!'Vd"</f>
        <v>#VALUE!</v>
      </c>
      <c r="O141" t="e">
        <f>'Delivery Calculation'!D179+"AM:!'Ve"</f>
        <v>#VALUE!</v>
      </c>
      <c r="P141" t="e">
        <f>'Delivery Calculation'!E179+"AM:!'Vf"</f>
        <v>#VALUE!</v>
      </c>
      <c r="Q141" s="98" t="e">
        <f>'Delivery Calculation'!F179+"AM:!'Vg"</f>
        <v>#VALUE!</v>
      </c>
      <c r="R141" s="98" t="e">
        <f>'Delivery Calculation'!G179+"AM:!'Vh"</f>
        <v>#VALUE!</v>
      </c>
      <c r="S141" s="98" t="e">
        <f>'Delivery Calculation'!H179+"AM:!'Vi"</f>
        <v>#VALUE!</v>
      </c>
      <c r="T141" s="100" t="e">
        <f>'Delivery Calculation'!I179+"AM:!'Vj"</f>
        <v>#VALUE!</v>
      </c>
      <c r="U141" s="100" t="e">
        <f>'Delivery Calculation'!J179+"AM:!'Vk"</f>
        <v>#VALUE!</v>
      </c>
      <c r="V141" s="100" t="e">
        <f>'Delivery Calculation'!K179+"AM:!'Vl"</f>
        <v>#VALUE!</v>
      </c>
      <c r="W141" s="100" t="e">
        <f>'Delivery Calculation'!L179+"AM:!'Vm"</f>
        <v>#VALUE!</v>
      </c>
      <c r="X141" s="100" t="e">
        <f>'Delivery Calculation'!M179+"AM:!'Vn"</f>
        <v>#VALUE!</v>
      </c>
      <c r="Y141" s="100" t="e">
        <f>'Delivery Calculation'!N179+"AM:!'Vo"</f>
        <v>#VALUE!</v>
      </c>
      <c r="Z141" s="100" t="e">
        <f>'Delivery Calculation'!O179+"AM:!'Vp"</f>
        <v>#VALUE!</v>
      </c>
      <c r="AA141" s="100" t="e">
        <f>'Delivery Calculation'!P179+"AM:!'Vq"</f>
        <v>#VALUE!</v>
      </c>
      <c r="AB141" s="100" t="e">
        <f>'Delivery Calculation'!Q179+"AM:!'Vr"</f>
        <v>#VALUE!</v>
      </c>
      <c r="AC141" s="100" t="e">
        <f>'Delivery Calculation'!R179+"AM:!'Vs"</f>
        <v>#VALUE!</v>
      </c>
      <c r="AD141" s="100" t="e">
        <f>'Delivery Calculation'!S179+"AM:!'Vt"</f>
        <v>#VALUE!</v>
      </c>
      <c r="AE141" s="100" t="e">
        <f>'Delivery Calculation'!T179+"AM:!'Vu"</f>
        <v>#VALUE!</v>
      </c>
      <c r="AF141" s="100" t="e">
        <f>'Delivery Calculation'!U179+"AM:!'Vv"</f>
        <v>#VALUE!</v>
      </c>
      <c r="AG141" s="100" t="e">
        <f>'Delivery Calculation'!V179+"AM:!'Vw"</f>
        <v>#VALUE!</v>
      </c>
      <c r="AH141" s="100" t="e">
        <f>'Delivery Calculation'!W179+"AM:!'Vx"</f>
        <v>#VALUE!</v>
      </c>
      <c r="AI141" s="100" t="e">
        <f>'Delivery Calculation'!X179+"AM:!'Vy"</f>
        <v>#VALUE!</v>
      </c>
      <c r="AJ141" s="100" t="e">
        <f>'Delivery Calculation'!Y179+"AM:!'Vz"</f>
        <v>#VALUE!</v>
      </c>
      <c r="AK141" s="100" t="e">
        <f>'Delivery Calculation'!Z179+"AM:!'V{"</f>
        <v>#VALUE!</v>
      </c>
      <c r="AL141" s="100" t="e">
        <f>'Delivery Calculation'!AA179+"AM:!'V|"</f>
        <v>#VALUE!</v>
      </c>
      <c r="AM141" s="100" t="e">
        <f>'Delivery Calculation'!AB179+"AM:!'V}"</f>
        <v>#VALUE!</v>
      </c>
      <c r="AN141" s="100" t="e">
        <f>'Delivery Calculation'!AC179+"AM:!'V~"</f>
        <v>#VALUE!</v>
      </c>
      <c r="AO141" s="100" t="e">
        <f>'Delivery Calculation'!AD179+"AM:!'W#"</f>
        <v>#VALUE!</v>
      </c>
      <c r="AP141" s="100" t="e">
        <f>'Delivery Calculation'!AE179+"AM:!'W$"</f>
        <v>#VALUE!</v>
      </c>
      <c r="AQ141" s="100" t="e">
        <f>'Delivery Calculation'!AF179+"AM:!'W%"</f>
        <v>#VALUE!</v>
      </c>
      <c r="AR141" s="100" t="e">
        <f>'Delivery Calculation'!AG179+"AM:!'W&amp;"</f>
        <v>#VALUE!</v>
      </c>
      <c r="AS141" s="100" t="e">
        <f>'Delivery Calculation'!AH179+"AM:!'W'"</f>
        <v>#VALUE!</v>
      </c>
      <c r="AT141" s="100" t="e">
        <f>'Delivery Calculation'!AI179+"AM:!'W("</f>
        <v>#VALUE!</v>
      </c>
      <c r="AU141" s="100" t="e">
        <f>'Delivery Calculation'!AJ179+"AM:!'W)"</f>
        <v>#VALUE!</v>
      </c>
      <c r="AV141" s="100" t="e">
        <f>'Delivery Calculation'!AK179+"AM:!'W."</f>
        <v>#VALUE!</v>
      </c>
      <c r="AW141" s="100" t="e">
        <f>'Delivery Calculation'!AL179+"AM:!'W/"</f>
        <v>#VALUE!</v>
      </c>
      <c r="AX141" s="100" t="e">
        <f>'Delivery Calculation'!AM179+"AM:!'W0"</f>
        <v>#VALUE!</v>
      </c>
      <c r="AY141" s="100" t="e">
        <f>'Delivery Calculation'!AN179+"AM:!'W1"</f>
        <v>#VALUE!</v>
      </c>
      <c r="AZ141" s="100" t="e">
        <f>'Delivery Calculation'!AO179+"AM:!'W2"</f>
        <v>#VALUE!</v>
      </c>
      <c r="BA141" s="100" t="e">
        <f>'Delivery Calculation'!AP179+"AM:!'W3"</f>
        <v>#VALUE!</v>
      </c>
      <c r="BB141" s="100" t="e">
        <f>'Delivery Calculation'!AQ179+"AM:!'W4"</f>
        <v>#VALUE!</v>
      </c>
      <c r="BC141" s="100" t="e">
        <f>'Delivery Calculation'!AR179+"AM:!'W5"</f>
        <v>#VALUE!</v>
      </c>
      <c r="BD141" s="100" t="e">
        <f>'Delivery Calculation'!AS179+"AM:!'W6"</f>
        <v>#VALUE!</v>
      </c>
      <c r="BE141" s="100" t="e">
        <f>'Delivery Calculation'!AT179+"AM:!'W7"</f>
        <v>#VALUE!</v>
      </c>
      <c r="BF141" s="100" t="e">
        <f>'Delivery Calculation'!AU179+"AM:!'W8"</f>
        <v>#VALUE!</v>
      </c>
      <c r="BG141" s="100" t="e">
        <f>'Delivery Calculation'!AV179+"AM:!'W9"</f>
        <v>#VALUE!</v>
      </c>
      <c r="BH141" s="100" t="e">
        <f>'Delivery Calculation'!AW179+"AM:!'W:"</f>
        <v>#VALUE!</v>
      </c>
      <c r="BI141" s="100" t="e">
        <f>'Delivery Calculation'!AX179+"AM:!'W;"</f>
        <v>#VALUE!</v>
      </c>
      <c r="BJ141" t="e">
        <f>'Delivery Calculation'!AY179+"AM:!'W&lt;"</f>
        <v>#VALUE!</v>
      </c>
      <c r="BK141" t="e">
        <f>'Delivery Calculation'!A180+"AM:!'W="</f>
        <v>#VALUE!</v>
      </c>
      <c r="BL141" t="e">
        <f>'Delivery Calculation'!B180+"AM:!'W&gt;"</f>
        <v>#VALUE!</v>
      </c>
      <c r="BM141" t="e">
        <f>'Delivery Calculation'!C180+"AM:!'W?"</f>
        <v>#VALUE!</v>
      </c>
      <c r="BN141" t="e">
        <f>'Delivery Calculation'!D180+"AM:!'W@"</f>
        <v>#VALUE!</v>
      </c>
      <c r="BO141" t="e">
        <f>'Delivery Calculation'!E180+"AM:!'WA"</f>
        <v>#VALUE!</v>
      </c>
      <c r="BP141" s="98" t="e">
        <f>'Delivery Calculation'!F180+"AM:!'WB"</f>
        <v>#VALUE!</v>
      </c>
      <c r="BQ141" s="98" t="e">
        <f>'Delivery Calculation'!G180+"AM:!'WC"</f>
        <v>#VALUE!</v>
      </c>
      <c r="BR141" s="98" t="e">
        <f>'Delivery Calculation'!H180+"AM:!'WD"</f>
        <v>#VALUE!</v>
      </c>
      <c r="BS141" s="100" t="e">
        <f>'Delivery Calculation'!I180+"AM:!'WE"</f>
        <v>#VALUE!</v>
      </c>
      <c r="BT141" s="100" t="e">
        <f>'Delivery Calculation'!J180+"AM:!'WF"</f>
        <v>#VALUE!</v>
      </c>
      <c r="BU141" s="100" t="e">
        <f>'Delivery Calculation'!K180+"AM:!'WG"</f>
        <v>#VALUE!</v>
      </c>
      <c r="BV141" s="100" t="e">
        <f>'Delivery Calculation'!L180+"AM:!'WH"</f>
        <v>#VALUE!</v>
      </c>
      <c r="BW141" s="100" t="e">
        <f>'Delivery Calculation'!M180+"AM:!'WI"</f>
        <v>#VALUE!</v>
      </c>
      <c r="BX141" s="100" t="e">
        <f>'Delivery Calculation'!N180+"AM:!'WJ"</f>
        <v>#VALUE!</v>
      </c>
      <c r="BY141" s="100" t="e">
        <f>'Delivery Calculation'!O180+"AM:!'WK"</f>
        <v>#VALUE!</v>
      </c>
      <c r="BZ141" s="100" t="e">
        <f>'Delivery Calculation'!P180+"AM:!'WL"</f>
        <v>#VALUE!</v>
      </c>
      <c r="CA141" s="100" t="e">
        <f>'Delivery Calculation'!Q180+"AM:!'WM"</f>
        <v>#VALUE!</v>
      </c>
      <c r="CB141" s="100" t="e">
        <f>'Delivery Calculation'!R180+"AM:!'WN"</f>
        <v>#VALUE!</v>
      </c>
      <c r="CC141" s="100" t="e">
        <f>'Delivery Calculation'!S180+"AM:!'WO"</f>
        <v>#VALUE!</v>
      </c>
      <c r="CD141" s="100" t="e">
        <f>'Delivery Calculation'!T180+"AM:!'WP"</f>
        <v>#VALUE!</v>
      </c>
      <c r="CE141" s="100" t="e">
        <f>'Delivery Calculation'!U180+"AM:!'WQ"</f>
        <v>#VALUE!</v>
      </c>
      <c r="CF141" s="100" t="e">
        <f>'Delivery Calculation'!V180+"AM:!'WR"</f>
        <v>#VALUE!</v>
      </c>
      <c r="CG141" s="100" t="e">
        <f>'Delivery Calculation'!W180+"AM:!'WS"</f>
        <v>#VALUE!</v>
      </c>
      <c r="CH141" s="100" t="e">
        <f>'Delivery Calculation'!X180+"AM:!'WT"</f>
        <v>#VALUE!</v>
      </c>
      <c r="CI141" s="100" t="e">
        <f>'Delivery Calculation'!Y180+"AM:!'WU"</f>
        <v>#VALUE!</v>
      </c>
      <c r="CJ141" s="100" t="e">
        <f>'Delivery Calculation'!Z180+"AM:!'WV"</f>
        <v>#VALUE!</v>
      </c>
      <c r="CK141" s="100" t="e">
        <f>'Delivery Calculation'!AA180+"AM:!'WW"</f>
        <v>#VALUE!</v>
      </c>
      <c r="CL141" s="100" t="e">
        <f>'Delivery Calculation'!AB180+"AM:!'WX"</f>
        <v>#VALUE!</v>
      </c>
      <c r="CM141" s="100" t="e">
        <f>'Delivery Calculation'!AC180+"AM:!'WY"</f>
        <v>#VALUE!</v>
      </c>
      <c r="CN141" s="100" t="e">
        <f>'Delivery Calculation'!AD180+"AM:!'WZ"</f>
        <v>#VALUE!</v>
      </c>
      <c r="CO141" s="100" t="e">
        <f>'Delivery Calculation'!AE180+"AM:!'W["</f>
        <v>#VALUE!</v>
      </c>
      <c r="CP141" s="100" t="e">
        <f>'Delivery Calculation'!AF180+"AM:!'W\"</f>
        <v>#VALUE!</v>
      </c>
      <c r="CQ141" s="100" t="e">
        <f>'Delivery Calculation'!AG180+"AM:!'W]"</f>
        <v>#VALUE!</v>
      </c>
      <c r="CR141" s="100" t="e">
        <f>'Delivery Calculation'!AH180+"AM:!'W^"</f>
        <v>#VALUE!</v>
      </c>
      <c r="CS141" s="100" t="e">
        <f>'Delivery Calculation'!AI180+"AM:!'W_"</f>
        <v>#VALUE!</v>
      </c>
      <c r="CT141" s="100" t="e">
        <f>'Delivery Calculation'!AJ180+"AM:!'W`"</f>
        <v>#VALUE!</v>
      </c>
      <c r="CU141" s="100" t="e">
        <f>'Delivery Calculation'!AK180+"AM:!'Wa"</f>
        <v>#VALUE!</v>
      </c>
      <c r="CV141" s="100" t="e">
        <f>'Delivery Calculation'!AL180+"AM:!'Wb"</f>
        <v>#VALUE!</v>
      </c>
      <c r="CW141" s="100" t="e">
        <f>'Delivery Calculation'!AM180+"AM:!'Wc"</f>
        <v>#VALUE!</v>
      </c>
      <c r="CX141" s="100" t="e">
        <f>'Delivery Calculation'!AN180+"AM:!'Wd"</f>
        <v>#VALUE!</v>
      </c>
      <c r="CY141" s="100" t="e">
        <f>'Delivery Calculation'!AO180+"AM:!'We"</f>
        <v>#VALUE!</v>
      </c>
      <c r="CZ141" s="100" t="e">
        <f>'Delivery Calculation'!AP180+"AM:!'Wf"</f>
        <v>#VALUE!</v>
      </c>
      <c r="DA141" s="100" t="e">
        <f>'Delivery Calculation'!AQ180+"AM:!'Wg"</f>
        <v>#VALUE!</v>
      </c>
      <c r="DB141" s="100" t="e">
        <f>'Delivery Calculation'!AR180+"AM:!'Wh"</f>
        <v>#VALUE!</v>
      </c>
      <c r="DC141" s="100" t="e">
        <f>'Delivery Calculation'!AS180+"AM:!'Wi"</f>
        <v>#VALUE!</v>
      </c>
      <c r="DD141" s="100" t="e">
        <f>'Delivery Calculation'!AT180+"AM:!'Wj"</f>
        <v>#VALUE!</v>
      </c>
      <c r="DE141" s="100" t="e">
        <f>'Delivery Calculation'!AU180+"AM:!'Wk"</f>
        <v>#VALUE!</v>
      </c>
      <c r="DF141" s="100" t="e">
        <f>'Delivery Calculation'!AV180+"AM:!'Wl"</f>
        <v>#VALUE!</v>
      </c>
      <c r="DG141" s="100" t="e">
        <f>'Delivery Calculation'!AW180+"AM:!'Wm"</f>
        <v>#VALUE!</v>
      </c>
      <c r="DH141" s="100" t="e">
        <f>'Delivery Calculation'!AX180+"AM:!'Wn"</f>
        <v>#VALUE!</v>
      </c>
      <c r="DI141" t="e">
        <f>'Delivery Calculation'!AY180+"AM:!'Wo"</f>
        <v>#VALUE!</v>
      </c>
      <c r="DJ141" t="e">
        <f>'Delivery Calculation'!A181+"AM:!'Wp"</f>
        <v>#VALUE!</v>
      </c>
      <c r="DK141" t="e">
        <f>'Delivery Calculation'!B181+"AM:!'Wq"</f>
        <v>#VALUE!</v>
      </c>
      <c r="DL141" t="e">
        <f>'Delivery Calculation'!C181+"AM:!'Wr"</f>
        <v>#VALUE!</v>
      </c>
      <c r="DM141" t="e">
        <f>'Delivery Calculation'!D181+"AM:!'Ws"</f>
        <v>#VALUE!</v>
      </c>
      <c r="DN141" t="e">
        <f>'Delivery Calculation'!E181+"AM:!'Wt"</f>
        <v>#VALUE!</v>
      </c>
      <c r="DO141" s="98" t="e">
        <f>'Delivery Calculation'!F181+"AM:!'Wu"</f>
        <v>#VALUE!</v>
      </c>
      <c r="DP141" s="98" t="e">
        <f>'Delivery Calculation'!G181+"AM:!'Wv"</f>
        <v>#VALUE!</v>
      </c>
      <c r="DQ141" s="98" t="e">
        <f>'Delivery Calculation'!H181+"AM:!'Ww"</f>
        <v>#VALUE!</v>
      </c>
      <c r="DR141" s="100" t="e">
        <f>'Delivery Calculation'!I181+"AM:!'Wx"</f>
        <v>#VALUE!</v>
      </c>
      <c r="DS141" s="100" t="e">
        <f>'Delivery Calculation'!J181+"AM:!'Wy"</f>
        <v>#VALUE!</v>
      </c>
      <c r="DT141" s="100" t="e">
        <f>'Delivery Calculation'!K181+"AM:!'Wz"</f>
        <v>#VALUE!</v>
      </c>
      <c r="DU141" s="100" t="e">
        <f>'Delivery Calculation'!L181+"AM:!'W{"</f>
        <v>#VALUE!</v>
      </c>
      <c r="DV141" s="100" t="e">
        <f>'Delivery Calculation'!M181+"AM:!'W|"</f>
        <v>#VALUE!</v>
      </c>
      <c r="DW141" s="100" t="e">
        <f>'Delivery Calculation'!N181+"AM:!'W}"</f>
        <v>#VALUE!</v>
      </c>
      <c r="DX141" s="100" t="e">
        <f>'Delivery Calculation'!O181+"AM:!'W~"</f>
        <v>#VALUE!</v>
      </c>
      <c r="DY141" s="100" t="e">
        <f>'Delivery Calculation'!P181+"AM:!'X#"</f>
        <v>#VALUE!</v>
      </c>
      <c r="DZ141" s="100" t="e">
        <f>'Delivery Calculation'!Q181+"AM:!'X$"</f>
        <v>#VALUE!</v>
      </c>
      <c r="EA141" s="100" t="e">
        <f>'Delivery Calculation'!R181+"AM:!'X%"</f>
        <v>#VALUE!</v>
      </c>
      <c r="EB141" s="100" t="e">
        <f>'Delivery Calculation'!S181+"AM:!'X&amp;"</f>
        <v>#VALUE!</v>
      </c>
      <c r="EC141" s="100" t="e">
        <f>'Delivery Calculation'!T181+"AM:!'X'"</f>
        <v>#VALUE!</v>
      </c>
      <c r="ED141" s="100" t="e">
        <f>'Delivery Calculation'!U181+"AM:!'X("</f>
        <v>#VALUE!</v>
      </c>
      <c r="EE141" s="100" t="e">
        <f>'Delivery Calculation'!V181+"AM:!'X)"</f>
        <v>#VALUE!</v>
      </c>
      <c r="EF141" s="100" t="e">
        <f>'Delivery Calculation'!W181+"AM:!'X."</f>
        <v>#VALUE!</v>
      </c>
      <c r="EG141" s="100" t="e">
        <f>'Delivery Calculation'!X181+"AM:!'X/"</f>
        <v>#VALUE!</v>
      </c>
      <c r="EH141" s="100" t="e">
        <f>'Delivery Calculation'!Y181+"AM:!'X0"</f>
        <v>#VALUE!</v>
      </c>
      <c r="EI141" s="100" t="e">
        <f>'Delivery Calculation'!Z181+"AM:!'X1"</f>
        <v>#VALUE!</v>
      </c>
      <c r="EJ141" s="100" t="e">
        <f>'Delivery Calculation'!AA181+"AM:!'X2"</f>
        <v>#VALUE!</v>
      </c>
      <c r="EK141" s="100" t="e">
        <f>'Delivery Calculation'!AB181+"AM:!'X3"</f>
        <v>#VALUE!</v>
      </c>
      <c r="EL141" s="100" t="e">
        <f>'Delivery Calculation'!AC181+"AM:!'X4"</f>
        <v>#VALUE!</v>
      </c>
      <c r="EM141" s="100" t="e">
        <f>'Delivery Calculation'!AD181+"AM:!'X5"</f>
        <v>#VALUE!</v>
      </c>
      <c r="EN141" s="100" t="e">
        <f>'Delivery Calculation'!AE181+"AM:!'X6"</f>
        <v>#VALUE!</v>
      </c>
      <c r="EO141" s="100" t="e">
        <f>'Delivery Calculation'!AF181+"AM:!'X7"</f>
        <v>#VALUE!</v>
      </c>
      <c r="EP141" s="100" t="e">
        <f>'Delivery Calculation'!AG181+"AM:!'X8"</f>
        <v>#VALUE!</v>
      </c>
      <c r="EQ141" s="100" t="e">
        <f>'Delivery Calculation'!AH181+"AM:!'X9"</f>
        <v>#VALUE!</v>
      </c>
      <c r="ER141" s="100" t="e">
        <f>'Delivery Calculation'!AI181+"AM:!'X:"</f>
        <v>#VALUE!</v>
      </c>
      <c r="ES141" s="100" t="e">
        <f>'Delivery Calculation'!AJ181+"AM:!'X;"</f>
        <v>#VALUE!</v>
      </c>
      <c r="ET141" s="100" t="e">
        <f>'Delivery Calculation'!AK181+"AM:!'X&lt;"</f>
        <v>#VALUE!</v>
      </c>
      <c r="EU141" s="100" t="e">
        <f>'Delivery Calculation'!AL181+"AM:!'X="</f>
        <v>#VALUE!</v>
      </c>
      <c r="EV141" s="100" t="e">
        <f>'Delivery Calculation'!AM181+"AM:!'X&gt;"</f>
        <v>#VALUE!</v>
      </c>
      <c r="EW141" s="100" t="e">
        <f>'Delivery Calculation'!AN181+"AM:!'X?"</f>
        <v>#VALUE!</v>
      </c>
      <c r="EX141" s="100" t="e">
        <f>'Delivery Calculation'!AO181+"AM:!'X@"</f>
        <v>#VALUE!</v>
      </c>
      <c r="EY141" s="100" t="e">
        <f>'Delivery Calculation'!AP181+"AM:!'XA"</f>
        <v>#VALUE!</v>
      </c>
      <c r="EZ141" s="100" t="e">
        <f>'Delivery Calculation'!AQ181+"AM:!'XB"</f>
        <v>#VALUE!</v>
      </c>
      <c r="FA141" s="100" t="e">
        <f>'Delivery Calculation'!AR181+"AM:!'XC"</f>
        <v>#VALUE!</v>
      </c>
      <c r="FB141" s="100" t="e">
        <f>'Delivery Calculation'!AS181+"AM:!'XD"</f>
        <v>#VALUE!</v>
      </c>
      <c r="FC141" s="100" t="e">
        <f>'Delivery Calculation'!AT181+"AM:!'XE"</f>
        <v>#VALUE!</v>
      </c>
      <c r="FD141" s="100" t="e">
        <f>'Delivery Calculation'!AU181+"AM:!'XF"</f>
        <v>#VALUE!</v>
      </c>
      <c r="FE141" s="100" t="e">
        <f>'Delivery Calculation'!AV181+"AM:!'XG"</f>
        <v>#VALUE!</v>
      </c>
      <c r="FF141" s="100" t="e">
        <f>'Delivery Calculation'!AW181+"AM:!'XH"</f>
        <v>#VALUE!</v>
      </c>
      <c r="FG141" s="100" t="e">
        <f>'Delivery Calculation'!AX181+"AM:!'XI"</f>
        <v>#VALUE!</v>
      </c>
      <c r="FH141" t="e">
        <f>'Delivery Calculation'!AY181+"AM:!'XJ"</f>
        <v>#VALUE!</v>
      </c>
      <c r="FI141" t="e">
        <f>'Delivery Calculation'!A182+"AM:!'XK"</f>
        <v>#VALUE!</v>
      </c>
      <c r="FJ141" t="e">
        <f>'Delivery Calculation'!B182+"AM:!'XL"</f>
        <v>#VALUE!</v>
      </c>
      <c r="FK141" t="e">
        <f>'Delivery Calculation'!C182+"AM:!'XM"</f>
        <v>#VALUE!</v>
      </c>
      <c r="FL141" t="e">
        <f>'Delivery Calculation'!D182+"AM:!'XN"</f>
        <v>#VALUE!</v>
      </c>
      <c r="FM141" t="e">
        <f>'Delivery Calculation'!E182+"AM:!'XO"</f>
        <v>#VALUE!</v>
      </c>
      <c r="FN141" s="98" t="e">
        <f>'Delivery Calculation'!F182+"AM:!'XP"</f>
        <v>#VALUE!</v>
      </c>
      <c r="FO141" s="98" t="e">
        <f>'Delivery Calculation'!G182+"AM:!'XQ"</f>
        <v>#VALUE!</v>
      </c>
      <c r="FP141" s="98" t="e">
        <f>'Delivery Calculation'!H182+"AM:!'XR"</f>
        <v>#VALUE!</v>
      </c>
      <c r="FQ141" s="100" t="e">
        <f>'Delivery Calculation'!I182+"AM:!'XS"</f>
        <v>#VALUE!</v>
      </c>
      <c r="FR141" s="100" t="e">
        <f>'Delivery Calculation'!J182+"AM:!'XT"</f>
        <v>#VALUE!</v>
      </c>
      <c r="FS141" s="100" t="e">
        <f>'Delivery Calculation'!K182+"AM:!'XU"</f>
        <v>#VALUE!</v>
      </c>
      <c r="FT141" s="100" t="e">
        <f>'Delivery Calculation'!L182+"AM:!'XV"</f>
        <v>#VALUE!</v>
      </c>
      <c r="FU141" s="100" t="e">
        <f>'Delivery Calculation'!M182+"AM:!'XW"</f>
        <v>#VALUE!</v>
      </c>
      <c r="FV141" s="100" t="e">
        <f>'Delivery Calculation'!N182+"AM:!'XX"</f>
        <v>#VALUE!</v>
      </c>
      <c r="FW141" s="100" t="e">
        <f>'Delivery Calculation'!O182+"AM:!'XY"</f>
        <v>#VALUE!</v>
      </c>
      <c r="FX141" s="100" t="e">
        <f>'Delivery Calculation'!P182+"AM:!'XZ"</f>
        <v>#VALUE!</v>
      </c>
      <c r="FY141" s="100" t="e">
        <f>'Delivery Calculation'!Q182+"AM:!'X["</f>
        <v>#VALUE!</v>
      </c>
      <c r="FZ141" s="100" t="e">
        <f>'Delivery Calculation'!R182+"AM:!'X\"</f>
        <v>#VALUE!</v>
      </c>
      <c r="GA141" s="100" t="e">
        <f>'Delivery Calculation'!S182+"AM:!'X]"</f>
        <v>#VALUE!</v>
      </c>
      <c r="GB141" s="100" t="e">
        <f>'Delivery Calculation'!T182+"AM:!'X^"</f>
        <v>#VALUE!</v>
      </c>
      <c r="GC141" s="100" t="e">
        <f>'Delivery Calculation'!U182+"AM:!'X_"</f>
        <v>#VALUE!</v>
      </c>
      <c r="GD141" s="100" t="e">
        <f>'Delivery Calculation'!V182+"AM:!'X`"</f>
        <v>#VALUE!</v>
      </c>
      <c r="GE141" s="100" t="e">
        <f>'Delivery Calculation'!W182+"AM:!'Xa"</f>
        <v>#VALUE!</v>
      </c>
      <c r="GF141" s="100" t="e">
        <f>'Delivery Calculation'!X182+"AM:!'Xb"</f>
        <v>#VALUE!</v>
      </c>
      <c r="GG141" s="100" t="e">
        <f>'Delivery Calculation'!Y182+"AM:!'Xc"</f>
        <v>#VALUE!</v>
      </c>
      <c r="GH141" s="100" t="e">
        <f>'Delivery Calculation'!Z182+"AM:!'Xd"</f>
        <v>#VALUE!</v>
      </c>
      <c r="GI141" s="100" t="e">
        <f>'Delivery Calculation'!AA182+"AM:!'Xe"</f>
        <v>#VALUE!</v>
      </c>
      <c r="GJ141" s="100" t="e">
        <f>'Delivery Calculation'!AB182+"AM:!'Xf"</f>
        <v>#VALUE!</v>
      </c>
      <c r="GK141" s="100" t="e">
        <f>'Delivery Calculation'!AC182+"AM:!'Xg"</f>
        <v>#VALUE!</v>
      </c>
      <c r="GL141" s="100" t="e">
        <f>'Delivery Calculation'!AD182+"AM:!'Xh"</f>
        <v>#VALUE!</v>
      </c>
      <c r="GM141" s="100" t="e">
        <f>'Delivery Calculation'!AE182+"AM:!'Xi"</f>
        <v>#VALUE!</v>
      </c>
      <c r="GN141" s="100" t="e">
        <f>'Delivery Calculation'!AF182+"AM:!'Xj"</f>
        <v>#VALUE!</v>
      </c>
      <c r="GO141" s="100" t="e">
        <f>'Delivery Calculation'!AG182+"AM:!'Xk"</f>
        <v>#VALUE!</v>
      </c>
      <c r="GP141" s="100" t="e">
        <f>'Delivery Calculation'!AH182+"AM:!'Xl"</f>
        <v>#VALUE!</v>
      </c>
      <c r="GQ141" s="100" t="e">
        <f>'Delivery Calculation'!AI182+"AM:!'Xm"</f>
        <v>#VALUE!</v>
      </c>
      <c r="GR141" s="100" t="e">
        <f>'Delivery Calculation'!AJ182+"AM:!'Xn"</f>
        <v>#VALUE!</v>
      </c>
      <c r="GS141" s="100" t="e">
        <f>'Delivery Calculation'!AK182+"AM:!'Xo"</f>
        <v>#VALUE!</v>
      </c>
      <c r="GT141" s="100" t="e">
        <f>'Delivery Calculation'!AL182+"AM:!'Xp"</f>
        <v>#VALUE!</v>
      </c>
      <c r="GU141" s="100" t="e">
        <f>'Delivery Calculation'!AM182+"AM:!'Xq"</f>
        <v>#VALUE!</v>
      </c>
      <c r="GV141" s="100" t="e">
        <f>'Delivery Calculation'!AN182+"AM:!'Xr"</f>
        <v>#VALUE!</v>
      </c>
      <c r="GW141" s="100" t="e">
        <f>'Delivery Calculation'!AO182+"AM:!'Xs"</f>
        <v>#VALUE!</v>
      </c>
      <c r="GX141" s="100" t="e">
        <f>'Delivery Calculation'!AP182+"AM:!'Xt"</f>
        <v>#VALUE!</v>
      </c>
      <c r="GY141" s="100" t="e">
        <f>'Delivery Calculation'!AQ182+"AM:!'Xu"</f>
        <v>#VALUE!</v>
      </c>
      <c r="GZ141" s="100" t="e">
        <f>'Delivery Calculation'!AR182+"AM:!'Xv"</f>
        <v>#VALUE!</v>
      </c>
      <c r="HA141" s="100" t="e">
        <f>'Delivery Calculation'!AS182+"AM:!'Xw"</f>
        <v>#VALUE!</v>
      </c>
      <c r="HB141" s="100" t="e">
        <f>'Delivery Calculation'!AT182+"AM:!'Xx"</f>
        <v>#VALUE!</v>
      </c>
      <c r="HC141" s="100" t="e">
        <f>'Delivery Calculation'!AU182+"AM:!'Xy"</f>
        <v>#VALUE!</v>
      </c>
      <c r="HD141" s="100" t="e">
        <f>'Delivery Calculation'!AV182+"AM:!'Xz"</f>
        <v>#VALUE!</v>
      </c>
      <c r="HE141" s="100" t="e">
        <f>'Delivery Calculation'!AW182+"AM:!'X{"</f>
        <v>#VALUE!</v>
      </c>
      <c r="HF141" s="100" t="e">
        <f>'Delivery Calculation'!AX182+"AM:!'X|"</f>
        <v>#VALUE!</v>
      </c>
      <c r="HG141" t="e">
        <f>'Delivery Calculation'!AY182+"AM:!'X}"</f>
        <v>#VALUE!</v>
      </c>
      <c r="HH141" t="e">
        <f>'Delivery Calculation'!A183+"AM:!'X~"</f>
        <v>#VALUE!</v>
      </c>
      <c r="HI141" t="e">
        <f>'Delivery Calculation'!B183+"AM:!'Y#"</f>
        <v>#VALUE!</v>
      </c>
      <c r="HJ141" t="e">
        <f>'Delivery Calculation'!C183+"AM:!'Y$"</f>
        <v>#VALUE!</v>
      </c>
      <c r="HK141" t="e">
        <f>'Delivery Calculation'!D183+"AM:!'Y%"</f>
        <v>#VALUE!</v>
      </c>
      <c r="HL141" t="e">
        <f>'Delivery Calculation'!E183+"AM:!'Y&amp;"</f>
        <v>#VALUE!</v>
      </c>
      <c r="HM141" s="98" t="e">
        <f>'Delivery Calculation'!F183+"AM:!'Y'"</f>
        <v>#VALUE!</v>
      </c>
      <c r="HN141" s="98" t="e">
        <f>'Delivery Calculation'!G183+"AM:!'Y("</f>
        <v>#VALUE!</v>
      </c>
      <c r="HO141" s="98" t="e">
        <f>'Delivery Calculation'!H183+"AM:!'Y)"</f>
        <v>#VALUE!</v>
      </c>
      <c r="HP141" s="100" t="e">
        <f>'Delivery Calculation'!I183+"AM:!'Y."</f>
        <v>#VALUE!</v>
      </c>
      <c r="HQ141" s="100" t="e">
        <f>'Delivery Calculation'!J183+"AM:!'Y/"</f>
        <v>#VALUE!</v>
      </c>
      <c r="HR141" s="100" t="e">
        <f>'Delivery Calculation'!K183+"AM:!'Y0"</f>
        <v>#VALUE!</v>
      </c>
      <c r="HS141" s="100" t="e">
        <f>'Delivery Calculation'!L183+"AM:!'Y1"</f>
        <v>#VALUE!</v>
      </c>
      <c r="HT141" s="100" t="e">
        <f>'Delivery Calculation'!M183+"AM:!'Y2"</f>
        <v>#VALUE!</v>
      </c>
      <c r="HU141" s="100" t="e">
        <f>'Delivery Calculation'!N183+"AM:!'Y3"</f>
        <v>#VALUE!</v>
      </c>
      <c r="HV141" s="100" t="e">
        <f>'Delivery Calculation'!O183+"AM:!'Y4"</f>
        <v>#VALUE!</v>
      </c>
      <c r="HW141" s="100" t="e">
        <f>'Delivery Calculation'!P183+"AM:!'Y5"</f>
        <v>#VALUE!</v>
      </c>
      <c r="HX141" s="100" t="e">
        <f>'Delivery Calculation'!Q183+"AM:!'Y6"</f>
        <v>#VALUE!</v>
      </c>
      <c r="HY141" s="100" t="e">
        <f>'Delivery Calculation'!R183+"AM:!'Y7"</f>
        <v>#VALUE!</v>
      </c>
      <c r="HZ141" s="100" t="e">
        <f>'Delivery Calculation'!S183+"AM:!'Y8"</f>
        <v>#VALUE!</v>
      </c>
      <c r="IA141" s="100" t="e">
        <f>'Delivery Calculation'!T183+"AM:!'Y9"</f>
        <v>#VALUE!</v>
      </c>
      <c r="IB141" s="100" t="e">
        <f>'Delivery Calculation'!U183+"AM:!'Y:"</f>
        <v>#VALUE!</v>
      </c>
      <c r="IC141" s="100" t="e">
        <f>'Delivery Calculation'!V183+"AM:!'Y;"</f>
        <v>#VALUE!</v>
      </c>
      <c r="ID141" s="100" t="e">
        <f>'Delivery Calculation'!W183+"AM:!'Y&lt;"</f>
        <v>#VALUE!</v>
      </c>
      <c r="IE141" s="100" t="e">
        <f>'Delivery Calculation'!X183+"AM:!'Y="</f>
        <v>#VALUE!</v>
      </c>
      <c r="IF141" s="100" t="e">
        <f>'Delivery Calculation'!Y183+"AM:!'Y&gt;"</f>
        <v>#VALUE!</v>
      </c>
      <c r="IG141" s="100" t="e">
        <f>'Delivery Calculation'!Z183+"AM:!'Y?"</f>
        <v>#VALUE!</v>
      </c>
      <c r="IH141" s="100" t="e">
        <f>'Delivery Calculation'!AA183+"AM:!'Y@"</f>
        <v>#VALUE!</v>
      </c>
      <c r="II141" s="100" t="e">
        <f>'Delivery Calculation'!AB183+"AM:!'YA"</f>
        <v>#VALUE!</v>
      </c>
      <c r="IJ141" s="100" t="e">
        <f>'Delivery Calculation'!AC183+"AM:!'YB"</f>
        <v>#VALUE!</v>
      </c>
      <c r="IK141" s="100" t="e">
        <f>'Delivery Calculation'!AD183+"AM:!'YC"</f>
        <v>#VALUE!</v>
      </c>
      <c r="IL141" s="100" t="e">
        <f>'Delivery Calculation'!AE183+"AM:!'YD"</f>
        <v>#VALUE!</v>
      </c>
      <c r="IM141" s="100" t="e">
        <f>'Delivery Calculation'!AF183+"AM:!'YE"</f>
        <v>#VALUE!</v>
      </c>
      <c r="IN141" s="100" t="e">
        <f>'Delivery Calculation'!AG183+"AM:!'YF"</f>
        <v>#VALUE!</v>
      </c>
      <c r="IO141" s="100" t="e">
        <f>'Delivery Calculation'!AH183+"AM:!'YG"</f>
        <v>#VALUE!</v>
      </c>
      <c r="IP141" s="100" t="e">
        <f>'Delivery Calculation'!AI183+"AM:!'YH"</f>
        <v>#VALUE!</v>
      </c>
      <c r="IQ141" s="100" t="e">
        <f>'Delivery Calculation'!AJ183+"AM:!'YI"</f>
        <v>#VALUE!</v>
      </c>
      <c r="IR141" s="100" t="e">
        <f>'Delivery Calculation'!AK183+"AM:!'YJ"</f>
        <v>#VALUE!</v>
      </c>
      <c r="IS141" s="100" t="e">
        <f>'Delivery Calculation'!AL183+"AM:!'YK"</f>
        <v>#VALUE!</v>
      </c>
      <c r="IT141" s="100" t="e">
        <f>'Delivery Calculation'!AM183+"AM:!'YL"</f>
        <v>#VALUE!</v>
      </c>
      <c r="IU141" s="100" t="e">
        <f>'Delivery Calculation'!AN183+"AM:!'YM"</f>
        <v>#VALUE!</v>
      </c>
      <c r="IV141" s="100" t="e">
        <f>'Delivery Calculation'!AO183+"AM:!'YN"</f>
        <v>#VALUE!</v>
      </c>
    </row>
    <row r="142" spans="6:256">
      <c r="F142" s="100" t="e">
        <f>'Delivery Calculation'!AP183+"AM:!'YO"</f>
        <v>#VALUE!</v>
      </c>
      <c r="G142" s="100" t="e">
        <f>'Delivery Calculation'!AQ183+"AM:!'YP"</f>
        <v>#VALUE!</v>
      </c>
      <c r="H142" s="100" t="e">
        <f>'Delivery Calculation'!AR183+"AM:!'YQ"</f>
        <v>#VALUE!</v>
      </c>
      <c r="I142" s="100" t="e">
        <f>'Delivery Calculation'!AS183+"AM:!'YR"</f>
        <v>#VALUE!</v>
      </c>
      <c r="J142" s="100" t="e">
        <f>'Delivery Calculation'!AT183+"AM:!'YS"</f>
        <v>#VALUE!</v>
      </c>
      <c r="K142" s="100" t="e">
        <f>'Delivery Calculation'!AU183+"AM:!'YT"</f>
        <v>#VALUE!</v>
      </c>
      <c r="L142" s="100" t="e">
        <f>'Delivery Calculation'!AV183+"AM:!'YU"</f>
        <v>#VALUE!</v>
      </c>
      <c r="M142" s="100" t="e">
        <f>'Delivery Calculation'!AW183+"AM:!'YV"</f>
        <v>#VALUE!</v>
      </c>
      <c r="N142" s="100" t="e">
        <f>'Delivery Calculation'!AX183+"AM:!'YW"</f>
        <v>#VALUE!</v>
      </c>
      <c r="O142" t="e">
        <f>'Delivery Calculation'!AY183+"AM:!'YX"</f>
        <v>#VALUE!</v>
      </c>
      <c r="P142" t="e">
        <f>'Delivery Calculation'!A184+"AM:!'YY"</f>
        <v>#VALUE!</v>
      </c>
      <c r="Q142" t="e">
        <f>'Delivery Calculation'!B184+"AM:!'YZ"</f>
        <v>#VALUE!</v>
      </c>
      <c r="R142" t="e">
        <f>'Delivery Calculation'!C184+"AM:!'Y["</f>
        <v>#VALUE!</v>
      </c>
      <c r="S142" t="e">
        <f>'Delivery Calculation'!D184+"AM:!'Y\"</f>
        <v>#VALUE!</v>
      </c>
      <c r="T142" t="e">
        <f>'Delivery Calculation'!E184+"AM:!'Y]"</f>
        <v>#VALUE!</v>
      </c>
      <c r="U142" s="98" t="e">
        <f>'Delivery Calculation'!F184+"AM:!'Y^"</f>
        <v>#VALUE!</v>
      </c>
      <c r="V142" s="98" t="e">
        <f>'Delivery Calculation'!G184+"AM:!'Y_"</f>
        <v>#VALUE!</v>
      </c>
      <c r="W142" s="98" t="e">
        <f>'Delivery Calculation'!H184+"AM:!'Y`"</f>
        <v>#VALUE!</v>
      </c>
      <c r="X142" s="100" t="e">
        <f>'Delivery Calculation'!I184+"AM:!'Ya"</f>
        <v>#VALUE!</v>
      </c>
      <c r="Y142" s="100" t="e">
        <f>'Delivery Calculation'!J184+"AM:!'Yb"</f>
        <v>#VALUE!</v>
      </c>
      <c r="Z142" s="100" t="e">
        <f>'Delivery Calculation'!K184+"AM:!'Yc"</f>
        <v>#VALUE!</v>
      </c>
      <c r="AA142" s="100" t="e">
        <f>'Delivery Calculation'!L184+"AM:!'Yd"</f>
        <v>#VALUE!</v>
      </c>
      <c r="AB142" s="100" t="e">
        <f>'Delivery Calculation'!M184+"AM:!'Ye"</f>
        <v>#VALUE!</v>
      </c>
      <c r="AC142" s="100" t="e">
        <f>'Delivery Calculation'!N184+"AM:!'Yf"</f>
        <v>#VALUE!</v>
      </c>
      <c r="AD142" s="100" t="e">
        <f>'Delivery Calculation'!O184+"AM:!'Yg"</f>
        <v>#VALUE!</v>
      </c>
      <c r="AE142" s="100" t="e">
        <f>'Delivery Calculation'!P184+"AM:!'Yh"</f>
        <v>#VALUE!</v>
      </c>
      <c r="AF142" s="100" t="e">
        <f>'Delivery Calculation'!Q184+"AM:!'Yi"</f>
        <v>#VALUE!</v>
      </c>
      <c r="AG142" s="100" t="e">
        <f>'Delivery Calculation'!R184+"AM:!'Yj"</f>
        <v>#VALUE!</v>
      </c>
      <c r="AH142" s="100" t="e">
        <f>'Delivery Calculation'!S184+"AM:!'Yk"</f>
        <v>#VALUE!</v>
      </c>
      <c r="AI142" s="100" t="e">
        <f>'Delivery Calculation'!T184+"AM:!'Yl"</f>
        <v>#VALUE!</v>
      </c>
      <c r="AJ142" s="100" t="e">
        <f>'Delivery Calculation'!U184+"AM:!'Ym"</f>
        <v>#VALUE!</v>
      </c>
      <c r="AK142" s="100" t="e">
        <f>'Delivery Calculation'!V184+"AM:!'Yn"</f>
        <v>#VALUE!</v>
      </c>
      <c r="AL142" s="100" t="e">
        <f>'Delivery Calculation'!W184+"AM:!'Yo"</f>
        <v>#VALUE!</v>
      </c>
      <c r="AM142" s="100" t="e">
        <f>'Delivery Calculation'!X184+"AM:!'Yp"</f>
        <v>#VALUE!</v>
      </c>
      <c r="AN142" s="100" t="e">
        <f>'Delivery Calculation'!Y184+"AM:!'Yq"</f>
        <v>#VALUE!</v>
      </c>
      <c r="AO142" s="100" t="e">
        <f>'Delivery Calculation'!Z184+"AM:!'Yr"</f>
        <v>#VALUE!</v>
      </c>
      <c r="AP142" s="100" t="e">
        <f>'Delivery Calculation'!AA184+"AM:!'Ys"</f>
        <v>#VALUE!</v>
      </c>
      <c r="AQ142" s="100" t="e">
        <f>'Delivery Calculation'!AB184+"AM:!'Yt"</f>
        <v>#VALUE!</v>
      </c>
      <c r="AR142" s="100" t="e">
        <f>'Delivery Calculation'!AC184+"AM:!'Yu"</f>
        <v>#VALUE!</v>
      </c>
      <c r="AS142" s="100" t="e">
        <f>'Delivery Calculation'!AD184+"AM:!'Yv"</f>
        <v>#VALUE!</v>
      </c>
      <c r="AT142" s="100" t="e">
        <f>'Delivery Calculation'!AE184+"AM:!'Yw"</f>
        <v>#VALUE!</v>
      </c>
      <c r="AU142" s="100" t="e">
        <f>'Delivery Calculation'!AF184+"AM:!'Yx"</f>
        <v>#VALUE!</v>
      </c>
      <c r="AV142" s="100" t="e">
        <f>'Delivery Calculation'!AG184+"AM:!'Yy"</f>
        <v>#VALUE!</v>
      </c>
      <c r="AW142" s="100" t="e">
        <f>'Delivery Calculation'!AH184+"AM:!'Yz"</f>
        <v>#VALUE!</v>
      </c>
      <c r="AX142" s="100" t="e">
        <f>'Delivery Calculation'!AI184+"AM:!'Y{"</f>
        <v>#VALUE!</v>
      </c>
      <c r="AY142" s="100" t="e">
        <f>'Delivery Calculation'!AJ184+"AM:!'Y|"</f>
        <v>#VALUE!</v>
      </c>
      <c r="AZ142" s="100" t="e">
        <f>'Delivery Calculation'!AK184+"AM:!'Y}"</f>
        <v>#VALUE!</v>
      </c>
      <c r="BA142" s="100" t="e">
        <f>'Delivery Calculation'!AL184+"AM:!'Y~"</f>
        <v>#VALUE!</v>
      </c>
      <c r="BB142" s="100" t="e">
        <f>'Delivery Calculation'!AM184+"AM:!'Z#"</f>
        <v>#VALUE!</v>
      </c>
      <c r="BC142" s="100" t="e">
        <f>'Delivery Calculation'!AN184+"AM:!'Z$"</f>
        <v>#VALUE!</v>
      </c>
      <c r="BD142" s="100" t="e">
        <f>'Delivery Calculation'!AO184+"AM:!'Z%"</f>
        <v>#VALUE!</v>
      </c>
      <c r="BE142" s="100" t="e">
        <f>'Delivery Calculation'!AP184+"AM:!'Z&amp;"</f>
        <v>#VALUE!</v>
      </c>
      <c r="BF142" s="100" t="e">
        <f>'Delivery Calculation'!AQ184+"AM:!'Z'"</f>
        <v>#VALUE!</v>
      </c>
      <c r="BG142" s="100" t="e">
        <f>'Delivery Calculation'!AR184+"AM:!'Z("</f>
        <v>#VALUE!</v>
      </c>
      <c r="BH142" s="100" t="e">
        <f>'Delivery Calculation'!AS184+"AM:!'Z)"</f>
        <v>#VALUE!</v>
      </c>
      <c r="BI142" s="100" t="e">
        <f>'Delivery Calculation'!AT184+"AM:!'Z."</f>
        <v>#VALUE!</v>
      </c>
      <c r="BJ142" s="100" t="e">
        <f>'Delivery Calculation'!AU184+"AM:!'Z/"</f>
        <v>#VALUE!</v>
      </c>
      <c r="BK142" s="100" t="e">
        <f>'Delivery Calculation'!AV184+"AM:!'Z0"</f>
        <v>#VALUE!</v>
      </c>
      <c r="BL142" s="100" t="e">
        <f>'Delivery Calculation'!AW184+"AM:!'Z1"</f>
        <v>#VALUE!</v>
      </c>
      <c r="BM142" s="100" t="e">
        <f>'Delivery Calculation'!AX184+"AM:!'Z2"</f>
        <v>#VALUE!</v>
      </c>
      <c r="BN142" t="e">
        <f>'Delivery Calculation'!AY184+"AM:!'Z3"</f>
        <v>#VALUE!</v>
      </c>
      <c r="BO142" t="e">
        <f>'Delivery Calculation'!A185+"AM:!'Z4"</f>
        <v>#VALUE!</v>
      </c>
      <c r="BP142" t="e">
        <f>'Delivery Calculation'!B185+"AM:!'Z5"</f>
        <v>#VALUE!</v>
      </c>
      <c r="BQ142" t="e">
        <f>'Delivery Calculation'!C185+"AM:!'Z6"</f>
        <v>#VALUE!</v>
      </c>
      <c r="BR142" t="e">
        <f>'Delivery Calculation'!D185+"AM:!'Z7"</f>
        <v>#VALUE!</v>
      </c>
      <c r="BS142" t="e">
        <f>'Delivery Calculation'!E185+"AM:!'Z8"</f>
        <v>#VALUE!</v>
      </c>
      <c r="BT142" s="98" t="e">
        <f>'Delivery Calculation'!F185+"AM:!'Z9"</f>
        <v>#VALUE!</v>
      </c>
      <c r="BU142" s="98" t="e">
        <f>'Delivery Calculation'!G185+"AM:!'Z:"</f>
        <v>#VALUE!</v>
      </c>
      <c r="BV142" s="98" t="e">
        <f>'Delivery Calculation'!H185+"AM:!'Z;"</f>
        <v>#VALUE!</v>
      </c>
      <c r="BW142" s="100" t="e">
        <f>'Delivery Calculation'!I185+"AM:!'Z&lt;"</f>
        <v>#VALUE!</v>
      </c>
      <c r="BX142" s="100" t="e">
        <f>'Delivery Calculation'!J185+"AM:!'Z="</f>
        <v>#VALUE!</v>
      </c>
      <c r="BY142" s="100" t="e">
        <f>'Delivery Calculation'!K185+"AM:!'Z&gt;"</f>
        <v>#VALUE!</v>
      </c>
      <c r="BZ142" s="100" t="e">
        <f>'Delivery Calculation'!L185+"AM:!'Z?"</f>
        <v>#VALUE!</v>
      </c>
      <c r="CA142" s="100" t="e">
        <f>'Delivery Calculation'!M185+"AM:!'Z@"</f>
        <v>#VALUE!</v>
      </c>
      <c r="CB142" s="100" t="e">
        <f>'Delivery Calculation'!N185+"AM:!'ZA"</f>
        <v>#VALUE!</v>
      </c>
      <c r="CC142" s="100" t="e">
        <f>'Delivery Calculation'!O185+"AM:!'ZB"</f>
        <v>#VALUE!</v>
      </c>
      <c r="CD142" s="100" t="e">
        <f>'Delivery Calculation'!P185+"AM:!'ZC"</f>
        <v>#VALUE!</v>
      </c>
      <c r="CE142" s="100" t="e">
        <f>'Delivery Calculation'!Q185+"AM:!'ZD"</f>
        <v>#VALUE!</v>
      </c>
      <c r="CF142" s="100" t="e">
        <f>'Delivery Calculation'!R185+"AM:!'ZE"</f>
        <v>#VALUE!</v>
      </c>
      <c r="CG142" s="100" t="e">
        <f>'Delivery Calculation'!S185+"AM:!'ZF"</f>
        <v>#VALUE!</v>
      </c>
      <c r="CH142" s="100" t="e">
        <f>'Delivery Calculation'!T185+"AM:!'ZG"</f>
        <v>#VALUE!</v>
      </c>
      <c r="CI142" s="100" t="e">
        <f>'Delivery Calculation'!U185+"AM:!'ZH"</f>
        <v>#VALUE!</v>
      </c>
      <c r="CJ142" s="100" t="e">
        <f>'Delivery Calculation'!V185+"AM:!'ZI"</f>
        <v>#VALUE!</v>
      </c>
      <c r="CK142" s="100" t="e">
        <f>'Delivery Calculation'!W185+"AM:!'ZJ"</f>
        <v>#VALUE!</v>
      </c>
      <c r="CL142" s="100" t="e">
        <f>'Delivery Calculation'!X185+"AM:!'ZK"</f>
        <v>#VALUE!</v>
      </c>
      <c r="CM142" s="100" t="e">
        <f>'Delivery Calculation'!Y185+"AM:!'ZL"</f>
        <v>#VALUE!</v>
      </c>
      <c r="CN142" s="100" t="e">
        <f>'Delivery Calculation'!Z185+"AM:!'ZM"</f>
        <v>#VALUE!</v>
      </c>
      <c r="CO142" s="100" t="e">
        <f>'Delivery Calculation'!AA185+"AM:!'ZN"</f>
        <v>#VALUE!</v>
      </c>
      <c r="CP142" s="100" t="e">
        <f>'Delivery Calculation'!AB185+"AM:!'ZO"</f>
        <v>#VALUE!</v>
      </c>
      <c r="CQ142" s="100" t="e">
        <f>'Delivery Calculation'!AC185+"AM:!'ZP"</f>
        <v>#VALUE!</v>
      </c>
      <c r="CR142" s="100" t="e">
        <f>'Delivery Calculation'!AD185+"AM:!'ZQ"</f>
        <v>#VALUE!</v>
      </c>
      <c r="CS142" s="100" t="e">
        <f>'Delivery Calculation'!AE185+"AM:!'ZR"</f>
        <v>#VALUE!</v>
      </c>
      <c r="CT142" s="100" t="e">
        <f>'Delivery Calculation'!AF185+"AM:!'ZS"</f>
        <v>#VALUE!</v>
      </c>
      <c r="CU142" s="100" t="e">
        <f>'Delivery Calculation'!AG185+"AM:!'ZT"</f>
        <v>#VALUE!</v>
      </c>
      <c r="CV142" s="100" t="e">
        <f>'Delivery Calculation'!AH185+"AM:!'ZU"</f>
        <v>#VALUE!</v>
      </c>
      <c r="CW142" s="100" t="e">
        <f>'Delivery Calculation'!AI185+"AM:!'ZV"</f>
        <v>#VALUE!</v>
      </c>
      <c r="CX142" s="100" t="e">
        <f>'Delivery Calculation'!AJ185+"AM:!'ZW"</f>
        <v>#VALUE!</v>
      </c>
      <c r="CY142" s="100" t="e">
        <f>'Delivery Calculation'!AK185+"AM:!'ZX"</f>
        <v>#VALUE!</v>
      </c>
      <c r="CZ142" s="100" t="e">
        <f>'Delivery Calculation'!AL185+"AM:!'ZY"</f>
        <v>#VALUE!</v>
      </c>
      <c r="DA142" s="100" t="e">
        <f>'Delivery Calculation'!AM185+"AM:!'ZZ"</f>
        <v>#VALUE!</v>
      </c>
      <c r="DB142" s="100" t="e">
        <f>'Delivery Calculation'!AN185+"AM:!'Z["</f>
        <v>#VALUE!</v>
      </c>
      <c r="DC142" s="100" t="e">
        <f>'Delivery Calculation'!AO185+"AM:!'Z\"</f>
        <v>#VALUE!</v>
      </c>
      <c r="DD142" s="100" t="e">
        <f>'Delivery Calculation'!AP185+"AM:!'Z]"</f>
        <v>#VALUE!</v>
      </c>
      <c r="DE142" s="100" t="e">
        <f>'Delivery Calculation'!AQ185+"AM:!'Z^"</f>
        <v>#VALUE!</v>
      </c>
      <c r="DF142" s="100" t="e">
        <f>'Delivery Calculation'!AR185+"AM:!'Z_"</f>
        <v>#VALUE!</v>
      </c>
      <c r="DG142" s="100" t="e">
        <f>'Delivery Calculation'!AS185+"AM:!'Z`"</f>
        <v>#VALUE!</v>
      </c>
      <c r="DH142" s="100" t="e">
        <f>'Delivery Calculation'!AT185+"AM:!'Za"</f>
        <v>#VALUE!</v>
      </c>
      <c r="DI142" s="100" t="e">
        <f>'Delivery Calculation'!AU185+"AM:!'Zb"</f>
        <v>#VALUE!</v>
      </c>
      <c r="DJ142" s="100" t="e">
        <f>'Delivery Calculation'!AV185+"AM:!'Zc"</f>
        <v>#VALUE!</v>
      </c>
      <c r="DK142" s="100" t="e">
        <f>'Delivery Calculation'!AW185+"AM:!'Zd"</f>
        <v>#VALUE!</v>
      </c>
      <c r="DL142" s="100" t="e">
        <f>'Delivery Calculation'!AX185+"AM:!'Ze"</f>
        <v>#VALUE!</v>
      </c>
      <c r="DM142" t="e">
        <f>'Delivery Calculation'!AY185+"AM:!'Zf"</f>
        <v>#VALUE!</v>
      </c>
      <c r="DN142" t="e">
        <f>'Delivery Calculation'!A186+"AM:!'Zg"</f>
        <v>#VALUE!</v>
      </c>
      <c r="DO142" t="e">
        <f>'Delivery Calculation'!B186+"AM:!'Zh"</f>
        <v>#VALUE!</v>
      </c>
      <c r="DP142" t="e">
        <f>'Delivery Calculation'!C186+"AM:!'Zi"</f>
        <v>#VALUE!</v>
      </c>
      <c r="DQ142" t="e">
        <f>'Delivery Calculation'!D186+"AM:!'Zj"</f>
        <v>#VALUE!</v>
      </c>
      <c r="DR142" t="e">
        <f>'Delivery Calculation'!E186+"AM:!'Zk"</f>
        <v>#VALUE!</v>
      </c>
      <c r="DS142" s="98" t="e">
        <f>'Delivery Calculation'!F186+"AM:!'Zl"</f>
        <v>#VALUE!</v>
      </c>
      <c r="DT142" s="98" t="e">
        <f>'Delivery Calculation'!G186+"AM:!'Zm"</f>
        <v>#VALUE!</v>
      </c>
      <c r="DU142" s="98" t="e">
        <f>'Delivery Calculation'!H186+"AM:!'Zn"</f>
        <v>#VALUE!</v>
      </c>
      <c r="DV142" s="100" t="e">
        <f>'Delivery Calculation'!I186+"AM:!'Zo"</f>
        <v>#VALUE!</v>
      </c>
      <c r="DW142" s="100" t="e">
        <f>'Delivery Calculation'!J186+"AM:!'Zp"</f>
        <v>#VALUE!</v>
      </c>
      <c r="DX142" s="100" t="e">
        <f>'Delivery Calculation'!K186+"AM:!'Zq"</f>
        <v>#VALUE!</v>
      </c>
      <c r="DY142" s="100" t="e">
        <f>'Delivery Calculation'!L186+"AM:!'Zr"</f>
        <v>#VALUE!</v>
      </c>
      <c r="DZ142" s="100" t="e">
        <f>'Delivery Calculation'!M186+"AM:!'Zs"</f>
        <v>#VALUE!</v>
      </c>
      <c r="EA142" s="100" t="e">
        <f>'Delivery Calculation'!N186+"AM:!'Zt"</f>
        <v>#VALUE!</v>
      </c>
      <c r="EB142" s="100" t="e">
        <f>'Delivery Calculation'!O186+"AM:!'Zu"</f>
        <v>#VALUE!</v>
      </c>
      <c r="EC142" s="100" t="e">
        <f>'Delivery Calculation'!P186+"AM:!'Zv"</f>
        <v>#VALUE!</v>
      </c>
      <c r="ED142" s="100" t="e">
        <f>'Delivery Calculation'!Q186+"AM:!'Zw"</f>
        <v>#VALUE!</v>
      </c>
      <c r="EE142" s="100" t="e">
        <f>'Delivery Calculation'!R186+"AM:!'Zx"</f>
        <v>#VALUE!</v>
      </c>
      <c r="EF142" s="100" t="e">
        <f>'Delivery Calculation'!S186+"AM:!'Zy"</f>
        <v>#VALUE!</v>
      </c>
      <c r="EG142" s="100" t="e">
        <f>'Delivery Calculation'!T186+"AM:!'Zz"</f>
        <v>#VALUE!</v>
      </c>
      <c r="EH142" s="100" t="e">
        <f>'Delivery Calculation'!U186+"AM:!'Z{"</f>
        <v>#VALUE!</v>
      </c>
      <c r="EI142" s="100" t="e">
        <f>'Delivery Calculation'!V186+"AM:!'Z|"</f>
        <v>#VALUE!</v>
      </c>
      <c r="EJ142" s="100" t="e">
        <f>'Delivery Calculation'!W186+"AM:!'Z}"</f>
        <v>#VALUE!</v>
      </c>
      <c r="EK142" s="100" t="e">
        <f>'Delivery Calculation'!X186+"AM:!'Z~"</f>
        <v>#VALUE!</v>
      </c>
      <c r="EL142" s="100" t="e">
        <f>'Delivery Calculation'!Y186+"AM:!'[#"</f>
        <v>#VALUE!</v>
      </c>
      <c r="EM142" s="100" t="e">
        <f>'Delivery Calculation'!Z186+"AM:!'[$"</f>
        <v>#VALUE!</v>
      </c>
      <c r="EN142" s="100" t="e">
        <f>'Delivery Calculation'!AA186+"AM:!'[%"</f>
        <v>#VALUE!</v>
      </c>
      <c r="EO142" s="100" t="e">
        <f>'Delivery Calculation'!AB186+"AM:!'[&amp;"</f>
        <v>#VALUE!</v>
      </c>
      <c r="EP142" s="100" t="e">
        <f>'Delivery Calculation'!AC186+"AM:!'['"</f>
        <v>#VALUE!</v>
      </c>
      <c r="EQ142" s="100" t="e">
        <f>'Delivery Calculation'!AD186+"AM:!'[("</f>
        <v>#VALUE!</v>
      </c>
      <c r="ER142" s="100" t="e">
        <f>'Delivery Calculation'!AE186+"AM:!'[)"</f>
        <v>#VALUE!</v>
      </c>
      <c r="ES142" s="100" t="e">
        <f>'Delivery Calculation'!AF186+"AM:!'[."</f>
        <v>#VALUE!</v>
      </c>
      <c r="ET142" s="100" t="e">
        <f>'Delivery Calculation'!AG186+"AM:!'[/"</f>
        <v>#VALUE!</v>
      </c>
      <c r="EU142" s="100" t="e">
        <f>'Delivery Calculation'!AH186+"AM:!'[0"</f>
        <v>#VALUE!</v>
      </c>
      <c r="EV142" s="100" t="e">
        <f>'Delivery Calculation'!AI186+"AM:!'[1"</f>
        <v>#VALUE!</v>
      </c>
      <c r="EW142" s="100" t="e">
        <f>'Delivery Calculation'!AJ186+"AM:!'[2"</f>
        <v>#VALUE!</v>
      </c>
      <c r="EX142" s="100" t="e">
        <f>'Delivery Calculation'!AK186+"AM:!'[3"</f>
        <v>#VALUE!</v>
      </c>
      <c r="EY142" s="100" t="e">
        <f>'Delivery Calculation'!AL186+"AM:!'[4"</f>
        <v>#VALUE!</v>
      </c>
      <c r="EZ142" s="100" t="e">
        <f>'Delivery Calculation'!AM186+"AM:!'[5"</f>
        <v>#VALUE!</v>
      </c>
      <c r="FA142" s="100" t="e">
        <f>'Delivery Calculation'!AN186+"AM:!'[6"</f>
        <v>#VALUE!</v>
      </c>
      <c r="FB142" s="100" t="e">
        <f>'Delivery Calculation'!AO186+"AM:!'[7"</f>
        <v>#VALUE!</v>
      </c>
      <c r="FC142" s="100" t="e">
        <f>'Delivery Calculation'!AP186+"AM:!'[8"</f>
        <v>#VALUE!</v>
      </c>
      <c r="FD142" s="100" t="e">
        <f>'Delivery Calculation'!AQ186+"AM:!'[9"</f>
        <v>#VALUE!</v>
      </c>
      <c r="FE142" s="100" t="e">
        <f>'Delivery Calculation'!AR186+"AM:!'[:"</f>
        <v>#VALUE!</v>
      </c>
      <c r="FF142" s="100" t="e">
        <f>'Delivery Calculation'!AS186+"AM:!'[;"</f>
        <v>#VALUE!</v>
      </c>
      <c r="FG142" s="100" t="e">
        <f>'Delivery Calculation'!AT186+"AM:!'[&lt;"</f>
        <v>#VALUE!</v>
      </c>
      <c r="FH142" s="100" t="e">
        <f>'Delivery Calculation'!AU186+"AM:!'[="</f>
        <v>#VALUE!</v>
      </c>
      <c r="FI142" s="100" t="e">
        <f>'Delivery Calculation'!AV186+"AM:!'[&gt;"</f>
        <v>#VALUE!</v>
      </c>
      <c r="FJ142" s="100" t="e">
        <f>'Delivery Calculation'!AW186+"AM:!'[?"</f>
        <v>#VALUE!</v>
      </c>
      <c r="FK142" s="100" t="e">
        <f>'Delivery Calculation'!AX186+"AM:!'[@"</f>
        <v>#VALUE!</v>
      </c>
      <c r="FL142" t="e">
        <f>'Delivery Calculation'!AY186+"AM:!'[A"</f>
        <v>#VALUE!</v>
      </c>
      <c r="FM142" t="e">
        <f>'Delivery Calculation'!A187+"AM:!'[B"</f>
        <v>#VALUE!</v>
      </c>
      <c r="FN142" t="e">
        <f>'Delivery Calculation'!B187+"AM:!'[C"</f>
        <v>#VALUE!</v>
      </c>
      <c r="FO142" t="e">
        <f>'Delivery Calculation'!C187+"AM:!'[D"</f>
        <v>#VALUE!</v>
      </c>
      <c r="FP142" t="e">
        <f>'Delivery Calculation'!D187+"AM:!'[E"</f>
        <v>#VALUE!</v>
      </c>
      <c r="FQ142" t="e">
        <f>'Delivery Calculation'!E187+"AM:!'[F"</f>
        <v>#VALUE!</v>
      </c>
      <c r="FR142" s="98" t="e">
        <f>'Delivery Calculation'!F187+"AM:!'[G"</f>
        <v>#VALUE!</v>
      </c>
      <c r="FS142" s="98" t="e">
        <f>'Delivery Calculation'!G187+"AM:!'[H"</f>
        <v>#VALUE!</v>
      </c>
      <c r="FT142" s="98" t="e">
        <f>'Delivery Calculation'!H187+"AM:!'[I"</f>
        <v>#VALUE!</v>
      </c>
      <c r="FU142" s="100" t="e">
        <f>'Delivery Calculation'!I187+"AM:!'[J"</f>
        <v>#VALUE!</v>
      </c>
      <c r="FV142" s="100" t="e">
        <f>'Delivery Calculation'!J187+"AM:!'[K"</f>
        <v>#VALUE!</v>
      </c>
      <c r="FW142" s="100" t="e">
        <f>'Delivery Calculation'!K187+"AM:!'[L"</f>
        <v>#VALUE!</v>
      </c>
      <c r="FX142" s="100" t="e">
        <f>'Delivery Calculation'!L187+"AM:!'[M"</f>
        <v>#VALUE!</v>
      </c>
      <c r="FY142" s="100" t="e">
        <f>'Delivery Calculation'!M187+"AM:!'[N"</f>
        <v>#VALUE!</v>
      </c>
      <c r="FZ142" s="100" t="e">
        <f>'Delivery Calculation'!N187+"AM:!'[O"</f>
        <v>#VALUE!</v>
      </c>
      <c r="GA142" s="100" t="e">
        <f>'Delivery Calculation'!O187+"AM:!'[P"</f>
        <v>#VALUE!</v>
      </c>
      <c r="GB142" s="100" t="e">
        <f>'Delivery Calculation'!P187+"AM:!'[Q"</f>
        <v>#VALUE!</v>
      </c>
      <c r="GC142" s="100" t="e">
        <f>'Delivery Calculation'!Q187+"AM:!'[R"</f>
        <v>#VALUE!</v>
      </c>
      <c r="GD142" s="100" t="e">
        <f>'Delivery Calculation'!R187+"AM:!'[S"</f>
        <v>#VALUE!</v>
      </c>
      <c r="GE142" s="100" t="e">
        <f>'Delivery Calculation'!S187+"AM:!'[T"</f>
        <v>#VALUE!</v>
      </c>
      <c r="GF142" s="100" t="e">
        <f>'Delivery Calculation'!T187+"AM:!'[U"</f>
        <v>#VALUE!</v>
      </c>
      <c r="GG142" s="100" t="e">
        <f>'Delivery Calculation'!U187+"AM:!'[V"</f>
        <v>#VALUE!</v>
      </c>
      <c r="GH142" s="100" t="e">
        <f>'Delivery Calculation'!V187+"AM:!'[W"</f>
        <v>#VALUE!</v>
      </c>
      <c r="GI142" s="100" t="e">
        <f>'Delivery Calculation'!W187+"AM:!'[X"</f>
        <v>#VALUE!</v>
      </c>
      <c r="GJ142" s="100" t="e">
        <f>'Delivery Calculation'!X187+"AM:!'[Y"</f>
        <v>#VALUE!</v>
      </c>
      <c r="GK142" s="100" t="e">
        <f>'Delivery Calculation'!Y187+"AM:!'[Z"</f>
        <v>#VALUE!</v>
      </c>
      <c r="GL142" s="100" t="e">
        <f>'Delivery Calculation'!Z187+"AM:!'[["</f>
        <v>#VALUE!</v>
      </c>
      <c r="GM142" s="100" t="e">
        <f>'Delivery Calculation'!AA187+"AM:!'[\"</f>
        <v>#VALUE!</v>
      </c>
      <c r="GN142" s="100" t="e">
        <f>'Delivery Calculation'!AB187+"AM:!'[]"</f>
        <v>#VALUE!</v>
      </c>
      <c r="GO142" s="100" t="e">
        <f>'Delivery Calculation'!AC187+"AM:!'[^"</f>
        <v>#VALUE!</v>
      </c>
      <c r="GP142" s="100" t="e">
        <f>'Delivery Calculation'!AD187+"AM:!'[_"</f>
        <v>#VALUE!</v>
      </c>
      <c r="GQ142" s="100" t="e">
        <f>'Delivery Calculation'!AE187+"AM:!'[`"</f>
        <v>#VALUE!</v>
      </c>
      <c r="GR142" s="100" t="e">
        <f>'Delivery Calculation'!AF187+"AM:!'[a"</f>
        <v>#VALUE!</v>
      </c>
      <c r="GS142" s="100" t="e">
        <f>'Delivery Calculation'!AG187+"AM:!'[b"</f>
        <v>#VALUE!</v>
      </c>
      <c r="GT142" s="100" t="e">
        <f>'Delivery Calculation'!AH187+"AM:!'[c"</f>
        <v>#VALUE!</v>
      </c>
      <c r="GU142" s="100" t="e">
        <f>'Delivery Calculation'!AI187+"AM:!'[d"</f>
        <v>#VALUE!</v>
      </c>
      <c r="GV142" s="100" t="e">
        <f>'Delivery Calculation'!AJ187+"AM:!'[e"</f>
        <v>#VALUE!</v>
      </c>
      <c r="GW142" s="100" t="e">
        <f>'Delivery Calculation'!AK187+"AM:!'[f"</f>
        <v>#VALUE!</v>
      </c>
      <c r="GX142" s="100" t="e">
        <f>'Delivery Calculation'!AL187+"AM:!'[g"</f>
        <v>#VALUE!</v>
      </c>
      <c r="GY142" s="100" t="e">
        <f>'Delivery Calculation'!AM187+"AM:!'[h"</f>
        <v>#VALUE!</v>
      </c>
      <c r="GZ142" s="100" t="e">
        <f>'Delivery Calculation'!AN187+"AM:!'[i"</f>
        <v>#VALUE!</v>
      </c>
      <c r="HA142" s="100" t="e">
        <f>'Delivery Calculation'!AO187+"AM:!'[j"</f>
        <v>#VALUE!</v>
      </c>
      <c r="HB142" s="100" t="e">
        <f>'Delivery Calculation'!AP187+"AM:!'[k"</f>
        <v>#VALUE!</v>
      </c>
      <c r="HC142" s="100" t="e">
        <f>'Delivery Calculation'!AQ187+"AM:!'[l"</f>
        <v>#VALUE!</v>
      </c>
      <c r="HD142" s="100" t="e">
        <f>'Delivery Calculation'!AR187+"AM:!'[m"</f>
        <v>#VALUE!</v>
      </c>
      <c r="HE142" s="100" t="e">
        <f>'Delivery Calculation'!AS187+"AM:!'[n"</f>
        <v>#VALUE!</v>
      </c>
      <c r="HF142" s="100" t="e">
        <f>'Delivery Calculation'!AT187+"AM:!'[o"</f>
        <v>#VALUE!</v>
      </c>
      <c r="HG142" s="100" t="e">
        <f>'Delivery Calculation'!AU187+"AM:!'[p"</f>
        <v>#VALUE!</v>
      </c>
      <c r="HH142" s="100" t="e">
        <f>'Delivery Calculation'!AV187+"AM:!'[q"</f>
        <v>#VALUE!</v>
      </c>
      <c r="HI142" s="100" t="e">
        <f>'Delivery Calculation'!AW187+"AM:!'[r"</f>
        <v>#VALUE!</v>
      </c>
      <c r="HJ142" s="100" t="e">
        <f>'Delivery Calculation'!AX187+"AM:!'[s"</f>
        <v>#VALUE!</v>
      </c>
      <c r="HK142" t="e">
        <f>'Delivery Calculation'!AY187+"AM:!'[t"</f>
        <v>#VALUE!</v>
      </c>
      <c r="HL142" t="e">
        <f>'Delivery Calculation'!A188+"AM:!'[u"</f>
        <v>#VALUE!</v>
      </c>
      <c r="HM142" t="e">
        <f>'Delivery Calculation'!B188+"AM:!'[v"</f>
        <v>#VALUE!</v>
      </c>
      <c r="HN142" t="e">
        <f>'Delivery Calculation'!C188+"AM:!'[w"</f>
        <v>#VALUE!</v>
      </c>
      <c r="HO142" t="e">
        <f>'Delivery Calculation'!D188+"AM:!'[x"</f>
        <v>#VALUE!</v>
      </c>
      <c r="HP142" t="e">
        <f>'Delivery Calculation'!E188+"AM:!'[y"</f>
        <v>#VALUE!</v>
      </c>
      <c r="HQ142" s="98" t="e">
        <f>'Delivery Calculation'!F188+"AM:!'[z"</f>
        <v>#VALUE!</v>
      </c>
      <c r="HR142" s="98" t="e">
        <f>'Delivery Calculation'!G188+"AM:!'[{"</f>
        <v>#VALUE!</v>
      </c>
      <c r="HS142" s="98" t="e">
        <f>'Delivery Calculation'!H188+"AM:!'[|"</f>
        <v>#VALUE!</v>
      </c>
      <c r="HT142" s="100" t="e">
        <f>'Delivery Calculation'!I188+"AM:!'[}"</f>
        <v>#VALUE!</v>
      </c>
      <c r="HU142" s="100" t="e">
        <f>'Delivery Calculation'!J188+"AM:!'[~"</f>
        <v>#VALUE!</v>
      </c>
      <c r="HV142" s="100" t="e">
        <f>'Delivery Calculation'!K188+"AM:!'\#"</f>
        <v>#VALUE!</v>
      </c>
      <c r="HW142" s="100" t="e">
        <f>'Delivery Calculation'!L188+"AM:!'\$"</f>
        <v>#VALUE!</v>
      </c>
      <c r="HX142" s="100" t="e">
        <f>'Delivery Calculation'!M188+"AM:!'\%"</f>
        <v>#VALUE!</v>
      </c>
      <c r="HY142" s="100" t="e">
        <f>'Delivery Calculation'!N188+"AM:!'\&amp;"</f>
        <v>#VALUE!</v>
      </c>
      <c r="HZ142" s="100" t="e">
        <f>'Delivery Calculation'!O188+"AM:!'\'"</f>
        <v>#VALUE!</v>
      </c>
      <c r="IA142" s="100" t="e">
        <f>'Delivery Calculation'!P188+"AM:!'\("</f>
        <v>#VALUE!</v>
      </c>
      <c r="IB142" s="100" t="e">
        <f>'Delivery Calculation'!Q188+"AM:!'\)"</f>
        <v>#VALUE!</v>
      </c>
      <c r="IC142" s="100" t="e">
        <f>'Delivery Calculation'!R188+"AM:!'\."</f>
        <v>#VALUE!</v>
      </c>
      <c r="ID142" s="100" t="e">
        <f>'Delivery Calculation'!S188+"AM:!'\/"</f>
        <v>#VALUE!</v>
      </c>
      <c r="IE142" s="100" t="e">
        <f>'Delivery Calculation'!T188+"AM:!'\0"</f>
        <v>#VALUE!</v>
      </c>
      <c r="IF142" s="100" t="e">
        <f>'Delivery Calculation'!U188+"AM:!'\1"</f>
        <v>#VALUE!</v>
      </c>
      <c r="IG142" s="100" t="e">
        <f>'Delivery Calculation'!V188+"AM:!'\2"</f>
        <v>#VALUE!</v>
      </c>
      <c r="IH142" s="100" t="e">
        <f>'Delivery Calculation'!W188+"AM:!'\3"</f>
        <v>#VALUE!</v>
      </c>
      <c r="II142" s="100" t="e">
        <f>'Delivery Calculation'!X188+"AM:!'\4"</f>
        <v>#VALUE!</v>
      </c>
      <c r="IJ142" s="100" t="e">
        <f>'Delivery Calculation'!Y188+"AM:!'\5"</f>
        <v>#VALUE!</v>
      </c>
      <c r="IK142" s="100" t="e">
        <f>'Delivery Calculation'!Z188+"AM:!'\6"</f>
        <v>#VALUE!</v>
      </c>
      <c r="IL142" s="100" t="e">
        <f>'Delivery Calculation'!AA188+"AM:!'\7"</f>
        <v>#VALUE!</v>
      </c>
      <c r="IM142" s="100" t="e">
        <f>'Delivery Calculation'!AB188+"AM:!'\8"</f>
        <v>#VALUE!</v>
      </c>
      <c r="IN142" s="100" t="e">
        <f>'Delivery Calculation'!AC188+"AM:!'\9"</f>
        <v>#VALUE!</v>
      </c>
      <c r="IO142" s="100" t="e">
        <f>'Delivery Calculation'!AD188+"AM:!'\:"</f>
        <v>#VALUE!</v>
      </c>
      <c r="IP142" s="100" t="e">
        <f>'Delivery Calculation'!AE188+"AM:!'\;"</f>
        <v>#VALUE!</v>
      </c>
      <c r="IQ142" s="100" t="e">
        <f>'Delivery Calculation'!AF188+"AM:!'\&lt;"</f>
        <v>#VALUE!</v>
      </c>
      <c r="IR142" s="100" t="e">
        <f>'Delivery Calculation'!AG188+"AM:!'\="</f>
        <v>#VALUE!</v>
      </c>
      <c r="IS142" s="100" t="e">
        <f>'Delivery Calculation'!AH188+"AM:!'\&gt;"</f>
        <v>#VALUE!</v>
      </c>
      <c r="IT142" s="100" t="e">
        <f>'Delivery Calculation'!AI188+"AM:!'\?"</f>
        <v>#VALUE!</v>
      </c>
      <c r="IU142" s="100" t="e">
        <f>'Delivery Calculation'!AJ188+"AM:!'\@"</f>
        <v>#VALUE!</v>
      </c>
      <c r="IV142" s="100" t="e">
        <f>'Delivery Calculation'!AK188+"AM:!'\A"</f>
        <v>#VALUE!</v>
      </c>
    </row>
    <row r="143" spans="6:256">
      <c r="F143" s="100" t="e">
        <f>'Delivery Calculation'!AL188+"AM:!'\B"</f>
        <v>#VALUE!</v>
      </c>
      <c r="G143" s="100" t="e">
        <f>'Delivery Calculation'!AM188+"AM:!'\C"</f>
        <v>#VALUE!</v>
      </c>
      <c r="H143" s="100" t="e">
        <f>'Delivery Calculation'!AN188+"AM:!'\D"</f>
        <v>#VALUE!</v>
      </c>
      <c r="I143" s="100" t="e">
        <f>'Delivery Calculation'!AO188+"AM:!'\E"</f>
        <v>#VALUE!</v>
      </c>
      <c r="J143" s="100" t="e">
        <f>'Delivery Calculation'!AP188+"AM:!'\F"</f>
        <v>#VALUE!</v>
      </c>
      <c r="K143" s="100" t="e">
        <f>'Delivery Calculation'!AQ188+"AM:!'\G"</f>
        <v>#VALUE!</v>
      </c>
      <c r="L143" s="100" t="e">
        <f>'Delivery Calculation'!AR188+"AM:!'\H"</f>
        <v>#VALUE!</v>
      </c>
      <c r="M143" s="100" t="e">
        <f>'Delivery Calculation'!AS188+"AM:!'\I"</f>
        <v>#VALUE!</v>
      </c>
      <c r="N143" s="100" t="e">
        <f>'Delivery Calculation'!AT188+"AM:!'\J"</f>
        <v>#VALUE!</v>
      </c>
      <c r="O143" s="100" t="e">
        <f>'Delivery Calculation'!AU188+"AM:!'\K"</f>
        <v>#VALUE!</v>
      </c>
      <c r="P143" s="100" t="e">
        <f>'Delivery Calculation'!AV188+"AM:!'\L"</f>
        <v>#VALUE!</v>
      </c>
      <c r="Q143" s="100" t="e">
        <f>'Delivery Calculation'!AW188+"AM:!'\M"</f>
        <v>#VALUE!</v>
      </c>
      <c r="R143" s="100" t="e">
        <f>'Delivery Calculation'!AX188+"AM:!'\N"</f>
        <v>#VALUE!</v>
      </c>
      <c r="S143" t="e">
        <f>'Delivery Calculation'!AY188+"AM:!'\O"</f>
        <v>#VALUE!</v>
      </c>
      <c r="T143" t="e">
        <f>'Delivery Calculation'!A189+"AM:!'\P"</f>
        <v>#VALUE!</v>
      </c>
      <c r="U143" t="e">
        <f>'Delivery Calculation'!B189+"AM:!'\Q"</f>
        <v>#VALUE!</v>
      </c>
      <c r="V143" t="e">
        <f>'Delivery Calculation'!C189+"AM:!'\R"</f>
        <v>#VALUE!</v>
      </c>
      <c r="W143" t="e">
        <f>'Delivery Calculation'!D189+"AM:!'\S"</f>
        <v>#VALUE!</v>
      </c>
      <c r="X143" t="e">
        <f>'Delivery Calculation'!E189+"AM:!'\T"</f>
        <v>#VALUE!</v>
      </c>
      <c r="Y143" t="e">
        <f>'Delivery Calculation'!F189+"AM:!'\U"</f>
        <v>#VALUE!</v>
      </c>
      <c r="Z143" t="e">
        <f>'Delivery Calculation'!G189+"AM:!'\V"</f>
        <v>#VALUE!</v>
      </c>
      <c r="AA143" t="e">
        <f>'Delivery Calculation'!H189+"AM:!'\W"</f>
        <v>#VALUE!</v>
      </c>
      <c r="AB143" t="e">
        <f>'Delivery Calculation'!I189+"AM:!'\X"</f>
        <v>#VALUE!</v>
      </c>
      <c r="AC143" t="e">
        <f>'Delivery Calculation'!J189+"AM:!'\Y"</f>
        <v>#VALUE!</v>
      </c>
      <c r="AD143" t="e">
        <f>'Delivery Calculation'!K189+"AM:!'\Z"</f>
        <v>#VALUE!</v>
      </c>
      <c r="AE143" t="e">
        <f>'Delivery Calculation'!L189+"AM:!'\["</f>
        <v>#VALUE!</v>
      </c>
      <c r="AF143" s="100" t="e">
        <f>'Delivery Calculation'!M189+"AM:!'\\"</f>
        <v>#VALUE!</v>
      </c>
      <c r="AG143" s="100" t="e">
        <f>'Delivery Calculation'!N189+"AM:!'\]"</f>
        <v>#VALUE!</v>
      </c>
      <c r="AH143" s="100" t="e">
        <f>'Delivery Calculation'!O189+"AM:!'\^"</f>
        <v>#VALUE!</v>
      </c>
      <c r="AI143" s="100" t="e">
        <f>'Delivery Calculation'!P189+"AM:!'\_"</f>
        <v>#VALUE!</v>
      </c>
      <c r="AJ143" s="100" t="e">
        <f>'Delivery Calculation'!Q189+"AM:!'\`"</f>
        <v>#VALUE!</v>
      </c>
      <c r="AK143" s="100" t="e">
        <f>'Delivery Calculation'!R189+"AM:!'\a"</f>
        <v>#VALUE!</v>
      </c>
      <c r="AL143" s="100" t="e">
        <f>'Delivery Calculation'!S189+"AM:!'\b"</f>
        <v>#VALUE!</v>
      </c>
      <c r="AM143" s="100" t="e">
        <f>'Delivery Calculation'!T189+"AM:!'\c"</f>
        <v>#VALUE!</v>
      </c>
      <c r="AN143" s="100" t="e">
        <f>'Delivery Calculation'!U189+"AM:!'\d"</f>
        <v>#VALUE!</v>
      </c>
      <c r="AO143" s="100" t="e">
        <f>'Delivery Calculation'!V189+"AM:!'\e"</f>
        <v>#VALUE!</v>
      </c>
      <c r="AP143" s="100" t="e">
        <f>'Delivery Calculation'!W189+"AM:!'\f"</f>
        <v>#VALUE!</v>
      </c>
      <c r="AQ143" s="100" t="e">
        <f>'Delivery Calculation'!X189+"AM:!'\g"</f>
        <v>#VALUE!</v>
      </c>
      <c r="AR143" s="100" t="e">
        <f>'Delivery Calculation'!Y189+"AM:!'\h"</f>
        <v>#VALUE!</v>
      </c>
      <c r="AS143" s="100" t="e">
        <f>'Delivery Calculation'!Z189+"AM:!'\i"</f>
        <v>#VALUE!</v>
      </c>
      <c r="AT143" s="100" t="e">
        <f>'Delivery Calculation'!AA189+"AM:!'\j"</f>
        <v>#VALUE!</v>
      </c>
      <c r="AU143" s="100" t="e">
        <f>'Delivery Calculation'!AB189+"AM:!'\k"</f>
        <v>#VALUE!</v>
      </c>
      <c r="AV143" s="100" t="e">
        <f>'Delivery Calculation'!AC189+"AM:!'\l"</f>
        <v>#VALUE!</v>
      </c>
      <c r="AW143" s="100" t="e">
        <f>'Delivery Calculation'!AD189+"AM:!'\m"</f>
        <v>#VALUE!</v>
      </c>
      <c r="AX143" s="100" t="e">
        <f>'Delivery Calculation'!AE189+"AM:!'\n"</f>
        <v>#VALUE!</v>
      </c>
      <c r="AY143" s="100" t="e">
        <f>'Delivery Calculation'!AF189+"AM:!'\o"</f>
        <v>#VALUE!</v>
      </c>
      <c r="AZ143" s="100" t="e">
        <f>'Delivery Calculation'!AG189+"AM:!'\p"</f>
        <v>#VALUE!</v>
      </c>
      <c r="BA143" s="100" t="e">
        <f>'Delivery Calculation'!AH189+"AM:!'\q"</f>
        <v>#VALUE!</v>
      </c>
      <c r="BB143" s="100" t="e">
        <f>'Delivery Calculation'!AI189+"AM:!'\r"</f>
        <v>#VALUE!</v>
      </c>
      <c r="BC143" s="100" t="e">
        <f>'Delivery Calculation'!AJ189+"AM:!'\s"</f>
        <v>#VALUE!</v>
      </c>
      <c r="BD143" s="100" t="e">
        <f>'Delivery Calculation'!AK189+"AM:!'\t"</f>
        <v>#VALUE!</v>
      </c>
      <c r="BE143" s="100" t="e">
        <f>'Delivery Calculation'!AL189+"AM:!'\u"</f>
        <v>#VALUE!</v>
      </c>
      <c r="BF143" s="100" t="e">
        <f>'Delivery Calculation'!AM189+"AM:!'\v"</f>
        <v>#VALUE!</v>
      </c>
      <c r="BG143" s="100" t="e">
        <f>'Delivery Calculation'!AN189+"AM:!'\w"</f>
        <v>#VALUE!</v>
      </c>
      <c r="BH143" s="100" t="e">
        <f>'Delivery Calculation'!AO189+"AM:!'\x"</f>
        <v>#VALUE!</v>
      </c>
      <c r="BI143" s="100" t="e">
        <f>'Delivery Calculation'!AP189+"AM:!'\y"</f>
        <v>#VALUE!</v>
      </c>
      <c r="BJ143" s="100" t="e">
        <f>'Delivery Calculation'!AQ189+"AM:!'\z"</f>
        <v>#VALUE!</v>
      </c>
      <c r="BK143" s="100" t="e">
        <f>'Delivery Calculation'!AR189+"AM:!'\{"</f>
        <v>#VALUE!</v>
      </c>
      <c r="BL143" s="100" t="e">
        <f>'Delivery Calculation'!AS189+"AM:!'\|"</f>
        <v>#VALUE!</v>
      </c>
      <c r="BM143" s="100" t="e">
        <f>'Delivery Calculation'!AT189+"AM:!'\}"</f>
        <v>#VALUE!</v>
      </c>
      <c r="BN143" s="100" t="e">
        <f>'Delivery Calculation'!AU189+"AM:!'\~"</f>
        <v>#VALUE!</v>
      </c>
      <c r="BO143" s="100" t="e">
        <f>'Delivery Calculation'!AV189+"AM:!']#"</f>
        <v>#VALUE!</v>
      </c>
      <c r="BP143" s="100" t="e">
        <f>'Delivery Calculation'!AW189+"AM:!']$"</f>
        <v>#VALUE!</v>
      </c>
      <c r="BQ143" s="100" t="e">
        <f>'Delivery Calculation'!AX189+"AM:!']%"</f>
        <v>#VALUE!</v>
      </c>
      <c r="BR143" t="e">
        <f>'Delivery Calculation'!AY189+"AM:!']&amp;"</f>
        <v>#VALUE!</v>
      </c>
      <c r="BS143" t="e">
        <f>'Delivery Calculation'!A190+"AM:!']'"</f>
        <v>#VALUE!</v>
      </c>
      <c r="BT143" t="e">
        <f>'Delivery Calculation'!B190+"AM:!']("</f>
        <v>#VALUE!</v>
      </c>
      <c r="BU143" t="e">
        <f>'Delivery Calculation'!C190+"AM:!'])"</f>
        <v>#VALUE!</v>
      </c>
      <c r="BV143" t="e">
        <f>'Delivery Calculation'!D190+"AM:!']."</f>
        <v>#VALUE!</v>
      </c>
      <c r="BW143" t="e">
        <f>'Delivery Calculation'!E190+"AM:!']/"</f>
        <v>#VALUE!</v>
      </c>
      <c r="BX143" t="e">
        <f>'Delivery Calculation'!F190+"AM:!']0"</f>
        <v>#VALUE!</v>
      </c>
      <c r="BY143" t="e">
        <f>'Delivery Calculation'!G190+"AM:!']1"</f>
        <v>#VALUE!</v>
      </c>
      <c r="BZ143" t="e">
        <f>'Delivery Calculation'!H190+"AM:!']2"</f>
        <v>#VALUE!</v>
      </c>
      <c r="CA143" t="e">
        <f>'Delivery Calculation'!I190+"AM:!']3"</f>
        <v>#VALUE!</v>
      </c>
      <c r="CB143" t="e">
        <f>'Delivery Calculation'!J190+"AM:!']4"</f>
        <v>#VALUE!</v>
      </c>
      <c r="CC143" t="e">
        <f>'Delivery Calculation'!K190+"AM:!']5"</f>
        <v>#VALUE!</v>
      </c>
      <c r="CD143" t="e">
        <f>'Delivery Calculation'!L190+"AM:!']6"</f>
        <v>#VALUE!</v>
      </c>
      <c r="CE143" t="e">
        <f>'Delivery Calculation'!M190+"AM:!']7"</f>
        <v>#VALUE!</v>
      </c>
      <c r="CF143" t="e">
        <f>'Delivery Calculation'!N190+"AM:!']8"</f>
        <v>#VALUE!</v>
      </c>
      <c r="CG143" t="e">
        <f>'Delivery Calculation'!O190+"AM:!']9"</f>
        <v>#VALUE!</v>
      </c>
      <c r="CH143" t="e">
        <f>'Delivery Calculation'!P190+"AM:!']:"</f>
        <v>#VALUE!</v>
      </c>
      <c r="CI143" t="e">
        <f>'Delivery Calculation'!Q190+"AM:!'];"</f>
        <v>#VALUE!</v>
      </c>
      <c r="CJ143" t="e">
        <f>'Delivery Calculation'!R190+"AM:!']&lt;"</f>
        <v>#VALUE!</v>
      </c>
      <c r="CK143" t="e">
        <f>'Delivery Calculation'!S190+"AM:!']="</f>
        <v>#VALUE!</v>
      </c>
      <c r="CL143" t="e">
        <f>'Delivery Calculation'!T190+"AM:!']&gt;"</f>
        <v>#VALUE!</v>
      </c>
      <c r="CM143" t="e">
        <f>'Delivery Calculation'!U190+"AM:!']?"</f>
        <v>#VALUE!</v>
      </c>
      <c r="CN143" t="e">
        <f>'Delivery Calculation'!V190+"AM:!']@"</f>
        <v>#VALUE!</v>
      </c>
      <c r="CO143" t="e">
        <f>'Delivery Calculation'!W190+"AM:!']A"</f>
        <v>#VALUE!</v>
      </c>
      <c r="CP143" t="e">
        <f>'Delivery Calculation'!X190+"AM:!']B"</f>
        <v>#VALUE!</v>
      </c>
      <c r="CQ143" t="e">
        <f>'Delivery Calculation'!Y190+"AM:!']C"</f>
        <v>#VALUE!</v>
      </c>
      <c r="CR143" t="e">
        <f>'Delivery Calculation'!Z190+"AM:!']D"</f>
        <v>#VALUE!</v>
      </c>
      <c r="CS143" t="e">
        <f>'Delivery Calculation'!AA190+"AM:!']E"</f>
        <v>#VALUE!</v>
      </c>
      <c r="CT143" t="e">
        <f>'Delivery Calculation'!AB190+"AM:!']F"</f>
        <v>#VALUE!</v>
      </c>
      <c r="CU143" t="e">
        <f>'Delivery Calculation'!AC190+"AM:!']G"</f>
        <v>#VALUE!</v>
      </c>
      <c r="CV143" t="e">
        <f>'Delivery Calculation'!AD190+"AM:!']H"</f>
        <v>#VALUE!</v>
      </c>
      <c r="CW143" t="e">
        <f>'Delivery Calculation'!AE190+"AM:!']I"</f>
        <v>#VALUE!</v>
      </c>
      <c r="CX143" t="e">
        <f>'Delivery Calculation'!AF190+"AM:!']J"</f>
        <v>#VALUE!</v>
      </c>
      <c r="CY143" t="e">
        <f>'Delivery Calculation'!AG190+"AM:!']K"</f>
        <v>#VALUE!</v>
      </c>
      <c r="CZ143" t="e">
        <f>'Delivery Calculation'!AH190+"AM:!']L"</f>
        <v>#VALUE!</v>
      </c>
      <c r="DA143" t="e">
        <f>'Delivery Calculation'!AI190+"AM:!']M"</f>
        <v>#VALUE!</v>
      </c>
      <c r="DB143" t="e">
        <f>'Delivery Calculation'!AJ190+"AM:!']N"</f>
        <v>#VALUE!</v>
      </c>
      <c r="DC143" t="e">
        <f>'Delivery Calculation'!AK190+"AM:!']O"</f>
        <v>#VALUE!</v>
      </c>
      <c r="DD143" t="e">
        <f>'Delivery Calculation'!AL190+"AM:!']P"</f>
        <v>#VALUE!</v>
      </c>
      <c r="DE143" t="e">
        <f>'Delivery Calculation'!AM190+"AM:!']Q"</f>
        <v>#VALUE!</v>
      </c>
      <c r="DF143" t="e">
        <f>'Delivery Calculation'!AN190+"AM:!']R"</f>
        <v>#VALUE!</v>
      </c>
      <c r="DG143" t="e">
        <f>'Delivery Calculation'!AO190+"AM:!']S"</f>
        <v>#VALUE!</v>
      </c>
      <c r="DH143" t="e">
        <f>'Delivery Calculation'!AP190+"AM:!']T"</f>
        <v>#VALUE!</v>
      </c>
      <c r="DI143" t="e">
        <f>'Delivery Calculation'!AQ190+"AM:!']U"</f>
        <v>#VALUE!</v>
      </c>
      <c r="DJ143" t="e">
        <f>'Delivery Calculation'!AR190+"AM:!']V"</f>
        <v>#VALUE!</v>
      </c>
      <c r="DK143" t="e">
        <f>'Delivery Calculation'!AS190+"AM:!']W"</f>
        <v>#VALUE!</v>
      </c>
      <c r="DL143" t="e">
        <f>'Delivery Calculation'!AT190+"AM:!']X"</f>
        <v>#VALUE!</v>
      </c>
      <c r="DM143" t="e">
        <f>'Delivery Calculation'!AU190+"AM:!']Y"</f>
        <v>#VALUE!</v>
      </c>
      <c r="DN143" t="e">
        <f>'Delivery Calculation'!AV190+"AM:!']Z"</f>
        <v>#VALUE!</v>
      </c>
      <c r="DO143" t="e">
        <f>'Delivery Calculation'!AW190+"AM:!']["</f>
        <v>#VALUE!</v>
      </c>
      <c r="DP143" t="e">
        <f>'Delivery Calculation'!AX190+"AM:!']\"</f>
        <v>#VALUE!</v>
      </c>
      <c r="DQ143" t="e">
        <f>'Delivery Calculation'!AY190+"AM:!']]"</f>
        <v>#VALUE!</v>
      </c>
      <c r="DR143" t="e">
        <f>'Delivery Calculation'!AZ190+"AM:!']^"</f>
        <v>#VALUE!</v>
      </c>
      <c r="DS143" t="e">
        <f>'Delivery Calculation'!A191+"AM:!']_"</f>
        <v>#VALUE!</v>
      </c>
      <c r="DT143" t="e">
        <f>'Delivery Calculation'!B191+"AM:!']`"</f>
        <v>#VALUE!</v>
      </c>
      <c r="DU143" t="e">
        <f>'Delivery Calculation'!C191+"AM:!']a"</f>
        <v>#VALUE!</v>
      </c>
      <c r="DV143" t="e">
        <f>'Delivery Calculation'!D191+"AM:!']b"</f>
        <v>#VALUE!</v>
      </c>
      <c r="DW143" t="e">
        <f>'Delivery Calculation'!E191+"AM:!']c"</f>
        <v>#VALUE!</v>
      </c>
      <c r="DX143" t="e">
        <f>'Delivery Calculation'!F191+"AM:!']d"</f>
        <v>#VALUE!</v>
      </c>
      <c r="DY143" t="e">
        <f>'Delivery Calculation'!G191+"AM:!']e"</f>
        <v>#VALUE!</v>
      </c>
      <c r="DZ143" t="e">
        <f>'Delivery Calculation'!H191+"AM:!']f"</f>
        <v>#VALUE!</v>
      </c>
      <c r="EA143" t="e">
        <f>'Delivery Calculation'!I191+"AM:!']g"</f>
        <v>#VALUE!</v>
      </c>
      <c r="EB143" t="e">
        <f>'Delivery Calculation'!J191+"AM:!']h"</f>
        <v>#VALUE!</v>
      </c>
      <c r="EC143" t="e">
        <f>'Delivery Calculation'!K191+"AM:!']i"</f>
        <v>#VALUE!</v>
      </c>
      <c r="ED143" t="e">
        <f>'Delivery Calculation'!L191+"AM:!']j"</f>
        <v>#VALUE!</v>
      </c>
      <c r="EE143" t="e">
        <f>'Delivery Calculation'!M191+"AM:!']k"</f>
        <v>#VALUE!</v>
      </c>
      <c r="EF143" t="e">
        <f>'Delivery Calculation'!N191+"AM:!']l"</f>
        <v>#VALUE!</v>
      </c>
      <c r="EG143" t="e">
        <f>'Delivery Calculation'!O191+"AM:!']m"</f>
        <v>#VALUE!</v>
      </c>
      <c r="EH143" t="e">
        <f>'Delivery Calculation'!P191+"AM:!']n"</f>
        <v>#VALUE!</v>
      </c>
      <c r="EI143" t="e">
        <f>'Delivery Calculation'!Q191+"AM:!']o"</f>
        <v>#VALUE!</v>
      </c>
      <c r="EJ143" t="e">
        <f>'Delivery Calculation'!R191+"AM:!']p"</f>
        <v>#VALUE!</v>
      </c>
      <c r="EK143" t="e">
        <f>'Delivery Calculation'!S191+"AM:!']q"</f>
        <v>#VALUE!</v>
      </c>
      <c r="EL143" t="e">
        <f>'Delivery Calculation'!T191+"AM:!']r"</f>
        <v>#VALUE!</v>
      </c>
      <c r="EM143" t="e">
        <f>'Delivery Calculation'!U191+"AM:!']s"</f>
        <v>#VALUE!</v>
      </c>
      <c r="EN143" t="e">
        <f>'Delivery Calculation'!V191+"AM:!']t"</f>
        <v>#VALUE!</v>
      </c>
      <c r="EO143" t="e">
        <f>'Delivery Calculation'!W191+"AM:!']u"</f>
        <v>#VALUE!</v>
      </c>
      <c r="EP143" t="e">
        <f>'Delivery Calculation'!X191+"AM:!']v"</f>
        <v>#VALUE!</v>
      </c>
      <c r="EQ143" t="e">
        <f>'Delivery Calculation'!Y191+"AM:!']w"</f>
        <v>#VALUE!</v>
      </c>
      <c r="ER143" t="e">
        <f>'Delivery Calculation'!Z191+"AM:!']x"</f>
        <v>#VALUE!</v>
      </c>
      <c r="ES143" t="e">
        <f>'Delivery Calculation'!AA191+"AM:!']y"</f>
        <v>#VALUE!</v>
      </c>
      <c r="ET143" t="e">
        <f>'Delivery Calculation'!AB191+"AM:!']z"</f>
        <v>#VALUE!</v>
      </c>
      <c r="EU143" t="e">
        <f>'Delivery Calculation'!AC191+"AM:!']{"</f>
        <v>#VALUE!</v>
      </c>
      <c r="EV143" t="e">
        <f>'Delivery Calculation'!AD191+"AM:!']|"</f>
        <v>#VALUE!</v>
      </c>
      <c r="EW143" t="e">
        <f>'Delivery Calculation'!AE191+"AM:!']}"</f>
        <v>#VALUE!</v>
      </c>
      <c r="EX143" t="e">
        <f>'Delivery Calculation'!AF191+"AM:!']~"</f>
        <v>#VALUE!</v>
      </c>
      <c r="EY143" t="e">
        <f>'Delivery Calculation'!AG191+"AM:!'^#"</f>
        <v>#VALUE!</v>
      </c>
      <c r="EZ143" t="e">
        <f>'Delivery Calculation'!AH191+"AM:!'^$"</f>
        <v>#VALUE!</v>
      </c>
      <c r="FA143" t="e">
        <f>'Delivery Calculation'!AI191+"AM:!'^%"</f>
        <v>#VALUE!</v>
      </c>
      <c r="FB143" t="e">
        <f>'Delivery Calculation'!AJ191+"AM:!'^&amp;"</f>
        <v>#VALUE!</v>
      </c>
      <c r="FC143" t="e">
        <f>'Delivery Calculation'!AK191+"AM:!'^'"</f>
        <v>#VALUE!</v>
      </c>
      <c r="FD143" t="e">
        <f>'Delivery Calculation'!AL191+"AM:!'^("</f>
        <v>#VALUE!</v>
      </c>
      <c r="FE143" t="e">
        <f>'Delivery Calculation'!AM191+"AM:!'^)"</f>
        <v>#VALUE!</v>
      </c>
      <c r="FF143" t="e">
        <f>'Delivery Calculation'!AN191+"AM:!'^."</f>
        <v>#VALUE!</v>
      </c>
      <c r="FG143" t="e">
        <f>'Delivery Calculation'!AO191+"AM:!'^/"</f>
        <v>#VALUE!</v>
      </c>
      <c r="FH143" t="e">
        <f>'Delivery Calculation'!AP191+"AM:!'^0"</f>
        <v>#VALUE!</v>
      </c>
      <c r="FI143" t="e">
        <f>'Delivery Calculation'!AQ191+"AM:!'^1"</f>
        <v>#VALUE!</v>
      </c>
      <c r="FJ143" t="e">
        <f>'Delivery Calculation'!AR191+"AM:!'^2"</f>
        <v>#VALUE!</v>
      </c>
      <c r="FK143" t="e">
        <f>'Delivery Calculation'!AS191+"AM:!'^3"</f>
        <v>#VALUE!</v>
      </c>
      <c r="FL143" t="e">
        <f>'Delivery Calculation'!AT191+"AM:!'^4"</f>
        <v>#VALUE!</v>
      </c>
      <c r="FM143" t="e">
        <f>'Delivery Calculation'!AU191+"AM:!'^5"</f>
        <v>#VALUE!</v>
      </c>
      <c r="FN143" t="e">
        <f>'Delivery Calculation'!AV191+"AM:!'^6"</f>
        <v>#VALUE!</v>
      </c>
      <c r="FO143" t="e">
        <f>'Delivery Calculation'!AW191+"AM:!'^7"</f>
        <v>#VALUE!</v>
      </c>
      <c r="FP143" t="e">
        <f>'Delivery Calculation'!AX191+"AM:!'^8"</f>
        <v>#VALUE!</v>
      </c>
      <c r="FQ143" t="e">
        <f>'Delivery Calculation'!AY191+"AM:!'^9"</f>
        <v>#VALUE!</v>
      </c>
      <c r="FR143" t="e">
        <f>'Delivery Calculation'!AZ191+"AM:!'^:"</f>
        <v>#VALUE!</v>
      </c>
      <c r="FS143" t="e">
        <f>'Delivery Calculation'!A192+"AM:!'^;"</f>
        <v>#VALUE!</v>
      </c>
      <c r="FT143" t="e">
        <f>'Delivery Calculation'!B192+"AM:!'^&lt;"</f>
        <v>#VALUE!</v>
      </c>
      <c r="FU143" t="e">
        <f>'Delivery Calculation'!C192+"AM:!'^="</f>
        <v>#VALUE!</v>
      </c>
      <c r="FV143" t="e">
        <f>'Delivery Calculation'!D192+"AM:!'^&gt;"</f>
        <v>#VALUE!</v>
      </c>
      <c r="FW143" t="e">
        <f>'Delivery Calculation'!E192+"AM:!'^?"</f>
        <v>#VALUE!</v>
      </c>
      <c r="FX143" t="e">
        <f>'Delivery Calculation'!F192+"AM:!'^@"</f>
        <v>#VALUE!</v>
      </c>
      <c r="FY143" t="e">
        <f>'Delivery Calculation'!G192+"AM:!'^A"</f>
        <v>#VALUE!</v>
      </c>
      <c r="FZ143" t="e">
        <f>'Delivery Calculation'!H192+"AM:!'^B"</f>
        <v>#VALUE!</v>
      </c>
      <c r="GA143" t="e">
        <f>'Delivery Calculation'!I192+"AM:!'^C"</f>
        <v>#VALUE!</v>
      </c>
      <c r="GB143" t="e">
        <f>'Delivery Calculation'!J192+"AM:!'^D"</f>
        <v>#VALUE!</v>
      </c>
      <c r="GC143" t="e">
        <f>'Delivery Calculation'!K192+"AM:!'^E"</f>
        <v>#VALUE!</v>
      </c>
      <c r="GD143" t="e">
        <f>'Delivery Calculation'!L192+"AM:!'^F"</f>
        <v>#VALUE!</v>
      </c>
      <c r="GE143" t="e">
        <f>'Delivery Calculation'!M192+"AM:!'^G"</f>
        <v>#VALUE!</v>
      </c>
      <c r="GF143" t="e">
        <f>'Delivery Calculation'!N192+"AM:!'^H"</f>
        <v>#VALUE!</v>
      </c>
      <c r="GG143" t="e">
        <f>'Delivery Calculation'!O192+"AM:!'^I"</f>
        <v>#VALUE!</v>
      </c>
      <c r="GH143" t="e">
        <f>'Delivery Calculation'!P192+"AM:!'^J"</f>
        <v>#VALUE!</v>
      </c>
      <c r="GI143" t="e">
        <f>'Delivery Calculation'!Q192+"AM:!'^K"</f>
        <v>#VALUE!</v>
      </c>
      <c r="GJ143" t="e">
        <f>'Delivery Calculation'!R192+"AM:!'^L"</f>
        <v>#VALUE!</v>
      </c>
      <c r="GK143" t="e">
        <f>'Delivery Calculation'!S192+"AM:!'^M"</f>
        <v>#VALUE!</v>
      </c>
      <c r="GL143" t="e">
        <f>'Delivery Calculation'!T192+"AM:!'^N"</f>
        <v>#VALUE!</v>
      </c>
      <c r="GM143" t="e">
        <f>'Delivery Calculation'!U192+"AM:!'^O"</f>
        <v>#VALUE!</v>
      </c>
      <c r="GN143" t="e">
        <f>'Delivery Calculation'!V192+"AM:!'^P"</f>
        <v>#VALUE!</v>
      </c>
      <c r="GO143" t="e">
        <f>'Delivery Calculation'!W192+"AM:!'^Q"</f>
        <v>#VALUE!</v>
      </c>
      <c r="GP143" t="e">
        <f>'Delivery Calculation'!X192+"AM:!'^R"</f>
        <v>#VALUE!</v>
      </c>
      <c r="GQ143" t="e">
        <f>'Delivery Calculation'!Y192+"AM:!'^S"</f>
        <v>#VALUE!</v>
      </c>
      <c r="GR143" t="e">
        <f>'Delivery Calculation'!Z192+"AM:!'^T"</f>
        <v>#VALUE!</v>
      </c>
      <c r="GS143" t="e">
        <f>'Delivery Calculation'!AA192+"AM:!'^U"</f>
        <v>#VALUE!</v>
      </c>
      <c r="GT143" t="e">
        <f>'Delivery Calculation'!AB192+"AM:!'^V"</f>
        <v>#VALUE!</v>
      </c>
      <c r="GU143" t="e">
        <f>'Delivery Calculation'!AC192+"AM:!'^W"</f>
        <v>#VALUE!</v>
      </c>
      <c r="GV143" t="e">
        <f>'Delivery Calculation'!AD192+"AM:!'^X"</f>
        <v>#VALUE!</v>
      </c>
      <c r="GW143" t="e">
        <f>'Delivery Calculation'!AE192+"AM:!'^Y"</f>
        <v>#VALUE!</v>
      </c>
      <c r="GX143" t="e">
        <f>'Delivery Calculation'!AF192+"AM:!'^Z"</f>
        <v>#VALUE!</v>
      </c>
      <c r="GY143" t="e">
        <f>'Delivery Calculation'!AG192+"AM:!'^["</f>
        <v>#VALUE!</v>
      </c>
      <c r="GZ143" t="e">
        <f>'Delivery Calculation'!AH192+"AM:!'^\"</f>
        <v>#VALUE!</v>
      </c>
      <c r="HA143" t="e">
        <f>'Delivery Calculation'!AI192+"AM:!'^]"</f>
        <v>#VALUE!</v>
      </c>
      <c r="HB143" t="e">
        <f>'Delivery Calculation'!AJ192+"AM:!'^^"</f>
        <v>#VALUE!</v>
      </c>
      <c r="HC143" t="e">
        <f>'Delivery Calculation'!AK192+"AM:!'^_"</f>
        <v>#VALUE!</v>
      </c>
      <c r="HD143" t="e">
        <f>'Delivery Calculation'!AL192+"AM:!'^`"</f>
        <v>#VALUE!</v>
      </c>
      <c r="HE143" t="e">
        <f>'Delivery Calculation'!AM192+"AM:!'^a"</f>
        <v>#VALUE!</v>
      </c>
      <c r="HF143" t="e">
        <f>'Delivery Calculation'!AN192+"AM:!'^b"</f>
        <v>#VALUE!</v>
      </c>
      <c r="HG143" t="e">
        <f>'Delivery Calculation'!AO192+"AM:!'^c"</f>
        <v>#VALUE!</v>
      </c>
      <c r="HH143" t="e">
        <f>'Delivery Calculation'!AP192+"AM:!'^d"</f>
        <v>#VALUE!</v>
      </c>
      <c r="HI143" t="e">
        <f>'Delivery Calculation'!AQ192+"AM:!'^e"</f>
        <v>#VALUE!</v>
      </c>
      <c r="HJ143" t="e">
        <f>'Delivery Calculation'!AR192+"AM:!'^f"</f>
        <v>#VALUE!</v>
      </c>
      <c r="HK143" t="e">
        <f>'Delivery Calculation'!AS192+"AM:!'^g"</f>
        <v>#VALUE!</v>
      </c>
      <c r="HL143" t="e">
        <f>'Delivery Calculation'!AT192+"AM:!'^h"</f>
        <v>#VALUE!</v>
      </c>
      <c r="HM143" t="e">
        <f>'Delivery Calculation'!AU192+"AM:!'^i"</f>
        <v>#VALUE!</v>
      </c>
      <c r="HN143" t="e">
        <f>'Delivery Calculation'!AV192+"AM:!'^j"</f>
        <v>#VALUE!</v>
      </c>
      <c r="HO143" t="e">
        <f>'Delivery Calculation'!AW192+"AM:!'^k"</f>
        <v>#VALUE!</v>
      </c>
      <c r="HP143" t="e">
        <f>'Delivery Calculation'!AX192+"AM:!'^l"</f>
        <v>#VALUE!</v>
      </c>
      <c r="HQ143" t="e">
        <f>'Delivery Calculation'!AY192+"AM:!'^m"</f>
        <v>#VALUE!</v>
      </c>
      <c r="HR143" t="e">
        <f>'Delivery Calculation'!AZ192+"AM:!'^n"</f>
        <v>#VALUE!</v>
      </c>
      <c r="HS143" t="e">
        <f>'Delivery Calculation'!A193+"AM:!'^o"</f>
        <v>#VALUE!</v>
      </c>
      <c r="HT143" t="e">
        <f>'Delivery Calculation'!B193+"AM:!'^p"</f>
        <v>#VALUE!</v>
      </c>
      <c r="HU143" t="e">
        <f>'Delivery Calculation'!C193+"AM:!'^q"</f>
        <v>#VALUE!</v>
      </c>
      <c r="HV143" t="e">
        <f>'Delivery Calculation'!D193+"AM:!'^r"</f>
        <v>#VALUE!</v>
      </c>
      <c r="HW143" t="e">
        <f>'Delivery Calculation'!E193+"AM:!'^s"</f>
        <v>#VALUE!</v>
      </c>
      <c r="HX143" t="e">
        <f>'Delivery Calculation'!F193+"AM:!'^t"</f>
        <v>#VALUE!</v>
      </c>
      <c r="HY143" t="e">
        <f>'Delivery Calculation'!G193+"AM:!'^u"</f>
        <v>#VALUE!</v>
      </c>
      <c r="HZ143" t="e">
        <f>'Delivery Calculation'!H193+"AM:!'^v"</f>
        <v>#VALUE!</v>
      </c>
      <c r="IA143" t="e">
        <f>'Delivery Calculation'!I193+"AM:!'^w"</f>
        <v>#VALUE!</v>
      </c>
      <c r="IB143" t="e">
        <f>'Delivery Calculation'!J193+"AM:!'^x"</f>
        <v>#VALUE!</v>
      </c>
      <c r="IC143" t="e">
        <f>'Delivery Calculation'!K193+"AM:!'^y"</f>
        <v>#VALUE!</v>
      </c>
      <c r="ID143" t="e">
        <f>'Delivery Calculation'!L193+"AM:!'^z"</f>
        <v>#VALUE!</v>
      </c>
      <c r="IE143" t="e">
        <f>'Delivery Calculation'!M193+"AM:!'^{"</f>
        <v>#VALUE!</v>
      </c>
      <c r="IF143" t="e">
        <f>'Delivery Calculation'!N193+"AM:!'^|"</f>
        <v>#VALUE!</v>
      </c>
      <c r="IG143" t="e">
        <f>'Delivery Calculation'!O193+"AM:!'^}"</f>
        <v>#VALUE!</v>
      </c>
      <c r="IH143" t="e">
        <f>'Delivery Calculation'!P193+"AM:!'^~"</f>
        <v>#VALUE!</v>
      </c>
      <c r="II143" t="e">
        <f>'Delivery Calculation'!Q193+"AM:!'_#"</f>
        <v>#VALUE!</v>
      </c>
      <c r="IJ143" t="e">
        <f>'Delivery Calculation'!R193+"AM:!'_$"</f>
        <v>#VALUE!</v>
      </c>
      <c r="IK143" t="e">
        <f>'Delivery Calculation'!S193+"AM:!'_%"</f>
        <v>#VALUE!</v>
      </c>
      <c r="IL143" t="e">
        <f>'Delivery Calculation'!T193+"AM:!'_&amp;"</f>
        <v>#VALUE!</v>
      </c>
      <c r="IM143" t="e">
        <f>'Delivery Calculation'!U193+"AM:!'_'"</f>
        <v>#VALUE!</v>
      </c>
      <c r="IN143" t="e">
        <f>'Delivery Calculation'!V193+"AM:!'_("</f>
        <v>#VALUE!</v>
      </c>
      <c r="IO143" t="e">
        <f>'Delivery Calculation'!W193+"AM:!'_)"</f>
        <v>#VALUE!</v>
      </c>
      <c r="IP143" t="e">
        <f>'Delivery Calculation'!X193+"AM:!'_."</f>
        <v>#VALUE!</v>
      </c>
      <c r="IQ143" t="e">
        <f>'Delivery Calculation'!Y193+"AM:!'_/"</f>
        <v>#VALUE!</v>
      </c>
      <c r="IR143" t="e">
        <f>'Delivery Calculation'!Z193+"AM:!'_0"</f>
        <v>#VALUE!</v>
      </c>
      <c r="IS143" t="e">
        <f>'Delivery Calculation'!AA193+"AM:!'_1"</f>
        <v>#VALUE!</v>
      </c>
      <c r="IT143" t="e">
        <f>'Delivery Calculation'!AB193+"AM:!'_2"</f>
        <v>#VALUE!</v>
      </c>
      <c r="IU143" t="e">
        <f>'Delivery Calculation'!AC193+"AM:!'_3"</f>
        <v>#VALUE!</v>
      </c>
      <c r="IV143" t="e">
        <f>'Delivery Calculation'!AD193+"AM:!'_4"</f>
        <v>#VALUE!</v>
      </c>
    </row>
    <row r="144" spans="6:256">
      <c r="F144" t="e">
        <f>'Delivery Calculation'!AE193+"AM:!'_5"</f>
        <v>#VALUE!</v>
      </c>
      <c r="G144" t="e">
        <f>'Delivery Calculation'!AF193+"AM:!'_6"</f>
        <v>#VALUE!</v>
      </c>
      <c r="H144" t="e">
        <f>'Delivery Calculation'!AG193+"AM:!'_7"</f>
        <v>#VALUE!</v>
      </c>
      <c r="I144" t="e">
        <f>'Delivery Calculation'!AH193+"AM:!'_8"</f>
        <v>#VALUE!</v>
      </c>
      <c r="J144" t="e">
        <f>'Delivery Calculation'!AI193+"AM:!'_9"</f>
        <v>#VALUE!</v>
      </c>
      <c r="K144" t="e">
        <f>'Delivery Calculation'!AJ193+"AM:!'_:"</f>
        <v>#VALUE!</v>
      </c>
      <c r="L144" t="e">
        <f>'Delivery Calculation'!AK193+"AM:!'_;"</f>
        <v>#VALUE!</v>
      </c>
      <c r="M144" t="e">
        <f>'Delivery Calculation'!AL193+"AM:!'_&lt;"</f>
        <v>#VALUE!</v>
      </c>
      <c r="N144" t="e">
        <f>'Delivery Calculation'!AM193+"AM:!'_="</f>
        <v>#VALUE!</v>
      </c>
      <c r="O144" t="e">
        <f>'Delivery Calculation'!AN193+"AM:!'_&gt;"</f>
        <v>#VALUE!</v>
      </c>
      <c r="P144" t="e">
        <f>'Delivery Calculation'!AO193+"AM:!'_?"</f>
        <v>#VALUE!</v>
      </c>
      <c r="Q144" t="e">
        <f>'Delivery Calculation'!AP193+"AM:!'_@"</f>
        <v>#VALUE!</v>
      </c>
      <c r="R144" t="e">
        <f>'Delivery Calculation'!AQ193+"AM:!'_A"</f>
        <v>#VALUE!</v>
      </c>
      <c r="S144" t="e">
        <f>'Delivery Calculation'!AR193+"AM:!'_B"</f>
        <v>#VALUE!</v>
      </c>
      <c r="T144" t="e">
        <f>'Delivery Calculation'!AS193+"AM:!'_C"</f>
        <v>#VALUE!</v>
      </c>
      <c r="U144" t="e">
        <f>'Delivery Calculation'!AT193+"AM:!'_D"</f>
        <v>#VALUE!</v>
      </c>
      <c r="V144" t="e">
        <f>'Delivery Calculation'!AU193+"AM:!'_E"</f>
        <v>#VALUE!</v>
      </c>
      <c r="W144" t="e">
        <f>'Delivery Calculation'!AV193+"AM:!'_F"</f>
        <v>#VALUE!</v>
      </c>
      <c r="X144" t="e">
        <f>'Delivery Calculation'!AW193+"AM:!'_G"</f>
        <v>#VALUE!</v>
      </c>
      <c r="Y144" t="e">
        <f>'Delivery Calculation'!AX193+"AM:!'_H"</f>
        <v>#VALUE!</v>
      </c>
      <c r="Z144" t="e">
        <f>'Delivery Calculation'!AY193+"AM:!'_I"</f>
        <v>#VALUE!</v>
      </c>
      <c r="AA144" t="e">
        <f>'Delivery Calculation'!A194+"AM:!'_J"</f>
        <v>#VALUE!</v>
      </c>
      <c r="AB144" t="e">
        <f>'Delivery Calculation'!B194+"AM:!'_K"</f>
        <v>#VALUE!</v>
      </c>
      <c r="AC144" t="e">
        <f>'Delivery Calculation'!C194+"AM:!'_L"</f>
        <v>#VALUE!</v>
      </c>
      <c r="AD144" t="e">
        <f>'Delivery Calculation'!D194+"AM:!'_M"</f>
        <v>#VALUE!</v>
      </c>
      <c r="AE144" t="e">
        <f>'Delivery Calculation'!E194+"AM:!'_N"</f>
        <v>#VALUE!</v>
      </c>
      <c r="AF144" s="98" t="e">
        <f>'Delivery Calculation'!F194+"AM:!'_O"</f>
        <v>#VALUE!</v>
      </c>
      <c r="AG144" s="98" t="e">
        <f>'Delivery Calculation'!G194+"AM:!'_P"</f>
        <v>#VALUE!</v>
      </c>
      <c r="AH144" s="98" t="e">
        <f>'Delivery Calculation'!H194+"AM:!'_Q"</f>
        <v>#VALUE!</v>
      </c>
      <c r="AI144" s="98" t="e">
        <f>'Delivery Calculation'!I194+"AM:!'_R"</f>
        <v>#VALUE!</v>
      </c>
      <c r="AJ144" s="98" t="e">
        <f>'Delivery Calculation'!J194+"AM:!'_S"</f>
        <v>#VALUE!</v>
      </c>
      <c r="AK144" s="98" t="e">
        <f>'Delivery Calculation'!K194+"AM:!'_T"</f>
        <v>#VALUE!</v>
      </c>
      <c r="AL144" s="98" t="e">
        <f>'Delivery Calculation'!L194+"AM:!'_U"</f>
        <v>#VALUE!</v>
      </c>
      <c r="AM144" s="100" t="e">
        <f>'Delivery Calculation'!M194+"AM:!'_V"</f>
        <v>#VALUE!</v>
      </c>
      <c r="AN144" s="100" t="e">
        <f>'Delivery Calculation'!N194+"AM:!'_W"</f>
        <v>#VALUE!</v>
      </c>
      <c r="AO144" s="100" t="e">
        <f>'Delivery Calculation'!O194+"AM:!'_X"</f>
        <v>#VALUE!</v>
      </c>
      <c r="AP144" s="100" t="e">
        <f>'Delivery Calculation'!P194+"AM:!'_Y"</f>
        <v>#VALUE!</v>
      </c>
      <c r="AQ144" s="100" t="e">
        <f>'Delivery Calculation'!Q194+"AM:!'_Z"</f>
        <v>#VALUE!</v>
      </c>
      <c r="AR144" s="100" t="e">
        <f>'Delivery Calculation'!R194+"AM:!'_["</f>
        <v>#VALUE!</v>
      </c>
      <c r="AS144" s="100" t="e">
        <f>'Delivery Calculation'!S194+"AM:!'_\"</f>
        <v>#VALUE!</v>
      </c>
      <c r="AT144" s="100" t="e">
        <f>'Delivery Calculation'!T194+"AM:!'_]"</f>
        <v>#VALUE!</v>
      </c>
      <c r="AU144" s="100" t="e">
        <f>'Delivery Calculation'!U194+"AM:!'_^"</f>
        <v>#VALUE!</v>
      </c>
      <c r="AV144" s="100" t="e">
        <f>'Delivery Calculation'!V194+"AM:!'__"</f>
        <v>#VALUE!</v>
      </c>
      <c r="AW144" s="100" t="e">
        <f>'Delivery Calculation'!W194+"AM:!'_`"</f>
        <v>#VALUE!</v>
      </c>
      <c r="AX144" s="100" t="e">
        <f>'Delivery Calculation'!X194+"AM:!'_a"</f>
        <v>#VALUE!</v>
      </c>
      <c r="AY144" s="100" t="e">
        <f>'Delivery Calculation'!Y194+"AM:!'_b"</f>
        <v>#VALUE!</v>
      </c>
      <c r="AZ144" s="100" t="e">
        <f>'Delivery Calculation'!Z194+"AM:!'_c"</f>
        <v>#VALUE!</v>
      </c>
      <c r="BA144" s="100" t="e">
        <f>'Delivery Calculation'!AA194+"AM:!'_d"</f>
        <v>#VALUE!</v>
      </c>
      <c r="BB144" s="100" t="e">
        <f>'Delivery Calculation'!AB194+"AM:!'_e"</f>
        <v>#VALUE!</v>
      </c>
      <c r="BC144" s="100" t="e">
        <f>'Delivery Calculation'!AC194+"AM:!'_f"</f>
        <v>#VALUE!</v>
      </c>
      <c r="BD144" s="100" t="e">
        <f>'Delivery Calculation'!AD194+"AM:!'_g"</f>
        <v>#VALUE!</v>
      </c>
      <c r="BE144" s="100" t="e">
        <f>'Delivery Calculation'!AE194+"AM:!'_h"</f>
        <v>#VALUE!</v>
      </c>
      <c r="BF144" s="100" t="e">
        <f>'Delivery Calculation'!AF194+"AM:!'_i"</f>
        <v>#VALUE!</v>
      </c>
      <c r="BG144" s="100" t="e">
        <f>'Delivery Calculation'!AG194+"AM:!'_j"</f>
        <v>#VALUE!</v>
      </c>
      <c r="BH144" s="100" t="e">
        <f>'Delivery Calculation'!AH194+"AM:!'_k"</f>
        <v>#VALUE!</v>
      </c>
      <c r="BI144" s="100" t="e">
        <f>'Delivery Calculation'!AI194+"AM:!'_l"</f>
        <v>#VALUE!</v>
      </c>
      <c r="BJ144" s="100" t="e">
        <f>'Delivery Calculation'!AJ194+"AM:!'_m"</f>
        <v>#VALUE!</v>
      </c>
      <c r="BK144" s="100" t="e">
        <f>'Delivery Calculation'!AK194+"AM:!'_n"</f>
        <v>#VALUE!</v>
      </c>
      <c r="BL144" s="100" t="e">
        <f>'Delivery Calculation'!AL194+"AM:!'_o"</f>
        <v>#VALUE!</v>
      </c>
      <c r="BM144" s="100" t="e">
        <f>'Delivery Calculation'!AM194+"AM:!'_p"</f>
        <v>#VALUE!</v>
      </c>
      <c r="BN144" s="100" t="e">
        <f>'Delivery Calculation'!AN194+"AM:!'_q"</f>
        <v>#VALUE!</v>
      </c>
      <c r="BO144" s="100" t="e">
        <f>'Delivery Calculation'!AO194+"AM:!'_r"</f>
        <v>#VALUE!</v>
      </c>
      <c r="BP144" s="100" t="e">
        <f>'Delivery Calculation'!AP194+"AM:!'_s"</f>
        <v>#VALUE!</v>
      </c>
      <c r="BQ144" s="100" t="e">
        <f>'Delivery Calculation'!AQ194+"AM:!'_t"</f>
        <v>#VALUE!</v>
      </c>
      <c r="BR144" s="100" t="e">
        <f>'Delivery Calculation'!AR194+"AM:!'_u"</f>
        <v>#VALUE!</v>
      </c>
      <c r="BS144" s="100" t="e">
        <f>'Delivery Calculation'!AS194+"AM:!'_v"</f>
        <v>#VALUE!</v>
      </c>
      <c r="BT144" s="100" t="e">
        <f>'Delivery Calculation'!AT194+"AM:!'_w"</f>
        <v>#VALUE!</v>
      </c>
      <c r="BU144" s="100" t="e">
        <f>'Delivery Calculation'!AU194+"AM:!'_x"</f>
        <v>#VALUE!</v>
      </c>
      <c r="BV144" s="100" t="e">
        <f>'Delivery Calculation'!AV194+"AM:!'_y"</f>
        <v>#VALUE!</v>
      </c>
      <c r="BW144" s="100" t="e">
        <f>'Delivery Calculation'!AW194+"AM:!'_z"</f>
        <v>#VALUE!</v>
      </c>
      <c r="BX144" s="100" t="e">
        <f>'Delivery Calculation'!AX194+"AM:!'_{"</f>
        <v>#VALUE!</v>
      </c>
      <c r="BY144" t="e">
        <f>'Delivery Calculation'!AY194+"AM:!'_|"</f>
        <v>#VALUE!</v>
      </c>
      <c r="BZ144" t="e">
        <f>'Delivery Calculation'!A195+"AM:!'_}"</f>
        <v>#VALUE!</v>
      </c>
      <c r="CA144" t="e">
        <f>'Delivery Calculation'!B195+"AM:!'_~"</f>
        <v>#VALUE!</v>
      </c>
      <c r="CB144" t="e">
        <f>'Delivery Calculation'!C195+"AM:!'`#"</f>
        <v>#VALUE!</v>
      </c>
      <c r="CC144" t="e">
        <f>'Delivery Calculation'!D195+"AM:!'`$"</f>
        <v>#VALUE!</v>
      </c>
      <c r="CD144" t="e">
        <f>'Delivery Calculation'!E195+"AM:!'`%"</f>
        <v>#VALUE!</v>
      </c>
      <c r="CE144" s="98" t="e">
        <f>'Delivery Calculation'!F195+"AM:!'`&amp;"</f>
        <v>#VALUE!</v>
      </c>
      <c r="CF144" s="98" t="e">
        <f>'Delivery Calculation'!G195+"AM:!'`'"</f>
        <v>#VALUE!</v>
      </c>
      <c r="CG144" s="98" t="e">
        <f>'Delivery Calculation'!H195+"AM:!'`("</f>
        <v>#VALUE!</v>
      </c>
      <c r="CH144" s="98" t="e">
        <f>'Delivery Calculation'!I195+"AM:!'`)"</f>
        <v>#VALUE!</v>
      </c>
      <c r="CI144" s="98" t="e">
        <f>'Delivery Calculation'!J195+"AM:!'`."</f>
        <v>#VALUE!</v>
      </c>
      <c r="CJ144" s="98" t="e">
        <f>'Delivery Calculation'!K195+"AM:!'`/"</f>
        <v>#VALUE!</v>
      </c>
      <c r="CK144" s="98" t="e">
        <f>'Delivery Calculation'!L195+"AM:!'`0"</f>
        <v>#VALUE!</v>
      </c>
      <c r="CL144" s="100" t="e">
        <f>'Delivery Calculation'!M195+"AM:!'`1"</f>
        <v>#VALUE!</v>
      </c>
      <c r="CM144" s="100" t="e">
        <f>'Delivery Calculation'!N195+"AM:!'`2"</f>
        <v>#VALUE!</v>
      </c>
      <c r="CN144" s="100" t="e">
        <f>'Delivery Calculation'!O195+"AM:!'`3"</f>
        <v>#VALUE!</v>
      </c>
      <c r="CO144" s="100" t="e">
        <f>'Delivery Calculation'!P195+"AM:!'`4"</f>
        <v>#VALUE!</v>
      </c>
      <c r="CP144" s="100" t="e">
        <f>'Delivery Calculation'!Q195+"AM:!'`5"</f>
        <v>#VALUE!</v>
      </c>
      <c r="CQ144" s="100" t="e">
        <f>'Delivery Calculation'!R195+"AM:!'`6"</f>
        <v>#VALUE!</v>
      </c>
      <c r="CR144" s="100" t="e">
        <f>'Delivery Calculation'!S195+"AM:!'`7"</f>
        <v>#VALUE!</v>
      </c>
      <c r="CS144" s="100" t="e">
        <f>'Delivery Calculation'!T195+"AM:!'`8"</f>
        <v>#VALUE!</v>
      </c>
      <c r="CT144" s="100" t="e">
        <f>'Delivery Calculation'!U195+"AM:!'`9"</f>
        <v>#VALUE!</v>
      </c>
      <c r="CU144" s="100" t="e">
        <f>'Delivery Calculation'!V195+"AM:!'`:"</f>
        <v>#VALUE!</v>
      </c>
      <c r="CV144" s="100" t="e">
        <f>'Delivery Calculation'!W195+"AM:!'`;"</f>
        <v>#VALUE!</v>
      </c>
      <c r="CW144" s="100" t="e">
        <f>'Delivery Calculation'!X195+"AM:!'`&lt;"</f>
        <v>#VALUE!</v>
      </c>
      <c r="CX144" s="100" t="e">
        <f>'Delivery Calculation'!Y195+"AM:!'`="</f>
        <v>#VALUE!</v>
      </c>
      <c r="CY144" s="100" t="e">
        <f>'Delivery Calculation'!Z195+"AM:!'`&gt;"</f>
        <v>#VALUE!</v>
      </c>
      <c r="CZ144" s="100" t="e">
        <f>'Delivery Calculation'!AA195+"AM:!'`?"</f>
        <v>#VALUE!</v>
      </c>
      <c r="DA144" s="100" t="e">
        <f>'Delivery Calculation'!AB195+"AM:!'`@"</f>
        <v>#VALUE!</v>
      </c>
      <c r="DB144" s="100" t="e">
        <f>'Delivery Calculation'!AC195+"AM:!'`A"</f>
        <v>#VALUE!</v>
      </c>
      <c r="DC144" s="100" t="e">
        <f>'Delivery Calculation'!AD195+"AM:!'`B"</f>
        <v>#VALUE!</v>
      </c>
      <c r="DD144" s="100" t="e">
        <f>'Delivery Calculation'!AE195+"AM:!'`C"</f>
        <v>#VALUE!</v>
      </c>
      <c r="DE144" s="100" t="e">
        <f>'Delivery Calculation'!AF195+"AM:!'`D"</f>
        <v>#VALUE!</v>
      </c>
      <c r="DF144" s="100" t="e">
        <f>'Delivery Calculation'!AG195+"AM:!'`E"</f>
        <v>#VALUE!</v>
      </c>
      <c r="DG144" s="100" t="e">
        <f>'Delivery Calculation'!AH195+"AM:!'`F"</f>
        <v>#VALUE!</v>
      </c>
      <c r="DH144" s="100" t="e">
        <f>'Delivery Calculation'!AI195+"AM:!'`G"</f>
        <v>#VALUE!</v>
      </c>
      <c r="DI144" s="100" t="e">
        <f>'Delivery Calculation'!AJ195+"AM:!'`H"</f>
        <v>#VALUE!</v>
      </c>
      <c r="DJ144" s="100" t="e">
        <f>'Delivery Calculation'!AK195+"AM:!'`I"</f>
        <v>#VALUE!</v>
      </c>
      <c r="DK144" s="100" t="e">
        <f>'Delivery Calculation'!AL195+"AM:!'`J"</f>
        <v>#VALUE!</v>
      </c>
      <c r="DL144" s="100" t="e">
        <f>'Delivery Calculation'!AM195+"AM:!'`K"</f>
        <v>#VALUE!</v>
      </c>
      <c r="DM144" s="100" t="e">
        <f>'Delivery Calculation'!AN195+"AM:!'`L"</f>
        <v>#VALUE!</v>
      </c>
      <c r="DN144" s="100" t="e">
        <f>'Delivery Calculation'!AO195+"AM:!'`M"</f>
        <v>#VALUE!</v>
      </c>
      <c r="DO144" s="100" t="e">
        <f>'Delivery Calculation'!AP195+"AM:!'`N"</f>
        <v>#VALUE!</v>
      </c>
      <c r="DP144" s="100" t="e">
        <f>'Delivery Calculation'!AQ195+"AM:!'`O"</f>
        <v>#VALUE!</v>
      </c>
      <c r="DQ144" s="100" t="e">
        <f>'Delivery Calculation'!AR195+"AM:!'`P"</f>
        <v>#VALUE!</v>
      </c>
      <c r="DR144" s="100" t="e">
        <f>'Delivery Calculation'!AS195+"AM:!'`Q"</f>
        <v>#VALUE!</v>
      </c>
      <c r="DS144" s="100" t="e">
        <f>'Delivery Calculation'!AT195+"AM:!'`R"</f>
        <v>#VALUE!</v>
      </c>
      <c r="DT144" s="100" t="e">
        <f>'Delivery Calculation'!AU195+"AM:!'`S"</f>
        <v>#VALUE!</v>
      </c>
      <c r="DU144" s="100" t="e">
        <f>'Delivery Calculation'!AV195+"AM:!'`T"</f>
        <v>#VALUE!</v>
      </c>
      <c r="DV144" s="100" t="e">
        <f>'Delivery Calculation'!AW195+"AM:!'`U"</f>
        <v>#VALUE!</v>
      </c>
      <c r="DW144" s="100" t="e">
        <f>'Delivery Calculation'!AX195+"AM:!'`V"</f>
        <v>#VALUE!</v>
      </c>
      <c r="DX144" t="e">
        <f>'Delivery Calculation'!AY195+"AM:!'`W"</f>
        <v>#VALUE!</v>
      </c>
      <c r="DY144" t="e">
        <f>'Delivery Calculation'!A196+"AM:!'`X"</f>
        <v>#VALUE!</v>
      </c>
      <c r="DZ144" t="e">
        <f>'Delivery Calculation'!B196+"AM:!'`Y"</f>
        <v>#VALUE!</v>
      </c>
      <c r="EA144" t="e">
        <f>'Delivery Calculation'!C196+"AM:!'`Z"</f>
        <v>#VALUE!</v>
      </c>
      <c r="EB144" t="e">
        <f>'Delivery Calculation'!D196+"AM:!'`["</f>
        <v>#VALUE!</v>
      </c>
      <c r="EC144" t="e">
        <f>'Delivery Calculation'!E196+"AM:!'`\"</f>
        <v>#VALUE!</v>
      </c>
      <c r="ED144" s="98" t="e">
        <f>'Delivery Calculation'!F196+"AM:!'`]"</f>
        <v>#VALUE!</v>
      </c>
      <c r="EE144" s="98" t="e">
        <f>'Delivery Calculation'!G196+"AM:!'`^"</f>
        <v>#VALUE!</v>
      </c>
      <c r="EF144" s="98" t="e">
        <f>'Delivery Calculation'!H196+"AM:!'`_"</f>
        <v>#VALUE!</v>
      </c>
      <c r="EG144" s="98" t="e">
        <f>'Delivery Calculation'!I196+"AM:!'``"</f>
        <v>#VALUE!</v>
      </c>
      <c r="EH144" s="98" t="e">
        <f>'Delivery Calculation'!J196+"AM:!'`a"</f>
        <v>#VALUE!</v>
      </c>
      <c r="EI144" s="98" t="e">
        <f>'Delivery Calculation'!K196+"AM:!'`b"</f>
        <v>#VALUE!</v>
      </c>
      <c r="EJ144" s="98" t="e">
        <f>'Delivery Calculation'!L196+"AM:!'`c"</f>
        <v>#VALUE!</v>
      </c>
      <c r="EK144" s="100" t="e">
        <f>'Delivery Calculation'!M196+"AM:!'`d"</f>
        <v>#VALUE!</v>
      </c>
      <c r="EL144" s="100" t="e">
        <f>'Delivery Calculation'!N196+"AM:!'`e"</f>
        <v>#VALUE!</v>
      </c>
      <c r="EM144" s="100" t="e">
        <f>'Delivery Calculation'!O196+"AM:!'`f"</f>
        <v>#VALUE!</v>
      </c>
      <c r="EN144" s="100" t="e">
        <f>'Delivery Calculation'!P196+"AM:!'`g"</f>
        <v>#VALUE!</v>
      </c>
      <c r="EO144" s="100" t="e">
        <f>'Delivery Calculation'!Q196+"AM:!'`h"</f>
        <v>#VALUE!</v>
      </c>
      <c r="EP144" s="100" t="e">
        <f>'Delivery Calculation'!R196+"AM:!'`i"</f>
        <v>#VALUE!</v>
      </c>
      <c r="EQ144" s="100" t="e">
        <f>'Delivery Calculation'!S196+"AM:!'`j"</f>
        <v>#VALUE!</v>
      </c>
      <c r="ER144" s="100" t="e">
        <f>'Delivery Calculation'!T196+"AM:!'`k"</f>
        <v>#VALUE!</v>
      </c>
      <c r="ES144" s="100" t="e">
        <f>'Delivery Calculation'!U196+"AM:!'`l"</f>
        <v>#VALUE!</v>
      </c>
      <c r="ET144" s="100" t="e">
        <f>'Delivery Calculation'!V196+"AM:!'`m"</f>
        <v>#VALUE!</v>
      </c>
      <c r="EU144" s="100" t="e">
        <f>'Delivery Calculation'!W196+"AM:!'`n"</f>
        <v>#VALUE!</v>
      </c>
      <c r="EV144" s="100" t="e">
        <f>'Delivery Calculation'!X196+"AM:!'`o"</f>
        <v>#VALUE!</v>
      </c>
      <c r="EW144" s="100" t="e">
        <f>'Delivery Calculation'!Y196+"AM:!'`p"</f>
        <v>#VALUE!</v>
      </c>
      <c r="EX144" s="100" t="e">
        <f>'Delivery Calculation'!Z196+"AM:!'`q"</f>
        <v>#VALUE!</v>
      </c>
      <c r="EY144" s="100" t="e">
        <f>'Delivery Calculation'!AA196+"AM:!'`r"</f>
        <v>#VALUE!</v>
      </c>
      <c r="EZ144" s="100" t="e">
        <f>'Delivery Calculation'!AB196+"AM:!'`s"</f>
        <v>#VALUE!</v>
      </c>
      <c r="FA144" s="100" t="e">
        <f>'Delivery Calculation'!AC196+"AM:!'`t"</f>
        <v>#VALUE!</v>
      </c>
      <c r="FB144" s="100" t="e">
        <f>'Delivery Calculation'!AD196+"AM:!'`u"</f>
        <v>#VALUE!</v>
      </c>
      <c r="FC144" s="100" t="e">
        <f>'Delivery Calculation'!AE196+"AM:!'`v"</f>
        <v>#VALUE!</v>
      </c>
      <c r="FD144" s="100" t="e">
        <f>'Delivery Calculation'!AF196+"AM:!'`w"</f>
        <v>#VALUE!</v>
      </c>
      <c r="FE144" s="100" t="e">
        <f>'Delivery Calculation'!AG196+"AM:!'`x"</f>
        <v>#VALUE!</v>
      </c>
      <c r="FF144" s="100" t="e">
        <f>'Delivery Calculation'!AH196+"AM:!'`y"</f>
        <v>#VALUE!</v>
      </c>
      <c r="FG144" s="100" t="e">
        <f>'Delivery Calculation'!AI196+"AM:!'`z"</f>
        <v>#VALUE!</v>
      </c>
      <c r="FH144" s="100" t="e">
        <f>'Delivery Calculation'!AJ196+"AM:!'`{"</f>
        <v>#VALUE!</v>
      </c>
      <c r="FI144" s="100" t="e">
        <f>'Delivery Calculation'!AK196+"AM:!'`|"</f>
        <v>#VALUE!</v>
      </c>
      <c r="FJ144" s="100" t="e">
        <f>'Delivery Calculation'!AL196+"AM:!'`}"</f>
        <v>#VALUE!</v>
      </c>
      <c r="FK144" s="100" t="e">
        <f>'Delivery Calculation'!AM196+"AM:!'`~"</f>
        <v>#VALUE!</v>
      </c>
      <c r="FL144" s="100" t="e">
        <f>'Delivery Calculation'!AN196+"AM:!'a#"</f>
        <v>#VALUE!</v>
      </c>
      <c r="FM144" s="100" t="e">
        <f>'Delivery Calculation'!AO196+"AM:!'a$"</f>
        <v>#VALUE!</v>
      </c>
      <c r="FN144" s="100" t="e">
        <f>'Delivery Calculation'!AP196+"AM:!'a%"</f>
        <v>#VALUE!</v>
      </c>
      <c r="FO144" s="100" t="e">
        <f>'Delivery Calculation'!AQ196+"AM:!'a&amp;"</f>
        <v>#VALUE!</v>
      </c>
      <c r="FP144" s="100" t="e">
        <f>'Delivery Calculation'!AR196+"AM:!'a'"</f>
        <v>#VALUE!</v>
      </c>
      <c r="FQ144" s="100" t="e">
        <f>'Delivery Calculation'!AS196+"AM:!'a("</f>
        <v>#VALUE!</v>
      </c>
      <c r="FR144" s="100" t="e">
        <f>'Delivery Calculation'!AT196+"AM:!'a)"</f>
        <v>#VALUE!</v>
      </c>
      <c r="FS144" s="100" t="e">
        <f>'Delivery Calculation'!AU196+"AM:!'a."</f>
        <v>#VALUE!</v>
      </c>
      <c r="FT144" s="100" t="e">
        <f>'Delivery Calculation'!AV196+"AM:!'a/"</f>
        <v>#VALUE!</v>
      </c>
      <c r="FU144" s="100" t="e">
        <f>'Delivery Calculation'!AW196+"AM:!'a0"</f>
        <v>#VALUE!</v>
      </c>
      <c r="FV144" s="100" t="e">
        <f>'Delivery Calculation'!AX196+"AM:!'a1"</f>
        <v>#VALUE!</v>
      </c>
      <c r="FW144" t="e">
        <f>'Delivery Calculation'!AY196+"AM:!'a2"</f>
        <v>#VALUE!</v>
      </c>
      <c r="FX144" t="e">
        <f>'Delivery Calculation'!A197+"AM:!'a3"</f>
        <v>#VALUE!</v>
      </c>
      <c r="FY144" t="e">
        <f>'Delivery Calculation'!B197+"AM:!'a4"</f>
        <v>#VALUE!</v>
      </c>
      <c r="FZ144" t="e">
        <f>'Delivery Calculation'!C197+"AM:!'a5"</f>
        <v>#VALUE!</v>
      </c>
      <c r="GA144" t="e">
        <f>'Delivery Calculation'!D197+"AM:!'a6"</f>
        <v>#VALUE!</v>
      </c>
      <c r="GB144" t="e">
        <f>'Delivery Calculation'!E197+"AM:!'a7"</f>
        <v>#VALUE!</v>
      </c>
      <c r="GC144" s="98" t="e">
        <f>'Delivery Calculation'!F197+"AM:!'a8"</f>
        <v>#VALUE!</v>
      </c>
      <c r="GD144" s="98" t="e">
        <f>'Delivery Calculation'!G197+"AM:!'a9"</f>
        <v>#VALUE!</v>
      </c>
      <c r="GE144" s="98" t="e">
        <f>'Delivery Calculation'!H197+"AM:!'a:"</f>
        <v>#VALUE!</v>
      </c>
      <c r="GF144" s="98" t="e">
        <f>'Delivery Calculation'!I197+"AM:!'a;"</f>
        <v>#VALUE!</v>
      </c>
      <c r="GG144" s="98" t="e">
        <f>'Delivery Calculation'!J197+"AM:!'a&lt;"</f>
        <v>#VALUE!</v>
      </c>
      <c r="GH144" s="98" t="e">
        <f>'Delivery Calculation'!K197+"AM:!'a="</f>
        <v>#VALUE!</v>
      </c>
      <c r="GI144" s="98" t="e">
        <f>'Delivery Calculation'!L197+"AM:!'a&gt;"</f>
        <v>#VALUE!</v>
      </c>
      <c r="GJ144" s="100" t="e">
        <f>'Delivery Calculation'!M197+"AM:!'a?"</f>
        <v>#VALUE!</v>
      </c>
      <c r="GK144" s="100" t="e">
        <f>'Delivery Calculation'!N197+"AM:!'a@"</f>
        <v>#VALUE!</v>
      </c>
      <c r="GL144" s="100" t="e">
        <f>'Delivery Calculation'!O197+"AM:!'aA"</f>
        <v>#VALUE!</v>
      </c>
      <c r="GM144" s="100" t="e">
        <f>'Delivery Calculation'!P197+"AM:!'aB"</f>
        <v>#VALUE!</v>
      </c>
      <c r="GN144" s="100" t="e">
        <f>'Delivery Calculation'!Q197+"AM:!'aC"</f>
        <v>#VALUE!</v>
      </c>
      <c r="GO144" s="100" t="e">
        <f>'Delivery Calculation'!R197+"AM:!'aD"</f>
        <v>#VALUE!</v>
      </c>
      <c r="GP144" s="100" t="e">
        <f>'Delivery Calculation'!S197+"AM:!'aE"</f>
        <v>#VALUE!</v>
      </c>
      <c r="GQ144" s="100" t="e">
        <f>'Delivery Calculation'!T197+"AM:!'aF"</f>
        <v>#VALUE!</v>
      </c>
      <c r="GR144" s="100" t="e">
        <f>'Delivery Calculation'!U197+"AM:!'aG"</f>
        <v>#VALUE!</v>
      </c>
      <c r="GS144" s="100" t="e">
        <f>'Delivery Calculation'!V197+"AM:!'aH"</f>
        <v>#VALUE!</v>
      </c>
      <c r="GT144" s="100" t="e">
        <f>'Delivery Calculation'!W197+"AM:!'aI"</f>
        <v>#VALUE!</v>
      </c>
      <c r="GU144" s="100" t="e">
        <f>'Delivery Calculation'!X197+"AM:!'aJ"</f>
        <v>#VALUE!</v>
      </c>
      <c r="GV144" s="100" t="e">
        <f>'Delivery Calculation'!Y197+"AM:!'aK"</f>
        <v>#VALUE!</v>
      </c>
      <c r="GW144" s="100" t="e">
        <f>'Delivery Calculation'!Z197+"AM:!'aL"</f>
        <v>#VALUE!</v>
      </c>
      <c r="GX144" s="100" t="e">
        <f>'Delivery Calculation'!AA197+"AM:!'aM"</f>
        <v>#VALUE!</v>
      </c>
      <c r="GY144" s="100" t="e">
        <f>'Delivery Calculation'!AB197+"AM:!'aN"</f>
        <v>#VALUE!</v>
      </c>
      <c r="GZ144" s="100" t="e">
        <f>'Delivery Calculation'!AC197+"AM:!'aO"</f>
        <v>#VALUE!</v>
      </c>
      <c r="HA144" s="100" t="e">
        <f>'Delivery Calculation'!AD197+"AM:!'aP"</f>
        <v>#VALUE!</v>
      </c>
      <c r="HB144" s="100" t="e">
        <f>'Delivery Calculation'!AE197+"AM:!'aQ"</f>
        <v>#VALUE!</v>
      </c>
      <c r="HC144" s="100" t="e">
        <f>'Delivery Calculation'!AF197+"AM:!'aR"</f>
        <v>#VALUE!</v>
      </c>
      <c r="HD144" s="100" t="e">
        <f>'Delivery Calculation'!AG197+"AM:!'aS"</f>
        <v>#VALUE!</v>
      </c>
      <c r="HE144" s="100" t="e">
        <f>'Delivery Calculation'!AH197+"AM:!'aT"</f>
        <v>#VALUE!</v>
      </c>
      <c r="HF144" s="100" t="e">
        <f>'Delivery Calculation'!AI197+"AM:!'aU"</f>
        <v>#VALUE!</v>
      </c>
      <c r="HG144" s="100" t="e">
        <f>'Delivery Calculation'!AJ197+"AM:!'aV"</f>
        <v>#VALUE!</v>
      </c>
      <c r="HH144" s="100" t="e">
        <f>'Delivery Calculation'!AK197+"AM:!'aW"</f>
        <v>#VALUE!</v>
      </c>
      <c r="HI144" s="100" t="e">
        <f>'Delivery Calculation'!AL197+"AM:!'aX"</f>
        <v>#VALUE!</v>
      </c>
      <c r="HJ144" s="100" t="e">
        <f>'Delivery Calculation'!AM197+"AM:!'aY"</f>
        <v>#VALUE!</v>
      </c>
      <c r="HK144" s="100" t="e">
        <f>'Delivery Calculation'!AN197+"AM:!'aZ"</f>
        <v>#VALUE!</v>
      </c>
      <c r="HL144" s="100" t="e">
        <f>'Delivery Calculation'!AO197+"AM:!'a["</f>
        <v>#VALUE!</v>
      </c>
      <c r="HM144" s="100" t="e">
        <f>'Delivery Calculation'!AP197+"AM:!'a\"</f>
        <v>#VALUE!</v>
      </c>
      <c r="HN144" s="100" t="e">
        <f>'Delivery Calculation'!AQ197+"AM:!'a]"</f>
        <v>#VALUE!</v>
      </c>
      <c r="HO144" s="100" t="e">
        <f>'Delivery Calculation'!AR197+"AM:!'a^"</f>
        <v>#VALUE!</v>
      </c>
      <c r="HP144" s="100" t="e">
        <f>'Delivery Calculation'!AS197+"AM:!'a_"</f>
        <v>#VALUE!</v>
      </c>
      <c r="HQ144" s="100" t="e">
        <f>'Delivery Calculation'!AT197+"AM:!'a`"</f>
        <v>#VALUE!</v>
      </c>
      <c r="HR144" s="100" t="e">
        <f>'Delivery Calculation'!AU197+"AM:!'aa"</f>
        <v>#VALUE!</v>
      </c>
      <c r="HS144" s="100" t="e">
        <f>'Delivery Calculation'!AV197+"AM:!'ab"</f>
        <v>#VALUE!</v>
      </c>
      <c r="HT144" s="100" t="e">
        <f>'Delivery Calculation'!AW197+"AM:!'ac"</f>
        <v>#VALUE!</v>
      </c>
      <c r="HU144" s="100" t="e">
        <f>'Delivery Calculation'!AX197+"AM:!'ad"</f>
        <v>#VALUE!</v>
      </c>
      <c r="HV144" t="e">
        <f>'Delivery Calculation'!AY197+"AM:!'ae"</f>
        <v>#VALUE!</v>
      </c>
      <c r="HW144" t="e">
        <f>'Delivery Calculation'!A198+"AM:!'af"</f>
        <v>#VALUE!</v>
      </c>
      <c r="HX144" t="e">
        <f>'Delivery Calculation'!B198+"AM:!'ag"</f>
        <v>#VALUE!</v>
      </c>
      <c r="HY144" t="e">
        <f>'Delivery Calculation'!C198+"AM:!'ah"</f>
        <v>#VALUE!</v>
      </c>
      <c r="HZ144" t="e">
        <f>'Delivery Calculation'!D198+"AM:!'ai"</f>
        <v>#VALUE!</v>
      </c>
      <c r="IA144" t="e">
        <f>'Delivery Calculation'!E198+"AM:!'aj"</f>
        <v>#VALUE!</v>
      </c>
      <c r="IB144" s="98" t="e">
        <f>'Delivery Calculation'!F198+"AM:!'ak"</f>
        <v>#VALUE!</v>
      </c>
      <c r="IC144" s="98" t="e">
        <f>'Delivery Calculation'!G198+"AM:!'al"</f>
        <v>#VALUE!</v>
      </c>
      <c r="ID144" s="98" t="e">
        <f>'Delivery Calculation'!H198+"AM:!'am"</f>
        <v>#VALUE!</v>
      </c>
      <c r="IE144" s="98" t="e">
        <f>'Delivery Calculation'!I198+"AM:!'an"</f>
        <v>#VALUE!</v>
      </c>
      <c r="IF144" s="98" t="e">
        <f>'Delivery Calculation'!J198+"AM:!'ao"</f>
        <v>#VALUE!</v>
      </c>
      <c r="IG144" s="98" t="e">
        <f>'Delivery Calculation'!K198+"AM:!'ap"</f>
        <v>#VALUE!</v>
      </c>
      <c r="IH144" s="98" t="e">
        <f>'Delivery Calculation'!L198+"AM:!'aq"</f>
        <v>#VALUE!</v>
      </c>
      <c r="II144" s="100" t="e">
        <f>'Delivery Calculation'!M198+"AM:!'ar"</f>
        <v>#VALUE!</v>
      </c>
      <c r="IJ144" s="100" t="e">
        <f>'Delivery Calculation'!N198+"AM:!'as"</f>
        <v>#VALUE!</v>
      </c>
      <c r="IK144" s="100" t="e">
        <f>'Delivery Calculation'!O198+"AM:!'at"</f>
        <v>#VALUE!</v>
      </c>
      <c r="IL144" s="100" t="e">
        <f>'Delivery Calculation'!P198+"AM:!'au"</f>
        <v>#VALUE!</v>
      </c>
      <c r="IM144" s="100" t="e">
        <f>'Delivery Calculation'!Q198+"AM:!'av"</f>
        <v>#VALUE!</v>
      </c>
      <c r="IN144" s="100" t="e">
        <f>'Delivery Calculation'!R198+"AM:!'aw"</f>
        <v>#VALUE!</v>
      </c>
      <c r="IO144" s="100" t="e">
        <f>'Delivery Calculation'!S198+"AM:!'ax"</f>
        <v>#VALUE!</v>
      </c>
      <c r="IP144" s="100" t="e">
        <f>'Delivery Calculation'!T198+"AM:!'ay"</f>
        <v>#VALUE!</v>
      </c>
      <c r="IQ144" s="100" t="e">
        <f>'Delivery Calculation'!U198+"AM:!'az"</f>
        <v>#VALUE!</v>
      </c>
      <c r="IR144" s="100" t="e">
        <f>'Delivery Calculation'!V198+"AM:!'a{"</f>
        <v>#VALUE!</v>
      </c>
      <c r="IS144" s="100" t="e">
        <f>'Delivery Calculation'!W198+"AM:!'a|"</f>
        <v>#VALUE!</v>
      </c>
      <c r="IT144" s="100" t="e">
        <f>'Delivery Calculation'!X198+"AM:!'a}"</f>
        <v>#VALUE!</v>
      </c>
      <c r="IU144" s="100" t="e">
        <f>'Delivery Calculation'!Y198+"AM:!'a~"</f>
        <v>#VALUE!</v>
      </c>
      <c r="IV144" s="100" t="e">
        <f>'Delivery Calculation'!Z198+"AM:!'b#"</f>
        <v>#VALUE!</v>
      </c>
    </row>
    <row r="145" spans="6:256">
      <c r="F145" s="100" t="e">
        <f>'Delivery Calculation'!AA198+"AM:!'b$"</f>
        <v>#VALUE!</v>
      </c>
      <c r="G145" s="100" t="e">
        <f>'Delivery Calculation'!AB198+"AM:!'b%"</f>
        <v>#VALUE!</v>
      </c>
      <c r="H145" s="100" t="e">
        <f>'Delivery Calculation'!AC198+"AM:!'b&amp;"</f>
        <v>#VALUE!</v>
      </c>
      <c r="I145" s="100" t="e">
        <f>'Delivery Calculation'!AD198+"AM:!'b'"</f>
        <v>#VALUE!</v>
      </c>
      <c r="J145" s="100" t="e">
        <f>'Delivery Calculation'!AE198+"AM:!'b("</f>
        <v>#VALUE!</v>
      </c>
      <c r="K145" s="100" t="e">
        <f>'Delivery Calculation'!AF198+"AM:!'b)"</f>
        <v>#VALUE!</v>
      </c>
      <c r="L145" s="100" t="e">
        <f>'Delivery Calculation'!AG198+"AM:!'b."</f>
        <v>#VALUE!</v>
      </c>
      <c r="M145" s="100" t="e">
        <f>'Delivery Calculation'!AH198+"AM:!'b/"</f>
        <v>#VALUE!</v>
      </c>
      <c r="N145" s="100" t="e">
        <f>'Delivery Calculation'!AI198+"AM:!'b0"</f>
        <v>#VALUE!</v>
      </c>
      <c r="O145" s="100" t="e">
        <f>'Delivery Calculation'!AJ198+"AM:!'b1"</f>
        <v>#VALUE!</v>
      </c>
      <c r="P145" s="100" t="e">
        <f>'Delivery Calculation'!AK198+"AM:!'b2"</f>
        <v>#VALUE!</v>
      </c>
      <c r="Q145" s="100" t="e">
        <f>'Delivery Calculation'!AL198+"AM:!'b3"</f>
        <v>#VALUE!</v>
      </c>
      <c r="R145" s="100" t="e">
        <f>'Delivery Calculation'!AM198+"AM:!'b4"</f>
        <v>#VALUE!</v>
      </c>
      <c r="S145" s="100" t="e">
        <f>'Delivery Calculation'!AN198+"AM:!'b5"</f>
        <v>#VALUE!</v>
      </c>
      <c r="T145" s="100" t="e">
        <f>'Delivery Calculation'!AO198+"AM:!'b6"</f>
        <v>#VALUE!</v>
      </c>
      <c r="U145" s="100" t="e">
        <f>'Delivery Calculation'!AP198+"AM:!'b7"</f>
        <v>#VALUE!</v>
      </c>
      <c r="V145" s="100" t="e">
        <f>'Delivery Calculation'!AQ198+"AM:!'b8"</f>
        <v>#VALUE!</v>
      </c>
      <c r="W145" s="100" t="e">
        <f>'Delivery Calculation'!AR198+"AM:!'b9"</f>
        <v>#VALUE!</v>
      </c>
      <c r="X145" s="100" t="e">
        <f>'Delivery Calculation'!AS198+"AM:!'b:"</f>
        <v>#VALUE!</v>
      </c>
      <c r="Y145" s="100" t="e">
        <f>'Delivery Calculation'!AT198+"AM:!'b;"</f>
        <v>#VALUE!</v>
      </c>
      <c r="Z145" s="100" t="e">
        <f>'Delivery Calculation'!AU198+"AM:!'b&lt;"</f>
        <v>#VALUE!</v>
      </c>
      <c r="AA145" s="100" t="e">
        <f>'Delivery Calculation'!AV198+"AM:!'b="</f>
        <v>#VALUE!</v>
      </c>
      <c r="AB145" s="100" t="e">
        <f>'Delivery Calculation'!AW198+"AM:!'b&gt;"</f>
        <v>#VALUE!</v>
      </c>
      <c r="AC145" s="100" t="e">
        <f>'Delivery Calculation'!AX198+"AM:!'b?"</f>
        <v>#VALUE!</v>
      </c>
      <c r="AD145" t="e">
        <f>'Delivery Calculation'!AY198+"AM:!'b@"</f>
        <v>#VALUE!</v>
      </c>
      <c r="AE145" t="e">
        <f>'Delivery Calculation'!A199+"AM:!'bA"</f>
        <v>#VALUE!</v>
      </c>
      <c r="AF145" t="e">
        <f>'Delivery Calculation'!B199+"AM:!'bB"</f>
        <v>#VALUE!</v>
      </c>
      <c r="AG145" t="e">
        <f>'Delivery Calculation'!C199+"AM:!'bC"</f>
        <v>#VALUE!</v>
      </c>
      <c r="AH145" t="e">
        <f>'Delivery Calculation'!D199+"AM:!'bD"</f>
        <v>#VALUE!</v>
      </c>
      <c r="AI145" t="e">
        <f>'Delivery Calculation'!E199+"AM:!'bE"</f>
        <v>#VALUE!</v>
      </c>
      <c r="AJ145" s="98" t="e">
        <f>'Delivery Calculation'!F199+"AM:!'bF"</f>
        <v>#VALUE!</v>
      </c>
      <c r="AK145" s="98" t="e">
        <f>'Delivery Calculation'!G199+"AM:!'bG"</f>
        <v>#VALUE!</v>
      </c>
      <c r="AL145" s="98" t="e">
        <f>'Delivery Calculation'!H199+"AM:!'bH"</f>
        <v>#VALUE!</v>
      </c>
      <c r="AM145" s="98" t="e">
        <f>'Delivery Calculation'!I199+"AM:!'bI"</f>
        <v>#VALUE!</v>
      </c>
      <c r="AN145" s="98" t="e">
        <f>'Delivery Calculation'!J199+"AM:!'bJ"</f>
        <v>#VALUE!</v>
      </c>
      <c r="AO145" s="98" t="e">
        <f>'Delivery Calculation'!K199+"AM:!'bK"</f>
        <v>#VALUE!</v>
      </c>
      <c r="AP145" s="98" t="e">
        <f>'Delivery Calculation'!L199+"AM:!'bL"</f>
        <v>#VALUE!</v>
      </c>
      <c r="AQ145" s="100" t="e">
        <f>'Delivery Calculation'!M199+"AM:!'bM"</f>
        <v>#VALUE!</v>
      </c>
      <c r="AR145" s="100" t="e">
        <f>'Delivery Calculation'!N199+"AM:!'bN"</f>
        <v>#VALUE!</v>
      </c>
      <c r="AS145" s="100" t="e">
        <f>'Delivery Calculation'!O199+"AM:!'bO"</f>
        <v>#VALUE!</v>
      </c>
      <c r="AT145" s="100" t="e">
        <f>'Delivery Calculation'!P199+"AM:!'bP"</f>
        <v>#VALUE!</v>
      </c>
      <c r="AU145" s="100" t="e">
        <f>'Delivery Calculation'!Q199+"AM:!'bQ"</f>
        <v>#VALUE!</v>
      </c>
      <c r="AV145" s="100" t="e">
        <f>'Delivery Calculation'!R199+"AM:!'bR"</f>
        <v>#VALUE!</v>
      </c>
      <c r="AW145" s="100" t="e">
        <f>'Delivery Calculation'!S199+"AM:!'bS"</f>
        <v>#VALUE!</v>
      </c>
      <c r="AX145" s="100" t="e">
        <f>'Delivery Calculation'!T199+"AM:!'bT"</f>
        <v>#VALUE!</v>
      </c>
      <c r="AY145" s="100" t="e">
        <f>'Delivery Calculation'!U199+"AM:!'bU"</f>
        <v>#VALUE!</v>
      </c>
      <c r="AZ145" s="100" t="e">
        <f>'Delivery Calculation'!V199+"AM:!'bV"</f>
        <v>#VALUE!</v>
      </c>
      <c r="BA145" s="100" t="e">
        <f>'Delivery Calculation'!W199+"AM:!'bW"</f>
        <v>#VALUE!</v>
      </c>
      <c r="BB145" s="100" t="e">
        <f>'Delivery Calculation'!X199+"AM:!'bX"</f>
        <v>#VALUE!</v>
      </c>
      <c r="BC145" s="100" t="e">
        <f>'Delivery Calculation'!Y199+"AM:!'bY"</f>
        <v>#VALUE!</v>
      </c>
      <c r="BD145" s="100" t="e">
        <f>'Delivery Calculation'!Z199+"AM:!'bZ"</f>
        <v>#VALUE!</v>
      </c>
      <c r="BE145" s="100" t="e">
        <f>'Delivery Calculation'!AA199+"AM:!'b["</f>
        <v>#VALUE!</v>
      </c>
      <c r="BF145" s="100" t="e">
        <f>'Delivery Calculation'!AB199+"AM:!'b\"</f>
        <v>#VALUE!</v>
      </c>
      <c r="BG145" s="100" t="e">
        <f>'Delivery Calculation'!AC199+"AM:!'b]"</f>
        <v>#VALUE!</v>
      </c>
      <c r="BH145" s="100" t="e">
        <f>'Delivery Calculation'!AD199+"AM:!'b^"</f>
        <v>#VALUE!</v>
      </c>
      <c r="BI145" s="100" t="e">
        <f>'Delivery Calculation'!AE199+"AM:!'b_"</f>
        <v>#VALUE!</v>
      </c>
      <c r="BJ145" s="100" t="e">
        <f>'Delivery Calculation'!AF199+"AM:!'b`"</f>
        <v>#VALUE!</v>
      </c>
      <c r="BK145" s="100" t="e">
        <f>'Delivery Calculation'!AG199+"AM:!'ba"</f>
        <v>#VALUE!</v>
      </c>
      <c r="BL145" s="100" t="e">
        <f>'Delivery Calculation'!AH199+"AM:!'bb"</f>
        <v>#VALUE!</v>
      </c>
      <c r="BM145" s="100" t="e">
        <f>'Delivery Calculation'!AI199+"AM:!'bc"</f>
        <v>#VALUE!</v>
      </c>
      <c r="BN145" s="100" t="e">
        <f>'Delivery Calculation'!AJ199+"AM:!'bd"</f>
        <v>#VALUE!</v>
      </c>
      <c r="BO145" s="100" t="e">
        <f>'Delivery Calculation'!AK199+"AM:!'be"</f>
        <v>#VALUE!</v>
      </c>
      <c r="BP145" s="100" t="e">
        <f>'Delivery Calculation'!AL199+"AM:!'bf"</f>
        <v>#VALUE!</v>
      </c>
      <c r="BQ145" s="100" t="e">
        <f>'Delivery Calculation'!AM199+"AM:!'bg"</f>
        <v>#VALUE!</v>
      </c>
      <c r="BR145" s="100" t="e">
        <f>'Delivery Calculation'!AN199+"AM:!'bh"</f>
        <v>#VALUE!</v>
      </c>
      <c r="BS145" s="100" t="e">
        <f>'Delivery Calculation'!AO199+"AM:!'bi"</f>
        <v>#VALUE!</v>
      </c>
      <c r="BT145" s="100" t="e">
        <f>'Delivery Calculation'!AP199+"AM:!'bj"</f>
        <v>#VALUE!</v>
      </c>
      <c r="BU145" s="100" t="e">
        <f>'Delivery Calculation'!AQ199+"AM:!'bk"</f>
        <v>#VALUE!</v>
      </c>
      <c r="BV145" s="100" t="e">
        <f>'Delivery Calculation'!AR199+"AM:!'bl"</f>
        <v>#VALUE!</v>
      </c>
      <c r="BW145" s="100" t="e">
        <f>'Delivery Calculation'!AS199+"AM:!'bm"</f>
        <v>#VALUE!</v>
      </c>
      <c r="BX145" s="100" t="e">
        <f>'Delivery Calculation'!AT199+"AM:!'bn"</f>
        <v>#VALUE!</v>
      </c>
      <c r="BY145" s="100" t="e">
        <f>'Delivery Calculation'!AU199+"AM:!'bo"</f>
        <v>#VALUE!</v>
      </c>
      <c r="BZ145" s="100" t="e">
        <f>'Delivery Calculation'!AV199+"AM:!'bp"</f>
        <v>#VALUE!</v>
      </c>
      <c r="CA145" s="100" t="e">
        <f>'Delivery Calculation'!AW199+"AM:!'bq"</f>
        <v>#VALUE!</v>
      </c>
      <c r="CB145" s="100" t="e">
        <f>'Delivery Calculation'!AX199+"AM:!'br"</f>
        <v>#VALUE!</v>
      </c>
      <c r="CC145" t="e">
        <f>'Delivery Calculation'!AY199+"AM:!'bs"</f>
        <v>#VALUE!</v>
      </c>
      <c r="CD145" t="e">
        <f>'Delivery Calculation'!A200+"AM:!'bt"</f>
        <v>#VALUE!</v>
      </c>
      <c r="CE145" t="e">
        <f>'Delivery Calculation'!B200+"AM:!'bu"</f>
        <v>#VALUE!</v>
      </c>
      <c r="CF145" t="e">
        <f>'Delivery Calculation'!C200+"AM:!'bv"</f>
        <v>#VALUE!</v>
      </c>
      <c r="CG145" t="e">
        <f>'Delivery Calculation'!D200+"AM:!'bw"</f>
        <v>#VALUE!</v>
      </c>
      <c r="CH145" t="e">
        <f>'Delivery Calculation'!E200+"AM:!'bx"</f>
        <v>#VALUE!</v>
      </c>
      <c r="CI145" s="98" t="e">
        <f>'Delivery Calculation'!F200+"AM:!'by"</f>
        <v>#VALUE!</v>
      </c>
      <c r="CJ145" s="98" t="e">
        <f>'Delivery Calculation'!G200+"AM:!'bz"</f>
        <v>#VALUE!</v>
      </c>
      <c r="CK145" s="98" t="e">
        <f>'Delivery Calculation'!H200+"AM:!'b{"</f>
        <v>#VALUE!</v>
      </c>
      <c r="CL145" s="98" t="e">
        <f>'Delivery Calculation'!I200+"AM:!'b|"</f>
        <v>#VALUE!</v>
      </c>
      <c r="CM145" s="98" t="e">
        <f>'Delivery Calculation'!J200+"AM:!'b}"</f>
        <v>#VALUE!</v>
      </c>
      <c r="CN145" s="98" t="e">
        <f>'Delivery Calculation'!K200+"AM:!'b~"</f>
        <v>#VALUE!</v>
      </c>
      <c r="CO145" s="98" t="e">
        <f>'Delivery Calculation'!L200+"AM:!'c#"</f>
        <v>#VALUE!</v>
      </c>
      <c r="CP145" s="100" t="e">
        <f>'Delivery Calculation'!M200+"AM:!'c$"</f>
        <v>#VALUE!</v>
      </c>
      <c r="CQ145" s="100" t="e">
        <f>'Delivery Calculation'!N200+"AM:!'c%"</f>
        <v>#VALUE!</v>
      </c>
      <c r="CR145" s="100" t="e">
        <f>'Delivery Calculation'!O200+"AM:!'c&amp;"</f>
        <v>#VALUE!</v>
      </c>
      <c r="CS145" s="100" t="e">
        <f>'Delivery Calculation'!P200+"AM:!'c'"</f>
        <v>#VALUE!</v>
      </c>
      <c r="CT145" s="100" t="e">
        <f>'Delivery Calculation'!Q200+"AM:!'c("</f>
        <v>#VALUE!</v>
      </c>
      <c r="CU145" s="100" t="e">
        <f>'Delivery Calculation'!R200+"AM:!'c)"</f>
        <v>#VALUE!</v>
      </c>
      <c r="CV145" s="100" t="e">
        <f>'Delivery Calculation'!S200+"AM:!'c."</f>
        <v>#VALUE!</v>
      </c>
      <c r="CW145" s="100" t="e">
        <f>'Delivery Calculation'!T200+"AM:!'c/"</f>
        <v>#VALUE!</v>
      </c>
      <c r="CX145" s="100" t="e">
        <f>'Delivery Calculation'!U200+"AM:!'c0"</f>
        <v>#VALUE!</v>
      </c>
      <c r="CY145" s="100" t="e">
        <f>'Delivery Calculation'!V200+"AM:!'c1"</f>
        <v>#VALUE!</v>
      </c>
      <c r="CZ145" s="100" t="e">
        <f>'Delivery Calculation'!W200+"AM:!'c2"</f>
        <v>#VALUE!</v>
      </c>
      <c r="DA145" s="100" t="e">
        <f>'Delivery Calculation'!X200+"AM:!'c3"</f>
        <v>#VALUE!</v>
      </c>
      <c r="DB145" s="100" t="e">
        <f>'Delivery Calculation'!Y200+"AM:!'c4"</f>
        <v>#VALUE!</v>
      </c>
      <c r="DC145" s="100" t="e">
        <f>'Delivery Calculation'!Z200+"AM:!'c5"</f>
        <v>#VALUE!</v>
      </c>
      <c r="DD145" s="100" t="e">
        <f>'Delivery Calculation'!AA200+"AM:!'c6"</f>
        <v>#VALUE!</v>
      </c>
      <c r="DE145" s="100" t="e">
        <f>'Delivery Calculation'!AB200+"AM:!'c7"</f>
        <v>#VALUE!</v>
      </c>
      <c r="DF145" s="100" t="e">
        <f>'Delivery Calculation'!AC200+"AM:!'c8"</f>
        <v>#VALUE!</v>
      </c>
      <c r="DG145" s="100" t="e">
        <f>'Delivery Calculation'!AD200+"AM:!'c9"</f>
        <v>#VALUE!</v>
      </c>
      <c r="DH145" s="100" t="e">
        <f>'Delivery Calculation'!AE200+"AM:!'c:"</f>
        <v>#VALUE!</v>
      </c>
      <c r="DI145" s="100" t="e">
        <f>'Delivery Calculation'!AF200+"AM:!'c;"</f>
        <v>#VALUE!</v>
      </c>
      <c r="DJ145" s="100" t="e">
        <f>'Delivery Calculation'!AG200+"AM:!'c&lt;"</f>
        <v>#VALUE!</v>
      </c>
      <c r="DK145" s="100" t="e">
        <f>'Delivery Calculation'!AH200+"AM:!'c="</f>
        <v>#VALUE!</v>
      </c>
      <c r="DL145" s="100" t="e">
        <f>'Delivery Calculation'!AI200+"AM:!'c&gt;"</f>
        <v>#VALUE!</v>
      </c>
      <c r="DM145" s="100" t="e">
        <f>'Delivery Calculation'!AJ200+"AM:!'c?"</f>
        <v>#VALUE!</v>
      </c>
      <c r="DN145" s="100" t="e">
        <f>'Delivery Calculation'!AK200+"AM:!'c@"</f>
        <v>#VALUE!</v>
      </c>
      <c r="DO145" s="100" t="e">
        <f>'Delivery Calculation'!AL200+"AM:!'cA"</f>
        <v>#VALUE!</v>
      </c>
      <c r="DP145" s="100" t="e">
        <f>'Delivery Calculation'!AM200+"AM:!'cB"</f>
        <v>#VALUE!</v>
      </c>
      <c r="DQ145" s="100" t="e">
        <f>'Delivery Calculation'!AN200+"AM:!'cC"</f>
        <v>#VALUE!</v>
      </c>
      <c r="DR145" s="100" t="e">
        <f>'Delivery Calculation'!AO200+"AM:!'cD"</f>
        <v>#VALUE!</v>
      </c>
      <c r="DS145" s="100" t="e">
        <f>'Delivery Calculation'!AP200+"AM:!'cE"</f>
        <v>#VALUE!</v>
      </c>
      <c r="DT145" s="100" t="e">
        <f>'Delivery Calculation'!AQ200+"AM:!'cF"</f>
        <v>#VALUE!</v>
      </c>
      <c r="DU145" s="100" t="e">
        <f>'Delivery Calculation'!AR200+"AM:!'cG"</f>
        <v>#VALUE!</v>
      </c>
      <c r="DV145" s="100" t="e">
        <f>'Delivery Calculation'!AS200+"AM:!'cH"</f>
        <v>#VALUE!</v>
      </c>
      <c r="DW145" s="100" t="e">
        <f>'Delivery Calculation'!AT200+"AM:!'cI"</f>
        <v>#VALUE!</v>
      </c>
      <c r="DX145" s="100" t="e">
        <f>'Delivery Calculation'!AU200+"AM:!'cJ"</f>
        <v>#VALUE!</v>
      </c>
      <c r="DY145" s="100" t="e">
        <f>'Delivery Calculation'!AV200+"AM:!'cK"</f>
        <v>#VALUE!</v>
      </c>
      <c r="DZ145" s="100" t="e">
        <f>'Delivery Calculation'!AW200+"AM:!'cL"</f>
        <v>#VALUE!</v>
      </c>
      <c r="EA145" s="100" t="e">
        <f>'Delivery Calculation'!AX200+"AM:!'cM"</f>
        <v>#VALUE!</v>
      </c>
      <c r="EB145" t="e">
        <f>'Delivery Calculation'!AY200+"AM:!'cN"</f>
        <v>#VALUE!</v>
      </c>
      <c r="EC145" t="e">
        <f>'Delivery Calculation'!A201+"AM:!'cO"</f>
        <v>#VALUE!</v>
      </c>
      <c r="ED145" t="e">
        <f>'Delivery Calculation'!B201+"AM:!'cP"</f>
        <v>#VALUE!</v>
      </c>
      <c r="EE145" t="e">
        <f>'Delivery Calculation'!C201+"AM:!'cQ"</f>
        <v>#VALUE!</v>
      </c>
      <c r="EF145" t="e">
        <f>'Delivery Calculation'!D201+"AM:!'cR"</f>
        <v>#VALUE!</v>
      </c>
      <c r="EG145" t="e">
        <f>'Delivery Calculation'!E201+"AM:!'cS"</f>
        <v>#VALUE!</v>
      </c>
      <c r="EH145" s="98" t="e">
        <f>'Delivery Calculation'!F201+"AM:!'cT"</f>
        <v>#VALUE!</v>
      </c>
      <c r="EI145" s="98" t="e">
        <f>'Delivery Calculation'!G201+"AM:!'cU"</f>
        <v>#VALUE!</v>
      </c>
      <c r="EJ145" s="98" t="e">
        <f>'Delivery Calculation'!H201+"AM:!'cV"</f>
        <v>#VALUE!</v>
      </c>
      <c r="EK145" s="98" t="e">
        <f>'Delivery Calculation'!I201+"AM:!'cW"</f>
        <v>#VALUE!</v>
      </c>
      <c r="EL145" s="98" t="e">
        <f>'Delivery Calculation'!J201+"AM:!'cX"</f>
        <v>#VALUE!</v>
      </c>
      <c r="EM145" s="98" t="e">
        <f>'Delivery Calculation'!K201+"AM:!'cY"</f>
        <v>#VALUE!</v>
      </c>
      <c r="EN145" s="98" t="e">
        <f>'Delivery Calculation'!L201+"AM:!'cZ"</f>
        <v>#VALUE!</v>
      </c>
      <c r="EO145" s="100" t="e">
        <f>'Delivery Calculation'!M201+"AM:!'c["</f>
        <v>#VALUE!</v>
      </c>
      <c r="EP145" s="100" t="e">
        <f>'Delivery Calculation'!N201+"AM:!'c\"</f>
        <v>#VALUE!</v>
      </c>
      <c r="EQ145" s="100" t="e">
        <f>'Delivery Calculation'!O201+"AM:!'c]"</f>
        <v>#VALUE!</v>
      </c>
      <c r="ER145" s="100" t="e">
        <f>'Delivery Calculation'!P201+"AM:!'c^"</f>
        <v>#VALUE!</v>
      </c>
      <c r="ES145" s="100" t="e">
        <f>'Delivery Calculation'!Q201+"AM:!'c_"</f>
        <v>#VALUE!</v>
      </c>
      <c r="ET145" s="100" t="e">
        <f>'Delivery Calculation'!R201+"AM:!'c`"</f>
        <v>#VALUE!</v>
      </c>
      <c r="EU145" s="100" t="e">
        <f>'Delivery Calculation'!S201+"AM:!'ca"</f>
        <v>#VALUE!</v>
      </c>
      <c r="EV145" s="100" t="e">
        <f>'Delivery Calculation'!T201+"AM:!'cb"</f>
        <v>#VALUE!</v>
      </c>
      <c r="EW145" s="100" t="e">
        <f>'Delivery Calculation'!U201+"AM:!'cc"</f>
        <v>#VALUE!</v>
      </c>
      <c r="EX145" s="100" t="e">
        <f>'Delivery Calculation'!V201+"AM:!'cd"</f>
        <v>#VALUE!</v>
      </c>
      <c r="EY145" s="100" t="e">
        <f>'Delivery Calculation'!W201+"AM:!'ce"</f>
        <v>#VALUE!</v>
      </c>
      <c r="EZ145" s="100" t="e">
        <f>'Delivery Calculation'!X201+"AM:!'cf"</f>
        <v>#VALUE!</v>
      </c>
      <c r="FA145" s="100" t="e">
        <f>'Delivery Calculation'!Y201+"AM:!'cg"</f>
        <v>#VALUE!</v>
      </c>
      <c r="FB145" s="100" t="e">
        <f>'Delivery Calculation'!Z201+"AM:!'ch"</f>
        <v>#VALUE!</v>
      </c>
      <c r="FC145" s="100" t="e">
        <f>'Delivery Calculation'!AA201+"AM:!'ci"</f>
        <v>#VALUE!</v>
      </c>
      <c r="FD145" s="100" t="e">
        <f>'Delivery Calculation'!AB201+"AM:!'cj"</f>
        <v>#VALUE!</v>
      </c>
      <c r="FE145" s="100" t="e">
        <f>'Delivery Calculation'!AC201+"AM:!'ck"</f>
        <v>#VALUE!</v>
      </c>
      <c r="FF145" s="100" t="e">
        <f>'Delivery Calculation'!AD201+"AM:!'cl"</f>
        <v>#VALUE!</v>
      </c>
      <c r="FG145" s="100" t="e">
        <f>'Delivery Calculation'!AE201+"AM:!'cm"</f>
        <v>#VALUE!</v>
      </c>
      <c r="FH145" s="100" t="e">
        <f>'Delivery Calculation'!AF201+"AM:!'cn"</f>
        <v>#VALUE!</v>
      </c>
      <c r="FI145" s="100" t="e">
        <f>'Delivery Calculation'!AG201+"AM:!'co"</f>
        <v>#VALUE!</v>
      </c>
      <c r="FJ145" s="100" t="e">
        <f>'Delivery Calculation'!AH201+"AM:!'cp"</f>
        <v>#VALUE!</v>
      </c>
      <c r="FK145" s="100" t="e">
        <f>'Delivery Calculation'!AI201+"AM:!'cq"</f>
        <v>#VALUE!</v>
      </c>
      <c r="FL145" s="100" t="e">
        <f>'Delivery Calculation'!AJ201+"AM:!'cr"</f>
        <v>#VALUE!</v>
      </c>
      <c r="FM145" s="100" t="e">
        <f>'Delivery Calculation'!AK201+"AM:!'cs"</f>
        <v>#VALUE!</v>
      </c>
      <c r="FN145" s="100" t="e">
        <f>'Delivery Calculation'!AL201+"AM:!'ct"</f>
        <v>#VALUE!</v>
      </c>
      <c r="FO145" s="100" t="e">
        <f>'Delivery Calculation'!AM201+"AM:!'cu"</f>
        <v>#VALUE!</v>
      </c>
      <c r="FP145" s="100" t="e">
        <f>'Delivery Calculation'!AN201+"AM:!'cv"</f>
        <v>#VALUE!</v>
      </c>
      <c r="FQ145" s="100" t="e">
        <f>'Delivery Calculation'!AO201+"AM:!'cw"</f>
        <v>#VALUE!</v>
      </c>
      <c r="FR145" s="100" t="e">
        <f>'Delivery Calculation'!AP201+"AM:!'cx"</f>
        <v>#VALUE!</v>
      </c>
      <c r="FS145" s="100" t="e">
        <f>'Delivery Calculation'!AQ201+"AM:!'cy"</f>
        <v>#VALUE!</v>
      </c>
      <c r="FT145" s="100" t="e">
        <f>'Delivery Calculation'!AR201+"AM:!'cz"</f>
        <v>#VALUE!</v>
      </c>
      <c r="FU145" s="100" t="e">
        <f>'Delivery Calculation'!AS201+"AM:!'c{"</f>
        <v>#VALUE!</v>
      </c>
      <c r="FV145" s="100" t="e">
        <f>'Delivery Calculation'!AT201+"AM:!'c|"</f>
        <v>#VALUE!</v>
      </c>
      <c r="FW145" s="100" t="e">
        <f>'Delivery Calculation'!AU201+"AM:!'c}"</f>
        <v>#VALUE!</v>
      </c>
      <c r="FX145" s="100" t="e">
        <f>'Delivery Calculation'!AV201+"AM:!'c~"</f>
        <v>#VALUE!</v>
      </c>
      <c r="FY145" s="100" t="e">
        <f>'Delivery Calculation'!AW201+"AM:!'d#"</f>
        <v>#VALUE!</v>
      </c>
      <c r="FZ145" s="100" t="e">
        <f>'Delivery Calculation'!AX201+"AM:!'d$"</f>
        <v>#VALUE!</v>
      </c>
      <c r="GA145" t="e">
        <f>'Delivery Calculation'!AY201+"AM:!'d%"</f>
        <v>#VALUE!</v>
      </c>
      <c r="GB145" t="e">
        <f>'Delivery Calculation'!A202+"AM:!'d&amp;"</f>
        <v>#VALUE!</v>
      </c>
      <c r="GC145" t="e">
        <f>'Delivery Calculation'!B202+"AM:!'d'"</f>
        <v>#VALUE!</v>
      </c>
      <c r="GD145" t="e">
        <f>'Delivery Calculation'!C202+"AM:!'d("</f>
        <v>#VALUE!</v>
      </c>
      <c r="GE145" t="e">
        <f>'Delivery Calculation'!D202+"AM:!'d)"</f>
        <v>#VALUE!</v>
      </c>
      <c r="GF145" t="e">
        <f>'Delivery Calculation'!E202+"AM:!'d."</f>
        <v>#VALUE!</v>
      </c>
      <c r="GG145" s="98" t="e">
        <f>'Delivery Calculation'!F202+"AM:!'d/"</f>
        <v>#VALUE!</v>
      </c>
      <c r="GH145" s="98" t="e">
        <f>'Delivery Calculation'!G202+"AM:!'d0"</f>
        <v>#VALUE!</v>
      </c>
      <c r="GI145" s="98" t="e">
        <f>'Delivery Calculation'!H202+"AM:!'d1"</f>
        <v>#VALUE!</v>
      </c>
      <c r="GJ145" s="98" t="e">
        <f>'Delivery Calculation'!I202+"AM:!'d2"</f>
        <v>#VALUE!</v>
      </c>
      <c r="GK145" s="98" t="e">
        <f>'Delivery Calculation'!J202+"AM:!'d3"</f>
        <v>#VALUE!</v>
      </c>
      <c r="GL145" s="98" t="e">
        <f>'Delivery Calculation'!K202+"AM:!'d4"</f>
        <v>#VALUE!</v>
      </c>
      <c r="GM145" s="98" t="e">
        <f>'Delivery Calculation'!L202+"AM:!'d5"</f>
        <v>#VALUE!</v>
      </c>
      <c r="GN145" s="100" t="e">
        <f>'Delivery Calculation'!M202+"AM:!'d6"</f>
        <v>#VALUE!</v>
      </c>
      <c r="GO145" s="100" t="e">
        <f>'Delivery Calculation'!N202+"AM:!'d7"</f>
        <v>#VALUE!</v>
      </c>
      <c r="GP145" s="100" t="e">
        <f>'Delivery Calculation'!O202+"AM:!'d8"</f>
        <v>#VALUE!</v>
      </c>
      <c r="GQ145" s="100" t="e">
        <f>'Delivery Calculation'!P202+"AM:!'d9"</f>
        <v>#VALUE!</v>
      </c>
      <c r="GR145" s="100" t="e">
        <f>'Delivery Calculation'!Q202+"AM:!'d:"</f>
        <v>#VALUE!</v>
      </c>
      <c r="GS145" s="100" t="e">
        <f>'Delivery Calculation'!R202+"AM:!'d;"</f>
        <v>#VALUE!</v>
      </c>
      <c r="GT145" s="100" t="e">
        <f>'Delivery Calculation'!S202+"AM:!'d&lt;"</f>
        <v>#VALUE!</v>
      </c>
      <c r="GU145" s="100" t="e">
        <f>'Delivery Calculation'!T202+"AM:!'d="</f>
        <v>#VALUE!</v>
      </c>
      <c r="GV145" s="100" t="e">
        <f>'Delivery Calculation'!U202+"AM:!'d&gt;"</f>
        <v>#VALUE!</v>
      </c>
      <c r="GW145" s="100" t="e">
        <f>'Delivery Calculation'!V202+"AM:!'d?"</f>
        <v>#VALUE!</v>
      </c>
      <c r="GX145" s="100" t="e">
        <f>'Delivery Calculation'!W202+"AM:!'d@"</f>
        <v>#VALUE!</v>
      </c>
      <c r="GY145" s="100" t="e">
        <f>'Delivery Calculation'!X202+"AM:!'dA"</f>
        <v>#VALUE!</v>
      </c>
      <c r="GZ145" s="100" t="e">
        <f>'Delivery Calculation'!Y202+"AM:!'dB"</f>
        <v>#VALUE!</v>
      </c>
      <c r="HA145" s="100" t="e">
        <f>'Delivery Calculation'!Z202+"AM:!'dC"</f>
        <v>#VALUE!</v>
      </c>
      <c r="HB145" s="100" t="e">
        <f>'Delivery Calculation'!AA202+"AM:!'dD"</f>
        <v>#VALUE!</v>
      </c>
      <c r="HC145" s="100" t="e">
        <f>'Delivery Calculation'!AB202+"AM:!'dE"</f>
        <v>#VALUE!</v>
      </c>
      <c r="HD145" s="100" t="e">
        <f>'Delivery Calculation'!AC202+"AM:!'dF"</f>
        <v>#VALUE!</v>
      </c>
      <c r="HE145" s="100" t="e">
        <f>'Delivery Calculation'!AD202+"AM:!'dG"</f>
        <v>#VALUE!</v>
      </c>
      <c r="HF145" s="100" t="e">
        <f>'Delivery Calculation'!AE202+"AM:!'dH"</f>
        <v>#VALUE!</v>
      </c>
      <c r="HG145" s="100" t="e">
        <f>'Delivery Calculation'!AF202+"AM:!'dI"</f>
        <v>#VALUE!</v>
      </c>
      <c r="HH145" s="100" t="e">
        <f>'Delivery Calculation'!AG202+"AM:!'dJ"</f>
        <v>#VALUE!</v>
      </c>
      <c r="HI145" s="100" t="e">
        <f>'Delivery Calculation'!AH202+"AM:!'dK"</f>
        <v>#VALUE!</v>
      </c>
      <c r="HJ145" s="100" t="e">
        <f>'Delivery Calculation'!AI202+"AM:!'dL"</f>
        <v>#VALUE!</v>
      </c>
      <c r="HK145" s="100" t="e">
        <f>'Delivery Calculation'!AJ202+"AM:!'dM"</f>
        <v>#VALUE!</v>
      </c>
      <c r="HL145" s="100" t="e">
        <f>'Delivery Calculation'!AK202+"AM:!'dN"</f>
        <v>#VALUE!</v>
      </c>
      <c r="HM145" s="100" t="e">
        <f>'Delivery Calculation'!AL202+"AM:!'dO"</f>
        <v>#VALUE!</v>
      </c>
      <c r="HN145" s="100" t="e">
        <f>'Delivery Calculation'!AM202+"AM:!'dP"</f>
        <v>#VALUE!</v>
      </c>
      <c r="HO145" s="100" t="e">
        <f>'Delivery Calculation'!AN202+"AM:!'dQ"</f>
        <v>#VALUE!</v>
      </c>
      <c r="HP145" s="100" t="e">
        <f>'Delivery Calculation'!AO202+"AM:!'dR"</f>
        <v>#VALUE!</v>
      </c>
      <c r="HQ145" s="100" t="e">
        <f>'Delivery Calculation'!AP202+"AM:!'dS"</f>
        <v>#VALUE!</v>
      </c>
      <c r="HR145" s="100" t="e">
        <f>'Delivery Calculation'!AQ202+"AM:!'dT"</f>
        <v>#VALUE!</v>
      </c>
      <c r="HS145" s="100" t="e">
        <f>'Delivery Calculation'!AR202+"AM:!'dU"</f>
        <v>#VALUE!</v>
      </c>
      <c r="HT145" s="100" t="e">
        <f>'Delivery Calculation'!AS202+"AM:!'dV"</f>
        <v>#VALUE!</v>
      </c>
      <c r="HU145" s="100" t="e">
        <f>'Delivery Calculation'!AT202+"AM:!'dW"</f>
        <v>#VALUE!</v>
      </c>
      <c r="HV145" s="100" t="e">
        <f>'Delivery Calculation'!AU202+"AM:!'dX"</f>
        <v>#VALUE!</v>
      </c>
      <c r="HW145" s="100" t="e">
        <f>'Delivery Calculation'!AV202+"AM:!'dY"</f>
        <v>#VALUE!</v>
      </c>
      <c r="HX145" s="100" t="e">
        <f>'Delivery Calculation'!AW202+"AM:!'dZ"</f>
        <v>#VALUE!</v>
      </c>
      <c r="HY145" s="100" t="e">
        <f>'Delivery Calculation'!AX202+"AM:!'d["</f>
        <v>#VALUE!</v>
      </c>
      <c r="HZ145" t="e">
        <f>'Delivery Calculation'!AY202+"AM:!'d\"</f>
        <v>#VALUE!</v>
      </c>
      <c r="IA145" t="e">
        <f>'Delivery Calculation'!A203+"AM:!'d]"</f>
        <v>#VALUE!</v>
      </c>
      <c r="IB145" t="e">
        <f>'Delivery Calculation'!B203+"AM:!'d^"</f>
        <v>#VALUE!</v>
      </c>
      <c r="IC145" t="e">
        <f>'Delivery Calculation'!C203+"AM:!'d_"</f>
        <v>#VALUE!</v>
      </c>
      <c r="ID145" t="e">
        <f>'Delivery Calculation'!D203+"AM:!'d`"</f>
        <v>#VALUE!</v>
      </c>
      <c r="IE145" t="e">
        <f>'Delivery Calculation'!E203+"AM:!'da"</f>
        <v>#VALUE!</v>
      </c>
      <c r="IF145" s="98" t="e">
        <f>'Delivery Calculation'!F203+"AM:!'db"</f>
        <v>#VALUE!</v>
      </c>
      <c r="IG145" s="98" t="e">
        <f>'Delivery Calculation'!G203+"AM:!'dc"</f>
        <v>#VALUE!</v>
      </c>
      <c r="IH145" s="98" t="e">
        <f>'Delivery Calculation'!H203+"AM:!'dd"</f>
        <v>#VALUE!</v>
      </c>
      <c r="II145" s="98" t="e">
        <f>'Delivery Calculation'!I203+"AM:!'de"</f>
        <v>#VALUE!</v>
      </c>
      <c r="IJ145" s="98" t="e">
        <f>'Delivery Calculation'!J203+"AM:!'df"</f>
        <v>#VALUE!</v>
      </c>
      <c r="IK145" s="98" t="e">
        <f>'Delivery Calculation'!K203+"AM:!'dg"</f>
        <v>#VALUE!</v>
      </c>
      <c r="IL145" s="98" t="e">
        <f>'Delivery Calculation'!L203+"AM:!'dh"</f>
        <v>#VALUE!</v>
      </c>
      <c r="IM145" s="100" t="e">
        <f>'Delivery Calculation'!M203+"AM:!'di"</f>
        <v>#VALUE!</v>
      </c>
      <c r="IN145" s="100" t="e">
        <f>'Delivery Calculation'!N203+"AM:!'dj"</f>
        <v>#VALUE!</v>
      </c>
      <c r="IO145" s="100" t="e">
        <f>'Delivery Calculation'!O203+"AM:!'dk"</f>
        <v>#VALUE!</v>
      </c>
      <c r="IP145" s="100" t="e">
        <f>'Delivery Calculation'!P203+"AM:!'dl"</f>
        <v>#VALUE!</v>
      </c>
      <c r="IQ145" s="100" t="e">
        <f>'Delivery Calculation'!Q203+"AM:!'dm"</f>
        <v>#VALUE!</v>
      </c>
      <c r="IR145" s="100" t="e">
        <f>'Delivery Calculation'!R203+"AM:!'dn"</f>
        <v>#VALUE!</v>
      </c>
      <c r="IS145" s="100" t="e">
        <f>'Delivery Calculation'!S203+"AM:!'do"</f>
        <v>#VALUE!</v>
      </c>
      <c r="IT145" s="100" t="e">
        <f>'Delivery Calculation'!T203+"AM:!'dp"</f>
        <v>#VALUE!</v>
      </c>
      <c r="IU145" s="100" t="e">
        <f>'Delivery Calculation'!U203+"AM:!'dq"</f>
        <v>#VALUE!</v>
      </c>
      <c r="IV145" s="100" t="e">
        <f>'Delivery Calculation'!V203+"AM:!'dr"</f>
        <v>#VALUE!</v>
      </c>
    </row>
    <row r="146" spans="6:256">
      <c r="F146" s="100" t="e">
        <f>'Delivery Calculation'!W203+"AM:!'ds"</f>
        <v>#VALUE!</v>
      </c>
      <c r="G146" s="100" t="e">
        <f>'Delivery Calculation'!X203+"AM:!'dt"</f>
        <v>#VALUE!</v>
      </c>
      <c r="H146" s="100" t="e">
        <f>'Delivery Calculation'!Y203+"AM:!'du"</f>
        <v>#VALUE!</v>
      </c>
      <c r="I146" s="100" t="e">
        <f>'Delivery Calculation'!Z203+"AM:!'dv"</f>
        <v>#VALUE!</v>
      </c>
      <c r="J146" s="100" t="e">
        <f>'Delivery Calculation'!AA203+"AM:!'dw"</f>
        <v>#VALUE!</v>
      </c>
      <c r="K146" s="100" t="e">
        <f>'Delivery Calculation'!AB203+"AM:!'dx"</f>
        <v>#VALUE!</v>
      </c>
      <c r="L146" s="100" t="e">
        <f>'Delivery Calculation'!AC203+"AM:!'dy"</f>
        <v>#VALUE!</v>
      </c>
      <c r="M146" s="100" t="e">
        <f>'Delivery Calculation'!AD203+"AM:!'dz"</f>
        <v>#VALUE!</v>
      </c>
      <c r="N146" s="100" t="e">
        <f>'Delivery Calculation'!AE203+"AM:!'d{"</f>
        <v>#VALUE!</v>
      </c>
      <c r="O146" s="100" t="e">
        <f>'Delivery Calculation'!AF203+"AM:!'d|"</f>
        <v>#VALUE!</v>
      </c>
      <c r="P146" s="100" t="e">
        <f>'Delivery Calculation'!AG203+"AM:!'d}"</f>
        <v>#VALUE!</v>
      </c>
      <c r="Q146" s="100" t="e">
        <f>'Delivery Calculation'!AH203+"AM:!'d~"</f>
        <v>#VALUE!</v>
      </c>
      <c r="R146" s="100" t="e">
        <f>'Delivery Calculation'!AI203+"AM:!'e#"</f>
        <v>#VALUE!</v>
      </c>
      <c r="S146" s="100" t="e">
        <f>'Delivery Calculation'!AJ203+"AM:!'e$"</f>
        <v>#VALUE!</v>
      </c>
      <c r="T146" s="100" t="e">
        <f>'Delivery Calculation'!AK203+"AM:!'e%"</f>
        <v>#VALUE!</v>
      </c>
      <c r="U146" s="100" t="e">
        <f>'Delivery Calculation'!AL203+"AM:!'e&amp;"</f>
        <v>#VALUE!</v>
      </c>
      <c r="V146" s="100" t="e">
        <f>'Delivery Calculation'!AM203+"AM:!'e'"</f>
        <v>#VALUE!</v>
      </c>
      <c r="W146" s="100" t="e">
        <f>'Delivery Calculation'!AN203+"AM:!'e("</f>
        <v>#VALUE!</v>
      </c>
      <c r="X146" s="100" t="e">
        <f>'Delivery Calculation'!AO203+"AM:!'e)"</f>
        <v>#VALUE!</v>
      </c>
      <c r="Y146" s="100" t="e">
        <f>'Delivery Calculation'!AP203+"AM:!'e."</f>
        <v>#VALUE!</v>
      </c>
      <c r="Z146" s="100" t="e">
        <f>'Delivery Calculation'!AQ203+"AM:!'e/"</f>
        <v>#VALUE!</v>
      </c>
      <c r="AA146" s="100" t="e">
        <f>'Delivery Calculation'!AR203+"AM:!'e0"</f>
        <v>#VALUE!</v>
      </c>
      <c r="AB146" s="100" t="e">
        <f>'Delivery Calculation'!AS203+"AM:!'e1"</f>
        <v>#VALUE!</v>
      </c>
      <c r="AC146" s="100" t="e">
        <f>'Delivery Calculation'!AT203+"AM:!'e2"</f>
        <v>#VALUE!</v>
      </c>
      <c r="AD146" s="100" t="e">
        <f>'Delivery Calculation'!AU203+"AM:!'e3"</f>
        <v>#VALUE!</v>
      </c>
      <c r="AE146" s="100" t="e">
        <f>'Delivery Calculation'!AV203+"AM:!'e4"</f>
        <v>#VALUE!</v>
      </c>
      <c r="AF146" s="100" t="e">
        <f>'Delivery Calculation'!AW203+"AM:!'e5"</f>
        <v>#VALUE!</v>
      </c>
      <c r="AG146" s="100" t="e">
        <f>'Delivery Calculation'!AX203+"AM:!'e6"</f>
        <v>#VALUE!</v>
      </c>
      <c r="AH146" t="e">
        <f>'Delivery Calculation'!AY203+"AM:!'e7"</f>
        <v>#VALUE!</v>
      </c>
      <c r="AI146" t="e">
        <f>'Delivery Calculation'!A204+"AM:!'e8"</f>
        <v>#VALUE!</v>
      </c>
      <c r="AJ146" t="e">
        <f>'Delivery Calculation'!B204+"AM:!'e9"</f>
        <v>#VALUE!</v>
      </c>
      <c r="AK146" t="e">
        <f>'Delivery Calculation'!C204+"AM:!'e:"</f>
        <v>#VALUE!</v>
      </c>
      <c r="AL146" t="e">
        <f>'Delivery Calculation'!D204+"AM:!'e;"</f>
        <v>#VALUE!</v>
      </c>
      <c r="AM146" t="e">
        <f>'Delivery Calculation'!E204+"AM:!'e&lt;"</f>
        <v>#VALUE!</v>
      </c>
      <c r="AN146" s="98" t="e">
        <f>'Delivery Calculation'!F204+"AM:!'e="</f>
        <v>#VALUE!</v>
      </c>
      <c r="AO146" s="98" t="e">
        <f>'Delivery Calculation'!G204+"AM:!'e&gt;"</f>
        <v>#VALUE!</v>
      </c>
      <c r="AP146" s="98" t="e">
        <f>'Delivery Calculation'!H204+"AM:!'e?"</f>
        <v>#VALUE!</v>
      </c>
      <c r="AQ146" s="98" t="e">
        <f>'Delivery Calculation'!I204+"AM:!'e@"</f>
        <v>#VALUE!</v>
      </c>
      <c r="AR146" s="98" t="e">
        <f>'Delivery Calculation'!J204+"AM:!'eA"</f>
        <v>#VALUE!</v>
      </c>
      <c r="AS146" s="98" t="e">
        <f>'Delivery Calculation'!K204+"AM:!'eB"</f>
        <v>#VALUE!</v>
      </c>
      <c r="AT146" s="98" t="e">
        <f>'Delivery Calculation'!L204+"AM:!'eC"</f>
        <v>#VALUE!</v>
      </c>
      <c r="AU146" s="100" t="e">
        <f>'Delivery Calculation'!M204+"AM:!'eD"</f>
        <v>#VALUE!</v>
      </c>
      <c r="AV146" s="100" t="e">
        <f>'Delivery Calculation'!N204+"AM:!'eE"</f>
        <v>#VALUE!</v>
      </c>
      <c r="AW146" s="100" t="e">
        <f>'Delivery Calculation'!O204+"AM:!'eF"</f>
        <v>#VALUE!</v>
      </c>
      <c r="AX146" s="100" t="e">
        <f>'Delivery Calculation'!P204+"AM:!'eG"</f>
        <v>#VALUE!</v>
      </c>
      <c r="AY146" s="100" t="e">
        <f>'Delivery Calculation'!Q204+"AM:!'eH"</f>
        <v>#VALUE!</v>
      </c>
      <c r="AZ146" s="100" t="e">
        <f>'Delivery Calculation'!R204+"AM:!'eI"</f>
        <v>#VALUE!</v>
      </c>
      <c r="BA146" s="100" t="e">
        <f>'Delivery Calculation'!S204+"AM:!'eJ"</f>
        <v>#VALUE!</v>
      </c>
      <c r="BB146" s="100" t="e">
        <f>'Delivery Calculation'!T204+"AM:!'eK"</f>
        <v>#VALUE!</v>
      </c>
      <c r="BC146" s="100" t="e">
        <f>'Delivery Calculation'!U204+"AM:!'eL"</f>
        <v>#VALUE!</v>
      </c>
      <c r="BD146" s="100" t="e">
        <f>'Delivery Calculation'!V204+"AM:!'eM"</f>
        <v>#VALUE!</v>
      </c>
      <c r="BE146" s="100" t="e">
        <f>'Delivery Calculation'!W204+"AM:!'eN"</f>
        <v>#VALUE!</v>
      </c>
      <c r="BF146" s="100" t="e">
        <f>'Delivery Calculation'!X204+"AM:!'eO"</f>
        <v>#VALUE!</v>
      </c>
      <c r="BG146" s="100" t="e">
        <f>'Delivery Calculation'!Y204+"AM:!'eP"</f>
        <v>#VALUE!</v>
      </c>
      <c r="BH146" s="100" t="e">
        <f>'Delivery Calculation'!Z204+"AM:!'eQ"</f>
        <v>#VALUE!</v>
      </c>
      <c r="BI146" s="100" t="e">
        <f>'Delivery Calculation'!AA204+"AM:!'eR"</f>
        <v>#VALUE!</v>
      </c>
      <c r="BJ146" s="100" t="e">
        <f>'Delivery Calculation'!AB204+"AM:!'eS"</f>
        <v>#VALUE!</v>
      </c>
      <c r="BK146" s="100" t="e">
        <f>'Delivery Calculation'!AC204+"AM:!'eT"</f>
        <v>#VALUE!</v>
      </c>
      <c r="BL146" s="100" t="e">
        <f>'Delivery Calculation'!AD204+"AM:!'eU"</f>
        <v>#VALUE!</v>
      </c>
      <c r="BM146" s="100" t="e">
        <f>'Delivery Calculation'!AE204+"AM:!'eV"</f>
        <v>#VALUE!</v>
      </c>
      <c r="BN146" s="100" t="e">
        <f>'Delivery Calculation'!AF204+"AM:!'eW"</f>
        <v>#VALUE!</v>
      </c>
      <c r="BO146" s="100" t="e">
        <f>'Delivery Calculation'!AG204+"AM:!'eX"</f>
        <v>#VALUE!</v>
      </c>
      <c r="BP146" s="100" t="e">
        <f>'Delivery Calculation'!AH204+"AM:!'eY"</f>
        <v>#VALUE!</v>
      </c>
      <c r="BQ146" s="100" t="e">
        <f>'Delivery Calculation'!AI204+"AM:!'eZ"</f>
        <v>#VALUE!</v>
      </c>
      <c r="BR146" s="100" t="e">
        <f>'Delivery Calculation'!AJ204+"AM:!'e["</f>
        <v>#VALUE!</v>
      </c>
      <c r="BS146" s="100" t="e">
        <f>'Delivery Calculation'!AK204+"AM:!'e\"</f>
        <v>#VALUE!</v>
      </c>
      <c r="BT146" s="100" t="e">
        <f>'Delivery Calculation'!AL204+"AM:!'e]"</f>
        <v>#VALUE!</v>
      </c>
      <c r="BU146" s="100" t="e">
        <f>'Delivery Calculation'!AM204+"AM:!'e^"</f>
        <v>#VALUE!</v>
      </c>
      <c r="BV146" s="100" t="e">
        <f>'Delivery Calculation'!AN204+"AM:!'e_"</f>
        <v>#VALUE!</v>
      </c>
      <c r="BW146" s="100" t="e">
        <f>'Delivery Calculation'!AO204+"AM:!'e`"</f>
        <v>#VALUE!</v>
      </c>
      <c r="BX146" s="100" t="e">
        <f>'Delivery Calculation'!AP204+"AM:!'ea"</f>
        <v>#VALUE!</v>
      </c>
      <c r="BY146" s="100" t="e">
        <f>'Delivery Calculation'!AQ204+"AM:!'eb"</f>
        <v>#VALUE!</v>
      </c>
      <c r="BZ146" s="100" t="e">
        <f>'Delivery Calculation'!AR204+"AM:!'ec"</f>
        <v>#VALUE!</v>
      </c>
      <c r="CA146" s="100" t="e">
        <f>'Delivery Calculation'!AS204+"AM:!'ed"</f>
        <v>#VALUE!</v>
      </c>
      <c r="CB146" s="100" t="e">
        <f>'Delivery Calculation'!AT204+"AM:!'ee"</f>
        <v>#VALUE!</v>
      </c>
      <c r="CC146" s="100" t="e">
        <f>'Delivery Calculation'!AU204+"AM:!'ef"</f>
        <v>#VALUE!</v>
      </c>
      <c r="CD146" s="100" t="e">
        <f>'Delivery Calculation'!AV204+"AM:!'eg"</f>
        <v>#VALUE!</v>
      </c>
      <c r="CE146" s="100" t="e">
        <f>'Delivery Calculation'!AW204+"AM:!'eh"</f>
        <v>#VALUE!</v>
      </c>
      <c r="CF146" s="100" t="e">
        <f>'Delivery Calculation'!AX204+"AM:!'ei"</f>
        <v>#VALUE!</v>
      </c>
      <c r="CG146" t="e">
        <f>'Delivery Calculation'!AY204+"AM:!'ej"</f>
        <v>#VALUE!</v>
      </c>
      <c r="CH146" t="e">
        <f>'Delivery Calculation'!A205+"AM:!'ek"</f>
        <v>#VALUE!</v>
      </c>
      <c r="CI146" t="e">
        <f>'Delivery Calculation'!B205+"AM:!'el"</f>
        <v>#VALUE!</v>
      </c>
      <c r="CJ146" t="e">
        <f>'Delivery Calculation'!C205+"AM:!'em"</f>
        <v>#VALUE!</v>
      </c>
      <c r="CK146" t="e">
        <f>'Delivery Calculation'!D205+"AM:!'en"</f>
        <v>#VALUE!</v>
      </c>
      <c r="CL146" t="e">
        <f>'Delivery Calculation'!E205+"AM:!'eo"</f>
        <v>#VALUE!</v>
      </c>
      <c r="CM146" s="98" t="e">
        <f>'Delivery Calculation'!F205+"AM:!'ep"</f>
        <v>#VALUE!</v>
      </c>
      <c r="CN146" s="98" t="e">
        <f>'Delivery Calculation'!G205+"AM:!'eq"</f>
        <v>#VALUE!</v>
      </c>
      <c r="CO146" s="98" t="e">
        <f>'Delivery Calculation'!H205+"AM:!'er"</f>
        <v>#VALUE!</v>
      </c>
      <c r="CP146" s="98" t="e">
        <f>'Delivery Calculation'!I205+"AM:!'es"</f>
        <v>#VALUE!</v>
      </c>
      <c r="CQ146" s="98" t="e">
        <f>'Delivery Calculation'!J205+"AM:!'et"</f>
        <v>#VALUE!</v>
      </c>
      <c r="CR146" s="98" t="e">
        <f>'Delivery Calculation'!K205+"AM:!'eu"</f>
        <v>#VALUE!</v>
      </c>
      <c r="CS146" s="98" t="e">
        <f>'Delivery Calculation'!L205+"AM:!'ev"</f>
        <v>#VALUE!</v>
      </c>
      <c r="CT146" s="100" t="e">
        <f>'Delivery Calculation'!M205+"AM:!'ew"</f>
        <v>#VALUE!</v>
      </c>
      <c r="CU146" s="100" t="e">
        <f>'Delivery Calculation'!N205+"AM:!'ex"</f>
        <v>#VALUE!</v>
      </c>
      <c r="CV146" s="100" t="e">
        <f>'Delivery Calculation'!O205+"AM:!'ey"</f>
        <v>#VALUE!</v>
      </c>
      <c r="CW146" s="100" t="e">
        <f>'Delivery Calculation'!P205+"AM:!'ez"</f>
        <v>#VALUE!</v>
      </c>
      <c r="CX146" s="100" t="e">
        <f>'Delivery Calculation'!Q205+"AM:!'e{"</f>
        <v>#VALUE!</v>
      </c>
      <c r="CY146" s="100" t="e">
        <f>'Delivery Calculation'!R205+"AM:!'e|"</f>
        <v>#VALUE!</v>
      </c>
      <c r="CZ146" s="100" t="e">
        <f>'Delivery Calculation'!S205+"AM:!'e}"</f>
        <v>#VALUE!</v>
      </c>
      <c r="DA146" s="100" t="e">
        <f>'Delivery Calculation'!T205+"AM:!'e~"</f>
        <v>#VALUE!</v>
      </c>
      <c r="DB146" s="100" t="e">
        <f>'Delivery Calculation'!U205+"AM:!'f#"</f>
        <v>#VALUE!</v>
      </c>
      <c r="DC146" s="100" t="e">
        <f>'Delivery Calculation'!V205+"AM:!'f$"</f>
        <v>#VALUE!</v>
      </c>
      <c r="DD146" s="100" t="e">
        <f>'Delivery Calculation'!W205+"AM:!'f%"</f>
        <v>#VALUE!</v>
      </c>
      <c r="DE146" s="100" t="e">
        <f>'Delivery Calculation'!X205+"AM:!'f&amp;"</f>
        <v>#VALUE!</v>
      </c>
      <c r="DF146" s="100" t="e">
        <f>'Delivery Calculation'!Y205+"AM:!'f'"</f>
        <v>#VALUE!</v>
      </c>
      <c r="DG146" s="100" t="e">
        <f>'Delivery Calculation'!Z205+"AM:!'f("</f>
        <v>#VALUE!</v>
      </c>
      <c r="DH146" s="100" t="e">
        <f>'Delivery Calculation'!AA205+"AM:!'f)"</f>
        <v>#VALUE!</v>
      </c>
      <c r="DI146" s="100" t="e">
        <f>'Delivery Calculation'!AB205+"AM:!'f."</f>
        <v>#VALUE!</v>
      </c>
      <c r="DJ146" s="100" t="e">
        <f>'Delivery Calculation'!AC205+"AM:!'f/"</f>
        <v>#VALUE!</v>
      </c>
      <c r="DK146" s="100" t="e">
        <f>'Delivery Calculation'!AD205+"AM:!'f0"</f>
        <v>#VALUE!</v>
      </c>
      <c r="DL146" s="100" t="e">
        <f>'Delivery Calculation'!AE205+"AM:!'f1"</f>
        <v>#VALUE!</v>
      </c>
      <c r="DM146" s="100" t="e">
        <f>'Delivery Calculation'!AF205+"AM:!'f2"</f>
        <v>#VALUE!</v>
      </c>
      <c r="DN146" s="100" t="e">
        <f>'Delivery Calculation'!AG205+"AM:!'f3"</f>
        <v>#VALUE!</v>
      </c>
      <c r="DO146" s="100" t="e">
        <f>'Delivery Calculation'!AH205+"AM:!'f4"</f>
        <v>#VALUE!</v>
      </c>
      <c r="DP146" s="100" t="e">
        <f>'Delivery Calculation'!AI205+"AM:!'f5"</f>
        <v>#VALUE!</v>
      </c>
      <c r="DQ146" s="100" t="e">
        <f>'Delivery Calculation'!AJ205+"AM:!'f6"</f>
        <v>#VALUE!</v>
      </c>
      <c r="DR146" s="100" t="e">
        <f>'Delivery Calculation'!AK205+"AM:!'f7"</f>
        <v>#VALUE!</v>
      </c>
      <c r="DS146" s="100" t="e">
        <f>'Delivery Calculation'!AL205+"AM:!'f8"</f>
        <v>#VALUE!</v>
      </c>
      <c r="DT146" s="100" t="e">
        <f>'Delivery Calculation'!AM205+"AM:!'f9"</f>
        <v>#VALUE!</v>
      </c>
      <c r="DU146" s="100" t="e">
        <f>'Delivery Calculation'!AN205+"AM:!'f:"</f>
        <v>#VALUE!</v>
      </c>
      <c r="DV146" s="100" t="e">
        <f>'Delivery Calculation'!AO205+"AM:!'f;"</f>
        <v>#VALUE!</v>
      </c>
      <c r="DW146" s="100" t="e">
        <f>'Delivery Calculation'!AP205+"AM:!'f&lt;"</f>
        <v>#VALUE!</v>
      </c>
      <c r="DX146" s="100" t="e">
        <f>'Delivery Calculation'!AQ205+"AM:!'f="</f>
        <v>#VALUE!</v>
      </c>
      <c r="DY146" s="100" t="e">
        <f>'Delivery Calculation'!AR205+"AM:!'f&gt;"</f>
        <v>#VALUE!</v>
      </c>
      <c r="DZ146" s="100" t="e">
        <f>'Delivery Calculation'!AS205+"AM:!'f?"</f>
        <v>#VALUE!</v>
      </c>
      <c r="EA146" s="100" t="e">
        <f>'Delivery Calculation'!AT205+"AM:!'f@"</f>
        <v>#VALUE!</v>
      </c>
      <c r="EB146" s="100" t="e">
        <f>'Delivery Calculation'!AU205+"AM:!'fA"</f>
        <v>#VALUE!</v>
      </c>
      <c r="EC146" s="100" t="e">
        <f>'Delivery Calculation'!AV205+"AM:!'fB"</f>
        <v>#VALUE!</v>
      </c>
      <c r="ED146" s="100" t="e">
        <f>'Delivery Calculation'!AW205+"AM:!'fC"</f>
        <v>#VALUE!</v>
      </c>
      <c r="EE146" s="100" t="e">
        <f>'Delivery Calculation'!AX205+"AM:!'fD"</f>
        <v>#VALUE!</v>
      </c>
      <c r="EF146" t="e">
        <f>'Delivery Calculation'!AY205+"AM:!'fE"</f>
        <v>#VALUE!</v>
      </c>
      <c r="EG146" t="e">
        <f>'Delivery Calculation'!A206+"AM:!'fF"</f>
        <v>#VALUE!</v>
      </c>
      <c r="EH146" t="e">
        <f>'Delivery Calculation'!B206+"AM:!'fG"</f>
        <v>#VALUE!</v>
      </c>
      <c r="EI146" t="e">
        <f>'Delivery Calculation'!C206+"AM:!'fH"</f>
        <v>#VALUE!</v>
      </c>
      <c r="EJ146" t="e">
        <f>'Delivery Calculation'!D206+"AM:!'fI"</f>
        <v>#VALUE!</v>
      </c>
      <c r="EK146" t="e">
        <f>'Delivery Calculation'!E206+"AM:!'fJ"</f>
        <v>#VALUE!</v>
      </c>
      <c r="EL146" s="98" t="e">
        <f>'Delivery Calculation'!F206+"AM:!'fK"</f>
        <v>#VALUE!</v>
      </c>
      <c r="EM146" s="98" t="e">
        <f>'Delivery Calculation'!G206+"AM:!'fL"</f>
        <v>#VALUE!</v>
      </c>
      <c r="EN146" s="98" t="e">
        <f>'Delivery Calculation'!H206+"AM:!'fM"</f>
        <v>#VALUE!</v>
      </c>
      <c r="EO146" s="98" t="e">
        <f>'Delivery Calculation'!I206+"AM:!'fN"</f>
        <v>#VALUE!</v>
      </c>
      <c r="EP146" s="98" t="e">
        <f>'Delivery Calculation'!J206+"AM:!'fO"</f>
        <v>#VALUE!</v>
      </c>
      <c r="EQ146" s="98" t="e">
        <f>'Delivery Calculation'!K206+"AM:!'fP"</f>
        <v>#VALUE!</v>
      </c>
      <c r="ER146" s="98" t="e">
        <f>'Delivery Calculation'!L206+"AM:!'fQ"</f>
        <v>#VALUE!</v>
      </c>
      <c r="ES146" s="100" t="e">
        <f>'Delivery Calculation'!M206+"AM:!'fR"</f>
        <v>#VALUE!</v>
      </c>
      <c r="ET146" s="100" t="e">
        <f>'Delivery Calculation'!N206+"AM:!'fS"</f>
        <v>#VALUE!</v>
      </c>
      <c r="EU146" s="100" t="e">
        <f>'Delivery Calculation'!O206+"AM:!'fT"</f>
        <v>#VALUE!</v>
      </c>
      <c r="EV146" s="100" t="e">
        <f>'Delivery Calculation'!P206+"AM:!'fU"</f>
        <v>#VALUE!</v>
      </c>
      <c r="EW146" s="100" t="e">
        <f>'Delivery Calculation'!Q206+"AM:!'fV"</f>
        <v>#VALUE!</v>
      </c>
      <c r="EX146" s="100" t="e">
        <f>'Delivery Calculation'!R206+"AM:!'fW"</f>
        <v>#VALUE!</v>
      </c>
      <c r="EY146" s="100" t="e">
        <f>'Delivery Calculation'!S206+"AM:!'fX"</f>
        <v>#VALUE!</v>
      </c>
      <c r="EZ146" s="100" t="e">
        <f>'Delivery Calculation'!T206+"AM:!'fY"</f>
        <v>#VALUE!</v>
      </c>
      <c r="FA146" s="100" t="e">
        <f>'Delivery Calculation'!U206+"AM:!'fZ"</f>
        <v>#VALUE!</v>
      </c>
      <c r="FB146" s="100" t="e">
        <f>'Delivery Calculation'!V206+"AM:!'f["</f>
        <v>#VALUE!</v>
      </c>
      <c r="FC146" s="100" t="e">
        <f>'Delivery Calculation'!W206+"AM:!'f\"</f>
        <v>#VALUE!</v>
      </c>
      <c r="FD146" s="100" t="e">
        <f>'Delivery Calculation'!X206+"AM:!'f]"</f>
        <v>#VALUE!</v>
      </c>
      <c r="FE146" s="100" t="e">
        <f>'Delivery Calculation'!Y206+"AM:!'f^"</f>
        <v>#VALUE!</v>
      </c>
      <c r="FF146" s="100" t="e">
        <f>'Delivery Calculation'!Z206+"AM:!'f_"</f>
        <v>#VALUE!</v>
      </c>
      <c r="FG146" s="100" t="e">
        <f>'Delivery Calculation'!AA206+"AM:!'f`"</f>
        <v>#VALUE!</v>
      </c>
      <c r="FH146" s="100" t="e">
        <f>'Delivery Calculation'!AB206+"AM:!'fa"</f>
        <v>#VALUE!</v>
      </c>
      <c r="FI146" s="100" t="e">
        <f>'Delivery Calculation'!AC206+"AM:!'fb"</f>
        <v>#VALUE!</v>
      </c>
      <c r="FJ146" s="100" t="e">
        <f>'Delivery Calculation'!AD206+"AM:!'fc"</f>
        <v>#VALUE!</v>
      </c>
      <c r="FK146" s="100" t="e">
        <f>'Delivery Calculation'!AE206+"AM:!'fd"</f>
        <v>#VALUE!</v>
      </c>
      <c r="FL146" s="100" t="e">
        <f>'Delivery Calculation'!AF206+"AM:!'fe"</f>
        <v>#VALUE!</v>
      </c>
      <c r="FM146" s="100" t="e">
        <f>'Delivery Calculation'!AG206+"AM:!'ff"</f>
        <v>#VALUE!</v>
      </c>
      <c r="FN146" s="100" t="e">
        <f>'Delivery Calculation'!AH206+"AM:!'fg"</f>
        <v>#VALUE!</v>
      </c>
      <c r="FO146" s="100" t="e">
        <f>'Delivery Calculation'!AI206+"AM:!'fh"</f>
        <v>#VALUE!</v>
      </c>
      <c r="FP146" s="100" t="e">
        <f>'Delivery Calculation'!AJ206+"AM:!'fi"</f>
        <v>#VALUE!</v>
      </c>
      <c r="FQ146" s="100" t="e">
        <f>'Delivery Calculation'!AK206+"AM:!'fj"</f>
        <v>#VALUE!</v>
      </c>
      <c r="FR146" s="100" t="e">
        <f>'Delivery Calculation'!AL206+"AM:!'fk"</f>
        <v>#VALUE!</v>
      </c>
      <c r="FS146" s="100" t="e">
        <f>'Delivery Calculation'!AM206+"AM:!'fl"</f>
        <v>#VALUE!</v>
      </c>
      <c r="FT146" s="100" t="e">
        <f>'Delivery Calculation'!AN206+"AM:!'fm"</f>
        <v>#VALUE!</v>
      </c>
      <c r="FU146" s="100" t="e">
        <f>'Delivery Calculation'!AO206+"AM:!'fn"</f>
        <v>#VALUE!</v>
      </c>
      <c r="FV146" s="100" t="e">
        <f>'Delivery Calculation'!AP206+"AM:!'fo"</f>
        <v>#VALUE!</v>
      </c>
      <c r="FW146" s="100" t="e">
        <f>'Delivery Calculation'!AQ206+"AM:!'fp"</f>
        <v>#VALUE!</v>
      </c>
      <c r="FX146" s="100" t="e">
        <f>'Delivery Calculation'!AR206+"AM:!'fq"</f>
        <v>#VALUE!</v>
      </c>
      <c r="FY146" s="100" t="e">
        <f>'Delivery Calculation'!AS206+"AM:!'fr"</f>
        <v>#VALUE!</v>
      </c>
      <c r="FZ146" s="100" t="e">
        <f>'Delivery Calculation'!AT206+"AM:!'fs"</f>
        <v>#VALUE!</v>
      </c>
      <c r="GA146" s="100" t="e">
        <f>'Delivery Calculation'!AU206+"AM:!'ft"</f>
        <v>#VALUE!</v>
      </c>
      <c r="GB146" s="100" t="e">
        <f>'Delivery Calculation'!AV206+"AM:!'fu"</f>
        <v>#VALUE!</v>
      </c>
      <c r="GC146" s="100" t="e">
        <f>'Delivery Calculation'!AW206+"AM:!'fv"</f>
        <v>#VALUE!</v>
      </c>
      <c r="GD146" s="100" t="e">
        <f>'Delivery Calculation'!AX206+"AM:!'fw"</f>
        <v>#VALUE!</v>
      </c>
      <c r="GE146" t="e">
        <f>'Delivery Calculation'!AY206+"AM:!'fx"</f>
        <v>#VALUE!</v>
      </c>
      <c r="GF146" t="e">
        <f>'Delivery Calculation'!A207+"AM:!'fy"</f>
        <v>#VALUE!</v>
      </c>
      <c r="GG146" t="e">
        <f>'Delivery Calculation'!B207+"AM:!'fz"</f>
        <v>#VALUE!</v>
      </c>
      <c r="GH146" t="e">
        <f>'Delivery Calculation'!C207+"AM:!'f{"</f>
        <v>#VALUE!</v>
      </c>
      <c r="GI146" t="e">
        <f>'Delivery Calculation'!D207+"AM:!'f|"</f>
        <v>#VALUE!</v>
      </c>
      <c r="GJ146" t="e">
        <f>'Delivery Calculation'!E207+"AM:!'f}"</f>
        <v>#VALUE!</v>
      </c>
      <c r="GK146" s="98" t="e">
        <f>'Delivery Calculation'!F207+"AM:!'f~"</f>
        <v>#VALUE!</v>
      </c>
      <c r="GL146" s="98" t="e">
        <f>'Delivery Calculation'!G207+"AM:!'g#"</f>
        <v>#VALUE!</v>
      </c>
      <c r="GM146" s="98" t="e">
        <f>'Delivery Calculation'!H207+"AM:!'g$"</f>
        <v>#VALUE!</v>
      </c>
      <c r="GN146" s="98" t="e">
        <f>'Delivery Calculation'!I207+"AM:!'g%"</f>
        <v>#VALUE!</v>
      </c>
      <c r="GO146" s="98" t="e">
        <f>'Delivery Calculation'!J207+"AM:!'g&amp;"</f>
        <v>#VALUE!</v>
      </c>
      <c r="GP146" s="98" t="e">
        <f>'Delivery Calculation'!K207+"AM:!'g'"</f>
        <v>#VALUE!</v>
      </c>
      <c r="GQ146" s="98" t="e">
        <f>'Delivery Calculation'!L207+"AM:!'g("</f>
        <v>#VALUE!</v>
      </c>
      <c r="GR146" s="100" t="e">
        <f>'Delivery Calculation'!M207+"AM:!'g)"</f>
        <v>#VALUE!</v>
      </c>
      <c r="GS146" s="100" t="e">
        <f>'Delivery Calculation'!N207+"AM:!'g."</f>
        <v>#VALUE!</v>
      </c>
      <c r="GT146" s="100" t="e">
        <f>'Delivery Calculation'!O207+"AM:!'g/"</f>
        <v>#VALUE!</v>
      </c>
      <c r="GU146" s="100" t="e">
        <f>'Delivery Calculation'!P207+"AM:!'g0"</f>
        <v>#VALUE!</v>
      </c>
      <c r="GV146" s="100" t="e">
        <f>'Delivery Calculation'!Q207+"AM:!'g1"</f>
        <v>#VALUE!</v>
      </c>
      <c r="GW146" s="100" t="e">
        <f>'Delivery Calculation'!R207+"AM:!'g2"</f>
        <v>#VALUE!</v>
      </c>
      <c r="GX146" s="100" t="e">
        <f>'Delivery Calculation'!S207+"AM:!'g3"</f>
        <v>#VALUE!</v>
      </c>
      <c r="GY146" s="100" t="e">
        <f>'Delivery Calculation'!T207+"AM:!'g4"</f>
        <v>#VALUE!</v>
      </c>
      <c r="GZ146" s="100" t="e">
        <f>'Delivery Calculation'!U207+"AM:!'g5"</f>
        <v>#VALUE!</v>
      </c>
      <c r="HA146" s="100" t="e">
        <f>'Delivery Calculation'!V207+"AM:!'g6"</f>
        <v>#VALUE!</v>
      </c>
      <c r="HB146" s="100" t="e">
        <f>'Delivery Calculation'!W207+"AM:!'g7"</f>
        <v>#VALUE!</v>
      </c>
      <c r="HC146" s="100" t="e">
        <f>'Delivery Calculation'!X207+"AM:!'g8"</f>
        <v>#VALUE!</v>
      </c>
      <c r="HD146" s="100" t="e">
        <f>'Delivery Calculation'!Y207+"AM:!'g9"</f>
        <v>#VALUE!</v>
      </c>
      <c r="HE146" s="100" t="e">
        <f>'Delivery Calculation'!Z207+"AM:!'g:"</f>
        <v>#VALUE!</v>
      </c>
      <c r="HF146" s="100" t="e">
        <f>'Delivery Calculation'!AA207+"AM:!'g;"</f>
        <v>#VALUE!</v>
      </c>
      <c r="HG146" s="100" t="e">
        <f>'Delivery Calculation'!AB207+"AM:!'g&lt;"</f>
        <v>#VALUE!</v>
      </c>
      <c r="HH146" s="100" t="e">
        <f>'Delivery Calculation'!AC207+"AM:!'g="</f>
        <v>#VALUE!</v>
      </c>
      <c r="HI146" s="100" t="e">
        <f>'Delivery Calculation'!AD207+"AM:!'g&gt;"</f>
        <v>#VALUE!</v>
      </c>
      <c r="HJ146" s="100" t="e">
        <f>'Delivery Calculation'!AE207+"AM:!'g?"</f>
        <v>#VALUE!</v>
      </c>
      <c r="HK146" s="100" t="e">
        <f>'Delivery Calculation'!AF207+"AM:!'g@"</f>
        <v>#VALUE!</v>
      </c>
      <c r="HL146" s="100" t="e">
        <f>'Delivery Calculation'!AG207+"AM:!'gA"</f>
        <v>#VALUE!</v>
      </c>
      <c r="HM146" s="100" t="e">
        <f>'Delivery Calculation'!AH207+"AM:!'gB"</f>
        <v>#VALUE!</v>
      </c>
      <c r="HN146" s="100" t="e">
        <f>'Delivery Calculation'!AI207+"AM:!'gC"</f>
        <v>#VALUE!</v>
      </c>
      <c r="HO146" s="100" t="e">
        <f>'Delivery Calculation'!AJ207+"AM:!'gD"</f>
        <v>#VALUE!</v>
      </c>
      <c r="HP146" s="100" t="e">
        <f>'Delivery Calculation'!AK207+"AM:!'gE"</f>
        <v>#VALUE!</v>
      </c>
      <c r="HQ146" s="100" t="e">
        <f>'Delivery Calculation'!AL207+"AM:!'gF"</f>
        <v>#VALUE!</v>
      </c>
      <c r="HR146" s="100" t="e">
        <f>'Delivery Calculation'!AM207+"AM:!'gG"</f>
        <v>#VALUE!</v>
      </c>
      <c r="HS146" s="100" t="e">
        <f>'Delivery Calculation'!AN207+"AM:!'gH"</f>
        <v>#VALUE!</v>
      </c>
      <c r="HT146" s="100" t="e">
        <f>'Delivery Calculation'!AO207+"AM:!'gI"</f>
        <v>#VALUE!</v>
      </c>
      <c r="HU146" s="100" t="e">
        <f>'Delivery Calculation'!AP207+"AM:!'gJ"</f>
        <v>#VALUE!</v>
      </c>
      <c r="HV146" s="100" t="e">
        <f>'Delivery Calculation'!AQ207+"AM:!'gK"</f>
        <v>#VALUE!</v>
      </c>
      <c r="HW146" s="100" t="e">
        <f>'Delivery Calculation'!AR207+"AM:!'gL"</f>
        <v>#VALUE!</v>
      </c>
      <c r="HX146" s="100" t="e">
        <f>'Delivery Calculation'!AS207+"AM:!'gM"</f>
        <v>#VALUE!</v>
      </c>
      <c r="HY146" s="100" t="e">
        <f>'Delivery Calculation'!AT207+"AM:!'gN"</f>
        <v>#VALUE!</v>
      </c>
      <c r="HZ146" s="100" t="e">
        <f>'Delivery Calculation'!AU207+"AM:!'gO"</f>
        <v>#VALUE!</v>
      </c>
      <c r="IA146" s="100" t="e">
        <f>'Delivery Calculation'!AV207+"AM:!'gP"</f>
        <v>#VALUE!</v>
      </c>
      <c r="IB146" s="100" t="e">
        <f>'Delivery Calculation'!AW207+"AM:!'gQ"</f>
        <v>#VALUE!</v>
      </c>
      <c r="IC146" s="100" t="e">
        <f>'Delivery Calculation'!AX207+"AM:!'gR"</f>
        <v>#VALUE!</v>
      </c>
      <c r="ID146" t="e">
        <f>'Delivery Calculation'!AY207+"AM:!'gS"</f>
        <v>#VALUE!</v>
      </c>
      <c r="IE146" t="e">
        <f>'Delivery Calculation'!A208+"AM:!'gT"</f>
        <v>#VALUE!</v>
      </c>
      <c r="IF146" t="e">
        <f>'Delivery Calculation'!B208+"AM:!'gU"</f>
        <v>#VALUE!</v>
      </c>
      <c r="IG146" t="e">
        <f>'Delivery Calculation'!C208+"AM:!'gV"</f>
        <v>#VALUE!</v>
      </c>
      <c r="IH146" t="e">
        <f>'Delivery Calculation'!D208+"AM:!'gW"</f>
        <v>#VALUE!</v>
      </c>
      <c r="II146" t="e">
        <f>'Delivery Calculation'!E208+"AM:!'gX"</f>
        <v>#VALUE!</v>
      </c>
      <c r="IJ146" s="98" t="e">
        <f>'Delivery Calculation'!F208+"AM:!'gY"</f>
        <v>#VALUE!</v>
      </c>
      <c r="IK146" s="98" t="e">
        <f>'Delivery Calculation'!G208+"AM:!'gZ"</f>
        <v>#VALUE!</v>
      </c>
      <c r="IL146" s="98" t="e">
        <f>'Delivery Calculation'!H208+"AM:!'g["</f>
        <v>#VALUE!</v>
      </c>
      <c r="IM146" s="98" t="e">
        <f>'Delivery Calculation'!I208+"AM:!'g\"</f>
        <v>#VALUE!</v>
      </c>
      <c r="IN146" s="98" t="e">
        <f>'Delivery Calculation'!J208+"AM:!'g]"</f>
        <v>#VALUE!</v>
      </c>
      <c r="IO146" s="98" t="e">
        <f>'Delivery Calculation'!K208+"AM:!'g^"</f>
        <v>#VALUE!</v>
      </c>
      <c r="IP146" s="98" t="e">
        <f>'Delivery Calculation'!L208+"AM:!'g_"</f>
        <v>#VALUE!</v>
      </c>
      <c r="IQ146" s="100" t="e">
        <f>'Delivery Calculation'!M208+"AM:!'g`"</f>
        <v>#VALUE!</v>
      </c>
      <c r="IR146" s="100" t="e">
        <f>'Delivery Calculation'!N208+"AM:!'ga"</f>
        <v>#VALUE!</v>
      </c>
      <c r="IS146" s="100" t="e">
        <f>'Delivery Calculation'!O208+"AM:!'gb"</f>
        <v>#VALUE!</v>
      </c>
      <c r="IT146" s="100" t="e">
        <f>'Delivery Calculation'!P208+"AM:!'gc"</f>
        <v>#VALUE!</v>
      </c>
      <c r="IU146" s="100" t="e">
        <f>'Delivery Calculation'!Q208+"AM:!'gd"</f>
        <v>#VALUE!</v>
      </c>
      <c r="IV146" s="100" t="e">
        <f>'Delivery Calculation'!R208+"AM:!'ge"</f>
        <v>#VALUE!</v>
      </c>
    </row>
    <row r="147" spans="6:256">
      <c r="F147" s="100" t="e">
        <f>'Delivery Calculation'!S208+"AM:!'gf"</f>
        <v>#VALUE!</v>
      </c>
      <c r="G147" s="100" t="e">
        <f>'Delivery Calculation'!T208+"AM:!'gg"</f>
        <v>#VALUE!</v>
      </c>
      <c r="H147" s="100" t="e">
        <f>'Delivery Calculation'!U208+"AM:!'gh"</f>
        <v>#VALUE!</v>
      </c>
      <c r="I147" s="100" t="e">
        <f>'Delivery Calculation'!V208+"AM:!'gi"</f>
        <v>#VALUE!</v>
      </c>
      <c r="J147" s="100" t="e">
        <f>'Delivery Calculation'!W208+"AM:!'gj"</f>
        <v>#VALUE!</v>
      </c>
      <c r="K147" s="100" t="e">
        <f>'Delivery Calculation'!X208+"AM:!'gk"</f>
        <v>#VALUE!</v>
      </c>
      <c r="L147" s="100" t="e">
        <f>'Delivery Calculation'!Y208+"AM:!'gl"</f>
        <v>#VALUE!</v>
      </c>
      <c r="M147" s="100" t="e">
        <f>'Delivery Calculation'!Z208+"AM:!'gm"</f>
        <v>#VALUE!</v>
      </c>
      <c r="N147" s="100" t="e">
        <f>'Delivery Calculation'!AA208+"AM:!'gn"</f>
        <v>#VALUE!</v>
      </c>
      <c r="O147" s="100" t="e">
        <f>'Delivery Calculation'!AB208+"AM:!'go"</f>
        <v>#VALUE!</v>
      </c>
      <c r="P147" s="100" t="e">
        <f>'Delivery Calculation'!AC208+"AM:!'gp"</f>
        <v>#VALUE!</v>
      </c>
      <c r="Q147" s="100" t="e">
        <f>'Delivery Calculation'!AD208+"AM:!'gq"</f>
        <v>#VALUE!</v>
      </c>
      <c r="R147" s="100" t="e">
        <f>'Delivery Calculation'!AE208+"AM:!'gr"</f>
        <v>#VALUE!</v>
      </c>
      <c r="S147" s="100" t="e">
        <f>'Delivery Calculation'!AF208+"AM:!'gs"</f>
        <v>#VALUE!</v>
      </c>
      <c r="T147" s="100" t="e">
        <f>'Delivery Calculation'!AG208+"AM:!'gt"</f>
        <v>#VALUE!</v>
      </c>
      <c r="U147" s="100" t="e">
        <f>'Delivery Calculation'!AH208+"AM:!'gu"</f>
        <v>#VALUE!</v>
      </c>
      <c r="V147" s="100" t="e">
        <f>'Delivery Calculation'!AI208+"AM:!'gv"</f>
        <v>#VALUE!</v>
      </c>
      <c r="W147" s="100" t="e">
        <f>'Delivery Calculation'!AJ208+"AM:!'gw"</f>
        <v>#VALUE!</v>
      </c>
      <c r="X147" s="100" t="e">
        <f>'Delivery Calculation'!AK208+"AM:!'gx"</f>
        <v>#VALUE!</v>
      </c>
      <c r="Y147" s="100" t="e">
        <f>'Delivery Calculation'!AL208+"AM:!'gy"</f>
        <v>#VALUE!</v>
      </c>
      <c r="Z147" s="100" t="e">
        <f>'Delivery Calculation'!AM208+"AM:!'gz"</f>
        <v>#VALUE!</v>
      </c>
      <c r="AA147" s="100" t="e">
        <f>'Delivery Calculation'!AN208+"AM:!'g{"</f>
        <v>#VALUE!</v>
      </c>
      <c r="AB147" s="100" t="e">
        <f>'Delivery Calculation'!AO208+"AM:!'g|"</f>
        <v>#VALUE!</v>
      </c>
      <c r="AC147" s="100" t="e">
        <f>'Delivery Calculation'!AP208+"AM:!'g}"</f>
        <v>#VALUE!</v>
      </c>
      <c r="AD147" s="100" t="e">
        <f>'Delivery Calculation'!AQ208+"AM:!'g~"</f>
        <v>#VALUE!</v>
      </c>
      <c r="AE147" s="100" t="e">
        <f>'Delivery Calculation'!AR208+"AM:!'h#"</f>
        <v>#VALUE!</v>
      </c>
      <c r="AF147" s="100" t="e">
        <f>'Delivery Calculation'!AS208+"AM:!'h$"</f>
        <v>#VALUE!</v>
      </c>
      <c r="AG147" s="100" t="e">
        <f>'Delivery Calculation'!AT208+"AM:!'h%"</f>
        <v>#VALUE!</v>
      </c>
      <c r="AH147" s="100" t="e">
        <f>'Delivery Calculation'!AU208+"AM:!'h&amp;"</f>
        <v>#VALUE!</v>
      </c>
      <c r="AI147" s="100" t="e">
        <f>'Delivery Calculation'!AV208+"AM:!'h'"</f>
        <v>#VALUE!</v>
      </c>
      <c r="AJ147" s="100" t="e">
        <f>'Delivery Calculation'!AW208+"AM:!'h("</f>
        <v>#VALUE!</v>
      </c>
      <c r="AK147" s="100" t="e">
        <f>'Delivery Calculation'!AX208+"AM:!'h)"</f>
        <v>#VALUE!</v>
      </c>
      <c r="AL147" t="e">
        <f>'Delivery Calculation'!AY208+"AM:!'h."</f>
        <v>#VALUE!</v>
      </c>
      <c r="AM147" t="e">
        <f>'Delivery Calculation'!A209+"AM:!'h/"</f>
        <v>#VALUE!</v>
      </c>
      <c r="AN147" t="e">
        <f>'Delivery Calculation'!B209+"AM:!'h0"</f>
        <v>#VALUE!</v>
      </c>
      <c r="AO147" t="e">
        <f>'Delivery Calculation'!C209+"AM:!'h1"</f>
        <v>#VALUE!</v>
      </c>
      <c r="AP147" t="e">
        <f>'Delivery Calculation'!D209+"AM:!'h2"</f>
        <v>#VALUE!</v>
      </c>
      <c r="AQ147" t="e">
        <f>'Delivery Calculation'!E209+"AM:!'h3"</f>
        <v>#VALUE!</v>
      </c>
      <c r="AR147" s="98" t="e">
        <f>'Delivery Calculation'!F209+"AM:!'h4"</f>
        <v>#VALUE!</v>
      </c>
      <c r="AS147" s="98" t="e">
        <f>'Delivery Calculation'!G209+"AM:!'h5"</f>
        <v>#VALUE!</v>
      </c>
      <c r="AT147" s="98" t="e">
        <f>'Delivery Calculation'!H209+"AM:!'h6"</f>
        <v>#VALUE!</v>
      </c>
      <c r="AU147" s="98" t="e">
        <f>'Delivery Calculation'!I209+"AM:!'h7"</f>
        <v>#VALUE!</v>
      </c>
      <c r="AV147" s="98" t="e">
        <f>'Delivery Calculation'!J209+"AM:!'h8"</f>
        <v>#VALUE!</v>
      </c>
      <c r="AW147" s="98" t="e">
        <f>'Delivery Calculation'!K209+"AM:!'h9"</f>
        <v>#VALUE!</v>
      </c>
      <c r="AX147" s="98" t="e">
        <f>'Delivery Calculation'!L209+"AM:!'h:"</f>
        <v>#VALUE!</v>
      </c>
      <c r="AY147" s="100" t="e">
        <f>'Delivery Calculation'!M209+"AM:!'h;"</f>
        <v>#VALUE!</v>
      </c>
      <c r="AZ147" s="100" t="e">
        <f>'Delivery Calculation'!N209+"AM:!'h&lt;"</f>
        <v>#VALUE!</v>
      </c>
      <c r="BA147" s="100" t="e">
        <f>'Delivery Calculation'!O209+"AM:!'h="</f>
        <v>#VALUE!</v>
      </c>
      <c r="BB147" s="100" t="e">
        <f>'Delivery Calculation'!P209+"AM:!'h&gt;"</f>
        <v>#VALUE!</v>
      </c>
      <c r="BC147" s="100" t="e">
        <f>'Delivery Calculation'!Q209+"AM:!'h?"</f>
        <v>#VALUE!</v>
      </c>
      <c r="BD147" s="100" t="e">
        <f>'Delivery Calculation'!R209+"AM:!'h@"</f>
        <v>#VALUE!</v>
      </c>
      <c r="BE147" s="100" t="e">
        <f>'Delivery Calculation'!S209+"AM:!'hA"</f>
        <v>#VALUE!</v>
      </c>
      <c r="BF147" s="100" t="e">
        <f>'Delivery Calculation'!T209+"AM:!'hB"</f>
        <v>#VALUE!</v>
      </c>
      <c r="BG147" s="100" t="e">
        <f>'Delivery Calculation'!U209+"AM:!'hC"</f>
        <v>#VALUE!</v>
      </c>
      <c r="BH147" s="100" t="e">
        <f>'Delivery Calculation'!V209+"AM:!'hD"</f>
        <v>#VALUE!</v>
      </c>
      <c r="BI147" s="100" t="e">
        <f>'Delivery Calculation'!W209+"AM:!'hE"</f>
        <v>#VALUE!</v>
      </c>
      <c r="BJ147" s="100" t="e">
        <f>'Delivery Calculation'!X209+"AM:!'hF"</f>
        <v>#VALUE!</v>
      </c>
      <c r="BK147" s="100" t="e">
        <f>'Delivery Calculation'!Y209+"AM:!'hG"</f>
        <v>#VALUE!</v>
      </c>
      <c r="BL147" s="100" t="e">
        <f>'Delivery Calculation'!Z209+"AM:!'hH"</f>
        <v>#VALUE!</v>
      </c>
      <c r="BM147" s="100" t="e">
        <f>'Delivery Calculation'!AA209+"AM:!'hI"</f>
        <v>#VALUE!</v>
      </c>
      <c r="BN147" s="100" t="e">
        <f>'Delivery Calculation'!AB209+"AM:!'hJ"</f>
        <v>#VALUE!</v>
      </c>
      <c r="BO147" s="100" t="e">
        <f>'Delivery Calculation'!AC209+"AM:!'hK"</f>
        <v>#VALUE!</v>
      </c>
      <c r="BP147" s="100" t="e">
        <f>'Delivery Calculation'!AD209+"AM:!'hL"</f>
        <v>#VALUE!</v>
      </c>
      <c r="BQ147" s="100" t="e">
        <f>'Delivery Calculation'!AE209+"AM:!'hM"</f>
        <v>#VALUE!</v>
      </c>
      <c r="BR147" s="100" t="e">
        <f>'Delivery Calculation'!AF209+"AM:!'hN"</f>
        <v>#VALUE!</v>
      </c>
      <c r="BS147" s="100" t="e">
        <f>'Delivery Calculation'!AG209+"AM:!'hO"</f>
        <v>#VALUE!</v>
      </c>
      <c r="BT147" s="100" t="e">
        <f>'Delivery Calculation'!AH209+"AM:!'hP"</f>
        <v>#VALUE!</v>
      </c>
      <c r="BU147" s="100" t="e">
        <f>'Delivery Calculation'!AI209+"AM:!'hQ"</f>
        <v>#VALUE!</v>
      </c>
      <c r="BV147" s="100" t="e">
        <f>'Delivery Calculation'!AJ209+"AM:!'hR"</f>
        <v>#VALUE!</v>
      </c>
      <c r="BW147" s="100" t="e">
        <f>'Delivery Calculation'!AK209+"AM:!'hS"</f>
        <v>#VALUE!</v>
      </c>
      <c r="BX147" s="100" t="e">
        <f>'Delivery Calculation'!AL209+"AM:!'hT"</f>
        <v>#VALUE!</v>
      </c>
      <c r="BY147" s="100" t="e">
        <f>'Delivery Calculation'!AM209+"AM:!'hU"</f>
        <v>#VALUE!</v>
      </c>
      <c r="BZ147" s="100" t="e">
        <f>'Delivery Calculation'!AN209+"AM:!'hV"</f>
        <v>#VALUE!</v>
      </c>
      <c r="CA147" s="100" t="e">
        <f>'Delivery Calculation'!AO209+"AM:!'hW"</f>
        <v>#VALUE!</v>
      </c>
      <c r="CB147" s="100" t="e">
        <f>'Delivery Calculation'!AP209+"AM:!'hX"</f>
        <v>#VALUE!</v>
      </c>
      <c r="CC147" s="100" t="e">
        <f>'Delivery Calculation'!AQ209+"AM:!'hY"</f>
        <v>#VALUE!</v>
      </c>
      <c r="CD147" s="100" t="e">
        <f>'Delivery Calculation'!AR209+"AM:!'hZ"</f>
        <v>#VALUE!</v>
      </c>
      <c r="CE147" s="100" t="e">
        <f>'Delivery Calculation'!AS209+"AM:!'h["</f>
        <v>#VALUE!</v>
      </c>
      <c r="CF147" s="100" t="e">
        <f>'Delivery Calculation'!AT209+"AM:!'h\"</f>
        <v>#VALUE!</v>
      </c>
      <c r="CG147" s="100" t="e">
        <f>'Delivery Calculation'!AU209+"AM:!'h]"</f>
        <v>#VALUE!</v>
      </c>
      <c r="CH147" s="100" t="e">
        <f>'Delivery Calculation'!AV209+"AM:!'h^"</f>
        <v>#VALUE!</v>
      </c>
      <c r="CI147" s="100" t="e">
        <f>'Delivery Calculation'!AW209+"AM:!'h_"</f>
        <v>#VALUE!</v>
      </c>
      <c r="CJ147" s="100" t="e">
        <f>'Delivery Calculation'!AX209+"AM:!'h`"</f>
        <v>#VALUE!</v>
      </c>
      <c r="CK147" t="e">
        <f>'Delivery Calculation'!AY209+"AM:!'ha"</f>
        <v>#VALUE!</v>
      </c>
      <c r="CL147" t="e">
        <f>'Delivery Calculation'!A210+"AM:!'hb"</f>
        <v>#VALUE!</v>
      </c>
      <c r="CM147" t="e">
        <f>'Delivery Calculation'!B210+"AM:!'hc"</f>
        <v>#VALUE!</v>
      </c>
      <c r="CN147" t="e">
        <f>'Delivery Calculation'!C210+"AM:!'hd"</f>
        <v>#VALUE!</v>
      </c>
      <c r="CO147" t="e">
        <f>'Delivery Calculation'!D210+"AM:!'he"</f>
        <v>#VALUE!</v>
      </c>
      <c r="CP147" t="e">
        <f>'Delivery Calculation'!E210+"AM:!'hf"</f>
        <v>#VALUE!</v>
      </c>
      <c r="CQ147" s="98" t="e">
        <f>'Delivery Calculation'!F210+"AM:!'hg"</f>
        <v>#VALUE!</v>
      </c>
      <c r="CR147" s="98" t="e">
        <f>'Delivery Calculation'!G210+"AM:!'hh"</f>
        <v>#VALUE!</v>
      </c>
      <c r="CS147" s="98" t="e">
        <f>'Delivery Calculation'!H210+"AM:!'hi"</f>
        <v>#VALUE!</v>
      </c>
      <c r="CT147" s="98" t="e">
        <f>'Delivery Calculation'!I210+"AM:!'hj"</f>
        <v>#VALUE!</v>
      </c>
      <c r="CU147" s="98" t="e">
        <f>'Delivery Calculation'!J210+"AM:!'hk"</f>
        <v>#VALUE!</v>
      </c>
      <c r="CV147" s="98" t="e">
        <f>'Delivery Calculation'!K210+"AM:!'hl"</f>
        <v>#VALUE!</v>
      </c>
      <c r="CW147" s="98" t="e">
        <f>'Delivery Calculation'!L210+"AM:!'hm"</f>
        <v>#VALUE!</v>
      </c>
      <c r="CX147" s="100" t="e">
        <f>'Delivery Calculation'!M210+"AM:!'hn"</f>
        <v>#VALUE!</v>
      </c>
      <c r="CY147" s="100" t="e">
        <f>'Delivery Calculation'!N210+"AM:!'ho"</f>
        <v>#VALUE!</v>
      </c>
      <c r="CZ147" s="100" t="e">
        <f>'Delivery Calculation'!O210+"AM:!'hp"</f>
        <v>#VALUE!</v>
      </c>
      <c r="DA147" s="100" t="e">
        <f>'Delivery Calculation'!P210+"AM:!'hq"</f>
        <v>#VALUE!</v>
      </c>
      <c r="DB147" s="100" t="e">
        <f>'Delivery Calculation'!Q210+"AM:!'hr"</f>
        <v>#VALUE!</v>
      </c>
      <c r="DC147" s="100" t="e">
        <f>'Delivery Calculation'!R210+"AM:!'hs"</f>
        <v>#VALUE!</v>
      </c>
      <c r="DD147" s="100" t="e">
        <f>'Delivery Calculation'!S210+"AM:!'ht"</f>
        <v>#VALUE!</v>
      </c>
      <c r="DE147" s="100" t="e">
        <f>'Delivery Calculation'!T210+"AM:!'hu"</f>
        <v>#VALUE!</v>
      </c>
      <c r="DF147" s="100" t="e">
        <f>'Delivery Calculation'!U210+"AM:!'hv"</f>
        <v>#VALUE!</v>
      </c>
      <c r="DG147" s="100" t="e">
        <f>'Delivery Calculation'!V210+"AM:!'hw"</f>
        <v>#VALUE!</v>
      </c>
      <c r="DH147" s="100" t="e">
        <f>'Delivery Calculation'!W210+"AM:!'hx"</f>
        <v>#VALUE!</v>
      </c>
      <c r="DI147" s="100" t="e">
        <f>'Delivery Calculation'!X210+"AM:!'hy"</f>
        <v>#VALUE!</v>
      </c>
      <c r="DJ147" s="100" t="e">
        <f>'Delivery Calculation'!Y210+"AM:!'hz"</f>
        <v>#VALUE!</v>
      </c>
      <c r="DK147" s="100" t="e">
        <f>'Delivery Calculation'!Z210+"AM:!'h{"</f>
        <v>#VALUE!</v>
      </c>
      <c r="DL147" s="100" t="e">
        <f>'Delivery Calculation'!AA210+"AM:!'h|"</f>
        <v>#VALUE!</v>
      </c>
      <c r="DM147" s="100" t="e">
        <f>'Delivery Calculation'!AB210+"AM:!'h}"</f>
        <v>#VALUE!</v>
      </c>
      <c r="DN147" s="100" t="e">
        <f>'Delivery Calculation'!AC210+"AM:!'h~"</f>
        <v>#VALUE!</v>
      </c>
      <c r="DO147" s="100" t="e">
        <f>'Delivery Calculation'!AD210+"AM:!'i#"</f>
        <v>#VALUE!</v>
      </c>
      <c r="DP147" s="100" t="e">
        <f>'Delivery Calculation'!AE210+"AM:!'i$"</f>
        <v>#VALUE!</v>
      </c>
      <c r="DQ147" s="100" t="e">
        <f>'Delivery Calculation'!AF210+"AM:!'i%"</f>
        <v>#VALUE!</v>
      </c>
      <c r="DR147" s="100" t="e">
        <f>'Delivery Calculation'!AG210+"AM:!'i&amp;"</f>
        <v>#VALUE!</v>
      </c>
      <c r="DS147" s="100" t="e">
        <f>'Delivery Calculation'!AH210+"AM:!'i'"</f>
        <v>#VALUE!</v>
      </c>
      <c r="DT147" s="100" t="e">
        <f>'Delivery Calculation'!AI210+"AM:!'i("</f>
        <v>#VALUE!</v>
      </c>
      <c r="DU147" s="100" t="e">
        <f>'Delivery Calculation'!AJ210+"AM:!'i)"</f>
        <v>#VALUE!</v>
      </c>
      <c r="DV147" s="100" t="e">
        <f>'Delivery Calculation'!AK210+"AM:!'i."</f>
        <v>#VALUE!</v>
      </c>
      <c r="DW147" s="100" t="e">
        <f>'Delivery Calculation'!AL210+"AM:!'i/"</f>
        <v>#VALUE!</v>
      </c>
      <c r="DX147" s="100" t="e">
        <f>'Delivery Calculation'!AM210+"AM:!'i0"</f>
        <v>#VALUE!</v>
      </c>
      <c r="DY147" s="100" t="e">
        <f>'Delivery Calculation'!AN210+"AM:!'i1"</f>
        <v>#VALUE!</v>
      </c>
      <c r="DZ147" s="100" t="e">
        <f>'Delivery Calculation'!AO210+"AM:!'i2"</f>
        <v>#VALUE!</v>
      </c>
      <c r="EA147" s="100" t="e">
        <f>'Delivery Calculation'!AP210+"AM:!'i3"</f>
        <v>#VALUE!</v>
      </c>
      <c r="EB147" s="100" t="e">
        <f>'Delivery Calculation'!AQ210+"AM:!'i4"</f>
        <v>#VALUE!</v>
      </c>
      <c r="EC147" s="100" t="e">
        <f>'Delivery Calculation'!AR210+"AM:!'i5"</f>
        <v>#VALUE!</v>
      </c>
      <c r="ED147" s="100" t="e">
        <f>'Delivery Calculation'!AS210+"AM:!'i6"</f>
        <v>#VALUE!</v>
      </c>
      <c r="EE147" s="100" t="e">
        <f>'Delivery Calculation'!AT210+"AM:!'i7"</f>
        <v>#VALUE!</v>
      </c>
      <c r="EF147" s="100" t="e">
        <f>'Delivery Calculation'!AU210+"AM:!'i8"</f>
        <v>#VALUE!</v>
      </c>
      <c r="EG147" s="100" t="e">
        <f>'Delivery Calculation'!AV210+"AM:!'i9"</f>
        <v>#VALUE!</v>
      </c>
      <c r="EH147" s="100" t="e">
        <f>'Delivery Calculation'!AW210+"AM:!'i:"</f>
        <v>#VALUE!</v>
      </c>
      <c r="EI147" s="100" t="e">
        <f>'Delivery Calculation'!AX210+"AM:!'i;"</f>
        <v>#VALUE!</v>
      </c>
      <c r="EJ147" t="e">
        <f>'Delivery Calculation'!AY210+"AM:!'i&lt;"</f>
        <v>#VALUE!</v>
      </c>
      <c r="EK147" t="e">
        <f>'Delivery Calculation'!A211+"AM:!'i="</f>
        <v>#VALUE!</v>
      </c>
      <c r="EL147" t="e">
        <f>'Delivery Calculation'!B211+"AM:!'i&gt;"</f>
        <v>#VALUE!</v>
      </c>
      <c r="EM147" t="e">
        <f>'Delivery Calculation'!C211+"AM:!'i?"</f>
        <v>#VALUE!</v>
      </c>
      <c r="EN147" t="e">
        <f>'Delivery Calculation'!D211+"AM:!'i@"</f>
        <v>#VALUE!</v>
      </c>
      <c r="EO147" t="e">
        <f>'Delivery Calculation'!E211+"AM:!'iA"</f>
        <v>#VALUE!</v>
      </c>
      <c r="EP147" s="98" t="e">
        <f>'Delivery Calculation'!F211+"AM:!'iB"</f>
        <v>#VALUE!</v>
      </c>
      <c r="EQ147" s="98" t="e">
        <f>'Delivery Calculation'!G211+"AM:!'iC"</f>
        <v>#VALUE!</v>
      </c>
      <c r="ER147" s="98" t="e">
        <f>'Delivery Calculation'!H211+"AM:!'iD"</f>
        <v>#VALUE!</v>
      </c>
      <c r="ES147" s="98" t="e">
        <f>'Delivery Calculation'!I211+"AM:!'iE"</f>
        <v>#VALUE!</v>
      </c>
      <c r="ET147" s="98" t="e">
        <f>'Delivery Calculation'!J211+"AM:!'iF"</f>
        <v>#VALUE!</v>
      </c>
      <c r="EU147" s="98" t="e">
        <f>'Delivery Calculation'!K211+"AM:!'iG"</f>
        <v>#VALUE!</v>
      </c>
      <c r="EV147" s="98" t="e">
        <f>'Delivery Calculation'!L211+"AM:!'iH"</f>
        <v>#VALUE!</v>
      </c>
      <c r="EW147" s="100" t="e">
        <f>'Delivery Calculation'!M211+"AM:!'iI"</f>
        <v>#VALUE!</v>
      </c>
      <c r="EX147" s="100" t="e">
        <f>'Delivery Calculation'!N211+"AM:!'iJ"</f>
        <v>#VALUE!</v>
      </c>
      <c r="EY147" s="100" t="e">
        <f>'Delivery Calculation'!O211+"AM:!'iK"</f>
        <v>#VALUE!</v>
      </c>
      <c r="EZ147" s="100" t="e">
        <f>'Delivery Calculation'!P211+"AM:!'iL"</f>
        <v>#VALUE!</v>
      </c>
      <c r="FA147" s="100" t="e">
        <f>'Delivery Calculation'!Q211+"AM:!'iM"</f>
        <v>#VALUE!</v>
      </c>
      <c r="FB147" s="100" t="e">
        <f>'Delivery Calculation'!R211+"AM:!'iN"</f>
        <v>#VALUE!</v>
      </c>
      <c r="FC147" s="100" t="e">
        <f>'Delivery Calculation'!S211+"AM:!'iO"</f>
        <v>#VALUE!</v>
      </c>
      <c r="FD147" s="100" t="e">
        <f>'Delivery Calculation'!T211+"AM:!'iP"</f>
        <v>#VALUE!</v>
      </c>
      <c r="FE147" s="100" t="e">
        <f>'Delivery Calculation'!U211+"AM:!'iQ"</f>
        <v>#VALUE!</v>
      </c>
      <c r="FF147" s="100" t="e">
        <f>'Delivery Calculation'!V211+"AM:!'iR"</f>
        <v>#VALUE!</v>
      </c>
      <c r="FG147" s="100" t="e">
        <f>'Delivery Calculation'!W211+"AM:!'iS"</f>
        <v>#VALUE!</v>
      </c>
      <c r="FH147" s="100" t="e">
        <f>'Delivery Calculation'!X211+"AM:!'iT"</f>
        <v>#VALUE!</v>
      </c>
      <c r="FI147" s="100" t="e">
        <f>'Delivery Calculation'!Y211+"AM:!'iU"</f>
        <v>#VALUE!</v>
      </c>
      <c r="FJ147" s="100" t="e">
        <f>'Delivery Calculation'!Z211+"AM:!'iV"</f>
        <v>#VALUE!</v>
      </c>
      <c r="FK147" s="100" t="e">
        <f>'Delivery Calculation'!AA211+"AM:!'iW"</f>
        <v>#VALUE!</v>
      </c>
      <c r="FL147" s="100" t="e">
        <f>'Delivery Calculation'!AB211+"AM:!'iX"</f>
        <v>#VALUE!</v>
      </c>
      <c r="FM147" s="100" t="e">
        <f>'Delivery Calculation'!AC211+"AM:!'iY"</f>
        <v>#VALUE!</v>
      </c>
      <c r="FN147" s="100" t="e">
        <f>'Delivery Calculation'!AD211+"AM:!'iZ"</f>
        <v>#VALUE!</v>
      </c>
      <c r="FO147" s="100" t="e">
        <f>'Delivery Calculation'!AE211+"AM:!'i["</f>
        <v>#VALUE!</v>
      </c>
      <c r="FP147" s="100" t="e">
        <f>'Delivery Calculation'!AF211+"AM:!'i\"</f>
        <v>#VALUE!</v>
      </c>
      <c r="FQ147" s="100" t="e">
        <f>'Delivery Calculation'!AG211+"AM:!'i]"</f>
        <v>#VALUE!</v>
      </c>
      <c r="FR147" s="100" t="e">
        <f>'Delivery Calculation'!AH211+"AM:!'i^"</f>
        <v>#VALUE!</v>
      </c>
      <c r="FS147" s="100" t="e">
        <f>'Delivery Calculation'!AI211+"AM:!'i_"</f>
        <v>#VALUE!</v>
      </c>
      <c r="FT147" s="100" t="e">
        <f>'Delivery Calculation'!AJ211+"AM:!'i`"</f>
        <v>#VALUE!</v>
      </c>
      <c r="FU147" s="100" t="e">
        <f>'Delivery Calculation'!AK211+"AM:!'ia"</f>
        <v>#VALUE!</v>
      </c>
      <c r="FV147" s="100" t="e">
        <f>'Delivery Calculation'!AL211+"AM:!'ib"</f>
        <v>#VALUE!</v>
      </c>
      <c r="FW147" s="100" t="e">
        <f>'Delivery Calculation'!AM211+"AM:!'ic"</f>
        <v>#VALUE!</v>
      </c>
      <c r="FX147" s="100" t="e">
        <f>'Delivery Calculation'!AN211+"AM:!'id"</f>
        <v>#VALUE!</v>
      </c>
      <c r="FY147" s="100" t="e">
        <f>'Delivery Calculation'!AO211+"AM:!'ie"</f>
        <v>#VALUE!</v>
      </c>
      <c r="FZ147" s="100" t="e">
        <f>'Delivery Calculation'!AP211+"AM:!'if"</f>
        <v>#VALUE!</v>
      </c>
      <c r="GA147" s="100" t="e">
        <f>'Delivery Calculation'!AQ211+"AM:!'ig"</f>
        <v>#VALUE!</v>
      </c>
      <c r="GB147" s="100" t="e">
        <f>'Delivery Calculation'!AR211+"AM:!'ih"</f>
        <v>#VALUE!</v>
      </c>
      <c r="GC147" s="100" t="e">
        <f>'Delivery Calculation'!AS211+"AM:!'ii"</f>
        <v>#VALUE!</v>
      </c>
      <c r="GD147" s="100" t="e">
        <f>'Delivery Calculation'!AT211+"AM:!'ij"</f>
        <v>#VALUE!</v>
      </c>
      <c r="GE147" s="100" t="e">
        <f>'Delivery Calculation'!AU211+"AM:!'ik"</f>
        <v>#VALUE!</v>
      </c>
      <c r="GF147" s="100" t="e">
        <f>'Delivery Calculation'!AV211+"AM:!'il"</f>
        <v>#VALUE!</v>
      </c>
      <c r="GG147" s="100" t="e">
        <f>'Delivery Calculation'!AW211+"AM:!'im"</f>
        <v>#VALUE!</v>
      </c>
      <c r="GH147" s="100" t="e">
        <f>'Delivery Calculation'!AX211+"AM:!'in"</f>
        <v>#VALUE!</v>
      </c>
      <c r="GI147" t="e">
        <f>'Delivery Calculation'!AY211+"AM:!'io"</f>
        <v>#VALUE!</v>
      </c>
      <c r="GJ147" t="e">
        <f>'Delivery Calculation'!A212+"AM:!'ip"</f>
        <v>#VALUE!</v>
      </c>
      <c r="GK147" t="e">
        <f>'Delivery Calculation'!B212+"AM:!'iq"</f>
        <v>#VALUE!</v>
      </c>
      <c r="GL147" t="e">
        <f>'Delivery Calculation'!C212+"AM:!'ir"</f>
        <v>#VALUE!</v>
      </c>
      <c r="GM147" t="e">
        <f>'Delivery Calculation'!D212+"AM:!'is"</f>
        <v>#VALUE!</v>
      </c>
      <c r="GN147" t="e">
        <f>'Delivery Calculation'!E212+"AM:!'it"</f>
        <v>#VALUE!</v>
      </c>
      <c r="GO147" s="98" t="e">
        <f>'Delivery Calculation'!F212+"AM:!'iu"</f>
        <v>#VALUE!</v>
      </c>
      <c r="GP147" s="98" t="e">
        <f>'Delivery Calculation'!G212+"AM:!'iv"</f>
        <v>#VALUE!</v>
      </c>
      <c r="GQ147" s="98" t="e">
        <f>'Delivery Calculation'!H212+"AM:!'iw"</f>
        <v>#VALUE!</v>
      </c>
      <c r="GR147" s="98" t="e">
        <f>'Delivery Calculation'!I212+"AM:!'ix"</f>
        <v>#VALUE!</v>
      </c>
      <c r="GS147" s="98" t="e">
        <f>'Delivery Calculation'!J212+"AM:!'iy"</f>
        <v>#VALUE!</v>
      </c>
      <c r="GT147" s="98" t="e">
        <f>'Delivery Calculation'!K212+"AM:!'iz"</f>
        <v>#VALUE!</v>
      </c>
      <c r="GU147" s="98" t="e">
        <f>'Delivery Calculation'!L212+"AM:!'i{"</f>
        <v>#VALUE!</v>
      </c>
      <c r="GV147" s="100" t="e">
        <f>'Delivery Calculation'!M212+"AM:!'i|"</f>
        <v>#VALUE!</v>
      </c>
      <c r="GW147" s="100" t="e">
        <f>'Delivery Calculation'!N212+"AM:!'i}"</f>
        <v>#VALUE!</v>
      </c>
      <c r="GX147" s="100" t="e">
        <f>'Delivery Calculation'!O212+"AM:!'i~"</f>
        <v>#VALUE!</v>
      </c>
      <c r="GY147" s="100" t="e">
        <f>'Delivery Calculation'!P212+"AM:!'j#"</f>
        <v>#VALUE!</v>
      </c>
      <c r="GZ147" s="100" t="e">
        <f>'Delivery Calculation'!Q212+"AM:!'j$"</f>
        <v>#VALUE!</v>
      </c>
      <c r="HA147" s="100" t="e">
        <f>'Delivery Calculation'!R212+"AM:!'j%"</f>
        <v>#VALUE!</v>
      </c>
      <c r="HB147" s="100" t="e">
        <f>'Delivery Calculation'!S212+"AM:!'j&amp;"</f>
        <v>#VALUE!</v>
      </c>
      <c r="HC147" s="100" t="e">
        <f>'Delivery Calculation'!T212+"AM:!'j'"</f>
        <v>#VALUE!</v>
      </c>
      <c r="HD147" s="100" t="e">
        <f>'Delivery Calculation'!U212+"AM:!'j("</f>
        <v>#VALUE!</v>
      </c>
      <c r="HE147" s="100" t="e">
        <f>'Delivery Calculation'!V212+"AM:!'j)"</f>
        <v>#VALUE!</v>
      </c>
      <c r="HF147" s="100" t="e">
        <f>'Delivery Calculation'!W212+"AM:!'j."</f>
        <v>#VALUE!</v>
      </c>
      <c r="HG147" s="100" t="e">
        <f>'Delivery Calculation'!X212+"AM:!'j/"</f>
        <v>#VALUE!</v>
      </c>
      <c r="HH147" s="100" t="e">
        <f>'Delivery Calculation'!Y212+"AM:!'j0"</f>
        <v>#VALUE!</v>
      </c>
      <c r="HI147" s="100" t="e">
        <f>'Delivery Calculation'!Z212+"AM:!'j1"</f>
        <v>#VALUE!</v>
      </c>
      <c r="HJ147" s="100" t="e">
        <f>'Delivery Calculation'!AA212+"AM:!'j2"</f>
        <v>#VALUE!</v>
      </c>
      <c r="HK147" s="100" t="e">
        <f>'Delivery Calculation'!AB212+"AM:!'j3"</f>
        <v>#VALUE!</v>
      </c>
      <c r="HL147" s="100" t="e">
        <f>'Delivery Calculation'!AC212+"AM:!'j4"</f>
        <v>#VALUE!</v>
      </c>
      <c r="HM147" s="100" t="e">
        <f>'Delivery Calculation'!AD212+"AM:!'j5"</f>
        <v>#VALUE!</v>
      </c>
      <c r="HN147" s="100" t="e">
        <f>'Delivery Calculation'!AE212+"AM:!'j6"</f>
        <v>#VALUE!</v>
      </c>
      <c r="HO147" s="100" t="e">
        <f>'Delivery Calculation'!AF212+"AM:!'j7"</f>
        <v>#VALUE!</v>
      </c>
      <c r="HP147" s="100" t="e">
        <f>'Delivery Calculation'!AG212+"AM:!'j8"</f>
        <v>#VALUE!</v>
      </c>
      <c r="HQ147" s="100" t="e">
        <f>'Delivery Calculation'!AH212+"AM:!'j9"</f>
        <v>#VALUE!</v>
      </c>
      <c r="HR147" s="100" t="e">
        <f>'Delivery Calculation'!AI212+"AM:!'j:"</f>
        <v>#VALUE!</v>
      </c>
      <c r="HS147" s="100" t="e">
        <f>'Delivery Calculation'!AJ212+"AM:!'j;"</f>
        <v>#VALUE!</v>
      </c>
      <c r="HT147" s="100" t="e">
        <f>'Delivery Calculation'!AK212+"AM:!'j&lt;"</f>
        <v>#VALUE!</v>
      </c>
      <c r="HU147" s="100" t="e">
        <f>'Delivery Calculation'!AL212+"AM:!'j="</f>
        <v>#VALUE!</v>
      </c>
      <c r="HV147" s="100" t="e">
        <f>'Delivery Calculation'!AM212+"AM:!'j&gt;"</f>
        <v>#VALUE!</v>
      </c>
      <c r="HW147" s="100" t="e">
        <f>'Delivery Calculation'!AN212+"AM:!'j?"</f>
        <v>#VALUE!</v>
      </c>
      <c r="HX147" s="100" t="e">
        <f>'Delivery Calculation'!AO212+"AM:!'j@"</f>
        <v>#VALUE!</v>
      </c>
      <c r="HY147" s="100" t="e">
        <f>'Delivery Calculation'!AP212+"AM:!'jA"</f>
        <v>#VALUE!</v>
      </c>
      <c r="HZ147" s="100" t="e">
        <f>'Delivery Calculation'!AQ212+"AM:!'jB"</f>
        <v>#VALUE!</v>
      </c>
      <c r="IA147" s="100" t="e">
        <f>'Delivery Calculation'!AR212+"AM:!'jC"</f>
        <v>#VALUE!</v>
      </c>
      <c r="IB147" s="100" t="e">
        <f>'Delivery Calculation'!AS212+"AM:!'jD"</f>
        <v>#VALUE!</v>
      </c>
      <c r="IC147" s="100" t="e">
        <f>'Delivery Calculation'!AT212+"AM:!'jE"</f>
        <v>#VALUE!</v>
      </c>
      <c r="ID147" s="100" t="e">
        <f>'Delivery Calculation'!AU212+"AM:!'jF"</f>
        <v>#VALUE!</v>
      </c>
      <c r="IE147" s="100" t="e">
        <f>'Delivery Calculation'!AV212+"AM:!'jG"</f>
        <v>#VALUE!</v>
      </c>
      <c r="IF147" s="100" t="e">
        <f>'Delivery Calculation'!AW212+"AM:!'jH"</f>
        <v>#VALUE!</v>
      </c>
      <c r="IG147" s="100" t="e">
        <f>'Delivery Calculation'!AX212+"AM:!'jI"</f>
        <v>#VALUE!</v>
      </c>
      <c r="IH147" t="e">
        <f>'Delivery Calculation'!AY212+"AM:!'jJ"</f>
        <v>#VALUE!</v>
      </c>
      <c r="II147" t="e">
        <f>'Delivery Calculation'!A213+"AM:!'jK"</f>
        <v>#VALUE!</v>
      </c>
      <c r="IJ147" t="e">
        <f>'Delivery Calculation'!B213+"AM:!'jL"</f>
        <v>#VALUE!</v>
      </c>
      <c r="IK147" t="e">
        <f>'Delivery Calculation'!C213+"AM:!'jM"</f>
        <v>#VALUE!</v>
      </c>
      <c r="IL147" t="e">
        <f>'Delivery Calculation'!D213+"AM:!'jN"</f>
        <v>#VALUE!</v>
      </c>
      <c r="IM147" t="e">
        <f>'Delivery Calculation'!E213+"AM:!'jO"</f>
        <v>#VALUE!</v>
      </c>
      <c r="IN147" s="98" t="e">
        <f>'Delivery Calculation'!F213+"AM:!'jP"</f>
        <v>#VALUE!</v>
      </c>
      <c r="IO147" s="98" t="e">
        <f>'Delivery Calculation'!G213+"AM:!'jQ"</f>
        <v>#VALUE!</v>
      </c>
      <c r="IP147" s="98" t="e">
        <f>'Delivery Calculation'!H213+"AM:!'jR"</f>
        <v>#VALUE!</v>
      </c>
      <c r="IQ147" s="98" t="e">
        <f>'Delivery Calculation'!I213+"AM:!'jS"</f>
        <v>#VALUE!</v>
      </c>
      <c r="IR147" s="98" t="e">
        <f>'Delivery Calculation'!J213+"AM:!'jT"</f>
        <v>#VALUE!</v>
      </c>
      <c r="IS147" s="98" t="e">
        <f>'Delivery Calculation'!K213+"AM:!'jU"</f>
        <v>#VALUE!</v>
      </c>
      <c r="IT147" s="98" t="e">
        <f>'Delivery Calculation'!L213+"AM:!'jV"</f>
        <v>#VALUE!</v>
      </c>
      <c r="IU147" s="100" t="e">
        <f>'Delivery Calculation'!M213+"AM:!'jW"</f>
        <v>#VALUE!</v>
      </c>
      <c r="IV147" s="100" t="e">
        <f>'Delivery Calculation'!N213+"AM:!'jX"</f>
        <v>#VALUE!</v>
      </c>
    </row>
    <row r="148" spans="6:256">
      <c r="F148" s="100" t="e">
        <f>'Delivery Calculation'!O213+"AM:!'jY"</f>
        <v>#VALUE!</v>
      </c>
      <c r="G148" s="100" t="e">
        <f>'Delivery Calculation'!P213+"AM:!'jZ"</f>
        <v>#VALUE!</v>
      </c>
      <c r="H148" s="100" t="e">
        <f>'Delivery Calculation'!Q213+"AM:!'j["</f>
        <v>#VALUE!</v>
      </c>
      <c r="I148" s="100" t="e">
        <f>'Delivery Calculation'!R213+"AM:!'j\"</f>
        <v>#VALUE!</v>
      </c>
      <c r="J148" s="100" t="e">
        <f>'Delivery Calculation'!S213+"AM:!'j]"</f>
        <v>#VALUE!</v>
      </c>
      <c r="K148" s="100" t="e">
        <f>'Delivery Calculation'!T213+"AM:!'j^"</f>
        <v>#VALUE!</v>
      </c>
      <c r="L148" s="100" t="e">
        <f>'Delivery Calculation'!U213+"AM:!'j_"</f>
        <v>#VALUE!</v>
      </c>
      <c r="M148" s="100" t="e">
        <f>'Delivery Calculation'!V213+"AM:!'j`"</f>
        <v>#VALUE!</v>
      </c>
      <c r="N148" s="100" t="e">
        <f>'Delivery Calculation'!W213+"AM:!'ja"</f>
        <v>#VALUE!</v>
      </c>
      <c r="O148" s="100" t="e">
        <f>'Delivery Calculation'!X213+"AM:!'jb"</f>
        <v>#VALUE!</v>
      </c>
      <c r="P148" s="100" t="e">
        <f>'Delivery Calculation'!Y213+"AM:!'jc"</f>
        <v>#VALUE!</v>
      </c>
      <c r="Q148" s="100" t="e">
        <f>'Delivery Calculation'!Z213+"AM:!'jd"</f>
        <v>#VALUE!</v>
      </c>
      <c r="R148" s="100" t="e">
        <f>'Delivery Calculation'!AA213+"AM:!'je"</f>
        <v>#VALUE!</v>
      </c>
      <c r="S148" s="100" t="e">
        <f>'Delivery Calculation'!AB213+"AM:!'jf"</f>
        <v>#VALUE!</v>
      </c>
      <c r="T148" s="100" t="e">
        <f>'Delivery Calculation'!AC213+"AM:!'jg"</f>
        <v>#VALUE!</v>
      </c>
      <c r="U148" s="100" t="e">
        <f>'Delivery Calculation'!AD213+"AM:!'jh"</f>
        <v>#VALUE!</v>
      </c>
      <c r="V148" s="100" t="e">
        <f>'Delivery Calculation'!AE213+"AM:!'ji"</f>
        <v>#VALUE!</v>
      </c>
      <c r="W148" s="100" t="e">
        <f>'Delivery Calculation'!AF213+"AM:!'jj"</f>
        <v>#VALUE!</v>
      </c>
      <c r="X148" s="100" t="e">
        <f>'Delivery Calculation'!AG213+"AM:!'jk"</f>
        <v>#VALUE!</v>
      </c>
      <c r="Y148" s="100" t="e">
        <f>'Delivery Calculation'!AH213+"AM:!'jl"</f>
        <v>#VALUE!</v>
      </c>
      <c r="Z148" s="100" t="e">
        <f>'Delivery Calculation'!AI213+"AM:!'jm"</f>
        <v>#VALUE!</v>
      </c>
      <c r="AA148" s="100" t="e">
        <f>'Delivery Calculation'!AJ213+"AM:!'jn"</f>
        <v>#VALUE!</v>
      </c>
      <c r="AB148" s="100" t="e">
        <f>'Delivery Calculation'!AK213+"AM:!'jo"</f>
        <v>#VALUE!</v>
      </c>
      <c r="AC148" s="100" t="e">
        <f>'Delivery Calculation'!AL213+"AM:!'jp"</f>
        <v>#VALUE!</v>
      </c>
      <c r="AD148" s="100" t="e">
        <f>'Delivery Calculation'!AM213+"AM:!'jq"</f>
        <v>#VALUE!</v>
      </c>
      <c r="AE148" s="100" t="e">
        <f>'Delivery Calculation'!AN213+"AM:!'jr"</f>
        <v>#VALUE!</v>
      </c>
      <c r="AF148" s="100" t="e">
        <f>'Delivery Calculation'!AO213+"AM:!'js"</f>
        <v>#VALUE!</v>
      </c>
      <c r="AG148" s="100" t="e">
        <f>'Delivery Calculation'!AP213+"AM:!'jt"</f>
        <v>#VALUE!</v>
      </c>
      <c r="AH148" s="100" t="e">
        <f>'Delivery Calculation'!AQ213+"AM:!'ju"</f>
        <v>#VALUE!</v>
      </c>
      <c r="AI148" s="100" t="e">
        <f>'Delivery Calculation'!AR213+"AM:!'jv"</f>
        <v>#VALUE!</v>
      </c>
      <c r="AJ148" s="100" t="e">
        <f>'Delivery Calculation'!AS213+"AM:!'jw"</f>
        <v>#VALUE!</v>
      </c>
      <c r="AK148" s="100" t="e">
        <f>'Delivery Calculation'!AT213+"AM:!'jx"</f>
        <v>#VALUE!</v>
      </c>
      <c r="AL148" s="100" t="e">
        <f>'Delivery Calculation'!AU213+"AM:!'jy"</f>
        <v>#VALUE!</v>
      </c>
      <c r="AM148" s="100" t="e">
        <f>'Delivery Calculation'!AV213+"AM:!'jz"</f>
        <v>#VALUE!</v>
      </c>
      <c r="AN148" s="100" t="e">
        <f>'Delivery Calculation'!AW213+"AM:!'j{"</f>
        <v>#VALUE!</v>
      </c>
      <c r="AO148" s="100" t="e">
        <f>'Delivery Calculation'!AX213+"AM:!'j|"</f>
        <v>#VALUE!</v>
      </c>
      <c r="AP148" t="e">
        <f>'Delivery Calculation'!AY213+"AM:!'j}"</f>
        <v>#VALUE!</v>
      </c>
      <c r="AQ148" t="e">
        <f>'Delivery Calculation'!A214+"AM:!'j~"</f>
        <v>#VALUE!</v>
      </c>
      <c r="AR148" t="e">
        <f>'Delivery Calculation'!B214+"AM:!'k#"</f>
        <v>#VALUE!</v>
      </c>
      <c r="AS148" t="e">
        <f>'Delivery Calculation'!C214+"AM:!'k$"</f>
        <v>#VALUE!</v>
      </c>
      <c r="AT148" t="e">
        <f>'Delivery Calculation'!D214+"AM:!'k%"</f>
        <v>#VALUE!</v>
      </c>
      <c r="AU148" t="e">
        <f>'Delivery Calculation'!E214+"AM:!'k&amp;"</f>
        <v>#VALUE!</v>
      </c>
      <c r="AV148" s="98" t="e">
        <f>'Delivery Calculation'!F214+"AM:!'k'"</f>
        <v>#VALUE!</v>
      </c>
      <c r="AW148" s="98" t="e">
        <f>'Delivery Calculation'!G214+"AM:!'k("</f>
        <v>#VALUE!</v>
      </c>
      <c r="AX148" s="98" t="e">
        <f>'Delivery Calculation'!H214+"AM:!'k)"</f>
        <v>#VALUE!</v>
      </c>
      <c r="AY148" s="98" t="e">
        <f>'Delivery Calculation'!I214+"AM:!'k."</f>
        <v>#VALUE!</v>
      </c>
      <c r="AZ148" s="98" t="e">
        <f>'Delivery Calculation'!J214+"AM:!'k/"</f>
        <v>#VALUE!</v>
      </c>
      <c r="BA148" s="98" t="e">
        <f>'Delivery Calculation'!K214+"AM:!'k0"</f>
        <v>#VALUE!</v>
      </c>
      <c r="BB148" s="98" t="e">
        <f>'Delivery Calculation'!L214+"AM:!'k1"</f>
        <v>#VALUE!</v>
      </c>
      <c r="BC148" s="100" t="e">
        <f>'Delivery Calculation'!M214+"AM:!'k2"</f>
        <v>#VALUE!</v>
      </c>
      <c r="BD148" s="100" t="e">
        <f>'Delivery Calculation'!N214+"AM:!'k3"</f>
        <v>#VALUE!</v>
      </c>
      <c r="BE148" s="100" t="e">
        <f>'Delivery Calculation'!O214+"AM:!'k4"</f>
        <v>#VALUE!</v>
      </c>
      <c r="BF148" s="100" t="e">
        <f>'Delivery Calculation'!P214+"AM:!'k5"</f>
        <v>#VALUE!</v>
      </c>
      <c r="BG148" s="100" t="e">
        <f>'Delivery Calculation'!Q214+"AM:!'k6"</f>
        <v>#VALUE!</v>
      </c>
      <c r="BH148" s="100" t="e">
        <f>'Delivery Calculation'!R214+"AM:!'k7"</f>
        <v>#VALUE!</v>
      </c>
      <c r="BI148" s="100" t="e">
        <f>'Delivery Calculation'!S214+"AM:!'k8"</f>
        <v>#VALUE!</v>
      </c>
      <c r="BJ148" s="100" t="e">
        <f>'Delivery Calculation'!T214+"AM:!'k9"</f>
        <v>#VALUE!</v>
      </c>
      <c r="BK148" s="100" t="e">
        <f>'Delivery Calculation'!U214+"AM:!'k:"</f>
        <v>#VALUE!</v>
      </c>
      <c r="BL148" s="100" t="e">
        <f>'Delivery Calculation'!V214+"AM:!'k;"</f>
        <v>#VALUE!</v>
      </c>
      <c r="BM148" s="100" t="e">
        <f>'Delivery Calculation'!W214+"AM:!'k&lt;"</f>
        <v>#VALUE!</v>
      </c>
      <c r="BN148" s="100" t="e">
        <f>'Delivery Calculation'!X214+"AM:!'k="</f>
        <v>#VALUE!</v>
      </c>
      <c r="BO148" s="100" t="e">
        <f>'Delivery Calculation'!Y214+"AM:!'k&gt;"</f>
        <v>#VALUE!</v>
      </c>
      <c r="BP148" s="100" t="e">
        <f>'Delivery Calculation'!Z214+"AM:!'k?"</f>
        <v>#VALUE!</v>
      </c>
      <c r="BQ148" s="100" t="e">
        <f>'Delivery Calculation'!AA214+"AM:!'k@"</f>
        <v>#VALUE!</v>
      </c>
      <c r="BR148" s="100" t="e">
        <f>'Delivery Calculation'!AB214+"AM:!'kA"</f>
        <v>#VALUE!</v>
      </c>
      <c r="BS148" s="100" t="e">
        <f>'Delivery Calculation'!AC214+"AM:!'kB"</f>
        <v>#VALUE!</v>
      </c>
      <c r="BT148" s="100" t="e">
        <f>'Delivery Calculation'!AD214+"AM:!'kC"</f>
        <v>#VALUE!</v>
      </c>
      <c r="BU148" s="100" t="e">
        <f>'Delivery Calculation'!AE214+"AM:!'kD"</f>
        <v>#VALUE!</v>
      </c>
      <c r="BV148" s="100" t="e">
        <f>'Delivery Calculation'!AF214+"AM:!'kE"</f>
        <v>#VALUE!</v>
      </c>
      <c r="BW148" s="100" t="e">
        <f>'Delivery Calculation'!AG214+"AM:!'kF"</f>
        <v>#VALUE!</v>
      </c>
      <c r="BX148" s="100" t="e">
        <f>'Delivery Calculation'!AH214+"AM:!'kG"</f>
        <v>#VALUE!</v>
      </c>
      <c r="BY148" s="100" t="e">
        <f>'Delivery Calculation'!AI214+"AM:!'kH"</f>
        <v>#VALUE!</v>
      </c>
      <c r="BZ148" s="100" t="e">
        <f>'Delivery Calculation'!AJ214+"AM:!'kI"</f>
        <v>#VALUE!</v>
      </c>
      <c r="CA148" s="100" t="e">
        <f>'Delivery Calculation'!AK214+"AM:!'kJ"</f>
        <v>#VALUE!</v>
      </c>
      <c r="CB148" s="100" t="e">
        <f>'Delivery Calculation'!AL214+"AM:!'kK"</f>
        <v>#VALUE!</v>
      </c>
      <c r="CC148" s="100" t="e">
        <f>'Delivery Calculation'!AM214+"AM:!'kL"</f>
        <v>#VALUE!</v>
      </c>
      <c r="CD148" s="100" t="e">
        <f>'Delivery Calculation'!AN214+"AM:!'kM"</f>
        <v>#VALUE!</v>
      </c>
      <c r="CE148" s="100" t="e">
        <f>'Delivery Calculation'!AO214+"AM:!'kN"</f>
        <v>#VALUE!</v>
      </c>
      <c r="CF148" s="100" t="e">
        <f>'Delivery Calculation'!AP214+"AM:!'kO"</f>
        <v>#VALUE!</v>
      </c>
      <c r="CG148" s="100" t="e">
        <f>'Delivery Calculation'!AQ214+"AM:!'kP"</f>
        <v>#VALUE!</v>
      </c>
      <c r="CH148" s="100" t="e">
        <f>'Delivery Calculation'!AR214+"AM:!'kQ"</f>
        <v>#VALUE!</v>
      </c>
      <c r="CI148" s="100" t="e">
        <f>'Delivery Calculation'!AS214+"AM:!'kR"</f>
        <v>#VALUE!</v>
      </c>
      <c r="CJ148" s="100" t="e">
        <f>'Delivery Calculation'!AT214+"AM:!'kS"</f>
        <v>#VALUE!</v>
      </c>
      <c r="CK148" s="100" t="e">
        <f>'Delivery Calculation'!AU214+"AM:!'kT"</f>
        <v>#VALUE!</v>
      </c>
      <c r="CL148" s="100" t="e">
        <f>'Delivery Calculation'!AV214+"AM:!'kU"</f>
        <v>#VALUE!</v>
      </c>
      <c r="CM148" s="100" t="e">
        <f>'Delivery Calculation'!AW214+"AM:!'kV"</f>
        <v>#VALUE!</v>
      </c>
      <c r="CN148" s="100" t="e">
        <f>'Delivery Calculation'!AX214+"AM:!'kW"</f>
        <v>#VALUE!</v>
      </c>
      <c r="CO148" t="e">
        <f>'Delivery Calculation'!AY214+"AM:!'kX"</f>
        <v>#VALUE!</v>
      </c>
      <c r="CP148" t="e">
        <f>'Delivery Calculation'!A215+"AM:!'kY"</f>
        <v>#VALUE!</v>
      </c>
      <c r="CQ148" t="e">
        <f>'Delivery Calculation'!B215+"AM:!'kZ"</f>
        <v>#VALUE!</v>
      </c>
      <c r="CR148" t="e">
        <f>'Delivery Calculation'!C215+"AM:!'k["</f>
        <v>#VALUE!</v>
      </c>
      <c r="CS148" t="e">
        <f>'Delivery Calculation'!D215+"AM:!'k\"</f>
        <v>#VALUE!</v>
      </c>
      <c r="CT148" t="e">
        <f>'Delivery Calculation'!E215+"AM:!'k]"</f>
        <v>#VALUE!</v>
      </c>
      <c r="CU148" s="98" t="e">
        <f>'Delivery Calculation'!F215+"AM:!'k^"</f>
        <v>#VALUE!</v>
      </c>
      <c r="CV148" s="98" t="e">
        <f>'Delivery Calculation'!G215+"AM:!'k_"</f>
        <v>#VALUE!</v>
      </c>
      <c r="CW148" s="98" t="e">
        <f>'Delivery Calculation'!H215+"AM:!'k`"</f>
        <v>#VALUE!</v>
      </c>
      <c r="CX148" s="98" t="e">
        <f>'Delivery Calculation'!I215+"AM:!'ka"</f>
        <v>#VALUE!</v>
      </c>
      <c r="CY148" s="98" t="e">
        <f>'Delivery Calculation'!J215+"AM:!'kb"</f>
        <v>#VALUE!</v>
      </c>
      <c r="CZ148" s="98" t="e">
        <f>'Delivery Calculation'!K215+"AM:!'kc"</f>
        <v>#VALUE!</v>
      </c>
      <c r="DA148" s="98" t="e">
        <f>'Delivery Calculation'!L215+"AM:!'kd"</f>
        <v>#VALUE!</v>
      </c>
      <c r="DB148" s="100" t="e">
        <f>'Delivery Calculation'!M215+"AM:!'ke"</f>
        <v>#VALUE!</v>
      </c>
      <c r="DC148" s="100" t="e">
        <f>'Delivery Calculation'!N215+"AM:!'kf"</f>
        <v>#VALUE!</v>
      </c>
      <c r="DD148" s="100" t="e">
        <f>'Delivery Calculation'!O215+"AM:!'kg"</f>
        <v>#VALUE!</v>
      </c>
      <c r="DE148" s="100" t="e">
        <f>'Delivery Calculation'!P215+"AM:!'kh"</f>
        <v>#VALUE!</v>
      </c>
      <c r="DF148" s="100" t="e">
        <f>'Delivery Calculation'!Q215+"AM:!'ki"</f>
        <v>#VALUE!</v>
      </c>
      <c r="DG148" s="100" t="e">
        <f>'Delivery Calculation'!R215+"AM:!'kj"</f>
        <v>#VALUE!</v>
      </c>
      <c r="DH148" s="100" t="e">
        <f>'Delivery Calculation'!S215+"AM:!'kk"</f>
        <v>#VALUE!</v>
      </c>
      <c r="DI148" s="100" t="e">
        <f>'Delivery Calculation'!T215+"AM:!'kl"</f>
        <v>#VALUE!</v>
      </c>
      <c r="DJ148" s="100" t="e">
        <f>'Delivery Calculation'!U215+"AM:!'km"</f>
        <v>#VALUE!</v>
      </c>
      <c r="DK148" s="100" t="e">
        <f>'Delivery Calculation'!V215+"AM:!'kn"</f>
        <v>#VALUE!</v>
      </c>
      <c r="DL148" s="100" t="e">
        <f>'Delivery Calculation'!W215+"AM:!'ko"</f>
        <v>#VALUE!</v>
      </c>
      <c r="DM148" s="100" t="e">
        <f>'Delivery Calculation'!X215+"AM:!'kp"</f>
        <v>#VALUE!</v>
      </c>
      <c r="DN148" s="100" t="e">
        <f>'Delivery Calculation'!Y215+"AM:!'kq"</f>
        <v>#VALUE!</v>
      </c>
      <c r="DO148" s="100" t="e">
        <f>'Delivery Calculation'!Z215+"AM:!'kr"</f>
        <v>#VALUE!</v>
      </c>
      <c r="DP148" s="100" t="e">
        <f>'Delivery Calculation'!AA215+"AM:!'ks"</f>
        <v>#VALUE!</v>
      </c>
      <c r="DQ148" s="100" t="e">
        <f>'Delivery Calculation'!AB215+"AM:!'kt"</f>
        <v>#VALUE!</v>
      </c>
      <c r="DR148" s="100" t="e">
        <f>'Delivery Calculation'!AC215+"AM:!'ku"</f>
        <v>#VALUE!</v>
      </c>
      <c r="DS148" s="100" t="e">
        <f>'Delivery Calculation'!AD215+"AM:!'kv"</f>
        <v>#VALUE!</v>
      </c>
      <c r="DT148" s="100" t="e">
        <f>'Delivery Calculation'!AE215+"AM:!'kw"</f>
        <v>#VALUE!</v>
      </c>
      <c r="DU148" s="100" t="e">
        <f>'Delivery Calculation'!AF215+"AM:!'kx"</f>
        <v>#VALUE!</v>
      </c>
      <c r="DV148" s="100" t="e">
        <f>'Delivery Calculation'!AG215+"AM:!'ky"</f>
        <v>#VALUE!</v>
      </c>
      <c r="DW148" s="100" t="e">
        <f>'Delivery Calculation'!AH215+"AM:!'kz"</f>
        <v>#VALUE!</v>
      </c>
      <c r="DX148" s="100" t="e">
        <f>'Delivery Calculation'!AI215+"AM:!'k{"</f>
        <v>#VALUE!</v>
      </c>
      <c r="DY148" s="100" t="e">
        <f>'Delivery Calculation'!AJ215+"AM:!'k|"</f>
        <v>#VALUE!</v>
      </c>
      <c r="DZ148" s="100" t="e">
        <f>'Delivery Calculation'!AK215+"AM:!'k}"</f>
        <v>#VALUE!</v>
      </c>
      <c r="EA148" s="100" t="e">
        <f>'Delivery Calculation'!AL215+"AM:!'k~"</f>
        <v>#VALUE!</v>
      </c>
      <c r="EB148" s="100" t="e">
        <f>'Delivery Calculation'!AM215+"AM:!'l#"</f>
        <v>#VALUE!</v>
      </c>
      <c r="EC148" s="100" t="e">
        <f>'Delivery Calculation'!AN215+"AM:!'l$"</f>
        <v>#VALUE!</v>
      </c>
      <c r="ED148" s="100" t="e">
        <f>'Delivery Calculation'!AO215+"AM:!'l%"</f>
        <v>#VALUE!</v>
      </c>
      <c r="EE148" s="100" t="e">
        <f>'Delivery Calculation'!AP215+"AM:!'l&amp;"</f>
        <v>#VALUE!</v>
      </c>
      <c r="EF148" s="100" t="e">
        <f>'Delivery Calculation'!AQ215+"AM:!'l'"</f>
        <v>#VALUE!</v>
      </c>
      <c r="EG148" s="100" t="e">
        <f>'Delivery Calculation'!AR215+"AM:!'l("</f>
        <v>#VALUE!</v>
      </c>
      <c r="EH148" s="100" t="e">
        <f>'Delivery Calculation'!AS215+"AM:!'l)"</f>
        <v>#VALUE!</v>
      </c>
      <c r="EI148" s="100" t="e">
        <f>'Delivery Calculation'!AT215+"AM:!'l."</f>
        <v>#VALUE!</v>
      </c>
      <c r="EJ148" s="100" t="e">
        <f>'Delivery Calculation'!AU215+"AM:!'l/"</f>
        <v>#VALUE!</v>
      </c>
      <c r="EK148" s="100" t="e">
        <f>'Delivery Calculation'!AV215+"AM:!'l0"</f>
        <v>#VALUE!</v>
      </c>
      <c r="EL148" s="100" t="e">
        <f>'Delivery Calculation'!AW215+"AM:!'l1"</f>
        <v>#VALUE!</v>
      </c>
      <c r="EM148" s="100" t="e">
        <f>'Delivery Calculation'!AX215+"AM:!'l2"</f>
        <v>#VALUE!</v>
      </c>
      <c r="EN148" t="e">
        <f>'Delivery Calculation'!AY215+"AM:!'l3"</f>
        <v>#VALUE!</v>
      </c>
      <c r="EO148" t="e">
        <f>'Delivery Calculation'!A216+"AM:!'l4"</f>
        <v>#VALUE!</v>
      </c>
      <c r="EP148" t="e">
        <f>'Delivery Calculation'!B216+"AM:!'l5"</f>
        <v>#VALUE!</v>
      </c>
      <c r="EQ148" t="e">
        <f>'Delivery Calculation'!C216+"AM:!'l6"</f>
        <v>#VALUE!</v>
      </c>
      <c r="ER148" t="e">
        <f>'Delivery Calculation'!D216+"AM:!'l7"</f>
        <v>#VALUE!</v>
      </c>
      <c r="ES148" t="e">
        <f>'Delivery Calculation'!E216+"AM:!'l8"</f>
        <v>#VALUE!</v>
      </c>
      <c r="ET148" s="98" t="e">
        <f>'Delivery Calculation'!F216+"AM:!'l9"</f>
        <v>#VALUE!</v>
      </c>
      <c r="EU148" s="98" t="e">
        <f>'Delivery Calculation'!G216+"AM:!'l:"</f>
        <v>#VALUE!</v>
      </c>
      <c r="EV148" s="98" t="e">
        <f>'Delivery Calculation'!H216+"AM:!'l;"</f>
        <v>#VALUE!</v>
      </c>
      <c r="EW148" s="98" t="e">
        <f>'Delivery Calculation'!I216+"AM:!'l&lt;"</f>
        <v>#VALUE!</v>
      </c>
      <c r="EX148" s="98" t="e">
        <f>'Delivery Calculation'!J216+"AM:!'l="</f>
        <v>#VALUE!</v>
      </c>
      <c r="EY148" s="98" t="e">
        <f>'Delivery Calculation'!K216+"AM:!'l&gt;"</f>
        <v>#VALUE!</v>
      </c>
      <c r="EZ148" s="98" t="e">
        <f>'Delivery Calculation'!L216+"AM:!'l?"</f>
        <v>#VALUE!</v>
      </c>
      <c r="FA148" s="100" t="e">
        <f>'Delivery Calculation'!M216+"AM:!'l@"</f>
        <v>#VALUE!</v>
      </c>
      <c r="FB148" s="100" t="e">
        <f>'Delivery Calculation'!N216+"AM:!'lA"</f>
        <v>#VALUE!</v>
      </c>
      <c r="FC148" s="100" t="e">
        <f>'Delivery Calculation'!O216+"AM:!'lB"</f>
        <v>#VALUE!</v>
      </c>
      <c r="FD148" s="100" t="e">
        <f>'Delivery Calculation'!P216+"AM:!'lC"</f>
        <v>#VALUE!</v>
      </c>
      <c r="FE148" s="100" t="e">
        <f>'Delivery Calculation'!Q216+"AM:!'lD"</f>
        <v>#VALUE!</v>
      </c>
      <c r="FF148" s="100" t="e">
        <f>'Delivery Calculation'!R216+"AM:!'lE"</f>
        <v>#VALUE!</v>
      </c>
      <c r="FG148" s="100" t="e">
        <f>'Delivery Calculation'!S216+"AM:!'lF"</f>
        <v>#VALUE!</v>
      </c>
      <c r="FH148" s="100" t="e">
        <f>'Delivery Calculation'!T216+"AM:!'lG"</f>
        <v>#VALUE!</v>
      </c>
      <c r="FI148" s="100" t="e">
        <f>'Delivery Calculation'!U216+"AM:!'lH"</f>
        <v>#VALUE!</v>
      </c>
      <c r="FJ148" s="100" t="e">
        <f>'Delivery Calculation'!V216+"AM:!'lI"</f>
        <v>#VALUE!</v>
      </c>
      <c r="FK148" s="100" t="e">
        <f>'Delivery Calculation'!W216+"AM:!'lJ"</f>
        <v>#VALUE!</v>
      </c>
      <c r="FL148" s="100" t="e">
        <f>'Delivery Calculation'!X216+"AM:!'lK"</f>
        <v>#VALUE!</v>
      </c>
      <c r="FM148" s="100" t="e">
        <f>'Delivery Calculation'!Y216+"AM:!'lL"</f>
        <v>#VALUE!</v>
      </c>
      <c r="FN148" s="100" t="e">
        <f>'Delivery Calculation'!Z216+"AM:!'lM"</f>
        <v>#VALUE!</v>
      </c>
      <c r="FO148" s="100" t="e">
        <f>'Delivery Calculation'!AA216+"AM:!'lN"</f>
        <v>#VALUE!</v>
      </c>
      <c r="FP148" s="100" t="e">
        <f>'Delivery Calculation'!AB216+"AM:!'lO"</f>
        <v>#VALUE!</v>
      </c>
      <c r="FQ148" s="100" t="e">
        <f>'Delivery Calculation'!AC216+"AM:!'lP"</f>
        <v>#VALUE!</v>
      </c>
      <c r="FR148" s="100" t="e">
        <f>'Delivery Calculation'!AD216+"AM:!'lQ"</f>
        <v>#VALUE!</v>
      </c>
      <c r="FS148" s="100" t="e">
        <f>'Delivery Calculation'!AE216+"AM:!'lR"</f>
        <v>#VALUE!</v>
      </c>
      <c r="FT148" s="100" t="e">
        <f>'Delivery Calculation'!AF216+"AM:!'lS"</f>
        <v>#VALUE!</v>
      </c>
      <c r="FU148" s="100" t="e">
        <f>'Delivery Calculation'!AG216+"AM:!'lT"</f>
        <v>#VALUE!</v>
      </c>
      <c r="FV148" s="100" t="e">
        <f>'Delivery Calculation'!AH216+"AM:!'lU"</f>
        <v>#VALUE!</v>
      </c>
      <c r="FW148" s="100" t="e">
        <f>'Delivery Calculation'!AI216+"AM:!'lV"</f>
        <v>#VALUE!</v>
      </c>
      <c r="FX148" s="100" t="e">
        <f>'Delivery Calculation'!AJ216+"AM:!'lW"</f>
        <v>#VALUE!</v>
      </c>
      <c r="FY148" s="100" t="e">
        <f>'Delivery Calculation'!AK216+"AM:!'lX"</f>
        <v>#VALUE!</v>
      </c>
      <c r="FZ148" s="100" t="e">
        <f>'Delivery Calculation'!AL216+"AM:!'lY"</f>
        <v>#VALUE!</v>
      </c>
      <c r="GA148" s="100" t="e">
        <f>'Delivery Calculation'!AM216+"AM:!'lZ"</f>
        <v>#VALUE!</v>
      </c>
      <c r="GB148" s="100" t="e">
        <f>'Delivery Calculation'!AN216+"AM:!'l["</f>
        <v>#VALUE!</v>
      </c>
      <c r="GC148" s="100" t="e">
        <f>'Delivery Calculation'!AO216+"AM:!'l\"</f>
        <v>#VALUE!</v>
      </c>
      <c r="GD148" s="100" t="e">
        <f>'Delivery Calculation'!AP216+"AM:!'l]"</f>
        <v>#VALUE!</v>
      </c>
      <c r="GE148" s="100" t="e">
        <f>'Delivery Calculation'!AQ216+"AM:!'l^"</f>
        <v>#VALUE!</v>
      </c>
      <c r="GF148" s="100" t="e">
        <f>'Delivery Calculation'!AR216+"AM:!'l_"</f>
        <v>#VALUE!</v>
      </c>
      <c r="GG148" s="100" t="e">
        <f>'Delivery Calculation'!AS216+"AM:!'l`"</f>
        <v>#VALUE!</v>
      </c>
      <c r="GH148" s="100" t="e">
        <f>'Delivery Calculation'!AT216+"AM:!'la"</f>
        <v>#VALUE!</v>
      </c>
      <c r="GI148" s="100" t="e">
        <f>'Delivery Calculation'!AU216+"AM:!'lb"</f>
        <v>#VALUE!</v>
      </c>
      <c r="GJ148" s="100" t="e">
        <f>'Delivery Calculation'!AV216+"AM:!'lc"</f>
        <v>#VALUE!</v>
      </c>
      <c r="GK148" s="100" t="e">
        <f>'Delivery Calculation'!AW216+"AM:!'ld"</f>
        <v>#VALUE!</v>
      </c>
      <c r="GL148" s="100" t="e">
        <f>'Delivery Calculation'!AX216+"AM:!'le"</f>
        <v>#VALUE!</v>
      </c>
      <c r="GM148" t="e">
        <f>'Delivery Calculation'!AY216+"AM:!'lf"</f>
        <v>#VALUE!</v>
      </c>
      <c r="GN148" t="e">
        <f>'Delivery Calculation'!A217+"AM:!'lg"</f>
        <v>#VALUE!</v>
      </c>
      <c r="GO148" t="e">
        <f>'Delivery Calculation'!B217+"AM:!'lh"</f>
        <v>#VALUE!</v>
      </c>
      <c r="GP148" t="e">
        <f>'Delivery Calculation'!C217+"AM:!'li"</f>
        <v>#VALUE!</v>
      </c>
      <c r="GQ148" t="e">
        <f>'Delivery Calculation'!D217+"AM:!'lj"</f>
        <v>#VALUE!</v>
      </c>
      <c r="GR148" t="e">
        <f>'Delivery Calculation'!E217+"AM:!'lk"</f>
        <v>#VALUE!</v>
      </c>
      <c r="GS148" s="98" t="e">
        <f>'Delivery Calculation'!F217+"AM:!'ll"</f>
        <v>#VALUE!</v>
      </c>
      <c r="GT148" s="98" t="e">
        <f>'Delivery Calculation'!G217+"AM:!'lm"</f>
        <v>#VALUE!</v>
      </c>
      <c r="GU148" s="98" t="e">
        <f>'Delivery Calculation'!H217+"AM:!'ln"</f>
        <v>#VALUE!</v>
      </c>
      <c r="GV148" s="98" t="e">
        <f>'Delivery Calculation'!I217+"AM:!'lo"</f>
        <v>#VALUE!</v>
      </c>
      <c r="GW148" s="98" t="e">
        <f>'Delivery Calculation'!J217+"AM:!'lp"</f>
        <v>#VALUE!</v>
      </c>
      <c r="GX148" s="98" t="e">
        <f>'Delivery Calculation'!K217+"AM:!'lq"</f>
        <v>#VALUE!</v>
      </c>
      <c r="GY148" s="98" t="e">
        <f>'Delivery Calculation'!L217+"AM:!'lr"</f>
        <v>#VALUE!</v>
      </c>
      <c r="GZ148" s="100" t="e">
        <f>'Delivery Calculation'!M217+"AM:!'ls"</f>
        <v>#VALUE!</v>
      </c>
      <c r="HA148" s="100" t="e">
        <f>'Delivery Calculation'!N217+"AM:!'lt"</f>
        <v>#VALUE!</v>
      </c>
      <c r="HB148" s="100" t="e">
        <f>'Delivery Calculation'!O217+"AM:!'lu"</f>
        <v>#VALUE!</v>
      </c>
      <c r="HC148" s="100" t="e">
        <f>'Delivery Calculation'!P217+"AM:!'lv"</f>
        <v>#VALUE!</v>
      </c>
      <c r="HD148" s="100" t="e">
        <f>'Delivery Calculation'!Q217+"AM:!'lw"</f>
        <v>#VALUE!</v>
      </c>
      <c r="HE148" s="100" t="e">
        <f>'Delivery Calculation'!R217+"AM:!'lx"</f>
        <v>#VALUE!</v>
      </c>
      <c r="HF148" s="100" t="e">
        <f>'Delivery Calculation'!S217+"AM:!'ly"</f>
        <v>#VALUE!</v>
      </c>
      <c r="HG148" s="100" t="e">
        <f>'Delivery Calculation'!T217+"AM:!'lz"</f>
        <v>#VALUE!</v>
      </c>
      <c r="HH148" s="100" t="e">
        <f>'Delivery Calculation'!U217+"AM:!'l{"</f>
        <v>#VALUE!</v>
      </c>
      <c r="HI148" s="100" t="e">
        <f>'Delivery Calculation'!V217+"AM:!'l|"</f>
        <v>#VALUE!</v>
      </c>
      <c r="HJ148" s="100" t="e">
        <f>'Delivery Calculation'!W217+"AM:!'l}"</f>
        <v>#VALUE!</v>
      </c>
      <c r="HK148" s="100" t="e">
        <f>'Delivery Calculation'!X217+"AM:!'l~"</f>
        <v>#VALUE!</v>
      </c>
      <c r="HL148" s="100" t="e">
        <f>'Delivery Calculation'!Y217+"AM:!'m#"</f>
        <v>#VALUE!</v>
      </c>
      <c r="HM148" s="100" t="e">
        <f>'Delivery Calculation'!Z217+"AM:!'m$"</f>
        <v>#VALUE!</v>
      </c>
      <c r="HN148" s="100" t="e">
        <f>'Delivery Calculation'!AA217+"AM:!'m%"</f>
        <v>#VALUE!</v>
      </c>
      <c r="HO148" s="100" t="e">
        <f>'Delivery Calculation'!AB217+"AM:!'m&amp;"</f>
        <v>#VALUE!</v>
      </c>
      <c r="HP148" s="100" t="e">
        <f>'Delivery Calculation'!AC217+"AM:!'m'"</f>
        <v>#VALUE!</v>
      </c>
      <c r="HQ148" s="100" t="e">
        <f>'Delivery Calculation'!AD217+"AM:!'m("</f>
        <v>#VALUE!</v>
      </c>
      <c r="HR148" s="100" t="e">
        <f>'Delivery Calculation'!AE217+"AM:!'m)"</f>
        <v>#VALUE!</v>
      </c>
      <c r="HS148" s="100" t="e">
        <f>'Delivery Calculation'!AF217+"AM:!'m."</f>
        <v>#VALUE!</v>
      </c>
      <c r="HT148" s="100" t="e">
        <f>'Delivery Calculation'!AG217+"AM:!'m/"</f>
        <v>#VALUE!</v>
      </c>
      <c r="HU148" s="100" t="e">
        <f>'Delivery Calculation'!AH217+"AM:!'m0"</f>
        <v>#VALUE!</v>
      </c>
      <c r="HV148" s="100" t="e">
        <f>'Delivery Calculation'!AI217+"AM:!'m1"</f>
        <v>#VALUE!</v>
      </c>
      <c r="HW148" s="100" t="e">
        <f>'Delivery Calculation'!AJ217+"AM:!'m2"</f>
        <v>#VALUE!</v>
      </c>
      <c r="HX148" s="100" t="e">
        <f>'Delivery Calculation'!AK217+"AM:!'m3"</f>
        <v>#VALUE!</v>
      </c>
      <c r="HY148" s="100" t="e">
        <f>'Delivery Calculation'!AL217+"AM:!'m4"</f>
        <v>#VALUE!</v>
      </c>
      <c r="HZ148" s="100" t="e">
        <f>'Delivery Calculation'!AM217+"AM:!'m5"</f>
        <v>#VALUE!</v>
      </c>
      <c r="IA148" s="100" t="e">
        <f>'Delivery Calculation'!AN217+"AM:!'m6"</f>
        <v>#VALUE!</v>
      </c>
      <c r="IB148" s="100" t="e">
        <f>'Delivery Calculation'!AO217+"AM:!'m7"</f>
        <v>#VALUE!</v>
      </c>
      <c r="IC148" s="100" t="e">
        <f>'Delivery Calculation'!AP217+"AM:!'m8"</f>
        <v>#VALUE!</v>
      </c>
      <c r="ID148" s="100" t="e">
        <f>'Delivery Calculation'!AQ217+"AM:!'m9"</f>
        <v>#VALUE!</v>
      </c>
      <c r="IE148" s="100" t="e">
        <f>'Delivery Calculation'!AR217+"AM:!'m:"</f>
        <v>#VALUE!</v>
      </c>
      <c r="IF148" s="100" t="e">
        <f>'Delivery Calculation'!AS217+"AM:!'m;"</f>
        <v>#VALUE!</v>
      </c>
      <c r="IG148" s="100" t="e">
        <f>'Delivery Calculation'!AT217+"AM:!'m&lt;"</f>
        <v>#VALUE!</v>
      </c>
      <c r="IH148" s="100" t="e">
        <f>'Delivery Calculation'!AU217+"AM:!'m="</f>
        <v>#VALUE!</v>
      </c>
      <c r="II148" s="100" t="e">
        <f>'Delivery Calculation'!AV217+"AM:!'m&gt;"</f>
        <v>#VALUE!</v>
      </c>
      <c r="IJ148" s="100" t="e">
        <f>'Delivery Calculation'!AW217+"AM:!'m?"</f>
        <v>#VALUE!</v>
      </c>
      <c r="IK148" s="100" t="e">
        <f>'Delivery Calculation'!AX217+"AM:!'m@"</f>
        <v>#VALUE!</v>
      </c>
      <c r="IL148" t="e">
        <f>'Delivery Calculation'!AY217+"AM:!'mA"</f>
        <v>#VALUE!</v>
      </c>
      <c r="IM148" t="e">
        <f>'Delivery Calculation'!A218+"AM:!'mB"</f>
        <v>#VALUE!</v>
      </c>
      <c r="IN148" t="e">
        <f>'Delivery Calculation'!B218+"AM:!'mC"</f>
        <v>#VALUE!</v>
      </c>
      <c r="IO148" t="e">
        <f>'Delivery Calculation'!C218+"AM:!'mD"</f>
        <v>#VALUE!</v>
      </c>
      <c r="IP148" t="e">
        <f>'Delivery Calculation'!D218+"AM:!'mE"</f>
        <v>#VALUE!</v>
      </c>
      <c r="IQ148" t="e">
        <f>'Delivery Calculation'!E218+"AM:!'mF"</f>
        <v>#VALUE!</v>
      </c>
      <c r="IR148" s="98" t="e">
        <f>'Delivery Calculation'!F218+"AM:!'mG"</f>
        <v>#VALUE!</v>
      </c>
      <c r="IS148" s="98" t="e">
        <f>'Delivery Calculation'!G218+"AM:!'mH"</f>
        <v>#VALUE!</v>
      </c>
      <c r="IT148" s="98" t="e">
        <f>'Delivery Calculation'!H218+"AM:!'mI"</f>
        <v>#VALUE!</v>
      </c>
      <c r="IU148" s="98" t="e">
        <f>'Delivery Calculation'!I218+"AM:!'mJ"</f>
        <v>#VALUE!</v>
      </c>
      <c r="IV148" s="98" t="e">
        <f>'Delivery Calculation'!J218+"AM:!'mK"</f>
        <v>#VALUE!</v>
      </c>
    </row>
    <row r="149" spans="6:256">
      <c r="F149" s="98" t="e">
        <f>'Delivery Calculation'!K218+"AM:!'mL"</f>
        <v>#VALUE!</v>
      </c>
      <c r="G149" s="98" t="e">
        <f>'Delivery Calculation'!L218+"AM:!'mM"</f>
        <v>#VALUE!</v>
      </c>
      <c r="H149" s="100" t="e">
        <f>'Delivery Calculation'!M218+"AM:!'mN"</f>
        <v>#VALUE!</v>
      </c>
      <c r="I149" s="100" t="e">
        <f>'Delivery Calculation'!N218+"AM:!'mO"</f>
        <v>#VALUE!</v>
      </c>
      <c r="J149" s="100" t="e">
        <f>'Delivery Calculation'!O218+"AM:!'mP"</f>
        <v>#VALUE!</v>
      </c>
      <c r="K149" s="100" t="e">
        <f>'Delivery Calculation'!P218+"AM:!'mQ"</f>
        <v>#VALUE!</v>
      </c>
      <c r="L149" s="100" t="e">
        <f>'Delivery Calculation'!Q218+"AM:!'mR"</f>
        <v>#VALUE!</v>
      </c>
      <c r="M149" s="100" t="e">
        <f>'Delivery Calculation'!R218+"AM:!'mS"</f>
        <v>#VALUE!</v>
      </c>
      <c r="N149" s="100" t="e">
        <f>'Delivery Calculation'!S218+"AM:!'mT"</f>
        <v>#VALUE!</v>
      </c>
      <c r="O149" s="100" t="e">
        <f>'Delivery Calculation'!T218+"AM:!'mU"</f>
        <v>#VALUE!</v>
      </c>
      <c r="P149" s="100" t="e">
        <f>'Delivery Calculation'!U218+"AM:!'mV"</f>
        <v>#VALUE!</v>
      </c>
      <c r="Q149" s="100" t="e">
        <f>'Delivery Calculation'!V218+"AM:!'mW"</f>
        <v>#VALUE!</v>
      </c>
      <c r="R149" s="100" t="e">
        <f>'Delivery Calculation'!W218+"AM:!'mX"</f>
        <v>#VALUE!</v>
      </c>
      <c r="S149" s="100" t="e">
        <f>'Delivery Calculation'!X218+"AM:!'mY"</f>
        <v>#VALUE!</v>
      </c>
      <c r="T149" s="100" t="e">
        <f>'Delivery Calculation'!Y218+"AM:!'mZ"</f>
        <v>#VALUE!</v>
      </c>
      <c r="U149" s="100" t="e">
        <f>'Delivery Calculation'!Z218+"AM:!'m["</f>
        <v>#VALUE!</v>
      </c>
      <c r="V149" s="100" t="e">
        <f>'Delivery Calculation'!AA218+"AM:!'m\"</f>
        <v>#VALUE!</v>
      </c>
      <c r="W149" s="100" t="e">
        <f>'Delivery Calculation'!AB218+"AM:!'m]"</f>
        <v>#VALUE!</v>
      </c>
      <c r="X149" s="100" t="e">
        <f>'Delivery Calculation'!AC218+"AM:!'m^"</f>
        <v>#VALUE!</v>
      </c>
      <c r="Y149" s="100" t="e">
        <f>'Delivery Calculation'!AD218+"AM:!'m_"</f>
        <v>#VALUE!</v>
      </c>
      <c r="Z149" s="100" t="e">
        <f>'Delivery Calculation'!AE218+"AM:!'m`"</f>
        <v>#VALUE!</v>
      </c>
      <c r="AA149" s="100" t="e">
        <f>'Delivery Calculation'!AF218+"AM:!'ma"</f>
        <v>#VALUE!</v>
      </c>
      <c r="AB149" s="100" t="e">
        <f>'Delivery Calculation'!AG218+"AM:!'mb"</f>
        <v>#VALUE!</v>
      </c>
      <c r="AC149" s="100" t="e">
        <f>'Delivery Calculation'!AH218+"AM:!'mc"</f>
        <v>#VALUE!</v>
      </c>
      <c r="AD149" s="100" t="e">
        <f>'Delivery Calculation'!AI218+"AM:!'md"</f>
        <v>#VALUE!</v>
      </c>
      <c r="AE149" s="100" t="e">
        <f>'Delivery Calculation'!AJ218+"AM:!'me"</f>
        <v>#VALUE!</v>
      </c>
      <c r="AF149" s="100" t="e">
        <f>'Delivery Calculation'!AK218+"AM:!'mf"</f>
        <v>#VALUE!</v>
      </c>
      <c r="AG149" s="100" t="e">
        <f>'Delivery Calculation'!AL218+"AM:!'mg"</f>
        <v>#VALUE!</v>
      </c>
      <c r="AH149" s="100" t="e">
        <f>'Delivery Calculation'!AM218+"AM:!'mh"</f>
        <v>#VALUE!</v>
      </c>
      <c r="AI149" s="100" t="e">
        <f>'Delivery Calculation'!AN218+"AM:!'mi"</f>
        <v>#VALUE!</v>
      </c>
      <c r="AJ149" s="100" t="e">
        <f>'Delivery Calculation'!AO218+"AM:!'mj"</f>
        <v>#VALUE!</v>
      </c>
      <c r="AK149" s="100" t="e">
        <f>'Delivery Calculation'!AP218+"AM:!'mk"</f>
        <v>#VALUE!</v>
      </c>
      <c r="AL149" s="100" t="e">
        <f>'Delivery Calculation'!AQ218+"AM:!'ml"</f>
        <v>#VALUE!</v>
      </c>
      <c r="AM149" s="100" t="e">
        <f>'Delivery Calculation'!AR218+"AM:!'mm"</f>
        <v>#VALUE!</v>
      </c>
      <c r="AN149" s="100" t="e">
        <f>'Delivery Calculation'!AS218+"AM:!'mn"</f>
        <v>#VALUE!</v>
      </c>
      <c r="AO149" s="100" t="e">
        <f>'Delivery Calculation'!AT218+"AM:!'mo"</f>
        <v>#VALUE!</v>
      </c>
      <c r="AP149" s="100" t="e">
        <f>'Delivery Calculation'!AU218+"AM:!'mp"</f>
        <v>#VALUE!</v>
      </c>
      <c r="AQ149" s="100" t="e">
        <f>'Delivery Calculation'!AV218+"AM:!'mq"</f>
        <v>#VALUE!</v>
      </c>
      <c r="AR149" s="100" t="e">
        <f>'Delivery Calculation'!AW218+"AM:!'mr"</f>
        <v>#VALUE!</v>
      </c>
      <c r="AS149" s="100" t="e">
        <f>'Delivery Calculation'!AX218+"AM:!'ms"</f>
        <v>#VALUE!</v>
      </c>
      <c r="AT149" t="e">
        <f>'Delivery Calculation'!AY218+"AM:!'mt"</f>
        <v>#VALUE!</v>
      </c>
      <c r="AU149" t="e">
        <f>'Delivery Calculation'!A219+"AM:!'mu"</f>
        <v>#VALUE!</v>
      </c>
      <c r="AV149" t="e">
        <f>'Delivery Calculation'!B219+"AM:!'mv"</f>
        <v>#VALUE!</v>
      </c>
      <c r="AW149" t="e">
        <f>'Delivery Calculation'!C219+"AM:!'mw"</f>
        <v>#VALUE!</v>
      </c>
      <c r="AX149" t="e">
        <f>'Delivery Calculation'!D219+"AM:!'mx"</f>
        <v>#VALUE!</v>
      </c>
      <c r="AY149" t="e">
        <f>'Delivery Calculation'!E219+"AM:!'my"</f>
        <v>#VALUE!</v>
      </c>
      <c r="AZ149" s="98" t="e">
        <f>'Delivery Calculation'!F219+"AM:!'mz"</f>
        <v>#VALUE!</v>
      </c>
      <c r="BA149" s="98" t="e">
        <f>'Delivery Calculation'!G219+"AM:!'m{"</f>
        <v>#VALUE!</v>
      </c>
      <c r="BB149" s="98" t="e">
        <f>'Delivery Calculation'!H219+"AM:!'m|"</f>
        <v>#VALUE!</v>
      </c>
      <c r="BC149" s="98" t="e">
        <f>'Delivery Calculation'!I219+"AM:!'m}"</f>
        <v>#VALUE!</v>
      </c>
      <c r="BD149" s="98" t="e">
        <f>'Delivery Calculation'!J219+"AM:!'m~"</f>
        <v>#VALUE!</v>
      </c>
      <c r="BE149" s="98" t="e">
        <f>'Delivery Calculation'!K219+"AM:!'n#"</f>
        <v>#VALUE!</v>
      </c>
      <c r="BF149" s="98" t="e">
        <f>'Delivery Calculation'!L219+"AM:!'n$"</f>
        <v>#VALUE!</v>
      </c>
      <c r="BG149" s="100" t="e">
        <f>'Delivery Calculation'!M219+"AM:!'n%"</f>
        <v>#VALUE!</v>
      </c>
      <c r="BH149" s="100" t="e">
        <f>'Delivery Calculation'!N219+"AM:!'n&amp;"</f>
        <v>#VALUE!</v>
      </c>
      <c r="BI149" s="100" t="e">
        <f>'Delivery Calculation'!O219+"AM:!'n'"</f>
        <v>#VALUE!</v>
      </c>
      <c r="BJ149" s="100" t="e">
        <f>'Delivery Calculation'!P219+"AM:!'n("</f>
        <v>#VALUE!</v>
      </c>
      <c r="BK149" s="100" t="e">
        <f>'Delivery Calculation'!Q219+"AM:!'n)"</f>
        <v>#VALUE!</v>
      </c>
      <c r="BL149" s="100" t="e">
        <f>'Delivery Calculation'!R219+"AM:!'n."</f>
        <v>#VALUE!</v>
      </c>
      <c r="BM149" s="100" t="e">
        <f>'Delivery Calculation'!S219+"AM:!'n/"</f>
        <v>#VALUE!</v>
      </c>
      <c r="BN149" s="100" t="e">
        <f>'Delivery Calculation'!T219+"AM:!'n0"</f>
        <v>#VALUE!</v>
      </c>
      <c r="BO149" s="100" t="e">
        <f>'Delivery Calculation'!U219+"AM:!'n1"</f>
        <v>#VALUE!</v>
      </c>
      <c r="BP149" s="100" t="e">
        <f>'Delivery Calculation'!V219+"AM:!'n2"</f>
        <v>#VALUE!</v>
      </c>
      <c r="BQ149" s="100" t="e">
        <f>'Delivery Calculation'!W219+"AM:!'n3"</f>
        <v>#VALUE!</v>
      </c>
      <c r="BR149" s="100" t="e">
        <f>'Delivery Calculation'!X219+"AM:!'n4"</f>
        <v>#VALUE!</v>
      </c>
      <c r="BS149" s="100" t="e">
        <f>'Delivery Calculation'!Y219+"AM:!'n5"</f>
        <v>#VALUE!</v>
      </c>
      <c r="BT149" s="100" t="e">
        <f>'Delivery Calculation'!Z219+"AM:!'n6"</f>
        <v>#VALUE!</v>
      </c>
      <c r="BU149" s="100" t="e">
        <f>'Delivery Calculation'!AA219+"AM:!'n7"</f>
        <v>#VALUE!</v>
      </c>
      <c r="BV149" s="100" t="e">
        <f>'Delivery Calculation'!AB219+"AM:!'n8"</f>
        <v>#VALUE!</v>
      </c>
      <c r="BW149" s="100" t="e">
        <f>'Delivery Calculation'!AC219+"AM:!'n9"</f>
        <v>#VALUE!</v>
      </c>
      <c r="BX149" s="100" t="e">
        <f>'Delivery Calculation'!AD219+"AM:!'n:"</f>
        <v>#VALUE!</v>
      </c>
      <c r="BY149" s="100" t="e">
        <f>'Delivery Calculation'!AE219+"AM:!'n;"</f>
        <v>#VALUE!</v>
      </c>
      <c r="BZ149" s="100" t="e">
        <f>'Delivery Calculation'!AF219+"AM:!'n&lt;"</f>
        <v>#VALUE!</v>
      </c>
      <c r="CA149" s="100" t="e">
        <f>'Delivery Calculation'!AG219+"AM:!'n="</f>
        <v>#VALUE!</v>
      </c>
      <c r="CB149" s="100" t="e">
        <f>'Delivery Calculation'!AH219+"AM:!'n&gt;"</f>
        <v>#VALUE!</v>
      </c>
      <c r="CC149" s="100" t="e">
        <f>'Delivery Calculation'!AI219+"AM:!'n?"</f>
        <v>#VALUE!</v>
      </c>
      <c r="CD149" s="100" t="e">
        <f>'Delivery Calculation'!AJ219+"AM:!'n@"</f>
        <v>#VALUE!</v>
      </c>
      <c r="CE149" s="100" t="e">
        <f>'Delivery Calculation'!AK219+"AM:!'nA"</f>
        <v>#VALUE!</v>
      </c>
      <c r="CF149" s="100" t="e">
        <f>'Delivery Calculation'!AL219+"AM:!'nB"</f>
        <v>#VALUE!</v>
      </c>
      <c r="CG149" s="100" t="e">
        <f>'Delivery Calculation'!AM219+"AM:!'nC"</f>
        <v>#VALUE!</v>
      </c>
      <c r="CH149" s="100" t="e">
        <f>'Delivery Calculation'!AN219+"AM:!'nD"</f>
        <v>#VALUE!</v>
      </c>
      <c r="CI149" s="100" t="e">
        <f>'Delivery Calculation'!AO219+"AM:!'nE"</f>
        <v>#VALUE!</v>
      </c>
      <c r="CJ149" s="100" t="e">
        <f>'Delivery Calculation'!AP219+"AM:!'nF"</f>
        <v>#VALUE!</v>
      </c>
      <c r="CK149" s="100" t="e">
        <f>'Delivery Calculation'!AQ219+"AM:!'nG"</f>
        <v>#VALUE!</v>
      </c>
      <c r="CL149" s="100" t="e">
        <f>'Delivery Calculation'!AR219+"AM:!'nH"</f>
        <v>#VALUE!</v>
      </c>
      <c r="CM149" s="100" t="e">
        <f>'Delivery Calculation'!AS219+"AM:!'nI"</f>
        <v>#VALUE!</v>
      </c>
      <c r="CN149" s="100" t="e">
        <f>'Delivery Calculation'!AT219+"AM:!'nJ"</f>
        <v>#VALUE!</v>
      </c>
      <c r="CO149" s="100" t="e">
        <f>'Delivery Calculation'!AU219+"AM:!'nK"</f>
        <v>#VALUE!</v>
      </c>
      <c r="CP149" s="100" t="e">
        <f>'Delivery Calculation'!AV219+"AM:!'nL"</f>
        <v>#VALUE!</v>
      </c>
      <c r="CQ149" s="100" t="e">
        <f>'Delivery Calculation'!AW219+"AM:!'nM"</f>
        <v>#VALUE!</v>
      </c>
      <c r="CR149" s="100" t="e">
        <f>'Delivery Calculation'!AX219+"AM:!'nN"</f>
        <v>#VALUE!</v>
      </c>
      <c r="CS149" t="e">
        <f>'Delivery Calculation'!AY219+"AM:!'nO"</f>
        <v>#VALUE!</v>
      </c>
      <c r="CT149" t="e">
        <f>'Delivery Calculation'!A220+"AM:!'nP"</f>
        <v>#VALUE!</v>
      </c>
      <c r="CU149" t="e">
        <f>'Delivery Calculation'!B220+"AM:!'nQ"</f>
        <v>#VALUE!</v>
      </c>
      <c r="CV149" t="e">
        <f>'Delivery Calculation'!C220+"AM:!'nR"</f>
        <v>#VALUE!</v>
      </c>
      <c r="CW149" t="e">
        <f>'Delivery Calculation'!D220+"AM:!'nS"</f>
        <v>#VALUE!</v>
      </c>
      <c r="CX149" t="e">
        <f>'Delivery Calculation'!E220+"AM:!'nT"</f>
        <v>#VALUE!</v>
      </c>
      <c r="CY149" s="98" t="e">
        <f>'Delivery Calculation'!F220+"AM:!'nU"</f>
        <v>#VALUE!</v>
      </c>
      <c r="CZ149" s="98" t="e">
        <f>'Delivery Calculation'!G220+"AM:!'nV"</f>
        <v>#VALUE!</v>
      </c>
      <c r="DA149" s="98" t="e">
        <f>'Delivery Calculation'!H220+"AM:!'nW"</f>
        <v>#VALUE!</v>
      </c>
      <c r="DB149" s="98" t="e">
        <f>'Delivery Calculation'!I220+"AM:!'nX"</f>
        <v>#VALUE!</v>
      </c>
      <c r="DC149" s="98" t="e">
        <f>'Delivery Calculation'!J220+"AM:!'nY"</f>
        <v>#VALUE!</v>
      </c>
      <c r="DD149" s="98" t="e">
        <f>'Delivery Calculation'!K220+"AM:!'nZ"</f>
        <v>#VALUE!</v>
      </c>
      <c r="DE149" s="98" t="e">
        <f>'Delivery Calculation'!L220+"AM:!'n["</f>
        <v>#VALUE!</v>
      </c>
      <c r="DF149" s="100" t="e">
        <f>'Delivery Calculation'!M220+"AM:!'n\"</f>
        <v>#VALUE!</v>
      </c>
      <c r="DG149" s="100" t="e">
        <f>'Delivery Calculation'!N220+"AM:!'n]"</f>
        <v>#VALUE!</v>
      </c>
      <c r="DH149" s="100" t="e">
        <f>'Delivery Calculation'!O220+"AM:!'n^"</f>
        <v>#VALUE!</v>
      </c>
      <c r="DI149" s="100" t="e">
        <f>'Delivery Calculation'!P220+"AM:!'n_"</f>
        <v>#VALUE!</v>
      </c>
      <c r="DJ149" s="100" t="e">
        <f>'Delivery Calculation'!Q220+"AM:!'n`"</f>
        <v>#VALUE!</v>
      </c>
      <c r="DK149" s="100" t="e">
        <f>'Delivery Calculation'!R220+"AM:!'na"</f>
        <v>#VALUE!</v>
      </c>
      <c r="DL149" s="100" t="e">
        <f>'Delivery Calculation'!S220+"AM:!'nb"</f>
        <v>#VALUE!</v>
      </c>
      <c r="DM149" s="100" t="e">
        <f>'Delivery Calculation'!T220+"AM:!'nc"</f>
        <v>#VALUE!</v>
      </c>
      <c r="DN149" s="100" t="e">
        <f>'Delivery Calculation'!U220+"AM:!'nd"</f>
        <v>#VALUE!</v>
      </c>
      <c r="DO149" s="100" t="e">
        <f>'Delivery Calculation'!V220+"AM:!'ne"</f>
        <v>#VALUE!</v>
      </c>
      <c r="DP149" s="100" t="e">
        <f>'Delivery Calculation'!W220+"AM:!'nf"</f>
        <v>#VALUE!</v>
      </c>
      <c r="DQ149" s="100" t="e">
        <f>'Delivery Calculation'!X220+"AM:!'ng"</f>
        <v>#VALUE!</v>
      </c>
      <c r="DR149" s="100" t="e">
        <f>'Delivery Calculation'!Y220+"AM:!'nh"</f>
        <v>#VALUE!</v>
      </c>
      <c r="DS149" s="100" t="e">
        <f>'Delivery Calculation'!Z220+"AM:!'ni"</f>
        <v>#VALUE!</v>
      </c>
      <c r="DT149" s="100" t="e">
        <f>'Delivery Calculation'!AA220+"AM:!'nj"</f>
        <v>#VALUE!</v>
      </c>
      <c r="DU149" s="100" t="e">
        <f>'Delivery Calculation'!AB220+"AM:!'nk"</f>
        <v>#VALUE!</v>
      </c>
      <c r="DV149" s="100" t="e">
        <f>'Delivery Calculation'!AC220+"AM:!'nl"</f>
        <v>#VALUE!</v>
      </c>
      <c r="DW149" s="100" t="e">
        <f>'Delivery Calculation'!AD220+"AM:!'nm"</f>
        <v>#VALUE!</v>
      </c>
      <c r="DX149" s="100" t="e">
        <f>'Delivery Calculation'!AE220+"AM:!'nn"</f>
        <v>#VALUE!</v>
      </c>
      <c r="DY149" s="100" t="e">
        <f>'Delivery Calculation'!AF220+"AM:!'no"</f>
        <v>#VALUE!</v>
      </c>
      <c r="DZ149" s="100" t="e">
        <f>'Delivery Calculation'!AG220+"AM:!'np"</f>
        <v>#VALUE!</v>
      </c>
      <c r="EA149" s="100" t="e">
        <f>'Delivery Calculation'!AH220+"AM:!'nq"</f>
        <v>#VALUE!</v>
      </c>
      <c r="EB149" s="100" t="e">
        <f>'Delivery Calculation'!AI220+"AM:!'nr"</f>
        <v>#VALUE!</v>
      </c>
      <c r="EC149" s="100" t="e">
        <f>'Delivery Calculation'!AJ220+"AM:!'ns"</f>
        <v>#VALUE!</v>
      </c>
      <c r="ED149" s="100" t="e">
        <f>'Delivery Calculation'!AK220+"AM:!'nt"</f>
        <v>#VALUE!</v>
      </c>
      <c r="EE149" s="100" t="e">
        <f>'Delivery Calculation'!AL220+"AM:!'nu"</f>
        <v>#VALUE!</v>
      </c>
      <c r="EF149" s="100" t="e">
        <f>'Delivery Calculation'!AM220+"AM:!'nv"</f>
        <v>#VALUE!</v>
      </c>
      <c r="EG149" s="100" t="e">
        <f>'Delivery Calculation'!AN220+"AM:!'nw"</f>
        <v>#VALUE!</v>
      </c>
      <c r="EH149" s="100" t="e">
        <f>'Delivery Calculation'!AO220+"AM:!'nx"</f>
        <v>#VALUE!</v>
      </c>
      <c r="EI149" s="100" t="e">
        <f>'Delivery Calculation'!AP220+"AM:!'ny"</f>
        <v>#VALUE!</v>
      </c>
      <c r="EJ149" s="100" t="e">
        <f>'Delivery Calculation'!AQ220+"AM:!'nz"</f>
        <v>#VALUE!</v>
      </c>
      <c r="EK149" s="100" t="e">
        <f>'Delivery Calculation'!AR220+"AM:!'n{"</f>
        <v>#VALUE!</v>
      </c>
      <c r="EL149" s="100" t="e">
        <f>'Delivery Calculation'!AS220+"AM:!'n|"</f>
        <v>#VALUE!</v>
      </c>
      <c r="EM149" s="100" t="e">
        <f>'Delivery Calculation'!AT220+"AM:!'n}"</f>
        <v>#VALUE!</v>
      </c>
      <c r="EN149" s="100" t="e">
        <f>'Delivery Calculation'!AU220+"AM:!'n~"</f>
        <v>#VALUE!</v>
      </c>
      <c r="EO149" s="100" t="e">
        <f>'Delivery Calculation'!AV220+"AM:!'o#"</f>
        <v>#VALUE!</v>
      </c>
      <c r="EP149" s="100" t="e">
        <f>'Delivery Calculation'!AW220+"AM:!'o$"</f>
        <v>#VALUE!</v>
      </c>
      <c r="EQ149" s="100" t="e">
        <f>'Delivery Calculation'!AX220+"AM:!'o%"</f>
        <v>#VALUE!</v>
      </c>
      <c r="ER149" t="e">
        <f>'Delivery Calculation'!AY220+"AM:!'o&amp;"</f>
        <v>#VALUE!</v>
      </c>
      <c r="ES149" t="e">
        <f>'Delivery Calculation'!A221+"AM:!'o'"</f>
        <v>#VALUE!</v>
      </c>
      <c r="ET149" t="e">
        <f>'Delivery Calculation'!B221+"AM:!'o("</f>
        <v>#VALUE!</v>
      </c>
      <c r="EU149" t="e">
        <f>'Delivery Calculation'!C221+"AM:!'o)"</f>
        <v>#VALUE!</v>
      </c>
      <c r="EV149" t="e">
        <f>'Delivery Calculation'!D221+"AM:!'o."</f>
        <v>#VALUE!</v>
      </c>
      <c r="EW149" t="e">
        <f>'Delivery Calculation'!E221+"AM:!'o/"</f>
        <v>#VALUE!</v>
      </c>
      <c r="EX149" s="98" t="e">
        <f>'Delivery Calculation'!F221+"AM:!'o0"</f>
        <v>#VALUE!</v>
      </c>
      <c r="EY149" s="98" t="e">
        <f>'Delivery Calculation'!G221+"AM:!'o1"</f>
        <v>#VALUE!</v>
      </c>
      <c r="EZ149" s="98" t="e">
        <f>'Delivery Calculation'!H221+"AM:!'o2"</f>
        <v>#VALUE!</v>
      </c>
      <c r="FA149" s="98" t="e">
        <f>'Delivery Calculation'!I221+"AM:!'o3"</f>
        <v>#VALUE!</v>
      </c>
      <c r="FB149" s="98" t="e">
        <f>'Delivery Calculation'!J221+"AM:!'o4"</f>
        <v>#VALUE!</v>
      </c>
      <c r="FC149" s="98" t="e">
        <f>'Delivery Calculation'!K221+"AM:!'o5"</f>
        <v>#VALUE!</v>
      </c>
      <c r="FD149" s="98" t="e">
        <f>'Delivery Calculation'!L221+"AM:!'o6"</f>
        <v>#VALUE!</v>
      </c>
      <c r="FE149" s="100" t="e">
        <f>'Delivery Calculation'!M221+"AM:!'o7"</f>
        <v>#VALUE!</v>
      </c>
      <c r="FF149" s="100" t="e">
        <f>'Delivery Calculation'!N221+"AM:!'o8"</f>
        <v>#VALUE!</v>
      </c>
      <c r="FG149" s="100" t="e">
        <f>'Delivery Calculation'!O221+"AM:!'o9"</f>
        <v>#VALUE!</v>
      </c>
      <c r="FH149" s="100" t="e">
        <f>'Delivery Calculation'!P221+"AM:!'o:"</f>
        <v>#VALUE!</v>
      </c>
      <c r="FI149" s="100" t="e">
        <f>'Delivery Calculation'!Q221+"AM:!'o;"</f>
        <v>#VALUE!</v>
      </c>
      <c r="FJ149" s="100" t="e">
        <f>'Delivery Calculation'!R221+"AM:!'o&lt;"</f>
        <v>#VALUE!</v>
      </c>
      <c r="FK149" s="100" t="e">
        <f>'Delivery Calculation'!S221+"AM:!'o="</f>
        <v>#VALUE!</v>
      </c>
      <c r="FL149" s="100" t="e">
        <f>'Delivery Calculation'!T221+"AM:!'o&gt;"</f>
        <v>#VALUE!</v>
      </c>
      <c r="FM149" s="100" t="e">
        <f>'Delivery Calculation'!U221+"AM:!'o?"</f>
        <v>#VALUE!</v>
      </c>
      <c r="FN149" s="100" t="e">
        <f>'Delivery Calculation'!V221+"AM:!'o@"</f>
        <v>#VALUE!</v>
      </c>
      <c r="FO149" s="100" t="e">
        <f>'Delivery Calculation'!W221+"AM:!'oA"</f>
        <v>#VALUE!</v>
      </c>
      <c r="FP149" s="100" t="e">
        <f>'Delivery Calculation'!X221+"AM:!'oB"</f>
        <v>#VALUE!</v>
      </c>
      <c r="FQ149" s="100" t="e">
        <f>'Delivery Calculation'!Y221+"AM:!'oC"</f>
        <v>#VALUE!</v>
      </c>
      <c r="FR149" s="100" t="e">
        <f>'Delivery Calculation'!Z221+"AM:!'oD"</f>
        <v>#VALUE!</v>
      </c>
      <c r="FS149" s="100" t="e">
        <f>'Delivery Calculation'!AA221+"AM:!'oE"</f>
        <v>#VALUE!</v>
      </c>
      <c r="FT149" s="100" t="e">
        <f>'Delivery Calculation'!AB221+"AM:!'oF"</f>
        <v>#VALUE!</v>
      </c>
      <c r="FU149" s="100" t="e">
        <f>'Delivery Calculation'!AC221+"AM:!'oG"</f>
        <v>#VALUE!</v>
      </c>
      <c r="FV149" s="100" t="e">
        <f>'Delivery Calculation'!AD221+"AM:!'oH"</f>
        <v>#VALUE!</v>
      </c>
      <c r="FW149" s="100" t="e">
        <f>'Delivery Calculation'!AE221+"AM:!'oI"</f>
        <v>#VALUE!</v>
      </c>
      <c r="FX149" s="100" t="e">
        <f>'Delivery Calculation'!AF221+"AM:!'oJ"</f>
        <v>#VALUE!</v>
      </c>
      <c r="FY149" s="100" t="e">
        <f>'Delivery Calculation'!AG221+"AM:!'oK"</f>
        <v>#VALUE!</v>
      </c>
      <c r="FZ149" s="100" t="e">
        <f>'Delivery Calculation'!AH221+"AM:!'oL"</f>
        <v>#VALUE!</v>
      </c>
      <c r="GA149" s="100" t="e">
        <f>'Delivery Calculation'!AI221+"AM:!'oM"</f>
        <v>#VALUE!</v>
      </c>
      <c r="GB149" s="100" t="e">
        <f>'Delivery Calculation'!AJ221+"AM:!'oN"</f>
        <v>#VALUE!</v>
      </c>
      <c r="GC149" s="100" t="e">
        <f>'Delivery Calculation'!AK221+"AM:!'oO"</f>
        <v>#VALUE!</v>
      </c>
      <c r="GD149" s="100" t="e">
        <f>'Delivery Calculation'!AL221+"AM:!'oP"</f>
        <v>#VALUE!</v>
      </c>
      <c r="GE149" s="100" t="e">
        <f>'Delivery Calculation'!AM221+"AM:!'oQ"</f>
        <v>#VALUE!</v>
      </c>
      <c r="GF149" s="100" t="e">
        <f>'Delivery Calculation'!AN221+"AM:!'oR"</f>
        <v>#VALUE!</v>
      </c>
      <c r="GG149" s="100" t="e">
        <f>'Delivery Calculation'!AO221+"AM:!'oS"</f>
        <v>#VALUE!</v>
      </c>
      <c r="GH149" s="100" t="e">
        <f>'Delivery Calculation'!AP221+"AM:!'oT"</f>
        <v>#VALUE!</v>
      </c>
      <c r="GI149" s="100" t="e">
        <f>'Delivery Calculation'!AQ221+"AM:!'oU"</f>
        <v>#VALUE!</v>
      </c>
      <c r="GJ149" s="100" t="e">
        <f>'Delivery Calculation'!AR221+"AM:!'oV"</f>
        <v>#VALUE!</v>
      </c>
      <c r="GK149" s="100" t="e">
        <f>'Delivery Calculation'!AS221+"AM:!'oW"</f>
        <v>#VALUE!</v>
      </c>
      <c r="GL149" s="100" t="e">
        <f>'Delivery Calculation'!AT221+"AM:!'oX"</f>
        <v>#VALUE!</v>
      </c>
      <c r="GM149" s="100" t="e">
        <f>'Delivery Calculation'!AU221+"AM:!'oY"</f>
        <v>#VALUE!</v>
      </c>
      <c r="GN149" s="100" t="e">
        <f>'Delivery Calculation'!AV221+"AM:!'oZ"</f>
        <v>#VALUE!</v>
      </c>
      <c r="GO149" s="100" t="e">
        <f>'Delivery Calculation'!AW221+"AM:!'o["</f>
        <v>#VALUE!</v>
      </c>
      <c r="GP149" s="100" t="e">
        <f>'Delivery Calculation'!AX221+"AM:!'o\"</f>
        <v>#VALUE!</v>
      </c>
      <c r="GQ149" t="e">
        <f>'Delivery Calculation'!AY221+"AM:!'o]"</f>
        <v>#VALUE!</v>
      </c>
      <c r="GR149" t="e">
        <f>'Delivery Calculation'!A222+"AM:!'o^"</f>
        <v>#VALUE!</v>
      </c>
      <c r="GS149" t="e">
        <f>'Delivery Calculation'!B222+"AM:!'o_"</f>
        <v>#VALUE!</v>
      </c>
      <c r="GT149" t="e">
        <f>'Delivery Calculation'!C222+"AM:!'o`"</f>
        <v>#VALUE!</v>
      </c>
      <c r="GU149" t="e">
        <f>'Delivery Calculation'!D222+"AM:!'oa"</f>
        <v>#VALUE!</v>
      </c>
      <c r="GV149" t="e">
        <f>'Delivery Calculation'!E222+"AM:!'ob"</f>
        <v>#VALUE!</v>
      </c>
      <c r="GW149" s="98" t="e">
        <f>'Delivery Calculation'!F222+"AM:!'oc"</f>
        <v>#VALUE!</v>
      </c>
      <c r="GX149" s="98" t="e">
        <f>'Delivery Calculation'!G222+"AM:!'od"</f>
        <v>#VALUE!</v>
      </c>
      <c r="GY149" s="98" t="e">
        <f>'Delivery Calculation'!H222+"AM:!'oe"</f>
        <v>#VALUE!</v>
      </c>
      <c r="GZ149" s="98" t="e">
        <f>'Delivery Calculation'!I222+"AM:!'of"</f>
        <v>#VALUE!</v>
      </c>
      <c r="HA149" s="98" t="e">
        <f>'Delivery Calculation'!J222+"AM:!'og"</f>
        <v>#VALUE!</v>
      </c>
      <c r="HB149" s="98" t="e">
        <f>'Delivery Calculation'!K222+"AM:!'oh"</f>
        <v>#VALUE!</v>
      </c>
      <c r="HC149" s="98" t="e">
        <f>'Delivery Calculation'!L222+"AM:!'oi"</f>
        <v>#VALUE!</v>
      </c>
      <c r="HD149" s="100" t="e">
        <f>'Delivery Calculation'!M222+"AM:!'oj"</f>
        <v>#VALUE!</v>
      </c>
      <c r="HE149" s="100" t="e">
        <f>'Delivery Calculation'!N222+"AM:!'ok"</f>
        <v>#VALUE!</v>
      </c>
      <c r="HF149" s="100" t="e">
        <f>'Delivery Calculation'!O222+"AM:!'ol"</f>
        <v>#VALUE!</v>
      </c>
      <c r="HG149" s="100" t="e">
        <f>'Delivery Calculation'!P222+"AM:!'om"</f>
        <v>#VALUE!</v>
      </c>
      <c r="HH149" s="100" t="e">
        <f>'Delivery Calculation'!Q222+"AM:!'on"</f>
        <v>#VALUE!</v>
      </c>
      <c r="HI149" s="100" t="e">
        <f>'Delivery Calculation'!R222+"AM:!'oo"</f>
        <v>#VALUE!</v>
      </c>
      <c r="HJ149" s="100" t="e">
        <f>'Delivery Calculation'!S222+"AM:!'op"</f>
        <v>#VALUE!</v>
      </c>
      <c r="HK149" s="100" t="e">
        <f>'Delivery Calculation'!T222+"AM:!'oq"</f>
        <v>#VALUE!</v>
      </c>
      <c r="HL149" s="100" t="e">
        <f>'Delivery Calculation'!U222+"AM:!'or"</f>
        <v>#VALUE!</v>
      </c>
      <c r="HM149" s="100" t="e">
        <f>'Delivery Calculation'!V222+"AM:!'os"</f>
        <v>#VALUE!</v>
      </c>
      <c r="HN149" s="100" t="e">
        <f>'Delivery Calculation'!W222+"AM:!'ot"</f>
        <v>#VALUE!</v>
      </c>
      <c r="HO149" s="100" t="e">
        <f>'Delivery Calculation'!X222+"AM:!'ou"</f>
        <v>#VALUE!</v>
      </c>
      <c r="HP149" s="100" t="e">
        <f>'Delivery Calculation'!Y222+"AM:!'ov"</f>
        <v>#VALUE!</v>
      </c>
      <c r="HQ149" s="100" t="e">
        <f>'Delivery Calculation'!Z222+"AM:!'ow"</f>
        <v>#VALUE!</v>
      </c>
      <c r="HR149" s="100" t="e">
        <f>'Delivery Calculation'!AA222+"AM:!'ox"</f>
        <v>#VALUE!</v>
      </c>
      <c r="HS149" s="100" t="e">
        <f>'Delivery Calculation'!AB222+"AM:!'oy"</f>
        <v>#VALUE!</v>
      </c>
      <c r="HT149" s="100" t="e">
        <f>'Delivery Calculation'!AC222+"AM:!'oz"</f>
        <v>#VALUE!</v>
      </c>
      <c r="HU149" s="100" t="e">
        <f>'Delivery Calculation'!AD222+"AM:!'o{"</f>
        <v>#VALUE!</v>
      </c>
      <c r="HV149" s="100" t="e">
        <f>'Delivery Calculation'!AE222+"AM:!'o|"</f>
        <v>#VALUE!</v>
      </c>
      <c r="HW149" s="100" t="e">
        <f>'Delivery Calculation'!AF222+"AM:!'o}"</f>
        <v>#VALUE!</v>
      </c>
      <c r="HX149" s="100" t="e">
        <f>'Delivery Calculation'!AG222+"AM:!'o~"</f>
        <v>#VALUE!</v>
      </c>
      <c r="HY149" s="100" t="e">
        <f>'Delivery Calculation'!AH222+"AM:!'p#"</f>
        <v>#VALUE!</v>
      </c>
      <c r="HZ149" s="100" t="e">
        <f>'Delivery Calculation'!AI222+"AM:!'p$"</f>
        <v>#VALUE!</v>
      </c>
      <c r="IA149" s="100" t="e">
        <f>'Delivery Calculation'!AJ222+"AM:!'p%"</f>
        <v>#VALUE!</v>
      </c>
      <c r="IB149" s="100" t="e">
        <f>'Delivery Calculation'!AK222+"AM:!'p&amp;"</f>
        <v>#VALUE!</v>
      </c>
      <c r="IC149" s="100" t="e">
        <f>'Delivery Calculation'!AL222+"AM:!'p'"</f>
        <v>#VALUE!</v>
      </c>
      <c r="ID149" s="100" t="e">
        <f>'Delivery Calculation'!AM222+"AM:!'p("</f>
        <v>#VALUE!</v>
      </c>
      <c r="IE149" s="100" t="e">
        <f>'Delivery Calculation'!AN222+"AM:!'p)"</f>
        <v>#VALUE!</v>
      </c>
      <c r="IF149" s="100" t="e">
        <f>'Delivery Calculation'!AO222+"AM:!'p."</f>
        <v>#VALUE!</v>
      </c>
      <c r="IG149" s="100" t="e">
        <f>'Delivery Calculation'!AP222+"AM:!'p/"</f>
        <v>#VALUE!</v>
      </c>
      <c r="IH149" s="100" t="e">
        <f>'Delivery Calculation'!AQ222+"AM:!'p0"</f>
        <v>#VALUE!</v>
      </c>
      <c r="II149" s="100" t="e">
        <f>'Delivery Calculation'!AR222+"AM:!'p1"</f>
        <v>#VALUE!</v>
      </c>
      <c r="IJ149" s="100" t="e">
        <f>'Delivery Calculation'!AS222+"AM:!'p2"</f>
        <v>#VALUE!</v>
      </c>
      <c r="IK149" s="100" t="e">
        <f>'Delivery Calculation'!AT222+"AM:!'p3"</f>
        <v>#VALUE!</v>
      </c>
      <c r="IL149" s="100" t="e">
        <f>'Delivery Calculation'!AU222+"AM:!'p4"</f>
        <v>#VALUE!</v>
      </c>
      <c r="IM149" s="100" t="e">
        <f>'Delivery Calculation'!AV222+"AM:!'p5"</f>
        <v>#VALUE!</v>
      </c>
      <c r="IN149" s="100" t="e">
        <f>'Delivery Calculation'!AW222+"AM:!'p6"</f>
        <v>#VALUE!</v>
      </c>
      <c r="IO149" s="100" t="e">
        <f>'Delivery Calculation'!AX222+"AM:!'p7"</f>
        <v>#VALUE!</v>
      </c>
      <c r="IP149" t="e">
        <f>'Delivery Calculation'!AY222+"AM:!'p8"</f>
        <v>#VALUE!</v>
      </c>
      <c r="IQ149" t="e">
        <f>'Delivery Calculation'!A223+"AM:!'p9"</f>
        <v>#VALUE!</v>
      </c>
      <c r="IR149" t="e">
        <f>'Delivery Calculation'!B223+"AM:!'p:"</f>
        <v>#VALUE!</v>
      </c>
      <c r="IS149" t="e">
        <f>'Delivery Calculation'!C223+"AM:!'p;"</f>
        <v>#VALUE!</v>
      </c>
      <c r="IT149" t="e">
        <f>'Delivery Calculation'!D223+"AM:!'p&lt;"</f>
        <v>#VALUE!</v>
      </c>
      <c r="IU149" t="e">
        <f>'Delivery Calculation'!E223+"AM:!'p="</f>
        <v>#VALUE!</v>
      </c>
      <c r="IV149" s="98" t="e">
        <f>'Delivery Calculation'!F223+"AM:!'p&gt;"</f>
        <v>#VALUE!</v>
      </c>
    </row>
    <row r="150" spans="6:256">
      <c r="F150" s="98" t="e">
        <f>'Delivery Calculation'!G223+"AM:!'p?"</f>
        <v>#VALUE!</v>
      </c>
      <c r="G150" s="98" t="e">
        <f>'Delivery Calculation'!H223+"AM:!'p@"</f>
        <v>#VALUE!</v>
      </c>
      <c r="H150" s="98" t="e">
        <f>'Delivery Calculation'!I223+"AM:!'pA"</f>
        <v>#VALUE!</v>
      </c>
      <c r="I150" s="98" t="e">
        <f>'Delivery Calculation'!J223+"AM:!'pB"</f>
        <v>#VALUE!</v>
      </c>
      <c r="J150" s="98" t="e">
        <f>'Delivery Calculation'!K223+"AM:!'pC"</f>
        <v>#VALUE!</v>
      </c>
      <c r="K150" s="98" t="e">
        <f>'Delivery Calculation'!L223+"AM:!'pD"</f>
        <v>#VALUE!</v>
      </c>
      <c r="L150" s="100" t="e">
        <f>'Delivery Calculation'!M223+"AM:!'pE"</f>
        <v>#VALUE!</v>
      </c>
      <c r="M150" s="100" t="e">
        <f>'Delivery Calculation'!N223+"AM:!'pF"</f>
        <v>#VALUE!</v>
      </c>
      <c r="N150" s="100" t="e">
        <f>'Delivery Calculation'!O223+"AM:!'pG"</f>
        <v>#VALUE!</v>
      </c>
      <c r="O150" s="100" t="e">
        <f>'Delivery Calculation'!P223+"AM:!'pH"</f>
        <v>#VALUE!</v>
      </c>
      <c r="P150" s="100" t="e">
        <f>'Delivery Calculation'!Q223+"AM:!'pI"</f>
        <v>#VALUE!</v>
      </c>
      <c r="Q150" s="100" t="e">
        <f>'Delivery Calculation'!R223+"AM:!'pJ"</f>
        <v>#VALUE!</v>
      </c>
      <c r="R150" s="100" t="e">
        <f>'Delivery Calculation'!S223+"AM:!'pK"</f>
        <v>#VALUE!</v>
      </c>
      <c r="S150" s="100" t="e">
        <f>'Delivery Calculation'!T223+"AM:!'pL"</f>
        <v>#VALUE!</v>
      </c>
      <c r="T150" s="100" t="e">
        <f>'Delivery Calculation'!U223+"AM:!'pM"</f>
        <v>#VALUE!</v>
      </c>
      <c r="U150" s="100" t="e">
        <f>'Delivery Calculation'!V223+"AM:!'pN"</f>
        <v>#VALUE!</v>
      </c>
      <c r="V150" s="100" t="e">
        <f>'Delivery Calculation'!W223+"AM:!'pO"</f>
        <v>#VALUE!</v>
      </c>
      <c r="W150" s="100" t="e">
        <f>'Delivery Calculation'!X223+"AM:!'pP"</f>
        <v>#VALUE!</v>
      </c>
      <c r="X150" s="100" t="e">
        <f>'Delivery Calculation'!Y223+"AM:!'pQ"</f>
        <v>#VALUE!</v>
      </c>
      <c r="Y150" s="100" t="e">
        <f>'Delivery Calculation'!Z223+"AM:!'pR"</f>
        <v>#VALUE!</v>
      </c>
      <c r="Z150" s="100" t="e">
        <f>'Delivery Calculation'!AA223+"AM:!'pS"</f>
        <v>#VALUE!</v>
      </c>
      <c r="AA150" s="100" t="e">
        <f>'Delivery Calculation'!AB223+"AM:!'pT"</f>
        <v>#VALUE!</v>
      </c>
      <c r="AB150" s="100" t="e">
        <f>'Delivery Calculation'!AC223+"AM:!'pU"</f>
        <v>#VALUE!</v>
      </c>
      <c r="AC150" s="100" t="e">
        <f>'Delivery Calculation'!AD223+"AM:!'pV"</f>
        <v>#VALUE!</v>
      </c>
      <c r="AD150" s="100" t="e">
        <f>'Delivery Calculation'!AE223+"AM:!'pW"</f>
        <v>#VALUE!</v>
      </c>
      <c r="AE150" s="100" t="e">
        <f>'Delivery Calculation'!AF223+"AM:!'pX"</f>
        <v>#VALUE!</v>
      </c>
      <c r="AF150" s="100" t="e">
        <f>'Delivery Calculation'!AG223+"AM:!'pY"</f>
        <v>#VALUE!</v>
      </c>
      <c r="AG150" s="100" t="e">
        <f>'Delivery Calculation'!AH223+"AM:!'pZ"</f>
        <v>#VALUE!</v>
      </c>
      <c r="AH150" s="100" t="e">
        <f>'Delivery Calculation'!AI223+"AM:!'p["</f>
        <v>#VALUE!</v>
      </c>
      <c r="AI150" s="100" t="e">
        <f>'Delivery Calculation'!AJ223+"AM:!'p\"</f>
        <v>#VALUE!</v>
      </c>
      <c r="AJ150" s="100" t="e">
        <f>'Delivery Calculation'!AK223+"AM:!'p]"</f>
        <v>#VALUE!</v>
      </c>
      <c r="AK150" s="100" t="e">
        <f>'Delivery Calculation'!AL223+"AM:!'p^"</f>
        <v>#VALUE!</v>
      </c>
      <c r="AL150" s="100" t="e">
        <f>'Delivery Calculation'!AM223+"AM:!'p_"</f>
        <v>#VALUE!</v>
      </c>
      <c r="AM150" s="100" t="e">
        <f>'Delivery Calculation'!AN223+"AM:!'p`"</f>
        <v>#VALUE!</v>
      </c>
      <c r="AN150" s="100" t="e">
        <f>'Delivery Calculation'!AO223+"AM:!'pa"</f>
        <v>#VALUE!</v>
      </c>
      <c r="AO150" s="100" t="e">
        <f>'Delivery Calculation'!AP223+"AM:!'pb"</f>
        <v>#VALUE!</v>
      </c>
      <c r="AP150" s="100" t="e">
        <f>'Delivery Calculation'!AQ223+"AM:!'pc"</f>
        <v>#VALUE!</v>
      </c>
      <c r="AQ150" s="100" t="e">
        <f>'Delivery Calculation'!AR223+"AM:!'pd"</f>
        <v>#VALUE!</v>
      </c>
      <c r="AR150" s="100" t="e">
        <f>'Delivery Calculation'!AS223+"AM:!'pe"</f>
        <v>#VALUE!</v>
      </c>
      <c r="AS150" s="100" t="e">
        <f>'Delivery Calculation'!AT223+"AM:!'pf"</f>
        <v>#VALUE!</v>
      </c>
      <c r="AT150" s="100" t="e">
        <f>'Delivery Calculation'!AU223+"AM:!'pg"</f>
        <v>#VALUE!</v>
      </c>
      <c r="AU150" s="100" t="e">
        <f>'Delivery Calculation'!AV223+"AM:!'ph"</f>
        <v>#VALUE!</v>
      </c>
      <c r="AV150" s="100" t="e">
        <f>'Delivery Calculation'!AW223+"AM:!'pi"</f>
        <v>#VALUE!</v>
      </c>
      <c r="AW150" s="100" t="e">
        <f>'Delivery Calculation'!AX223+"AM:!'pj"</f>
        <v>#VALUE!</v>
      </c>
      <c r="AX150" t="e">
        <f>'Delivery Calculation'!AY223+"AM:!'pk"</f>
        <v>#VALUE!</v>
      </c>
      <c r="AY150" t="e">
        <f>'Delivery Calculation'!A224+"AM:!'pl"</f>
        <v>#VALUE!</v>
      </c>
      <c r="AZ150" t="e">
        <f>'Delivery Calculation'!B224+"AM:!'pm"</f>
        <v>#VALUE!</v>
      </c>
      <c r="BA150" t="e">
        <f>'Delivery Calculation'!C224+"AM:!'pn"</f>
        <v>#VALUE!</v>
      </c>
      <c r="BB150" t="e">
        <f>'Delivery Calculation'!D224+"AM:!'po"</f>
        <v>#VALUE!</v>
      </c>
      <c r="BC150" t="e">
        <f>'Delivery Calculation'!E224+"AM:!'pp"</f>
        <v>#VALUE!</v>
      </c>
      <c r="BD150" t="e">
        <f>'Delivery Calculation'!F224+"AM:!'pq"</f>
        <v>#VALUE!</v>
      </c>
      <c r="BE150" t="e">
        <f>'Delivery Calculation'!G224+"AM:!'pr"</f>
        <v>#VALUE!</v>
      </c>
      <c r="BF150" t="e">
        <f>'Delivery Calculation'!H224+"AM:!'ps"</f>
        <v>#VALUE!</v>
      </c>
      <c r="BG150" t="e">
        <f>'Delivery Calculation'!I224+"AM:!'pt"</f>
        <v>#VALUE!</v>
      </c>
      <c r="BH150" t="e">
        <f>'Delivery Calculation'!J224+"AM:!'pu"</f>
        <v>#VALUE!</v>
      </c>
      <c r="BI150" t="e">
        <f>'Delivery Calculation'!K224+"AM:!'pv"</f>
        <v>#VALUE!</v>
      </c>
      <c r="BJ150" t="e">
        <f>'Delivery Calculation'!L224+"AM:!'pw"</f>
        <v>#VALUE!</v>
      </c>
      <c r="BK150" s="100" t="e">
        <f>'Delivery Calculation'!M224+"AM:!'px"</f>
        <v>#VALUE!</v>
      </c>
      <c r="BL150" s="100" t="e">
        <f>'Delivery Calculation'!N224+"AM:!'py"</f>
        <v>#VALUE!</v>
      </c>
      <c r="BM150" s="100" t="e">
        <f>'Delivery Calculation'!O224+"AM:!'pz"</f>
        <v>#VALUE!</v>
      </c>
      <c r="BN150" s="100" t="e">
        <f>'Delivery Calculation'!P224+"AM:!'p{"</f>
        <v>#VALUE!</v>
      </c>
      <c r="BO150" s="100" t="e">
        <f>'Delivery Calculation'!Q224+"AM:!'p|"</f>
        <v>#VALUE!</v>
      </c>
      <c r="BP150" s="100" t="e">
        <f>'Delivery Calculation'!R224+"AM:!'p}"</f>
        <v>#VALUE!</v>
      </c>
      <c r="BQ150" s="100" t="e">
        <f>'Delivery Calculation'!S224+"AM:!'p~"</f>
        <v>#VALUE!</v>
      </c>
      <c r="BR150" s="100" t="e">
        <f>'Delivery Calculation'!T224+"AM:!'q#"</f>
        <v>#VALUE!</v>
      </c>
      <c r="BS150" s="100" t="e">
        <f>'Delivery Calculation'!U224+"AM:!'q$"</f>
        <v>#VALUE!</v>
      </c>
      <c r="BT150" s="100" t="e">
        <f>'Delivery Calculation'!V224+"AM:!'q%"</f>
        <v>#VALUE!</v>
      </c>
      <c r="BU150" s="100" t="e">
        <f>'Delivery Calculation'!W224+"AM:!'q&amp;"</f>
        <v>#VALUE!</v>
      </c>
      <c r="BV150" s="100" t="e">
        <f>'Delivery Calculation'!X224+"AM:!'q'"</f>
        <v>#VALUE!</v>
      </c>
      <c r="BW150" s="100" t="e">
        <f>'Delivery Calculation'!Y224+"AM:!'q("</f>
        <v>#VALUE!</v>
      </c>
      <c r="BX150" s="100" t="e">
        <f>'Delivery Calculation'!Z224+"AM:!'q)"</f>
        <v>#VALUE!</v>
      </c>
      <c r="BY150" s="100" t="e">
        <f>'Delivery Calculation'!AA224+"AM:!'q."</f>
        <v>#VALUE!</v>
      </c>
      <c r="BZ150" s="100" t="e">
        <f>'Delivery Calculation'!AB224+"AM:!'q/"</f>
        <v>#VALUE!</v>
      </c>
      <c r="CA150" s="100" t="e">
        <f>'Delivery Calculation'!AC224+"AM:!'q0"</f>
        <v>#VALUE!</v>
      </c>
      <c r="CB150" s="100" t="e">
        <f>'Delivery Calculation'!AD224+"AM:!'q1"</f>
        <v>#VALUE!</v>
      </c>
      <c r="CC150" s="100" t="e">
        <f>'Delivery Calculation'!AE224+"AM:!'q2"</f>
        <v>#VALUE!</v>
      </c>
      <c r="CD150" s="100" t="e">
        <f>'Delivery Calculation'!AF224+"AM:!'q3"</f>
        <v>#VALUE!</v>
      </c>
      <c r="CE150" s="100" t="e">
        <f>'Delivery Calculation'!AG224+"AM:!'q4"</f>
        <v>#VALUE!</v>
      </c>
      <c r="CF150" s="100" t="e">
        <f>'Delivery Calculation'!AH224+"AM:!'q5"</f>
        <v>#VALUE!</v>
      </c>
      <c r="CG150" s="100" t="e">
        <f>'Delivery Calculation'!AI224+"AM:!'q6"</f>
        <v>#VALUE!</v>
      </c>
      <c r="CH150" s="100" t="e">
        <f>'Delivery Calculation'!AJ224+"AM:!'q7"</f>
        <v>#VALUE!</v>
      </c>
      <c r="CI150" s="100" t="e">
        <f>'Delivery Calculation'!AK224+"AM:!'q8"</f>
        <v>#VALUE!</v>
      </c>
      <c r="CJ150" s="100" t="e">
        <f>'Delivery Calculation'!AL224+"AM:!'q9"</f>
        <v>#VALUE!</v>
      </c>
      <c r="CK150" s="100" t="e">
        <f>'Delivery Calculation'!AM224+"AM:!'q:"</f>
        <v>#VALUE!</v>
      </c>
      <c r="CL150" s="100" t="e">
        <f>'Delivery Calculation'!AN224+"AM:!'q;"</f>
        <v>#VALUE!</v>
      </c>
      <c r="CM150" s="100" t="e">
        <f>'Delivery Calculation'!AO224+"AM:!'q&lt;"</f>
        <v>#VALUE!</v>
      </c>
      <c r="CN150" s="100" t="e">
        <f>'Delivery Calculation'!AP224+"AM:!'q="</f>
        <v>#VALUE!</v>
      </c>
      <c r="CO150" s="100" t="e">
        <f>'Delivery Calculation'!AQ224+"AM:!'q&gt;"</f>
        <v>#VALUE!</v>
      </c>
      <c r="CP150" s="100" t="e">
        <f>'Delivery Calculation'!AR224+"AM:!'q?"</f>
        <v>#VALUE!</v>
      </c>
      <c r="CQ150" s="100" t="e">
        <f>'Delivery Calculation'!AS224+"AM:!'q@"</f>
        <v>#VALUE!</v>
      </c>
      <c r="CR150" s="100" t="e">
        <f>'Delivery Calculation'!AT224+"AM:!'qA"</f>
        <v>#VALUE!</v>
      </c>
      <c r="CS150" s="100" t="e">
        <f>'Delivery Calculation'!AU224+"AM:!'qB"</f>
        <v>#VALUE!</v>
      </c>
      <c r="CT150" s="100" t="e">
        <f>'Delivery Calculation'!AV224+"AM:!'qC"</f>
        <v>#VALUE!</v>
      </c>
      <c r="CU150" s="100" t="e">
        <f>'Delivery Calculation'!AW224+"AM:!'qD"</f>
        <v>#VALUE!</v>
      </c>
      <c r="CV150" s="100" t="e">
        <f>'Delivery Calculation'!AX224+"AM:!'qE"</f>
        <v>#VALUE!</v>
      </c>
      <c r="CW150" t="e">
        <f>'Delivery Calculation'!AY224+"AM:!'qF"</f>
        <v>#VALUE!</v>
      </c>
      <c r="CX150" t="e">
        <f>'Delivery Calculation'!A225+"AM:!'qG"</f>
        <v>#VALUE!</v>
      </c>
      <c r="CY150" t="e">
        <f>'Delivery Calculation'!B225+"AM:!'qH"</f>
        <v>#VALUE!</v>
      </c>
      <c r="CZ150" t="e">
        <f>'Delivery Calculation'!C225+"AM:!'qI"</f>
        <v>#VALUE!</v>
      </c>
      <c r="DA150" t="e">
        <f>'Delivery Calculation'!D225+"AM:!'qJ"</f>
        <v>#VALUE!</v>
      </c>
      <c r="DB150" t="e">
        <f>'Delivery Calculation'!E225+"AM:!'qK"</f>
        <v>#VALUE!</v>
      </c>
      <c r="DC150" t="e">
        <f>'Delivery Calculation'!F225+"AM:!'qL"</f>
        <v>#VALUE!</v>
      </c>
      <c r="DD150" t="e">
        <f>'Delivery Calculation'!G225+"AM:!'qM"</f>
        <v>#VALUE!</v>
      </c>
      <c r="DE150" t="e">
        <f>'Delivery Calculation'!H225+"AM:!'qN"</f>
        <v>#VALUE!</v>
      </c>
      <c r="DF150" t="e">
        <f>'Delivery Calculation'!I225+"AM:!'qO"</f>
        <v>#VALUE!</v>
      </c>
      <c r="DG150" t="e">
        <f>'Delivery Calculation'!J225+"AM:!'qP"</f>
        <v>#VALUE!</v>
      </c>
      <c r="DH150" t="e">
        <f>'Delivery Calculation'!K225+"AM:!'qQ"</f>
        <v>#VALUE!</v>
      </c>
      <c r="DI150" t="e">
        <f>'Delivery Calculation'!L225+"AM:!'qR"</f>
        <v>#VALUE!</v>
      </c>
      <c r="DJ150" t="e">
        <f>'Delivery Calculation'!M225+"AM:!'qS"</f>
        <v>#VALUE!</v>
      </c>
      <c r="DK150" t="e">
        <f>'Delivery Calculation'!N225+"AM:!'qT"</f>
        <v>#VALUE!</v>
      </c>
      <c r="DL150" t="e">
        <f>'Delivery Calculation'!O225+"AM:!'qU"</f>
        <v>#VALUE!</v>
      </c>
      <c r="DM150" t="e">
        <f>'Delivery Calculation'!P225+"AM:!'qV"</f>
        <v>#VALUE!</v>
      </c>
      <c r="DN150" t="e">
        <f>'Delivery Calculation'!Q225+"AM:!'qW"</f>
        <v>#VALUE!</v>
      </c>
      <c r="DO150" t="e">
        <f>'Delivery Calculation'!R225+"AM:!'qX"</f>
        <v>#VALUE!</v>
      </c>
      <c r="DP150" t="e">
        <f>'Delivery Calculation'!S225+"AM:!'qY"</f>
        <v>#VALUE!</v>
      </c>
      <c r="DQ150" t="e">
        <f>'Delivery Calculation'!T225+"AM:!'qZ"</f>
        <v>#VALUE!</v>
      </c>
      <c r="DR150" t="e">
        <f>'Delivery Calculation'!U225+"AM:!'q["</f>
        <v>#VALUE!</v>
      </c>
      <c r="DS150" t="e">
        <f>'Delivery Calculation'!V225+"AM:!'q\"</f>
        <v>#VALUE!</v>
      </c>
      <c r="DT150" t="e">
        <f>'Delivery Calculation'!W225+"AM:!'q]"</f>
        <v>#VALUE!</v>
      </c>
      <c r="DU150" t="e">
        <f>'Delivery Calculation'!X225+"AM:!'q^"</f>
        <v>#VALUE!</v>
      </c>
      <c r="DV150" t="e">
        <f>'Delivery Calculation'!Y225+"AM:!'q_"</f>
        <v>#VALUE!</v>
      </c>
      <c r="DW150" t="e">
        <f>'Delivery Calculation'!Z225+"AM:!'q`"</f>
        <v>#VALUE!</v>
      </c>
      <c r="DX150" t="e">
        <f>'Delivery Calculation'!AA225+"AM:!'qa"</f>
        <v>#VALUE!</v>
      </c>
      <c r="DY150" t="e">
        <f>'Delivery Calculation'!AB225+"AM:!'qb"</f>
        <v>#VALUE!</v>
      </c>
      <c r="DZ150" t="e">
        <f>'Delivery Calculation'!AC225+"AM:!'qc"</f>
        <v>#VALUE!</v>
      </c>
      <c r="EA150" t="e">
        <f>'Delivery Calculation'!AD225+"AM:!'qd"</f>
        <v>#VALUE!</v>
      </c>
      <c r="EB150" t="e">
        <f>'Delivery Calculation'!AE225+"AM:!'qe"</f>
        <v>#VALUE!</v>
      </c>
      <c r="EC150" t="e">
        <f>'Delivery Calculation'!AF225+"AM:!'qf"</f>
        <v>#VALUE!</v>
      </c>
      <c r="ED150" t="e">
        <f>'Delivery Calculation'!AG225+"AM:!'qg"</f>
        <v>#VALUE!</v>
      </c>
      <c r="EE150" t="e">
        <f>'Delivery Calculation'!AH225+"AM:!'qh"</f>
        <v>#VALUE!</v>
      </c>
      <c r="EF150" t="e">
        <f>'Delivery Calculation'!AI225+"AM:!'qi"</f>
        <v>#VALUE!</v>
      </c>
      <c r="EG150" t="e">
        <f>'Delivery Calculation'!AJ225+"AM:!'qj"</f>
        <v>#VALUE!</v>
      </c>
      <c r="EH150" t="e">
        <f>'Delivery Calculation'!AK225+"AM:!'qk"</f>
        <v>#VALUE!</v>
      </c>
      <c r="EI150" t="e">
        <f>'Delivery Calculation'!AL225+"AM:!'ql"</f>
        <v>#VALUE!</v>
      </c>
      <c r="EJ150" t="e">
        <f>'Delivery Calculation'!AM225+"AM:!'qm"</f>
        <v>#VALUE!</v>
      </c>
      <c r="EK150" t="e">
        <f>'Delivery Calculation'!AN225+"AM:!'qn"</f>
        <v>#VALUE!</v>
      </c>
      <c r="EL150" t="e">
        <f>'Delivery Calculation'!AO225+"AM:!'qo"</f>
        <v>#VALUE!</v>
      </c>
      <c r="EM150" t="e">
        <f>'Delivery Calculation'!AP225+"AM:!'qp"</f>
        <v>#VALUE!</v>
      </c>
      <c r="EN150" t="e">
        <f>'Delivery Calculation'!AQ225+"AM:!'qq"</f>
        <v>#VALUE!</v>
      </c>
      <c r="EO150" t="e">
        <f>'Delivery Calculation'!AR225+"AM:!'qr"</f>
        <v>#VALUE!</v>
      </c>
      <c r="EP150" t="e">
        <f>'Delivery Calculation'!AS225+"AM:!'qs"</f>
        <v>#VALUE!</v>
      </c>
      <c r="EQ150" t="e">
        <f>'Delivery Calculation'!AT225+"AM:!'qt"</f>
        <v>#VALUE!</v>
      </c>
      <c r="ER150" t="e">
        <f>'Delivery Calculation'!AU225+"AM:!'qu"</f>
        <v>#VALUE!</v>
      </c>
      <c r="ES150" t="e">
        <f>'Delivery Calculation'!AV225+"AM:!'qv"</f>
        <v>#VALUE!</v>
      </c>
      <c r="ET150" t="e">
        <f>'Delivery Calculation'!AW225+"AM:!'qw"</f>
        <v>#VALUE!</v>
      </c>
      <c r="EU150" t="e">
        <f>'Delivery Calculation'!AX225+"AM:!'qx"</f>
        <v>#VALUE!</v>
      </c>
      <c r="EV150" t="e">
        <f>'Delivery Calculation'!AY225+"AM:!'qy"</f>
        <v>#VALUE!</v>
      </c>
      <c r="EW150" t="e">
        <f>'Delivery Calculation'!AZ225+"AM:!'qz"</f>
        <v>#VALUE!</v>
      </c>
      <c r="EX150" t="e">
        <f>'Delivery Calculation'!A226+"AM:!'q{"</f>
        <v>#VALUE!</v>
      </c>
      <c r="EY150" t="e">
        <f>'Delivery Calculation'!B226+"AM:!'q|"</f>
        <v>#VALUE!</v>
      </c>
      <c r="EZ150" t="e">
        <f>'Delivery Calculation'!C226+"AM:!'q}"</f>
        <v>#VALUE!</v>
      </c>
      <c r="FA150" t="e">
        <f>'Delivery Calculation'!D226+"AM:!'q~"</f>
        <v>#VALUE!</v>
      </c>
      <c r="FB150" t="e">
        <f>'Delivery Calculation'!E226+"AM:!'r#"</f>
        <v>#VALUE!</v>
      </c>
      <c r="FC150" t="e">
        <f>'Delivery Calculation'!F226+"AM:!'r$"</f>
        <v>#VALUE!</v>
      </c>
      <c r="FD150" t="e">
        <f>'Delivery Calculation'!G226+"AM:!'r%"</f>
        <v>#VALUE!</v>
      </c>
      <c r="FE150" t="e">
        <f>'Delivery Calculation'!H226+"AM:!'r&amp;"</f>
        <v>#VALUE!</v>
      </c>
      <c r="FF150" t="e">
        <f>'Delivery Calculation'!I226+"AM:!'r'"</f>
        <v>#VALUE!</v>
      </c>
      <c r="FG150" t="e">
        <f>'Delivery Calculation'!J226+"AM:!'r("</f>
        <v>#VALUE!</v>
      </c>
      <c r="FH150" t="e">
        <f>'Delivery Calculation'!K226+"AM:!'r)"</f>
        <v>#VALUE!</v>
      </c>
      <c r="FI150" t="e">
        <f>'Delivery Calculation'!L226+"AM:!'r."</f>
        <v>#VALUE!</v>
      </c>
      <c r="FJ150" t="e">
        <f>'Delivery Calculation'!M226+"AM:!'r/"</f>
        <v>#VALUE!</v>
      </c>
      <c r="FK150" t="e">
        <f>'Delivery Calculation'!N226+"AM:!'r0"</f>
        <v>#VALUE!</v>
      </c>
      <c r="FL150" t="e">
        <f>'Delivery Calculation'!O226+"AM:!'r1"</f>
        <v>#VALUE!</v>
      </c>
      <c r="FM150" t="e">
        <f>'Delivery Calculation'!P226+"AM:!'r2"</f>
        <v>#VALUE!</v>
      </c>
      <c r="FN150" t="e">
        <f>'Delivery Calculation'!Q226+"AM:!'r3"</f>
        <v>#VALUE!</v>
      </c>
      <c r="FO150" t="e">
        <f>'Delivery Calculation'!R226+"AM:!'r4"</f>
        <v>#VALUE!</v>
      </c>
      <c r="FP150" t="e">
        <f>'Delivery Calculation'!S226+"AM:!'r5"</f>
        <v>#VALUE!</v>
      </c>
      <c r="FQ150" t="e">
        <f>'Delivery Calculation'!T226+"AM:!'r6"</f>
        <v>#VALUE!</v>
      </c>
      <c r="FR150" t="e">
        <f>'Delivery Calculation'!U226+"AM:!'r7"</f>
        <v>#VALUE!</v>
      </c>
      <c r="FS150" t="e">
        <f>'Delivery Calculation'!V226+"AM:!'r8"</f>
        <v>#VALUE!</v>
      </c>
      <c r="FT150" t="e">
        <f>'Delivery Calculation'!W226+"AM:!'r9"</f>
        <v>#VALUE!</v>
      </c>
      <c r="FU150" t="e">
        <f>'Delivery Calculation'!X226+"AM:!'r:"</f>
        <v>#VALUE!</v>
      </c>
      <c r="FV150" t="e">
        <f>'Delivery Calculation'!Y226+"AM:!'r;"</f>
        <v>#VALUE!</v>
      </c>
      <c r="FW150" t="e">
        <f>'Delivery Calculation'!Z226+"AM:!'r&lt;"</f>
        <v>#VALUE!</v>
      </c>
      <c r="FX150" t="e">
        <f>'Delivery Calculation'!AA226+"AM:!'r="</f>
        <v>#VALUE!</v>
      </c>
      <c r="FY150" t="e">
        <f>'Delivery Calculation'!AB226+"AM:!'r&gt;"</f>
        <v>#VALUE!</v>
      </c>
      <c r="FZ150" t="e">
        <f>'Delivery Calculation'!AC226+"AM:!'r?"</f>
        <v>#VALUE!</v>
      </c>
      <c r="GA150" t="e">
        <f>'Delivery Calculation'!AD226+"AM:!'r@"</f>
        <v>#VALUE!</v>
      </c>
      <c r="GB150" t="e">
        <f>'Delivery Calculation'!AE226+"AM:!'rA"</f>
        <v>#VALUE!</v>
      </c>
      <c r="GC150" t="e">
        <f>'Delivery Calculation'!AF226+"AM:!'rB"</f>
        <v>#VALUE!</v>
      </c>
      <c r="GD150" t="e">
        <f>'Delivery Calculation'!AG226+"AM:!'rC"</f>
        <v>#VALUE!</v>
      </c>
      <c r="GE150" t="e">
        <f>'Delivery Calculation'!AH226+"AM:!'rD"</f>
        <v>#VALUE!</v>
      </c>
      <c r="GF150" t="e">
        <f>'Delivery Calculation'!AI226+"AM:!'rE"</f>
        <v>#VALUE!</v>
      </c>
      <c r="GG150" t="e">
        <f>'Delivery Calculation'!AJ226+"AM:!'rF"</f>
        <v>#VALUE!</v>
      </c>
      <c r="GH150" t="e">
        <f>'Delivery Calculation'!AK226+"AM:!'rG"</f>
        <v>#VALUE!</v>
      </c>
      <c r="GI150" t="e">
        <f>'Delivery Calculation'!AL226+"AM:!'rH"</f>
        <v>#VALUE!</v>
      </c>
      <c r="GJ150" t="e">
        <f>'Delivery Calculation'!AM226+"AM:!'rI"</f>
        <v>#VALUE!</v>
      </c>
      <c r="GK150" t="e">
        <f>'Delivery Calculation'!AN226+"AM:!'rJ"</f>
        <v>#VALUE!</v>
      </c>
      <c r="GL150" t="e">
        <f>'Delivery Calculation'!AO226+"AM:!'rK"</f>
        <v>#VALUE!</v>
      </c>
      <c r="GM150" t="e">
        <f>'Delivery Calculation'!AP226+"AM:!'rL"</f>
        <v>#VALUE!</v>
      </c>
      <c r="GN150" t="e">
        <f>'Delivery Calculation'!AQ226+"AM:!'rM"</f>
        <v>#VALUE!</v>
      </c>
      <c r="GO150" t="e">
        <f>'Delivery Calculation'!AR226+"AM:!'rN"</f>
        <v>#VALUE!</v>
      </c>
      <c r="GP150" t="e">
        <f>'Delivery Calculation'!AS226+"AM:!'rO"</f>
        <v>#VALUE!</v>
      </c>
      <c r="GQ150" t="e">
        <f>'Delivery Calculation'!AT226+"AM:!'rP"</f>
        <v>#VALUE!</v>
      </c>
      <c r="GR150" t="e">
        <f>'Delivery Calculation'!AU226+"AM:!'rQ"</f>
        <v>#VALUE!</v>
      </c>
      <c r="GS150" t="e">
        <f>'Delivery Calculation'!AV226+"AM:!'rR"</f>
        <v>#VALUE!</v>
      </c>
      <c r="GT150" t="e">
        <f>'Delivery Calculation'!AW226+"AM:!'rS"</f>
        <v>#VALUE!</v>
      </c>
      <c r="GU150" t="e">
        <f>'Delivery Calculation'!AX226+"AM:!'rT"</f>
        <v>#VALUE!</v>
      </c>
      <c r="GV150" t="e">
        <f>'Delivery Calculation'!AY226+"AM:!'rU"</f>
        <v>#VALUE!</v>
      </c>
      <c r="GW150" t="e">
        <f>'Delivery Calculation'!AZ226+"AM:!'rV"</f>
        <v>#VALUE!</v>
      </c>
      <c r="GX150" t="e">
        <f>'Delivery Calculation'!A239+"AM:!'rW"</f>
        <v>#VALUE!</v>
      </c>
      <c r="GY150" t="e">
        <f>'Delivery Calculation'!B239+"AM:!'rX"</f>
        <v>#VALUE!</v>
      </c>
      <c r="GZ150" t="e">
        <f>'Delivery Calculation'!C239+"AM:!'rY"</f>
        <v>#VALUE!</v>
      </c>
      <c r="HA150" t="e">
        <f>'Delivery Calculation'!D239+"AM:!'rZ"</f>
        <v>#VALUE!</v>
      </c>
      <c r="HB150" t="e">
        <f>'Delivery Calculation'!E239+"AM:!'r["</f>
        <v>#VALUE!</v>
      </c>
      <c r="HC150" t="e">
        <f>'Delivery Calculation'!F239+"AM:!'r\"</f>
        <v>#VALUE!</v>
      </c>
      <c r="HD150" t="e">
        <f>'Delivery Calculation'!G239+"AM:!'r]"</f>
        <v>#VALUE!</v>
      </c>
      <c r="HE150" t="e">
        <f>'Delivery Calculation'!H239+"AM:!'r^"</f>
        <v>#VALUE!</v>
      </c>
      <c r="HF150" t="e">
        <f>'Delivery Calculation'!I239+"AM:!'r_"</f>
        <v>#VALUE!</v>
      </c>
      <c r="HG150" t="e">
        <f>'Delivery Calculation'!J239+"AM:!'r`"</f>
        <v>#VALUE!</v>
      </c>
      <c r="HH150" t="e">
        <f>'Delivery Calculation'!K239+"AM:!'ra"</f>
        <v>#VALUE!</v>
      </c>
      <c r="HI150" t="e">
        <f>'Delivery Calculation'!L239+"AM:!'rb"</f>
        <v>#VALUE!</v>
      </c>
      <c r="HJ150" t="e">
        <f>'Delivery Calculation'!M239+"AM:!'rc"</f>
        <v>#DIV/0!</v>
      </c>
      <c r="HK150" t="e">
        <f>'Delivery Calculation'!N239+"AM:!'rd"</f>
        <v>#DIV/0!</v>
      </c>
      <c r="HL150" t="e">
        <f>'Delivery Calculation'!O239+"AM:!'re"</f>
        <v>#DIV/0!</v>
      </c>
      <c r="HM150" t="e">
        <f>'Delivery Calculation'!P239+"AM:!'rf"</f>
        <v>#VALUE!</v>
      </c>
      <c r="HN150" t="e">
        <f>'Delivery Calculation'!Q239+"AM:!'rg"</f>
        <v>#VALUE!</v>
      </c>
      <c r="HO150" t="e">
        <f>'Delivery Calculation'!R239+"AM:!'rh"</f>
        <v>#VALUE!</v>
      </c>
      <c r="HP150" t="e">
        <f>'Delivery Calculation'!S239+"AM:!'ri"</f>
        <v>#VALUE!</v>
      </c>
      <c r="HQ150" t="e">
        <f>'Delivery Calculation'!T239+"AM:!'rj"</f>
        <v>#VALUE!</v>
      </c>
      <c r="HR150" t="e">
        <f>'Delivery Calculation'!U239+"AM:!'rk"</f>
        <v>#VALUE!</v>
      </c>
      <c r="HS150" t="e">
        <f>'Delivery Calculation'!V239+"AM:!'rl"</f>
        <v>#VALUE!</v>
      </c>
      <c r="HT150" t="e">
        <f>'Delivery Calculation'!W239+"AM:!'rm"</f>
        <v>#VALUE!</v>
      </c>
      <c r="HU150" t="e">
        <f>'Delivery Calculation'!X239+"AM:!'rn"</f>
        <v>#VALUE!</v>
      </c>
      <c r="HV150" t="e">
        <f>'Delivery Calculation'!Y239+"AM:!'ro"</f>
        <v>#VALUE!</v>
      </c>
      <c r="HW150" t="e">
        <f>'Delivery Calculation'!Z239+"AM:!'rp"</f>
        <v>#VALUE!</v>
      </c>
      <c r="HX150" t="e">
        <f>'Delivery Calculation'!AA239+"AM:!'rq"</f>
        <v>#VALUE!</v>
      </c>
      <c r="HY150" t="e">
        <f>'Delivery Calculation'!AB239+"AM:!'rr"</f>
        <v>#VALUE!</v>
      </c>
      <c r="HZ150" t="e">
        <f>'Delivery Calculation'!AC239+"AM:!'rs"</f>
        <v>#VALUE!</v>
      </c>
      <c r="IA150" t="e">
        <f>'Delivery Calculation'!AD239+"AM:!'rt"</f>
        <v>#VALUE!</v>
      </c>
      <c r="IB150" t="e">
        <f>'Delivery Calculation'!AE239+"AM:!'ru"</f>
        <v>#VALUE!</v>
      </c>
      <c r="IC150" t="e">
        <f>'Delivery Calculation'!AF239+"AM:!'rv"</f>
        <v>#VALUE!</v>
      </c>
      <c r="ID150" t="e">
        <f>'Delivery Calculation'!AG239+"AM:!'rw"</f>
        <v>#VALUE!</v>
      </c>
      <c r="IE150" t="e">
        <f>'Delivery Calculation'!AH239+"AM:!'rx"</f>
        <v>#VALUE!</v>
      </c>
      <c r="IF150" t="e">
        <f>'Delivery Calculation'!AI239+"AM:!'ry"</f>
        <v>#VALUE!</v>
      </c>
      <c r="IG150" t="e">
        <f>'Delivery Calculation'!AJ239+"AM:!'rz"</f>
        <v>#VALUE!</v>
      </c>
      <c r="IH150" t="e">
        <f>'Delivery Calculation'!AK239+"AM:!'r{"</f>
        <v>#VALUE!</v>
      </c>
      <c r="II150" t="e">
        <f>'Delivery Calculation'!AL239+"AM:!'r|"</f>
        <v>#VALUE!</v>
      </c>
      <c r="IJ150" t="e">
        <f>'Delivery Calculation'!AM239+"AM:!'r}"</f>
        <v>#VALUE!</v>
      </c>
      <c r="IK150" t="e">
        <f>'Delivery Calculation'!AN239+"AM:!'r~"</f>
        <v>#VALUE!</v>
      </c>
      <c r="IL150" t="e">
        <f>'Delivery Calculation'!AO239+"AM:!'s#"</f>
        <v>#VALUE!</v>
      </c>
      <c r="IM150" t="e">
        <f>'Delivery Calculation'!AP239+"AM:!'s$"</f>
        <v>#VALUE!</v>
      </c>
      <c r="IN150" t="e">
        <f>'Delivery Calculation'!AQ239+"AM:!'s%"</f>
        <v>#VALUE!</v>
      </c>
      <c r="IO150" t="e">
        <f>'Delivery Calculation'!AR239+"AM:!'s&amp;"</f>
        <v>#VALUE!</v>
      </c>
      <c r="IP150" t="e">
        <f>'Delivery Calculation'!AS239+"AM:!'s'"</f>
        <v>#VALUE!</v>
      </c>
      <c r="IQ150" t="e">
        <f>'Delivery Calculation'!AT239+"AM:!'s("</f>
        <v>#VALUE!</v>
      </c>
      <c r="IR150" t="e">
        <f>'Delivery Calculation'!AU239+"AM:!'s)"</f>
        <v>#VALUE!</v>
      </c>
      <c r="IS150" t="e">
        <f>'Delivery Calculation'!AV239+"AM:!'s."</f>
        <v>#VALUE!</v>
      </c>
      <c r="IT150" t="e">
        <f>'Delivery Calculation'!AW239+"AM:!'s/"</f>
        <v>#VALUE!</v>
      </c>
      <c r="IU150" t="e">
        <f>'Delivery Calculation'!AX239+"AM:!'s0"</f>
        <v>#VALUE!</v>
      </c>
      <c r="IV150" t="e">
        <f>'Delivery Calculation'!AY239+"AM:!'s1"</f>
        <v>#VALUE!</v>
      </c>
    </row>
    <row r="151" spans="6:256">
      <c r="F151" t="e">
        <f>'Delivery Calculation'!AZ239+"AM:!'s2"</f>
        <v>#VALUE!</v>
      </c>
      <c r="G151" t="e">
        <f>'Delivery Calculation'!A240+"AM:!'s3"</f>
        <v>#VALUE!</v>
      </c>
      <c r="H151" t="e">
        <f>'Delivery Calculation'!B240+"AM:!'s4"</f>
        <v>#VALUE!</v>
      </c>
      <c r="I151" t="e">
        <f>'Delivery Calculation'!C240+"AM:!'s5"</f>
        <v>#VALUE!</v>
      </c>
      <c r="J151" t="e">
        <f>'Delivery Calculation'!D240+"AM:!'s6"</f>
        <v>#VALUE!</v>
      </c>
      <c r="K151" t="e">
        <f>'Delivery Calculation'!E240+"AM:!'s7"</f>
        <v>#VALUE!</v>
      </c>
      <c r="L151" t="e">
        <f>'Delivery Calculation'!F240+"AM:!'s8"</f>
        <v>#VALUE!</v>
      </c>
      <c r="M151" t="e">
        <f>'Delivery Calculation'!G240+"AM:!'s9"</f>
        <v>#VALUE!</v>
      </c>
      <c r="N151" t="e">
        <f>'Delivery Calculation'!H240+"AM:!'s:"</f>
        <v>#VALUE!</v>
      </c>
      <c r="O151" t="e">
        <f>'Delivery Calculation'!I240+"AM:!'s;"</f>
        <v>#VALUE!</v>
      </c>
      <c r="P151" t="e">
        <f>'Delivery Calculation'!J240+"AM:!'s&lt;"</f>
        <v>#VALUE!</v>
      </c>
      <c r="Q151" t="e">
        <f>'Delivery Calculation'!K240+"AM:!'s="</f>
        <v>#VALUE!</v>
      </c>
      <c r="R151" t="e">
        <f>'Delivery Calculation'!L240+"AM:!'s&gt;"</f>
        <v>#VALUE!</v>
      </c>
      <c r="S151" t="e">
        <f>'Delivery Calculation'!M240+"AM:!'s?"</f>
        <v>#VALUE!</v>
      </c>
      <c r="T151" t="e">
        <f>'Delivery Calculation'!N240+"AM:!'s@"</f>
        <v>#VALUE!</v>
      </c>
      <c r="U151" t="e">
        <f>'Delivery Calculation'!O240+"AM:!'sA"</f>
        <v>#VALUE!</v>
      </c>
      <c r="V151" t="e">
        <f>'Delivery Calculation'!P240+"AM:!'sB"</f>
        <v>#VALUE!</v>
      </c>
      <c r="W151" t="e">
        <f>'Delivery Calculation'!Q240+"AM:!'sC"</f>
        <v>#VALUE!</v>
      </c>
      <c r="X151" t="e">
        <f>'Delivery Calculation'!R240+"AM:!'sD"</f>
        <v>#VALUE!</v>
      </c>
      <c r="Y151" t="e">
        <f>'Delivery Calculation'!S240+"AM:!'sE"</f>
        <v>#VALUE!</v>
      </c>
      <c r="Z151" t="e">
        <f>'Delivery Calculation'!T240+"AM:!'sF"</f>
        <v>#VALUE!</v>
      </c>
      <c r="AA151" t="e">
        <f>'Delivery Calculation'!U240+"AM:!'sG"</f>
        <v>#VALUE!</v>
      </c>
      <c r="AB151" t="e">
        <f>'Delivery Calculation'!V240+"AM:!'sH"</f>
        <v>#VALUE!</v>
      </c>
      <c r="AC151" t="e">
        <f>'Delivery Calculation'!W240+"AM:!'sI"</f>
        <v>#VALUE!</v>
      </c>
      <c r="AD151" t="e">
        <f>'Delivery Calculation'!X240+"AM:!'sJ"</f>
        <v>#VALUE!</v>
      </c>
      <c r="AE151" t="e">
        <f>'Delivery Calculation'!Y240+"AM:!'sK"</f>
        <v>#VALUE!</v>
      </c>
      <c r="AF151" t="e">
        <f>'Delivery Calculation'!Z240+"AM:!'sL"</f>
        <v>#VALUE!</v>
      </c>
      <c r="AG151" t="e">
        <f>'Delivery Calculation'!AA240+"AM:!'sM"</f>
        <v>#VALUE!</v>
      </c>
      <c r="AH151" t="e">
        <f>'Delivery Calculation'!AB240+"AM:!'sN"</f>
        <v>#VALUE!</v>
      </c>
      <c r="AI151" t="e">
        <f>'Delivery Calculation'!AC240+"AM:!'sO"</f>
        <v>#VALUE!</v>
      </c>
      <c r="AJ151" t="e">
        <f>'Delivery Calculation'!AD240+"AM:!'sP"</f>
        <v>#VALUE!</v>
      </c>
      <c r="AK151" t="e">
        <f>'Delivery Calculation'!AE240+"AM:!'sQ"</f>
        <v>#VALUE!</v>
      </c>
      <c r="AL151" t="e">
        <f>'Delivery Calculation'!AF240+"AM:!'sR"</f>
        <v>#VALUE!</v>
      </c>
      <c r="AM151" t="e">
        <f>'Delivery Calculation'!AG240+"AM:!'sS"</f>
        <v>#VALUE!</v>
      </c>
      <c r="AN151" t="e">
        <f>'Delivery Calculation'!AH240+"AM:!'sT"</f>
        <v>#VALUE!</v>
      </c>
      <c r="AO151" t="e">
        <f>'Delivery Calculation'!AI240+"AM:!'sU"</f>
        <v>#VALUE!</v>
      </c>
      <c r="AP151" t="e">
        <f>'Delivery Calculation'!AJ240+"AM:!'sV"</f>
        <v>#VALUE!</v>
      </c>
      <c r="AQ151" t="e">
        <f>'Delivery Calculation'!AK240+"AM:!'sW"</f>
        <v>#VALUE!</v>
      </c>
      <c r="AR151" t="e">
        <f>'Delivery Calculation'!AL240+"AM:!'sX"</f>
        <v>#VALUE!</v>
      </c>
      <c r="AS151" t="e">
        <f>'Delivery Calculation'!AM240+"AM:!'sY"</f>
        <v>#VALUE!</v>
      </c>
      <c r="AT151" t="e">
        <f>'Delivery Calculation'!AN240+"AM:!'sZ"</f>
        <v>#VALUE!</v>
      </c>
      <c r="AU151" t="e">
        <f>'Delivery Calculation'!AO240+"AM:!'s["</f>
        <v>#VALUE!</v>
      </c>
      <c r="AV151" t="e">
        <f>'Delivery Calculation'!AP240+"AM:!'s\"</f>
        <v>#VALUE!</v>
      </c>
      <c r="AW151" t="e">
        <f>'Delivery Calculation'!AQ240+"AM:!'s]"</f>
        <v>#VALUE!</v>
      </c>
      <c r="AX151" t="e">
        <f>'Delivery Calculation'!AR240+"AM:!'s^"</f>
        <v>#VALUE!</v>
      </c>
      <c r="AY151" t="e">
        <f>'Delivery Calculation'!AS240+"AM:!'s_"</f>
        <v>#VALUE!</v>
      </c>
      <c r="AZ151" t="e">
        <f>'Delivery Calculation'!AT240+"AM:!'s`"</f>
        <v>#VALUE!</v>
      </c>
      <c r="BA151" t="e">
        <f>'Delivery Calculation'!AU240+"AM:!'sa"</f>
        <v>#VALUE!</v>
      </c>
      <c r="BB151" t="e">
        <f>'Delivery Calculation'!AV240+"AM:!'sb"</f>
        <v>#VALUE!</v>
      </c>
      <c r="BC151" t="e">
        <f>'Delivery Calculation'!AW240+"AM:!'sc"</f>
        <v>#VALUE!</v>
      </c>
      <c r="BD151" t="e">
        <f>'Delivery Calculation'!AX240+"AM:!'sd"</f>
        <v>#VALUE!</v>
      </c>
      <c r="BE151" t="e">
        <f>'Delivery Calculation'!AY240+"AM:!'se"</f>
        <v>#VALUE!</v>
      </c>
      <c r="BF151" t="e">
        <f>'Delivery Calculation'!AZ240+"AM:!'sf"</f>
        <v>#VALUE!</v>
      </c>
      <c r="BG151" t="e">
        <f>'Delivery Calculation'!A241+"AM:!'sg"</f>
        <v>#VALUE!</v>
      </c>
      <c r="BH151" t="e">
        <f>'Delivery Calculation'!B241+"AM:!'sh"</f>
        <v>#VALUE!</v>
      </c>
      <c r="BI151" t="e">
        <f>'Delivery Calculation'!C241+"AM:!'si"</f>
        <v>#VALUE!</v>
      </c>
      <c r="BJ151" t="e">
        <f>'Delivery Calculation'!D241+"AM:!'sj"</f>
        <v>#VALUE!</v>
      </c>
      <c r="BK151" t="e">
        <f>'Delivery Calculation'!E241+"AM:!'sk"</f>
        <v>#VALUE!</v>
      </c>
      <c r="BL151" t="e">
        <f>'Delivery Calculation'!F241+"AM:!'sl"</f>
        <v>#VALUE!</v>
      </c>
      <c r="BM151" t="e">
        <f>'Delivery Calculation'!G241+"AM:!'sm"</f>
        <v>#VALUE!</v>
      </c>
      <c r="BN151" t="e">
        <f>'Delivery Calculation'!H241+"AM:!'sn"</f>
        <v>#VALUE!</v>
      </c>
      <c r="BO151" s="97" t="e">
        <f>'Delivery Calculation'!I241+"AM:!'so"</f>
        <v>#VALUE!</v>
      </c>
      <c r="BP151" s="97" t="e">
        <f>'Delivery Calculation'!J241+"AM:!'sp"</f>
        <v>#VALUE!</v>
      </c>
      <c r="BQ151" t="e">
        <f>'Delivery Calculation'!K241+"AM:!'sq"</f>
        <v>#VALUE!</v>
      </c>
      <c r="BR151" t="e">
        <f>'Delivery Calculation'!L241+"AM:!'sr"</f>
        <v>#VALUE!</v>
      </c>
      <c r="BS151" t="e">
        <f>'Delivery Calculation'!M241+"AM:!'ss"</f>
        <v>#VALUE!</v>
      </c>
      <c r="BT151" t="e">
        <f>'Delivery Calculation'!N241+"AM:!'st"</f>
        <v>#VALUE!</v>
      </c>
      <c r="BU151" t="e">
        <f>'Delivery Calculation'!O241+"AM:!'su"</f>
        <v>#VALUE!</v>
      </c>
      <c r="BV151" t="e">
        <f>'Delivery Calculation'!P241+"AM:!'sv"</f>
        <v>#VALUE!</v>
      </c>
      <c r="BW151" t="e">
        <f>'Delivery Calculation'!Q241+"AM:!'sw"</f>
        <v>#VALUE!</v>
      </c>
      <c r="BX151" t="e">
        <f>'Delivery Calculation'!R241+"AM:!'sx"</f>
        <v>#VALUE!</v>
      </c>
      <c r="BY151" t="e">
        <f>'Delivery Calculation'!S241+"AM:!'sy"</f>
        <v>#VALUE!</v>
      </c>
      <c r="BZ151" t="e">
        <f>'Delivery Calculation'!T241+"AM:!'sz"</f>
        <v>#VALUE!</v>
      </c>
      <c r="CA151" t="e">
        <f>'Delivery Calculation'!U241+"AM:!'s{"</f>
        <v>#VALUE!</v>
      </c>
      <c r="CB151" t="e">
        <f>'Delivery Calculation'!V241+"AM:!'s|"</f>
        <v>#VALUE!</v>
      </c>
      <c r="CC151" t="e">
        <f>'Delivery Calculation'!W241+"AM:!'s}"</f>
        <v>#VALUE!</v>
      </c>
      <c r="CD151" t="e">
        <f>'Delivery Calculation'!X241+"AM:!'s~"</f>
        <v>#VALUE!</v>
      </c>
      <c r="CE151" t="e">
        <f>'Delivery Calculation'!Y241+"AM:!'t#"</f>
        <v>#VALUE!</v>
      </c>
      <c r="CF151" t="e">
        <f>'Delivery Calculation'!Z241+"AM:!'t$"</f>
        <v>#VALUE!</v>
      </c>
      <c r="CG151" t="e">
        <f>'Delivery Calculation'!AA241+"AM:!'t%"</f>
        <v>#VALUE!</v>
      </c>
      <c r="CH151" t="e">
        <f>'Delivery Calculation'!AB241+"AM:!'t&amp;"</f>
        <v>#VALUE!</v>
      </c>
      <c r="CI151" t="e">
        <f>'Delivery Calculation'!AC241+"AM:!'t'"</f>
        <v>#VALUE!</v>
      </c>
      <c r="CJ151" t="e">
        <f>'Delivery Calculation'!AD241+"AM:!'t("</f>
        <v>#VALUE!</v>
      </c>
      <c r="CK151" t="e">
        <f>'Delivery Calculation'!AE241+"AM:!'t)"</f>
        <v>#VALUE!</v>
      </c>
      <c r="CL151" t="e">
        <f>'Delivery Calculation'!AF241+"AM:!'t."</f>
        <v>#VALUE!</v>
      </c>
      <c r="CM151" t="e">
        <f>'Delivery Calculation'!AG241+"AM:!'t/"</f>
        <v>#VALUE!</v>
      </c>
      <c r="CN151" t="e">
        <f>'Delivery Calculation'!AH241+"AM:!'t0"</f>
        <v>#VALUE!</v>
      </c>
      <c r="CO151" t="e">
        <f>'Delivery Calculation'!AI241+"AM:!'t1"</f>
        <v>#VALUE!</v>
      </c>
      <c r="CP151" t="e">
        <f>'Delivery Calculation'!AJ241+"AM:!'t2"</f>
        <v>#VALUE!</v>
      </c>
      <c r="CQ151" t="e">
        <f>'Delivery Calculation'!AK241+"AM:!'t3"</f>
        <v>#VALUE!</v>
      </c>
      <c r="CR151" t="e">
        <f>'Delivery Calculation'!AL241+"AM:!'t4"</f>
        <v>#VALUE!</v>
      </c>
      <c r="CS151" t="e">
        <f>'Delivery Calculation'!AM241+"AM:!'t5"</f>
        <v>#VALUE!</v>
      </c>
      <c r="CT151" t="e">
        <f>'Delivery Calculation'!AN241+"AM:!'t6"</f>
        <v>#VALUE!</v>
      </c>
      <c r="CU151" t="e">
        <f>'Delivery Calculation'!AO241+"AM:!'t7"</f>
        <v>#VALUE!</v>
      </c>
      <c r="CV151" t="e">
        <f>'Delivery Calculation'!AP241+"AM:!'t8"</f>
        <v>#VALUE!</v>
      </c>
      <c r="CW151" t="e">
        <f>'Delivery Calculation'!AQ241+"AM:!'t9"</f>
        <v>#VALUE!</v>
      </c>
      <c r="CX151" t="e">
        <f>'Delivery Calculation'!AR241+"AM:!'t:"</f>
        <v>#VALUE!</v>
      </c>
      <c r="CY151" t="e">
        <f>'Delivery Calculation'!AS241+"AM:!'t;"</f>
        <v>#VALUE!</v>
      </c>
      <c r="CZ151" t="e">
        <f>'Delivery Calculation'!AT241+"AM:!'t&lt;"</f>
        <v>#VALUE!</v>
      </c>
      <c r="DA151" t="e">
        <f>'Delivery Calculation'!AU241+"AM:!'t="</f>
        <v>#VALUE!</v>
      </c>
      <c r="DB151" t="e">
        <f>'Delivery Calculation'!AV241+"AM:!'t&gt;"</f>
        <v>#VALUE!</v>
      </c>
      <c r="DC151" t="e">
        <f>'Delivery Calculation'!AW241+"AM:!'t?"</f>
        <v>#VALUE!</v>
      </c>
      <c r="DD151" t="e">
        <f>'Delivery Calculation'!AX241+"AM:!'t@"</f>
        <v>#VALUE!</v>
      </c>
      <c r="DE151" t="e">
        <f>'Delivery Calculation'!AY241+"AM:!'tA"</f>
        <v>#VALUE!</v>
      </c>
      <c r="DF151" t="e">
        <f>'Delivery Calculation'!AZ241+"AM:!'tB"</f>
        <v>#VALUE!</v>
      </c>
      <c r="DG151" t="e">
        <f>'Delivery Calculation'!BA241+"AM:!'tC"</f>
        <v>#VALUE!</v>
      </c>
      <c r="DH151" t="e">
        <f>'Delivery Calculation'!BB241+"AM:!'tD"</f>
        <v>#VALUE!</v>
      </c>
      <c r="DI151" t="e">
        <f>'Delivery Calculation'!A242+"AM:!'tE"</f>
        <v>#VALUE!</v>
      </c>
      <c r="DJ151" t="e">
        <f>'Delivery Calculation'!B242+"AM:!'tF"</f>
        <v>#VALUE!</v>
      </c>
      <c r="DK151" t="e">
        <f>'Delivery Calculation'!C242+"AM:!'tG"</f>
        <v>#VALUE!</v>
      </c>
      <c r="DL151" t="e">
        <f>'Delivery Calculation'!D242+"AM:!'tH"</f>
        <v>#VALUE!</v>
      </c>
      <c r="DM151" t="e">
        <f>'Delivery Calculation'!E242+"AM:!'tI"</f>
        <v>#VALUE!</v>
      </c>
      <c r="DN151" s="98" t="e">
        <f>'Delivery Calculation'!F242+"AM:!'tJ"</f>
        <v>#VALUE!</v>
      </c>
      <c r="DO151" s="98" t="e">
        <f>'Delivery Calculation'!G242+"AM:!'tK"</f>
        <v>#VALUE!</v>
      </c>
      <c r="DP151" t="e">
        <f>'Delivery Calculation'!H242+"AM:!'tL"</f>
        <v>#VALUE!</v>
      </c>
      <c r="DQ151" s="97" t="e">
        <f>'Delivery Calculation'!I242+"AM:!'tM"</f>
        <v>#VALUE!</v>
      </c>
      <c r="DR151" s="103" t="e">
        <f>'Delivery Calculation'!J242+"AM:!'tN"</f>
        <v>#VALUE!</v>
      </c>
      <c r="DS151" s="98" t="e">
        <f>'Delivery Calculation'!K242+"AM:!'tO"</f>
        <v>#VALUE!</v>
      </c>
      <c r="DT151" s="98" t="e">
        <f>'Delivery Calculation'!L242+"AM:!'tP"</f>
        <v>#VALUE!</v>
      </c>
      <c r="DU151" s="99" t="e">
        <f>'Delivery Calculation'!M242+"AM:!'tQ"</f>
        <v>#VALUE!</v>
      </c>
      <c r="DV151" s="99" t="e">
        <f>'Delivery Calculation'!N242+"AM:!'tR"</f>
        <v>#VALUE!</v>
      </c>
      <c r="DW151" s="99" t="e">
        <f>'Delivery Calculation'!O242+"AM:!'tS"</f>
        <v>#VALUE!</v>
      </c>
      <c r="DX151" s="99" t="e">
        <f>'Delivery Calculation'!P242+"AM:!'tT"</f>
        <v>#VALUE!</v>
      </c>
      <c r="DY151" s="99" t="e">
        <f>'Delivery Calculation'!Q242+"AM:!'tU"</f>
        <v>#VALUE!</v>
      </c>
      <c r="DZ151" s="101" t="e">
        <f>'Delivery Calculation'!R242+"AM:!'tV"</f>
        <v>#VALUE!</v>
      </c>
      <c r="EA151" s="101" t="e">
        <f>'Delivery Calculation'!S242+"AM:!'tW"</f>
        <v>#VALUE!</v>
      </c>
      <c r="EB151" s="101" t="e">
        <f>'Delivery Calculation'!T242+"AM:!'tX"</f>
        <v>#VALUE!</v>
      </c>
      <c r="EC151" s="101" t="e">
        <f>'Delivery Calculation'!U242+"AM:!'tY"</f>
        <v>#VALUE!</v>
      </c>
      <c r="ED151" s="101" t="e">
        <f>'Delivery Calculation'!V242+"AM:!'tZ"</f>
        <v>#VALUE!</v>
      </c>
      <c r="EE151" s="101" t="e">
        <f>'Delivery Calculation'!W242+"AM:!'t["</f>
        <v>#VALUE!</v>
      </c>
      <c r="EF151" s="101" t="e">
        <f>'Delivery Calculation'!X242+"AM:!'t\"</f>
        <v>#VALUE!</v>
      </c>
      <c r="EG151" s="101" t="e">
        <f>'Delivery Calculation'!Y242+"AM:!'t]"</f>
        <v>#VALUE!</v>
      </c>
      <c r="EH151" s="101" t="e">
        <f>'Delivery Calculation'!Z242+"AM:!'t^"</f>
        <v>#VALUE!</v>
      </c>
      <c r="EI151" s="101" t="e">
        <f>'Delivery Calculation'!AA242+"AM:!'t_"</f>
        <v>#VALUE!</v>
      </c>
      <c r="EJ151" s="101" t="e">
        <f>'Delivery Calculation'!AB242+"AM:!'t`"</f>
        <v>#VALUE!</v>
      </c>
      <c r="EK151" s="101" t="e">
        <f>'Delivery Calculation'!AC242+"AM:!'ta"</f>
        <v>#VALUE!</v>
      </c>
      <c r="EL151" s="101" t="e">
        <f>'Delivery Calculation'!AD242+"AM:!'tb"</f>
        <v>#VALUE!</v>
      </c>
      <c r="EM151" s="101" t="e">
        <f>'Delivery Calculation'!AE242+"AM:!'tc"</f>
        <v>#VALUE!</v>
      </c>
      <c r="EN151" s="101" t="e">
        <f>'Delivery Calculation'!AF242+"AM:!'td"</f>
        <v>#VALUE!</v>
      </c>
      <c r="EO151" s="101" t="e">
        <f>'Delivery Calculation'!AG242+"AM:!'te"</f>
        <v>#VALUE!</v>
      </c>
      <c r="EP151" s="101" t="e">
        <f>'Delivery Calculation'!AH242+"AM:!'tf"</f>
        <v>#VALUE!</v>
      </c>
      <c r="EQ151" s="101" t="e">
        <f>'Delivery Calculation'!AI242+"AM:!'tg"</f>
        <v>#VALUE!</v>
      </c>
      <c r="ER151" s="101" t="e">
        <f>'Delivery Calculation'!AJ242+"AM:!'th"</f>
        <v>#VALUE!</v>
      </c>
      <c r="ES151" s="101" t="e">
        <f>'Delivery Calculation'!AK242+"AM:!'ti"</f>
        <v>#VALUE!</v>
      </c>
      <c r="ET151" s="101" t="e">
        <f>'Delivery Calculation'!AL242+"AM:!'tj"</f>
        <v>#VALUE!</v>
      </c>
      <c r="EU151" s="101" t="e">
        <f>'Delivery Calculation'!AM242+"AM:!'tk"</f>
        <v>#VALUE!</v>
      </c>
      <c r="EV151" s="101" t="e">
        <f>'Delivery Calculation'!AN242+"AM:!'tl"</f>
        <v>#VALUE!</v>
      </c>
      <c r="EW151" s="101" t="e">
        <f>'Delivery Calculation'!AO242+"AM:!'tm"</f>
        <v>#VALUE!</v>
      </c>
      <c r="EX151" s="101" t="e">
        <f>'Delivery Calculation'!AP242+"AM:!'tn"</f>
        <v>#VALUE!</v>
      </c>
      <c r="EY151" s="101" t="e">
        <f>'Delivery Calculation'!AQ242+"AM:!'to"</f>
        <v>#VALUE!</v>
      </c>
      <c r="EZ151" s="101" t="e">
        <f>'Delivery Calculation'!AR242+"AM:!'tp"</f>
        <v>#VALUE!</v>
      </c>
      <c r="FA151" s="101" t="e">
        <f>'Delivery Calculation'!AS242+"AM:!'tq"</f>
        <v>#VALUE!</v>
      </c>
      <c r="FB151" s="101" t="e">
        <f>'Delivery Calculation'!AT242+"AM:!'tr"</f>
        <v>#VALUE!</v>
      </c>
      <c r="FC151" s="101" t="e">
        <f>'Delivery Calculation'!AU242+"AM:!'ts"</f>
        <v>#VALUE!</v>
      </c>
      <c r="FD151" s="101" t="e">
        <f>'Delivery Calculation'!AV242+"AM:!'tt"</f>
        <v>#VALUE!</v>
      </c>
      <c r="FE151" s="101" t="e">
        <f>'Delivery Calculation'!AW242+"AM:!'tu"</f>
        <v>#VALUE!</v>
      </c>
      <c r="FF151" s="101" t="e">
        <f>'Delivery Calculation'!AX242+"AM:!'tv"</f>
        <v>#VALUE!</v>
      </c>
      <c r="FG151" s="101" t="e">
        <f>'Delivery Calculation'!AY242+"AM:!'tw"</f>
        <v>#VALUE!</v>
      </c>
      <c r="FH151" s="101" t="e">
        <f>'Delivery Calculation'!AZ242+"AM:!'tx"</f>
        <v>#VALUE!</v>
      </c>
      <c r="FI151" s="101" t="e">
        <f>'Delivery Calculation'!BA242+"AM:!'ty"</f>
        <v>#VALUE!</v>
      </c>
      <c r="FJ151" t="e">
        <f>'Delivery Calculation'!BB242+"AM:!'tz"</f>
        <v>#VALUE!</v>
      </c>
      <c r="FK151" t="e">
        <f>'Delivery Calculation'!A243+"AM:!'t{"</f>
        <v>#VALUE!</v>
      </c>
      <c r="FL151" t="e">
        <f>'Delivery Calculation'!B243+"AM:!'t|"</f>
        <v>#VALUE!</v>
      </c>
      <c r="FM151" t="e">
        <f>'Delivery Calculation'!C243+"AM:!'t}"</f>
        <v>#VALUE!</v>
      </c>
      <c r="FN151" t="e">
        <f>'Delivery Calculation'!D243+"AM:!'t~"</f>
        <v>#VALUE!</v>
      </c>
      <c r="FO151" t="e">
        <f>'Delivery Calculation'!E243+"AM:!'u#"</f>
        <v>#VALUE!</v>
      </c>
      <c r="FP151" s="98" t="e">
        <f>'Delivery Calculation'!F243+"AM:!'u$"</f>
        <v>#VALUE!</v>
      </c>
      <c r="FQ151" s="98" t="e">
        <f>'Delivery Calculation'!G243+"AM:!'u%"</f>
        <v>#VALUE!</v>
      </c>
      <c r="FR151" t="e">
        <f>'Delivery Calculation'!H243+"AM:!'u&amp;"</f>
        <v>#VALUE!</v>
      </c>
      <c r="FS151" s="97" t="e">
        <f>'Delivery Calculation'!I243+"AM:!'u'"</f>
        <v>#VALUE!</v>
      </c>
      <c r="FT151" s="103" t="e">
        <f>'Delivery Calculation'!J243+"AM:!'u("</f>
        <v>#VALUE!</v>
      </c>
      <c r="FU151" s="98" t="e">
        <f>'Delivery Calculation'!K243+"AM:!'u)"</f>
        <v>#VALUE!</v>
      </c>
      <c r="FV151" s="98" t="e">
        <f>'Delivery Calculation'!L243+"AM:!'u."</f>
        <v>#VALUE!</v>
      </c>
      <c r="FW151" s="99" t="e">
        <f>'Delivery Calculation'!M243+"AM:!'u/"</f>
        <v>#VALUE!</v>
      </c>
      <c r="FX151" s="99" t="e">
        <f>'Delivery Calculation'!N243+"AM:!'u0"</f>
        <v>#VALUE!</v>
      </c>
      <c r="FY151" s="101" t="e">
        <f>'Delivery Calculation'!O243+"AM:!'u1"</f>
        <v>#VALUE!</v>
      </c>
      <c r="FZ151" s="101" t="e">
        <f>'Delivery Calculation'!P243+"AM:!'u2"</f>
        <v>#VALUE!</v>
      </c>
      <c r="GA151" s="101" t="e">
        <f>'Delivery Calculation'!Q243+"AM:!'u3"</f>
        <v>#VALUE!</v>
      </c>
      <c r="GB151" s="101" t="e">
        <f>'Delivery Calculation'!R243+"AM:!'u4"</f>
        <v>#VALUE!</v>
      </c>
      <c r="GC151" s="101" t="e">
        <f>'Delivery Calculation'!S243+"AM:!'u5"</f>
        <v>#VALUE!</v>
      </c>
      <c r="GD151" s="101" t="e">
        <f>'Delivery Calculation'!T243+"AM:!'u6"</f>
        <v>#VALUE!</v>
      </c>
      <c r="GE151" s="101" t="e">
        <f>'Delivery Calculation'!U243+"AM:!'u7"</f>
        <v>#VALUE!</v>
      </c>
      <c r="GF151" s="101" t="e">
        <f>'Delivery Calculation'!V243+"AM:!'u8"</f>
        <v>#VALUE!</v>
      </c>
      <c r="GG151" s="101" t="e">
        <f>'Delivery Calculation'!W243+"AM:!'u9"</f>
        <v>#VALUE!</v>
      </c>
      <c r="GH151" s="101" t="e">
        <f>'Delivery Calculation'!X243+"AM:!'u:"</f>
        <v>#VALUE!</v>
      </c>
      <c r="GI151" s="101" t="e">
        <f>'Delivery Calculation'!Y243+"AM:!'u;"</f>
        <v>#VALUE!</v>
      </c>
      <c r="GJ151" s="101" t="e">
        <f>'Delivery Calculation'!Z243+"AM:!'u&lt;"</f>
        <v>#VALUE!</v>
      </c>
      <c r="GK151" s="101" t="e">
        <f>'Delivery Calculation'!AA243+"AM:!'u="</f>
        <v>#VALUE!</v>
      </c>
      <c r="GL151" s="101" t="e">
        <f>'Delivery Calculation'!AB243+"AM:!'u&gt;"</f>
        <v>#VALUE!</v>
      </c>
      <c r="GM151" s="101" t="e">
        <f>'Delivery Calculation'!AC243+"AM:!'u?"</f>
        <v>#VALUE!</v>
      </c>
      <c r="GN151" s="101" t="e">
        <f>'Delivery Calculation'!AD243+"AM:!'u@"</f>
        <v>#VALUE!</v>
      </c>
      <c r="GO151" s="101" t="e">
        <f>'Delivery Calculation'!AE243+"AM:!'uA"</f>
        <v>#VALUE!</v>
      </c>
      <c r="GP151" s="101" t="e">
        <f>'Delivery Calculation'!AF243+"AM:!'uB"</f>
        <v>#VALUE!</v>
      </c>
      <c r="GQ151" s="101" t="e">
        <f>'Delivery Calculation'!AG243+"AM:!'uC"</f>
        <v>#VALUE!</v>
      </c>
      <c r="GR151" s="101" t="e">
        <f>'Delivery Calculation'!AH243+"AM:!'uD"</f>
        <v>#VALUE!</v>
      </c>
      <c r="GS151" s="101" t="e">
        <f>'Delivery Calculation'!AI243+"AM:!'uE"</f>
        <v>#VALUE!</v>
      </c>
      <c r="GT151" s="101" t="e">
        <f>'Delivery Calculation'!AJ243+"AM:!'uF"</f>
        <v>#VALUE!</v>
      </c>
      <c r="GU151" s="101" t="e">
        <f>'Delivery Calculation'!AK243+"AM:!'uG"</f>
        <v>#VALUE!</v>
      </c>
      <c r="GV151" s="101" t="e">
        <f>'Delivery Calculation'!AL243+"AM:!'uH"</f>
        <v>#VALUE!</v>
      </c>
      <c r="GW151" s="101" t="e">
        <f>'Delivery Calculation'!AM243+"AM:!'uI"</f>
        <v>#VALUE!</v>
      </c>
      <c r="GX151" s="101" t="e">
        <f>'Delivery Calculation'!AN243+"AM:!'uJ"</f>
        <v>#VALUE!</v>
      </c>
      <c r="GY151" s="101" t="e">
        <f>'Delivery Calculation'!AO243+"AM:!'uK"</f>
        <v>#VALUE!</v>
      </c>
      <c r="GZ151" s="101" t="e">
        <f>'Delivery Calculation'!AP243+"AM:!'uL"</f>
        <v>#VALUE!</v>
      </c>
      <c r="HA151" s="101" t="e">
        <f>'Delivery Calculation'!AQ243+"AM:!'uM"</f>
        <v>#VALUE!</v>
      </c>
      <c r="HB151" s="101" t="e">
        <f>'Delivery Calculation'!AR243+"AM:!'uN"</f>
        <v>#VALUE!</v>
      </c>
      <c r="HC151" s="101" t="e">
        <f>'Delivery Calculation'!AS243+"AM:!'uO"</f>
        <v>#VALUE!</v>
      </c>
      <c r="HD151" s="101" t="e">
        <f>'Delivery Calculation'!AT243+"AM:!'uP"</f>
        <v>#VALUE!</v>
      </c>
      <c r="HE151" s="101" t="e">
        <f>'Delivery Calculation'!AU243+"AM:!'uQ"</f>
        <v>#VALUE!</v>
      </c>
      <c r="HF151" s="101" t="e">
        <f>'Delivery Calculation'!AV243+"AM:!'uR"</f>
        <v>#VALUE!</v>
      </c>
      <c r="HG151" s="101" t="e">
        <f>'Delivery Calculation'!AW243+"AM:!'uS"</f>
        <v>#VALUE!</v>
      </c>
      <c r="HH151" s="101" t="e">
        <f>'Delivery Calculation'!AX243+"AM:!'uT"</f>
        <v>#VALUE!</v>
      </c>
      <c r="HI151" s="101" t="e">
        <f>'Delivery Calculation'!AY243+"AM:!'uU"</f>
        <v>#VALUE!</v>
      </c>
      <c r="HJ151" s="101" t="e">
        <f>'Delivery Calculation'!AZ243+"AM:!'uV"</f>
        <v>#VALUE!</v>
      </c>
      <c r="HK151" s="101" t="e">
        <f>'Delivery Calculation'!BA243+"AM:!'uW"</f>
        <v>#VALUE!</v>
      </c>
      <c r="HL151" t="e">
        <f>'Delivery Calculation'!BB243+"AM:!'uX"</f>
        <v>#VALUE!</v>
      </c>
      <c r="HM151" t="e">
        <f>'Delivery Calculation'!A244+"AM:!'uY"</f>
        <v>#VALUE!</v>
      </c>
      <c r="HN151" t="e">
        <f>'Delivery Calculation'!B244+"AM:!'uZ"</f>
        <v>#VALUE!</v>
      </c>
      <c r="HO151" t="e">
        <f>'Delivery Calculation'!C244+"AM:!'u["</f>
        <v>#VALUE!</v>
      </c>
      <c r="HP151" t="e">
        <f>'Delivery Calculation'!D244+"AM:!'u\"</f>
        <v>#VALUE!</v>
      </c>
      <c r="HQ151" t="e">
        <f>'Delivery Calculation'!E244+"AM:!'u]"</f>
        <v>#VALUE!</v>
      </c>
      <c r="HR151" s="98" t="e">
        <f>'Delivery Calculation'!F244+"AM:!'u^"</f>
        <v>#VALUE!</v>
      </c>
      <c r="HS151" s="98" t="e">
        <f>'Delivery Calculation'!G244+"AM:!'u_"</f>
        <v>#VALUE!</v>
      </c>
      <c r="HT151" t="e">
        <f>'Delivery Calculation'!H244+"AM:!'u`"</f>
        <v>#VALUE!</v>
      </c>
      <c r="HU151" s="97" t="e">
        <f>'Delivery Calculation'!I244+"AM:!'ua"</f>
        <v>#VALUE!</v>
      </c>
      <c r="HV151" s="103" t="e">
        <f>'Delivery Calculation'!J244+"AM:!'ub"</f>
        <v>#VALUE!</v>
      </c>
      <c r="HW151" s="98" t="e">
        <f>'Delivery Calculation'!K244+"AM:!'uc"</f>
        <v>#VALUE!</v>
      </c>
      <c r="HX151" s="98" t="e">
        <f>'Delivery Calculation'!L244+"AM:!'ud"</f>
        <v>#VALUE!</v>
      </c>
      <c r="HY151" s="99" t="e">
        <f>'Delivery Calculation'!M244+"AM:!'ue"</f>
        <v>#VALUE!</v>
      </c>
      <c r="HZ151" s="99" t="e">
        <f>'Delivery Calculation'!N244+"AM:!'uf"</f>
        <v>#VALUE!</v>
      </c>
      <c r="IA151" s="101" t="e">
        <f>'Delivery Calculation'!O244+"AM:!'ug"</f>
        <v>#VALUE!</v>
      </c>
      <c r="IB151" s="101" t="e">
        <f>'Delivery Calculation'!P244+"AM:!'uh"</f>
        <v>#VALUE!</v>
      </c>
      <c r="IC151" s="101" t="e">
        <f>'Delivery Calculation'!Q244+"AM:!'ui"</f>
        <v>#VALUE!</v>
      </c>
      <c r="ID151" s="101" t="e">
        <f>'Delivery Calculation'!R244+"AM:!'uj"</f>
        <v>#VALUE!</v>
      </c>
      <c r="IE151" s="101" t="e">
        <f>'Delivery Calculation'!S244+"AM:!'uk"</f>
        <v>#VALUE!</v>
      </c>
      <c r="IF151" s="101" t="e">
        <f>'Delivery Calculation'!T244+"AM:!'ul"</f>
        <v>#VALUE!</v>
      </c>
      <c r="IG151" s="101" t="e">
        <f>'Delivery Calculation'!U244+"AM:!'um"</f>
        <v>#VALUE!</v>
      </c>
      <c r="IH151" s="101" t="e">
        <f>'Delivery Calculation'!V244+"AM:!'un"</f>
        <v>#VALUE!</v>
      </c>
      <c r="II151" s="101" t="e">
        <f>'Delivery Calculation'!W244+"AM:!'uo"</f>
        <v>#VALUE!</v>
      </c>
      <c r="IJ151" s="101" t="e">
        <f>'Delivery Calculation'!X244+"AM:!'up"</f>
        <v>#VALUE!</v>
      </c>
      <c r="IK151" s="101" t="e">
        <f>'Delivery Calculation'!Y244+"AM:!'uq"</f>
        <v>#VALUE!</v>
      </c>
      <c r="IL151" s="101" t="e">
        <f>'Delivery Calculation'!Z244+"AM:!'ur"</f>
        <v>#VALUE!</v>
      </c>
      <c r="IM151" s="101" t="e">
        <f>'Delivery Calculation'!AA244+"AM:!'us"</f>
        <v>#VALUE!</v>
      </c>
      <c r="IN151" s="101" t="e">
        <f>'Delivery Calculation'!AB244+"AM:!'ut"</f>
        <v>#VALUE!</v>
      </c>
      <c r="IO151" s="101" t="e">
        <f>'Delivery Calculation'!AC244+"AM:!'uu"</f>
        <v>#VALUE!</v>
      </c>
      <c r="IP151" s="101" t="e">
        <f>'Delivery Calculation'!AD244+"AM:!'uv"</f>
        <v>#VALUE!</v>
      </c>
      <c r="IQ151" s="101" t="e">
        <f>'Delivery Calculation'!AE244+"AM:!'uw"</f>
        <v>#VALUE!</v>
      </c>
      <c r="IR151" s="101" t="e">
        <f>'Delivery Calculation'!AF244+"AM:!'ux"</f>
        <v>#VALUE!</v>
      </c>
      <c r="IS151" s="101" t="e">
        <f>'Delivery Calculation'!AG244+"AM:!'uy"</f>
        <v>#VALUE!</v>
      </c>
      <c r="IT151" s="101" t="e">
        <f>'Delivery Calculation'!AH244+"AM:!'uz"</f>
        <v>#VALUE!</v>
      </c>
      <c r="IU151" s="101" t="e">
        <f>'Delivery Calculation'!AI244+"AM:!'u{"</f>
        <v>#VALUE!</v>
      </c>
      <c r="IV151" s="101" t="e">
        <f>'Delivery Calculation'!AJ244+"AM:!'u|"</f>
        <v>#VALUE!</v>
      </c>
    </row>
    <row r="152" spans="6:256">
      <c r="F152" s="101" t="e">
        <f>'Delivery Calculation'!AK244+"AM:!'u}"</f>
        <v>#VALUE!</v>
      </c>
      <c r="G152" s="101" t="e">
        <f>'Delivery Calculation'!AL244+"AM:!'u~"</f>
        <v>#VALUE!</v>
      </c>
      <c r="H152" s="101" t="e">
        <f>'Delivery Calculation'!AM244+"AM:!'v#"</f>
        <v>#VALUE!</v>
      </c>
      <c r="I152" s="101" t="e">
        <f>'Delivery Calculation'!AN244+"AM:!'v$"</f>
        <v>#VALUE!</v>
      </c>
      <c r="J152" s="101" t="e">
        <f>'Delivery Calculation'!AO244+"AM:!'v%"</f>
        <v>#VALUE!</v>
      </c>
      <c r="K152" s="101" t="e">
        <f>'Delivery Calculation'!AP244+"AM:!'v&amp;"</f>
        <v>#VALUE!</v>
      </c>
      <c r="L152" s="101" t="e">
        <f>'Delivery Calculation'!AQ244+"AM:!'v'"</f>
        <v>#VALUE!</v>
      </c>
      <c r="M152" s="101" t="e">
        <f>'Delivery Calculation'!AR244+"AM:!'v("</f>
        <v>#VALUE!</v>
      </c>
      <c r="N152" s="101" t="e">
        <f>'Delivery Calculation'!AS244+"AM:!'v)"</f>
        <v>#VALUE!</v>
      </c>
      <c r="O152" s="101" t="e">
        <f>'Delivery Calculation'!AT244+"AM:!'v."</f>
        <v>#VALUE!</v>
      </c>
      <c r="P152" s="101" t="e">
        <f>'Delivery Calculation'!AU244+"AM:!'v/"</f>
        <v>#VALUE!</v>
      </c>
      <c r="Q152" s="101" t="e">
        <f>'Delivery Calculation'!AV244+"AM:!'v0"</f>
        <v>#VALUE!</v>
      </c>
      <c r="R152" s="101" t="e">
        <f>'Delivery Calculation'!AW244+"AM:!'v1"</f>
        <v>#VALUE!</v>
      </c>
      <c r="S152" s="101" t="e">
        <f>'Delivery Calculation'!AX244+"AM:!'v2"</f>
        <v>#VALUE!</v>
      </c>
      <c r="T152" s="101" t="e">
        <f>'Delivery Calculation'!AY244+"AM:!'v3"</f>
        <v>#VALUE!</v>
      </c>
      <c r="U152" s="101" t="e">
        <f>'Delivery Calculation'!AZ244+"AM:!'v4"</f>
        <v>#VALUE!</v>
      </c>
      <c r="V152" s="101" t="e">
        <f>'Delivery Calculation'!BA244+"AM:!'v5"</f>
        <v>#VALUE!</v>
      </c>
      <c r="W152" t="e">
        <f>'Delivery Calculation'!BB244+"AM:!'v6"</f>
        <v>#VALUE!</v>
      </c>
      <c r="X152" t="e">
        <f>'Delivery Calculation'!A245+"AM:!'v7"</f>
        <v>#VALUE!</v>
      </c>
      <c r="Y152" t="e">
        <f>'Delivery Calculation'!B245+"AM:!'v8"</f>
        <v>#VALUE!</v>
      </c>
      <c r="Z152" t="e">
        <f>'Delivery Calculation'!C245+"AM:!'v9"</f>
        <v>#VALUE!</v>
      </c>
      <c r="AA152" t="e">
        <f>'Delivery Calculation'!D245+"AM:!'v:"</f>
        <v>#VALUE!</v>
      </c>
      <c r="AB152" t="e">
        <f>'Delivery Calculation'!E245+"AM:!'v;"</f>
        <v>#VALUE!</v>
      </c>
      <c r="AC152" s="98" t="e">
        <f>'Delivery Calculation'!F245+"AM:!'v&lt;"</f>
        <v>#VALUE!</v>
      </c>
      <c r="AD152" s="98" t="e">
        <f>'Delivery Calculation'!G245+"AM:!'v="</f>
        <v>#VALUE!</v>
      </c>
      <c r="AE152" t="e">
        <f>'Delivery Calculation'!H245+"AM:!'v&gt;"</f>
        <v>#VALUE!</v>
      </c>
      <c r="AF152" s="97" t="e">
        <f>'Delivery Calculation'!I245+"AM:!'v?"</f>
        <v>#VALUE!</v>
      </c>
      <c r="AG152" s="103" t="e">
        <f>'Delivery Calculation'!J245+"AM:!'v@"</f>
        <v>#VALUE!</v>
      </c>
      <c r="AH152" s="98" t="e">
        <f>'Delivery Calculation'!K245+"AM:!'vA"</f>
        <v>#VALUE!</v>
      </c>
      <c r="AI152" s="98" t="e">
        <f>'Delivery Calculation'!L245+"AM:!'vB"</f>
        <v>#VALUE!</v>
      </c>
      <c r="AJ152" s="99" t="e">
        <f>'Delivery Calculation'!M245+"AM:!'vC"</f>
        <v>#VALUE!</v>
      </c>
      <c r="AK152" s="99" t="e">
        <f>'Delivery Calculation'!N245+"AM:!'vD"</f>
        <v>#VALUE!</v>
      </c>
      <c r="AL152" s="101" t="e">
        <f>'Delivery Calculation'!O245+"AM:!'vE"</f>
        <v>#VALUE!</v>
      </c>
      <c r="AM152" s="101" t="e">
        <f>'Delivery Calculation'!P245+"AM:!'vF"</f>
        <v>#VALUE!</v>
      </c>
      <c r="AN152" s="101" t="e">
        <f>'Delivery Calculation'!Q245+"AM:!'vG"</f>
        <v>#VALUE!</v>
      </c>
      <c r="AO152" s="101" t="e">
        <f>'Delivery Calculation'!R245+"AM:!'vH"</f>
        <v>#VALUE!</v>
      </c>
      <c r="AP152" s="101" t="e">
        <f>'Delivery Calculation'!S245+"AM:!'vI"</f>
        <v>#VALUE!</v>
      </c>
      <c r="AQ152" s="101" t="e">
        <f>'Delivery Calculation'!T245+"AM:!'vJ"</f>
        <v>#VALUE!</v>
      </c>
      <c r="AR152" s="101" t="e">
        <f>'Delivery Calculation'!U245+"AM:!'vK"</f>
        <v>#VALUE!</v>
      </c>
      <c r="AS152" s="101" t="e">
        <f>'Delivery Calculation'!V245+"AM:!'vL"</f>
        <v>#VALUE!</v>
      </c>
      <c r="AT152" s="101" t="e">
        <f>'Delivery Calculation'!W245+"AM:!'vM"</f>
        <v>#VALUE!</v>
      </c>
      <c r="AU152" s="101" t="e">
        <f>'Delivery Calculation'!X245+"AM:!'vN"</f>
        <v>#VALUE!</v>
      </c>
      <c r="AV152" s="101" t="e">
        <f>'Delivery Calculation'!Y245+"AM:!'vO"</f>
        <v>#VALUE!</v>
      </c>
      <c r="AW152" s="101" t="e">
        <f>'Delivery Calculation'!Z245+"AM:!'vP"</f>
        <v>#VALUE!</v>
      </c>
      <c r="AX152" s="101" t="e">
        <f>'Delivery Calculation'!AA245+"AM:!'vQ"</f>
        <v>#VALUE!</v>
      </c>
      <c r="AY152" s="101" t="e">
        <f>'Delivery Calculation'!AB245+"AM:!'vR"</f>
        <v>#VALUE!</v>
      </c>
      <c r="AZ152" s="101" t="e">
        <f>'Delivery Calculation'!AC245+"AM:!'vS"</f>
        <v>#VALUE!</v>
      </c>
      <c r="BA152" s="101" t="e">
        <f>'Delivery Calculation'!AD245+"AM:!'vT"</f>
        <v>#VALUE!</v>
      </c>
      <c r="BB152" s="101" t="e">
        <f>'Delivery Calculation'!AE245+"AM:!'vU"</f>
        <v>#VALUE!</v>
      </c>
      <c r="BC152" s="101" t="e">
        <f>'Delivery Calculation'!AF245+"AM:!'vV"</f>
        <v>#VALUE!</v>
      </c>
      <c r="BD152" s="101" t="e">
        <f>'Delivery Calculation'!AG245+"AM:!'vW"</f>
        <v>#VALUE!</v>
      </c>
      <c r="BE152" s="101" t="e">
        <f>'Delivery Calculation'!AH245+"AM:!'vX"</f>
        <v>#VALUE!</v>
      </c>
      <c r="BF152" s="101" t="e">
        <f>'Delivery Calculation'!AI245+"AM:!'vY"</f>
        <v>#VALUE!</v>
      </c>
      <c r="BG152" s="101" t="e">
        <f>'Delivery Calculation'!AJ245+"AM:!'vZ"</f>
        <v>#VALUE!</v>
      </c>
      <c r="BH152" s="101" t="e">
        <f>'Delivery Calculation'!AK245+"AM:!'v["</f>
        <v>#VALUE!</v>
      </c>
      <c r="BI152" s="101" t="e">
        <f>'Delivery Calculation'!AL245+"AM:!'v\"</f>
        <v>#VALUE!</v>
      </c>
      <c r="BJ152" s="101" t="e">
        <f>'Delivery Calculation'!AM245+"AM:!'v]"</f>
        <v>#VALUE!</v>
      </c>
      <c r="BK152" s="101" t="e">
        <f>'Delivery Calculation'!AN245+"AM:!'v^"</f>
        <v>#VALUE!</v>
      </c>
      <c r="BL152" s="101" t="e">
        <f>'Delivery Calculation'!AO245+"AM:!'v_"</f>
        <v>#VALUE!</v>
      </c>
      <c r="BM152" s="101" t="e">
        <f>'Delivery Calculation'!AP245+"AM:!'v`"</f>
        <v>#VALUE!</v>
      </c>
      <c r="BN152" s="101" t="e">
        <f>'Delivery Calculation'!AQ245+"AM:!'va"</f>
        <v>#VALUE!</v>
      </c>
      <c r="BO152" s="101" t="e">
        <f>'Delivery Calculation'!AR245+"AM:!'vb"</f>
        <v>#VALUE!</v>
      </c>
      <c r="BP152" s="101" t="e">
        <f>'Delivery Calculation'!AS245+"AM:!'vc"</f>
        <v>#VALUE!</v>
      </c>
      <c r="BQ152" s="101" t="e">
        <f>'Delivery Calculation'!AT245+"AM:!'vd"</f>
        <v>#VALUE!</v>
      </c>
      <c r="BR152" s="101" t="e">
        <f>'Delivery Calculation'!AU245+"AM:!'ve"</f>
        <v>#VALUE!</v>
      </c>
      <c r="BS152" s="101" t="e">
        <f>'Delivery Calculation'!AV245+"AM:!'vf"</f>
        <v>#VALUE!</v>
      </c>
      <c r="BT152" s="101" t="e">
        <f>'Delivery Calculation'!AW245+"AM:!'vg"</f>
        <v>#VALUE!</v>
      </c>
      <c r="BU152" s="101" t="e">
        <f>'Delivery Calculation'!AX245+"AM:!'vh"</f>
        <v>#VALUE!</v>
      </c>
      <c r="BV152" s="101" t="e">
        <f>'Delivery Calculation'!AY245+"AM:!'vi"</f>
        <v>#VALUE!</v>
      </c>
      <c r="BW152" s="101" t="e">
        <f>'Delivery Calculation'!AZ245+"AM:!'vj"</f>
        <v>#VALUE!</v>
      </c>
      <c r="BX152" s="101" t="e">
        <f>'Delivery Calculation'!BA245+"AM:!'vk"</f>
        <v>#VALUE!</v>
      </c>
      <c r="BY152" t="e">
        <f>'Delivery Calculation'!BB245+"AM:!'vl"</f>
        <v>#VALUE!</v>
      </c>
      <c r="BZ152" t="e">
        <f>'Delivery Calculation'!A246+"AM:!'vm"</f>
        <v>#VALUE!</v>
      </c>
      <c r="CA152" t="e">
        <f>'Delivery Calculation'!B246+"AM:!'vn"</f>
        <v>#VALUE!</v>
      </c>
      <c r="CB152" t="e">
        <f>'Delivery Calculation'!C246+"AM:!'vo"</f>
        <v>#VALUE!</v>
      </c>
      <c r="CC152" t="e">
        <f>'Delivery Calculation'!D246+"AM:!'vp"</f>
        <v>#VALUE!</v>
      </c>
      <c r="CD152" t="e">
        <f>'Delivery Calculation'!E246+"AM:!'vq"</f>
        <v>#VALUE!</v>
      </c>
      <c r="CE152" s="98" t="e">
        <f>'Delivery Calculation'!F246+"AM:!'vr"</f>
        <v>#VALUE!</v>
      </c>
      <c r="CF152" s="98" t="e">
        <f>'Delivery Calculation'!G246+"AM:!'vs"</f>
        <v>#VALUE!</v>
      </c>
      <c r="CG152" t="e">
        <f>'Delivery Calculation'!H246+"AM:!'vt"</f>
        <v>#VALUE!</v>
      </c>
      <c r="CH152" s="97" t="e">
        <f>'Delivery Calculation'!I246+"AM:!'vu"</f>
        <v>#VALUE!</v>
      </c>
      <c r="CI152" s="103" t="e">
        <f>'Delivery Calculation'!J246+"AM:!'vv"</f>
        <v>#VALUE!</v>
      </c>
      <c r="CJ152" s="98" t="e">
        <f>'Delivery Calculation'!K246+"AM:!'vw"</f>
        <v>#VALUE!</v>
      </c>
      <c r="CK152" s="98" t="e">
        <f>'Delivery Calculation'!L246+"AM:!'vx"</f>
        <v>#VALUE!</v>
      </c>
      <c r="CL152" s="99" t="e">
        <f>'Delivery Calculation'!M246+"AM:!'vy"</f>
        <v>#VALUE!</v>
      </c>
      <c r="CM152" s="99" t="e">
        <f>'Delivery Calculation'!N246+"AM:!'vz"</f>
        <v>#VALUE!</v>
      </c>
      <c r="CN152" s="101" t="e">
        <f>'Delivery Calculation'!O246+"AM:!'v{"</f>
        <v>#VALUE!</v>
      </c>
      <c r="CO152" s="101" t="e">
        <f>'Delivery Calculation'!P246+"AM:!'v|"</f>
        <v>#VALUE!</v>
      </c>
      <c r="CP152" s="101" t="e">
        <f>'Delivery Calculation'!Q246+"AM:!'v}"</f>
        <v>#VALUE!</v>
      </c>
      <c r="CQ152" s="101" t="e">
        <f>'Delivery Calculation'!R246+"AM:!'v~"</f>
        <v>#VALUE!</v>
      </c>
      <c r="CR152" s="101" t="e">
        <f>'Delivery Calculation'!S246+"AM:!'w#"</f>
        <v>#VALUE!</v>
      </c>
      <c r="CS152" s="101" t="e">
        <f>'Delivery Calculation'!T246+"AM:!'w$"</f>
        <v>#VALUE!</v>
      </c>
      <c r="CT152" s="101" t="e">
        <f>'Delivery Calculation'!U246+"AM:!'w%"</f>
        <v>#VALUE!</v>
      </c>
      <c r="CU152" s="101" t="e">
        <f>'Delivery Calculation'!V246+"AM:!'w&amp;"</f>
        <v>#VALUE!</v>
      </c>
      <c r="CV152" s="101" t="e">
        <f>'Delivery Calculation'!W246+"AM:!'w'"</f>
        <v>#VALUE!</v>
      </c>
      <c r="CW152" s="101" t="e">
        <f>'Delivery Calculation'!X246+"AM:!'w("</f>
        <v>#VALUE!</v>
      </c>
      <c r="CX152" s="101" t="e">
        <f>'Delivery Calculation'!Y246+"AM:!'w)"</f>
        <v>#VALUE!</v>
      </c>
      <c r="CY152" s="101" t="e">
        <f>'Delivery Calculation'!Z246+"AM:!'w."</f>
        <v>#VALUE!</v>
      </c>
      <c r="CZ152" s="101" t="e">
        <f>'Delivery Calculation'!AA246+"AM:!'w/"</f>
        <v>#VALUE!</v>
      </c>
      <c r="DA152" s="101" t="e">
        <f>'Delivery Calculation'!AB246+"AM:!'w0"</f>
        <v>#VALUE!</v>
      </c>
      <c r="DB152" s="101" t="e">
        <f>'Delivery Calculation'!AC246+"AM:!'w1"</f>
        <v>#VALUE!</v>
      </c>
      <c r="DC152" s="101" t="e">
        <f>'Delivery Calculation'!AD246+"AM:!'w2"</f>
        <v>#VALUE!</v>
      </c>
      <c r="DD152" s="101" t="e">
        <f>'Delivery Calculation'!AE246+"AM:!'w3"</f>
        <v>#VALUE!</v>
      </c>
      <c r="DE152" s="101" t="e">
        <f>'Delivery Calculation'!AF246+"AM:!'w4"</f>
        <v>#VALUE!</v>
      </c>
      <c r="DF152" s="101" t="e">
        <f>'Delivery Calculation'!AG246+"AM:!'w5"</f>
        <v>#VALUE!</v>
      </c>
      <c r="DG152" s="101" t="e">
        <f>'Delivery Calculation'!AH246+"AM:!'w6"</f>
        <v>#VALUE!</v>
      </c>
      <c r="DH152" s="101" t="e">
        <f>'Delivery Calculation'!AI246+"AM:!'w7"</f>
        <v>#VALUE!</v>
      </c>
      <c r="DI152" s="101" t="e">
        <f>'Delivery Calculation'!AJ246+"AM:!'w8"</f>
        <v>#VALUE!</v>
      </c>
      <c r="DJ152" s="101" t="e">
        <f>'Delivery Calculation'!AK246+"AM:!'w9"</f>
        <v>#VALUE!</v>
      </c>
      <c r="DK152" s="101" t="e">
        <f>'Delivery Calculation'!AL246+"AM:!'w:"</f>
        <v>#VALUE!</v>
      </c>
      <c r="DL152" s="101" t="e">
        <f>'Delivery Calculation'!AM246+"AM:!'w;"</f>
        <v>#VALUE!</v>
      </c>
      <c r="DM152" s="101" t="e">
        <f>'Delivery Calculation'!AN246+"AM:!'w&lt;"</f>
        <v>#VALUE!</v>
      </c>
      <c r="DN152" s="101" t="e">
        <f>'Delivery Calculation'!AO246+"AM:!'w="</f>
        <v>#VALUE!</v>
      </c>
      <c r="DO152" s="101" t="e">
        <f>'Delivery Calculation'!AP246+"AM:!'w&gt;"</f>
        <v>#VALUE!</v>
      </c>
      <c r="DP152" s="101" t="e">
        <f>'Delivery Calculation'!AQ246+"AM:!'w?"</f>
        <v>#VALUE!</v>
      </c>
      <c r="DQ152" s="101" t="e">
        <f>'Delivery Calculation'!AR246+"AM:!'w@"</f>
        <v>#VALUE!</v>
      </c>
      <c r="DR152" s="101" t="e">
        <f>'Delivery Calculation'!AS246+"AM:!'wA"</f>
        <v>#VALUE!</v>
      </c>
      <c r="DS152" s="101" t="e">
        <f>'Delivery Calculation'!AT246+"AM:!'wB"</f>
        <v>#VALUE!</v>
      </c>
      <c r="DT152" s="101" t="e">
        <f>'Delivery Calculation'!AU246+"AM:!'wC"</f>
        <v>#VALUE!</v>
      </c>
      <c r="DU152" s="101" t="e">
        <f>'Delivery Calculation'!AV246+"AM:!'wD"</f>
        <v>#VALUE!</v>
      </c>
      <c r="DV152" s="101" t="e">
        <f>'Delivery Calculation'!AW246+"AM:!'wE"</f>
        <v>#VALUE!</v>
      </c>
      <c r="DW152" s="101" t="e">
        <f>'Delivery Calculation'!AX246+"AM:!'wF"</f>
        <v>#VALUE!</v>
      </c>
      <c r="DX152" s="101" t="e">
        <f>'Delivery Calculation'!AY246+"AM:!'wG"</f>
        <v>#VALUE!</v>
      </c>
      <c r="DY152" s="101" t="e">
        <f>'Delivery Calculation'!AZ246+"AM:!'wH"</f>
        <v>#VALUE!</v>
      </c>
      <c r="DZ152" s="101" t="e">
        <f>'Delivery Calculation'!BA246+"AM:!'wI"</f>
        <v>#VALUE!</v>
      </c>
      <c r="EA152" t="e">
        <f>'Delivery Calculation'!BB246+"AM:!'wJ"</f>
        <v>#VALUE!</v>
      </c>
      <c r="EB152" t="e">
        <f>'Delivery Calculation'!A247+"AM:!'wK"</f>
        <v>#VALUE!</v>
      </c>
      <c r="EC152" t="e">
        <f>'Delivery Calculation'!B247+"AM:!'wL"</f>
        <v>#VALUE!</v>
      </c>
      <c r="ED152" t="e">
        <f>'Delivery Calculation'!C247+"AM:!'wM"</f>
        <v>#VALUE!</v>
      </c>
      <c r="EE152" t="e">
        <f>'Delivery Calculation'!D247+"AM:!'wN"</f>
        <v>#VALUE!</v>
      </c>
      <c r="EF152" t="e">
        <f>'Delivery Calculation'!E247+"AM:!'wO"</f>
        <v>#VALUE!</v>
      </c>
      <c r="EG152" s="98" t="e">
        <f>'Delivery Calculation'!F247+"AM:!'wP"</f>
        <v>#VALUE!</v>
      </c>
      <c r="EH152" s="98" t="e">
        <f>'Delivery Calculation'!G247+"AM:!'wQ"</f>
        <v>#VALUE!</v>
      </c>
      <c r="EI152" t="e">
        <f>'Delivery Calculation'!H247+"AM:!'wR"</f>
        <v>#VALUE!</v>
      </c>
      <c r="EJ152" s="97" t="e">
        <f>'Delivery Calculation'!I247+"AM:!'wS"</f>
        <v>#VALUE!</v>
      </c>
      <c r="EK152" s="103" t="e">
        <f>'Delivery Calculation'!J247+"AM:!'wT"</f>
        <v>#VALUE!</v>
      </c>
      <c r="EL152" s="98" t="e">
        <f>'Delivery Calculation'!K247+"AM:!'wU"</f>
        <v>#VALUE!</v>
      </c>
      <c r="EM152" s="98" t="e">
        <f>'Delivery Calculation'!L247+"AM:!'wV"</f>
        <v>#VALUE!</v>
      </c>
      <c r="EN152" s="99" t="e">
        <f>'Delivery Calculation'!M247+"AM:!'wW"</f>
        <v>#VALUE!</v>
      </c>
      <c r="EO152" s="99" t="e">
        <f>'Delivery Calculation'!N247+"AM:!'wX"</f>
        <v>#VALUE!</v>
      </c>
      <c r="EP152" s="101" t="e">
        <f>'Delivery Calculation'!O247+"AM:!'wY"</f>
        <v>#VALUE!</v>
      </c>
      <c r="EQ152" s="101" t="e">
        <f>'Delivery Calculation'!P247+"AM:!'wZ"</f>
        <v>#VALUE!</v>
      </c>
      <c r="ER152" s="101" t="e">
        <f>'Delivery Calculation'!Q247+"AM:!'w["</f>
        <v>#VALUE!</v>
      </c>
      <c r="ES152" s="101" t="e">
        <f>'Delivery Calculation'!R247+"AM:!'w\"</f>
        <v>#VALUE!</v>
      </c>
      <c r="ET152" s="101" t="e">
        <f>'Delivery Calculation'!S247+"AM:!'w]"</f>
        <v>#VALUE!</v>
      </c>
      <c r="EU152" s="101" t="e">
        <f>'Delivery Calculation'!T247+"AM:!'w^"</f>
        <v>#VALUE!</v>
      </c>
      <c r="EV152" s="101" t="e">
        <f>'Delivery Calculation'!U247+"AM:!'w_"</f>
        <v>#VALUE!</v>
      </c>
      <c r="EW152" s="101" t="e">
        <f>'Delivery Calculation'!V247+"AM:!'w`"</f>
        <v>#VALUE!</v>
      </c>
      <c r="EX152" s="101" t="e">
        <f>'Delivery Calculation'!W247+"AM:!'wa"</f>
        <v>#VALUE!</v>
      </c>
      <c r="EY152" s="101" t="e">
        <f>'Delivery Calculation'!X247+"AM:!'wb"</f>
        <v>#VALUE!</v>
      </c>
      <c r="EZ152" s="101" t="e">
        <f>'Delivery Calculation'!Y247+"AM:!'wc"</f>
        <v>#VALUE!</v>
      </c>
      <c r="FA152" s="101" t="e">
        <f>'Delivery Calculation'!Z247+"AM:!'wd"</f>
        <v>#VALUE!</v>
      </c>
      <c r="FB152" s="101" t="e">
        <f>'Delivery Calculation'!AA247+"AM:!'we"</f>
        <v>#VALUE!</v>
      </c>
      <c r="FC152" s="101" t="e">
        <f>'Delivery Calculation'!AB247+"AM:!'wf"</f>
        <v>#VALUE!</v>
      </c>
      <c r="FD152" s="101" t="e">
        <f>'Delivery Calculation'!AC247+"AM:!'wg"</f>
        <v>#VALUE!</v>
      </c>
      <c r="FE152" s="101" t="e">
        <f>'Delivery Calculation'!AD247+"AM:!'wh"</f>
        <v>#VALUE!</v>
      </c>
      <c r="FF152" s="101" t="e">
        <f>'Delivery Calculation'!AE247+"AM:!'wi"</f>
        <v>#VALUE!</v>
      </c>
      <c r="FG152" s="101" t="e">
        <f>'Delivery Calculation'!AF247+"AM:!'wj"</f>
        <v>#VALUE!</v>
      </c>
      <c r="FH152" s="101" t="e">
        <f>'Delivery Calculation'!AG247+"AM:!'wk"</f>
        <v>#VALUE!</v>
      </c>
      <c r="FI152" s="101" t="e">
        <f>'Delivery Calculation'!AH247+"AM:!'wl"</f>
        <v>#VALUE!</v>
      </c>
      <c r="FJ152" s="101" t="e">
        <f>'Delivery Calculation'!AI247+"AM:!'wm"</f>
        <v>#VALUE!</v>
      </c>
      <c r="FK152" s="101" t="e">
        <f>'Delivery Calculation'!AJ247+"AM:!'wn"</f>
        <v>#VALUE!</v>
      </c>
      <c r="FL152" s="101" t="e">
        <f>'Delivery Calculation'!AK247+"AM:!'wo"</f>
        <v>#VALUE!</v>
      </c>
      <c r="FM152" s="101" t="e">
        <f>'Delivery Calculation'!AL247+"AM:!'wp"</f>
        <v>#VALUE!</v>
      </c>
      <c r="FN152" s="101" t="e">
        <f>'Delivery Calculation'!AM247+"AM:!'wq"</f>
        <v>#VALUE!</v>
      </c>
      <c r="FO152" s="101" t="e">
        <f>'Delivery Calculation'!AN247+"AM:!'wr"</f>
        <v>#VALUE!</v>
      </c>
      <c r="FP152" s="101" t="e">
        <f>'Delivery Calculation'!AO247+"AM:!'ws"</f>
        <v>#VALUE!</v>
      </c>
      <c r="FQ152" s="101" t="e">
        <f>'Delivery Calculation'!AP247+"AM:!'wt"</f>
        <v>#VALUE!</v>
      </c>
      <c r="FR152" s="101" t="e">
        <f>'Delivery Calculation'!AQ247+"AM:!'wu"</f>
        <v>#VALUE!</v>
      </c>
      <c r="FS152" s="101" t="e">
        <f>'Delivery Calculation'!AR247+"AM:!'wv"</f>
        <v>#VALUE!</v>
      </c>
      <c r="FT152" s="101" t="e">
        <f>'Delivery Calculation'!AS247+"AM:!'ww"</f>
        <v>#VALUE!</v>
      </c>
      <c r="FU152" s="101" t="e">
        <f>'Delivery Calculation'!AT247+"AM:!'wx"</f>
        <v>#VALUE!</v>
      </c>
      <c r="FV152" s="101" t="e">
        <f>'Delivery Calculation'!AU247+"AM:!'wy"</f>
        <v>#VALUE!</v>
      </c>
      <c r="FW152" s="101" t="e">
        <f>'Delivery Calculation'!AV247+"AM:!'wz"</f>
        <v>#VALUE!</v>
      </c>
      <c r="FX152" s="101" t="e">
        <f>'Delivery Calculation'!AW247+"AM:!'w{"</f>
        <v>#VALUE!</v>
      </c>
      <c r="FY152" s="101" t="e">
        <f>'Delivery Calculation'!AX247+"AM:!'w|"</f>
        <v>#VALUE!</v>
      </c>
      <c r="FZ152" s="101" t="e">
        <f>'Delivery Calculation'!AY247+"AM:!'w}"</f>
        <v>#VALUE!</v>
      </c>
      <c r="GA152" s="101" t="e">
        <f>'Delivery Calculation'!AZ247+"AM:!'w~"</f>
        <v>#VALUE!</v>
      </c>
      <c r="GB152" s="101" t="e">
        <f>'Delivery Calculation'!BA247+"AM:!'x#"</f>
        <v>#VALUE!</v>
      </c>
      <c r="GC152" t="e">
        <f>'Delivery Calculation'!BB247+"AM:!'x$"</f>
        <v>#VALUE!</v>
      </c>
      <c r="GD152" t="e">
        <f>'Delivery Calculation'!A248+"AM:!'x%"</f>
        <v>#VALUE!</v>
      </c>
      <c r="GE152" t="e">
        <f>'Delivery Calculation'!B248+"AM:!'x&amp;"</f>
        <v>#VALUE!</v>
      </c>
      <c r="GF152" t="e">
        <f>'Delivery Calculation'!C248+"AM:!'x'"</f>
        <v>#VALUE!</v>
      </c>
      <c r="GG152" t="e">
        <f>'Delivery Calculation'!D248+"AM:!'x("</f>
        <v>#VALUE!</v>
      </c>
      <c r="GH152" t="e">
        <f>'Delivery Calculation'!E248+"AM:!'x)"</f>
        <v>#VALUE!</v>
      </c>
      <c r="GI152" s="98" t="e">
        <f>'Delivery Calculation'!F248+"AM:!'x."</f>
        <v>#VALUE!</v>
      </c>
      <c r="GJ152" s="98" t="e">
        <f>'Delivery Calculation'!G248+"AM:!'x/"</f>
        <v>#VALUE!</v>
      </c>
      <c r="GK152" t="e">
        <f>'Delivery Calculation'!H248+"AM:!'x0"</f>
        <v>#VALUE!</v>
      </c>
      <c r="GL152" s="97" t="e">
        <f>'Delivery Calculation'!I248+"AM:!'x1"</f>
        <v>#VALUE!</v>
      </c>
      <c r="GM152" s="103" t="e">
        <f>'Delivery Calculation'!J248+"AM:!'x2"</f>
        <v>#VALUE!</v>
      </c>
      <c r="GN152" s="98" t="e">
        <f>'Delivery Calculation'!K248+"AM:!'x3"</f>
        <v>#VALUE!</v>
      </c>
      <c r="GO152" s="98" t="e">
        <f>'Delivery Calculation'!L248+"AM:!'x4"</f>
        <v>#VALUE!</v>
      </c>
      <c r="GP152" s="99" t="e">
        <f>'Delivery Calculation'!M248+"AM:!'x5"</f>
        <v>#VALUE!</v>
      </c>
      <c r="GQ152" s="99" t="e">
        <f>'Delivery Calculation'!N248+"AM:!'x6"</f>
        <v>#VALUE!</v>
      </c>
      <c r="GR152" s="101" t="e">
        <f>'Delivery Calculation'!O248+"AM:!'x7"</f>
        <v>#VALUE!</v>
      </c>
      <c r="GS152" s="101" t="e">
        <f>'Delivery Calculation'!P248+"AM:!'x8"</f>
        <v>#VALUE!</v>
      </c>
      <c r="GT152" s="101" t="e">
        <f>'Delivery Calculation'!Q248+"AM:!'x9"</f>
        <v>#VALUE!</v>
      </c>
      <c r="GU152" s="101" t="e">
        <f>'Delivery Calculation'!R248+"AM:!'x:"</f>
        <v>#VALUE!</v>
      </c>
      <c r="GV152" s="101" t="e">
        <f>'Delivery Calculation'!S248+"AM:!'x;"</f>
        <v>#VALUE!</v>
      </c>
      <c r="GW152" s="101" t="e">
        <f>'Delivery Calculation'!T248+"AM:!'x&lt;"</f>
        <v>#VALUE!</v>
      </c>
      <c r="GX152" s="101" t="e">
        <f>'Delivery Calculation'!U248+"AM:!'x="</f>
        <v>#VALUE!</v>
      </c>
      <c r="GY152" s="101" t="e">
        <f>'Delivery Calculation'!V248+"AM:!'x&gt;"</f>
        <v>#VALUE!</v>
      </c>
      <c r="GZ152" s="101" t="e">
        <f>'Delivery Calculation'!W248+"AM:!'x?"</f>
        <v>#VALUE!</v>
      </c>
      <c r="HA152" s="101" t="e">
        <f>'Delivery Calculation'!X248+"AM:!'x@"</f>
        <v>#VALUE!</v>
      </c>
      <c r="HB152" s="101" t="e">
        <f>'Delivery Calculation'!Y248+"AM:!'xA"</f>
        <v>#VALUE!</v>
      </c>
      <c r="HC152" s="101" t="e">
        <f>'Delivery Calculation'!Z248+"AM:!'xB"</f>
        <v>#VALUE!</v>
      </c>
      <c r="HD152" s="101" t="e">
        <f>'Delivery Calculation'!AA248+"AM:!'xC"</f>
        <v>#VALUE!</v>
      </c>
      <c r="HE152" s="101" t="e">
        <f>'Delivery Calculation'!AB248+"AM:!'xD"</f>
        <v>#VALUE!</v>
      </c>
      <c r="HF152" s="101" t="e">
        <f>'Delivery Calculation'!AC248+"AM:!'xE"</f>
        <v>#VALUE!</v>
      </c>
      <c r="HG152" s="101" t="e">
        <f>'Delivery Calculation'!AD248+"AM:!'xF"</f>
        <v>#VALUE!</v>
      </c>
      <c r="HH152" s="101" t="e">
        <f>'Delivery Calculation'!AE248+"AM:!'xG"</f>
        <v>#VALUE!</v>
      </c>
      <c r="HI152" s="101" t="e">
        <f>'Delivery Calculation'!AF248+"AM:!'xH"</f>
        <v>#VALUE!</v>
      </c>
      <c r="HJ152" s="101" t="e">
        <f>'Delivery Calculation'!AG248+"AM:!'xI"</f>
        <v>#VALUE!</v>
      </c>
      <c r="HK152" s="101" t="e">
        <f>'Delivery Calculation'!AH248+"AM:!'xJ"</f>
        <v>#VALUE!</v>
      </c>
      <c r="HL152" s="101" t="e">
        <f>'Delivery Calculation'!AI248+"AM:!'xK"</f>
        <v>#VALUE!</v>
      </c>
      <c r="HM152" s="101" t="e">
        <f>'Delivery Calculation'!AJ248+"AM:!'xL"</f>
        <v>#VALUE!</v>
      </c>
      <c r="HN152" s="101" t="e">
        <f>'Delivery Calculation'!AK248+"AM:!'xM"</f>
        <v>#VALUE!</v>
      </c>
      <c r="HO152" s="101" t="e">
        <f>'Delivery Calculation'!AL248+"AM:!'xN"</f>
        <v>#VALUE!</v>
      </c>
      <c r="HP152" s="101" t="e">
        <f>'Delivery Calculation'!AM248+"AM:!'xO"</f>
        <v>#VALUE!</v>
      </c>
      <c r="HQ152" s="101" t="e">
        <f>'Delivery Calculation'!AN248+"AM:!'xP"</f>
        <v>#VALUE!</v>
      </c>
      <c r="HR152" s="101" t="e">
        <f>'Delivery Calculation'!AO248+"AM:!'xQ"</f>
        <v>#VALUE!</v>
      </c>
      <c r="HS152" s="101" t="e">
        <f>'Delivery Calculation'!AP248+"AM:!'xR"</f>
        <v>#VALUE!</v>
      </c>
      <c r="HT152" s="101" t="e">
        <f>'Delivery Calculation'!AQ248+"AM:!'xS"</f>
        <v>#VALUE!</v>
      </c>
      <c r="HU152" s="101" t="e">
        <f>'Delivery Calculation'!AR248+"AM:!'xT"</f>
        <v>#VALUE!</v>
      </c>
      <c r="HV152" s="101" t="e">
        <f>'Delivery Calculation'!AS248+"AM:!'xU"</f>
        <v>#VALUE!</v>
      </c>
      <c r="HW152" s="101" t="e">
        <f>'Delivery Calculation'!AT248+"AM:!'xV"</f>
        <v>#VALUE!</v>
      </c>
      <c r="HX152" s="101" t="e">
        <f>'Delivery Calculation'!AU248+"AM:!'xW"</f>
        <v>#VALUE!</v>
      </c>
      <c r="HY152" s="101" t="e">
        <f>'Delivery Calculation'!AV248+"AM:!'xX"</f>
        <v>#VALUE!</v>
      </c>
      <c r="HZ152" s="101" t="e">
        <f>'Delivery Calculation'!AW248+"AM:!'xY"</f>
        <v>#VALUE!</v>
      </c>
      <c r="IA152" s="101" t="e">
        <f>'Delivery Calculation'!AX248+"AM:!'xZ"</f>
        <v>#VALUE!</v>
      </c>
      <c r="IB152" s="101" t="e">
        <f>'Delivery Calculation'!AY248+"AM:!'x["</f>
        <v>#VALUE!</v>
      </c>
      <c r="IC152" s="101" t="e">
        <f>'Delivery Calculation'!AZ248+"AM:!'x\"</f>
        <v>#VALUE!</v>
      </c>
      <c r="ID152" s="101" t="e">
        <f>'Delivery Calculation'!BA248+"AM:!'x]"</f>
        <v>#VALUE!</v>
      </c>
      <c r="IE152" t="e">
        <f>'Delivery Calculation'!BB248+"AM:!'x^"</f>
        <v>#VALUE!</v>
      </c>
      <c r="IF152" t="e">
        <f>'Delivery Calculation'!A249+"AM:!'x_"</f>
        <v>#VALUE!</v>
      </c>
      <c r="IG152" t="e">
        <f>'Delivery Calculation'!B249+"AM:!'x`"</f>
        <v>#VALUE!</v>
      </c>
      <c r="IH152" t="e">
        <f>'Delivery Calculation'!C249+"AM:!'xa"</f>
        <v>#VALUE!</v>
      </c>
      <c r="II152" t="e">
        <f>'Delivery Calculation'!D249+"AM:!'xb"</f>
        <v>#VALUE!</v>
      </c>
      <c r="IJ152" t="e">
        <f>'Delivery Calculation'!E249+"AM:!'xc"</f>
        <v>#VALUE!</v>
      </c>
      <c r="IK152" s="98" t="e">
        <f>'Delivery Calculation'!F249+"AM:!'xd"</f>
        <v>#VALUE!</v>
      </c>
      <c r="IL152" s="98" t="e">
        <f>'Delivery Calculation'!G249+"AM:!'xe"</f>
        <v>#VALUE!</v>
      </c>
      <c r="IM152" t="e">
        <f>'Delivery Calculation'!H249+"AM:!'xf"</f>
        <v>#VALUE!</v>
      </c>
      <c r="IN152" s="97" t="e">
        <f>'Delivery Calculation'!I249+"AM:!'xg"</f>
        <v>#VALUE!</v>
      </c>
      <c r="IO152" s="103" t="e">
        <f>'Delivery Calculation'!J249+"AM:!'xh"</f>
        <v>#VALUE!</v>
      </c>
      <c r="IP152" s="98" t="e">
        <f>'Delivery Calculation'!K249+"AM:!'xi"</f>
        <v>#VALUE!</v>
      </c>
      <c r="IQ152" s="98" t="e">
        <f>'Delivery Calculation'!L249+"AM:!'xj"</f>
        <v>#VALUE!</v>
      </c>
      <c r="IR152" s="99" t="e">
        <f>'Delivery Calculation'!M249+"AM:!'xk"</f>
        <v>#VALUE!</v>
      </c>
      <c r="IS152" s="99" t="e">
        <f>'Delivery Calculation'!N249+"AM:!'xl"</f>
        <v>#VALUE!</v>
      </c>
      <c r="IT152" s="101" t="e">
        <f>'Delivery Calculation'!O249+"AM:!'xm"</f>
        <v>#VALUE!</v>
      </c>
      <c r="IU152" s="101" t="e">
        <f>'Delivery Calculation'!P249+"AM:!'xn"</f>
        <v>#VALUE!</v>
      </c>
      <c r="IV152" s="101" t="e">
        <f>'Delivery Calculation'!Q249+"AM:!'xo"</f>
        <v>#VALUE!</v>
      </c>
    </row>
    <row r="153" spans="6:256">
      <c r="F153" s="101" t="e">
        <f>'Delivery Calculation'!R249+"AM:!'xp"</f>
        <v>#VALUE!</v>
      </c>
      <c r="G153" s="101" t="e">
        <f>'Delivery Calculation'!S249+"AM:!'xq"</f>
        <v>#VALUE!</v>
      </c>
      <c r="H153" s="101" t="e">
        <f>'Delivery Calculation'!T249+"AM:!'xr"</f>
        <v>#VALUE!</v>
      </c>
      <c r="I153" s="101" t="e">
        <f>'Delivery Calculation'!U249+"AM:!'xs"</f>
        <v>#VALUE!</v>
      </c>
      <c r="J153" s="101" t="e">
        <f>'Delivery Calculation'!V249+"AM:!'xt"</f>
        <v>#VALUE!</v>
      </c>
      <c r="K153" s="101" t="e">
        <f>'Delivery Calculation'!W249+"AM:!'xu"</f>
        <v>#VALUE!</v>
      </c>
      <c r="L153" s="101" t="e">
        <f>'Delivery Calculation'!X249+"AM:!'xv"</f>
        <v>#VALUE!</v>
      </c>
      <c r="M153" s="101" t="e">
        <f>'Delivery Calculation'!Y249+"AM:!'xw"</f>
        <v>#VALUE!</v>
      </c>
      <c r="N153" s="101" t="e">
        <f>'Delivery Calculation'!Z249+"AM:!'xx"</f>
        <v>#VALUE!</v>
      </c>
      <c r="O153" s="101" t="e">
        <f>'Delivery Calculation'!AA249+"AM:!'xy"</f>
        <v>#VALUE!</v>
      </c>
      <c r="P153" s="101" t="e">
        <f>'Delivery Calculation'!AB249+"AM:!'xz"</f>
        <v>#VALUE!</v>
      </c>
      <c r="Q153" s="101" t="e">
        <f>'Delivery Calculation'!AC249+"AM:!'x{"</f>
        <v>#VALUE!</v>
      </c>
      <c r="R153" s="101" t="e">
        <f>'Delivery Calculation'!AD249+"AM:!'x|"</f>
        <v>#VALUE!</v>
      </c>
      <c r="S153" s="101" t="e">
        <f>'Delivery Calculation'!AE249+"AM:!'x}"</f>
        <v>#VALUE!</v>
      </c>
      <c r="T153" s="101" t="e">
        <f>'Delivery Calculation'!AF249+"AM:!'x~"</f>
        <v>#VALUE!</v>
      </c>
      <c r="U153" s="101" t="e">
        <f>'Delivery Calculation'!AG249+"AM:!'y#"</f>
        <v>#VALUE!</v>
      </c>
      <c r="V153" s="101" t="e">
        <f>'Delivery Calculation'!AH249+"AM:!'y$"</f>
        <v>#VALUE!</v>
      </c>
      <c r="W153" s="101" t="e">
        <f>'Delivery Calculation'!AI249+"AM:!'y%"</f>
        <v>#VALUE!</v>
      </c>
      <c r="X153" s="101" t="e">
        <f>'Delivery Calculation'!AJ249+"AM:!'y&amp;"</f>
        <v>#VALUE!</v>
      </c>
      <c r="Y153" s="101" t="e">
        <f>'Delivery Calculation'!AK249+"AM:!'y'"</f>
        <v>#VALUE!</v>
      </c>
      <c r="Z153" s="101" t="e">
        <f>'Delivery Calculation'!AL249+"AM:!'y("</f>
        <v>#VALUE!</v>
      </c>
      <c r="AA153" s="101" t="e">
        <f>'Delivery Calculation'!AM249+"AM:!'y)"</f>
        <v>#VALUE!</v>
      </c>
      <c r="AB153" s="101" t="e">
        <f>'Delivery Calculation'!AN249+"AM:!'y."</f>
        <v>#VALUE!</v>
      </c>
      <c r="AC153" s="101" t="e">
        <f>'Delivery Calculation'!AO249+"AM:!'y/"</f>
        <v>#VALUE!</v>
      </c>
      <c r="AD153" s="101" t="e">
        <f>'Delivery Calculation'!AP249+"AM:!'y0"</f>
        <v>#VALUE!</v>
      </c>
      <c r="AE153" s="101" t="e">
        <f>'Delivery Calculation'!AQ249+"AM:!'y1"</f>
        <v>#VALUE!</v>
      </c>
      <c r="AF153" s="101" t="e">
        <f>'Delivery Calculation'!AR249+"AM:!'y2"</f>
        <v>#VALUE!</v>
      </c>
      <c r="AG153" s="101" t="e">
        <f>'Delivery Calculation'!AS249+"AM:!'y3"</f>
        <v>#VALUE!</v>
      </c>
      <c r="AH153" s="101" t="e">
        <f>'Delivery Calculation'!AT249+"AM:!'y4"</f>
        <v>#VALUE!</v>
      </c>
      <c r="AI153" s="101" t="e">
        <f>'Delivery Calculation'!AU249+"AM:!'y5"</f>
        <v>#VALUE!</v>
      </c>
      <c r="AJ153" s="101" t="e">
        <f>'Delivery Calculation'!AV249+"AM:!'y6"</f>
        <v>#VALUE!</v>
      </c>
      <c r="AK153" s="101" t="e">
        <f>'Delivery Calculation'!AW249+"AM:!'y7"</f>
        <v>#VALUE!</v>
      </c>
      <c r="AL153" s="101" t="e">
        <f>'Delivery Calculation'!AX249+"AM:!'y8"</f>
        <v>#VALUE!</v>
      </c>
      <c r="AM153" s="101" t="e">
        <f>'Delivery Calculation'!AY249+"AM:!'y9"</f>
        <v>#VALUE!</v>
      </c>
      <c r="AN153" s="101" t="e">
        <f>'Delivery Calculation'!AZ249+"AM:!'y:"</f>
        <v>#VALUE!</v>
      </c>
      <c r="AO153" s="101" t="e">
        <f>'Delivery Calculation'!BA249+"AM:!'y;"</f>
        <v>#VALUE!</v>
      </c>
      <c r="AP153" t="e">
        <f>'Delivery Calculation'!BB249+"AM:!'y&lt;"</f>
        <v>#VALUE!</v>
      </c>
      <c r="AQ153" t="e">
        <f>'Delivery Calculation'!A250+"AM:!'y="</f>
        <v>#VALUE!</v>
      </c>
      <c r="AR153" t="e">
        <f>'Delivery Calculation'!B250+"AM:!'y&gt;"</f>
        <v>#VALUE!</v>
      </c>
      <c r="AS153" t="e">
        <f>'Delivery Calculation'!C250+"AM:!'y?"</f>
        <v>#VALUE!</v>
      </c>
      <c r="AT153" t="e">
        <f>'Delivery Calculation'!D250+"AM:!'y@"</f>
        <v>#VALUE!</v>
      </c>
      <c r="AU153" t="e">
        <f>'Delivery Calculation'!E250+"AM:!'yA"</f>
        <v>#VALUE!</v>
      </c>
      <c r="AV153" s="98" t="e">
        <f>'Delivery Calculation'!F250+"AM:!'yB"</f>
        <v>#VALUE!</v>
      </c>
      <c r="AW153" s="98" t="e">
        <f>'Delivery Calculation'!G250+"AM:!'yC"</f>
        <v>#VALUE!</v>
      </c>
      <c r="AX153" t="e">
        <f>'Delivery Calculation'!H250+"AM:!'yD"</f>
        <v>#VALUE!</v>
      </c>
      <c r="AY153" s="97" t="e">
        <f>'Delivery Calculation'!I250+"AM:!'yE"</f>
        <v>#VALUE!</v>
      </c>
      <c r="AZ153" s="103" t="e">
        <f>'Delivery Calculation'!J250+"AM:!'yF"</f>
        <v>#VALUE!</v>
      </c>
      <c r="BA153" s="98" t="e">
        <f>'Delivery Calculation'!K250+"AM:!'yG"</f>
        <v>#VALUE!</v>
      </c>
      <c r="BB153" s="98" t="e">
        <f>'Delivery Calculation'!L250+"AM:!'yH"</f>
        <v>#VALUE!</v>
      </c>
      <c r="BC153" s="99" t="e">
        <f>'Delivery Calculation'!M250+"AM:!'yI"</f>
        <v>#VALUE!</v>
      </c>
      <c r="BD153" s="99" t="e">
        <f>'Delivery Calculation'!N250+"AM:!'yJ"</f>
        <v>#VALUE!</v>
      </c>
      <c r="BE153" s="101" t="e">
        <f>'Delivery Calculation'!O250+"AM:!'yK"</f>
        <v>#VALUE!</v>
      </c>
      <c r="BF153" s="101" t="e">
        <f>'Delivery Calculation'!P250+"AM:!'yL"</f>
        <v>#VALUE!</v>
      </c>
      <c r="BG153" s="101" t="e">
        <f>'Delivery Calculation'!Q250+"AM:!'yM"</f>
        <v>#VALUE!</v>
      </c>
      <c r="BH153" s="101" t="e">
        <f>'Delivery Calculation'!R250+"AM:!'yN"</f>
        <v>#VALUE!</v>
      </c>
      <c r="BI153" s="101" t="e">
        <f>'Delivery Calculation'!S250+"AM:!'yO"</f>
        <v>#VALUE!</v>
      </c>
      <c r="BJ153" s="101" t="e">
        <f>'Delivery Calculation'!T250+"AM:!'yP"</f>
        <v>#VALUE!</v>
      </c>
      <c r="BK153" s="101" t="e">
        <f>'Delivery Calculation'!U250+"AM:!'yQ"</f>
        <v>#VALUE!</v>
      </c>
      <c r="BL153" s="101" t="e">
        <f>'Delivery Calculation'!V250+"AM:!'yR"</f>
        <v>#VALUE!</v>
      </c>
      <c r="BM153" s="101" t="e">
        <f>'Delivery Calculation'!W250+"AM:!'yS"</f>
        <v>#VALUE!</v>
      </c>
      <c r="BN153" s="101" t="e">
        <f>'Delivery Calculation'!X250+"AM:!'yT"</f>
        <v>#VALUE!</v>
      </c>
      <c r="BO153" s="101" t="e">
        <f>'Delivery Calculation'!Y250+"AM:!'yU"</f>
        <v>#VALUE!</v>
      </c>
      <c r="BP153" s="101" t="e">
        <f>'Delivery Calculation'!Z250+"AM:!'yV"</f>
        <v>#VALUE!</v>
      </c>
      <c r="BQ153" s="101" t="e">
        <f>'Delivery Calculation'!AA250+"AM:!'yW"</f>
        <v>#VALUE!</v>
      </c>
      <c r="BR153" s="101" t="e">
        <f>'Delivery Calculation'!AB250+"AM:!'yX"</f>
        <v>#VALUE!</v>
      </c>
      <c r="BS153" s="101" t="e">
        <f>'Delivery Calculation'!AC250+"AM:!'yY"</f>
        <v>#VALUE!</v>
      </c>
      <c r="BT153" s="101" t="e">
        <f>'Delivery Calculation'!AD250+"AM:!'yZ"</f>
        <v>#VALUE!</v>
      </c>
      <c r="BU153" s="101" t="e">
        <f>'Delivery Calculation'!AE250+"AM:!'y["</f>
        <v>#VALUE!</v>
      </c>
      <c r="BV153" s="101" t="e">
        <f>'Delivery Calculation'!AF250+"AM:!'y\"</f>
        <v>#VALUE!</v>
      </c>
      <c r="BW153" s="101" t="e">
        <f>'Delivery Calculation'!AG250+"AM:!'y]"</f>
        <v>#VALUE!</v>
      </c>
      <c r="BX153" s="101" t="e">
        <f>'Delivery Calculation'!AH250+"AM:!'y^"</f>
        <v>#VALUE!</v>
      </c>
      <c r="BY153" s="101" t="e">
        <f>'Delivery Calculation'!AI250+"AM:!'y_"</f>
        <v>#VALUE!</v>
      </c>
      <c r="BZ153" s="101" t="e">
        <f>'Delivery Calculation'!AJ250+"AM:!'y`"</f>
        <v>#VALUE!</v>
      </c>
      <c r="CA153" s="101" t="e">
        <f>'Delivery Calculation'!AK250+"AM:!'ya"</f>
        <v>#VALUE!</v>
      </c>
      <c r="CB153" s="101" t="e">
        <f>'Delivery Calculation'!AL250+"AM:!'yb"</f>
        <v>#VALUE!</v>
      </c>
      <c r="CC153" s="101" t="e">
        <f>'Delivery Calculation'!AM250+"AM:!'yc"</f>
        <v>#VALUE!</v>
      </c>
      <c r="CD153" s="101" t="e">
        <f>'Delivery Calculation'!AN250+"AM:!'yd"</f>
        <v>#VALUE!</v>
      </c>
      <c r="CE153" s="101" t="e">
        <f>'Delivery Calculation'!AO250+"AM:!'ye"</f>
        <v>#VALUE!</v>
      </c>
      <c r="CF153" s="101" t="e">
        <f>'Delivery Calculation'!AP250+"AM:!'yf"</f>
        <v>#VALUE!</v>
      </c>
      <c r="CG153" s="101" t="e">
        <f>'Delivery Calculation'!AQ250+"AM:!'yg"</f>
        <v>#VALUE!</v>
      </c>
      <c r="CH153" s="101" t="e">
        <f>'Delivery Calculation'!AR250+"AM:!'yh"</f>
        <v>#VALUE!</v>
      </c>
      <c r="CI153" s="101" t="e">
        <f>'Delivery Calculation'!AS250+"AM:!'yi"</f>
        <v>#VALUE!</v>
      </c>
      <c r="CJ153" s="101" t="e">
        <f>'Delivery Calculation'!AT250+"AM:!'yj"</f>
        <v>#VALUE!</v>
      </c>
      <c r="CK153" s="101" t="e">
        <f>'Delivery Calculation'!AU250+"AM:!'yk"</f>
        <v>#VALUE!</v>
      </c>
      <c r="CL153" s="101" t="e">
        <f>'Delivery Calculation'!AV250+"AM:!'yl"</f>
        <v>#VALUE!</v>
      </c>
      <c r="CM153" s="101" t="e">
        <f>'Delivery Calculation'!AW250+"AM:!'ym"</f>
        <v>#VALUE!</v>
      </c>
      <c r="CN153" s="101" t="e">
        <f>'Delivery Calculation'!AX250+"AM:!'yn"</f>
        <v>#VALUE!</v>
      </c>
      <c r="CO153" s="101" t="e">
        <f>'Delivery Calculation'!AY250+"AM:!'yo"</f>
        <v>#VALUE!</v>
      </c>
      <c r="CP153" s="101" t="e">
        <f>'Delivery Calculation'!AZ250+"AM:!'yp"</f>
        <v>#VALUE!</v>
      </c>
      <c r="CQ153" s="101" t="e">
        <f>'Delivery Calculation'!BA250+"AM:!'yq"</f>
        <v>#VALUE!</v>
      </c>
      <c r="CR153" t="e">
        <f>'Delivery Calculation'!BB250+"AM:!'yr"</f>
        <v>#VALUE!</v>
      </c>
      <c r="CS153" t="e">
        <f>'Delivery Calculation'!A251+"AM:!'ys"</f>
        <v>#VALUE!</v>
      </c>
      <c r="CT153" t="e">
        <f>'Delivery Calculation'!B251+"AM:!'yt"</f>
        <v>#VALUE!</v>
      </c>
      <c r="CU153" t="e">
        <f>'Delivery Calculation'!C251+"AM:!'yu"</f>
        <v>#VALUE!</v>
      </c>
      <c r="CV153" t="e">
        <f>'Delivery Calculation'!D251+"AM:!'yv"</f>
        <v>#VALUE!</v>
      </c>
      <c r="CW153" t="e">
        <f>'Delivery Calculation'!E251+"AM:!'yw"</f>
        <v>#VALUE!</v>
      </c>
      <c r="CX153" s="98" t="e">
        <f>'Delivery Calculation'!F251+"AM:!'yx"</f>
        <v>#VALUE!</v>
      </c>
      <c r="CY153" s="98" t="e">
        <f>'Delivery Calculation'!G251+"AM:!'yy"</f>
        <v>#VALUE!</v>
      </c>
      <c r="CZ153" t="e">
        <f>'Delivery Calculation'!H251+"AM:!'yz"</f>
        <v>#VALUE!</v>
      </c>
      <c r="DA153" s="97" t="e">
        <f>'Delivery Calculation'!I251+"AM:!'y{"</f>
        <v>#VALUE!</v>
      </c>
      <c r="DB153" s="103" t="e">
        <f>'Delivery Calculation'!J251+"AM:!'y|"</f>
        <v>#VALUE!</v>
      </c>
      <c r="DC153" s="98" t="e">
        <f>'Delivery Calculation'!K251+"AM:!'y}"</f>
        <v>#VALUE!</v>
      </c>
      <c r="DD153" s="98" t="e">
        <f>'Delivery Calculation'!L251+"AM:!'y~"</f>
        <v>#VALUE!</v>
      </c>
      <c r="DE153" s="99" t="e">
        <f>'Delivery Calculation'!M251+"AM:!'z#"</f>
        <v>#VALUE!</v>
      </c>
      <c r="DF153" s="99" t="e">
        <f>'Delivery Calculation'!N251+"AM:!'z$"</f>
        <v>#VALUE!</v>
      </c>
      <c r="DG153" s="101" t="e">
        <f>'Delivery Calculation'!O251+"AM:!'z%"</f>
        <v>#VALUE!</v>
      </c>
      <c r="DH153" s="101" t="e">
        <f>'Delivery Calculation'!P251+"AM:!'z&amp;"</f>
        <v>#VALUE!</v>
      </c>
      <c r="DI153" s="101" t="e">
        <f>'Delivery Calculation'!Q251+"AM:!'z'"</f>
        <v>#VALUE!</v>
      </c>
      <c r="DJ153" s="101" t="e">
        <f>'Delivery Calculation'!R251+"AM:!'z("</f>
        <v>#VALUE!</v>
      </c>
      <c r="DK153" s="101" t="e">
        <f>'Delivery Calculation'!S251+"AM:!'z)"</f>
        <v>#VALUE!</v>
      </c>
      <c r="DL153" s="101" t="e">
        <f>'Delivery Calculation'!T251+"AM:!'z."</f>
        <v>#VALUE!</v>
      </c>
      <c r="DM153" s="101" t="e">
        <f>'Delivery Calculation'!U251+"AM:!'z/"</f>
        <v>#VALUE!</v>
      </c>
      <c r="DN153" s="101" t="e">
        <f>'Delivery Calculation'!V251+"AM:!'z0"</f>
        <v>#VALUE!</v>
      </c>
      <c r="DO153" s="101" t="e">
        <f>'Delivery Calculation'!W251+"AM:!'z1"</f>
        <v>#VALUE!</v>
      </c>
      <c r="DP153" s="101" t="e">
        <f>'Delivery Calculation'!X251+"AM:!'z2"</f>
        <v>#VALUE!</v>
      </c>
      <c r="DQ153" s="101" t="e">
        <f>'Delivery Calculation'!Y251+"AM:!'z3"</f>
        <v>#VALUE!</v>
      </c>
      <c r="DR153" s="101" t="e">
        <f>'Delivery Calculation'!Z251+"AM:!'z4"</f>
        <v>#VALUE!</v>
      </c>
      <c r="DS153" s="101" t="e">
        <f>'Delivery Calculation'!AA251+"AM:!'z5"</f>
        <v>#VALUE!</v>
      </c>
      <c r="DT153" s="101" t="e">
        <f>'Delivery Calculation'!AB251+"AM:!'z6"</f>
        <v>#VALUE!</v>
      </c>
      <c r="DU153" s="101" t="e">
        <f>'Delivery Calculation'!AC251+"AM:!'z7"</f>
        <v>#VALUE!</v>
      </c>
      <c r="DV153" s="101" t="e">
        <f>'Delivery Calculation'!AD251+"AM:!'z8"</f>
        <v>#VALUE!</v>
      </c>
      <c r="DW153" s="101" t="e">
        <f>'Delivery Calculation'!AE251+"AM:!'z9"</f>
        <v>#VALUE!</v>
      </c>
      <c r="DX153" s="101" t="e">
        <f>'Delivery Calculation'!AF251+"AM:!'z:"</f>
        <v>#VALUE!</v>
      </c>
      <c r="DY153" s="101" t="e">
        <f>'Delivery Calculation'!AG251+"AM:!'z;"</f>
        <v>#VALUE!</v>
      </c>
      <c r="DZ153" s="101" t="e">
        <f>'Delivery Calculation'!AH251+"AM:!'z&lt;"</f>
        <v>#VALUE!</v>
      </c>
      <c r="EA153" s="101" t="e">
        <f>'Delivery Calculation'!AI251+"AM:!'z="</f>
        <v>#VALUE!</v>
      </c>
      <c r="EB153" s="101" t="e">
        <f>'Delivery Calculation'!AJ251+"AM:!'z&gt;"</f>
        <v>#VALUE!</v>
      </c>
      <c r="EC153" s="101" t="e">
        <f>'Delivery Calculation'!AK251+"AM:!'z?"</f>
        <v>#VALUE!</v>
      </c>
      <c r="ED153" s="101" t="e">
        <f>'Delivery Calculation'!AL251+"AM:!'z@"</f>
        <v>#VALUE!</v>
      </c>
      <c r="EE153" s="101" t="e">
        <f>'Delivery Calculation'!AM251+"AM:!'zA"</f>
        <v>#VALUE!</v>
      </c>
      <c r="EF153" s="101" t="e">
        <f>'Delivery Calculation'!AN251+"AM:!'zB"</f>
        <v>#VALUE!</v>
      </c>
      <c r="EG153" s="101" t="e">
        <f>'Delivery Calculation'!AO251+"AM:!'zC"</f>
        <v>#VALUE!</v>
      </c>
      <c r="EH153" s="101" t="e">
        <f>'Delivery Calculation'!AP251+"AM:!'zD"</f>
        <v>#VALUE!</v>
      </c>
      <c r="EI153" s="101" t="e">
        <f>'Delivery Calculation'!AQ251+"AM:!'zE"</f>
        <v>#VALUE!</v>
      </c>
      <c r="EJ153" s="101" t="e">
        <f>'Delivery Calculation'!AR251+"AM:!'zF"</f>
        <v>#VALUE!</v>
      </c>
      <c r="EK153" s="101" t="e">
        <f>'Delivery Calculation'!AS251+"AM:!'zG"</f>
        <v>#VALUE!</v>
      </c>
      <c r="EL153" s="101" t="e">
        <f>'Delivery Calculation'!AT251+"AM:!'zH"</f>
        <v>#VALUE!</v>
      </c>
      <c r="EM153" s="101" t="e">
        <f>'Delivery Calculation'!AU251+"AM:!'zI"</f>
        <v>#VALUE!</v>
      </c>
      <c r="EN153" s="101" t="e">
        <f>'Delivery Calculation'!AV251+"AM:!'zJ"</f>
        <v>#VALUE!</v>
      </c>
      <c r="EO153" s="101" t="e">
        <f>'Delivery Calculation'!AW251+"AM:!'zK"</f>
        <v>#VALUE!</v>
      </c>
      <c r="EP153" s="101" t="e">
        <f>'Delivery Calculation'!AX251+"AM:!'zL"</f>
        <v>#VALUE!</v>
      </c>
      <c r="EQ153" s="101" t="e">
        <f>'Delivery Calculation'!AY251+"AM:!'zM"</f>
        <v>#VALUE!</v>
      </c>
      <c r="ER153" s="101" t="e">
        <f>'Delivery Calculation'!AZ251+"AM:!'zN"</f>
        <v>#VALUE!</v>
      </c>
      <c r="ES153" s="101" t="e">
        <f>'Delivery Calculation'!BA251+"AM:!'zO"</f>
        <v>#VALUE!</v>
      </c>
      <c r="ET153" t="e">
        <f>'Delivery Calculation'!BB251+"AM:!'zP"</f>
        <v>#VALUE!</v>
      </c>
      <c r="EU153" t="e">
        <f>'Delivery Calculation'!A252+"AM:!'zQ"</f>
        <v>#VALUE!</v>
      </c>
      <c r="EV153" t="e">
        <f>'Delivery Calculation'!B252+"AM:!'zR"</f>
        <v>#VALUE!</v>
      </c>
      <c r="EW153" t="e">
        <f>'Delivery Calculation'!C252+"AM:!'zS"</f>
        <v>#VALUE!</v>
      </c>
      <c r="EX153" t="e">
        <f>'Delivery Calculation'!D252+"AM:!'zT"</f>
        <v>#VALUE!</v>
      </c>
      <c r="EY153" t="e">
        <f>'Delivery Calculation'!E252+"AM:!'zU"</f>
        <v>#VALUE!</v>
      </c>
      <c r="EZ153" s="98" t="e">
        <f>'Delivery Calculation'!F252+"AM:!'zV"</f>
        <v>#VALUE!</v>
      </c>
      <c r="FA153" s="98" t="e">
        <f>'Delivery Calculation'!G252+"AM:!'zW"</f>
        <v>#VALUE!</v>
      </c>
      <c r="FB153" t="e">
        <f>'Delivery Calculation'!H252+"AM:!'zX"</f>
        <v>#VALUE!</v>
      </c>
      <c r="FC153" s="97" t="e">
        <f>'Delivery Calculation'!I252+"AM:!'zY"</f>
        <v>#VALUE!</v>
      </c>
      <c r="FD153" s="103" t="e">
        <f>'Delivery Calculation'!J252+"AM:!'zZ"</f>
        <v>#VALUE!</v>
      </c>
      <c r="FE153" s="98" t="e">
        <f>'Delivery Calculation'!K252+"AM:!'z["</f>
        <v>#VALUE!</v>
      </c>
      <c r="FF153" s="98" t="e">
        <f>'Delivery Calculation'!L252+"AM:!'z\"</f>
        <v>#VALUE!</v>
      </c>
      <c r="FG153" s="99" t="e">
        <f>'Delivery Calculation'!M252+"AM:!'z]"</f>
        <v>#VALUE!</v>
      </c>
      <c r="FH153" s="99" t="e">
        <f>'Delivery Calculation'!N252+"AM:!'z^"</f>
        <v>#VALUE!</v>
      </c>
      <c r="FI153" s="101" t="e">
        <f>'Delivery Calculation'!O252+"AM:!'z_"</f>
        <v>#VALUE!</v>
      </c>
      <c r="FJ153" s="101" t="e">
        <f>'Delivery Calculation'!P252+"AM:!'z`"</f>
        <v>#VALUE!</v>
      </c>
      <c r="FK153" s="101" t="e">
        <f>'Delivery Calculation'!Q252+"AM:!'za"</f>
        <v>#VALUE!</v>
      </c>
      <c r="FL153" s="101" t="e">
        <f>'Delivery Calculation'!R252+"AM:!'zb"</f>
        <v>#VALUE!</v>
      </c>
      <c r="FM153" s="101" t="e">
        <f>'Delivery Calculation'!S252+"AM:!'zc"</f>
        <v>#VALUE!</v>
      </c>
      <c r="FN153" s="101" t="e">
        <f>'Delivery Calculation'!T252+"AM:!'zd"</f>
        <v>#VALUE!</v>
      </c>
      <c r="FO153" s="101" t="e">
        <f>'Delivery Calculation'!U252+"AM:!'ze"</f>
        <v>#VALUE!</v>
      </c>
      <c r="FP153" s="101" t="e">
        <f>'Delivery Calculation'!V252+"AM:!'zf"</f>
        <v>#VALUE!</v>
      </c>
      <c r="FQ153" s="101" t="e">
        <f>'Delivery Calculation'!W252+"AM:!'zg"</f>
        <v>#VALUE!</v>
      </c>
      <c r="FR153" s="101" t="e">
        <f>'Delivery Calculation'!X252+"AM:!'zh"</f>
        <v>#VALUE!</v>
      </c>
      <c r="FS153" s="101" t="e">
        <f>'Delivery Calculation'!Y252+"AM:!'zi"</f>
        <v>#VALUE!</v>
      </c>
      <c r="FT153" s="101" t="e">
        <f>'Delivery Calculation'!Z252+"AM:!'zj"</f>
        <v>#VALUE!</v>
      </c>
      <c r="FU153" s="101" t="e">
        <f>'Delivery Calculation'!AA252+"AM:!'zk"</f>
        <v>#VALUE!</v>
      </c>
      <c r="FV153" s="101" t="e">
        <f>'Delivery Calculation'!AB252+"AM:!'zl"</f>
        <v>#VALUE!</v>
      </c>
      <c r="FW153" s="101" t="e">
        <f>'Delivery Calculation'!AC252+"AM:!'zm"</f>
        <v>#VALUE!</v>
      </c>
      <c r="FX153" s="101" t="e">
        <f>'Delivery Calculation'!AD252+"AM:!'zn"</f>
        <v>#VALUE!</v>
      </c>
      <c r="FY153" s="101" t="e">
        <f>'Delivery Calculation'!AE252+"AM:!'zo"</f>
        <v>#VALUE!</v>
      </c>
      <c r="FZ153" s="101" t="e">
        <f>'Delivery Calculation'!AF252+"AM:!'zp"</f>
        <v>#VALUE!</v>
      </c>
      <c r="GA153" s="101" t="e">
        <f>'Delivery Calculation'!AG252+"AM:!'zq"</f>
        <v>#VALUE!</v>
      </c>
      <c r="GB153" s="101" t="e">
        <f>'Delivery Calculation'!AH252+"AM:!'zr"</f>
        <v>#VALUE!</v>
      </c>
      <c r="GC153" s="101" t="e">
        <f>'Delivery Calculation'!AI252+"AM:!'zs"</f>
        <v>#VALUE!</v>
      </c>
      <c r="GD153" s="101" t="e">
        <f>'Delivery Calculation'!AJ252+"AM:!'zt"</f>
        <v>#VALUE!</v>
      </c>
      <c r="GE153" s="101" t="e">
        <f>'Delivery Calculation'!AK252+"AM:!'zu"</f>
        <v>#VALUE!</v>
      </c>
      <c r="GF153" s="101" t="e">
        <f>'Delivery Calculation'!AL252+"AM:!'zv"</f>
        <v>#VALUE!</v>
      </c>
      <c r="GG153" s="101" t="e">
        <f>'Delivery Calculation'!AM252+"AM:!'zw"</f>
        <v>#VALUE!</v>
      </c>
      <c r="GH153" s="101" t="e">
        <f>'Delivery Calculation'!AN252+"AM:!'zx"</f>
        <v>#VALUE!</v>
      </c>
      <c r="GI153" s="101" t="e">
        <f>'Delivery Calculation'!AO252+"AM:!'zy"</f>
        <v>#VALUE!</v>
      </c>
      <c r="GJ153" s="101" t="e">
        <f>'Delivery Calculation'!AP252+"AM:!'zz"</f>
        <v>#VALUE!</v>
      </c>
      <c r="GK153" s="101" t="e">
        <f>'Delivery Calculation'!AQ252+"AM:!'z{"</f>
        <v>#VALUE!</v>
      </c>
      <c r="GL153" s="101" t="e">
        <f>'Delivery Calculation'!AR252+"AM:!'z|"</f>
        <v>#VALUE!</v>
      </c>
      <c r="GM153" s="101" t="e">
        <f>'Delivery Calculation'!AS252+"AM:!'z}"</f>
        <v>#VALUE!</v>
      </c>
      <c r="GN153" s="101" t="e">
        <f>'Delivery Calculation'!AT252+"AM:!'z~"</f>
        <v>#VALUE!</v>
      </c>
      <c r="GO153" s="101" t="e">
        <f>'Delivery Calculation'!AU252+"AM:!'{#"</f>
        <v>#VALUE!</v>
      </c>
      <c r="GP153" s="101" t="e">
        <f>'Delivery Calculation'!AV252+"AM:!'{$"</f>
        <v>#VALUE!</v>
      </c>
      <c r="GQ153" s="101" t="e">
        <f>'Delivery Calculation'!AW252+"AM:!'{%"</f>
        <v>#VALUE!</v>
      </c>
      <c r="GR153" s="101" t="e">
        <f>'Delivery Calculation'!AX252+"AM:!'{&amp;"</f>
        <v>#VALUE!</v>
      </c>
      <c r="GS153" s="101" t="e">
        <f>'Delivery Calculation'!AY252+"AM:!'{'"</f>
        <v>#VALUE!</v>
      </c>
      <c r="GT153" s="101" t="e">
        <f>'Delivery Calculation'!AZ252+"AM:!'{("</f>
        <v>#VALUE!</v>
      </c>
      <c r="GU153" s="101" t="e">
        <f>'Delivery Calculation'!BA252+"AM:!'{)"</f>
        <v>#VALUE!</v>
      </c>
      <c r="GV153" t="e">
        <f>'Delivery Calculation'!BB252+"AM:!'{."</f>
        <v>#VALUE!</v>
      </c>
      <c r="GW153" t="e">
        <f>'Delivery Calculation'!A253+"AM:!'{/"</f>
        <v>#VALUE!</v>
      </c>
      <c r="GX153" t="e">
        <f>'Delivery Calculation'!B253+"AM:!'{0"</f>
        <v>#VALUE!</v>
      </c>
      <c r="GY153" t="e">
        <f>'Delivery Calculation'!C253+"AM:!'{1"</f>
        <v>#VALUE!</v>
      </c>
      <c r="GZ153" t="e">
        <f>'Delivery Calculation'!D253+"AM:!'{2"</f>
        <v>#VALUE!</v>
      </c>
      <c r="HA153" t="e">
        <f>'Delivery Calculation'!E253+"AM:!'{3"</f>
        <v>#VALUE!</v>
      </c>
      <c r="HB153" s="98" t="e">
        <f>'Delivery Calculation'!F253+"AM:!'{4"</f>
        <v>#VALUE!</v>
      </c>
      <c r="HC153" s="98" t="e">
        <f>'Delivery Calculation'!G253+"AM:!'{5"</f>
        <v>#VALUE!</v>
      </c>
      <c r="HD153" t="e">
        <f>'Delivery Calculation'!H253+"AM:!'{6"</f>
        <v>#VALUE!</v>
      </c>
      <c r="HE153" s="97" t="e">
        <f>'Delivery Calculation'!I253+"AM:!'{7"</f>
        <v>#VALUE!</v>
      </c>
      <c r="HF153" s="103" t="e">
        <f>'Delivery Calculation'!J253+"AM:!'{8"</f>
        <v>#VALUE!</v>
      </c>
      <c r="HG153" s="98" t="e">
        <f>'Delivery Calculation'!K253+"AM:!'{9"</f>
        <v>#VALUE!</v>
      </c>
      <c r="HH153" s="98" t="e">
        <f>'Delivery Calculation'!L253+"AM:!'{:"</f>
        <v>#VALUE!</v>
      </c>
      <c r="HI153" s="99" t="e">
        <f>'Delivery Calculation'!M253+"AM:!'{;"</f>
        <v>#VALUE!</v>
      </c>
      <c r="HJ153" s="99" t="e">
        <f>'Delivery Calculation'!N253+"AM:!'{&lt;"</f>
        <v>#VALUE!</v>
      </c>
      <c r="HK153" s="101" t="e">
        <f>'Delivery Calculation'!O253+"AM:!'{="</f>
        <v>#VALUE!</v>
      </c>
      <c r="HL153" s="101" t="e">
        <f>'Delivery Calculation'!P253+"AM:!'{&gt;"</f>
        <v>#VALUE!</v>
      </c>
      <c r="HM153" s="101" t="e">
        <f>'Delivery Calculation'!Q253+"AM:!'{?"</f>
        <v>#VALUE!</v>
      </c>
      <c r="HN153" s="101" t="e">
        <f>'Delivery Calculation'!R253+"AM:!'{@"</f>
        <v>#VALUE!</v>
      </c>
      <c r="HO153" s="101" t="e">
        <f>'Delivery Calculation'!S253+"AM:!'{A"</f>
        <v>#VALUE!</v>
      </c>
      <c r="HP153" s="101" t="e">
        <f>'Delivery Calculation'!T253+"AM:!'{B"</f>
        <v>#VALUE!</v>
      </c>
      <c r="HQ153" s="101" t="e">
        <f>'Delivery Calculation'!U253+"AM:!'{C"</f>
        <v>#VALUE!</v>
      </c>
      <c r="HR153" s="101" t="e">
        <f>'Delivery Calculation'!V253+"AM:!'{D"</f>
        <v>#VALUE!</v>
      </c>
      <c r="HS153" s="101" t="e">
        <f>'Delivery Calculation'!W253+"AM:!'{E"</f>
        <v>#VALUE!</v>
      </c>
      <c r="HT153" s="101" t="e">
        <f>'Delivery Calculation'!X253+"AM:!'{F"</f>
        <v>#VALUE!</v>
      </c>
      <c r="HU153" s="101" t="e">
        <f>'Delivery Calculation'!Y253+"AM:!'{G"</f>
        <v>#VALUE!</v>
      </c>
      <c r="HV153" s="101" t="e">
        <f>'Delivery Calculation'!Z253+"AM:!'{H"</f>
        <v>#VALUE!</v>
      </c>
      <c r="HW153" s="101" t="e">
        <f>'Delivery Calculation'!AA253+"AM:!'{I"</f>
        <v>#VALUE!</v>
      </c>
      <c r="HX153" s="101" t="e">
        <f>'Delivery Calculation'!AB253+"AM:!'{J"</f>
        <v>#VALUE!</v>
      </c>
      <c r="HY153" s="101" t="e">
        <f>'Delivery Calculation'!AC253+"AM:!'{K"</f>
        <v>#VALUE!</v>
      </c>
      <c r="HZ153" s="101" t="e">
        <f>'Delivery Calculation'!AD253+"AM:!'{L"</f>
        <v>#VALUE!</v>
      </c>
      <c r="IA153" s="101" t="e">
        <f>'Delivery Calculation'!AE253+"AM:!'{M"</f>
        <v>#VALUE!</v>
      </c>
      <c r="IB153" s="101" t="e">
        <f>'Delivery Calculation'!AF253+"AM:!'{N"</f>
        <v>#VALUE!</v>
      </c>
      <c r="IC153" s="101" t="e">
        <f>'Delivery Calculation'!AG253+"AM:!'{O"</f>
        <v>#VALUE!</v>
      </c>
      <c r="ID153" s="101" t="e">
        <f>'Delivery Calculation'!AH253+"AM:!'{P"</f>
        <v>#VALUE!</v>
      </c>
      <c r="IE153" s="101" t="e">
        <f>'Delivery Calculation'!AI253+"AM:!'{Q"</f>
        <v>#VALUE!</v>
      </c>
      <c r="IF153" s="101" t="e">
        <f>'Delivery Calculation'!AJ253+"AM:!'{R"</f>
        <v>#VALUE!</v>
      </c>
      <c r="IG153" s="101" t="e">
        <f>'Delivery Calculation'!AK253+"AM:!'{S"</f>
        <v>#VALUE!</v>
      </c>
      <c r="IH153" s="101" t="e">
        <f>'Delivery Calculation'!AL253+"AM:!'{T"</f>
        <v>#VALUE!</v>
      </c>
      <c r="II153" s="101" t="e">
        <f>'Delivery Calculation'!AM253+"AM:!'{U"</f>
        <v>#VALUE!</v>
      </c>
      <c r="IJ153" s="101" t="e">
        <f>'Delivery Calculation'!AN253+"AM:!'{V"</f>
        <v>#VALUE!</v>
      </c>
      <c r="IK153" s="101" t="e">
        <f>'Delivery Calculation'!AO253+"AM:!'{W"</f>
        <v>#VALUE!</v>
      </c>
      <c r="IL153" s="101" t="e">
        <f>'Delivery Calculation'!AP253+"AM:!'{X"</f>
        <v>#VALUE!</v>
      </c>
      <c r="IM153" s="101" t="e">
        <f>'Delivery Calculation'!AQ253+"AM:!'{Y"</f>
        <v>#VALUE!</v>
      </c>
      <c r="IN153" s="101" t="e">
        <f>'Delivery Calculation'!AR253+"AM:!'{Z"</f>
        <v>#VALUE!</v>
      </c>
      <c r="IO153" s="101" t="e">
        <f>'Delivery Calculation'!AS253+"AM:!'{["</f>
        <v>#VALUE!</v>
      </c>
      <c r="IP153" s="101" t="e">
        <f>'Delivery Calculation'!AT253+"AM:!'{\"</f>
        <v>#VALUE!</v>
      </c>
      <c r="IQ153" s="101" t="e">
        <f>'Delivery Calculation'!AU253+"AM:!'{]"</f>
        <v>#VALUE!</v>
      </c>
      <c r="IR153" s="101" t="e">
        <f>'Delivery Calculation'!AV253+"AM:!'{^"</f>
        <v>#VALUE!</v>
      </c>
      <c r="IS153" s="101" t="e">
        <f>'Delivery Calculation'!AW253+"AM:!'{_"</f>
        <v>#VALUE!</v>
      </c>
      <c r="IT153" s="101" t="e">
        <f>'Delivery Calculation'!AX253+"AM:!'{`"</f>
        <v>#VALUE!</v>
      </c>
      <c r="IU153" s="101" t="e">
        <f>'Delivery Calculation'!AY253+"AM:!'{a"</f>
        <v>#VALUE!</v>
      </c>
      <c r="IV153" s="101" t="e">
        <f>'Delivery Calculation'!AZ253+"AM:!'{b"</f>
        <v>#VALUE!</v>
      </c>
    </row>
    <row r="154" spans="6:256">
      <c r="F154" s="101" t="e">
        <f>'Delivery Calculation'!BA253+"AM:!'{c"</f>
        <v>#VALUE!</v>
      </c>
      <c r="G154" t="e">
        <f>'Delivery Calculation'!BB253+"AM:!'{d"</f>
        <v>#VALUE!</v>
      </c>
      <c r="H154" t="e">
        <f>'Delivery Calculation'!A254+"AM:!'{e"</f>
        <v>#VALUE!</v>
      </c>
      <c r="I154" t="e">
        <f>'Delivery Calculation'!B254+"AM:!'{f"</f>
        <v>#VALUE!</v>
      </c>
      <c r="J154" t="e">
        <f>'Delivery Calculation'!C254+"AM:!'{g"</f>
        <v>#VALUE!</v>
      </c>
      <c r="K154" t="e">
        <f>'Delivery Calculation'!D254+"AM:!'{h"</f>
        <v>#VALUE!</v>
      </c>
      <c r="L154" t="e">
        <f>'Delivery Calculation'!E254+"AM:!'{i"</f>
        <v>#VALUE!</v>
      </c>
      <c r="M154" s="98" t="e">
        <f>'Delivery Calculation'!F254+"AM:!'{j"</f>
        <v>#VALUE!</v>
      </c>
      <c r="N154" s="98" t="e">
        <f>'Delivery Calculation'!G254+"AM:!'{k"</f>
        <v>#VALUE!</v>
      </c>
      <c r="O154" t="e">
        <f>'Delivery Calculation'!H254+"AM:!'{l"</f>
        <v>#VALUE!</v>
      </c>
      <c r="P154" s="97" t="e">
        <f>'Delivery Calculation'!I254+"AM:!'{m"</f>
        <v>#VALUE!</v>
      </c>
      <c r="Q154" s="103" t="e">
        <f>'Delivery Calculation'!J254+"AM:!'{n"</f>
        <v>#VALUE!</v>
      </c>
      <c r="R154" s="98" t="e">
        <f>'Delivery Calculation'!K254+"AM:!'{o"</f>
        <v>#VALUE!</v>
      </c>
      <c r="S154" s="98" t="e">
        <f>'Delivery Calculation'!L254+"AM:!'{p"</f>
        <v>#VALUE!</v>
      </c>
      <c r="T154" s="99" t="e">
        <f>'Delivery Calculation'!M254+"AM:!'{q"</f>
        <v>#VALUE!</v>
      </c>
      <c r="U154" s="99" t="e">
        <f>'Delivery Calculation'!N254+"AM:!'{r"</f>
        <v>#VALUE!</v>
      </c>
      <c r="V154" s="101" t="e">
        <f>'Delivery Calculation'!O254+"AM:!'{s"</f>
        <v>#VALUE!</v>
      </c>
      <c r="W154" s="101" t="e">
        <f>'Delivery Calculation'!P254+"AM:!'{t"</f>
        <v>#VALUE!</v>
      </c>
      <c r="X154" s="101" t="e">
        <f>'Delivery Calculation'!Q254+"AM:!'{u"</f>
        <v>#VALUE!</v>
      </c>
      <c r="Y154" s="101" t="e">
        <f>'Delivery Calculation'!R254+"AM:!'{v"</f>
        <v>#VALUE!</v>
      </c>
      <c r="Z154" s="101" t="e">
        <f>'Delivery Calculation'!S254+"AM:!'{w"</f>
        <v>#VALUE!</v>
      </c>
      <c r="AA154" s="101" t="e">
        <f>'Delivery Calculation'!T254+"AM:!'{x"</f>
        <v>#VALUE!</v>
      </c>
      <c r="AB154" s="101" t="e">
        <f>'Delivery Calculation'!U254+"AM:!'{y"</f>
        <v>#VALUE!</v>
      </c>
      <c r="AC154" s="101" t="e">
        <f>'Delivery Calculation'!V254+"AM:!'{z"</f>
        <v>#VALUE!</v>
      </c>
      <c r="AD154" s="101" t="e">
        <f>'Delivery Calculation'!W254+"AM:!'{{"</f>
        <v>#VALUE!</v>
      </c>
      <c r="AE154" s="101" t="e">
        <f>'Delivery Calculation'!X254+"AM:!'{|"</f>
        <v>#VALUE!</v>
      </c>
      <c r="AF154" s="101" t="e">
        <f>'Delivery Calculation'!Y254+"AM:!'{}"</f>
        <v>#VALUE!</v>
      </c>
      <c r="AG154" s="101" t="e">
        <f>'Delivery Calculation'!Z254+"AM:!'{~"</f>
        <v>#VALUE!</v>
      </c>
      <c r="AH154" s="101" t="e">
        <f>'Delivery Calculation'!AA254+"AM:!'|#"</f>
        <v>#VALUE!</v>
      </c>
      <c r="AI154" s="101" t="e">
        <f>'Delivery Calculation'!AB254+"AM:!'|$"</f>
        <v>#VALUE!</v>
      </c>
      <c r="AJ154" s="101" t="e">
        <f>'Delivery Calculation'!AC254+"AM:!'|%"</f>
        <v>#VALUE!</v>
      </c>
      <c r="AK154" s="101" t="e">
        <f>'Delivery Calculation'!AD254+"AM:!'|&amp;"</f>
        <v>#VALUE!</v>
      </c>
      <c r="AL154" s="101" t="e">
        <f>'Delivery Calculation'!AE254+"AM:!'|'"</f>
        <v>#VALUE!</v>
      </c>
      <c r="AM154" s="101" t="e">
        <f>'Delivery Calculation'!AF254+"AM:!'|("</f>
        <v>#VALUE!</v>
      </c>
      <c r="AN154" s="101" t="e">
        <f>'Delivery Calculation'!AG254+"AM:!'|)"</f>
        <v>#VALUE!</v>
      </c>
      <c r="AO154" s="101" t="e">
        <f>'Delivery Calculation'!AH254+"AM:!'|."</f>
        <v>#VALUE!</v>
      </c>
      <c r="AP154" s="101" t="e">
        <f>'Delivery Calculation'!AI254+"AM:!'|/"</f>
        <v>#VALUE!</v>
      </c>
      <c r="AQ154" s="101" t="e">
        <f>'Delivery Calculation'!AJ254+"AM:!'|0"</f>
        <v>#VALUE!</v>
      </c>
      <c r="AR154" s="101" t="e">
        <f>'Delivery Calculation'!AK254+"AM:!'|1"</f>
        <v>#VALUE!</v>
      </c>
      <c r="AS154" s="101" t="e">
        <f>'Delivery Calculation'!AL254+"AM:!'|2"</f>
        <v>#VALUE!</v>
      </c>
      <c r="AT154" s="101" t="e">
        <f>'Delivery Calculation'!AM254+"AM:!'|3"</f>
        <v>#VALUE!</v>
      </c>
      <c r="AU154" s="101" t="e">
        <f>'Delivery Calculation'!AN254+"AM:!'|4"</f>
        <v>#VALUE!</v>
      </c>
      <c r="AV154" s="101" t="e">
        <f>'Delivery Calculation'!AO254+"AM:!'|5"</f>
        <v>#VALUE!</v>
      </c>
      <c r="AW154" s="101" t="e">
        <f>'Delivery Calculation'!AP254+"AM:!'|6"</f>
        <v>#VALUE!</v>
      </c>
      <c r="AX154" s="101" t="e">
        <f>'Delivery Calculation'!AQ254+"AM:!'|7"</f>
        <v>#VALUE!</v>
      </c>
      <c r="AY154" s="101" t="e">
        <f>'Delivery Calculation'!AR254+"AM:!'|8"</f>
        <v>#VALUE!</v>
      </c>
      <c r="AZ154" s="101" t="e">
        <f>'Delivery Calculation'!AS254+"AM:!'|9"</f>
        <v>#VALUE!</v>
      </c>
      <c r="BA154" s="101" t="e">
        <f>'Delivery Calculation'!AT254+"AM:!'|:"</f>
        <v>#VALUE!</v>
      </c>
      <c r="BB154" s="101" t="e">
        <f>'Delivery Calculation'!AU254+"AM:!'|;"</f>
        <v>#VALUE!</v>
      </c>
      <c r="BC154" s="101" t="e">
        <f>'Delivery Calculation'!AV254+"AM:!'|&lt;"</f>
        <v>#VALUE!</v>
      </c>
      <c r="BD154" s="101" t="e">
        <f>'Delivery Calculation'!AW254+"AM:!'|="</f>
        <v>#VALUE!</v>
      </c>
      <c r="BE154" s="101" t="e">
        <f>'Delivery Calculation'!AX254+"AM:!'|&gt;"</f>
        <v>#VALUE!</v>
      </c>
      <c r="BF154" s="101" t="e">
        <f>'Delivery Calculation'!AY254+"AM:!'|?"</f>
        <v>#VALUE!</v>
      </c>
      <c r="BG154" s="101" t="e">
        <f>'Delivery Calculation'!AZ254+"AM:!'|@"</f>
        <v>#VALUE!</v>
      </c>
      <c r="BH154" s="101" t="e">
        <f>'Delivery Calculation'!BA254+"AM:!'|A"</f>
        <v>#VALUE!</v>
      </c>
      <c r="BI154" t="e">
        <f>'Delivery Calculation'!BB254+"AM:!'|B"</f>
        <v>#VALUE!</v>
      </c>
      <c r="BJ154" t="e">
        <f>'Delivery Calculation'!A255+"AM:!'|C"</f>
        <v>#VALUE!</v>
      </c>
      <c r="BK154" t="e">
        <f>'Delivery Calculation'!B255+"AM:!'|D"</f>
        <v>#VALUE!</v>
      </c>
      <c r="BL154" t="e">
        <f>'Delivery Calculation'!C255+"AM:!'|E"</f>
        <v>#VALUE!</v>
      </c>
      <c r="BM154" t="e">
        <f>'Delivery Calculation'!D255+"AM:!'|F"</f>
        <v>#VALUE!</v>
      </c>
      <c r="BN154" t="e">
        <f>'Delivery Calculation'!E255+"AM:!'|G"</f>
        <v>#VALUE!</v>
      </c>
      <c r="BO154" s="98" t="e">
        <f>'Delivery Calculation'!F255+"AM:!'|H"</f>
        <v>#VALUE!</v>
      </c>
      <c r="BP154" s="98" t="e">
        <f>'Delivery Calculation'!G255+"AM:!'|I"</f>
        <v>#VALUE!</v>
      </c>
      <c r="BQ154" t="e">
        <f>'Delivery Calculation'!H255+"AM:!'|J"</f>
        <v>#VALUE!</v>
      </c>
      <c r="BR154" s="97" t="e">
        <f>'Delivery Calculation'!I255+"AM:!'|K"</f>
        <v>#VALUE!</v>
      </c>
      <c r="BS154" s="103" t="e">
        <f>'Delivery Calculation'!J255+"AM:!'|L"</f>
        <v>#VALUE!</v>
      </c>
      <c r="BT154" s="98" t="e">
        <f>'Delivery Calculation'!K255+"AM:!'|M"</f>
        <v>#VALUE!</v>
      </c>
      <c r="BU154" s="98" t="e">
        <f>'Delivery Calculation'!L255+"AM:!'|N"</f>
        <v>#VALUE!</v>
      </c>
      <c r="BV154" s="99" t="e">
        <f>'Delivery Calculation'!M255+"AM:!'|O"</f>
        <v>#VALUE!</v>
      </c>
      <c r="BW154" s="99" t="e">
        <f>'Delivery Calculation'!N255+"AM:!'|P"</f>
        <v>#VALUE!</v>
      </c>
      <c r="BX154" s="101" t="e">
        <f>'Delivery Calculation'!O255+"AM:!'|Q"</f>
        <v>#VALUE!</v>
      </c>
      <c r="BY154" s="101" t="e">
        <f>'Delivery Calculation'!P255+"AM:!'|R"</f>
        <v>#VALUE!</v>
      </c>
      <c r="BZ154" s="101" t="e">
        <f>'Delivery Calculation'!Q255+"AM:!'|S"</f>
        <v>#VALUE!</v>
      </c>
      <c r="CA154" s="101" t="e">
        <f>'Delivery Calculation'!R255+"AM:!'|T"</f>
        <v>#VALUE!</v>
      </c>
      <c r="CB154" s="101" t="e">
        <f>'Delivery Calculation'!S255+"AM:!'|U"</f>
        <v>#VALUE!</v>
      </c>
      <c r="CC154" s="101" t="e">
        <f>'Delivery Calculation'!T255+"AM:!'|V"</f>
        <v>#VALUE!</v>
      </c>
      <c r="CD154" s="101" t="e">
        <f>'Delivery Calculation'!U255+"AM:!'|W"</f>
        <v>#VALUE!</v>
      </c>
      <c r="CE154" s="101" t="e">
        <f>'Delivery Calculation'!V255+"AM:!'|X"</f>
        <v>#VALUE!</v>
      </c>
      <c r="CF154" s="101" t="e">
        <f>'Delivery Calculation'!W255+"AM:!'|Y"</f>
        <v>#VALUE!</v>
      </c>
      <c r="CG154" s="101" t="e">
        <f>'Delivery Calculation'!X255+"AM:!'|Z"</f>
        <v>#VALUE!</v>
      </c>
      <c r="CH154" s="101" t="e">
        <f>'Delivery Calculation'!Y255+"AM:!'|["</f>
        <v>#VALUE!</v>
      </c>
      <c r="CI154" s="101" t="e">
        <f>'Delivery Calculation'!Z255+"AM:!'|\"</f>
        <v>#VALUE!</v>
      </c>
      <c r="CJ154" s="101" t="e">
        <f>'Delivery Calculation'!AA255+"AM:!'|]"</f>
        <v>#VALUE!</v>
      </c>
      <c r="CK154" s="101" t="e">
        <f>'Delivery Calculation'!AB255+"AM:!'|^"</f>
        <v>#VALUE!</v>
      </c>
      <c r="CL154" s="101" t="e">
        <f>'Delivery Calculation'!AC255+"AM:!'|_"</f>
        <v>#VALUE!</v>
      </c>
      <c r="CM154" s="101" t="e">
        <f>'Delivery Calculation'!AD255+"AM:!'|`"</f>
        <v>#VALUE!</v>
      </c>
      <c r="CN154" s="101" t="e">
        <f>'Delivery Calculation'!AE255+"AM:!'|a"</f>
        <v>#VALUE!</v>
      </c>
      <c r="CO154" s="101" t="e">
        <f>'Delivery Calculation'!AF255+"AM:!'|b"</f>
        <v>#VALUE!</v>
      </c>
      <c r="CP154" s="101" t="e">
        <f>'Delivery Calculation'!AG255+"AM:!'|c"</f>
        <v>#VALUE!</v>
      </c>
      <c r="CQ154" s="101" t="e">
        <f>'Delivery Calculation'!AH255+"AM:!'|d"</f>
        <v>#VALUE!</v>
      </c>
      <c r="CR154" s="101" t="e">
        <f>'Delivery Calculation'!AI255+"AM:!'|e"</f>
        <v>#VALUE!</v>
      </c>
      <c r="CS154" s="101" t="e">
        <f>'Delivery Calculation'!AJ255+"AM:!'|f"</f>
        <v>#VALUE!</v>
      </c>
      <c r="CT154" s="101" t="e">
        <f>'Delivery Calculation'!AK255+"AM:!'|g"</f>
        <v>#VALUE!</v>
      </c>
      <c r="CU154" s="101" t="e">
        <f>'Delivery Calculation'!AL255+"AM:!'|h"</f>
        <v>#VALUE!</v>
      </c>
      <c r="CV154" s="101" t="e">
        <f>'Delivery Calculation'!AM255+"AM:!'|i"</f>
        <v>#VALUE!</v>
      </c>
      <c r="CW154" s="101" t="e">
        <f>'Delivery Calculation'!AN255+"AM:!'|j"</f>
        <v>#VALUE!</v>
      </c>
      <c r="CX154" s="101" t="e">
        <f>'Delivery Calculation'!AO255+"AM:!'|k"</f>
        <v>#VALUE!</v>
      </c>
      <c r="CY154" s="101" t="e">
        <f>'Delivery Calculation'!AP255+"AM:!'|l"</f>
        <v>#VALUE!</v>
      </c>
      <c r="CZ154" s="101" t="e">
        <f>'Delivery Calculation'!AQ255+"AM:!'|m"</f>
        <v>#VALUE!</v>
      </c>
      <c r="DA154" s="101" t="e">
        <f>'Delivery Calculation'!AR255+"AM:!'|n"</f>
        <v>#VALUE!</v>
      </c>
      <c r="DB154" s="101" t="e">
        <f>'Delivery Calculation'!AS255+"AM:!'|o"</f>
        <v>#VALUE!</v>
      </c>
      <c r="DC154" s="101" t="e">
        <f>'Delivery Calculation'!AT255+"AM:!'|p"</f>
        <v>#VALUE!</v>
      </c>
      <c r="DD154" s="101" t="e">
        <f>'Delivery Calculation'!AU255+"AM:!'|q"</f>
        <v>#VALUE!</v>
      </c>
      <c r="DE154" s="101" t="e">
        <f>'Delivery Calculation'!AV255+"AM:!'|r"</f>
        <v>#VALUE!</v>
      </c>
      <c r="DF154" s="101" t="e">
        <f>'Delivery Calculation'!AW255+"AM:!'|s"</f>
        <v>#VALUE!</v>
      </c>
      <c r="DG154" s="101" t="e">
        <f>'Delivery Calculation'!AX255+"AM:!'|t"</f>
        <v>#VALUE!</v>
      </c>
      <c r="DH154" s="101" t="e">
        <f>'Delivery Calculation'!AY255+"AM:!'|u"</f>
        <v>#VALUE!</v>
      </c>
      <c r="DI154" s="101" t="e">
        <f>'Delivery Calculation'!AZ255+"AM:!'|v"</f>
        <v>#VALUE!</v>
      </c>
      <c r="DJ154" s="101" t="e">
        <f>'Delivery Calculation'!BA255+"AM:!'|w"</f>
        <v>#VALUE!</v>
      </c>
      <c r="DK154" t="e">
        <f>'Delivery Calculation'!BB255+"AM:!'|x"</f>
        <v>#VALUE!</v>
      </c>
      <c r="DL154" t="e">
        <f>'Delivery Calculation'!A256+"AM:!'|y"</f>
        <v>#VALUE!</v>
      </c>
      <c r="DM154" t="e">
        <f>'Delivery Calculation'!B256+"AM:!'|z"</f>
        <v>#VALUE!</v>
      </c>
      <c r="DN154" t="e">
        <f>'Delivery Calculation'!C256+"AM:!'|{"</f>
        <v>#VALUE!</v>
      </c>
      <c r="DO154" t="e">
        <f>'Delivery Calculation'!D256+"AM:!'||"</f>
        <v>#VALUE!</v>
      </c>
      <c r="DP154" t="e">
        <f>'Delivery Calculation'!E256+"AM:!'|}"</f>
        <v>#VALUE!</v>
      </c>
      <c r="DQ154" s="98" t="e">
        <f>'Delivery Calculation'!F256+"AM:!'|~"</f>
        <v>#VALUE!</v>
      </c>
      <c r="DR154" s="98" t="e">
        <f>'Delivery Calculation'!G256+"AM:!'}#"</f>
        <v>#VALUE!</v>
      </c>
      <c r="DS154" t="e">
        <f>'Delivery Calculation'!H256+"AM:!'}$"</f>
        <v>#VALUE!</v>
      </c>
      <c r="DT154" s="97" t="e">
        <f>'Delivery Calculation'!I256+"AM:!'}%"</f>
        <v>#VALUE!</v>
      </c>
      <c r="DU154" s="103" t="e">
        <f>'Delivery Calculation'!J256+"AM:!'}&amp;"</f>
        <v>#VALUE!</v>
      </c>
      <c r="DV154" s="98" t="e">
        <f>'Delivery Calculation'!K256+"AM:!'}'"</f>
        <v>#VALUE!</v>
      </c>
      <c r="DW154" s="98" t="e">
        <f>'Delivery Calculation'!L256+"AM:!'}("</f>
        <v>#VALUE!</v>
      </c>
      <c r="DX154" s="99" t="e">
        <f>'Delivery Calculation'!M256+"AM:!'})"</f>
        <v>#VALUE!</v>
      </c>
      <c r="DY154" s="99" t="e">
        <f>'Delivery Calculation'!N256+"AM:!'}."</f>
        <v>#VALUE!</v>
      </c>
      <c r="DZ154" s="101" t="e">
        <f>'Delivery Calculation'!O256+"AM:!'}/"</f>
        <v>#VALUE!</v>
      </c>
      <c r="EA154" s="101" t="e">
        <f>'Delivery Calculation'!P256+"AM:!'}0"</f>
        <v>#VALUE!</v>
      </c>
      <c r="EB154" s="101" t="e">
        <f>'Delivery Calculation'!Q256+"AM:!'}1"</f>
        <v>#VALUE!</v>
      </c>
      <c r="EC154" s="101" t="e">
        <f>'Delivery Calculation'!R256+"AM:!'}2"</f>
        <v>#VALUE!</v>
      </c>
      <c r="ED154" s="101" t="e">
        <f>'Delivery Calculation'!S256+"AM:!'}3"</f>
        <v>#VALUE!</v>
      </c>
      <c r="EE154" s="101" t="e">
        <f>'Delivery Calculation'!T256+"AM:!'}4"</f>
        <v>#VALUE!</v>
      </c>
      <c r="EF154" s="101" t="e">
        <f>'Delivery Calculation'!U256+"AM:!'}5"</f>
        <v>#VALUE!</v>
      </c>
      <c r="EG154" s="101" t="e">
        <f>'Delivery Calculation'!V256+"AM:!'}6"</f>
        <v>#VALUE!</v>
      </c>
      <c r="EH154" s="101" t="e">
        <f>'Delivery Calculation'!W256+"AM:!'}7"</f>
        <v>#VALUE!</v>
      </c>
      <c r="EI154" s="101" t="e">
        <f>'Delivery Calculation'!X256+"AM:!'}8"</f>
        <v>#VALUE!</v>
      </c>
      <c r="EJ154" s="101" t="e">
        <f>'Delivery Calculation'!Y256+"AM:!'}9"</f>
        <v>#VALUE!</v>
      </c>
      <c r="EK154" s="101" t="e">
        <f>'Delivery Calculation'!Z256+"AM:!'}:"</f>
        <v>#VALUE!</v>
      </c>
      <c r="EL154" s="101" t="e">
        <f>'Delivery Calculation'!AA256+"AM:!'};"</f>
        <v>#VALUE!</v>
      </c>
      <c r="EM154" s="101" t="e">
        <f>'Delivery Calculation'!AB256+"AM:!'}&lt;"</f>
        <v>#VALUE!</v>
      </c>
      <c r="EN154" s="101" t="e">
        <f>'Delivery Calculation'!AC256+"AM:!'}="</f>
        <v>#VALUE!</v>
      </c>
      <c r="EO154" s="101" t="e">
        <f>'Delivery Calculation'!AD256+"AM:!'}&gt;"</f>
        <v>#VALUE!</v>
      </c>
      <c r="EP154" s="101" t="e">
        <f>'Delivery Calculation'!AE256+"AM:!'}?"</f>
        <v>#VALUE!</v>
      </c>
      <c r="EQ154" s="101" t="e">
        <f>'Delivery Calculation'!AF256+"AM:!'}@"</f>
        <v>#VALUE!</v>
      </c>
      <c r="ER154" s="101" t="e">
        <f>'Delivery Calculation'!AG256+"AM:!'}A"</f>
        <v>#VALUE!</v>
      </c>
      <c r="ES154" s="101" t="e">
        <f>'Delivery Calculation'!AH256+"AM:!'}B"</f>
        <v>#VALUE!</v>
      </c>
      <c r="ET154" s="101" t="e">
        <f>'Delivery Calculation'!AI256+"AM:!'}C"</f>
        <v>#VALUE!</v>
      </c>
      <c r="EU154" s="101" t="e">
        <f>'Delivery Calculation'!AJ256+"AM:!'}D"</f>
        <v>#VALUE!</v>
      </c>
      <c r="EV154" s="101" t="e">
        <f>'Delivery Calculation'!AK256+"AM:!'}E"</f>
        <v>#VALUE!</v>
      </c>
      <c r="EW154" s="101" t="e">
        <f>'Delivery Calculation'!AL256+"AM:!'}F"</f>
        <v>#VALUE!</v>
      </c>
      <c r="EX154" s="101" t="e">
        <f>'Delivery Calculation'!AM256+"AM:!'}G"</f>
        <v>#VALUE!</v>
      </c>
      <c r="EY154" s="101" t="e">
        <f>'Delivery Calculation'!AN256+"AM:!'}H"</f>
        <v>#VALUE!</v>
      </c>
      <c r="EZ154" s="101" t="e">
        <f>'Delivery Calculation'!AO256+"AM:!'}I"</f>
        <v>#VALUE!</v>
      </c>
      <c r="FA154" s="101" t="e">
        <f>'Delivery Calculation'!AP256+"AM:!'}J"</f>
        <v>#VALUE!</v>
      </c>
      <c r="FB154" s="101" t="e">
        <f>'Delivery Calculation'!AQ256+"AM:!'}K"</f>
        <v>#VALUE!</v>
      </c>
      <c r="FC154" s="101" t="e">
        <f>'Delivery Calculation'!AR256+"AM:!'}L"</f>
        <v>#VALUE!</v>
      </c>
      <c r="FD154" s="101" t="e">
        <f>'Delivery Calculation'!AS256+"AM:!'}M"</f>
        <v>#VALUE!</v>
      </c>
      <c r="FE154" s="101" t="e">
        <f>'Delivery Calculation'!AT256+"AM:!'}N"</f>
        <v>#VALUE!</v>
      </c>
      <c r="FF154" s="101" t="e">
        <f>'Delivery Calculation'!AU256+"AM:!'}O"</f>
        <v>#VALUE!</v>
      </c>
      <c r="FG154" s="101" t="e">
        <f>'Delivery Calculation'!AV256+"AM:!'}P"</f>
        <v>#VALUE!</v>
      </c>
      <c r="FH154" s="101" t="e">
        <f>'Delivery Calculation'!AW256+"AM:!'}Q"</f>
        <v>#VALUE!</v>
      </c>
      <c r="FI154" s="101" t="e">
        <f>'Delivery Calculation'!AX256+"AM:!'}R"</f>
        <v>#VALUE!</v>
      </c>
      <c r="FJ154" s="101" t="e">
        <f>'Delivery Calculation'!AY256+"AM:!'}S"</f>
        <v>#VALUE!</v>
      </c>
      <c r="FK154" s="101" t="e">
        <f>'Delivery Calculation'!AZ256+"AM:!'}T"</f>
        <v>#VALUE!</v>
      </c>
      <c r="FL154" s="101" t="e">
        <f>'Delivery Calculation'!BA256+"AM:!'}U"</f>
        <v>#VALUE!</v>
      </c>
      <c r="FM154" t="e">
        <f>'Delivery Calculation'!BB256+"AM:!'}V"</f>
        <v>#VALUE!</v>
      </c>
      <c r="FN154" t="e">
        <f>'Delivery Calculation'!A257+"AM:!'}W"</f>
        <v>#VALUE!</v>
      </c>
      <c r="FO154" t="e">
        <f>'Delivery Calculation'!B257+"AM:!'}X"</f>
        <v>#VALUE!</v>
      </c>
      <c r="FP154" t="e">
        <f>'Delivery Calculation'!C257+"AM:!'}Y"</f>
        <v>#VALUE!</v>
      </c>
      <c r="FQ154" t="e">
        <f>'Delivery Calculation'!D257+"AM:!'}Z"</f>
        <v>#VALUE!</v>
      </c>
      <c r="FR154" t="e">
        <f>'Delivery Calculation'!E257+"AM:!'}["</f>
        <v>#VALUE!</v>
      </c>
      <c r="FS154" s="98" t="e">
        <f>'Delivery Calculation'!F257+"AM:!'}\"</f>
        <v>#VALUE!</v>
      </c>
      <c r="FT154" s="98" t="e">
        <f>'Delivery Calculation'!G257+"AM:!'}]"</f>
        <v>#VALUE!</v>
      </c>
      <c r="FU154" t="e">
        <f>'Delivery Calculation'!H257+"AM:!'}^"</f>
        <v>#VALUE!</v>
      </c>
      <c r="FV154" s="97" t="e">
        <f>'Delivery Calculation'!I257+"AM:!'}_"</f>
        <v>#VALUE!</v>
      </c>
      <c r="FW154" s="103" t="e">
        <f>'Delivery Calculation'!J257+"AM:!'}`"</f>
        <v>#VALUE!</v>
      </c>
      <c r="FX154" s="98" t="e">
        <f>'Delivery Calculation'!K257+"AM:!'}a"</f>
        <v>#VALUE!</v>
      </c>
      <c r="FY154" s="98" t="e">
        <f>'Delivery Calculation'!L257+"AM:!'}b"</f>
        <v>#VALUE!</v>
      </c>
      <c r="FZ154" s="99" t="e">
        <f>'Delivery Calculation'!M257+"AM:!'}c"</f>
        <v>#VALUE!</v>
      </c>
      <c r="GA154" s="99" t="e">
        <f>'Delivery Calculation'!N257+"AM:!'}d"</f>
        <v>#VALUE!</v>
      </c>
      <c r="GB154" s="101" t="e">
        <f>'Delivery Calculation'!O257+"AM:!'}e"</f>
        <v>#VALUE!</v>
      </c>
      <c r="GC154" s="101" t="e">
        <f>'Delivery Calculation'!P257+"AM:!'}f"</f>
        <v>#VALUE!</v>
      </c>
      <c r="GD154" s="101" t="e">
        <f>'Delivery Calculation'!Q257+"AM:!'}g"</f>
        <v>#VALUE!</v>
      </c>
      <c r="GE154" s="101" t="e">
        <f>'Delivery Calculation'!R257+"AM:!'}h"</f>
        <v>#VALUE!</v>
      </c>
      <c r="GF154" s="101" t="e">
        <f>'Delivery Calculation'!S257+"AM:!'}i"</f>
        <v>#VALUE!</v>
      </c>
      <c r="GG154" s="101" t="e">
        <f>'Delivery Calculation'!T257+"AM:!'}j"</f>
        <v>#VALUE!</v>
      </c>
      <c r="GH154" s="101" t="e">
        <f>'Delivery Calculation'!U257+"AM:!'}k"</f>
        <v>#VALUE!</v>
      </c>
      <c r="GI154" s="101" t="e">
        <f>'Delivery Calculation'!V257+"AM:!'}l"</f>
        <v>#VALUE!</v>
      </c>
      <c r="GJ154" s="101" t="e">
        <f>'Delivery Calculation'!W257+"AM:!'}m"</f>
        <v>#VALUE!</v>
      </c>
      <c r="GK154" s="101" t="e">
        <f>'Delivery Calculation'!X257+"AM:!'}n"</f>
        <v>#VALUE!</v>
      </c>
      <c r="GL154" s="101" t="e">
        <f>'Delivery Calculation'!Y257+"AM:!'}o"</f>
        <v>#VALUE!</v>
      </c>
      <c r="GM154" s="101" t="e">
        <f>'Delivery Calculation'!Z257+"AM:!'}p"</f>
        <v>#VALUE!</v>
      </c>
      <c r="GN154" s="101" t="e">
        <f>'Delivery Calculation'!AA257+"AM:!'}q"</f>
        <v>#VALUE!</v>
      </c>
      <c r="GO154" s="101" t="e">
        <f>'Delivery Calculation'!AB257+"AM:!'}r"</f>
        <v>#VALUE!</v>
      </c>
      <c r="GP154" s="101" t="e">
        <f>'Delivery Calculation'!AC257+"AM:!'}s"</f>
        <v>#VALUE!</v>
      </c>
      <c r="GQ154" s="101" t="e">
        <f>'Delivery Calculation'!AD257+"AM:!'}t"</f>
        <v>#VALUE!</v>
      </c>
      <c r="GR154" s="101" t="e">
        <f>'Delivery Calculation'!AE257+"AM:!'}u"</f>
        <v>#VALUE!</v>
      </c>
      <c r="GS154" s="101" t="e">
        <f>'Delivery Calculation'!AF257+"AM:!'}v"</f>
        <v>#VALUE!</v>
      </c>
      <c r="GT154" s="101" t="e">
        <f>'Delivery Calculation'!AG257+"AM:!'}w"</f>
        <v>#VALUE!</v>
      </c>
      <c r="GU154" s="101" t="e">
        <f>'Delivery Calculation'!AH257+"AM:!'}x"</f>
        <v>#VALUE!</v>
      </c>
      <c r="GV154" s="101" t="e">
        <f>'Delivery Calculation'!AI257+"AM:!'}y"</f>
        <v>#VALUE!</v>
      </c>
      <c r="GW154" s="101" t="e">
        <f>'Delivery Calculation'!AJ257+"AM:!'}z"</f>
        <v>#VALUE!</v>
      </c>
      <c r="GX154" s="101" t="e">
        <f>'Delivery Calculation'!AK257+"AM:!'}{"</f>
        <v>#VALUE!</v>
      </c>
      <c r="GY154" s="101" t="e">
        <f>'Delivery Calculation'!AL257+"AM:!'}|"</f>
        <v>#VALUE!</v>
      </c>
      <c r="GZ154" s="101" t="e">
        <f>'Delivery Calculation'!AM257+"AM:!'}}"</f>
        <v>#VALUE!</v>
      </c>
      <c r="HA154" s="101" t="e">
        <f>'Delivery Calculation'!AN257+"AM:!'}~"</f>
        <v>#VALUE!</v>
      </c>
      <c r="HB154" s="101" t="e">
        <f>'Delivery Calculation'!AO257+"AM:!'~#"</f>
        <v>#VALUE!</v>
      </c>
      <c r="HC154" s="101" t="e">
        <f>'Delivery Calculation'!AP257+"AM:!'~$"</f>
        <v>#VALUE!</v>
      </c>
      <c r="HD154" s="101" t="e">
        <f>'Delivery Calculation'!AQ257+"AM:!'~%"</f>
        <v>#VALUE!</v>
      </c>
      <c r="HE154" s="101" t="e">
        <f>'Delivery Calculation'!AR257+"AM:!'~&amp;"</f>
        <v>#VALUE!</v>
      </c>
      <c r="HF154" s="101" t="e">
        <f>'Delivery Calculation'!AS257+"AM:!'~'"</f>
        <v>#VALUE!</v>
      </c>
      <c r="HG154" s="101" t="e">
        <f>'Delivery Calculation'!AT257+"AM:!'~("</f>
        <v>#VALUE!</v>
      </c>
      <c r="HH154" s="101" t="e">
        <f>'Delivery Calculation'!AU257+"AM:!'~)"</f>
        <v>#VALUE!</v>
      </c>
      <c r="HI154" s="101" t="e">
        <f>'Delivery Calculation'!AV257+"AM:!'~."</f>
        <v>#VALUE!</v>
      </c>
      <c r="HJ154" s="101" t="e">
        <f>'Delivery Calculation'!AW257+"AM:!'~/"</f>
        <v>#VALUE!</v>
      </c>
      <c r="HK154" s="101" t="e">
        <f>'Delivery Calculation'!AX257+"AM:!'~0"</f>
        <v>#VALUE!</v>
      </c>
      <c r="HL154" s="101" t="e">
        <f>'Delivery Calculation'!AY257+"AM:!'~1"</f>
        <v>#VALUE!</v>
      </c>
      <c r="HM154" s="101" t="e">
        <f>'Delivery Calculation'!AZ257+"AM:!'~2"</f>
        <v>#VALUE!</v>
      </c>
      <c r="HN154" s="101" t="e">
        <f>'Delivery Calculation'!BA257+"AM:!'~3"</f>
        <v>#VALUE!</v>
      </c>
      <c r="HO154" t="e">
        <f>'Delivery Calculation'!BB257+"AM:!'~4"</f>
        <v>#VALUE!</v>
      </c>
      <c r="HP154" t="e">
        <f>'Delivery Calculation'!A258+"AM:!'~5"</f>
        <v>#VALUE!</v>
      </c>
      <c r="HQ154" t="e">
        <f>'Delivery Calculation'!B258+"AM:!'~6"</f>
        <v>#VALUE!</v>
      </c>
      <c r="HR154" t="e">
        <f>'Delivery Calculation'!C258+"AM:!'~7"</f>
        <v>#VALUE!</v>
      </c>
      <c r="HS154" t="e">
        <f>'Delivery Calculation'!D258+"AM:!'~8"</f>
        <v>#VALUE!</v>
      </c>
      <c r="HT154" t="e">
        <f>'Delivery Calculation'!E258+"AM:!'~9"</f>
        <v>#VALUE!</v>
      </c>
      <c r="HU154" s="98" t="e">
        <f>'Delivery Calculation'!F258+"AM:!'~:"</f>
        <v>#VALUE!</v>
      </c>
      <c r="HV154" s="98" t="e">
        <f>'Delivery Calculation'!G258+"AM:!'~;"</f>
        <v>#VALUE!</v>
      </c>
      <c r="HW154" t="e">
        <f>'Delivery Calculation'!H258+"AM:!'~&lt;"</f>
        <v>#VALUE!</v>
      </c>
      <c r="HX154" s="97" t="e">
        <f>'Delivery Calculation'!I258+"AM:!'~="</f>
        <v>#VALUE!</v>
      </c>
      <c r="HY154" s="103" t="e">
        <f>'Delivery Calculation'!J258+"AM:!'~&gt;"</f>
        <v>#VALUE!</v>
      </c>
      <c r="HZ154" s="98" t="e">
        <f>'Delivery Calculation'!K258+"AM:!'~?"</f>
        <v>#VALUE!</v>
      </c>
      <c r="IA154" s="98" t="e">
        <f>'Delivery Calculation'!L258+"AM:!'~@"</f>
        <v>#VALUE!</v>
      </c>
      <c r="IB154" s="99" t="e">
        <f>'Delivery Calculation'!M258+"AM:!'~A"</f>
        <v>#VALUE!</v>
      </c>
      <c r="IC154" s="99" t="e">
        <f>'Delivery Calculation'!N258+"AM:!'~B"</f>
        <v>#VALUE!</v>
      </c>
      <c r="ID154" s="101" t="e">
        <f>'Delivery Calculation'!O258+"AM:!'~C"</f>
        <v>#VALUE!</v>
      </c>
      <c r="IE154" s="101" t="e">
        <f>'Delivery Calculation'!P258+"AM:!'~D"</f>
        <v>#VALUE!</v>
      </c>
      <c r="IF154" s="101" t="e">
        <f>'Delivery Calculation'!Q258+"AM:!'~E"</f>
        <v>#VALUE!</v>
      </c>
      <c r="IG154" s="101" t="e">
        <f>'Delivery Calculation'!R258+"AM:!'~F"</f>
        <v>#VALUE!</v>
      </c>
      <c r="IH154" s="101" t="e">
        <f>'Delivery Calculation'!S258+"AM:!'~G"</f>
        <v>#VALUE!</v>
      </c>
      <c r="II154" s="101" t="e">
        <f>'Delivery Calculation'!T258+"AM:!'~H"</f>
        <v>#VALUE!</v>
      </c>
      <c r="IJ154" s="101" t="e">
        <f>'Delivery Calculation'!U258+"AM:!'~I"</f>
        <v>#VALUE!</v>
      </c>
      <c r="IK154" s="101" t="e">
        <f>'Delivery Calculation'!V258+"AM:!'~J"</f>
        <v>#VALUE!</v>
      </c>
      <c r="IL154" s="101" t="e">
        <f>'Delivery Calculation'!W258+"AM:!'~K"</f>
        <v>#VALUE!</v>
      </c>
      <c r="IM154" s="101" t="e">
        <f>'Delivery Calculation'!X258+"AM:!'~L"</f>
        <v>#VALUE!</v>
      </c>
      <c r="IN154" s="101" t="e">
        <f>'Delivery Calculation'!Y258+"AM:!'~M"</f>
        <v>#VALUE!</v>
      </c>
      <c r="IO154" s="101" t="e">
        <f>'Delivery Calculation'!Z258+"AM:!'~N"</f>
        <v>#VALUE!</v>
      </c>
      <c r="IP154" s="101" t="e">
        <f>'Delivery Calculation'!AA258+"AM:!'~O"</f>
        <v>#VALUE!</v>
      </c>
      <c r="IQ154" s="101" t="e">
        <f>'Delivery Calculation'!AB258+"AM:!'~P"</f>
        <v>#VALUE!</v>
      </c>
      <c r="IR154" s="101" t="e">
        <f>'Delivery Calculation'!AC258+"AM:!'~Q"</f>
        <v>#VALUE!</v>
      </c>
      <c r="IS154" s="101" t="e">
        <f>'Delivery Calculation'!AD258+"AM:!'~R"</f>
        <v>#VALUE!</v>
      </c>
      <c r="IT154" s="101" t="e">
        <f>'Delivery Calculation'!AE258+"AM:!'~S"</f>
        <v>#VALUE!</v>
      </c>
      <c r="IU154" s="101" t="e">
        <f>'Delivery Calculation'!AF258+"AM:!'~T"</f>
        <v>#VALUE!</v>
      </c>
      <c r="IV154" s="101" t="e">
        <f>'Delivery Calculation'!AG258+"AM:!'~U"</f>
        <v>#VALUE!</v>
      </c>
    </row>
    <row r="155" spans="6:256">
      <c r="F155" s="101" t="e">
        <f>'Delivery Calculation'!AH258+"AM:!'~V"</f>
        <v>#VALUE!</v>
      </c>
      <c r="G155" s="101" t="e">
        <f>'Delivery Calculation'!AI258+"AM:!'~W"</f>
        <v>#VALUE!</v>
      </c>
      <c r="H155" s="101" t="e">
        <f>'Delivery Calculation'!AJ258+"AM:!'~X"</f>
        <v>#VALUE!</v>
      </c>
      <c r="I155" s="101" t="e">
        <f>'Delivery Calculation'!AK258+"AM:!'~Y"</f>
        <v>#VALUE!</v>
      </c>
      <c r="J155" s="101" t="e">
        <f>'Delivery Calculation'!AL258+"AM:!'~Z"</f>
        <v>#VALUE!</v>
      </c>
      <c r="K155" s="101" t="e">
        <f>'Delivery Calculation'!AM258+"AM:!'~["</f>
        <v>#VALUE!</v>
      </c>
      <c r="L155" s="101" t="e">
        <f>'Delivery Calculation'!AN258+"AM:!'~\"</f>
        <v>#VALUE!</v>
      </c>
      <c r="M155" s="101" t="e">
        <f>'Delivery Calculation'!AO258+"AM:!'~]"</f>
        <v>#VALUE!</v>
      </c>
      <c r="N155" s="101" t="e">
        <f>'Delivery Calculation'!AP258+"AM:!'~^"</f>
        <v>#VALUE!</v>
      </c>
      <c r="O155" s="101" t="e">
        <f>'Delivery Calculation'!AQ258+"AM:!'~_"</f>
        <v>#VALUE!</v>
      </c>
      <c r="P155" s="101" t="e">
        <f>'Delivery Calculation'!AR258+"AM:!'~`"</f>
        <v>#VALUE!</v>
      </c>
      <c r="Q155" s="101" t="e">
        <f>'Delivery Calculation'!AS258+"AM:!'~a"</f>
        <v>#VALUE!</v>
      </c>
      <c r="R155" s="101" t="e">
        <f>'Delivery Calculation'!AT258+"AM:!'~b"</f>
        <v>#VALUE!</v>
      </c>
      <c r="S155" s="101" t="e">
        <f>'Delivery Calculation'!AU258+"AM:!'~c"</f>
        <v>#VALUE!</v>
      </c>
      <c r="T155" s="101" t="e">
        <f>'Delivery Calculation'!AV258+"AM:!'~d"</f>
        <v>#VALUE!</v>
      </c>
      <c r="U155" s="101" t="e">
        <f>'Delivery Calculation'!AW258+"AM:!'~e"</f>
        <v>#VALUE!</v>
      </c>
      <c r="V155" s="101" t="e">
        <f>'Delivery Calculation'!AX258+"AM:!'~f"</f>
        <v>#VALUE!</v>
      </c>
      <c r="W155" s="101" t="e">
        <f>'Delivery Calculation'!AY258+"AM:!'~g"</f>
        <v>#VALUE!</v>
      </c>
      <c r="X155" s="101" t="e">
        <f>'Delivery Calculation'!AZ258+"AM:!'~h"</f>
        <v>#VALUE!</v>
      </c>
      <c r="Y155" s="101" t="e">
        <f>'Delivery Calculation'!BA258+"AM:!'~i"</f>
        <v>#VALUE!</v>
      </c>
      <c r="Z155" t="e">
        <f>'Delivery Calculation'!BB258+"AM:!'~j"</f>
        <v>#VALUE!</v>
      </c>
      <c r="AA155" t="e">
        <f>'Delivery Calculation'!A259+"AM:!'~k"</f>
        <v>#VALUE!</v>
      </c>
      <c r="AB155" t="e">
        <f>'Delivery Calculation'!B259+"AM:!'~l"</f>
        <v>#VALUE!</v>
      </c>
      <c r="AC155" t="e">
        <f>'Delivery Calculation'!C259+"AM:!'~m"</f>
        <v>#VALUE!</v>
      </c>
      <c r="AD155" t="e">
        <f>'Delivery Calculation'!D259+"AM:!'~n"</f>
        <v>#VALUE!</v>
      </c>
      <c r="AE155" t="e">
        <f>'Delivery Calculation'!E259+"AM:!'~o"</f>
        <v>#VALUE!</v>
      </c>
      <c r="AF155" s="98" t="e">
        <f>'Delivery Calculation'!F259+"AM:!'~p"</f>
        <v>#VALUE!</v>
      </c>
      <c r="AG155" s="98" t="e">
        <f>'Delivery Calculation'!G259+"AM:!'~q"</f>
        <v>#VALUE!</v>
      </c>
      <c r="AH155" t="e">
        <f>'Delivery Calculation'!H259+"AM:!'~r"</f>
        <v>#VALUE!</v>
      </c>
      <c r="AI155" s="97" t="e">
        <f>'Delivery Calculation'!I259+"AM:!'~s"</f>
        <v>#VALUE!</v>
      </c>
      <c r="AJ155" s="103" t="e">
        <f>'Delivery Calculation'!J259+"AM:!'~t"</f>
        <v>#VALUE!</v>
      </c>
      <c r="AK155" s="98" t="e">
        <f>'Delivery Calculation'!K259+"AM:!'~u"</f>
        <v>#VALUE!</v>
      </c>
      <c r="AL155" s="98" t="e">
        <f>'Delivery Calculation'!L259+"AM:!'~v"</f>
        <v>#VALUE!</v>
      </c>
      <c r="AM155" s="99" t="e">
        <f>'Delivery Calculation'!M259+"AM:!'~w"</f>
        <v>#VALUE!</v>
      </c>
      <c r="AN155" s="99" t="e">
        <f>'Delivery Calculation'!N259+"AM:!'~x"</f>
        <v>#VALUE!</v>
      </c>
      <c r="AO155" s="101" t="e">
        <f>'Delivery Calculation'!O259+"AM:!'~y"</f>
        <v>#VALUE!</v>
      </c>
      <c r="AP155" s="101" t="e">
        <f>'Delivery Calculation'!P259+"AM:!'~z"</f>
        <v>#VALUE!</v>
      </c>
      <c r="AQ155" s="101" t="e">
        <f>'Delivery Calculation'!Q259+"AM:!'~{"</f>
        <v>#VALUE!</v>
      </c>
      <c r="AR155" s="101" t="e">
        <f>'Delivery Calculation'!R259+"AM:!'~|"</f>
        <v>#VALUE!</v>
      </c>
      <c r="AS155" s="101" t="e">
        <f>'Delivery Calculation'!S259+"AM:!'~}"</f>
        <v>#VALUE!</v>
      </c>
      <c r="AT155" s="101" t="e">
        <f>'Delivery Calculation'!T259+"AM:!'~~"</f>
        <v>#VALUE!</v>
      </c>
      <c r="AU155" s="101" t="e">
        <f>'Delivery Calculation'!U259+"AM:!(##"</f>
        <v>#VALUE!</v>
      </c>
      <c r="AV155" s="101" t="e">
        <f>'Delivery Calculation'!V259+"AM:!(#$"</f>
        <v>#VALUE!</v>
      </c>
      <c r="AW155" s="101" t="e">
        <f>'Delivery Calculation'!W259+"AM:!(#%"</f>
        <v>#VALUE!</v>
      </c>
      <c r="AX155" s="101" t="e">
        <f>'Delivery Calculation'!X259+"AM:!(#&amp;"</f>
        <v>#VALUE!</v>
      </c>
      <c r="AY155" s="101" t="e">
        <f>'Delivery Calculation'!Y259+"AM:!(#'"</f>
        <v>#VALUE!</v>
      </c>
      <c r="AZ155" s="101" t="e">
        <f>'Delivery Calculation'!Z259+"AM:!(#("</f>
        <v>#VALUE!</v>
      </c>
      <c r="BA155" s="101" t="e">
        <f>'Delivery Calculation'!AA259+"AM:!(#)"</f>
        <v>#VALUE!</v>
      </c>
      <c r="BB155" s="101" t="e">
        <f>'Delivery Calculation'!AB259+"AM:!(#."</f>
        <v>#VALUE!</v>
      </c>
      <c r="BC155" s="101" t="e">
        <f>'Delivery Calculation'!AC259+"AM:!(#/"</f>
        <v>#VALUE!</v>
      </c>
      <c r="BD155" s="101" t="e">
        <f>'Delivery Calculation'!AD259+"AM:!(#0"</f>
        <v>#VALUE!</v>
      </c>
      <c r="BE155" s="101" t="e">
        <f>'Delivery Calculation'!AE259+"AM:!(#1"</f>
        <v>#VALUE!</v>
      </c>
      <c r="BF155" s="101" t="e">
        <f>'Delivery Calculation'!AF259+"AM:!(#2"</f>
        <v>#VALUE!</v>
      </c>
      <c r="BG155" s="101" t="e">
        <f>'Delivery Calculation'!AG259+"AM:!(#3"</f>
        <v>#VALUE!</v>
      </c>
      <c r="BH155" s="101" t="e">
        <f>'Delivery Calculation'!AH259+"AM:!(#4"</f>
        <v>#VALUE!</v>
      </c>
      <c r="BI155" s="101" t="e">
        <f>'Delivery Calculation'!AI259+"AM:!(#5"</f>
        <v>#VALUE!</v>
      </c>
      <c r="BJ155" s="101" t="e">
        <f>'Delivery Calculation'!AJ259+"AM:!(#6"</f>
        <v>#VALUE!</v>
      </c>
      <c r="BK155" s="101" t="e">
        <f>'Delivery Calculation'!AK259+"AM:!(#7"</f>
        <v>#VALUE!</v>
      </c>
      <c r="BL155" s="101" t="e">
        <f>'Delivery Calculation'!AL259+"AM:!(#8"</f>
        <v>#VALUE!</v>
      </c>
      <c r="BM155" s="101" t="e">
        <f>'Delivery Calculation'!AM259+"AM:!(#9"</f>
        <v>#VALUE!</v>
      </c>
      <c r="BN155" s="101" t="e">
        <f>'Delivery Calculation'!AN259+"AM:!(#:"</f>
        <v>#VALUE!</v>
      </c>
      <c r="BO155" s="101" t="e">
        <f>'Delivery Calculation'!AO259+"AM:!(#;"</f>
        <v>#VALUE!</v>
      </c>
      <c r="BP155" s="101" t="e">
        <f>'Delivery Calculation'!AP259+"AM:!(#&lt;"</f>
        <v>#VALUE!</v>
      </c>
      <c r="BQ155" s="101" t="e">
        <f>'Delivery Calculation'!AQ259+"AM:!(#="</f>
        <v>#VALUE!</v>
      </c>
      <c r="BR155" s="101" t="e">
        <f>'Delivery Calculation'!AR259+"AM:!(#&gt;"</f>
        <v>#VALUE!</v>
      </c>
      <c r="BS155" s="101" t="e">
        <f>'Delivery Calculation'!AS259+"AM:!(#?"</f>
        <v>#VALUE!</v>
      </c>
      <c r="BT155" s="101" t="e">
        <f>'Delivery Calculation'!AT259+"AM:!(#@"</f>
        <v>#VALUE!</v>
      </c>
      <c r="BU155" s="101" t="e">
        <f>'Delivery Calculation'!AU259+"AM:!(#A"</f>
        <v>#VALUE!</v>
      </c>
      <c r="BV155" s="101" t="e">
        <f>'Delivery Calculation'!AV259+"AM:!(#B"</f>
        <v>#VALUE!</v>
      </c>
      <c r="BW155" s="101" t="e">
        <f>'Delivery Calculation'!AW259+"AM:!(#C"</f>
        <v>#VALUE!</v>
      </c>
      <c r="BX155" s="101" t="e">
        <f>'Delivery Calculation'!AX259+"AM:!(#D"</f>
        <v>#VALUE!</v>
      </c>
      <c r="BY155" s="101" t="e">
        <f>'Delivery Calculation'!AY259+"AM:!(#E"</f>
        <v>#VALUE!</v>
      </c>
      <c r="BZ155" s="101" t="e">
        <f>'Delivery Calculation'!AZ259+"AM:!(#F"</f>
        <v>#VALUE!</v>
      </c>
      <c r="CA155" s="101" t="e">
        <f>'Delivery Calculation'!BA259+"AM:!(#G"</f>
        <v>#VALUE!</v>
      </c>
      <c r="CB155" t="e">
        <f>'Delivery Calculation'!BB259+"AM:!(#H"</f>
        <v>#VALUE!</v>
      </c>
      <c r="CC155" t="e">
        <f>'Delivery Calculation'!A260+"AM:!(#I"</f>
        <v>#VALUE!</v>
      </c>
      <c r="CD155" t="e">
        <f>'Delivery Calculation'!B260+"AM:!(#J"</f>
        <v>#VALUE!</v>
      </c>
      <c r="CE155" t="e">
        <f>'Delivery Calculation'!C260+"AM:!(#K"</f>
        <v>#VALUE!</v>
      </c>
      <c r="CF155" t="e">
        <f>'Delivery Calculation'!D260+"AM:!(#L"</f>
        <v>#VALUE!</v>
      </c>
      <c r="CG155" t="e">
        <f>'Delivery Calculation'!E260+"AM:!(#M"</f>
        <v>#VALUE!</v>
      </c>
      <c r="CH155" s="98" t="e">
        <f>'Delivery Calculation'!F260+"AM:!(#N"</f>
        <v>#VALUE!</v>
      </c>
      <c r="CI155" s="98" t="e">
        <f>'Delivery Calculation'!G260+"AM:!(#O"</f>
        <v>#VALUE!</v>
      </c>
      <c r="CJ155" t="e">
        <f>'Delivery Calculation'!H260+"AM:!(#P"</f>
        <v>#VALUE!</v>
      </c>
      <c r="CK155" s="97" t="e">
        <f>'Delivery Calculation'!I260+"AM:!(#Q"</f>
        <v>#VALUE!</v>
      </c>
      <c r="CL155" s="103" t="e">
        <f>'Delivery Calculation'!J260+"AM:!(#R"</f>
        <v>#VALUE!</v>
      </c>
      <c r="CM155" s="98" t="e">
        <f>'Delivery Calculation'!K260+"AM:!(#S"</f>
        <v>#VALUE!</v>
      </c>
      <c r="CN155" s="98" t="e">
        <f>'Delivery Calculation'!L260+"AM:!(#T"</f>
        <v>#VALUE!</v>
      </c>
      <c r="CO155" s="99" t="e">
        <f>'Delivery Calculation'!M260+"AM:!(#U"</f>
        <v>#VALUE!</v>
      </c>
      <c r="CP155" s="99" t="e">
        <f>'Delivery Calculation'!N260+"AM:!(#V"</f>
        <v>#VALUE!</v>
      </c>
      <c r="CQ155" s="101" t="e">
        <f>'Delivery Calculation'!O260+"AM:!(#W"</f>
        <v>#VALUE!</v>
      </c>
      <c r="CR155" s="101" t="e">
        <f>'Delivery Calculation'!P260+"AM:!(#X"</f>
        <v>#VALUE!</v>
      </c>
      <c r="CS155" s="101" t="e">
        <f>'Delivery Calculation'!Q260+"AM:!(#Y"</f>
        <v>#VALUE!</v>
      </c>
      <c r="CT155" s="101" t="e">
        <f>'Delivery Calculation'!R260+"AM:!(#Z"</f>
        <v>#VALUE!</v>
      </c>
      <c r="CU155" s="101" t="e">
        <f>'Delivery Calculation'!S260+"AM:!(#["</f>
        <v>#VALUE!</v>
      </c>
      <c r="CV155" s="101" t="e">
        <f>'Delivery Calculation'!T260+"AM:!(#\"</f>
        <v>#VALUE!</v>
      </c>
      <c r="CW155" s="101" t="e">
        <f>'Delivery Calculation'!U260+"AM:!(#]"</f>
        <v>#VALUE!</v>
      </c>
      <c r="CX155" s="101" t="e">
        <f>'Delivery Calculation'!V260+"AM:!(#^"</f>
        <v>#VALUE!</v>
      </c>
      <c r="CY155" s="101" t="e">
        <f>'Delivery Calculation'!W260+"AM:!(#_"</f>
        <v>#VALUE!</v>
      </c>
      <c r="CZ155" s="101" t="e">
        <f>'Delivery Calculation'!X260+"AM:!(#`"</f>
        <v>#VALUE!</v>
      </c>
      <c r="DA155" s="101" t="e">
        <f>'Delivery Calculation'!Y260+"AM:!(#a"</f>
        <v>#VALUE!</v>
      </c>
      <c r="DB155" s="101" t="e">
        <f>'Delivery Calculation'!Z260+"AM:!(#b"</f>
        <v>#VALUE!</v>
      </c>
      <c r="DC155" s="101" t="e">
        <f>'Delivery Calculation'!AA260+"AM:!(#c"</f>
        <v>#VALUE!</v>
      </c>
      <c r="DD155" s="101" t="e">
        <f>'Delivery Calculation'!AB260+"AM:!(#d"</f>
        <v>#VALUE!</v>
      </c>
      <c r="DE155" s="101" t="e">
        <f>'Delivery Calculation'!AC260+"AM:!(#e"</f>
        <v>#VALUE!</v>
      </c>
      <c r="DF155" s="101" t="e">
        <f>'Delivery Calculation'!AD260+"AM:!(#f"</f>
        <v>#VALUE!</v>
      </c>
      <c r="DG155" s="101" t="e">
        <f>'Delivery Calculation'!AE260+"AM:!(#g"</f>
        <v>#VALUE!</v>
      </c>
      <c r="DH155" s="101" t="e">
        <f>'Delivery Calculation'!AF260+"AM:!(#h"</f>
        <v>#VALUE!</v>
      </c>
      <c r="DI155" s="101" t="e">
        <f>'Delivery Calculation'!AG260+"AM:!(#i"</f>
        <v>#VALUE!</v>
      </c>
      <c r="DJ155" s="101" t="e">
        <f>'Delivery Calculation'!AH260+"AM:!(#j"</f>
        <v>#VALUE!</v>
      </c>
      <c r="DK155" s="101" t="e">
        <f>'Delivery Calculation'!AI260+"AM:!(#k"</f>
        <v>#VALUE!</v>
      </c>
      <c r="DL155" s="101" t="e">
        <f>'Delivery Calculation'!AJ260+"AM:!(#l"</f>
        <v>#VALUE!</v>
      </c>
      <c r="DM155" s="101" t="e">
        <f>'Delivery Calculation'!AK260+"AM:!(#m"</f>
        <v>#VALUE!</v>
      </c>
      <c r="DN155" s="101" t="e">
        <f>'Delivery Calculation'!AL260+"AM:!(#n"</f>
        <v>#VALUE!</v>
      </c>
      <c r="DO155" s="101" t="e">
        <f>'Delivery Calculation'!AM260+"AM:!(#o"</f>
        <v>#VALUE!</v>
      </c>
      <c r="DP155" s="101" t="e">
        <f>'Delivery Calculation'!AN260+"AM:!(#p"</f>
        <v>#VALUE!</v>
      </c>
      <c r="DQ155" s="101" t="e">
        <f>'Delivery Calculation'!AO260+"AM:!(#q"</f>
        <v>#VALUE!</v>
      </c>
      <c r="DR155" s="101" t="e">
        <f>'Delivery Calculation'!AP260+"AM:!(#r"</f>
        <v>#VALUE!</v>
      </c>
      <c r="DS155" s="101" t="e">
        <f>'Delivery Calculation'!AQ260+"AM:!(#s"</f>
        <v>#VALUE!</v>
      </c>
      <c r="DT155" s="101" t="e">
        <f>'Delivery Calculation'!AR260+"AM:!(#t"</f>
        <v>#VALUE!</v>
      </c>
      <c r="DU155" s="101" t="e">
        <f>'Delivery Calculation'!AS260+"AM:!(#u"</f>
        <v>#VALUE!</v>
      </c>
      <c r="DV155" s="101" t="e">
        <f>'Delivery Calculation'!AT260+"AM:!(#v"</f>
        <v>#VALUE!</v>
      </c>
      <c r="DW155" s="101" t="e">
        <f>'Delivery Calculation'!AU260+"AM:!(#w"</f>
        <v>#VALUE!</v>
      </c>
      <c r="DX155" s="101" t="e">
        <f>'Delivery Calculation'!AV260+"AM:!(#x"</f>
        <v>#VALUE!</v>
      </c>
      <c r="DY155" s="101" t="e">
        <f>'Delivery Calculation'!AW260+"AM:!(#y"</f>
        <v>#VALUE!</v>
      </c>
      <c r="DZ155" s="101" t="e">
        <f>'Delivery Calculation'!AX260+"AM:!(#z"</f>
        <v>#VALUE!</v>
      </c>
      <c r="EA155" s="101" t="e">
        <f>'Delivery Calculation'!AY260+"AM:!(#{"</f>
        <v>#VALUE!</v>
      </c>
      <c r="EB155" s="101" t="e">
        <f>'Delivery Calculation'!AZ260+"AM:!(#|"</f>
        <v>#VALUE!</v>
      </c>
      <c r="EC155" s="101" t="e">
        <f>'Delivery Calculation'!BA260+"AM:!(#}"</f>
        <v>#VALUE!</v>
      </c>
      <c r="ED155" t="e">
        <f>'Delivery Calculation'!BB260+"AM:!(#~"</f>
        <v>#VALUE!</v>
      </c>
      <c r="EE155" t="e">
        <f>'Delivery Calculation'!A261+"AM:!($#"</f>
        <v>#VALUE!</v>
      </c>
      <c r="EF155" t="e">
        <f>'Delivery Calculation'!B261+"AM:!($$"</f>
        <v>#VALUE!</v>
      </c>
      <c r="EG155" t="e">
        <f>'Delivery Calculation'!C261+"AM:!($%"</f>
        <v>#VALUE!</v>
      </c>
      <c r="EH155" t="e">
        <f>'Delivery Calculation'!D261+"AM:!($&amp;"</f>
        <v>#VALUE!</v>
      </c>
      <c r="EI155" t="e">
        <f>'Delivery Calculation'!E261+"AM:!($'"</f>
        <v>#VALUE!</v>
      </c>
      <c r="EJ155" s="98" t="e">
        <f>'Delivery Calculation'!F261+"AM:!($("</f>
        <v>#VALUE!</v>
      </c>
      <c r="EK155" s="98" t="e">
        <f>'Delivery Calculation'!G261+"AM:!($)"</f>
        <v>#VALUE!</v>
      </c>
      <c r="EL155" t="e">
        <f>'Delivery Calculation'!H261+"AM:!($."</f>
        <v>#VALUE!</v>
      </c>
      <c r="EM155" s="97" t="e">
        <f>'Delivery Calculation'!I261+"AM:!($/"</f>
        <v>#VALUE!</v>
      </c>
      <c r="EN155" s="103" t="e">
        <f>'Delivery Calculation'!J261+"AM:!($0"</f>
        <v>#VALUE!</v>
      </c>
      <c r="EO155" s="98" t="e">
        <f>'Delivery Calculation'!K261+"AM:!($1"</f>
        <v>#VALUE!</v>
      </c>
      <c r="EP155" s="98" t="e">
        <f>'Delivery Calculation'!L261+"AM:!($2"</f>
        <v>#VALUE!</v>
      </c>
      <c r="EQ155" s="99" t="e">
        <f>'Delivery Calculation'!M261+"AM:!($3"</f>
        <v>#VALUE!</v>
      </c>
      <c r="ER155" s="99" t="e">
        <f>'Delivery Calculation'!N261+"AM:!($4"</f>
        <v>#VALUE!</v>
      </c>
      <c r="ES155" s="101" t="e">
        <f>'Delivery Calculation'!O261+"AM:!($5"</f>
        <v>#VALUE!</v>
      </c>
      <c r="ET155" s="101" t="e">
        <f>'Delivery Calculation'!P261+"AM:!($6"</f>
        <v>#VALUE!</v>
      </c>
      <c r="EU155" s="101" t="e">
        <f>'Delivery Calculation'!Q261+"AM:!($7"</f>
        <v>#VALUE!</v>
      </c>
      <c r="EV155" s="101" t="e">
        <f>'Delivery Calculation'!R261+"AM:!($8"</f>
        <v>#VALUE!</v>
      </c>
      <c r="EW155" s="101" t="e">
        <f>'Delivery Calculation'!S261+"AM:!($9"</f>
        <v>#VALUE!</v>
      </c>
      <c r="EX155" s="101" t="e">
        <f>'Delivery Calculation'!T261+"AM:!($:"</f>
        <v>#VALUE!</v>
      </c>
      <c r="EY155" s="101" t="e">
        <f>'Delivery Calculation'!U261+"AM:!($;"</f>
        <v>#VALUE!</v>
      </c>
      <c r="EZ155" s="101" t="e">
        <f>'Delivery Calculation'!V261+"AM:!($&lt;"</f>
        <v>#VALUE!</v>
      </c>
      <c r="FA155" s="101" t="e">
        <f>'Delivery Calculation'!W261+"AM:!($="</f>
        <v>#VALUE!</v>
      </c>
      <c r="FB155" s="101" t="e">
        <f>'Delivery Calculation'!X261+"AM:!($&gt;"</f>
        <v>#VALUE!</v>
      </c>
      <c r="FC155" s="101" t="e">
        <f>'Delivery Calculation'!Y261+"AM:!($?"</f>
        <v>#VALUE!</v>
      </c>
      <c r="FD155" s="101" t="e">
        <f>'Delivery Calculation'!Z261+"AM:!($@"</f>
        <v>#VALUE!</v>
      </c>
      <c r="FE155" s="101" t="e">
        <f>'Delivery Calculation'!AA261+"AM:!($A"</f>
        <v>#VALUE!</v>
      </c>
      <c r="FF155" s="101" t="e">
        <f>'Delivery Calculation'!AB261+"AM:!($B"</f>
        <v>#VALUE!</v>
      </c>
      <c r="FG155" s="101" t="e">
        <f>'Delivery Calculation'!AC261+"AM:!($C"</f>
        <v>#VALUE!</v>
      </c>
      <c r="FH155" s="101" t="e">
        <f>'Delivery Calculation'!AD261+"AM:!($D"</f>
        <v>#VALUE!</v>
      </c>
      <c r="FI155" s="101" t="e">
        <f>'Delivery Calculation'!AE261+"AM:!($E"</f>
        <v>#VALUE!</v>
      </c>
      <c r="FJ155" s="101" t="e">
        <f>'Delivery Calculation'!AF261+"AM:!($F"</f>
        <v>#VALUE!</v>
      </c>
      <c r="FK155" s="101" t="e">
        <f>'Delivery Calculation'!AG261+"AM:!($G"</f>
        <v>#VALUE!</v>
      </c>
      <c r="FL155" s="101" t="e">
        <f>'Delivery Calculation'!AH261+"AM:!($H"</f>
        <v>#VALUE!</v>
      </c>
      <c r="FM155" s="101" t="e">
        <f>'Delivery Calculation'!AI261+"AM:!($I"</f>
        <v>#VALUE!</v>
      </c>
      <c r="FN155" s="101" t="e">
        <f>'Delivery Calculation'!AJ261+"AM:!($J"</f>
        <v>#VALUE!</v>
      </c>
      <c r="FO155" s="101" t="e">
        <f>'Delivery Calculation'!AK261+"AM:!($K"</f>
        <v>#VALUE!</v>
      </c>
      <c r="FP155" s="101" t="e">
        <f>'Delivery Calculation'!AL261+"AM:!($L"</f>
        <v>#VALUE!</v>
      </c>
      <c r="FQ155" s="101" t="e">
        <f>'Delivery Calculation'!AM261+"AM:!($M"</f>
        <v>#VALUE!</v>
      </c>
      <c r="FR155" s="101" t="e">
        <f>'Delivery Calculation'!AN261+"AM:!($N"</f>
        <v>#VALUE!</v>
      </c>
      <c r="FS155" s="101" t="e">
        <f>'Delivery Calculation'!AO261+"AM:!($O"</f>
        <v>#VALUE!</v>
      </c>
      <c r="FT155" s="101" t="e">
        <f>'Delivery Calculation'!AP261+"AM:!($P"</f>
        <v>#VALUE!</v>
      </c>
      <c r="FU155" s="101" t="e">
        <f>'Delivery Calculation'!AQ261+"AM:!($Q"</f>
        <v>#VALUE!</v>
      </c>
      <c r="FV155" s="101" t="e">
        <f>'Delivery Calculation'!AR261+"AM:!($R"</f>
        <v>#VALUE!</v>
      </c>
      <c r="FW155" s="101" t="e">
        <f>'Delivery Calculation'!AS261+"AM:!($S"</f>
        <v>#VALUE!</v>
      </c>
      <c r="FX155" s="101" t="e">
        <f>'Delivery Calculation'!AT261+"AM:!($T"</f>
        <v>#VALUE!</v>
      </c>
      <c r="FY155" s="101" t="e">
        <f>'Delivery Calculation'!AU261+"AM:!($U"</f>
        <v>#VALUE!</v>
      </c>
      <c r="FZ155" s="101" t="e">
        <f>'Delivery Calculation'!AV261+"AM:!($V"</f>
        <v>#VALUE!</v>
      </c>
      <c r="GA155" s="101" t="e">
        <f>'Delivery Calculation'!AW261+"AM:!($W"</f>
        <v>#VALUE!</v>
      </c>
      <c r="GB155" s="101" t="e">
        <f>'Delivery Calculation'!AX261+"AM:!($X"</f>
        <v>#VALUE!</v>
      </c>
      <c r="GC155" s="101" t="e">
        <f>'Delivery Calculation'!AY261+"AM:!($Y"</f>
        <v>#VALUE!</v>
      </c>
      <c r="GD155" s="101" t="e">
        <f>'Delivery Calculation'!AZ261+"AM:!($Z"</f>
        <v>#VALUE!</v>
      </c>
      <c r="GE155" s="101" t="e">
        <f>'Delivery Calculation'!BA261+"AM:!($["</f>
        <v>#VALUE!</v>
      </c>
      <c r="GF155" t="e">
        <f>'Delivery Calculation'!BB261+"AM:!($\"</f>
        <v>#VALUE!</v>
      </c>
      <c r="GG155" t="e">
        <f>'Delivery Calculation'!A262+"AM:!($]"</f>
        <v>#VALUE!</v>
      </c>
      <c r="GH155" t="e">
        <f>'Delivery Calculation'!B262+"AM:!($^"</f>
        <v>#VALUE!</v>
      </c>
      <c r="GI155" t="e">
        <f>'Delivery Calculation'!C262+"AM:!($_"</f>
        <v>#VALUE!</v>
      </c>
      <c r="GJ155" t="e">
        <f>'Delivery Calculation'!D262+"AM:!($`"</f>
        <v>#VALUE!</v>
      </c>
      <c r="GK155" t="e">
        <f>'Delivery Calculation'!E262+"AM:!($a"</f>
        <v>#VALUE!</v>
      </c>
      <c r="GL155" s="98" t="e">
        <f>'Delivery Calculation'!F262+"AM:!($b"</f>
        <v>#VALUE!</v>
      </c>
      <c r="GM155" s="98" t="e">
        <f>'Delivery Calculation'!G262+"AM:!($c"</f>
        <v>#VALUE!</v>
      </c>
      <c r="GN155" t="e">
        <f>'Delivery Calculation'!H262+"AM:!($d"</f>
        <v>#VALUE!</v>
      </c>
      <c r="GO155" s="97" t="e">
        <f>'Delivery Calculation'!I262+"AM:!($e"</f>
        <v>#VALUE!</v>
      </c>
      <c r="GP155" s="103" t="e">
        <f>'Delivery Calculation'!J262+"AM:!($f"</f>
        <v>#VALUE!</v>
      </c>
      <c r="GQ155" s="98" t="e">
        <f>'Delivery Calculation'!K262+"AM:!($g"</f>
        <v>#VALUE!</v>
      </c>
      <c r="GR155" s="98" t="e">
        <f>'Delivery Calculation'!L262+"AM:!($h"</f>
        <v>#VALUE!</v>
      </c>
      <c r="GS155" s="99" t="e">
        <f>'Delivery Calculation'!M262+"AM:!($i"</f>
        <v>#VALUE!</v>
      </c>
      <c r="GT155" s="99" t="e">
        <f>'Delivery Calculation'!N262+"AM:!($j"</f>
        <v>#VALUE!</v>
      </c>
      <c r="GU155" s="101" t="e">
        <f>'Delivery Calculation'!O262+"AM:!($k"</f>
        <v>#VALUE!</v>
      </c>
      <c r="GV155" s="101" t="e">
        <f>'Delivery Calculation'!P262+"AM:!($l"</f>
        <v>#VALUE!</v>
      </c>
      <c r="GW155" s="101" t="e">
        <f>'Delivery Calculation'!Q262+"AM:!($m"</f>
        <v>#VALUE!</v>
      </c>
      <c r="GX155" s="101" t="e">
        <f>'Delivery Calculation'!R262+"AM:!($n"</f>
        <v>#VALUE!</v>
      </c>
      <c r="GY155" s="101" t="e">
        <f>'Delivery Calculation'!S262+"AM:!($o"</f>
        <v>#VALUE!</v>
      </c>
      <c r="GZ155" s="101" t="e">
        <f>'Delivery Calculation'!T262+"AM:!($p"</f>
        <v>#VALUE!</v>
      </c>
      <c r="HA155" s="101" t="e">
        <f>'Delivery Calculation'!U262+"AM:!($q"</f>
        <v>#VALUE!</v>
      </c>
      <c r="HB155" s="101" t="e">
        <f>'Delivery Calculation'!V262+"AM:!($r"</f>
        <v>#VALUE!</v>
      </c>
      <c r="HC155" s="101" t="e">
        <f>'Delivery Calculation'!W262+"AM:!($s"</f>
        <v>#VALUE!</v>
      </c>
      <c r="HD155" s="101" t="e">
        <f>'Delivery Calculation'!X262+"AM:!($t"</f>
        <v>#VALUE!</v>
      </c>
      <c r="HE155" s="101" t="e">
        <f>'Delivery Calculation'!Y262+"AM:!($u"</f>
        <v>#VALUE!</v>
      </c>
      <c r="HF155" s="101" t="e">
        <f>'Delivery Calculation'!Z262+"AM:!($v"</f>
        <v>#VALUE!</v>
      </c>
      <c r="HG155" s="101" t="e">
        <f>'Delivery Calculation'!AA262+"AM:!($w"</f>
        <v>#VALUE!</v>
      </c>
      <c r="HH155" s="101" t="e">
        <f>'Delivery Calculation'!AB262+"AM:!($x"</f>
        <v>#VALUE!</v>
      </c>
      <c r="HI155" s="101" t="e">
        <f>'Delivery Calculation'!AC262+"AM:!($y"</f>
        <v>#VALUE!</v>
      </c>
      <c r="HJ155" s="101" t="e">
        <f>'Delivery Calculation'!AD262+"AM:!($z"</f>
        <v>#VALUE!</v>
      </c>
      <c r="HK155" s="101" t="e">
        <f>'Delivery Calculation'!AE262+"AM:!(${"</f>
        <v>#VALUE!</v>
      </c>
      <c r="HL155" s="101" t="e">
        <f>'Delivery Calculation'!AF262+"AM:!($|"</f>
        <v>#VALUE!</v>
      </c>
      <c r="HM155" s="101" t="e">
        <f>'Delivery Calculation'!AG262+"AM:!($}"</f>
        <v>#VALUE!</v>
      </c>
      <c r="HN155" s="101" t="e">
        <f>'Delivery Calculation'!AH262+"AM:!($~"</f>
        <v>#VALUE!</v>
      </c>
      <c r="HO155" s="101" t="e">
        <f>'Delivery Calculation'!AI262+"AM:!(%#"</f>
        <v>#VALUE!</v>
      </c>
      <c r="HP155" s="101" t="e">
        <f>'Delivery Calculation'!AJ262+"AM:!(%$"</f>
        <v>#VALUE!</v>
      </c>
      <c r="HQ155" s="101" t="e">
        <f>'Delivery Calculation'!AK262+"AM:!(%%"</f>
        <v>#VALUE!</v>
      </c>
      <c r="HR155" s="101" t="e">
        <f>'Delivery Calculation'!AL262+"AM:!(%&amp;"</f>
        <v>#VALUE!</v>
      </c>
      <c r="HS155" s="101" t="e">
        <f>'Delivery Calculation'!AM262+"AM:!(%'"</f>
        <v>#VALUE!</v>
      </c>
      <c r="HT155" s="101" t="e">
        <f>'Delivery Calculation'!AN262+"AM:!(%("</f>
        <v>#VALUE!</v>
      </c>
      <c r="HU155" s="101" t="e">
        <f>'Delivery Calculation'!AO262+"AM:!(%)"</f>
        <v>#VALUE!</v>
      </c>
      <c r="HV155" s="101" t="e">
        <f>'Delivery Calculation'!AP262+"AM:!(%."</f>
        <v>#VALUE!</v>
      </c>
      <c r="HW155" s="101" t="e">
        <f>'Delivery Calculation'!AQ262+"AM:!(%/"</f>
        <v>#VALUE!</v>
      </c>
      <c r="HX155" s="101" t="e">
        <f>'Delivery Calculation'!AR262+"AM:!(%0"</f>
        <v>#VALUE!</v>
      </c>
      <c r="HY155" s="101" t="e">
        <f>'Delivery Calculation'!AS262+"AM:!(%1"</f>
        <v>#VALUE!</v>
      </c>
      <c r="HZ155" s="101" t="e">
        <f>'Delivery Calculation'!AT262+"AM:!(%2"</f>
        <v>#VALUE!</v>
      </c>
      <c r="IA155" s="101" t="e">
        <f>'Delivery Calculation'!AU262+"AM:!(%3"</f>
        <v>#VALUE!</v>
      </c>
      <c r="IB155" s="101" t="e">
        <f>'Delivery Calculation'!AV262+"AM:!(%4"</f>
        <v>#VALUE!</v>
      </c>
      <c r="IC155" s="101" t="e">
        <f>'Delivery Calculation'!AW262+"AM:!(%5"</f>
        <v>#VALUE!</v>
      </c>
      <c r="ID155" s="101" t="e">
        <f>'Delivery Calculation'!AX262+"AM:!(%6"</f>
        <v>#VALUE!</v>
      </c>
      <c r="IE155" s="101" t="e">
        <f>'Delivery Calculation'!AY262+"AM:!(%7"</f>
        <v>#VALUE!</v>
      </c>
      <c r="IF155" s="101" t="e">
        <f>'Delivery Calculation'!AZ262+"AM:!(%8"</f>
        <v>#VALUE!</v>
      </c>
      <c r="IG155" s="101" t="e">
        <f>'Delivery Calculation'!BA262+"AM:!(%9"</f>
        <v>#VALUE!</v>
      </c>
      <c r="IH155" t="e">
        <f>'Delivery Calculation'!BB262+"AM:!(%:"</f>
        <v>#VALUE!</v>
      </c>
      <c r="II155" t="e">
        <f>'Delivery Calculation'!A263+"AM:!(%;"</f>
        <v>#VALUE!</v>
      </c>
      <c r="IJ155" t="e">
        <f>'Delivery Calculation'!B263+"AM:!(%&lt;"</f>
        <v>#VALUE!</v>
      </c>
      <c r="IK155" t="e">
        <f>'Delivery Calculation'!C263+"AM:!(%="</f>
        <v>#VALUE!</v>
      </c>
      <c r="IL155" t="e">
        <f>'Delivery Calculation'!D263+"AM:!(%&gt;"</f>
        <v>#VALUE!</v>
      </c>
      <c r="IM155" t="e">
        <f>'Delivery Calculation'!E263+"AM:!(%?"</f>
        <v>#VALUE!</v>
      </c>
      <c r="IN155" s="98" t="e">
        <f>'Delivery Calculation'!F263+"AM:!(%@"</f>
        <v>#VALUE!</v>
      </c>
      <c r="IO155" s="98" t="e">
        <f>'Delivery Calculation'!G263+"AM:!(%A"</f>
        <v>#VALUE!</v>
      </c>
      <c r="IP155" t="e">
        <f>'Delivery Calculation'!H263+"AM:!(%B"</f>
        <v>#VALUE!</v>
      </c>
      <c r="IQ155" s="97" t="e">
        <f>'Delivery Calculation'!I263+"AM:!(%C"</f>
        <v>#VALUE!</v>
      </c>
      <c r="IR155" s="103" t="e">
        <f>'Delivery Calculation'!J263+"AM:!(%D"</f>
        <v>#VALUE!</v>
      </c>
      <c r="IS155" s="98" t="e">
        <f>'Delivery Calculation'!K263+"AM:!(%E"</f>
        <v>#VALUE!</v>
      </c>
      <c r="IT155" s="98" t="e">
        <f>'Delivery Calculation'!L263+"AM:!(%F"</f>
        <v>#VALUE!</v>
      </c>
      <c r="IU155" s="99" t="e">
        <f>'Delivery Calculation'!M263+"AM:!(%G"</f>
        <v>#VALUE!</v>
      </c>
      <c r="IV155" s="99" t="e">
        <f>'Delivery Calculation'!N263+"AM:!(%H"</f>
        <v>#VALUE!</v>
      </c>
    </row>
    <row r="156" spans="6:256">
      <c r="F156" s="101" t="e">
        <f>'Delivery Calculation'!O263+"AM:!(%I"</f>
        <v>#VALUE!</v>
      </c>
      <c r="G156" s="101" t="e">
        <f>'Delivery Calculation'!P263+"AM:!(%J"</f>
        <v>#VALUE!</v>
      </c>
      <c r="H156" s="101" t="e">
        <f>'Delivery Calculation'!Q263+"AM:!(%K"</f>
        <v>#VALUE!</v>
      </c>
      <c r="I156" s="101" t="e">
        <f>'Delivery Calculation'!R263+"AM:!(%L"</f>
        <v>#VALUE!</v>
      </c>
      <c r="J156" s="101" t="e">
        <f>'Delivery Calculation'!S263+"AM:!(%M"</f>
        <v>#VALUE!</v>
      </c>
      <c r="K156" s="101" t="e">
        <f>'Delivery Calculation'!T263+"AM:!(%N"</f>
        <v>#VALUE!</v>
      </c>
      <c r="L156" s="101" t="e">
        <f>'Delivery Calculation'!U263+"AM:!(%O"</f>
        <v>#VALUE!</v>
      </c>
      <c r="M156" s="101" t="e">
        <f>'Delivery Calculation'!V263+"AM:!(%P"</f>
        <v>#VALUE!</v>
      </c>
      <c r="N156" s="101" t="e">
        <f>'Delivery Calculation'!W263+"AM:!(%Q"</f>
        <v>#VALUE!</v>
      </c>
      <c r="O156" s="101" t="e">
        <f>'Delivery Calculation'!X263+"AM:!(%R"</f>
        <v>#VALUE!</v>
      </c>
      <c r="P156" s="101" t="e">
        <f>'Delivery Calculation'!Y263+"AM:!(%S"</f>
        <v>#VALUE!</v>
      </c>
      <c r="Q156" s="101" t="e">
        <f>'Delivery Calculation'!Z263+"AM:!(%T"</f>
        <v>#VALUE!</v>
      </c>
      <c r="R156" s="101" t="e">
        <f>'Delivery Calculation'!AA263+"AM:!(%U"</f>
        <v>#VALUE!</v>
      </c>
      <c r="S156" s="101" t="e">
        <f>'Delivery Calculation'!AB263+"AM:!(%V"</f>
        <v>#VALUE!</v>
      </c>
      <c r="T156" s="101" t="e">
        <f>'Delivery Calculation'!AC263+"AM:!(%W"</f>
        <v>#VALUE!</v>
      </c>
      <c r="U156" s="101" t="e">
        <f>'Delivery Calculation'!AD263+"AM:!(%X"</f>
        <v>#VALUE!</v>
      </c>
      <c r="V156" s="101" t="e">
        <f>'Delivery Calculation'!AE263+"AM:!(%Y"</f>
        <v>#VALUE!</v>
      </c>
      <c r="W156" s="101" t="e">
        <f>'Delivery Calculation'!AF263+"AM:!(%Z"</f>
        <v>#VALUE!</v>
      </c>
      <c r="X156" s="101" t="e">
        <f>'Delivery Calculation'!AG263+"AM:!(%["</f>
        <v>#VALUE!</v>
      </c>
      <c r="Y156" s="101" t="e">
        <f>'Delivery Calculation'!AH263+"AM:!(%\"</f>
        <v>#VALUE!</v>
      </c>
      <c r="Z156" s="101" t="e">
        <f>'Delivery Calculation'!AI263+"AM:!(%]"</f>
        <v>#VALUE!</v>
      </c>
      <c r="AA156" s="101" t="e">
        <f>'Delivery Calculation'!AJ263+"AM:!(%^"</f>
        <v>#VALUE!</v>
      </c>
      <c r="AB156" s="101" t="e">
        <f>'Delivery Calculation'!AK263+"AM:!(%_"</f>
        <v>#VALUE!</v>
      </c>
      <c r="AC156" s="101" t="e">
        <f>'Delivery Calculation'!AL263+"AM:!(%`"</f>
        <v>#VALUE!</v>
      </c>
      <c r="AD156" s="101" t="e">
        <f>'Delivery Calculation'!AM263+"AM:!(%a"</f>
        <v>#VALUE!</v>
      </c>
      <c r="AE156" s="101" t="e">
        <f>'Delivery Calculation'!AN263+"AM:!(%b"</f>
        <v>#VALUE!</v>
      </c>
      <c r="AF156" s="101" t="e">
        <f>'Delivery Calculation'!AO263+"AM:!(%c"</f>
        <v>#VALUE!</v>
      </c>
      <c r="AG156" s="101" t="e">
        <f>'Delivery Calculation'!AP263+"AM:!(%d"</f>
        <v>#VALUE!</v>
      </c>
      <c r="AH156" s="101" t="e">
        <f>'Delivery Calculation'!AQ263+"AM:!(%e"</f>
        <v>#VALUE!</v>
      </c>
      <c r="AI156" s="101" t="e">
        <f>'Delivery Calculation'!AR263+"AM:!(%f"</f>
        <v>#VALUE!</v>
      </c>
      <c r="AJ156" s="101" t="e">
        <f>'Delivery Calculation'!AS263+"AM:!(%g"</f>
        <v>#VALUE!</v>
      </c>
      <c r="AK156" s="101" t="e">
        <f>'Delivery Calculation'!AT263+"AM:!(%h"</f>
        <v>#VALUE!</v>
      </c>
      <c r="AL156" s="101" t="e">
        <f>'Delivery Calculation'!AU263+"AM:!(%i"</f>
        <v>#VALUE!</v>
      </c>
      <c r="AM156" s="101" t="e">
        <f>'Delivery Calculation'!AV263+"AM:!(%j"</f>
        <v>#VALUE!</v>
      </c>
      <c r="AN156" s="101" t="e">
        <f>'Delivery Calculation'!AW263+"AM:!(%k"</f>
        <v>#VALUE!</v>
      </c>
      <c r="AO156" s="101" t="e">
        <f>'Delivery Calculation'!AX263+"AM:!(%l"</f>
        <v>#VALUE!</v>
      </c>
      <c r="AP156" s="101" t="e">
        <f>'Delivery Calculation'!AY263+"AM:!(%m"</f>
        <v>#VALUE!</v>
      </c>
      <c r="AQ156" s="101" t="e">
        <f>'Delivery Calculation'!AZ263+"AM:!(%n"</f>
        <v>#VALUE!</v>
      </c>
      <c r="AR156" s="101" t="e">
        <f>'Delivery Calculation'!BA263+"AM:!(%o"</f>
        <v>#VALUE!</v>
      </c>
      <c r="AS156" t="e">
        <f>'Delivery Calculation'!BB263+"AM:!(%p"</f>
        <v>#VALUE!</v>
      </c>
      <c r="AT156" t="e">
        <f>'Delivery Calculation'!A264+"AM:!(%q"</f>
        <v>#VALUE!</v>
      </c>
      <c r="AU156" t="e">
        <f>'Delivery Calculation'!B264+"AM:!(%r"</f>
        <v>#VALUE!</v>
      </c>
      <c r="AV156" t="e">
        <f>'Delivery Calculation'!C264+"AM:!(%s"</f>
        <v>#VALUE!</v>
      </c>
      <c r="AW156" t="e">
        <f>'Delivery Calculation'!D264+"AM:!(%t"</f>
        <v>#VALUE!</v>
      </c>
      <c r="AX156" t="e">
        <f>'Delivery Calculation'!E264+"AM:!(%u"</f>
        <v>#VALUE!</v>
      </c>
      <c r="AY156" s="98" t="e">
        <f>'Delivery Calculation'!F264+"AM:!(%v"</f>
        <v>#VALUE!</v>
      </c>
      <c r="AZ156" s="98" t="e">
        <f>'Delivery Calculation'!G264+"AM:!(%w"</f>
        <v>#VALUE!</v>
      </c>
      <c r="BA156" t="e">
        <f>'Delivery Calculation'!H264+"AM:!(%x"</f>
        <v>#VALUE!</v>
      </c>
      <c r="BB156" s="97" t="e">
        <f>'Delivery Calculation'!I264+"AM:!(%y"</f>
        <v>#VALUE!</v>
      </c>
      <c r="BC156" s="103" t="e">
        <f>'Delivery Calculation'!J264+"AM:!(%z"</f>
        <v>#VALUE!</v>
      </c>
      <c r="BD156" s="98" t="e">
        <f>'Delivery Calculation'!K264+"AM:!(%{"</f>
        <v>#VALUE!</v>
      </c>
      <c r="BE156" s="98" t="e">
        <f>'Delivery Calculation'!L264+"AM:!(%|"</f>
        <v>#VALUE!</v>
      </c>
      <c r="BF156" s="99" t="e">
        <f>'Delivery Calculation'!M264+"AM:!(%}"</f>
        <v>#VALUE!</v>
      </c>
      <c r="BG156" s="99" t="e">
        <f>'Delivery Calculation'!N264+"AM:!(%~"</f>
        <v>#VALUE!</v>
      </c>
      <c r="BH156" s="101" t="e">
        <f>'Delivery Calculation'!O264+"AM:!(&amp;#"</f>
        <v>#VALUE!</v>
      </c>
      <c r="BI156" s="101" t="e">
        <f>'Delivery Calculation'!P264+"AM:!(&amp;$"</f>
        <v>#VALUE!</v>
      </c>
      <c r="BJ156" s="101" t="e">
        <f>'Delivery Calculation'!Q264+"AM:!(&amp;%"</f>
        <v>#VALUE!</v>
      </c>
      <c r="BK156" s="101" t="e">
        <f>'Delivery Calculation'!R264+"AM:!(&amp;&amp;"</f>
        <v>#VALUE!</v>
      </c>
      <c r="BL156" s="101" t="e">
        <f>'Delivery Calculation'!S264+"AM:!(&amp;'"</f>
        <v>#VALUE!</v>
      </c>
      <c r="BM156" s="101" t="e">
        <f>'Delivery Calculation'!T264+"AM:!(&amp;("</f>
        <v>#VALUE!</v>
      </c>
      <c r="BN156" s="101" t="e">
        <f>'Delivery Calculation'!U264+"AM:!(&amp;)"</f>
        <v>#VALUE!</v>
      </c>
      <c r="BO156" s="101" t="e">
        <f>'Delivery Calculation'!V264+"AM:!(&amp;."</f>
        <v>#VALUE!</v>
      </c>
      <c r="BP156" s="101" t="e">
        <f>'Delivery Calculation'!W264+"AM:!(&amp;/"</f>
        <v>#VALUE!</v>
      </c>
      <c r="BQ156" s="101" t="e">
        <f>'Delivery Calculation'!X264+"AM:!(&amp;0"</f>
        <v>#VALUE!</v>
      </c>
      <c r="BR156" s="101" t="e">
        <f>'Delivery Calculation'!Y264+"AM:!(&amp;1"</f>
        <v>#VALUE!</v>
      </c>
      <c r="BS156" s="101" t="e">
        <f>'Delivery Calculation'!Z264+"AM:!(&amp;2"</f>
        <v>#VALUE!</v>
      </c>
      <c r="BT156" s="101" t="e">
        <f>'Delivery Calculation'!AA264+"AM:!(&amp;3"</f>
        <v>#VALUE!</v>
      </c>
      <c r="BU156" s="101" t="e">
        <f>'Delivery Calculation'!AB264+"AM:!(&amp;4"</f>
        <v>#VALUE!</v>
      </c>
      <c r="BV156" s="101" t="e">
        <f>'Delivery Calculation'!AC264+"AM:!(&amp;5"</f>
        <v>#VALUE!</v>
      </c>
      <c r="BW156" s="101" t="e">
        <f>'Delivery Calculation'!AD264+"AM:!(&amp;6"</f>
        <v>#VALUE!</v>
      </c>
      <c r="BX156" s="101" t="e">
        <f>'Delivery Calculation'!AE264+"AM:!(&amp;7"</f>
        <v>#VALUE!</v>
      </c>
      <c r="BY156" s="101" t="e">
        <f>'Delivery Calculation'!AF264+"AM:!(&amp;8"</f>
        <v>#VALUE!</v>
      </c>
      <c r="BZ156" s="101" t="e">
        <f>'Delivery Calculation'!AG264+"AM:!(&amp;9"</f>
        <v>#VALUE!</v>
      </c>
      <c r="CA156" s="101" t="e">
        <f>'Delivery Calculation'!AH264+"AM:!(&amp;:"</f>
        <v>#VALUE!</v>
      </c>
      <c r="CB156" s="101" t="e">
        <f>'Delivery Calculation'!AI264+"AM:!(&amp;;"</f>
        <v>#VALUE!</v>
      </c>
      <c r="CC156" s="101" t="e">
        <f>'Delivery Calculation'!AJ264+"AM:!(&amp;&lt;"</f>
        <v>#VALUE!</v>
      </c>
      <c r="CD156" s="101" t="e">
        <f>'Delivery Calculation'!AK264+"AM:!(&amp;="</f>
        <v>#VALUE!</v>
      </c>
      <c r="CE156" s="101" t="e">
        <f>'Delivery Calculation'!AL264+"AM:!(&amp;&gt;"</f>
        <v>#VALUE!</v>
      </c>
      <c r="CF156" s="101" t="e">
        <f>'Delivery Calculation'!AM264+"AM:!(&amp;?"</f>
        <v>#VALUE!</v>
      </c>
      <c r="CG156" s="101" t="e">
        <f>'Delivery Calculation'!AN264+"AM:!(&amp;@"</f>
        <v>#VALUE!</v>
      </c>
      <c r="CH156" s="101" t="e">
        <f>'Delivery Calculation'!AO264+"AM:!(&amp;A"</f>
        <v>#VALUE!</v>
      </c>
      <c r="CI156" s="101" t="e">
        <f>'Delivery Calculation'!AP264+"AM:!(&amp;B"</f>
        <v>#VALUE!</v>
      </c>
      <c r="CJ156" s="101" t="e">
        <f>'Delivery Calculation'!AQ264+"AM:!(&amp;C"</f>
        <v>#VALUE!</v>
      </c>
      <c r="CK156" s="101" t="e">
        <f>'Delivery Calculation'!AR264+"AM:!(&amp;D"</f>
        <v>#VALUE!</v>
      </c>
      <c r="CL156" s="101" t="e">
        <f>'Delivery Calculation'!AS264+"AM:!(&amp;E"</f>
        <v>#VALUE!</v>
      </c>
      <c r="CM156" s="101" t="e">
        <f>'Delivery Calculation'!AT264+"AM:!(&amp;F"</f>
        <v>#VALUE!</v>
      </c>
      <c r="CN156" s="101" t="e">
        <f>'Delivery Calculation'!AU264+"AM:!(&amp;G"</f>
        <v>#VALUE!</v>
      </c>
      <c r="CO156" s="101" t="e">
        <f>'Delivery Calculation'!AV264+"AM:!(&amp;H"</f>
        <v>#VALUE!</v>
      </c>
      <c r="CP156" s="101" t="e">
        <f>'Delivery Calculation'!AW264+"AM:!(&amp;I"</f>
        <v>#VALUE!</v>
      </c>
      <c r="CQ156" s="101" t="e">
        <f>'Delivery Calculation'!AX264+"AM:!(&amp;J"</f>
        <v>#VALUE!</v>
      </c>
      <c r="CR156" s="101" t="e">
        <f>'Delivery Calculation'!AY264+"AM:!(&amp;K"</f>
        <v>#VALUE!</v>
      </c>
      <c r="CS156" s="101" t="e">
        <f>'Delivery Calculation'!AZ264+"AM:!(&amp;L"</f>
        <v>#VALUE!</v>
      </c>
      <c r="CT156" s="101" t="e">
        <f>'Delivery Calculation'!BA264+"AM:!(&amp;M"</f>
        <v>#VALUE!</v>
      </c>
      <c r="CU156" t="e">
        <f>'Delivery Calculation'!BB264+"AM:!(&amp;N"</f>
        <v>#VALUE!</v>
      </c>
      <c r="CV156" t="e">
        <f>'Delivery Calculation'!A265+"AM:!(&amp;O"</f>
        <v>#VALUE!</v>
      </c>
      <c r="CW156" t="e">
        <f>'Delivery Calculation'!B265+"AM:!(&amp;P"</f>
        <v>#VALUE!</v>
      </c>
      <c r="CX156" t="e">
        <f>'Delivery Calculation'!C265+"AM:!(&amp;Q"</f>
        <v>#VALUE!</v>
      </c>
      <c r="CY156" t="e">
        <f>'Delivery Calculation'!D265+"AM:!(&amp;R"</f>
        <v>#VALUE!</v>
      </c>
      <c r="CZ156" t="e">
        <f>'Delivery Calculation'!E265+"AM:!(&amp;S"</f>
        <v>#VALUE!</v>
      </c>
      <c r="DA156" s="98" t="e">
        <f>'Delivery Calculation'!F265+"AM:!(&amp;T"</f>
        <v>#VALUE!</v>
      </c>
      <c r="DB156" s="98" t="e">
        <f>'Delivery Calculation'!G265+"AM:!(&amp;U"</f>
        <v>#VALUE!</v>
      </c>
      <c r="DC156" t="e">
        <f>'Delivery Calculation'!H265+"AM:!(&amp;V"</f>
        <v>#VALUE!</v>
      </c>
      <c r="DD156" s="97" t="e">
        <f>'Delivery Calculation'!I265+"AM:!(&amp;W"</f>
        <v>#VALUE!</v>
      </c>
      <c r="DE156" s="103" t="e">
        <f>'Delivery Calculation'!J265+"AM:!(&amp;X"</f>
        <v>#VALUE!</v>
      </c>
      <c r="DF156" s="98" t="e">
        <f>'Delivery Calculation'!K265+"AM:!(&amp;Y"</f>
        <v>#VALUE!</v>
      </c>
      <c r="DG156" s="98" t="e">
        <f>'Delivery Calculation'!L265+"AM:!(&amp;Z"</f>
        <v>#VALUE!</v>
      </c>
      <c r="DH156" s="99" t="e">
        <f>'Delivery Calculation'!M265+"AM:!(&amp;["</f>
        <v>#VALUE!</v>
      </c>
      <c r="DI156" s="99" t="e">
        <f>'Delivery Calculation'!N265+"AM:!(&amp;\"</f>
        <v>#VALUE!</v>
      </c>
      <c r="DJ156" s="101" t="e">
        <f>'Delivery Calculation'!O265+"AM:!(&amp;]"</f>
        <v>#VALUE!</v>
      </c>
      <c r="DK156" s="101" t="e">
        <f>'Delivery Calculation'!P265+"AM:!(&amp;^"</f>
        <v>#VALUE!</v>
      </c>
      <c r="DL156" s="101" t="e">
        <f>'Delivery Calculation'!Q265+"AM:!(&amp;_"</f>
        <v>#VALUE!</v>
      </c>
      <c r="DM156" s="101" t="e">
        <f>'Delivery Calculation'!R265+"AM:!(&amp;`"</f>
        <v>#VALUE!</v>
      </c>
      <c r="DN156" s="101" t="e">
        <f>'Delivery Calculation'!S265+"AM:!(&amp;a"</f>
        <v>#VALUE!</v>
      </c>
      <c r="DO156" s="101" t="e">
        <f>'Delivery Calculation'!T265+"AM:!(&amp;b"</f>
        <v>#VALUE!</v>
      </c>
      <c r="DP156" s="101" t="e">
        <f>'Delivery Calculation'!U265+"AM:!(&amp;c"</f>
        <v>#VALUE!</v>
      </c>
      <c r="DQ156" s="101" t="e">
        <f>'Delivery Calculation'!V265+"AM:!(&amp;d"</f>
        <v>#VALUE!</v>
      </c>
      <c r="DR156" s="101" t="e">
        <f>'Delivery Calculation'!W265+"AM:!(&amp;e"</f>
        <v>#VALUE!</v>
      </c>
      <c r="DS156" s="101" t="e">
        <f>'Delivery Calculation'!X265+"AM:!(&amp;f"</f>
        <v>#VALUE!</v>
      </c>
      <c r="DT156" s="101" t="e">
        <f>'Delivery Calculation'!Y265+"AM:!(&amp;g"</f>
        <v>#VALUE!</v>
      </c>
      <c r="DU156" s="101" t="e">
        <f>'Delivery Calculation'!Z265+"AM:!(&amp;h"</f>
        <v>#VALUE!</v>
      </c>
      <c r="DV156" s="101" t="e">
        <f>'Delivery Calculation'!AA265+"AM:!(&amp;i"</f>
        <v>#VALUE!</v>
      </c>
      <c r="DW156" s="101" t="e">
        <f>'Delivery Calculation'!AB265+"AM:!(&amp;j"</f>
        <v>#VALUE!</v>
      </c>
      <c r="DX156" s="101" t="e">
        <f>'Delivery Calculation'!AC265+"AM:!(&amp;k"</f>
        <v>#VALUE!</v>
      </c>
      <c r="DY156" s="101" t="e">
        <f>'Delivery Calculation'!AD265+"AM:!(&amp;l"</f>
        <v>#VALUE!</v>
      </c>
      <c r="DZ156" s="101" t="e">
        <f>'Delivery Calculation'!AE265+"AM:!(&amp;m"</f>
        <v>#VALUE!</v>
      </c>
      <c r="EA156" s="101" t="e">
        <f>'Delivery Calculation'!AF265+"AM:!(&amp;n"</f>
        <v>#VALUE!</v>
      </c>
      <c r="EB156" s="101" t="e">
        <f>'Delivery Calculation'!AG265+"AM:!(&amp;o"</f>
        <v>#VALUE!</v>
      </c>
      <c r="EC156" s="101" t="e">
        <f>'Delivery Calculation'!AH265+"AM:!(&amp;p"</f>
        <v>#VALUE!</v>
      </c>
      <c r="ED156" s="101" t="e">
        <f>'Delivery Calculation'!AI265+"AM:!(&amp;q"</f>
        <v>#VALUE!</v>
      </c>
      <c r="EE156" s="101" t="e">
        <f>'Delivery Calculation'!AJ265+"AM:!(&amp;r"</f>
        <v>#VALUE!</v>
      </c>
      <c r="EF156" s="101" t="e">
        <f>'Delivery Calculation'!AK265+"AM:!(&amp;s"</f>
        <v>#VALUE!</v>
      </c>
      <c r="EG156" s="101" t="e">
        <f>'Delivery Calculation'!AL265+"AM:!(&amp;t"</f>
        <v>#VALUE!</v>
      </c>
      <c r="EH156" s="101" t="e">
        <f>'Delivery Calculation'!AM265+"AM:!(&amp;u"</f>
        <v>#VALUE!</v>
      </c>
      <c r="EI156" s="101" t="e">
        <f>'Delivery Calculation'!AN265+"AM:!(&amp;v"</f>
        <v>#VALUE!</v>
      </c>
      <c r="EJ156" s="101" t="e">
        <f>'Delivery Calculation'!AO265+"AM:!(&amp;w"</f>
        <v>#VALUE!</v>
      </c>
      <c r="EK156" s="101" t="e">
        <f>'Delivery Calculation'!AP265+"AM:!(&amp;x"</f>
        <v>#VALUE!</v>
      </c>
      <c r="EL156" s="101" t="e">
        <f>'Delivery Calculation'!AQ265+"AM:!(&amp;y"</f>
        <v>#VALUE!</v>
      </c>
      <c r="EM156" s="101" t="e">
        <f>'Delivery Calculation'!AR265+"AM:!(&amp;z"</f>
        <v>#VALUE!</v>
      </c>
      <c r="EN156" s="101" t="e">
        <f>'Delivery Calculation'!AS265+"AM:!(&amp;{"</f>
        <v>#VALUE!</v>
      </c>
      <c r="EO156" s="101" t="e">
        <f>'Delivery Calculation'!AT265+"AM:!(&amp;|"</f>
        <v>#VALUE!</v>
      </c>
      <c r="EP156" s="101" t="e">
        <f>'Delivery Calculation'!AU265+"AM:!(&amp;}"</f>
        <v>#VALUE!</v>
      </c>
      <c r="EQ156" s="101" t="e">
        <f>'Delivery Calculation'!AV265+"AM:!(&amp;~"</f>
        <v>#VALUE!</v>
      </c>
      <c r="ER156" s="101" t="e">
        <f>'Delivery Calculation'!AW265+"AM:!('#"</f>
        <v>#VALUE!</v>
      </c>
      <c r="ES156" s="101" t="e">
        <f>'Delivery Calculation'!AX265+"AM:!('$"</f>
        <v>#VALUE!</v>
      </c>
      <c r="ET156" s="101" t="e">
        <f>'Delivery Calculation'!AY265+"AM:!('%"</f>
        <v>#VALUE!</v>
      </c>
      <c r="EU156" s="101" t="e">
        <f>'Delivery Calculation'!AZ265+"AM:!('&amp;"</f>
        <v>#VALUE!</v>
      </c>
      <c r="EV156" s="101" t="e">
        <f>'Delivery Calculation'!BA265+"AM:!(''"</f>
        <v>#VALUE!</v>
      </c>
      <c r="EW156" t="e">
        <f>'Delivery Calculation'!BB265+"AM:!('("</f>
        <v>#VALUE!</v>
      </c>
      <c r="EX156" t="e">
        <f>'Delivery Calculation'!A266+"AM:!(')"</f>
        <v>#VALUE!</v>
      </c>
      <c r="EY156" t="e">
        <f>'Delivery Calculation'!B266+"AM:!('."</f>
        <v>#VALUE!</v>
      </c>
      <c r="EZ156" t="e">
        <f>'Delivery Calculation'!C266+"AM:!('/"</f>
        <v>#VALUE!</v>
      </c>
      <c r="FA156" t="e">
        <f>'Delivery Calculation'!D266+"AM:!('0"</f>
        <v>#VALUE!</v>
      </c>
      <c r="FB156" t="e">
        <f>'Delivery Calculation'!E266+"AM:!('1"</f>
        <v>#VALUE!</v>
      </c>
      <c r="FC156" s="98" t="e">
        <f>'Delivery Calculation'!F266+"AM:!('2"</f>
        <v>#VALUE!</v>
      </c>
      <c r="FD156" s="98" t="e">
        <f>'Delivery Calculation'!G266+"AM:!('3"</f>
        <v>#VALUE!</v>
      </c>
      <c r="FE156" t="e">
        <f>'Delivery Calculation'!H266+"AM:!('4"</f>
        <v>#VALUE!</v>
      </c>
      <c r="FF156" s="97" t="e">
        <f>'Delivery Calculation'!I266+"AM:!('5"</f>
        <v>#VALUE!</v>
      </c>
      <c r="FG156" s="103" t="e">
        <f>'Delivery Calculation'!J266+"AM:!('6"</f>
        <v>#VALUE!</v>
      </c>
      <c r="FH156" s="98" t="e">
        <f>'Delivery Calculation'!K266+"AM:!('7"</f>
        <v>#VALUE!</v>
      </c>
      <c r="FI156" s="98" t="e">
        <f>'Delivery Calculation'!L266+"AM:!('8"</f>
        <v>#VALUE!</v>
      </c>
      <c r="FJ156" s="99" t="e">
        <f>'Delivery Calculation'!M266+"AM:!('9"</f>
        <v>#VALUE!</v>
      </c>
      <c r="FK156" s="99" t="e">
        <f>'Delivery Calculation'!N266+"AM:!(':"</f>
        <v>#VALUE!</v>
      </c>
      <c r="FL156" s="101" t="e">
        <f>'Delivery Calculation'!O266+"AM:!(';"</f>
        <v>#VALUE!</v>
      </c>
      <c r="FM156" s="101" t="e">
        <f>'Delivery Calculation'!P266+"AM:!('&lt;"</f>
        <v>#VALUE!</v>
      </c>
      <c r="FN156" s="101" t="e">
        <f>'Delivery Calculation'!Q266+"AM:!('="</f>
        <v>#VALUE!</v>
      </c>
      <c r="FO156" s="101" t="e">
        <f>'Delivery Calculation'!R266+"AM:!('&gt;"</f>
        <v>#VALUE!</v>
      </c>
      <c r="FP156" s="101" t="e">
        <f>'Delivery Calculation'!S266+"AM:!('?"</f>
        <v>#VALUE!</v>
      </c>
      <c r="FQ156" s="101" t="e">
        <f>'Delivery Calculation'!T266+"AM:!('@"</f>
        <v>#VALUE!</v>
      </c>
      <c r="FR156" s="101" t="e">
        <f>'Delivery Calculation'!U266+"AM:!('A"</f>
        <v>#VALUE!</v>
      </c>
      <c r="FS156" s="101" t="e">
        <f>'Delivery Calculation'!V266+"AM:!('B"</f>
        <v>#VALUE!</v>
      </c>
      <c r="FT156" s="101" t="e">
        <f>'Delivery Calculation'!W266+"AM:!('C"</f>
        <v>#VALUE!</v>
      </c>
      <c r="FU156" s="101" t="e">
        <f>'Delivery Calculation'!X266+"AM:!('D"</f>
        <v>#VALUE!</v>
      </c>
      <c r="FV156" s="101" t="e">
        <f>'Delivery Calculation'!Y266+"AM:!('E"</f>
        <v>#VALUE!</v>
      </c>
      <c r="FW156" s="101" t="e">
        <f>'Delivery Calculation'!Z266+"AM:!('F"</f>
        <v>#VALUE!</v>
      </c>
      <c r="FX156" s="101" t="e">
        <f>'Delivery Calculation'!AA266+"AM:!('G"</f>
        <v>#VALUE!</v>
      </c>
      <c r="FY156" s="101" t="e">
        <f>'Delivery Calculation'!AB266+"AM:!('H"</f>
        <v>#VALUE!</v>
      </c>
      <c r="FZ156" s="101" t="e">
        <f>'Delivery Calculation'!AC266+"AM:!('I"</f>
        <v>#VALUE!</v>
      </c>
      <c r="GA156" s="101" t="e">
        <f>'Delivery Calculation'!AD266+"AM:!('J"</f>
        <v>#VALUE!</v>
      </c>
      <c r="GB156" s="101" t="e">
        <f>'Delivery Calculation'!AE266+"AM:!('K"</f>
        <v>#VALUE!</v>
      </c>
      <c r="GC156" s="101" t="e">
        <f>'Delivery Calculation'!AF266+"AM:!('L"</f>
        <v>#VALUE!</v>
      </c>
      <c r="GD156" s="101" t="e">
        <f>'Delivery Calculation'!AG266+"AM:!('M"</f>
        <v>#VALUE!</v>
      </c>
      <c r="GE156" s="101" t="e">
        <f>'Delivery Calculation'!AH266+"AM:!('N"</f>
        <v>#VALUE!</v>
      </c>
      <c r="GF156" s="101" t="e">
        <f>'Delivery Calculation'!AI266+"AM:!('O"</f>
        <v>#VALUE!</v>
      </c>
      <c r="GG156" s="101" t="e">
        <f>'Delivery Calculation'!AJ266+"AM:!('P"</f>
        <v>#VALUE!</v>
      </c>
      <c r="GH156" s="101" t="e">
        <f>'Delivery Calculation'!AK266+"AM:!('Q"</f>
        <v>#VALUE!</v>
      </c>
      <c r="GI156" s="101" t="e">
        <f>'Delivery Calculation'!AL266+"AM:!('R"</f>
        <v>#VALUE!</v>
      </c>
      <c r="GJ156" s="101" t="e">
        <f>'Delivery Calculation'!AM266+"AM:!('S"</f>
        <v>#VALUE!</v>
      </c>
      <c r="GK156" s="101" t="e">
        <f>'Delivery Calculation'!AN266+"AM:!('T"</f>
        <v>#VALUE!</v>
      </c>
      <c r="GL156" s="101" t="e">
        <f>'Delivery Calculation'!AO266+"AM:!('U"</f>
        <v>#VALUE!</v>
      </c>
      <c r="GM156" s="101" t="e">
        <f>'Delivery Calculation'!AP266+"AM:!('V"</f>
        <v>#VALUE!</v>
      </c>
      <c r="GN156" s="101" t="e">
        <f>'Delivery Calculation'!AQ266+"AM:!('W"</f>
        <v>#VALUE!</v>
      </c>
      <c r="GO156" s="101" t="e">
        <f>'Delivery Calculation'!AR266+"AM:!('X"</f>
        <v>#VALUE!</v>
      </c>
      <c r="GP156" s="101" t="e">
        <f>'Delivery Calculation'!AS266+"AM:!('Y"</f>
        <v>#VALUE!</v>
      </c>
      <c r="GQ156" s="101" t="e">
        <f>'Delivery Calculation'!AT266+"AM:!('Z"</f>
        <v>#VALUE!</v>
      </c>
      <c r="GR156" s="101" t="e">
        <f>'Delivery Calculation'!AU266+"AM:!('["</f>
        <v>#VALUE!</v>
      </c>
      <c r="GS156" s="101" t="e">
        <f>'Delivery Calculation'!AV266+"AM:!('\"</f>
        <v>#VALUE!</v>
      </c>
      <c r="GT156" s="101" t="e">
        <f>'Delivery Calculation'!AW266+"AM:!(']"</f>
        <v>#VALUE!</v>
      </c>
      <c r="GU156" s="101" t="e">
        <f>'Delivery Calculation'!AX266+"AM:!('^"</f>
        <v>#VALUE!</v>
      </c>
      <c r="GV156" s="101" t="e">
        <f>'Delivery Calculation'!AY266+"AM:!('_"</f>
        <v>#VALUE!</v>
      </c>
      <c r="GW156" s="101" t="e">
        <f>'Delivery Calculation'!AZ266+"AM:!('`"</f>
        <v>#VALUE!</v>
      </c>
      <c r="GX156" s="101" t="e">
        <f>'Delivery Calculation'!BA266+"AM:!('a"</f>
        <v>#VALUE!</v>
      </c>
      <c r="GY156" t="e">
        <f>'Delivery Calculation'!BB266+"AM:!('b"</f>
        <v>#VALUE!</v>
      </c>
      <c r="GZ156" t="e">
        <f>'Delivery Calculation'!A267+"AM:!('c"</f>
        <v>#VALUE!</v>
      </c>
      <c r="HA156" t="e">
        <f>'Delivery Calculation'!B267+"AM:!('d"</f>
        <v>#VALUE!</v>
      </c>
      <c r="HB156" t="e">
        <f>'Delivery Calculation'!C267+"AM:!('e"</f>
        <v>#VALUE!</v>
      </c>
      <c r="HC156" t="e">
        <f>'Delivery Calculation'!D267+"AM:!('f"</f>
        <v>#VALUE!</v>
      </c>
      <c r="HD156" t="e">
        <f>'Delivery Calculation'!E267+"AM:!('g"</f>
        <v>#VALUE!</v>
      </c>
      <c r="HE156" s="98" t="e">
        <f>'Delivery Calculation'!F267+"AM:!('h"</f>
        <v>#VALUE!</v>
      </c>
      <c r="HF156" s="98" t="e">
        <f>'Delivery Calculation'!G267+"AM:!('i"</f>
        <v>#VALUE!</v>
      </c>
      <c r="HG156" t="e">
        <f>'Delivery Calculation'!H267+"AM:!('j"</f>
        <v>#VALUE!</v>
      </c>
      <c r="HH156" s="97" t="e">
        <f>'Delivery Calculation'!I267+"AM:!('k"</f>
        <v>#VALUE!</v>
      </c>
      <c r="HI156" s="103" t="e">
        <f>'Delivery Calculation'!J267+"AM:!('l"</f>
        <v>#VALUE!</v>
      </c>
      <c r="HJ156" s="98" t="e">
        <f>'Delivery Calculation'!K267+"AM:!('m"</f>
        <v>#VALUE!</v>
      </c>
      <c r="HK156" s="98" t="e">
        <f>'Delivery Calculation'!L267+"AM:!('n"</f>
        <v>#VALUE!</v>
      </c>
      <c r="HL156" s="99" t="e">
        <f>'Delivery Calculation'!M267+"AM:!('o"</f>
        <v>#VALUE!</v>
      </c>
      <c r="HM156" s="99" t="e">
        <f>'Delivery Calculation'!N267+"AM:!('p"</f>
        <v>#VALUE!</v>
      </c>
      <c r="HN156" s="101" t="e">
        <f>'Delivery Calculation'!O267+"AM:!('q"</f>
        <v>#VALUE!</v>
      </c>
      <c r="HO156" s="101" t="e">
        <f>'Delivery Calculation'!P267+"AM:!('r"</f>
        <v>#VALUE!</v>
      </c>
      <c r="HP156" s="101" t="e">
        <f>'Delivery Calculation'!Q267+"AM:!('s"</f>
        <v>#VALUE!</v>
      </c>
      <c r="HQ156" s="101" t="e">
        <f>'Delivery Calculation'!R267+"AM:!('t"</f>
        <v>#VALUE!</v>
      </c>
      <c r="HR156" s="101" t="e">
        <f>'Delivery Calculation'!S267+"AM:!('u"</f>
        <v>#VALUE!</v>
      </c>
      <c r="HS156" s="101" t="e">
        <f>'Delivery Calculation'!T267+"AM:!('v"</f>
        <v>#VALUE!</v>
      </c>
      <c r="HT156" s="101" t="e">
        <f>'Delivery Calculation'!U267+"AM:!('w"</f>
        <v>#VALUE!</v>
      </c>
      <c r="HU156" s="101" t="e">
        <f>'Delivery Calculation'!V267+"AM:!('x"</f>
        <v>#VALUE!</v>
      </c>
      <c r="HV156" s="101" t="e">
        <f>'Delivery Calculation'!W267+"AM:!('y"</f>
        <v>#VALUE!</v>
      </c>
      <c r="HW156" s="101" t="e">
        <f>'Delivery Calculation'!X267+"AM:!('z"</f>
        <v>#VALUE!</v>
      </c>
      <c r="HX156" s="101" t="e">
        <f>'Delivery Calculation'!Y267+"AM:!('{"</f>
        <v>#VALUE!</v>
      </c>
      <c r="HY156" s="101" t="e">
        <f>'Delivery Calculation'!Z267+"AM:!('|"</f>
        <v>#VALUE!</v>
      </c>
      <c r="HZ156" s="101" t="e">
        <f>'Delivery Calculation'!AA267+"AM:!('}"</f>
        <v>#VALUE!</v>
      </c>
      <c r="IA156" s="101" t="e">
        <f>'Delivery Calculation'!AB267+"AM:!('~"</f>
        <v>#VALUE!</v>
      </c>
      <c r="IB156" s="101" t="e">
        <f>'Delivery Calculation'!AC267+"AM:!((#"</f>
        <v>#VALUE!</v>
      </c>
      <c r="IC156" s="101" t="e">
        <f>'Delivery Calculation'!AD267+"AM:!(($"</f>
        <v>#VALUE!</v>
      </c>
      <c r="ID156" s="101" t="e">
        <f>'Delivery Calculation'!AE267+"AM:!((%"</f>
        <v>#VALUE!</v>
      </c>
      <c r="IE156" s="101" t="e">
        <f>'Delivery Calculation'!AF267+"AM:!((&amp;"</f>
        <v>#VALUE!</v>
      </c>
      <c r="IF156" s="101" t="e">
        <f>'Delivery Calculation'!AG267+"AM:!(('"</f>
        <v>#VALUE!</v>
      </c>
      <c r="IG156" s="101" t="e">
        <f>'Delivery Calculation'!AH267+"AM:!((("</f>
        <v>#VALUE!</v>
      </c>
      <c r="IH156" s="101" t="e">
        <f>'Delivery Calculation'!AI267+"AM:!(()"</f>
        <v>#VALUE!</v>
      </c>
      <c r="II156" s="101" t="e">
        <f>'Delivery Calculation'!AJ267+"AM:!((."</f>
        <v>#VALUE!</v>
      </c>
      <c r="IJ156" s="101" t="e">
        <f>'Delivery Calculation'!AK267+"AM:!((/"</f>
        <v>#VALUE!</v>
      </c>
      <c r="IK156" s="101" t="e">
        <f>'Delivery Calculation'!AL267+"AM:!((0"</f>
        <v>#VALUE!</v>
      </c>
      <c r="IL156" s="101" t="e">
        <f>'Delivery Calculation'!AM267+"AM:!((1"</f>
        <v>#VALUE!</v>
      </c>
      <c r="IM156" s="101" t="e">
        <f>'Delivery Calculation'!AN267+"AM:!((2"</f>
        <v>#VALUE!</v>
      </c>
      <c r="IN156" s="101" t="e">
        <f>'Delivery Calculation'!AO267+"AM:!((3"</f>
        <v>#VALUE!</v>
      </c>
      <c r="IO156" s="101" t="e">
        <f>'Delivery Calculation'!AP267+"AM:!((4"</f>
        <v>#VALUE!</v>
      </c>
      <c r="IP156" s="101" t="e">
        <f>'Delivery Calculation'!AQ267+"AM:!((5"</f>
        <v>#VALUE!</v>
      </c>
      <c r="IQ156" s="101" t="e">
        <f>'Delivery Calculation'!AR267+"AM:!((6"</f>
        <v>#VALUE!</v>
      </c>
      <c r="IR156" s="101" t="e">
        <f>'Delivery Calculation'!AS267+"AM:!((7"</f>
        <v>#VALUE!</v>
      </c>
      <c r="IS156" s="101" t="e">
        <f>'Delivery Calculation'!AT267+"AM:!((8"</f>
        <v>#VALUE!</v>
      </c>
      <c r="IT156" s="101" t="e">
        <f>'Delivery Calculation'!AU267+"AM:!((9"</f>
        <v>#VALUE!</v>
      </c>
      <c r="IU156" s="101" t="e">
        <f>'Delivery Calculation'!AV267+"AM:!((:"</f>
        <v>#VALUE!</v>
      </c>
      <c r="IV156" s="101" t="e">
        <f>'Delivery Calculation'!AW267+"AM:!((;"</f>
        <v>#VALUE!</v>
      </c>
    </row>
    <row r="157" spans="6:256">
      <c r="F157" s="101" t="e">
        <f>'Delivery Calculation'!AX267+"AM:!((&lt;"</f>
        <v>#VALUE!</v>
      </c>
      <c r="G157" s="101" t="e">
        <f>'Delivery Calculation'!AY267+"AM:!((="</f>
        <v>#VALUE!</v>
      </c>
      <c r="H157" s="101" t="e">
        <f>'Delivery Calculation'!AZ267+"AM:!((&gt;"</f>
        <v>#VALUE!</v>
      </c>
      <c r="I157" s="101" t="e">
        <f>'Delivery Calculation'!BA267+"AM:!((?"</f>
        <v>#VALUE!</v>
      </c>
      <c r="J157" t="e">
        <f>'Delivery Calculation'!BB267+"AM:!((@"</f>
        <v>#VALUE!</v>
      </c>
      <c r="K157" t="e">
        <f>'Delivery Calculation'!A268+"AM:!((A"</f>
        <v>#VALUE!</v>
      </c>
      <c r="L157" t="e">
        <f>'Delivery Calculation'!B268+"AM:!((B"</f>
        <v>#VALUE!</v>
      </c>
      <c r="M157" t="e">
        <f>'Delivery Calculation'!C268+"AM:!((C"</f>
        <v>#VALUE!</v>
      </c>
      <c r="N157" t="e">
        <f>'Delivery Calculation'!D268+"AM:!((D"</f>
        <v>#VALUE!</v>
      </c>
      <c r="O157" t="e">
        <f>'Delivery Calculation'!E268+"AM:!((E"</f>
        <v>#VALUE!</v>
      </c>
      <c r="P157" s="98" t="e">
        <f>'Delivery Calculation'!F268+"AM:!((F"</f>
        <v>#VALUE!</v>
      </c>
      <c r="Q157" s="98" t="e">
        <f>'Delivery Calculation'!G268+"AM:!((G"</f>
        <v>#VALUE!</v>
      </c>
      <c r="R157" t="e">
        <f>'Delivery Calculation'!H268+"AM:!((H"</f>
        <v>#VALUE!</v>
      </c>
      <c r="S157" s="97" t="e">
        <f>'Delivery Calculation'!I268+"AM:!((I"</f>
        <v>#VALUE!</v>
      </c>
      <c r="T157" s="103" t="e">
        <f>'Delivery Calculation'!J268+"AM:!((J"</f>
        <v>#VALUE!</v>
      </c>
      <c r="U157" s="98" t="e">
        <f>'Delivery Calculation'!K268+"AM:!((K"</f>
        <v>#VALUE!</v>
      </c>
      <c r="V157" s="98" t="e">
        <f>'Delivery Calculation'!L268+"AM:!((L"</f>
        <v>#VALUE!</v>
      </c>
      <c r="W157" s="99" t="e">
        <f>'Delivery Calculation'!M268+"AM:!((M"</f>
        <v>#VALUE!</v>
      </c>
      <c r="X157" s="99" t="e">
        <f>'Delivery Calculation'!N268+"AM:!((N"</f>
        <v>#VALUE!</v>
      </c>
      <c r="Y157" s="101" t="e">
        <f>'Delivery Calculation'!O268+"AM:!((O"</f>
        <v>#VALUE!</v>
      </c>
      <c r="Z157" s="101" t="e">
        <f>'Delivery Calculation'!P268+"AM:!((P"</f>
        <v>#VALUE!</v>
      </c>
      <c r="AA157" s="101" t="e">
        <f>'Delivery Calculation'!Q268+"AM:!((Q"</f>
        <v>#VALUE!</v>
      </c>
      <c r="AB157" s="101" t="e">
        <f>'Delivery Calculation'!R268+"AM:!((R"</f>
        <v>#VALUE!</v>
      </c>
      <c r="AC157" s="101" t="e">
        <f>'Delivery Calculation'!S268+"AM:!((S"</f>
        <v>#VALUE!</v>
      </c>
      <c r="AD157" s="101" t="e">
        <f>'Delivery Calculation'!T268+"AM:!((T"</f>
        <v>#VALUE!</v>
      </c>
      <c r="AE157" s="101" t="e">
        <f>'Delivery Calculation'!U268+"AM:!((U"</f>
        <v>#VALUE!</v>
      </c>
      <c r="AF157" s="101" t="e">
        <f>'Delivery Calculation'!V268+"AM:!((V"</f>
        <v>#VALUE!</v>
      </c>
      <c r="AG157" s="101" t="e">
        <f>'Delivery Calculation'!W268+"AM:!((W"</f>
        <v>#VALUE!</v>
      </c>
      <c r="AH157" s="101" t="e">
        <f>'Delivery Calculation'!X268+"AM:!((X"</f>
        <v>#VALUE!</v>
      </c>
      <c r="AI157" s="101" t="e">
        <f>'Delivery Calculation'!Y268+"AM:!((Y"</f>
        <v>#VALUE!</v>
      </c>
      <c r="AJ157" s="101" t="e">
        <f>'Delivery Calculation'!Z268+"AM:!((Z"</f>
        <v>#VALUE!</v>
      </c>
      <c r="AK157" s="101" t="e">
        <f>'Delivery Calculation'!AA268+"AM:!((["</f>
        <v>#VALUE!</v>
      </c>
      <c r="AL157" s="101" t="e">
        <f>'Delivery Calculation'!AB268+"AM:!((\"</f>
        <v>#VALUE!</v>
      </c>
      <c r="AM157" s="101" t="e">
        <f>'Delivery Calculation'!AC268+"AM:!((]"</f>
        <v>#VALUE!</v>
      </c>
      <c r="AN157" s="101" t="e">
        <f>'Delivery Calculation'!AD268+"AM:!((^"</f>
        <v>#VALUE!</v>
      </c>
      <c r="AO157" s="101" t="e">
        <f>'Delivery Calculation'!AE268+"AM:!((_"</f>
        <v>#VALUE!</v>
      </c>
      <c r="AP157" s="101" t="e">
        <f>'Delivery Calculation'!AF268+"AM:!((`"</f>
        <v>#VALUE!</v>
      </c>
      <c r="AQ157" s="101" t="e">
        <f>'Delivery Calculation'!AG268+"AM:!((a"</f>
        <v>#VALUE!</v>
      </c>
      <c r="AR157" s="101" t="e">
        <f>'Delivery Calculation'!AH268+"AM:!((b"</f>
        <v>#VALUE!</v>
      </c>
      <c r="AS157" s="101" t="e">
        <f>'Delivery Calculation'!AI268+"AM:!((c"</f>
        <v>#VALUE!</v>
      </c>
      <c r="AT157" s="101" t="e">
        <f>'Delivery Calculation'!AJ268+"AM:!((d"</f>
        <v>#VALUE!</v>
      </c>
      <c r="AU157" s="101" t="e">
        <f>'Delivery Calculation'!AK268+"AM:!((e"</f>
        <v>#VALUE!</v>
      </c>
      <c r="AV157" s="101" t="e">
        <f>'Delivery Calculation'!AL268+"AM:!((f"</f>
        <v>#VALUE!</v>
      </c>
      <c r="AW157" s="101" t="e">
        <f>'Delivery Calculation'!AM268+"AM:!((g"</f>
        <v>#VALUE!</v>
      </c>
      <c r="AX157" s="101" t="e">
        <f>'Delivery Calculation'!AN268+"AM:!((h"</f>
        <v>#VALUE!</v>
      </c>
      <c r="AY157" s="101" t="e">
        <f>'Delivery Calculation'!AO268+"AM:!((i"</f>
        <v>#VALUE!</v>
      </c>
      <c r="AZ157" s="101" t="e">
        <f>'Delivery Calculation'!AP268+"AM:!((j"</f>
        <v>#VALUE!</v>
      </c>
      <c r="BA157" s="101" t="e">
        <f>'Delivery Calculation'!AQ268+"AM:!((k"</f>
        <v>#VALUE!</v>
      </c>
      <c r="BB157" s="101" t="e">
        <f>'Delivery Calculation'!AR268+"AM:!((l"</f>
        <v>#VALUE!</v>
      </c>
      <c r="BC157" s="101" t="e">
        <f>'Delivery Calculation'!AS268+"AM:!((m"</f>
        <v>#VALUE!</v>
      </c>
      <c r="BD157" s="101" t="e">
        <f>'Delivery Calculation'!AT268+"AM:!((n"</f>
        <v>#VALUE!</v>
      </c>
      <c r="BE157" s="101" t="e">
        <f>'Delivery Calculation'!AU268+"AM:!((o"</f>
        <v>#VALUE!</v>
      </c>
      <c r="BF157" s="101" t="e">
        <f>'Delivery Calculation'!AV268+"AM:!((p"</f>
        <v>#VALUE!</v>
      </c>
      <c r="BG157" s="101" t="e">
        <f>'Delivery Calculation'!AW268+"AM:!((q"</f>
        <v>#VALUE!</v>
      </c>
      <c r="BH157" s="101" t="e">
        <f>'Delivery Calculation'!AX268+"AM:!((r"</f>
        <v>#VALUE!</v>
      </c>
      <c r="BI157" s="101" t="e">
        <f>'Delivery Calculation'!AY268+"AM:!((s"</f>
        <v>#VALUE!</v>
      </c>
      <c r="BJ157" s="101" t="e">
        <f>'Delivery Calculation'!AZ268+"AM:!((t"</f>
        <v>#VALUE!</v>
      </c>
      <c r="BK157" s="101" t="e">
        <f>'Delivery Calculation'!BA268+"AM:!((u"</f>
        <v>#VALUE!</v>
      </c>
      <c r="BL157" t="e">
        <f>'Delivery Calculation'!BB268+"AM:!((v"</f>
        <v>#VALUE!</v>
      </c>
      <c r="BM157" t="e">
        <f>'Delivery Calculation'!A269+"AM:!((w"</f>
        <v>#VALUE!</v>
      </c>
      <c r="BN157" t="e">
        <f>'Delivery Calculation'!B269+"AM:!((x"</f>
        <v>#VALUE!</v>
      </c>
      <c r="BO157" t="e">
        <f>'Delivery Calculation'!C269+"AM:!((y"</f>
        <v>#VALUE!</v>
      </c>
      <c r="BP157" t="e">
        <f>'Delivery Calculation'!D269+"AM:!((z"</f>
        <v>#VALUE!</v>
      </c>
      <c r="BQ157" t="e">
        <f>'Delivery Calculation'!E269+"AM:!(({"</f>
        <v>#VALUE!</v>
      </c>
      <c r="BR157" s="98" t="e">
        <f>'Delivery Calculation'!F269+"AM:!((|"</f>
        <v>#VALUE!</v>
      </c>
      <c r="BS157" s="98" t="e">
        <f>'Delivery Calculation'!G269+"AM:!((}"</f>
        <v>#VALUE!</v>
      </c>
      <c r="BT157" t="e">
        <f>'Delivery Calculation'!H269+"AM:!((~"</f>
        <v>#VALUE!</v>
      </c>
      <c r="BU157" s="97" t="e">
        <f>'Delivery Calculation'!I269+"AM:!()#"</f>
        <v>#VALUE!</v>
      </c>
      <c r="BV157" s="103" t="e">
        <f>'Delivery Calculation'!J269+"AM:!()$"</f>
        <v>#VALUE!</v>
      </c>
      <c r="BW157" s="98" t="e">
        <f>'Delivery Calculation'!K269+"AM:!()%"</f>
        <v>#VALUE!</v>
      </c>
      <c r="BX157" s="98" t="e">
        <f>'Delivery Calculation'!L269+"AM:!()&amp;"</f>
        <v>#VALUE!</v>
      </c>
      <c r="BY157" s="99" t="e">
        <f>'Delivery Calculation'!M269+"AM:!()'"</f>
        <v>#VALUE!</v>
      </c>
      <c r="BZ157" s="99" t="e">
        <f>'Delivery Calculation'!N269+"AM:!()("</f>
        <v>#VALUE!</v>
      </c>
      <c r="CA157" s="101" t="e">
        <f>'Delivery Calculation'!O269+"AM:!())"</f>
        <v>#VALUE!</v>
      </c>
      <c r="CB157" s="101" t="e">
        <f>'Delivery Calculation'!P269+"AM:!()."</f>
        <v>#VALUE!</v>
      </c>
      <c r="CC157" s="101" t="e">
        <f>'Delivery Calculation'!Q269+"AM:!()/"</f>
        <v>#VALUE!</v>
      </c>
      <c r="CD157" s="101" t="e">
        <f>'Delivery Calculation'!R269+"AM:!()0"</f>
        <v>#VALUE!</v>
      </c>
      <c r="CE157" s="101" t="e">
        <f>'Delivery Calculation'!S269+"AM:!()1"</f>
        <v>#VALUE!</v>
      </c>
      <c r="CF157" s="101" t="e">
        <f>'Delivery Calculation'!T269+"AM:!()2"</f>
        <v>#VALUE!</v>
      </c>
      <c r="CG157" s="101" t="e">
        <f>'Delivery Calculation'!U269+"AM:!()3"</f>
        <v>#VALUE!</v>
      </c>
      <c r="CH157" s="101" t="e">
        <f>'Delivery Calculation'!V269+"AM:!()4"</f>
        <v>#VALUE!</v>
      </c>
      <c r="CI157" s="101" t="e">
        <f>'Delivery Calculation'!W269+"AM:!()5"</f>
        <v>#VALUE!</v>
      </c>
      <c r="CJ157" s="101" t="e">
        <f>'Delivery Calculation'!X269+"AM:!()6"</f>
        <v>#VALUE!</v>
      </c>
      <c r="CK157" s="101" t="e">
        <f>'Delivery Calculation'!Y269+"AM:!()7"</f>
        <v>#VALUE!</v>
      </c>
      <c r="CL157" s="101" t="e">
        <f>'Delivery Calculation'!Z269+"AM:!()8"</f>
        <v>#VALUE!</v>
      </c>
      <c r="CM157" s="101" t="e">
        <f>'Delivery Calculation'!AA269+"AM:!()9"</f>
        <v>#VALUE!</v>
      </c>
      <c r="CN157" s="101" t="e">
        <f>'Delivery Calculation'!AB269+"AM:!():"</f>
        <v>#VALUE!</v>
      </c>
      <c r="CO157" s="101" t="e">
        <f>'Delivery Calculation'!AC269+"AM:!();"</f>
        <v>#VALUE!</v>
      </c>
      <c r="CP157" s="101" t="e">
        <f>'Delivery Calculation'!AD269+"AM:!()&lt;"</f>
        <v>#VALUE!</v>
      </c>
      <c r="CQ157" s="101" t="e">
        <f>'Delivery Calculation'!AE269+"AM:!()="</f>
        <v>#VALUE!</v>
      </c>
      <c r="CR157" s="101" t="e">
        <f>'Delivery Calculation'!AF269+"AM:!()&gt;"</f>
        <v>#VALUE!</v>
      </c>
      <c r="CS157" s="101" t="e">
        <f>'Delivery Calculation'!AG269+"AM:!()?"</f>
        <v>#VALUE!</v>
      </c>
      <c r="CT157" s="101" t="e">
        <f>'Delivery Calculation'!AH269+"AM:!()@"</f>
        <v>#VALUE!</v>
      </c>
      <c r="CU157" s="101" t="e">
        <f>'Delivery Calculation'!AI269+"AM:!()A"</f>
        <v>#VALUE!</v>
      </c>
      <c r="CV157" s="101" t="e">
        <f>'Delivery Calculation'!AJ269+"AM:!()B"</f>
        <v>#VALUE!</v>
      </c>
      <c r="CW157" s="101" t="e">
        <f>'Delivery Calculation'!AK269+"AM:!()C"</f>
        <v>#VALUE!</v>
      </c>
      <c r="CX157" s="101" t="e">
        <f>'Delivery Calculation'!AL269+"AM:!()D"</f>
        <v>#VALUE!</v>
      </c>
      <c r="CY157" s="101" t="e">
        <f>'Delivery Calculation'!AM269+"AM:!()E"</f>
        <v>#VALUE!</v>
      </c>
      <c r="CZ157" s="101" t="e">
        <f>'Delivery Calculation'!AN269+"AM:!()F"</f>
        <v>#VALUE!</v>
      </c>
      <c r="DA157" s="101" t="e">
        <f>'Delivery Calculation'!AO269+"AM:!()G"</f>
        <v>#VALUE!</v>
      </c>
      <c r="DB157" s="101" t="e">
        <f>'Delivery Calculation'!AP269+"AM:!()H"</f>
        <v>#VALUE!</v>
      </c>
      <c r="DC157" s="101" t="e">
        <f>'Delivery Calculation'!AQ269+"AM:!()I"</f>
        <v>#VALUE!</v>
      </c>
      <c r="DD157" s="101" t="e">
        <f>'Delivery Calculation'!AR269+"AM:!()J"</f>
        <v>#VALUE!</v>
      </c>
      <c r="DE157" s="101" t="e">
        <f>'Delivery Calculation'!AS269+"AM:!()K"</f>
        <v>#VALUE!</v>
      </c>
      <c r="DF157" s="101" t="e">
        <f>'Delivery Calculation'!AT269+"AM:!()L"</f>
        <v>#VALUE!</v>
      </c>
      <c r="DG157" s="101" t="e">
        <f>'Delivery Calculation'!AU269+"AM:!()M"</f>
        <v>#VALUE!</v>
      </c>
      <c r="DH157" s="101" t="e">
        <f>'Delivery Calculation'!AV269+"AM:!()N"</f>
        <v>#VALUE!</v>
      </c>
      <c r="DI157" s="101" t="e">
        <f>'Delivery Calculation'!AW269+"AM:!()O"</f>
        <v>#VALUE!</v>
      </c>
      <c r="DJ157" s="101" t="e">
        <f>'Delivery Calculation'!AX269+"AM:!()P"</f>
        <v>#VALUE!</v>
      </c>
      <c r="DK157" s="101" t="e">
        <f>'Delivery Calculation'!AY269+"AM:!()Q"</f>
        <v>#VALUE!</v>
      </c>
      <c r="DL157" s="101" t="e">
        <f>'Delivery Calculation'!AZ269+"AM:!()R"</f>
        <v>#VALUE!</v>
      </c>
      <c r="DM157" s="101" t="e">
        <f>'Delivery Calculation'!BA269+"AM:!()S"</f>
        <v>#VALUE!</v>
      </c>
      <c r="DN157" t="e">
        <f>'Delivery Calculation'!BB269+"AM:!()T"</f>
        <v>#VALUE!</v>
      </c>
      <c r="DO157" t="e">
        <f>'Delivery Calculation'!A270+"AM:!()U"</f>
        <v>#VALUE!</v>
      </c>
      <c r="DP157" t="e">
        <f>'Delivery Calculation'!B270+"AM:!()V"</f>
        <v>#VALUE!</v>
      </c>
      <c r="DQ157" t="e">
        <f>'Delivery Calculation'!C270+"AM:!()W"</f>
        <v>#VALUE!</v>
      </c>
      <c r="DR157" t="e">
        <f>'Delivery Calculation'!D270+"AM:!()X"</f>
        <v>#VALUE!</v>
      </c>
      <c r="DS157" t="e">
        <f>'Delivery Calculation'!E270+"AM:!()Y"</f>
        <v>#VALUE!</v>
      </c>
      <c r="DT157" s="98" t="e">
        <f>'Delivery Calculation'!F270+"AM:!()Z"</f>
        <v>#VALUE!</v>
      </c>
      <c r="DU157" s="98" t="e">
        <f>'Delivery Calculation'!G270+"AM:!()["</f>
        <v>#VALUE!</v>
      </c>
      <c r="DV157" t="e">
        <f>'Delivery Calculation'!H270+"AM:!()\"</f>
        <v>#VALUE!</v>
      </c>
      <c r="DW157" s="97" t="e">
        <f>'Delivery Calculation'!I270+"AM:!()]"</f>
        <v>#VALUE!</v>
      </c>
      <c r="DX157" s="103" t="e">
        <f>'Delivery Calculation'!J270+"AM:!()^"</f>
        <v>#VALUE!</v>
      </c>
      <c r="DY157" s="98" t="e">
        <f>'Delivery Calculation'!K270+"AM:!()_"</f>
        <v>#VALUE!</v>
      </c>
      <c r="DZ157" s="98" t="e">
        <f>'Delivery Calculation'!L270+"AM:!()`"</f>
        <v>#VALUE!</v>
      </c>
      <c r="EA157" s="99" t="e">
        <f>'Delivery Calculation'!M270+"AM:!()a"</f>
        <v>#VALUE!</v>
      </c>
      <c r="EB157" s="99" t="e">
        <f>'Delivery Calculation'!N270+"AM:!()b"</f>
        <v>#VALUE!</v>
      </c>
      <c r="EC157" s="101" t="e">
        <f>'Delivery Calculation'!O270+"AM:!()c"</f>
        <v>#VALUE!</v>
      </c>
      <c r="ED157" s="101" t="e">
        <f>'Delivery Calculation'!P270+"AM:!()d"</f>
        <v>#VALUE!</v>
      </c>
      <c r="EE157" s="101" t="e">
        <f>'Delivery Calculation'!Q270+"AM:!()e"</f>
        <v>#VALUE!</v>
      </c>
      <c r="EF157" s="101" t="e">
        <f>'Delivery Calculation'!R270+"AM:!()f"</f>
        <v>#VALUE!</v>
      </c>
      <c r="EG157" s="101" t="e">
        <f>'Delivery Calculation'!S270+"AM:!()g"</f>
        <v>#VALUE!</v>
      </c>
      <c r="EH157" s="101" t="e">
        <f>'Delivery Calculation'!T270+"AM:!()h"</f>
        <v>#VALUE!</v>
      </c>
      <c r="EI157" s="101" t="e">
        <f>'Delivery Calculation'!U270+"AM:!()i"</f>
        <v>#VALUE!</v>
      </c>
      <c r="EJ157" s="101" t="e">
        <f>'Delivery Calculation'!V270+"AM:!()j"</f>
        <v>#VALUE!</v>
      </c>
      <c r="EK157" s="101" t="e">
        <f>'Delivery Calculation'!W270+"AM:!()k"</f>
        <v>#VALUE!</v>
      </c>
      <c r="EL157" s="101" t="e">
        <f>'Delivery Calculation'!X270+"AM:!()l"</f>
        <v>#VALUE!</v>
      </c>
      <c r="EM157" s="101" t="e">
        <f>'Delivery Calculation'!Y270+"AM:!()m"</f>
        <v>#VALUE!</v>
      </c>
      <c r="EN157" s="101" t="e">
        <f>'Delivery Calculation'!Z270+"AM:!()n"</f>
        <v>#VALUE!</v>
      </c>
      <c r="EO157" s="101" t="e">
        <f>'Delivery Calculation'!AA270+"AM:!()o"</f>
        <v>#VALUE!</v>
      </c>
      <c r="EP157" s="101" t="e">
        <f>'Delivery Calculation'!AB270+"AM:!()p"</f>
        <v>#VALUE!</v>
      </c>
      <c r="EQ157" s="101" t="e">
        <f>'Delivery Calculation'!AC270+"AM:!()q"</f>
        <v>#VALUE!</v>
      </c>
      <c r="ER157" s="101" t="e">
        <f>'Delivery Calculation'!AD270+"AM:!()r"</f>
        <v>#VALUE!</v>
      </c>
      <c r="ES157" s="101" t="e">
        <f>'Delivery Calculation'!AE270+"AM:!()s"</f>
        <v>#VALUE!</v>
      </c>
      <c r="ET157" s="101" t="e">
        <f>'Delivery Calculation'!AF270+"AM:!()t"</f>
        <v>#VALUE!</v>
      </c>
      <c r="EU157" s="101" t="e">
        <f>'Delivery Calculation'!AG270+"AM:!()u"</f>
        <v>#VALUE!</v>
      </c>
      <c r="EV157" s="101" t="e">
        <f>'Delivery Calculation'!AH270+"AM:!()v"</f>
        <v>#VALUE!</v>
      </c>
      <c r="EW157" s="101" t="e">
        <f>'Delivery Calculation'!AI270+"AM:!()w"</f>
        <v>#VALUE!</v>
      </c>
      <c r="EX157" s="101" t="e">
        <f>'Delivery Calculation'!AJ270+"AM:!()x"</f>
        <v>#VALUE!</v>
      </c>
      <c r="EY157" s="101" t="e">
        <f>'Delivery Calculation'!AK270+"AM:!()y"</f>
        <v>#VALUE!</v>
      </c>
      <c r="EZ157" s="101" t="e">
        <f>'Delivery Calculation'!AL270+"AM:!()z"</f>
        <v>#VALUE!</v>
      </c>
      <c r="FA157" s="101" t="e">
        <f>'Delivery Calculation'!AM270+"AM:!(){"</f>
        <v>#VALUE!</v>
      </c>
      <c r="FB157" s="101" t="e">
        <f>'Delivery Calculation'!AN270+"AM:!()|"</f>
        <v>#VALUE!</v>
      </c>
      <c r="FC157" s="101" t="e">
        <f>'Delivery Calculation'!AO270+"AM:!()}"</f>
        <v>#VALUE!</v>
      </c>
      <c r="FD157" s="101" t="e">
        <f>'Delivery Calculation'!AP270+"AM:!()~"</f>
        <v>#VALUE!</v>
      </c>
      <c r="FE157" s="101" t="e">
        <f>'Delivery Calculation'!AQ270+"AM:!(.#"</f>
        <v>#VALUE!</v>
      </c>
      <c r="FF157" s="101" t="e">
        <f>'Delivery Calculation'!AR270+"AM:!(.$"</f>
        <v>#VALUE!</v>
      </c>
      <c r="FG157" s="101" t="e">
        <f>'Delivery Calculation'!AS270+"AM:!(.%"</f>
        <v>#VALUE!</v>
      </c>
      <c r="FH157" s="101" t="e">
        <f>'Delivery Calculation'!AT270+"AM:!(.&amp;"</f>
        <v>#VALUE!</v>
      </c>
      <c r="FI157" s="101" t="e">
        <f>'Delivery Calculation'!AU270+"AM:!(.'"</f>
        <v>#VALUE!</v>
      </c>
      <c r="FJ157" s="101" t="e">
        <f>'Delivery Calculation'!AV270+"AM:!(.("</f>
        <v>#VALUE!</v>
      </c>
      <c r="FK157" s="101" t="e">
        <f>'Delivery Calculation'!AW270+"AM:!(.)"</f>
        <v>#VALUE!</v>
      </c>
      <c r="FL157" s="101" t="e">
        <f>'Delivery Calculation'!AX270+"AM:!(.."</f>
        <v>#VALUE!</v>
      </c>
      <c r="FM157" s="101" t="e">
        <f>'Delivery Calculation'!AY270+"AM:!(./"</f>
        <v>#VALUE!</v>
      </c>
      <c r="FN157" s="101" t="e">
        <f>'Delivery Calculation'!AZ270+"AM:!(.0"</f>
        <v>#VALUE!</v>
      </c>
      <c r="FO157" s="101" t="e">
        <f>'Delivery Calculation'!BA270+"AM:!(.1"</f>
        <v>#VALUE!</v>
      </c>
      <c r="FP157" t="e">
        <f>'Delivery Calculation'!BB270+"AM:!(.2"</f>
        <v>#VALUE!</v>
      </c>
      <c r="FQ157" t="e">
        <f>'Delivery Calculation'!A271+"AM:!(.3"</f>
        <v>#VALUE!</v>
      </c>
      <c r="FR157" t="e">
        <f>'Delivery Calculation'!B271+"AM:!(.4"</f>
        <v>#VALUE!</v>
      </c>
      <c r="FS157" t="e">
        <f>'Delivery Calculation'!C271+"AM:!(.5"</f>
        <v>#VALUE!</v>
      </c>
      <c r="FT157" t="e">
        <f>'Delivery Calculation'!D271+"AM:!(.6"</f>
        <v>#VALUE!</v>
      </c>
      <c r="FU157" t="e">
        <f>'Delivery Calculation'!E271+"AM:!(.7"</f>
        <v>#VALUE!</v>
      </c>
      <c r="FV157" s="98" t="e">
        <f>'Delivery Calculation'!F271+"AM:!(.8"</f>
        <v>#VALUE!</v>
      </c>
      <c r="FW157" s="98" t="e">
        <f>'Delivery Calculation'!G271+"AM:!(.9"</f>
        <v>#VALUE!</v>
      </c>
      <c r="FX157" t="e">
        <f>'Delivery Calculation'!H271+"AM:!(.:"</f>
        <v>#VALUE!</v>
      </c>
      <c r="FY157" s="97" t="e">
        <f>'Delivery Calculation'!I271+"AM:!(.;"</f>
        <v>#VALUE!</v>
      </c>
      <c r="FZ157" s="103" t="e">
        <f>'Delivery Calculation'!J271+"AM:!(.&lt;"</f>
        <v>#VALUE!</v>
      </c>
      <c r="GA157" s="98" t="e">
        <f>'Delivery Calculation'!K271+"AM:!(.="</f>
        <v>#VALUE!</v>
      </c>
      <c r="GB157" s="98" t="e">
        <f>'Delivery Calculation'!L271+"AM:!(.&gt;"</f>
        <v>#VALUE!</v>
      </c>
      <c r="GC157" s="99" t="e">
        <f>'Delivery Calculation'!M271+"AM:!(.?"</f>
        <v>#VALUE!</v>
      </c>
      <c r="GD157" s="99" t="e">
        <f>'Delivery Calculation'!N271+"AM:!(.@"</f>
        <v>#VALUE!</v>
      </c>
      <c r="GE157" s="101" t="e">
        <f>'Delivery Calculation'!O271+"AM:!(.A"</f>
        <v>#VALUE!</v>
      </c>
      <c r="GF157" s="101" t="e">
        <f>'Delivery Calculation'!P271+"AM:!(.B"</f>
        <v>#VALUE!</v>
      </c>
      <c r="GG157" s="101" t="e">
        <f>'Delivery Calculation'!Q271+"AM:!(.C"</f>
        <v>#VALUE!</v>
      </c>
      <c r="GH157" s="101" t="e">
        <f>'Delivery Calculation'!R271+"AM:!(.D"</f>
        <v>#VALUE!</v>
      </c>
      <c r="GI157" s="101" t="e">
        <f>'Delivery Calculation'!S271+"AM:!(.E"</f>
        <v>#VALUE!</v>
      </c>
      <c r="GJ157" s="101" t="e">
        <f>'Delivery Calculation'!T271+"AM:!(.F"</f>
        <v>#VALUE!</v>
      </c>
      <c r="GK157" s="101" t="e">
        <f>'Delivery Calculation'!U271+"AM:!(.G"</f>
        <v>#VALUE!</v>
      </c>
      <c r="GL157" s="101" t="e">
        <f>'Delivery Calculation'!V271+"AM:!(.H"</f>
        <v>#VALUE!</v>
      </c>
      <c r="GM157" s="101" t="e">
        <f>'Delivery Calculation'!W271+"AM:!(.I"</f>
        <v>#VALUE!</v>
      </c>
      <c r="GN157" s="101" t="e">
        <f>'Delivery Calculation'!X271+"AM:!(.J"</f>
        <v>#VALUE!</v>
      </c>
      <c r="GO157" s="101" t="e">
        <f>'Delivery Calculation'!Y271+"AM:!(.K"</f>
        <v>#VALUE!</v>
      </c>
      <c r="GP157" s="101" t="e">
        <f>'Delivery Calculation'!Z271+"AM:!(.L"</f>
        <v>#VALUE!</v>
      </c>
      <c r="GQ157" s="101" t="e">
        <f>'Delivery Calculation'!AA271+"AM:!(.M"</f>
        <v>#VALUE!</v>
      </c>
      <c r="GR157" s="101" t="e">
        <f>'Delivery Calculation'!AB271+"AM:!(.N"</f>
        <v>#VALUE!</v>
      </c>
      <c r="GS157" s="101" t="e">
        <f>'Delivery Calculation'!AC271+"AM:!(.O"</f>
        <v>#VALUE!</v>
      </c>
      <c r="GT157" s="101" t="e">
        <f>'Delivery Calculation'!AD271+"AM:!(.P"</f>
        <v>#VALUE!</v>
      </c>
      <c r="GU157" s="101" t="e">
        <f>'Delivery Calculation'!AE271+"AM:!(.Q"</f>
        <v>#VALUE!</v>
      </c>
      <c r="GV157" s="101" t="e">
        <f>'Delivery Calculation'!AF271+"AM:!(.R"</f>
        <v>#VALUE!</v>
      </c>
      <c r="GW157" s="101" t="e">
        <f>'Delivery Calculation'!AG271+"AM:!(.S"</f>
        <v>#VALUE!</v>
      </c>
      <c r="GX157" s="101" t="e">
        <f>'Delivery Calculation'!AH271+"AM:!(.T"</f>
        <v>#VALUE!</v>
      </c>
      <c r="GY157" s="101" t="e">
        <f>'Delivery Calculation'!AI271+"AM:!(.U"</f>
        <v>#VALUE!</v>
      </c>
      <c r="GZ157" s="101" t="e">
        <f>'Delivery Calculation'!AJ271+"AM:!(.V"</f>
        <v>#VALUE!</v>
      </c>
      <c r="HA157" s="101" t="e">
        <f>'Delivery Calculation'!AK271+"AM:!(.W"</f>
        <v>#VALUE!</v>
      </c>
      <c r="HB157" s="101" t="e">
        <f>'Delivery Calculation'!AL271+"AM:!(.X"</f>
        <v>#VALUE!</v>
      </c>
      <c r="HC157" s="101" t="e">
        <f>'Delivery Calculation'!AM271+"AM:!(.Y"</f>
        <v>#VALUE!</v>
      </c>
      <c r="HD157" s="101" t="e">
        <f>'Delivery Calculation'!AN271+"AM:!(.Z"</f>
        <v>#VALUE!</v>
      </c>
      <c r="HE157" s="101" t="e">
        <f>'Delivery Calculation'!AO271+"AM:!(.["</f>
        <v>#VALUE!</v>
      </c>
      <c r="HF157" s="101" t="e">
        <f>'Delivery Calculation'!AP271+"AM:!(.\"</f>
        <v>#VALUE!</v>
      </c>
      <c r="HG157" s="101" t="e">
        <f>'Delivery Calculation'!AQ271+"AM:!(.]"</f>
        <v>#VALUE!</v>
      </c>
      <c r="HH157" s="101" t="e">
        <f>'Delivery Calculation'!AR271+"AM:!(.^"</f>
        <v>#VALUE!</v>
      </c>
      <c r="HI157" s="101" t="e">
        <f>'Delivery Calculation'!AS271+"AM:!(._"</f>
        <v>#VALUE!</v>
      </c>
      <c r="HJ157" s="101" t="e">
        <f>'Delivery Calculation'!AT271+"AM:!(.`"</f>
        <v>#VALUE!</v>
      </c>
      <c r="HK157" s="101" t="e">
        <f>'Delivery Calculation'!AU271+"AM:!(.a"</f>
        <v>#VALUE!</v>
      </c>
      <c r="HL157" s="101" t="e">
        <f>'Delivery Calculation'!AV271+"AM:!(.b"</f>
        <v>#VALUE!</v>
      </c>
      <c r="HM157" s="101" t="e">
        <f>'Delivery Calculation'!AW271+"AM:!(.c"</f>
        <v>#VALUE!</v>
      </c>
      <c r="HN157" s="101" t="e">
        <f>'Delivery Calculation'!AX271+"AM:!(.d"</f>
        <v>#VALUE!</v>
      </c>
      <c r="HO157" s="101" t="e">
        <f>'Delivery Calculation'!AY271+"AM:!(.e"</f>
        <v>#VALUE!</v>
      </c>
      <c r="HP157" s="101" t="e">
        <f>'Delivery Calculation'!AZ271+"AM:!(.f"</f>
        <v>#VALUE!</v>
      </c>
      <c r="HQ157" s="101" t="e">
        <f>'Delivery Calculation'!BA271+"AM:!(.g"</f>
        <v>#VALUE!</v>
      </c>
      <c r="HR157" t="e">
        <f>'Delivery Calculation'!BB271+"AM:!(.h"</f>
        <v>#VALUE!</v>
      </c>
      <c r="HS157" t="e">
        <f>'Delivery Calculation'!A272+"AM:!(.i"</f>
        <v>#VALUE!</v>
      </c>
      <c r="HT157" t="e">
        <f>'Delivery Calculation'!B272+"AM:!(.j"</f>
        <v>#VALUE!</v>
      </c>
      <c r="HU157" t="e">
        <f>'Delivery Calculation'!C272+"AM:!(.k"</f>
        <v>#VALUE!</v>
      </c>
      <c r="HV157" t="e">
        <f>'Delivery Calculation'!D272+"AM:!(.l"</f>
        <v>#VALUE!</v>
      </c>
      <c r="HW157" t="e">
        <f>'Delivery Calculation'!E272+"AM:!(.m"</f>
        <v>#VALUE!</v>
      </c>
      <c r="HX157" t="e">
        <f>'Delivery Calculation'!F272+"AM:!(.n"</f>
        <v>#VALUE!</v>
      </c>
      <c r="HY157" t="e">
        <f>'Delivery Calculation'!G272+"AM:!(.o"</f>
        <v>#VALUE!</v>
      </c>
      <c r="HZ157" t="e">
        <f>'Delivery Calculation'!H272+"AM:!(.p"</f>
        <v>#VALUE!</v>
      </c>
      <c r="IA157" t="e">
        <f>'Delivery Calculation'!I272+"AM:!(.q"</f>
        <v>#VALUE!</v>
      </c>
      <c r="IB157" t="e">
        <f>'Delivery Calculation'!J272+"AM:!(.r"</f>
        <v>#VALUE!</v>
      </c>
      <c r="IC157" t="e">
        <f>'Delivery Calculation'!K272+"AM:!(.s"</f>
        <v>#VALUE!</v>
      </c>
      <c r="ID157" t="e">
        <f>'Delivery Calculation'!L272+"AM:!(.t"</f>
        <v>#VALUE!</v>
      </c>
      <c r="IE157" t="e">
        <f>'Delivery Calculation'!M272+"AM:!(.u"</f>
        <v>#VALUE!</v>
      </c>
      <c r="IF157" t="e">
        <f>'Delivery Calculation'!N272+"AM:!(.v"</f>
        <v>#VALUE!</v>
      </c>
      <c r="IG157" t="e">
        <f>'Delivery Calculation'!O272+"AM:!(.w"</f>
        <v>#VALUE!</v>
      </c>
      <c r="IH157" t="e">
        <f>'Delivery Calculation'!P272+"AM:!(.x"</f>
        <v>#VALUE!</v>
      </c>
      <c r="II157" t="e">
        <f>'Delivery Calculation'!Q272+"AM:!(.y"</f>
        <v>#VALUE!</v>
      </c>
      <c r="IJ157" t="e">
        <f>'Delivery Calculation'!R272+"AM:!(.z"</f>
        <v>#VALUE!</v>
      </c>
      <c r="IK157" t="e">
        <f>'Delivery Calculation'!S272+"AM:!(.{"</f>
        <v>#VALUE!</v>
      </c>
      <c r="IL157" t="e">
        <f>'Delivery Calculation'!T272+"AM:!(.|"</f>
        <v>#VALUE!</v>
      </c>
      <c r="IM157" t="e">
        <f>'Delivery Calculation'!U272+"AM:!(.}"</f>
        <v>#VALUE!</v>
      </c>
      <c r="IN157" t="e">
        <f>'Delivery Calculation'!V272+"AM:!(.~"</f>
        <v>#VALUE!</v>
      </c>
      <c r="IO157" t="e">
        <f>'Delivery Calculation'!W272+"AM:!(/#"</f>
        <v>#VALUE!</v>
      </c>
      <c r="IP157" t="e">
        <f>'Delivery Calculation'!X272+"AM:!(/$"</f>
        <v>#VALUE!</v>
      </c>
      <c r="IQ157" t="e">
        <f>'Delivery Calculation'!Y272+"AM:!(/%"</f>
        <v>#VALUE!</v>
      </c>
      <c r="IR157" t="e">
        <f>'Delivery Calculation'!Z272+"AM:!(/&amp;"</f>
        <v>#VALUE!</v>
      </c>
      <c r="IS157" t="e">
        <f>'Delivery Calculation'!AA272+"AM:!(/'"</f>
        <v>#VALUE!</v>
      </c>
      <c r="IT157" t="e">
        <f>'Delivery Calculation'!AB272+"AM:!(/("</f>
        <v>#VALUE!</v>
      </c>
      <c r="IU157" t="e">
        <f>'Delivery Calculation'!AC272+"AM:!(/)"</f>
        <v>#VALUE!</v>
      </c>
      <c r="IV157" t="e">
        <f>'Delivery Calculation'!AD272+"AM:!(/."</f>
        <v>#VALUE!</v>
      </c>
    </row>
    <row r="158" spans="6:256">
      <c r="F158" t="e">
        <f>'Delivery Calculation'!AE272+"AM:!(//"</f>
        <v>#VALUE!</v>
      </c>
      <c r="G158" t="e">
        <f>'Delivery Calculation'!AF272+"AM:!(/0"</f>
        <v>#VALUE!</v>
      </c>
      <c r="H158" t="e">
        <f>'Delivery Calculation'!AG272+"AM:!(/1"</f>
        <v>#VALUE!</v>
      </c>
      <c r="I158" t="e">
        <f>'Delivery Calculation'!AH272+"AM:!(/2"</f>
        <v>#VALUE!</v>
      </c>
      <c r="J158" t="e">
        <f>'Delivery Calculation'!AI272+"AM:!(/3"</f>
        <v>#VALUE!</v>
      </c>
      <c r="K158" t="e">
        <f>'Delivery Calculation'!AJ272+"AM:!(/4"</f>
        <v>#VALUE!</v>
      </c>
      <c r="L158" t="e">
        <f>'Delivery Calculation'!AK272+"AM:!(/5"</f>
        <v>#VALUE!</v>
      </c>
      <c r="M158" t="e">
        <f>'Delivery Calculation'!AL272+"AM:!(/6"</f>
        <v>#VALUE!</v>
      </c>
      <c r="N158" t="e">
        <f>'Delivery Calculation'!AM272+"AM:!(/7"</f>
        <v>#VALUE!</v>
      </c>
      <c r="O158" t="e">
        <f>'Delivery Calculation'!AN272+"AM:!(/8"</f>
        <v>#VALUE!</v>
      </c>
      <c r="P158" t="e">
        <f>'Delivery Calculation'!AO272+"AM:!(/9"</f>
        <v>#VALUE!</v>
      </c>
      <c r="Q158" t="e">
        <f>'Delivery Calculation'!AP272+"AM:!(/:"</f>
        <v>#VALUE!</v>
      </c>
      <c r="R158" t="e">
        <f>'Delivery Calculation'!AQ272+"AM:!(/;"</f>
        <v>#VALUE!</v>
      </c>
      <c r="S158" t="e">
        <f>'Delivery Calculation'!AR272+"AM:!(/&lt;"</f>
        <v>#VALUE!</v>
      </c>
      <c r="T158" t="e">
        <f>'Delivery Calculation'!AS272+"AM:!(/="</f>
        <v>#VALUE!</v>
      </c>
      <c r="U158" t="e">
        <f>'Delivery Calculation'!AT272+"AM:!(/&gt;"</f>
        <v>#VALUE!</v>
      </c>
      <c r="V158" t="e">
        <f>'Delivery Calculation'!AU272+"AM:!(/?"</f>
        <v>#VALUE!</v>
      </c>
      <c r="W158" t="e">
        <f>'Delivery Calculation'!AV272+"AM:!(/@"</f>
        <v>#VALUE!</v>
      </c>
      <c r="X158" t="e">
        <f>'Delivery Calculation'!AW272+"AM:!(/A"</f>
        <v>#VALUE!</v>
      </c>
      <c r="Y158" t="e">
        <f>'Delivery Calculation'!AX272+"AM:!(/B"</f>
        <v>#VALUE!</v>
      </c>
      <c r="Z158" t="e">
        <f>'Delivery Calculation'!AY272+"AM:!(/C"</f>
        <v>#VALUE!</v>
      </c>
      <c r="AA158" t="e">
        <f>'Delivery Calculation'!AZ272+"AM:!(/D"</f>
        <v>#VALUE!</v>
      </c>
      <c r="AB158" t="e">
        <f>'Delivery Calculation'!BA272+"AM:!(/E"</f>
        <v>#VALUE!</v>
      </c>
      <c r="AC158" t="e">
        <f>'Delivery Calculation'!BB272+"AM:!(/F"</f>
        <v>#VALUE!</v>
      </c>
      <c r="AD158" t="e">
        <f>'Delivery Calculation'!A273+"AM:!(/G"</f>
        <v>#VALUE!</v>
      </c>
      <c r="AE158" t="e">
        <f>'Delivery Calculation'!B273+"AM:!(/H"</f>
        <v>#VALUE!</v>
      </c>
      <c r="AF158" t="e">
        <f>'Delivery Calculation'!C273+"AM:!(/I"</f>
        <v>#VALUE!</v>
      </c>
      <c r="AG158" t="e">
        <f>'Delivery Calculation'!D273+"AM:!(/J"</f>
        <v>#VALUE!</v>
      </c>
      <c r="AH158" t="e">
        <f>'Delivery Calculation'!E273+"AM:!(/K"</f>
        <v>#VALUE!</v>
      </c>
      <c r="AI158" t="e">
        <f>'Delivery Calculation'!F273+"AM:!(/L"</f>
        <v>#VALUE!</v>
      </c>
      <c r="AJ158" t="e">
        <f>'Delivery Calculation'!G273+"AM:!(/M"</f>
        <v>#VALUE!</v>
      </c>
      <c r="AK158" t="e">
        <f>'Delivery Calculation'!H273+"AM:!(/N"</f>
        <v>#VALUE!</v>
      </c>
      <c r="AL158" t="e">
        <f>'Delivery Calculation'!I273+"AM:!(/O"</f>
        <v>#VALUE!</v>
      </c>
      <c r="AM158" t="e">
        <f>'Delivery Calculation'!J273+"AM:!(/P"</f>
        <v>#VALUE!</v>
      </c>
      <c r="AN158" t="e">
        <f>'Delivery Calculation'!K273+"AM:!(/Q"</f>
        <v>#VALUE!</v>
      </c>
      <c r="AO158" t="e">
        <f>'Delivery Calculation'!L273+"AM:!(/R"</f>
        <v>#VALUE!</v>
      </c>
      <c r="AP158" t="e">
        <f>'Delivery Calculation'!M273+"AM:!(/S"</f>
        <v>#VALUE!</v>
      </c>
      <c r="AQ158" t="e">
        <f>'Delivery Calculation'!N273+"AM:!(/T"</f>
        <v>#VALUE!</v>
      </c>
      <c r="AR158" t="e">
        <f>'Delivery Calculation'!O273+"AM:!(/U"</f>
        <v>#VALUE!</v>
      </c>
      <c r="AS158" t="e">
        <f>'Delivery Calculation'!P273+"AM:!(/V"</f>
        <v>#VALUE!</v>
      </c>
      <c r="AT158" t="e">
        <f>'Delivery Calculation'!Q273+"AM:!(/W"</f>
        <v>#VALUE!</v>
      </c>
      <c r="AU158" t="e">
        <f>'Delivery Calculation'!R273+"AM:!(/X"</f>
        <v>#VALUE!</v>
      </c>
      <c r="AV158" t="e">
        <f>'Delivery Calculation'!S273+"AM:!(/Y"</f>
        <v>#VALUE!</v>
      </c>
      <c r="AW158" t="e">
        <f>'Delivery Calculation'!T273+"AM:!(/Z"</f>
        <v>#VALUE!</v>
      </c>
      <c r="AX158" t="e">
        <f>'Delivery Calculation'!U273+"AM:!(/["</f>
        <v>#VALUE!</v>
      </c>
      <c r="AY158" t="e">
        <f>'Delivery Calculation'!V273+"AM:!(/\"</f>
        <v>#VALUE!</v>
      </c>
      <c r="AZ158" t="e">
        <f>'Delivery Calculation'!W273+"AM:!(/]"</f>
        <v>#VALUE!</v>
      </c>
      <c r="BA158" t="e">
        <f>'Delivery Calculation'!X273+"AM:!(/^"</f>
        <v>#VALUE!</v>
      </c>
      <c r="BB158" t="e">
        <f>'Delivery Calculation'!Y273+"AM:!(/_"</f>
        <v>#VALUE!</v>
      </c>
      <c r="BC158" t="e">
        <f>'Delivery Calculation'!Z273+"AM:!(/`"</f>
        <v>#VALUE!</v>
      </c>
      <c r="BD158" t="e">
        <f>'Delivery Calculation'!AA273+"AM:!(/a"</f>
        <v>#VALUE!</v>
      </c>
      <c r="BE158" t="e">
        <f>'Delivery Calculation'!AB273+"AM:!(/b"</f>
        <v>#VALUE!</v>
      </c>
      <c r="BF158" t="e">
        <f>'Delivery Calculation'!AC273+"AM:!(/c"</f>
        <v>#VALUE!</v>
      </c>
      <c r="BG158" t="e">
        <f>'Delivery Calculation'!AD273+"AM:!(/d"</f>
        <v>#VALUE!</v>
      </c>
      <c r="BH158" t="e">
        <f>'Delivery Calculation'!AE273+"AM:!(/e"</f>
        <v>#VALUE!</v>
      </c>
      <c r="BI158" t="e">
        <f>'Delivery Calculation'!AF273+"AM:!(/f"</f>
        <v>#VALUE!</v>
      </c>
      <c r="BJ158" t="e">
        <f>'Delivery Calculation'!AG273+"AM:!(/g"</f>
        <v>#VALUE!</v>
      </c>
      <c r="BK158" t="e">
        <f>'Delivery Calculation'!AH273+"AM:!(/h"</f>
        <v>#VALUE!</v>
      </c>
      <c r="BL158" t="e">
        <f>'Delivery Calculation'!AI273+"AM:!(/i"</f>
        <v>#VALUE!</v>
      </c>
      <c r="BM158" t="e">
        <f>'Delivery Calculation'!AJ273+"AM:!(/j"</f>
        <v>#VALUE!</v>
      </c>
      <c r="BN158" t="e">
        <f>'Delivery Calculation'!AK273+"AM:!(/k"</f>
        <v>#VALUE!</v>
      </c>
      <c r="BO158" t="e">
        <f>'Delivery Calculation'!AL273+"AM:!(/l"</f>
        <v>#VALUE!</v>
      </c>
      <c r="BP158" t="e">
        <f>'Delivery Calculation'!AM273+"AM:!(/m"</f>
        <v>#VALUE!</v>
      </c>
      <c r="BQ158" t="e">
        <f>'Delivery Calculation'!AN273+"AM:!(/n"</f>
        <v>#VALUE!</v>
      </c>
      <c r="BR158" t="e">
        <f>'Delivery Calculation'!AO273+"AM:!(/o"</f>
        <v>#VALUE!</v>
      </c>
      <c r="BS158" t="e">
        <f>'Delivery Calculation'!AP273+"AM:!(/p"</f>
        <v>#VALUE!</v>
      </c>
      <c r="BT158" t="e">
        <f>'Delivery Calculation'!AQ273+"AM:!(/q"</f>
        <v>#VALUE!</v>
      </c>
      <c r="BU158" t="e">
        <f>'Delivery Calculation'!AR273+"AM:!(/r"</f>
        <v>#VALUE!</v>
      </c>
      <c r="BV158" t="e">
        <f>'Delivery Calculation'!AS273+"AM:!(/s"</f>
        <v>#VALUE!</v>
      </c>
      <c r="BW158" t="e">
        <f>'Delivery Calculation'!AT273+"AM:!(/t"</f>
        <v>#VALUE!</v>
      </c>
      <c r="BX158" t="e">
        <f>'Delivery Calculation'!AU273+"AM:!(/u"</f>
        <v>#VALUE!</v>
      </c>
      <c r="BY158" t="e">
        <f>'Delivery Calculation'!AV273+"AM:!(/v"</f>
        <v>#VALUE!</v>
      </c>
      <c r="BZ158" t="e">
        <f>'Delivery Calculation'!AW273+"AM:!(/w"</f>
        <v>#VALUE!</v>
      </c>
      <c r="CA158" t="e">
        <f>'Delivery Calculation'!AX273+"AM:!(/x"</f>
        <v>#VALUE!</v>
      </c>
      <c r="CB158" t="e">
        <f>'Delivery Calculation'!AY273+"AM:!(/y"</f>
        <v>#VALUE!</v>
      </c>
      <c r="CC158" t="e">
        <f>'Delivery Calculation'!AZ273+"AM:!(/z"</f>
        <v>#VALUE!</v>
      </c>
      <c r="CD158" t="e">
        <f>'Actual Value'!A:A*"AM:!(/}"</f>
        <v>#VALUE!</v>
      </c>
      <c r="CE158" t="e">
        <f>'Actual Value'!B:B*"AM:!(/~"</f>
        <v>#VALUE!</v>
      </c>
      <c r="CF158" t="e">
        <f>'Actual Value'!C:C*"AM:!(0#"</f>
        <v>#VALUE!</v>
      </c>
      <c r="CG158" t="e">
        <f>'Actual Value'!D:D*"AM:!(0$"</f>
        <v>#VALUE!</v>
      </c>
      <c r="CH158" t="e">
        <f>'Actual Value'!E:E*"AM:!(0%"</f>
        <v>#VALUE!</v>
      </c>
      <c r="CI158" t="e">
        <f>'Actual Value'!F:F*"AM:!(0&amp;"</f>
        <v>#VALUE!</v>
      </c>
      <c r="CJ158" t="e">
        <f>'Actual Value'!G:G*"AM:!(0'"</f>
        <v>#VALUE!</v>
      </c>
      <c r="CK158" t="e">
        <f>'Actual Value'!H:H*"AM:!(0("</f>
        <v>#VALUE!</v>
      </c>
      <c r="CL158" t="e">
        <f>'Actual Value'!I:I*"AM:!(0)"</f>
        <v>#VALUE!</v>
      </c>
      <c r="CM158" t="e">
        <f>'Actual Value'!J:J*"AM:!(0."</f>
        <v>#VALUE!</v>
      </c>
      <c r="CN158" t="e">
        <f>'Actual Value'!K:K*"AM:!(0/"</f>
        <v>#VALUE!</v>
      </c>
      <c r="CO158" t="e">
        <f>'Actual Value'!L:L*"AM:!(00"</f>
        <v>#VALUE!</v>
      </c>
      <c r="CP158" t="e">
        <f>'Actual Value'!M:M*"AM:!(01"</f>
        <v>#VALUE!</v>
      </c>
      <c r="CQ158" t="e">
        <f>'Actual Value'!N:N*"AM:!(02"</f>
        <v>#VALUE!</v>
      </c>
      <c r="CR158" t="e">
        <f>'Actual Value'!O:O*"AM:!(03"</f>
        <v>#VALUE!</v>
      </c>
      <c r="CS158" t="e">
        <f>'Actual Value'!P:P*"AM:!(04"</f>
        <v>#VALUE!</v>
      </c>
      <c r="CT158" t="e">
        <f>'Actual Value'!Q:Q*"AM:!(05"</f>
        <v>#VALUE!</v>
      </c>
      <c r="CU158" t="e">
        <f>'Actual Value'!R:R*"AM:!(06"</f>
        <v>#VALUE!</v>
      </c>
      <c r="CV158" t="e">
        <f>'Actual Value'!S:S*"AM:!(07"</f>
        <v>#VALUE!</v>
      </c>
      <c r="CW158" t="e">
        <f>'Actual Value'!T:T*"AM:!(08"</f>
        <v>#VALUE!</v>
      </c>
      <c r="CX158" t="e">
        <f>'Actual Value'!U:U*"AM:!(09"</f>
        <v>#VALUE!</v>
      </c>
      <c r="CY158" t="e">
        <f>'Actual Value'!V:V*"AM:!(0:"</f>
        <v>#VALUE!</v>
      </c>
      <c r="CZ158" t="e">
        <f>'Actual Value'!W:W*"AM:!(0;"</f>
        <v>#VALUE!</v>
      </c>
      <c r="DA158" t="e">
        <f>'Actual Value'!X:X*"AM:!(0&lt;"</f>
        <v>#VALUE!</v>
      </c>
      <c r="DB158" t="e">
        <f>'Actual Value'!Y:Y*"AM:!(0="</f>
        <v>#VALUE!</v>
      </c>
      <c r="DC158" t="e">
        <f>'Actual Value'!Z:Z*"AM:!(0&gt;"</f>
        <v>#VALUE!</v>
      </c>
      <c r="DD158" t="e">
        <f>'Actual Value'!AA:AA*"AM:!(0?"</f>
        <v>#VALUE!</v>
      </c>
      <c r="DE158" t="e">
        <f>'Actual Value'!AB:AB*"AM:!(0@"</f>
        <v>#VALUE!</v>
      </c>
      <c r="DF158" t="e">
        <f>'Actual Value'!AC:AC*"AM:!(0A"</f>
        <v>#VALUE!</v>
      </c>
      <c r="DG158" t="e">
        <f>'Actual Value'!AD:AD*"AM:!(0B"</f>
        <v>#VALUE!</v>
      </c>
      <c r="DH158" t="e">
        <f>'Actual Value'!AE:AE*"AM:!(0C"</f>
        <v>#VALUE!</v>
      </c>
      <c r="DI158" t="e">
        <f>'Actual Value'!AF:AF*"AM:!(0D"</f>
        <v>#VALUE!</v>
      </c>
      <c r="DJ158" t="e">
        <f>'Actual Value'!AG:AG*"AM:!(0E"</f>
        <v>#VALUE!</v>
      </c>
      <c r="DK158" t="e">
        <f>'Actual Value'!AH:AH*"AM:!(0F"</f>
        <v>#VALUE!</v>
      </c>
      <c r="DL158" t="e">
        <f>'Actual Value'!AI:AI*"AM:!(0G"</f>
        <v>#VALUE!</v>
      </c>
      <c r="DM158" t="e">
        <f>'Actual Value'!AJ:AJ*"AM:!(0H"</f>
        <v>#VALUE!</v>
      </c>
      <c r="DN158" t="e">
        <f>'Actual Value'!AK:AK*"AM:!(0I"</f>
        <v>#VALUE!</v>
      </c>
      <c r="DO158" t="e">
        <f>'Actual Value'!AL:AL*"AM:!(0J"</f>
        <v>#VALUE!</v>
      </c>
      <c r="DP158" t="e">
        <f>'Actual Value'!AM:AM*"AM:!(0K"</f>
        <v>#VALUE!</v>
      </c>
      <c r="DQ158" t="e">
        <f>'Actual Value'!AN:AN*"AM:!(0L"</f>
        <v>#VALUE!</v>
      </c>
      <c r="DR158" t="e">
        <f>'Actual Value'!AO:AO*"AM:!(0M"</f>
        <v>#VALUE!</v>
      </c>
      <c r="DS158" t="e">
        <f>'Actual Value'!AP:AP*"AM:!(0N"</f>
        <v>#VALUE!</v>
      </c>
      <c r="DT158" t="e">
        <f>'Actual Value'!AQ:AQ*"AM:!(0O"</f>
        <v>#VALUE!</v>
      </c>
      <c r="DU158" t="e">
        <f>'Actual Value'!AR:AR*"AM:!(0P"</f>
        <v>#VALUE!</v>
      </c>
      <c r="DV158" t="e">
        <f>'Actual Value'!AS:AS*"AM:!(0Q"</f>
        <v>#VALUE!</v>
      </c>
      <c r="DW158" t="e">
        <f>'Actual Value'!AT:AT*"AM:!(0R"</f>
        <v>#VALUE!</v>
      </c>
      <c r="DX158" t="e">
        <f>'Actual Value'!AU:AU*"AM:!(0S"</f>
        <v>#VALUE!</v>
      </c>
      <c r="DY158" t="e">
        <f>'Actual Value'!AV:AV*"AM:!(0T"</f>
        <v>#VALUE!</v>
      </c>
      <c r="DZ158" t="e">
        <f>'Actual Value'!AW:AW*"AM:!(0U"</f>
        <v>#VALUE!</v>
      </c>
      <c r="EA158" t="e">
        <f>'Actual Value'!AX:AX*"AM:!(0V"</f>
        <v>#VALUE!</v>
      </c>
      <c r="EB158" t="e">
        <f>'Actual Value'!AY:AY*"AM:!(0W"</f>
        <v>#VALUE!</v>
      </c>
      <c r="EC158" t="e">
        <f>'Actual Value'!AZ:AZ*"AM:!(0X"</f>
        <v>#VALUE!</v>
      </c>
      <c r="ED158" t="e">
        <f>'Actual Value'!BA:BA*"AM:!(0Y"</f>
        <v>#VALUE!</v>
      </c>
      <c r="EE158" t="e">
        <f>'Actual Value'!BB:BB*"AM:!(0Z"</f>
        <v>#VALUE!</v>
      </c>
      <c r="EF158" t="e">
        <f>'Actual Value'!BC:BC*"AM:!(0["</f>
        <v>#VALUE!</v>
      </c>
      <c r="EG158" t="e">
        <f>'Actual Value'!BD:BD*"AM:!(0\"</f>
        <v>#VALUE!</v>
      </c>
      <c r="EH158" t="e">
        <f>'Actual Value'!BE:BE*"AM:!(0]"</f>
        <v>#VALUE!</v>
      </c>
      <c r="EI158" t="e">
        <f>'Actual Value'!BF:BF*"AM:!(0^"</f>
        <v>#VALUE!</v>
      </c>
      <c r="EJ158" t="e">
        <f>'Actual Value'!BG:BG*"AM:!(0_"</f>
        <v>#VALUE!</v>
      </c>
      <c r="EK158" t="e">
        <f>'Actual Value'!BH:BH*"AM:!(0`"</f>
        <v>#VALUE!</v>
      </c>
      <c r="EL158" t="e">
        <f>'Actual Value'!BI:BI*"AM:!(0a"</f>
        <v>#VALUE!</v>
      </c>
      <c r="EM158" t="e">
        <f>'Actual Value'!BJ:BJ*"AM:!(0b"</f>
        <v>#VALUE!</v>
      </c>
      <c r="EN158" t="e">
        <f>'Actual Value'!BK:BK*"AM:!(0c"</f>
        <v>#VALUE!</v>
      </c>
      <c r="EO158" t="e">
        <f>'Actual Value'!BL:BL*"AM:!(0d"</f>
        <v>#VALUE!</v>
      </c>
      <c r="EP158" t="e">
        <f>'Actual Value'!BM:BM*"AM:!(0e"</f>
        <v>#VALUE!</v>
      </c>
      <c r="EQ158" t="e">
        <f>'Actual Value'!BN:BN*"AM:!(0f"</f>
        <v>#VALUE!</v>
      </c>
      <c r="ER158" t="e">
        <f>'Actual Value'!BO:BO*"AM:!(0g"</f>
        <v>#VALUE!</v>
      </c>
      <c r="ES158" t="e">
        <f>'Actual Value'!BP:BP*"AM:!(0h"</f>
        <v>#VALUE!</v>
      </c>
      <c r="ET158" t="e">
        <f>'Actual Value'!BQ:BQ*"AM:!(0i"</f>
        <v>#VALUE!</v>
      </c>
      <c r="EU158" t="e">
        <f>'Actual Value'!BR:BR*"AM:!(0j"</f>
        <v>#VALUE!</v>
      </c>
      <c r="EV158" t="e">
        <f>'Actual Value'!BS:BS*"AM:!(0k"</f>
        <v>#VALUE!</v>
      </c>
      <c r="EW158" t="e">
        <f>'Actual Value'!BT:BT*"AM:!(0l"</f>
        <v>#VALUE!</v>
      </c>
      <c r="EX158" t="e">
        <f>'Actual Value'!BU:BU*"AM:!(0m"</f>
        <v>#VALUE!</v>
      </c>
      <c r="EY158" t="e">
        <f>'Actual Value'!BV:BV*"AM:!(0n"</f>
        <v>#VALUE!</v>
      </c>
      <c r="EZ158" t="e">
        <f>'Actual Value'!BW:BW*"AM:!(0o"</f>
        <v>#VALUE!</v>
      </c>
      <c r="FA158" t="e">
        <f>'Actual Value'!BX:BX*"AM:!(0p"</f>
        <v>#VALUE!</v>
      </c>
      <c r="FB158" t="e">
        <f>'Actual Value'!BY:BY*"AM:!(0q"</f>
        <v>#VALUE!</v>
      </c>
      <c r="FC158" t="e">
        <f>'Actual Value'!BZ:BZ*"AM:!(0r"</f>
        <v>#VALUE!</v>
      </c>
      <c r="FD158" t="e">
        <f>'Actual Value'!CA:CA*"AM:!(0s"</f>
        <v>#VALUE!</v>
      </c>
      <c r="FE158" t="e">
        <f>'Actual Value'!CB:CB*"AM:!(0t"</f>
        <v>#VALUE!</v>
      </c>
      <c r="FF158" t="e">
        <f>'Actual Value'!CC:CC*"AM:!(0u"</f>
        <v>#VALUE!</v>
      </c>
      <c r="FG158" t="e">
        <f>'Actual Value'!CD:CD*"AM:!(0v"</f>
        <v>#VALUE!</v>
      </c>
      <c r="FH158" t="e">
        <f>'Actual Value'!CE:CE*"AM:!(0w"</f>
        <v>#VALUE!</v>
      </c>
      <c r="FI158" t="e">
        <f>'Actual Value'!CF:CF*"AM:!(0x"</f>
        <v>#VALUE!</v>
      </c>
      <c r="FJ158" t="e">
        <f>'Actual Value'!CG:CG*"AM:!(0y"</f>
        <v>#VALUE!</v>
      </c>
      <c r="FK158" t="e">
        <f>'Actual Value'!CH:CH*"AM:!(0z"</f>
        <v>#VALUE!</v>
      </c>
      <c r="FL158" t="e">
        <f>'Actual Value'!CI:CI*"AM:!(0{"</f>
        <v>#VALUE!</v>
      </c>
      <c r="FM158" t="e">
        <f>'Actual Value'!CJ:CJ*"AM:!(0|"</f>
        <v>#VALUE!</v>
      </c>
      <c r="FN158" t="e">
        <f>'Actual Value'!CK:CK*"AM:!(0}"</f>
        <v>#VALUE!</v>
      </c>
      <c r="FO158" t="e">
        <f>'Actual Value'!CL:CL*"AM:!(0~"</f>
        <v>#VALUE!</v>
      </c>
      <c r="FP158" t="e">
        <f>'Actual Value'!CM:CM*"AM:!(1#"</f>
        <v>#VALUE!</v>
      </c>
      <c r="FQ158" t="e">
        <f>'Actual Value'!CN:CN*"AM:!(1$"</f>
        <v>#VALUE!</v>
      </c>
      <c r="FR158" t="e">
        <f>'Actual Value'!CO:CO*"AM:!(1%"</f>
        <v>#VALUE!</v>
      </c>
      <c r="FS158" t="e">
        <f>'Actual Value'!CP:CP*"AM:!(1&amp;"</f>
        <v>#VALUE!</v>
      </c>
      <c r="FT158" t="e">
        <f>'Actual Value'!CQ:CQ*"AM:!(1'"</f>
        <v>#VALUE!</v>
      </c>
      <c r="FU158" t="e">
        <f>'Actual Value'!CR:CR*"AM:!(1("</f>
        <v>#VALUE!</v>
      </c>
      <c r="FV158" t="e">
        <f>'Actual Value'!CS:CS*"AM:!(1)"</f>
        <v>#VALUE!</v>
      </c>
      <c r="FW158" t="e">
        <f>'Actual Value'!CT:CT*"AM:!(1."</f>
        <v>#VALUE!</v>
      </c>
      <c r="FX158" t="e">
        <f>'Actual Value'!CU:CU*"AM:!(1/"</f>
        <v>#VALUE!</v>
      </c>
      <c r="FY158" t="e">
        <f>'Actual Value'!CV:CV*"AM:!(10"</f>
        <v>#VALUE!</v>
      </c>
      <c r="FZ158" t="e">
        <f>'Actual Value'!CW:CW*"AM:!(11"</f>
        <v>#VALUE!</v>
      </c>
      <c r="GA158" t="e">
        <f>'Actual Value'!CX:CX*"AM:!(12"</f>
        <v>#VALUE!</v>
      </c>
      <c r="GB158" t="e">
        <f>'Actual Value'!CY:CY*"AM:!(13"</f>
        <v>#VALUE!</v>
      </c>
      <c r="GC158" t="e">
        <f>'Actual Value'!CZ:CZ*"AM:!(14"</f>
        <v>#VALUE!</v>
      </c>
      <c r="GD158" t="e">
        <f>'Actual Value'!DA:DA*"AM:!(15"</f>
        <v>#VALUE!</v>
      </c>
      <c r="GE158" t="e">
        <f>'Actual Value'!DB:DB*"AM:!(16"</f>
        <v>#VALUE!</v>
      </c>
      <c r="GF158" t="e">
        <f>'Actual Value'!DC:DC*"AM:!(17"</f>
        <v>#VALUE!</v>
      </c>
      <c r="GG158" t="e">
        <f>'Actual Value'!DD:DD*"AM:!(18"</f>
        <v>#VALUE!</v>
      </c>
      <c r="GH158" t="e">
        <f>'Actual Value'!DE:DE*"AM:!(19"</f>
        <v>#VALUE!</v>
      </c>
      <c r="GI158" t="e">
        <f>'Actual Value'!1:1-"AM:!(1:"</f>
        <v>#VALUE!</v>
      </c>
      <c r="GJ158" t="e">
        <f>'Actual Value'!2:2-"AM:!(1;"</f>
        <v>#VALUE!</v>
      </c>
      <c r="GK158" t="e">
        <f>'Actual Value'!3:3-"AM:!(1&lt;"</f>
        <v>#VALUE!</v>
      </c>
      <c r="GL158" t="e">
        <f>'Actual Value'!4:4-"AM:!(1="</f>
        <v>#VALUE!</v>
      </c>
      <c r="GM158" t="e">
        <f>'Actual Value'!5:5-"AM:!(1&gt;"</f>
        <v>#VALUE!</v>
      </c>
      <c r="GN158" t="e">
        <f>'Actual Value'!6:6-"AM:!(1?"</f>
        <v>#VALUE!</v>
      </c>
      <c r="GO158" t="e">
        <f>'Actual Value'!7:7-"AM:!(1@"</f>
        <v>#VALUE!</v>
      </c>
      <c r="GP158" t="e">
        <f>'Actual Value'!8:8-"AM:!(1A"</f>
        <v>#VALUE!</v>
      </c>
      <c r="GQ158" t="e">
        <f>'Actual Value'!9:9-"AM:!(1B"</f>
        <v>#VALUE!</v>
      </c>
      <c r="GR158" t="e">
        <f>'Actual Value'!11:11-"AM:!(1C"</f>
        <v>#VALUE!</v>
      </c>
      <c r="GS158" t="e">
        <f>'Actual Value'!13:13-"AM:!(1D"</f>
        <v>#VALUE!</v>
      </c>
      <c r="GT158" t="e">
        <f>'Actual Value'!14:14-"AM:!(1E"</f>
        <v>#VALUE!</v>
      </c>
      <c r="GU158" t="e">
        <f>'Actual Value'!15:15-"AM:!(1F"</f>
        <v>#VALUE!</v>
      </c>
      <c r="GV158" t="e">
        <f>'Actual Value'!16:16-"AM:!(1G"</f>
        <v>#VALUE!</v>
      </c>
      <c r="GW158" t="e">
        <f>'Actual Value'!17:17-"AM:!(1H"</f>
        <v>#VALUE!</v>
      </c>
      <c r="GX158" t="e">
        <f>'Actual Value'!18:18-"AM:!(1I"</f>
        <v>#VALUE!</v>
      </c>
      <c r="GY158" t="e">
        <f>'Actual Value'!19:19-"AM:!(1J"</f>
        <v>#VALUE!</v>
      </c>
      <c r="GZ158" t="e">
        <f>'Actual Value'!20:20-"AM:!(1K"</f>
        <v>#VALUE!</v>
      </c>
      <c r="HA158" t="e">
        <f>'Actual Value'!21:21-"AM:!(1L"</f>
        <v>#VALUE!</v>
      </c>
      <c r="HB158" t="e">
        <f>'Actual Value'!22:22-"AM:!(1M"</f>
        <v>#VALUE!</v>
      </c>
      <c r="HC158" t="e">
        <f>'Actual Value'!23:23-"AM:!(1N"</f>
        <v>#VALUE!</v>
      </c>
      <c r="HD158" t="e">
        <f>'Actual Value'!24:24-"AM:!(1O"</f>
        <v>#VALUE!</v>
      </c>
      <c r="HE158" t="e">
        <f>'Actual Value'!25:25-"AM:!(1P"</f>
        <v>#VALUE!</v>
      </c>
      <c r="HF158" t="e">
        <f>'Actual Value'!26:26-"AM:!(1Q"</f>
        <v>#VALUE!</v>
      </c>
      <c r="HG158" t="e">
        <f>'Actual Value'!27:27-"AM:!(1R"</f>
        <v>#VALUE!</v>
      </c>
      <c r="HH158" t="e">
        <f>'Actual Value'!28:28-"AM:!(1S"</f>
        <v>#VALUE!</v>
      </c>
      <c r="HI158" t="e">
        <f>'Actual Value'!29:29-"AM:!(1T"</f>
        <v>#VALUE!</v>
      </c>
      <c r="HJ158" t="e">
        <f>'Actual Value'!30:30-"AM:!(1U"</f>
        <v>#VALUE!</v>
      </c>
      <c r="HK158" t="e">
        <f>'Actual Value'!31:31-"AM:!(1V"</f>
        <v>#VALUE!</v>
      </c>
      <c r="HL158" t="e">
        <f>'Actual Value'!32:32-"AM:!(1W"</f>
        <v>#VALUE!</v>
      </c>
      <c r="HM158" t="e">
        <f>'Actual Value'!33:33-"AM:!(1X"</f>
        <v>#VALUE!</v>
      </c>
      <c r="HN158" t="e">
        <f>'Actual Value'!34:34-"AM:!(1Y"</f>
        <v>#VALUE!</v>
      </c>
      <c r="HO158" t="e">
        <f>'Actual Value'!35:35-"AM:!(1Z"</f>
        <v>#VALUE!</v>
      </c>
      <c r="HP158" t="e">
        <f>'Actual Value'!36:36-"AM:!(1["</f>
        <v>#VALUE!</v>
      </c>
      <c r="HQ158" t="e">
        <f>'Actual Value'!37:37-"AM:!(1\"</f>
        <v>#VALUE!</v>
      </c>
      <c r="HR158" t="e">
        <f>'Actual Value'!38:38-"AM:!(1]"</f>
        <v>#VALUE!</v>
      </c>
      <c r="HS158" t="e">
        <f>'Actual Value'!39:39-"AM:!(1^"</f>
        <v>#VALUE!</v>
      </c>
      <c r="HT158" t="e">
        <f>'Actual Value'!40:40-"AM:!(1_"</f>
        <v>#VALUE!</v>
      </c>
      <c r="HU158" t="e">
        <f>'Actual Value'!41:41-"AM:!(1`"</f>
        <v>#VALUE!</v>
      </c>
      <c r="HV158" t="e">
        <f>'Actual Value'!42:42-"AM:!(1a"</f>
        <v>#VALUE!</v>
      </c>
      <c r="HW158" t="e">
        <f>'Actual Value'!43:43-"AM:!(1b"</f>
        <v>#VALUE!</v>
      </c>
      <c r="HX158" t="e">
        <f>'Actual Value'!44:44-"AM:!(1c"</f>
        <v>#VALUE!</v>
      </c>
      <c r="HY158" t="e">
        <f>'Actual Value'!45:45-"AM:!(1d"</f>
        <v>#VALUE!</v>
      </c>
      <c r="HZ158" t="e">
        <f>'Actual Value'!46:46-"AM:!(1e"</f>
        <v>#VALUE!</v>
      </c>
      <c r="IA158" t="e">
        <f>'Actual Value'!47:47-"AM:!(1f"</f>
        <v>#VALUE!</v>
      </c>
      <c r="IB158" t="e">
        <f>'Actual Value'!48:48-"AM:!(1g"</f>
        <v>#VALUE!</v>
      </c>
      <c r="IC158" t="e">
        <f>'Actual Value'!49:49-"AM:!(1h"</f>
        <v>#VALUE!</v>
      </c>
      <c r="ID158" t="e">
        <f>'Actual Value'!50:50-"AM:!(1i"</f>
        <v>#VALUE!</v>
      </c>
      <c r="IE158" t="e">
        <f>'Actual Value'!51:51-"AM:!(1j"</f>
        <v>#VALUE!</v>
      </c>
      <c r="IF158" t="e">
        <f>'Actual Value'!52:52-"AM:!(1k"</f>
        <v>#VALUE!</v>
      </c>
      <c r="IG158" t="e">
        <f>'Actual Value'!53:53-"AM:!(1l"</f>
        <v>#VALUE!</v>
      </c>
      <c r="IH158" t="e">
        <f>'Actual Value'!54:54-"AM:!(1m"</f>
        <v>#VALUE!</v>
      </c>
      <c r="II158" t="e">
        <f>'Actual Value'!55:55-"AM:!(1n"</f>
        <v>#VALUE!</v>
      </c>
      <c r="IJ158" t="e">
        <f>'Actual Value'!56:56-"AM:!(1o"</f>
        <v>#VALUE!</v>
      </c>
      <c r="IK158" t="e">
        <f>'Actual Value'!57:57-"AM:!(1p"</f>
        <v>#VALUE!</v>
      </c>
      <c r="IL158" t="e">
        <f>'Actual Value'!58:58-"AM:!(1q"</f>
        <v>#VALUE!</v>
      </c>
      <c r="IM158" t="e">
        <f>'Actual Value'!59:59-"AM:!(1r"</f>
        <v>#VALUE!</v>
      </c>
      <c r="IN158" t="e">
        <f>'Actual Value'!60:60-"AM:!(1s"</f>
        <v>#VALUE!</v>
      </c>
      <c r="IO158" t="e">
        <f>'Actual Value'!61:61-"AM:!(1t"</f>
        <v>#VALUE!</v>
      </c>
      <c r="IP158" t="e">
        <f>'Actual Value'!62:62-"AM:!(1u"</f>
        <v>#VALUE!</v>
      </c>
      <c r="IQ158" t="e">
        <f>'Actual Value'!63:63-"AM:!(1v"</f>
        <v>#VALUE!</v>
      </c>
      <c r="IR158" t="e">
        <f>'Actual Value'!64:64-"AM:!(1w"</f>
        <v>#VALUE!</v>
      </c>
      <c r="IS158" t="e">
        <f>'Actual Value'!65:65-"AM:!(1x"</f>
        <v>#VALUE!</v>
      </c>
      <c r="IT158" t="e">
        <f>'Actual Value'!66:66-"AM:!(1y"</f>
        <v>#VALUE!</v>
      </c>
      <c r="IU158" t="e">
        <f>'Actual Value'!67:67-"AM:!(1z"</f>
        <v>#VALUE!</v>
      </c>
      <c r="IV158" t="e">
        <f>'Actual Value'!68:68-"AM:!(1{"</f>
        <v>#VALUE!</v>
      </c>
    </row>
    <row r="159" spans="6:256">
      <c r="F159" t="e">
        <f>'Actual Value'!69:69-"AM:!(1|"</f>
        <v>#VALUE!</v>
      </c>
      <c r="G159" t="e">
        <f>'Actual Value'!70:70-"AM:!(1}"</f>
        <v>#VALUE!</v>
      </c>
      <c r="H159" t="e">
        <f>'Actual Value'!71:71-"AM:!(1~"</f>
        <v>#VALUE!</v>
      </c>
      <c r="I159" t="e">
        <f>'Actual Value'!72:72-"AM:!(2#"</f>
        <v>#VALUE!</v>
      </c>
      <c r="J159" t="e">
        <f>'Actual Value'!73:73-"AM:!(2$"</f>
        <v>#VALUE!</v>
      </c>
      <c r="K159" t="e">
        <f>'Actual Value'!74:74-"AM:!(2%"</f>
        <v>#VALUE!</v>
      </c>
      <c r="L159" t="e">
        <f>'Actual Value'!75:75-"AM:!(2&amp;"</f>
        <v>#VALUE!</v>
      </c>
      <c r="M159" t="e">
        <f>'Actual Value'!76:76-"AM:!(2'"</f>
        <v>#VALUE!</v>
      </c>
      <c r="N159" t="e">
        <f>'Actual Value'!77:77-"AM:!(2("</f>
        <v>#VALUE!</v>
      </c>
      <c r="O159" t="e">
        <f>'Actual Value'!78:78-"AM:!(2)"</f>
        <v>#VALUE!</v>
      </c>
      <c r="P159" t="e">
        <f>'Actual Value'!79:79-"AM:!(2."</f>
        <v>#VALUE!</v>
      </c>
      <c r="Q159" t="e">
        <f>'Actual Value'!80:80-"AM:!(2/"</f>
        <v>#VALUE!</v>
      </c>
      <c r="R159" t="e">
        <f>'Actual Value'!81:81-"AM:!(20"</f>
        <v>#VALUE!</v>
      </c>
      <c r="S159" t="e">
        <f>'Actual Value'!82:82-"AM:!(21"</f>
        <v>#VALUE!</v>
      </c>
      <c r="T159" t="e">
        <f>'Actual Value'!83:83-"AM:!(22"</f>
        <v>#VALUE!</v>
      </c>
      <c r="U159" t="e">
        <f>'Actual Value'!84:84-"AM:!(23"</f>
        <v>#VALUE!</v>
      </c>
      <c r="V159" t="e">
        <f>'Actual Value'!85:85-"AM:!(24"</f>
        <v>#VALUE!</v>
      </c>
      <c r="W159" t="e">
        <f>'Actual Value'!86:86-"AM:!(25"</f>
        <v>#VALUE!</v>
      </c>
      <c r="X159" t="e">
        <f>'Actual Value'!87:87-"AM:!(26"</f>
        <v>#VALUE!</v>
      </c>
      <c r="Y159" t="e">
        <f>'Actual Value'!88:88-"AM:!(27"</f>
        <v>#VALUE!</v>
      </c>
      <c r="Z159" t="e">
        <f>'Actual Value'!89:89-"AM:!(28"</f>
        <v>#VALUE!</v>
      </c>
      <c r="AA159" t="e">
        <f>'Actual Value'!90:90-"AM:!(29"</f>
        <v>#VALUE!</v>
      </c>
      <c r="AB159" t="e">
        <f>'Actual Value'!91:91-"AM:!(2:"</f>
        <v>#VALUE!</v>
      </c>
      <c r="AC159" t="e">
        <f>'Actual Value'!92:92-"AM:!(2;"</f>
        <v>#VALUE!</v>
      </c>
      <c r="AD159" t="e">
        <f>'Actual Value'!93:93-"AM:!(2&lt;"</f>
        <v>#VALUE!</v>
      </c>
      <c r="AE159" t="e">
        <f>'Actual Value'!94:94-"AM:!(2="</f>
        <v>#VALUE!</v>
      </c>
      <c r="AF159" t="e">
        <f>'Actual Value'!95:95-"AM:!(2&gt;"</f>
        <v>#VALUE!</v>
      </c>
      <c r="AG159" t="e">
        <f>'Actual Value'!96:96-"AM:!(2?"</f>
        <v>#VALUE!</v>
      </c>
      <c r="AH159" t="e">
        <f>'Actual Value'!97:97-"AM:!(2@"</f>
        <v>#VALUE!</v>
      </c>
      <c r="AI159" t="e">
        <f>'Actual Value'!98:98-"AM:!(2A"</f>
        <v>#VALUE!</v>
      </c>
      <c r="AJ159" t="e">
        <f>'Actual Value'!99:99-"AM:!(2B"</f>
        <v>#VALUE!</v>
      </c>
      <c r="AK159" t="e">
        <f>'Actual Value'!100:100-"AM:!(2C"</f>
        <v>#VALUE!</v>
      </c>
      <c r="AL159" t="e">
        <f>'Actual Value'!101:101-"AM:!(2D"</f>
        <v>#VALUE!</v>
      </c>
      <c r="AM159" t="e">
        <f>'Actual Value'!102:102-"AM:!(2E"</f>
        <v>#VALUE!</v>
      </c>
      <c r="AN159" t="e">
        <f>'Actual Value'!103:103-"AM:!(2F"</f>
        <v>#VALUE!</v>
      </c>
      <c r="AO159" t="e">
        <f>'Actual Value'!104:104-"AM:!(2G"</f>
        <v>#VALUE!</v>
      </c>
      <c r="AP159" t="e">
        <f>'Actual Value'!105:105-"AM:!(2H"</f>
        <v>#VALUE!</v>
      </c>
      <c r="AQ159" t="e">
        <f>'Actual Value'!106:106-"AM:!(2I"</f>
        <v>#VALUE!</v>
      </c>
      <c r="AR159" t="e">
        <f>'Actual Value'!107:107-"AM:!(2J"</f>
        <v>#VALUE!</v>
      </c>
      <c r="AS159" t="e">
        <f>'Actual Value'!108:108-"AM:!(2K"</f>
        <v>#VALUE!</v>
      </c>
      <c r="AT159" t="e">
        <f>'Actual Value'!109:109-"AM:!(2L"</f>
        <v>#VALUE!</v>
      </c>
      <c r="AU159" t="e">
        <f>'Actual Value'!110:110-"AM:!(2M"</f>
        <v>#VALUE!</v>
      </c>
      <c r="AV159" t="e">
        <f>'Actual Value'!111:111-"AM:!(2N"</f>
        <v>#VALUE!</v>
      </c>
      <c r="AW159" t="e">
        <f>'Actual Value'!112:112-"AM:!(2O"</f>
        <v>#VALUE!</v>
      </c>
      <c r="AX159" t="e">
        <f>'Actual Value'!113:113-"AM:!(2P"</f>
        <v>#VALUE!</v>
      </c>
      <c r="AY159" t="e">
        <f>'Actual Value'!114:114-"AM:!(2Q"</f>
        <v>#VALUE!</v>
      </c>
      <c r="AZ159" t="e">
        <f>'Actual Value'!115:115-"AM:!(2R"</f>
        <v>#VALUE!</v>
      </c>
      <c r="BA159" t="e">
        <f>'Actual Value'!116:116-"AM:!(2S"</f>
        <v>#VALUE!</v>
      </c>
      <c r="BB159" t="e">
        <f>'Actual Value'!117:117-"AM:!(2T"</f>
        <v>#VALUE!</v>
      </c>
      <c r="BC159" t="e">
        <f>'Actual Value'!118:118-"AM:!(2U"</f>
        <v>#VALUE!</v>
      </c>
      <c r="BD159" t="e">
        <f>'Actual Value'!119:119-"AM:!(2V"</f>
        <v>#VALUE!</v>
      </c>
      <c r="BE159" t="e">
        <f>'Actual Value'!120:120-"AM:!(2W"</f>
        <v>#VALUE!</v>
      </c>
      <c r="BF159" t="e">
        <f>'Actual Value'!121:121-"AM:!(2X"</f>
        <v>#VALUE!</v>
      </c>
      <c r="BG159" t="e">
        <f>'Actual Value'!122:122-"AM:!(2Y"</f>
        <v>#VALUE!</v>
      </c>
      <c r="BH159" t="e">
        <f>'Actual Value'!123:123-"AM:!(2Z"</f>
        <v>#VALUE!</v>
      </c>
      <c r="BI159" t="e">
        <f>'Actual Value'!124:124-"AM:!(2["</f>
        <v>#VALUE!</v>
      </c>
      <c r="BJ159" t="e">
        <f>'Actual Value'!125:125-"AM:!(2\"</f>
        <v>#VALUE!</v>
      </c>
      <c r="BK159" t="e">
        <f>'Actual Value'!126:126-"AM:!(2]"</f>
        <v>#VALUE!</v>
      </c>
      <c r="BL159" t="e">
        <f>'Actual Value'!127:127-"AM:!(2^"</f>
        <v>#VALUE!</v>
      </c>
      <c r="BM159" t="e">
        <f>'Actual Value'!128:128-"AM:!(2_"</f>
        <v>#VALUE!</v>
      </c>
      <c r="BN159" t="e">
        <f>'Actual Value'!129:129-"AM:!(2`"</f>
        <v>#VALUE!</v>
      </c>
      <c r="BO159" t="e">
        <f>'Actual Value'!130:130-"AM:!(2a"</f>
        <v>#VALUE!</v>
      </c>
      <c r="BP159" t="e">
        <f>'Actual Value'!131:131-"AM:!(2b"</f>
        <v>#VALUE!</v>
      </c>
      <c r="BQ159" t="e">
        <f>'Actual Value'!132:132-"AM:!(2c"</f>
        <v>#VALUE!</v>
      </c>
      <c r="BR159" t="e">
        <f>'Actual Value'!133:133-"AM:!(2d"</f>
        <v>#VALUE!</v>
      </c>
      <c r="BS159" t="e">
        <f>'Actual Value'!134:134-"AM:!(2e"</f>
        <v>#VALUE!</v>
      </c>
      <c r="BT159" t="e">
        <f>'Actual Value'!135:135-"AM:!(2f"</f>
        <v>#VALUE!</v>
      </c>
      <c r="BU159" t="e">
        <f>'Actual Value'!136:136-"AM:!(2g"</f>
        <v>#VALUE!</v>
      </c>
      <c r="BV159" t="e">
        <f>'Actual Value'!137:137-"AM:!(2h"</f>
        <v>#VALUE!</v>
      </c>
      <c r="BW159" t="e">
        <f>'Actual Value'!138:138-"AM:!(2i"</f>
        <v>#VALUE!</v>
      </c>
      <c r="BX159" t="e">
        <f>'Actual Value'!139:139-"AM:!(2j"</f>
        <v>#VALUE!</v>
      </c>
      <c r="BY159" t="e">
        <f>'Actual Value'!140:140-"AM:!(2k"</f>
        <v>#VALUE!</v>
      </c>
      <c r="BZ159" t="e">
        <f>'Actual Value'!141:141-"AM:!(2l"</f>
        <v>#VALUE!</v>
      </c>
      <c r="CA159" t="e">
        <f>'Actual Value'!142:142-"AM:!(2m"</f>
        <v>#VALUE!</v>
      </c>
      <c r="CB159" t="e">
        <f>'Actual Value'!143:143-"AM:!(2n"</f>
        <v>#VALUE!</v>
      </c>
      <c r="CC159" t="e">
        <f>'Actual Value'!144:144-"AM:!(2o"</f>
        <v>#VALUE!</v>
      </c>
      <c r="CD159" t="e">
        <f>'Actual Value'!145:145-"AM:!(2p"</f>
        <v>#VALUE!</v>
      </c>
      <c r="CE159" t="e">
        <f>'Actual Value'!146:146-"AM:!(2q"</f>
        <v>#VALUE!</v>
      </c>
      <c r="CF159" t="e">
        <f>'Actual Value'!147:147-"AM:!(2r"</f>
        <v>#VALUE!</v>
      </c>
      <c r="CG159" t="e">
        <f>'Actual Value'!148:148-"AM:!(2s"</f>
        <v>#VALUE!</v>
      </c>
      <c r="CH159" t="e">
        <f>'Actual Value'!149:149-"AM:!(2t"</f>
        <v>#VALUE!</v>
      </c>
      <c r="CI159" t="e">
        <f>'Actual Value'!150:150-"AM:!(2u"</f>
        <v>#VALUE!</v>
      </c>
      <c r="CJ159" t="e">
        <f>'Actual Value'!151:151-"AM:!(2v"</f>
        <v>#VALUE!</v>
      </c>
      <c r="CK159" t="e">
        <f>'Actual Value'!152:152-"AM:!(2w"</f>
        <v>#VALUE!</v>
      </c>
      <c r="CL159" t="e">
        <f>'Actual Value'!153:153-"AM:!(2x"</f>
        <v>#VALUE!</v>
      </c>
      <c r="CM159" t="e">
        <f>'Actual Value'!154:154-"AM:!(2y"</f>
        <v>#VALUE!</v>
      </c>
      <c r="CN159" t="e">
        <f>'Actual Value'!155:155-"AM:!(2z"</f>
        <v>#VALUE!</v>
      </c>
      <c r="CO159" t="e">
        <f>'Actual Value'!156:156-"AM:!(2{"</f>
        <v>#VALUE!</v>
      </c>
      <c r="CP159" t="e">
        <f>'Actual Value'!157:157-"AM:!(2|"</f>
        <v>#VALUE!</v>
      </c>
      <c r="CQ159" t="e">
        <f>'Actual Value'!158:158-"AM:!(2}"</f>
        <v>#VALUE!</v>
      </c>
      <c r="CR159" t="e">
        <f>'Actual Value'!159:159-"AM:!(2~"</f>
        <v>#VALUE!</v>
      </c>
      <c r="CS159" t="e">
        <f>'Actual Value'!160:160-"AM:!(3#"</f>
        <v>#VALUE!</v>
      </c>
      <c r="CT159" t="e">
        <f>'Actual Value'!161:161-"AM:!(3$"</f>
        <v>#VALUE!</v>
      </c>
      <c r="CU159" t="e">
        <f>'Actual Value'!162:162-"AM:!(3%"</f>
        <v>#VALUE!</v>
      </c>
      <c r="CV159" t="e">
        <f>'Actual Value'!163:163-"AM:!(3&amp;"</f>
        <v>#VALUE!</v>
      </c>
      <c r="CW159" t="e">
        <f>'Actual Value'!164:164-"AM:!(3'"</f>
        <v>#VALUE!</v>
      </c>
      <c r="CX159" t="e">
        <f>'Actual Value'!165:165-"AM:!(3("</f>
        <v>#VALUE!</v>
      </c>
      <c r="CY159" t="e">
        <f>'Actual Value'!166:166-"AM:!(3)"</f>
        <v>#VALUE!</v>
      </c>
      <c r="CZ159" t="e">
        <f>'Actual Value'!167:167-"AM:!(3."</f>
        <v>#VALUE!</v>
      </c>
      <c r="DA159" t="e">
        <f>'Actual Value'!168:168-"AM:!(3/"</f>
        <v>#VALUE!</v>
      </c>
      <c r="DB159" t="e">
        <f>'Actual Value'!169:169-"AM:!(30"</f>
        <v>#VALUE!</v>
      </c>
      <c r="DC159" t="e">
        <f>'Actual Value'!170:170-"AM:!(31"</f>
        <v>#VALUE!</v>
      </c>
      <c r="DD159" t="e">
        <f>'Actual Value'!171:171-"AM:!(32"</f>
        <v>#VALUE!</v>
      </c>
      <c r="DE159" t="e">
        <f>'Actual Value'!172:172-"AM:!(33"</f>
        <v>#VALUE!</v>
      </c>
      <c r="DF159" t="e">
        <f>'Actual Value'!173:173-"AM:!(34"</f>
        <v>#VALUE!</v>
      </c>
      <c r="DG159" t="e">
        <f>'Actual Value'!174:174-"AM:!(35"</f>
        <v>#VALUE!</v>
      </c>
      <c r="DH159" t="e">
        <f>'Actual Value'!175:175-"AM:!(36"</f>
        <v>#VALUE!</v>
      </c>
      <c r="DI159" t="e">
        <f>'Actual Value'!176:176-"AM:!(37"</f>
        <v>#VALUE!</v>
      </c>
      <c r="DJ159" t="e">
        <f>'Actual Value'!177:177-"AM:!(38"</f>
        <v>#VALUE!</v>
      </c>
      <c r="DK159" t="e">
        <f>'Actual Value'!178:178-"AM:!(39"</f>
        <v>#VALUE!</v>
      </c>
      <c r="DL159" t="e">
        <f>'Actual Value'!179:179-"AM:!(3:"</f>
        <v>#VALUE!</v>
      </c>
      <c r="DM159" t="e">
        <f>'Actual Value'!180:180-"AM:!(3;"</f>
        <v>#VALUE!</v>
      </c>
      <c r="DN159" t="e">
        <f>'Actual Value'!181:181-"AM:!(3&lt;"</f>
        <v>#VALUE!</v>
      </c>
      <c r="DO159" t="e">
        <f>'Actual Value'!182:182-"AM:!(3="</f>
        <v>#VALUE!</v>
      </c>
      <c r="DP159" t="e">
        <f>'Actual Value'!183:183-"AM:!(3&gt;"</f>
        <v>#VALUE!</v>
      </c>
      <c r="DQ159" t="e">
        <f>'Actual Value'!184:184-"AM:!(3?"</f>
        <v>#VALUE!</v>
      </c>
      <c r="DR159" t="e">
        <f>'Actual Value'!185:185-"AM:!(3@"</f>
        <v>#VALUE!</v>
      </c>
      <c r="DS159" t="e">
        <f>'Actual Value'!186:186-"AM:!(3A"</f>
        <v>#VALUE!</v>
      </c>
      <c r="DT159" t="e">
        <f>'Actual Value'!187:187-"AM:!(3B"</f>
        <v>#VALUE!</v>
      </c>
      <c r="DU159" t="e">
        <f>'Actual Value'!188:188-"AM:!(3C"</f>
        <v>#VALUE!</v>
      </c>
      <c r="DV159" t="e">
        <f>'Actual Value'!189:189-"AM:!(3D"</f>
        <v>#VALUE!</v>
      </c>
      <c r="DW159" t="e">
        <f>'Actual Value'!190:190-"AM:!(3E"</f>
        <v>#VALUE!</v>
      </c>
      <c r="DX159" t="e">
        <f>'Actual Value'!191:191-"AM:!(3F"</f>
        <v>#VALUE!</v>
      </c>
      <c r="DY159" t="e">
        <f>'Actual Value'!192:192-"AM:!(3G"</f>
        <v>#VALUE!</v>
      </c>
      <c r="DZ159" t="e">
        <f>'Actual Value'!193:193-"AM:!(3H"</f>
        <v>#VALUE!</v>
      </c>
      <c r="EA159" t="e">
        <f>'Actual Value'!194:194-"AM:!(3I"</f>
        <v>#VALUE!</v>
      </c>
      <c r="EB159" t="e">
        <f>'Actual Value'!195:195-"AM:!(3J"</f>
        <v>#VALUE!</v>
      </c>
      <c r="EC159" t="e">
        <f>'Actual Value'!196:196-"AM:!(3K"</f>
        <v>#VALUE!</v>
      </c>
      <c r="ED159" t="e">
        <f>'Actual Value'!197:197-"AM:!(3L"</f>
        <v>#VALUE!</v>
      </c>
      <c r="EE159" t="e">
        <f>'Actual Value'!198:198-"AM:!(3M"</f>
        <v>#VALUE!</v>
      </c>
      <c r="EF159" t="e">
        <f>'Actual Value'!199:199-"AM:!(3N"</f>
        <v>#VALUE!</v>
      </c>
      <c r="EG159" t="e">
        <f>'Actual Value'!200:200-"AM:!(3O"</f>
        <v>#VALUE!</v>
      </c>
      <c r="EH159" t="e">
        <f>'Actual Value'!201:201-"AM:!(3P"</f>
        <v>#VALUE!</v>
      </c>
      <c r="EI159" t="e">
        <f>'Actual Value'!202:202-"AM:!(3Q"</f>
        <v>#VALUE!</v>
      </c>
      <c r="EJ159" t="e">
        <f>'Actual Value'!203:203-"AM:!(3R"</f>
        <v>#VALUE!</v>
      </c>
      <c r="EK159" t="e">
        <f>'Actual Value'!204:204-"AM:!(3S"</f>
        <v>#VALUE!</v>
      </c>
      <c r="EL159" t="e">
        <f>'Actual Value'!205:205-"AM:!(3T"</f>
        <v>#VALUE!</v>
      </c>
      <c r="EM159" t="e">
        <f>'Actual Value'!206:206-"AM:!(3U"</f>
        <v>#VALUE!</v>
      </c>
      <c r="EN159" t="e">
        <f>'Actual Value'!207:207-"AM:!(3V"</f>
        <v>#VALUE!</v>
      </c>
      <c r="EO159" t="e">
        <f>'Actual Value'!208:208-"AM:!(3W"</f>
        <v>#VALUE!</v>
      </c>
      <c r="EP159" t="e">
        <f>'Actual Value'!209:209-"AM:!(3X"</f>
        <v>#VALUE!</v>
      </c>
      <c r="EQ159" t="e">
        <f>'Actual Value'!210:210-"AM:!(3Y"</f>
        <v>#VALUE!</v>
      </c>
      <c r="ER159" t="e">
        <f>'Actual Value'!211:211-"AM:!(3Z"</f>
        <v>#VALUE!</v>
      </c>
      <c r="ES159" t="e">
        <f>'Actual Value'!212:212-"AM:!(3["</f>
        <v>#VALUE!</v>
      </c>
      <c r="ET159" t="e">
        <f>'Actual Value'!213:213-"AM:!(3\"</f>
        <v>#VALUE!</v>
      </c>
      <c r="EU159" t="e">
        <f>'Actual Value'!214:214-"AM:!(3]"</f>
        <v>#VALUE!</v>
      </c>
      <c r="EV159" t="e">
        <f>'Actual Value'!215:215-"AM:!(3^"</f>
        <v>#VALUE!</v>
      </c>
      <c r="EW159" t="e">
        <f>'Actual Value'!216:216-"AM:!(3_"</f>
        <v>#VALUE!</v>
      </c>
      <c r="EX159" t="e">
        <f>'Actual Value'!217:217-"AM:!(3`"</f>
        <v>#VALUE!</v>
      </c>
      <c r="EY159" t="e">
        <f>'Actual Value'!218:218-"AM:!(3a"</f>
        <v>#VALUE!</v>
      </c>
      <c r="EZ159" t="e">
        <f>'Actual Value'!219:219-"AM:!(3b"</f>
        <v>#VALUE!</v>
      </c>
      <c r="FA159" t="e">
        <f>'Actual Value'!220:220-"AM:!(3c"</f>
        <v>#VALUE!</v>
      </c>
      <c r="FB159" t="e">
        <f>'Actual Value'!221:221-"AM:!(3d"</f>
        <v>#VALUE!</v>
      </c>
      <c r="FC159" t="e">
        <f>'Actual Value'!222:222-"AM:!(3e"</f>
        <v>#VALUE!</v>
      </c>
      <c r="FD159" t="e">
        <f>'Actual Value'!223:223-"AM:!(3f"</f>
        <v>#VALUE!</v>
      </c>
      <c r="FE159" t="e">
        <f>'Actual Value'!224:224-"AM:!(3g"</f>
        <v>#VALUE!</v>
      </c>
      <c r="FF159" t="e">
        <f>'Actual Value'!225:225-"AM:!(3h"</f>
        <v>#VALUE!</v>
      </c>
      <c r="FG159" t="e">
        <f>'Actual Value'!226:226-"AM:!(3i"</f>
        <v>#VALUE!</v>
      </c>
      <c r="FH159" t="e">
        <f>'Actual Value'!227:227-"AM:!(3j"</f>
        <v>#VALUE!</v>
      </c>
      <c r="FI159" t="e">
        <f>'Actual Value'!228:228-"AM:!(3k"</f>
        <v>#VALUE!</v>
      </c>
      <c r="FJ159" t="e">
        <f>'Actual Value'!229:229-"AM:!(3l"</f>
        <v>#VALUE!</v>
      </c>
      <c r="FK159" t="e">
        <f>'Actual Value'!230:230-"AM:!(3m"</f>
        <v>#VALUE!</v>
      </c>
      <c r="FL159" t="e">
        <f>'Actual Value'!231:231-"AM:!(3n"</f>
        <v>#VALUE!</v>
      </c>
      <c r="FM159" t="e">
        <f>'Actual Value'!232:232-"AM:!(3o"</f>
        <v>#VALUE!</v>
      </c>
      <c r="FN159" t="e">
        <f>'Actual Value'!233:233-"AM:!(3p"</f>
        <v>#VALUE!</v>
      </c>
      <c r="FO159" t="e">
        <f>'Actual Value'!234:234-"AM:!(3q"</f>
        <v>#VALUE!</v>
      </c>
      <c r="FP159" t="e">
        <f>'Actual Value'!235:235-"AM:!(3r"</f>
        <v>#VALUE!</v>
      </c>
      <c r="FQ159" t="e">
        <f>'Actual Value'!236:236-"AM:!(3s"</f>
        <v>#VALUE!</v>
      </c>
      <c r="FR159" t="e">
        <f>'Actual Value'!237:237-"AM:!(3t"</f>
        <v>#VALUE!</v>
      </c>
      <c r="FS159" t="e">
        <f>'Actual Value'!238:238-"AM:!(3u"</f>
        <v>#VALUE!</v>
      </c>
      <c r="FT159" t="e">
        <f>'Actual Value'!239:239-"AM:!(3v"</f>
        <v>#VALUE!</v>
      </c>
      <c r="FU159" t="e">
        <f>'Actual Value'!240:240-"AM:!(3w"</f>
        <v>#VALUE!</v>
      </c>
      <c r="FV159" t="e">
        <f>'Actual Value'!241:241-"AM:!(3x"</f>
        <v>#VALUE!</v>
      </c>
      <c r="FW159" t="e">
        <f>'Actual Value'!242:242-"AM:!(3y"</f>
        <v>#VALUE!</v>
      </c>
      <c r="FX159" t="e">
        <f>'Actual Value'!243:243-"AM:!(3z"</f>
        <v>#VALUE!</v>
      </c>
      <c r="FY159" t="e">
        <f>'Actual Value'!244:244-"AM:!(3{"</f>
        <v>#VALUE!</v>
      </c>
      <c r="FZ159" t="e">
        <f>'Actual Value'!245:245-"AM:!(3|"</f>
        <v>#VALUE!</v>
      </c>
      <c r="GA159" t="e">
        <f>'Actual Value'!246:246-"AM:!(3}"</f>
        <v>#VALUE!</v>
      </c>
      <c r="GB159" t="e">
        <f>'Actual Value'!247:247-"AM:!(3~"</f>
        <v>#VALUE!</v>
      </c>
      <c r="GC159" t="e">
        <f>'Actual Value'!248:248-"AM:!(4#"</f>
        <v>#VALUE!</v>
      </c>
      <c r="GD159" t="e">
        <f>'Actual Value'!249:249-"AM:!(4$"</f>
        <v>#VALUE!</v>
      </c>
      <c r="GE159" t="e">
        <f>'Actual Value'!250:250-"AM:!(4%"</f>
        <v>#VALUE!</v>
      </c>
      <c r="GF159" t="e">
        <f>'Actual Value'!251:251-"AM:!(4&amp;"</f>
        <v>#VALUE!</v>
      </c>
      <c r="GG159" t="e">
        <f>'Actual Value'!252:252-"AM:!(4'"</f>
        <v>#VALUE!</v>
      </c>
      <c r="GH159" t="e">
        <f>'Actual Value'!253:253-"AM:!(4("</f>
        <v>#VALUE!</v>
      </c>
      <c r="GI159" t="e">
        <f>'Actual Value'!254:254-"AM:!(4)"</f>
        <v>#VALUE!</v>
      </c>
      <c r="GJ159" t="e">
        <f>'Actual Value'!255:255-"AM:!(4."</f>
        <v>#VALUE!</v>
      </c>
      <c r="GK159" t="e">
        <f>'Actual Value'!256:256-"AM:!(4/"</f>
        <v>#VALUE!</v>
      </c>
      <c r="GL159" t="e">
        <f>'Actual Value'!257:257-"AM:!(40"</f>
        <v>#VALUE!</v>
      </c>
      <c r="GM159" t="e">
        <f>'Actual Value'!258:258-"AM:!(41"</f>
        <v>#VALUE!</v>
      </c>
      <c r="GN159" t="e">
        <f>'Actual Value'!259:259-"AM:!(42"</f>
        <v>#VALUE!</v>
      </c>
      <c r="GO159" t="e">
        <f>'Actual Value'!260:260-"AM:!(43"</f>
        <v>#VALUE!</v>
      </c>
      <c r="GP159" t="e">
        <f>'Actual Value'!261:261-"AM:!(44"</f>
        <v>#VALUE!</v>
      </c>
      <c r="GQ159" t="e">
        <f>'Actual Value'!262:262-"AM:!(45"</f>
        <v>#VALUE!</v>
      </c>
      <c r="GR159" t="e">
        <f>'Actual Value'!263:263-"AM:!(46"</f>
        <v>#VALUE!</v>
      </c>
      <c r="GS159" t="e">
        <f>'Actual Value'!264:264-"AM:!(47"</f>
        <v>#VALUE!</v>
      </c>
      <c r="GT159" t="e">
        <f>'Actual Value'!265:265-"AM:!(48"</f>
        <v>#VALUE!</v>
      </c>
      <c r="GU159" t="e">
        <f>'Actual Value'!266:266-"AM:!(49"</f>
        <v>#VALUE!</v>
      </c>
      <c r="GV159" t="e">
        <f>'Actual Value'!267:267-"AM:!(4:"</f>
        <v>#VALUE!</v>
      </c>
      <c r="GW159" t="e">
        <f>'Actual Value'!268:268-"AM:!(4;"</f>
        <v>#VALUE!</v>
      </c>
      <c r="GX159" t="e">
        <f>'Actual Value'!269:269-"AM:!(4&lt;"</f>
        <v>#VALUE!</v>
      </c>
      <c r="GY159" t="e">
        <f>'Actual Value'!270:270-"AM:!(4="</f>
        <v>#VALUE!</v>
      </c>
      <c r="GZ159" t="e">
        <f>'Actual Value'!271:271-"AM:!(4&gt;"</f>
        <v>#VALUE!</v>
      </c>
      <c r="HA159" t="e">
        <f>'Actual Value'!272:272-"AM:!(4?"</f>
        <v>#VALUE!</v>
      </c>
      <c r="HB159" t="e">
        <f>'Actual Value'!273:273-"AM:!(4@"</f>
        <v>#VALUE!</v>
      </c>
      <c r="HC159" t="e">
        <f>'Actual Value'!274:274-"AM:!(4A"</f>
        <v>#VALUE!</v>
      </c>
      <c r="HD159" t="e">
        <f>'Actual Value'!275:275-"AM:!(4B"</f>
        <v>#VALUE!</v>
      </c>
      <c r="HE159" t="e">
        <f>'Actual Value'!276:276-"AM:!(4C"</f>
        <v>#VALUE!</v>
      </c>
      <c r="HF159" t="e">
        <f>'Actual Value'!277:277-"AM:!(4D"</f>
        <v>#VALUE!</v>
      </c>
      <c r="HG159" t="e">
        <f>'Actual Value'!278:278-"AM:!(4E"</f>
        <v>#VALUE!</v>
      </c>
      <c r="HH159" t="e">
        <f>'Actual Value'!279:279-"AM:!(4F"</f>
        <v>#VALUE!</v>
      </c>
      <c r="HI159" t="e">
        <f>'Actual Value'!280:280-"AM:!(4G"</f>
        <v>#VALUE!</v>
      </c>
      <c r="HJ159" t="e">
        <f>'Actual Value'!281:281-"AM:!(4H"</f>
        <v>#VALUE!</v>
      </c>
      <c r="HK159" t="e">
        <f>'Actual Value'!282:282-"AM:!(4I"</f>
        <v>#VALUE!</v>
      </c>
      <c r="HL159" t="e">
        <f>'Actual Value'!283:283-"AM:!(4J"</f>
        <v>#VALUE!</v>
      </c>
      <c r="HM159" t="e">
        <f>'Actual Value'!284:284-"AM:!(4K"</f>
        <v>#VALUE!</v>
      </c>
      <c r="HN159" t="e">
        <f>'Actual Value'!285:285-"AM:!(4L"</f>
        <v>#VALUE!</v>
      </c>
      <c r="HO159" t="e">
        <f>'Actual Value'!286:286-"AM:!(4M"</f>
        <v>#VALUE!</v>
      </c>
      <c r="HP159" t="e">
        <f>'Actual Value'!287:287-"AM:!(4N"</f>
        <v>#VALUE!</v>
      </c>
      <c r="HQ159" t="e">
        <f>'Actual Value'!288:288-"AM:!(4O"</f>
        <v>#VALUE!</v>
      </c>
      <c r="HR159" t="e">
        <f>'Actual Value'!289:289-"AM:!(4P"</f>
        <v>#VALUE!</v>
      </c>
      <c r="HS159" t="e">
        <f>'Actual Value'!290:290-"AM:!(4Q"</f>
        <v>#VALUE!</v>
      </c>
      <c r="HT159" t="e">
        <f>'Actual Value'!291:291-"AM:!(4R"</f>
        <v>#VALUE!</v>
      </c>
      <c r="HU159" t="e">
        <f>'Actual Value'!292:292-"AM:!(4S"</f>
        <v>#VALUE!</v>
      </c>
      <c r="HV159" t="e">
        <f>'Actual Value'!293:293-"AM:!(4T"</f>
        <v>#VALUE!</v>
      </c>
      <c r="HW159" t="e">
        <f>'Actual Value'!294:294-"AM:!(4U"</f>
        <v>#VALUE!</v>
      </c>
      <c r="HX159" t="e">
        <f>'Actual Value'!295:295-"AM:!(4V"</f>
        <v>#VALUE!</v>
      </c>
      <c r="HY159" t="e">
        <f>'Actual Value'!296:296-"AM:!(4W"</f>
        <v>#VALUE!</v>
      </c>
      <c r="HZ159" t="e">
        <f>'Actual Value'!297:297-"AM:!(4X"</f>
        <v>#VALUE!</v>
      </c>
      <c r="IA159" t="e">
        <f>'Actual Value'!298:298-"AM:!(4Y"</f>
        <v>#VALUE!</v>
      </c>
      <c r="IB159" t="e">
        <f>'Actual Value'!299:299-"AM:!(4Z"</f>
        <v>#VALUE!</v>
      </c>
      <c r="IC159" t="e">
        <f>'Actual Value'!300:300-"AM:!(4["</f>
        <v>#VALUE!</v>
      </c>
      <c r="ID159" t="e">
        <f>'Actual Value'!301:301-"AM:!(4\"</f>
        <v>#VALUE!</v>
      </c>
      <c r="IE159" t="e">
        <f>'Actual Value'!302:302-"AM:!(4]"</f>
        <v>#VALUE!</v>
      </c>
      <c r="IF159" t="e">
        <f>'Actual Value'!303:303-"AM:!(4^"</f>
        <v>#VALUE!</v>
      </c>
      <c r="IG159" t="e">
        <f>'Actual Value'!304:304-"AM:!(4_"</f>
        <v>#VALUE!</v>
      </c>
      <c r="IH159" t="e">
        <f>'Actual Value'!305:305-"AM:!(4`"</f>
        <v>#VALUE!</v>
      </c>
      <c r="II159" t="e">
        <f>'Actual Value'!306:306-"AM:!(4a"</f>
        <v>#VALUE!</v>
      </c>
      <c r="IJ159" t="e">
        <f>'Actual Value'!307:307-"AM:!(4b"</f>
        <v>#VALUE!</v>
      </c>
      <c r="IK159" t="e">
        <f>'Actual Value'!308:308-"AM:!(4c"</f>
        <v>#VALUE!</v>
      </c>
      <c r="IL159" t="e">
        <f>'Actual Value'!309:309-"AM:!(4d"</f>
        <v>#VALUE!</v>
      </c>
      <c r="IM159" t="e">
        <f>'Actual Value'!310:310-"AM:!(4e"</f>
        <v>#VALUE!</v>
      </c>
      <c r="IN159" t="e">
        <f>'Actual Value'!311:311-"AM:!(4f"</f>
        <v>#VALUE!</v>
      </c>
      <c r="IO159" t="e">
        <f>'Actual Value'!312:312-"AM:!(4g"</f>
        <v>#VALUE!</v>
      </c>
      <c r="IP159" t="e">
        <f>'Actual Value'!313:313-"AM:!(4h"</f>
        <v>#VALUE!</v>
      </c>
      <c r="IQ159" t="e">
        <f>'Actual Value'!314:314-"AM:!(4i"</f>
        <v>#VALUE!</v>
      </c>
      <c r="IR159" t="e">
        <f>'Actual Value'!315:315-"AM:!(4j"</f>
        <v>#VALUE!</v>
      </c>
      <c r="IS159" t="e">
        <f>'Actual Value'!316:316-"AM:!(4k"</f>
        <v>#VALUE!</v>
      </c>
      <c r="IT159" t="e">
        <f>'Actual Value'!317:317-"AM:!(4l"</f>
        <v>#VALUE!</v>
      </c>
      <c r="IU159" t="e">
        <f>'Actual Value'!318:318-"AM:!(4m"</f>
        <v>#VALUE!</v>
      </c>
      <c r="IV159" t="e">
        <f>'Actual Value'!319:319-"AM:!(4n"</f>
        <v>#VALUE!</v>
      </c>
    </row>
    <row r="160" spans="6:256">
      <c r="F160" t="e">
        <f>'Actual Value'!320:320-"AM:!(4o"</f>
        <v>#VALUE!</v>
      </c>
      <c r="G160" t="e">
        <f>'Actual Value'!321:321-"AM:!(4p"</f>
        <v>#VALUE!</v>
      </c>
      <c r="H160" t="e">
        <f>'Actual Value'!322:322-"AM:!(4q"</f>
        <v>#VALUE!</v>
      </c>
      <c r="I160" t="e">
        <f>'Actual Value'!323:323-"AM:!(4r"</f>
        <v>#VALUE!</v>
      </c>
      <c r="J160" t="e">
        <f>'Actual Value'!324:324-"AM:!(4s"</f>
        <v>#VALUE!</v>
      </c>
      <c r="K160" t="e">
        <f>'Actual Value'!325:325-"AM:!(4t"</f>
        <v>#VALUE!</v>
      </c>
      <c r="L160" t="e">
        <f>'Actual Value'!326:326-"AM:!(4u"</f>
        <v>#VALUE!</v>
      </c>
      <c r="M160" t="e">
        <f>'Actual Value'!327:327-"AM:!(4v"</f>
        <v>#VALUE!</v>
      </c>
      <c r="N160" t="e">
        <f>'Actual Value'!328:328-"AM:!(4w"</f>
        <v>#VALUE!</v>
      </c>
      <c r="O160" t="e">
        <f>'Actual Value'!329:329-"AM:!(4x"</f>
        <v>#VALUE!</v>
      </c>
      <c r="P160" t="e">
        <f>'Actual Value'!330:330-"AM:!(4y"</f>
        <v>#VALUE!</v>
      </c>
      <c r="Q160" t="e">
        <f>'Actual Value'!331:331-"AM:!(4z"</f>
        <v>#VALUE!</v>
      </c>
      <c r="R160" t="e">
        <f>'Actual Value'!332:332-"AM:!(4{"</f>
        <v>#VALUE!</v>
      </c>
      <c r="S160" t="e">
        <f>'Actual Value'!333:333-"AM:!(4|"</f>
        <v>#VALUE!</v>
      </c>
      <c r="T160" t="e">
        <f>'Actual Value'!334:334-"AM:!(4}"</f>
        <v>#VALUE!</v>
      </c>
      <c r="U160" t="e">
        <f>'Actual Value'!335:335-"AM:!(4~"</f>
        <v>#VALUE!</v>
      </c>
      <c r="V160" t="e">
        <f>'Actual Value'!336:336-"AM:!(5#"</f>
        <v>#VALUE!</v>
      </c>
      <c r="W160" t="e">
        <f>'Actual Value'!337:337-"AM:!(5$"</f>
        <v>#VALUE!</v>
      </c>
      <c r="X160" t="e">
        <f>'Actual Value'!338:338-"AM:!(5%"</f>
        <v>#VALUE!</v>
      </c>
      <c r="Y160" t="e">
        <f>'Actual Value'!339:339-"AM:!(5&amp;"</f>
        <v>#VALUE!</v>
      </c>
      <c r="Z160" t="e">
        <f>'Actual Value'!340:340-"AM:!(5'"</f>
        <v>#VALUE!</v>
      </c>
      <c r="AA160" t="e">
        <f>'Actual Value'!341:341-"AM:!(5("</f>
        <v>#VALUE!</v>
      </c>
      <c r="AB160" t="e">
        <f>'Actual Value'!342:342-"AM:!(5)"</f>
        <v>#VALUE!</v>
      </c>
      <c r="AC160" t="e">
        <f>'Actual Value'!343:343-"AM:!(5."</f>
        <v>#VALUE!</v>
      </c>
      <c r="AD160" t="e">
        <f>'Actual Value'!344:344-"AM:!(5/"</f>
        <v>#VALUE!</v>
      </c>
      <c r="AE160" t="e">
        <f>'Actual Value'!345:345-"AM:!(50"</f>
        <v>#VALUE!</v>
      </c>
      <c r="AF160" t="e">
        <f>'Actual Value'!346:346-"AM:!(51"</f>
        <v>#VALUE!</v>
      </c>
      <c r="AG160" t="e">
        <f>'Actual Value'!347:347-"AM:!(52"</f>
        <v>#VALUE!</v>
      </c>
      <c r="AH160" t="e">
        <f>'Actual Value'!348:348-"AM:!(53"</f>
        <v>#VALUE!</v>
      </c>
      <c r="AI160" t="e">
        <f>'Actual Value'!349:349-"AM:!(54"</f>
        <v>#VALUE!</v>
      </c>
      <c r="AJ160" t="e">
        <f>'Actual Value'!350:350-"AM:!(55"</f>
        <v>#VALUE!</v>
      </c>
      <c r="AK160" s="98" t="e">
        <f>'Actual Value'!351:351-"AM:!(56"</f>
        <v>#VALUE!</v>
      </c>
      <c r="AL160" s="98" t="e">
        <f>'Actual Value'!352:352-"AM:!(57"</f>
        <v>#VALUE!</v>
      </c>
      <c r="AM160" s="98" t="e">
        <f>'Actual Value'!353:353-"AM:!(58"</f>
        <v>#VALUE!</v>
      </c>
      <c r="AN160" t="e">
        <f>'Actual Value'!354:354-"AM:!(59"</f>
        <v>#VALUE!</v>
      </c>
      <c r="AO160" t="e">
        <f>'Actual Value'!355:355-"AM:!(5:"</f>
        <v>#VALUE!</v>
      </c>
      <c r="AP160" t="e">
        <f>'Actual Value'!356:356-"AM:!(5;"</f>
        <v>#VALUE!</v>
      </c>
      <c r="AQ160" t="e">
        <f>'Actual Value'!357:357-"AM:!(5&lt;"</f>
        <v>#VALUE!</v>
      </c>
      <c r="AR160" t="e">
        <f>'Actual Value'!358:358-"AM:!(5="</f>
        <v>#VALUE!</v>
      </c>
      <c r="AS160" t="e">
        <f>'Actual Value'!359:359-"AM:!(5&gt;"</f>
        <v>#VALUE!</v>
      </c>
      <c r="AT160" t="e">
        <f>'Actual Value'!360:360-"AM:!(5?"</f>
        <v>#VALUE!</v>
      </c>
      <c r="AU160" t="e">
        <f>'Actual Value'!361:361-"AM:!(5@"</f>
        <v>#VALUE!</v>
      </c>
      <c r="AV160" t="e">
        <f>'Actual Value'!362:362-"AM:!(5A"</f>
        <v>#VALUE!</v>
      </c>
      <c r="AW160" t="e">
        <f>'Actual Value'!363:363-"AM:!(5B"</f>
        <v>#VALUE!</v>
      </c>
      <c r="AX160" t="e">
        <f>'Actual Value'!364:364-"AM:!(5C"</f>
        <v>#VALUE!</v>
      </c>
      <c r="AY160" t="e">
        <f>'Actual Value'!365:365-"AM:!(5D"</f>
        <v>#VALUE!</v>
      </c>
      <c r="AZ160" t="e">
        <f>'Actual Value'!366:366-"AM:!(5E"</f>
        <v>#VALUE!</v>
      </c>
      <c r="BA160" t="e">
        <f>'Actual Value'!367:367-"AM:!(5F"</f>
        <v>#VALUE!</v>
      </c>
      <c r="BB160" t="e">
        <f>'Actual Value'!368:368-"AM:!(5G"</f>
        <v>#VALUE!</v>
      </c>
      <c r="BC160" t="e">
        <f>'Actual Value'!369:369-"AM:!(5H"</f>
        <v>#VALUE!</v>
      </c>
      <c r="BD160" t="e">
        <f>'Actual Value'!370:370-"AM:!(5I"</f>
        <v>#VALUE!</v>
      </c>
      <c r="BE160" t="e">
        <f>'Actual Value'!371:371-"AM:!(5J"</f>
        <v>#VALUE!</v>
      </c>
      <c r="BF160" t="e">
        <f>'Actual Value'!372:372-"AM:!(5K"</f>
        <v>#VALUE!</v>
      </c>
      <c r="BG160" t="e">
        <f>'Actual Value'!373:373-"AM:!(5L"</f>
        <v>#VALUE!</v>
      </c>
      <c r="BH160" t="e">
        <f>'Actual Value'!374:374-"AM:!(5M"</f>
        <v>#VALUE!</v>
      </c>
      <c r="BI160" t="e">
        <f>'Actual Value'!375:375-"AM:!(5N"</f>
        <v>#VALUE!</v>
      </c>
      <c r="BJ160" t="e">
        <f>'Actual Value'!376:376-"AM:!(5O"</f>
        <v>#VALUE!</v>
      </c>
      <c r="BK160" t="e">
        <f>'Actual Value'!377:377-"AM:!(5P"</f>
        <v>#VALUE!</v>
      </c>
      <c r="BL160" t="e">
        <f>'Actual Value'!378:378-"AM:!(5Q"</f>
        <v>#VALUE!</v>
      </c>
      <c r="BM160" t="e">
        <f>'Actual Value'!379:379-"AM:!(5R"</f>
        <v>#VALUE!</v>
      </c>
      <c r="BN160" t="e">
        <f>'Actual Value'!380:380-"AM:!(5S"</f>
        <v>#VALUE!</v>
      </c>
      <c r="BO160" t="e">
        <f>'Actual Value'!381:381-"AM:!(5T"</f>
        <v>#VALUE!</v>
      </c>
      <c r="BP160" t="e">
        <f>'Actual Value'!382:382-"AM:!(5U"</f>
        <v>#VALUE!</v>
      </c>
      <c r="BQ160" t="e">
        <f>'Actual Value'!383:383-"AM:!(5V"</f>
        <v>#VALUE!</v>
      </c>
      <c r="BR160" t="e">
        <f>'Actual Value'!384:384-"AM:!(5W"</f>
        <v>#VALUE!</v>
      </c>
      <c r="BS160" t="e">
        <f>'Actual Value'!385:385-"AM:!(5X"</f>
        <v>#VALUE!</v>
      </c>
      <c r="BT160" t="e">
        <f>'Actual Value'!386:386-"AM:!(5Y"</f>
        <v>#VALUE!</v>
      </c>
      <c r="BU160" t="e">
        <f>'Actual Value'!387:387-"AM:!(5Z"</f>
        <v>#VALUE!</v>
      </c>
      <c r="BV160" t="e">
        <f>'Actual Value'!388:388-"AM:!(5["</f>
        <v>#VALUE!</v>
      </c>
      <c r="BW160" t="e">
        <f>'Actual Value'!389:389-"AM:!(5\"</f>
        <v>#VALUE!</v>
      </c>
      <c r="BX160" t="e">
        <f>'Actual Value'!390:390-"AM:!(5]"</f>
        <v>#VALUE!</v>
      </c>
      <c r="BY160" t="e">
        <f>'Actual Value'!391:391-"AM:!(5^"</f>
        <v>#VALUE!</v>
      </c>
      <c r="BZ160" t="e">
        <f>'Actual Value'!392:392-"AM:!(5_"</f>
        <v>#VALUE!</v>
      </c>
      <c r="CA160" t="e">
        <f>'Actual Value'!393:393-"AM:!(5`"</f>
        <v>#VALUE!</v>
      </c>
      <c r="CB160" t="e">
        <f>'Actual Value'!394:394-"AM:!(5a"</f>
        <v>#VALUE!</v>
      </c>
      <c r="CC160" t="e">
        <f>'Actual Value'!395:395-"AM:!(5b"</f>
        <v>#VALUE!</v>
      </c>
      <c r="CD160" t="e">
        <f>'Actual Value'!396:396-"AM:!(5c"</f>
        <v>#VALUE!</v>
      </c>
      <c r="CE160" t="e">
        <f>'Actual Value'!397:397-"AM:!(5d"</f>
        <v>#VALUE!</v>
      </c>
      <c r="CF160" t="e">
        <f>'Actual Value'!398:398-"AM:!(5e"</f>
        <v>#VALUE!</v>
      </c>
      <c r="CG160" t="e">
        <f>'Actual Value'!399:399-"AM:!(5f"</f>
        <v>#VALUE!</v>
      </c>
      <c r="CH160" t="e">
        <f>'Actual Value'!400:400-"AM:!(5g"</f>
        <v>#VALUE!</v>
      </c>
      <c r="CI160" t="e">
        <f>'Actual Value'!401:401-"AM:!(5h"</f>
        <v>#VALUE!</v>
      </c>
      <c r="CJ160" t="e">
        <f>'Actual Value'!402:402-"AM:!(5i"</f>
        <v>#VALUE!</v>
      </c>
      <c r="CK160" t="e">
        <f>'Actual Value'!403:403-"AM:!(5j"</f>
        <v>#VALUE!</v>
      </c>
      <c r="CL160" t="e">
        <f>'Actual Value'!404:404-"AM:!(5k"</f>
        <v>#VALUE!</v>
      </c>
      <c r="CM160" t="e">
        <f>'Actual Value'!405:405-"AM:!(5l"</f>
        <v>#VALUE!</v>
      </c>
      <c r="CN160" t="e">
        <f>'Actual Value'!406:406-"AM:!(5m"</f>
        <v>#VALUE!</v>
      </c>
      <c r="CO160" t="e">
        <f>'Actual Value'!407:407-"AM:!(5n"</f>
        <v>#VALUE!</v>
      </c>
      <c r="CP160" t="e">
        <f>'Actual Value'!408:408-"AM:!(5o"</f>
        <v>#VALUE!</v>
      </c>
      <c r="CQ160" t="e">
        <f>'Actual Value'!409:409-"AM:!(5p"</f>
        <v>#VALUE!</v>
      </c>
      <c r="CR160" t="e">
        <f>'Actual Value'!410:410-"AM:!(5q"</f>
        <v>#VALUE!</v>
      </c>
      <c r="CS160" t="e">
        <f>'Actual Value'!411:411-"AM:!(5r"</f>
        <v>#VALUE!</v>
      </c>
      <c r="CT160" t="e">
        <f>'Actual Value'!412:412-"AM:!(5s"</f>
        <v>#VALUE!</v>
      </c>
      <c r="CU160" t="e">
        <f>'Actual Value'!413:413-"AM:!(5t"</f>
        <v>#VALUE!</v>
      </c>
      <c r="CV160" t="e">
        <f>'Actual Value'!414:414-"AM:!(5u"</f>
        <v>#VALUE!</v>
      </c>
      <c r="CW160" t="e">
        <f>'Actual Value'!415:415-"AM:!(5v"</f>
        <v>#VALUE!</v>
      </c>
      <c r="CX160" t="e">
        <f>'Actual Value'!416:416-"AM:!(5w"</f>
        <v>#VALUE!</v>
      </c>
      <c r="CY160" t="e">
        <f>'Actual Value'!417:417-"AM:!(5x"</f>
        <v>#VALUE!</v>
      </c>
      <c r="CZ160" t="e">
        <f>'Actual Value'!418:418-"AM:!(5y"</f>
        <v>#VALUE!</v>
      </c>
      <c r="DA160" t="e">
        <f>'Actual Value'!419:419-"AM:!(5z"</f>
        <v>#VALUE!</v>
      </c>
      <c r="DB160" t="e">
        <f>'Actual Value'!420:420-"AM:!(5{"</f>
        <v>#VALUE!</v>
      </c>
      <c r="DC160" t="e">
        <f>'Actual Value'!421:421-"AM:!(5|"</f>
        <v>#VALUE!</v>
      </c>
      <c r="DD160" t="e">
        <f>'Actual Value'!422:422-"AM:!(5}"</f>
        <v>#VALUE!</v>
      </c>
      <c r="DE160" t="e">
        <f>'Actual Value'!423:423-"AM:!(5~"</f>
        <v>#VALUE!</v>
      </c>
      <c r="DF160" t="e">
        <f>'Actual Value'!424:424-"AM:!(6#"</f>
        <v>#VALUE!</v>
      </c>
      <c r="DG160" t="e">
        <f>'Actual Value'!425:425-"AM:!(6$"</f>
        <v>#VALUE!</v>
      </c>
      <c r="DH160" t="e">
        <f>'Actual Value'!426:426-"AM:!(6%"</f>
        <v>#VALUE!</v>
      </c>
      <c r="DI160" t="e">
        <f>'Actual Value'!427:427-"AM:!(6&amp;"</f>
        <v>#VALUE!</v>
      </c>
      <c r="DJ160" t="e">
        <f>'Actual Value'!428:428-"AM:!(6'"</f>
        <v>#VALUE!</v>
      </c>
      <c r="DK160" t="e">
        <f>'Actual Value'!429:429-"AM:!(6("</f>
        <v>#VALUE!</v>
      </c>
      <c r="DL160" t="e">
        <f>'Actual Value'!430:430-"AM:!(6)"</f>
        <v>#VALUE!</v>
      </c>
      <c r="DM160" t="e">
        <f>'Actual Value'!431:431-"AM:!(6."</f>
        <v>#VALUE!</v>
      </c>
      <c r="DN160" t="e">
        <f>'Actual Value'!432:432-"AM:!(6/"</f>
        <v>#VALUE!</v>
      </c>
      <c r="DO160" t="e">
        <f>'Actual Value'!433:433-"AM:!(60"</f>
        <v>#VALUE!</v>
      </c>
      <c r="DP160" t="e">
        <f>'Actual Value'!434:434-"AM:!(61"</f>
        <v>#VALUE!</v>
      </c>
      <c r="DQ160" t="e">
        <f>'Actual Value'!435:435-"AM:!(62"</f>
        <v>#VALUE!</v>
      </c>
      <c r="DR160" t="e">
        <f>'Actual Value'!436:436-"AM:!(63"</f>
        <v>#VALUE!</v>
      </c>
      <c r="DS160" t="e">
        <f>'Actual Value'!437:437-"AM:!(64"</f>
        <v>#VALUE!</v>
      </c>
      <c r="DT160" t="e">
        <f>'Actual Value'!438:438-"AM:!(65"</f>
        <v>#VALUE!</v>
      </c>
      <c r="DU160" t="e">
        <f>'Actual Value'!439:439-"AM:!(66"</f>
        <v>#VALUE!</v>
      </c>
      <c r="DV160" t="e">
        <f>'Actual Value'!440:440-"AM:!(67"</f>
        <v>#VALUE!</v>
      </c>
      <c r="DW160" t="e">
        <f>'Actual Value'!441:441-"AM:!(68"</f>
        <v>#VALUE!</v>
      </c>
      <c r="DX160" t="e">
        <f>'Actual Value'!442:442-"AM:!(69"</f>
        <v>#VALUE!</v>
      </c>
      <c r="DY160" t="e">
        <f>'Actual Value'!443:443-"AM:!(6:"</f>
        <v>#VALUE!</v>
      </c>
      <c r="DZ160" t="e">
        <f>'Actual Value'!444:444-"AM:!(6;"</f>
        <v>#VALUE!</v>
      </c>
      <c r="EA160" t="e">
        <f>'Actual Value'!445:445-"AM:!(6&lt;"</f>
        <v>#VALUE!</v>
      </c>
      <c r="EB160" t="e">
        <f>'Actual Value'!446:446-"AM:!(6="</f>
        <v>#VALUE!</v>
      </c>
      <c r="EC160" t="e">
        <f>'Actual Value'!447:447-"AM:!(6&gt;"</f>
        <v>#VALUE!</v>
      </c>
      <c r="ED160" t="e">
        <f>'Actual Value'!448:448-"AM:!(6?"</f>
        <v>#VALUE!</v>
      </c>
      <c r="EE160" t="e">
        <f>'Actual Value'!449:449-"AM:!(6@"</f>
        <v>#VALUE!</v>
      </c>
      <c r="EF160" t="e">
        <f>'Actual Value'!450:450-"AM:!(6A"</f>
        <v>#VALUE!</v>
      </c>
      <c r="EG160" t="e">
        <f>'Actual Value'!451:451-"AM:!(6B"</f>
        <v>#VALUE!</v>
      </c>
      <c r="EH160" t="e">
        <f>'Actual Value'!452:452-"AM:!(6C"</f>
        <v>#VALUE!</v>
      </c>
      <c r="EI160" t="e">
        <f>'Actual Value'!453:453-"AM:!(6D"</f>
        <v>#VALUE!</v>
      </c>
      <c r="EJ160" t="e">
        <f>'Actual Value'!454:454-"AM:!(6E"</f>
        <v>#VALUE!</v>
      </c>
      <c r="EK160" t="e">
        <f>'Actual Value'!455:455-"AM:!(6F"</f>
        <v>#VALUE!</v>
      </c>
      <c r="EL160" t="e">
        <f>'Actual Value'!456:456-"AM:!(6G"</f>
        <v>#VALUE!</v>
      </c>
      <c r="EM160" t="e">
        <f>'Actual Value'!457:457-"AM:!(6H"</f>
        <v>#VALUE!</v>
      </c>
      <c r="EN160" t="e">
        <f>'Actual Value'!458:458-"AM:!(6I"</f>
        <v>#VALUE!</v>
      </c>
      <c r="EO160" t="e">
        <f>'Actual Value'!459:459-"AM:!(6J"</f>
        <v>#VALUE!</v>
      </c>
      <c r="EP160" t="e">
        <f>'Actual Value'!460:460-"AM:!(6K"</f>
        <v>#VALUE!</v>
      </c>
      <c r="EQ160" t="e">
        <f>'Actual Value'!461:461-"AM:!(6L"</f>
        <v>#VALUE!</v>
      </c>
      <c r="ER160" t="e">
        <f>'Actual Value'!462:462-"AM:!(6M"</f>
        <v>#VALUE!</v>
      </c>
      <c r="ES160" t="e">
        <f>'Actual Value'!463:463-"AM:!(6N"</f>
        <v>#VALUE!</v>
      </c>
      <c r="ET160" t="e">
        <f>'Actual Value'!464:464-"AM:!(6O"</f>
        <v>#VALUE!</v>
      </c>
      <c r="EU160" t="e">
        <f>'Actual Value'!465:465-"AM:!(6P"</f>
        <v>#VALUE!</v>
      </c>
      <c r="EV160" t="e">
        <f>'Actual Value'!466:466-"AM:!(6Q"</f>
        <v>#VALUE!</v>
      </c>
      <c r="EW160" t="e">
        <f>'Actual Value'!467:467-"AM:!(6R"</f>
        <v>#VALUE!</v>
      </c>
      <c r="EX160" t="e">
        <f>'Actual Value'!468:468-"AM:!(6S"</f>
        <v>#VALUE!</v>
      </c>
      <c r="EY160" t="e">
        <f>'Actual Value'!469:469-"AM:!(6T"</f>
        <v>#VALUE!</v>
      </c>
      <c r="EZ160" t="e">
        <f>'Actual Value'!470:470-"AM:!(6U"</f>
        <v>#VALUE!</v>
      </c>
      <c r="FA160" t="e">
        <f>'Actual Value'!471:471-"AM:!(6V"</f>
        <v>#VALUE!</v>
      </c>
      <c r="FB160" t="e">
        <f>'Actual Value'!472:472-"AM:!(6W"</f>
        <v>#VALUE!</v>
      </c>
      <c r="FC160" t="e">
        <f>'Actual Value'!473:473-"AM:!(6X"</f>
        <v>#VALUE!</v>
      </c>
      <c r="FD160" t="e">
        <f>'Actual Value'!474:474-"AM:!(6Y"</f>
        <v>#VALUE!</v>
      </c>
      <c r="FE160" t="e">
        <f>'Actual Value'!475:475-"AM:!(6Z"</f>
        <v>#VALUE!</v>
      </c>
      <c r="FF160" t="e">
        <f>'Actual Value'!476:476-"AM:!(6["</f>
        <v>#VALUE!</v>
      </c>
      <c r="FG160" t="e">
        <f>'Actual Value'!477:477-"AM:!(6\"</f>
        <v>#VALUE!</v>
      </c>
      <c r="FH160" t="e">
        <f>'Actual Value'!478:478-"AM:!(6]"</f>
        <v>#VALUE!</v>
      </c>
      <c r="FI160" t="e">
        <f>'Actual Value'!479:479-"AM:!(6^"</f>
        <v>#VALUE!</v>
      </c>
      <c r="FJ160" t="e">
        <f>'Actual Value'!480:480-"AM:!(6_"</f>
        <v>#VALUE!</v>
      </c>
      <c r="FK160" t="e">
        <f>'Actual Value'!481:481-"AM:!(6`"</f>
        <v>#VALUE!</v>
      </c>
      <c r="FL160" t="e">
        <f>'Actual Value'!482:482-"AM:!(6a"</f>
        <v>#VALUE!</v>
      </c>
      <c r="FM160" t="e">
        <f>'Actual Value'!483:483-"AM:!(6b"</f>
        <v>#VALUE!</v>
      </c>
      <c r="FN160" t="e">
        <f>'Actual Value'!484:484-"AM:!(6c"</f>
        <v>#VALUE!</v>
      </c>
      <c r="FO160" t="e">
        <f>'Actual Value'!485:485-"AM:!(6d"</f>
        <v>#VALUE!</v>
      </c>
      <c r="FP160" t="e">
        <f>'Actual Value'!486:486-"AM:!(6e"</f>
        <v>#VALUE!</v>
      </c>
      <c r="FQ160" t="e">
        <f>'Actual Value'!487:487-"AM:!(6f"</f>
        <v>#VALUE!</v>
      </c>
      <c r="FR160" t="e">
        <f>'Actual Value'!488:488-"AM:!(6g"</f>
        <v>#VALUE!</v>
      </c>
      <c r="FS160" t="e">
        <f>'Actual Value'!489:489-"AM:!(6h"</f>
        <v>#VALUE!</v>
      </c>
      <c r="FT160" t="e">
        <f>'Actual Value'!490:490-"AM:!(6i"</f>
        <v>#VALUE!</v>
      </c>
      <c r="FU160" t="e">
        <f>'Actual Value'!491:491-"AM:!(6j"</f>
        <v>#VALUE!</v>
      </c>
      <c r="FV160" t="e">
        <f>'Actual Value'!492:492-"AM:!(6k"</f>
        <v>#VALUE!</v>
      </c>
      <c r="FW160" t="e">
        <f>'Actual Value'!493:493-"AM:!(6l"</f>
        <v>#VALUE!</v>
      </c>
      <c r="FX160" t="e">
        <f>'Actual Value'!494:494-"AM:!(6m"</f>
        <v>#VALUE!</v>
      </c>
      <c r="FY160" t="e">
        <f>'Actual Value'!495:495-"AM:!(6n"</f>
        <v>#VALUE!</v>
      </c>
      <c r="FZ160" t="e">
        <f>'Actual Value'!496:496-"AM:!(6o"</f>
        <v>#VALUE!</v>
      </c>
      <c r="GA160" t="e">
        <f>'Actual Value'!497:497-"AM:!(6p"</f>
        <v>#VALUE!</v>
      </c>
      <c r="GB160" t="e">
        <f>'Actual Value'!498:498-"AM:!(6q"</f>
        <v>#VALUE!</v>
      </c>
      <c r="GC160" t="e">
        <f>'Actual Value'!499:499-"AM:!(6r"</f>
        <v>#VALUE!</v>
      </c>
      <c r="GD160" t="e">
        <f>'Actual Value'!500:500-"AM:!(6s"</f>
        <v>#VALUE!</v>
      </c>
      <c r="GE160" t="e">
        <f>'Actual Value'!501:501-"AM:!(6t"</f>
        <v>#VALUE!</v>
      </c>
      <c r="GF160" t="e">
        <f>'Actual Value'!502:502-"AM:!(6u"</f>
        <v>#VALUE!</v>
      </c>
      <c r="GG160" t="e">
        <f>'Actual Value'!503:503-"AM:!(6v"</f>
        <v>#VALUE!</v>
      </c>
      <c r="GH160" t="e">
        <f>'Actual Value'!504:504-"AM:!(6w"</f>
        <v>#VALUE!</v>
      </c>
      <c r="GI160" t="e">
        <f>'Actual Value'!505:505-"AM:!(6x"</f>
        <v>#VALUE!</v>
      </c>
      <c r="GJ160" t="e">
        <f>'Actual Value'!506:506-"AM:!(6y"</f>
        <v>#VALUE!</v>
      </c>
      <c r="GK160" t="e">
        <f>'Actual Value'!507:507-"AM:!(6z"</f>
        <v>#VALUE!</v>
      </c>
      <c r="GL160" t="e">
        <f>'Actual Value'!508:508-"AM:!(6{"</f>
        <v>#VALUE!</v>
      </c>
      <c r="GM160" t="e">
        <f>'Actual Value'!509:509-"AM:!(6|"</f>
        <v>#VALUE!</v>
      </c>
      <c r="GN160" t="e">
        <f>'Actual Value'!510:510-"AM:!(6}"</f>
        <v>#VALUE!</v>
      </c>
      <c r="GO160" t="e">
        <f>'Actual Value'!511:511-"AM:!(6~"</f>
        <v>#VALUE!</v>
      </c>
      <c r="GP160" t="e">
        <f>'Actual Value'!512:512-"AM:!(7#"</f>
        <v>#VALUE!</v>
      </c>
      <c r="GQ160" t="e">
        <f>'Actual Value'!513:513-"AM:!(7$"</f>
        <v>#VALUE!</v>
      </c>
      <c r="GR160" t="e">
        <f>'Actual Value'!514:514-"AM:!(7%"</f>
        <v>#VALUE!</v>
      </c>
      <c r="GS160" t="e">
        <f>'Actual Value'!515:515-"AM:!(7&amp;"</f>
        <v>#VALUE!</v>
      </c>
      <c r="GT160" t="e">
        <f>'Actual Value'!516:516-"AM:!(7'"</f>
        <v>#VALUE!</v>
      </c>
      <c r="GU160" t="e">
        <f>'Actual Value'!517:517-"AM:!(7("</f>
        <v>#VALUE!</v>
      </c>
      <c r="GV160" t="e">
        <f>'Actual Value'!518:518-"AM:!(7)"</f>
        <v>#VALUE!</v>
      </c>
      <c r="GW160" t="e">
        <f>'Actual Value'!519:519-"AM:!(7."</f>
        <v>#VALUE!</v>
      </c>
      <c r="GX160" t="e">
        <f>'Actual Value'!520:520-"AM:!(7/"</f>
        <v>#VALUE!</v>
      </c>
      <c r="GY160" t="e">
        <f>'Actual Value'!521:521-"AM:!(70"</f>
        <v>#VALUE!</v>
      </c>
      <c r="GZ160" t="e">
        <f>'Actual Value'!522:522-"AM:!(71"</f>
        <v>#VALUE!</v>
      </c>
      <c r="HA160" t="e">
        <f>'Actual Value'!523:523-"AM:!(72"</f>
        <v>#VALUE!</v>
      </c>
      <c r="HB160" t="e">
        <f>'Actual Value'!524:524-"AM:!(73"</f>
        <v>#VALUE!</v>
      </c>
      <c r="HC160" t="e">
        <f>'Actual Value'!525:525-"AM:!(74"</f>
        <v>#VALUE!</v>
      </c>
      <c r="HD160" t="e">
        <f>'Actual Value'!526:526-"AM:!(75"</f>
        <v>#VALUE!</v>
      </c>
      <c r="HE160" t="e">
        <f>'Actual Value'!527:527-"AM:!(76"</f>
        <v>#VALUE!</v>
      </c>
      <c r="HF160" t="e">
        <f>'Actual Value'!528:528-"AM:!(77"</f>
        <v>#VALUE!</v>
      </c>
      <c r="HG160" t="e">
        <f>'Actual Value'!529:529-"AM:!(78"</f>
        <v>#VALUE!</v>
      </c>
      <c r="HH160" t="e">
        <f>'Actual Value'!530:530-"AM:!(79"</f>
        <v>#VALUE!</v>
      </c>
      <c r="HI160" t="e">
        <f>'Actual Value'!531:531-"AM:!(7:"</f>
        <v>#VALUE!</v>
      </c>
      <c r="HJ160" t="e">
        <f>'Actual Value'!532:532-"AM:!(7;"</f>
        <v>#VALUE!</v>
      </c>
      <c r="HK160" t="e">
        <f>'Actual Value'!533:533-"AM:!(7&lt;"</f>
        <v>#VALUE!</v>
      </c>
      <c r="HL160" t="e">
        <f>'Actual Value'!534:534-"AM:!(7="</f>
        <v>#VALUE!</v>
      </c>
      <c r="HM160" t="e">
        <f>'Actual Value'!535:535-"AM:!(7&gt;"</f>
        <v>#VALUE!</v>
      </c>
      <c r="HN160" t="e">
        <f>'Actual Value'!536:536-"AM:!(7?"</f>
        <v>#VALUE!</v>
      </c>
      <c r="HO160" t="e">
        <f>'Actual Value'!537:537-"AM:!(7@"</f>
        <v>#VALUE!</v>
      </c>
      <c r="HP160" t="e">
        <f>'Actual Value'!538:538-"AM:!(7A"</f>
        <v>#VALUE!</v>
      </c>
      <c r="HQ160" t="e">
        <f>'Actual Value'!539:539-"AM:!(7B"</f>
        <v>#VALUE!</v>
      </c>
      <c r="HR160" t="e">
        <f>'Actual Value'!540:540-"AM:!(7C"</f>
        <v>#VALUE!</v>
      </c>
      <c r="HS160" t="e">
        <f>'Actual Value'!541:541-"AM:!(7D"</f>
        <v>#VALUE!</v>
      </c>
      <c r="HT160" t="e">
        <f>'Actual Value'!542:542-"AM:!(7E"</f>
        <v>#VALUE!</v>
      </c>
      <c r="HU160" t="e">
        <f>'Actual Value'!543:543-"AM:!(7F"</f>
        <v>#VALUE!</v>
      </c>
      <c r="HV160" t="e">
        <f>'Actual Value'!544:544-"AM:!(7G"</f>
        <v>#VALUE!</v>
      </c>
      <c r="HW160" t="e">
        <f>'Actual Value'!545:545-"AM:!(7H"</f>
        <v>#VALUE!</v>
      </c>
      <c r="HX160" t="e">
        <f>'Actual Value'!546:546-"AM:!(7I"</f>
        <v>#VALUE!</v>
      </c>
      <c r="HY160" t="e">
        <f>'Actual Value'!547:547-"AM:!(7J"</f>
        <v>#VALUE!</v>
      </c>
      <c r="HZ160" t="e">
        <f>'Actual Value'!548:548-"AM:!(7K"</f>
        <v>#VALUE!</v>
      </c>
      <c r="IA160" t="e">
        <f>'Actual Value'!549:549-"AM:!(7L"</f>
        <v>#VALUE!</v>
      </c>
      <c r="IB160" t="e">
        <f>'Actual Value'!550:550-"AM:!(7M"</f>
        <v>#VALUE!</v>
      </c>
      <c r="IC160" t="e">
        <f>'Actual Value'!551:551-"AM:!(7N"</f>
        <v>#VALUE!</v>
      </c>
      <c r="ID160" t="e">
        <f>'Actual Value'!552:552-"AM:!(7O"</f>
        <v>#VALUE!</v>
      </c>
      <c r="IE160" t="e">
        <f>'Actual Value'!553:553-"AM:!(7P"</f>
        <v>#VALUE!</v>
      </c>
      <c r="IF160" t="e">
        <f>'Actual Value'!554:554-"AM:!(7Q"</f>
        <v>#VALUE!</v>
      </c>
      <c r="IG160" t="e">
        <f>'Actual Value'!555:555-"AM:!(7R"</f>
        <v>#VALUE!</v>
      </c>
      <c r="IH160" t="e">
        <f>'Actual Value'!556:556-"AM:!(7S"</f>
        <v>#VALUE!</v>
      </c>
      <c r="II160" t="e">
        <f>'Actual Value'!557:557-"AM:!(7T"</f>
        <v>#VALUE!</v>
      </c>
      <c r="IJ160" t="e">
        <f>'Actual Value'!558:558-"AM:!(7U"</f>
        <v>#VALUE!</v>
      </c>
      <c r="IK160" t="e">
        <f>'Actual Value'!559:559-"AM:!(7V"</f>
        <v>#VALUE!</v>
      </c>
      <c r="IL160" t="e">
        <f>'Actual Value'!560:560-"AM:!(7W"</f>
        <v>#VALUE!</v>
      </c>
      <c r="IM160" t="e">
        <f>'Actual Value'!561:561-"AM:!(7X"</f>
        <v>#VALUE!</v>
      </c>
      <c r="IN160" t="e">
        <f>'Actual Value'!562:562-"AM:!(7Y"</f>
        <v>#VALUE!</v>
      </c>
      <c r="IO160" t="e">
        <f>'Actual Value'!563:563-"AM:!(7Z"</f>
        <v>#VALUE!</v>
      </c>
      <c r="IP160" t="e">
        <f>'Actual Value'!564:564-"AM:!(7["</f>
        <v>#VALUE!</v>
      </c>
      <c r="IQ160" t="e">
        <f>'Actual Value'!565:565-"AM:!(7\"</f>
        <v>#VALUE!</v>
      </c>
      <c r="IR160" t="e">
        <f>'Actual Value'!566:566-"AM:!(7]"</f>
        <v>#VALUE!</v>
      </c>
      <c r="IS160" t="e">
        <f>'Actual Value'!567:567-"AM:!(7^"</f>
        <v>#VALUE!</v>
      </c>
      <c r="IT160" t="e">
        <f>'Actual Value'!568:568-"AM:!(7_"</f>
        <v>#VALUE!</v>
      </c>
      <c r="IU160" t="e">
        <f>'Actual Value'!569:569-"AM:!(7`"</f>
        <v>#VALUE!</v>
      </c>
      <c r="IV160" t="e">
        <f>'Actual Value'!570:570-"AM:!(7a"</f>
        <v>#VALUE!</v>
      </c>
    </row>
    <row r="161" spans="6:256">
      <c r="F161" t="e">
        <f>'Actual Value'!571:571-"AM:!(7b"</f>
        <v>#VALUE!</v>
      </c>
      <c r="G161" t="e">
        <f>'Actual Value'!572:572-"AM:!(7c"</f>
        <v>#VALUE!</v>
      </c>
      <c r="H161" t="e">
        <f>'Actual Value'!573:573-"AM:!(7d"</f>
        <v>#VALUE!</v>
      </c>
      <c r="I161" t="e">
        <f>'Actual Value'!574:574-"AM:!(7e"</f>
        <v>#VALUE!</v>
      </c>
      <c r="J161" t="e">
        <f>'Actual Value'!575:575-"AM:!(7f"</f>
        <v>#VALUE!</v>
      </c>
      <c r="K161" t="e">
        <f>'Actual Value'!576:576-"AM:!(7g"</f>
        <v>#VALUE!</v>
      </c>
      <c r="L161" t="e">
        <f>'Actual Value'!577:577-"AM:!(7h"</f>
        <v>#VALUE!</v>
      </c>
      <c r="M161" t="e">
        <f>'Actual Value'!578:578-"AM:!(7i"</f>
        <v>#VALUE!</v>
      </c>
      <c r="N161" t="e">
        <f>'Actual Value'!579:579-"AM:!(7j"</f>
        <v>#VALUE!</v>
      </c>
      <c r="O161" t="e">
        <f>'Actual Value'!580:580-"AM:!(7k"</f>
        <v>#VALUE!</v>
      </c>
      <c r="P161" t="e">
        <f>'Actual Value'!581:581-"AM:!(7l"</f>
        <v>#VALUE!</v>
      </c>
      <c r="Q161" t="e">
        <f>'Actual Value'!582:582-"AM:!(7m"</f>
        <v>#VALUE!</v>
      </c>
      <c r="R161" t="e">
        <f>'Actual Value'!583:583-"AM:!(7n"</f>
        <v>#VALUE!</v>
      </c>
      <c r="S161" t="e">
        <f>'Actual Value'!584:584-"AM:!(7o"</f>
        <v>#VALUE!</v>
      </c>
      <c r="T161" t="e">
        <f>'Actual Value'!585:585-"AM:!(7p"</f>
        <v>#VALUE!</v>
      </c>
      <c r="U161" t="e">
        <f>'Actual Value'!586:586-"AM:!(7q"</f>
        <v>#VALUE!</v>
      </c>
      <c r="V161" t="e">
        <f>'Actual Value'!587:587-"AM:!(7r"</f>
        <v>#VALUE!</v>
      </c>
      <c r="W161" t="e">
        <f>'Actual Value'!588:588-"AM:!(7s"</f>
        <v>#VALUE!</v>
      </c>
      <c r="X161" t="e">
        <f>'Actual Value'!589:589-"AM:!(7t"</f>
        <v>#VALUE!</v>
      </c>
      <c r="Y161" t="e">
        <f>'Actual Value'!590:590-"AM:!(7u"</f>
        <v>#VALUE!</v>
      </c>
      <c r="Z161" t="e">
        <f>'Actual Value'!591:591-"AM:!(7v"</f>
        <v>#VALUE!</v>
      </c>
      <c r="AA161" t="e">
        <f>'Actual Value'!592:592-"AM:!(7w"</f>
        <v>#VALUE!</v>
      </c>
      <c r="AB161" t="e">
        <f>'Actual Value'!593:593-"AM:!(7x"</f>
        <v>#VALUE!</v>
      </c>
      <c r="AC161" t="e">
        <f>'Actual Value'!594:594-"AM:!(7y"</f>
        <v>#VALUE!</v>
      </c>
      <c r="AD161" t="e">
        <f>'Actual Value'!595:595-"AM:!(7z"</f>
        <v>#VALUE!</v>
      </c>
      <c r="AE161" t="e">
        <f>'Actual Value'!596:596-"AM:!(7{"</f>
        <v>#VALUE!</v>
      </c>
      <c r="AF161" t="e">
        <f>'Actual Value'!597:597-"AM:!(7|"</f>
        <v>#VALUE!</v>
      </c>
      <c r="AG161" t="e">
        <f>'Actual Value'!598:598-"AM:!(7}"</f>
        <v>#VALUE!</v>
      </c>
      <c r="AH161" t="e">
        <f>'Actual Value'!599:599-"AM:!(7~"</f>
        <v>#VALUE!</v>
      </c>
      <c r="AI161" t="e">
        <f>'Actual Value'!600:600-"AM:!(8#"</f>
        <v>#VALUE!</v>
      </c>
      <c r="AJ161" t="e">
        <f>'Actual Value'!601:601-"AM:!(8$"</f>
        <v>#VALUE!</v>
      </c>
      <c r="AK161" t="e">
        <f>'Actual Value'!602:602-"AM:!(8%"</f>
        <v>#VALUE!</v>
      </c>
      <c r="AL161" t="e">
        <f>'Actual Value'!603:603-"AM:!(8&amp;"</f>
        <v>#VALUE!</v>
      </c>
      <c r="AM161" t="e">
        <f>'Actual Value'!604:604-"AM:!(8'"</f>
        <v>#VALUE!</v>
      </c>
      <c r="AN161" t="e">
        <f>'Actual Value'!605:605-"AM:!(8("</f>
        <v>#VALUE!</v>
      </c>
      <c r="AO161" t="e">
        <f>'Actual Value'!606:606-"AM:!(8)"</f>
        <v>#VALUE!</v>
      </c>
      <c r="AP161" t="e">
        <f>'Actual Value'!607:607-"AM:!(8."</f>
        <v>#VALUE!</v>
      </c>
      <c r="AQ161" t="e">
        <f>'Actual Value'!608:608-"AM:!(8/"</f>
        <v>#VALUE!</v>
      </c>
      <c r="AR161" t="e">
        <f>'Actual Value'!609:609-"AM:!(80"</f>
        <v>#VALUE!</v>
      </c>
      <c r="AS161" t="e">
        <f>'Actual Value'!610:610-"AM:!(81"</f>
        <v>#VALUE!</v>
      </c>
      <c r="AT161" t="e">
        <f>'Actual Value'!611:611-"AM:!(82"</f>
        <v>#VALUE!</v>
      </c>
      <c r="AU161" t="e">
        <f>'Actual Value'!612:612-"AM:!(83"</f>
        <v>#VALUE!</v>
      </c>
      <c r="AV161" t="e">
        <f>'Actual Value'!613:613-"AM:!(84"</f>
        <v>#VALUE!</v>
      </c>
      <c r="AW161" t="e">
        <f>'Actual Value'!614:614-"AM:!(85"</f>
        <v>#VALUE!</v>
      </c>
      <c r="AX161" t="e">
        <f>'Actual Value'!615:615-"AM:!(86"</f>
        <v>#VALUE!</v>
      </c>
      <c r="AY161" t="e">
        <f>'Actual Value'!616:616-"AM:!(87"</f>
        <v>#VALUE!</v>
      </c>
      <c r="AZ161" t="e">
        <f>'Actual Value'!617:617-"AM:!(88"</f>
        <v>#VALUE!</v>
      </c>
      <c r="BA161" t="e">
        <f>'Actual Value'!618:618-"AM:!(89"</f>
        <v>#VALUE!</v>
      </c>
      <c r="BB161" t="e">
        <f>'Actual Value'!619:619-"AM:!(8:"</f>
        <v>#VALUE!</v>
      </c>
      <c r="BC161" t="e">
        <f>'Actual Value'!620:620-"AM:!(8;"</f>
        <v>#VALUE!</v>
      </c>
      <c r="BD161" t="e">
        <f>'Actual Value'!621:621-"AM:!(8&lt;"</f>
        <v>#VALUE!</v>
      </c>
      <c r="BE161" t="e">
        <f>'Actual Value'!622:622-"AM:!(8="</f>
        <v>#VALUE!</v>
      </c>
      <c r="BF161" t="e">
        <f>'Actual Value'!623:623-"AM:!(8&gt;"</f>
        <v>#VALUE!</v>
      </c>
      <c r="BG161" t="e">
        <f>'Actual Value'!624:624-"AM:!(8?"</f>
        <v>#VALUE!</v>
      </c>
      <c r="BH161" t="e">
        <f>'Actual Value'!625:625-"AM:!(8@"</f>
        <v>#VALUE!</v>
      </c>
      <c r="BI161" t="e">
        <f>'Actual Value'!626:626-"AM:!(8A"</f>
        <v>#VALUE!</v>
      </c>
      <c r="BJ161" t="e">
        <f>'Actual Value'!627:627-"AM:!(8B"</f>
        <v>#VALUE!</v>
      </c>
      <c r="BK161" t="e">
        <f>'Actual Value'!A1+"AM:!(8C"</f>
        <v>#VALUE!</v>
      </c>
      <c r="BL161" t="e">
        <f>'Actual Value'!B1+"AM:!(8D"</f>
        <v>#VALUE!</v>
      </c>
      <c r="BM161" t="e">
        <f>'Actual Value'!C1+"AM:!(8E"</f>
        <v>#VALUE!</v>
      </c>
      <c r="BN161" t="e">
        <f>'Actual Value'!D1+"AM:!(8F"</f>
        <v>#VALUE!</v>
      </c>
      <c r="BO161" t="e">
        <f>'Actual Value'!E1+"AM:!(8G"</f>
        <v>#VALUE!</v>
      </c>
      <c r="BP161" t="e">
        <f>'Actual Value'!F1+"AM:!(8H"</f>
        <v>#VALUE!</v>
      </c>
      <c r="BQ161" t="e">
        <f>'Actual Value'!G1+"AM:!(8I"</f>
        <v>#VALUE!</v>
      </c>
      <c r="BR161" t="e">
        <f>'Actual Value'!H1+"AM:!(8J"</f>
        <v>#VALUE!</v>
      </c>
      <c r="BS161" t="e">
        <f>'Actual Value'!I1+"AM:!(8K"</f>
        <v>#VALUE!</v>
      </c>
      <c r="BT161" t="e">
        <f>'Actual Value'!J1+"AM:!(8L"</f>
        <v>#VALUE!</v>
      </c>
      <c r="BU161" t="e">
        <f>'Actual Value'!K1+"AM:!(8M"</f>
        <v>#VALUE!</v>
      </c>
      <c r="BV161" t="e">
        <f>'Actual Value'!L1+"AM:!(8N"</f>
        <v>#VALUE!</v>
      </c>
      <c r="BW161" t="e">
        <f>'Actual Value'!M1+"AM:!(8O"</f>
        <v>#VALUE!</v>
      </c>
      <c r="BX161" t="e">
        <f>'Actual Value'!N1+"AM:!(8P"</f>
        <v>#VALUE!</v>
      </c>
      <c r="BY161" t="e">
        <f>'Actual Value'!O1+"AM:!(8Q"</f>
        <v>#VALUE!</v>
      </c>
      <c r="BZ161" t="e">
        <f>'Actual Value'!P1+"AM:!(8R"</f>
        <v>#VALUE!</v>
      </c>
      <c r="CA161" t="e">
        <f>'Actual Value'!Q1+"AM:!(8S"</f>
        <v>#VALUE!</v>
      </c>
      <c r="CB161" t="e">
        <f>'Actual Value'!R1+"AM:!(8T"</f>
        <v>#VALUE!</v>
      </c>
      <c r="CC161" t="e">
        <f>'Actual Value'!S1+"AM:!(8U"</f>
        <v>#VALUE!</v>
      </c>
      <c r="CD161" t="e">
        <f>'Actual Value'!T1+"AM:!(8V"</f>
        <v>#VALUE!</v>
      </c>
      <c r="CE161" t="e">
        <f>'Actual Value'!AQ1+"AM:!(8W"</f>
        <v>#VALUE!</v>
      </c>
      <c r="CF161" t="e">
        <f>'Actual Value'!AR1+"AM:!(8X"</f>
        <v>#VALUE!</v>
      </c>
      <c r="CG161" t="e">
        <f>'Actual Value'!AS1+"AM:!(8Y"</f>
        <v>#VALUE!</v>
      </c>
      <c r="CH161" t="e">
        <f>'Actual Value'!AT1+"AM:!(8Z"</f>
        <v>#VALUE!</v>
      </c>
      <c r="CI161" t="e">
        <f>'Actual Value'!AU1+"AM:!(8["</f>
        <v>#VALUE!</v>
      </c>
      <c r="CJ161" t="e">
        <f>'Actual Value'!AV1+"AM:!(8\"</f>
        <v>#VALUE!</v>
      </c>
      <c r="CK161" t="e">
        <f>'Actual Value'!AW1+"AM:!(8]"</f>
        <v>#VALUE!</v>
      </c>
      <c r="CL161" t="e">
        <f>'Actual Value'!A2+"AM:!(8^"</f>
        <v>#VALUE!</v>
      </c>
      <c r="CM161" t="e">
        <f>'Actual Value'!B2+"AM:!(8_"</f>
        <v>#VALUE!</v>
      </c>
      <c r="CN161" t="e">
        <f>'Actual Value'!C2+"AM:!(8`"</f>
        <v>#VALUE!</v>
      </c>
      <c r="CO161" t="e">
        <f>'Actual Value'!D2+"AM:!(8a"</f>
        <v>#VALUE!</v>
      </c>
      <c r="CP161" t="e">
        <f>'Actual Value'!E2+"AM:!(8b"</f>
        <v>#VALUE!</v>
      </c>
      <c r="CQ161" t="e">
        <f>'Actual Value'!F2+"AM:!(8c"</f>
        <v>#VALUE!</v>
      </c>
      <c r="CR161" t="e">
        <f>'Actual Value'!H2+"AM:!(8d"</f>
        <v>#VALUE!</v>
      </c>
      <c r="CS161" t="e">
        <f>'Actual Value'!I2+"AM:!(8e"</f>
        <v>#VALUE!</v>
      </c>
      <c r="CT161" t="e">
        <f>'Actual Value'!J2+"AM:!(8f"</f>
        <v>#VALUE!</v>
      </c>
      <c r="CU161" t="e">
        <f>'Actual Value'!K2+"AM:!(8g"</f>
        <v>#VALUE!</v>
      </c>
      <c r="CV161" t="e">
        <f>'Actual Value'!L2+"AM:!(8h"</f>
        <v>#VALUE!</v>
      </c>
      <c r="CW161" t="e">
        <f>'Actual Value'!M2+"AM:!(8i"</f>
        <v>#VALUE!</v>
      </c>
      <c r="CX161" t="e">
        <f>'Actual Value'!N2+"AM:!(8j"</f>
        <v>#VALUE!</v>
      </c>
      <c r="CY161" t="e">
        <f>'Actual Value'!O2+"AM:!(8k"</f>
        <v>#VALUE!</v>
      </c>
      <c r="CZ161" t="e">
        <f>'Actual Value'!P2+"AM:!(8l"</f>
        <v>#VALUE!</v>
      </c>
      <c r="DA161" t="e">
        <f>'Actual Value'!Q2+"AM:!(8m"</f>
        <v>#VALUE!</v>
      </c>
      <c r="DB161" t="e">
        <f>'Actual Value'!R2+"AM:!(8n"</f>
        <v>#VALUE!</v>
      </c>
      <c r="DC161" t="e">
        <f>'Actual Value'!S2+"AM:!(8o"</f>
        <v>#VALUE!</v>
      </c>
      <c r="DD161" t="e">
        <f>'Actual Value'!T2+"AM:!(8p"</f>
        <v>#VALUE!</v>
      </c>
      <c r="DE161" t="e">
        <f>'Actual Value'!AQ2+"AM:!(8q"</f>
        <v>#VALUE!</v>
      </c>
      <c r="DF161" t="e">
        <f>'Actual Value'!AR2+"AM:!(8r"</f>
        <v>#VALUE!</v>
      </c>
      <c r="DG161" t="e">
        <f>'Actual Value'!AS2+"AM:!(8s"</f>
        <v>#VALUE!</v>
      </c>
      <c r="DH161" t="e">
        <f>'Actual Value'!AT2+"AM:!(8t"</f>
        <v>#VALUE!</v>
      </c>
      <c r="DI161" t="e">
        <f>'Actual Value'!AU2+"AM:!(8u"</f>
        <v>#VALUE!</v>
      </c>
      <c r="DJ161" t="e">
        <f>'Actual Value'!AV2+"AM:!(8v"</f>
        <v>#VALUE!</v>
      </c>
      <c r="DK161" t="e">
        <f>'Actual Value'!AW2+"AM:!(8w"</f>
        <v>#VALUE!</v>
      </c>
      <c r="DL161" t="e">
        <f>'Actual Value'!A3+"AM:!(8x"</f>
        <v>#VALUE!</v>
      </c>
      <c r="DM161" t="e">
        <f>'Actual Value'!B3+"AM:!(8y"</f>
        <v>#VALUE!</v>
      </c>
      <c r="DN161" t="e">
        <f>'Actual Value'!C3+"AM:!(8z"</f>
        <v>#VALUE!</v>
      </c>
      <c r="DO161" t="e">
        <f>'Actual Value'!D3+"AM:!(8{"</f>
        <v>#VALUE!</v>
      </c>
      <c r="DP161" t="e">
        <f>'Actual Value'!E3+"AM:!(8|"</f>
        <v>#VALUE!</v>
      </c>
      <c r="DQ161" t="e">
        <f>'Actual Value'!F3+"AM:!(8}"</f>
        <v>#VALUE!</v>
      </c>
      <c r="DR161" t="e">
        <f>'Actual Value'!H3+"AM:!(8~"</f>
        <v>#VALUE!</v>
      </c>
      <c r="DS161" t="e">
        <f>'Actual Value'!I3+"AM:!(9#"</f>
        <v>#VALUE!</v>
      </c>
      <c r="DT161" t="e">
        <f>'Actual Value'!J3+"AM:!(9$"</f>
        <v>#VALUE!</v>
      </c>
      <c r="DU161" t="e">
        <f>'Actual Value'!K3+"AM:!(9%"</f>
        <v>#VALUE!</v>
      </c>
      <c r="DV161" t="e">
        <f>'Actual Value'!L3+"AM:!(9&amp;"</f>
        <v>#VALUE!</v>
      </c>
      <c r="DW161" t="e">
        <f>'Actual Value'!M3+"AM:!(9'"</f>
        <v>#VALUE!</v>
      </c>
      <c r="DX161" t="e">
        <f>'Actual Value'!N3+"AM:!(9("</f>
        <v>#VALUE!</v>
      </c>
      <c r="DY161" t="e">
        <f>'Actual Value'!O3+"AM:!(9)"</f>
        <v>#VALUE!</v>
      </c>
      <c r="DZ161" t="e">
        <f>'Actual Value'!P3+"AM:!(9."</f>
        <v>#VALUE!</v>
      </c>
      <c r="EA161" t="e">
        <f>'Actual Value'!Q3+"AM:!(9/"</f>
        <v>#VALUE!</v>
      </c>
      <c r="EB161" t="e">
        <f>'Actual Value'!R3+"AM:!(90"</f>
        <v>#VALUE!</v>
      </c>
      <c r="EC161" t="e">
        <f>'Actual Value'!S3+"AM:!(91"</f>
        <v>#VALUE!</v>
      </c>
      <c r="ED161" t="e">
        <f>'Actual Value'!T3+"AM:!(92"</f>
        <v>#VALUE!</v>
      </c>
      <c r="EE161" t="e">
        <f>'Actual Value'!AQ3+"AM:!(93"</f>
        <v>#VALUE!</v>
      </c>
      <c r="EF161" t="e">
        <f>'Actual Value'!AR3+"AM:!(94"</f>
        <v>#VALUE!</v>
      </c>
      <c r="EG161" t="e">
        <f>'Actual Value'!AS3+"AM:!(95"</f>
        <v>#VALUE!</v>
      </c>
      <c r="EH161" t="e">
        <f>'Actual Value'!AT3+"AM:!(96"</f>
        <v>#VALUE!</v>
      </c>
      <c r="EI161" t="e">
        <f>'Actual Value'!AU3+"AM:!(97"</f>
        <v>#VALUE!</v>
      </c>
      <c r="EJ161" t="e">
        <f>'Actual Value'!AV3+"AM:!(98"</f>
        <v>#VALUE!</v>
      </c>
      <c r="EK161" t="e">
        <f>'Actual Value'!AW3+"AM:!(99"</f>
        <v>#VALUE!</v>
      </c>
      <c r="EL161" t="e">
        <f>'Actual Value'!A4+"AM:!(9:"</f>
        <v>#VALUE!</v>
      </c>
      <c r="EM161" t="e">
        <f>'Actual Value'!B4+"AM:!(9;"</f>
        <v>#VALUE!</v>
      </c>
      <c r="EN161" t="e">
        <f>'Actual Value'!C4+"AM:!(9&lt;"</f>
        <v>#VALUE!</v>
      </c>
      <c r="EO161" t="e">
        <f>'Actual Value'!D4+"AM:!(9="</f>
        <v>#VALUE!</v>
      </c>
      <c r="EP161" t="e">
        <f>'Actual Value'!E4+"AM:!(9&gt;"</f>
        <v>#VALUE!</v>
      </c>
      <c r="EQ161" t="e">
        <f>'Actual Value'!F4+"AM:!(9?"</f>
        <v>#VALUE!</v>
      </c>
      <c r="ER161" t="e">
        <f>'Actual Value'!G4+"AM:!(9@"</f>
        <v>#VALUE!</v>
      </c>
      <c r="ES161" t="e">
        <f>'Actual Value'!H4+"AM:!(9A"</f>
        <v>#VALUE!</v>
      </c>
      <c r="ET161" t="e">
        <f>'Actual Value'!I4+"AM:!(9B"</f>
        <v>#VALUE!</v>
      </c>
      <c r="EU161" t="e">
        <f>'Actual Value'!J4+"AM:!(9C"</f>
        <v>#VALUE!</v>
      </c>
      <c r="EV161" t="e">
        <f>'Actual Value'!K4+"AM:!(9D"</f>
        <v>#VALUE!</v>
      </c>
      <c r="EW161" t="e">
        <f>'Actual Value'!L4+"AM:!(9E"</f>
        <v>#VALUE!</v>
      </c>
      <c r="EX161" t="e">
        <f>'Actual Value'!M4+"AM:!(9F"</f>
        <v>#VALUE!</v>
      </c>
      <c r="EY161" t="e">
        <f>'Actual Value'!N4+"AM:!(9G"</f>
        <v>#VALUE!</v>
      </c>
      <c r="EZ161" t="e">
        <f>'Actual Value'!O4+"AM:!(9H"</f>
        <v>#VALUE!</v>
      </c>
      <c r="FA161" t="e">
        <f>'Actual Value'!P4+"AM:!(9I"</f>
        <v>#VALUE!</v>
      </c>
      <c r="FB161" t="e">
        <f>'Actual Value'!Q4+"AM:!(9J"</f>
        <v>#VALUE!</v>
      </c>
      <c r="FC161" t="e">
        <f>'Actual Value'!R4+"AM:!(9K"</f>
        <v>#VALUE!</v>
      </c>
      <c r="FD161" t="e">
        <f>'Actual Value'!S4+"AM:!(9L"</f>
        <v>#VALUE!</v>
      </c>
      <c r="FE161" t="e">
        <f>'Actual Value'!T4+"AM:!(9M"</f>
        <v>#VALUE!</v>
      </c>
      <c r="FF161" t="e">
        <f>'Actual Value'!AQ4+"AM:!(9N"</f>
        <v>#VALUE!</v>
      </c>
      <c r="FG161" t="e">
        <f>'Actual Value'!AR4+"AM:!(9O"</f>
        <v>#VALUE!</v>
      </c>
      <c r="FH161" t="e">
        <f>'Actual Value'!AS4+"AM:!(9P"</f>
        <v>#VALUE!</v>
      </c>
      <c r="FI161" t="e">
        <f>'Actual Value'!AT4+"AM:!(9Q"</f>
        <v>#VALUE!</v>
      </c>
      <c r="FJ161" t="e">
        <f>'Actual Value'!AU4+"AM:!(9R"</f>
        <v>#VALUE!</v>
      </c>
      <c r="FK161" t="e">
        <f>'Actual Value'!AV4+"AM:!(9S"</f>
        <v>#VALUE!</v>
      </c>
      <c r="FL161" t="e">
        <f>'Actual Value'!AW4+"AM:!(9T"</f>
        <v>#VALUE!</v>
      </c>
      <c r="FM161" t="e">
        <f>'Actual Value'!A5+"AM:!(9U"</f>
        <v>#VALUE!</v>
      </c>
      <c r="FN161" t="e">
        <f>'Actual Value'!B5+"AM:!(9V"</f>
        <v>#VALUE!</v>
      </c>
      <c r="FO161" t="e">
        <f>'Actual Value'!C5+"AM:!(9W"</f>
        <v>#VALUE!</v>
      </c>
      <c r="FP161" t="e">
        <f>'Actual Value'!D5+"AM:!(9X"</f>
        <v>#VALUE!</v>
      </c>
      <c r="FQ161" t="e">
        <f>'Actual Value'!E5+"AM:!(9Y"</f>
        <v>#VALUE!</v>
      </c>
      <c r="FR161" t="e">
        <f>'Actual Value'!F5+"AM:!(9Z"</f>
        <v>#VALUE!</v>
      </c>
      <c r="FS161" t="e">
        <f>'Actual Value'!G5+"AM:!(9["</f>
        <v>#VALUE!</v>
      </c>
      <c r="FT161" t="e">
        <f>'Actual Value'!H5+"AM:!(9\"</f>
        <v>#VALUE!</v>
      </c>
      <c r="FU161" t="e">
        <f>'Actual Value'!I5+"AM:!(9]"</f>
        <v>#VALUE!</v>
      </c>
      <c r="FV161" t="e">
        <f>'Actual Value'!J5+"AM:!(9^"</f>
        <v>#VALUE!</v>
      </c>
      <c r="FW161" t="e">
        <f>'Actual Value'!K5+"AM:!(9_"</f>
        <v>#VALUE!</v>
      </c>
      <c r="FX161" t="e">
        <f>'Actual Value'!L5+"AM:!(9`"</f>
        <v>#VALUE!</v>
      </c>
      <c r="FY161" t="e">
        <f>'Actual Value'!M5+"AM:!(9a"</f>
        <v>#VALUE!</v>
      </c>
      <c r="FZ161" t="e">
        <f>'Actual Value'!N5+"AM:!(9b"</f>
        <v>#VALUE!</v>
      </c>
      <c r="GA161" t="e">
        <f>'Actual Value'!O5+"AM:!(9c"</f>
        <v>#VALUE!</v>
      </c>
      <c r="GB161" t="e">
        <f>'Actual Value'!P5+"AM:!(9d"</f>
        <v>#VALUE!</v>
      </c>
      <c r="GC161" t="e">
        <f>'Actual Value'!Q5+"AM:!(9e"</f>
        <v>#VALUE!</v>
      </c>
      <c r="GD161" t="e">
        <f>'Actual Value'!R5+"AM:!(9f"</f>
        <v>#VALUE!</v>
      </c>
      <c r="GE161" t="e">
        <f>'Actual Value'!S5+"AM:!(9g"</f>
        <v>#VALUE!</v>
      </c>
      <c r="GF161" t="e">
        <f>'Actual Value'!T5+"AM:!(9h"</f>
        <v>#VALUE!</v>
      </c>
      <c r="GG161" t="e">
        <f>'Actual Value'!U5+"AM:!(9i"</f>
        <v>#VALUE!</v>
      </c>
      <c r="GH161" t="e">
        <f>'Actual Value'!V5+"AM:!(9j"</f>
        <v>#VALUE!</v>
      </c>
      <c r="GI161" t="e">
        <f>'Actual Value'!W5+"AM:!(9k"</f>
        <v>#VALUE!</v>
      </c>
      <c r="GJ161" t="e">
        <f>'Actual Value'!X5+"AM:!(9l"</f>
        <v>#VALUE!</v>
      </c>
      <c r="GK161" t="e">
        <f>'Actual Value'!Y5+"AM:!(9m"</f>
        <v>#VALUE!</v>
      </c>
      <c r="GL161" t="e">
        <f>'Actual Value'!Z5+"AM:!(9n"</f>
        <v>#VALUE!</v>
      </c>
      <c r="GM161" t="e">
        <f>'Actual Value'!AA5+"AM:!(9o"</f>
        <v>#VALUE!</v>
      </c>
      <c r="GN161" t="e">
        <f>'Actual Value'!AB5+"AM:!(9p"</f>
        <v>#VALUE!</v>
      </c>
      <c r="GO161" t="e">
        <f>'Actual Value'!AC5+"AM:!(9q"</f>
        <v>#VALUE!</v>
      </c>
      <c r="GP161" t="e">
        <f>'Actual Value'!AD5+"AM:!(9r"</f>
        <v>#VALUE!</v>
      </c>
      <c r="GQ161" t="e">
        <f>'Actual Value'!AE5+"AM:!(9s"</f>
        <v>#VALUE!</v>
      </c>
      <c r="GR161" t="e">
        <f>'Actual Value'!AF5+"AM:!(9t"</f>
        <v>#VALUE!</v>
      </c>
      <c r="GS161" t="e">
        <f>'Actual Value'!AG5+"AM:!(9u"</f>
        <v>#VALUE!</v>
      </c>
      <c r="GT161" t="e">
        <f>'Actual Value'!AH5+"AM:!(9v"</f>
        <v>#VALUE!</v>
      </c>
      <c r="GU161" t="e">
        <f>'Actual Value'!AI5+"AM:!(9w"</f>
        <v>#VALUE!</v>
      </c>
      <c r="GV161" t="e">
        <f>'Actual Value'!AJ5+"AM:!(9x"</f>
        <v>#VALUE!</v>
      </c>
      <c r="GW161" t="e">
        <f>'Actual Value'!AK5+"AM:!(9y"</f>
        <v>#VALUE!</v>
      </c>
      <c r="GX161" t="e">
        <f>'Actual Value'!AL5+"AM:!(9z"</f>
        <v>#VALUE!</v>
      </c>
      <c r="GY161" t="e">
        <f>'Actual Value'!AM5+"AM:!(9{"</f>
        <v>#VALUE!</v>
      </c>
      <c r="GZ161" t="e">
        <f>'Actual Value'!AN5+"AM:!(9|"</f>
        <v>#VALUE!</v>
      </c>
      <c r="HA161" t="e">
        <f>'Actual Value'!AO5+"AM:!(9}"</f>
        <v>#VALUE!</v>
      </c>
      <c r="HB161" t="e">
        <f>'Actual Value'!AP5+"AM:!(9~"</f>
        <v>#VALUE!</v>
      </c>
      <c r="HC161" t="e">
        <f>'Actual Value'!AQ5+"AM:!(:#"</f>
        <v>#VALUE!</v>
      </c>
      <c r="HD161" t="e">
        <f>'Actual Value'!AR5+"AM:!(:$"</f>
        <v>#VALUE!</v>
      </c>
      <c r="HE161" t="e">
        <f>'Actual Value'!AS5+"AM:!(:%"</f>
        <v>#VALUE!</v>
      </c>
      <c r="HF161" t="e">
        <f>'Actual Value'!AT5+"AM:!(:&amp;"</f>
        <v>#VALUE!</v>
      </c>
      <c r="HG161" t="e">
        <f>'Actual Value'!AU5+"AM:!(:'"</f>
        <v>#VALUE!</v>
      </c>
      <c r="HH161" t="e">
        <f>'Actual Value'!AV5+"AM:!(:("</f>
        <v>#VALUE!</v>
      </c>
      <c r="HI161" t="e">
        <f>'Actual Value'!AW5+"AM:!(:)"</f>
        <v>#VALUE!</v>
      </c>
      <c r="HJ161" t="e">
        <f>'Actual Value'!A6+"AM:!(:."</f>
        <v>#VALUE!</v>
      </c>
      <c r="HK161" t="e">
        <f>'Actual Value'!B6+"AM:!(:/"</f>
        <v>#VALUE!</v>
      </c>
      <c r="HL161" t="e">
        <f>'Actual Value'!C6+"AM:!(:0"</f>
        <v>#VALUE!</v>
      </c>
      <c r="HM161" t="e">
        <f>'Actual Value'!D6+"AM:!(:1"</f>
        <v>#VALUE!</v>
      </c>
      <c r="HN161" t="e">
        <f>'Actual Value'!E6+"AM:!(:2"</f>
        <v>#VALUE!</v>
      </c>
      <c r="HO161" t="e">
        <f>'Actual Value'!F6+"AM:!(:3"</f>
        <v>#VALUE!</v>
      </c>
      <c r="HP161" t="e">
        <f>'Actual Value'!G6+"AM:!(:4"</f>
        <v>#VALUE!</v>
      </c>
      <c r="HQ161" t="e">
        <f>'Actual Value'!H6+"AM:!(:5"</f>
        <v>#VALUE!</v>
      </c>
      <c r="HR161" t="e">
        <f>'Actual Value'!I6+"AM:!(:6"</f>
        <v>#VALUE!</v>
      </c>
      <c r="HS161" t="e">
        <f>'Actual Value'!J6+"AM:!(:7"</f>
        <v>#VALUE!</v>
      </c>
      <c r="HT161" t="e">
        <f>'Actual Value'!K6+"AM:!(:8"</f>
        <v>#VALUE!</v>
      </c>
      <c r="HU161" t="e">
        <f>'Actual Value'!L6+"AM:!(:9"</f>
        <v>#VALUE!</v>
      </c>
      <c r="HV161" t="e">
        <f>'Actual Value'!M6+"AM:!(::"</f>
        <v>#VALUE!</v>
      </c>
      <c r="HW161" t="e">
        <f>'Actual Value'!N6+"AM:!(:;"</f>
        <v>#VALUE!</v>
      </c>
      <c r="HX161" t="e">
        <f>'Actual Value'!O6+"AM:!(:&lt;"</f>
        <v>#VALUE!</v>
      </c>
      <c r="HY161" t="e">
        <f>'Actual Value'!P6+"AM:!(:="</f>
        <v>#VALUE!</v>
      </c>
      <c r="HZ161" t="e">
        <f>'Actual Value'!Q6+"AM:!(:&gt;"</f>
        <v>#VALUE!</v>
      </c>
      <c r="IA161" t="e">
        <f>'Actual Value'!R6+"AM:!(:?"</f>
        <v>#VALUE!</v>
      </c>
      <c r="IB161" t="e">
        <f>'Actual Value'!S6+"AM:!(:@"</f>
        <v>#VALUE!</v>
      </c>
      <c r="IC161" t="e">
        <f>'Actual Value'!T6+"AM:!(:A"</f>
        <v>#VALUE!</v>
      </c>
      <c r="ID161" t="e">
        <f>'Actual Value'!U6+"AM:!(:B"</f>
        <v>#VALUE!</v>
      </c>
      <c r="IE161" t="e">
        <f>'Actual Value'!V6+"AM:!(:C"</f>
        <v>#VALUE!</v>
      </c>
      <c r="IF161" t="e">
        <f>'Actual Value'!W6+"AM:!(:D"</f>
        <v>#VALUE!</v>
      </c>
      <c r="IG161" t="e">
        <f>'Actual Value'!X6+"AM:!(:E"</f>
        <v>#VALUE!</v>
      </c>
      <c r="IH161" t="e">
        <f>'Actual Value'!Y6+"AM:!(:F"</f>
        <v>#VALUE!</v>
      </c>
      <c r="II161" t="e">
        <f>'Actual Value'!Z6+"AM:!(:G"</f>
        <v>#VALUE!</v>
      </c>
      <c r="IJ161" t="e">
        <f>'Actual Value'!AA6+"AM:!(:H"</f>
        <v>#VALUE!</v>
      </c>
      <c r="IK161" t="e">
        <f>'Actual Value'!AB6+"AM:!(:I"</f>
        <v>#VALUE!</v>
      </c>
      <c r="IL161" t="e">
        <f>'Actual Value'!AC6+"AM:!(:J"</f>
        <v>#VALUE!</v>
      </c>
      <c r="IM161" t="e">
        <f>'Actual Value'!AD6+"AM:!(:K"</f>
        <v>#VALUE!</v>
      </c>
      <c r="IN161" t="e">
        <f>'Actual Value'!AE6+"AM:!(:L"</f>
        <v>#VALUE!</v>
      </c>
      <c r="IO161" t="e">
        <f>'Actual Value'!AF6+"AM:!(:M"</f>
        <v>#VALUE!</v>
      </c>
      <c r="IP161" t="e">
        <f>'Actual Value'!AG6+"AM:!(:N"</f>
        <v>#VALUE!</v>
      </c>
      <c r="IQ161" t="e">
        <f>'Actual Value'!AH6+"AM:!(:O"</f>
        <v>#VALUE!</v>
      </c>
      <c r="IR161" t="e">
        <f>'Actual Value'!AI6+"AM:!(:P"</f>
        <v>#VALUE!</v>
      </c>
      <c r="IS161" t="e">
        <f>'Actual Value'!AJ6+"AM:!(:Q"</f>
        <v>#VALUE!</v>
      </c>
      <c r="IT161" t="e">
        <f>'Actual Value'!AK6+"AM:!(:R"</f>
        <v>#VALUE!</v>
      </c>
      <c r="IU161" t="e">
        <f>'Actual Value'!AL6+"AM:!(:S"</f>
        <v>#VALUE!</v>
      </c>
      <c r="IV161" t="e">
        <f>'Actual Value'!AM6+"AM:!(:T"</f>
        <v>#VALUE!</v>
      </c>
    </row>
    <row r="162" spans="6:256">
      <c r="F162" t="e">
        <f>'Actual Value'!AN6+"AM:!(:U"</f>
        <v>#VALUE!</v>
      </c>
      <c r="G162" t="e">
        <f>'Actual Value'!AO6+"AM:!(:V"</f>
        <v>#VALUE!</v>
      </c>
      <c r="H162" t="e">
        <f>'Actual Value'!AP6+"AM:!(:W"</f>
        <v>#VALUE!</v>
      </c>
      <c r="I162" t="e">
        <f>'Actual Value'!AQ6+"AM:!(:X"</f>
        <v>#VALUE!</v>
      </c>
      <c r="J162" t="e">
        <f>'Actual Value'!AR6+"AM:!(:Y"</f>
        <v>#VALUE!</v>
      </c>
      <c r="K162" t="e">
        <f>'Actual Value'!AS6+"AM:!(:Z"</f>
        <v>#VALUE!</v>
      </c>
      <c r="L162" t="e">
        <f>'Actual Value'!AT6+"AM:!(:["</f>
        <v>#VALUE!</v>
      </c>
      <c r="M162" t="e">
        <f>'Actual Value'!AU6+"AM:!(:\"</f>
        <v>#VALUE!</v>
      </c>
      <c r="N162" t="e">
        <f>'Actual Value'!AV6+"AM:!(:]"</f>
        <v>#VALUE!</v>
      </c>
      <c r="O162" t="e">
        <f>'Actual Value'!AW6+"AM:!(:^"</f>
        <v>#VALUE!</v>
      </c>
      <c r="P162" t="e">
        <f>'Actual Value'!A7+"AM:!(:_"</f>
        <v>#VALUE!</v>
      </c>
      <c r="Q162" t="e">
        <f>'Actual Value'!B7+"AM:!(:`"</f>
        <v>#VALUE!</v>
      </c>
      <c r="R162" t="e">
        <f>'Actual Value'!C7+"AM:!(:a"</f>
        <v>#VALUE!</v>
      </c>
      <c r="S162" s="97" t="e">
        <f>'Actual Value'!D7+"AM:!(:b"</f>
        <v>#VALUE!</v>
      </c>
      <c r="T162" s="97" t="e">
        <f>'Actual Value'!E7+"AM:!(:c"</f>
        <v>#VALUE!</v>
      </c>
      <c r="U162" s="100" t="e">
        <f>'Actual Value'!F7+"AM:!(:d"</f>
        <v>#VALUE!</v>
      </c>
      <c r="V162" s="97" t="e">
        <f>'Actual Value'!G7+"AM:!(:e"</f>
        <v>#VALUE!</v>
      </c>
      <c r="W162" s="97" t="e">
        <f>'Actual Value'!H7+"AM:!(:f"</f>
        <v>#VALUE!</v>
      </c>
      <c r="X162" s="97" t="e">
        <f>'Actual Value'!I7+"AM:!(:g"</f>
        <v>#VALUE!</v>
      </c>
      <c r="Y162" s="97" t="e">
        <f>'Actual Value'!J7+"AM:!(:h"</f>
        <v>#VALUE!</v>
      </c>
      <c r="Z162" s="97" t="e">
        <f>'Actual Value'!K7+"AM:!(:i"</f>
        <v>#VALUE!</v>
      </c>
      <c r="AA162" s="97" t="e">
        <f>'Actual Value'!L7+"AM:!(:j"</f>
        <v>#VALUE!</v>
      </c>
      <c r="AB162" s="97" t="e">
        <f>'Actual Value'!M7+"AM:!(:k"</f>
        <v>#VALUE!</v>
      </c>
      <c r="AC162" s="97" t="e">
        <f>'Actual Value'!N7+"AM:!(:l"</f>
        <v>#VALUE!</v>
      </c>
      <c r="AD162" s="97" t="e">
        <f>'Actual Value'!O7+"AM:!(:m"</f>
        <v>#VALUE!</v>
      </c>
      <c r="AE162" t="e">
        <f>'Actual Value'!P7+"AM:!(:n"</f>
        <v>#VALUE!</v>
      </c>
      <c r="AF162" t="e">
        <f>'Actual Value'!Q7+"AM:!(:o"</f>
        <v>#VALUE!</v>
      </c>
      <c r="AG162" t="e">
        <f>'Actual Value'!R7+"AM:!(:p"</f>
        <v>#VALUE!</v>
      </c>
      <c r="AH162" t="e">
        <f>'Actual Value'!S7+"AM:!(:q"</f>
        <v>#VALUE!</v>
      </c>
      <c r="AI162" t="e">
        <f>'Actual Value'!T7+"AM:!(:r"</f>
        <v>#VALUE!</v>
      </c>
      <c r="AJ162" t="e">
        <f>'Actual Value'!U7+"AM:!(:s"</f>
        <v>#VALUE!</v>
      </c>
      <c r="AK162" t="e">
        <f>'Actual Value'!V7+"AM:!(:t"</f>
        <v>#VALUE!</v>
      </c>
      <c r="AL162" t="e">
        <f>'Actual Value'!W7+"AM:!(:u"</f>
        <v>#VALUE!</v>
      </c>
      <c r="AM162" t="e">
        <f>'Actual Value'!X7+"AM:!(:v"</f>
        <v>#VALUE!</v>
      </c>
      <c r="AN162" t="e">
        <f>'Actual Value'!Y7+"AM:!(:w"</f>
        <v>#VALUE!</v>
      </c>
      <c r="AO162" t="e">
        <f>'Actual Value'!Z7+"AM:!(:x"</f>
        <v>#VALUE!</v>
      </c>
      <c r="AP162" t="e">
        <f>'Actual Value'!AA7+"AM:!(:y"</f>
        <v>#VALUE!</v>
      </c>
      <c r="AQ162" t="e">
        <f>'Actual Value'!AB7+"AM:!(:z"</f>
        <v>#VALUE!</v>
      </c>
      <c r="AR162" t="e">
        <f>'Actual Value'!AC7+"AM:!(:{"</f>
        <v>#VALUE!</v>
      </c>
      <c r="AS162" t="e">
        <f>'Actual Value'!AD7+"AM:!(:|"</f>
        <v>#VALUE!</v>
      </c>
      <c r="AT162" t="e">
        <f>'Actual Value'!AE7+"AM:!(:}"</f>
        <v>#VALUE!</v>
      </c>
      <c r="AU162" t="e">
        <f>'Actual Value'!AF7+"AM:!(:~"</f>
        <v>#VALUE!</v>
      </c>
      <c r="AV162" t="e">
        <f>'Actual Value'!AG7+"AM:!(;#"</f>
        <v>#VALUE!</v>
      </c>
      <c r="AW162" t="e">
        <f>'Actual Value'!AH7+"AM:!(;$"</f>
        <v>#VALUE!</v>
      </c>
      <c r="AX162" t="e">
        <f>'Actual Value'!AI7+"AM:!(;%"</f>
        <v>#VALUE!</v>
      </c>
      <c r="AY162" t="e">
        <f>'Actual Value'!AJ7+"AM:!(;&amp;"</f>
        <v>#VALUE!</v>
      </c>
      <c r="AZ162" t="e">
        <f>'Actual Value'!AK7+"AM:!(;'"</f>
        <v>#VALUE!</v>
      </c>
      <c r="BA162" t="e">
        <f>'Actual Value'!AL7+"AM:!(;("</f>
        <v>#VALUE!</v>
      </c>
      <c r="BB162" t="e">
        <f>'Actual Value'!AM7+"AM:!(;)"</f>
        <v>#VALUE!</v>
      </c>
      <c r="BC162" t="e">
        <f>'Actual Value'!AN7+"AM:!(;."</f>
        <v>#VALUE!</v>
      </c>
      <c r="BD162" t="e">
        <f>'Actual Value'!AO7+"AM:!(;/"</f>
        <v>#VALUE!</v>
      </c>
      <c r="BE162" t="e">
        <f>'Actual Value'!AP7+"AM:!(;0"</f>
        <v>#VALUE!</v>
      </c>
      <c r="BF162" t="e">
        <f>'Actual Value'!AQ7+"AM:!(;1"</f>
        <v>#VALUE!</v>
      </c>
      <c r="BG162" t="e">
        <f>'Actual Value'!AR7+"AM:!(;2"</f>
        <v>#VALUE!</v>
      </c>
      <c r="BH162" t="e">
        <f>'Actual Value'!AS7+"AM:!(;3"</f>
        <v>#VALUE!</v>
      </c>
      <c r="BI162" t="e">
        <f>'Actual Value'!AT7+"AM:!(;4"</f>
        <v>#VALUE!</v>
      </c>
      <c r="BJ162" t="e">
        <f>'Actual Value'!AU7+"AM:!(;5"</f>
        <v>#VALUE!</v>
      </c>
      <c r="BK162" t="e">
        <f>'Actual Value'!AV7+"AM:!(;6"</f>
        <v>#VALUE!</v>
      </c>
      <c r="BL162" t="e">
        <f>'Actual Value'!AW7+"AM:!(;7"</f>
        <v>#VALUE!</v>
      </c>
      <c r="BM162" t="e">
        <f>'Actual Value'!A8+"AM:!(;8"</f>
        <v>#VALUE!</v>
      </c>
      <c r="BN162" t="e">
        <f>'Actual Value'!B8+"AM:!(;9"</f>
        <v>#VALUE!</v>
      </c>
      <c r="BO162" t="e">
        <f>'Actual Value'!C8+"AM:!(;:"</f>
        <v>#VALUE!</v>
      </c>
      <c r="BP162" s="97" t="e">
        <f ca="1">'Actual Value'!D8+"AM:!(;;"</f>
        <v>#VALUE!</v>
      </c>
      <c r="BQ162" s="97" t="e">
        <f>'Actual Value'!E8+"AM:!(;&lt;"</f>
        <v>#VALUE!</v>
      </c>
      <c r="BR162" s="97" t="e">
        <f>'Actual Value'!F8+"AM:!(;="</f>
        <v>#VALUE!</v>
      </c>
      <c r="BS162" s="97" t="e">
        <f>'Actual Value'!G8+"AM:!(;&gt;"</f>
        <v>#VALUE!</v>
      </c>
      <c r="BT162" s="97" t="e">
        <f>'Actual Value'!H8+"AM:!(;?"</f>
        <v>#VALUE!</v>
      </c>
      <c r="BU162" s="97" t="e">
        <f ca="1">'Actual Value'!I8+"AM:!(;@"</f>
        <v>#VALUE!</v>
      </c>
      <c r="BV162" s="97" t="e">
        <f ca="1">'Actual Value'!J8+"AM:!(;A"</f>
        <v>#VALUE!</v>
      </c>
      <c r="BW162" s="97" t="e">
        <f>'Actual Value'!K8+"AM:!(;B"</f>
        <v>#VALUE!</v>
      </c>
      <c r="BX162" s="97" t="e">
        <f>'Actual Value'!L8+"AM:!(;C"</f>
        <v>#VALUE!</v>
      </c>
      <c r="BY162" s="97" t="e">
        <f>'Actual Value'!M8+"AM:!(;D"</f>
        <v>#VALUE!</v>
      </c>
      <c r="BZ162" s="97" t="e">
        <f>'Actual Value'!N8+"AM:!(;E"</f>
        <v>#VALUE!</v>
      </c>
      <c r="CA162" s="97" t="e">
        <f>'Actual Value'!O8+"AM:!(;F"</f>
        <v>#VALUE!</v>
      </c>
      <c r="CB162" t="e">
        <f>'Actual Value'!P8+"AM:!(;G"</f>
        <v>#VALUE!</v>
      </c>
      <c r="CC162" t="e">
        <f>'Actual Value'!Q8+"AM:!(;H"</f>
        <v>#VALUE!</v>
      </c>
      <c r="CD162" t="e">
        <f>'Actual Value'!R8+"AM:!(;I"</f>
        <v>#VALUE!</v>
      </c>
      <c r="CE162" t="e">
        <f>'Actual Value'!S8+"AM:!(;J"</f>
        <v>#VALUE!</v>
      </c>
      <c r="CF162" t="e">
        <f>'Actual Value'!T8+"AM:!(;K"</f>
        <v>#VALUE!</v>
      </c>
      <c r="CG162" t="e">
        <f>'Actual Value'!U8+"AM:!(;L"</f>
        <v>#VALUE!</v>
      </c>
      <c r="CH162" t="e">
        <f>'Actual Value'!V8+"AM:!(;M"</f>
        <v>#VALUE!</v>
      </c>
      <c r="CI162" t="e">
        <f>'Actual Value'!W8+"AM:!(;N"</f>
        <v>#VALUE!</v>
      </c>
      <c r="CJ162" t="e">
        <f>'Actual Value'!X8+"AM:!(;O"</f>
        <v>#VALUE!</v>
      </c>
      <c r="CK162" t="e">
        <f>'Actual Value'!Y8+"AM:!(;P"</f>
        <v>#VALUE!</v>
      </c>
      <c r="CL162" t="e">
        <f>'Actual Value'!Z8+"AM:!(;Q"</f>
        <v>#VALUE!</v>
      </c>
      <c r="CM162" t="e">
        <f>'Actual Value'!AA8+"AM:!(;R"</f>
        <v>#VALUE!</v>
      </c>
      <c r="CN162" t="e">
        <f>'Actual Value'!AB8+"AM:!(;S"</f>
        <v>#VALUE!</v>
      </c>
      <c r="CO162" t="e">
        <f>'Actual Value'!AC8+"AM:!(;T"</f>
        <v>#VALUE!</v>
      </c>
      <c r="CP162" t="e">
        <f>'Actual Value'!AD8+"AM:!(;U"</f>
        <v>#VALUE!</v>
      </c>
      <c r="CQ162" t="e">
        <f>'Actual Value'!AE8+"AM:!(;V"</f>
        <v>#VALUE!</v>
      </c>
      <c r="CR162" t="e">
        <f>'Actual Value'!AF8+"AM:!(;W"</f>
        <v>#VALUE!</v>
      </c>
      <c r="CS162" t="e">
        <f>'Actual Value'!AG8+"AM:!(;X"</f>
        <v>#VALUE!</v>
      </c>
      <c r="CT162" t="e">
        <f>'Actual Value'!AH8+"AM:!(;Y"</f>
        <v>#VALUE!</v>
      </c>
      <c r="CU162" t="e">
        <f>'Actual Value'!AI8+"AM:!(;Z"</f>
        <v>#VALUE!</v>
      </c>
      <c r="CV162" t="e">
        <f>'Actual Value'!AJ8+"AM:!(;["</f>
        <v>#VALUE!</v>
      </c>
      <c r="CW162" t="e">
        <f>'Actual Value'!AK8+"AM:!(;\"</f>
        <v>#VALUE!</v>
      </c>
      <c r="CX162" t="e">
        <f>'Actual Value'!AL8+"AM:!(;]"</f>
        <v>#VALUE!</v>
      </c>
      <c r="CY162" t="e">
        <f>'Actual Value'!AM8+"AM:!(;^"</f>
        <v>#VALUE!</v>
      </c>
      <c r="CZ162" t="e">
        <f>'Actual Value'!AN8+"AM:!(;_"</f>
        <v>#VALUE!</v>
      </c>
      <c r="DA162" t="e">
        <f>'Actual Value'!AO8+"AM:!(;`"</f>
        <v>#VALUE!</v>
      </c>
      <c r="DB162" t="e">
        <f>'Actual Value'!AP8+"AM:!(;a"</f>
        <v>#VALUE!</v>
      </c>
      <c r="DC162" t="e">
        <f>'Actual Value'!AQ8+"AM:!(;b"</f>
        <v>#VALUE!</v>
      </c>
      <c r="DD162" t="e">
        <f>'Actual Value'!AR8+"AM:!(;c"</f>
        <v>#VALUE!</v>
      </c>
      <c r="DE162" t="e">
        <f>'Actual Value'!AS8+"AM:!(;d"</f>
        <v>#VALUE!</v>
      </c>
      <c r="DF162" t="e">
        <f>'Actual Value'!AT8+"AM:!(;e"</f>
        <v>#VALUE!</v>
      </c>
      <c r="DG162" t="e">
        <f>'Actual Value'!AU8+"AM:!(;f"</f>
        <v>#VALUE!</v>
      </c>
      <c r="DH162" t="e">
        <f>'Actual Value'!AV8+"AM:!(;g"</f>
        <v>#VALUE!</v>
      </c>
      <c r="DI162" t="e">
        <f>'Actual Value'!AW8+"AM:!(;h"</f>
        <v>#VALUE!</v>
      </c>
      <c r="DJ162" t="e">
        <f>'Actual Value'!A9+"AM:!(;i"</f>
        <v>#VALUE!</v>
      </c>
      <c r="DK162" t="e">
        <f>'Actual Value'!B9+"AM:!(;j"</f>
        <v>#VALUE!</v>
      </c>
      <c r="DL162" t="e">
        <f>'Actual Value'!C9+"AM:!(;k"</f>
        <v>#VALUE!</v>
      </c>
      <c r="DM162" s="97" t="e">
        <f ca="1">'Actual Value'!D9+"AM:!(;l"</f>
        <v>#VALUE!</v>
      </c>
      <c r="DN162" s="97" t="e">
        <f>'Actual Value'!E9+"AM:!(;m"</f>
        <v>#VALUE!</v>
      </c>
      <c r="DO162" s="105" t="e">
        <f>'Actual Value'!F9+"AM:!(;n"</f>
        <v>#VALUE!</v>
      </c>
      <c r="DP162" s="97" t="e">
        <f>'Actual Value'!G9+"AM:!(;o"</f>
        <v>#VALUE!</v>
      </c>
      <c r="DQ162" s="97" t="e">
        <f>'Actual Value'!H9+"AM:!(;p"</f>
        <v>#VALUE!</v>
      </c>
      <c r="DR162" s="97" t="e">
        <f ca="1">'Actual Value'!I9+"AM:!(;q"</f>
        <v>#VALUE!</v>
      </c>
      <c r="DS162" s="97" t="e">
        <f ca="1">'Actual Value'!J9+"AM:!(;r"</f>
        <v>#VALUE!</v>
      </c>
      <c r="DT162" s="97" t="e">
        <f>'Actual Value'!K9+"AM:!(;s"</f>
        <v>#VALUE!</v>
      </c>
      <c r="DU162" s="97" t="e">
        <f>'Actual Value'!L9+"AM:!(;t"</f>
        <v>#VALUE!</v>
      </c>
      <c r="DV162" s="97" t="e">
        <f>'Actual Value'!M9+"AM:!(;u"</f>
        <v>#VALUE!</v>
      </c>
      <c r="DW162" s="97" t="e">
        <f>'Actual Value'!N9+"AM:!(;v"</f>
        <v>#VALUE!</v>
      </c>
      <c r="DX162" s="97" t="e">
        <f>'Actual Value'!O9+"AM:!(;w"</f>
        <v>#VALUE!</v>
      </c>
      <c r="DY162" t="e">
        <f>'Actual Value'!P9+"AM:!(;x"</f>
        <v>#VALUE!</v>
      </c>
      <c r="DZ162" t="e">
        <f>'Actual Value'!Q9+"AM:!(;y"</f>
        <v>#VALUE!</v>
      </c>
      <c r="EA162" t="e">
        <f>'Actual Value'!R9+"AM:!(;z"</f>
        <v>#VALUE!</v>
      </c>
      <c r="EB162" t="e">
        <f>'Actual Value'!S9+"AM:!(;{"</f>
        <v>#VALUE!</v>
      </c>
      <c r="EC162" t="e">
        <f>'Actual Value'!T9+"AM:!(;|"</f>
        <v>#VALUE!</v>
      </c>
      <c r="ED162" t="e">
        <f>'Actual Value'!U9+"AM:!(;}"</f>
        <v>#VALUE!</v>
      </c>
      <c r="EE162" t="e">
        <f>'Actual Value'!V9+"AM:!(;~"</f>
        <v>#VALUE!</v>
      </c>
      <c r="EF162" t="e">
        <f>'Actual Value'!W9+"AM:!(&lt;#"</f>
        <v>#VALUE!</v>
      </c>
      <c r="EG162" t="e">
        <f>'Actual Value'!X9+"AM:!(&lt;$"</f>
        <v>#VALUE!</v>
      </c>
      <c r="EH162" t="e">
        <f>'Actual Value'!Y9+"AM:!(&lt;%"</f>
        <v>#VALUE!</v>
      </c>
      <c r="EI162" t="e">
        <f>'Actual Value'!Z9+"AM:!(&lt;&amp;"</f>
        <v>#VALUE!</v>
      </c>
      <c r="EJ162" t="e">
        <f>'Actual Value'!AA9+"AM:!(&lt;'"</f>
        <v>#VALUE!</v>
      </c>
      <c r="EK162" t="e">
        <f>'Actual Value'!AB9+"AM:!(&lt;("</f>
        <v>#VALUE!</v>
      </c>
      <c r="EL162" t="e">
        <f>'Actual Value'!AC9+"AM:!(&lt;)"</f>
        <v>#VALUE!</v>
      </c>
      <c r="EM162" t="e">
        <f>'Actual Value'!AD9+"AM:!(&lt;."</f>
        <v>#VALUE!</v>
      </c>
      <c r="EN162" t="e">
        <f>'Actual Value'!AE9+"AM:!(&lt;/"</f>
        <v>#VALUE!</v>
      </c>
      <c r="EO162" t="e">
        <f>'Actual Value'!AF9+"AM:!(&lt;0"</f>
        <v>#VALUE!</v>
      </c>
      <c r="EP162" t="e">
        <f>'Actual Value'!AG9+"AM:!(&lt;1"</f>
        <v>#VALUE!</v>
      </c>
      <c r="EQ162" t="e">
        <f>'Actual Value'!AH9+"AM:!(&lt;2"</f>
        <v>#VALUE!</v>
      </c>
      <c r="ER162" t="e">
        <f>'Actual Value'!AI9+"AM:!(&lt;3"</f>
        <v>#VALUE!</v>
      </c>
      <c r="ES162" t="e">
        <f>'Actual Value'!AJ9+"AM:!(&lt;4"</f>
        <v>#VALUE!</v>
      </c>
      <c r="ET162" t="e">
        <f>'Actual Value'!AK9+"AM:!(&lt;5"</f>
        <v>#VALUE!</v>
      </c>
      <c r="EU162" t="e">
        <f>'Actual Value'!AL9+"AM:!(&lt;6"</f>
        <v>#VALUE!</v>
      </c>
      <c r="EV162" t="e">
        <f>'Actual Value'!AM9+"AM:!(&lt;7"</f>
        <v>#VALUE!</v>
      </c>
      <c r="EW162" t="e">
        <f>'Actual Value'!AN9+"AM:!(&lt;8"</f>
        <v>#VALUE!</v>
      </c>
      <c r="EX162" t="e">
        <f>'Actual Value'!AO9+"AM:!(&lt;9"</f>
        <v>#VALUE!</v>
      </c>
      <c r="EY162" t="e">
        <f>'Actual Value'!AP9+"AM:!(&lt;:"</f>
        <v>#VALUE!</v>
      </c>
      <c r="EZ162" t="e">
        <f>'Actual Value'!AQ9+"AM:!(&lt;;"</f>
        <v>#VALUE!</v>
      </c>
      <c r="FA162" t="e">
        <f>'Actual Value'!AR9+"AM:!(&lt;&lt;"</f>
        <v>#VALUE!</v>
      </c>
      <c r="FB162" t="e">
        <f>'Actual Value'!AS9+"AM:!(&lt;="</f>
        <v>#VALUE!</v>
      </c>
      <c r="FC162" t="e">
        <f>'Actual Value'!AT9+"AM:!(&lt;&gt;"</f>
        <v>#VALUE!</v>
      </c>
      <c r="FD162" t="e">
        <f>'Actual Value'!AU9+"AM:!(&lt;?"</f>
        <v>#VALUE!</v>
      </c>
      <c r="FE162" t="e">
        <f>'Actual Value'!AV9+"AM:!(&lt;@"</f>
        <v>#VALUE!</v>
      </c>
      <c r="FF162" t="e">
        <f>'Actual Value'!AW9+"AM:!(&lt;A"</f>
        <v>#VALUE!</v>
      </c>
      <c r="FG162" t="e">
        <f>'Actual Value'!A11+"AM:!(&lt;B"</f>
        <v>#VALUE!</v>
      </c>
      <c r="FH162" t="e">
        <f>'Actual Value'!B11+"AM:!(&lt;C"</f>
        <v>#VALUE!</v>
      </c>
      <c r="FI162" t="e">
        <f>'Actual Value'!C11+"AM:!(&lt;D"</f>
        <v>#VALUE!</v>
      </c>
      <c r="FJ162" s="97" t="e">
        <f ca="1">'Actual Value'!D11+"AM:!(&lt;E"</f>
        <v>#VALUE!</v>
      </c>
      <c r="FK162" s="97" t="e">
        <f>'Actual Value'!E11+"AM:!(&lt;F"</f>
        <v>#VALUE!</v>
      </c>
      <c r="FL162" s="100" t="e">
        <f>'Actual Value'!F11+"AM:!(&lt;G"</f>
        <v>#VALUE!</v>
      </c>
      <c r="FM162" s="97" t="e">
        <f>'Actual Value'!G11+"AM:!(&lt;H"</f>
        <v>#VALUE!</v>
      </c>
      <c r="FN162" s="97" t="e">
        <f>'Actual Value'!H11+"AM:!(&lt;I"</f>
        <v>#VALUE!</v>
      </c>
      <c r="FO162" s="97" t="e">
        <f ca="1">'Actual Value'!I11+"AM:!(&lt;J"</f>
        <v>#VALUE!</v>
      </c>
      <c r="FP162" s="97" t="e">
        <f ca="1">'Actual Value'!J11+"AM:!(&lt;K"</f>
        <v>#VALUE!</v>
      </c>
      <c r="FQ162" s="97" t="e">
        <f>'Actual Value'!K11+"AM:!(&lt;L"</f>
        <v>#VALUE!</v>
      </c>
      <c r="FR162" s="97" t="e">
        <f>'Actual Value'!L11+"AM:!(&lt;M"</f>
        <v>#VALUE!</v>
      </c>
      <c r="FS162" s="97" t="e">
        <f>'Actual Value'!M11+"AM:!(&lt;N"</f>
        <v>#VALUE!</v>
      </c>
      <c r="FT162" s="97" t="e">
        <f>'Actual Value'!N11+"AM:!(&lt;O"</f>
        <v>#VALUE!</v>
      </c>
      <c r="FU162" s="97" t="e">
        <f>'Actual Value'!O11+"AM:!(&lt;P"</f>
        <v>#VALUE!</v>
      </c>
      <c r="FV162" t="e">
        <f>'Actual Value'!P11+"AM:!(&lt;Q"</f>
        <v>#VALUE!</v>
      </c>
      <c r="FW162" t="e">
        <f>'Actual Value'!Q11+"AM:!(&lt;R"</f>
        <v>#VALUE!</v>
      </c>
      <c r="FX162" t="e">
        <f>'Actual Value'!R11+"AM:!(&lt;S"</f>
        <v>#VALUE!</v>
      </c>
      <c r="FY162" t="e">
        <f>'Actual Value'!S11+"AM:!(&lt;T"</f>
        <v>#VALUE!</v>
      </c>
      <c r="FZ162" t="e">
        <f>'Actual Value'!T11+"AM:!(&lt;U"</f>
        <v>#VALUE!</v>
      </c>
      <c r="GA162" t="e">
        <f>'Actual Value'!U11+"AM:!(&lt;V"</f>
        <v>#VALUE!</v>
      </c>
      <c r="GB162" t="e">
        <f>'Actual Value'!V11+"AM:!(&lt;W"</f>
        <v>#VALUE!</v>
      </c>
      <c r="GC162" t="e">
        <f>'Actual Value'!W11+"AM:!(&lt;X"</f>
        <v>#VALUE!</v>
      </c>
      <c r="GD162" t="e">
        <f>'Actual Value'!X11+"AM:!(&lt;Y"</f>
        <v>#VALUE!</v>
      </c>
      <c r="GE162" t="e">
        <f>'Actual Value'!Y11+"AM:!(&lt;Z"</f>
        <v>#VALUE!</v>
      </c>
      <c r="GF162" t="e">
        <f>'Actual Value'!Z11+"AM:!(&lt;["</f>
        <v>#VALUE!</v>
      </c>
      <c r="GG162" t="e">
        <f>'Actual Value'!AA11+"AM:!(&lt;\"</f>
        <v>#VALUE!</v>
      </c>
      <c r="GH162" t="e">
        <f>'Actual Value'!AB11+"AM:!(&lt;]"</f>
        <v>#VALUE!</v>
      </c>
      <c r="GI162" t="e">
        <f>'Actual Value'!AC11+"AM:!(&lt;^"</f>
        <v>#VALUE!</v>
      </c>
      <c r="GJ162" t="e">
        <f>'Actual Value'!AD11+"AM:!(&lt;_"</f>
        <v>#VALUE!</v>
      </c>
      <c r="GK162" t="e">
        <f>'Actual Value'!AE11+"AM:!(&lt;`"</f>
        <v>#VALUE!</v>
      </c>
      <c r="GL162" t="e">
        <f>'Actual Value'!AF11+"AM:!(&lt;a"</f>
        <v>#VALUE!</v>
      </c>
      <c r="GM162" t="e">
        <f>'Actual Value'!AG11+"AM:!(&lt;b"</f>
        <v>#VALUE!</v>
      </c>
      <c r="GN162" t="e">
        <f>'Actual Value'!AH11+"AM:!(&lt;c"</f>
        <v>#VALUE!</v>
      </c>
      <c r="GO162" t="e">
        <f>'Actual Value'!AI11+"AM:!(&lt;d"</f>
        <v>#VALUE!</v>
      </c>
      <c r="GP162" t="e">
        <f>'Actual Value'!AJ11+"AM:!(&lt;e"</f>
        <v>#VALUE!</v>
      </c>
      <c r="GQ162" t="e">
        <f>'Actual Value'!AK11+"AM:!(&lt;f"</f>
        <v>#VALUE!</v>
      </c>
      <c r="GR162" t="e">
        <f>'Actual Value'!AL11+"AM:!(&lt;g"</f>
        <v>#VALUE!</v>
      </c>
      <c r="GS162" t="e">
        <f>'Actual Value'!AM11+"AM:!(&lt;h"</f>
        <v>#VALUE!</v>
      </c>
      <c r="GT162" t="e">
        <f>'Actual Value'!AN11+"AM:!(&lt;i"</f>
        <v>#VALUE!</v>
      </c>
      <c r="GU162" t="e">
        <f>'Actual Value'!AO11+"AM:!(&lt;j"</f>
        <v>#VALUE!</v>
      </c>
      <c r="GV162" t="e">
        <f>'Actual Value'!AP11+"AM:!(&lt;k"</f>
        <v>#VALUE!</v>
      </c>
      <c r="GW162" t="e">
        <f>'Actual Value'!AQ11+"AM:!(&lt;l"</f>
        <v>#VALUE!</v>
      </c>
      <c r="GX162" t="e">
        <f>'Actual Value'!AR11+"AM:!(&lt;m"</f>
        <v>#VALUE!</v>
      </c>
      <c r="GY162" t="e">
        <f>'Actual Value'!AS11+"AM:!(&lt;n"</f>
        <v>#VALUE!</v>
      </c>
      <c r="GZ162" t="e">
        <f>'Actual Value'!AT11+"AM:!(&lt;o"</f>
        <v>#VALUE!</v>
      </c>
      <c r="HA162" t="e">
        <f>'Actual Value'!AU11+"AM:!(&lt;p"</f>
        <v>#VALUE!</v>
      </c>
      <c r="HB162" t="e">
        <f>'Actual Value'!AV11+"AM:!(&lt;q"</f>
        <v>#VALUE!</v>
      </c>
      <c r="HC162" t="e">
        <f>'Actual Value'!AW11+"AM:!(&lt;r"</f>
        <v>#VALUE!</v>
      </c>
      <c r="HD162" t="e">
        <f>'Actual Value'!A13+"AM:!(&lt;s"</f>
        <v>#VALUE!</v>
      </c>
      <c r="HE162" t="e">
        <f>'Actual Value'!B13+"AM:!(&lt;t"</f>
        <v>#VALUE!</v>
      </c>
      <c r="HF162" t="e">
        <f>'Actual Value'!C13+"AM:!(&lt;u"</f>
        <v>#VALUE!</v>
      </c>
      <c r="HG162" t="e">
        <f>'Actual Value'!D13+"AM:!(&lt;v"</f>
        <v>#VALUE!</v>
      </c>
      <c r="HH162" t="e">
        <f>'Actual Value'!E13+"AM:!(&lt;w"</f>
        <v>#VALUE!</v>
      </c>
      <c r="HI162" t="e">
        <f>'Actual Value'!F13+"AM:!(&lt;x"</f>
        <v>#VALUE!</v>
      </c>
      <c r="HJ162" t="e">
        <f>'Actual Value'!G13+"AM:!(&lt;y"</f>
        <v>#VALUE!</v>
      </c>
      <c r="HK162" t="e">
        <f>'Actual Value'!H13+"AM:!(&lt;z"</f>
        <v>#VALUE!</v>
      </c>
      <c r="HL162" t="e">
        <f>'Actual Value'!I13+"AM:!(&lt;{"</f>
        <v>#VALUE!</v>
      </c>
      <c r="HM162" t="e">
        <f>'Actual Value'!J13+"AM:!(&lt;|"</f>
        <v>#VALUE!</v>
      </c>
      <c r="HN162" t="e">
        <f>'Actual Value'!K13+"AM:!(&lt;}"</f>
        <v>#VALUE!</v>
      </c>
      <c r="HO162" t="e">
        <f>'Actual Value'!L13+"AM:!(&lt;~"</f>
        <v>#VALUE!</v>
      </c>
      <c r="HP162" t="e">
        <f>'Actual Value'!M13+"AM:!(=#"</f>
        <v>#VALUE!</v>
      </c>
      <c r="HQ162" t="e">
        <f>'Actual Value'!N13+"AM:!(=$"</f>
        <v>#VALUE!</v>
      </c>
      <c r="HR162" t="e">
        <f>'Actual Value'!O13+"AM:!(=%"</f>
        <v>#VALUE!</v>
      </c>
      <c r="HS162" t="e">
        <f>'Actual Value'!P13+"AM:!(=&amp;"</f>
        <v>#VALUE!</v>
      </c>
      <c r="HT162" t="e">
        <f>'Actual Value'!Q13+"AM:!(='"</f>
        <v>#VALUE!</v>
      </c>
      <c r="HU162" t="e">
        <f>'Actual Value'!R13+"AM:!(=("</f>
        <v>#VALUE!</v>
      </c>
      <c r="HV162" t="e">
        <f>'Actual Value'!S13+"AM:!(=)"</f>
        <v>#VALUE!</v>
      </c>
      <c r="HW162" t="e">
        <f>'Actual Value'!T13+"AM:!(=."</f>
        <v>#VALUE!</v>
      </c>
      <c r="HX162" t="e">
        <f>'Actual Value'!U13+"AM:!(=/"</f>
        <v>#VALUE!</v>
      </c>
      <c r="HY162" t="e">
        <f>'Actual Value'!V13+"AM:!(=0"</f>
        <v>#VALUE!</v>
      </c>
      <c r="HZ162" t="e">
        <f>'Actual Value'!W13+"AM:!(=1"</f>
        <v>#VALUE!</v>
      </c>
      <c r="IA162" t="e">
        <f>'Actual Value'!X13+"AM:!(=2"</f>
        <v>#VALUE!</v>
      </c>
      <c r="IB162" t="e">
        <f>'Actual Value'!Y13+"AM:!(=3"</f>
        <v>#VALUE!</v>
      </c>
      <c r="IC162" t="e">
        <f>'Actual Value'!Z13+"AM:!(=4"</f>
        <v>#VALUE!</v>
      </c>
      <c r="ID162" t="e">
        <f>'Actual Value'!AA13+"AM:!(=5"</f>
        <v>#VALUE!</v>
      </c>
      <c r="IE162" t="e">
        <f>'Actual Value'!AB13+"AM:!(=6"</f>
        <v>#VALUE!</v>
      </c>
      <c r="IF162" t="e">
        <f>'Actual Value'!AC13+"AM:!(=7"</f>
        <v>#VALUE!</v>
      </c>
      <c r="IG162" t="e">
        <f>'Actual Value'!AD13+"AM:!(=8"</f>
        <v>#VALUE!</v>
      </c>
      <c r="IH162" t="e">
        <f>'Actual Value'!AE13+"AM:!(=9"</f>
        <v>#VALUE!</v>
      </c>
      <c r="II162" t="e">
        <f>'Actual Value'!AF13+"AM:!(=:"</f>
        <v>#VALUE!</v>
      </c>
      <c r="IJ162" t="e">
        <f>'Actual Value'!AG13+"AM:!(=;"</f>
        <v>#VALUE!</v>
      </c>
      <c r="IK162" t="e">
        <f>'Actual Value'!AH13+"AM:!(=&lt;"</f>
        <v>#VALUE!</v>
      </c>
      <c r="IL162" t="e">
        <f>'Actual Value'!AI13+"AM:!(=="</f>
        <v>#VALUE!</v>
      </c>
      <c r="IM162" t="e">
        <f>'Actual Value'!AJ13+"AM:!(=&gt;"</f>
        <v>#VALUE!</v>
      </c>
      <c r="IN162" t="e">
        <f>'Actual Value'!AK13+"AM:!(=?"</f>
        <v>#VALUE!</v>
      </c>
      <c r="IO162" t="e">
        <f>'Actual Value'!AL13+"AM:!(=@"</f>
        <v>#VALUE!</v>
      </c>
      <c r="IP162" t="e">
        <f>'Actual Value'!AM13+"AM:!(=A"</f>
        <v>#VALUE!</v>
      </c>
      <c r="IQ162" t="e">
        <f>'Actual Value'!AN13+"AM:!(=B"</f>
        <v>#VALUE!</v>
      </c>
      <c r="IR162" t="e">
        <f>'Actual Value'!AO13+"AM:!(=C"</f>
        <v>#VALUE!</v>
      </c>
      <c r="IS162" t="e">
        <f>'Actual Value'!AP13+"AM:!(=D"</f>
        <v>#VALUE!</v>
      </c>
      <c r="IT162" t="e">
        <f>'Actual Value'!AQ13+"AM:!(=E"</f>
        <v>#VALUE!</v>
      </c>
      <c r="IU162" t="e">
        <f>'Actual Value'!AR13+"AM:!(=F"</f>
        <v>#VALUE!</v>
      </c>
      <c r="IV162" t="e">
        <f>'Actual Value'!AS13+"AM:!(=G"</f>
        <v>#VALUE!</v>
      </c>
    </row>
    <row r="163" spans="6:256">
      <c r="F163" t="e">
        <f>'Actual Value'!AT13+"AM:!(=H"</f>
        <v>#VALUE!</v>
      </c>
      <c r="G163" t="e">
        <f>'Actual Value'!AU13+"AM:!(=I"</f>
        <v>#VALUE!</v>
      </c>
      <c r="H163" t="e">
        <f>'Actual Value'!AV13+"AM:!(=J"</f>
        <v>#VALUE!</v>
      </c>
      <c r="I163" t="e">
        <f>'Actual Value'!AW13+"AM:!(=K"</f>
        <v>#VALUE!</v>
      </c>
      <c r="J163" t="e">
        <f>'Actual Value'!A14+"AM:!(=L"</f>
        <v>#VALUE!</v>
      </c>
      <c r="K163" t="e">
        <f>'Actual Value'!B14+"AM:!(=M"</f>
        <v>#VALUE!</v>
      </c>
      <c r="L163" t="e">
        <f>'Actual Value'!C14+"AM:!(=N"</f>
        <v>#VALUE!</v>
      </c>
      <c r="M163" t="e">
        <f>'Actual Value'!D14+"AM:!(=O"</f>
        <v>#VALUE!</v>
      </c>
      <c r="N163" t="e">
        <f>'Actual Value'!E14+"AM:!(=P"</f>
        <v>#VALUE!</v>
      </c>
      <c r="O163" t="e">
        <f>'Actual Value'!F14+"AM:!(=Q"</f>
        <v>#VALUE!</v>
      </c>
      <c r="P163" t="e">
        <f>'Actual Value'!G14+"AM:!(=R"</f>
        <v>#VALUE!</v>
      </c>
      <c r="Q163" t="e">
        <f>'Actual Value'!H14+"AM:!(=S"</f>
        <v>#VALUE!</v>
      </c>
      <c r="R163" t="e">
        <f>'Actual Value'!I14+"AM:!(=T"</f>
        <v>#VALUE!</v>
      </c>
      <c r="S163" t="e">
        <f>'Actual Value'!J14+"AM:!(=U"</f>
        <v>#VALUE!</v>
      </c>
      <c r="T163" t="e">
        <f>'Actual Value'!K14+"AM:!(=V"</f>
        <v>#VALUE!</v>
      </c>
      <c r="U163" t="e">
        <f>'Actual Value'!L14+"AM:!(=W"</f>
        <v>#VALUE!</v>
      </c>
      <c r="V163" t="e">
        <f>'Actual Value'!M14+"AM:!(=X"</f>
        <v>#VALUE!</v>
      </c>
      <c r="W163" t="e">
        <f>'Actual Value'!N14+"AM:!(=Y"</f>
        <v>#VALUE!</v>
      </c>
      <c r="X163" t="e">
        <f>'Actual Value'!O14+"AM:!(=Z"</f>
        <v>#VALUE!</v>
      </c>
      <c r="Y163" t="e">
        <f>'Actual Value'!P14+"AM:!(=["</f>
        <v>#VALUE!</v>
      </c>
      <c r="Z163" t="e">
        <f>'Actual Value'!Q14+"AM:!(=\"</f>
        <v>#VALUE!</v>
      </c>
      <c r="AA163" t="e">
        <f>'Actual Value'!R14+"AM:!(=]"</f>
        <v>#VALUE!</v>
      </c>
      <c r="AB163" t="e">
        <f>'Actual Value'!S14+"AM:!(=^"</f>
        <v>#VALUE!</v>
      </c>
      <c r="AC163" t="e">
        <f>'Actual Value'!T14+"AM:!(=_"</f>
        <v>#VALUE!</v>
      </c>
      <c r="AD163" t="e">
        <f>'Actual Value'!U14+"AM:!(=`"</f>
        <v>#VALUE!</v>
      </c>
      <c r="AE163" t="e">
        <f>'Actual Value'!V14+"AM:!(=a"</f>
        <v>#VALUE!</v>
      </c>
      <c r="AF163" t="e">
        <f>'Actual Value'!W14+"AM:!(=b"</f>
        <v>#VALUE!</v>
      </c>
      <c r="AG163" t="e">
        <f>'Actual Value'!X14+"AM:!(=c"</f>
        <v>#VALUE!</v>
      </c>
      <c r="AH163" t="e">
        <f>'Actual Value'!Y14+"AM:!(=d"</f>
        <v>#VALUE!</v>
      </c>
      <c r="AI163" t="e">
        <f>'Actual Value'!Z14+"AM:!(=e"</f>
        <v>#VALUE!</v>
      </c>
      <c r="AJ163" t="e">
        <f>'Actual Value'!AA14+"AM:!(=f"</f>
        <v>#VALUE!</v>
      </c>
      <c r="AK163" t="e">
        <f>'Actual Value'!AB14+"AM:!(=g"</f>
        <v>#VALUE!</v>
      </c>
      <c r="AL163" t="e">
        <f>'Actual Value'!AC14+"AM:!(=h"</f>
        <v>#VALUE!</v>
      </c>
      <c r="AM163" t="e">
        <f>'Actual Value'!AD14+"AM:!(=i"</f>
        <v>#VALUE!</v>
      </c>
      <c r="AN163" t="e">
        <f>'Actual Value'!AE14+"AM:!(=j"</f>
        <v>#VALUE!</v>
      </c>
      <c r="AO163" t="e">
        <f>'Actual Value'!AF14+"AM:!(=k"</f>
        <v>#VALUE!</v>
      </c>
      <c r="AP163" t="e">
        <f>'Actual Value'!AG14+"AM:!(=l"</f>
        <v>#VALUE!</v>
      </c>
      <c r="AQ163" t="e">
        <f>'Actual Value'!AH14+"AM:!(=m"</f>
        <v>#VALUE!</v>
      </c>
      <c r="AR163" t="e">
        <f>'Actual Value'!AI14+"AM:!(=n"</f>
        <v>#VALUE!</v>
      </c>
      <c r="AS163" t="e">
        <f>'Actual Value'!AJ14+"AM:!(=o"</f>
        <v>#VALUE!</v>
      </c>
      <c r="AT163" t="e">
        <f>'Actual Value'!AK14+"AM:!(=p"</f>
        <v>#VALUE!</v>
      </c>
      <c r="AU163" t="e">
        <f>'Actual Value'!AL14+"AM:!(=q"</f>
        <v>#VALUE!</v>
      </c>
      <c r="AV163" t="e">
        <f>'Actual Value'!AM14+"AM:!(=r"</f>
        <v>#VALUE!</v>
      </c>
      <c r="AW163" t="e">
        <f>'Actual Value'!AN14+"AM:!(=s"</f>
        <v>#VALUE!</v>
      </c>
      <c r="AX163" t="e">
        <f>'Actual Value'!AO14+"AM:!(=t"</f>
        <v>#VALUE!</v>
      </c>
      <c r="AY163" t="e">
        <f>'Actual Value'!AP14+"AM:!(=u"</f>
        <v>#VALUE!</v>
      </c>
      <c r="AZ163" t="e">
        <f>'Actual Value'!AQ14+"AM:!(=v"</f>
        <v>#VALUE!</v>
      </c>
      <c r="BA163" t="e">
        <f>'Actual Value'!AR14+"AM:!(=w"</f>
        <v>#VALUE!</v>
      </c>
      <c r="BB163" t="e">
        <f>'Actual Value'!AS14+"AM:!(=x"</f>
        <v>#VALUE!</v>
      </c>
      <c r="BC163" t="e">
        <f>'Actual Value'!AT14+"AM:!(=y"</f>
        <v>#VALUE!</v>
      </c>
      <c r="BD163" t="e">
        <f>'Actual Value'!AU14+"AM:!(=z"</f>
        <v>#VALUE!</v>
      </c>
      <c r="BE163" t="e">
        <f>'Actual Value'!AV14+"AM:!(={"</f>
        <v>#VALUE!</v>
      </c>
      <c r="BF163" t="e">
        <f>'Actual Value'!AW14+"AM:!(=|"</f>
        <v>#VALUE!</v>
      </c>
      <c r="BG163" t="e">
        <f>'Actual Value'!A15+"AM:!(=}"</f>
        <v>#VALUE!</v>
      </c>
      <c r="BH163" t="e">
        <f>'Actual Value'!B15+"AM:!(=~"</f>
        <v>#VALUE!</v>
      </c>
      <c r="BI163" t="e">
        <f>'Actual Value'!C15+"AM:!(&gt;#"</f>
        <v>#VALUE!</v>
      </c>
      <c r="BJ163" t="e">
        <f>'Actual Value'!D15+"AM:!(&gt;$"</f>
        <v>#VALUE!</v>
      </c>
      <c r="BK163" t="e">
        <f>'Actual Value'!E15+"AM:!(&gt;%"</f>
        <v>#VALUE!</v>
      </c>
      <c r="BL163" t="e">
        <f>'Actual Value'!F15+"AM:!(&gt;&amp;"</f>
        <v>#VALUE!</v>
      </c>
      <c r="BM163" t="e">
        <f>'Actual Value'!G15+"AM:!(&gt;'"</f>
        <v>#VALUE!</v>
      </c>
      <c r="BN163" t="e">
        <f>'Actual Value'!H15+"AM:!(&gt;("</f>
        <v>#VALUE!</v>
      </c>
      <c r="BO163" t="e">
        <f>'Actual Value'!I15+"AM:!(&gt;)"</f>
        <v>#VALUE!</v>
      </c>
      <c r="BP163" t="e">
        <f>'Actual Value'!J15+"AM:!(&gt;."</f>
        <v>#VALUE!</v>
      </c>
      <c r="BQ163" t="e">
        <f>'Actual Value'!K15+"AM:!(&gt;/"</f>
        <v>#VALUE!</v>
      </c>
      <c r="BR163" t="e">
        <f>'Actual Value'!L15+"AM:!(&gt;0"</f>
        <v>#VALUE!</v>
      </c>
      <c r="BS163" t="e">
        <f>'Actual Value'!M15+"AM:!(&gt;1"</f>
        <v>#VALUE!</v>
      </c>
      <c r="BT163" t="e">
        <f>'Actual Value'!N15+"AM:!(&gt;2"</f>
        <v>#VALUE!</v>
      </c>
      <c r="BU163" t="e">
        <f>'Actual Value'!O15+"AM:!(&gt;3"</f>
        <v>#VALUE!</v>
      </c>
      <c r="BV163" t="e">
        <f>'Actual Value'!P15+"AM:!(&gt;4"</f>
        <v>#VALUE!</v>
      </c>
      <c r="BW163" t="e">
        <f>'Actual Value'!Q15+"AM:!(&gt;5"</f>
        <v>#VALUE!</v>
      </c>
      <c r="BX163" t="e">
        <f>'Actual Value'!R15+"AM:!(&gt;6"</f>
        <v>#VALUE!</v>
      </c>
      <c r="BY163" t="e">
        <f>'Actual Value'!S15+"AM:!(&gt;7"</f>
        <v>#VALUE!</v>
      </c>
      <c r="BZ163" t="e">
        <f>'Actual Value'!T15+"AM:!(&gt;8"</f>
        <v>#VALUE!</v>
      </c>
      <c r="CA163" t="e">
        <f>'Actual Value'!U15+"AM:!(&gt;9"</f>
        <v>#VALUE!</v>
      </c>
      <c r="CB163" t="e">
        <f>'Actual Value'!V15+"AM:!(&gt;:"</f>
        <v>#VALUE!</v>
      </c>
      <c r="CC163" t="e">
        <f>'Actual Value'!W15+"AM:!(&gt;;"</f>
        <v>#VALUE!</v>
      </c>
      <c r="CD163" t="e">
        <f>'Actual Value'!X15+"AM:!(&gt;&lt;"</f>
        <v>#VALUE!</v>
      </c>
      <c r="CE163" t="e">
        <f>'Actual Value'!Y15+"AM:!(&gt;="</f>
        <v>#VALUE!</v>
      </c>
      <c r="CF163" t="e">
        <f>'Actual Value'!Z15+"AM:!(&gt;&gt;"</f>
        <v>#VALUE!</v>
      </c>
      <c r="CG163" t="e">
        <f>'Actual Value'!AA15+"AM:!(&gt;?"</f>
        <v>#VALUE!</v>
      </c>
      <c r="CH163" t="e">
        <f>'Actual Value'!AB15+"AM:!(&gt;@"</f>
        <v>#VALUE!</v>
      </c>
      <c r="CI163" t="e">
        <f>'Actual Value'!AC15+"AM:!(&gt;A"</f>
        <v>#VALUE!</v>
      </c>
      <c r="CJ163" t="e">
        <f>'Actual Value'!AD15+"AM:!(&gt;B"</f>
        <v>#VALUE!</v>
      </c>
      <c r="CK163" t="e">
        <f>'Actual Value'!AE15+"AM:!(&gt;C"</f>
        <v>#VALUE!</v>
      </c>
      <c r="CL163" t="e">
        <f>'Actual Value'!AF15+"AM:!(&gt;D"</f>
        <v>#VALUE!</v>
      </c>
      <c r="CM163" t="e">
        <f>'Actual Value'!AG15+"AM:!(&gt;E"</f>
        <v>#VALUE!</v>
      </c>
      <c r="CN163" t="e">
        <f>'Actual Value'!AH15+"AM:!(&gt;F"</f>
        <v>#VALUE!</v>
      </c>
      <c r="CO163" t="e">
        <f>'Actual Value'!AI15+"AM:!(&gt;G"</f>
        <v>#VALUE!</v>
      </c>
      <c r="CP163" t="e">
        <f>'Actual Value'!AJ15+"AM:!(&gt;H"</f>
        <v>#VALUE!</v>
      </c>
      <c r="CQ163" t="e">
        <f>'Actual Value'!AK15+"AM:!(&gt;I"</f>
        <v>#VALUE!</v>
      </c>
      <c r="CR163" t="e">
        <f>'Actual Value'!AL15+"AM:!(&gt;J"</f>
        <v>#VALUE!</v>
      </c>
      <c r="CS163" t="e">
        <f>'Actual Value'!AM15+"AM:!(&gt;K"</f>
        <v>#VALUE!</v>
      </c>
      <c r="CT163" t="e">
        <f>'Actual Value'!AN15+"AM:!(&gt;L"</f>
        <v>#VALUE!</v>
      </c>
      <c r="CU163" t="e">
        <f>'Actual Value'!AO15+"AM:!(&gt;M"</f>
        <v>#VALUE!</v>
      </c>
      <c r="CV163" t="e">
        <f>'Actual Value'!AP15+"AM:!(&gt;N"</f>
        <v>#VALUE!</v>
      </c>
      <c r="CW163" t="e">
        <f>'Actual Value'!AQ15+"AM:!(&gt;O"</f>
        <v>#VALUE!</v>
      </c>
      <c r="CX163" t="e">
        <f>'Actual Value'!AR15+"AM:!(&gt;P"</f>
        <v>#VALUE!</v>
      </c>
      <c r="CY163" t="e">
        <f>'Actual Value'!AS15+"AM:!(&gt;Q"</f>
        <v>#VALUE!</v>
      </c>
      <c r="CZ163" t="e">
        <f>'Actual Value'!AT15+"AM:!(&gt;R"</f>
        <v>#VALUE!</v>
      </c>
      <c r="DA163" t="e">
        <f>'Actual Value'!AU15+"AM:!(&gt;S"</f>
        <v>#VALUE!</v>
      </c>
      <c r="DB163" t="e">
        <f>'Actual Value'!AV15+"AM:!(&gt;T"</f>
        <v>#VALUE!</v>
      </c>
      <c r="DC163" t="e">
        <f>'Actual Value'!AW15+"AM:!(&gt;U"</f>
        <v>#VALUE!</v>
      </c>
      <c r="DD163" t="e">
        <f>'Actual Value'!A16+"AM:!(&gt;V"</f>
        <v>#VALUE!</v>
      </c>
      <c r="DE163" t="e">
        <f>'Actual Value'!B16+"AM:!(&gt;W"</f>
        <v>#VALUE!</v>
      </c>
      <c r="DF163" t="e">
        <f>'Actual Value'!C16+"AM:!(&gt;X"</f>
        <v>#VALUE!</v>
      </c>
      <c r="DG163" t="e">
        <f>'Actual Value'!D16+"AM:!(&gt;Y"</f>
        <v>#VALUE!</v>
      </c>
      <c r="DH163" t="e">
        <f>'Actual Value'!E16+"AM:!(&gt;Z"</f>
        <v>#VALUE!</v>
      </c>
      <c r="DI163" t="e">
        <f>'Actual Value'!F16+"AM:!(&gt;["</f>
        <v>#VALUE!</v>
      </c>
      <c r="DJ163" t="e">
        <f>'Actual Value'!G16+"AM:!(&gt;\"</f>
        <v>#VALUE!</v>
      </c>
      <c r="DK163" t="e">
        <f>'Actual Value'!H16+"AM:!(&gt;]"</f>
        <v>#VALUE!</v>
      </c>
      <c r="DL163" t="e">
        <f>'Actual Value'!I16+"AM:!(&gt;^"</f>
        <v>#VALUE!</v>
      </c>
      <c r="DM163" t="e">
        <f>'Actual Value'!J16+"AM:!(&gt;_"</f>
        <v>#VALUE!</v>
      </c>
      <c r="DN163" t="e">
        <f>'Actual Value'!K16+"AM:!(&gt;`"</f>
        <v>#VALUE!</v>
      </c>
      <c r="DO163" t="e">
        <f>'Actual Value'!L16+"AM:!(&gt;a"</f>
        <v>#VALUE!</v>
      </c>
      <c r="DP163" t="e">
        <f>'Actual Value'!M16+"AM:!(&gt;b"</f>
        <v>#VALUE!</v>
      </c>
      <c r="DQ163" t="e">
        <f>'Actual Value'!N16+"AM:!(&gt;c"</f>
        <v>#VALUE!</v>
      </c>
      <c r="DR163" t="e">
        <f>'Actual Value'!O16+"AM:!(&gt;d"</f>
        <v>#VALUE!</v>
      </c>
      <c r="DS163" t="e">
        <f>'Actual Value'!P16+"AM:!(&gt;e"</f>
        <v>#VALUE!</v>
      </c>
      <c r="DT163" t="e">
        <f>'Actual Value'!Q16+"AM:!(&gt;f"</f>
        <v>#VALUE!</v>
      </c>
      <c r="DU163" t="e">
        <f>'Actual Value'!R16+"AM:!(&gt;g"</f>
        <v>#VALUE!</v>
      </c>
      <c r="DV163" t="e">
        <f>'Actual Value'!S16+"AM:!(&gt;h"</f>
        <v>#VALUE!</v>
      </c>
      <c r="DW163" t="e">
        <f>'Actual Value'!T16+"AM:!(&gt;i"</f>
        <v>#VALUE!</v>
      </c>
      <c r="DX163" t="e">
        <f>'Actual Value'!U16+"AM:!(&gt;j"</f>
        <v>#VALUE!</v>
      </c>
      <c r="DY163" t="e">
        <f>'Actual Value'!V16+"AM:!(&gt;k"</f>
        <v>#VALUE!</v>
      </c>
      <c r="DZ163" t="e">
        <f>'Actual Value'!W16+"AM:!(&gt;l"</f>
        <v>#VALUE!</v>
      </c>
      <c r="EA163" t="e">
        <f>'Actual Value'!X16+"AM:!(&gt;m"</f>
        <v>#VALUE!</v>
      </c>
      <c r="EB163" t="e">
        <f>'Actual Value'!Y16+"AM:!(&gt;n"</f>
        <v>#VALUE!</v>
      </c>
      <c r="EC163" t="e">
        <f>'Actual Value'!Z16+"AM:!(&gt;o"</f>
        <v>#VALUE!</v>
      </c>
      <c r="ED163" t="e">
        <f>'Actual Value'!AA16+"AM:!(&gt;p"</f>
        <v>#VALUE!</v>
      </c>
      <c r="EE163" t="e">
        <f>'Actual Value'!AB16+"AM:!(&gt;q"</f>
        <v>#VALUE!</v>
      </c>
      <c r="EF163" t="e">
        <f>'Actual Value'!AC16+"AM:!(&gt;r"</f>
        <v>#VALUE!</v>
      </c>
      <c r="EG163" t="e">
        <f>'Actual Value'!AD16+"AM:!(&gt;s"</f>
        <v>#VALUE!</v>
      </c>
      <c r="EH163" t="e">
        <f>'Actual Value'!AE16+"AM:!(&gt;t"</f>
        <v>#VALUE!</v>
      </c>
      <c r="EI163" t="e">
        <f>'Actual Value'!AF16+"AM:!(&gt;u"</f>
        <v>#VALUE!</v>
      </c>
      <c r="EJ163" t="e">
        <f>'Actual Value'!AG16+"AM:!(&gt;v"</f>
        <v>#VALUE!</v>
      </c>
      <c r="EK163" t="e">
        <f>'Actual Value'!AH16+"AM:!(&gt;w"</f>
        <v>#VALUE!</v>
      </c>
      <c r="EL163" t="e">
        <f>'Actual Value'!AI16+"AM:!(&gt;x"</f>
        <v>#VALUE!</v>
      </c>
      <c r="EM163" t="e">
        <f>'Actual Value'!AJ16+"AM:!(&gt;y"</f>
        <v>#VALUE!</v>
      </c>
      <c r="EN163" t="e">
        <f>'Actual Value'!AK16+"AM:!(&gt;z"</f>
        <v>#VALUE!</v>
      </c>
      <c r="EO163" t="e">
        <f>'Actual Value'!AL16+"AM:!(&gt;{"</f>
        <v>#VALUE!</v>
      </c>
      <c r="EP163" t="e">
        <f>'Actual Value'!AM16+"AM:!(&gt;|"</f>
        <v>#VALUE!</v>
      </c>
      <c r="EQ163" t="e">
        <f>'Actual Value'!AN16+"AM:!(&gt;}"</f>
        <v>#VALUE!</v>
      </c>
      <c r="ER163" t="e">
        <f>'Actual Value'!AO16+"AM:!(&gt;~"</f>
        <v>#VALUE!</v>
      </c>
      <c r="ES163" t="e">
        <f>'Actual Value'!AP16+"AM:!(?#"</f>
        <v>#VALUE!</v>
      </c>
      <c r="ET163" t="e">
        <f>'Actual Value'!AQ16+"AM:!(?$"</f>
        <v>#VALUE!</v>
      </c>
      <c r="EU163" t="e">
        <f>'Actual Value'!AR16+"AM:!(?%"</f>
        <v>#VALUE!</v>
      </c>
      <c r="EV163" t="e">
        <f>'Actual Value'!AS16+"AM:!(?&amp;"</f>
        <v>#VALUE!</v>
      </c>
      <c r="EW163" t="e">
        <f>'Actual Value'!AT16+"AM:!(?'"</f>
        <v>#VALUE!</v>
      </c>
      <c r="EX163" t="e">
        <f>'Actual Value'!AU16+"AM:!(?("</f>
        <v>#VALUE!</v>
      </c>
      <c r="EY163" t="e">
        <f>'Actual Value'!AV16+"AM:!(?)"</f>
        <v>#VALUE!</v>
      </c>
      <c r="EZ163" t="e">
        <f>'Actual Value'!AW16+"AM:!(?."</f>
        <v>#VALUE!</v>
      </c>
      <c r="FA163" t="e">
        <f>'Actual Value'!A17+"AM:!(?/"</f>
        <v>#VALUE!</v>
      </c>
      <c r="FB163" t="e">
        <f>'Actual Value'!B17+"AM:!(?0"</f>
        <v>#VALUE!</v>
      </c>
      <c r="FC163" s="97" t="e">
        <f>'Actual Value'!C17+"AM:!(?1"</f>
        <v>#VALUE!</v>
      </c>
      <c r="FD163" s="97" t="e">
        <f>'Actual Value'!D17+"AM:!(?2"</f>
        <v>#VALUE!</v>
      </c>
      <c r="FE163" s="97" t="e">
        <f>'Actual Value'!E17+"AM:!(?3"</f>
        <v>#VALUE!</v>
      </c>
      <c r="FF163" s="97" t="e">
        <f>'Actual Value'!F17+"AM:!(?4"</f>
        <v>#VALUE!</v>
      </c>
      <c r="FG163" s="97" t="e">
        <f>'Actual Value'!G17+"AM:!(?5"</f>
        <v>#VALUE!</v>
      </c>
      <c r="FH163" s="97" t="e">
        <f>'Actual Value'!H17+"AM:!(?6"</f>
        <v>#VALUE!</v>
      </c>
      <c r="FI163" s="97" t="e">
        <f>'Actual Value'!I17+"AM:!(?7"</f>
        <v>#VALUE!</v>
      </c>
      <c r="FJ163" s="97" t="e">
        <f>'Actual Value'!J17+"AM:!(?8"</f>
        <v>#VALUE!</v>
      </c>
      <c r="FK163" s="97" t="e">
        <f>'Actual Value'!K17+"AM:!(?9"</f>
        <v>#VALUE!</v>
      </c>
      <c r="FL163" s="97" t="e">
        <f>'Actual Value'!L17+"AM:!(?:"</f>
        <v>#VALUE!</v>
      </c>
      <c r="FM163" s="97" t="e">
        <f>'Actual Value'!M17+"AM:!(?;"</f>
        <v>#VALUE!</v>
      </c>
      <c r="FN163" s="97" t="e">
        <f>'Actual Value'!N17+"AM:!(?&lt;"</f>
        <v>#VALUE!</v>
      </c>
      <c r="FO163" s="97" t="e">
        <f>'Actual Value'!O17+"AM:!(?="</f>
        <v>#VALUE!</v>
      </c>
      <c r="FP163" s="97" t="e">
        <f>'Actual Value'!P17+"AM:!(?&gt;"</f>
        <v>#VALUE!</v>
      </c>
      <c r="FQ163" s="97" t="e">
        <f>'Actual Value'!Q17+"AM:!(??"</f>
        <v>#VALUE!</v>
      </c>
      <c r="FR163" s="97" t="e">
        <f>'Actual Value'!R17+"AM:!(?@"</f>
        <v>#VALUE!</v>
      </c>
      <c r="FS163" s="97" t="e">
        <f>'Actual Value'!S17+"AM:!(?A"</f>
        <v>#VALUE!</v>
      </c>
      <c r="FT163" s="97" t="e">
        <f>'Actual Value'!T17+"AM:!(?B"</f>
        <v>#VALUE!</v>
      </c>
      <c r="FU163" s="97" t="e">
        <f>'Actual Value'!U17+"AM:!(?C"</f>
        <v>#VALUE!</v>
      </c>
      <c r="FV163" s="97" t="e">
        <f>'Actual Value'!V17+"AM:!(?D"</f>
        <v>#VALUE!</v>
      </c>
      <c r="FW163" s="97" t="e">
        <f>'Actual Value'!W17+"AM:!(?E"</f>
        <v>#VALUE!</v>
      </c>
      <c r="FX163" s="97" t="e">
        <f>'Actual Value'!X17+"AM:!(?F"</f>
        <v>#VALUE!</v>
      </c>
      <c r="FY163" s="97" t="e">
        <f>'Actual Value'!Y17+"AM:!(?G"</f>
        <v>#VALUE!</v>
      </c>
      <c r="FZ163" s="97" t="e">
        <f>'Actual Value'!Z17+"AM:!(?H"</f>
        <v>#VALUE!</v>
      </c>
      <c r="GA163" s="97" t="e">
        <f>'Actual Value'!AA17+"AM:!(?I"</f>
        <v>#VALUE!</v>
      </c>
      <c r="GB163" s="97" t="e">
        <f>'Actual Value'!AB17+"AM:!(?J"</f>
        <v>#VALUE!</v>
      </c>
      <c r="GC163" s="97" t="e">
        <f>'Actual Value'!AC17+"AM:!(?K"</f>
        <v>#VALUE!</v>
      </c>
      <c r="GD163" s="97" t="e">
        <f>'Actual Value'!AD17+"AM:!(?L"</f>
        <v>#VALUE!</v>
      </c>
      <c r="GE163" s="97" t="e">
        <f>'Actual Value'!AE17+"AM:!(?M"</f>
        <v>#VALUE!</v>
      </c>
      <c r="GF163" s="97" t="e">
        <f>'Actual Value'!AF17+"AM:!(?N"</f>
        <v>#VALUE!</v>
      </c>
      <c r="GG163" s="97" t="e">
        <f>'Actual Value'!AG17+"AM:!(?O"</f>
        <v>#VALUE!</v>
      </c>
      <c r="GH163" s="97" t="e">
        <f>'Actual Value'!AH17+"AM:!(?P"</f>
        <v>#VALUE!</v>
      </c>
      <c r="GI163" s="97" t="e">
        <f>'Actual Value'!AI17+"AM:!(?Q"</f>
        <v>#VALUE!</v>
      </c>
      <c r="GJ163" s="97" t="e">
        <f>'Actual Value'!AJ17+"AM:!(?R"</f>
        <v>#VALUE!</v>
      </c>
      <c r="GK163" s="97" t="e">
        <f>'Actual Value'!AK17+"AM:!(?S"</f>
        <v>#VALUE!</v>
      </c>
      <c r="GL163" s="97" t="e">
        <f>'Actual Value'!AL17+"AM:!(?T"</f>
        <v>#VALUE!</v>
      </c>
      <c r="GM163" s="97" t="e">
        <f>'Actual Value'!AM17+"AM:!(?U"</f>
        <v>#VALUE!</v>
      </c>
      <c r="GN163" s="97" t="e">
        <f>'Actual Value'!AN17+"AM:!(?V"</f>
        <v>#VALUE!</v>
      </c>
      <c r="GO163" s="97" t="e">
        <f>'Actual Value'!AO17+"AM:!(?W"</f>
        <v>#VALUE!</v>
      </c>
      <c r="GP163" t="e">
        <f>'Actual Value'!AP17+"AM:!(?X"</f>
        <v>#VALUE!</v>
      </c>
      <c r="GQ163" t="e">
        <f>'Actual Value'!AQ17+"AM:!(?Y"</f>
        <v>#VALUE!</v>
      </c>
      <c r="GR163" t="e">
        <f>'Actual Value'!AR17+"AM:!(?Z"</f>
        <v>#VALUE!</v>
      </c>
      <c r="GS163" t="e">
        <f>'Actual Value'!AS17+"AM:!(?["</f>
        <v>#VALUE!</v>
      </c>
      <c r="GT163" t="e">
        <f>'Actual Value'!AT17+"AM:!(?\"</f>
        <v>#VALUE!</v>
      </c>
      <c r="GU163" t="e">
        <f>'Actual Value'!AU17+"AM:!(?]"</f>
        <v>#VALUE!</v>
      </c>
      <c r="GV163" t="e">
        <f>'Actual Value'!AV17+"AM:!(?^"</f>
        <v>#VALUE!</v>
      </c>
      <c r="GW163" t="e">
        <f>'Actual Value'!AW17+"AM:!(?_"</f>
        <v>#VALUE!</v>
      </c>
      <c r="GX163" t="e">
        <f>'Actual Value'!A18+"AM:!(?`"</f>
        <v>#VALUE!</v>
      </c>
      <c r="GY163" t="e">
        <f>'Actual Value'!B18+"AM:!(?a"</f>
        <v>#VALUE!</v>
      </c>
      <c r="GZ163" t="e">
        <f>'Actual Value'!C18+"AM:!(?b"</f>
        <v>#VALUE!</v>
      </c>
      <c r="HA163" t="e">
        <f>'Actual Value'!D18+"AM:!(?c"</f>
        <v>#VALUE!</v>
      </c>
      <c r="HB163" t="e">
        <f>'Actual Value'!E18+"AM:!(?d"</f>
        <v>#VALUE!</v>
      </c>
      <c r="HC163" t="e">
        <f>'Actual Value'!F18+"AM:!(?e"</f>
        <v>#VALUE!</v>
      </c>
      <c r="HD163" t="e">
        <f>'Actual Value'!G18+"AM:!(?f"</f>
        <v>#VALUE!</v>
      </c>
      <c r="HE163" t="e">
        <f>'Actual Value'!H18+"AM:!(?g"</f>
        <v>#VALUE!</v>
      </c>
      <c r="HF163" t="e">
        <f>'Actual Value'!I18+"AM:!(?h"</f>
        <v>#VALUE!</v>
      </c>
      <c r="HG163" t="e">
        <f>'Actual Value'!J18+"AM:!(?i"</f>
        <v>#VALUE!</v>
      </c>
      <c r="HH163" t="e">
        <f>'Actual Value'!K18+"AM:!(?j"</f>
        <v>#VALUE!</v>
      </c>
      <c r="HI163" t="e">
        <f>'Actual Value'!L18+"AM:!(?k"</f>
        <v>#VALUE!</v>
      </c>
      <c r="HJ163" t="e">
        <f>'Actual Value'!M18+"AM:!(?l"</f>
        <v>#VALUE!</v>
      </c>
      <c r="HK163" t="e">
        <f>'Actual Value'!N18+"AM:!(?m"</f>
        <v>#VALUE!</v>
      </c>
      <c r="HL163" t="e">
        <f>'Actual Value'!O18+"AM:!(?n"</f>
        <v>#VALUE!</v>
      </c>
      <c r="HM163" t="e">
        <f>'Actual Value'!P18+"AM:!(?o"</f>
        <v>#VALUE!</v>
      </c>
      <c r="HN163" t="e">
        <f>'Actual Value'!Q18+"AM:!(?p"</f>
        <v>#VALUE!</v>
      </c>
      <c r="HO163" t="e">
        <f>'Actual Value'!R18+"AM:!(?q"</f>
        <v>#VALUE!</v>
      </c>
      <c r="HP163" t="e">
        <f>'Actual Value'!S18+"AM:!(?r"</f>
        <v>#VALUE!</v>
      </c>
      <c r="HQ163" t="e">
        <f>'Actual Value'!T18+"AM:!(?s"</f>
        <v>#VALUE!</v>
      </c>
      <c r="HR163" t="e">
        <f>'Actual Value'!U18+"AM:!(?t"</f>
        <v>#VALUE!</v>
      </c>
      <c r="HS163" t="e">
        <f>'Actual Value'!V18+"AM:!(?u"</f>
        <v>#VALUE!</v>
      </c>
      <c r="HT163" t="e">
        <f>'Actual Value'!W18+"AM:!(?v"</f>
        <v>#VALUE!</v>
      </c>
      <c r="HU163" t="e">
        <f>'Actual Value'!X18+"AM:!(?w"</f>
        <v>#VALUE!</v>
      </c>
      <c r="HV163" t="e">
        <f>'Actual Value'!Y18+"AM:!(?x"</f>
        <v>#VALUE!</v>
      </c>
      <c r="HW163" t="e">
        <f>'Actual Value'!Z18+"AM:!(?y"</f>
        <v>#VALUE!</v>
      </c>
      <c r="HX163" t="e">
        <f>'Actual Value'!AA18+"AM:!(?z"</f>
        <v>#VALUE!</v>
      </c>
      <c r="HY163" t="e">
        <f>'Actual Value'!AB18+"AM:!(?{"</f>
        <v>#VALUE!</v>
      </c>
      <c r="HZ163" t="e">
        <f>'Actual Value'!AC18+"AM:!(?|"</f>
        <v>#VALUE!</v>
      </c>
      <c r="IA163" t="e">
        <f>'Actual Value'!AD18+"AM:!(?}"</f>
        <v>#VALUE!</v>
      </c>
      <c r="IB163" t="e">
        <f>'Actual Value'!AE18+"AM:!(?~"</f>
        <v>#VALUE!</v>
      </c>
      <c r="IC163" t="e">
        <f>'Actual Value'!AF18+"AM:!(@#"</f>
        <v>#VALUE!</v>
      </c>
      <c r="ID163" t="e">
        <f>'Actual Value'!AG18+"AM:!(@$"</f>
        <v>#VALUE!</v>
      </c>
      <c r="IE163" t="e">
        <f>'Actual Value'!AH18+"AM:!(@%"</f>
        <v>#VALUE!</v>
      </c>
      <c r="IF163" t="e">
        <f>'Actual Value'!AI18+"AM:!(@&amp;"</f>
        <v>#VALUE!</v>
      </c>
      <c r="IG163" t="e">
        <f>'Actual Value'!AJ18+"AM:!(@'"</f>
        <v>#VALUE!</v>
      </c>
      <c r="IH163" t="e">
        <f>'Actual Value'!AK18+"AM:!(@("</f>
        <v>#VALUE!</v>
      </c>
      <c r="II163" t="e">
        <f>'Actual Value'!AL18+"AM:!(@)"</f>
        <v>#VALUE!</v>
      </c>
      <c r="IJ163" t="e">
        <f>'Actual Value'!AM18+"AM:!(@."</f>
        <v>#VALUE!</v>
      </c>
      <c r="IK163" t="e">
        <f>'Actual Value'!AN18+"AM:!(@/"</f>
        <v>#VALUE!</v>
      </c>
      <c r="IL163" t="e">
        <f>'Actual Value'!AO18+"AM:!(@0"</f>
        <v>#VALUE!</v>
      </c>
      <c r="IM163" t="e">
        <f>'Actual Value'!AP18+"AM:!(@1"</f>
        <v>#VALUE!</v>
      </c>
      <c r="IN163" t="e">
        <f>'Actual Value'!AQ18+"AM:!(@2"</f>
        <v>#VALUE!</v>
      </c>
      <c r="IO163" t="e">
        <f>'Actual Value'!AR18+"AM:!(@3"</f>
        <v>#VALUE!</v>
      </c>
      <c r="IP163" t="e">
        <f>'Actual Value'!AS18+"AM:!(@4"</f>
        <v>#VALUE!</v>
      </c>
      <c r="IQ163" t="e">
        <f>'Actual Value'!AT18+"AM:!(@5"</f>
        <v>#VALUE!</v>
      </c>
      <c r="IR163" t="e">
        <f>'Actual Value'!AU18+"AM:!(@6"</f>
        <v>#VALUE!</v>
      </c>
      <c r="IS163" t="e">
        <f>'Actual Value'!AV18+"AM:!(@7"</f>
        <v>#VALUE!</v>
      </c>
      <c r="IT163" t="e">
        <f>'Actual Value'!AW18+"AM:!(@8"</f>
        <v>#VALUE!</v>
      </c>
      <c r="IU163" t="e">
        <f>'Actual Value'!A19+"AM:!(@9"</f>
        <v>#VALUE!</v>
      </c>
      <c r="IV163" t="e">
        <f>'Actual Value'!B19+"AM:!(@:"</f>
        <v>#VALUE!</v>
      </c>
    </row>
    <row r="164" spans="6:256">
      <c r="F164" t="e">
        <f>'Actual Value'!C19+"AM:!(@;"</f>
        <v>#VALUE!</v>
      </c>
      <c r="G164" s="97" t="e">
        <f>'Actual Value'!D19+"AM:!(@&lt;"</f>
        <v>#VALUE!</v>
      </c>
      <c r="H164" s="97" t="e">
        <f>'Actual Value'!E19+"AM:!(@="</f>
        <v>#VALUE!</v>
      </c>
      <c r="I164" s="97" t="e">
        <f>'Actual Value'!F19+"AM:!(@&gt;"</f>
        <v>#VALUE!</v>
      </c>
      <c r="J164" s="97" t="e">
        <f>'Actual Value'!G19+"AM:!(@?"</f>
        <v>#VALUE!</v>
      </c>
      <c r="K164" s="97" t="e">
        <f>'Actual Value'!H19+"AM:!(@@"</f>
        <v>#VALUE!</v>
      </c>
      <c r="L164" s="97" t="e">
        <f>'Actual Value'!I19+"AM:!(@A"</f>
        <v>#VALUE!</v>
      </c>
      <c r="M164" s="97" t="e">
        <f>'Actual Value'!J19+"AM:!(@B"</f>
        <v>#VALUE!</v>
      </c>
      <c r="N164" s="97" t="e">
        <f>'Actual Value'!K19+"AM:!(@C"</f>
        <v>#VALUE!</v>
      </c>
      <c r="O164" s="97" t="e">
        <f>'Actual Value'!L19+"AM:!(@D"</f>
        <v>#VALUE!</v>
      </c>
      <c r="P164" s="97" t="e">
        <f>'Actual Value'!M19+"AM:!(@E"</f>
        <v>#VALUE!</v>
      </c>
      <c r="Q164" s="97" t="e">
        <f>'Actual Value'!N19+"AM:!(@F"</f>
        <v>#VALUE!</v>
      </c>
      <c r="R164" s="97" t="e">
        <f>'Actual Value'!O19+"AM:!(@G"</f>
        <v>#VALUE!</v>
      </c>
      <c r="S164" s="97" t="e">
        <f>'Actual Value'!P19+"AM:!(@H"</f>
        <v>#VALUE!</v>
      </c>
      <c r="T164" s="97" t="e">
        <f>'Actual Value'!Q19+"AM:!(@I"</f>
        <v>#VALUE!</v>
      </c>
      <c r="U164" s="97" t="e">
        <f>'Actual Value'!R19+"AM:!(@J"</f>
        <v>#VALUE!</v>
      </c>
      <c r="V164" s="97" t="e">
        <f>'Actual Value'!S19+"AM:!(@K"</f>
        <v>#VALUE!</v>
      </c>
      <c r="W164" s="97" t="e">
        <f>'Actual Value'!T19+"AM:!(@L"</f>
        <v>#VALUE!</v>
      </c>
      <c r="X164" s="97" t="e">
        <f>'Actual Value'!U19+"AM:!(@M"</f>
        <v>#VALUE!</v>
      </c>
      <c r="Y164" s="97" t="e">
        <f>'Actual Value'!V19+"AM:!(@N"</f>
        <v>#VALUE!</v>
      </c>
      <c r="Z164" s="97" t="e">
        <f>'Actual Value'!W19+"AM:!(@O"</f>
        <v>#VALUE!</v>
      </c>
      <c r="AA164" s="97" t="e">
        <f>'Actual Value'!X19+"AM:!(@P"</f>
        <v>#VALUE!</v>
      </c>
      <c r="AB164" s="97" t="e">
        <f>'Actual Value'!Y19+"AM:!(@Q"</f>
        <v>#VALUE!</v>
      </c>
      <c r="AC164" s="97" t="e">
        <f>'Actual Value'!Z19+"AM:!(@R"</f>
        <v>#VALUE!</v>
      </c>
      <c r="AD164" s="97" t="e">
        <f>'Actual Value'!AA19+"AM:!(@S"</f>
        <v>#VALUE!</v>
      </c>
      <c r="AE164" s="97" t="e">
        <f>'Actual Value'!AB19+"AM:!(@T"</f>
        <v>#VALUE!</v>
      </c>
      <c r="AF164" s="97" t="e">
        <f>'Actual Value'!AC19+"AM:!(@U"</f>
        <v>#VALUE!</v>
      </c>
      <c r="AG164" s="97" t="e">
        <f>'Actual Value'!AD19+"AM:!(@V"</f>
        <v>#VALUE!</v>
      </c>
      <c r="AH164" s="97" t="e">
        <f>'Actual Value'!AE19+"AM:!(@W"</f>
        <v>#VALUE!</v>
      </c>
      <c r="AI164" s="97" t="e">
        <f>'Actual Value'!AF19+"AM:!(@X"</f>
        <v>#VALUE!</v>
      </c>
      <c r="AJ164" s="97" t="e">
        <f>'Actual Value'!AG19+"AM:!(@Y"</f>
        <v>#VALUE!</v>
      </c>
      <c r="AK164" s="97" t="e">
        <f>'Actual Value'!AH19+"AM:!(@Z"</f>
        <v>#VALUE!</v>
      </c>
      <c r="AL164" s="97" t="e">
        <f>'Actual Value'!AI19+"AM:!(@["</f>
        <v>#VALUE!</v>
      </c>
      <c r="AM164" s="97" t="e">
        <f>'Actual Value'!AJ19+"AM:!(@\"</f>
        <v>#VALUE!</v>
      </c>
      <c r="AN164" s="97" t="e">
        <f>'Actual Value'!AK19+"AM:!(@]"</f>
        <v>#VALUE!</v>
      </c>
      <c r="AO164" s="97" t="e">
        <f>'Actual Value'!AL19+"AM:!(@^"</f>
        <v>#VALUE!</v>
      </c>
      <c r="AP164" s="97" t="e">
        <f>'Actual Value'!AM19+"AM:!(@_"</f>
        <v>#VALUE!</v>
      </c>
      <c r="AQ164" s="97" t="e">
        <f>'Actual Value'!AN19+"AM:!(@`"</f>
        <v>#VALUE!</v>
      </c>
      <c r="AR164" s="97" t="e">
        <f>'Actual Value'!AO19+"AM:!(@a"</f>
        <v>#VALUE!</v>
      </c>
      <c r="AS164" t="e">
        <f>'Actual Value'!AP19+"AM:!(@b"</f>
        <v>#VALUE!</v>
      </c>
      <c r="AT164" t="e">
        <f>'Actual Value'!AQ19+"AM:!(@c"</f>
        <v>#VALUE!</v>
      </c>
      <c r="AU164" t="e">
        <f>'Actual Value'!AR19+"AM:!(@d"</f>
        <v>#VALUE!</v>
      </c>
      <c r="AV164" t="e">
        <f>'Actual Value'!AS19+"AM:!(@e"</f>
        <v>#VALUE!</v>
      </c>
      <c r="AW164" t="e">
        <f>'Actual Value'!AT19+"AM:!(@f"</f>
        <v>#VALUE!</v>
      </c>
      <c r="AX164" t="e">
        <f>'Actual Value'!AU19+"AM:!(@g"</f>
        <v>#VALUE!</v>
      </c>
      <c r="AY164" t="e">
        <f>'Actual Value'!AV19+"AM:!(@h"</f>
        <v>#VALUE!</v>
      </c>
      <c r="AZ164" t="e">
        <f>'Actual Value'!AW19+"AM:!(@i"</f>
        <v>#VALUE!</v>
      </c>
      <c r="BA164" t="e">
        <f>'Actual Value'!A20+"AM:!(@j"</f>
        <v>#VALUE!</v>
      </c>
      <c r="BB164" t="e">
        <f>'Actual Value'!B20+"AM:!(@k"</f>
        <v>#VALUE!</v>
      </c>
      <c r="BC164" t="e">
        <f>'Actual Value'!C20+"AM:!(@l"</f>
        <v>#VALUE!</v>
      </c>
      <c r="BD164" s="97" t="e">
        <f>'Actual Value'!D20+"AM:!(@m"</f>
        <v>#VALUE!</v>
      </c>
      <c r="BE164" s="97" t="e">
        <f>'Actual Value'!E20+"AM:!(@n"</f>
        <v>#VALUE!</v>
      </c>
      <c r="BF164" s="97" t="e">
        <f>'Actual Value'!F20+"AM:!(@o"</f>
        <v>#VALUE!</v>
      </c>
      <c r="BG164" s="97" t="e">
        <f>'Actual Value'!G20+"AM:!(@p"</f>
        <v>#VALUE!</v>
      </c>
      <c r="BH164" s="97" t="e">
        <f>'Actual Value'!H20+"AM:!(@q"</f>
        <v>#VALUE!</v>
      </c>
      <c r="BI164" s="97" t="e">
        <f>'Actual Value'!I20+"AM:!(@r"</f>
        <v>#VALUE!</v>
      </c>
      <c r="BJ164" s="97" t="e">
        <f>'Actual Value'!J20+"AM:!(@s"</f>
        <v>#VALUE!</v>
      </c>
      <c r="BK164" s="97" t="e">
        <f>'Actual Value'!K20+"AM:!(@t"</f>
        <v>#VALUE!</v>
      </c>
      <c r="BL164" s="97" t="e">
        <f>'Actual Value'!L20+"AM:!(@u"</f>
        <v>#VALUE!</v>
      </c>
      <c r="BM164" s="97" t="e">
        <f>'Actual Value'!M20+"AM:!(@v"</f>
        <v>#VALUE!</v>
      </c>
      <c r="BN164" s="97" t="e">
        <f>'Actual Value'!N20+"AM:!(@w"</f>
        <v>#VALUE!</v>
      </c>
      <c r="BO164" s="97" t="e">
        <f>'Actual Value'!O20+"AM:!(@x"</f>
        <v>#VALUE!</v>
      </c>
      <c r="BP164" s="97" t="e">
        <f>'Actual Value'!P20+"AM:!(@y"</f>
        <v>#VALUE!</v>
      </c>
      <c r="BQ164" s="97" t="e">
        <f>'Actual Value'!Q20+"AM:!(@z"</f>
        <v>#VALUE!</v>
      </c>
      <c r="BR164" s="97" t="e">
        <f>'Actual Value'!R20+"AM:!(@{"</f>
        <v>#VALUE!</v>
      </c>
      <c r="BS164" s="97" t="e">
        <f>'Actual Value'!S20+"AM:!(@|"</f>
        <v>#VALUE!</v>
      </c>
      <c r="BT164" s="97" t="e">
        <f>'Actual Value'!T20+"AM:!(@}"</f>
        <v>#VALUE!</v>
      </c>
      <c r="BU164" s="97" t="e">
        <f>'Actual Value'!U20+"AM:!(@~"</f>
        <v>#VALUE!</v>
      </c>
      <c r="BV164" s="97" t="e">
        <f>'Actual Value'!V20+"AM:!(A#"</f>
        <v>#VALUE!</v>
      </c>
      <c r="BW164" s="97" t="e">
        <f>'Actual Value'!W20+"AM:!(A$"</f>
        <v>#VALUE!</v>
      </c>
      <c r="BX164" s="97" t="e">
        <f>'Actual Value'!X20+"AM:!(A%"</f>
        <v>#VALUE!</v>
      </c>
      <c r="BY164" s="97" t="e">
        <f>'Actual Value'!Y20+"AM:!(A&amp;"</f>
        <v>#VALUE!</v>
      </c>
      <c r="BZ164" s="97" t="e">
        <f>'Actual Value'!Z20+"AM:!(A'"</f>
        <v>#VALUE!</v>
      </c>
      <c r="CA164" s="97" t="e">
        <f>'Actual Value'!AA20+"AM:!(A("</f>
        <v>#VALUE!</v>
      </c>
      <c r="CB164" s="97" t="e">
        <f>'Actual Value'!AB20+"AM:!(A)"</f>
        <v>#VALUE!</v>
      </c>
      <c r="CC164" s="97" t="e">
        <f>'Actual Value'!AC20+"AM:!(A."</f>
        <v>#VALUE!</v>
      </c>
      <c r="CD164" s="97" t="e">
        <f>'Actual Value'!AD20+"AM:!(A/"</f>
        <v>#VALUE!</v>
      </c>
      <c r="CE164" s="97" t="e">
        <f>'Actual Value'!AE20+"AM:!(A0"</f>
        <v>#VALUE!</v>
      </c>
      <c r="CF164" s="97" t="e">
        <f>'Actual Value'!AF20+"AM:!(A1"</f>
        <v>#VALUE!</v>
      </c>
      <c r="CG164" s="97" t="e">
        <f>'Actual Value'!AG20+"AM:!(A2"</f>
        <v>#VALUE!</v>
      </c>
      <c r="CH164" s="97" t="e">
        <f>'Actual Value'!AH20+"AM:!(A3"</f>
        <v>#VALUE!</v>
      </c>
      <c r="CI164" s="97" t="e">
        <f>'Actual Value'!AI20+"AM:!(A4"</f>
        <v>#VALUE!</v>
      </c>
      <c r="CJ164" s="97" t="e">
        <f>'Actual Value'!AJ20+"AM:!(A5"</f>
        <v>#VALUE!</v>
      </c>
      <c r="CK164" s="97" t="e">
        <f>'Actual Value'!AK20+"AM:!(A6"</f>
        <v>#VALUE!</v>
      </c>
      <c r="CL164" s="97" t="e">
        <f>'Actual Value'!AL20+"AM:!(A7"</f>
        <v>#VALUE!</v>
      </c>
      <c r="CM164" s="97" t="e">
        <f>'Actual Value'!AM20+"AM:!(A8"</f>
        <v>#VALUE!</v>
      </c>
      <c r="CN164" s="97" t="e">
        <f>'Actual Value'!AN20+"AM:!(A9"</f>
        <v>#VALUE!</v>
      </c>
      <c r="CO164" s="97" t="e">
        <f>'Actual Value'!AO20+"AM:!(A:"</f>
        <v>#VALUE!</v>
      </c>
      <c r="CP164" t="e">
        <f>'Actual Value'!AP20+"AM:!(A;"</f>
        <v>#VALUE!</v>
      </c>
      <c r="CQ164" t="e">
        <f>'Actual Value'!AQ20+"AM:!(A&lt;"</f>
        <v>#VALUE!</v>
      </c>
      <c r="CR164" t="e">
        <f>'Actual Value'!AR20+"AM:!(A="</f>
        <v>#VALUE!</v>
      </c>
      <c r="CS164" t="e">
        <f>'Actual Value'!AS20+"AM:!(A&gt;"</f>
        <v>#VALUE!</v>
      </c>
      <c r="CT164" t="e">
        <f>'Actual Value'!AT20+"AM:!(A?"</f>
        <v>#VALUE!</v>
      </c>
      <c r="CU164" t="e">
        <f>'Actual Value'!AU20+"AM:!(A@"</f>
        <v>#VALUE!</v>
      </c>
      <c r="CV164" t="e">
        <f>'Actual Value'!AV20+"AM:!(AA"</f>
        <v>#VALUE!</v>
      </c>
      <c r="CW164" t="e">
        <f>'Actual Value'!AW20+"AM:!(AB"</f>
        <v>#VALUE!</v>
      </c>
      <c r="CX164" t="e">
        <f>'Actual Value'!A21+"AM:!(AC"</f>
        <v>#VALUE!</v>
      </c>
      <c r="CY164" t="e">
        <f>'Actual Value'!B21+"AM:!(AD"</f>
        <v>#VALUE!</v>
      </c>
      <c r="CZ164" t="e">
        <f>'Actual Value'!C21+"AM:!(AE"</f>
        <v>#VALUE!</v>
      </c>
      <c r="DA164" s="97" t="e">
        <f>'Actual Value'!D21+"AM:!(AF"</f>
        <v>#VALUE!</v>
      </c>
      <c r="DB164" s="97" t="e">
        <f>'Actual Value'!E21+"AM:!(AG"</f>
        <v>#VALUE!</v>
      </c>
      <c r="DC164" s="97" t="e">
        <f>'Actual Value'!F21+"AM:!(AH"</f>
        <v>#VALUE!</v>
      </c>
      <c r="DD164" s="97" t="e">
        <f>'Actual Value'!G21+"AM:!(AI"</f>
        <v>#VALUE!</v>
      </c>
      <c r="DE164" s="97" t="e">
        <f>'Actual Value'!H21+"AM:!(AJ"</f>
        <v>#VALUE!</v>
      </c>
      <c r="DF164" s="97" t="e">
        <f>'Actual Value'!I21+"AM:!(AK"</f>
        <v>#VALUE!</v>
      </c>
      <c r="DG164" s="97" t="e">
        <f>'Actual Value'!J21+"AM:!(AL"</f>
        <v>#VALUE!</v>
      </c>
      <c r="DH164" s="97" t="e">
        <f>'Actual Value'!K21+"AM:!(AM"</f>
        <v>#VALUE!</v>
      </c>
      <c r="DI164" s="97" t="e">
        <f>'Actual Value'!L21+"AM:!(AN"</f>
        <v>#VALUE!</v>
      </c>
      <c r="DJ164" s="97" t="e">
        <f>'Actual Value'!M21+"AM:!(AO"</f>
        <v>#VALUE!</v>
      </c>
      <c r="DK164" s="97" t="e">
        <f>'Actual Value'!N21+"AM:!(AP"</f>
        <v>#VALUE!</v>
      </c>
      <c r="DL164" s="97" t="e">
        <f>'Actual Value'!O21+"AM:!(AQ"</f>
        <v>#VALUE!</v>
      </c>
      <c r="DM164" s="97" t="e">
        <f>'Actual Value'!P21+"AM:!(AR"</f>
        <v>#VALUE!</v>
      </c>
      <c r="DN164" s="97" t="e">
        <f>'Actual Value'!Q21+"AM:!(AS"</f>
        <v>#VALUE!</v>
      </c>
      <c r="DO164" s="97" t="e">
        <f>'Actual Value'!R21+"AM:!(AT"</f>
        <v>#VALUE!</v>
      </c>
      <c r="DP164" s="97" t="e">
        <f>'Actual Value'!S21+"AM:!(AU"</f>
        <v>#VALUE!</v>
      </c>
      <c r="DQ164" s="97" t="e">
        <f>'Actual Value'!T21+"AM:!(AV"</f>
        <v>#VALUE!</v>
      </c>
      <c r="DR164" s="97" t="e">
        <f>'Actual Value'!U21+"AM:!(AW"</f>
        <v>#VALUE!</v>
      </c>
      <c r="DS164" s="97" t="e">
        <f>'Actual Value'!V21+"AM:!(AX"</f>
        <v>#VALUE!</v>
      </c>
      <c r="DT164" s="97" t="e">
        <f>'Actual Value'!W21+"AM:!(AY"</f>
        <v>#VALUE!</v>
      </c>
      <c r="DU164" s="97" t="e">
        <f>'Actual Value'!X21+"AM:!(AZ"</f>
        <v>#VALUE!</v>
      </c>
      <c r="DV164" s="97" t="e">
        <f>'Actual Value'!Y21+"AM:!(A["</f>
        <v>#VALUE!</v>
      </c>
      <c r="DW164" s="97" t="e">
        <f>'Actual Value'!Z21+"AM:!(A\"</f>
        <v>#VALUE!</v>
      </c>
      <c r="DX164" s="97" t="e">
        <f>'Actual Value'!AA21+"AM:!(A]"</f>
        <v>#VALUE!</v>
      </c>
      <c r="DY164" s="97" t="e">
        <f>'Actual Value'!AB21+"AM:!(A^"</f>
        <v>#VALUE!</v>
      </c>
      <c r="DZ164" s="97" t="e">
        <f>'Actual Value'!AC21+"AM:!(A_"</f>
        <v>#VALUE!</v>
      </c>
      <c r="EA164" s="97" t="e">
        <f>'Actual Value'!AD21+"AM:!(A`"</f>
        <v>#VALUE!</v>
      </c>
      <c r="EB164" s="97" t="e">
        <f>'Actual Value'!AE21+"AM:!(Aa"</f>
        <v>#VALUE!</v>
      </c>
      <c r="EC164" s="97" t="e">
        <f>'Actual Value'!AF21+"AM:!(Ab"</f>
        <v>#VALUE!</v>
      </c>
      <c r="ED164" s="97" t="e">
        <f>'Actual Value'!AG21+"AM:!(Ac"</f>
        <v>#VALUE!</v>
      </c>
      <c r="EE164" s="97" t="e">
        <f>'Actual Value'!AH21+"AM:!(Ad"</f>
        <v>#VALUE!</v>
      </c>
      <c r="EF164" s="97" t="e">
        <f>'Actual Value'!AI21+"AM:!(Ae"</f>
        <v>#VALUE!</v>
      </c>
      <c r="EG164" s="97" t="e">
        <f>'Actual Value'!AJ21+"AM:!(Af"</f>
        <v>#VALUE!</v>
      </c>
      <c r="EH164" s="97" t="e">
        <f>'Actual Value'!AK21+"AM:!(Ag"</f>
        <v>#VALUE!</v>
      </c>
      <c r="EI164" s="97" t="e">
        <f>'Actual Value'!AL21+"AM:!(Ah"</f>
        <v>#VALUE!</v>
      </c>
      <c r="EJ164" s="97" t="e">
        <f>'Actual Value'!AM21+"AM:!(Ai"</f>
        <v>#VALUE!</v>
      </c>
      <c r="EK164" s="97" t="e">
        <f>'Actual Value'!AN21+"AM:!(Aj"</f>
        <v>#VALUE!</v>
      </c>
      <c r="EL164" s="97" t="e">
        <f>'Actual Value'!AO21+"AM:!(Ak"</f>
        <v>#VALUE!</v>
      </c>
      <c r="EM164" t="e">
        <f>'Actual Value'!AP21+"AM:!(Al"</f>
        <v>#VALUE!</v>
      </c>
      <c r="EN164" t="e">
        <f>'Actual Value'!AQ21+"AM:!(Am"</f>
        <v>#VALUE!</v>
      </c>
      <c r="EO164" t="e">
        <f>'Actual Value'!AR21+"AM:!(An"</f>
        <v>#VALUE!</v>
      </c>
      <c r="EP164" t="e">
        <f>'Actual Value'!AS21+"AM:!(Ao"</f>
        <v>#VALUE!</v>
      </c>
      <c r="EQ164" t="e">
        <f>'Actual Value'!AT21+"AM:!(Ap"</f>
        <v>#VALUE!</v>
      </c>
      <c r="ER164" t="e">
        <f>'Actual Value'!AU21+"AM:!(Aq"</f>
        <v>#VALUE!</v>
      </c>
      <c r="ES164" t="e">
        <f>'Actual Value'!AV21+"AM:!(Ar"</f>
        <v>#VALUE!</v>
      </c>
      <c r="ET164" t="e">
        <f>'Actual Value'!AW21+"AM:!(As"</f>
        <v>#VALUE!</v>
      </c>
      <c r="EU164" t="e">
        <f>'Actual Value'!AX21+"AM:!(At"</f>
        <v>#VALUE!</v>
      </c>
      <c r="EV164" t="e">
        <f>'Actual Value'!A22+"AM:!(Au"</f>
        <v>#VALUE!</v>
      </c>
      <c r="EW164" t="e">
        <f>'Actual Value'!B22+"AM:!(Av"</f>
        <v>#VALUE!</v>
      </c>
      <c r="EX164" t="e">
        <f>'Actual Value'!C22+"AM:!(Aw"</f>
        <v>#VALUE!</v>
      </c>
      <c r="EY164" s="97" t="e">
        <f>'Actual Value'!D22+"AM:!(Ax"</f>
        <v>#VALUE!</v>
      </c>
      <c r="EZ164" s="97" t="e">
        <f>'Actual Value'!E22+"AM:!(Ay"</f>
        <v>#VALUE!</v>
      </c>
      <c r="FA164" s="97" t="e">
        <f>'Actual Value'!F22+"AM:!(Az"</f>
        <v>#VALUE!</v>
      </c>
      <c r="FB164" s="97" t="e">
        <f>'Actual Value'!G22+"AM:!(A{"</f>
        <v>#VALUE!</v>
      </c>
      <c r="FC164" s="97" t="e">
        <f>'Actual Value'!H22+"AM:!(A|"</f>
        <v>#VALUE!</v>
      </c>
      <c r="FD164" s="97" t="e">
        <f>'Actual Value'!I22+"AM:!(A}"</f>
        <v>#VALUE!</v>
      </c>
      <c r="FE164" s="97" t="e">
        <f>'Actual Value'!J22+"AM:!(A~"</f>
        <v>#VALUE!</v>
      </c>
      <c r="FF164" s="97" t="e">
        <f>'Actual Value'!K22+"AM:!(B#"</f>
        <v>#VALUE!</v>
      </c>
      <c r="FG164" s="97" t="e">
        <f>'Actual Value'!L22+"AM:!(B$"</f>
        <v>#VALUE!</v>
      </c>
      <c r="FH164" s="97" t="e">
        <f>'Actual Value'!M22+"AM:!(B%"</f>
        <v>#VALUE!</v>
      </c>
      <c r="FI164" s="97" t="e">
        <f>'Actual Value'!N22+"AM:!(B&amp;"</f>
        <v>#VALUE!</v>
      </c>
      <c r="FJ164" s="97" t="e">
        <f>'Actual Value'!O22+"AM:!(B'"</f>
        <v>#VALUE!</v>
      </c>
      <c r="FK164" s="97" t="e">
        <f>'Actual Value'!P22+"AM:!(B("</f>
        <v>#VALUE!</v>
      </c>
      <c r="FL164" s="97" t="e">
        <f>'Actual Value'!Q22+"AM:!(B)"</f>
        <v>#VALUE!</v>
      </c>
      <c r="FM164" s="97" t="e">
        <f>'Actual Value'!R22+"AM:!(B."</f>
        <v>#VALUE!</v>
      </c>
      <c r="FN164" s="97" t="e">
        <f>'Actual Value'!S22+"AM:!(B/"</f>
        <v>#VALUE!</v>
      </c>
      <c r="FO164" s="97" t="e">
        <f>'Actual Value'!T22+"AM:!(B0"</f>
        <v>#VALUE!</v>
      </c>
      <c r="FP164" s="97" t="e">
        <f>'Actual Value'!U22+"AM:!(B1"</f>
        <v>#VALUE!</v>
      </c>
      <c r="FQ164" s="97" t="e">
        <f>'Actual Value'!V22+"AM:!(B2"</f>
        <v>#VALUE!</v>
      </c>
      <c r="FR164" s="97" t="e">
        <f>'Actual Value'!W22+"AM:!(B3"</f>
        <v>#VALUE!</v>
      </c>
      <c r="FS164" s="97" t="e">
        <f>'Actual Value'!X22+"AM:!(B4"</f>
        <v>#VALUE!</v>
      </c>
      <c r="FT164" s="97" t="e">
        <f>'Actual Value'!Y22+"AM:!(B5"</f>
        <v>#VALUE!</v>
      </c>
      <c r="FU164" s="97" t="e">
        <f>'Actual Value'!Z22+"AM:!(B6"</f>
        <v>#VALUE!</v>
      </c>
      <c r="FV164" s="97" t="e">
        <f>'Actual Value'!AA22+"AM:!(B7"</f>
        <v>#VALUE!</v>
      </c>
      <c r="FW164" s="97" t="e">
        <f>'Actual Value'!AB22+"AM:!(B8"</f>
        <v>#VALUE!</v>
      </c>
      <c r="FX164" s="97" t="e">
        <f>'Actual Value'!AC22+"AM:!(B9"</f>
        <v>#VALUE!</v>
      </c>
      <c r="FY164" s="97" t="e">
        <f>'Actual Value'!AD22+"AM:!(B:"</f>
        <v>#VALUE!</v>
      </c>
      <c r="FZ164" s="97" t="e">
        <f>'Actual Value'!AE22+"AM:!(B;"</f>
        <v>#VALUE!</v>
      </c>
      <c r="GA164" s="97" t="e">
        <f>'Actual Value'!AF22+"AM:!(B&lt;"</f>
        <v>#VALUE!</v>
      </c>
      <c r="GB164" s="97" t="e">
        <f>'Actual Value'!AG22+"AM:!(B="</f>
        <v>#VALUE!</v>
      </c>
      <c r="GC164" s="97" t="e">
        <f>'Actual Value'!AH22+"AM:!(B&gt;"</f>
        <v>#VALUE!</v>
      </c>
      <c r="GD164" s="97" t="e">
        <f>'Actual Value'!AI22+"AM:!(B?"</f>
        <v>#VALUE!</v>
      </c>
      <c r="GE164" s="97" t="e">
        <f>'Actual Value'!AJ22+"AM:!(B@"</f>
        <v>#VALUE!</v>
      </c>
      <c r="GF164" s="97" t="e">
        <f>'Actual Value'!AK22+"AM:!(BA"</f>
        <v>#VALUE!</v>
      </c>
      <c r="GG164" s="97" t="e">
        <f>'Actual Value'!AL22+"AM:!(BB"</f>
        <v>#VALUE!</v>
      </c>
      <c r="GH164" s="97" t="e">
        <f>'Actual Value'!AM22+"AM:!(BC"</f>
        <v>#VALUE!</v>
      </c>
      <c r="GI164" s="97" t="e">
        <f>'Actual Value'!AN22+"AM:!(BD"</f>
        <v>#VALUE!</v>
      </c>
      <c r="GJ164" s="97" t="e">
        <f>'Actual Value'!AO22+"AM:!(BE"</f>
        <v>#VALUE!</v>
      </c>
      <c r="GK164" t="e">
        <f>'Actual Value'!AP22+"AM:!(BF"</f>
        <v>#VALUE!</v>
      </c>
      <c r="GL164" t="e">
        <f>'Actual Value'!AQ22+"AM:!(BG"</f>
        <v>#VALUE!</v>
      </c>
      <c r="GM164" t="e">
        <f>'Actual Value'!AR22+"AM:!(BH"</f>
        <v>#VALUE!</v>
      </c>
      <c r="GN164" t="e">
        <f>'Actual Value'!AS22+"AM:!(BI"</f>
        <v>#VALUE!</v>
      </c>
      <c r="GO164" t="e">
        <f>'Actual Value'!AT22+"AM:!(BJ"</f>
        <v>#VALUE!</v>
      </c>
      <c r="GP164" t="e">
        <f>'Actual Value'!AU22+"AM:!(BK"</f>
        <v>#VALUE!</v>
      </c>
      <c r="GQ164" t="e">
        <f>'Actual Value'!AV22+"AM:!(BL"</f>
        <v>#VALUE!</v>
      </c>
      <c r="GR164" t="e">
        <f>'Actual Value'!AW22+"AM:!(BM"</f>
        <v>#VALUE!</v>
      </c>
      <c r="GS164" t="e">
        <f>'Actual Value'!AX22+"AM:!(BN"</f>
        <v>#VALUE!</v>
      </c>
      <c r="GT164" t="e">
        <f>'Actual Value'!A23+"AM:!(BO"</f>
        <v>#VALUE!</v>
      </c>
      <c r="GU164" t="e">
        <f>'Actual Value'!B23+"AM:!(BP"</f>
        <v>#VALUE!</v>
      </c>
      <c r="GV164" t="e">
        <f>'Actual Value'!C23+"AM:!(BQ"</f>
        <v>#VALUE!</v>
      </c>
      <c r="GW164" s="97" t="e">
        <f>'Actual Value'!D23+"AM:!(BR"</f>
        <v>#VALUE!</v>
      </c>
      <c r="GX164" s="97" t="e">
        <f>'Actual Value'!E23+"AM:!(BS"</f>
        <v>#VALUE!</v>
      </c>
      <c r="GY164" s="97" t="e">
        <f>'Actual Value'!F23+"AM:!(BT"</f>
        <v>#VALUE!</v>
      </c>
      <c r="GZ164" s="97" t="e">
        <f>'Actual Value'!G23+"AM:!(BU"</f>
        <v>#VALUE!</v>
      </c>
      <c r="HA164" s="97" t="e">
        <f>'Actual Value'!H23+"AM:!(BV"</f>
        <v>#VALUE!</v>
      </c>
      <c r="HB164" s="97" t="e">
        <f>'Actual Value'!I23+"AM:!(BW"</f>
        <v>#VALUE!</v>
      </c>
      <c r="HC164" s="97" t="e">
        <f>'Actual Value'!J23+"AM:!(BX"</f>
        <v>#VALUE!</v>
      </c>
      <c r="HD164" s="97" t="e">
        <f>'Actual Value'!K23+"AM:!(BY"</f>
        <v>#VALUE!</v>
      </c>
      <c r="HE164" s="97" t="e">
        <f>'Actual Value'!L23+"AM:!(BZ"</f>
        <v>#VALUE!</v>
      </c>
      <c r="HF164" s="97" t="e">
        <f>'Actual Value'!M23+"AM:!(B["</f>
        <v>#VALUE!</v>
      </c>
      <c r="HG164" s="97" t="e">
        <f>'Actual Value'!N23+"AM:!(B\"</f>
        <v>#VALUE!</v>
      </c>
      <c r="HH164" s="97" t="e">
        <f>'Actual Value'!O23+"AM:!(B]"</f>
        <v>#VALUE!</v>
      </c>
      <c r="HI164" s="97" t="e">
        <f>'Actual Value'!P23+"AM:!(B^"</f>
        <v>#VALUE!</v>
      </c>
      <c r="HJ164" s="97" t="e">
        <f>'Actual Value'!Q23+"AM:!(B_"</f>
        <v>#VALUE!</v>
      </c>
      <c r="HK164" s="97" t="e">
        <f>'Actual Value'!R23+"AM:!(B`"</f>
        <v>#VALUE!</v>
      </c>
      <c r="HL164" s="97" t="e">
        <f>'Actual Value'!S23+"AM:!(Ba"</f>
        <v>#VALUE!</v>
      </c>
      <c r="HM164" s="97" t="e">
        <f>'Actual Value'!T23+"AM:!(Bb"</f>
        <v>#VALUE!</v>
      </c>
      <c r="HN164" s="97" t="e">
        <f>'Actual Value'!U23+"AM:!(Bc"</f>
        <v>#VALUE!</v>
      </c>
      <c r="HO164" s="97" t="e">
        <f>'Actual Value'!V23+"AM:!(Bd"</f>
        <v>#VALUE!</v>
      </c>
      <c r="HP164" s="97" t="e">
        <f>'Actual Value'!W23+"AM:!(Be"</f>
        <v>#VALUE!</v>
      </c>
      <c r="HQ164" s="97" t="e">
        <f>'Actual Value'!X23+"AM:!(Bf"</f>
        <v>#VALUE!</v>
      </c>
      <c r="HR164" s="97" t="e">
        <f>'Actual Value'!Y23+"AM:!(Bg"</f>
        <v>#VALUE!</v>
      </c>
      <c r="HS164" s="97" t="e">
        <f>'Actual Value'!Z23+"AM:!(Bh"</f>
        <v>#VALUE!</v>
      </c>
      <c r="HT164" s="97" t="e">
        <f>'Actual Value'!AA23+"AM:!(Bi"</f>
        <v>#VALUE!</v>
      </c>
      <c r="HU164" s="97" t="e">
        <f>'Actual Value'!AB23+"AM:!(Bj"</f>
        <v>#VALUE!</v>
      </c>
      <c r="HV164" s="97" t="e">
        <f>'Actual Value'!AC23+"AM:!(Bk"</f>
        <v>#VALUE!</v>
      </c>
      <c r="HW164" s="97" t="e">
        <f>'Actual Value'!AD23+"AM:!(Bl"</f>
        <v>#VALUE!</v>
      </c>
      <c r="HX164" s="97" t="e">
        <f>'Actual Value'!AE23+"AM:!(Bm"</f>
        <v>#VALUE!</v>
      </c>
      <c r="HY164" s="97" t="e">
        <f>'Actual Value'!AF23+"AM:!(Bn"</f>
        <v>#VALUE!</v>
      </c>
      <c r="HZ164" s="97" t="e">
        <f>'Actual Value'!AG23+"AM:!(Bo"</f>
        <v>#VALUE!</v>
      </c>
      <c r="IA164" s="97" t="e">
        <f>'Actual Value'!AH23+"AM:!(Bp"</f>
        <v>#VALUE!</v>
      </c>
      <c r="IB164" s="97" t="e">
        <f>'Actual Value'!AI23+"AM:!(Bq"</f>
        <v>#VALUE!</v>
      </c>
      <c r="IC164" s="97" t="e">
        <f>'Actual Value'!AJ23+"AM:!(Br"</f>
        <v>#VALUE!</v>
      </c>
      <c r="ID164" s="97" t="e">
        <f>'Actual Value'!AK23+"AM:!(Bs"</f>
        <v>#VALUE!</v>
      </c>
      <c r="IE164" s="97" t="e">
        <f>'Actual Value'!AL23+"AM:!(Bt"</f>
        <v>#VALUE!</v>
      </c>
      <c r="IF164" s="97" t="e">
        <f>'Actual Value'!AM23+"AM:!(Bu"</f>
        <v>#VALUE!</v>
      </c>
      <c r="IG164" s="97" t="e">
        <f>'Actual Value'!AN23+"AM:!(Bv"</f>
        <v>#VALUE!</v>
      </c>
      <c r="IH164" s="97" t="e">
        <f>'Actual Value'!AO23+"AM:!(Bw"</f>
        <v>#VALUE!</v>
      </c>
      <c r="II164" t="e">
        <f>'Actual Value'!AP23+"AM:!(Bx"</f>
        <v>#VALUE!</v>
      </c>
      <c r="IJ164" t="e">
        <f>'Actual Value'!AQ23+"AM:!(By"</f>
        <v>#VALUE!</v>
      </c>
      <c r="IK164" t="e">
        <f>'Actual Value'!AR23+"AM:!(Bz"</f>
        <v>#VALUE!</v>
      </c>
      <c r="IL164" t="e">
        <f>'Actual Value'!AS23+"AM:!(B{"</f>
        <v>#VALUE!</v>
      </c>
      <c r="IM164" t="e">
        <f>'Actual Value'!AT23+"AM:!(B|"</f>
        <v>#VALUE!</v>
      </c>
      <c r="IN164" t="e">
        <f>'Actual Value'!AU23+"AM:!(B}"</f>
        <v>#VALUE!</v>
      </c>
      <c r="IO164" t="e">
        <f>'Actual Value'!AV23+"AM:!(B~"</f>
        <v>#VALUE!</v>
      </c>
      <c r="IP164" t="e">
        <f>'Actual Value'!AW23+"AM:!(C#"</f>
        <v>#VALUE!</v>
      </c>
      <c r="IQ164" t="e">
        <f>'Actual Value'!AX23+"AM:!(C$"</f>
        <v>#VALUE!</v>
      </c>
      <c r="IR164" t="e">
        <f>'Actual Value'!A24+"AM:!(C%"</f>
        <v>#VALUE!</v>
      </c>
      <c r="IS164" t="e">
        <f>'Actual Value'!B24+"AM:!(C&amp;"</f>
        <v>#VALUE!</v>
      </c>
      <c r="IT164" t="e">
        <f>'Actual Value'!C24+"AM:!(C'"</f>
        <v>#VALUE!</v>
      </c>
      <c r="IU164" s="97" t="e">
        <f>'Actual Value'!D24+"AM:!(C("</f>
        <v>#VALUE!</v>
      </c>
      <c r="IV164" s="97" t="e">
        <f>'Actual Value'!E24+"AM:!(C)"</f>
        <v>#VALUE!</v>
      </c>
    </row>
    <row r="165" spans="6:256">
      <c r="F165" s="97" t="e">
        <f>'Actual Value'!F24+"AM:!(C."</f>
        <v>#VALUE!</v>
      </c>
      <c r="G165" s="97" t="e">
        <f>'Actual Value'!G24+"AM:!(C/"</f>
        <v>#VALUE!</v>
      </c>
      <c r="H165" s="97" t="e">
        <f>'Actual Value'!H24+"AM:!(C0"</f>
        <v>#VALUE!</v>
      </c>
      <c r="I165" s="97" t="e">
        <f>'Actual Value'!I24+"AM:!(C1"</f>
        <v>#VALUE!</v>
      </c>
      <c r="J165" s="97" t="e">
        <f>'Actual Value'!J24+"AM:!(C2"</f>
        <v>#VALUE!</v>
      </c>
      <c r="K165" s="97" t="e">
        <f>'Actual Value'!K24+"AM:!(C3"</f>
        <v>#VALUE!</v>
      </c>
      <c r="L165" s="97" t="e">
        <f>'Actual Value'!L24+"AM:!(C4"</f>
        <v>#VALUE!</v>
      </c>
      <c r="M165" s="97" t="e">
        <f>'Actual Value'!M24+"AM:!(C5"</f>
        <v>#VALUE!</v>
      </c>
      <c r="N165" s="97" t="e">
        <f>'Actual Value'!N24+"AM:!(C6"</f>
        <v>#VALUE!</v>
      </c>
      <c r="O165" s="97" t="e">
        <f>'Actual Value'!O24+"AM:!(C7"</f>
        <v>#VALUE!</v>
      </c>
      <c r="P165" s="97" t="e">
        <f>'Actual Value'!P24+"AM:!(C8"</f>
        <v>#VALUE!</v>
      </c>
      <c r="Q165" s="97" t="e">
        <f>'Actual Value'!Q24+"AM:!(C9"</f>
        <v>#VALUE!</v>
      </c>
      <c r="R165" s="97" t="e">
        <f>'Actual Value'!R24+"AM:!(C:"</f>
        <v>#VALUE!</v>
      </c>
      <c r="S165" s="97" t="e">
        <f>'Actual Value'!S24+"AM:!(C;"</f>
        <v>#VALUE!</v>
      </c>
      <c r="T165" s="97" t="e">
        <f>'Actual Value'!T24+"AM:!(C&lt;"</f>
        <v>#VALUE!</v>
      </c>
      <c r="U165" s="97" t="e">
        <f>'Actual Value'!U24+"AM:!(C="</f>
        <v>#VALUE!</v>
      </c>
      <c r="V165" s="97" t="e">
        <f>'Actual Value'!V24+"AM:!(C&gt;"</f>
        <v>#VALUE!</v>
      </c>
      <c r="W165" s="97" t="e">
        <f>'Actual Value'!W24+"AM:!(C?"</f>
        <v>#VALUE!</v>
      </c>
      <c r="X165" s="97" t="e">
        <f>'Actual Value'!X24+"AM:!(C@"</f>
        <v>#VALUE!</v>
      </c>
      <c r="Y165" s="97" t="e">
        <f>'Actual Value'!Y24+"AM:!(CA"</f>
        <v>#VALUE!</v>
      </c>
      <c r="Z165" s="97" t="e">
        <f>'Actual Value'!Z24+"AM:!(CB"</f>
        <v>#VALUE!</v>
      </c>
      <c r="AA165" s="97" t="e">
        <f>'Actual Value'!AA24+"AM:!(CC"</f>
        <v>#VALUE!</v>
      </c>
      <c r="AB165" s="97" t="e">
        <f>'Actual Value'!AB24+"AM:!(CD"</f>
        <v>#VALUE!</v>
      </c>
      <c r="AC165" s="97" t="e">
        <f>'Actual Value'!AC24+"AM:!(CE"</f>
        <v>#VALUE!</v>
      </c>
      <c r="AD165" s="97" t="e">
        <f>'Actual Value'!AD24+"AM:!(CF"</f>
        <v>#VALUE!</v>
      </c>
      <c r="AE165" s="97" t="e">
        <f>'Actual Value'!AE24+"AM:!(CG"</f>
        <v>#VALUE!</v>
      </c>
      <c r="AF165" s="97" t="e">
        <f>'Actual Value'!AF24+"AM:!(CH"</f>
        <v>#VALUE!</v>
      </c>
      <c r="AG165" s="97" t="e">
        <f>'Actual Value'!AG24+"AM:!(CI"</f>
        <v>#VALUE!</v>
      </c>
      <c r="AH165" s="97" t="e">
        <f>'Actual Value'!AH24+"AM:!(CJ"</f>
        <v>#VALUE!</v>
      </c>
      <c r="AI165" s="97" t="e">
        <f>'Actual Value'!AI24+"AM:!(CK"</f>
        <v>#VALUE!</v>
      </c>
      <c r="AJ165" s="97" t="e">
        <f>'Actual Value'!AJ24+"AM:!(CL"</f>
        <v>#VALUE!</v>
      </c>
      <c r="AK165" s="97" t="e">
        <f>'Actual Value'!AK24+"AM:!(CM"</f>
        <v>#VALUE!</v>
      </c>
      <c r="AL165" s="97" t="e">
        <f>'Actual Value'!AL24+"AM:!(CN"</f>
        <v>#VALUE!</v>
      </c>
      <c r="AM165" s="97" t="e">
        <f>'Actual Value'!AM24+"AM:!(CO"</f>
        <v>#VALUE!</v>
      </c>
      <c r="AN165" s="97" t="e">
        <f>'Actual Value'!AN24+"AM:!(CP"</f>
        <v>#VALUE!</v>
      </c>
      <c r="AO165" s="97" t="e">
        <f>'Actual Value'!AO24+"AM:!(CQ"</f>
        <v>#VALUE!</v>
      </c>
      <c r="AP165" t="e">
        <f>'Actual Value'!AP24+"AM:!(CR"</f>
        <v>#VALUE!</v>
      </c>
      <c r="AQ165" t="e">
        <f>'Actual Value'!AQ24+"AM:!(CS"</f>
        <v>#VALUE!</v>
      </c>
      <c r="AR165" t="e">
        <f>'Actual Value'!AR24+"AM:!(CT"</f>
        <v>#VALUE!</v>
      </c>
      <c r="AS165" t="e">
        <f>'Actual Value'!AS24+"AM:!(CU"</f>
        <v>#VALUE!</v>
      </c>
      <c r="AT165" t="e">
        <f>'Actual Value'!AT24+"AM:!(CV"</f>
        <v>#VALUE!</v>
      </c>
      <c r="AU165" t="e">
        <f>'Actual Value'!AU24+"AM:!(CW"</f>
        <v>#VALUE!</v>
      </c>
      <c r="AV165" t="e">
        <f>'Actual Value'!AV24+"AM:!(CX"</f>
        <v>#VALUE!</v>
      </c>
      <c r="AW165" t="e">
        <f>'Actual Value'!AW24+"AM:!(CY"</f>
        <v>#VALUE!</v>
      </c>
      <c r="AX165" t="e">
        <f>'Actual Value'!AX24+"AM:!(CZ"</f>
        <v>#VALUE!</v>
      </c>
      <c r="AY165" t="e">
        <f>'Actual Value'!A25+"AM:!(C["</f>
        <v>#VALUE!</v>
      </c>
      <c r="AZ165" t="e">
        <f>'Actual Value'!B25+"AM:!(C\"</f>
        <v>#VALUE!</v>
      </c>
      <c r="BA165" t="e">
        <f>'Actual Value'!C25+"AM:!(C]"</f>
        <v>#VALUE!</v>
      </c>
      <c r="BB165" s="97" t="e">
        <f>'Actual Value'!D25+"AM:!(C^"</f>
        <v>#VALUE!</v>
      </c>
      <c r="BC165" s="97" t="e">
        <f>'Actual Value'!E25+"AM:!(C_"</f>
        <v>#VALUE!</v>
      </c>
      <c r="BD165" s="97" t="e">
        <f>'Actual Value'!F25+"AM:!(C`"</f>
        <v>#VALUE!</v>
      </c>
      <c r="BE165" s="97" t="e">
        <f>'Actual Value'!G25+"AM:!(Ca"</f>
        <v>#VALUE!</v>
      </c>
      <c r="BF165" s="97" t="e">
        <f>'Actual Value'!H25+"AM:!(Cb"</f>
        <v>#VALUE!</v>
      </c>
      <c r="BG165" s="97" t="e">
        <f>'Actual Value'!I25+"AM:!(Cc"</f>
        <v>#VALUE!</v>
      </c>
      <c r="BH165" s="97" t="e">
        <f>'Actual Value'!J25+"AM:!(Cd"</f>
        <v>#VALUE!</v>
      </c>
      <c r="BI165" s="97" t="e">
        <f>'Actual Value'!K25+"AM:!(Ce"</f>
        <v>#VALUE!</v>
      </c>
      <c r="BJ165" s="97" t="e">
        <f>'Actual Value'!L25+"AM:!(Cf"</f>
        <v>#VALUE!</v>
      </c>
      <c r="BK165" s="97" t="e">
        <f>'Actual Value'!M25+"AM:!(Cg"</f>
        <v>#VALUE!</v>
      </c>
      <c r="BL165" s="97" t="e">
        <f>'Actual Value'!N25+"AM:!(Ch"</f>
        <v>#VALUE!</v>
      </c>
      <c r="BM165" s="97" t="e">
        <f>'Actual Value'!O25+"AM:!(Ci"</f>
        <v>#VALUE!</v>
      </c>
      <c r="BN165" s="97" t="e">
        <f>'Actual Value'!P25+"AM:!(Cj"</f>
        <v>#VALUE!</v>
      </c>
      <c r="BO165" s="97" t="e">
        <f>'Actual Value'!Q25+"AM:!(Ck"</f>
        <v>#VALUE!</v>
      </c>
      <c r="BP165" s="97" t="e">
        <f>'Actual Value'!R25+"AM:!(Cl"</f>
        <v>#VALUE!</v>
      </c>
      <c r="BQ165" s="97" t="e">
        <f>'Actual Value'!S25+"AM:!(Cm"</f>
        <v>#VALUE!</v>
      </c>
      <c r="BR165" s="97" t="e">
        <f>'Actual Value'!T25+"AM:!(Cn"</f>
        <v>#VALUE!</v>
      </c>
      <c r="BS165" s="97" t="e">
        <f>'Actual Value'!U25+"AM:!(Co"</f>
        <v>#VALUE!</v>
      </c>
      <c r="BT165" s="97" t="e">
        <f>'Actual Value'!V25+"AM:!(Cp"</f>
        <v>#VALUE!</v>
      </c>
      <c r="BU165" s="97" t="e">
        <f>'Actual Value'!W25+"AM:!(Cq"</f>
        <v>#VALUE!</v>
      </c>
      <c r="BV165" s="97" t="e">
        <f>'Actual Value'!X25+"AM:!(Cr"</f>
        <v>#VALUE!</v>
      </c>
      <c r="BW165" s="97" t="e">
        <f>'Actual Value'!Y25+"AM:!(Cs"</f>
        <v>#VALUE!</v>
      </c>
      <c r="BX165" s="97" t="e">
        <f>'Actual Value'!Z25+"AM:!(Ct"</f>
        <v>#VALUE!</v>
      </c>
      <c r="BY165" s="97" t="e">
        <f>'Actual Value'!AA25+"AM:!(Cu"</f>
        <v>#VALUE!</v>
      </c>
      <c r="BZ165" s="97" t="e">
        <f>'Actual Value'!AB25+"AM:!(Cv"</f>
        <v>#VALUE!</v>
      </c>
      <c r="CA165" s="97" t="e">
        <f>'Actual Value'!AC25+"AM:!(Cw"</f>
        <v>#VALUE!</v>
      </c>
      <c r="CB165" s="97" t="e">
        <f>'Actual Value'!AD25+"AM:!(Cx"</f>
        <v>#VALUE!</v>
      </c>
      <c r="CC165" s="97" t="e">
        <f>'Actual Value'!AE25+"AM:!(Cy"</f>
        <v>#VALUE!</v>
      </c>
      <c r="CD165" s="97" t="e">
        <f>'Actual Value'!AF25+"AM:!(Cz"</f>
        <v>#VALUE!</v>
      </c>
      <c r="CE165" s="97" t="e">
        <f>'Actual Value'!AG25+"AM:!(C{"</f>
        <v>#VALUE!</v>
      </c>
      <c r="CF165" s="97" t="e">
        <f>'Actual Value'!AH25+"AM:!(C|"</f>
        <v>#VALUE!</v>
      </c>
      <c r="CG165" s="97" t="e">
        <f>'Actual Value'!AI25+"AM:!(C}"</f>
        <v>#VALUE!</v>
      </c>
      <c r="CH165" s="97" t="e">
        <f>'Actual Value'!AJ25+"AM:!(C~"</f>
        <v>#VALUE!</v>
      </c>
      <c r="CI165" s="97" t="e">
        <f>'Actual Value'!AK25+"AM:!(D#"</f>
        <v>#VALUE!</v>
      </c>
      <c r="CJ165" s="97" t="e">
        <f>'Actual Value'!AL25+"AM:!(D$"</f>
        <v>#VALUE!</v>
      </c>
      <c r="CK165" s="97" t="e">
        <f>'Actual Value'!AM25+"AM:!(D%"</f>
        <v>#VALUE!</v>
      </c>
      <c r="CL165" s="97" t="e">
        <f>'Actual Value'!AN25+"AM:!(D&amp;"</f>
        <v>#VALUE!</v>
      </c>
      <c r="CM165" s="97" t="e">
        <f>'Actual Value'!AO25+"AM:!(D'"</f>
        <v>#VALUE!</v>
      </c>
      <c r="CN165" t="e">
        <f>'Actual Value'!AP25+"AM:!(D("</f>
        <v>#VALUE!</v>
      </c>
      <c r="CO165" t="e">
        <f>'Actual Value'!AQ25+"AM:!(D)"</f>
        <v>#VALUE!</v>
      </c>
      <c r="CP165" t="e">
        <f>'Actual Value'!AR25+"AM:!(D."</f>
        <v>#VALUE!</v>
      </c>
      <c r="CQ165" t="e">
        <f>'Actual Value'!AS25+"AM:!(D/"</f>
        <v>#VALUE!</v>
      </c>
      <c r="CR165" t="e">
        <f>'Actual Value'!AT25+"AM:!(D0"</f>
        <v>#VALUE!</v>
      </c>
      <c r="CS165" t="e">
        <f>'Actual Value'!AU25+"AM:!(D1"</f>
        <v>#VALUE!</v>
      </c>
      <c r="CT165" t="e">
        <f>'Actual Value'!AV25+"AM:!(D2"</f>
        <v>#VALUE!</v>
      </c>
      <c r="CU165" t="e">
        <f>'Actual Value'!AW25+"AM:!(D3"</f>
        <v>#VALUE!</v>
      </c>
      <c r="CV165" t="e">
        <f>'Actual Value'!AX25+"AM:!(D4"</f>
        <v>#VALUE!</v>
      </c>
      <c r="CW165" t="e">
        <f>'Actual Value'!A26+"AM:!(D5"</f>
        <v>#VALUE!</v>
      </c>
      <c r="CX165" t="e">
        <f>'Actual Value'!B26+"AM:!(D6"</f>
        <v>#VALUE!</v>
      </c>
      <c r="CY165" t="e">
        <f>'Actual Value'!C26+"AM:!(D7"</f>
        <v>#VALUE!</v>
      </c>
      <c r="CZ165" s="97" t="e">
        <f>'Actual Value'!D26+"AM:!(D8"</f>
        <v>#VALUE!</v>
      </c>
      <c r="DA165" s="97" t="e">
        <f>'Actual Value'!E26+"AM:!(D9"</f>
        <v>#VALUE!</v>
      </c>
      <c r="DB165" s="97" t="e">
        <f>'Actual Value'!F26+"AM:!(D:"</f>
        <v>#VALUE!</v>
      </c>
      <c r="DC165" s="97" t="e">
        <f>'Actual Value'!G26+"AM:!(D;"</f>
        <v>#VALUE!</v>
      </c>
      <c r="DD165" s="97" t="e">
        <f>'Actual Value'!H26+"AM:!(D&lt;"</f>
        <v>#VALUE!</v>
      </c>
      <c r="DE165" s="97" t="e">
        <f>'Actual Value'!I26+"AM:!(D="</f>
        <v>#VALUE!</v>
      </c>
      <c r="DF165" s="97" t="e">
        <f>'Actual Value'!J26+"AM:!(D&gt;"</f>
        <v>#VALUE!</v>
      </c>
      <c r="DG165" s="97" t="e">
        <f>'Actual Value'!K26+"AM:!(D?"</f>
        <v>#VALUE!</v>
      </c>
      <c r="DH165" s="97" t="e">
        <f>'Actual Value'!L26+"AM:!(D@"</f>
        <v>#VALUE!</v>
      </c>
      <c r="DI165" s="97" t="e">
        <f>'Actual Value'!M26+"AM:!(DA"</f>
        <v>#VALUE!</v>
      </c>
      <c r="DJ165" s="97" t="e">
        <f>'Actual Value'!N26+"AM:!(DB"</f>
        <v>#VALUE!</v>
      </c>
      <c r="DK165" s="97" t="e">
        <f>'Actual Value'!O26+"AM:!(DC"</f>
        <v>#VALUE!</v>
      </c>
      <c r="DL165" s="97" t="e">
        <f>'Actual Value'!P26+"AM:!(DD"</f>
        <v>#VALUE!</v>
      </c>
      <c r="DM165" s="97" t="e">
        <f>'Actual Value'!Q26+"AM:!(DE"</f>
        <v>#VALUE!</v>
      </c>
      <c r="DN165" s="97" t="e">
        <f>'Actual Value'!R26+"AM:!(DF"</f>
        <v>#VALUE!</v>
      </c>
      <c r="DO165" s="97" t="e">
        <f>'Actual Value'!S26+"AM:!(DG"</f>
        <v>#VALUE!</v>
      </c>
      <c r="DP165" s="97" t="e">
        <f>'Actual Value'!T26+"AM:!(DH"</f>
        <v>#VALUE!</v>
      </c>
      <c r="DQ165" s="97" t="e">
        <f>'Actual Value'!U26+"AM:!(DI"</f>
        <v>#VALUE!</v>
      </c>
      <c r="DR165" s="97" t="e">
        <f>'Actual Value'!V26+"AM:!(DJ"</f>
        <v>#VALUE!</v>
      </c>
      <c r="DS165" s="97" t="e">
        <f>'Actual Value'!W26+"AM:!(DK"</f>
        <v>#VALUE!</v>
      </c>
      <c r="DT165" s="97" t="e">
        <f>'Actual Value'!X26+"AM:!(DL"</f>
        <v>#VALUE!</v>
      </c>
      <c r="DU165" s="97" t="e">
        <f>'Actual Value'!Y26+"AM:!(DM"</f>
        <v>#VALUE!</v>
      </c>
      <c r="DV165" s="97" t="e">
        <f>'Actual Value'!Z26+"AM:!(DN"</f>
        <v>#VALUE!</v>
      </c>
      <c r="DW165" s="97" t="e">
        <f>'Actual Value'!AA26+"AM:!(DO"</f>
        <v>#VALUE!</v>
      </c>
      <c r="DX165" s="97" t="e">
        <f>'Actual Value'!AB26+"AM:!(DP"</f>
        <v>#VALUE!</v>
      </c>
      <c r="DY165" s="97" t="e">
        <f>'Actual Value'!AC26+"AM:!(DQ"</f>
        <v>#VALUE!</v>
      </c>
      <c r="DZ165" s="97" t="e">
        <f>'Actual Value'!AD26+"AM:!(DR"</f>
        <v>#VALUE!</v>
      </c>
      <c r="EA165" s="97" t="e">
        <f>'Actual Value'!AE26+"AM:!(DS"</f>
        <v>#VALUE!</v>
      </c>
      <c r="EB165" s="97" t="e">
        <f>'Actual Value'!AF26+"AM:!(DT"</f>
        <v>#VALUE!</v>
      </c>
      <c r="EC165" s="97" t="e">
        <f>'Actual Value'!AG26+"AM:!(DU"</f>
        <v>#VALUE!</v>
      </c>
      <c r="ED165" s="97" t="e">
        <f>'Actual Value'!AH26+"AM:!(DV"</f>
        <v>#VALUE!</v>
      </c>
      <c r="EE165" s="97" t="e">
        <f>'Actual Value'!AI26+"AM:!(DW"</f>
        <v>#VALUE!</v>
      </c>
      <c r="EF165" s="97" t="e">
        <f>'Actual Value'!AJ26+"AM:!(DX"</f>
        <v>#VALUE!</v>
      </c>
      <c r="EG165" s="97" t="e">
        <f>'Actual Value'!AK26+"AM:!(DY"</f>
        <v>#VALUE!</v>
      </c>
      <c r="EH165" s="97" t="e">
        <f>'Actual Value'!AL26+"AM:!(DZ"</f>
        <v>#VALUE!</v>
      </c>
      <c r="EI165" s="97" t="e">
        <f>'Actual Value'!AM26+"AM:!(D["</f>
        <v>#VALUE!</v>
      </c>
      <c r="EJ165" s="97" t="e">
        <f>'Actual Value'!AN26+"AM:!(D\"</f>
        <v>#VALUE!</v>
      </c>
      <c r="EK165" s="97" t="e">
        <f>'Actual Value'!AO26+"AM:!(D]"</f>
        <v>#VALUE!</v>
      </c>
      <c r="EL165" t="e">
        <f>'Actual Value'!AP26+"AM:!(D^"</f>
        <v>#VALUE!</v>
      </c>
      <c r="EM165" t="e">
        <f>'Actual Value'!AQ26+"AM:!(D_"</f>
        <v>#VALUE!</v>
      </c>
      <c r="EN165" t="e">
        <f>'Actual Value'!AR26+"AM:!(D`"</f>
        <v>#VALUE!</v>
      </c>
      <c r="EO165" t="e">
        <f>'Actual Value'!AS26+"AM:!(Da"</f>
        <v>#VALUE!</v>
      </c>
      <c r="EP165" t="e">
        <f>'Actual Value'!AT26+"AM:!(Db"</f>
        <v>#VALUE!</v>
      </c>
      <c r="EQ165" t="e">
        <f>'Actual Value'!AU26+"AM:!(Dc"</f>
        <v>#VALUE!</v>
      </c>
      <c r="ER165" t="e">
        <f>'Actual Value'!AV26+"AM:!(Dd"</f>
        <v>#VALUE!</v>
      </c>
      <c r="ES165" t="e">
        <f>'Actual Value'!AW26+"AM:!(De"</f>
        <v>#VALUE!</v>
      </c>
      <c r="ET165" t="e">
        <f>'Actual Value'!A27+"AM:!(Df"</f>
        <v>#VALUE!</v>
      </c>
      <c r="EU165" t="e">
        <f>'Actual Value'!B27+"AM:!(Dg"</f>
        <v>#VALUE!</v>
      </c>
      <c r="EV165" t="e">
        <f>'Actual Value'!C27+"AM:!(Dh"</f>
        <v>#VALUE!</v>
      </c>
      <c r="EW165" s="97" t="e">
        <f>'Actual Value'!D27+"AM:!(Di"</f>
        <v>#VALUE!</v>
      </c>
      <c r="EX165" s="97" t="e">
        <f>'Actual Value'!E27+"AM:!(Dj"</f>
        <v>#VALUE!</v>
      </c>
      <c r="EY165" s="97" t="e">
        <f>'Actual Value'!F27+"AM:!(Dk"</f>
        <v>#VALUE!</v>
      </c>
      <c r="EZ165" s="97" t="e">
        <f>'Actual Value'!G27+"AM:!(Dl"</f>
        <v>#VALUE!</v>
      </c>
      <c r="FA165" s="97" t="e">
        <f>'Actual Value'!H27+"AM:!(Dm"</f>
        <v>#VALUE!</v>
      </c>
      <c r="FB165" s="97" t="e">
        <f>'Actual Value'!I27+"AM:!(Dn"</f>
        <v>#VALUE!</v>
      </c>
      <c r="FC165" s="97" t="e">
        <f>'Actual Value'!J27+"AM:!(Do"</f>
        <v>#VALUE!</v>
      </c>
      <c r="FD165" s="97" t="e">
        <f>'Actual Value'!K27+"AM:!(Dp"</f>
        <v>#VALUE!</v>
      </c>
      <c r="FE165" s="97" t="e">
        <f>'Actual Value'!L27+"AM:!(Dq"</f>
        <v>#VALUE!</v>
      </c>
      <c r="FF165" s="97" t="e">
        <f>'Actual Value'!M27+"AM:!(Dr"</f>
        <v>#VALUE!</v>
      </c>
      <c r="FG165" s="97" t="e">
        <f>'Actual Value'!N27+"AM:!(Ds"</f>
        <v>#VALUE!</v>
      </c>
      <c r="FH165" s="97" t="e">
        <f>'Actual Value'!O27+"AM:!(Dt"</f>
        <v>#VALUE!</v>
      </c>
      <c r="FI165" s="97" t="e">
        <f>'Actual Value'!P27+"AM:!(Du"</f>
        <v>#VALUE!</v>
      </c>
      <c r="FJ165" s="97" t="e">
        <f>'Actual Value'!Q27+"AM:!(Dv"</f>
        <v>#VALUE!</v>
      </c>
      <c r="FK165" s="97" t="e">
        <f>'Actual Value'!R27+"AM:!(Dw"</f>
        <v>#VALUE!</v>
      </c>
      <c r="FL165" s="97" t="e">
        <f>'Actual Value'!S27+"AM:!(Dx"</f>
        <v>#VALUE!</v>
      </c>
      <c r="FM165" s="97" t="e">
        <f>'Actual Value'!T27+"AM:!(Dy"</f>
        <v>#VALUE!</v>
      </c>
      <c r="FN165" s="97" t="e">
        <f>'Actual Value'!U27+"AM:!(Dz"</f>
        <v>#VALUE!</v>
      </c>
      <c r="FO165" s="97" t="e">
        <f>'Actual Value'!V27+"AM:!(D{"</f>
        <v>#VALUE!</v>
      </c>
      <c r="FP165" s="97" t="e">
        <f>'Actual Value'!W27+"AM:!(D|"</f>
        <v>#VALUE!</v>
      </c>
      <c r="FQ165" s="97" t="e">
        <f>'Actual Value'!X27+"AM:!(D}"</f>
        <v>#VALUE!</v>
      </c>
      <c r="FR165" s="97" t="e">
        <f>'Actual Value'!Y27+"AM:!(D~"</f>
        <v>#VALUE!</v>
      </c>
      <c r="FS165" s="97" t="e">
        <f>'Actual Value'!Z27+"AM:!(E#"</f>
        <v>#VALUE!</v>
      </c>
      <c r="FT165" s="97" t="e">
        <f>'Actual Value'!AA27+"AM:!(E$"</f>
        <v>#VALUE!</v>
      </c>
      <c r="FU165" s="97" t="e">
        <f>'Actual Value'!AB27+"AM:!(E%"</f>
        <v>#VALUE!</v>
      </c>
      <c r="FV165" s="97" t="e">
        <f>'Actual Value'!AC27+"AM:!(E&amp;"</f>
        <v>#VALUE!</v>
      </c>
      <c r="FW165" s="97" t="e">
        <f>'Actual Value'!AD27+"AM:!(E'"</f>
        <v>#VALUE!</v>
      </c>
      <c r="FX165" s="97" t="e">
        <f>'Actual Value'!AE27+"AM:!(E("</f>
        <v>#VALUE!</v>
      </c>
      <c r="FY165" s="97" t="e">
        <f>'Actual Value'!AF27+"AM:!(E)"</f>
        <v>#VALUE!</v>
      </c>
      <c r="FZ165" s="97" t="e">
        <f>'Actual Value'!AG27+"AM:!(E."</f>
        <v>#VALUE!</v>
      </c>
      <c r="GA165" s="97" t="e">
        <f>'Actual Value'!AH27+"AM:!(E/"</f>
        <v>#VALUE!</v>
      </c>
      <c r="GB165" s="97" t="e">
        <f>'Actual Value'!AI27+"AM:!(E0"</f>
        <v>#VALUE!</v>
      </c>
      <c r="GC165" s="97" t="e">
        <f>'Actual Value'!AJ27+"AM:!(E1"</f>
        <v>#VALUE!</v>
      </c>
      <c r="GD165" s="97" t="e">
        <f>'Actual Value'!AK27+"AM:!(E2"</f>
        <v>#VALUE!</v>
      </c>
      <c r="GE165" s="97" t="e">
        <f>'Actual Value'!AL27+"AM:!(E3"</f>
        <v>#VALUE!</v>
      </c>
      <c r="GF165" s="97" t="e">
        <f>'Actual Value'!AM27+"AM:!(E4"</f>
        <v>#VALUE!</v>
      </c>
      <c r="GG165" s="97" t="e">
        <f>'Actual Value'!AN27+"AM:!(E5"</f>
        <v>#VALUE!</v>
      </c>
      <c r="GH165" s="97" t="e">
        <f>'Actual Value'!AO27+"AM:!(E6"</f>
        <v>#VALUE!</v>
      </c>
      <c r="GI165" t="e">
        <f>'Actual Value'!AP27+"AM:!(E7"</f>
        <v>#VALUE!</v>
      </c>
      <c r="GJ165" t="e">
        <f>'Actual Value'!AQ27+"AM:!(E8"</f>
        <v>#VALUE!</v>
      </c>
      <c r="GK165" t="e">
        <f>'Actual Value'!AR27+"AM:!(E9"</f>
        <v>#VALUE!</v>
      </c>
      <c r="GL165" t="e">
        <f>'Actual Value'!AS27+"AM:!(E:"</f>
        <v>#VALUE!</v>
      </c>
      <c r="GM165" t="e">
        <f>'Actual Value'!AT27+"AM:!(E;"</f>
        <v>#VALUE!</v>
      </c>
      <c r="GN165" t="e">
        <f>'Actual Value'!AU27+"AM:!(E&lt;"</f>
        <v>#VALUE!</v>
      </c>
      <c r="GO165" t="e">
        <f>'Actual Value'!AV27+"AM:!(E="</f>
        <v>#VALUE!</v>
      </c>
      <c r="GP165" t="e">
        <f>'Actual Value'!AW27+"AM:!(E&gt;"</f>
        <v>#VALUE!</v>
      </c>
      <c r="GQ165" t="e">
        <f>'Actual Value'!AX27+"AM:!(E?"</f>
        <v>#VALUE!</v>
      </c>
      <c r="GR165" t="e">
        <f>'Actual Value'!A28+"AM:!(E@"</f>
        <v>#VALUE!</v>
      </c>
      <c r="GS165" t="e">
        <f>'Actual Value'!B28+"AM:!(EA"</f>
        <v>#VALUE!</v>
      </c>
      <c r="GT165" t="e">
        <f>'Actual Value'!C28+"AM:!(EB"</f>
        <v>#VALUE!</v>
      </c>
      <c r="GU165" s="105" t="e">
        <f>'Actual Value'!D28+"AM:!(EC"</f>
        <v>#VALUE!</v>
      </c>
      <c r="GV165" s="105" t="e">
        <f>'Actual Value'!E28+"AM:!(ED"</f>
        <v>#VALUE!</v>
      </c>
      <c r="GW165" s="105" t="e">
        <f>'Actual Value'!F28+"AM:!(EE"</f>
        <v>#VALUE!</v>
      </c>
      <c r="GX165" s="105" t="e">
        <f>'Actual Value'!G28+"AM:!(EF"</f>
        <v>#VALUE!</v>
      </c>
      <c r="GY165" s="105" t="e">
        <f>'Actual Value'!H28+"AM:!(EG"</f>
        <v>#VALUE!</v>
      </c>
      <c r="GZ165" s="105" t="e">
        <f>'Actual Value'!I28+"AM:!(EH"</f>
        <v>#VALUE!</v>
      </c>
      <c r="HA165" s="105" t="e">
        <f>'Actual Value'!J28+"AM:!(EI"</f>
        <v>#VALUE!</v>
      </c>
      <c r="HB165" s="105" t="e">
        <f>'Actual Value'!K28+"AM:!(EJ"</f>
        <v>#VALUE!</v>
      </c>
      <c r="HC165" s="105" t="e">
        <f>'Actual Value'!L28+"AM:!(EK"</f>
        <v>#VALUE!</v>
      </c>
      <c r="HD165" s="105" t="e">
        <f>'Actual Value'!M28+"AM:!(EL"</f>
        <v>#VALUE!</v>
      </c>
      <c r="HE165" s="105" t="e">
        <f>'Actual Value'!N28+"AM:!(EM"</f>
        <v>#VALUE!</v>
      </c>
      <c r="HF165" s="105" t="e">
        <f>'Actual Value'!O28+"AM:!(EN"</f>
        <v>#VALUE!</v>
      </c>
      <c r="HG165" s="105" t="e">
        <f>'Actual Value'!P28+"AM:!(EO"</f>
        <v>#VALUE!</v>
      </c>
      <c r="HH165" s="105" t="e">
        <f>'Actual Value'!Q28+"AM:!(EP"</f>
        <v>#VALUE!</v>
      </c>
      <c r="HI165" s="105" t="e">
        <f>'Actual Value'!R28+"AM:!(EQ"</f>
        <v>#VALUE!</v>
      </c>
      <c r="HJ165" s="105" t="e">
        <f>'Actual Value'!S28+"AM:!(ER"</f>
        <v>#VALUE!</v>
      </c>
      <c r="HK165" s="105" t="e">
        <f>'Actual Value'!T28+"AM:!(ES"</f>
        <v>#VALUE!</v>
      </c>
      <c r="HL165" s="105" t="e">
        <f>'Actual Value'!U28+"AM:!(ET"</f>
        <v>#VALUE!</v>
      </c>
      <c r="HM165" s="105" t="e">
        <f>'Actual Value'!V28+"AM:!(EU"</f>
        <v>#VALUE!</v>
      </c>
      <c r="HN165" s="105" t="e">
        <f>'Actual Value'!W28+"AM:!(EV"</f>
        <v>#VALUE!</v>
      </c>
      <c r="HO165" s="105" t="e">
        <f>'Actual Value'!X28+"AM:!(EW"</f>
        <v>#VALUE!</v>
      </c>
      <c r="HP165" s="105" t="e">
        <f>'Actual Value'!Y28+"AM:!(EX"</f>
        <v>#VALUE!</v>
      </c>
      <c r="HQ165" s="105" t="e">
        <f>'Actual Value'!Z28+"AM:!(EY"</f>
        <v>#VALUE!</v>
      </c>
      <c r="HR165" s="105" t="e">
        <f>'Actual Value'!AA28+"AM:!(EZ"</f>
        <v>#VALUE!</v>
      </c>
      <c r="HS165" s="105" t="e">
        <f>'Actual Value'!AB28+"AM:!(E["</f>
        <v>#VALUE!</v>
      </c>
      <c r="HT165" s="105" t="e">
        <f>'Actual Value'!AC28+"AM:!(E\"</f>
        <v>#VALUE!</v>
      </c>
      <c r="HU165" s="105" t="e">
        <f>'Actual Value'!AD28+"AM:!(E]"</f>
        <v>#VALUE!</v>
      </c>
      <c r="HV165" s="105" t="e">
        <f>'Actual Value'!AE28+"AM:!(E^"</f>
        <v>#VALUE!</v>
      </c>
      <c r="HW165" s="105" t="e">
        <f>'Actual Value'!AF28+"AM:!(E_"</f>
        <v>#VALUE!</v>
      </c>
      <c r="HX165" s="105" t="e">
        <f>'Actual Value'!AG28+"AM:!(E`"</f>
        <v>#VALUE!</v>
      </c>
      <c r="HY165" s="105" t="e">
        <f>'Actual Value'!AH28+"AM:!(Ea"</f>
        <v>#VALUE!</v>
      </c>
      <c r="HZ165" s="105" t="e">
        <f>'Actual Value'!AI28+"AM:!(Eb"</f>
        <v>#VALUE!</v>
      </c>
      <c r="IA165" s="105" t="e">
        <f>'Actual Value'!AJ28+"AM:!(Ec"</f>
        <v>#VALUE!</v>
      </c>
      <c r="IB165" s="105" t="e">
        <f>'Actual Value'!AK28+"AM:!(Ed"</f>
        <v>#VALUE!</v>
      </c>
      <c r="IC165" s="105" t="e">
        <f>'Actual Value'!AL28+"AM:!(Ee"</f>
        <v>#VALUE!</v>
      </c>
      <c r="ID165" s="105" t="e">
        <f>'Actual Value'!AM28+"AM:!(Ef"</f>
        <v>#VALUE!</v>
      </c>
      <c r="IE165" s="105" t="e">
        <f>'Actual Value'!AN28+"AM:!(Eg"</f>
        <v>#VALUE!</v>
      </c>
      <c r="IF165" s="105" t="e">
        <f>'Actual Value'!AO28+"AM:!(Eh"</f>
        <v>#VALUE!</v>
      </c>
      <c r="IG165" t="e">
        <f>'Actual Value'!AP28+"AM:!(Ei"</f>
        <v>#VALUE!</v>
      </c>
      <c r="IH165" s="100" t="e">
        <f>'Actual Value'!AQ28+"AM:!(Ej"</f>
        <v>#VALUE!</v>
      </c>
      <c r="II165" s="100" t="e">
        <f>'Actual Value'!AR28+"AM:!(Ek"</f>
        <v>#VALUE!</v>
      </c>
      <c r="IJ165" s="100" t="e">
        <f>'Actual Value'!AS28+"AM:!(El"</f>
        <v>#VALUE!</v>
      </c>
      <c r="IK165" s="100" t="e">
        <f>'Actual Value'!AT28+"AM:!(Em"</f>
        <v>#VALUE!</v>
      </c>
      <c r="IL165" s="100" t="e">
        <f>'Actual Value'!AU28+"AM:!(En"</f>
        <v>#VALUE!</v>
      </c>
      <c r="IM165" t="e">
        <f>'Actual Value'!AV28+"AM:!(Eo"</f>
        <v>#VALUE!</v>
      </c>
      <c r="IN165" t="e">
        <f>'Actual Value'!AW28+"AM:!(Ep"</f>
        <v>#VALUE!</v>
      </c>
      <c r="IO165" t="e">
        <f>'Actual Value'!A29+"AM:!(Eq"</f>
        <v>#VALUE!</v>
      </c>
      <c r="IP165" t="e">
        <f>'Actual Value'!B29+"AM:!(Er"</f>
        <v>#VALUE!</v>
      </c>
      <c r="IQ165" t="e">
        <f>'Actual Value'!C29+"AM:!(Es"</f>
        <v>#VALUE!</v>
      </c>
      <c r="IR165" s="97" t="e">
        <f>'Actual Value'!D29+"AM:!(Et"</f>
        <v>#VALUE!</v>
      </c>
      <c r="IS165" s="97" t="e">
        <f>'Actual Value'!E29+"AM:!(Eu"</f>
        <v>#VALUE!</v>
      </c>
      <c r="IT165" s="97" t="e">
        <f>'Actual Value'!F29+"AM:!(Ev"</f>
        <v>#VALUE!</v>
      </c>
      <c r="IU165" s="97" t="e">
        <f>'Actual Value'!G29+"AM:!(Ew"</f>
        <v>#VALUE!</v>
      </c>
      <c r="IV165" s="97" t="e">
        <f>'Actual Value'!H29+"AM:!(Ex"</f>
        <v>#VALUE!</v>
      </c>
    </row>
    <row r="166" spans="6:256">
      <c r="F166" s="97" t="e">
        <f>'Actual Value'!I29+"AM:!(Ey"</f>
        <v>#VALUE!</v>
      </c>
      <c r="G166" s="97" t="e">
        <f>'Actual Value'!J29+"AM:!(Ez"</f>
        <v>#VALUE!</v>
      </c>
      <c r="H166" s="97" t="e">
        <f>'Actual Value'!K29+"AM:!(E{"</f>
        <v>#VALUE!</v>
      </c>
      <c r="I166" s="97" t="e">
        <f>'Actual Value'!L29+"AM:!(E|"</f>
        <v>#VALUE!</v>
      </c>
      <c r="J166" s="97" t="e">
        <f>'Actual Value'!M29+"AM:!(E}"</f>
        <v>#VALUE!</v>
      </c>
      <c r="K166" s="97" t="e">
        <f>'Actual Value'!N29+"AM:!(E~"</f>
        <v>#VALUE!</v>
      </c>
      <c r="L166" s="97" t="e">
        <f>'Actual Value'!O29+"AM:!(F#"</f>
        <v>#VALUE!</v>
      </c>
      <c r="M166" s="97" t="e">
        <f>'Actual Value'!P29+"AM:!(F$"</f>
        <v>#VALUE!</v>
      </c>
      <c r="N166" s="97" t="e">
        <f>'Actual Value'!Q29+"AM:!(F%"</f>
        <v>#VALUE!</v>
      </c>
      <c r="O166" s="97" t="e">
        <f>'Actual Value'!R29+"AM:!(F&amp;"</f>
        <v>#VALUE!</v>
      </c>
      <c r="P166" s="97" t="e">
        <f>'Actual Value'!S29+"AM:!(F'"</f>
        <v>#VALUE!</v>
      </c>
      <c r="Q166" s="97" t="e">
        <f>'Actual Value'!T29+"AM:!(F("</f>
        <v>#VALUE!</v>
      </c>
      <c r="R166" s="97" t="e">
        <f>'Actual Value'!U29+"AM:!(F)"</f>
        <v>#VALUE!</v>
      </c>
      <c r="S166" s="97" t="e">
        <f>'Actual Value'!V29+"AM:!(F."</f>
        <v>#VALUE!</v>
      </c>
      <c r="T166" s="97" t="e">
        <f>'Actual Value'!W29+"AM:!(F/"</f>
        <v>#VALUE!</v>
      </c>
      <c r="U166" s="97" t="e">
        <f>'Actual Value'!X29+"AM:!(F0"</f>
        <v>#VALUE!</v>
      </c>
      <c r="V166" s="97" t="e">
        <f>'Actual Value'!Y29+"AM:!(F1"</f>
        <v>#VALUE!</v>
      </c>
      <c r="W166" s="97" t="e">
        <f>'Actual Value'!Z29+"AM:!(F2"</f>
        <v>#VALUE!</v>
      </c>
      <c r="X166" s="97" t="e">
        <f>'Actual Value'!AA29+"AM:!(F3"</f>
        <v>#VALUE!</v>
      </c>
      <c r="Y166" s="97" t="e">
        <f>'Actual Value'!AB29+"AM:!(F4"</f>
        <v>#VALUE!</v>
      </c>
      <c r="Z166" s="97" t="e">
        <f>'Actual Value'!AC29+"AM:!(F5"</f>
        <v>#VALUE!</v>
      </c>
      <c r="AA166" s="97" t="e">
        <f>'Actual Value'!AD29+"AM:!(F6"</f>
        <v>#VALUE!</v>
      </c>
      <c r="AB166" s="97" t="e">
        <f>'Actual Value'!AE29+"AM:!(F7"</f>
        <v>#VALUE!</v>
      </c>
      <c r="AC166" s="97" t="e">
        <f>'Actual Value'!AF29+"AM:!(F8"</f>
        <v>#VALUE!</v>
      </c>
      <c r="AD166" s="97" t="e">
        <f>'Actual Value'!AG29+"AM:!(F9"</f>
        <v>#VALUE!</v>
      </c>
      <c r="AE166" s="97" t="e">
        <f>'Actual Value'!AH29+"AM:!(F:"</f>
        <v>#VALUE!</v>
      </c>
      <c r="AF166" s="97" t="e">
        <f>'Actual Value'!AI29+"AM:!(F;"</f>
        <v>#VALUE!</v>
      </c>
      <c r="AG166" s="97" t="e">
        <f>'Actual Value'!AJ29+"AM:!(F&lt;"</f>
        <v>#VALUE!</v>
      </c>
      <c r="AH166" s="97" t="e">
        <f>'Actual Value'!AK29+"AM:!(F="</f>
        <v>#VALUE!</v>
      </c>
      <c r="AI166" s="97" t="e">
        <f>'Actual Value'!AL29+"AM:!(F&gt;"</f>
        <v>#VALUE!</v>
      </c>
      <c r="AJ166" s="97" t="e">
        <f>'Actual Value'!AM29+"AM:!(F?"</f>
        <v>#VALUE!</v>
      </c>
      <c r="AK166" s="97" t="e">
        <f>'Actual Value'!AN29+"AM:!(F@"</f>
        <v>#VALUE!</v>
      </c>
      <c r="AL166" s="97" t="e">
        <f>'Actual Value'!AO29+"AM:!(FA"</f>
        <v>#VALUE!</v>
      </c>
      <c r="AM166" t="e">
        <f>'Actual Value'!AP29+"AM:!(FB"</f>
        <v>#VALUE!</v>
      </c>
      <c r="AN166" s="101" t="e">
        <f>'Actual Value'!AQ29+"AM:!(FC"</f>
        <v>#VALUE!</v>
      </c>
      <c r="AO166" t="e">
        <f>'Actual Value'!AR29+"AM:!(FD"</f>
        <v>#VALUE!</v>
      </c>
      <c r="AP166" s="97" t="e">
        <f>'Actual Value'!AS29+"AM:!(FE"</f>
        <v>#VALUE!</v>
      </c>
      <c r="AQ166" t="e">
        <f>'Actual Value'!AT29+"AM:!(FF"</f>
        <v>#VALUE!</v>
      </c>
      <c r="AR166" t="e">
        <f>'Actual Value'!AU29+"AM:!(FG"</f>
        <v>#VALUE!</v>
      </c>
      <c r="AS166" t="e">
        <f>'Actual Value'!AV29+"AM:!(FH"</f>
        <v>#VALUE!</v>
      </c>
      <c r="AT166" t="e">
        <f>'Actual Value'!AW29+"AM:!(FI"</f>
        <v>#VALUE!</v>
      </c>
      <c r="AU166" t="e">
        <f>'Actual Value'!A30+"AM:!(FJ"</f>
        <v>#VALUE!</v>
      </c>
      <c r="AV166" t="e">
        <f>'Actual Value'!B30+"AM:!(FK"</f>
        <v>#VALUE!</v>
      </c>
      <c r="AW166" t="e">
        <f>'Actual Value'!C30+"AM:!(FL"</f>
        <v>#VALUE!</v>
      </c>
      <c r="AX166" s="97" t="e">
        <f ca="1">'Actual Value'!D30+"AM:!(FM"</f>
        <v>#VALUE!</v>
      </c>
      <c r="AY166" s="97" t="e">
        <f ca="1">'Actual Value'!E30+"AM:!(FN"</f>
        <v>#VALUE!</v>
      </c>
      <c r="AZ166" s="97" t="e">
        <f ca="1">'Actual Value'!F30+"AM:!(FO"</f>
        <v>#VALUE!</v>
      </c>
      <c r="BA166" s="97" t="e">
        <f ca="1">'Actual Value'!G30+"AM:!(FP"</f>
        <v>#VALUE!</v>
      </c>
      <c r="BB166" s="97" t="e">
        <f ca="1">'Actual Value'!H30+"AM:!(FQ"</f>
        <v>#VALUE!</v>
      </c>
      <c r="BC166" s="97" t="e">
        <f ca="1">'Actual Value'!I30+"AM:!(FR"</f>
        <v>#VALUE!</v>
      </c>
      <c r="BD166" s="97" t="e">
        <f ca="1">'Actual Value'!J30+"AM:!(FS"</f>
        <v>#VALUE!</v>
      </c>
      <c r="BE166" s="97" t="e">
        <f ca="1">'Actual Value'!K30+"AM:!(FT"</f>
        <v>#VALUE!</v>
      </c>
      <c r="BF166" s="97" t="e">
        <f ca="1">'Actual Value'!L30+"AM:!(FU"</f>
        <v>#VALUE!</v>
      </c>
      <c r="BG166" s="97" t="e">
        <f ca="1">'Actual Value'!M30+"AM:!(FV"</f>
        <v>#VALUE!</v>
      </c>
      <c r="BH166" s="97" t="e">
        <f ca="1">'Actual Value'!N30+"AM:!(FW"</f>
        <v>#VALUE!</v>
      </c>
      <c r="BI166" s="97" t="e">
        <f ca="1">'Actual Value'!O30+"AM:!(FX"</f>
        <v>#VALUE!</v>
      </c>
      <c r="BJ166" s="97" t="e">
        <f ca="1">'Actual Value'!P30+"AM:!(FY"</f>
        <v>#VALUE!</v>
      </c>
      <c r="BK166" s="97" t="e">
        <f ca="1">'Actual Value'!Q30+"AM:!(FZ"</f>
        <v>#VALUE!</v>
      </c>
      <c r="BL166" s="97" t="e">
        <f ca="1">'Actual Value'!R30+"AM:!(F["</f>
        <v>#VALUE!</v>
      </c>
      <c r="BM166" s="97" t="e">
        <f ca="1">'Actual Value'!S30+"AM:!(F\"</f>
        <v>#VALUE!</v>
      </c>
      <c r="BN166" s="97" t="e">
        <f ca="1">'Actual Value'!T30+"AM:!(F]"</f>
        <v>#VALUE!</v>
      </c>
      <c r="BO166" s="97" t="e">
        <f ca="1">'Actual Value'!U30+"AM:!(F^"</f>
        <v>#VALUE!</v>
      </c>
      <c r="BP166" s="97" t="e">
        <f ca="1">'Actual Value'!V30+"AM:!(F_"</f>
        <v>#VALUE!</v>
      </c>
      <c r="BQ166" s="97" t="e">
        <f ca="1">'Actual Value'!W30+"AM:!(F`"</f>
        <v>#VALUE!</v>
      </c>
      <c r="BR166" s="97" t="e">
        <f ca="1">'Actual Value'!X30+"AM:!(Fa"</f>
        <v>#VALUE!</v>
      </c>
      <c r="BS166" s="97" t="e">
        <f ca="1">'Actual Value'!Y30+"AM:!(Fb"</f>
        <v>#VALUE!</v>
      </c>
      <c r="BT166" s="97" t="e">
        <f ca="1">'Actual Value'!Z30+"AM:!(Fc"</f>
        <v>#VALUE!</v>
      </c>
      <c r="BU166" s="97" t="e">
        <f ca="1">'Actual Value'!AA30+"AM:!(Fd"</f>
        <v>#VALUE!</v>
      </c>
      <c r="BV166" s="97" t="e">
        <f ca="1">'Actual Value'!AB30+"AM:!(Fe"</f>
        <v>#VALUE!</v>
      </c>
      <c r="BW166" s="97" t="e">
        <f ca="1">'Actual Value'!AC30+"AM:!(Ff"</f>
        <v>#VALUE!</v>
      </c>
      <c r="BX166" s="97" t="e">
        <f ca="1">'Actual Value'!AD30+"AM:!(Fg"</f>
        <v>#VALUE!</v>
      </c>
      <c r="BY166" s="97" t="e">
        <f ca="1">'Actual Value'!AE30+"AM:!(Fh"</f>
        <v>#VALUE!</v>
      </c>
      <c r="BZ166" s="97" t="e">
        <f ca="1">'Actual Value'!AF30+"AM:!(Fi"</f>
        <v>#VALUE!</v>
      </c>
      <c r="CA166" s="97" t="e">
        <f ca="1">'Actual Value'!AG30+"AM:!(Fj"</f>
        <v>#VALUE!</v>
      </c>
      <c r="CB166" s="97" t="e">
        <f ca="1">'Actual Value'!AH30+"AM:!(Fk"</f>
        <v>#VALUE!</v>
      </c>
      <c r="CC166" s="97" t="e">
        <f ca="1">'Actual Value'!AI30+"AM:!(Fl"</f>
        <v>#VALUE!</v>
      </c>
      <c r="CD166" s="97" t="e">
        <f ca="1">'Actual Value'!AJ30+"AM:!(Fm"</f>
        <v>#VALUE!</v>
      </c>
      <c r="CE166" s="97" t="e">
        <f ca="1">'Actual Value'!AK30+"AM:!(Fn"</f>
        <v>#VALUE!</v>
      </c>
      <c r="CF166" s="97" t="e">
        <f ca="1">'Actual Value'!AL30+"AM:!(Fo"</f>
        <v>#VALUE!</v>
      </c>
      <c r="CG166" s="97" t="e">
        <f ca="1">'Actual Value'!AM30+"AM:!(Fp"</f>
        <v>#VALUE!</v>
      </c>
      <c r="CH166" s="97" t="e">
        <f ca="1">'Actual Value'!AN30+"AM:!(Fq"</f>
        <v>#VALUE!</v>
      </c>
      <c r="CI166" s="97" t="e">
        <f ca="1">'Actual Value'!AO30+"AM:!(Fr"</f>
        <v>#VALUE!</v>
      </c>
      <c r="CJ166" t="e">
        <f>'Actual Value'!AP30+"AM:!(Fs"</f>
        <v>#VALUE!</v>
      </c>
      <c r="CK166" t="e">
        <f>'Actual Value'!AQ30+"AM:!(Ft"</f>
        <v>#VALUE!</v>
      </c>
      <c r="CL166" t="e">
        <f ca="1">'Actual Value'!AR30+"AM:!(Fu"</f>
        <v>#VALUE!</v>
      </c>
      <c r="CM166" s="97" t="e">
        <f ca="1">'Actual Value'!AS30+"AM:!(Fv"</f>
        <v>#VALUE!</v>
      </c>
      <c r="CN166" t="e">
        <f ca="1">'Actual Value'!AT30+"AM:!(Fw"</f>
        <v>#VALUE!</v>
      </c>
      <c r="CO166" t="e">
        <f>'Actual Value'!AU30+"AM:!(Fx"</f>
        <v>#VALUE!</v>
      </c>
      <c r="CP166" t="e">
        <f>'Actual Value'!AV30+"AM:!(Fy"</f>
        <v>#VALUE!</v>
      </c>
      <c r="CQ166" t="e">
        <f>'Actual Value'!AW30+"AM:!(Fz"</f>
        <v>#VALUE!</v>
      </c>
      <c r="CR166" t="e">
        <f>'Actual Value'!A31+"AM:!(F{"</f>
        <v>#VALUE!</v>
      </c>
      <c r="CS166" t="e">
        <f>'Actual Value'!B31+"AM:!(F|"</f>
        <v>#VALUE!</v>
      </c>
      <c r="CT166" t="e">
        <f>'Actual Value'!C31+"AM:!(F}"</f>
        <v>#VALUE!</v>
      </c>
      <c r="CU166" s="97" t="e">
        <f>'Actual Value'!D31+"AM:!(F~"</f>
        <v>#VALUE!</v>
      </c>
      <c r="CV166" s="97" t="e">
        <f>'Actual Value'!E31+"AM:!(G#"</f>
        <v>#VALUE!</v>
      </c>
      <c r="CW166" s="97" t="e">
        <f>'Actual Value'!F31+"AM:!(G$"</f>
        <v>#VALUE!</v>
      </c>
      <c r="CX166" s="97" t="e">
        <f>'Actual Value'!G31+"AM:!(G%"</f>
        <v>#VALUE!</v>
      </c>
      <c r="CY166" s="97" t="e">
        <f>'Actual Value'!H31+"AM:!(G&amp;"</f>
        <v>#VALUE!</v>
      </c>
      <c r="CZ166" s="97" t="e">
        <f>'Actual Value'!I31+"AM:!(G'"</f>
        <v>#VALUE!</v>
      </c>
      <c r="DA166" s="97" t="e">
        <f>'Actual Value'!J31+"AM:!(G("</f>
        <v>#VALUE!</v>
      </c>
      <c r="DB166" s="97" t="e">
        <f>'Actual Value'!K31+"AM:!(G)"</f>
        <v>#VALUE!</v>
      </c>
      <c r="DC166" s="97" t="e">
        <f>'Actual Value'!L31+"AM:!(G."</f>
        <v>#VALUE!</v>
      </c>
      <c r="DD166" s="97" t="e">
        <f>'Actual Value'!M31+"AM:!(G/"</f>
        <v>#VALUE!</v>
      </c>
      <c r="DE166" s="97" t="e">
        <f>'Actual Value'!N31+"AM:!(G0"</f>
        <v>#VALUE!</v>
      </c>
      <c r="DF166" s="97" t="e">
        <f>'Actual Value'!O31+"AM:!(G1"</f>
        <v>#VALUE!</v>
      </c>
      <c r="DG166" s="97" t="e">
        <f>'Actual Value'!P31+"AM:!(G2"</f>
        <v>#VALUE!</v>
      </c>
      <c r="DH166" s="97" t="e">
        <f>'Actual Value'!Q31+"AM:!(G3"</f>
        <v>#VALUE!</v>
      </c>
      <c r="DI166" s="97" t="e">
        <f>'Actual Value'!R31+"AM:!(G4"</f>
        <v>#VALUE!</v>
      </c>
      <c r="DJ166" s="97" t="e">
        <f>'Actual Value'!S31+"AM:!(G5"</f>
        <v>#VALUE!</v>
      </c>
      <c r="DK166" s="97" t="e">
        <f>'Actual Value'!T31+"AM:!(G6"</f>
        <v>#VALUE!</v>
      </c>
      <c r="DL166" s="97" t="e">
        <f>'Actual Value'!U31+"AM:!(G7"</f>
        <v>#VALUE!</v>
      </c>
      <c r="DM166" s="97" t="e">
        <f>'Actual Value'!V31+"AM:!(G8"</f>
        <v>#VALUE!</v>
      </c>
      <c r="DN166" s="97" t="e">
        <f>'Actual Value'!W31+"AM:!(G9"</f>
        <v>#VALUE!</v>
      </c>
      <c r="DO166" s="97" t="e">
        <f>'Actual Value'!X31+"AM:!(G:"</f>
        <v>#VALUE!</v>
      </c>
      <c r="DP166" s="97" t="e">
        <f>'Actual Value'!Y31+"AM:!(G;"</f>
        <v>#VALUE!</v>
      </c>
      <c r="DQ166" s="97" t="e">
        <f>'Actual Value'!Z31+"AM:!(G&lt;"</f>
        <v>#VALUE!</v>
      </c>
      <c r="DR166" s="97" t="e">
        <f>'Actual Value'!AA31+"AM:!(G="</f>
        <v>#VALUE!</v>
      </c>
      <c r="DS166" s="97" t="e">
        <f>'Actual Value'!AB31+"AM:!(G&gt;"</f>
        <v>#VALUE!</v>
      </c>
      <c r="DT166" s="97" t="e">
        <f>'Actual Value'!AC31+"AM:!(G?"</f>
        <v>#VALUE!</v>
      </c>
      <c r="DU166" s="97" t="e">
        <f>'Actual Value'!AD31+"AM:!(G@"</f>
        <v>#VALUE!</v>
      </c>
      <c r="DV166" s="97" t="e">
        <f>'Actual Value'!AE31+"AM:!(GA"</f>
        <v>#VALUE!</v>
      </c>
      <c r="DW166" s="97" t="e">
        <f>'Actual Value'!AF31+"AM:!(GB"</f>
        <v>#VALUE!</v>
      </c>
      <c r="DX166" s="97" t="e">
        <f>'Actual Value'!AG31+"AM:!(GC"</f>
        <v>#VALUE!</v>
      </c>
      <c r="DY166" s="97" t="e">
        <f>'Actual Value'!AH31+"AM:!(GD"</f>
        <v>#VALUE!</v>
      </c>
      <c r="DZ166" s="97" t="e">
        <f>'Actual Value'!AI31+"AM:!(GE"</f>
        <v>#VALUE!</v>
      </c>
      <c r="EA166" s="97" t="e">
        <f>'Actual Value'!AJ31+"AM:!(GF"</f>
        <v>#VALUE!</v>
      </c>
      <c r="EB166" s="97" t="e">
        <f>'Actual Value'!AK31+"AM:!(GG"</f>
        <v>#VALUE!</v>
      </c>
      <c r="EC166" s="97" t="e">
        <f>'Actual Value'!AL31+"AM:!(GH"</f>
        <v>#VALUE!</v>
      </c>
      <c r="ED166" s="97" t="e">
        <f>'Actual Value'!AM31+"AM:!(GI"</f>
        <v>#VALUE!</v>
      </c>
      <c r="EE166" s="97" t="e">
        <f>'Actual Value'!AN31+"AM:!(GJ"</f>
        <v>#VALUE!</v>
      </c>
      <c r="EF166" s="97" t="e">
        <f>'Actual Value'!AO31+"AM:!(GK"</f>
        <v>#VALUE!</v>
      </c>
      <c r="EG166" t="e">
        <f>'Actual Value'!AP31+"AM:!(GL"</f>
        <v>#VALUE!</v>
      </c>
      <c r="EH166" t="e">
        <f>'Actual Value'!AQ31+"AM:!(GM"</f>
        <v>#VALUE!</v>
      </c>
      <c r="EI166" t="e">
        <f>'Actual Value'!AR31+"AM:!(GN"</f>
        <v>#VALUE!</v>
      </c>
      <c r="EJ166" t="e">
        <f>'Actual Value'!AS31+"AM:!(GO"</f>
        <v>#VALUE!</v>
      </c>
      <c r="EK166" t="e">
        <f>'Actual Value'!AT31+"AM:!(GP"</f>
        <v>#VALUE!</v>
      </c>
      <c r="EL166" t="e">
        <f>'Actual Value'!AU31+"AM:!(GQ"</f>
        <v>#VALUE!</v>
      </c>
      <c r="EM166" t="e">
        <f>'Actual Value'!AV31+"AM:!(GR"</f>
        <v>#VALUE!</v>
      </c>
      <c r="EN166" t="e">
        <f>'Actual Value'!AW31+"AM:!(GS"</f>
        <v>#VALUE!</v>
      </c>
      <c r="EO166" t="e">
        <f>'Actual Value'!A32+"AM:!(GT"</f>
        <v>#VALUE!</v>
      </c>
      <c r="EP166" t="e">
        <f>'Actual Value'!B32+"AM:!(GU"</f>
        <v>#VALUE!</v>
      </c>
      <c r="EQ166" t="e">
        <f>'Actual Value'!C32+"AM:!(GV"</f>
        <v>#VALUE!</v>
      </c>
      <c r="ER166" s="97" t="e">
        <f>'Actual Value'!D32+"AM:!(GW"</f>
        <v>#VALUE!</v>
      </c>
      <c r="ES166" s="97" t="e">
        <f>'Actual Value'!E32+"AM:!(GX"</f>
        <v>#VALUE!</v>
      </c>
      <c r="ET166" s="97" t="e">
        <f>'Actual Value'!F32+"AM:!(GY"</f>
        <v>#VALUE!</v>
      </c>
      <c r="EU166" s="97" t="e">
        <f>'Actual Value'!G32+"AM:!(GZ"</f>
        <v>#VALUE!</v>
      </c>
      <c r="EV166" s="97" t="e">
        <f>'Actual Value'!H32+"AM:!(G["</f>
        <v>#VALUE!</v>
      </c>
      <c r="EW166" s="97" t="e">
        <f>'Actual Value'!I32+"AM:!(G\"</f>
        <v>#VALUE!</v>
      </c>
      <c r="EX166" s="97" t="e">
        <f>'Actual Value'!J32+"AM:!(G]"</f>
        <v>#VALUE!</v>
      </c>
      <c r="EY166" s="97" t="e">
        <f>'Actual Value'!K32+"AM:!(G^"</f>
        <v>#VALUE!</v>
      </c>
      <c r="EZ166" s="97" t="e">
        <f>'Actual Value'!L32+"AM:!(G_"</f>
        <v>#VALUE!</v>
      </c>
      <c r="FA166" s="97" t="e">
        <f>'Actual Value'!M32+"AM:!(G`"</f>
        <v>#VALUE!</v>
      </c>
      <c r="FB166" s="97" t="e">
        <f>'Actual Value'!N32+"AM:!(Ga"</f>
        <v>#VALUE!</v>
      </c>
      <c r="FC166" s="97" t="e">
        <f>'Actual Value'!O32+"AM:!(Gb"</f>
        <v>#VALUE!</v>
      </c>
      <c r="FD166" s="97" t="e">
        <f>'Actual Value'!P32+"AM:!(Gc"</f>
        <v>#VALUE!</v>
      </c>
      <c r="FE166" s="97" t="e">
        <f>'Actual Value'!Q32+"AM:!(Gd"</f>
        <v>#VALUE!</v>
      </c>
      <c r="FF166" s="97" t="e">
        <f>'Actual Value'!R32+"AM:!(Ge"</f>
        <v>#VALUE!</v>
      </c>
      <c r="FG166" s="97" t="e">
        <f>'Actual Value'!S32+"AM:!(Gf"</f>
        <v>#VALUE!</v>
      </c>
      <c r="FH166" s="97" t="e">
        <f>'Actual Value'!T32+"AM:!(Gg"</f>
        <v>#VALUE!</v>
      </c>
      <c r="FI166" s="97" t="e">
        <f>'Actual Value'!U32+"AM:!(Gh"</f>
        <v>#VALUE!</v>
      </c>
      <c r="FJ166" s="97" t="e">
        <f>'Actual Value'!V32+"AM:!(Gi"</f>
        <v>#VALUE!</v>
      </c>
      <c r="FK166" s="97" t="e">
        <f>'Actual Value'!W32+"AM:!(Gj"</f>
        <v>#VALUE!</v>
      </c>
      <c r="FL166" s="97" t="e">
        <f>'Actual Value'!X32+"AM:!(Gk"</f>
        <v>#VALUE!</v>
      </c>
      <c r="FM166" s="97" t="e">
        <f>'Actual Value'!Y32+"AM:!(Gl"</f>
        <v>#VALUE!</v>
      </c>
      <c r="FN166" s="97" t="e">
        <f>'Actual Value'!Z32+"AM:!(Gm"</f>
        <v>#VALUE!</v>
      </c>
      <c r="FO166" s="97" t="e">
        <f>'Actual Value'!AA32+"AM:!(Gn"</f>
        <v>#VALUE!</v>
      </c>
      <c r="FP166" s="97" t="e">
        <f>'Actual Value'!AB32+"AM:!(Go"</f>
        <v>#VALUE!</v>
      </c>
      <c r="FQ166" s="97" t="e">
        <f>'Actual Value'!AC32+"AM:!(Gp"</f>
        <v>#VALUE!</v>
      </c>
      <c r="FR166" s="97" t="e">
        <f>'Actual Value'!AD32+"AM:!(Gq"</f>
        <v>#VALUE!</v>
      </c>
      <c r="FS166" s="97" t="e">
        <f>'Actual Value'!AE32+"AM:!(Gr"</f>
        <v>#VALUE!</v>
      </c>
      <c r="FT166" s="97" t="e">
        <f>'Actual Value'!AF32+"AM:!(Gs"</f>
        <v>#VALUE!</v>
      </c>
      <c r="FU166" s="97" t="e">
        <f>'Actual Value'!AG32+"AM:!(Gt"</f>
        <v>#VALUE!</v>
      </c>
      <c r="FV166" s="97" t="e">
        <f>'Actual Value'!AH32+"AM:!(Gu"</f>
        <v>#VALUE!</v>
      </c>
      <c r="FW166" s="97" t="e">
        <f>'Actual Value'!AI32+"AM:!(Gv"</f>
        <v>#VALUE!</v>
      </c>
      <c r="FX166" s="97" t="e">
        <f>'Actual Value'!AJ32+"AM:!(Gw"</f>
        <v>#VALUE!</v>
      </c>
      <c r="FY166" s="97" t="e">
        <f>'Actual Value'!AK32+"AM:!(Gx"</f>
        <v>#VALUE!</v>
      </c>
      <c r="FZ166" s="97" t="e">
        <f>'Actual Value'!AL32+"AM:!(Gy"</f>
        <v>#VALUE!</v>
      </c>
      <c r="GA166" s="97" t="e">
        <f>'Actual Value'!AM32+"AM:!(Gz"</f>
        <v>#VALUE!</v>
      </c>
      <c r="GB166" s="97" t="e">
        <f>'Actual Value'!AN32+"AM:!(G{"</f>
        <v>#VALUE!</v>
      </c>
      <c r="GC166" s="97" t="e">
        <f>'Actual Value'!AO32+"AM:!(G|"</f>
        <v>#VALUE!</v>
      </c>
      <c r="GD166" t="e">
        <f>'Actual Value'!AP32+"AM:!(G}"</f>
        <v>#VALUE!</v>
      </c>
      <c r="GE166" t="e">
        <f>'Actual Value'!AQ32+"AM:!(G~"</f>
        <v>#VALUE!</v>
      </c>
      <c r="GF166" t="e">
        <f>'Actual Value'!AR32+"AM:!(H#"</f>
        <v>#VALUE!</v>
      </c>
      <c r="GG166" t="e">
        <f>'Actual Value'!AS32+"AM:!(H$"</f>
        <v>#VALUE!</v>
      </c>
      <c r="GH166" t="e">
        <f>'Actual Value'!AT32+"AM:!(H%"</f>
        <v>#VALUE!</v>
      </c>
      <c r="GI166" t="e">
        <f>'Actual Value'!AU32+"AM:!(H&amp;"</f>
        <v>#VALUE!</v>
      </c>
      <c r="GJ166" t="e">
        <f>'Actual Value'!AV32+"AM:!(H'"</f>
        <v>#VALUE!</v>
      </c>
      <c r="GK166" t="e">
        <f>'Actual Value'!AW32+"AM:!(H("</f>
        <v>#VALUE!</v>
      </c>
      <c r="GL166" t="e">
        <f>'Actual Value'!AX32+"AM:!(H)"</f>
        <v>#VALUE!</v>
      </c>
      <c r="GM166" t="e">
        <f>'Actual Value'!A33+"AM:!(H."</f>
        <v>#VALUE!</v>
      </c>
      <c r="GN166" t="e">
        <f>'Actual Value'!B33+"AM:!(H/"</f>
        <v>#VALUE!</v>
      </c>
      <c r="GO166" t="e">
        <f>'Actual Value'!C33+"AM:!(H0"</f>
        <v>#VALUE!</v>
      </c>
      <c r="GP166" s="97" t="e">
        <f>'Actual Value'!D33+"AM:!(H1"</f>
        <v>#VALUE!</v>
      </c>
      <c r="GQ166" s="97" t="e">
        <f>'Actual Value'!E33+"AM:!(H2"</f>
        <v>#VALUE!</v>
      </c>
      <c r="GR166" s="97" t="e">
        <f>'Actual Value'!F33+"AM:!(H3"</f>
        <v>#VALUE!</v>
      </c>
      <c r="GS166" s="97" t="e">
        <f>'Actual Value'!G33+"AM:!(H4"</f>
        <v>#VALUE!</v>
      </c>
      <c r="GT166" s="97" t="e">
        <f>'Actual Value'!H33+"AM:!(H5"</f>
        <v>#VALUE!</v>
      </c>
      <c r="GU166" s="97" t="e">
        <f>'Actual Value'!I33+"AM:!(H6"</f>
        <v>#VALUE!</v>
      </c>
      <c r="GV166" s="97" t="e">
        <f>'Actual Value'!J33+"AM:!(H7"</f>
        <v>#VALUE!</v>
      </c>
      <c r="GW166" s="97" t="e">
        <f>'Actual Value'!K33+"AM:!(H8"</f>
        <v>#VALUE!</v>
      </c>
      <c r="GX166" s="97" t="e">
        <f>'Actual Value'!L33+"AM:!(H9"</f>
        <v>#VALUE!</v>
      </c>
      <c r="GY166" s="97" t="e">
        <f>'Actual Value'!M33+"AM:!(H:"</f>
        <v>#VALUE!</v>
      </c>
      <c r="GZ166" s="97" t="e">
        <f>'Actual Value'!N33+"AM:!(H;"</f>
        <v>#VALUE!</v>
      </c>
      <c r="HA166" s="97" t="e">
        <f>'Actual Value'!O33+"AM:!(H&lt;"</f>
        <v>#VALUE!</v>
      </c>
      <c r="HB166" s="97" t="e">
        <f>'Actual Value'!P33+"AM:!(H="</f>
        <v>#VALUE!</v>
      </c>
      <c r="HC166" s="97" t="e">
        <f>'Actual Value'!Q33+"AM:!(H&gt;"</f>
        <v>#VALUE!</v>
      </c>
      <c r="HD166" s="97" t="e">
        <f>'Actual Value'!R33+"AM:!(H?"</f>
        <v>#VALUE!</v>
      </c>
      <c r="HE166" s="97" t="e">
        <f>'Actual Value'!S33+"AM:!(H@"</f>
        <v>#VALUE!</v>
      </c>
      <c r="HF166" s="97" t="e">
        <f>'Actual Value'!T33+"AM:!(HA"</f>
        <v>#VALUE!</v>
      </c>
      <c r="HG166" s="97" t="e">
        <f>'Actual Value'!U33+"AM:!(HB"</f>
        <v>#VALUE!</v>
      </c>
      <c r="HH166" s="97" t="e">
        <f>'Actual Value'!V33+"AM:!(HC"</f>
        <v>#VALUE!</v>
      </c>
      <c r="HI166" s="97" t="e">
        <f>'Actual Value'!W33+"AM:!(HD"</f>
        <v>#VALUE!</v>
      </c>
      <c r="HJ166" s="97" t="e">
        <f>'Actual Value'!X33+"AM:!(HE"</f>
        <v>#VALUE!</v>
      </c>
      <c r="HK166" s="97" t="e">
        <f>'Actual Value'!Y33+"AM:!(HF"</f>
        <v>#VALUE!</v>
      </c>
      <c r="HL166" s="97" t="e">
        <f>'Actual Value'!Z33+"AM:!(HG"</f>
        <v>#VALUE!</v>
      </c>
      <c r="HM166" s="97" t="e">
        <f>'Actual Value'!AA33+"AM:!(HH"</f>
        <v>#VALUE!</v>
      </c>
      <c r="HN166" s="97" t="e">
        <f>'Actual Value'!AB33+"AM:!(HI"</f>
        <v>#VALUE!</v>
      </c>
      <c r="HO166" s="97" t="e">
        <f>'Actual Value'!AC33+"AM:!(HJ"</f>
        <v>#VALUE!</v>
      </c>
      <c r="HP166" s="97" t="e">
        <f>'Actual Value'!AD33+"AM:!(HK"</f>
        <v>#VALUE!</v>
      </c>
      <c r="HQ166" s="97" t="e">
        <f>'Actual Value'!AE33+"AM:!(HL"</f>
        <v>#VALUE!</v>
      </c>
      <c r="HR166" s="97" t="e">
        <f>'Actual Value'!AF33+"AM:!(HM"</f>
        <v>#VALUE!</v>
      </c>
      <c r="HS166" s="97" t="e">
        <f>'Actual Value'!AG33+"AM:!(HN"</f>
        <v>#VALUE!</v>
      </c>
      <c r="HT166" s="97" t="e">
        <f>'Actual Value'!AH33+"AM:!(HO"</f>
        <v>#VALUE!</v>
      </c>
      <c r="HU166" s="97" t="e">
        <f>'Actual Value'!AI33+"AM:!(HP"</f>
        <v>#VALUE!</v>
      </c>
      <c r="HV166" s="97" t="e">
        <f>'Actual Value'!AJ33+"AM:!(HQ"</f>
        <v>#VALUE!</v>
      </c>
      <c r="HW166" s="97" t="e">
        <f>'Actual Value'!AK33+"AM:!(HR"</f>
        <v>#VALUE!</v>
      </c>
      <c r="HX166" s="97" t="e">
        <f>'Actual Value'!AL33+"AM:!(HS"</f>
        <v>#VALUE!</v>
      </c>
      <c r="HY166" s="97" t="e">
        <f>'Actual Value'!AM33+"AM:!(HT"</f>
        <v>#VALUE!</v>
      </c>
      <c r="HZ166" s="97" t="e">
        <f>'Actual Value'!AN33+"AM:!(HU"</f>
        <v>#VALUE!</v>
      </c>
      <c r="IA166" s="97" t="e">
        <f>'Actual Value'!AO33+"AM:!(HV"</f>
        <v>#VALUE!</v>
      </c>
      <c r="IB166" t="e">
        <f>'Actual Value'!AP33+"AM:!(HW"</f>
        <v>#VALUE!</v>
      </c>
      <c r="IC166" t="e">
        <f>'Actual Value'!AQ33+"AM:!(HX"</f>
        <v>#VALUE!</v>
      </c>
      <c r="ID166" t="e">
        <f>'Actual Value'!AR33+"AM:!(HY"</f>
        <v>#VALUE!</v>
      </c>
      <c r="IE166" t="e">
        <f>'Actual Value'!AS33+"AM:!(HZ"</f>
        <v>#VALUE!</v>
      </c>
      <c r="IF166" t="e">
        <f>'Actual Value'!AT33+"AM:!(H["</f>
        <v>#VALUE!</v>
      </c>
      <c r="IG166" t="e">
        <f>'Actual Value'!AU33+"AM:!(H\"</f>
        <v>#VALUE!</v>
      </c>
      <c r="IH166" t="e">
        <f>'Actual Value'!AV33+"AM:!(H]"</f>
        <v>#VALUE!</v>
      </c>
      <c r="II166" t="e">
        <f>'Actual Value'!AW33+"AM:!(H^"</f>
        <v>#VALUE!</v>
      </c>
      <c r="IJ166" t="e">
        <f>'Actual Value'!AX33+"AM:!(H_"</f>
        <v>#VALUE!</v>
      </c>
      <c r="IK166" t="e">
        <f>'Actual Value'!A34+"AM:!(H`"</f>
        <v>#VALUE!</v>
      </c>
      <c r="IL166" t="e">
        <f>'Actual Value'!B34+"AM:!(Ha"</f>
        <v>#VALUE!</v>
      </c>
      <c r="IM166" t="e">
        <f>'Actual Value'!C34+"AM:!(Hb"</f>
        <v>#VALUE!</v>
      </c>
      <c r="IN166" s="97" t="e">
        <f>'Actual Value'!D34+"AM:!(Hc"</f>
        <v>#VALUE!</v>
      </c>
      <c r="IO166" s="97" t="e">
        <f>'Actual Value'!E34+"AM:!(Hd"</f>
        <v>#VALUE!</v>
      </c>
      <c r="IP166" s="97" t="e">
        <f>'Actual Value'!F34+"AM:!(He"</f>
        <v>#VALUE!</v>
      </c>
      <c r="IQ166" s="97" t="e">
        <f>'Actual Value'!G34+"AM:!(Hf"</f>
        <v>#VALUE!</v>
      </c>
      <c r="IR166" s="97" t="e">
        <f>'Actual Value'!H34+"AM:!(Hg"</f>
        <v>#VALUE!</v>
      </c>
      <c r="IS166" s="97" t="e">
        <f>'Actual Value'!I34+"AM:!(Hh"</f>
        <v>#VALUE!</v>
      </c>
      <c r="IT166" s="97" t="e">
        <f>'Actual Value'!J34+"AM:!(Hi"</f>
        <v>#VALUE!</v>
      </c>
      <c r="IU166" s="97" t="e">
        <f>'Actual Value'!K34+"AM:!(Hj"</f>
        <v>#VALUE!</v>
      </c>
      <c r="IV166" s="97" t="e">
        <f>'Actual Value'!L34+"AM:!(Hk"</f>
        <v>#VALUE!</v>
      </c>
    </row>
    <row r="167" spans="6:256">
      <c r="F167" s="97" t="e">
        <f>'Actual Value'!M34+"AM:!(Hl"</f>
        <v>#VALUE!</v>
      </c>
      <c r="G167" s="97" t="e">
        <f>'Actual Value'!N34+"AM:!(Hm"</f>
        <v>#VALUE!</v>
      </c>
      <c r="H167" s="97" t="e">
        <f>'Actual Value'!O34+"AM:!(Hn"</f>
        <v>#VALUE!</v>
      </c>
      <c r="I167" s="97" t="e">
        <f>'Actual Value'!P34+"AM:!(Ho"</f>
        <v>#VALUE!</v>
      </c>
      <c r="J167" s="97" t="e">
        <f>'Actual Value'!Q34+"AM:!(Hp"</f>
        <v>#VALUE!</v>
      </c>
      <c r="K167" s="97" t="e">
        <f>'Actual Value'!R34+"AM:!(Hq"</f>
        <v>#VALUE!</v>
      </c>
      <c r="L167" s="97" t="e">
        <f>'Actual Value'!S34+"AM:!(Hr"</f>
        <v>#VALUE!</v>
      </c>
      <c r="M167" s="97" t="e">
        <f>'Actual Value'!T34+"AM:!(Hs"</f>
        <v>#VALUE!</v>
      </c>
      <c r="N167" s="97" t="e">
        <f>'Actual Value'!U34+"AM:!(Ht"</f>
        <v>#VALUE!</v>
      </c>
      <c r="O167" s="97" t="e">
        <f>'Actual Value'!V34+"AM:!(Hu"</f>
        <v>#VALUE!</v>
      </c>
      <c r="P167" s="97" t="e">
        <f>'Actual Value'!W34+"AM:!(Hv"</f>
        <v>#VALUE!</v>
      </c>
      <c r="Q167" s="97" t="e">
        <f>'Actual Value'!X34+"AM:!(Hw"</f>
        <v>#VALUE!</v>
      </c>
      <c r="R167" s="97" t="e">
        <f>'Actual Value'!Y34+"AM:!(Hx"</f>
        <v>#VALUE!</v>
      </c>
      <c r="S167" s="97" t="e">
        <f>'Actual Value'!Z34+"AM:!(Hy"</f>
        <v>#VALUE!</v>
      </c>
      <c r="T167" s="97" t="e">
        <f>'Actual Value'!AA34+"AM:!(Hz"</f>
        <v>#VALUE!</v>
      </c>
      <c r="U167" s="97" t="e">
        <f>'Actual Value'!AB34+"AM:!(H{"</f>
        <v>#VALUE!</v>
      </c>
      <c r="V167" s="97" t="e">
        <f>'Actual Value'!AC34+"AM:!(H|"</f>
        <v>#VALUE!</v>
      </c>
      <c r="W167" s="97" t="e">
        <f>'Actual Value'!AD34+"AM:!(H}"</f>
        <v>#VALUE!</v>
      </c>
      <c r="X167" s="97" t="e">
        <f>'Actual Value'!AE34+"AM:!(H~"</f>
        <v>#VALUE!</v>
      </c>
      <c r="Y167" s="97" t="e">
        <f>'Actual Value'!AF34+"AM:!(I#"</f>
        <v>#VALUE!</v>
      </c>
      <c r="Z167" s="97" t="e">
        <f>'Actual Value'!AG34+"AM:!(I$"</f>
        <v>#VALUE!</v>
      </c>
      <c r="AA167" s="97" t="e">
        <f>'Actual Value'!AH34+"AM:!(I%"</f>
        <v>#VALUE!</v>
      </c>
      <c r="AB167" s="97" t="e">
        <f>'Actual Value'!AI34+"AM:!(I&amp;"</f>
        <v>#VALUE!</v>
      </c>
      <c r="AC167" s="97" t="e">
        <f>'Actual Value'!AJ34+"AM:!(I'"</f>
        <v>#VALUE!</v>
      </c>
      <c r="AD167" s="97" t="e">
        <f>'Actual Value'!AK34+"AM:!(I("</f>
        <v>#VALUE!</v>
      </c>
      <c r="AE167" s="97" t="e">
        <f>'Actual Value'!AL34+"AM:!(I)"</f>
        <v>#VALUE!</v>
      </c>
      <c r="AF167" s="97" t="e">
        <f>'Actual Value'!AM34+"AM:!(I."</f>
        <v>#VALUE!</v>
      </c>
      <c r="AG167" s="97" t="e">
        <f>'Actual Value'!AN34+"AM:!(I/"</f>
        <v>#VALUE!</v>
      </c>
      <c r="AH167" s="97" t="e">
        <f>'Actual Value'!AO34+"AM:!(I0"</f>
        <v>#VALUE!</v>
      </c>
      <c r="AI167" t="e">
        <f>'Actual Value'!AP34+"AM:!(I1"</f>
        <v>#VALUE!</v>
      </c>
      <c r="AJ167" t="e">
        <f>'Actual Value'!AQ34+"AM:!(I2"</f>
        <v>#VALUE!</v>
      </c>
      <c r="AK167" t="e">
        <f>'Actual Value'!AR34+"AM:!(I3"</f>
        <v>#VALUE!</v>
      </c>
      <c r="AL167" t="e">
        <f>'Actual Value'!AS34+"AM:!(I4"</f>
        <v>#VALUE!</v>
      </c>
      <c r="AM167" t="e">
        <f>'Actual Value'!AT34+"AM:!(I5"</f>
        <v>#VALUE!</v>
      </c>
      <c r="AN167" t="e">
        <f>'Actual Value'!AU34+"AM:!(I6"</f>
        <v>#VALUE!</v>
      </c>
      <c r="AO167" t="e">
        <f>'Actual Value'!AV34+"AM:!(I7"</f>
        <v>#VALUE!</v>
      </c>
      <c r="AP167" t="e">
        <f>'Actual Value'!AW34+"AM:!(I8"</f>
        <v>#VALUE!</v>
      </c>
      <c r="AQ167" t="e">
        <f>'Actual Value'!AX34+"AM:!(I9"</f>
        <v>#VALUE!</v>
      </c>
      <c r="AR167" t="e">
        <f>'Actual Value'!A35+"AM:!(I:"</f>
        <v>#VALUE!</v>
      </c>
      <c r="AS167" t="e">
        <f>'Actual Value'!B35+"AM:!(I;"</f>
        <v>#VALUE!</v>
      </c>
      <c r="AT167" t="e">
        <f>'Actual Value'!C35+"AM:!(I&lt;"</f>
        <v>#VALUE!</v>
      </c>
      <c r="AU167" s="97" t="e">
        <f>'Actual Value'!D35+"AM:!(I="</f>
        <v>#VALUE!</v>
      </c>
      <c r="AV167" s="97" t="e">
        <f>'Actual Value'!E35+"AM:!(I&gt;"</f>
        <v>#VALUE!</v>
      </c>
      <c r="AW167" s="97" t="e">
        <f>'Actual Value'!F35+"AM:!(I?"</f>
        <v>#VALUE!</v>
      </c>
      <c r="AX167" s="97" t="e">
        <f>'Actual Value'!G35+"AM:!(I@"</f>
        <v>#VALUE!</v>
      </c>
      <c r="AY167" s="97" t="e">
        <f>'Actual Value'!H35+"AM:!(IA"</f>
        <v>#VALUE!</v>
      </c>
      <c r="AZ167" s="97" t="e">
        <f>'Actual Value'!I35+"AM:!(IB"</f>
        <v>#VALUE!</v>
      </c>
      <c r="BA167" s="97" t="e">
        <f>'Actual Value'!J35+"AM:!(IC"</f>
        <v>#VALUE!</v>
      </c>
      <c r="BB167" s="97" t="e">
        <f>'Actual Value'!K35+"AM:!(ID"</f>
        <v>#VALUE!</v>
      </c>
      <c r="BC167" s="97" t="e">
        <f>'Actual Value'!L35+"AM:!(IE"</f>
        <v>#VALUE!</v>
      </c>
      <c r="BD167" s="97" t="e">
        <f>'Actual Value'!M35+"AM:!(IF"</f>
        <v>#VALUE!</v>
      </c>
      <c r="BE167" s="97" t="e">
        <f>'Actual Value'!N35+"AM:!(IG"</f>
        <v>#VALUE!</v>
      </c>
      <c r="BF167" s="97" t="e">
        <f>'Actual Value'!O35+"AM:!(IH"</f>
        <v>#VALUE!</v>
      </c>
      <c r="BG167" s="97" t="e">
        <f>'Actual Value'!P35+"AM:!(II"</f>
        <v>#VALUE!</v>
      </c>
      <c r="BH167" s="97" t="e">
        <f>'Actual Value'!Q35+"AM:!(IJ"</f>
        <v>#VALUE!</v>
      </c>
      <c r="BI167" s="97" t="e">
        <f>'Actual Value'!R35+"AM:!(IK"</f>
        <v>#VALUE!</v>
      </c>
      <c r="BJ167" s="97" t="e">
        <f>'Actual Value'!S35+"AM:!(IL"</f>
        <v>#VALUE!</v>
      </c>
      <c r="BK167" s="97" t="e">
        <f>'Actual Value'!T35+"AM:!(IM"</f>
        <v>#VALUE!</v>
      </c>
      <c r="BL167" s="97" t="e">
        <f>'Actual Value'!U35+"AM:!(IN"</f>
        <v>#VALUE!</v>
      </c>
      <c r="BM167" s="97" t="e">
        <f>'Actual Value'!V35+"AM:!(IO"</f>
        <v>#VALUE!</v>
      </c>
      <c r="BN167" s="97" t="e">
        <f>'Actual Value'!W35+"AM:!(IP"</f>
        <v>#VALUE!</v>
      </c>
      <c r="BO167" s="97" t="e">
        <f>'Actual Value'!X35+"AM:!(IQ"</f>
        <v>#VALUE!</v>
      </c>
      <c r="BP167" s="97" t="e">
        <f>'Actual Value'!Y35+"AM:!(IR"</f>
        <v>#VALUE!</v>
      </c>
      <c r="BQ167" s="97" t="e">
        <f>'Actual Value'!Z35+"AM:!(IS"</f>
        <v>#VALUE!</v>
      </c>
      <c r="BR167" s="97" t="e">
        <f>'Actual Value'!AA35+"AM:!(IT"</f>
        <v>#VALUE!</v>
      </c>
      <c r="BS167" s="97" t="e">
        <f>'Actual Value'!AB35+"AM:!(IU"</f>
        <v>#VALUE!</v>
      </c>
      <c r="BT167" s="97" t="e">
        <f>'Actual Value'!AC35+"AM:!(IV"</f>
        <v>#VALUE!</v>
      </c>
      <c r="BU167" s="97" t="e">
        <f>'Actual Value'!AD35+"AM:!(IW"</f>
        <v>#VALUE!</v>
      </c>
      <c r="BV167" s="97" t="e">
        <f>'Actual Value'!AE35+"AM:!(IX"</f>
        <v>#VALUE!</v>
      </c>
      <c r="BW167" s="97" t="e">
        <f>'Actual Value'!AF35+"AM:!(IY"</f>
        <v>#VALUE!</v>
      </c>
      <c r="BX167" s="97" t="e">
        <f>'Actual Value'!AG35+"AM:!(IZ"</f>
        <v>#VALUE!</v>
      </c>
      <c r="BY167" s="97" t="e">
        <f>'Actual Value'!AH35+"AM:!(I["</f>
        <v>#VALUE!</v>
      </c>
      <c r="BZ167" s="97" t="e">
        <f>'Actual Value'!AI35+"AM:!(I\"</f>
        <v>#VALUE!</v>
      </c>
      <c r="CA167" s="97" t="e">
        <f>'Actual Value'!AJ35+"AM:!(I]"</f>
        <v>#VALUE!</v>
      </c>
      <c r="CB167" s="97" t="e">
        <f>'Actual Value'!AK35+"AM:!(I^"</f>
        <v>#VALUE!</v>
      </c>
      <c r="CC167" s="97" t="e">
        <f>'Actual Value'!AL35+"AM:!(I_"</f>
        <v>#VALUE!</v>
      </c>
      <c r="CD167" s="97" t="e">
        <f>'Actual Value'!AM35+"AM:!(I`"</f>
        <v>#VALUE!</v>
      </c>
      <c r="CE167" s="97" t="e">
        <f>'Actual Value'!AN35+"AM:!(Ia"</f>
        <v>#VALUE!</v>
      </c>
      <c r="CF167" s="97" t="e">
        <f>'Actual Value'!AO35+"AM:!(Ib"</f>
        <v>#VALUE!</v>
      </c>
      <c r="CG167" t="e">
        <f>'Actual Value'!AP35+"AM:!(Ic"</f>
        <v>#VALUE!</v>
      </c>
      <c r="CH167" t="e">
        <f>'Actual Value'!AQ35+"AM:!(Id"</f>
        <v>#VALUE!</v>
      </c>
      <c r="CI167" t="e">
        <f>'Actual Value'!AR35+"AM:!(Ie"</f>
        <v>#VALUE!</v>
      </c>
      <c r="CJ167" t="e">
        <f>'Actual Value'!AS35+"AM:!(If"</f>
        <v>#VALUE!</v>
      </c>
      <c r="CK167" t="e">
        <f>'Actual Value'!AT35+"AM:!(Ig"</f>
        <v>#VALUE!</v>
      </c>
      <c r="CL167" t="e">
        <f>'Actual Value'!AU35+"AM:!(Ih"</f>
        <v>#VALUE!</v>
      </c>
      <c r="CM167" t="e">
        <f>'Actual Value'!AV35+"AM:!(Ii"</f>
        <v>#VALUE!</v>
      </c>
      <c r="CN167" t="e">
        <f>'Actual Value'!AW35+"AM:!(Ij"</f>
        <v>#VALUE!</v>
      </c>
      <c r="CO167" t="e">
        <f>'Actual Value'!AX35+"AM:!(Ik"</f>
        <v>#VALUE!</v>
      </c>
      <c r="CP167" t="e">
        <f>'Actual Value'!A36+"AM:!(Il"</f>
        <v>#VALUE!</v>
      </c>
      <c r="CQ167" t="e">
        <f>'Actual Value'!B36+"AM:!(Im"</f>
        <v>#VALUE!</v>
      </c>
      <c r="CR167" t="e">
        <f>'Actual Value'!C36+"AM:!(In"</f>
        <v>#VALUE!</v>
      </c>
      <c r="CS167" s="97" t="e">
        <f>'Actual Value'!D36+"AM:!(Io"</f>
        <v>#VALUE!</v>
      </c>
      <c r="CT167" s="97" t="e">
        <f>'Actual Value'!E36+"AM:!(Ip"</f>
        <v>#VALUE!</v>
      </c>
      <c r="CU167" s="97" t="e">
        <f>'Actual Value'!F36+"AM:!(Iq"</f>
        <v>#VALUE!</v>
      </c>
      <c r="CV167" s="97" t="e">
        <f>'Actual Value'!G36+"AM:!(Ir"</f>
        <v>#VALUE!</v>
      </c>
      <c r="CW167" s="97" t="e">
        <f>'Actual Value'!H36+"AM:!(Is"</f>
        <v>#VALUE!</v>
      </c>
      <c r="CX167" s="97" t="e">
        <f>'Actual Value'!I36+"AM:!(It"</f>
        <v>#VALUE!</v>
      </c>
      <c r="CY167" s="97" t="e">
        <f>'Actual Value'!J36+"AM:!(Iu"</f>
        <v>#VALUE!</v>
      </c>
      <c r="CZ167" s="97" t="e">
        <f>'Actual Value'!K36+"AM:!(Iv"</f>
        <v>#VALUE!</v>
      </c>
      <c r="DA167" s="97" t="e">
        <f>'Actual Value'!L36+"AM:!(Iw"</f>
        <v>#VALUE!</v>
      </c>
      <c r="DB167" s="97" t="e">
        <f>'Actual Value'!M36+"AM:!(Ix"</f>
        <v>#VALUE!</v>
      </c>
      <c r="DC167" s="97" t="e">
        <f>'Actual Value'!N36+"AM:!(Iy"</f>
        <v>#VALUE!</v>
      </c>
      <c r="DD167" s="97" t="e">
        <f>'Actual Value'!O36+"AM:!(Iz"</f>
        <v>#VALUE!</v>
      </c>
      <c r="DE167" s="97" t="e">
        <f>'Actual Value'!P36+"AM:!(I{"</f>
        <v>#VALUE!</v>
      </c>
      <c r="DF167" s="97" t="e">
        <f>'Actual Value'!Q36+"AM:!(I|"</f>
        <v>#VALUE!</v>
      </c>
      <c r="DG167" s="97" t="e">
        <f>'Actual Value'!R36+"AM:!(I}"</f>
        <v>#VALUE!</v>
      </c>
      <c r="DH167" s="97" t="e">
        <f>'Actual Value'!S36+"AM:!(I~"</f>
        <v>#VALUE!</v>
      </c>
      <c r="DI167" s="97" t="e">
        <f>'Actual Value'!T36+"AM:!(J#"</f>
        <v>#VALUE!</v>
      </c>
      <c r="DJ167" s="97" t="e">
        <f>'Actual Value'!U36+"AM:!(J$"</f>
        <v>#VALUE!</v>
      </c>
      <c r="DK167" s="97" t="e">
        <f>'Actual Value'!V36+"AM:!(J%"</f>
        <v>#VALUE!</v>
      </c>
      <c r="DL167" s="97" t="e">
        <f>'Actual Value'!W36+"AM:!(J&amp;"</f>
        <v>#VALUE!</v>
      </c>
      <c r="DM167" s="97" t="e">
        <f>'Actual Value'!X36+"AM:!(J'"</f>
        <v>#VALUE!</v>
      </c>
      <c r="DN167" s="97" t="e">
        <f>'Actual Value'!Y36+"AM:!(J("</f>
        <v>#VALUE!</v>
      </c>
      <c r="DO167" s="97" t="e">
        <f>'Actual Value'!Z36+"AM:!(J)"</f>
        <v>#VALUE!</v>
      </c>
      <c r="DP167" s="97" t="e">
        <f>'Actual Value'!AA36+"AM:!(J."</f>
        <v>#VALUE!</v>
      </c>
      <c r="DQ167" s="97" t="e">
        <f>'Actual Value'!AB36+"AM:!(J/"</f>
        <v>#VALUE!</v>
      </c>
      <c r="DR167" s="97" t="e">
        <f>'Actual Value'!AC36+"AM:!(J0"</f>
        <v>#VALUE!</v>
      </c>
      <c r="DS167" s="97" t="e">
        <f>'Actual Value'!AD36+"AM:!(J1"</f>
        <v>#VALUE!</v>
      </c>
      <c r="DT167" s="97" t="e">
        <f>'Actual Value'!AE36+"AM:!(J2"</f>
        <v>#VALUE!</v>
      </c>
      <c r="DU167" s="97" t="e">
        <f>'Actual Value'!AF36+"AM:!(J3"</f>
        <v>#VALUE!</v>
      </c>
      <c r="DV167" s="97" t="e">
        <f>'Actual Value'!AG36+"AM:!(J4"</f>
        <v>#VALUE!</v>
      </c>
      <c r="DW167" s="97" t="e">
        <f>'Actual Value'!AH36+"AM:!(J5"</f>
        <v>#VALUE!</v>
      </c>
      <c r="DX167" s="97" t="e">
        <f>'Actual Value'!AI36+"AM:!(J6"</f>
        <v>#VALUE!</v>
      </c>
      <c r="DY167" s="97" t="e">
        <f>'Actual Value'!AJ36+"AM:!(J7"</f>
        <v>#VALUE!</v>
      </c>
      <c r="DZ167" s="97" t="e">
        <f>'Actual Value'!AK36+"AM:!(J8"</f>
        <v>#VALUE!</v>
      </c>
      <c r="EA167" s="97" t="e">
        <f>'Actual Value'!AL36+"AM:!(J9"</f>
        <v>#VALUE!</v>
      </c>
      <c r="EB167" s="97" t="e">
        <f>'Actual Value'!AM36+"AM:!(J:"</f>
        <v>#VALUE!</v>
      </c>
      <c r="EC167" s="97" t="e">
        <f>'Actual Value'!AN36+"AM:!(J;"</f>
        <v>#VALUE!</v>
      </c>
      <c r="ED167" s="97" t="e">
        <f>'Actual Value'!AO36+"AM:!(J&lt;"</f>
        <v>#VALUE!</v>
      </c>
      <c r="EE167" t="e">
        <f>'Actual Value'!AP36+"AM:!(J="</f>
        <v>#VALUE!</v>
      </c>
      <c r="EF167" t="e">
        <f>'Actual Value'!AQ36+"AM:!(J&gt;"</f>
        <v>#VALUE!</v>
      </c>
      <c r="EG167" t="e">
        <f>'Actual Value'!AR36+"AM:!(J?"</f>
        <v>#VALUE!</v>
      </c>
      <c r="EH167" t="e">
        <f>'Actual Value'!AS36+"AM:!(J@"</f>
        <v>#VALUE!</v>
      </c>
      <c r="EI167" t="e">
        <f>'Actual Value'!AT36+"AM:!(JA"</f>
        <v>#VALUE!</v>
      </c>
      <c r="EJ167" t="e">
        <f>'Actual Value'!AU36+"AM:!(JB"</f>
        <v>#VALUE!</v>
      </c>
      <c r="EK167" t="e">
        <f>'Actual Value'!AV36+"AM:!(JC"</f>
        <v>#VALUE!</v>
      </c>
      <c r="EL167" t="e">
        <f>'Actual Value'!AW36+"AM:!(JD"</f>
        <v>#VALUE!</v>
      </c>
      <c r="EM167" t="e">
        <f>'Actual Value'!AX36+"AM:!(JE"</f>
        <v>#VALUE!</v>
      </c>
      <c r="EN167" t="e">
        <f>'Actual Value'!A37+"AM:!(JF"</f>
        <v>#VALUE!</v>
      </c>
      <c r="EO167" t="e">
        <f>'Actual Value'!B37+"AM:!(JG"</f>
        <v>#VALUE!</v>
      </c>
      <c r="EP167" t="e">
        <f>'Actual Value'!C37+"AM:!(JH"</f>
        <v>#VALUE!</v>
      </c>
      <c r="EQ167" s="97" t="e">
        <f>'Actual Value'!D37+"AM:!(JI"</f>
        <v>#VALUE!</v>
      </c>
      <c r="ER167" s="97" t="e">
        <f>'Actual Value'!E37+"AM:!(JJ"</f>
        <v>#VALUE!</v>
      </c>
      <c r="ES167" s="97" t="e">
        <f>'Actual Value'!F37+"AM:!(JK"</f>
        <v>#VALUE!</v>
      </c>
      <c r="ET167" s="97" t="e">
        <f>'Actual Value'!G37+"AM:!(JL"</f>
        <v>#VALUE!</v>
      </c>
      <c r="EU167" s="97" t="e">
        <f>'Actual Value'!H37+"AM:!(JM"</f>
        <v>#VALUE!</v>
      </c>
      <c r="EV167" s="97" t="e">
        <f>'Actual Value'!I37+"AM:!(JN"</f>
        <v>#VALUE!</v>
      </c>
      <c r="EW167" s="97" t="e">
        <f>'Actual Value'!J37+"AM:!(JO"</f>
        <v>#VALUE!</v>
      </c>
      <c r="EX167" s="97" t="e">
        <f>'Actual Value'!K37+"AM:!(JP"</f>
        <v>#VALUE!</v>
      </c>
      <c r="EY167" s="97" t="e">
        <f>'Actual Value'!L37+"AM:!(JQ"</f>
        <v>#VALUE!</v>
      </c>
      <c r="EZ167" s="97" t="e">
        <f>'Actual Value'!M37+"AM:!(JR"</f>
        <v>#VALUE!</v>
      </c>
      <c r="FA167" s="97" t="e">
        <f>'Actual Value'!N37+"AM:!(JS"</f>
        <v>#VALUE!</v>
      </c>
      <c r="FB167" s="97" t="e">
        <f>'Actual Value'!O37+"AM:!(JT"</f>
        <v>#VALUE!</v>
      </c>
      <c r="FC167" s="97" t="e">
        <f>'Actual Value'!P37+"AM:!(JU"</f>
        <v>#VALUE!</v>
      </c>
      <c r="FD167" s="97" t="e">
        <f>'Actual Value'!Q37+"AM:!(JV"</f>
        <v>#VALUE!</v>
      </c>
      <c r="FE167" s="97" t="e">
        <f>'Actual Value'!R37+"AM:!(JW"</f>
        <v>#VALUE!</v>
      </c>
      <c r="FF167" s="97" t="e">
        <f>'Actual Value'!S37+"AM:!(JX"</f>
        <v>#VALUE!</v>
      </c>
      <c r="FG167" s="97" t="e">
        <f>'Actual Value'!T37+"AM:!(JY"</f>
        <v>#VALUE!</v>
      </c>
      <c r="FH167" s="97" t="e">
        <f>'Actual Value'!U37+"AM:!(JZ"</f>
        <v>#VALUE!</v>
      </c>
      <c r="FI167" s="97" t="e">
        <f>'Actual Value'!V37+"AM:!(J["</f>
        <v>#VALUE!</v>
      </c>
      <c r="FJ167" s="97" t="e">
        <f>'Actual Value'!W37+"AM:!(J\"</f>
        <v>#VALUE!</v>
      </c>
      <c r="FK167" s="97" t="e">
        <f>'Actual Value'!X37+"AM:!(J]"</f>
        <v>#VALUE!</v>
      </c>
      <c r="FL167" s="97" t="e">
        <f>'Actual Value'!Y37+"AM:!(J^"</f>
        <v>#VALUE!</v>
      </c>
      <c r="FM167" s="97" t="e">
        <f>'Actual Value'!Z37+"AM:!(J_"</f>
        <v>#VALUE!</v>
      </c>
      <c r="FN167" s="97" t="e">
        <f>'Actual Value'!AA37+"AM:!(J`"</f>
        <v>#VALUE!</v>
      </c>
      <c r="FO167" s="97" t="e">
        <f>'Actual Value'!AB37+"AM:!(Ja"</f>
        <v>#VALUE!</v>
      </c>
      <c r="FP167" s="97" t="e">
        <f>'Actual Value'!AC37+"AM:!(Jb"</f>
        <v>#VALUE!</v>
      </c>
      <c r="FQ167" s="97" t="e">
        <f>'Actual Value'!AD37+"AM:!(Jc"</f>
        <v>#VALUE!</v>
      </c>
      <c r="FR167" s="97" t="e">
        <f>'Actual Value'!AE37+"AM:!(Jd"</f>
        <v>#VALUE!</v>
      </c>
      <c r="FS167" s="97" t="e">
        <f>'Actual Value'!AF37+"AM:!(Je"</f>
        <v>#VALUE!</v>
      </c>
      <c r="FT167" s="97" t="e">
        <f>'Actual Value'!AG37+"AM:!(Jf"</f>
        <v>#VALUE!</v>
      </c>
      <c r="FU167" s="97" t="e">
        <f>'Actual Value'!AH37+"AM:!(Jg"</f>
        <v>#VALUE!</v>
      </c>
      <c r="FV167" s="97" t="e">
        <f>'Actual Value'!AI37+"AM:!(Jh"</f>
        <v>#VALUE!</v>
      </c>
      <c r="FW167" s="97" t="e">
        <f>'Actual Value'!AJ37+"AM:!(Ji"</f>
        <v>#VALUE!</v>
      </c>
      <c r="FX167" s="97" t="e">
        <f>'Actual Value'!AK37+"AM:!(Jj"</f>
        <v>#VALUE!</v>
      </c>
      <c r="FY167" s="97" t="e">
        <f>'Actual Value'!AL37+"AM:!(Jk"</f>
        <v>#VALUE!</v>
      </c>
      <c r="FZ167" s="97" t="e">
        <f>'Actual Value'!AM37+"AM:!(Jl"</f>
        <v>#VALUE!</v>
      </c>
      <c r="GA167" s="97" t="e">
        <f>'Actual Value'!AN37+"AM:!(Jm"</f>
        <v>#VALUE!</v>
      </c>
      <c r="GB167" s="97" t="e">
        <f>'Actual Value'!AO37+"AM:!(Jn"</f>
        <v>#VALUE!</v>
      </c>
      <c r="GC167" t="e">
        <f>'Actual Value'!AP37+"AM:!(Jo"</f>
        <v>#VALUE!</v>
      </c>
      <c r="GD167" t="e">
        <f>'Actual Value'!AQ37+"AM:!(Jp"</f>
        <v>#VALUE!</v>
      </c>
      <c r="GE167" t="e">
        <f>'Actual Value'!AR37+"AM:!(Jq"</f>
        <v>#VALUE!</v>
      </c>
      <c r="GF167" t="e">
        <f>'Actual Value'!AS37+"AM:!(Jr"</f>
        <v>#VALUE!</v>
      </c>
      <c r="GG167" t="e">
        <f>'Actual Value'!AT37+"AM:!(Js"</f>
        <v>#VALUE!</v>
      </c>
      <c r="GH167" t="e">
        <f>'Actual Value'!AU37+"AM:!(Jt"</f>
        <v>#VALUE!</v>
      </c>
      <c r="GI167" t="e">
        <f>'Actual Value'!AV37+"AM:!(Ju"</f>
        <v>#VALUE!</v>
      </c>
      <c r="GJ167" t="e">
        <f>'Actual Value'!AW37+"AM:!(Jv"</f>
        <v>#VALUE!</v>
      </c>
      <c r="GK167" t="e">
        <f>'Actual Value'!AX37+"AM:!(Jw"</f>
        <v>#VALUE!</v>
      </c>
      <c r="GL167" t="e">
        <f>'Actual Value'!A38+"AM:!(Jx"</f>
        <v>#VALUE!</v>
      </c>
      <c r="GM167" t="e">
        <f>'Actual Value'!B38+"AM:!(Jy"</f>
        <v>#VALUE!</v>
      </c>
      <c r="GN167" s="98" t="e">
        <f>'Actual Value'!C38+"AM:!(Jz"</f>
        <v>#VALUE!</v>
      </c>
      <c r="GO167" t="e">
        <f>'Actual Value'!D38+"AM:!(J{"</f>
        <v>#VALUE!</v>
      </c>
      <c r="GP167" t="e">
        <f>'Actual Value'!E38+"AM:!(J|"</f>
        <v>#VALUE!</v>
      </c>
      <c r="GQ167" t="e">
        <f>'Actual Value'!F38+"AM:!(J}"</f>
        <v>#VALUE!</v>
      </c>
      <c r="GR167" t="e">
        <f>'Actual Value'!G38+"AM:!(J~"</f>
        <v>#VALUE!</v>
      </c>
      <c r="GS167" t="e">
        <f>'Actual Value'!H38+"AM:!(K#"</f>
        <v>#VALUE!</v>
      </c>
      <c r="GT167" t="e">
        <f>'Actual Value'!I38+"AM:!(K$"</f>
        <v>#VALUE!</v>
      </c>
      <c r="GU167" t="e">
        <f>'Actual Value'!J38+"AM:!(K%"</f>
        <v>#VALUE!</v>
      </c>
      <c r="GV167" t="e">
        <f>'Actual Value'!K38+"AM:!(K&amp;"</f>
        <v>#VALUE!</v>
      </c>
      <c r="GW167" t="e">
        <f>'Actual Value'!L38+"AM:!(K'"</f>
        <v>#VALUE!</v>
      </c>
      <c r="GX167" t="e">
        <f>'Actual Value'!M38+"AM:!(K("</f>
        <v>#VALUE!</v>
      </c>
      <c r="GY167" t="e">
        <f>'Actual Value'!N38+"AM:!(K)"</f>
        <v>#VALUE!</v>
      </c>
      <c r="GZ167" t="e">
        <f>'Actual Value'!O38+"AM:!(K."</f>
        <v>#VALUE!</v>
      </c>
      <c r="HA167" t="e">
        <f>'Actual Value'!P38+"AM:!(K/"</f>
        <v>#VALUE!</v>
      </c>
      <c r="HB167" t="e">
        <f>'Actual Value'!Q38+"AM:!(K0"</f>
        <v>#VALUE!</v>
      </c>
      <c r="HC167" t="e">
        <f>'Actual Value'!R38+"AM:!(K1"</f>
        <v>#VALUE!</v>
      </c>
      <c r="HD167" t="e">
        <f>'Actual Value'!S38+"AM:!(K2"</f>
        <v>#VALUE!</v>
      </c>
      <c r="HE167" t="e">
        <f>'Actual Value'!T38+"AM:!(K3"</f>
        <v>#VALUE!</v>
      </c>
      <c r="HF167" t="e">
        <f>'Actual Value'!U38+"AM:!(K4"</f>
        <v>#VALUE!</v>
      </c>
      <c r="HG167" t="e">
        <f>'Actual Value'!V38+"AM:!(K5"</f>
        <v>#VALUE!</v>
      </c>
      <c r="HH167" t="e">
        <f>'Actual Value'!W38+"AM:!(K6"</f>
        <v>#VALUE!</v>
      </c>
      <c r="HI167" t="e">
        <f>'Actual Value'!X38+"AM:!(K7"</f>
        <v>#VALUE!</v>
      </c>
      <c r="HJ167" t="e">
        <f>'Actual Value'!Y38+"AM:!(K8"</f>
        <v>#VALUE!</v>
      </c>
      <c r="HK167" t="e">
        <f>'Actual Value'!Z38+"AM:!(K9"</f>
        <v>#VALUE!</v>
      </c>
      <c r="HL167" t="e">
        <f>'Actual Value'!AA38+"AM:!(K:"</f>
        <v>#VALUE!</v>
      </c>
      <c r="HM167" t="e">
        <f>'Actual Value'!AB38+"AM:!(K;"</f>
        <v>#VALUE!</v>
      </c>
      <c r="HN167" t="e">
        <f>'Actual Value'!AC38+"AM:!(K&lt;"</f>
        <v>#VALUE!</v>
      </c>
      <c r="HO167" t="e">
        <f>'Actual Value'!AD38+"AM:!(K="</f>
        <v>#VALUE!</v>
      </c>
      <c r="HP167" t="e">
        <f>'Actual Value'!AE38+"AM:!(K&gt;"</f>
        <v>#VALUE!</v>
      </c>
      <c r="HQ167" t="e">
        <f>'Actual Value'!AF38+"AM:!(K?"</f>
        <v>#VALUE!</v>
      </c>
      <c r="HR167" t="e">
        <f>'Actual Value'!AG38+"AM:!(K@"</f>
        <v>#VALUE!</v>
      </c>
      <c r="HS167" t="e">
        <f>'Actual Value'!AH38+"AM:!(KA"</f>
        <v>#VALUE!</v>
      </c>
      <c r="HT167" t="e">
        <f>'Actual Value'!AI38+"AM:!(KB"</f>
        <v>#VALUE!</v>
      </c>
      <c r="HU167" t="e">
        <f>'Actual Value'!AJ38+"AM:!(KC"</f>
        <v>#VALUE!</v>
      </c>
      <c r="HV167" t="e">
        <f>'Actual Value'!AK38+"AM:!(KD"</f>
        <v>#VALUE!</v>
      </c>
      <c r="HW167" t="e">
        <f>'Actual Value'!AL38+"AM:!(KE"</f>
        <v>#VALUE!</v>
      </c>
      <c r="HX167" t="e">
        <f>'Actual Value'!AM38+"AM:!(KF"</f>
        <v>#VALUE!</v>
      </c>
      <c r="HY167" t="e">
        <f>'Actual Value'!AN38+"AM:!(KG"</f>
        <v>#VALUE!</v>
      </c>
      <c r="HZ167" t="e">
        <f>'Actual Value'!AO38+"AM:!(KH"</f>
        <v>#VALUE!</v>
      </c>
      <c r="IA167" t="e">
        <f>'Actual Value'!AP38+"AM:!(KI"</f>
        <v>#VALUE!</v>
      </c>
      <c r="IB167" t="e">
        <f>'Actual Value'!AQ38+"AM:!(KJ"</f>
        <v>#VALUE!</v>
      </c>
      <c r="IC167" t="e">
        <f>'Actual Value'!AR38+"AM:!(KK"</f>
        <v>#VALUE!</v>
      </c>
      <c r="ID167" t="e">
        <f>'Actual Value'!AS38+"AM:!(KL"</f>
        <v>#VALUE!</v>
      </c>
      <c r="IE167" t="e">
        <f>'Actual Value'!AT38+"AM:!(KM"</f>
        <v>#VALUE!</v>
      </c>
      <c r="IF167" t="e">
        <f>'Actual Value'!AU38+"AM:!(KN"</f>
        <v>#VALUE!</v>
      </c>
      <c r="IG167" t="e">
        <f>'Actual Value'!AV38+"AM:!(KO"</f>
        <v>#VALUE!</v>
      </c>
      <c r="IH167" t="e">
        <f>'Actual Value'!AW38+"AM:!(KP"</f>
        <v>#VALUE!</v>
      </c>
      <c r="II167" t="e">
        <f>'Actual Value'!A39+"AM:!(KQ"</f>
        <v>#VALUE!</v>
      </c>
      <c r="IJ167" t="e">
        <f>'Actual Value'!B39+"AM:!(KR"</f>
        <v>#VALUE!</v>
      </c>
      <c r="IK167" t="e">
        <f>'Actual Value'!C39+"AM:!(KS"</f>
        <v>#VALUE!</v>
      </c>
      <c r="IL167" s="105" t="e">
        <f>'Actual Value'!D39+"AM:!(KT"</f>
        <v>#VALUE!</v>
      </c>
      <c r="IM167" s="105" t="e">
        <f>'Actual Value'!E39+"AM:!(KU"</f>
        <v>#VALUE!</v>
      </c>
      <c r="IN167" s="105" t="e">
        <f>'Actual Value'!F39+"AM:!(KV"</f>
        <v>#VALUE!</v>
      </c>
      <c r="IO167" s="105" t="e">
        <f>'Actual Value'!G39+"AM:!(KW"</f>
        <v>#VALUE!</v>
      </c>
      <c r="IP167" s="105" t="e">
        <f>'Actual Value'!H39+"AM:!(KX"</f>
        <v>#VALUE!</v>
      </c>
      <c r="IQ167" s="105" t="e">
        <f>'Actual Value'!I39+"AM:!(KY"</f>
        <v>#VALUE!</v>
      </c>
      <c r="IR167" s="105" t="e">
        <f>'Actual Value'!J39+"AM:!(KZ"</f>
        <v>#VALUE!</v>
      </c>
      <c r="IS167" s="105" t="e">
        <f>'Actual Value'!K39+"AM:!(K["</f>
        <v>#VALUE!</v>
      </c>
      <c r="IT167" s="105" t="e">
        <f>'Actual Value'!L39+"AM:!(K\"</f>
        <v>#VALUE!</v>
      </c>
      <c r="IU167" s="105" t="e">
        <f>'Actual Value'!M39+"AM:!(K]"</f>
        <v>#VALUE!</v>
      </c>
      <c r="IV167" s="105" t="e">
        <f>'Actual Value'!N39+"AM:!(K^"</f>
        <v>#VALUE!</v>
      </c>
    </row>
    <row r="168" spans="6:256">
      <c r="F168" s="105" t="e">
        <f>'Actual Value'!O39+"AM:!(K_"</f>
        <v>#VALUE!</v>
      </c>
      <c r="G168" s="105" t="e">
        <f>'Actual Value'!P39+"AM:!(K`"</f>
        <v>#VALUE!</v>
      </c>
      <c r="H168" s="105" t="e">
        <f>'Actual Value'!Q39+"AM:!(Ka"</f>
        <v>#VALUE!</v>
      </c>
      <c r="I168" s="105" t="e">
        <f>'Actual Value'!R39+"AM:!(Kb"</f>
        <v>#VALUE!</v>
      </c>
      <c r="J168" s="105" t="e">
        <f>'Actual Value'!S39+"AM:!(Kc"</f>
        <v>#VALUE!</v>
      </c>
      <c r="K168" s="105" t="e">
        <f>'Actual Value'!T39+"AM:!(Kd"</f>
        <v>#VALUE!</v>
      </c>
      <c r="L168" s="105" t="e">
        <f>'Actual Value'!U39+"AM:!(Ke"</f>
        <v>#VALUE!</v>
      </c>
      <c r="M168" s="105" t="e">
        <f>'Actual Value'!V39+"AM:!(Kf"</f>
        <v>#VALUE!</v>
      </c>
      <c r="N168" s="105" t="e">
        <f>'Actual Value'!W39+"AM:!(Kg"</f>
        <v>#VALUE!</v>
      </c>
      <c r="O168" s="105" t="e">
        <f>'Actual Value'!X39+"AM:!(Kh"</f>
        <v>#VALUE!</v>
      </c>
      <c r="P168" s="105" t="e">
        <f>'Actual Value'!Y39+"AM:!(Ki"</f>
        <v>#VALUE!</v>
      </c>
      <c r="Q168" s="105" t="e">
        <f>'Actual Value'!Z39+"AM:!(Kj"</f>
        <v>#VALUE!</v>
      </c>
      <c r="R168" s="105" t="e">
        <f>'Actual Value'!AA39+"AM:!(Kk"</f>
        <v>#VALUE!</v>
      </c>
      <c r="S168" s="105" t="e">
        <f>'Actual Value'!AB39+"AM:!(Kl"</f>
        <v>#VALUE!</v>
      </c>
      <c r="T168" s="105" t="e">
        <f>'Actual Value'!AC39+"AM:!(Km"</f>
        <v>#VALUE!</v>
      </c>
      <c r="U168" s="105" t="e">
        <f>'Actual Value'!AD39+"AM:!(Kn"</f>
        <v>#VALUE!</v>
      </c>
      <c r="V168" s="105" t="e">
        <f>'Actual Value'!AE39+"AM:!(Ko"</f>
        <v>#VALUE!</v>
      </c>
      <c r="W168" s="105" t="e">
        <f>'Actual Value'!AF39+"AM:!(Kp"</f>
        <v>#VALUE!</v>
      </c>
      <c r="X168" s="105" t="e">
        <f>'Actual Value'!AG39+"AM:!(Kq"</f>
        <v>#VALUE!</v>
      </c>
      <c r="Y168" s="105" t="e">
        <f>'Actual Value'!AH39+"AM:!(Kr"</f>
        <v>#VALUE!</v>
      </c>
      <c r="Z168" s="105" t="e">
        <f>'Actual Value'!AI39+"AM:!(Ks"</f>
        <v>#VALUE!</v>
      </c>
      <c r="AA168" s="105" t="e">
        <f>'Actual Value'!AJ39+"AM:!(Kt"</f>
        <v>#VALUE!</v>
      </c>
      <c r="AB168" s="105" t="e">
        <f>'Actual Value'!AK39+"AM:!(Ku"</f>
        <v>#VALUE!</v>
      </c>
      <c r="AC168" s="105" t="e">
        <f>'Actual Value'!AL39+"AM:!(Kv"</f>
        <v>#VALUE!</v>
      </c>
      <c r="AD168" s="105" t="e">
        <f>'Actual Value'!AM39+"AM:!(Kw"</f>
        <v>#VALUE!</v>
      </c>
      <c r="AE168" s="105" t="e">
        <f>'Actual Value'!AN39+"AM:!(Kx"</f>
        <v>#VALUE!</v>
      </c>
      <c r="AF168" s="105" t="e">
        <f>'Actual Value'!AO39+"AM:!(Ky"</f>
        <v>#VALUE!</v>
      </c>
      <c r="AG168" t="e">
        <f>'Actual Value'!AP39+"AM:!(Kz"</f>
        <v>#VALUE!</v>
      </c>
      <c r="AH168" s="100" t="e">
        <f>'Actual Value'!AQ39+"AM:!(K{"</f>
        <v>#VALUE!</v>
      </c>
      <c r="AI168" s="100" t="e">
        <f>'Actual Value'!AR39+"AM:!(K|"</f>
        <v>#VALUE!</v>
      </c>
      <c r="AJ168" s="100" t="e">
        <f>'Actual Value'!AS39+"AM:!(K}"</f>
        <v>#VALUE!</v>
      </c>
      <c r="AK168" s="100" t="e">
        <f>'Actual Value'!AT39+"AM:!(K~"</f>
        <v>#VALUE!</v>
      </c>
      <c r="AL168" s="100" t="e">
        <f>'Actual Value'!AU39+"AM:!(L#"</f>
        <v>#VALUE!</v>
      </c>
      <c r="AM168" t="e">
        <f>'Actual Value'!AV39+"AM:!(L$"</f>
        <v>#VALUE!</v>
      </c>
      <c r="AN168" t="e">
        <f>'Actual Value'!AW39+"AM:!(L%"</f>
        <v>#VALUE!</v>
      </c>
      <c r="AO168" t="e">
        <f>'Actual Value'!A40+"AM:!(L&amp;"</f>
        <v>#VALUE!</v>
      </c>
      <c r="AP168" t="e">
        <f>'Actual Value'!B40+"AM:!(L'"</f>
        <v>#VALUE!</v>
      </c>
      <c r="AQ168" t="e">
        <f>'Actual Value'!C40+"AM:!(L("</f>
        <v>#VALUE!</v>
      </c>
      <c r="AR168" s="97" t="e">
        <f>'Actual Value'!D40+"AM:!(L)"</f>
        <v>#VALUE!</v>
      </c>
      <c r="AS168" s="97" t="e">
        <f>'Actual Value'!E40+"AM:!(L."</f>
        <v>#VALUE!</v>
      </c>
      <c r="AT168" s="97" t="e">
        <f>'Actual Value'!F40+"AM:!(L/"</f>
        <v>#VALUE!</v>
      </c>
      <c r="AU168" s="97" t="e">
        <f>'Actual Value'!G40+"AM:!(L0"</f>
        <v>#VALUE!</v>
      </c>
      <c r="AV168" s="97" t="e">
        <f>'Actual Value'!H40+"AM:!(L1"</f>
        <v>#VALUE!</v>
      </c>
      <c r="AW168" s="97" t="e">
        <f>'Actual Value'!I40+"AM:!(L2"</f>
        <v>#VALUE!</v>
      </c>
      <c r="AX168" s="97" t="e">
        <f>'Actual Value'!J40+"AM:!(L3"</f>
        <v>#VALUE!</v>
      </c>
      <c r="AY168" s="97" t="e">
        <f>'Actual Value'!K40+"AM:!(L4"</f>
        <v>#VALUE!</v>
      </c>
      <c r="AZ168" s="97" t="e">
        <f>'Actual Value'!L40+"AM:!(L5"</f>
        <v>#VALUE!</v>
      </c>
      <c r="BA168" s="97" t="e">
        <f>'Actual Value'!M40+"AM:!(L6"</f>
        <v>#VALUE!</v>
      </c>
      <c r="BB168" s="97" t="e">
        <f>'Actual Value'!N40+"AM:!(L7"</f>
        <v>#VALUE!</v>
      </c>
      <c r="BC168" s="97" t="e">
        <f>'Actual Value'!O40+"AM:!(L8"</f>
        <v>#VALUE!</v>
      </c>
      <c r="BD168" s="97" t="e">
        <f>'Actual Value'!P40+"AM:!(L9"</f>
        <v>#VALUE!</v>
      </c>
      <c r="BE168" s="97" t="e">
        <f>'Actual Value'!Q40+"AM:!(L:"</f>
        <v>#VALUE!</v>
      </c>
      <c r="BF168" s="97" t="e">
        <f>'Actual Value'!R40+"AM:!(L;"</f>
        <v>#VALUE!</v>
      </c>
      <c r="BG168" s="97" t="e">
        <f>'Actual Value'!S40+"AM:!(L&lt;"</f>
        <v>#VALUE!</v>
      </c>
      <c r="BH168" s="97" t="e">
        <f>'Actual Value'!T40+"AM:!(L="</f>
        <v>#VALUE!</v>
      </c>
      <c r="BI168" s="97" t="e">
        <f>'Actual Value'!U40+"AM:!(L&gt;"</f>
        <v>#VALUE!</v>
      </c>
      <c r="BJ168" s="97" t="e">
        <f>'Actual Value'!V40+"AM:!(L?"</f>
        <v>#VALUE!</v>
      </c>
      <c r="BK168" s="97" t="e">
        <f>'Actual Value'!W40+"AM:!(L@"</f>
        <v>#VALUE!</v>
      </c>
      <c r="BL168" s="97" t="e">
        <f>'Actual Value'!X40+"AM:!(LA"</f>
        <v>#VALUE!</v>
      </c>
      <c r="BM168" s="97" t="e">
        <f>'Actual Value'!Y40+"AM:!(LB"</f>
        <v>#VALUE!</v>
      </c>
      <c r="BN168" s="97" t="e">
        <f>'Actual Value'!Z40+"AM:!(LC"</f>
        <v>#VALUE!</v>
      </c>
      <c r="BO168" s="97" t="e">
        <f>'Actual Value'!AA40+"AM:!(LD"</f>
        <v>#VALUE!</v>
      </c>
      <c r="BP168" s="97" t="e">
        <f>'Actual Value'!AB40+"AM:!(LE"</f>
        <v>#VALUE!</v>
      </c>
      <c r="BQ168" s="97" t="e">
        <f>'Actual Value'!AC40+"AM:!(LF"</f>
        <v>#VALUE!</v>
      </c>
      <c r="BR168" s="97" t="e">
        <f>'Actual Value'!AD40+"AM:!(LG"</f>
        <v>#VALUE!</v>
      </c>
      <c r="BS168" s="97" t="e">
        <f>'Actual Value'!AE40+"AM:!(LH"</f>
        <v>#VALUE!</v>
      </c>
      <c r="BT168" s="97" t="e">
        <f>'Actual Value'!AF40+"AM:!(LI"</f>
        <v>#VALUE!</v>
      </c>
      <c r="BU168" s="97" t="e">
        <f>'Actual Value'!AG40+"AM:!(LJ"</f>
        <v>#VALUE!</v>
      </c>
      <c r="BV168" s="97" t="e">
        <f>'Actual Value'!AH40+"AM:!(LK"</f>
        <v>#VALUE!</v>
      </c>
      <c r="BW168" s="97" t="e">
        <f>'Actual Value'!AI40+"AM:!(LL"</f>
        <v>#VALUE!</v>
      </c>
      <c r="BX168" s="97" t="e">
        <f>'Actual Value'!AJ40+"AM:!(LM"</f>
        <v>#VALUE!</v>
      </c>
      <c r="BY168" s="97" t="e">
        <f>'Actual Value'!AK40+"AM:!(LN"</f>
        <v>#VALUE!</v>
      </c>
      <c r="BZ168" s="97" t="e">
        <f>'Actual Value'!AL40+"AM:!(LO"</f>
        <v>#VALUE!</v>
      </c>
      <c r="CA168" s="97" t="e">
        <f>'Actual Value'!AM40+"AM:!(LP"</f>
        <v>#VALUE!</v>
      </c>
      <c r="CB168" s="97" t="e">
        <f>'Actual Value'!AN40+"AM:!(LQ"</f>
        <v>#VALUE!</v>
      </c>
      <c r="CC168" s="97" t="e">
        <f>'Actual Value'!AO40+"AM:!(LR"</f>
        <v>#VALUE!</v>
      </c>
      <c r="CD168" t="e">
        <f>'Actual Value'!AP40+"AM:!(LS"</f>
        <v>#VALUE!</v>
      </c>
      <c r="CE168" t="e">
        <f>'Actual Value'!AQ40+"AM:!(LT"</f>
        <v>#VALUE!</v>
      </c>
      <c r="CF168" t="e">
        <f>'Actual Value'!AR40+"AM:!(LU"</f>
        <v>#VALUE!</v>
      </c>
      <c r="CG168" s="97" t="e">
        <f>'Actual Value'!AS40+"AM:!(LV"</f>
        <v>#VALUE!</v>
      </c>
      <c r="CH168" t="e">
        <f>'Actual Value'!AT40+"AM:!(LW"</f>
        <v>#VALUE!</v>
      </c>
      <c r="CI168" t="e">
        <f>'Actual Value'!AU40+"AM:!(LX"</f>
        <v>#VALUE!</v>
      </c>
      <c r="CJ168" t="e">
        <f>'Actual Value'!AV40+"AM:!(LY"</f>
        <v>#VALUE!</v>
      </c>
      <c r="CK168" t="e">
        <f>'Actual Value'!AW40+"AM:!(LZ"</f>
        <v>#VALUE!</v>
      </c>
      <c r="CL168" t="e">
        <f>'Actual Value'!A41+"AM:!(L["</f>
        <v>#VALUE!</v>
      </c>
      <c r="CM168" t="e">
        <f>'Actual Value'!B41+"AM:!(L\"</f>
        <v>#VALUE!</v>
      </c>
      <c r="CN168" t="e">
        <f>'Actual Value'!C41+"AM:!(L]"</f>
        <v>#VALUE!</v>
      </c>
      <c r="CO168" s="97" t="e">
        <f>'Actual Value'!D41+"AM:!(L^"</f>
        <v>#VALUE!</v>
      </c>
      <c r="CP168" s="97" t="e">
        <f>'Actual Value'!E41+"AM:!(L_"</f>
        <v>#VALUE!</v>
      </c>
      <c r="CQ168" s="97" t="e">
        <f>'Actual Value'!F41+"AM:!(L`"</f>
        <v>#VALUE!</v>
      </c>
      <c r="CR168" s="97" t="e">
        <f>'Actual Value'!G41+"AM:!(La"</f>
        <v>#VALUE!</v>
      </c>
      <c r="CS168" s="97" t="e">
        <f>'Actual Value'!H41+"AM:!(Lb"</f>
        <v>#VALUE!</v>
      </c>
      <c r="CT168" s="97" t="e">
        <f>'Actual Value'!I41+"AM:!(Lc"</f>
        <v>#VALUE!</v>
      </c>
      <c r="CU168" s="97" t="e">
        <f>'Actual Value'!J41+"AM:!(Ld"</f>
        <v>#VALUE!</v>
      </c>
      <c r="CV168" s="97" t="e">
        <f>'Actual Value'!K41+"AM:!(Le"</f>
        <v>#VALUE!</v>
      </c>
      <c r="CW168" s="97" t="e">
        <f>'Actual Value'!L41+"AM:!(Lf"</f>
        <v>#VALUE!</v>
      </c>
      <c r="CX168" s="97" t="e">
        <f>'Actual Value'!M41+"AM:!(Lg"</f>
        <v>#VALUE!</v>
      </c>
      <c r="CY168" s="97" t="e">
        <f>'Actual Value'!N41+"AM:!(Lh"</f>
        <v>#VALUE!</v>
      </c>
      <c r="CZ168" s="97" t="e">
        <f>'Actual Value'!O41+"AM:!(Li"</f>
        <v>#VALUE!</v>
      </c>
      <c r="DA168" s="97" t="e">
        <f>'Actual Value'!P41+"AM:!(Lj"</f>
        <v>#VALUE!</v>
      </c>
      <c r="DB168" s="97" t="e">
        <f>'Actual Value'!Q41+"AM:!(Lk"</f>
        <v>#VALUE!</v>
      </c>
      <c r="DC168" s="97" t="e">
        <f>'Actual Value'!R41+"AM:!(Ll"</f>
        <v>#VALUE!</v>
      </c>
      <c r="DD168" s="97" t="e">
        <f>'Actual Value'!S41+"AM:!(Lm"</f>
        <v>#VALUE!</v>
      </c>
      <c r="DE168" s="97" t="e">
        <f>'Actual Value'!T41+"AM:!(Ln"</f>
        <v>#VALUE!</v>
      </c>
      <c r="DF168" s="97" t="e">
        <f>'Actual Value'!U41+"AM:!(Lo"</f>
        <v>#VALUE!</v>
      </c>
      <c r="DG168" s="97" t="e">
        <f>'Actual Value'!V41+"AM:!(Lp"</f>
        <v>#VALUE!</v>
      </c>
      <c r="DH168" s="97" t="e">
        <f>'Actual Value'!W41+"AM:!(Lq"</f>
        <v>#VALUE!</v>
      </c>
      <c r="DI168" s="97" t="e">
        <f>'Actual Value'!X41+"AM:!(Lr"</f>
        <v>#VALUE!</v>
      </c>
      <c r="DJ168" s="97" t="e">
        <f>'Actual Value'!Y41+"AM:!(Ls"</f>
        <v>#VALUE!</v>
      </c>
      <c r="DK168" s="97" t="e">
        <f>'Actual Value'!Z41+"AM:!(Lt"</f>
        <v>#VALUE!</v>
      </c>
      <c r="DL168" s="97" t="e">
        <f>'Actual Value'!AA41+"AM:!(Lu"</f>
        <v>#VALUE!</v>
      </c>
      <c r="DM168" s="97" t="e">
        <f>'Actual Value'!AB41+"AM:!(Lv"</f>
        <v>#VALUE!</v>
      </c>
      <c r="DN168" s="97" t="e">
        <f>'Actual Value'!AC41+"AM:!(Lw"</f>
        <v>#VALUE!</v>
      </c>
      <c r="DO168" s="97" t="e">
        <f>'Actual Value'!AD41+"AM:!(Lx"</f>
        <v>#VALUE!</v>
      </c>
      <c r="DP168" s="97" t="e">
        <f>'Actual Value'!AE41+"AM:!(Ly"</f>
        <v>#VALUE!</v>
      </c>
      <c r="DQ168" s="97" t="e">
        <f>'Actual Value'!AF41+"AM:!(Lz"</f>
        <v>#VALUE!</v>
      </c>
      <c r="DR168" s="97" t="e">
        <f>'Actual Value'!AG41+"AM:!(L{"</f>
        <v>#VALUE!</v>
      </c>
      <c r="DS168" s="97" t="e">
        <f>'Actual Value'!AH41+"AM:!(L|"</f>
        <v>#VALUE!</v>
      </c>
      <c r="DT168" s="97" t="e">
        <f>'Actual Value'!AI41+"AM:!(L}"</f>
        <v>#VALUE!</v>
      </c>
      <c r="DU168" s="97" t="e">
        <f>'Actual Value'!AJ41+"AM:!(L~"</f>
        <v>#VALUE!</v>
      </c>
      <c r="DV168" s="97" t="e">
        <f>'Actual Value'!AK41+"AM:!(M#"</f>
        <v>#VALUE!</v>
      </c>
      <c r="DW168" s="97" t="e">
        <f>'Actual Value'!AL41+"AM:!(M$"</f>
        <v>#VALUE!</v>
      </c>
      <c r="DX168" s="97" t="e">
        <f>'Actual Value'!AM41+"AM:!(M%"</f>
        <v>#VALUE!</v>
      </c>
      <c r="DY168" s="97" t="e">
        <f>'Actual Value'!AN41+"AM:!(M&amp;"</f>
        <v>#VALUE!</v>
      </c>
      <c r="DZ168" s="97" t="e">
        <f>'Actual Value'!AO41+"AM:!(M'"</f>
        <v>#VALUE!</v>
      </c>
      <c r="EA168" t="e">
        <f>'Actual Value'!AP41+"AM:!(M("</f>
        <v>#VALUE!</v>
      </c>
      <c r="EB168" t="e">
        <f>'Actual Value'!AQ41+"AM:!(M)"</f>
        <v>#VALUE!</v>
      </c>
      <c r="EC168" t="e">
        <f>'Actual Value'!AR41+"AM:!(M."</f>
        <v>#VALUE!</v>
      </c>
      <c r="ED168" s="97" t="e">
        <f>'Actual Value'!AS41+"AM:!(M/"</f>
        <v>#VALUE!</v>
      </c>
      <c r="EE168" t="e">
        <f>'Actual Value'!AT41+"AM:!(M0"</f>
        <v>#VALUE!</v>
      </c>
      <c r="EF168" t="e">
        <f>'Actual Value'!AU41+"AM:!(M1"</f>
        <v>#VALUE!</v>
      </c>
      <c r="EG168" t="e">
        <f>'Actual Value'!AV41+"AM:!(M2"</f>
        <v>#VALUE!</v>
      </c>
      <c r="EH168" t="e">
        <f>'Actual Value'!AW41+"AM:!(M3"</f>
        <v>#VALUE!</v>
      </c>
      <c r="EI168" t="e">
        <f>'Actual Value'!A42+"AM:!(M4"</f>
        <v>#VALUE!</v>
      </c>
      <c r="EJ168" t="e">
        <f>'Actual Value'!B42+"AM:!(M5"</f>
        <v>#VALUE!</v>
      </c>
      <c r="EK168" t="e">
        <f>'Actual Value'!C42+"AM:!(M6"</f>
        <v>#VALUE!</v>
      </c>
      <c r="EL168" s="97" t="e">
        <f>'Actual Value'!D42+"AM:!(M7"</f>
        <v>#VALUE!</v>
      </c>
      <c r="EM168" s="97" t="e">
        <f>'Actual Value'!E42+"AM:!(M8"</f>
        <v>#VALUE!</v>
      </c>
      <c r="EN168" s="97" t="e">
        <f>'Actual Value'!F42+"AM:!(M9"</f>
        <v>#VALUE!</v>
      </c>
      <c r="EO168" s="97" t="e">
        <f>'Actual Value'!G42+"AM:!(M:"</f>
        <v>#VALUE!</v>
      </c>
      <c r="EP168" s="97" t="e">
        <f>'Actual Value'!H42+"AM:!(M;"</f>
        <v>#VALUE!</v>
      </c>
      <c r="EQ168" s="97" t="e">
        <f>'Actual Value'!I42+"AM:!(M&lt;"</f>
        <v>#VALUE!</v>
      </c>
      <c r="ER168" s="97" t="e">
        <f>'Actual Value'!J42+"AM:!(M="</f>
        <v>#VALUE!</v>
      </c>
      <c r="ES168" s="97" t="e">
        <f>'Actual Value'!K42+"AM:!(M&gt;"</f>
        <v>#VALUE!</v>
      </c>
      <c r="ET168" s="97" t="e">
        <f>'Actual Value'!L42+"AM:!(M?"</f>
        <v>#VALUE!</v>
      </c>
      <c r="EU168" s="97" t="e">
        <f>'Actual Value'!M42+"AM:!(M@"</f>
        <v>#VALUE!</v>
      </c>
      <c r="EV168" s="97" t="e">
        <f>'Actual Value'!N42+"AM:!(MA"</f>
        <v>#VALUE!</v>
      </c>
      <c r="EW168" s="97" t="e">
        <f>'Actual Value'!O42+"AM:!(MB"</f>
        <v>#VALUE!</v>
      </c>
      <c r="EX168" s="97" t="e">
        <f>'Actual Value'!P42+"AM:!(MC"</f>
        <v>#VALUE!</v>
      </c>
      <c r="EY168" s="97" t="e">
        <f>'Actual Value'!Q42+"AM:!(MD"</f>
        <v>#VALUE!</v>
      </c>
      <c r="EZ168" s="97" t="e">
        <f>'Actual Value'!R42+"AM:!(ME"</f>
        <v>#VALUE!</v>
      </c>
      <c r="FA168" s="97" t="e">
        <f>'Actual Value'!S42+"AM:!(MF"</f>
        <v>#VALUE!</v>
      </c>
      <c r="FB168" s="97" t="e">
        <f>'Actual Value'!T42+"AM:!(MG"</f>
        <v>#VALUE!</v>
      </c>
      <c r="FC168" s="97" t="e">
        <f>'Actual Value'!U42+"AM:!(MH"</f>
        <v>#VALUE!</v>
      </c>
      <c r="FD168" s="97" t="e">
        <f>'Actual Value'!V42+"AM:!(MI"</f>
        <v>#VALUE!</v>
      </c>
      <c r="FE168" s="97" t="e">
        <f>'Actual Value'!W42+"AM:!(MJ"</f>
        <v>#VALUE!</v>
      </c>
      <c r="FF168" s="97" t="e">
        <f>'Actual Value'!X42+"AM:!(MK"</f>
        <v>#VALUE!</v>
      </c>
      <c r="FG168" s="97" t="e">
        <f>'Actual Value'!Y42+"AM:!(ML"</f>
        <v>#VALUE!</v>
      </c>
      <c r="FH168" s="97" t="e">
        <f>'Actual Value'!Z42+"AM:!(MM"</f>
        <v>#VALUE!</v>
      </c>
      <c r="FI168" s="97" t="e">
        <f>'Actual Value'!AA42+"AM:!(MN"</f>
        <v>#VALUE!</v>
      </c>
      <c r="FJ168" s="97" t="e">
        <f>'Actual Value'!AB42+"AM:!(MO"</f>
        <v>#VALUE!</v>
      </c>
      <c r="FK168" s="97" t="e">
        <f>'Actual Value'!AC42+"AM:!(MP"</f>
        <v>#VALUE!</v>
      </c>
      <c r="FL168" s="97" t="e">
        <f>'Actual Value'!AD42+"AM:!(MQ"</f>
        <v>#VALUE!</v>
      </c>
      <c r="FM168" s="97" t="e">
        <f>'Actual Value'!AE42+"AM:!(MR"</f>
        <v>#VALUE!</v>
      </c>
      <c r="FN168" s="97" t="e">
        <f>'Actual Value'!AF42+"AM:!(MS"</f>
        <v>#VALUE!</v>
      </c>
      <c r="FO168" s="97" t="e">
        <f>'Actual Value'!AG42+"AM:!(MT"</f>
        <v>#VALUE!</v>
      </c>
      <c r="FP168" s="97" t="e">
        <f>'Actual Value'!AH42+"AM:!(MU"</f>
        <v>#VALUE!</v>
      </c>
      <c r="FQ168" s="97" t="e">
        <f>'Actual Value'!AI42+"AM:!(MV"</f>
        <v>#VALUE!</v>
      </c>
      <c r="FR168" s="97" t="e">
        <f>'Actual Value'!AJ42+"AM:!(MW"</f>
        <v>#VALUE!</v>
      </c>
      <c r="FS168" s="97" t="e">
        <f>'Actual Value'!AK42+"AM:!(MX"</f>
        <v>#VALUE!</v>
      </c>
      <c r="FT168" s="97" t="e">
        <f>'Actual Value'!AL42+"AM:!(MY"</f>
        <v>#VALUE!</v>
      </c>
      <c r="FU168" s="97" t="e">
        <f>'Actual Value'!AM42+"AM:!(MZ"</f>
        <v>#VALUE!</v>
      </c>
      <c r="FV168" s="97" t="e">
        <f>'Actual Value'!AN42+"AM:!(M["</f>
        <v>#VALUE!</v>
      </c>
      <c r="FW168" s="97" t="e">
        <f>'Actual Value'!AO42+"AM:!(M\"</f>
        <v>#VALUE!</v>
      </c>
      <c r="FX168" t="e">
        <f>'Actual Value'!AP42+"AM:!(M]"</f>
        <v>#VALUE!</v>
      </c>
      <c r="FY168" t="e">
        <f>'Actual Value'!AQ42+"AM:!(M^"</f>
        <v>#VALUE!</v>
      </c>
      <c r="FZ168" t="e">
        <f>'Actual Value'!AR42+"AM:!(M_"</f>
        <v>#VALUE!</v>
      </c>
      <c r="GA168" t="e">
        <f>'Actual Value'!AS42+"AM:!(M`"</f>
        <v>#VALUE!</v>
      </c>
      <c r="GB168" t="e">
        <f>'Actual Value'!AT42+"AM:!(Ma"</f>
        <v>#VALUE!</v>
      </c>
      <c r="GC168" t="e">
        <f>'Actual Value'!AU42+"AM:!(Mb"</f>
        <v>#VALUE!</v>
      </c>
      <c r="GD168" t="e">
        <f>'Actual Value'!AV42+"AM:!(Mc"</f>
        <v>#VALUE!</v>
      </c>
      <c r="GE168" t="e">
        <f>'Actual Value'!AW42+"AM:!(Md"</f>
        <v>#VALUE!</v>
      </c>
      <c r="GF168" t="e">
        <f>'Actual Value'!A43+"AM:!(Me"</f>
        <v>#VALUE!</v>
      </c>
      <c r="GG168" t="e">
        <f>'Actual Value'!B43+"AM:!(Mf"</f>
        <v>#VALUE!</v>
      </c>
      <c r="GH168" t="e">
        <f>'Actual Value'!C43+"AM:!(Mg"</f>
        <v>#VALUE!</v>
      </c>
      <c r="GI168" s="97" t="e">
        <f>'Actual Value'!D43+"AM:!(Mh"</f>
        <v>#VALUE!</v>
      </c>
      <c r="GJ168" s="97" t="e">
        <f>'Actual Value'!E43+"AM:!(Mi"</f>
        <v>#VALUE!</v>
      </c>
      <c r="GK168" s="97" t="e">
        <f>'Actual Value'!F43+"AM:!(Mj"</f>
        <v>#VALUE!</v>
      </c>
      <c r="GL168" s="97" t="e">
        <f>'Actual Value'!G43+"AM:!(Mk"</f>
        <v>#VALUE!</v>
      </c>
      <c r="GM168" s="97" t="e">
        <f>'Actual Value'!H43+"AM:!(Ml"</f>
        <v>#VALUE!</v>
      </c>
      <c r="GN168" s="97" t="e">
        <f>'Actual Value'!I43+"AM:!(Mm"</f>
        <v>#VALUE!</v>
      </c>
      <c r="GO168" s="97" t="e">
        <f>'Actual Value'!J43+"AM:!(Mn"</f>
        <v>#VALUE!</v>
      </c>
      <c r="GP168" s="97" t="e">
        <f>'Actual Value'!K43+"AM:!(Mo"</f>
        <v>#VALUE!</v>
      </c>
      <c r="GQ168" s="97" t="e">
        <f>'Actual Value'!L43+"AM:!(Mp"</f>
        <v>#VALUE!</v>
      </c>
      <c r="GR168" s="97" t="e">
        <f>'Actual Value'!M43+"AM:!(Mq"</f>
        <v>#VALUE!</v>
      </c>
      <c r="GS168" s="97" t="e">
        <f>'Actual Value'!N43+"AM:!(Mr"</f>
        <v>#VALUE!</v>
      </c>
      <c r="GT168" s="97" t="e">
        <f>'Actual Value'!O43+"AM:!(Ms"</f>
        <v>#VALUE!</v>
      </c>
      <c r="GU168" s="97" t="e">
        <f>'Actual Value'!P43+"AM:!(Mt"</f>
        <v>#VALUE!</v>
      </c>
      <c r="GV168" s="97" t="e">
        <f>'Actual Value'!Q43+"AM:!(Mu"</f>
        <v>#VALUE!</v>
      </c>
      <c r="GW168" s="97" t="e">
        <f>'Actual Value'!R43+"AM:!(Mv"</f>
        <v>#VALUE!</v>
      </c>
      <c r="GX168" s="97" t="e">
        <f>'Actual Value'!S43+"AM:!(Mw"</f>
        <v>#VALUE!</v>
      </c>
      <c r="GY168" s="97" t="e">
        <f>'Actual Value'!T43+"AM:!(Mx"</f>
        <v>#VALUE!</v>
      </c>
      <c r="GZ168" s="97" t="e">
        <f>'Actual Value'!U43+"AM:!(My"</f>
        <v>#VALUE!</v>
      </c>
      <c r="HA168" s="97" t="e">
        <f>'Actual Value'!V43+"AM:!(Mz"</f>
        <v>#VALUE!</v>
      </c>
      <c r="HB168" s="97" t="e">
        <f>'Actual Value'!W43+"AM:!(M{"</f>
        <v>#VALUE!</v>
      </c>
      <c r="HC168" s="97" t="e">
        <f>'Actual Value'!X43+"AM:!(M|"</f>
        <v>#VALUE!</v>
      </c>
      <c r="HD168" s="97" t="e">
        <f>'Actual Value'!Y43+"AM:!(M}"</f>
        <v>#VALUE!</v>
      </c>
      <c r="HE168" s="97" t="e">
        <f>'Actual Value'!Z43+"AM:!(M~"</f>
        <v>#VALUE!</v>
      </c>
      <c r="HF168" s="97" t="e">
        <f>'Actual Value'!AA43+"AM:!(N#"</f>
        <v>#VALUE!</v>
      </c>
      <c r="HG168" s="97" t="e">
        <f>'Actual Value'!AB43+"AM:!(N$"</f>
        <v>#VALUE!</v>
      </c>
      <c r="HH168" s="97" t="e">
        <f>'Actual Value'!AC43+"AM:!(N%"</f>
        <v>#VALUE!</v>
      </c>
      <c r="HI168" s="97" t="e">
        <f>'Actual Value'!AD43+"AM:!(N&amp;"</f>
        <v>#VALUE!</v>
      </c>
      <c r="HJ168" s="97" t="e">
        <f>'Actual Value'!AE43+"AM:!(N'"</f>
        <v>#VALUE!</v>
      </c>
      <c r="HK168" s="97" t="e">
        <f>'Actual Value'!AF43+"AM:!(N("</f>
        <v>#VALUE!</v>
      </c>
      <c r="HL168" s="97" t="e">
        <f>'Actual Value'!AG43+"AM:!(N)"</f>
        <v>#VALUE!</v>
      </c>
      <c r="HM168" s="97" t="e">
        <f>'Actual Value'!AH43+"AM:!(N."</f>
        <v>#VALUE!</v>
      </c>
      <c r="HN168" s="97" t="e">
        <f>'Actual Value'!AI43+"AM:!(N/"</f>
        <v>#VALUE!</v>
      </c>
      <c r="HO168" s="97" t="e">
        <f>'Actual Value'!AJ43+"AM:!(N0"</f>
        <v>#VALUE!</v>
      </c>
      <c r="HP168" s="97" t="e">
        <f>'Actual Value'!AK43+"AM:!(N1"</f>
        <v>#VALUE!</v>
      </c>
      <c r="HQ168" s="97" t="e">
        <f>'Actual Value'!AL43+"AM:!(N2"</f>
        <v>#VALUE!</v>
      </c>
      <c r="HR168" s="97" t="e">
        <f>'Actual Value'!AM43+"AM:!(N3"</f>
        <v>#VALUE!</v>
      </c>
      <c r="HS168" s="97" t="e">
        <f>'Actual Value'!AN43+"AM:!(N4"</f>
        <v>#VALUE!</v>
      </c>
      <c r="HT168" s="97" t="e">
        <f>'Actual Value'!AO43+"AM:!(N5"</f>
        <v>#VALUE!</v>
      </c>
      <c r="HU168" t="e">
        <f>'Actual Value'!AP43+"AM:!(N6"</f>
        <v>#VALUE!</v>
      </c>
      <c r="HV168" t="e">
        <f>'Actual Value'!AQ43+"AM:!(N7"</f>
        <v>#VALUE!</v>
      </c>
      <c r="HW168" t="e">
        <f>'Actual Value'!AR43+"AM:!(N8"</f>
        <v>#VALUE!</v>
      </c>
      <c r="HX168" t="e">
        <f>'Actual Value'!AS43+"AM:!(N9"</f>
        <v>#VALUE!</v>
      </c>
      <c r="HY168" t="e">
        <f>'Actual Value'!AT43+"AM:!(N:"</f>
        <v>#VALUE!</v>
      </c>
      <c r="HZ168" t="e">
        <f>'Actual Value'!AU43+"AM:!(N;"</f>
        <v>#VALUE!</v>
      </c>
      <c r="IA168" t="e">
        <f>'Actual Value'!AV43+"AM:!(N&lt;"</f>
        <v>#VALUE!</v>
      </c>
      <c r="IB168" t="e">
        <f>'Actual Value'!AW43+"AM:!(N="</f>
        <v>#VALUE!</v>
      </c>
      <c r="IC168" t="e">
        <f>'Actual Value'!AX43+"AM:!(N&gt;"</f>
        <v>#VALUE!</v>
      </c>
      <c r="ID168" t="e">
        <f>'Actual Value'!A44+"AM:!(N?"</f>
        <v>#VALUE!</v>
      </c>
      <c r="IE168" t="e">
        <f>'Actual Value'!B44+"AM:!(N@"</f>
        <v>#VALUE!</v>
      </c>
      <c r="IF168" t="e">
        <f>'Actual Value'!C44+"AM:!(NA"</f>
        <v>#VALUE!</v>
      </c>
      <c r="IG168" s="97" t="e">
        <f>'Actual Value'!D44+"AM:!(NB"</f>
        <v>#VALUE!</v>
      </c>
      <c r="IH168" s="97" t="e">
        <f>'Actual Value'!E44+"AM:!(NC"</f>
        <v>#VALUE!</v>
      </c>
      <c r="II168" s="97" t="e">
        <f>'Actual Value'!F44+"AM:!(ND"</f>
        <v>#VALUE!</v>
      </c>
      <c r="IJ168" s="97" t="e">
        <f>'Actual Value'!G44+"AM:!(NE"</f>
        <v>#VALUE!</v>
      </c>
      <c r="IK168" s="97" t="e">
        <f>'Actual Value'!H44+"AM:!(NF"</f>
        <v>#VALUE!</v>
      </c>
      <c r="IL168" s="97" t="e">
        <f>'Actual Value'!I44+"AM:!(NG"</f>
        <v>#VALUE!</v>
      </c>
      <c r="IM168" s="97" t="e">
        <f>'Actual Value'!J44+"AM:!(NH"</f>
        <v>#VALUE!</v>
      </c>
      <c r="IN168" s="97" t="e">
        <f>'Actual Value'!K44+"AM:!(NI"</f>
        <v>#VALUE!</v>
      </c>
      <c r="IO168" s="97" t="e">
        <f>'Actual Value'!L44+"AM:!(NJ"</f>
        <v>#VALUE!</v>
      </c>
      <c r="IP168" s="97" t="e">
        <f>'Actual Value'!M44+"AM:!(NK"</f>
        <v>#VALUE!</v>
      </c>
      <c r="IQ168" s="97" t="e">
        <f>'Actual Value'!N44+"AM:!(NL"</f>
        <v>#VALUE!</v>
      </c>
      <c r="IR168" s="97" t="e">
        <f>'Actual Value'!O44+"AM:!(NM"</f>
        <v>#VALUE!</v>
      </c>
      <c r="IS168" s="97" t="e">
        <f>'Actual Value'!P44+"AM:!(NN"</f>
        <v>#VALUE!</v>
      </c>
      <c r="IT168" s="97" t="e">
        <f>'Actual Value'!Q44+"AM:!(NO"</f>
        <v>#VALUE!</v>
      </c>
      <c r="IU168" s="97" t="e">
        <f>'Actual Value'!R44+"AM:!(NP"</f>
        <v>#VALUE!</v>
      </c>
      <c r="IV168" s="97" t="e">
        <f>'Actual Value'!S44+"AM:!(NQ"</f>
        <v>#VALUE!</v>
      </c>
    </row>
    <row r="169" spans="6:256">
      <c r="F169" s="97" t="e">
        <f>'Actual Value'!T44+"AM:!(NR"</f>
        <v>#VALUE!</v>
      </c>
      <c r="G169" s="97" t="e">
        <f>'Actual Value'!U44+"AM:!(NS"</f>
        <v>#VALUE!</v>
      </c>
      <c r="H169" s="97" t="e">
        <f>'Actual Value'!V44+"AM:!(NT"</f>
        <v>#VALUE!</v>
      </c>
      <c r="I169" s="97" t="e">
        <f>'Actual Value'!W44+"AM:!(NU"</f>
        <v>#VALUE!</v>
      </c>
      <c r="J169" s="97" t="e">
        <f>'Actual Value'!X44+"AM:!(NV"</f>
        <v>#VALUE!</v>
      </c>
      <c r="K169" s="97" t="e">
        <f>'Actual Value'!Y44+"AM:!(NW"</f>
        <v>#VALUE!</v>
      </c>
      <c r="L169" s="97" t="e">
        <f>'Actual Value'!Z44+"AM:!(NX"</f>
        <v>#VALUE!</v>
      </c>
      <c r="M169" s="97" t="e">
        <f>'Actual Value'!AA44+"AM:!(NY"</f>
        <v>#VALUE!</v>
      </c>
      <c r="N169" s="97" t="e">
        <f>'Actual Value'!AB44+"AM:!(NZ"</f>
        <v>#VALUE!</v>
      </c>
      <c r="O169" s="97" t="e">
        <f>'Actual Value'!AC44+"AM:!(N["</f>
        <v>#VALUE!</v>
      </c>
      <c r="P169" s="97" t="e">
        <f>'Actual Value'!AD44+"AM:!(N\"</f>
        <v>#VALUE!</v>
      </c>
      <c r="Q169" s="97" t="e">
        <f>'Actual Value'!AE44+"AM:!(N]"</f>
        <v>#VALUE!</v>
      </c>
      <c r="R169" s="97" t="e">
        <f>'Actual Value'!AF44+"AM:!(N^"</f>
        <v>#VALUE!</v>
      </c>
      <c r="S169" s="97" t="e">
        <f>'Actual Value'!AG44+"AM:!(N_"</f>
        <v>#VALUE!</v>
      </c>
      <c r="T169" s="97" t="e">
        <f>'Actual Value'!AH44+"AM:!(N`"</f>
        <v>#VALUE!</v>
      </c>
      <c r="U169" s="97" t="e">
        <f>'Actual Value'!AI44+"AM:!(Na"</f>
        <v>#VALUE!</v>
      </c>
      <c r="V169" s="97" t="e">
        <f>'Actual Value'!AJ44+"AM:!(Nb"</f>
        <v>#VALUE!</v>
      </c>
      <c r="W169" s="97" t="e">
        <f>'Actual Value'!AK44+"AM:!(Nc"</f>
        <v>#VALUE!</v>
      </c>
      <c r="X169" s="97" t="e">
        <f>'Actual Value'!AL44+"AM:!(Nd"</f>
        <v>#VALUE!</v>
      </c>
      <c r="Y169" s="97" t="e">
        <f>'Actual Value'!AM44+"AM:!(Ne"</f>
        <v>#VALUE!</v>
      </c>
      <c r="Z169" s="97" t="e">
        <f>'Actual Value'!AN44+"AM:!(Nf"</f>
        <v>#VALUE!</v>
      </c>
      <c r="AA169" s="97" t="e">
        <f>'Actual Value'!AO44+"AM:!(Ng"</f>
        <v>#VALUE!</v>
      </c>
      <c r="AB169" t="e">
        <f>'Actual Value'!AP44+"AM:!(Nh"</f>
        <v>#VALUE!</v>
      </c>
      <c r="AC169" t="e">
        <f>'Actual Value'!AQ44+"AM:!(Ni"</f>
        <v>#VALUE!</v>
      </c>
      <c r="AD169" t="e">
        <f>'Actual Value'!AR44+"AM:!(Nj"</f>
        <v>#VALUE!</v>
      </c>
      <c r="AE169" t="e">
        <f>'Actual Value'!AS44+"AM:!(Nk"</f>
        <v>#VALUE!</v>
      </c>
      <c r="AF169" t="e">
        <f>'Actual Value'!AT44+"AM:!(Nl"</f>
        <v>#VALUE!</v>
      </c>
      <c r="AG169" t="e">
        <f>'Actual Value'!AU44+"AM:!(Nm"</f>
        <v>#VALUE!</v>
      </c>
      <c r="AH169" t="e">
        <f>'Actual Value'!AV44+"AM:!(Nn"</f>
        <v>#VALUE!</v>
      </c>
      <c r="AI169" t="e">
        <f>'Actual Value'!AW44+"AM:!(No"</f>
        <v>#VALUE!</v>
      </c>
      <c r="AJ169" t="e">
        <f>'Actual Value'!AX44+"AM:!(Np"</f>
        <v>#VALUE!</v>
      </c>
      <c r="AK169" t="e">
        <f>'Actual Value'!A45+"AM:!(Nq"</f>
        <v>#VALUE!</v>
      </c>
      <c r="AL169" t="e">
        <f>'Actual Value'!B45+"AM:!(Nr"</f>
        <v>#VALUE!</v>
      </c>
      <c r="AM169" t="e">
        <f>'Actual Value'!C45+"AM:!(Ns"</f>
        <v>#VALUE!</v>
      </c>
      <c r="AN169" s="97" t="e">
        <f>'Actual Value'!D45+"AM:!(Nt"</f>
        <v>#VALUE!</v>
      </c>
      <c r="AO169" s="97" t="e">
        <f>'Actual Value'!E45+"AM:!(Nu"</f>
        <v>#VALUE!</v>
      </c>
      <c r="AP169" s="97" t="e">
        <f>'Actual Value'!F45+"AM:!(Nv"</f>
        <v>#VALUE!</v>
      </c>
      <c r="AQ169" s="97" t="e">
        <f>'Actual Value'!G45+"AM:!(Nw"</f>
        <v>#VALUE!</v>
      </c>
      <c r="AR169" s="97" t="e">
        <f>'Actual Value'!H45+"AM:!(Nx"</f>
        <v>#VALUE!</v>
      </c>
      <c r="AS169" s="97" t="e">
        <f>'Actual Value'!I45+"AM:!(Ny"</f>
        <v>#VALUE!</v>
      </c>
      <c r="AT169" s="97" t="e">
        <f>'Actual Value'!J45+"AM:!(Nz"</f>
        <v>#VALUE!</v>
      </c>
      <c r="AU169" s="97" t="e">
        <f>'Actual Value'!K45+"AM:!(N{"</f>
        <v>#VALUE!</v>
      </c>
      <c r="AV169" s="97" t="e">
        <f>'Actual Value'!L45+"AM:!(N|"</f>
        <v>#VALUE!</v>
      </c>
      <c r="AW169" s="97" t="e">
        <f>'Actual Value'!M45+"AM:!(N}"</f>
        <v>#VALUE!</v>
      </c>
      <c r="AX169" s="97" t="e">
        <f>'Actual Value'!N45+"AM:!(N~"</f>
        <v>#VALUE!</v>
      </c>
      <c r="AY169" s="97" t="e">
        <f>'Actual Value'!O45+"AM:!(O#"</f>
        <v>#VALUE!</v>
      </c>
      <c r="AZ169" s="97" t="e">
        <f>'Actual Value'!P45+"AM:!(O$"</f>
        <v>#VALUE!</v>
      </c>
      <c r="BA169" s="97" t="e">
        <f>'Actual Value'!Q45+"AM:!(O%"</f>
        <v>#VALUE!</v>
      </c>
      <c r="BB169" s="97" t="e">
        <f>'Actual Value'!R45+"AM:!(O&amp;"</f>
        <v>#VALUE!</v>
      </c>
      <c r="BC169" s="97" t="e">
        <f>'Actual Value'!S45+"AM:!(O'"</f>
        <v>#VALUE!</v>
      </c>
      <c r="BD169" s="97" t="e">
        <f>'Actual Value'!T45+"AM:!(O("</f>
        <v>#VALUE!</v>
      </c>
      <c r="BE169" s="97" t="e">
        <f>'Actual Value'!U45+"AM:!(O)"</f>
        <v>#VALUE!</v>
      </c>
      <c r="BF169" s="97" t="e">
        <f>'Actual Value'!V45+"AM:!(O."</f>
        <v>#VALUE!</v>
      </c>
      <c r="BG169" s="97" t="e">
        <f>'Actual Value'!W45+"AM:!(O/"</f>
        <v>#VALUE!</v>
      </c>
      <c r="BH169" s="97" t="e">
        <f>'Actual Value'!X45+"AM:!(O0"</f>
        <v>#VALUE!</v>
      </c>
      <c r="BI169" s="97" t="e">
        <f>'Actual Value'!Y45+"AM:!(O1"</f>
        <v>#VALUE!</v>
      </c>
      <c r="BJ169" s="97" t="e">
        <f>'Actual Value'!Z45+"AM:!(O2"</f>
        <v>#VALUE!</v>
      </c>
      <c r="BK169" s="97" t="e">
        <f>'Actual Value'!AA45+"AM:!(O3"</f>
        <v>#VALUE!</v>
      </c>
      <c r="BL169" s="97" t="e">
        <f>'Actual Value'!AB45+"AM:!(O4"</f>
        <v>#VALUE!</v>
      </c>
      <c r="BM169" s="97" t="e">
        <f>'Actual Value'!AC45+"AM:!(O5"</f>
        <v>#VALUE!</v>
      </c>
      <c r="BN169" s="97" t="e">
        <f>'Actual Value'!AD45+"AM:!(O6"</f>
        <v>#VALUE!</v>
      </c>
      <c r="BO169" s="97" t="e">
        <f>'Actual Value'!AE45+"AM:!(O7"</f>
        <v>#VALUE!</v>
      </c>
      <c r="BP169" s="97" t="e">
        <f>'Actual Value'!AF45+"AM:!(O8"</f>
        <v>#VALUE!</v>
      </c>
      <c r="BQ169" s="97" t="e">
        <f>'Actual Value'!AG45+"AM:!(O9"</f>
        <v>#VALUE!</v>
      </c>
      <c r="BR169" s="97" t="e">
        <f>'Actual Value'!AH45+"AM:!(O:"</f>
        <v>#VALUE!</v>
      </c>
      <c r="BS169" s="97" t="e">
        <f>'Actual Value'!AI45+"AM:!(O;"</f>
        <v>#VALUE!</v>
      </c>
      <c r="BT169" s="97" t="e">
        <f>'Actual Value'!AJ45+"AM:!(O&lt;"</f>
        <v>#VALUE!</v>
      </c>
      <c r="BU169" s="97" t="e">
        <f>'Actual Value'!AK45+"AM:!(O="</f>
        <v>#VALUE!</v>
      </c>
      <c r="BV169" s="97" t="e">
        <f>'Actual Value'!AL45+"AM:!(O&gt;"</f>
        <v>#VALUE!</v>
      </c>
      <c r="BW169" s="97" t="e">
        <f>'Actual Value'!AM45+"AM:!(O?"</f>
        <v>#VALUE!</v>
      </c>
      <c r="BX169" s="97" t="e">
        <f>'Actual Value'!AN45+"AM:!(O@"</f>
        <v>#VALUE!</v>
      </c>
      <c r="BY169" s="97" t="e">
        <f>'Actual Value'!AO45+"AM:!(OA"</f>
        <v>#VALUE!</v>
      </c>
      <c r="BZ169" t="e">
        <f>'Actual Value'!AP45+"AM:!(OB"</f>
        <v>#VALUE!</v>
      </c>
      <c r="CA169" t="e">
        <f>'Actual Value'!AQ45+"AM:!(OC"</f>
        <v>#VALUE!</v>
      </c>
      <c r="CB169" t="e">
        <f>'Actual Value'!AR45+"AM:!(OD"</f>
        <v>#VALUE!</v>
      </c>
      <c r="CC169" t="e">
        <f>'Actual Value'!AS45+"AM:!(OE"</f>
        <v>#VALUE!</v>
      </c>
      <c r="CD169" t="e">
        <f>'Actual Value'!AT45+"AM:!(OF"</f>
        <v>#VALUE!</v>
      </c>
      <c r="CE169" t="e">
        <f>'Actual Value'!AU45+"AM:!(OG"</f>
        <v>#VALUE!</v>
      </c>
      <c r="CF169" t="e">
        <f>'Actual Value'!AV45+"AM:!(OH"</f>
        <v>#VALUE!</v>
      </c>
      <c r="CG169" t="e">
        <f>'Actual Value'!AW45+"AM:!(OI"</f>
        <v>#VALUE!</v>
      </c>
      <c r="CH169" t="e">
        <f>'Actual Value'!AX45+"AM:!(OJ"</f>
        <v>#VALUE!</v>
      </c>
      <c r="CI169" t="e">
        <f>'Actual Value'!A46+"AM:!(OK"</f>
        <v>#VALUE!</v>
      </c>
      <c r="CJ169" t="e">
        <f>'Actual Value'!B46+"AM:!(OL"</f>
        <v>#VALUE!</v>
      </c>
      <c r="CK169" t="e">
        <f>'Actual Value'!C46+"AM:!(OM"</f>
        <v>#VALUE!</v>
      </c>
      <c r="CL169" s="97" t="e">
        <f>'Actual Value'!D46+"AM:!(ON"</f>
        <v>#VALUE!</v>
      </c>
      <c r="CM169" s="97" t="e">
        <f>'Actual Value'!E46+"AM:!(OO"</f>
        <v>#VALUE!</v>
      </c>
      <c r="CN169" s="97" t="e">
        <f>'Actual Value'!F46+"AM:!(OP"</f>
        <v>#VALUE!</v>
      </c>
      <c r="CO169" s="97" t="e">
        <f>'Actual Value'!G46+"AM:!(OQ"</f>
        <v>#VALUE!</v>
      </c>
      <c r="CP169" s="97" t="e">
        <f>'Actual Value'!H46+"AM:!(OR"</f>
        <v>#VALUE!</v>
      </c>
      <c r="CQ169" s="97" t="e">
        <f>'Actual Value'!I46+"AM:!(OS"</f>
        <v>#VALUE!</v>
      </c>
      <c r="CR169" s="97" t="e">
        <f>'Actual Value'!J46+"AM:!(OT"</f>
        <v>#VALUE!</v>
      </c>
      <c r="CS169" s="97" t="e">
        <f>'Actual Value'!K46+"AM:!(OU"</f>
        <v>#VALUE!</v>
      </c>
      <c r="CT169" s="97" t="e">
        <f>'Actual Value'!L46+"AM:!(OV"</f>
        <v>#VALUE!</v>
      </c>
      <c r="CU169" s="97" t="e">
        <f>'Actual Value'!M46+"AM:!(OW"</f>
        <v>#VALUE!</v>
      </c>
      <c r="CV169" s="97" t="e">
        <f>'Actual Value'!N46+"AM:!(OX"</f>
        <v>#VALUE!</v>
      </c>
      <c r="CW169" s="97" t="e">
        <f>'Actual Value'!O46+"AM:!(OY"</f>
        <v>#VALUE!</v>
      </c>
      <c r="CX169" s="97" t="e">
        <f>'Actual Value'!P46+"AM:!(OZ"</f>
        <v>#VALUE!</v>
      </c>
      <c r="CY169" s="97" t="e">
        <f>'Actual Value'!Q46+"AM:!(O["</f>
        <v>#VALUE!</v>
      </c>
      <c r="CZ169" s="97" t="e">
        <f>'Actual Value'!R46+"AM:!(O\"</f>
        <v>#VALUE!</v>
      </c>
      <c r="DA169" s="97" t="e">
        <f>'Actual Value'!S46+"AM:!(O]"</f>
        <v>#VALUE!</v>
      </c>
      <c r="DB169" s="97" t="e">
        <f>'Actual Value'!T46+"AM:!(O^"</f>
        <v>#VALUE!</v>
      </c>
      <c r="DC169" s="97" t="e">
        <f>'Actual Value'!U46+"AM:!(O_"</f>
        <v>#VALUE!</v>
      </c>
      <c r="DD169" s="97" t="e">
        <f>'Actual Value'!V46+"AM:!(O`"</f>
        <v>#VALUE!</v>
      </c>
      <c r="DE169" s="97" t="e">
        <f>'Actual Value'!W46+"AM:!(Oa"</f>
        <v>#VALUE!</v>
      </c>
      <c r="DF169" s="97" t="e">
        <f>'Actual Value'!X46+"AM:!(Ob"</f>
        <v>#VALUE!</v>
      </c>
      <c r="DG169" s="97" t="e">
        <f>'Actual Value'!Y46+"AM:!(Oc"</f>
        <v>#VALUE!</v>
      </c>
      <c r="DH169" s="97" t="e">
        <f>'Actual Value'!Z46+"AM:!(Od"</f>
        <v>#VALUE!</v>
      </c>
      <c r="DI169" s="97" t="e">
        <f>'Actual Value'!AA46+"AM:!(Oe"</f>
        <v>#VALUE!</v>
      </c>
      <c r="DJ169" s="97" t="e">
        <f>'Actual Value'!AB46+"AM:!(Of"</f>
        <v>#VALUE!</v>
      </c>
      <c r="DK169" s="97" t="e">
        <f>'Actual Value'!AC46+"AM:!(Og"</f>
        <v>#VALUE!</v>
      </c>
      <c r="DL169" s="97" t="e">
        <f>'Actual Value'!AD46+"AM:!(Oh"</f>
        <v>#VALUE!</v>
      </c>
      <c r="DM169" s="97" t="e">
        <f>'Actual Value'!AE46+"AM:!(Oi"</f>
        <v>#VALUE!</v>
      </c>
      <c r="DN169" s="97" t="e">
        <f>'Actual Value'!AF46+"AM:!(Oj"</f>
        <v>#VALUE!</v>
      </c>
      <c r="DO169" s="97" t="e">
        <f>'Actual Value'!AG46+"AM:!(Ok"</f>
        <v>#VALUE!</v>
      </c>
      <c r="DP169" s="97" t="e">
        <f>'Actual Value'!AH46+"AM:!(Ol"</f>
        <v>#VALUE!</v>
      </c>
      <c r="DQ169" s="97" t="e">
        <f>'Actual Value'!AI46+"AM:!(Om"</f>
        <v>#VALUE!</v>
      </c>
      <c r="DR169" s="97" t="e">
        <f>'Actual Value'!AJ46+"AM:!(On"</f>
        <v>#VALUE!</v>
      </c>
      <c r="DS169" s="97" t="e">
        <f>'Actual Value'!AK46+"AM:!(Oo"</f>
        <v>#VALUE!</v>
      </c>
      <c r="DT169" s="97" t="e">
        <f>'Actual Value'!AL46+"AM:!(Op"</f>
        <v>#VALUE!</v>
      </c>
      <c r="DU169" s="97" t="e">
        <f>'Actual Value'!AM46+"AM:!(Oq"</f>
        <v>#VALUE!</v>
      </c>
      <c r="DV169" s="97" t="e">
        <f>'Actual Value'!AN46+"AM:!(Or"</f>
        <v>#VALUE!</v>
      </c>
      <c r="DW169" s="97" t="e">
        <f>'Actual Value'!AO46+"AM:!(Os"</f>
        <v>#VALUE!</v>
      </c>
      <c r="DX169" t="e">
        <f>'Actual Value'!AP46+"AM:!(Ot"</f>
        <v>#VALUE!</v>
      </c>
      <c r="DY169" t="e">
        <f>'Actual Value'!AQ46+"AM:!(Ou"</f>
        <v>#VALUE!</v>
      </c>
      <c r="DZ169" t="e">
        <f>'Actual Value'!AR46+"AM:!(Ov"</f>
        <v>#VALUE!</v>
      </c>
      <c r="EA169" t="e">
        <f>'Actual Value'!AS46+"AM:!(Ow"</f>
        <v>#VALUE!</v>
      </c>
      <c r="EB169" t="e">
        <f>'Actual Value'!AT46+"AM:!(Ox"</f>
        <v>#VALUE!</v>
      </c>
      <c r="EC169" t="e">
        <f>'Actual Value'!AU46+"AM:!(Oy"</f>
        <v>#VALUE!</v>
      </c>
      <c r="ED169" t="e">
        <f>'Actual Value'!AV46+"AM:!(Oz"</f>
        <v>#VALUE!</v>
      </c>
      <c r="EE169" t="e">
        <f>'Actual Value'!AW46+"AM:!(O{"</f>
        <v>#VALUE!</v>
      </c>
      <c r="EF169" t="e">
        <f>'Actual Value'!AX46+"AM:!(O|"</f>
        <v>#VALUE!</v>
      </c>
      <c r="EG169" t="e">
        <f>'Actual Value'!A47+"AM:!(O}"</f>
        <v>#VALUE!</v>
      </c>
      <c r="EH169" t="e">
        <f>'Actual Value'!B47+"AM:!(O~"</f>
        <v>#VALUE!</v>
      </c>
      <c r="EI169" t="e">
        <f>'Actual Value'!C47+"AM:!(P#"</f>
        <v>#VALUE!</v>
      </c>
      <c r="EJ169" s="97" t="e">
        <f>'Actual Value'!D47+"AM:!(P$"</f>
        <v>#VALUE!</v>
      </c>
      <c r="EK169" s="97" t="e">
        <f>'Actual Value'!E47+"AM:!(P%"</f>
        <v>#VALUE!</v>
      </c>
      <c r="EL169" s="97" t="e">
        <f>'Actual Value'!F47+"AM:!(P&amp;"</f>
        <v>#VALUE!</v>
      </c>
      <c r="EM169" s="97" t="e">
        <f>'Actual Value'!G47+"AM:!(P'"</f>
        <v>#VALUE!</v>
      </c>
      <c r="EN169" s="97" t="e">
        <f>'Actual Value'!H47+"AM:!(P("</f>
        <v>#VALUE!</v>
      </c>
      <c r="EO169" s="97" t="e">
        <f>'Actual Value'!I47+"AM:!(P)"</f>
        <v>#VALUE!</v>
      </c>
      <c r="EP169" s="97" t="e">
        <f>'Actual Value'!J47+"AM:!(P."</f>
        <v>#VALUE!</v>
      </c>
      <c r="EQ169" s="97" t="e">
        <f>'Actual Value'!K47+"AM:!(P/"</f>
        <v>#VALUE!</v>
      </c>
      <c r="ER169" s="97" t="e">
        <f>'Actual Value'!L47+"AM:!(P0"</f>
        <v>#VALUE!</v>
      </c>
      <c r="ES169" s="97" t="e">
        <f>'Actual Value'!M47+"AM:!(P1"</f>
        <v>#VALUE!</v>
      </c>
      <c r="ET169" s="97" t="e">
        <f>'Actual Value'!N47+"AM:!(P2"</f>
        <v>#VALUE!</v>
      </c>
      <c r="EU169" s="97" t="e">
        <f>'Actual Value'!O47+"AM:!(P3"</f>
        <v>#VALUE!</v>
      </c>
      <c r="EV169" s="97" t="e">
        <f>'Actual Value'!P47+"AM:!(P4"</f>
        <v>#VALUE!</v>
      </c>
      <c r="EW169" s="97" t="e">
        <f>'Actual Value'!Q47+"AM:!(P5"</f>
        <v>#VALUE!</v>
      </c>
      <c r="EX169" s="97" t="e">
        <f>'Actual Value'!R47+"AM:!(P6"</f>
        <v>#VALUE!</v>
      </c>
      <c r="EY169" s="97" t="e">
        <f>'Actual Value'!S47+"AM:!(P7"</f>
        <v>#VALUE!</v>
      </c>
      <c r="EZ169" s="97" t="e">
        <f>'Actual Value'!T47+"AM:!(P8"</f>
        <v>#VALUE!</v>
      </c>
      <c r="FA169" s="97" t="e">
        <f>'Actual Value'!U47+"AM:!(P9"</f>
        <v>#VALUE!</v>
      </c>
      <c r="FB169" s="97" t="e">
        <f>'Actual Value'!V47+"AM:!(P:"</f>
        <v>#VALUE!</v>
      </c>
      <c r="FC169" s="97" t="e">
        <f>'Actual Value'!W47+"AM:!(P;"</f>
        <v>#VALUE!</v>
      </c>
      <c r="FD169" s="97" t="e">
        <f>'Actual Value'!X47+"AM:!(P&lt;"</f>
        <v>#VALUE!</v>
      </c>
      <c r="FE169" s="97" t="e">
        <f>'Actual Value'!Y47+"AM:!(P="</f>
        <v>#VALUE!</v>
      </c>
      <c r="FF169" s="97" t="e">
        <f>'Actual Value'!Z47+"AM:!(P&gt;"</f>
        <v>#VALUE!</v>
      </c>
      <c r="FG169" s="97" t="e">
        <f>'Actual Value'!AA47+"AM:!(P?"</f>
        <v>#VALUE!</v>
      </c>
      <c r="FH169" s="97" t="e">
        <f>'Actual Value'!AB47+"AM:!(P@"</f>
        <v>#VALUE!</v>
      </c>
      <c r="FI169" s="97" t="e">
        <f>'Actual Value'!AC47+"AM:!(PA"</f>
        <v>#VALUE!</v>
      </c>
      <c r="FJ169" s="97" t="e">
        <f>'Actual Value'!AD47+"AM:!(PB"</f>
        <v>#VALUE!</v>
      </c>
      <c r="FK169" s="97" t="e">
        <f>'Actual Value'!AE47+"AM:!(PC"</f>
        <v>#VALUE!</v>
      </c>
      <c r="FL169" s="97" t="e">
        <f>'Actual Value'!AF47+"AM:!(PD"</f>
        <v>#VALUE!</v>
      </c>
      <c r="FM169" s="97" t="e">
        <f>'Actual Value'!AG47+"AM:!(PE"</f>
        <v>#VALUE!</v>
      </c>
      <c r="FN169" s="97" t="e">
        <f>'Actual Value'!AH47+"AM:!(PF"</f>
        <v>#VALUE!</v>
      </c>
      <c r="FO169" s="97" t="e">
        <f>'Actual Value'!AI47+"AM:!(PG"</f>
        <v>#VALUE!</v>
      </c>
      <c r="FP169" s="97" t="e">
        <f>'Actual Value'!AJ47+"AM:!(PH"</f>
        <v>#VALUE!</v>
      </c>
      <c r="FQ169" s="97" t="e">
        <f>'Actual Value'!AK47+"AM:!(PI"</f>
        <v>#VALUE!</v>
      </c>
      <c r="FR169" s="97" t="e">
        <f>'Actual Value'!AL47+"AM:!(PJ"</f>
        <v>#VALUE!</v>
      </c>
      <c r="FS169" s="97" t="e">
        <f>'Actual Value'!AM47+"AM:!(PK"</f>
        <v>#VALUE!</v>
      </c>
      <c r="FT169" s="97" t="e">
        <f>'Actual Value'!AN47+"AM:!(PL"</f>
        <v>#VALUE!</v>
      </c>
      <c r="FU169" s="97" t="e">
        <f>'Actual Value'!AO47+"AM:!(PM"</f>
        <v>#VALUE!</v>
      </c>
      <c r="FV169" t="e">
        <f>'Actual Value'!AP47+"AM:!(PN"</f>
        <v>#VALUE!</v>
      </c>
      <c r="FW169" t="e">
        <f>'Actual Value'!AQ47+"AM:!(PO"</f>
        <v>#VALUE!</v>
      </c>
      <c r="FX169" t="e">
        <f>'Actual Value'!AR47+"AM:!(PP"</f>
        <v>#VALUE!</v>
      </c>
      <c r="FY169" t="e">
        <f>'Actual Value'!AS47+"AM:!(PQ"</f>
        <v>#VALUE!</v>
      </c>
      <c r="FZ169" t="e">
        <f>'Actual Value'!AT47+"AM:!(PR"</f>
        <v>#VALUE!</v>
      </c>
      <c r="GA169" t="e">
        <f>'Actual Value'!AU47+"AM:!(PS"</f>
        <v>#VALUE!</v>
      </c>
      <c r="GB169" t="e">
        <f>'Actual Value'!AV47+"AM:!(PT"</f>
        <v>#VALUE!</v>
      </c>
      <c r="GC169" t="e">
        <f>'Actual Value'!AW47+"AM:!(PU"</f>
        <v>#VALUE!</v>
      </c>
      <c r="GD169" t="e">
        <f>'Actual Value'!AX47+"AM:!(PV"</f>
        <v>#VALUE!</v>
      </c>
      <c r="GE169" t="e">
        <f>'Actual Value'!A48+"AM:!(PW"</f>
        <v>#VALUE!</v>
      </c>
      <c r="GF169" t="e">
        <f>'Actual Value'!B48+"AM:!(PX"</f>
        <v>#VALUE!</v>
      </c>
      <c r="GG169" t="e">
        <f>'Actual Value'!C48+"AM:!(PY"</f>
        <v>#VALUE!</v>
      </c>
      <c r="GH169" s="97" t="e">
        <f>'Actual Value'!D48+"AM:!(PZ"</f>
        <v>#VALUE!</v>
      </c>
      <c r="GI169" s="97" t="e">
        <f>'Actual Value'!E48+"AM:!(P["</f>
        <v>#VALUE!</v>
      </c>
      <c r="GJ169" s="97" t="e">
        <f>'Actual Value'!F48+"AM:!(P\"</f>
        <v>#VALUE!</v>
      </c>
      <c r="GK169" s="97" t="e">
        <f>'Actual Value'!G48+"AM:!(P]"</f>
        <v>#VALUE!</v>
      </c>
      <c r="GL169" s="97" t="e">
        <f>'Actual Value'!H48+"AM:!(P^"</f>
        <v>#VALUE!</v>
      </c>
      <c r="GM169" s="97" t="e">
        <f>'Actual Value'!I48+"AM:!(P_"</f>
        <v>#VALUE!</v>
      </c>
      <c r="GN169" s="97" t="e">
        <f>'Actual Value'!J48+"AM:!(P`"</f>
        <v>#VALUE!</v>
      </c>
      <c r="GO169" s="97" t="e">
        <f>'Actual Value'!K48+"AM:!(Pa"</f>
        <v>#VALUE!</v>
      </c>
      <c r="GP169" s="97" t="e">
        <f>'Actual Value'!L48+"AM:!(Pb"</f>
        <v>#VALUE!</v>
      </c>
      <c r="GQ169" s="97" t="e">
        <f>'Actual Value'!M48+"AM:!(Pc"</f>
        <v>#VALUE!</v>
      </c>
      <c r="GR169" s="97" t="e">
        <f>'Actual Value'!N48+"AM:!(Pd"</f>
        <v>#VALUE!</v>
      </c>
      <c r="GS169" s="97" t="e">
        <f>'Actual Value'!O48+"AM:!(Pe"</f>
        <v>#VALUE!</v>
      </c>
      <c r="GT169" s="97" t="e">
        <f>'Actual Value'!P48+"AM:!(Pf"</f>
        <v>#VALUE!</v>
      </c>
      <c r="GU169" s="97" t="e">
        <f>'Actual Value'!Q48+"AM:!(Pg"</f>
        <v>#VALUE!</v>
      </c>
      <c r="GV169" s="97" t="e">
        <f>'Actual Value'!R48+"AM:!(Ph"</f>
        <v>#VALUE!</v>
      </c>
      <c r="GW169" s="97" t="e">
        <f>'Actual Value'!S48+"AM:!(Pi"</f>
        <v>#VALUE!</v>
      </c>
      <c r="GX169" s="97" t="e">
        <f>'Actual Value'!T48+"AM:!(Pj"</f>
        <v>#VALUE!</v>
      </c>
      <c r="GY169" s="97" t="e">
        <f>'Actual Value'!U48+"AM:!(Pk"</f>
        <v>#VALUE!</v>
      </c>
      <c r="GZ169" s="97" t="e">
        <f>'Actual Value'!V48+"AM:!(Pl"</f>
        <v>#VALUE!</v>
      </c>
      <c r="HA169" s="97" t="e">
        <f>'Actual Value'!W48+"AM:!(Pm"</f>
        <v>#VALUE!</v>
      </c>
      <c r="HB169" s="97" t="e">
        <f>'Actual Value'!X48+"AM:!(Pn"</f>
        <v>#VALUE!</v>
      </c>
      <c r="HC169" s="97" t="e">
        <f>'Actual Value'!Y48+"AM:!(Po"</f>
        <v>#VALUE!</v>
      </c>
      <c r="HD169" s="97" t="e">
        <f>'Actual Value'!Z48+"AM:!(Pp"</f>
        <v>#VALUE!</v>
      </c>
      <c r="HE169" s="97" t="e">
        <f>'Actual Value'!AA48+"AM:!(Pq"</f>
        <v>#VALUE!</v>
      </c>
      <c r="HF169" s="97" t="e">
        <f>'Actual Value'!AB48+"AM:!(Pr"</f>
        <v>#VALUE!</v>
      </c>
      <c r="HG169" s="97" t="e">
        <f>'Actual Value'!AC48+"AM:!(Ps"</f>
        <v>#VALUE!</v>
      </c>
      <c r="HH169" s="97" t="e">
        <f>'Actual Value'!AD48+"AM:!(Pt"</f>
        <v>#VALUE!</v>
      </c>
      <c r="HI169" s="97" t="e">
        <f>'Actual Value'!AE48+"AM:!(Pu"</f>
        <v>#VALUE!</v>
      </c>
      <c r="HJ169" s="97" t="e">
        <f>'Actual Value'!AF48+"AM:!(Pv"</f>
        <v>#VALUE!</v>
      </c>
      <c r="HK169" s="97" t="e">
        <f>'Actual Value'!AG48+"AM:!(Pw"</f>
        <v>#VALUE!</v>
      </c>
      <c r="HL169" s="97" t="e">
        <f>'Actual Value'!AH48+"AM:!(Px"</f>
        <v>#VALUE!</v>
      </c>
      <c r="HM169" s="97" t="e">
        <f>'Actual Value'!AI48+"AM:!(Py"</f>
        <v>#VALUE!</v>
      </c>
      <c r="HN169" s="97" t="e">
        <f>'Actual Value'!AJ48+"AM:!(Pz"</f>
        <v>#VALUE!</v>
      </c>
      <c r="HO169" s="97" t="e">
        <f>'Actual Value'!AK48+"AM:!(P{"</f>
        <v>#VALUE!</v>
      </c>
      <c r="HP169" s="97" t="e">
        <f>'Actual Value'!AL48+"AM:!(P|"</f>
        <v>#VALUE!</v>
      </c>
      <c r="HQ169" s="97" t="e">
        <f>'Actual Value'!AM48+"AM:!(P}"</f>
        <v>#VALUE!</v>
      </c>
      <c r="HR169" s="97" t="e">
        <f>'Actual Value'!AN48+"AM:!(P~"</f>
        <v>#VALUE!</v>
      </c>
      <c r="HS169" s="97" t="e">
        <f>'Actual Value'!AO48+"AM:!(Q#"</f>
        <v>#VALUE!</v>
      </c>
      <c r="HT169" t="e">
        <f>'Actual Value'!AP48+"AM:!(Q$"</f>
        <v>#VALUE!</v>
      </c>
      <c r="HU169" t="e">
        <f>'Actual Value'!AQ48+"AM:!(Q%"</f>
        <v>#VALUE!</v>
      </c>
      <c r="HV169" t="e">
        <f>'Actual Value'!AR48+"AM:!(Q&amp;"</f>
        <v>#VALUE!</v>
      </c>
      <c r="HW169" t="e">
        <f>'Actual Value'!AS48+"AM:!(Q'"</f>
        <v>#VALUE!</v>
      </c>
      <c r="HX169" t="e">
        <f>'Actual Value'!AT48+"AM:!(Q("</f>
        <v>#VALUE!</v>
      </c>
      <c r="HY169" t="e">
        <f>'Actual Value'!AU48+"AM:!(Q)"</f>
        <v>#VALUE!</v>
      </c>
      <c r="HZ169" t="e">
        <f>'Actual Value'!AV48+"AM:!(Q."</f>
        <v>#VALUE!</v>
      </c>
      <c r="IA169" t="e">
        <f>'Actual Value'!AW48+"AM:!(Q/"</f>
        <v>#VALUE!</v>
      </c>
      <c r="IB169" t="e">
        <f>'Actual Value'!AX48+"AM:!(Q0"</f>
        <v>#VALUE!</v>
      </c>
      <c r="IC169" t="e">
        <f>'Actual Value'!A49+"AM:!(Q1"</f>
        <v>#VALUE!</v>
      </c>
      <c r="ID169" t="e">
        <f>'Actual Value'!B49+"AM:!(Q2"</f>
        <v>#VALUE!</v>
      </c>
      <c r="IE169" s="98" t="e">
        <f>'Actual Value'!C49+"AM:!(Q3"</f>
        <v>#VALUE!</v>
      </c>
      <c r="IF169" t="e">
        <f>'Actual Value'!D49+"AM:!(Q4"</f>
        <v>#VALUE!</v>
      </c>
      <c r="IG169" t="e">
        <f>'Actual Value'!E49+"AM:!(Q5"</f>
        <v>#VALUE!</v>
      </c>
      <c r="IH169" t="e">
        <f>'Actual Value'!F49+"AM:!(Q6"</f>
        <v>#VALUE!</v>
      </c>
      <c r="II169" t="e">
        <f>'Actual Value'!G49+"AM:!(Q7"</f>
        <v>#VALUE!</v>
      </c>
      <c r="IJ169" t="e">
        <f>'Actual Value'!H49+"AM:!(Q8"</f>
        <v>#VALUE!</v>
      </c>
      <c r="IK169" t="e">
        <f>'Actual Value'!I49+"AM:!(Q9"</f>
        <v>#VALUE!</v>
      </c>
      <c r="IL169" t="e">
        <f>'Actual Value'!J49+"AM:!(Q:"</f>
        <v>#VALUE!</v>
      </c>
      <c r="IM169" t="e">
        <f>'Actual Value'!K49+"AM:!(Q;"</f>
        <v>#VALUE!</v>
      </c>
      <c r="IN169" t="e">
        <f>'Actual Value'!L49+"AM:!(Q&lt;"</f>
        <v>#VALUE!</v>
      </c>
      <c r="IO169" t="e">
        <f>'Actual Value'!M49+"AM:!(Q="</f>
        <v>#VALUE!</v>
      </c>
      <c r="IP169" t="e">
        <f>'Actual Value'!N49+"AM:!(Q&gt;"</f>
        <v>#VALUE!</v>
      </c>
      <c r="IQ169" t="e">
        <f>'Actual Value'!O49+"AM:!(Q?"</f>
        <v>#VALUE!</v>
      </c>
      <c r="IR169" t="e">
        <f>'Actual Value'!P49+"AM:!(Q@"</f>
        <v>#VALUE!</v>
      </c>
      <c r="IS169" t="e">
        <f>'Actual Value'!Q49+"AM:!(QA"</f>
        <v>#VALUE!</v>
      </c>
      <c r="IT169" t="e">
        <f>'Actual Value'!R49+"AM:!(QB"</f>
        <v>#VALUE!</v>
      </c>
      <c r="IU169" t="e">
        <f>'Actual Value'!S49+"AM:!(QC"</f>
        <v>#VALUE!</v>
      </c>
      <c r="IV169" t="e">
        <f>'Actual Value'!T49+"AM:!(QD"</f>
        <v>#VALUE!</v>
      </c>
    </row>
    <row r="170" spans="6:256">
      <c r="F170" t="e">
        <f>'Actual Value'!U49+"AM:!(QE"</f>
        <v>#VALUE!</v>
      </c>
      <c r="G170" t="e">
        <f>'Actual Value'!V49+"AM:!(QF"</f>
        <v>#VALUE!</v>
      </c>
      <c r="H170" t="e">
        <f>'Actual Value'!W49+"AM:!(QG"</f>
        <v>#VALUE!</v>
      </c>
      <c r="I170" t="e">
        <f>'Actual Value'!X49+"AM:!(QH"</f>
        <v>#VALUE!</v>
      </c>
      <c r="J170" t="e">
        <f>'Actual Value'!Y49+"AM:!(QI"</f>
        <v>#VALUE!</v>
      </c>
      <c r="K170" t="e">
        <f>'Actual Value'!Z49+"AM:!(QJ"</f>
        <v>#VALUE!</v>
      </c>
      <c r="L170" t="e">
        <f>'Actual Value'!AA49+"AM:!(QK"</f>
        <v>#VALUE!</v>
      </c>
      <c r="M170" t="e">
        <f>'Actual Value'!AB49+"AM:!(QL"</f>
        <v>#VALUE!</v>
      </c>
      <c r="N170" t="e">
        <f>'Actual Value'!AC49+"AM:!(QM"</f>
        <v>#VALUE!</v>
      </c>
      <c r="O170" t="e">
        <f>'Actual Value'!AD49+"AM:!(QN"</f>
        <v>#VALUE!</v>
      </c>
      <c r="P170" t="e">
        <f>'Actual Value'!AE49+"AM:!(QO"</f>
        <v>#VALUE!</v>
      </c>
      <c r="Q170" t="e">
        <f>'Actual Value'!AF49+"AM:!(QP"</f>
        <v>#VALUE!</v>
      </c>
      <c r="R170" t="e">
        <f>'Actual Value'!AG49+"AM:!(QQ"</f>
        <v>#VALUE!</v>
      </c>
      <c r="S170" t="e">
        <f>'Actual Value'!AH49+"AM:!(QR"</f>
        <v>#VALUE!</v>
      </c>
      <c r="T170" t="e">
        <f>'Actual Value'!AI49+"AM:!(QS"</f>
        <v>#VALUE!</v>
      </c>
      <c r="U170" t="e">
        <f>'Actual Value'!AJ49+"AM:!(QT"</f>
        <v>#VALUE!</v>
      </c>
      <c r="V170" t="e">
        <f>'Actual Value'!AK49+"AM:!(QU"</f>
        <v>#VALUE!</v>
      </c>
      <c r="W170" t="e">
        <f>'Actual Value'!AL49+"AM:!(QV"</f>
        <v>#VALUE!</v>
      </c>
      <c r="X170" t="e">
        <f>'Actual Value'!AM49+"AM:!(QW"</f>
        <v>#VALUE!</v>
      </c>
      <c r="Y170" t="e">
        <f>'Actual Value'!AN49+"AM:!(QX"</f>
        <v>#VALUE!</v>
      </c>
      <c r="Z170" t="e">
        <f>'Actual Value'!AO49+"AM:!(QY"</f>
        <v>#VALUE!</v>
      </c>
      <c r="AA170" t="e">
        <f>'Actual Value'!AP49+"AM:!(QZ"</f>
        <v>#VALUE!</v>
      </c>
      <c r="AB170" t="e">
        <f>'Actual Value'!AQ49+"AM:!(Q["</f>
        <v>#VALUE!</v>
      </c>
      <c r="AC170" t="e">
        <f>'Actual Value'!AR49+"AM:!(Q\"</f>
        <v>#VALUE!</v>
      </c>
      <c r="AD170" t="e">
        <f>'Actual Value'!AS49+"AM:!(Q]"</f>
        <v>#VALUE!</v>
      </c>
      <c r="AE170" t="e">
        <f>'Actual Value'!AT49+"AM:!(Q^"</f>
        <v>#VALUE!</v>
      </c>
      <c r="AF170" t="e">
        <f>'Actual Value'!AU49+"AM:!(Q_"</f>
        <v>#VALUE!</v>
      </c>
      <c r="AG170" t="e">
        <f>'Actual Value'!AV49+"AM:!(Q`"</f>
        <v>#VALUE!</v>
      </c>
      <c r="AH170" t="e">
        <f>'Actual Value'!AW49+"AM:!(Qa"</f>
        <v>#VALUE!</v>
      </c>
      <c r="AI170" t="e">
        <f>'Actual Value'!A50+"AM:!(Qb"</f>
        <v>#VALUE!</v>
      </c>
      <c r="AJ170" t="e">
        <f>'Actual Value'!B50+"AM:!(Qc"</f>
        <v>#VALUE!</v>
      </c>
      <c r="AK170" t="e">
        <f>'Actual Value'!C50+"AM:!(Qd"</f>
        <v>#VALUE!</v>
      </c>
      <c r="AL170" s="105" t="e">
        <f>'Actual Value'!D50+"AM:!(Qe"</f>
        <v>#VALUE!</v>
      </c>
      <c r="AM170" s="105" t="e">
        <f>'Actual Value'!E50+"AM:!(Qf"</f>
        <v>#VALUE!</v>
      </c>
      <c r="AN170" s="105" t="e">
        <f>'Actual Value'!F50+"AM:!(Qg"</f>
        <v>#VALUE!</v>
      </c>
      <c r="AO170" s="105" t="e">
        <f>'Actual Value'!G50+"AM:!(Qh"</f>
        <v>#VALUE!</v>
      </c>
      <c r="AP170" s="105" t="e">
        <f>'Actual Value'!H50+"AM:!(Qi"</f>
        <v>#VALUE!</v>
      </c>
      <c r="AQ170" s="105" t="e">
        <f>'Actual Value'!I50+"AM:!(Qj"</f>
        <v>#VALUE!</v>
      </c>
      <c r="AR170" s="105" t="e">
        <f>'Actual Value'!J50+"AM:!(Qk"</f>
        <v>#VALUE!</v>
      </c>
      <c r="AS170" s="105" t="e">
        <f>'Actual Value'!K50+"AM:!(Ql"</f>
        <v>#VALUE!</v>
      </c>
      <c r="AT170" s="105" t="e">
        <f>'Actual Value'!L50+"AM:!(Qm"</f>
        <v>#VALUE!</v>
      </c>
      <c r="AU170" s="105" t="e">
        <f>'Actual Value'!M50+"AM:!(Qn"</f>
        <v>#VALUE!</v>
      </c>
      <c r="AV170" s="105" t="e">
        <f>'Actual Value'!N50+"AM:!(Qo"</f>
        <v>#VALUE!</v>
      </c>
      <c r="AW170" s="105" t="e">
        <f>'Actual Value'!O50+"AM:!(Qp"</f>
        <v>#VALUE!</v>
      </c>
      <c r="AX170" s="105" t="e">
        <f>'Actual Value'!P50+"AM:!(Qq"</f>
        <v>#VALUE!</v>
      </c>
      <c r="AY170" s="105" t="e">
        <f>'Actual Value'!Q50+"AM:!(Qr"</f>
        <v>#VALUE!</v>
      </c>
      <c r="AZ170" s="105" t="e">
        <f>'Actual Value'!R50+"AM:!(Qs"</f>
        <v>#VALUE!</v>
      </c>
      <c r="BA170" s="105" t="e">
        <f>'Actual Value'!S50+"AM:!(Qt"</f>
        <v>#VALUE!</v>
      </c>
      <c r="BB170" s="105" t="e">
        <f>'Actual Value'!T50+"AM:!(Qu"</f>
        <v>#VALUE!</v>
      </c>
      <c r="BC170" s="105" t="e">
        <f>'Actual Value'!U50+"AM:!(Qv"</f>
        <v>#VALUE!</v>
      </c>
      <c r="BD170" s="105" t="e">
        <f>'Actual Value'!V50+"AM:!(Qw"</f>
        <v>#VALUE!</v>
      </c>
      <c r="BE170" s="105" t="e">
        <f>'Actual Value'!W50+"AM:!(Qx"</f>
        <v>#VALUE!</v>
      </c>
      <c r="BF170" s="105" t="e">
        <f>'Actual Value'!X50+"AM:!(Qy"</f>
        <v>#VALUE!</v>
      </c>
      <c r="BG170" s="105" t="e">
        <f>'Actual Value'!Y50+"AM:!(Qz"</f>
        <v>#VALUE!</v>
      </c>
      <c r="BH170" s="105" t="e">
        <f>'Actual Value'!Z50+"AM:!(Q{"</f>
        <v>#VALUE!</v>
      </c>
      <c r="BI170" s="105" t="e">
        <f>'Actual Value'!AA50+"AM:!(Q|"</f>
        <v>#VALUE!</v>
      </c>
      <c r="BJ170" s="105" t="e">
        <f>'Actual Value'!AB50+"AM:!(Q}"</f>
        <v>#VALUE!</v>
      </c>
      <c r="BK170" s="105" t="e">
        <f>'Actual Value'!AC50+"AM:!(Q~"</f>
        <v>#VALUE!</v>
      </c>
      <c r="BL170" s="105" t="e">
        <f>'Actual Value'!AD50+"AM:!(R#"</f>
        <v>#VALUE!</v>
      </c>
      <c r="BM170" s="105" t="e">
        <f>'Actual Value'!AE50+"AM:!(R$"</f>
        <v>#VALUE!</v>
      </c>
      <c r="BN170" s="105" t="e">
        <f>'Actual Value'!AF50+"AM:!(R%"</f>
        <v>#VALUE!</v>
      </c>
      <c r="BO170" s="105" t="e">
        <f>'Actual Value'!AG50+"AM:!(R&amp;"</f>
        <v>#VALUE!</v>
      </c>
      <c r="BP170" s="105" t="e">
        <f>'Actual Value'!AH50+"AM:!(R'"</f>
        <v>#VALUE!</v>
      </c>
      <c r="BQ170" s="105" t="e">
        <f>'Actual Value'!AI50+"AM:!(R("</f>
        <v>#VALUE!</v>
      </c>
      <c r="BR170" s="105" t="e">
        <f>'Actual Value'!AJ50+"AM:!(R)"</f>
        <v>#VALUE!</v>
      </c>
      <c r="BS170" s="105" t="e">
        <f>'Actual Value'!AK50+"AM:!(R."</f>
        <v>#VALUE!</v>
      </c>
      <c r="BT170" s="105" t="e">
        <f>'Actual Value'!AL50+"AM:!(R/"</f>
        <v>#VALUE!</v>
      </c>
      <c r="BU170" s="105" t="e">
        <f>'Actual Value'!AM50+"AM:!(R0"</f>
        <v>#VALUE!</v>
      </c>
      <c r="BV170" s="105" t="e">
        <f>'Actual Value'!AN50+"AM:!(R1"</f>
        <v>#VALUE!</v>
      </c>
      <c r="BW170" s="105" t="e">
        <f>'Actual Value'!AO50+"AM:!(R2"</f>
        <v>#VALUE!</v>
      </c>
      <c r="BX170" t="e">
        <f>'Actual Value'!AP50+"AM:!(R3"</f>
        <v>#VALUE!</v>
      </c>
      <c r="BY170" s="100" t="e">
        <f>'Actual Value'!AQ50+"AM:!(R4"</f>
        <v>#VALUE!</v>
      </c>
      <c r="BZ170" s="100" t="e">
        <f>'Actual Value'!AR50+"AM:!(R5"</f>
        <v>#VALUE!</v>
      </c>
      <c r="CA170" s="100" t="e">
        <f>'Actual Value'!AS50+"AM:!(R6"</f>
        <v>#VALUE!</v>
      </c>
      <c r="CB170" s="100" t="e">
        <f>'Actual Value'!AT50+"AM:!(R7"</f>
        <v>#VALUE!</v>
      </c>
      <c r="CC170" s="100" t="e">
        <f>'Actual Value'!AU50+"AM:!(R8"</f>
        <v>#VALUE!</v>
      </c>
      <c r="CD170" t="e">
        <f>'Actual Value'!AV50+"AM:!(R9"</f>
        <v>#VALUE!</v>
      </c>
      <c r="CE170" t="e">
        <f>'Actual Value'!AW50+"AM:!(R:"</f>
        <v>#VALUE!</v>
      </c>
      <c r="CF170" t="e">
        <f>'Actual Value'!A51+"AM:!(R;"</f>
        <v>#VALUE!</v>
      </c>
      <c r="CG170" t="e">
        <f>'Actual Value'!B51+"AM:!(R&lt;"</f>
        <v>#VALUE!</v>
      </c>
      <c r="CH170" t="e">
        <f>'Actual Value'!C51+"AM:!(R="</f>
        <v>#VALUE!</v>
      </c>
      <c r="CI170" s="97" t="e">
        <f>'Actual Value'!D51+"AM:!(R&gt;"</f>
        <v>#VALUE!</v>
      </c>
      <c r="CJ170" s="97" t="e">
        <f>'Actual Value'!E51+"AM:!(R?"</f>
        <v>#VALUE!</v>
      </c>
      <c r="CK170" s="97" t="e">
        <f>'Actual Value'!F51+"AM:!(R@"</f>
        <v>#VALUE!</v>
      </c>
      <c r="CL170" s="97" t="e">
        <f>'Actual Value'!G51+"AM:!(RA"</f>
        <v>#VALUE!</v>
      </c>
      <c r="CM170" s="97" t="e">
        <f>'Actual Value'!H51+"AM:!(RB"</f>
        <v>#VALUE!</v>
      </c>
      <c r="CN170" s="97" t="e">
        <f>'Actual Value'!I51+"AM:!(RC"</f>
        <v>#VALUE!</v>
      </c>
      <c r="CO170" s="97" t="e">
        <f>'Actual Value'!J51+"AM:!(RD"</f>
        <v>#VALUE!</v>
      </c>
      <c r="CP170" s="97" t="e">
        <f>'Actual Value'!K51+"AM:!(RE"</f>
        <v>#VALUE!</v>
      </c>
      <c r="CQ170" s="97" t="e">
        <f>'Actual Value'!L51+"AM:!(RF"</f>
        <v>#VALUE!</v>
      </c>
      <c r="CR170" s="97" t="e">
        <f>'Actual Value'!M51+"AM:!(RG"</f>
        <v>#VALUE!</v>
      </c>
      <c r="CS170" s="97" t="e">
        <f>'Actual Value'!N51+"AM:!(RH"</f>
        <v>#VALUE!</v>
      </c>
      <c r="CT170" s="97" t="e">
        <f>'Actual Value'!O51+"AM:!(RI"</f>
        <v>#VALUE!</v>
      </c>
      <c r="CU170" s="97" t="e">
        <f>'Actual Value'!P51+"AM:!(RJ"</f>
        <v>#VALUE!</v>
      </c>
      <c r="CV170" s="97" t="e">
        <f>'Actual Value'!Q51+"AM:!(RK"</f>
        <v>#VALUE!</v>
      </c>
      <c r="CW170" s="97" t="e">
        <f>'Actual Value'!R51+"AM:!(RL"</f>
        <v>#VALUE!</v>
      </c>
      <c r="CX170" s="97" t="e">
        <f>'Actual Value'!S51+"AM:!(RM"</f>
        <v>#VALUE!</v>
      </c>
      <c r="CY170" s="97" t="e">
        <f>'Actual Value'!T51+"AM:!(RN"</f>
        <v>#VALUE!</v>
      </c>
      <c r="CZ170" s="97" t="e">
        <f>'Actual Value'!U51+"AM:!(RO"</f>
        <v>#VALUE!</v>
      </c>
      <c r="DA170" s="97" t="e">
        <f>'Actual Value'!V51+"AM:!(RP"</f>
        <v>#VALUE!</v>
      </c>
      <c r="DB170" s="97" t="e">
        <f>'Actual Value'!W51+"AM:!(RQ"</f>
        <v>#VALUE!</v>
      </c>
      <c r="DC170" s="97" t="e">
        <f>'Actual Value'!X51+"AM:!(RR"</f>
        <v>#VALUE!</v>
      </c>
      <c r="DD170" s="97" t="e">
        <f>'Actual Value'!Y51+"AM:!(RS"</f>
        <v>#VALUE!</v>
      </c>
      <c r="DE170" s="97" t="e">
        <f>'Actual Value'!Z51+"AM:!(RT"</f>
        <v>#VALUE!</v>
      </c>
      <c r="DF170" s="97" t="e">
        <f>'Actual Value'!AA51+"AM:!(RU"</f>
        <v>#VALUE!</v>
      </c>
      <c r="DG170" s="97" t="e">
        <f>'Actual Value'!AB51+"AM:!(RV"</f>
        <v>#VALUE!</v>
      </c>
      <c r="DH170" s="97" t="e">
        <f>'Actual Value'!AC51+"AM:!(RW"</f>
        <v>#VALUE!</v>
      </c>
      <c r="DI170" s="97" t="e">
        <f>'Actual Value'!AD51+"AM:!(RX"</f>
        <v>#VALUE!</v>
      </c>
      <c r="DJ170" s="97" t="e">
        <f>'Actual Value'!AE51+"AM:!(RY"</f>
        <v>#VALUE!</v>
      </c>
      <c r="DK170" s="97" t="e">
        <f>'Actual Value'!AF51+"AM:!(RZ"</f>
        <v>#VALUE!</v>
      </c>
      <c r="DL170" s="97" t="e">
        <f>'Actual Value'!AG51+"AM:!(R["</f>
        <v>#VALUE!</v>
      </c>
      <c r="DM170" s="97" t="e">
        <f>'Actual Value'!AH51+"AM:!(R\"</f>
        <v>#VALUE!</v>
      </c>
      <c r="DN170" s="97" t="e">
        <f>'Actual Value'!AI51+"AM:!(R]"</f>
        <v>#VALUE!</v>
      </c>
      <c r="DO170" s="97" t="e">
        <f>'Actual Value'!AJ51+"AM:!(R^"</f>
        <v>#VALUE!</v>
      </c>
      <c r="DP170" s="97" t="e">
        <f>'Actual Value'!AK51+"AM:!(R_"</f>
        <v>#VALUE!</v>
      </c>
      <c r="DQ170" s="97" t="e">
        <f>'Actual Value'!AL51+"AM:!(R`"</f>
        <v>#VALUE!</v>
      </c>
      <c r="DR170" s="97" t="e">
        <f>'Actual Value'!AM51+"AM:!(Ra"</f>
        <v>#VALUE!</v>
      </c>
      <c r="DS170" s="97" t="e">
        <f>'Actual Value'!AN51+"AM:!(Rb"</f>
        <v>#VALUE!</v>
      </c>
      <c r="DT170" s="97" t="e">
        <f>'Actual Value'!AO51+"AM:!(Rc"</f>
        <v>#VALUE!</v>
      </c>
      <c r="DU170" t="e">
        <f>'Actual Value'!AP51+"AM:!(Rd"</f>
        <v>#VALUE!</v>
      </c>
      <c r="DV170" t="e">
        <f>'Actual Value'!AQ51+"AM:!(Re"</f>
        <v>#VALUE!</v>
      </c>
      <c r="DW170" t="e">
        <f>'Actual Value'!AR51+"AM:!(Rf"</f>
        <v>#VALUE!</v>
      </c>
      <c r="DX170" s="97" t="e">
        <f>'Actual Value'!AS51+"AM:!(Rg"</f>
        <v>#VALUE!</v>
      </c>
      <c r="DY170" t="e">
        <f>'Actual Value'!AT51+"AM:!(Rh"</f>
        <v>#VALUE!</v>
      </c>
      <c r="DZ170" t="e">
        <f>'Actual Value'!AU51+"AM:!(Ri"</f>
        <v>#VALUE!</v>
      </c>
      <c r="EA170" t="e">
        <f>'Actual Value'!AV51+"AM:!(Rj"</f>
        <v>#VALUE!</v>
      </c>
      <c r="EB170" t="e">
        <f>'Actual Value'!AW51+"AM:!(Rk"</f>
        <v>#VALUE!</v>
      </c>
      <c r="EC170" t="e">
        <f>'Actual Value'!A52+"AM:!(Rl"</f>
        <v>#VALUE!</v>
      </c>
      <c r="ED170" t="e">
        <f>'Actual Value'!B52+"AM:!(Rm"</f>
        <v>#VALUE!</v>
      </c>
      <c r="EE170" t="e">
        <f>'Actual Value'!C52+"AM:!(Rn"</f>
        <v>#VALUE!</v>
      </c>
      <c r="EF170" s="97" t="e">
        <f>'Actual Value'!D52+"AM:!(Ro"</f>
        <v>#VALUE!</v>
      </c>
      <c r="EG170" s="97" t="e">
        <f>'Actual Value'!E52+"AM:!(Rp"</f>
        <v>#VALUE!</v>
      </c>
      <c r="EH170" s="97" t="e">
        <f>'Actual Value'!F52+"AM:!(Rq"</f>
        <v>#VALUE!</v>
      </c>
      <c r="EI170" s="97" t="e">
        <f>'Actual Value'!G52+"AM:!(Rr"</f>
        <v>#VALUE!</v>
      </c>
      <c r="EJ170" s="97" t="e">
        <f>'Actual Value'!H52+"AM:!(Rs"</f>
        <v>#VALUE!</v>
      </c>
      <c r="EK170" s="97" t="e">
        <f>'Actual Value'!I52+"AM:!(Rt"</f>
        <v>#VALUE!</v>
      </c>
      <c r="EL170" s="97" t="e">
        <f>'Actual Value'!J52+"AM:!(Ru"</f>
        <v>#VALUE!</v>
      </c>
      <c r="EM170" s="97" t="e">
        <f>'Actual Value'!K52+"AM:!(Rv"</f>
        <v>#VALUE!</v>
      </c>
      <c r="EN170" s="97" t="e">
        <f>'Actual Value'!L52+"AM:!(Rw"</f>
        <v>#VALUE!</v>
      </c>
      <c r="EO170" s="97" t="e">
        <f>'Actual Value'!M52+"AM:!(Rx"</f>
        <v>#VALUE!</v>
      </c>
      <c r="EP170" s="97" t="e">
        <f>'Actual Value'!N52+"AM:!(Ry"</f>
        <v>#VALUE!</v>
      </c>
      <c r="EQ170" s="97" t="e">
        <f>'Actual Value'!O52+"AM:!(Rz"</f>
        <v>#VALUE!</v>
      </c>
      <c r="ER170" s="97" t="e">
        <f>'Actual Value'!P52+"AM:!(R{"</f>
        <v>#VALUE!</v>
      </c>
      <c r="ES170" s="97" t="e">
        <f>'Actual Value'!Q52+"AM:!(R|"</f>
        <v>#VALUE!</v>
      </c>
      <c r="ET170" s="97" t="e">
        <f>'Actual Value'!R52+"AM:!(R}"</f>
        <v>#VALUE!</v>
      </c>
      <c r="EU170" s="97" t="e">
        <f>'Actual Value'!S52+"AM:!(R~"</f>
        <v>#VALUE!</v>
      </c>
      <c r="EV170" s="97" t="e">
        <f>'Actual Value'!T52+"AM:!(S#"</f>
        <v>#VALUE!</v>
      </c>
      <c r="EW170" s="97" t="e">
        <f>'Actual Value'!U52+"AM:!(S$"</f>
        <v>#VALUE!</v>
      </c>
      <c r="EX170" s="97" t="e">
        <f>'Actual Value'!V52+"AM:!(S%"</f>
        <v>#VALUE!</v>
      </c>
      <c r="EY170" s="97" t="e">
        <f>'Actual Value'!W52+"AM:!(S&amp;"</f>
        <v>#VALUE!</v>
      </c>
      <c r="EZ170" s="97" t="e">
        <f>'Actual Value'!X52+"AM:!(S'"</f>
        <v>#VALUE!</v>
      </c>
      <c r="FA170" s="97" t="e">
        <f>'Actual Value'!Y52+"AM:!(S("</f>
        <v>#VALUE!</v>
      </c>
      <c r="FB170" s="97" t="e">
        <f>'Actual Value'!Z52+"AM:!(S)"</f>
        <v>#VALUE!</v>
      </c>
      <c r="FC170" s="97" t="e">
        <f>'Actual Value'!AA52+"AM:!(S."</f>
        <v>#VALUE!</v>
      </c>
      <c r="FD170" s="97" t="e">
        <f>'Actual Value'!AB52+"AM:!(S/"</f>
        <v>#VALUE!</v>
      </c>
      <c r="FE170" s="97" t="e">
        <f>'Actual Value'!AC52+"AM:!(S0"</f>
        <v>#VALUE!</v>
      </c>
      <c r="FF170" s="97" t="e">
        <f>'Actual Value'!AD52+"AM:!(S1"</f>
        <v>#VALUE!</v>
      </c>
      <c r="FG170" s="97" t="e">
        <f>'Actual Value'!AE52+"AM:!(S2"</f>
        <v>#VALUE!</v>
      </c>
      <c r="FH170" s="97" t="e">
        <f>'Actual Value'!AF52+"AM:!(S3"</f>
        <v>#VALUE!</v>
      </c>
      <c r="FI170" s="97" t="e">
        <f>'Actual Value'!AG52+"AM:!(S4"</f>
        <v>#VALUE!</v>
      </c>
      <c r="FJ170" s="97" t="e">
        <f>'Actual Value'!AH52+"AM:!(S5"</f>
        <v>#VALUE!</v>
      </c>
      <c r="FK170" s="97" t="e">
        <f>'Actual Value'!AI52+"AM:!(S6"</f>
        <v>#VALUE!</v>
      </c>
      <c r="FL170" s="97" t="e">
        <f>'Actual Value'!AJ52+"AM:!(S7"</f>
        <v>#VALUE!</v>
      </c>
      <c r="FM170" s="97" t="e">
        <f>'Actual Value'!AK52+"AM:!(S8"</f>
        <v>#VALUE!</v>
      </c>
      <c r="FN170" s="97" t="e">
        <f>'Actual Value'!AL52+"AM:!(S9"</f>
        <v>#VALUE!</v>
      </c>
      <c r="FO170" s="97" t="e">
        <f>'Actual Value'!AM52+"AM:!(S:"</f>
        <v>#VALUE!</v>
      </c>
      <c r="FP170" s="97" t="e">
        <f>'Actual Value'!AN52+"AM:!(S;"</f>
        <v>#VALUE!</v>
      </c>
      <c r="FQ170" s="97" t="e">
        <f>'Actual Value'!AO52+"AM:!(S&lt;"</f>
        <v>#VALUE!</v>
      </c>
      <c r="FR170" t="e">
        <f>'Actual Value'!AP52+"AM:!(S="</f>
        <v>#VALUE!</v>
      </c>
      <c r="FS170" t="e">
        <f>'Actual Value'!AQ52+"AM:!(S&gt;"</f>
        <v>#VALUE!</v>
      </c>
      <c r="FT170" t="e">
        <f>'Actual Value'!AR52+"AM:!(S?"</f>
        <v>#VALUE!</v>
      </c>
      <c r="FU170" s="97" t="e">
        <f>'Actual Value'!AS52+"AM:!(S@"</f>
        <v>#VALUE!</v>
      </c>
      <c r="FV170" t="e">
        <f>'Actual Value'!AT52+"AM:!(SA"</f>
        <v>#VALUE!</v>
      </c>
      <c r="FW170" t="e">
        <f>'Actual Value'!AU52+"AM:!(SB"</f>
        <v>#VALUE!</v>
      </c>
      <c r="FX170" t="e">
        <f>'Actual Value'!AV52+"AM:!(SC"</f>
        <v>#VALUE!</v>
      </c>
      <c r="FY170" t="e">
        <f>'Actual Value'!AW52+"AM:!(SD"</f>
        <v>#VALUE!</v>
      </c>
      <c r="FZ170" t="e">
        <f>'Actual Value'!A53+"AM:!(SE"</f>
        <v>#VALUE!</v>
      </c>
      <c r="GA170" t="e">
        <f>'Actual Value'!B53+"AM:!(SF"</f>
        <v>#VALUE!</v>
      </c>
      <c r="GB170" t="e">
        <f>'Actual Value'!C53+"AM:!(SG"</f>
        <v>#VALUE!</v>
      </c>
      <c r="GC170" s="97" t="e">
        <f>'Actual Value'!D53+"AM:!(SH"</f>
        <v>#VALUE!</v>
      </c>
      <c r="GD170" s="97" t="e">
        <f>'Actual Value'!E53+"AM:!(SI"</f>
        <v>#VALUE!</v>
      </c>
      <c r="GE170" s="97" t="e">
        <f>'Actual Value'!F53+"AM:!(SJ"</f>
        <v>#VALUE!</v>
      </c>
      <c r="GF170" s="97" t="e">
        <f>'Actual Value'!G53+"AM:!(SK"</f>
        <v>#VALUE!</v>
      </c>
      <c r="GG170" s="97" t="e">
        <f>'Actual Value'!H53+"AM:!(SL"</f>
        <v>#VALUE!</v>
      </c>
      <c r="GH170" s="97" t="e">
        <f>'Actual Value'!I53+"AM:!(SM"</f>
        <v>#VALUE!</v>
      </c>
      <c r="GI170" s="97" t="e">
        <f>'Actual Value'!J53+"AM:!(SN"</f>
        <v>#VALUE!</v>
      </c>
      <c r="GJ170" s="97" t="e">
        <f>'Actual Value'!K53+"AM:!(SO"</f>
        <v>#VALUE!</v>
      </c>
      <c r="GK170" s="97" t="e">
        <f>'Actual Value'!L53+"AM:!(SP"</f>
        <v>#VALUE!</v>
      </c>
      <c r="GL170" s="97" t="e">
        <f>'Actual Value'!M53+"AM:!(SQ"</f>
        <v>#VALUE!</v>
      </c>
      <c r="GM170" s="97" t="e">
        <f>'Actual Value'!N53+"AM:!(SR"</f>
        <v>#VALUE!</v>
      </c>
      <c r="GN170" s="97" t="e">
        <f>'Actual Value'!O53+"AM:!(SS"</f>
        <v>#VALUE!</v>
      </c>
      <c r="GO170" s="97" t="e">
        <f>'Actual Value'!P53+"AM:!(ST"</f>
        <v>#VALUE!</v>
      </c>
      <c r="GP170" s="97" t="e">
        <f>'Actual Value'!Q53+"AM:!(SU"</f>
        <v>#VALUE!</v>
      </c>
      <c r="GQ170" s="97" t="e">
        <f>'Actual Value'!R53+"AM:!(SV"</f>
        <v>#VALUE!</v>
      </c>
      <c r="GR170" s="97" t="e">
        <f>'Actual Value'!S53+"AM:!(SW"</f>
        <v>#VALUE!</v>
      </c>
      <c r="GS170" s="97" t="e">
        <f>'Actual Value'!T53+"AM:!(SX"</f>
        <v>#VALUE!</v>
      </c>
      <c r="GT170" s="97" t="e">
        <f>'Actual Value'!U53+"AM:!(SY"</f>
        <v>#VALUE!</v>
      </c>
      <c r="GU170" s="97" t="e">
        <f>'Actual Value'!V53+"AM:!(SZ"</f>
        <v>#VALUE!</v>
      </c>
      <c r="GV170" s="97" t="e">
        <f>'Actual Value'!W53+"AM:!(S["</f>
        <v>#VALUE!</v>
      </c>
      <c r="GW170" s="97" t="e">
        <f>'Actual Value'!X53+"AM:!(S\"</f>
        <v>#VALUE!</v>
      </c>
      <c r="GX170" s="97" t="e">
        <f>'Actual Value'!Y53+"AM:!(S]"</f>
        <v>#VALUE!</v>
      </c>
      <c r="GY170" s="97" t="e">
        <f>'Actual Value'!Z53+"AM:!(S^"</f>
        <v>#VALUE!</v>
      </c>
      <c r="GZ170" s="97" t="e">
        <f>'Actual Value'!AA53+"AM:!(S_"</f>
        <v>#VALUE!</v>
      </c>
      <c r="HA170" s="97" t="e">
        <f>'Actual Value'!AB53+"AM:!(S`"</f>
        <v>#VALUE!</v>
      </c>
      <c r="HB170" s="97" t="e">
        <f>'Actual Value'!AC53+"AM:!(Sa"</f>
        <v>#VALUE!</v>
      </c>
      <c r="HC170" s="97" t="e">
        <f>'Actual Value'!AD53+"AM:!(Sb"</f>
        <v>#VALUE!</v>
      </c>
      <c r="HD170" s="97" t="e">
        <f>'Actual Value'!AE53+"AM:!(Sc"</f>
        <v>#VALUE!</v>
      </c>
      <c r="HE170" s="97" t="e">
        <f>'Actual Value'!AF53+"AM:!(Sd"</f>
        <v>#VALUE!</v>
      </c>
      <c r="HF170" s="97" t="e">
        <f>'Actual Value'!AG53+"AM:!(Se"</f>
        <v>#VALUE!</v>
      </c>
      <c r="HG170" s="97" t="e">
        <f>'Actual Value'!AH53+"AM:!(Sf"</f>
        <v>#VALUE!</v>
      </c>
      <c r="HH170" s="97" t="e">
        <f>'Actual Value'!AI53+"AM:!(Sg"</f>
        <v>#VALUE!</v>
      </c>
      <c r="HI170" s="97" t="e">
        <f>'Actual Value'!AJ53+"AM:!(Sh"</f>
        <v>#VALUE!</v>
      </c>
      <c r="HJ170" s="97" t="e">
        <f>'Actual Value'!AK53+"AM:!(Si"</f>
        <v>#VALUE!</v>
      </c>
      <c r="HK170" s="97" t="e">
        <f>'Actual Value'!AL53+"AM:!(Sj"</f>
        <v>#VALUE!</v>
      </c>
      <c r="HL170" s="97" t="e">
        <f>'Actual Value'!AM53+"AM:!(Sk"</f>
        <v>#VALUE!</v>
      </c>
      <c r="HM170" s="97" t="e">
        <f>'Actual Value'!AN53+"AM:!(Sl"</f>
        <v>#VALUE!</v>
      </c>
      <c r="HN170" s="97" t="e">
        <f>'Actual Value'!AO53+"AM:!(Sm"</f>
        <v>#VALUE!</v>
      </c>
      <c r="HO170" t="e">
        <f>'Actual Value'!AP53+"AM:!(Sn"</f>
        <v>#VALUE!</v>
      </c>
      <c r="HP170" t="e">
        <f>'Actual Value'!AQ53+"AM:!(So"</f>
        <v>#VALUE!</v>
      </c>
      <c r="HQ170" t="e">
        <f>'Actual Value'!AR53+"AM:!(Sp"</f>
        <v>#VALUE!</v>
      </c>
      <c r="HR170" t="e">
        <f>'Actual Value'!AS53+"AM:!(Sq"</f>
        <v>#VALUE!</v>
      </c>
      <c r="HS170" t="e">
        <f>'Actual Value'!AT53+"AM:!(Sr"</f>
        <v>#VALUE!</v>
      </c>
      <c r="HT170" t="e">
        <f>'Actual Value'!AU53+"AM:!(Ss"</f>
        <v>#VALUE!</v>
      </c>
      <c r="HU170" t="e">
        <f>'Actual Value'!AV53+"AM:!(St"</f>
        <v>#VALUE!</v>
      </c>
      <c r="HV170" t="e">
        <f>'Actual Value'!AW53+"AM:!(Su"</f>
        <v>#VALUE!</v>
      </c>
      <c r="HW170" t="e">
        <f>'Actual Value'!A54+"AM:!(Sv"</f>
        <v>#VALUE!</v>
      </c>
      <c r="HX170" t="e">
        <f>'Actual Value'!B54+"AM:!(Sw"</f>
        <v>#VALUE!</v>
      </c>
      <c r="HY170" t="e">
        <f>'Actual Value'!C54+"AM:!(Sx"</f>
        <v>#VALUE!</v>
      </c>
      <c r="HZ170" s="97" t="e">
        <f>'Actual Value'!D54+"AM:!(Sy"</f>
        <v>#VALUE!</v>
      </c>
      <c r="IA170" s="97" t="e">
        <f>'Actual Value'!E54+"AM:!(Sz"</f>
        <v>#VALUE!</v>
      </c>
      <c r="IB170" s="97" t="e">
        <f>'Actual Value'!F54+"AM:!(S{"</f>
        <v>#VALUE!</v>
      </c>
      <c r="IC170" s="97" t="e">
        <f>'Actual Value'!G54+"AM:!(S|"</f>
        <v>#VALUE!</v>
      </c>
      <c r="ID170" s="97" t="e">
        <f>'Actual Value'!H54+"AM:!(S}"</f>
        <v>#VALUE!</v>
      </c>
      <c r="IE170" s="97" t="e">
        <f>'Actual Value'!I54+"AM:!(S~"</f>
        <v>#VALUE!</v>
      </c>
      <c r="IF170" s="97" t="e">
        <f>'Actual Value'!J54+"AM:!(T#"</f>
        <v>#VALUE!</v>
      </c>
      <c r="IG170" s="97" t="e">
        <f>'Actual Value'!K54+"AM:!(T$"</f>
        <v>#VALUE!</v>
      </c>
      <c r="IH170" s="97" t="e">
        <f>'Actual Value'!L54+"AM:!(T%"</f>
        <v>#VALUE!</v>
      </c>
      <c r="II170" s="97" t="e">
        <f>'Actual Value'!M54+"AM:!(T&amp;"</f>
        <v>#VALUE!</v>
      </c>
      <c r="IJ170" s="97" t="e">
        <f>'Actual Value'!N54+"AM:!(T'"</f>
        <v>#VALUE!</v>
      </c>
      <c r="IK170" s="97" t="e">
        <f>'Actual Value'!O54+"AM:!(T("</f>
        <v>#VALUE!</v>
      </c>
      <c r="IL170" s="97" t="e">
        <f>'Actual Value'!P54+"AM:!(T)"</f>
        <v>#VALUE!</v>
      </c>
      <c r="IM170" s="97" t="e">
        <f>'Actual Value'!Q54+"AM:!(T."</f>
        <v>#VALUE!</v>
      </c>
      <c r="IN170" s="97" t="e">
        <f>'Actual Value'!R54+"AM:!(T/"</f>
        <v>#VALUE!</v>
      </c>
      <c r="IO170" s="97" t="e">
        <f>'Actual Value'!S54+"AM:!(T0"</f>
        <v>#VALUE!</v>
      </c>
      <c r="IP170" s="97" t="e">
        <f>'Actual Value'!T54+"AM:!(T1"</f>
        <v>#VALUE!</v>
      </c>
      <c r="IQ170" s="97" t="e">
        <f>'Actual Value'!U54+"AM:!(T2"</f>
        <v>#VALUE!</v>
      </c>
      <c r="IR170" s="97" t="e">
        <f>'Actual Value'!V54+"AM:!(T3"</f>
        <v>#VALUE!</v>
      </c>
      <c r="IS170" s="97" t="e">
        <f>'Actual Value'!W54+"AM:!(T4"</f>
        <v>#VALUE!</v>
      </c>
      <c r="IT170" s="97" t="e">
        <f>'Actual Value'!X54+"AM:!(T5"</f>
        <v>#VALUE!</v>
      </c>
      <c r="IU170" s="97" t="e">
        <f>'Actual Value'!Y54+"AM:!(T6"</f>
        <v>#VALUE!</v>
      </c>
      <c r="IV170" s="97" t="e">
        <f>'Actual Value'!Z54+"AM:!(T7"</f>
        <v>#VALUE!</v>
      </c>
    </row>
    <row r="171" spans="6:256">
      <c r="F171" s="97" t="e">
        <f>'Actual Value'!AA54+"AM:!(T8"</f>
        <v>#VALUE!</v>
      </c>
      <c r="G171" s="97" t="e">
        <f>'Actual Value'!AB54+"AM:!(T9"</f>
        <v>#VALUE!</v>
      </c>
      <c r="H171" s="97" t="e">
        <f>'Actual Value'!AC54+"AM:!(T:"</f>
        <v>#VALUE!</v>
      </c>
      <c r="I171" s="97" t="e">
        <f>'Actual Value'!AD54+"AM:!(T;"</f>
        <v>#VALUE!</v>
      </c>
      <c r="J171" s="97" t="e">
        <f>'Actual Value'!AE54+"AM:!(T&lt;"</f>
        <v>#VALUE!</v>
      </c>
      <c r="K171" s="97" t="e">
        <f>'Actual Value'!AF54+"AM:!(T="</f>
        <v>#VALUE!</v>
      </c>
      <c r="L171" s="97" t="e">
        <f>'Actual Value'!AG54+"AM:!(T&gt;"</f>
        <v>#VALUE!</v>
      </c>
      <c r="M171" s="97" t="e">
        <f>'Actual Value'!AH54+"AM:!(T?"</f>
        <v>#VALUE!</v>
      </c>
      <c r="N171" s="97" t="e">
        <f>'Actual Value'!AI54+"AM:!(T@"</f>
        <v>#VALUE!</v>
      </c>
      <c r="O171" s="97" t="e">
        <f>'Actual Value'!AJ54+"AM:!(TA"</f>
        <v>#VALUE!</v>
      </c>
      <c r="P171" s="97" t="e">
        <f>'Actual Value'!AK54+"AM:!(TB"</f>
        <v>#VALUE!</v>
      </c>
      <c r="Q171" s="97" t="e">
        <f>'Actual Value'!AL54+"AM:!(TC"</f>
        <v>#VALUE!</v>
      </c>
      <c r="R171" s="97" t="e">
        <f>'Actual Value'!AM54+"AM:!(TD"</f>
        <v>#VALUE!</v>
      </c>
      <c r="S171" s="97" t="e">
        <f>'Actual Value'!AN54+"AM:!(TE"</f>
        <v>#VALUE!</v>
      </c>
      <c r="T171" s="97" t="e">
        <f>'Actual Value'!AO54+"AM:!(TF"</f>
        <v>#VALUE!</v>
      </c>
      <c r="U171" t="e">
        <f>'Actual Value'!AP54+"AM:!(TG"</f>
        <v>#VALUE!</v>
      </c>
      <c r="V171" t="e">
        <f>'Actual Value'!AQ54+"AM:!(TH"</f>
        <v>#VALUE!</v>
      </c>
      <c r="W171" t="e">
        <f>'Actual Value'!AR54+"AM:!(TI"</f>
        <v>#VALUE!</v>
      </c>
      <c r="X171" t="e">
        <f>'Actual Value'!AS54+"AM:!(TJ"</f>
        <v>#VALUE!</v>
      </c>
      <c r="Y171" t="e">
        <f>'Actual Value'!AT54+"AM:!(TK"</f>
        <v>#VALUE!</v>
      </c>
      <c r="Z171" t="e">
        <f>'Actual Value'!AU54+"AM:!(TL"</f>
        <v>#VALUE!</v>
      </c>
      <c r="AA171" t="e">
        <f>'Actual Value'!AV54+"AM:!(TM"</f>
        <v>#VALUE!</v>
      </c>
      <c r="AB171" t="e">
        <f>'Actual Value'!AW54+"AM:!(TN"</f>
        <v>#VALUE!</v>
      </c>
      <c r="AC171" t="e">
        <f>'Actual Value'!AX54+"AM:!(TO"</f>
        <v>#VALUE!</v>
      </c>
      <c r="AD171" t="e">
        <f>'Actual Value'!A55+"AM:!(TP"</f>
        <v>#VALUE!</v>
      </c>
      <c r="AE171" t="e">
        <f>'Actual Value'!B55+"AM:!(TQ"</f>
        <v>#VALUE!</v>
      </c>
      <c r="AF171" t="e">
        <f>'Actual Value'!C55+"AM:!(TR"</f>
        <v>#VALUE!</v>
      </c>
      <c r="AG171" s="97" t="e">
        <f>'Actual Value'!D55+"AM:!(TS"</f>
        <v>#VALUE!</v>
      </c>
      <c r="AH171" s="97" t="e">
        <f>'Actual Value'!E55+"AM:!(TT"</f>
        <v>#VALUE!</v>
      </c>
      <c r="AI171" s="97" t="e">
        <f>'Actual Value'!F55+"AM:!(TU"</f>
        <v>#VALUE!</v>
      </c>
      <c r="AJ171" s="97" t="e">
        <f>'Actual Value'!G55+"AM:!(TV"</f>
        <v>#VALUE!</v>
      </c>
      <c r="AK171" s="97" t="e">
        <f>'Actual Value'!H55+"AM:!(TW"</f>
        <v>#VALUE!</v>
      </c>
      <c r="AL171" s="97" t="e">
        <f>'Actual Value'!I55+"AM:!(TX"</f>
        <v>#VALUE!</v>
      </c>
      <c r="AM171" s="97" t="e">
        <f>'Actual Value'!J55+"AM:!(TY"</f>
        <v>#VALUE!</v>
      </c>
      <c r="AN171" s="97" t="e">
        <f>'Actual Value'!K55+"AM:!(TZ"</f>
        <v>#VALUE!</v>
      </c>
      <c r="AO171" s="97" t="e">
        <f>'Actual Value'!L55+"AM:!(T["</f>
        <v>#VALUE!</v>
      </c>
      <c r="AP171" s="97" t="e">
        <f>'Actual Value'!M55+"AM:!(T\"</f>
        <v>#VALUE!</v>
      </c>
      <c r="AQ171" s="97" t="e">
        <f>'Actual Value'!N55+"AM:!(T]"</f>
        <v>#VALUE!</v>
      </c>
      <c r="AR171" s="97" t="e">
        <f>'Actual Value'!O55+"AM:!(T^"</f>
        <v>#VALUE!</v>
      </c>
      <c r="AS171" s="97" t="e">
        <f>'Actual Value'!P55+"AM:!(T_"</f>
        <v>#VALUE!</v>
      </c>
      <c r="AT171" s="97" t="e">
        <f>'Actual Value'!Q55+"AM:!(T`"</f>
        <v>#VALUE!</v>
      </c>
      <c r="AU171" s="97" t="e">
        <f>'Actual Value'!R55+"AM:!(Ta"</f>
        <v>#VALUE!</v>
      </c>
      <c r="AV171" s="97" t="e">
        <f>'Actual Value'!S55+"AM:!(Tb"</f>
        <v>#VALUE!</v>
      </c>
      <c r="AW171" s="97" t="e">
        <f>'Actual Value'!T55+"AM:!(Tc"</f>
        <v>#VALUE!</v>
      </c>
      <c r="AX171" s="97" t="e">
        <f>'Actual Value'!U55+"AM:!(Td"</f>
        <v>#VALUE!</v>
      </c>
      <c r="AY171" s="97" t="e">
        <f>'Actual Value'!V55+"AM:!(Te"</f>
        <v>#VALUE!</v>
      </c>
      <c r="AZ171" s="97" t="e">
        <f>'Actual Value'!W55+"AM:!(Tf"</f>
        <v>#VALUE!</v>
      </c>
      <c r="BA171" s="97" t="e">
        <f>'Actual Value'!X55+"AM:!(Tg"</f>
        <v>#VALUE!</v>
      </c>
      <c r="BB171" s="97" t="e">
        <f>'Actual Value'!Y55+"AM:!(Th"</f>
        <v>#VALUE!</v>
      </c>
      <c r="BC171" s="97" t="e">
        <f>'Actual Value'!Z55+"AM:!(Ti"</f>
        <v>#VALUE!</v>
      </c>
      <c r="BD171" s="97" t="e">
        <f>'Actual Value'!AA55+"AM:!(Tj"</f>
        <v>#VALUE!</v>
      </c>
      <c r="BE171" s="97" t="e">
        <f>'Actual Value'!AB55+"AM:!(Tk"</f>
        <v>#VALUE!</v>
      </c>
      <c r="BF171" s="97" t="e">
        <f>'Actual Value'!AC55+"AM:!(Tl"</f>
        <v>#VALUE!</v>
      </c>
      <c r="BG171" s="97" t="e">
        <f>'Actual Value'!AD55+"AM:!(Tm"</f>
        <v>#VALUE!</v>
      </c>
      <c r="BH171" s="97" t="e">
        <f>'Actual Value'!AE55+"AM:!(Tn"</f>
        <v>#VALUE!</v>
      </c>
      <c r="BI171" s="97" t="e">
        <f>'Actual Value'!AF55+"AM:!(To"</f>
        <v>#VALUE!</v>
      </c>
      <c r="BJ171" s="97" t="e">
        <f>'Actual Value'!AG55+"AM:!(Tp"</f>
        <v>#VALUE!</v>
      </c>
      <c r="BK171" s="97" t="e">
        <f>'Actual Value'!AH55+"AM:!(Tq"</f>
        <v>#VALUE!</v>
      </c>
      <c r="BL171" s="97" t="e">
        <f>'Actual Value'!AI55+"AM:!(Tr"</f>
        <v>#VALUE!</v>
      </c>
      <c r="BM171" s="97" t="e">
        <f>'Actual Value'!AJ55+"AM:!(Ts"</f>
        <v>#VALUE!</v>
      </c>
      <c r="BN171" s="97" t="e">
        <f>'Actual Value'!AK55+"AM:!(Tt"</f>
        <v>#VALUE!</v>
      </c>
      <c r="BO171" s="97" t="e">
        <f>'Actual Value'!AL55+"AM:!(Tu"</f>
        <v>#VALUE!</v>
      </c>
      <c r="BP171" s="97" t="e">
        <f>'Actual Value'!AM55+"AM:!(Tv"</f>
        <v>#VALUE!</v>
      </c>
      <c r="BQ171" s="97" t="e">
        <f>'Actual Value'!AN55+"AM:!(Tw"</f>
        <v>#VALUE!</v>
      </c>
      <c r="BR171" s="97" t="e">
        <f>'Actual Value'!AO55+"AM:!(Tx"</f>
        <v>#VALUE!</v>
      </c>
      <c r="BS171" t="e">
        <f>'Actual Value'!AP55+"AM:!(Ty"</f>
        <v>#VALUE!</v>
      </c>
      <c r="BT171" t="e">
        <f>'Actual Value'!AQ55+"AM:!(Tz"</f>
        <v>#VALUE!</v>
      </c>
      <c r="BU171" t="e">
        <f>'Actual Value'!AR55+"AM:!(T{"</f>
        <v>#VALUE!</v>
      </c>
      <c r="BV171" t="e">
        <f>'Actual Value'!AS55+"AM:!(T|"</f>
        <v>#VALUE!</v>
      </c>
      <c r="BW171" t="e">
        <f>'Actual Value'!AT55+"AM:!(T}"</f>
        <v>#VALUE!</v>
      </c>
      <c r="BX171" t="e">
        <f>'Actual Value'!AU55+"AM:!(T~"</f>
        <v>#VALUE!</v>
      </c>
      <c r="BY171" t="e">
        <f>'Actual Value'!AV55+"AM:!(U#"</f>
        <v>#VALUE!</v>
      </c>
      <c r="BZ171" t="e">
        <f>'Actual Value'!AW55+"AM:!(U$"</f>
        <v>#VALUE!</v>
      </c>
      <c r="CA171" t="e">
        <f>'Actual Value'!AX55+"AM:!(U%"</f>
        <v>#VALUE!</v>
      </c>
      <c r="CB171" t="e">
        <f>'Actual Value'!A56+"AM:!(U&amp;"</f>
        <v>#VALUE!</v>
      </c>
      <c r="CC171" t="e">
        <f>'Actual Value'!B56+"AM:!(U'"</f>
        <v>#VALUE!</v>
      </c>
      <c r="CD171" t="e">
        <f>'Actual Value'!C56+"AM:!(U("</f>
        <v>#VALUE!</v>
      </c>
      <c r="CE171" s="97" t="e">
        <f>'Actual Value'!D56+"AM:!(U)"</f>
        <v>#VALUE!</v>
      </c>
      <c r="CF171" s="97" t="e">
        <f>'Actual Value'!E56+"AM:!(U."</f>
        <v>#VALUE!</v>
      </c>
      <c r="CG171" s="97" t="e">
        <f>'Actual Value'!F56+"AM:!(U/"</f>
        <v>#VALUE!</v>
      </c>
      <c r="CH171" s="97" t="e">
        <f>'Actual Value'!G56+"AM:!(U0"</f>
        <v>#VALUE!</v>
      </c>
      <c r="CI171" s="97" t="e">
        <f>'Actual Value'!H56+"AM:!(U1"</f>
        <v>#VALUE!</v>
      </c>
      <c r="CJ171" s="97" t="e">
        <f>'Actual Value'!I56+"AM:!(U2"</f>
        <v>#VALUE!</v>
      </c>
      <c r="CK171" s="97" t="e">
        <f>'Actual Value'!J56+"AM:!(U3"</f>
        <v>#VALUE!</v>
      </c>
      <c r="CL171" s="97" t="e">
        <f>'Actual Value'!K56+"AM:!(U4"</f>
        <v>#VALUE!</v>
      </c>
      <c r="CM171" s="97" t="e">
        <f>'Actual Value'!L56+"AM:!(U5"</f>
        <v>#VALUE!</v>
      </c>
      <c r="CN171" s="97" t="e">
        <f>'Actual Value'!M56+"AM:!(U6"</f>
        <v>#VALUE!</v>
      </c>
      <c r="CO171" s="97" t="e">
        <f>'Actual Value'!N56+"AM:!(U7"</f>
        <v>#VALUE!</v>
      </c>
      <c r="CP171" s="97" t="e">
        <f>'Actual Value'!O56+"AM:!(U8"</f>
        <v>#VALUE!</v>
      </c>
      <c r="CQ171" s="97" t="e">
        <f>'Actual Value'!P56+"AM:!(U9"</f>
        <v>#VALUE!</v>
      </c>
      <c r="CR171" s="97" t="e">
        <f>'Actual Value'!Q56+"AM:!(U:"</f>
        <v>#VALUE!</v>
      </c>
      <c r="CS171" s="97" t="e">
        <f>'Actual Value'!R56+"AM:!(U;"</f>
        <v>#VALUE!</v>
      </c>
      <c r="CT171" s="97" t="e">
        <f>'Actual Value'!S56+"AM:!(U&lt;"</f>
        <v>#VALUE!</v>
      </c>
      <c r="CU171" s="97" t="e">
        <f>'Actual Value'!T56+"AM:!(U="</f>
        <v>#VALUE!</v>
      </c>
      <c r="CV171" s="97" t="e">
        <f>'Actual Value'!U56+"AM:!(U&gt;"</f>
        <v>#VALUE!</v>
      </c>
      <c r="CW171" s="97" t="e">
        <f>'Actual Value'!V56+"AM:!(U?"</f>
        <v>#VALUE!</v>
      </c>
      <c r="CX171" s="97" t="e">
        <f>'Actual Value'!W56+"AM:!(U@"</f>
        <v>#VALUE!</v>
      </c>
      <c r="CY171" s="97" t="e">
        <f>'Actual Value'!X56+"AM:!(UA"</f>
        <v>#VALUE!</v>
      </c>
      <c r="CZ171" s="97" t="e">
        <f>'Actual Value'!Y56+"AM:!(UB"</f>
        <v>#VALUE!</v>
      </c>
      <c r="DA171" s="97" t="e">
        <f>'Actual Value'!Z56+"AM:!(UC"</f>
        <v>#VALUE!</v>
      </c>
      <c r="DB171" s="97" t="e">
        <f>'Actual Value'!AA56+"AM:!(UD"</f>
        <v>#VALUE!</v>
      </c>
      <c r="DC171" s="97" t="e">
        <f>'Actual Value'!AB56+"AM:!(UE"</f>
        <v>#VALUE!</v>
      </c>
      <c r="DD171" s="97" t="e">
        <f>'Actual Value'!AC56+"AM:!(UF"</f>
        <v>#VALUE!</v>
      </c>
      <c r="DE171" s="97" t="e">
        <f>'Actual Value'!AD56+"AM:!(UG"</f>
        <v>#VALUE!</v>
      </c>
      <c r="DF171" s="97" t="e">
        <f>'Actual Value'!AE56+"AM:!(UH"</f>
        <v>#VALUE!</v>
      </c>
      <c r="DG171" s="97" t="e">
        <f>'Actual Value'!AF56+"AM:!(UI"</f>
        <v>#VALUE!</v>
      </c>
      <c r="DH171" s="97" t="e">
        <f>'Actual Value'!AG56+"AM:!(UJ"</f>
        <v>#VALUE!</v>
      </c>
      <c r="DI171" s="97" t="e">
        <f>'Actual Value'!AH56+"AM:!(UK"</f>
        <v>#VALUE!</v>
      </c>
      <c r="DJ171" s="97" t="e">
        <f>'Actual Value'!AI56+"AM:!(UL"</f>
        <v>#VALUE!</v>
      </c>
      <c r="DK171" s="97" t="e">
        <f>'Actual Value'!AJ56+"AM:!(UM"</f>
        <v>#VALUE!</v>
      </c>
      <c r="DL171" s="97" t="e">
        <f>'Actual Value'!AK56+"AM:!(UN"</f>
        <v>#VALUE!</v>
      </c>
      <c r="DM171" s="97" t="e">
        <f>'Actual Value'!AL56+"AM:!(UO"</f>
        <v>#VALUE!</v>
      </c>
      <c r="DN171" s="97" t="e">
        <f>'Actual Value'!AM56+"AM:!(UP"</f>
        <v>#VALUE!</v>
      </c>
      <c r="DO171" s="97" t="e">
        <f>'Actual Value'!AN56+"AM:!(UQ"</f>
        <v>#VALUE!</v>
      </c>
      <c r="DP171" s="97" t="e">
        <f>'Actual Value'!AO56+"AM:!(UR"</f>
        <v>#VALUE!</v>
      </c>
      <c r="DQ171" t="e">
        <f>'Actual Value'!AP56+"AM:!(US"</f>
        <v>#VALUE!</v>
      </c>
      <c r="DR171" t="e">
        <f>'Actual Value'!AQ56+"AM:!(UT"</f>
        <v>#VALUE!</v>
      </c>
      <c r="DS171" t="e">
        <f>'Actual Value'!AR56+"AM:!(UU"</f>
        <v>#VALUE!</v>
      </c>
      <c r="DT171" t="e">
        <f>'Actual Value'!AS56+"AM:!(UV"</f>
        <v>#VALUE!</v>
      </c>
      <c r="DU171" t="e">
        <f>'Actual Value'!AT56+"AM:!(UW"</f>
        <v>#VALUE!</v>
      </c>
      <c r="DV171" t="e">
        <f>'Actual Value'!AU56+"AM:!(UX"</f>
        <v>#VALUE!</v>
      </c>
      <c r="DW171" t="e">
        <f>'Actual Value'!AV56+"AM:!(UY"</f>
        <v>#VALUE!</v>
      </c>
      <c r="DX171" t="e">
        <f>'Actual Value'!AW56+"AM:!(UZ"</f>
        <v>#VALUE!</v>
      </c>
      <c r="DY171" t="e">
        <f>'Actual Value'!AX56+"AM:!(U["</f>
        <v>#VALUE!</v>
      </c>
      <c r="DZ171" t="e">
        <f>'Actual Value'!A57+"AM:!(U\"</f>
        <v>#VALUE!</v>
      </c>
      <c r="EA171" t="e">
        <f>'Actual Value'!B57+"AM:!(U]"</f>
        <v>#VALUE!</v>
      </c>
      <c r="EB171" t="e">
        <f>'Actual Value'!C57+"AM:!(U^"</f>
        <v>#VALUE!</v>
      </c>
      <c r="EC171" s="97" t="e">
        <f>'Actual Value'!D57+"AM:!(U_"</f>
        <v>#VALUE!</v>
      </c>
      <c r="ED171" s="97" t="e">
        <f>'Actual Value'!E57+"AM:!(U`"</f>
        <v>#VALUE!</v>
      </c>
      <c r="EE171" s="97" t="e">
        <f>'Actual Value'!F57+"AM:!(Ua"</f>
        <v>#VALUE!</v>
      </c>
      <c r="EF171" s="97" t="e">
        <f>'Actual Value'!G57+"AM:!(Ub"</f>
        <v>#VALUE!</v>
      </c>
      <c r="EG171" s="97" t="e">
        <f>'Actual Value'!H57+"AM:!(Uc"</f>
        <v>#VALUE!</v>
      </c>
      <c r="EH171" s="97" t="e">
        <f>'Actual Value'!I57+"AM:!(Ud"</f>
        <v>#VALUE!</v>
      </c>
      <c r="EI171" s="97" t="e">
        <f>'Actual Value'!J57+"AM:!(Ue"</f>
        <v>#VALUE!</v>
      </c>
      <c r="EJ171" s="97" t="e">
        <f>'Actual Value'!K57+"AM:!(Uf"</f>
        <v>#VALUE!</v>
      </c>
      <c r="EK171" s="97" t="e">
        <f>'Actual Value'!L57+"AM:!(Ug"</f>
        <v>#VALUE!</v>
      </c>
      <c r="EL171" s="97" t="e">
        <f>'Actual Value'!M57+"AM:!(Uh"</f>
        <v>#VALUE!</v>
      </c>
      <c r="EM171" s="97" t="e">
        <f>'Actual Value'!N57+"AM:!(Ui"</f>
        <v>#VALUE!</v>
      </c>
      <c r="EN171" s="97" t="e">
        <f>'Actual Value'!O57+"AM:!(Uj"</f>
        <v>#VALUE!</v>
      </c>
      <c r="EO171" s="97" t="e">
        <f>'Actual Value'!P57+"AM:!(Uk"</f>
        <v>#VALUE!</v>
      </c>
      <c r="EP171" s="97" t="e">
        <f>'Actual Value'!Q57+"AM:!(Ul"</f>
        <v>#VALUE!</v>
      </c>
      <c r="EQ171" s="97" t="e">
        <f>'Actual Value'!R57+"AM:!(Um"</f>
        <v>#VALUE!</v>
      </c>
      <c r="ER171" s="97" t="e">
        <f>'Actual Value'!S57+"AM:!(Un"</f>
        <v>#VALUE!</v>
      </c>
      <c r="ES171" s="97" t="e">
        <f>'Actual Value'!T57+"AM:!(Uo"</f>
        <v>#VALUE!</v>
      </c>
      <c r="ET171" s="97" t="e">
        <f>'Actual Value'!U57+"AM:!(Up"</f>
        <v>#VALUE!</v>
      </c>
      <c r="EU171" s="97" t="e">
        <f>'Actual Value'!V57+"AM:!(Uq"</f>
        <v>#VALUE!</v>
      </c>
      <c r="EV171" s="97" t="e">
        <f>'Actual Value'!W57+"AM:!(Ur"</f>
        <v>#VALUE!</v>
      </c>
      <c r="EW171" s="97" t="e">
        <f>'Actual Value'!X57+"AM:!(Us"</f>
        <v>#VALUE!</v>
      </c>
      <c r="EX171" s="97" t="e">
        <f>'Actual Value'!Y57+"AM:!(Ut"</f>
        <v>#VALUE!</v>
      </c>
      <c r="EY171" s="97" t="e">
        <f>'Actual Value'!Z57+"AM:!(Uu"</f>
        <v>#VALUE!</v>
      </c>
      <c r="EZ171" s="97" t="e">
        <f>'Actual Value'!AA57+"AM:!(Uv"</f>
        <v>#VALUE!</v>
      </c>
      <c r="FA171" s="97" t="e">
        <f>'Actual Value'!AB57+"AM:!(Uw"</f>
        <v>#VALUE!</v>
      </c>
      <c r="FB171" s="97" t="e">
        <f>'Actual Value'!AC57+"AM:!(Ux"</f>
        <v>#VALUE!</v>
      </c>
      <c r="FC171" s="97" t="e">
        <f>'Actual Value'!AD57+"AM:!(Uy"</f>
        <v>#VALUE!</v>
      </c>
      <c r="FD171" s="97" t="e">
        <f>'Actual Value'!AE57+"AM:!(Uz"</f>
        <v>#VALUE!</v>
      </c>
      <c r="FE171" s="97" t="e">
        <f>'Actual Value'!AF57+"AM:!(U{"</f>
        <v>#VALUE!</v>
      </c>
      <c r="FF171" s="97" t="e">
        <f>'Actual Value'!AG57+"AM:!(U|"</f>
        <v>#VALUE!</v>
      </c>
      <c r="FG171" s="97" t="e">
        <f>'Actual Value'!AH57+"AM:!(U}"</f>
        <v>#VALUE!</v>
      </c>
      <c r="FH171" s="97" t="e">
        <f>'Actual Value'!AI57+"AM:!(U~"</f>
        <v>#VALUE!</v>
      </c>
      <c r="FI171" s="97" t="e">
        <f>'Actual Value'!AJ57+"AM:!(V#"</f>
        <v>#VALUE!</v>
      </c>
      <c r="FJ171" s="97" t="e">
        <f>'Actual Value'!AK57+"AM:!(V$"</f>
        <v>#VALUE!</v>
      </c>
      <c r="FK171" s="97" t="e">
        <f>'Actual Value'!AL57+"AM:!(V%"</f>
        <v>#VALUE!</v>
      </c>
      <c r="FL171" s="97" t="e">
        <f>'Actual Value'!AM57+"AM:!(V&amp;"</f>
        <v>#VALUE!</v>
      </c>
      <c r="FM171" s="97" t="e">
        <f>'Actual Value'!AN57+"AM:!(V'"</f>
        <v>#VALUE!</v>
      </c>
      <c r="FN171" s="97" t="e">
        <f>'Actual Value'!AO57+"AM:!(V("</f>
        <v>#VALUE!</v>
      </c>
      <c r="FO171" t="e">
        <f>'Actual Value'!AP57+"AM:!(V)"</f>
        <v>#VALUE!</v>
      </c>
      <c r="FP171" t="e">
        <f>'Actual Value'!AQ57+"AM:!(V."</f>
        <v>#VALUE!</v>
      </c>
      <c r="FQ171" t="e">
        <f>'Actual Value'!AR57+"AM:!(V/"</f>
        <v>#VALUE!</v>
      </c>
      <c r="FR171" t="e">
        <f>'Actual Value'!AS57+"AM:!(V0"</f>
        <v>#VALUE!</v>
      </c>
      <c r="FS171" t="e">
        <f>'Actual Value'!AT57+"AM:!(V1"</f>
        <v>#VALUE!</v>
      </c>
      <c r="FT171" t="e">
        <f>'Actual Value'!AU57+"AM:!(V2"</f>
        <v>#VALUE!</v>
      </c>
      <c r="FU171" t="e">
        <f>'Actual Value'!AV57+"AM:!(V3"</f>
        <v>#VALUE!</v>
      </c>
      <c r="FV171" t="e">
        <f>'Actual Value'!AW57+"AM:!(V4"</f>
        <v>#VALUE!</v>
      </c>
      <c r="FW171" t="e">
        <f>'Actual Value'!AX57+"AM:!(V5"</f>
        <v>#VALUE!</v>
      </c>
      <c r="FX171" t="e">
        <f>'Actual Value'!A58+"AM:!(V6"</f>
        <v>#VALUE!</v>
      </c>
      <c r="FY171" t="e">
        <f>'Actual Value'!B58+"AM:!(V7"</f>
        <v>#VALUE!</v>
      </c>
      <c r="FZ171" t="e">
        <f>'Actual Value'!C58+"AM:!(V8"</f>
        <v>#VALUE!</v>
      </c>
      <c r="GA171" s="97" t="e">
        <f>'Actual Value'!D58+"AM:!(V9"</f>
        <v>#VALUE!</v>
      </c>
      <c r="GB171" s="97" t="e">
        <f>'Actual Value'!E58+"AM:!(V:"</f>
        <v>#VALUE!</v>
      </c>
      <c r="GC171" s="97" t="e">
        <f>'Actual Value'!F58+"AM:!(V;"</f>
        <v>#VALUE!</v>
      </c>
      <c r="GD171" s="97" t="e">
        <f>'Actual Value'!G58+"AM:!(V&lt;"</f>
        <v>#VALUE!</v>
      </c>
      <c r="GE171" s="97" t="e">
        <f>'Actual Value'!H58+"AM:!(V="</f>
        <v>#VALUE!</v>
      </c>
      <c r="GF171" s="97" t="e">
        <f>'Actual Value'!I58+"AM:!(V&gt;"</f>
        <v>#VALUE!</v>
      </c>
      <c r="GG171" s="97" t="e">
        <f>'Actual Value'!J58+"AM:!(V?"</f>
        <v>#VALUE!</v>
      </c>
      <c r="GH171" s="97" t="e">
        <f>'Actual Value'!K58+"AM:!(V@"</f>
        <v>#VALUE!</v>
      </c>
      <c r="GI171" s="97" t="e">
        <f>'Actual Value'!L58+"AM:!(VA"</f>
        <v>#VALUE!</v>
      </c>
      <c r="GJ171" s="97" t="e">
        <f>'Actual Value'!M58+"AM:!(VB"</f>
        <v>#VALUE!</v>
      </c>
      <c r="GK171" s="97" t="e">
        <f>'Actual Value'!N58+"AM:!(VC"</f>
        <v>#VALUE!</v>
      </c>
      <c r="GL171" s="97" t="e">
        <f>'Actual Value'!O58+"AM:!(VD"</f>
        <v>#VALUE!</v>
      </c>
      <c r="GM171" s="97" t="e">
        <f>'Actual Value'!P58+"AM:!(VE"</f>
        <v>#VALUE!</v>
      </c>
      <c r="GN171" s="97" t="e">
        <f>'Actual Value'!Q58+"AM:!(VF"</f>
        <v>#VALUE!</v>
      </c>
      <c r="GO171" s="97" t="e">
        <f>'Actual Value'!R58+"AM:!(VG"</f>
        <v>#VALUE!</v>
      </c>
      <c r="GP171" s="97" t="e">
        <f>'Actual Value'!S58+"AM:!(VH"</f>
        <v>#VALUE!</v>
      </c>
      <c r="GQ171" s="97" t="e">
        <f>'Actual Value'!T58+"AM:!(VI"</f>
        <v>#VALUE!</v>
      </c>
      <c r="GR171" s="97" t="e">
        <f>'Actual Value'!U58+"AM:!(VJ"</f>
        <v>#VALUE!</v>
      </c>
      <c r="GS171" s="97" t="e">
        <f>'Actual Value'!V58+"AM:!(VK"</f>
        <v>#VALUE!</v>
      </c>
      <c r="GT171" s="97" t="e">
        <f>'Actual Value'!W58+"AM:!(VL"</f>
        <v>#VALUE!</v>
      </c>
      <c r="GU171" s="97" t="e">
        <f>'Actual Value'!X58+"AM:!(VM"</f>
        <v>#VALUE!</v>
      </c>
      <c r="GV171" s="97" t="e">
        <f>'Actual Value'!Y58+"AM:!(VN"</f>
        <v>#VALUE!</v>
      </c>
      <c r="GW171" s="97" t="e">
        <f>'Actual Value'!Z58+"AM:!(VO"</f>
        <v>#VALUE!</v>
      </c>
      <c r="GX171" s="97" t="e">
        <f>'Actual Value'!AA58+"AM:!(VP"</f>
        <v>#VALUE!</v>
      </c>
      <c r="GY171" s="97" t="e">
        <f>'Actual Value'!AB58+"AM:!(VQ"</f>
        <v>#VALUE!</v>
      </c>
      <c r="GZ171" s="97" t="e">
        <f>'Actual Value'!AC58+"AM:!(VR"</f>
        <v>#VALUE!</v>
      </c>
      <c r="HA171" s="97" t="e">
        <f>'Actual Value'!AD58+"AM:!(VS"</f>
        <v>#VALUE!</v>
      </c>
      <c r="HB171" s="97" t="e">
        <f>'Actual Value'!AE58+"AM:!(VT"</f>
        <v>#VALUE!</v>
      </c>
      <c r="HC171" s="97" t="e">
        <f>'Actual Value'!AF58+"AM:!(VU"</f>
        <v>#VALUE!</v>
      </c>
      <c r="HD171" s="97" t="e">
        <f>'Actual Value'!AG58+"AM:!(VV"</f>
        <v>#VALUE!</v>
      </c>
      <c r="HE171" s="97" t="e">
        <f>'Actual Value'!AH58+"AM:!(VW"</f>
        <v>#VALUE!</v>
      </c>
      <c r="HF171" s="97" t="e">
        <f>'Actual Value'!AI58+"AM:!(VX"</f>
        <v>#VALUE!</v>
      </c>
      <c r="HG171" s="97" t="e">
        <f>'Actual Value'!AJ58+"AM:!(VY"</f>
        <v>#VALUE!</v>
      </c>
      <c r="HH171" s="97" t="e">
        <f>'Actual Value'!AK58+"AM:!(VZ"</f>
        <v>#VALUE!</v>
      </c>
      <c r="HI171" s="97" t="e">
        <f>'Actual Value'!AL58+"AM:!(V["</f>
        <v>#VALUE!</v>
      </c>
      <c r="HJ171" s="97" t="e">
        <f>'Actual Value'!AM58+"AM:!(V\"</f>
        <v>#VALUE!</v>
      </c>
      <c r="HK171" s="97" t="e">
        <f>'Actual Value'!AN58+"AM:!(V]"</f>
        <v>#VALUE!</v>
      </c>
      <c r="HL171" s="97" t="e">
        <f>'Actual Value'!AO58+"AM:!(V^"</f>
        <v>#VALUE!</v>
      </c>
      <c r="HM171" t="e">
        <f>'Actual Value'!AP58+"AM:!(V_"</f>
        <v>#VALUE!</v>
      </c>
      <c r="HN171" t="e">
        <f>'Actual Value'!AQ58+"AM:!(V`"</f>
        <v>#VALUE!</v>
      </c>
      <c r="HO171" t="e">
        <f>'Actual Value'!AR58+"AM:!(Va"</f>
        <v>#VALUE!</v>
      </c>
      <c r="HP171" t="e">
        <f>'Actual Value'!AS58+"AM:!(Vb"</f>
        <v>#VALUE!</v>
      </c>
      <c r="HQ171" t="e">
        <f>'Actual Value'!AT58+"AM:!(Vc"</f>
        <v>#VALUE!</v>
      </c>
      <c r="HR171" t="e">
        <f>'Actual Value'!AU58+"AM:!(Vd"</f>
        <v>#VALUE!</v>
      </c>
      <c r="HS171" t="e">
        <f>'Actual Value'!AV58+"AM:!(Ve"</f>
        <v>#VALUE!</v>
      </c>
      <c r="HT171" t="e">
        <f>'Actual Value'!AW58+"AM:!(Vf"</f>
        <v>#VALUE!</v>
      </c>
      <c r="HU171" t="e">
        <f>'Actual Value'!AX58+"AM:!(Vg"</f>
        <v>#VALUE!</v>
      </c>
      <c r="HV171" t="e">
        <f>'Actual Value'!A59+"AM:!(Vh"</f>
        <v>#VALUE!</v>
      </c>
      <c r="HW171" t="e">
        <f>'Actual Value'!B59+"AM:!(Vi"</f>
        <v>#VALUE!</v>
      </c>
      <c r="HX171" t="e">
        <f>'Actual Value'!C59+"AM:!(Vj"</f>
        <v>#VALUE!</v>
      </c>
      <c r="HY171" s="97" t="e">
        <f>'Actual Value'!D59+"AM:!(Vk"</f>
        <v>#VALUE!</v>
      </c>
      <c r="HZ171" s="97" t="e">
        <f>'Actual Value'!E59+"AM:!(Vl"</f>
        <v>#VALUE!</v>
      </c>
      <c r="IA171" s="97" t="e">
        <f>'Actual Value'!F59+"AM:!(Vm"</f>
        <v>#VALUE!</v>
      </c>
      <c r="IB171" s="97" t="e">
        <f>'Actual Value'!G59+"AM:!(Vn"</f>
        <v>#VALUE!</v>
      </c>
      <c r="IC171" s="97" t="e">
        <f>'Actual Value'!H59+"AM:!(Vo"</f>
        <v>#VALUE!</v>
      </c>
      <c r="ID171" s="97" t="e">
        <f>'Actual Value'!I59+"AM:!(Vp"</f>
        <v>#VALUE!</v>
      </c>
      <c r="IE171" s="97" t="e">
        <f>'Actual Value'!J59+"AM:!(Vq"</f>
        <v>#VALUE!</v>
      </c>
      <c r="IF171" s="97" t="e">
        <f>'Actual Value'!K59+"AM:!(Vr"</f>
        <v>#VALUE!</v>
      </c>
      <c r="IG171" s="97" t="e">
        <f>'Actual Value'!L59+"AM:!(Vs"</f>
        <v>#VALUE!</v>
      </c>
      <c r="IH171" s="97" t="e">
        <f>'Actual Value'!M59+"AM:!(Vt"</f>
        <v>#VALUE!</v>
      </c>
      <c r="II171" s="97" t="e">
        <f>'Actual Value'!N59+"AM:!(Vu"</f>
        <v>#VALUE!</v>
      </c>
      <c r="IJ171" s="97" t="e">
        <f>'Actual Value'!O59+"AM:!(Vv"</f>
        <v>#VALUE!</v>
      </c>
      <c r="IK171" s="97" t="e">
        <f>'Actual Value'!P59+"AM:!(Vw"</f>
        <v>#VALUE!</v>
      </c>
      <c r="IL171" s="97" t="e">
        <f>'Actual Value'!Q59+"AM:!(Vx"</f>
        <v>#VALUE!</v>
      </c>
      <c r="IM171" s="97" t="e">
        <f>'Actual Value'!R59+"AM:!(Vy"</f>
        <v>#VALUE!</v>
      </c>
      <c r="IN171" s="97" t="e">
        <f>'Actual Value'!S59+"AM:!(Vz"</f>
        <v>#VALUE!</v>
      </c>
      <c r="IO171" s="97" t="e">
        <f>'Actual Value'!T59+"AM:!(V{"</f>
        <v>#VALUE!</v>
      </c>
      <c r="IP171" s="97" t="e">
        <f>'Actual Value'!U59+"AM:!(V|"</f>
        <v>#VALUE!</v>
      </c>
      <c r="IQ171" s="97" t="e">
        <f>'Actual Value'!V59+"AM:!(V}"</f>
        <v>#VALUE!</v>
      </c>
      <c r="IR171" s="97" t="e">
        <f>'Actual Value'!W59+"AM:!(V~"</f>
        <v>#VALUE!</v>
      </c>
      <c r="IS171" s="97" t="e">
        <f>'Actual Value'!X59+"AM:!(W#"</f>
        <v>#VALUE!</v>
      </c>
      <c r="IT171" s="97" t="e">
        <f>'Actual Value'!Y59+"AM:!(W$"</f>
        <v>#VALUE!</v>
      </c>
      <c r="IU171" s="97" t="e">
        <f>'Actual Value'!Z59+"AM:!(W%"</f>
        <v>#VALUE!</v>
      </c>
      <c r="IV171" s="97" t="e">
        <f>'Actual Value'!AA59+"AM:!(W&amp;"</f>
        <v>#VALUE!</v>
      </c>
    </row>
    <row r="172" spans="6:256">
      <c r="F172" s="97" t="e">
        <f>'Actual Value'!AB59+"AM:!(W'"</f>
        <v>#VALUE!</v>
      </c>
      <c r="G172" s="97" t="e">
        <f>'Actual Value'!AC59+"AM:!(W("</f>
        <v>#VALUE!</v>
      </c>
      <c r="H172" s="97" t="e">
        <f>'Actual Value'!AD59+"AM:!(W)"</f>
        <v>#VALUE!</v>
      </c>
      <c r="I172" s="97" t="e">
        <f>'Actual Value'!AE59+"AM:!(W."</f>
        <v>#VALUE!</v>
      </c>
      <c r="J172" s="97" t="e">
        <f>'Actual Value'!AF59+"AM:!(W/"</f>
        <v>#VALUE!</v>
      </c>
      <c r="K172" s="97" t="e">
        <f>'Actual Value'!AG59+"AM:!(W0"</f>
        <v>#VALUE!</v>
      </c>
      <c r="L172" s="97" t="e">
        <f>'Actual Value'!AH59+"AM:!(W1"</f>
        <v>#VALUE!</v>
      </c>
      <c r="M172" s="97" t="e">
        <f>'Actual Value'!AI59+"AM:!(W2"</f>
        <v>#VALUE!</v>
      </c>
      <c r="N172" s="97" t="e">
        <f>'Actual Value'!AJ59+"AM:!(W3"</f>
        <v>#VALUE!</v>
      </c>
      <c r="O172" s="97" t="e">
        <f>'Actual Value'!AK59+"AM:!(W4"</f>
        <v>#VALUE!</v>
      </c>
      <c r="P172" s="97" t="e">
        <f>'Actual Value'!AL59+"AM:!(W5"</f>
        <v>#VALUE!</v>
      </c>
      <c r="Q172" s="97" t="e">
        <f>'Actual Value'!AM59+"AM:!(W6"</f>
        <v>#VALUE!</v>
      </c>
      <c r="R172" s="97" t="e">
        <f>'Actual Value'!AN59+"AM:!(W7"</f>
        <v>#VALUE!</v>
      </c>
      <c r="S172" s="97" t="e">
        <f>'Actual Value'!AO59+"AM:!(W8"</f>
        <v>#VALUE!</v>
      </c>
      <c r="T172" t="e">
        <f>'Actual Value'!AP59+"AM:!(W9"</f>
        <v>#VALUE!</v>
      </c>
      <c r="U172" t="e">
        <f>'Actual Value'!AQ59+"AM:!(W:"</f>
        <v>#VALUE!</v>
      </c>
      <c r="V172" t="e">
        <f>'Actual Value'!AR59+"AM:!(W;"</f>
        <v>#VALUE!</v>
      </c>
      <c r="W172" t="e">
        <f>'Actual Value'!AS59+"AM:!(W&lt;"</f>
        <v>#VALUE!</v>
      </c>
      <c r="X172" t="e">
        <f>'Actual Value'!AT59+"AM:!(W="</f>
        <v>#VALUE!</v>
      </c>
      <c r="Y172" t="e">
        <f>'Actual Value'!AU59+"AM:!(W&gt;"</f>
        <v>#VALUE!</v>
      </c>
      <c r="Z172" t="e">
        <f>'Actual Value'!AV59+"AM:!(W?"</f>
        <v>#VALUE!</v>
      </c>
      <c r="AA172" t="e">
        <f>'Actual Value'!AW59+"AM:!(W@"</f>
        <v>#VALUE!</v>
      </c>
      <c r="AB172" t="e">
        <f>'Actual Value'!AX59+"AM:!(WA"</f>
        <v>#VALUE!</v>
      </c>
      <c r="AC172" t="e">
        <f>'Actual Value'!A60+"AM:!(WB"</f>
        <v>#VALUE!</v>
      </c>
      <c r="AD172" t="e">
        <f>'Actual Value'!B60+"AM:!(WC"</f>
        <v>#VALUE!</v>
      </c>
      <c r="AE172" s="98" t="e">
        <f>'Actual Value'!C60+"AM:!(WD"</f>
        <v>#VALUE!</v>
      </c>
      <c r="AF172" t="e">
        <f>'Actual Value'!D60+"AM:!(WE"</f>
        <v>#VALUE!</v>
      </c>
      <c r="AG172" t="e">
        <f>'Actual Value'!E60+"AM:!(WF"</f>
        <v>#VALUE!</v>
      </c>
      <c r="AH172" t="e">
        <f>'Actual Value'!F60+"AM:!(WG"</f>
        <v>#VALUE!</v>
      </c>
      <c r="AI172" t="e">
        <f>'Actual Value'!G60+"AM:!(WH"</f>
        <v>#VALUE!</v>
      </c>
      <c r="AJ172" t="e">
        <f>'Actual Value'!H60+"AM:!(WI"</f>
        <v>#VALUE!</v>
      </c>
      <c r="AK172" t="e">
        <f>'Actual Value'!I60+"AM:!(WJ"</f>
        <v>#VALUE!</v>
      </c>
      <c r="AL172" t="e">
        <f>'Actual Value'!J60+"AM:!(WK"</f>
        <v>#VALUE!</v>
      </c>
      <c r="AM172" t="e">
        <f>'Actual Value'!K60+"AM:!(WL"</f>
        <v>#VALUE!</v>
      </c>
      <c r="AN172" t="e">
        <f>'Actual Value'!L60+"AM:!(WM"</f>
        <v>#VALUE!</v>
      </c>
      <c r="AO172" t="e">
        <f>'Actual Value'!M60+"AM:!(WN"</f>
        <v>#VALUE!</v>
      </c>
      <c r="AP172" t="e">
        <f>'Actual Value'!N60+"AM:!(WO"</f>
        <v>#VALUE!</v>
      </c>
      <c r="AQ172" t="e">
        <f>'Actual Value'!O60+"AM:!(WP"</f>
        <v>#VALUE!</v>
      </c>
      <c r="AR172" t="e">
        <f>'Actual Value'!P60+"AM:!(WQ"</f>
        <v>#VALUE!</v>
      </c>
      <c r="AS172" t="e">
        <f>'Actual Value'!Q60+"AM:!(WR"</f>
        <v>#VALUE!</v>
      </c>
      <c r="AT172" t="e">
        <f>'Actual Value'!R60+"AM:!(WS"</f>
        <v>#VALUE!</v>
      </c>
      <c r="AU172" t="e">
        <f>'Actual Value'!S60+"AM:!(WT"</f>
        <v>#VALUE!</v>
      </c>
      <c r="AV172" t="e">
        <f>'Actual Value'!T60+"AM:!(WU"</f>
        <v>#VALUE!</v>
      </c>
      <c r="AW172" t="e">
        <f>'Actual Value'!U60+"AM:!(WV"</f>
        <v>#VALUE!</v>
      </c>
      <c r="AX172" t="e">
        <f>'Actual Value'!V60+"AM:!(WW"</f>
        <v>#VALUE!</v>
      </c>
      <c r="AY172" t="e">
        <f>'Actual Value'!W60+"AM:!(WX"</f>
        <v>#VALUE!</v>
      </c>
      <c r="AZ172" t="e">
        <f>'Actual Value'!X60+"AM:!(WY"</f>
        <v>#VALUE!</v>
      </c>
      <c r="BA172" t="e">
        <f>'Actual Value'!Y60+"AM:!(WZ"</f>
        <v>#VALUE!</v>
      </c>
      <c r="BB172" t="e">
        <f>'Actual Value'!Z60+"AM:!(W["</f>
        <v>#VALUE!</v>
      </c>
      <c r="BC172" t="e">
        <f>'Actual Value'!AA60+"AM:!(W\"</f>
        <v>#VALUE!</v>
      </c>
      <c r="BD172" t="e">
        <f>'Actual Value'!AB60+"AM:!(W]"</f>
        <v>#VALUE!</v>
      </c>
      <c r="BE172" t="e">
        <f>'Actual Value'!AC60+"AM:!(W^"</f>
        <v>#VALUE!</v>
      </c>
      <c r="BF172" t="e">
        <f>'Actual Value'!AD60+"AM:!(W_"</f>
        <v>#VALUE!</v>
      </c>
      <c r="BG172" t="e">
        <f>'Actual Value'!AE60+"AM:!(W`"</f>
        <v>#VALUE!</v>
      </c>
      <c r="BH172" t="e">
        <f>'Actual Value'!AF60+"AM:!(Wa"</f>
        <v>#VALUE!</v>
      </c>
      <c r="BI172" t="e">
        <f>'Actual Value'!AG60+"AM:!(Wb"</f>
        <v>#VALUE!</v>
      </c>
      <c r="BJ172" t="e">
        <f>'Actual Value'!AH60+"AM:!(Wc"</f>
        <v>#VALUE!</v>
      </c>
      <c r="BK172" t="e">
        <f>'Actual Value'!AI60+"AM:!(Wd"</f>
        <v>#VALUE!</v>
      </c>
      <c r="BL172" t="e">
        <f>'Actual Value'!AJ60+"AM:!(We"</f>
        <v>#VALUE!</v>
      </c>
      <c r="BM172" t="e">
        <f>'Actual Value'!AK60+"AM:!(Wf"</f>
        <v>#VALUE!</v>
      </c>
      <c r="BN172" t="e">
        <f>'Actual Value'!AL60+"AM:!(Wg"</f>
        <v>#VALUE!</v>
      </c>
      <c r="BO172" t="e">
        <f>'Actual Value'!AM60+"AM:!(Wh"</f>
        <v>#VALUE!</v>
      </c>
      <c r="BP172" t="e">
        <f>'Actual Value'!AN60+"AM:!(Wi"</f>
        <v>#VALUE!</v>
      </c>
      <c r="BQ172" t="e">
        <f>'Actual Value'!AO60+"AM:!(Wj"</f>
        <v>#VALUE!</v>
      </c>
      <c r="BR172" t="e">
        <f>'Actual Value'!AP60+"AM:!(Wk"</f>
        <v>#VALUE!</v>
      </c>
      <c r="BS172" t="e">
        <f>'Actual Value'!AQ60+"AM:!(Wl"</f>
        <v>#VALUE!</v>
      </c>
      <c r="BT172" t="e">
        <f>'Actual Value'!AR60+"AM:!(Wm"</f>
        <v>#VALUE!</v>
      </c>
      <c r="BU172" t="e">
        <f>'Actual Value'!AS60+"AM:!(Wn"</f>
        <v>#VALUE!</v>
      </c>
      <c r="BV172" t="e">
        <f>'Actual Value'!AT60+"AM:!(Wo"</f>
        <v>#VALUE!</v>
      </c>
      <c r="BW172" t="e">
        <f>'Actual Value'!AU60+"AM:!(Wp"</f>
        <v>#VALUE!</v>
      </c>
      <c r="BX172" t="e">
        <f>'Actual Value'!AV60+"AM:!(Wq"</f>
        <v>#VALUE!</v>
      </c>
      <c r="BY172" t="e">
        <f>'Actual Value'!AW60+"AM:!(Wr"</f>
        <v>#VALUE!</v>
      </c>
      <c r="BZ172" t="e">
        <f>'Actual Value'!A61+"AM:!(Ws"</f>
        <v>#VALUE!</v>
      </c>
      <c r="CA172" t="e">
        <f>'Actual Value'!B61+"AM:!(Wt"</f>
        <v>#VALUE!</v>
      </c>
      <c r="CB172" t="e">
        <f>'Actual Value'!C61+"AM:!(Wu"</f>
        <v>#VALUE!</v>
      </c>
      <c r="CC172" s="105" t="e">
        <f>'Actual Value'!D61+"AM:!(Wv"</f>
        <v>#VALUE!</v>
      </c>
      <c r="CD172" s="105" t="e">
        <f>'Actual Value'!E61+"AM:!(Ww"</f>
        <v>#VALUE!</v>
      </c>
      <c r="CE172" s="105" t="e">
        <f>'Actual Value'!F61+"AM:!(Wx"</f>
        <v>#VALUE!</v>
      </c>
      <c r="CF172" s="105" t="e">
        <f>'Actual Value'!G61+"AM:!(Wy"</f>
        <v>#VALUE!</v>
      </c>
      <c r="CG172" s="105" t="e">
        <f>'Actual Value'!H61+"AM:!(Wz"</f>
        <v>#VALUE!</v>
      </c>
      <c r="CH172" s="105" t="e">
        <f>'Actual Value'!I61+"AM:!(W{"</f>
        <v>#VALUE!</v>
      </c>
      <c r="CI172" s="105" t="e">
        <f>'Actual Value'!J61+"AM:!(W|"</f>
        <v>#VALUE!</v>
      </c>
      <c r="CJ172" s="105" t="e">
        <f>'Actual Value'!K61+"AM:!(W}"</f>
        <v>#VALUE!</v>
      </c>
      <c r="CK172" s="105" t="e">
        <f>'Actual Value'!L61+"AM:!(W~"</f>
        <v>#VALUE!</v>
      </c>
      <c r="CL172" s="105" t="e">
        <f>'Actual Value'!M61+"AM:!(X#"</f>
        <v>#VALUE!</v>
      </c>
      <c r="CM172" s="105" t="e">
        <f>'Actual Value'!N61+"AM:!(X$"</f>
        <v>#VALUE!</v>
      </c>
      <c r="CN172" s="105" t="e">
        <f>'Actual Value'!O61+"AM:!(X%"</f>
        <v>#VALUE!</v>
      </c>
      <c r="CO172" s="105" t="e">
        <f>'Actual Value'!P61+"AM:!(X&amp;"</f>
        <v>#VALUE!</v>
      </c>
      <c r="CP172" s="105" t="e">
        <f>'Actual Value'!Q61+"AM:!(X'"</f>
        <v>#VALUE!</v>
      </c>
      <c r="CQ172" s="105" t="e">
        <f>'Actual Value'!R61+"AM:!(X("</f>
        <v>#VALUE!</v>
      </c>
      <c r="CR172" s="105" t="e">
        <f>'Actual Value'!S61+"AM:!(X)"</f>
        <v>#VALUE!</v>
      </c>
      <c r="CS172" s="105" t="e">
        <f>'Actual Value'!T61+"AM:!(X."</f>
        <v>#VALUE!</v>
      </c>
      <c r="CT172" s="105" t="e">
        <f>'Actual Value'!U61+"AM:!(X/"</f>
        <v>#VALUE!</v>
      </c>
      <c r="CU172" s="105" t="e">
        <f>'Actual Value'!V61+"AM:!(X0"</f>
        <v>#VALUE!</v>
      </c>
      <c r="CV172" s="105" t="e">
        <f>'Actual Value'!W61+"AM:!(X1"</f>
        <v>#VALUE!</v>
      </c>
      <c r="CW172" s="105" t="e">
        <f>'Actual Value'!X61+"AM:!(X2"</f>
        <v>#VALUE!</v>
      </c>
      <c r="CX172" s="105" t="e">
        <f>'Actual Value'!Y61+"AM:!(X3"</f>
        <v>#VALUE!</v>
      </c>
      <c r="CY172" s="105" t="e">
        <f>'Actual Value'!Z61+"AM:!(X4"</f>
        <v>#VALUE!</v>
      </c>
      <c r="CZ172" s="105" t="e">
        <f>'Actual Value'!AA61+"AM:!(X5"</f>
        <v>#VALUE!</v>
      </c>
      <c r="DA172" s="105" t="e">
        <f>'Actual Value'!AB61+"AM:!(X6"</f>
        <v>#VALUE!</v>
      </c>
      <c r="DB172" s="105" t="e">
        <f>'Actual Value'!AC61+"AM:!(X7"</f>
        <v>#VALUE!</v>
      </c>
      <c r="DC172" s="105" t="e">
        <f>'Actual Value'!AD61+"AM:!(X8"</f>
        <v>#VALUE!</v>
      </c>
      <c r="DD172" s="105" t="e">
        <f>'Actual Value'!AE61+"AM:!(X9"</f>
        <v>#VALUE!</v>
      </c>
      <c r="DE172" s="105" t="e">
        <f>'Actual Value'!AF61+"AM:!(X:"</f>
        <v>#VALUE!</v>
      </c>
      <c r="DF172" s="105" t="e">
        <f>'Actual Value'!AG61+"AM:!(X;"</f>
        <v>#VALUE!</v>
      </c>
      <c r="DG172" s="105" t="e">
        <f>'Actual Value'!AH61+"AM:!(X&lt;"</f>
        <v>#VALUE!</v>
      </c>
      <c r="DH172" s="105" t="e">
        <f>'Actual Value'!AI61+"AM:!(X="</f>
        <v>#VALUE!</v>
      </c>
      <c r="DI172" s="105" t="e">
        <f>'Actual Value'!AJ61+"AM:!(X&gt;"</f>
        <v>#VALUE!</v>
      </c>
      <c r="DJ172" s="105" t="e">
        <f>'Actual Value'!AK61+"AM:!(X?"</f>
        <v>#VALUE!</v>
      </c>
      <c r="DK172" s="105" t="e">
        <f>'Actual Value'!AL61+"AM:!(X@"</f>
        <v>#VALUE!</v>
      </c>
      <c r="DL172" s="105" t="e">
        <f>'Actual Value'!AM61+"AM:!(XA"</f>
        <v>#VALUE!</v>
      </c>
      <c r="DM172" s="105" t="e">
        <f>'Actual Value'!AN61+"AM:!(XB"</f>
        <v>#VALUE!</v>
      </c>
      <c r="DN172" s="105" t="e">
        <f>'Actual Value'!AO61+"AM:!(XC"</f>
        <v>#VALUE!</v>
      </c>
      <c r="DO172" t="e">
        <f>'Actual Value'!AP61+"AM:!(XD"</f>
        <v>#VALUE!</v>
      </c>
      <c r="DP172" s="100" t="e">
        <f>'Actual Value'!AQ61+"AM:!(XE"</f>
        <v>#VALUE!</v>
      </c>
      <c r="DQ172" s="100" t="e">
        <f>'Actual Value'!AR61+"AM:!(XF"</f>
        <v>#VALUE!</v>
      </c>
      <c r="DR172" s="100" t="e">
        <f>'Actual Value'!AS61+"AM:!(XG"</f>
        <v>#VALUE!</v>
      </c>
      <c r="DS172" s="100" t="e">
        <f>'Actual Value'!AT61+"AM:!(XH"</f>
        <v>#VALUE!</v>
      </c>
      <c r="DT172" s="100" t="e">
        <f>'Actual Value'!AU61+"AM:!(XI"</f>
        <v>#VALUE!</v>
      </c>
      <c r="DU172" t="e">
        <f>'Actual Value'!AV61+"AM:!(XJ"</f>
        <v>#VALUE!</v>
      </c>
      <c r="DV172" t="e">
        <f>'Actual Value'!AW61+"AM:!(XK"</f>
        <v>#VALUE!</v>
      </c>
      <c r="DW172" t="e">
        <f>'Actual Value'!A62+"AM:!(XL"</f>
        <v>#VALUE!</v>
      </c>
      <c r="DX172" t="e">
        <f>'Actual Value'!B62+"AM:!(XM"</f>
        <v>#VALUE!</v>
      </c>
      <c r="DY172" t="e">
        <f>'Actual Value'!C62+"AM:!(XN"</f>
        <v>#VALUE!</v>
      </c>
      <c r="DZ172" s="97" t="e">
        <f>'Actual Value'!D62+"AM:!(XO"</f>
        <v>#VALUE!</v>
      </c>
      <c r="EA172" s="97" t="e">
        <f>'Actual Value'!E62+"AM:!(XP"</f>
        <v>#VALUE!</v>
      </c>
      <c r="EB172" s="97" t="e">
        <f>'Actual Value'!F62+"AM:!(XQ"</f>
        <v>#VALUE!</v>
      </c>
      <c r="EC172" s="97" t="e">
        <f>'Actual Value'!G62+"AM:!(XR"</f>
        <v>#VALUE!</v>
      </c>
      <c r="ED172" s="97" t="e">
        <f>'Actual Value'!H62+"AM:!(XS"</f>
        <v>#VALUE!</v>
      </c>
      <c r="EE172" s="97" t="e">
        <f>'Actual Value'!I62+"AM:!(XT"</f>
        <v>#VALUE!</v>
      </c>
      <c r="EF172" s="97" t="e">
        <f>'Actual Value'!J62+"AM:!(XU"</f>
        <v>#VALUE!</v>
      </c>
      <c r="EG172" s="97" t="e">
        <f>'Actual Value'!K62+"AM:!(XV"</f>
        <v>#VALUE!</v>
      </c>
      <c r="EH172" s="97" t="e">
        <f>'Actual Value'!L62+"AM:!(XW"</f>
        <v>#VALUE!</v>
      </c>
      <c r="EI172" s="97" t="e">
        <f>'Actual Value'!M62+"AM:!(XX"</f>
        <v>#VALUE!</v>
      </c>
      <c r="EJ172" s="97" t="e">
        <f>'Actual Value'!N62+"AM:!(XY"</f>
        <v>#VALUE!</v>
      </c>
      <c r="EK172" s="97" t="e">
        <f>'Actual Value'!O62+"AM:!(XZ"</f>
        <v>#VALUE!</v>
      </c>
      <c r="EL172" s="97" t="e">
        <f>'Actual Value'!P62+"AM:!(X["</f>
        <v>#VALUE!</v>
      </c>
      <c r="EM172" s="97" t="e">
        <f>'Actual Value'!Q62+"AM:!(X\"</f>
        <v>#VALUE!</v>
      </c>
      <c r="EN172" s="97" t="e">
        <f>'Actual Value'!R62+"AM:!(X]"</f>
        <v>#VALUE!</v>
      </c>
      <c r="EO172" s="97" t="e">
        <f>'Actual Value'!S62+"AM:!(X^"</f>
        <v>#VALUE!</v>
      </c>
      <c r="EP172" s="97" t="e">
        <f>'Actual Value'!T62+"AM:!(X_"</f>
        <v>#VALUE!</v>
      </c>
      <c r="EQ172" s="97" t="e">
        <f>'Actual Value'!U62+"AM:!(X`"</f>
        <v>#VALUE!</v>
      </c>
      <c r="ER172" s="97" t="e">
        <f>'Actual Value'!V62+"AM:!(Xa"</f>
        <v>#VALUE!</v>
      </c>
      <c r="ES172" s="97" t="e">
        <f>'Actual Value'!W62+"AM:!(Xb"</f>
        <v>#VALUE!</v>
      </c>
      <c r="ET172" s="97" t="e">
        <f>'Actual Value'!X62+"AM:!(Xc"</f>
        <v>#VALUE!</v>
      </c>
      <c r="EU172" s="97" t="e">
        <f>'Actual Value'!Y62+"AM:!(Xd"</f>
        <v>#VALUE!</v>
      </c>
      <c r="EV172" s="97" t="e">
        <f>'Actual Value'!Z62+"AM:!(Xe"</f>
        <v>#VALUE!</v>
      </c>
      <c r="EW172" s="97" t="e">
        <f>'Actual Value'!AA62+"AM:!(Xf"</f>
        <v>#VALUE!</v>
      </c>
      <c r="EX172" s="97" t="e">
        <f>'Actual Value'!AB62+"AM:!(Xg"</f>
        <v>#VALUE!</v>
      </c>
      <c r="EY172" s="97" t="e">
        <f>'Actual Value'!AC62+"AM:!(Xh"</f>
        <v>#VALUE!</v>
      </c>
      <c r="EZ172" s="97" t="e">
        <f>'Actual Value'!AD62+"AM:!(Xi"</f>
        <v>#VALUE!</v>
      </c>
      <c r="FA172" s="97" t="e">
        <f>'Actual Value'!AE62+"AM:!(Xj"</f>
        <v>#VALUE!</v>
      </c>
      <c r="FB172" s="97" t="e">
        <f>'Actual Value'!AF62+"AM:!(Xk"</f>
        <v>#VALUE!</v>
      </c>
      <c r="FC172" s="97" t="e">
        <f>'Actual Value'!AG62+"AM:!(Xl"</f>
        <v>#VALUE!</v>
      </c>
      <c r="FD172" s="97" t="e">
        <f>'Actual Value'!AH62+"AM:!(Xm"</f>
        <v>#VALUE!</v>
      </c>
      <c r="FE172" s="97" t="e">
        <f>'Actual Value'!AI62+"AM:!(Xn"</f>
        <v>#VALUE!</v>
      </c>
      <c r="FF172" s="97" t="e">
        <f>'Actual Value'!AJ62+"AM:!(Xo"</f>
        <v>#VALUE!</v>
      </c>
      <c r="FG172" s="97" t="e">
        <f>'Actual Value'!AK62+"AM:!(Xp"</f>
        <v>#VALUE!</v>
      </c>
      <c r="FH172" s="97" t="e">
        <f>'Actual Value'!AL62+"AM:!(Xq"</f>
        <v>#VALUE!</v>
      </c>
      <c r="FI172" s="97" t="e">
        <f>'Actual Value'!AM62+"AM:!(Xr"</f>
        <v>#VALUE!</v>
      </c>
      <c r="FJ172" s="97" t="e">
        <f>'Actual Value'!AN62+"AM:!(Xs"</f>
        <v>#VALUE!</v>
      </c>
      <c r="FK172" s="97" t="e">
        <f>'Actual Value'!AO62+"AM:!(Xt"</f>
        <v>#VALUE!</v>
      </c>
      <c r="FL172" t="e">
        <f>'Actual Value'!AP62+"AM:!(Xu"</f>
        <v>#VALUE!</v>
      </c>
      <c r="FM172" t="e">
        <f>'Actual Value'!AQ62+"AM:!(Xv"</f>
        <v>#VALUE!</v>
      </c>
      <c r="FN172" t="e">
        <f>'Actual Value'!AR62+"AM:!(Xw"</f>
        <v>#VALUE!</v>
      </c>
      <c r="FO172" s="97" t="e">
        <f>'Actual Value'!AS62+"AM:!(Xx"</f>
        <v>#VALUE!</v>
      </c>
      <c r="FP172" t="e">
        <f>'Actual Value'!AT62+"AM:!(Xy"</f>
        <v>#VALUE!</v>
      </c>
      <c r="FQ172" t="e">
        <f>'Actual Value'!AU62+"AM:!(Xz"</f>
        <v>#VALUE!</v>
      </c>
      <c r="FR172" t="e">
        <f>'Actual Value'!AV62+"AM:!(X{"</f>
        <v>#VALUE!</v>
      </c>
      <c r="FS172" t="e">
        <f>'Actual Value'!AW62+"AM:!(X|"</f>
        <v>#VALUE!</v>
      </c>
      <c r="FT172" t="e">
        <f>'Actual Value'!A63+"AM:!(X}"</f>
        <v>#VALUE!</v>
      </c>
      <c r="FU172" t="e">
        <f>'Actual Value'!B63+"AM:!(X~"</f>
        <v>#VALUE!</v>
      </c>
      <c r="FV172" t="e">
        <f>'Actual Value'!C63+"AM:!(Y#"</f>
        <v>#VALUE!</v>
      </c>
      <c r="FW172" s="97" t="e">
        <f>'Actual Value'!D63+"AM:!(Y$"</f>
        <v>#VALUE!</v>
      </c>
      <c r="FX172" s="97" t="e">
        <f>'Actual Value'!E63+"AM:!(Y%"</f>
        <v>#VALUE!</v>
      </c>
      <c r="FY172" s="97" t="e">
        <f>'Actual Value'!F63+"AM:!(Y&amp;"</f>
        <v>#VALUE!</v>
      </c>
      <c r="FZ172" s="97" t="e">
        <f>'Actual Value'!G63+"AM:!(Y'"</f>
        <v>#VALUE!</v>
      </c>
      <c r="GA172" s="97" t="e">
        <f>'Actual Value'!H63+"AM:!(Y("</f>
        <v>#VALUE!</v>
      </c>
      <c r="GB172" s="97" t="e">
        <f>'Actual Value'!I63+"AM:!(Y)"</f>
        <v>#VALUE!</v>
      </c>
      <c r="GC172" s="97" t="e">
        <f>'Actual Value'!J63+"AM:!(Y."</f>
        <v>#VALUE!</v>
      </c>
      <c r="GD172" s="97" t="e">
        <f>'Actual Value'!K63+"AM:!(Y/"</f>
        <v>#VALUE!</v>
      </c>
      <c r="GE172" s="97" t="e">
        <f>'Actual Value'!L63+"AM:!(Y0"</f>
        <v>#VALUE!</v>
      </c>
      <c r="GF172" s="97" t="e">
        <f>'Actual Value'!M63+"AM:!(Y1"</f>
        <v>#VALUE!</v>
      </c>
      <c r="GG172" s="97" t="e">
        <f>'Actual Value'!N63+"AM:!(Y2"</f>
        <v>#VALUE!</v>
      </c>
      <c r="GH172" s="97" t="e">
        <f>'Actual Value'!O63+"AM:!(Y3"</f>
        <v>#VALUE!</v>
      </c>
      <c r="GI172" s="97" t="e">
        <f>'Actual Value'!P63+"AM:!(Y4"</f>
        <v>#VALUE!</v>
      </c>
      <c r="GJ172" s="97" t="e">
        <f>'Actual Value'!Q63+"AM:!(Y5"</f>
        <v>#VALUE!</v>
      </c>
      <c r="GK172" s="97" t="e">
        <f>'Actual Value'!R63+"AM:!(Y6"</f>
        <v>#VALUE!</v>
      </c>
      <c r="GL172" s="97" t="e">
        <f>'Actual Value'!S63+"AM:!(Y7"</f>
        <v>#VALUE!</v>
      </c>
      <c r="GM172" s="97" t="e">
        <f>'Actual Value'!T63+"AM:!(Y8"</f>
        <v>#VALUE!</v>
      </c>
      <c r="GN172" s="97" t="e">
        <f>'Actual Value'!U63+"AM:!(Y9"</f>
        <v>#VALUE!</v>
      </c>
      <c r="GO172" s="97" t="e">
        <f>'Actual Value'!V63+"AM:!(Y:"</f>
        <v>#VALUE!</v>
      </c>
      <c r="GP172" s="97" t="e">
        <f>'Actual Value'!W63+"AM:!(Y;"</f>
        <v>#VALUE!</v>
      </c>
      <c r="GQ172" s="97" t="e">
        <f>'Actual Value'!X63+"AM:!(Y&lt;"</f>
        <v>#VALUE!</v>
      </c>
      <c r="GR172" s="97" t="e">
        <f>'Actual Value'!Y63+"AM:!(Y="</f>
        <v>#VALUE!</v>
      </c>
      <c r="GS172" s="97" t="e">
        <f>'Actual Value'!Z63+"AM:!(Y&gt;"</f>
        <v>#VALUE!</v>
      </c>
      <c r="GT172" s="97" t="e">
        <f>'Actual Value'!AA63+"AM:!(Y?"</f>
        <v>#VALUE!</v>
      </c>
      <c r="GU172" s="97" t="e">
        <f>'Actual Value'!AB63+"AM:!(Y@"</f>
        <v>#VALUE!</v>
      </c>
      <c r="GV172" s="97" t="e">
        <f>'Actual Value'!AC63+"AM:!(YA"</f>
        <v>#VALUE!</v>
      </c>
      <c r="GW172" s="97" t="e">
        <f>'Actual Value'!AD63+"AM:!(YB"</f>
        <v>#VALUE!</v>
      </c>
      <c r="GX172" s="97" t="e">
        <f>'Actual Value'!AE63+"AM:!(YC"</f>
        <v>#VALUE!</v>
      </c>
      <c r="GY172" s="97" t="e">
        <f>'Actual Value'!AF63+"AM:!(YD"</f>
        <v>#VALUE!</v>
      </c>
      <c r="GZ172" s="97" t="e">
        <f>'Actual Value'!AG63+"AM:!(YE"</f>
        <v>#VALUE!</v>
      </c>
      <c r="HA172" s="97" t="e">
        <f>'Actual Value'!AH63+"AM:!(YF"</f>
        <v>#VALUE!</v>
      </c>
      <c r="HB172" s="97" t="e">
        <f>'Actual Value'!AI63+"AM:!(YG"</f>
        <v>#VALUE!</v>
      </c>
      <c r="HC172" s="97" t="e">
        <f>'Actual Value'!AJ63+"AM:!(YH"</f>
        <v>#VALUE!</v>
      </c>
      <c r="HD172" s="97" t="e">
        <f>'Actual Value'!AK63+"AM:!(YI"</f>
        <v>#VALUE!</v>
      </c>
      <c r="HE172" s="97" t="e">
        <f>'Actual Value'!AL63+"AM:!(YJ"</f>
        <v>#VALUE!</v>
      </c>
      <c r="HF172" s="97" t="e">
        <f>'Actual Value'!AM63+"AM:!(YK"</f>
        <v>#VALUE!</v>
      </c>
      <c r="HG172" s="97" t="e">
        <f>'Actual Value'!AN63+"AM:!(YL"</f>
        <v>#VALUE!</v>
      </c>
      <c r="HH172" s="97" t="e">
        <f>'Actual Value'!AO63+"AM:!(YM"</f>
        <v>#VALUE!</v>
      </c>
      <c r="HI172" t="e">
        <f>'Actual Value'!AP63+"AM:!(YN"</f>
        <v>#VALUE!</v>
      </c>
      <c r="HJ172" t="e">
        <f>'Actual Value'!AQ63+"AM:!(YO"</f>
        <v>#VALUE!</v>
      </c>
      <c r="HK172" t="e">
        <f>'Actual Value'!AR63+"AM:!(YP"</f>
        <v>#VALUE!</v>
      </c>
      <c r="HL172" s="97" t="e">
        <f>'Actual Value'!AS63+"AM:!(YQ"</f>
        <v>#VALUE!</v>
      </c>
      <c r="HM172" t="e">
        <f>'Actual Value'!AT63+"AM:!(YR"</f>
        <v>#VALUE!</v>
      </c>
      <c r="HN172" t="e">
        <f>'Actual Value'!AU63+"AM:!(YS"</f>
        <v>#VALUE!</v>
      </c>
      <c r="HO172" t="e">
        <f>'Actual Value'!AV63+"AM:!(YT"</f>
        <v>#VALUE!</v>
      </c>
      <c r="HP172" t="e">
        <f>'Actual Value'!AW63+"AM:!(YU"</f>
        <v>#VALUE!</v>
      </c>
      <c r="HQ172" t="e">
        <f>'Actual Value'!A64+"AM:!(YV"</f>
        <v>#VALUE!</v>
      </c>
      <c r="HR172" t="e">
        <f>'Actual Value'!B64+"AM:!(YW"</f>
        <v>#VALUE!</v>
      </c>
      <c r="HS172" t="e">
        <f>'Actual Value'!C64+"AM:!(YX"</f>
        <v>#VALUE!</v>
      </c>
      <c r="HT172" s="97" t="e">
        <f>'Actual Value'!D64+"AM:!(YY"</f>
        <v>#VALUE!</v>
      </c>
      <c r="HU172" s="97" t="e">
        <f>'Actual Value'!E64+"AM:!(YZ"</f>
        <v>#VALUE!</v>
      </c>
      <c r="HV172" s="97" t="e">
        <f>'Actual Value'!F64+"AM:!(Y["</f>
        <v>#VALUE!</v>
      </c>
      <c r="HW172" s="97" t="e">
        <f>'Actual Value'!G64+"AM:!(Y\"</f>
        <v>#VALUE!</v>
      </c>
      <c r="HX172" s="97" t="e">
        <f>'Actual Value'!H64+"AM:!(Y]"</f>
        <v>#VALUE!</v>
      </c>
      <c r="HY172" s="97" t="e">
        <f>'Actual Value'!I64+"AM:!(Y^"</f>
        <v>#VALUE!</v>
      </c>
      <c r="HZ172" s="97" t="e">
        <f>'Actual Value'!J64+"AM:!(Y_"</f>
        <v>#VALUE!</v>
      </c>
      <c r="IA172" s="97" t="e">
        <f>'Actual Value'!K64+"AM:!(Y`"</f>
        <v>#VALUE!</v>
      </c>
      <c r="IB172" s="97" t="e">
        <f>'Actual Value'!L64+"AM:!(Ya"</f>
        <v>#VALUE!</v>
      </c>
      <c r="IC172" s="97" t="e">
        <f>'Actual Value'!M64+"AM:!(Yb"</f>
        <v>#VALUE!</v>
      </c>
      <c r="ID172" s="97" t="e">
        <f>'Actual Value'!N64+"AM:!(Yc"</f>
        <v>#VALUE!</v>
      </c>
      <c r="IE172" s="97" t="e">
        <f>'Actual Value'!O64+"AM:!(Yd"</f>
        <v>#VALUE!</v>
      </c>
      <c r="IF172" s="97" t="e">
        <f>'Actual Value'!P64+"AM:!(Ye"</f>
        <v>#VALUE!</v>
      </c>
      <c r="IG172" s="97" t="e">
        <f>'Actual Value'!Q64+"AM:!(Yf"</f>
        <v>#VALUE!</v>
      </c>
      <c r="IH172" s="97" t="e">
        <f>'Actual Value'!R64+"AM:!(Yg"</f>
        <v>#VALUE!</v>
      </c>
      <c r="II172" s="97" t="e">
        <f>'Actual Value'!S64+"AM:!(Yh"</f>
        <v>#VALUE!</v>
      </c>
      <c r="IJ172" s="97" t="e">
        <f>'Actual Value'!T64+"AM:!(Yi"</f>
        <v>#VALUE!</v>
      </c>
      <c r="IK172" s="97" t="e">
        <f>'Actual Value'!U64+"AM:!(Yj"</f>
        <v>#VALUE!</v>
      </c>
      <c r="IL172" s="97" t="e">
        <f>'Actual Value'!V64+"AM:!(Yk"</f>
        <v>#VALUE!</v>
      </c>
      <c r="IM172" s="97" t="e">
        <f>'Actual Value'!W64+"AM:!(Yl"</f>
        <v>#VALUE!</v>
      </c>
      <c r="IN172" s="97" t="e">
        <f>'Actual Value'!X64+"AM:!(Ym"</f>
        <v>#VALUE!</v>
      </c>
      <c r="IO172" s="97" t="e">
        <f>'Actual Value'!Y64+"AM:!(Yn"</f>
        <v>#VALUE!</v>
      </c>
      <c r="IP172" s="97" t="e">
        <f>'Actual Value'!Z64+"AM:!(Yo"</f>
        <v>#VALUE!</v>
      </c>
      <c r="IQ172" s="97" t="e">
        <f>'Actual Value'!AA64+"AM:!(Yp"</f>
        <v>#VALUE!</v>
      </c>
      <c r="IR172" s="97" t="e">
        <f>'Actual Value'!AB64+"AM:!(Yq"</f>
        <v>#VALUE!</v>
      </c>
      <c r="IS172" s="97" t="e">
        <f>'Actual Value'!AC64+"AM:!(Yr"</f>
        <v>#VALUE!</v>
      </c>
      <c r="IT172" s="97" t="e">
        <f>'Actual Value'!AD64+"AM:!(Ys"</f>
        <v>#VALUE!</v>
      </c>
      <c r="IU172" s="97" t="e">
        <f>'Actual Value'!AE64+"AM:!(Yt"</f>
        <v>#VALUE!</v>
      </c>
      <c r="IV172" s="97" t="e">
        <f>'Actual Value'!AF64+"AM:!(Yu"</f>
        <v>#VALUE!</v>
      </c>
    </row>
    <row r="173" spans="6:256">
      <c r="F173" s="97" t="e">
        <f>'Actual Value'!AG64+"AM:!(Yv"</f>
        <v>#VALUE!</v>
      </c>
      <c r="G173" s="97" t="e">
        <f>'Actual Value'!AH64+"AM:!(Yw"</f>
        <v>#VALUE!</v>
      </c>
      <c r="H173" s="97" t="e">
        <f>'Actual Value'!AI64+"AM:!(Yx"</f>
        <v>#VALUE!</v>
      </c>
      <c r="I173" s="97" t="e">
        <f>'Actual Value'!AJ64+"AM:!(Yy"</f>
        <v>#VALUE!</v>
      </c>
      <c r="J173" s="97" t="e">
        <f>'Actual Value'!AK64+"AM:!(Yz"</f>
        <v>#VALUE!</v>
      </c>
      <c r="K173" s="97" t="e">
        <f>'Actual Value'!AL64+"AM:!(Y{"</f>
        <v>#VALUE!</v>
      </c>
      <c r="L173" s="97" t="e">
        <f>'Actual Value'!AM64+"AM:!(Y|"</f>
        <v>#VALUE!</v>
      </c>
      <c r="M173" s="97" t="e">
        <f>'Actual Value'!AN64+"AM:!(Y}"</f>
        <v>#VALUE!</v>
      </c>
      <c r="N173" s="97" t="e">
        <f>'Actual Value'!AO64+"AM:!(Y~"</f>
        <v>#VALUE!</v>
      </c>
      <c r="O173" t="e">
        <f>'Actual Value'!AP64+"AM:!(Z#"</f>
        <v>#VALUE!</v>
      </c>
      <c r="P173" t="e">
        <f>'Actual Value'!AQ64+"AM:!(Z$"</f>
        <v>#VALUE!</v>
      </c>
      <c r="Q173" t="e">
        <f>'Actual Value'!AR64+"AM:!(Z%"</f>
        <v>#VALUE!</v>
      </c>
      <c r="R173" t="e">
        <f>'Actual Value'!AS64+"AM:!(Z&amp;"</f>
        <v>#VALUE!</v>
      </c>
      <c r="S173" t="e">
        <f>'Actual Value'!AT64+"AM:!(Z'"</f>
        <v>#VALUE!</v>
      </c>
      <c r="T173" t="e">
        <f>'Actual Value'!AU64+"AM:!(Z("</f>
        <v>#VALUE!</v>
      </c>
      <c r="U173" t="e">
        <f>'Actual Value'!AV64+"AM:!(Z)"</f>
        <v>#VALUE!</v>
      </c>
      <c r="V173" t="e">
        <f>'Actual Value'!AW64+"AM:!(Z."</f>
        <v>#VALUE!</v>
      </c>
      <c r="W173" t="e">
        <f>'Actual Value'!A65+"AM:!(Z/"</f>
        <v>#VALUE!</v>
      </c>
      <c r="X173" t="e">
        <f>'Actual Value'!B65+"AM:!(Z0"</f>
        <v>#VALUE!</v>
      </c>
      <c r="Y173" t="e">
        <f>'Actual Value'!C65+"AM:!(Z1"</f>
        <v>#VALUE!</v>
      </c>
      <c r="Z173" s="97" t="e">
        <f>'Actual Value'!D65+"AM:!(Z2"</f>
        <v>#VALUE!</v>
      </c>
      <c r="AA173" s="97" t="e">
        <f>'Actual Value'!E65+"AM:!(Z3"</f>
        <v>#VALUE!</v>
      </c>
      <c r="AB173" s="97" t="e">
        <f>'Actual Value'!F65+"AM:!(Z4"</f>
        <v>#VALUE!</v>
      </c>
      <c r="AC173" s="97" t="e">
        <f>'Actual Value'!G65+"AM:!(Z5"</f>
        <v>#VALUE!</v>
      </c>
      <c r="AD173" s="97" t="e">
        <f>'Actual Value'!H65+"AM:!(Z6"</f>
        <v>#VALUE!</v>
      </c>
      <c r="AE173" s="97" t="e">
        <f>'Actual Value'!I65+"AM:!(Z7"</f>
        <v>#VALUE!</v>
      </c>
      <c r="AF173" s="97" t="e">
        <f>'Actual Value'!J65+"AM:!(Z8"</f>
        <v>#VALUE!</v>
      </c>
      <c r="AG173" s="97" t="e">
        <f>'Actual Value'!K65+"AM:!(Z9"</f>
        <v>#VALUE!</v>
      </c>
      <c r="AH173" s="97" t="e">
        <f>'Actual Value'!L65+"AM:!(Z:"</f>
        <v>#VALUE!</v>
      </c>
      <c r="AI173" s="97" t="e">
        <f>'Actual Value'!M65+"AM:!(Z;"</f>
        <v>#VALUE!</v>
      </c>
      <c r="AJ173" s="97" t="e">
        <f>'Actual Value'!N65+"AM:!(Z&lt;"</f>
        <v>#VALUE!</v>
      </c>
      <c r="AK173" s="97" t="e">
        <f>'Actual Value'!O65+"AM:!(Z="</f>
        <v>#VALUE!</v>
      </c>
      <c r="AL173" s="97" t="e">
        <f>'Actual Value'!P65+"AM:!(Z&gt;"</f>
        <v>#VALUE!</v>
      </c>
      <c r="AM173" s="97" t="e">
        <f>'Actual Value'!Q65+"AM:!(Z?"</f>
        <v>#VALUE!</v>
      </c>
      <c r="AN173" s="97" t="e">
        <f>'Actual Value'!R65+"AM:!(Z@"</f>
        <v>#VALUE!</v>
      </c>
      <c r="AO173" s="97" t="e">
        <f>'Actual Value'!S65+"AM:!(ZA"</f>
        <v>#VALUE!</v>
      </c>
      <c r="AP173" s="97" t="e">
        <f>'Actual Value'!T65+"AM:!(ZB"</f>
        <v>#VALUE!</v>
      </c>
      <c r="AQ173" s="97" t="e">
        <f>'Actual Value'!U65+"AM:!(ZC"</f>
        <v>#VALUE!</v>
      </c>
      <c r="AR173" s="97" t="e">
        <f>'Actual Value'!V65+"AM:!(ZD"</f>
        <v>#VALUE!</v>
      </c>
      <c r="AS173" s="97" t="e">
        <f>'Actual Value'!W65+"AM:!(ZE"</f>
        <v>#VALUE!</v>
      </c>
      <c r="AT173" s="97" t="e">
        <f>'Actual Value'!X65+"AM:!(ZF"</f>
        <v>#VALUE!</v>
      </c>
      <c r="AU173" s="97" t="e">
        <f>'Actual Value'!Y65+"AM:!(ZG"</f>
        <v>#VALUE!</v>
      </c>
      <c r="AV173" s="97" t="e">
        <f>'Actual Value'!Z65+"AM:!(ZH"</f>
        <v>#VALUE!</v>
      </c>
      <c r="AW173" s="97" t="e">
        <f>'Actual Value'!AA65+"AM:!(ZI"</f>
        <v>#VALUE!</v>
      </c>
      <c r="AX173" s="97" t="e">
        <f>'Actual Value'!AB65+"AM:!(ZJ"</f>
        <v>#VALUE!</v>
      </c>
      <c r="AY173" s="97" t="e">
        <f>'Actual Value'!AC65+"AM:!(ZK"</f>
        <v>#VALUE!</v>
      </c>
      <c r="AZ173" s="97" t="e">
        <f>'Actual Value'!AD65+"AM:!(ZL"</f>
        <v>#VALUE!</v>
      </c>
      <c r="BA173" s="97" t="e">
        <f>'Actual Value'!AE65+"AM:!(ZM"</f>
        <v>#VALUE!</v>
      </c>
      <c r="BB173" s="97" t="e">
        <f>'Actual Value'!AF65+"AM:!(ZN"</f>
        <v>#VALUE!</v>
      </c>
      <c r="BC173" s="97" t="e">
        <f>'Actual Value'!AG65+"AM:!(ZO"</f>
        <v>#VALUE!</v>
      </c>
      <c r="BD173" s="97" t="e">
        <f>'Actual Value'!AH65+"AM:!(ZP"</f>
        <v>#VALUE!</v>
      </c>
      <c r="BE173" s="97" t="e">
        <f>'Actual Value'!AI65+"AM:!(ZQ"</f>
        <v>#VALUE!</v>
      </c>
      <c r="BF173" s="97" t="e">
        <f>'Actual Value'!AJ65+"AM:!(ZR"</f>
        <v>#VALUE!</v>
      </c>
      <c r="BG173" s="97" t="e">
        <f>'Actual Value'!AK65+"AM:!(ZS"</f>
        <v>#VALUE!</v>
      </c>
      <c r="BH173" s="97" t="e">
        <f>'Actual Value'!AL65+"AM:!(ZT"</f>
        <v>#VALUE!</v>
      </c>
      <c r="BI173" s="97" t="e">
        <f>'Actual Value'!AM65+"AM:!(ZU"</f>
        <v>#VALUE!</v>
      </c>
      <c r="BJ173" s="97" t="e">
        <f>'Actual Value'!AN65+"AM:!(ZV"</f>
        <v>#VALUE!</v>
      </c>
      <c r="BK173" s="97" t="e">
        <f>'Actual Value'!AO65+"AM:!(ZW"</f>
        <v>#VALUE!</v>
      </c>
      <c r="BL173" t="e">
        <f>'Actual Value'!AP65+"AM:!(ZX"</f>
        <v>#VALUE!</v>
      </c>
      <c r="BM173" t="e">
        <f>'Actual Value'!AQ65+"AM:!(ZY"</f>
        <v>#VALUE!</v>
      </c>
      <c r="BN173" t="e">
        <f>'Actual Value'!AR65+"AM:!(ZZ"</f>
        <v>#VALUE!</v>
      </c>
      <c r="BO173" t="e">
        <f>'Actual Value'!AS65+"AM:!(Z["</f>
        <v>#VALUE!</v>
      </c>
      <c r="BP173" t="e">
        <f>'Actual Value'!AT65+"AM:!(Z\"</f>
        <v>#VALUE!</v>
      </c>
      <c r="BQ173" t="e">
        <f>'Actual Value'!AU65+"AM:!(Z]"</f>
        <v>#VALUE!</v>
      </c>
      <c r="BR173" t="e">
        <f>'Actual Value'!AV65+"AM:!(Z^"</f>
        <v>#VALUE!</v>
      </c>
      <c r="BS173" t="e">
        <f>'Actual Value'!AW65+"AM:!(Z_"</f>
        <v>#VALUE!</v>
      </c>
      <c r="BT173" t="e">
        <f>'Actual Value'!AX65+"AM:!(Z`"</f>
        <v>#VALUE!</v>
      </c>
      <c r="BU173" t="e">
        <f>'Actual Value'!A66+"AM:!(Za"</f>
        <v>#VALUE!</v>
      </c>
      <c r="BV173" t="e">
        <f>'Actual Value'!B66+"AM:!(Zb"</f>
        <v>#VALUE!</v>
      </c>
      <c r="BW173" t="e">
        <f>'Actual Value'!C66+"AM:!(Zc"</f>
        <v>#VALUE!</v>
      </c>
      <c r="BX173" s="97" t="e">
        <f>'Actual Value'!D66+"AM:!(Zd"</f>
        <v>#VALUE!</v>
      </c>
      <c r="BY173" s="97" t="e">
        <f>'Actual Value'!E66+"AM:!(Ze"</f>
        <v>#VALUE!</v>
      </c>
      <c r="BZ173" s="97" t="e">
        <f>'Actual Value'!F66+"AM:!(Zf"</f>
        <v>#VALUE!</v>
      </c>
      <c r="CA173" s="97" t="e">
        <f>'Actual Value'!G66+"AM:!(Zg"</f>
        <v>#VALUE!</v>
      </c>
      <c r="CB173" s="97" t="e">
        <f>'Actual Value'!H66+"AM:!(Zh"</f>
        <v>#VALUE!</v>
      </c>
      <c r="CC173" s="97" t="e">
        <f>'Actual Value'!I66+"AM:!(Zi"</f>
        <v>#VALUE!</v>
      </c>
      <c r="CD173" s="97" t="e">
        <f>'Actual Value'!J66+"AM:!(Zj"</f>
        <v>#VALUE!</v>
      </c>
      <c r="CE173" s="97" t="e">
        <f>'Actual Value'!K66+"AM:!(Zk"</f>
        <v>#VALUE!</v>
      </c>
      <c r="CF173" s="97" t="e">
        <f>'Actual Value'!L66+"AM:!(Zl"</f>
        <v>#VALUE!</v>
      </c>
      <c r="CG173" s="97" t="e">
        <f>'Actual Value'!M66+"AM:!(Zm"</f>
        <v>#VALUE!</v>
      </c>
      <c r="CH173" s="97" t="e">
        <f>'Actual Value'!N66+"AM:!(Zn"</f>
        <v>#VALUE!</v>
      </c>
      <c r="CI173" s="97" t="e">
        <f>'Actual Value'!O66+"AM:!(Zo"</f>
        <v>#VALUE!</v>
      </c>
      <c r="CJ173" s="97" t="e">
        <f>'Actual Value'!P66+"AM:!(Zp"</f>
        <v>#VALUE!</v>
      </c>
      <c r="CK173" s="97" t="e">
        <f>'Actual Value'!Q66+"AM:!(Zq"</f>
        <v>#VALUE!</v>
      </c>
      <c r="CL173" s="97" t="e">
        <f>'Actual Value'!R66+"AM:!(Zr"</f>
        <v>#VALUE!</v>
      </c>
      <c r="CM173" s="97" t="e">
        <f>'Actual Value'!S66+"AM:!(Zs"</f>
        <v>#VALUE!</v>
      </c>
      <c r="CN173" s="97" t="e">
        <f>'Actual Value'!T66+"AM:!(Zt"</f>
        <v>#VALUE!</v>
      </c>
      <c r="CO173" s="97" t="e">
        <f>'Actual Value'!U66+"AM:!(Zu"</f>
        <v>#VALUE!</v>
      </c>
      <c r="CP173" s="97" t="e">
        <f>'Actual Value'!V66+"AM:!(Zv"</f>
        <v>#VALUE!</v>
      </c>
      <c r="CQ173" s="97" t="e">
        <f>'Actual Value'!W66+"AM:!(Zw"</f>
        <v>#VALUE!</v>
      </c>
      <c r="CR173" s="97" t="e">
        <f>'Actual Value'!X66+"AM:!(Zx"</f>
        <v>#VALUE!</v>
      </c>
      <c r="CS173" s="97" t="e">
        <f>'Actual Value'!Y66+"AM:!(Zy"</f>
        <v>#VALUE!</v>
      </c>
      <c r="CT173" s="97" t="e">
        <f>'Actual Value'!Z66+"AM:!(Zz"</f>
        <v>#VALUE!</v>
      </c>
      <c r="CU173" s="97" t="e">
        <f>'Actual Value'!AA66+"AM:!(Z{"</f>
        <v>#VALUE!</v>
      </c>
      <c r="CV173" s="97" t="e">
        <f>'Actual Value'!AB66+"AM:!(Z|"</f>
        <v>#VALUE!</v>
      </c>
      <c r="CW173" s="97" t="e">
        <f>'Actual Value'!AC66+"AM:!(Z}"</f>
        <v>#VALUE!</v>
      </c>
      <c r="CX173" s="97" t="e">
        <f>'Actual Value'!AD66+"AM:!(Z~"</f>
        <v>#VALUE!</v>
      </c>
      <c r="CY173" s="97" t="e">
        <f>'Actual Value'!AE66+"AM:!([#"</f>
        <v>#VALUE!</v>
      </c>
      <c r="CZ173" s="97" t="e">
        <f>'Actual Value'!AF66+"AM:!([$"</f>
        <v>#VALUE!</v>
      </c>
      <c r="DA173" s="97" t="e">
        <f>'Actual Value'!AG66+"AM:!([%"</f>
        <v>#VALUE!</v>
      </c>
      <c r="DB173" s="97" t="e">
        <f>'Actual Value'!AH66+"AM:!([&amp;"</f>
        <v>#VALUE!</v>
      </c>
      <c r="DC173" s="97" t="e">
        <f>'Actual Value'!AI66+"AM:!(['"</f>
        <v>#VALUE!</v>
      </c>
      <c r="DD173" s="97" t="e">
        <f>'Actual Value'!AJ66+"AM:!([("</f>
        <v>#VALUE!</v>
      </c>
      <c r="DE173" s="97" t="e">
        <f>'Actual Value'!AK66+"AM:!([)"</f>
        <v>#VALUE!</v>
      </c>
      <c r="DF173" s="97" t="e">
        <f>'Actual Value'!AL66+"AM:!([."</f>
        <v>#VALUE!</v>
      </c>
      <c r="DG173" s="97" t="e">
        <f>'Actual Value'!AM66+"AM:!([/"</f>
        <v>#VALUE!</v>
      </c>
      <c r="DH173" s="97" t="e">
        <f>'Actual Value'!AN66+"AM:!([0"</f>
        <v>#VALUE!</v>
      </c>
      <c r="DI173" s="97" t="e">
        <f>'Actual Value'!AO66+"AM:!([1"</f>
        <v>#VALUE!</v>
      </c>
      <c r="DJ173" t="e">
        <f>'Actual Value'!AP66+"AM:!([2"</f>
        <v>#VALUE!</v>
      </c>
      <c r="DK173" t="e">
        <f>'Actual Value'!AQ66+"AM:!([3"</f>
        <v>#VALUE!</v>
      </c>
      <c r="DL173" t="e">
        <f>'Actual Value'!AR66+"AM:!([4"</f>
        <v>#VALUE!</v>
      </c>
      <c r="DM173" t="e">
        <f>'Actual Value'!AS66+"AM:!([5"</f>
        <v>#VALUE!</v>
      </c>
      <c r="DN173" t="e">
        <f>'Actual Value'!AT66+"AM:!([6"</f>
        <v>#VALUE!</v>
      </c>
      <c r="DO173" t="e">
        <f>'Actual Value'!AU66+"AM:!([7"</f>
        <v>#VALUE!</v>
      </c>
      <c r="DP173" t="e">
        <f>'Actual Value'!AV66+"AM:!([8"</f>
        <v>#VALUE!</v>
      </c>
      <c r="DQ173" t="e">
        <f>'Actual Value'!AW66+"AM:!([9"</f>
        <v>#VALUE!</v>
      </c>
      <c r="DR173" t="e">
        <f>'Actual Value'!AX66+"AM:!([:"</f>
        <v>#VALUE!</v>
      </c>
      <c r="DS173" t="e">
        <f>'Actual Value'!A67+"AM:!([;"</f>
        <v>#VALUE!</v>
      </c>
      <c r="DT173" t="e">
        <f>'Actual Value'!B67+"AM:!([&lt;"</f>
        <v>#VALUE!</v>
      </c>
      <c r="DU173" t="e">
        <f>'Actual Value'!C67+"AM:!([="</f>
        <v>#VALUE!</v>
      </c>
      <c r="DV173" s="97" t="e">
        <f>'Actual Value'!D67+"AM:!([&gt;"</f>
        <v>#VALUE!</v>
      </c>
      <c r="DW173" s="97" t="e">
        <f>'Actual Value'!E67+"AM:!([?"</f>
        <v>#VALUE!</v>
      </c>
      <c r="DX173" s="97" t="e">
        <f>'Actual Value'!F67+"AM:!([@"</f>
        <v>#VALUE!</v>
      </c>
      <c r="DY173" s="97" t="e">
        <f>'Actual Value'!G67+"AM:!([A"</f>
        <v>#VALUE!</v>
      </c>
      <c r="DZ173" s="97" t="e">
        <f>'Actual Value'!H67+"AM:!([B"</f>
        <v>#VALUE!</v>
      </c>
      <c r="EA173" s="97" t="e">
        <f>'Actual Value'!I67+"AM:!([C"</f>
        <v>#VALUE!</v>
      </c>
      <c r="EB173" s="97" t="e">
        <f>'Actual Value'!J67+"AM:!([D"</f>
        <v>#VALUE!</v>
      </c>
      <c r="EC173" s="97" t="e">
        <f>'Actual Value'!K67+"AM:!([E"</f>
        <v>#VALUE!</v>
      </c>
      <c r="ED173" s="97" t="e">
        <f>'Actual Value'!L67+"AM:!([F"</f>
        <v>#VALUE!</v>
      </c>
      <c r="EE173" s="97" t="e">
        <f>'Actual Value'!M67+"AM:!([G"</f>
        <v>#VALUE!</v>
      </c>
      <c r="EF173" s="97" t="e">
        <f>'Actual Value'!N67+"AM:!([H"</f>
        <v>#VALUE!</v>
      </c>
      <c r="EG173" s="97" t="e">
        <f>'Actual Value'!O67+"AM:!([I"</f>
        <v>#VALUE!</v>
      </c>
      <c r="EH173" s="97" t="e">
        <f>'Actual Value'!P67+"AM:!([J"</f>
        <v>#VALUE!</v>
      </c>
      <c r="EI173" s="97" t="e">
        <f>'Actual Value'!Q67+"AM:!([K"</f>
        <v>#VALUE!</v>
      </c>
      <c r="EJ173" s="97" t="e">
        <f>'Actual Value'!R67+"AM:!([L"</f>
        <v>#VALUE!</v>
      </c>
      <c r="EK173" s="97" t="e">
        <f>'Actual Value'!S67+"AM:!([M"</f>
        <v>#VALUE!</v>
      </c>
      <c r="EL173" s="97" t="e">
        <f>'Actual Value'!T67+"AM:!([N"</f>
        <v>#VALUE!</v>
      </c>
      <c r="EM173" s="97" t="e">
        <f>'Actual Value'!U67+"AM:!([O"</f>
        <v>#VALUE!</v>
      </c>
      <c r="EN173" s="97" t="e">
        <f>'Actual Value'!V67+"AM:!([P"</f>
        <v>#VALUE!</v>
      </c>
      <c r="EO173" s="97" t="e">
        <f>'Actual Value'!W67+"AM:!([Q"</f>
        <v>#VALUE!</v>
      </c>
      <c r="EP173" s="97" t="e">
        <f>'Actual Value'!X67+"AM:!([R"</f>
        <v>#VALUE!</v>
      </c>
      <c r="EQ173" s="97" t="e">
        <f>'Actual Value'!Y67+"AM:!([S"</f>
        <v>#VALUE!</v>
      </c>
      <c r="ER173" s="97" t="e">
        <f>'Actual Value'!Z67+"AM:!([T"</f>
        <v>#VALUE!</v>
      </c>
      <c r="ES173" s="97" t="e">
        <f>'Actual Value'!AA67+"AM:!([U"</f>
        <v>#VALUE!</v>
      </c>
      <c r="ET173" s="97" t="e">
        <f>'Actual Value'!AB67+"AM:!([V"</f>
        <v>#VALUE!</v>
      </c>
      <c r="EU173" s="97" t="e">
        <f>'Actual Value'!AC67+"AM:!([W"</f>
        <v>#VALUE!</v>
      </c>
      <c r="EV173" s="97" t="e">
        <f>'Actual Value'!AD67+"AM:!([X"</f>
        <v>#VALUE!</v>
      </c>
      <c r="EW173" s="97" t="e">
        <f>'Actual Value'!AE67+"AM:!([Y"</f>
        <v>#VALUE!</v>
      </c>
      <c r="EX173" s="97" t="e">
        <f>'Actual Value'!AF67+"AM:!([Z"</f>
        <v>#VALUE!</v>
      </c>
      <c r="EY173" s="97" t="e">
        <f>'Actual Value'!AG67+"AM:!([["</f>
        <v>#VALUE!</v>
      </c>
      <c r="EZ173" s="97" t="e">
        <f>'Actual Value'!AH67+"AM:!([\"</f>
        <v>#VALUE!</v>
      </c>
      <c r="FA173" s="97" t="e">
        <f>'Actual Value'!AI67+"AM:!([]"</f>
        <v>#VALUE!</v>
      </c>
      <c r="FB173" s="97" t="e">
        <f>'Actual Value'!AJ67+"AM:!([^"</f>
        <v>#VALUE!</v>
      </c>
      <c r="FC173" s="97" t="e">
        <f>'Actual Value'!AK67+"AM:!([_"</f>
        <v>#VALUE!</v>
      </c>
      <c r="FD173" s="97" t="e">
        <f>'Actual Value'!AL67+"AM:!([`"</f>
        <v>#VALUE!</v>
      </c>
      <c r="FE173" s="97" t="e">
        <f>'Actual Value'!AM67+"AM:!([a"</f>
        <v>#VALUE!</v>
      </c>
      <c r="FF173" s="97" t="e">
        <f>'Actual Value'!AN67+"AM:!([b"</f>
        <v>#VALUE!</v>
      </c>
      <c r="FG173" s="97" t="e">
        <f>'Actual Value'!AO67+"AM:!([c"</f>
        <v>#VALUE!</v>
      </c>
      <c r="FH173" t="e">
        <f>'Actual Value'!AP67+"AM:!([d"</f>
        <v>#VALUE!</v>
      </c>
      <c r="FI173" t="e">
        <f>'Actual Value'!AQ67+"AM:!([e"</f>
        <v>#VALUE!</v>
      </c>
      <c r="FJ173" t="e">
        <f>'Actual Value'!AR67+"AM:!([f"</f>
        <v>#VALUE!</v>
      </c>
      <c r="FK173" t="e">
        <f>'Actual Value'!AS67+"AM:!([g"</f>
        <v>#VALUE!</v>
      </c>
      <c r="FL173" t="e">
        <f>'Actual Value'!AT67+"AM:!([h"</f>
        <v>#VALUE!</v>
      </c>
      <c r="FM173" t="e">
        <f>'Actual Value'!AU67+"AM:!([i"</f>
        <v>#VALUE!</v>
      </c>
      <c r="FN173" t="e">
        <f>'Actual Value'!AV67+"AM:!([j"</f>
        <v>#VALUE!</v>
      </c>
      <c r="FO173" t="e">
        <f>'Actual Value'!AW67+"AM:!([k"</f>
        <v>#VALUE!</v>
      </c>
      <c r="FP173" t="e">
        <f>'Actual Value'!AX67+"AM:!([l"</f>
        <v>#VALUE!</v>
      </c>
      <c r="FQ173" t="e">
        <f>'Actual Value'!A68+"AM:!([m"</f>
        <v>#VALUE!</v>
      </c>
      <c r="FR173" t="e">
        <f>'Actual Value'!B68+"AM:!([n"</f>
        <v>#VALUE!</v>
      </c>
      <c r="FS173" t="e">
        <f>'Actual Value'!C68+"AM:!([o"</f>
        <v>#VALUE!</v>
      </c>
      <c r="FT173" s="97" t="e">
        <f>'Actual Value'!D68+"AM:!([p"</f>
        <v>#VALUE!</v>
      </c>
      <c r="FU173" s="97" t="e">
        <f>'Actual Value'!E68+"AM:!([q"</f>
        <v>#VALUE!</v>
      </c>
      <c r="FV173" s="97" t="e">
        <f>'Actual Value'!F68+"AM:!([r"</f>
        <v>#VALUE!</v>
      </c>
      <c r="FW173" s="97" t="e">
        <f>'Actual Value'!G68+"AM:!([s"</f>
        <v>#VALUE!</v>
      </c>
      <c r="FX173" s="97" t="e">
        <f>'Actual Value'!H68+"AM:!([t"</f>
        <v>#VALUE!</v>
      </c>
      <c r="FY173" s="97" t="e">
        <f>'Actual Value'!I68+"AM:!([u"</f>
        <v>#VALUE!</v>
      </c>
      <c r="FZ173" s="97" t="e">
        <f>'Actual Value'!J68+"AM:!([v"</f>
        <v>#VALUE!</v>
      </c>
      <c r="GA173" s="97" t="e">
        <f>'Actual Value'!K68+"AM:!([w"</f>
        <v>#VALUE!</v>
      </c>
      <c r="GB173" s="97" t="e">
        <f>'Actual Value'!L68+"AM:!([x"</f>
        <v>#VALUE!</v>
      </c>
      <c r="GC173" s="97" t="e">
        <f>'Actual Value'!M68+"AM:!([y"</f>
        <v>#VALUE!</v>
      </c>
      <c r="GD173" s="97" t="e">
        <f>'Actual Value'!N68+"AM:!([z"</f>
        <v>#VALUE!</v>
      </c>
      <c r="GE173" s="97" t="e">
        <f>'Actual Value'!O68+"AM:!([{"</f>
        <v>#VALUE!</v>
      </c>
      <c r="GF173" s="97" t="e">
        <f>'Actual Value'!P68+"AM:!([|"</f>
        <v>#VALUE!</v>
      </c>
      <c r="GG173" s="97" t="e">
        <f>'Actual Value'!Q68+"AM:!([}"</f>
        <v>#VALUE!</v>
      </c>
      <c r="GH173" s="97" t="e">
        <f>'Actual Value'!R68+"AM:!([~"</f>
        <v>#VALUE!</v>
      </c>
      <c r="GI173" s="97" t="e">
        <f>'Actual Value'!S68+"AM:!(\#"</f>
        <v>#VALUE!</v>
      </c>
      <c r="GJ173" s="97" t="e">
        <f>'Actual Value'!T68+"AM:!(\$"</f>
        <v>#VALUE!</v>
      </c>
      <c r="GK173" s="97" t="e">
        <f>'Actual Value'!U68+"AM:!(\%"</f>
        <v>#VALUE!</v>
      </c>
      <c r="GL173" s="97" t="e">
        <f>'Actual Value'!V68+"AM:!(\&amp;"</f>
        <v>#VALUE!</v>
      </c>
      <c r="GM173" s="97" t="e">
        <f>'Actual Value'!W68+"AM:!(\'"</f>
        <v>#VALUE!</v>
      </c>
      <c r="GN173" s="97" t="e">
        <f>'Actual Value'!X68+"AM:!(\("</f>
        <v>#VALUE!</v>
      </c>
      <c r="GO173" s="97" t="e">
        <f>'Actual Value'!Y68+"AM:!(\)"</f>
        <v>#VALUE!</v>
      </c>
      <c r="GP173" s="97" t="e">
        <f>'Actual Value'!Z68+"AM:!(\."</f>
        <v>#VALUE!</v>
      </c>
      <c r="GQ173" s="97" t="e">
        <f>'Actual Value'!AA68+"AM:!(\/"</f>
        <v>#VALUE!</v>
      </c>
      <c r="GR173" s="97" t="e">
        <f>'Actual Value'!AB68+"AM:!(\0"</f>
        <v>#VALUE!</v>
      </c>
      <c r="GS173" s="97" t="e">
        <f>'Actual Value'!AC68+"AM:!(\1"</f>
        <v>#VALUE!</v>
      </c>
      <c r="GT173" s="97" t="e">
        <f>'Actual Value'!AD68+"AM:!(\2"</f>
        <v>#VALUE!</v>
      </c>
      <c r="GU173" s="97" t="e">
        <f>'Actual Value'!AE68+"AM:!(\3"</f>
        <v>#VALUE!</v>
      </c>
      <c r="GV173" s="97" t="e">
        <f>'Actual Value'!AF68+"AM:!(\4"</f>
        <v>#VALUE!</v>
      </c>
      <c r="GW173" s="97" t="e">
        <f>'Actual Value'!AG68+"AM:!(\5"</f>
        <v>#VALUE!</v>
      </c>
      <c r="GX173" s="97" t="e">
        <f>'Actual Value'!AH68+"AM:!(\6"</f>
        <v>#VALUE!</v>
      </c>
      <c r="GY173" s="97" t="e">
        <f>'Actual Value'!AI68+"AM:!(\7"</f>
        <v>#VALUE!</v>
      </c>
      <c r="GZ173" s="97" t="e">
        <f>'Actual Value'!AJ68+"AM:!(\8"</f>
        <v>#VALUE!</v>
      </c>
      <c r="HA173" s="97" t="e">
        <f>'Actual Value'!AK68+"AM:!(\9"</f>
        <v>#VALUE!</v>
      </c>
      <c r="HB173" s="97" t="e">
        <f>'Actual Value'!AL68+"AM:!(\:"</f>
        <v>#VALUE!</v>
      </c>
      <c r="HC173" s="97" t="e">
        <f>'Actual Value'!AM68+"AM:!(\;"</f>
        <v>#VALUE!</v>
      </c>
      <c r="HD173" s="97" t="e">
        <f>'Actual Value'!AN68+"AM:!(\&lt;"</f>
        <v>#VALUE!</v>
      </c>
      <c r="HE173" s="97" t="e">
        <f>'Actual Value'!AO68+"AM:!(\="</f>
        <v>#VALUE!</v>
      </c>
      <c r="HF173" t="e">
        <f>'Actual Value'!AP68+"AM:!(\&gt;"</f>
        <v>#VALUE!</v>
      </c>
      <c r="HG173" t="e">
        <f>'Actual Value'!AQ68+"AM:!(\?"</f>
        <v>#VALUE!</v>
      </c>
      <c r="HH173" t="e">
        <f>'Actual Value'!AR68+"AM:!(\@"</f>
        <v>#VALUE!</v>
      </c>
      <c r="HI173" t="e">
        <f>'Actual Value'!AS68+"AM:!(\A"</f>
        <v>#VALUE!</v>
      </c>
      <c r="HJ173" t="e">
        <f>'Actual Value'!AT68+"AM:!(\B"</f>
        <v>#VALUE!</v>
      </c>
      <c r="HK173" t="e">
        <f>'Actual Value'!AU68+"AM:!(\C"</f>
        <v>#VALUE!</v>
      </c>
      <c r="HL173" t="e">
        <f>'Actual Value'!AV68+"AM:!(\D"</f>
        <v>#VALUE!</v>
      </c>
      <c r="HM173" t="e">
        <f>'Actual Value'!AW68+"AM:!(\E"</f>
        <v>#VALUE!</v>
      </c>
      <c r="HN173" t="e">
        <f>'Actual Value'!AX68+"AM:!(\F"</f>
        <v>#VALUE!</v>
      </c>
      <c r="HO173" t="e">
        <f>'Actual Value'!A69+"AM:!(\G"</f>
        <v>#VALUE!</v>
      </c>
      <c r="HP173" t="e">
        <f>'Actual Value'!B69+"AM:!(\H"</f>
        <v>#VALUE!</v>
      </c>
      <c r="HQ173" t="e">
        <f>'Actual Value'!C69+"AM:!(\I"</f>
        <v>#VALUE!</v>
      </c>
      <c r="HR173" s="97" t="e">
        <f>'Actual Value'!D69+"AM:!(\J"</f>
        <v>#VALUE!</v>
      </c>
      <c r="HS173" s="97" t="e">
        <f>'Actual Value'!E69+"AM:!(\K"</f>
        <v>#VALUE!</v>
      </c>
      <c r="HT173" s="97" t="e">
        <f>'Actual Value'!F69+"AM:!(\L"</f>
        <v>#VALUE!</v>
      </c>
      <c r="HU173" s="97" t="e">
        <f>'Actual Value'!G69+"AM:!(\M"</f>
        <v>#VALUE!</v>
      </c>
      <c r="HV173" s="97" t="e">
        <f>'Actual Value'!H69+"AM:!(\N"</f>
        <v>#VALUE!</v>
      </c>
      <c r="HW173" s="97" t="e">
        <f>'Actual Value'!I69+"AM:!(\O"</f>
        <v>#VALUE!</v>
      </c>
      <c r="HX173" s="97" t="e">
        <f>'Actual Value'!J69+"AM:!(\P"</f>
        <v>#VALUE!</v>
      </c>
      <c r="HY173" s="97" t="e">
        <f>'Actual Value'!K69+"AM:!(\Q"</f>
        <v>#VALUE!</v>
      </c>
      <c r="HZ173" s="97" t="e">
        <f>'Actual Value'!L69+"AM:!(\R"</f>
        <v>#VALUE!</v>
      </c>
      <c r="IA173" s="97" t="e">
        <f>'Actual Value'!M69+"AM:!(\S"</f>
        <v>#VALUE!</v>
      </c>
      <c r="IB173" s="97" t="e">
        <f>'Actual Value'!N69+"AM:!(\T"</f>
        <v>#VALUE!</v>
      </c>
      <c r="IC173" s="97" t="e">
        <f>'Actual Value'!O69+"AM:!(\U"</f>
        <v>#VALUE!</v>
      </c>
      <c r="ID173" s="97" t="e">
        <f>'Actual Value'!P69+"AM:!(\V"</f>
        <v>#VALUE!</v>
      </c>
      <c r="IE173" s="97" t="e">
        <f>'Actual Value'!Q69+"AM:!(\W"</f>
        <v>#VALUE!</v>
      </c>
      <c r="IF173" s="97" t="e">
        <f>'Actual Value'!R69+"AM:!(\X"</f>
        <v>#VALUE!</v>
      </c>
      <c r="IG173" s="97" t="e">
        <f>'Actual Value'!S69+"AM:!(\Y"</f>
        <v>#VALUE!</v>
      </c>
      <c r="IH173" s="97" t="e">
        <f>'Actual Value'!T69+"AM:!(\Z"</f>
        <v>#VALUE!</v>
      </c>
      <c r="II173" s="97" t="e">
        <f>'Actual Value'!U69+"AM:!(\["</f>
        <v>#VALUE!</v>
      </c>
      <c r="IJ173" s="97" t="e">
        <f>'Actual Value'!V69+"AM:!(\\"</f>
        <v>#VALUE!</v>
      </c>
      <c r="IK173" s="97" t="e">
        <f>'Actual Value'!W69+"AM:!(\]"</f>
        <v>#VALUE!</v>
      </c>
      <c r="IL173" s="97" t="e">
        <f>'Actual Value'!X69+"AM:!(\^"</f>
        <v>#VALUE!</v>
      </c>
      <c r="IM173" s="97" t="e">
        <f>'Actual Value'!Y69+"AM:!(\_"</f>
        <v>#VALUE!</v>
      </c>
      <c r="IN173" s="97" t="e">
        <f>'Actual Value'!Z69+"AM:!(\`"</f>
        <v>#VALUE!</v>
      </c>
      <c r="IO173" s="97" t="e">
        <f>'Actual Value'!AA69+"AM:!(\a"</f>
        <v>#VALUE!</v>
      </c>
      <c r="IP173" s="97" t="e">
        <f>'Actual Value'!AB69+"AM:!(\b"</f>
        <v>#VALUE!</v>
      </c>
      <c r="IQ173" s="97" t="e">
        <f>'Actual Value'!AC69+"AM:!(\c"</f>
        <v>#VALUE!</v>
      </c>
      <c r="IR173" s="97" t="e">
        <f>'Actual Value'!AD69+"AM:!(\d"</f>
        <v>#VALUE!</v>
      </c>
      <c r="IS173" s="97" t="e">
        <f>'Actual Value'!AE69+"AM:!(\e"</f>
        <v>#VALUE!</v>
      </c>
      <c r="IT173" s="97" t="e">
        <f>'Actual Value'!AF69+"AM:!(\f"</f>
        <v>#VALUE!</v>
      </c>
      <c r="IU173" s="97" t="e">
        <f>'Actual Value'!AG69+"AM:!(\g"</f>
        <v>#VALUE!</v>
      </c>
      <c r="IV173" s="97" t="e">
        <f>'Actual Value'!AH69+"AM:!(\h"</f>
        <v>#VALUE!</v>
      </c>
    </row>
    <row r="174" spans="6:256">
      <c r="F174" s="97" t="e">
        <f>'Actual Value'!AI69+"AM:!(\i"</f>
        <v>#VALUE!</v>
      </c>
      <c r="G174" s="97" t="e">
        <f>'Actual Value'!AJ69+"AM:!(\j"</f>
        <v>#VALUE!</v>
      </c>
      <c r="H174" s="97" t="e">
        <f>'Actual Value'!AK69+"AM:!(\k"</f>
        <v>#VALUE!</v>
      </c>
      <c r="I174" s="97" t="e">
        <f>'Actual Value'!AL69+"AM:!(\l"</f>
        <v>#VALUE!</v>
      </c>
      <c r="J174" s="97" t="e">
        <f>'Actual Value'!AM69+"AM:!(\m"</f>
        <v>#VALUE!</v>
      </c>
      <c r="K174" s="97" t="e">
        <f>'Actual Value'!AN69+"AM:!(\n"</f>
        <v>#VALUE!</v>
      </c>
      <c r="L174" s="97" t="e">
        <f>'Actual Value'!AO69+"AM:!(\o"</f>
        <v>#VALUE!</v>
      </c>
      <c r="M174" t="e">
        <f>'Actual Value'!AP69+"AM:!(\p"</f>
        <v>#VALUE!</v>
      </c>
      <c r="N174" t="e">
        <f>'Actual Value'!AQ69+"AM:!(\q"</f>
        <v>#VALUE!</v>
      </c>
      <c r="O174" t="e">
        <f>'Actual Value'!AR69+"AM:!(\r"</f>
        <v>#VALUE!</v>
      </c>
      <c r="P174" t="e">
        <f>'Actual Value'!AS69+"AM:!(\s"</f>
        <v>#VALUE!</v>
      </c>
      <c r="Q174" t="e">
        <f>'Actual Value'!AT69+"AM:!(\t"</f>
        <v>#VALUE!</v>
      </c>
      <c r="R174" t="e">
        <f>'Actual Value'!AU69+"AM:!(\u"</f>
        <v>#VALUE!</v>
      </c>
      <c r="S174" t="e">
        <f>'Actual Value'!AV69+"AM:!(\v"</f>
        <v>#VALUE!</v>
      </c>
      <c r="T174" t="e">
        <f>'Actual Value'!AW69+"AM:!(\w"</f>
        <v>#VALUE!</v>
      </c>
      <c r="U174" t="e">
        <f>'Actual Value'!AX69+"AM:!(\x"</f>
        <v>#VALUE!</v>
      </c>
      <c r="V174" t="e">
        <f>'Actual Value'!A70+"AM:!(\y"</f>
        <v>#VALUE!</v>
      </c>
      <c r="W174" t="e">
        <f>'Actual Value'!B70+"AM:!(\z"</f>
        <v>#VALUE!</v>
      </c>
      <c r="X174" t="e">
        <f>'Actual Value'!C70+"AM:!(\{"</f>
        <v>#VALUE!</v>
      </c>
      <c r="Y174" s="97" t="e">
        <f>'Actual Value'!D70+"AM:!(\|"</f>
        <v>#VALUE!</v>
      </c>
      <c r="Z174" s="97" t="e">
        <f>'Actual Value'!E70+"AM:!(\}"</f>
        <v>#VALUE!</v>
      </c>
      <c r="AA174" s="97" t="e">
        <f>'Actual Value'!F70+"AM:!(\~"</f>
        <v>#VALUE!</v>
      </c>
      <c r="AB174" s="97" t="e">
        <f>'Actual Value'!G70+"AM:!(]#"</f>
        <v>#VALUE!</v>
      </c>
      <c r="AC174" s="97" t="e">
        <f>'Actual Value'!H70+"AM:!(]$"</f>
        <v>#VALUE!</v>
      </c>
      <c r="AD174" s="97" t="e">
        <f>'Actual Value'!I70+"AM:!(]%"</f>
        <v>#VALUE!</v>
      </c>
      <c r="AE174" s="97" t="e">
        <f>'Actual Value'!J70+"AM:!(]&amp;"</f>
        <v>#VALUE!</v>
      </c>
      <c r="AF174" s="97" t="e">
        <f>'Actual Value'!K70+"AM:!(]'"</f>
        <v>#VALUE!</v>
      </c>
      <c r="AG174" s="97" t="e">
        <f>'Actual Value'!L70+"AM:!(]("</f>
        <v>#VALUE!</v>
      </c>
      <c r="AH174" s="97" t="e">
        <f>'Actual Value'!M70+"AM:!(])"</f>
        <v>#VALUE!</v>
      </c>
      <c r="AI174" s="97" t="e">
        <f>'Actual Value'!N70+"AM:!(]."</f>
        <v>#VALUE!</v>
      </c>
      <c r="AJ174" s="97" t="e">
        <f>'Actual Value'!O70+"AM:!(]/"</f>
        <v>#VALUE!</v>
      </c>
      <c r="AK174" s="97" t="e">
        <f>'Actual Value'!P70+"AM:!(]0"</f>
        <v>#VALUE!</v>
      </c>
      <c r="AL174" s="97" t="e">
        <f>'Actual Value'!Q70+"AM:!(]1"</f>
        <v>#VALUE!</v>
      </c>
      <c r="AM174" s="97" t="e">
        <f>'Actual Value'!R70+"AM:!(]2"</f>
        <v>#VALUE!</v>
      </c>
      <c r="AN174" s="97" t="e">
        <f>'Actual Value'!S70+"AM:!(]3"</f>
        <v>#VALUE!</v>
      </c>
      <c r="AO174" s="97" t="e">
        <f>'Actual Value'!T70+"AM:!(]4"</f>
        <v>#VALUE!</v>
      </c>
      <c r="AP174" s="97" t="e">
        <f>'Actual Value'!U70+"AM:!(]5"</f>
        <v>#VALUE!</v>
      </c>
      <c r="AQ174" s="97" t="e">
        <f>'Actual Value'!V70+"AM:!(]6"</f>
        <v>#VALUE!</v>
      </c>
      <c r="AR174" s="97" t="e">
        <f>'Actual Value'!W70+"AM:!(]7"</f>
        <v>#VALUE!</v>
      </c>
      <c r="AS174" s="97" t="e">
        <f>'Actual Value'!X70+"AM:!(]8"</f>
        <v>#VALUE!</v>
      </c>
      <c r="AT174" s="97" t="e">
        <f>'Actual Value'!Y70+"AM:!(]9"</f>
        <v>#VALUE!</v>
      </c>
      <c r="AU174" s="97" t="e">
        <f>'Actual Value'!Z70+"AM:!(]:"</f>
        <v>#VALUE!</v>
      </c>
      <c r="AV174" s="97" t="e">
        <f>'Actual Value'!AA70+"AM:!(];"</f>
        <v>#VALUE!</v>
      </c>
      <c r="AW174" s="97" t="e">
        <f>'Actual Value'!AB70+"AM:!(]&lt;"</f>
        <v>#VALUE!</v>
      </c>
      <c r="AX174" s="97" t="e">
        <f>'Actual Value'!AC70+"AM:!(]="</f>
        <v>#VALUE!</v>
      </c>
      <c r="AY174" s="97" t="e">
        <f>'Actual Value'!AD70+"AM:!(]&gt;"</f>
        <v>#VALUE!</v>
      </c>
      <c r="AZ174" s="97" t="e">
        <f>'Actual Value'!AE70+"AM:!(]?"</f>
        <v>#VALUE!</v>
      </c>
      <c r="BA174" s="97" t="e">
        <f>'Actual Value'!AF70+"AM:!(]@"</f>
        <v>#VALUE!</v>
      </c>
      <c r="BB174" s="97" t="e">
        <f>'Actual Value'!AG70+"AM:!(]A"</f>
        <v>#VALUE!</v>
      </c>
      <c r="BC174" s="97" t="e">
        <f>'Actual Value'!AH70+"AM:!(]B"</f>
        <v>#VALUE!</v>
      </c>
      <c r="BD174" s="97" t="e">
        <f>'Actual Value'!AI70+"AM:!(]C"</f>
        <v>#VALUE!</v>
      </c>
      <c r="BE174" s="97" t="e">
        <f>'Actual Value'!AJ70+"AM:!(]D"</f>
        <v>#VALUE!</v>
      </c>
      <c r="BF174" s="97" t="e">
        <f>'Actual Value'!AK70+"AM:!(]E"</f>
        <v>#VALUE!</v>
      </c>
      <c r="BG174" s="97" t="e">
        <f>'Actual Value'!AL70+"AM:!(]F"</f>
        <v>#VALUE!</v>
      </c>
      <c r="BH174" s="97" t="e">
        <f>'Actual Value'!AM70+"AM:!(]G"</f>
        <v>#VALUE!</v>
      </c>
      <c r="BI174" s="97" t="e">
        <f>'Actual Value'!AN70+"AM:!(]H"</f>
        <v>#VALUE!</v>
      </c>
      <c r="BJ174" s="97" t="e">
        <f>'Actual Value'!AO70+"AM:!(]I"</f>
        <v>#VALUE!</v>
      </c>
      <c r="BK174" t="e">
        <f>'Actual Value'!AP70+"AM:!(]J"</f>
        <v>#VALUE!</v>
      </c>
      <c r="BL174" t="e">
        <f>'Actual Value'!AQ70+"AM:!(]K"</f>
        <v>#VALUE!</v>
      </c>
      <c r="BM174" t="e">
        <f>'Actual Value'!AR70+"AM:!(]L"</f>
        <v>#VALUE!</v>
      </c>
      <c r="BN174" t="e">
        <f>'Actual Value'!AS70+"AM:!(]M"</f>
        <v>#VALUE!</v>
      </c>
      <c r="BO174" t="e">
        <f>'Actual Value'!AT70+"AM:!(]N"</f>
        <v>#VALUE!</v>
      </c>
      <c r="BP174" t="e">
        <f>'Actual Value'!AU70+"AM:!(]O"</f>
        <v>#VALUE!</v>
      </c>
      <c r="BQ174" t="e">
        <f>'Actual Value'!AV70+"AM:!(]P"</f>
        <v>#VALUE!</v>
      </c>
      <c r="BR174" t="e">
        <f>'Actual Value'!AW70+"AM:!(]Q"</f>
        <v>#VALUE!</v>
      </c>
      <c r="BS174" t="e">
        <f>'Actual Value'!AX70+"AM:!(]R"</f>
        <v>#VALUE!</v>
      </c>
      <c r="BT174" t="e">
        <f>'Actual Value'!A71+"AM:!(]S"</f>
        <v>#VALUE!</v>
      </c>
      <c r="BU174" t="e">
        <f>'Actual Value'!B71+"AM:!(]T"</f>
        <v>#VALUE!</v>
      </c>
      <c r="BV174" s="98" t="e">
        <f>'Actual Value'!C71+"AM:!(]U"</f>
        <v>#VALUE!</v>
      </c>
      <c r="BW174" t="e">
        <f>'Actual Value'!D71+"AM:!(]V"</f>
        <v>#VALUE!</v>
      </c>
      <c r="BX174" t="e">
        <f>'Actual Value'!E71+"AM:!(]W"</f>
        <v>#VALUE!</v>
      </c>
      <c r="BY174" t="e">
        <f>'Actual Value'!F71+"AM:!(]X"</f>
        <v>#VALUE!</v>
      </c>
      <c r="BZ174" t="e">
        <f>'Actual Value'!G71+"AM:!(]Y"</f>
        <v>#VALUE!</v>
      </c>
      <c r="CA174" t="e">
        <f>'Actual Value'!H71+"AM:!(]Z"</f>
        <v>#VALUE!</v>
      </c>
      <c r="CB174" t="e">
        <f>'Actual Value'!I71+"AM:!(]["</f>
        <v>#VALUE!</v>
      </c>
      <c r="CC174" t="e">
        <f>'Actual Value'!J71+"AM:!(]\"</f>
        <v>#VALUE!</v>
      </c>
      <c r="CD174" t="e">
        <f>'Actual Value'!K71+"AM:!(]]"</f>
        <v>#VALUE!</v>
      </c>
      <c r="CE174" t="e">
        <f>'Actual Value'!L71+"AM:!(]^"</f>
        <v>#VALUE!</v>
      </c>
      <c r="CF174" t="e">
        <f>'Actual Value'!M71+"AM:!(]_"</f>
        <v>#VALUE!</v>
      </c>
      <c r="CG174" t="e">
        <f>'Actual Value'!N71+"AM:!(]`"</f>
        <v>#VALUE!</v>
      </c>
      <c r="CH174" t="e">
        <f>'Actual Value'!O71+"AM:!(]a"</f>
        <v>#VALUE!</v>
      </c>
      <c r="CI174" t="e">
        <f>'Actual Value'!P71+"AM:!(]b"</f>
        <v>#VALUE!</v>
      </c>
      <c r="CJ174" t="e">
        <f>'Actual Value'!Q71+"AM:!(]c"</f>
        <v>#VALUE!</v>
      </c>
      <c r="CK174" t="e">
        <f>'Actual Value'!R71+"AM:!(]d"</f>
        <v>#VALUE!</v>
      </c>
      <c r="CL174" t="e">
        <f>'Actual Value'!S71+"AM:!(]e"</f>
        <v>#VALUE!</v>
      </c>
      <c r="CM174" t="e">
        <f>'Actual Value'!T71+"AM:!(]f"</f>
        <v>#VALUE!</v>
      </c>
      <c r="CN174" t="e">
        <f>'Actual Value'!U71+"AM:!(]g"</f>
        <v>#VALUE!</v>
      </c>
      <c r="CO174" t="e">
        <f>'Actual Value'!V71+"AM:!(]h"</f>
        <v>#VALUE!</v>
      </c>
      <c r="CP174" t="e">
        <f>'Actual Value'!W71+"AM:!(]i"</f>
        <v>#VALUE!</v>
      </c>
      <c r="CQ174" t="e">
        <f>'Actual Value'!X71+"AM:!(]j"</f>
        <v>#VALUE!</v>
      </c>
      <c r="CR174" t="e">
        <f>'Actual Value'!Y71+"AM:!(]k"</f>
        <v>#VALUE!</v>
      </c>
      <c r="CS174" t="e">
        <f>'Actual Value'!Z71+"AM:!(]l"</f>
        <v>#VALUE!</v>
      </c>
      <c r="CT174" t="e">
        <f>'Actual Value'!AA71+"AM:!(]m"</f>
        <v>#VALUE!</v>
      </c>
      <c r="CU174" t="e">
        <f>'Actual Value'!AB71+"AM:!(]n"</f>
        <v>#VALUE!</v>
      </c>
      <c r="CV174" t="e">
        <f>'Actual Value'!AC71+"AM:!(]o"</f>
        <v>#VALUE!</v>
      </c>
      <c r="CW174" t="e">
        <f>'Actual Value'!AD71+"AM:!(]p"</f>
        <v>#VALUE!</v>
      </c>
      <c r="CX174" t="e">
        <f>'Actual Value'!AE71+"AM:!(]q"</f>
        <v>#VALUE!</v>
      </c>
      <c r="CY174" t="e">
        <f>'Actual Value'!AF71+"AM:!(]r"</f>
        <v>#VALUE!</v>
      </c>
      <c r="CZ174" t="e">
        <f>'Actual Value'!AG71+"AM:!(]s"</f>
        <v>#VALUE!</v>
      </c>
      <c r="DA174" t="e">
        <f>'Actual Value'!AH71+"AM:!(]t"</f>
        <v>#VALUE!</v>
      </c>
      <c r="DB174" t="e">
        <f>'Actual Value'!AI71+"AM:!(]u"</f>
        <v>#VALUE!</v>
      </c>
      <c r="DC174" t="e">
        <f>'Actual Value'!AJ71+"AM:!(]v"</f>
        <v>#VALUE!</v>
      </c>
      <c r="DD174" t="e">
        <f>'Actual Value'!AK71+"AM:!(]w"</f>
        <v>#VALUE!</v>
      </c>
      <c r="DE174" t="e">
        <f>'Actual Value'!AL71+"AM:!(]x"</f>
        <v>#VALUE!</v>
      </c>
      <c r="DF174" t="e">
        <f>'Actual Value'!AM71+"AM:!(]y"</f>
        <v>#VALUE!</v>
      </c>
      <c r="DG174" t="e">
        <f>'Actual Value'!AN71+"AM:!(]z"</f>
        <v>#VALUE!</v>
      </c>
      <c r="DH174" t="e">
        <f>'Actual Value'!AO71+"AM:!(]{"</f>
        <v>#VALUE!</v>
      </c>
      <c r="DI174" t="e">
        <f>'Actual Value'!AP71+"AM:!(]|"</f>
        <v>#VALUE!</v>
      </c>
      <c r="DJ174" t="e">
        <f>'Actual Value'!AQ71+"AM:!(]}"</f>
        <v>#VALUE!</v>
      </c>
      <c r="DK174" t="e">
        <f>'Actual Value'!AR71+"AM:!(]~"</f>
        <v>#VALUE!</v>
      </c>
      <c r="DL174" t="e">
        <f>'Actual Value'!AS71+"AM:!(^#"</f>
        <v>#VALUE!</v>
      </c>
      <c r="DM174" t="e">
        <f>'Actual Value'!AT71+"AM:!(^$"</f>
        <v>#VALUE!</v>
      </c>
      <c r="DN174" t="e">
        <f>'Actual Value'!AU71+"AM:!(^%"</f>
        <v>#VALUE!</v>
      </c>
      <c r="DO174" t="e">
        <f>'Actual Value'!AV71+"AM:!(^&amp;"</f>
        <v>#VALUE!</v>
      </c>
      <c r="DP174" t="e">
        <f>'Actual Value'!AW71+"AM:!(^'"</f>
        <v>#VALUE!</v>
      </c>
      <c r="DQ174" t="e">
        <f>'Actual Value'!A72+"AM:!(^("</f>
        <v>#VALUE!</v>
      </c>
      <c r="DR174" t="e">
        <f>'Actual Value'!B72+"AM:!(^)"</f>
        <v>#VALUE!</v>
      </c>
      <c r="DS174" t="e">
        <f>'Actual Value'!C72+"AM:!(^."</f>
        <v>#VALUE!</v>
      </c>
      <c r="DT174" s="105" t="e">
        <f>'Actual Value'!D72+"AM:!(^/"</f>
        <v>#VALUE!</v>
      </c>
      <c r="DU174" s="105" t="e">
        <f>'Actual Value'!E72+"AM:!(^0"</f>
        <v>#VALUE!</v>
      </c>
      <c r="DV174" s="105" t="e">
        <f>'Actual Value'!F72+"AM:!(^1"</f>
        <v>#VALUE!</v>
      </c>
      <c r="DW174" s="105" t="e">
        <f>'Actual Value'!G72+"AM:!(^2"</f>
        <v>#VALUE!</v>
      </c>
      <c r="DX174" s="105" t="e">
        <f>'Actual Value'!H72+"AM:!(^3"</f>
        <v>#VALUE!</v>
      </c>
      <c r="DY174" s="105" t="e">
        <f>'Actual Value'!I72+"AM:!(^4"</f>
        <v>#VALUE!</v>
      </c>
      <c r="DZ174" s="105" t="e">
        <f>'Actual Value'!J72+"AM:!(^5"</f>
        <v>#VALUE!</v>
      </c>
      <c r="EA174" s="105" t="e">
        <f>'Actual Value'!K72+"AM:!(^6"</f>
        <v>#VALUE!</v>
      </c>
      <c r="EB174" s="105" t="e">
        <f>'Actual Value'!L72+"AM:!(^7"</f>
        <v>#VALUE!</v>
      </c>
      <c r="EC174" s="105" t="e">
        <f>'Actual Value'!M72+"AM:!(^8"</f>
        <v>#VALUE!</v>
      </c>
      <c r="ED174" s="105" t="e">
        <f>'Actual Value'!N72+"AM:!(^9"</f>
        <v>#VALUE!</v>
      </c>
      <c r="EE174" s="105" t="e">
        <f>'Actual Value'!O72+"AM:!(^:"</f>
        <v>#VALUE!</v>
      </c>
      <c r="EF174" s="105" t="e">
        <f>'Actual Value'!P72+"AM:!(^;"</f>
        <v>#VALUE!</v>
      </c>
      <c r="EG174" s="105" t="e">
        <f>'Actual Value'!Q72+"AM:!(^&lt;"</f>
        <v>#VALUE!</v>
      </c>
      <c r="EH174" s="105" t="e">
        <f>'Actual Value'!R72+"AM:!(^="</f>
        <v>#VALUE!</v>
      </c>
      <c r="EI174" s="105" t="e">
        <f>'Actual Value'!S72+"AM:!(^&gt;"</f>
        <v>#VALUE!</v>
      </c>
      <c r="EJ174" s="105" t="e">
        <f>'Actual Value'!T72+"AM:!(^?"</f>
        <v>#VALUE!</v>
      </c>
      <c r="EK174" s="105" t="e">
        <f>'Actual Value'!U72+"AM:!(^@"</f>
        <v>#VALUE!</v>
      </c>
      <c r="EL174" s="105" t="e">
        <f>'Actual Value'!V72+"AM:!(^A"</f>
        <v>#VALUE!</v>
      </c>
      <c r="EM174" s="105" t="e">
        <f>'Actual Value'!W72+"AM:!(^B"</f>
        <v>#VALUE!</v>
      </c>
      <c r="EN174" s="105" t="e">
        <f>'Actual Value'!X72+"AM:!(^C"</f>
        <v>#VALUE!</v>
      </c>
      <c r="EO174" s="105" t="e">
        <f>'Actual Value'!Y72+"AM:!(^D"</f>
        <v>#VALUE!</v>
      </c>
      <c r="EP174" s="105" t="e">
        <f>'Actual Value'!Z72+"AM:!(^E"</f>
        <v>#VALUE!</v>
      </c>
      <c r="EQ174" s="105" t="e">
        <f>'Actual Value'!AA72+"AM:!(^F"</f>
        <v>#VALUE!</v>
      </c>
      <c r="ER174" s="105" t="e">
        <f>'Actual Value'!AB72+"AM:!(^G"</f>
        <v>#VALUE!</v>
      </c>
      <c r="ES174" s="105" t="e">
        <f>'Actual Value'!AC72+"AM:!(^H"</f>
        <v>#VALUE!</v>
      </c>
      <c r="ET174" s="105" t="e">
        <f>'Actual Value'!AD72+"AM:!(^I"</f>
        <v>#VALUE!</v>
      </c>
      <c r="EU174" s="105" t="e">
        <f>'Actual Value'!AE72+"AM:!(^J"</f>
        <v>#VALUE!</v>
      </c>
      <c r="EV174" s="105" t="e">
        <f>'Actual Value'!AF72+"AM:!(^K"</f>
        <v>#VALUE!</v>
      </c>
      <c r="EW174" s="105" t="e">
        <f>'Actual Value'!AG72+"AM:!(^L"</f>
        <v>#VALUE!</v>
      </c>
      <c r="EX174" s="105" t="e">
        <f>'Actual Value'!AH72+"AM:!(^M"</f>
        <v>#VALUE!</v>
      </c>
      <c r="EY174" s="105" t="e">
        <f>'Actual Value'!AI72+"AM:!(^N"</f>
        <v>#VALUE!</v>
      </c>
      <c r="EZ174" s="105" t="e">
        <f>'Actual Value'!AJ72+"AM:!(^O"</f>
        <v>#VALUE!</v>
      </c>
      <c r="FA174" s="105" t="e">
        <f>'Actual Value'!AK72+"AM:!(^P"</f>
        <v>#VALUE!</v>
      </c>
      <c r="FB174" s="105" t="e">
        <f>'Actual Value'!AL72+"AM:!(^Q"</f>
        <v>#VALUE!</v>
      </c>
      <c r="FC174" s="105" t="e">
        <f>'Actual Value'!AM72+"AM:!(^R"</f>
        <v>#VALUE!</v>
      </c>
      <c r="FD174" s="105" t="e">
        <f>'Actual Value'!AN72+"AM:!(^S"</f>
        <v>#VALUE!</v>
      </c>
      <c r="FE174" s="105" t="e">
        <f>'Actual Value'!AO72+"AM:!(^T"</f>
        <v>#VALUE!</v>
      </c>
      <c r="FF174" t="e">
        <f>'Actual Value'!AP72+"AM:!(^U"</f>
        <v>#VALUE!</v>
      </c>
      <c r="FG174" s="100" t="e">
        <f>'Actual Value'!AQ72+"AM:!(^V"</f>
        <v>#VALUE!</v>
      </c>
      <c r="FH174" s="100" t="e">
        <f>'Actual Value'!AR72+"AM:!(^W"</f>
        <v>#VALUE!</v>
      </c>
      <c r="FI174" s="100" t="e">
        <f>'Actual Value'!AS72+"AM:!(^X"</f>
        <v>#VALUE!</v>
      </c>
      <c r="FJ174" s="100" t="e">
        <f>'Actual Value'!AT72+"AM:!(^Y"</f>
        <v>#VALUE!</v>
      </c>
      <c r="FK174" s="100" t="e">
        <f>'Actual Value'!AU72+"AM:!(^Z"</f>
        <v>#VALUE!</v>
      </c>
      <c r="FL174" t="e">
        <f>'Actual Value'!AV72+"AM:!(^["</f>
        <v>#VALUE!</v>
      </c>
      <c r="FM174" t="e">
        <f>'Actual Value'!AW72+"AM:!(^\"</f>
        <v>#VALUE!</v>
      </c>
      <c r="FN174" t="e">
        <f>'Actual Value'!A73+"AM:!(^]"</f>
        <v>#VALUE!</v>
      </c>
      <c r="FO174" t="e">
        <f>'Actual Value'!B73+"AM:!(^^"</f>
        <v>#VALUE!</v>
      </c>
      <c r="FP174" t="e">
        <f>'Actual Value'!C73+"AM:!(^_"</f>
        <v>#VALUE!</v>
      </c>
      <c r="FQ174" s="97" t="e">
        <f>'Actual Value'!D73+"AM:!(^`"</f>
        <v>#VALUE!</v>
      </c>
      <c r="FR174" s="97" t="e">
        <f>'Actual Value'!E73+"AM:!(^a"</f>
        <v>#VALUE!</v>
      </c>
      <c r="FS174" s="97" t="e">
        <f>'Actual Value'!F73+"AM:!(^b"</f>
        <v>#VALUE!</v>
      </c>
      <c r="FT174" s="97" t="e">
        <f>'Actual Value'!G73+"AM:!(^c"</f>
        <v>#VALUE!</v>
      </c>
      <c r="FU174" s="97" t="e">
        <f>'Actual Value'!H73+"AM:!(^d"</f>
        <v>#VALUE!</v>
      </c>
      <c r="FV174" s="97" t="e">
        <f>'Actual Value'!I73+"AM:!(^e"</f>
        <v>#VALUE!</v>
      </c>
      <c r="FW174" s="97" t="e">
        <f>'Actual Value'!J73+"AM:!(^f"</f>
        <v>#VALUE!</v>
      </c>
      <c r="FX174" s="97" t="e">
        <f>'Actual Value'!K73+"AM:!(^g"</f>
        <v>#VALUE!</v>
      </c>
      <c r="FY174" s="97" t="e">
        <f>'Actual Value'!L73+"AM:!(^h"</f>
        <v>#VALUE!</v>
      </c>
      <c r="FZ174" s="97" t="e">
        <f>'Actual Value'!M73+"AM:!(^i"</f>
        <v>#VALUE!</v>
      </c>
      <c r="GA174" s="97" t="e">
        <f>'Actual Value'!N73+"AM:!(^j"</f>
        <v>#VALUE!</v>
      </c>
      <c r="GB174" s="97" t="e">
        <f>'Actual Value'!O73+"AM:!(^k"</f>
        <v>#VALUE!</v>
      </c>
      <c r="GC174" s="97" t="e">
        <f>'Actual Value'!P73+"AM:!(^l"</f>
        <v>#VALUE!</v>
      </c>
      <c r="GD174" s="97" t="e">
        <f>'Actual Value'!Q73+"AM:!(^m"</f>
        <v>#VALUE!</v>
      </c>
      <c r="GE174" s="97" t="e">
        <f>'Actual Value'!R73+"AM:!(^n"</f>
        <v>#VALUE!</v>
      </c>
      <c r="GF174" s="97" t="e">
        <f>'Actual Value'!S73+"AM:!(^o"</f>
        <v>#VALUE!</v>
      </c>
      <c r="GG174" s="97" t="e">
        <f>'Actual Value'!T73+"AM:!(^p"</f>
        <v>#VALUE!</v>
      </c>
      <c r="GH174" s="97" t="e">
        <f>'Actual Value'!U73+"AM:!(^q"</f>
        <v>#VALUE!</v>
      </c>
      <c r="GI174" s="97" t="e">
        <f>'Actual Value'!V73+"AM:!(^r"</f>
        <v>#VALUE!</v>
      </c>
      <c r="GJ174" s="97" t="e">
        <f>'Actual Value'!W73+"AM:!(^s"</f>
        <v>#VALUE!</v>
      </c>
      <c r="GK174" s="97" t="e">
        <f>'Actual Value'!X73+"AM:!(^t"</f>
        <v>#VALUE!</v>
      </c>
      <c r="GL174" s="97" t="e">
        <f>'Actual Value'!Y73+"AM:!(^u"</f>
        <v>#VALUE!</v>
      </c>
      <c r="GM174" s="97" t="e">
        <f>'Actual Value'!Z73+"AM:!(^v"</f>
        <v>#VALUE!</v>
      </c>
      <c r="GN174" s="97" t="e">
        <f>'Actual Value'!AA73+"AM:!(^w"</f>
        <v>#VALUE!</v>
      </c>
      <c r="GO174" s="97" t="e">
        <f>'Actual Value'!AB73+"AM:!(^x"</f>
        <v>#VALUE!</v>
      </c>
      <c r="GP174" s="97" t="e">
        <f>'Actual Value'!AC73+"AM:!(^y"</f>
        <v>#VALUE!</v>
      </c>
      <c r="GQ174" s="97" t="e">
        <f>'Actual Value'!AD73+"AM:!(^z"</f>
        <v>#VALUE!</v>
      </c>
      <c r="GR174" s="97" t="e">
        <f>'Actual Value'!AE73+"AM:!(^{"</f>
        <v>#VALUE!</v>
      </c>
      <c r="GS174" s="97" t="e">
        <f>'Actual Value'!AF73+"AM:!(^|"</f>
        <v>#VALUE!</v>
      </c>
      <c r="GT174" s="97" t="e">
        <f>'Actual Value'!AG73+"AM:!(^}"</f>
        <v>#VALUE!</v>
      </c>
      <c r="GU174" s="97" t="e">
        <f>'Actual Value'!AH73+"AM:!(^~"</f>
        <v>#VALUE!</v>
      </c>
      <c r="GV174" s="97" t="e">
        <f>'Actual Value'!AI73+"AM:!(_#"</f>
        <v>#VALUE!</v>
      </c>
      <c r="GW174" s="97" t="e">
        <f>'Actual Value'!AJ73+"AM:!(_$"</f>
        <v>#VALUE!</v>
      </c>
      <c r="GX174" s="97" t="e">
        <f>'Actual Value'!AK73+"AM:!(_%"</f>
        <v>#VALUE!</v>
      </c>
      <c r="GY174" s="97" t="e">
        <f>'Actual Value'!AL73+"AM:!(_&amp;"</f>
        <v>#VALUE!</v>
      </c>
      <c r="GZ174" s="97" t="e">
        <f>'Actual Value'!AM73+"AM:!(_'"</f>
        <v>#VALUE!</v>
      </c>
      <c r="HA174" s="97" t="e">
        <f>'Actual Value'!AN73+"AM:!(_("</f>
        <v>#VALUE!</v>
      </c>
      <c r="HB174" s="97" t="e">
        <f>'Actual Value'!AO73+"AM:!(_)"</f>
        <v>#VALUE!</v>
      </c>
      <c r="HC174" t="e">
        <f>'Actual Value'!AP73+"AM:!(_."</f>
        <v>#VALUE!</v>
      </c>
      <c r="HD174" t="e">
        <f>'Actual Value'!AQ73+"AM:!(_/"</f>
        <v>#VALUE!</v>
      </c>
      <c r="HE174" t="e">
        <f>'Actual Value'!AR73+"AM:!(_0"</f>
        <v>#VALUE!</v>
      </c>
      <c r="HF174" s="97" t="e">
        <f>'Actual Value'!AS73+"AM:!(_1"</f>
        <v>#VALUE!</v>
      </c>
      <c r="HG174" t="e">
        <f>'Actual Value'!AT73+"AM:!(_2"</f>
        <v>#VALUE!</v>
      </c>
      <c r="HH174" t="e">
        <f>'Actual Value'!AU73+"AM:!(_3"</f>
        <v>#VALUE!</v>
      </c>
      <c r="HI174" t="e">
        <f>'Actual Value'!AV73+"AM:!(_4"</f>
        <v>#VALUE!</v>
      </c>
      <c r="HJ174" t="e">
        <f>'Actual Value'!AW73+"AM:!(_5"</f>
        <v>#VALUE!</v>
      </c>
      <c r="HK174" t="e">
        <f>'Actual Value'!A74+"AM:!(_6"</f>
        <v>#VALUE!</v>
      </c>
      <c r="HL174" t="e">
        <f>'Actual Value'!B74+"AM:!(_7"</f>
        <v>#VALUE!</v>
      </c>
      <c r="HM174" t="e">
        <f>'Actual Value'!C74+"AM:!(_8"</f>
        <v>#VALUE!</v>
      </c>
      <c r="HN174" s="97" t="e">
        <f>'Actual Value'!D74+"AM:!(_9"</f>
        <v>#VALUE!</v>
      </c>
      <c r="HO174" s="97" t="e">
        <f>'Actual Value'!E74+"AM:!(_:"</f>
        <v>#VALUE!</v>
      </c>
      <c r="HP174" s="97" t="e">
        <f>'Actual Value'!F74+"AM:!(_;"</f>
        <v>#VALUE!</v>
      </c>
      <c r="HQ174" s="97" t="e">
        <f>'Actual Value'!G74+"AM:!(_&lt;"</f>
        <v>#VALUE!</v>
      </c>
      <c r="HR174" s="97" t="e">
        <f>'Actual Value'!H74+"AM:!(_="</f>
        <v>#VALUE!</v>
      </c>
      <c r="HS174" s="97" t="e">
        <f>'Actual Value'!I74+"AM:!(_&gt;"</f>
        <v>#VALUE!</v>
      </c>
      <c r="HT174" s="97" t="e">
        <f>'Actual Value'!J74+"AM:!(_?"</f>
        <v>#VALUE!</v>
      </c>
      <c r="HU174" s="97" t="e">
        <f>'Actual Value'!K74+"AM:!(_@"</f>
        <v>#VALUE!</v>
      </c>
      <c r="HV174" s="97" t="e">
        <f>'Actual Value'!L74+"AM:!(_A"</f>
        <v>#VALUE!</v>
      </c>
      <c r="HW174" s="97" t="e">
        <f>'Actual Value'!M74+"AM:!(_B"</f>
        <v>#VALUE!</v>
      </c>
      <c r="HX174" s="97" t="e">
        <f>'Actual Value'!N74+"AM:!(_C"</f>
        <v>#VALUE!</v>
      </c>
      <c r="HY174" s="97" t="e">
        <f>'Actual Value'!O74+"AM:!(_D"</f>
        <v>#VALUE!</v>
      </c>
      <c r="HZ174" s="97" t="e">
        <f>'Actual Value'!P74+"AM:!(_E"</f>
        <v>#VALUE!</v>
      </c>
      <c r="IA174" s="97" t="e">
        <f>'Actual Value'!Q74+"AM:!(_F"</f>
        <v>#VALUE!</v>
      </c>
      <c r="IB174" s="97" t="e">
        <f>'Actual Value'!R74+"AM:!(_G"</f>
        <v>#VALUE!</v>
      </c>
      <c r="IC174" s="97" t="e">
        <f>'Actual Value'!S74+"AM:!(_H"</f>
        <v>#VALUE!</v>
      </c>
      <c r="ID174" s="97" t="e">
        <f>'Actual Value'!T74+"AM:!(_I"</f>
        <v>#VALUE!</v>
      </c>
      <c r="IE174" s="97" t="e">
        <f>'Actual Value'!U74+"AM:!(_J"</f>
        <v>#VALUE!</v>
      </c>
      <c r="IF174" s="97" t="e">
        <f>'Actual Value'!V74+"AM:!(_K"</f>
        <v>#VALUE!</v>
      </c>
      <c r="IG174" s="97" t="e">
        <f>'Actual Value'!W74+"AM:!(_L"</f>
        <v>#VALUE!</v>
      </c>
      <c r="IH174" s="97" t="e">
        <f>'Actual Value'!X74+"AM:!(_M"</f>
        <v>#VALUE!</v>
      </c>
      <c r="II174" s="97" t="e">
        <f>'Actual Value'!Y74+"AM:!(_N"</f>
        <v>#VALUE!</v>
      </c>
      <c r="IJ174" s="97" t="e">
        <f>'Actual Value'!Z74+"AM:!(_O"</f>
        <v>#VALUE!</v>
      </c>
      <c r="IK174" s="97" t="e">
        <f>'Actual Value'!AA74+"AM:!(_P"</f>
        <v>#VALUE!</v>
      </c>
      <c r="IL174" s="97" t="e">
        <f>'Actual Value'!AB74+"AM:!(_Q"</f>
        <v>#VALUE!</v>
      </c>
      <c r="IM174" s="97" t="e">
        <f>'Actual Value'!AC74+"AM:!(_R"</f>
        <v>#VALUE!</v>
      </c>
      <c r="IN174" s="97" t="e">
        <f>'Actual Value'!AD74+"AM:!(_S"</f>
        <v>#VALUE!</v>
      </c>
      <c r="IO174" s="97" t="e">
        <f>'Actual Value'!AE74+"AM:!(_T"</f>
        <v>#VALUE!</v>
      </c>
      <c r="IP174" s="97" t="e">
        <f>'Actual Value'!AF74+"AM:!(_U"</f>
        <v>#VALUE!</v>
      </c>
      <c r="IQ174" s="97" t="e">
        <f>'Actual Value'!AG74+"AM:!(_V"</f>
        <v>#VALUE!</v>
      </c>
      <c r="IR174" s="97" t="e">
        <f>'Actual Value'!AH74+"AM:!(_W"</f>
        <v>#VALUE!</v>
      </c>
      <c r="IS174" s="97" t="e">
        <f>'Actual Value'!AI74+"AM:!(_X"</f>
        <v>#VALUE!</v>
      </c>
      <c r="IT174" s="97" t="e">
        <f>'Actual Value'!AJ74+"AM:!(_Y"</f>
        <v>#VALUE!</v>
      </c>
      <c r="IU174" s="97" t="e">
        <f>'Actual Value'!AK74+"AM:!(_Z"</f>
        <v>#VALUE!</v>
      </c>
      <c r="IV174" s="97" t="e">
        <f>'Actual Value'!AL74+"AM:!(_["</f>
        <v>#VALUE!</v>
      </c>
    </row>
    <row r="175" spans="6:256">
      <c r="F175" s="97" t="e">
        <f>'Actual Value'!AM74+"AM:!(_\"</f>
        <v>#VALUE!</v>
      </c>
      <c r="G175" s="97" t="e">
        <f>'Actual Value'!AN74+"AM:!(_]"</f>
        <v>#VALUE!</v>
      </c>
      <c r="H175" s="97" t="e">
        <f>'Actual Value'!AO74+"AM:!(_^"</f>
        <v>#VALUE!</v>
      </c>
      <c r="I175" t="e">
        <f>'Actual Value'!AP74+"AM:!(__"</f>
        <v>#VALUE!</v>
      </c>
      <c r="J175" t="e">
        <f>'Actual Value'!AQ74+"AM:!(_`"</f>
        <v>#VALUE!</v>
      </c>
      <c r="K175" t="e">
        <f>'Actual Value'!AR74+"AM:!(_a"</f>
        <v>#VALUE!</v>
      </c>
      <c r="L175" s="97" t="e">
        <f>'Actual Value'!AS74+"AM:!(_b"</f>
        <v>#VALUE!</v>
      </c>
      <c r="M175" t="e">
        <f>'Actual Value'!AT74+"AM:!(_c"</f>
        <v>#VALUE!</v>
      </c>
      <c r="N175" t="e">
        <f>'Actual Value'!AU74+"AM:!(_d"</f>
        <v>#VALUE!</v>
      </c>
      <c r="O175" t="e">
        <f>'Actual Value'!AV74+"AM:!(_e"</f>
        <v>#VALUE!</v>
      </c>
      <c r="P175" t="e">
        <f>'Actual Value'!AW74+"AM:!(_f"</f>
        <v>#VALUE!</v>
      </c>
      <c r="Q175" t="e">
        <f>'Actual Value'!A75+"AM:!(_g"</f>
        <v>#VALUE!</v>
      </c>
      <c r="R175" t="e">
        <f>'Actual Value'!B75+"AM:!(_h"</f>
        <v>#VALUE!</v>
      </c>
      <c r="S175" t="e">
        <f>'Actual Value'!C75+"AM:!(_i"</f>
        <v>#VALUE!</v>
      </c>
      <c r="T175" s="97" t="e">
        <f>'Actual Value'!D75+"AM:!(_j"</f>
        <v>#VALUE!</v>
      </c>
      <c r="U175" s="97" t="e">
        <f>'Actual Value'!E75+"AM:!(_k"</f>
        <v>#VALUE!</v>
      </c>
      <c r="V175" s="97" t="e">
        <f>'Actual Value'!F75+"AM:!(_l"</f>
        <v>#VALUE!</v>
      </c>
      <c r="W175" s="97" t="e">
        <f>'Actual Value'!G75+"AM:!(_m"</f>
        <v>#VALUE!</v>
      </c>
      <c r="X175" s="97" t="e">
        <f>'Actual Value'!H75+"AM:!(_n"</f>
        <v>#VALUE!</v>
      </c>
      <c r="Y175" s="97" t="e">
        <f>'Actual Value'!I75+"AM:!(_o"</f>
        <v>#VALUE!</v>
      </c>
      <c r="Z175" s="97" t="e">
        <f>'Actual Value'!J75+"AM:!(_p"</f>
        <v>#VALUE!</v>
      </c>
      <c r="AA175" s="97" t="e">
        <f>'Actual Value'!K75+"AM:!(_q"</f>
        <v>#VALUE!</v>
      </c>
      <c r="AB175" s="97" t="e">
        <f>'Actual Value'!L75+"AM:!(_r"</f>
        <v>#VALUE!</v>
      </c>
      <c r="AC175" s="97" t="e">
        <f>'Actual Value'!M75+"AM:!(_s"</f>
        <v>#VALUE!</v>
      </c>
      <c r="AD175" s="97" t="e">
        <f>'Actual Value'!N75+"AM:!(_t"</f>
        <v>#VALUE!</v>
      </c>
      <c r="AE175" s="97" t="e">
        <f>'Actual Value'!O75+"AM:!(_u"</f>
        <v>#VALUE!</v>
      </c>
      <c r="AF175" s="97" t="e">
        <f>'Actual Value'!P75+"AM:!(_v"</f>
        <v>#VALUE!</v>
      </c>
      <c r="AG175" s="97" t="e">
        <f>'Actual Value'!Q75+"AM:!(_w"</f>
        <v>#VALUE!</v>
      </c>
      <c r="AH175" s="97" t="e">
        <f>'Actual Value'!R75+"AM:!(_x"</f>
        <v>#VALUE!</v>
      </c>
      <c r="AI175" s="97" t="e">
        <f>'Actual Value'!S75+"AM:!(_y"</f>
        <v>#VALUE!</v>
      </c>
      <c r="AJ175" s="97" t="e">
        <f>'Actual Value'!T75+"AM:!(_z"</f>
        <v>#VALUE!</v>
      </c>
      <c r="AK175" s="97" t="e">
        <f>'Actual Value'!U75+"AM:!(_{"</f>
        <v>#VALUE!</v>
      </c>
      <c r="AL175" s="97" t="e">
        <f>'Actual Value'!V75+"AM:!(_|"</f>
        <v>#VALUE!</v>
      </c>
      <c r="AM175" s="97" t="e">
        <f>'Actual Value'!W75+"AM:!(_}"</f>
        <v>#VALUE!</v>
      </c>
      <c r="AN175" s="97" t="e">
        <f>'Actual Value'!X75+"AM:!(_~"</f>
        <v>#VALUE!</v>
      </c>
      <c r="AO175" s="97" t="e">
        <f>'Actual Value'!Y75+"AM:!(`#"</f>
        <v>#VALUE!</v>
      </c>
      <c r="AP175" s="97" t="e">
        <f>'Actual Value'!Z75+"AM:!(`$"</f>
        <v>#VALUE!</v>
      </c>
      <c r="AQ175" s="97" t="e">
        <f>'Actual Value'!AA75+"AM:!(`%"</f>
        <v>#VALUE!</v>
      </c>
      <c r="AR175" s="97" t="e">
        <f>'Actual Value'!AB75+"AM:!(`&amp;"</f>
        <v>#VALUE!</v>
      </c>
      <c r="AS175" s="97" t="e">
        <f>'Actual Value'!AC75+"AM:!(`'"</f>
        <v>#VALUE!</v>
      </c>
      <c r="AT175" s="97" t="e">
        <f>'Actual Value'!AD75+"AM:!(`("</f>
        <v>#VALUE!</v>
      </c>
      <c r="AU175" s="97" t="e">
        <f>'Actual Value'!AE75+"AM:!(`)"</f>
        <v>#VALUE!</v>
      </c>
      <c r="AV175" s="97" t="e">
        <f>'Actual Value'!AF75+"AM:!(`."</f>
        <v>#VALUE!</v>
      </c>
      <c r="AW175" s="97" t="e">
        <f>'Actual Value'!AG75+"AM:!(`/"</f>
        <v>#VALUE!</v>
      </c>
      <c r="AX175" s="97" t="e">
        <f>'Actual Value'!AH75+"AM:!(`0"</f>
        <v>#VALUE!</v>
      </c>
      <c r="AY175" s="97" t="e">
        <f>'Actual Value'!AI75+"AM:!(`1"</f>
        <v>#VALUE!</v>
      </c>
      <c r="AZ175" s="97" t="e">
        <f>'Actual Value'!AJ75+"AM:!(`2"</f>
        <v>#VALUE!</v>
      </c>
      <c r="BA175" s="97" t="e">
        <f>'Actual Value'!AK75+"AM:!(`3"</f>
        <v>#VALUE!</v>
      </c>
      <c r="BB175" s="97" t="e">
        <f>'Actual Value'!AL75+"AM:!(`4"</f>
        <v>#VALUE!</v>
      </c>
      <c r="BC175" s="97" t="e">
        <f>'Actual Value'!AM75+"AM:!(`5"</f>
        <v>#VALUE!</v>
      </c>
      <c r="BD175" s="97" t="e">
        <f>'Actual Value'!AN75+"AM:!(`6"</f>
        <v>#VALUE!</v>
      </c>
      <c r="BE175" s="97" t="e">
        <f>'Actual Value'!AO75+"AM:!(`7"</f>
        <v>#VALUE!</v>
      </c>
      <c r="BF175" t="e">
        <f>'Actual Value'!AP75+"AM:!(`8"</f>
        <v>#VALUE!</v>
      </c>
      <c r="BG175" t="e">
        <f>'Actual Value'!AQ75+"AM:!(`9"</f>
        <v>#VALUE!</v>
      </c>
      <c r="BH175" t="e">
        <f>'Actual Value'!AR75+"AM:!(`:"</f>
        <v>#VALUE!</v>
      </c>
      <c r="BI175" t="e">
        <f>'Actual Value'!AS75+"AM:!(`;"</f>
        <v>#VALUE!</v>
      </c>
      <c r="BJ175" t="e">
        <f>'Actual Value'!AT75+"AM:!(`&lt;"</f>
        <v>#VALUE!</v>
      </c>
      <c r="BK175" t="e">
        <f>'Actual Value'!AU75+"AM:!(`="</f>
        <v>#VALUE!</v>
      </c>
      <c r="BL175" t="e">
        <f>'Actual Value'!AV75+"AM:!(`&gt;"</f>
        <v>#VALUE!</v>
      </c>
      <c r="BM175" t="e">
        <f>'Actual Value'!AW75+"AM:!(`?"</f>
        <v>#VALUE!</v>
      </c>
      <c r="BN175" t="e">
        <f>'Actual Value'!A76+"AM:!(`@"</f>
        <v>#VALUE!</v>
      </c>
      <c r="BO175" t="e">
        <f>'Actual Value'!B76+"AM:!(`A"</f>
        <v>#VALUE!</v>
      </c>
      <c r="BP175" t="e">
        <f>'Actual Value'!C76+"AM:!(`B"</f>
        <v>#VALUE!</v>
      </c>
      <c r="BQ175" s="97" t="e">
        <f>'Actual Value'!D76+"AM:!(`C"</f>
        <v>#VALUE!</v>
      </c>
      <c r="BR175" s="97" t="e">
        <f>'Actual Value'!E76+"AM:!(`D"</f>
        <v>#VALUE!</v>
      </c>
      <c r="BS175" s="97" t="e">
        <f>'Actual Value'!F76+"AM:!(`E"</f>
        <v>#VALUE!</v>
      </c>
      <c r="BT175" s="97" t="e">
        <f>'Actual Value'!G76+"AM:!(`F"</f>
        <v>#VALUE!</v>
      </c>
      <c r="BU175" s="97" t="e">
        <f>'Actual Value'!H76+"AM:!(`G"</f>
        <v>#VALUE!</v>
      </c>
      <c r="BV175" s="97" t="e">
        <f>'Actual Value'!I76+"AM:!(`H"</f>
        <v>#VALUE!</v>
      </c>
      <c r="BW175" s="97" t="e">
        <f>'Actual Value'!J76+"AM:!(`I"</f>
        <v>#VALUE!</v>
      </c>
      <c r="BX175" s="97" t="e">
        <f>'Actual Value'!K76+"AM:!(`J"</f>
        <v>#VALUE!</v>
      </c>
      <c r="BY175" s="97" t="e">
        <f>'Actual Value'!L76+"AM:!(`K"</f>
        <v>#VALUE!</v>
      </c>
      <c r="BZ175" s="97" t="e">
        <f>'Actual Value'!M76+"AM:!(`L"</f>
        <v>#VALUE!</v>
      </c>
      <c r="CA175" s="97" t="e">
        <f>'Actual Value'!N76+"AM:!(`M"</f>
        <v>#VALUE!</v>
      </c>
      <c r="CB175" s="97" t="e">
        <f>'Actual Value'!O76+"AM:!(`N"</f>
        <v>#VALUE!</v>
      </c>
      <c r="CC175" s="97" t="e">
        <f>'Actual Value'!P76+"AM:!(`O"</f>
        <v>#VALUE!</v>
      </c>
      <c r="CD175" s="97" t="e">
        <f>'Actual Value'!Q76+"AM:!(`P"</f>
        <v>#VALUE!</v>
      </c>
      <c r="CE175" s="97" t="e">
        <f>'Actual Value'!R76+"AM:!(`Q"</f>
        <v>#VALUE!</v>
      </c>
      <c r="CF175" s="97" t="e">
        <f>'Actual Value'!S76+"AM:!(`R"</f>
        <v>#VALUE!</v>
      </c>
      <c r="CG175" s="97" t="e">
        <f>'Actual Value'!T76+"AM:!(`S"</f>
        <v>#VALUE!</v>
      </c>
      <c r="CH175" s="97" t="e">
        <f>'Actual Value'!U76+"AM:!(`T"</f>
        <v>#VALUE!</v>
      </c>
      <c r="CI175" s="97" t="e">
        <f>'Actual Value'!V76+"AM:!(`U"</f>
        <v>#VALUE!</v>
      </c>
      <c r="CJ175" s="97" t="e">
        <f>'Actual Value'!W76+"AM:!(`V"</f>
        <v>#VALUE!</v>
      </c>
      <c r="CK175" s="97" t="e">
        <f>'Actual Value'!X76+"AM:!(`W"</f>
        <v>#VALUE!</v>
      </c>
      <c r="CL175" s="97" t="e">
        <f>'Actual Value'!Y76+"AM:!(`X"</f>
        <v>#VALUE!</v>
      </c>
      <c r="CM175" s="97" t="e">
        <f>'Actual Value'!Z76+"AM:!(`Y"</f>
        <v>#VALUE!</v>
      </c>
      <c r="CN175" s="97" t="e">
        <f>'Actual Value'!AA76+"AM:!(`Z"</f>
        <v>#VALUE!</v>
      </c>
      <c r="CO175" s="97" t="e">
        <f>'Actual Value'!AB76+"AM:!(`["</f>
        <v>#VALUE!</v>
      </c>
      <c r="CP175" s="97" t="e">
        <f>'Actual Value'!AC76+"AM:!(`\"</f>
        <v>#VALUE!</v>
      </c>
      <c r="CQ175" s="97" t="e">
        <f>'Actual Value'!AD76+"AM:!(`]"</f>
        <v>#VALUE!</v>
      </c>
      <c r="CR175" s="97" t="e">
        <f>'Actual Value'!AE76+"AM:!(`^"</f>
        <v>#VALUE!</v>
      </c>
      <c r="CS175" s="97" t="e">
        <f>'Actual Value'!AF76+"AM:!(`_"</f>
        <v>#VALUE!</v>
      </c>
      <c r="CT175" s="97" t="e">
        <f>'Actual Value'!AG76+"AM:!(``"</f>
        <v>#VALUE!</v>
      </c>
      <c r="CU175" s="97" t="e">
        <f>'Actual Value'!AH76+"AM:!(`a"</f>
        <v>#VALUE!</v>
      </c>
      <c r="CV175" s="97" t="e">
        <f>'Actual Value'!AI76+"AM:!(`b"</f>
        <v>#VALUE!</v>
      </c>
      <c r="CW175" s="97" t="e">
        <f>'Actual Value'!AJ76+"AM:!(`c"</f>
        <v>#VALUE!</v>
      </c>
      <c r="CX175" s="97" t="e">
        <f>'Actual Value'!AK76+"AM:!(`d"</f>
        <v>#VALUE!</v>
      </c>
      <c r="CY175" s="97" t="e">
        <f>'Actual Value'!AL76+"AM:!(`e"</f>
        <v>#VALUE!</v>
      </c>
      <c r="CZ175" s="97" t="e">
        <f>'Actual Value'!AM76+"AM:!(`f"</f>
        <v>#VALUE!</v>
      </c>
      <c r="DA175" s="97" t="e">
        <f>'Actual Value'!AN76+"AM:!(`g"</f>
        <v>#VALUE!</v>
      </c>
      <c r="DB175" s="97" t="e">
        <f>'Actual Value'!AO76+"AM:!(`h"</f>
        <v>#VALUE!</v>
      </c>
      <c r="DC175" t="e">
        <f>'Actual Value'!AP76+"AM:!(`i"</f>
        <v>#VALUE!</v>
      </c>
      <c r="DD175" t="e">
        <f>'Actual Value'!AQ76+"AM:!(`j"</f>
        <v>#VALUE!</v>
      </c>
      <c r="DE175" t="e">
        <f>'Actual Value'!AR76+"AM:!(`k"</f>
        <v>#VALUE!</v>
      </c>
      <c r="DF175" t="e">
        <f>'Actual Value'!AS76+"AM:!(`l"</f>
        <v>#VALUE!</v>
      </c>
      <c r="DG175" t="e">
        <f>'Actual Value'!AT76+"AM:!(`m"</f>
        <v>#VALUE!</v>
      </c>
      <c r="DH175" t="e">
        <f>'Actual Value'!AU76+"AM:!(`n"</f>
        <v>#VALUE!</v>
      </c>
      <c r="DI175" t="e">
        <f>'Actual Value'!AV76+"AM:!(`o"</f>
        <v>#VALUE!</v>
      </c>
      <c r="DJ175" t="e">
        <f>'Actual Value'!AW76+"AM:!(`p"</f>
        <v>#VALUE!</v>
      </c>
      <c r="DK175" t="e">
        <f>'Actual Value'!AX76+"AM:!(`q"</f>
        <v>#VALUE!</v>
      </c>
      <c r="DL175" t="e">
        <f>'Actual Value'!A77+"AM:!(`r"</f>
        <v>#VALUE!</v>
      </c>
      <c r="DM175" t="e">
        <f>'Actual Value'!B77+"AM:!(`s"</f>
        <v>#VALUE!</v>
      </c>
      <c r="DN175" t="e">
        <f>'Actual Value'!C77+"AM:!(`t"</f>
        <v>#VALUE!</v>
      </c>
      <c r="DO175" s="97" t="e">
        <f>'Actual Value'!D77+"AM:!(`u"</f>
        <v>#VALUE!</v>
      </c>
      <c r="DP175" s="97" t="e">
        <f>'Actual Value'!E77+"AM:!(`v"</f>
        <v>#VALUE!</v>
      </c>
      <c r="DQ175" s="97" t="e">
        <f>'Actual Value'!F77+"AM:!(`w"</f>
        <v>#VALUE!</v>
      </c>
      <c r="DR175" s="97" t="e">
        <f>'Actual Value'!G77+"AM:!(`x"</f>
        <v>#VALUE!</v>
      </c>
      <c r="DS175" s="97" t="e">
        <f>'Actual Value'!H77+"AM:!(`y"</f>
        <v>#VALUE!</v>
      </c>
      <c r="DT175" s="97" t="e">
        <f>'Actual Value'!I77+"AM:!(`z"</f>
        <v>#VALUE!</v>
      </c>
      <c r="DU175" s="97" t="e">
        <f>'Actual Value'!J77+"AM:!(`{"</f>
        <v>#VALUE!</v>
      </c>
      <c r="DV175" s="97" t="e">
        <f>'Actual Value'!K77+"AM:!(`|"</f>
        <v>#VALUE!</v>
      </c>
      <c r="DW175" s="97" t="e">
        <f>'Actual Value'!L77+"AM:!(`}"</f>
        <v>#VALUE!</v>
      </c>
      <c r="DX175" s="97" t="e">
        <f>'Actual Value'!M77+"AM:!(`~"</f>
        <v>#VALUE!</v>
      </c>
      <c r="DY175" s="97" t="e">
        <f>'Actual Value'!N77+"AM:!(a#"</f>
        <v>#VALUE!</v>
      </c>
      <c r="DZ175" s="97" t="e">
        <f>'Actual Value'!O77+"AM:!(a$"</f>
        <v>#VALUE!</v>
      </c>
      <c r="EA175" s="97" t="e">
        <f>'Actual Value'!P77+"AM:!(a%"</f>
        <v>#VALUE!</v>
      </c>
      <c r="EB175" s="97" t="e">
        <f>'Actual Value'!Q77+"AM:!(a&amp;"</f>
        <v>#VALUE!</v>
      </c>
      <c r="EC175" s="97" t="e">
        <f>'Actual Value'!R77+"AM:!(a'"</f>
        <v>#VALUE!</v>
      </c>
      <c r="ED175" s="97" t="e">
        <f>'Actual Value'!S77+"AM:!(a("</f>
        <v>#VALUE!</v>
      </c>
      <c r="EE175" s="97" t="e">
        <f>'Actual Value'!T77+"AM:!(a)"</f>
        <v>#VALUE!</v>
      </c>
      <c r="EF175" s="97" t="e">
        <f>'Actual Value'!U77+"AM:!(a."</f>
        <v>#VALUE!</v>
      </c>
      <c r="EG175" s="97" t="e">
        <f>'Actual Value'!V77+"AM:!(a/"</f>
        <v>#VALUE!</v>
      </c>
      <c r="EH175" s="97" t="e">
        <f>'Actual Value'!W77+"AM:!(a0"</f>
        <v>#VALUE!</v>
      </c>
      <c r="EI175" s="97" t="e">
        <f>'Actual Value'!X77+"AM:!(a1"</f>
        <v>#VALUE!</v>
      </c>
      <c r="EJ175" s="97" t="e">
        <f>'Actual Value'!Y77+"AM:!(a2"</f>
        <v>#VALUE!</v>
      </c>
      <c r="EK175" s="97" t="e">
        <f>'Actual Value'!Z77+"AM:!(a3"</f>
        <v>#VALUE!</v>
      </c>
      <c r="EL175" s="97" t="e">
        <f>'Actual Value'!AA77+"AM:!(a4"</f>
        <v>#VALUE!</v>
      </c>
      <c r="EM175" s="97" t="e">
        <f>'Actual Value'!AB77+"AM:!(a5"</f>
        <v>#VALUE!</v>
      </c>
      <c r="EN175" s="97" t="e">
        <f>'Actual Value'!AC77+"AM:!(a6"</f>
        <v>#VALUE!</v>
      </c>
      <c r="EO175" s="97" t="e">
        <f>'Actual Value'!AD77+"AM:!(a7"</f>
        <v>#VALUE!</v>
      </c>
      <c r="EP175" s="97" t="e">
        <f>'Actual Value'!AE77+"AM:!(a8"</f>
        <v>#VALUE!</v>
      </c>
      <c r="EQ175" s="97" t="e">
        <f>'Actual Value'!AF77+"AM:!(a9"</f>
        <v>#VALUE!</v>
      </c>
      <c r="ER175" s="97" t="e">
        <f>'Actual Value'!AG77+"AM:!(a:"</f>
        <v>#VALUE!</v>
      </c>
      <c r="ES175" s="97" t="e">
        <f>'Actual Value'!AH77+"AM:!(a;"</f>
        <v>#VALUE!</v>
      </c>
      <c r="ET175" s="97" t="e">
        <f>'Actual Value'!AI77+"AM:!(a&lt;"</f>
        <v>#VALUE!</v>
      </c>
      <c r="EU175" s="97" t="e">
        <f>'Actual Value'!AJ77+"AM:!(a="</f>
        <v>#VALUE!</v>
      </c>
      <c r="EV175" s="97" t="e">
        <f>'Actual Value'!AK77+"AM:!(a&gt;"</f>
        <v>#VALUE!</v>
      </c>
      <c r="EW175" s="97" t="e">
        <f>'Actual Value'!AL77+"AM:!(a?"</f>
        <v>#VALUE!</v>
      </c>
      <c r="EX175" s="97" t="e">
        <f>'Actual Value'!AM77+"AM:!(a@"</f>
        <v>#VALUE!</v>
      </c>
      <c r="EY175" s="97" t="e">
        <f>'Actual Value'!AN77+"AM:!(aA"</f>
        <v>#VALUE!</v>
      </c>
      <c r="EZ175" s="97" t="e">
        <f>'Actual Value'!AO77+"AM:!(aB"</f>
        <v>#VALUE!</v>
      </c>
      <c r="FA175" t="e">
        <f>'Actual Value'!AP77+"AM:!(aC"</f>
        <v>#VALUE!</v>
      </c>
      <c r="FB175" t="e">
        <f>'Actual Value'!AQ77+"AM:!(aD"</f>
        <v>#VALUE!</v>
      </c>
      <c r="FC175" t="e">
        <f>'Actual Value'!AR77+"AM:!(aE"</f>
        <v>#VALUE!</v>
      </c>
      <c r="FD175" t="e">
        <f>'Actual Value'!AS77+"AM:!(aF"</f>
        <v>#VALUE!</v>
      </c>
      <c r="FE175" t="e">
        <f>'Actual Value'!AT77+"AM:!(aG"</f>
        <v>#VALUE!</v>
      </c>
      <c r="FF175" t="e">
        <f>'Actual Value'!AU77+"AM:!(aH"</f>
        <v>#VALUE!</v>
      </c>
      <c r="FG175" t="e">
        <f>'Actual Value'!AV77+"AM:!(aI"</f>
        <v>#VALUE!</v>
      </c>
      <c r="FH175" t="e">
        <f>'Actual Value'!AW77+"AM:!(aJ"</f>
        <v>#VALUE!</v>
      </c>
      <c r="FI175" t="e">
        <f>'Actual Value'!AX77+"AM:!(aK"</f>
        <v>#VALUE!</v>
      </c>
      <c r="FJ175" t="e">
        <f>'Actual Value'!A78+"AM:!(aL"</f>
        <v>#VALUE!</v>
      </c>
      <c r="FK175" t="e">
        <f>'Actual Value'!B78+"AM:!(aM"</f>
        <v>#VALUE!</v>
      </c>
      <c r="FL175" t="e">
        <f>'Actual Value'!C78+"AM:!(aN"</f>
        <v>#VALUE!</v>
      </c>
      <c r="FM175" s="97" t="e">
        <f>'Actual Value'!D78+"AM:!(aO"</f>
        <v>#VALUE!</v>
      </c>
      <c r="FN175" s="97" t="e">
        <f>'Actual Value'!E78+"AM:!(aP"</f>
        <v>#VALUE!</v>
      </c>
      <c r="FO175" s="97" t="e">
        <f>'Actual Value'!F78+"AM:!(aQ"</f>
        <v>#VALUE!</v>
      </c>
      <c r="FP175" s="97" t="e">
        <f>'Actual Value'!G78+"AM:!(aR"</f>
        <v>#VALUE!</v>
      </c>
      <c r="FQ175" s="97" t="e">
        <f>'Actual Value'!H78+"AM:!(aS"</f>
        <v>#VALUE!</v>
      </c>
      <c r="FR175" s="97" t="e">
        <f>'Actual Value'!I78+"AM:!(aT"</f>
        <v>#VALUE!</v>
      </c>
      <c r="FS175" s="97" t="e">
        <f>'Actual Value'!J78+"AM:!(aU"</f>
        <v>#VALUE!</v>
      </c>
      <c r="FT175" s="97" t="e">
        <f>'Actual Value'!K78+"AM:!(aV"</f>
        <v>#VALUE!</v>
      </c>
      <c r="FU175" s="97" t="e">
        <f>'Actual Value'!L78+"AM:!(aW"</f>
        <v>#VALUE!</v>
      </c>
      <c r="FV175" s="97" t="e">
        <f>'Actual Value'!M78+"AM:!(aX"</f>
        <v>#VALUE!</v>
      </c>
      <c r="FW175" s="97" t="e">
        <f>'Actual Value'!N78+"AM:!(aY"</f>
        <v>#VALUE!</v>
      </c>
      <c r="FX175" s="97" t="e">
        <f>'Actual Value'!O78+"AM:!(aZ"</f>
        <v>#VALUE!</v>
      </c>
      <c r="FY175" s="97" t="e">
        <f>'Actual Value'!P78+"AM:!(a["</f>
        <v>#VALUE!</v>
      </c>
      <c r="FZ175" s="97" t="e">
        <f>'Actual Value'!Q78+"AM:!(a\"</f>
        <v>#VALUE!</v>
      </c>
      <c r="GA175" s="97" t="e">
        <f>'Actual Value'!R78+"AM:!(a]"</f>
        <v>#VALUE!</v>
      </c>
      <c r="GB175" s="97" t="e">
        <f>'Actual Value'!S78+"AM:!(a^"</f>
        <v>#VALUE!</v>
      </c>
      <c r="GC175" s="97" t="e">
        <f>'Actual Value'!T78+"AM:!(a_"</f>
        <v>#VALUE!</v>
      </c>
      <c r="GD175" s="97" t="e">
        <f>'Actual Value'!U78+"AM:!(a`"</f>
        <v>#VALUE!</v>
      </c>
      <c r="GE175" s="97" t="e">
        <f>'Actual Value'!V78+"AM:!(aa"</f>
        <v>#VALUE!</v>
      </c>
      <c r="GF175" s="97" t="e">
        <f>'Actual Value'!W78+"AM:!(ab"</f>
        <v>#VALUE!</v>
      </c>
      <c r="GG175" s="97" t="e">
        <f>'Actual Value'!X78+"AM:!(ac"</f>
        <v>#VALUE!</v>
      </c>
      <c r="GH175" s="97" t="e">
        <f>'Actual Value'!Y78+"AM:!(ad"</f>
        <v>#VALUE!</v>
      </c>
      <c r="GI175" s="97" t="e">
        <f>'Actual Value'!Z78+"AM:!(ae"</f>
        <v>#VALUE!</v>
      </c>
      <c r="GJ175" s="97" t="e">
        <f>'Actual Value'!AA78+"AM:!(af"</f>
        <v>#VALUE!</v>
      </c>
      <c r="GK175" s="97" t="e">
        <f>'Actual Value'!AB78+"AM:!(ag"</f>
        <v>#VALUE!</v>
      </c>
      <c r="GL175" s="97" t="e">
        <f>'Actual Value'!AC78+"AM:!(ah"</f>
        <v>#VALUE!</v>
      </c>
      <c r="GM175" s="97" t="e">
        <f>'Actual Value'!AD78+"AM:!(ai"</f>
        <v>#VALUE!</v>
      </c>
      <c r="GN175" s="97" t="e">
        <f>'Actual Value'!AE78+"AM:!(aj"</f>
        <v>#VALUE!</v>
      </c>
      <c r="GO175" s="97" t="e">
        <f>'Actual Value'!AF78+"AM:!(ak"</f>
        <v>#VALUE!</v>
      </c>
      <c r="GP175" s="97" t="e">
        <f>'Actual Value'!AG78+"AM:!(al"</f>
        <v>#VALUE!</v>
      </c>
      <c r="GQ175" s="97" t="e">
        <f>'Actual Value'!AH78+"AM:!(am"</f>
        <v>#VALUE!</v>
      </c>
      <c r="GR175" s="97" t="e">
        <f>'Actual Value'!AI78+"AM:!(an"</f>
        <v>#VALUE!</v>
      </c>
      <c r="GS175" s="97" t="e">
        <f>'Actual Value'!AJ78+"AM:!(ao"</f>
        <v>#VALUE!</v>
      </c>
      <c r="GT175" s="97" t="e">
        <f>'Actual Value'!AK78+"AM:!(ap"</f>
        <v>#VALUE!</v>
      </c>
      <c r="GU175" s="97" t="e">
        <f>'Actual Value'!AL78+"AM:!(aq"</f>
        <v>#VALUE!</v>
      </c>
      <c r="GV175" s="97" t="e">
        <f>'Actual Value'!AM78+"AM:!(ar"</f>
        <v>#VALUE!</v>
      </c>
      <c r="GW175" s="97" t="e">
        <f>'Actual Value'!AN78+"AM:!(as"</f>
        <v>#VALUE!</v>
      </c>
      <c r="GX175" s="97" t="e">
        <f>'Actual Value'!AO78+"AM:!(at"</f>
        <v>#VALUE!</v>
      </c>
      <c r="GY175" t="e">
        <f>'Actual Value'!AP78+"AM:!(au"</f>
        <v>#VALUE!</v>
      </c>
      <c r="GZ175" t="e">
        <f>'Actual Value'!AQ78+"AM:!(av"</f>
        <v>#VALUE!</v>
      </c>
      <c r="HA175" t="e">
        <f>'Actual Value'!AR78+"AM:!(aw"</f>
        <v>#VALUE!</v>
      </c>
      <c r="HB175" t="e">
        <f>'Actual Value'!AS78+"AM:!(ax"</f>
        <v>#VALUE!</v>
      </c>
      <c r="HC175" t="e">
        <f>'Actual Value'!AT78+"AM:!(ay"</f>
        <v>#VALUE!</v>
      </c>
      <c r="HD175" t="e">
        <f>'Actual Value'!AU78+"AM:!(az"</f>
        <v>#VALUE!</v>
      </c>
      <c r="HE175" t="e">
        <f>'Actual Value'!AV78+"AM:!(a{"</f>
        <v>#VALUE!</v>
      </c>
      <c r="HF175" t="e">
        <f>'Actual Value'!AW78+"AM:!(a|"</f>
        <v>#VALUE!</v>
      </c>
      <c r="HG175" t="e">
        <f>'Actual Value'!AX78+"AM:!(a}"</f>
        <v>#VALUE!</v>
      </c>
      <c r="HH175" t="e">
        <f>'Actual Value'!A79+"AM:!(a~"</f>
        <v>#VALUE!</v>
      </c>
      <c r="HI175" t="e">
        <f>'Actual Value'!B79+"AM:!(b#"</f>
        <v>#VALUE!</v>
      </c>
      <c r="HJ175" t="e">
        <f>'Actual Value'!C79+"AM:!(b$"</f>
        <v>#VALUE!</v>
      </c>
      <c r="HK175" s="97" t="e">
        <f>'Actual Value'!D79+"AM:!(b%"</f>
        <v>#VALUE!</v>
      </c>
      <c r="HL175" s="97" t="e">
        <f>'Actual Value'!E79+"AM:!(b&amp;"</f>
        <v>#VALUE!</v>
      </c>
      <c r="HM175" s="97" t="e">
        <f>'Actual Value'!F79+"AM:!(b'"</f>
        <v>#VALUE!</v>
      </c>
      <c r="HN175" s="97" t="e">
        <f>'Actual Value'!G79+"AM:!(b("</f>
        <v>#VALUE!</v>
      </c>
      <c r="HO175" s="97" t="e">
        <f>'Actual Value'!H79+"AM:!(b)"</f>
        <v>#VALUE!</v>
      </c>
      <c r="HP175" s="97" t="e">
        <f>'Actual Value'!I79+"AM:!(b."</f>
        <v>#VALUE!</v>
      </c>
      <c r="HQ175" s="97" t="e">
        <f>'Actual Value'!J79+"AM:!(b/"</f>
        <v>#VALUE!</v>
      </c>
      <c r="HR175" s="97" t="e">
        <f>'Actual Value'!K79+"AM:!(b0"</f>
        <v>#VALUE!</v>
      </c>
      <c r="HS175" s="97" t="e">
        <f>'Actual Value'!L79+"AM:!(b1"</f>
        <v>#VALUE!</v>
      </c>
      <c r="HT175" s="97" t="e">
        <f>'Actual Value'!M79+"AM:!(b2"</f>
        <v>#VALUE!</v>
      </c>
      <c r="HU175" s="97" t="e">
        <f>'Actual Value'!N79+"AM:!(b3"</f>
        <v>#VALUE!</v>
      </c>
      <c r="HV175" s="97" t="e">
        <f>'Actual Value'!O79+"AM:!(b4"</f>
        <v>#VALUE!</v>
      </c>
      <c r="HW175" s="97" t="e">
        <f>'Actual Value'!P79+"AM:!(b5"</f>
        <v>#VALUE!</v>
      </c>
      <c r="HX175" s="97" t="e">
        <f>'Actual Value'!Q79+"AM:!(b6"</f>
        <v>#VALUE!</v>
      </c>
      <c r="HY175" s="97" t="e">
        <f>'Actual Value'!R79+"AM:!(b7"</f>
        <v>#VALUE!</v>
      </c>
      <c r="HZ175" s="97" t="e">
        <f>'Actual Value'!S79+"AM:!(b8"</f>
        <v>#VALUE!</v>
      </c>
      <c r="IA175" s="97" t="e">
        <f>'Actual Value'!T79+"AM:!(b9"</f>
        <v>#VALUE!</v>
      </c>
      <c r="IB175" s="97" t="e">
        <f>'Actual Value'!U79+"AM:!(b:"</f>
        <v>#VALUE!</v>
      </c>
      <c r="IC175" s="97" t="e">
        <f>'Actual Value'!V79+"AM:!(b;"</f>
        <v>#VALUE!</v>
      </c>
      <c r="ID175" s="97" t="e">
        <f>'Actual Value'!W79+"AM:!(b&lt;"</f>
        <v>#VALUE!</v>
      </c>
      <c r="IE175" s="97" t="e">
        <f>'Actual Value'!X79+"AM:!(b="</f>
        <v>#VALUE!</v>
      </c>
      <c r="IF175" s="97" t="e">
        <f>'Actual Value'!Y79+"AM:!(b&gt;"</f>
        <v>#VALUE!</v>
      </c>
      <c r="IG175" s="97" t="e">
        <f>'Actual Value'!Z79+"AM:!(b?"</f>
        <v>#VALUE!</v>
      </c>
      <c r="IH175" s="97" t="e">
        <f>'Actual Value'!AA79+"AM:!(b@"</f>
        <v>#VALUE!</v>
      </c>
      <c r="II175" s="97" t="e">
        <f>'Actual Value'!AB79+"AM:!(bA"</f>
        <v>#VALUE!</v>
      </c>
      <c r="IJ175" s="97" t="e">
        <f>'Actual Value'!AC79+"AM:!(bB"</f>
        <v>#VALUE!</v>
      </c>
      <c r="IK175" s="97" t="e">
        <f>'Actual Value'!AD79+"AM:!(bC"</f>
        <v>#VALUE!</v>
      </c>
      <c r="IL175" s="97" t="e">
        <f>'Actual Value'!AE79+"AM:!(bD"</f>
        <v>#VALUE!</v>
      </c>
      <c r="IM175" s="97" t="e">
        <f>'Actual Value'!AF79+"AM:!(bE"</f>
        <v>#VALUE!</v>
      </c>
      <c r="IN175" s="97" t="e">
        <f>'Actual Value'!AG79+"AM:!(bF"</f>
        <v>#VALUE!</v>
      </c>
      <c r="IO175" s="97" t="e">
        <f>'Actual Value'!AH79+"AM:!(bG"</f>
        <v>#VALUE!</v>
      </c>
      <c r="IP175" s="97" t="e">
        <f>'Actual Value'!AI79+"AM:!(bH"</f>
        <v>#VALUE!</v>
      </c>
      <c r="IQ175" s="97" t="e">
        <f>'Actual Value'!AJ79+"AM:!(bI"</f>
        <v>#VALUE!</v>
      </c>
      <c r="IR175" s="97" t="e">
        <f>'Actual Value'!AK79+"AM:!(bJ"</f>
        <v>#VALUE!</v>
      </c>
      <c r="IS175" s="97" t="e">
        <f>'Actual Value'!AL79+"AM:!(bK"</f>
        <v>#VALUE!</v>
      </c>
      <c r="IT175" s="97" t="e">
        <f>'Actual Value'!AM79+"AM:!(bL"</f>
        <v>#VALUE!</v>
      </c>
      <c r="IU175" s="97" t="e">
        <f>'Actual Value'!AN79+"AM:!(bM"</f>
        <v>#VALUE!</v>
      </c>
      <c r="IV175" s="97" t="e">
        <f>'Actual Value'!AO79+"AM:!(bN"</f>
        <v>#VALUE!</v>
      </c>
    </row>
    <row r="176" spans="6:256">
      <c r="F176" t="e">
        <f>'Actual Value'!AP79+"AM:!(bO"</f>
        <v>#VALUE!</v>
      </c>
      <c r="G176" t="e">
        <f>'Actual Value'!AQ79+"AM:!(bP"</f>
        <v>#VALUE!</v>
      </c>
      <c r="H176" t="e">
        <f>'Actual Value'!AR79+"AM:!(bQ"</f>
        <v>#VALUE!</v>
      </c>
      <c r="I176" t="e">
        <f>'Actual Value'!AS79+"AM:!(bR"</f>
        <v>#VALUE!</v>
      </c>
      <c r="J176" t="e">
        <f>'Actual Value'!AT79+"AM:!(bS"</f>
        <v>#VALUE!</v>
      </c>
      <c r="K176" t="e">
        <f>'Actual Value'!AU79+"AM:!(bT"</f>
        <v>#VALUE!</v>
      </c>
      <c r="L176" t="e">
        <f>'Actual Value'!AV79+"AM:!(bU"</f>
        <v>#VALUE!</v>
      </c>
      <c r="M176" t="e">
        <f>'Actual Value'!AW79+"AM:!(bV"</f>
        <v>#VALUE!</v>
      </c>
      <c r="N176" t="e">
        <f>'Actual Value'!AX79+"AM:!(bW"</f>
        <v>#VALUE!</v>
      </c>
      <c r="O176" t="e">
        <f>'Actual Value'!A80+"AM:!(bX"</f>
        <v>#VALUE!</v>
      </c>
      <c r="P176" t="e">
        <f>'Actual Value'!B80+"AM:!(bY"</f>
        <v>#VALUE!</v>
      </c>
      <c r="Q176" t="e">
        <f>'Actual Value'!C80+"AM:!(bZ"</f>
        <v>#VALUE!</v>
      </c>
      <c r="R176" s="97" t="e">
        <f>'Actual Value'!D80+"AM:!(b["</f>
        <v>#VALUE!</v>
      </c>
      <c r="S176" s="97" t="e">
        <f>'Actual Value'!E80+"AM:!(b\"</f>
        <v>#VALUE!</v>
      </c>
      <c r="T176" s="97" t="e">
        <f>'Actual Value'!F80+"AM:!(b]"</f>
        <v>#VALUE!</v>
      </c>
      <c r="U176" s="97" t="e">
        <f>'Actual Value'!G80+"AM:!(b^"</f>
        <v>#VALUE!</v>
      </c>
      <c r="V176" s="97" t="e">
        <f>'Actual Value'!H80+"AM:!(b_"</f>
        <v>#VALUE!</v>
      </c>
      <c r="W176" s="97" t="e">
        <f>'Actual Value'!I80+"AM:!(b`"</f>
        <v>#VALUE!</v>
      </c>
      <c r="X176" s="97" t="e">
        <f>'Actual Value'!J80+"AM:!(ba"</f>
        <v>#VALUE!</v>
      </c>
      <c r="Y176" s="97" t="e">
        <f>'Actual Value'!K80+"AM:!(bb"</f>
        <v>#VALUE!</v>
      </c>
      <c r="Z176" s="97" t="e">
        <f>'Actual Value'!L80+"AM:!(bc"</f>
        <v>#VALUE!</v>
      </c>
      <c r="AA176" s="97" t="e">
        <f>'Actual Value'!M80+"AM:!(bd"</f>
        <v>#VALUE!</v>
      </c>
      <c r="AB176" s="97" t="e">
        <f>'Actual Value'!N80+"AM:!(be"</f>
        <v>#VALUE!</v>
      </c>
      <c r="AC176" s="97" t="e">
        <f>'Actual Value'!O80+"AM:!(bf"</f>
        <v>#VALUE!</v>
      </c>
      <c r="AD176" s="97" t="e">
        <f>'Actual Value'!P80+"AM:!(bg"</f>
        <v>#VALUE!</v>
      </c>
      <c r="AE176" s="97" t="e">
        <f>'Actual Value'!Q80+"AM:!(bh"</f>
        <v>#VALUE!</v>
      </c>
      <c r="AF176" s="97" t="e">
        <f>'Actual Value'!R80+"AM:!(bi"</f>
        <v>#VALUE!</v>
      </c>
      <c r="AG176" s="97" t="e">
        <f>'Actual Value'!S80+"AM:!(bj"</f>
        <v>#VALUE!</v>
      </c>
      <c r="AH176" s="97" t="e">
        <f>'Actual Value'!T80+"AM:!(bk"</f>
        <v>#VALUE!</v>
      </c>
      <c r="AI176" s="97" t="e">
        <f>'Actual Value'!U80+"AM:!(bl"</f>
        <v>#VALUE!</v>
      </c>
      <c r="AJ176" s="97" t="e">
        <f>'Actual Value'!V80+"AM:!(bm"</f>
        <v>#VALUE!</v>
      </c>
      <c r="AK176" s="97" t="e">
        <f>'Actual Value'!W80+"AM:!(bn"</f>
        <v>#VALUE!</v>
      </c>
      <c r="AL176" s="97" t="e">
        <f>'Actual Value'!X80+"AM:!(bo"</f>
        <v>#VALUE!</v>
      </c>
      <c r="AM176" s="97" t="e">
        <f>'Actual Value'!Y80+"AM:!(bp"</f>
        <v>#VALUE!</v>
      </c>
      <c r="AN176" s="97" t="e">
        <f>'Actual Value'!Z80+"AM:!(bq"</f>
        <v>#VALUE!</v>
      </c>
      <c r="AO176" s="97" t="e">
        <f>'Actual Value'!AA80+"AM:!(br"</f>
        <v>#VALUE!</v>
      </c>
      <c r="AP176" s="97" t="e">
        <f>'Actual Value'!AB80+"AM:!(bs"</f>
        <v>#VALUE!</v>
      </c>
      <c r="AQ176" s="97" t="e">
        <f>'Actual Value'!AC80+"AM:!(bt"</f>
        <v>#VALUE!</v>
      </c>
      <c r="AR176" s="97" t="e">
        <f>'Actual Value'!AD80+"AM:!(bu"</f>
        <v>#VALUE!</v>
      </c>
      <c r="AS176" s="97" t="e">
        <f>'Actual Value'!AE80+"AM:!(bv"</f>
        <v>#VALUE!</v>
      </c>
      <c r="AT176" s="97" t="e">
        <f>'Actual Value'!AF80+"AM:!(bw"</f>
        <v>#VALUE!</v>
      </c>
      <c r="AU176" s="97" t="e">
        <f>'Actual Value'!AG80+"AM:!(bx"</f>
        <v>#VALUE!</v>
      </c>
      <c r="AV176" s="97" t="e">
        <f>'Actual Value'!AH80+"AM:!(by"</f>
        <v>#VALUE!</v>
      </c>
      <c r="AW176" s="97" t="e">
        <f>'Actual Value'!AI80+"AM:!(bz"</f>
        <v>#VALUE!</v>
      </c>
      <c r="AX176" s="97" t="e">
        <f>'Actual Value'!AJ80+"AM:!(b{"</f>
        <v>#VALUE!</v>
      </c>
      <c r="AY176" s="97" t="e">
        <f>'Actual Value'!AK80+"AM:!(b|"</f>
        <v>#VALUE!</v>
      </c>
      <c r="AZ176" s="97" t="e">
        <f>'Actual Value'!AL80+"AM:!(b}"</f>
        <v>#VALUE!</v>
      </c>
      <c r="BA176" s="97" t="e">
        <f>'Actual Value'!AM80+"AM:!(b~"</f>
        <v>#VALUE!</v>
      </c>
      <c r="BB176" s="97" t="e">
        <f>'Actual Value'!AN80+"AM:!(c#"</f>
        <v>#VALUE!</v>
      </c>
      <c r="BC176" s="97" t="e">
        <f>'Actual Value'!AO80+"AM:!(c$"</f>
        <v>#VALUE!</v>
      </c>
      <c r="BD176" t="e">
        <f>'Actual Value'!AP80+"AM:!(c%"</f>
        <v>#VALUE!</v>
      </c>
      <c r="BE176" t="e">
        <f>'Actual Value'!AQ80+"AM:!(c&amp;"</f>
        <v>#VALUE!</v>
      </c>
      <c r="BF176" t="e">
        <f>'Actual Value'!AR80+"AM:!(c'"</f>
        <v>#VALUE!</v>
      </c>
      <c r="BG176" t="e">
        <f>'Actual Value'!AS80+"AM:!(c("</f>
        <v>#VALUE!</v>
      </c>
      <c r="BH176" t="e">
        <f>'Actual Value'!AT80+"AM:!(c)"</f>
        <v>#VALUE!</v>
      </c>
      <c r="BI176" t="e">
        <f>'Actual Value'!AU80+"AM:!(c."</f>
        <v>#VALUE!</v>
      </c>
      <c r="BJ176" t="e">
        <f>'Actual Value'!AV80+"AM:!(c/"</f>
        <v>#VALUE!</v>
      </c>
      <c r="BK176" t="e">
        <f>'Actual Value'!AW80+"AM:!(c0"</f>
        <v>#VALUE!</v>
      </c>
      <c r="BL176" t="e">
        <f>'Actual Value'!AX80+"AM:!(c1"</f>
        <v>#VALUE!</v>
      </c>
      <c r="BM176" t="e">
        <f>'Actual Value'!A81+"AM:!(c2"</f>
        <v>#VALUE!</v>
      </c>
      <c r="BN176" t="e">
        <f>'Actual Value'!B81+"AM:!(c3"</f>
        <v>#VALUE!</v>
      </c>
      <c r="BO176" t="e">
        <f>'Actual Value'!C81+"AM:!(c4"</f>
        <v>#VALUE!</v>
      </c>
      <c r="BP176" s="97" t="e">
        <f>'Actual Value'!D81+"AM:!(c5"</f>
        <v>#VALUE!</v>
      </c>
      <c r="BQ176" s="97" t="e">
        <f>'Actual Value'!E81+"AM:!(c6"</f>
        <v>#VALUE!</v>
      </c>
      <c r="BR176" s="97" t="e">
        <f>'Actual Value'!F81+"AM:!(c7"</f>
        <v>#VALUE!</v>
      </c>
      <c r="BS176" s="97" t="e">
        <f>'Actual Value'!G81+"AM:!(c8"</f>
        <v>#VALUE!</v>
      </c>
      <c r="BT176" s="97" t="e">
        <f>'Actual Value'!H81+"AM:!(c9"</f>
        <v>#VALUE!</v>
      </c>
      <c r="BU176" s="97" t="e">
        <f>'Actual Value'!I81+"AM:!(c:"</f>
        <v>#VALUE!</v>
      </c>
      <c r="BV176" s="97" t="e">
        <f>'Actual Value'!J81+"AM:!(c;"</f>
        <v>#VALUE!</v>
      </c>
      <c r="BW176" s="97" t="e">
        <f>'Actual Value'!K81+"AM:!(c&lt;"</f>
        <v>#VALUE!</v>
      </c>
      <c r="BX176" s="97" t="e">
        <f>'Actual Value'!L81+"AM:!(c="</f>
        <v>#VALUE!</v>
      </c>
      <c r="BY176" s="97" t="e">
        <f>'Actual Value'!M81+"AM:!(c&gt;"</f>
        <v>#VALUE!</v>
      </c>
      <c r="BZ176" s="97" t="e">
        <f>'Actual Value'!N81+"AM:!(c?"</f>
        <v>#VALUE!</v>
      </c>
      <c r="CA176" s="97" t="e">
        <f>'Actual Value'!O81+"AM:!(c@"</f>
        <v>#VALUE!</v>
      </c>
      <c r="CB176" s="97" t="e">
        <f>'Actual Value'!P81+"AM:!(cA"</f>
        <v>#VALUE!</v>
      </c>
      <c r="CC176" s="97" t="e">
        <f>'Actual Value'!Q81+"AM:!(cB"</f>
        <v>#VALUE!</v>
      </c>
      <c r="CD176" s="97" t="e">
        <f>'Actual Value'!R81+"AM:!(cC"</f>
        <v>#VALUE!</v>
      </c>
      <c r="CE176" s="97" t="e">
        <f>'Actual Value'!S81+"AM:!(cD"</f>
        <v>#VALUE!</v>
      </c>
      <c r="CF176" s="97" t="e">
        <f>'Actual Value'!T81+"AM:!(cE"</f>
        <v>#VALUE!</v>
      </c>
      <c r="CG176" s="97" t="e">
        <f>'Actual Value'!U81+"AM:!(cF"</f>
        <v>#VALUE!</v>
      </c>
      <c r="CH176" s="97" t="e">
        <f>'Actual Value'!V81+"AM:!(cG"</f>
        <v>#VALUE!</v>
      </c>
      <c r="CI176" s="97" t="e">
        <f>'Actual Value'!W81+"AM:!(cH"</f>
        <v>#VALUE!</v>
      </c>
      <c r="CJ176" s="97" t="e">
        <f>'Actual Value'!X81+"AM:!(cI"</f>
        <v>#VALUE!</v>
      </c>
      <c r="CK176" s="97" t="e">
        <f>'Actual Value'!Y81+"AM:!(cJ"</f>
        <v>#VALUE!</v>
      </c>
      <c r="CL176" s="97" t="e">
        <f>'Actual Value'!Z81+"AM:!(cK"</f>
        <v>#VALUE!</v>
      </c>
      <c r="CM176" s="97" t="e">
        <f>'Actual Value'!AA81+"AM:!(cL"</f>
        <v>#VALUE!</v>
      </c>
      <c r="CN176" s="97" t="e">
        <f>'Actual Value'!AB81+"AM:!(cM"</f>
        <v>#VALUE!</v>
      </c>
      <c r="CO176" s="97" t="e">
        <f>'Actual Value'!AC81+"AM:!(cN"</f>
        <v>#VALUE!</v>
      </c>
      <c r="CP176" s="97" t="e">
        <f>'Actual Value'!AD81+"AM:!(cO"</f>
        <v>#VALUE!</v>
      </c>
      <c r="CQ176" s="97" t="e">
        <f>'Actual Value'!AE81+"AM:!(cP"</f>
        <v>#VALUE!</v>
      </c>
      <c r="CR176" s="97" t="e">
        <f>'Actual Value'!AF81+"AM:!(cQ"</f>
        <v>#VALUE!</v>
      </c>
      <c r="CS176" s="97" t="e">
        <f>'Actual Value'!AG81+"AM:!(cR"</f>
        <v>#VALUE!</v>
      </c>
      <c r="CT176" s="97" t="e">
        <f>'Actual Value'!AH81+"AM:!(cS"</f>
        <v>#VALUE!</v>
      </c>
      <c r="CU176" s="97" t="e">
        <f>'Actual Value'!AI81+"AM:!(cT"</f>
        <v>#VALUE!</v>
      </c>
      <c r="CV176" s="97" t="e">
        <f>'Actual Value'!AJ81+"AM:!(cU"</f>
        <v>#VALUE!</v>
      </c>
      <c r="CW176" s="97" t="e">
        <f>'Actual Value'!AK81+"AM:!(cV"</f>
        <v>#VALUE!</v>
      </c>
      <c r="CX176" s="97" t="e">
        <f>'Actual Value'!AL81+"AM:!(cW"</f>
        <v>#VALUE!</v>
      </c>
      <c r="CY176" s="97" t="e">
        <f>'Actual Value'!AM81+"AM:!(cX"</f>
        <v>#VALUE!</v>
      </c>
      <c r="CZ176" s="97" t="e">
        <f>'Actual Value'!AN81+"AM:!(cY"</f>
        <v>#VALUE!</v>
      </c>
      <c r="DA176" s="97" t="e">
        <f>'Actual Value'!AO81+"AM:!(cZ"</f>
        <v>#VALUE!</v>
      </c>
      <c r="DB176" t="e">
        <f>'Actual Value'!AP81+"AM:!(c["</f>
        <v>#VALUE!</v>
      </c>
      <c r="DC176" t="e">
        <f>'Actual Value'!AQ81+"AM:!(c\"</f>
        <v>#VALUE!</v>
      </c>
      <c r="DD176" t="e">
        <f>'Actual Value'!AR81+"AM:!(c]"</f>
        <v>#VALUE!</v>
      </c>
      <c r="DE176" t="e">
        <f>'Actual Value'!AS81+"AM:!(c^"</f>
        <v>#VALUE!</v>
      </c>
      <c r="DF176" t="e">
        <f>'Actual Value'!AT81+"AM:!(c_"</f>
        <v>#VALUE!</v>
      </c>
      <c r="DG176" t="e">
        <f>'Actual Value'!AU81+"AM:!(c`"</f>
        <v>#VALUE!</v>
      </c>
      <c r="DH176" t="e">
        <f>'Actual Value'!AV81+"AM:!(ca"</f>
        <v>#VALUE!</v>
      </c>
      <c r="DI176" t="e">
        <f>'Actual Value'!AW81+"AM:!(cb"</f>
        <v>#VALUE!</v>
      </c>
      <c r="DJ176" t="e">
        <f>'Actual Value'!AX81+"AM:!(cc"</f>
        <v>#VALUE!</v>
      </c>
      <c r="DK176" t="e">
        <f>'Actual Value'!A82+"AM:!(cd"</f>
        <v>#VALUE!</v>
      </c>
      <c r="DL176" t="e">
        <f>'Actual Value'!B82+"AM:!(ce"</f>
        <v>#VALUE!</v>
      </c>
      <c r="DM176" s="98" t="e">
        <f>'Actual Value'!C82+"AM:!(cf"</f>
        <v>#VALUE!</v>
      </c>
      <c r="DN176" t="e">
        <f>'Actual Value'!D82+"AM:!(cg"</f>
        <v>#VALUE!</v>
      </c>
      <c r="DO176" t="e">
        <f>'Actual Value'!E82+"AM:!(ch"</f>
        <v>#VALUE!</v>
      </c>
      <c r="DP176" t="e">
        <f>'Actual Value'!F82+"AM:!(ci"</f>
        <v>#VALUE!</v>
      </c>
      <c r="DQ176" t="e">
        <f>'Actual Value'!G82+"AM:!(cj"</f>
        <v>#VALUE!</v>
      </c>
      <c r="DR176" t="e">
        <f>'Actual Value'!H82+"AM:!(ck"</f>
        <v>#VALUE!</v>
      </c>
      <c r="DS176" t="e">
        <f>'Actual Value'!I82+"AM:!(cl"</f>
        <v>#VALUE!</v>
      </c>
      <c r="DT176" t="e">
        <f>'Actual Value'!J82+"AM:!(cm"</f>
        <v>#VALUE!</v>
      </c>
      <c r="DU176" t="e">
        <f>'Actual Value'!K82+"AM:!(cn"</f>
        <v>#VALUE!</v>
      </c>
      <c r="DV176" t="e">
        <f>'Actual Value'!L82+"AM:!(co"</f>
        <v>#VALUE!</v>
      </c>
      <c r="DW176" t="e">
        <f>'Actual Value'!M82+"AM:!(cp"</f>
        <v>#VALUE!</v>
      </c>
      <c r="DX176" t="e">
        <f>'Actual Value'!N82+"AM:!(cq"</f>
        <v>#VALUE!</v>
      </c>
      <c r="DY176" t="e">
        <f>'Actual Value'!O82+"AM:!(cr"</f>
        <v>#VALUE!</v>
      </c>
      <c r="DZ176" t="e">
        <f>'Actual Value'!P82+"AM:!(cs"</f>
        <v>#VALUE!</v>
      </c>
      <c r="EA176" t="e">
        <f>'Actual Value'!Q82+"AM:!(ct"</f>
        <v>#VALUE!</v>
      </c>
      <c r="EB176" t="e">
        <f>'Actual Value'!R82+"AM:!(cu"</f>
        <v>#VALUE!</v>
      </c>
      <c r="EC176" t="e">
        <f>'Actual Value'!S82+"AM:!(cv"</f>
        <v>#VALUE!</v>
      </c>
      <c r="ED176" t="e">
        <f>'Actual Value'!T82+"AM:!(cw"</f>
        <v>#VALUE!</v>
      </c>
      <c r="EE176" t="e">
        <f>'Actual Value'!U82+"AM:!(cx"</f>
        <v>#VALUE!</v>
      </c>
      <c r="EF176" t="e">
        <f>'Actual Value'!V82+"AM:!(cy"</f>
        <v>#VALUE!</v>
      </c>
      <c r="EG176" t="e">
        <f>'Actual Value'!W82+"AM:!(cz"</f>
        <v>#VALUE!</v>
      </c>
      <c r="EH176" t="e">
        <f>'Actual Value'!X82+"AM:!(c{"</f>
        <v>#VALUE!</v>
      </c>
      <c r="EI176" t="e">
        <f>'Actual Value'!Y82+"AM:!(c|"</f>
        <v>#VALUE!</v>
      </c>
      <c r="EJ176" t="e">
        <f>'Actual Value'!Z82+"AM:!(c}"</f>
        <v>#VALUE!</v>
      </c>
      <c r="EK176" t="e">
        <f>'Actual Value'!AA82+"AM:!(c~"</f>
        <v>#VALUE!</v>
      </c>
      <c r="EL176" t="e">
        <f>'Actual Value'!AB82+"AM:!(d#"</f>
        <v>#VALUE!</v>
      </c>
      <c r="EM176" t="e">
        <f>'Actual Value'!AC82+"AM:!(d$"</f>
        <v>#VALUE!</v>
      </c>
      <c r="EN176" t="e">
        <f>'Actual Value'!AD82+"AM:!(d%"</f>
        <v>#VALUE!</v>
      </c>
      <c r="EO176" t="e">
        <f>'Actual Value'!AE82+"AM:!(d&amp;"</f>
        <v>#VALUE!</v>
      </c>
      <c r="EP176" t="e">
        <f>'Actual Value'!AF82+"AM:!(d'"</f>
        <v>#VALUE!</v>
      </c>
      <c r="EQ176" t="e">
        <f>'Actual Value'!AG82+"AM:!(d("</f>
        <v>#VALUE!</v>
      </c>
      <c r="ER176" t="e">
        <f>'Actual Value'!AH82+"AM:!(d)"</f>
        <v>#VALUE!</v>
      </c>
      <c r="ES176" t="e">
        <f>'Actual Value'!AI82+"AM:!(d."</f>
        <v>#VALUE!</v>
      </c>
      <c r="ET176" t="e">
        <f>'Actual Value'!AJ82+"AM:!(d/"</f>
        <v>#VALUE!</v>
      </c>
      <c r="EU176" t="e">
        <f>'Actual Value'!AK82+"AM:!(d0"</f>
        <v>#VALUE!</v>
      </c>
      <c r="EV176" t="e">
        <f>'Actual Value'!AL82+"AM:!(d1"</f>
        <v>#VALUE!</v>
      </c>
      <c r="EW176" t="e">
        <f>'Actual Value'!AM82+"AM:!(d2"</f>
        <v>#VALUE!</v>
      </c>
      <c r="EX176" t="e">
        <f>'Actual Value'!AN82+"AM:!(d3"</f>
        <v>#VALUE!</v>
      </c>
      <c r="EY176" t="e">
        <f>'Actual Value'!AO82+"AM:!(d4"</f>
        <v>#VALUE!</v>
      </c>
      <c r="EZ176" t="e">
        <f>'Actual Value'!AP82+"AM:!(d5"</f>
        <v>#VALUE!</v>
      </c>
      <c r="FA176" t="e">
        <f>'Actual Value'!AQ82+"AM:!(d6"</f>
        <v>#VALUE!</v>
      </c>
      <c r="FB176" t="e">
        <f>'Actual Value'!AR82+"AM:!(d7"</f>
        <v>#VALUE!</v>
      </c>
      <c r="FC176" t="e">
        <f>'Actual Value'!AS82+"AM:!(d8"</f>
        <v>#VALUE!</v>
      </c>
      <c r="FD176" t="e">
        <f>'Actual Value'!AT82+"AM:!(d9"</f>
        <v>#VALUE!</v>
      </c>
      <c r="FE176" t="e">
        <f>'Actual Value'!AU82+"AM:!(d:"</f>
        <v>#VALUE!</v>
      </c>
      <c r="FF176" t="e">
        <f>'Actual Value'!AV82+"AM:!(d;"</f>
        <v>#VALUE!</v>
      </c>
      <c r="FG176" t="e">
        <f>'Actual Value'!AW82+"AM:!(d&lt;"</f>
        <v>#VALUE!</v>
      </c>
      <c r="FH176" t="e">
        <f>'Actual Value'!A83+"AM:!(d="</f>
        <v>#VALUE!</v>
      </c>
      <c r="FI176" t="e">
        <f>'Actual Value'!B83+"AM:!(d&gt;"</f>
        <v>#VALUE!</v>
      </c>
      <c r="FJ176" t="e">
        <f>'Actual Value'!C83+"AM:!(d?"</f>
        <v>#VALUE!</v>
      </c>
      <c r="FK176" s="105" t="e">
        <f>'Actual Value'!D83+"AM:!(d@"</f>
        <v>#VALUE!</v>
      </c>
      <c r="FL176" s="105" t="e">
        <f>'Actual Value'!E83+"AM:!(dA"</f>
        <v>#VALUE!</v>
      </c>
      <c r="FM176" s="105" t="e">
        <f>'Actual Value'!F83+"AM:!(dB"</f>
        <v>#VALUE!</v>
      </c>
      <c r="FN176" s="105" t="e">
        <f>'Actual Value'!G83+"AM:!(dC"</f>
        <v>#VALUE!</v>
      </c>
      <c r="FO176" s="105" t="e">
        <f>'Actual Value'!H83+"AM:!(dD"</f>
        <v>#VALUE!</v>
      </c>
      <c r="FP176" s="105" t="e">
        <f>'Actual Value'!I83+"AM:!(dE"</f>
        <v>#VALUE!</v>
      </c>
      <c r="FQ176" s="105" t="e">
        <f>'Actual Value'!J83+"AM:!(dF"</f>
        <v>#VALUE!</v>
      </c>
      <c r="FR176" s="105" t="e">
        <f>'Actual Value'!K83+"AM:!(dG"</f>
        <v>#VALUE!</v>
      </c>
      <c r="FS176" s="105" t="e">
        <f>'Actual Value'!L83+"AM:!(dH"</f>
        <v>#VALUE!</v>
      </c>
      <c r="FT176" s="105" t="e">
        <f>'Actual Value'!M83+"AM:!(dI"</f>
        <v>#VALUE!</v>
      </c>
      <c r="FU176" s="105" t="e">
        <f>'Actual Value'!N83+"AM:!(dJ"</f>
        <v>#VALUE!</v>
      </c>
      <c r="FV176" s="105" t="e">
        <f>'Actual Value'!O83+"AM:!(dK"</f>
        <v>#VALUE!</v>
      </c>
      <c r="FW176" s="105" t="e">
        <f>'Actual Value'!P83+"AM:!(dL"</f>
        <v>#VALUE!</v>
      </c>
      <c r="FX176" s="105" t="e">
        <f>'Actual Value'!Q83+"AM:!(dM"</f>
        <v>#VALUE!</v>
      </c>
      <c r="FY176" s="105" t="e">
        <f>'Actual Value'!R83+"AM:!(dN"</f>
        <v>#VALUE!</v>
      </c>
      <c r="FZ176" s="105" t="e">
        <f>'Actual Value'!S83+"AM:!(dO"</f>
        <v>#VALUE!</v>
      </c>
      <c r="GA176" s="105" t="e">
        <f>'Actual Value'!T83+"AM:!(dP"</f>
        <v>#VALUE!</v>
      </c>
      <c r="GB176" s="105" t="e">
        <f>'Actual Value'!U83+"AM:!(dQ"</f>
        <v>#VALUE!</v>
      </c>
      <c r="GC176" s="105" t="e">
        <f>'Actual Value'!V83+"AM:!(dR"</f>
        <v>#VALUE!</v>
      </c>
      <c r="GD176" s="105" t="e">
        <f>'Actual Value'!W83+"AM:!(dS"</f>
        <v>#VALUE!</v>
      </c>
      <c r="GE176" s="105" t="e">
        <f>'Actual Value'!X83+"AM:!(dT"</f>
        <v>#VALUE!</v>
      </c>
      <c r="GF176" s="105" t="e">
        <f>'Actual Value'!Y83+"AM:!(dU"</f>
        <v>#VALUE!</v>
      </c>
      <c r="GG176" s="105" t="e">
        <f>'Actual Value'!Z83+"AM:!(dV"</f>
        <v>#VALUE!</v>
      </c>
      <c r="GH176" s="105" t="e">
        <f>'Actual Value'!AA83+"AM:!(dW"</f>
        <v>#VALUE!</v>
      </c>
      <c r="GI176" s="105" t="e">
        <f>'Actual Value'!AB83+"AM:!(dX"</f>
        <v>#VALUE!</v>
      </c>
      <c r="GJ176" s="105" t="e">
        <f>'Actual Value'!AC83+"AM:!(dY"</f>
        <v>#VALUE!</v>
      </c>
      <c r="GK176" s="105" t="e">
        <f>'Actual Value'!AD83+"AM:!(dZ"</f>
        <v>#VALUE!</v>
      </c>
      <c r="GL176" s="105" t="e">
        <f>'Actual Value'!AE83+"AM:!(d["</f>
        <v>#VALUE!</v>
      </c>
      <c r="GM176" s="105" t="e">
        <f>'Actual Value'!AF83+"AM:!(d\"</f>
        <v>#VALUE!</v>
      </c>
      <c r="GN176" s="105" t="e">
        <f>'Actual Value'!AG83+"AM:!(d]"</f>
        <v>#VALUE!</v>
      </c>
      <c r="GO176" s="105" t="e">
        <f>'Actual Value'!AH83+"AM:!(d^"</f>
        <v>#VALUE!</v>
      </c>
      <c r="GP176" s="105" t="e">
        <f>'Actual Value'!AI83+"AM:!(d_"</f>
        <v>#VALUE!</v>
      </c>
      <c r="GQ176" s="105" t="e">
        <f>'Actual Value'!AJ83+"AM:!(d`"</f>
        <v>#VALUE!</v>
      </c>
      <c r="GR176" s="105" t="e">
        <f>'Actual Value'!AK83+"AM:!(da"</f>
        <v>#VALUE!</v>
      </c>
      <c r="GS176" s="105" t="e">
        <f>'Actual Value'!AL83+"AM:!(db"</f>
        <v>#VALUE!</v>
      </c>
      <c r="GT176" s="105" t="e">
        <f>'Actual Value'!AM83+"AM:!(dc"</f>
        <v>#VALUE!</v>
      </c>
      <c r="GU176" s="105" t="e">
        <f>'Actual Value'!AN83+"AM:!(dd"</f>
        <v>#VALUE!</v>
      </c>
      <c r="GV176" s="105" t="e">
        <f>'Actual Value'!AO83+"AM:!(de"</f>
        <v>#VALUE!</v>
      </c>
      <c r="GW176" t="e">
        <f>'Actual Value'!AP83+"AM:!(df"</f>
        <v>#VALUE!</v>
      </c>
      <c r="GX176" s="100" t="e">
        <f>'Actual Value'!AQ83+"AM:!(dg"</f>
        <v>#VALUE!</v>
      </c>
      <c r="GY176" s="100" t="e">
        <f>'Actual Value'!AR83+"AM:!(dh"</f>
        <v>#VALUE!</v>
      </c>
      <c r="GZ176" s="100" t="e">
        <f>'Actual Value'!AS83+"AM:!(di"</f>
        <v>#VALUE!</v>
      </c>
      <c r="HA176" s="100" t="e">
        <f>'Actual Value'!AT83+"AM:!(dj"</f>
        <v>#VALUE!</v>
      </c>
      <c r="HB176" s="100" t="e">
        <f>'Actual Value'!AU83+"AM:!(dk"</f>
        <v>#VALUE!</v>
      </c>
      <c r="HC176" t="e">
        <f>'Actual Value'!AV83+"AM:!(dl"</f>
        <v>#VALUE!</v>
      </c>
      <c r="HD176" t="e">
        <f>'Actual Value'!AW83+"AM:!(dm"</f>
        <v>#VALUE!</v>
      </c>
      <c r="HE176" t="e">
        <f>'Actual Value'!A84+"AM:!(dn"</f>
        <v>#VALUE!</v>
      </c>
      <c r="HF176" t="e">
        <f>'Actual Value'!B84+"AM:!(do"</f>
        <v>#VALUE!</v>
      </c>
      <c r="HG176" t="e">
        <f>'Actual Value'!C84+"AM:!(dp"</f>
        <v>#VALUE!</v>
      </c>
      <c r="HH176" s="97" t="e">
        <f>'Actual Value'!D84+"AM:!(dq"</f>
        <v>#VALUE!</v>
      </c>
      <c r="HI176" s="97" t="e">
        <f>'Actual Value'!E84+"AM:!(dr"</f>
        <v>#VALUE!</v>
      </c>
      <c r="HJ176" s="97" t="e">
        <f>'Actual Value'!F84+"AM:!(ds"</f>
        <v>#VALUE!</v>
      </c>
      <c r="HK176" s="97" t="e">
        <f>'Actual Value'!G84+"AM:!(dt"</f>
        <v>#VALUE!</v>
      </c>
      <c r="HL176" s="97" t="e">
        <f>'Actual Value'!H84+"AM:!(du"</f>
        <v>#VALUE!</v>
      </c>
      <c r="HM176" s="97" t="e">
        <f>'Actual Value'!I84+"AM:!(dv"</f>
        <v>#VALUE!</v>
      </c>
      <c r="HN176" s="97" t="e">
        <f>'Actual Value'!J84+"AM:!(dw"</f>
        <v>#VALUE!</v>
      </c>
      <c r="HO176" s="97" t="e">
        <f>'Actual Value'!K84+"AM:!(dx"</f>
        <v>#VALUE!</v>
      </c>
      <c r="HP176" s="97" t="e">
        <f>'Actual Value'!L84+"AM:!(dy"</f>
        <v>#VALUE!</v>
      </c>
      <c r="HQ176" s="97" t="e">
        <f>'Actual Value'!M84+"AM:!(dz"</f>
        <v>#VALUE!</v>
      </c>
      <c r="HR176" s="97" t="e">
        <f>'Actual Value'!N84+"AM:!(d{"</f>
        <v>#VALUE!</v>
      </c>
      <c r="HS176" s="97" t="e">
        <f>'Actual Value'!O84+"AM:!(d|"</f>
        <v>#VALUE!</v>
      </c>
      <c r="HT176" s="97" t="e">
        <f>'Actual Value'!P84+"AM:!(d}"</f>
        <v>#VALUE!</v>
      </c>
      <c r="HU176" s="97" t="e">
        <f>'Actual Value'!Q84+"AM:!(d~"</f>
        <v>#VALUE!</v>
      </c>
      <c r="HV176" s="97" t="e">
        <f>'Actual Value'!R84+"AM:!(e#"</f>
        <v>#VALUE!</v>
      </c>
      <c r="HW176" s="97" t="e">
        <f>'Actual Value'!S84+"AM:!(e$"</f>
        <v>#VALUE!</v>
      </c>
      <c r="HX176" s="97" t="e">
        <f>'Actual Value'!T84+"AM:!(e%"</f>
        <v>#VALUE!</v>
      </c>
      <c r="HY176" s="97" t="e">
        <f>'Actual Value'!U84+"AM:!(e&amp;"</f>
        <v>#VALUE!</v>
      </c>
      <c r="HZ176" s="97" t="e">
        <f>'Actual Value'!V84+"AM:!(e'"</f>
        <v>#VALUE!</v>
      </c>
      <c r="IA176" s="97" t="e">
        <f>'Actual Value'!W84+"AM:!(e("</f>
        <v>#VALUE!</v>
      </c>
      <c r="IB176" s="97" t="e">
        <f>'Actual Value'!X84+"AM:!(e)"</f>
        <v>#VALUE!</v>
      </c>
      <c r="IC176" s="97" t="e">
        <f>'Actual Value'!Y84+"AM:!(e."</f>
        <v>#VALUE!</v>
      </c>
      <c r="ID176" s="97" t="e">
        <f>'Actual Value'!Z84+"AM:!(e/"</f>
        <v>#VALUE!</v>
      </c>
      <c r="IE176" s="97" t="e">
        <f>'Actual Value'!AA84+"AM:!(e0"</f>
        <v>#VALUE!</v>
      </c>
      <c r="IF176" s="97" t="e">
        <f>'Actual Value'!AB84+"AM:!(e1"</f>
        <v>#VALUE!</v>
      </c>
      <c r="IG176" s="97" t="e">
        <f>'Actual Value'!AC84+"AM:!(e2"</f>
        <v>#VALUE!</v>
      </c>
      <c r="IH176" s="97" t="e">
        <f>'Actual Value'!AD84+"AM:!(e3"</f>
        <v>#VALUE!</v>
      </c>
      <c r="II176" s="97" t="e">
        <f>'Actual Value'!AE84+"AM:!(e4"</f>
        <v>#VALUE!</v>
      </c>
      <c r="IJ176" s="97" t="e">
        <f>'Actual Value'!AF84+"AM:!(e5"</f>
        <v>#VALUE!</v>
      </c>
      <c r="IK176" s="97" t="e">
        <f>'Actual Value'!AG84+"AM:!(e6"</f>
        <v>#VALUE!</v>
      </c>
      <c r="IL176" s="97" t="e">
        <f>'Actual Value'!AH84+"AM:!(e7"</f>
        <v>#VALUE!</v>
      </c>
      <c r="IM176" s="97" t="e">
        <f>'Actual Value'!AI84+"AM:!(e8"</f>
        <v>#VALUE!</v>
      </c>
      <c r="IN176" s="97" t="e">
        <f>'Actual Value'!AJ84+"AM:!(e9"</f>
        <v>#VALUE!</v>
      </c>
      <c r="IO176" s="97" t="e">
        <f>'Actual Value'!AK84+"AM:!(e:"</f>
        <v>#VALUE!</v>
      </c>
      <c r="IP176" s="97" t="e">
        <f>'Actual Value'!AL84+"AM:!(e;"</f>
        <v>#VALUE!</v>
      </c>
      <c r="IQ176" s="97" t="e">
        <f>'Actual Value'!AM84+"AM:!(e&lt;"</f>
        <v>#VALUE!</v>
      </c>
      <c r="IR176" s="97" t="e">
        <f>'Actual Value'!AN84+"AM:!(e="</f>
        <v>#VALUE!</v>
      </c>
      <c r="IS176" s="97" t="e">
        <f>'Actual Value'!AO84+"AM:!(e&gt;"</f>
        <v>#VALUE!</v>
      </c>
      <c r="IT176" t="e">
        <f>'Actual Value'!AP84+"AM:!(e?"</f>
        <v>#VALUE!</v>
      </c>
      <c r="IU176" t="e">
        <f>'Actual Value'!AQ84+"AM:!(e@"</f>
        <v>#VALUE!</v>
      </c>
      <c r="IV176" t="e">
        <f>'Actual Value'!AR84+"AM:!(eA"</f>
        <v>#VALUE!</v>
      </c>
    </row>
    <row r="177" spans="6:256">
      <c r="F177" s="97" t="e">
        <f>'Actual Value'!AS84+"AM:!(eB"</f>
        <v>#VALUE!</v>
      </c>
      <c r="G177" t="e">
        <f>'Actual Value'!AT84+"AM:!(eC"</f>
        <v>#VALUE!</v>
      </c>
      <c r="H177" t="e">
        <f>'Actual Value'!AU84+"AM:!(eD"</f>
        <v>#VALUE!</v>
      </c>
      <c r="I177" t="e">
        <f>'Actual Value'!AV84+"AM:!(eE"</f>
        <v>#VALUE!</v>
      </c>
      <c r="J177" t="e">
        <f>'Actual Value'!AW84+"AM:!(eF"</f>
        <v>#VALUE!</v>
      </c>
      <c r="K177" t="e">
        <f>'Actual Value'!A85+"AM:!(eG"</f>
        <v>#VALUE!</v>
      </c>
      <c r="L177" t="e">
        <f>'Actual Value'!B85+"AM:!(eH"</f>
        <v>#VALUE!</v>
      </c>
      <c r="M177" t="e">
        <f>'Actual Value'!C85+"AM:!(eI"</f>
        <v>#VALUE!</v>
      </c>
      <c r="N177" s="97" t="e">
        <f>'Actual Value'!D85+"AM:!(eJ"</f>
        <v>#VALUE!</v>
      </c>
      <c r="O177" s="97" t="e">
        <f>'Actual Value'!E85+"AM:!(eK"</f>
        <v>#VALUE!</v>
      </c>
      <c r="P177" s="97" t="e">
        <f>'Actual Value'!F85+"AM:!(eL"</f>
        <v>#VALUE!</v>
      </c>
      <c r="Q177" s="97" t="e">
        <f>'Actual Value'!G85+"AM:!(eM"</f>
        <v>#VALUE!</v>
      </c>
      <c r="R177" s="97" t="e">
        <f>'Actual Value'!H85+"AM:!(eN"</f>
        <v>#VALUE!</v>
      </c>
      <c r="S177" s="97" t="e">
        <f>'Actual Value'!I85+"AM:!(eO"</f>
        <v>#VALUE!</v>
      </c>
      <c r="T177" s="97" t="e">
        <f>'Actual Value'!J85+"AM:!(eP"</f>
        <v>#VALUE!</v>
      </c>
      <c r="U177" s="97" t="e">
        <f>'Actual Value'!K85+"AM:!(eQ"</f>
        <v>#VALUE!</v>
      </c>
      <c r="V177" s="97" t="e">
        <f>'Actual Value'!L85+"AM:!(eR"</f>
        <v>#VALUE!</v>
      </c>
      <c r="W177" s="97" t="e">
        <f>'Actual Value'!M85+"AM:!(eS"</f>
        <v>#VALUE!</v>
      </c>
      <c r="X177" s="97" t="e">
        <f>'Actual Value'!N85+"AM:!(eT"</f>
        <v>#VALUE!</v>
      </c>
      <c r="Y177" s="97" t="e">
        <f>'Actual Value'!O85+"AM:!(eU"</f>
        <v>#VALUE!</v>
      </c>
      <c r="Z177" s="97" t="e">
        <f>'Actual Value'!P85+"AM:!(eV"</f>
        <v>#VALUE!</v>
      </c>
      <c r="AA177" s="97" t="e">
        <f>'Actual Value'!Q85+"AM:!(eW"</f>
        <v>#VALUE!</v>
      </c>
      <c r="AB177" s="97" t="e">
        <f>'Actual Value'!R85+"AM:!(eX"</f>
        <v>#VALUE!</v>
      </c>
      <c r="AC177" s="97" t="e">
        <f>'Actual Value'!S85+"AM:!(eY"</f>
        <v>#VALUE!</v>
      </c>
      <c r="AD177" s="97" t="e">
        <f>'Actual Value'!T85+"AM:!(eZ"</f>
        <v>#VALUE!</v>
      </c>
      <c r="AE177" s="97" t="e">
        <f>'Actual Value'!U85+"AM:!(e["</f>
        <v>#VALUE!</v>
      </c>
      <c r="AF177" s="97" t="e">
        <f>'Actual Value'!V85+"AM:!(e\"</f>
        <v>#VALUE!</v>
      </c>
      <c r="AG177" s="97" t="e">
        <f>'Actual Value'!W85+"AM:!(e]"</f>
        <v>#VALUE!</v>
      </c>
      <c r="AH177" s="97" t="e">
        <f>'Actual Value'!X85+"AM:!(e^"</f>
        <v>#VALUE!</v>
      </c>
      <c r="AI177" s="97" t="e">
        <f>'Actual Value'!Y85+"AM:!(e_"</f>
        <v>#VALUE!</v>
      </c>
      <c r="AJ177" s="97" t="e">
        <f>'Actual Value'!Z85+"AM:!(e`"</f>
        <v>#VALUE!</v>
      </c>
      <c r="AK177" s="97" t="e">
        <f>'Actual Value'!AA85+"AM:!(ea"</f>
        <v>#VALUE!</v>
      </c>
      <c r="AL177" s="97" t="e">
        <f>'Actual Value'!AB85+"AM:!(eb"</f>
        <v>#VALUE!</v>
      </c>
      <c r="AM177" s="97" t="e">
        <f>'Actual Value'!AC85+"AM:!(ec"</f>
        <v>#VALUE!</v>
      </c>
      <c r="AN177" s="97" t="e">
        <f>'Actual Value'!AD85+"AM:!(ed"</f>
        <v>#VALUE!</v>
      </c>
      <c r="AO177" s="97" t="e">
        <f>'Actual Value'!AE85+"AM:!(ee"</f>
        <v>#VALUE!</v>
      </c>
      <c r="AP177" s="97" t="e">
        <f>'Actual Value'!AF85+"AM:!(ef"</f>
        <v>#VALUE!</v>
      </c>
      <c r="AQ177" s="97" t="e">
        <f>'Actual Value'!AG85+"AM:!(eg"</f>
        <v>#VALUE!</v>
      </c>
      <c r="AR177" s="97" t="e">
        <f>'Actual Value'!AH85+"AM:!(eh"</f>
        <v>#VALUE!</v>
      </c>
      <c r="AS177" s="97" t="e">
        <f>'Actual Value'!AI85+"AM:!(ei"</f>
        <v>#VALUE!</v>
      </c>
      <c r="AT177" s="97" t="e">
        <f>'Actual Value'!AJ85+"AM:!(ej"</f>
        <v>#VALUE!</v>
      </c>
      <c r="AU177" s="97" t="e">
        <f>'Actual Value'!AK85+"AM:!(ek"</f>
        <v>#VALUE!</v>
      </c>
      <c r="AV177" s="97" t="e">
        <f>'Actual Value'!AL85+"AM:!(el"</f>
        <v>#VALUE!</v>
      </c>
      <c r="AW177" s="97" t="e">
        <f>'Actual Value'!AM85+"AM:!(em"</f>
        <v>#VALUE!</v>
      </c>
      <c r="AX177" s="97" t="e">
        <f>'Actual Value'!AN85+"AM:!(en"</f>
        <v>#VALUE!</v>
      </c>
      <c r="AY177" s="97" t="e">
        <f>'Actual Value'!AO85+"AM:!(eo"</f>
        <v>#VALUE!</v>
      </c>
      <c r="AZ177" t="e">
        <f>'Actual Value'!AP85+"AM:!(ep"</f>
        <v>#VALUE!</v>
      </c>
      <c r="BA177" t="e">
        <f>'Actual Value'!AQ85+"AM:!(eq"</f>
        <v>#VALUE!</v>
      </c>
      <c r="BB177" t="e">
        <f>'Actual Value'!AR85+"AM:!(er"</f>
        <v>#VALUE!</v>
      </c>
      <c r="BC177" s="97" t="e">
        <f>'Actual Value'!AS85+"AM:!(es"</f>
        <v>#VALUE!</v>
      </c>
      <c r="BD177" t="e">
        <f>'Actual Value'!AT85+"AM:!(et"</f>
        <v>#VALUE!</v>
      </c>
      <c r="BE177" t="e">
        <f>'Actual Value'!AU85+"AM:!(eu"</f>
        <v>#VALUE!</v>
      </c>
      <c r="BF177" t="e">
        <f>'Actual Value'!AV85+"AM:!(ev"</f>
        <v>#VALUE!</v>
      </c>
      <c r="BG177" t="e">
        <f>'Actual Value'!AW85+"AM:!(ew"</f>
        <v>#VALUE!</v>
      </c>
      <c r="BH177" t="e">
        <f>'Actual Value'!A86+"AM:!(ex"</f>
        <v>#VALUE!</v>
      </c>
      <c r="BI177" t="e">
        <f>'Actual Value'!B86+"AM:!(ey"</f>
        <v>#VALUE!</v>
      </c>
      <c r="BJ177" t="e">
        <f>'Actual Value'!C86+"AM:!(ez"</f>
        <v>#VALUE!</v>
      </c>
      <c r="BK177" s="97" t="e">
        <f>'Actual Value'!D86+"AM:!(e{"</f>
        <v>#VALUE!</v>
      </c>
      <c r="BL177" s="97" t="e">
        <f>'Actual Value'!E86+"AM:!(e|"</f>
        <v>#VALUE!</v>
      </c>
      <c r="BM177" s="97" t="e">
        <f>'Actual Value'!F86+"AM:!(e}"</f>
        <v>#VALUE!</v>
      </c>
      <c r="BN177" s="97" t="e">
        <f>'Actual Value'!G86+"AM:!(e~"</f>
        <v>#VALUE!</v>
      </c>
      <c r="BO177" s="97" t="e">
        <f>'Actual Value'!H86+"AM:!(f#"</f>
        <v>#VALUE!</v>
      </c>
      <c r="BP177" s="97" t="e">
        <f>'Actual Value'!I86+"AM:!(f$"</f>
        <v>#VALUE!</v>
      </c>
      <c r="BQ177" s="97" t="e">
        <f>'Actual Value'!J86+"AM:!(f%"</f>
        <v>#VALUE!</v>
      </c>
      <c r="BR177" s="97" t="e">
        <f>'Actual Value'!K86+"AM:!(f&amp;"</f>
        <v>#VALUE!</v>
      </c>
      <c r="BS177" s="97" t="e">
        <f>'Actual Value'!L86+"AM:!(f'"</f>
        <v>#VALUE!</v>
      </c>
      <c r="BT177" s="97" t="e">
        <f>'Actual Value'!M86+"AM:!(f("</f>
        <v>#VALUE!</v>
      </c>
      <c r="BU177" s="97" t="e">
        <f>'Actual Value'!N86+"AM:!(f)"</f>
        <v>#VALUE!</v>
      </c>
      <c r="BV177" s="97" t="e">
        <f>'Actual Value'!O86+"AM:!(f."</f>
        <v>#VALUE!</v>
      </c>
      <c r="BW177" s="97" t="e">
        <f>'Actual Value'!P86+"AM:!(f/"</f>
        <v>#VALUE!</v>
      </c>
      <c r="BX177" s="97" t="e">
        <f>'Actual Value'!Q86+"AM:!(f0"</f>
        <v>#VALUE!</v>
      </c>
      <c r="BY177" s="97" t="e">
        <f>'Actual Value'!R86+"AM:!(f1"</f>
        <v>#VALUE!</v>
      </c>
      <c r="BZ177" s="97" t="e">
        <f>'Actual Value'!S86+"AM:!(f2"</f>
        <v>#VALUE!</v>
      </c>
      <c r="CA177" s="97" t="e">
        <f>'Actual Value'!T86+"AM:!(f3"</f>
        <v>#VALUE!</v>
      </c>
      <c r="CB177" s="97" t="e">
        <f>'Actual Value'!U86+"AM:!(f4"</f>
        <v>#VALUE!</v>
      </c>
      <c r="CC177" s="97" t="e">
        <f>'Actual Value'!V86+"AM:!(f5"</f>
        <v>#VALUE!</v>
      </c>
      <c r="CD177" s="97" t="e">
        <f>'Actual Value'!W86+"AM:!(f6"</f>
        <v>#VALUE!</v>
      </c>
      <c r="CE177" s="97" t="e">
        <f>'Actual Value'!X86+"AM:!(f7"</f>
        <v>#VALUE!</v>
      </c>
      <c r="CF177" s="97" t="e">
        <f>'Actual Value'!Y86+"AM:!(f8"</f>
        <v>#VALUE!</v>
      </c>
      <c r="CG177" s="97" t="e">
        <f>'Actual Value'!Z86+"AM:!(f9"</f>
        <v>#VALUE!</v>
      </c>
      <c r="CH177" s="97" t="e">
        <f>'Actual Value'!AA86+"AM:!(f:"</f>
        <v>#VALUE!</v>
      </c>
      <c r="CI177" s="97" t="e">
        <f>'Actual Value'!AB86+"AM:!(f;"</f>
        <v>#VALUE!</v>
      </c>
      <c r="CJ177" s="97" t="e">
        <f>'Actual Value'!AC86+"AM:!(f&lt;"</f>
        <v>#VALUE!</v>
      </c>
      <c r="CK177" s="97" t="e">
        <f>'Actual Value'!AD86+"AM:!(f="</f>
        <v>#VALUE!</v>
      </c>
      <c r="CL177" s="97" t="e">
        <f>'Actual Value'!AE86+"AM:!(f&gt;"</f>
        <v>#VALUE!</v>
      </c>
      <c r="CM177" s="97" t="e">
        <f>'Actual Value'!AF86+"AM:!(f?"</f>
        <v>#VALUE!</v>
      </c>
      <c r="CN177" s="97" t="e">
        <f>'Actual Value'!AG86+"AM:!(f@"</f>
        <v>#VALUE!</v>
      </c>
      <c r="CO177" s="97" t="e">
        <f>'Actual Value'!AH86+"AM:!(fA"</f>
        <v>#VALUE!</v>
      </c>
      <c r="CP177" s="97" t="e">
        <f>'Actual Value'!AI86+"AM:!(fB"</f>
        <v>#VALUE!</v>
      </c>
      <c r="CQ177" s="97" t="e">
        <f>'Actual Value'!AJ86+"AM:!(fC"</f>
        <v>#VALUE!</v>
      </c>
      <c r="CR177" s="97" t="e">
        <f>'Actual Value'!AK86+"AM:!(fD"</f>
        <v>#VALUE!</v>
      </c>
      <c r="CS177" s="97" t="e">
        <f>'Actual Value'!AL86+"AM:!(fE"</f>
        <v>#VALUE!</v>
      </c>
      <c r="CT177" s="97" t="e">
        <f>'Actual Value'!AM86+"AM:!(fF"</f>
        <v>#VALUE!</v>
      </c>
      <c r="CU177" s="97" t="e">
        <f>'Actual Value'!AN86+"AM:!(fG"</f>
        <v>#VALUE!</v>
      </c>
      <c r="CV177" s="97" t="e">
        <f>'Actual Value'!AO86+"AM:!(fH"</f>
        <v>#VALUE!</v>
      </c>
      <c r="CW177" t="e">
        <f>'Actual Value'!AP86+"AM:!(fI"</f>
        <v>#VALUE!</v>
      </c>
      <c r="CX177" t="e">
        <f>'Actual Value'!AQ86+"AM:!(fJ"</f>
        <v>#VALUE!</v>
      </c>
      <c r="CY177" t="e">
        <f>'Actual Value'!AR86+"AM:!(fK"</f>
        <v>#VALUE!</v>
      </c>
      <c r="CZ177" t="e">
        <f>'Actual Value'!AS86+"AM:!(fL"</f>
        <v>#VALUE!</v>
      </c>
      <c r="DA177" t="e">
        <f>'Actual Value'!AT86+"AM:!(fM"</f>
        <v>#VALUE!</v>
      </c>
      <c r="DB177" t="e">
        <f>'Actual Value'!AU86+"AM:!(fN"</f>
        <v>#VALUE!</v>
      </c>
      <c r="DC177" t="e">
        <f>'Actual Value'!AV86+"AM:!(fO"</f>
        <v>#VALUE!</v>
      </c>
      <c r="DD177" t="e">
        <f>'Actual Value'!AW86+"AM:!(fP"</f>
        <v>#VALUE!</v>
      </c>
      <c r="DE177" t="e">
        <f>'Actual Value'!A87+"AM:!(fQ"</f>
        <v>#VALUE!</v>
      </c>
      <c r="DF177" t="e">
        <f>'Actual Value'!B87+"AM:!(fR"</f>
        <v>#VALUE!</v>
      </c>
      <c r="DG177" t="e">
        <f>'Actual Value'!C87+"AM:!(fS"</f>
        <v>#VALUE!</v>
      </c>
      <c r="DH177" s="97" t="e">
        <f>'Actual Value'!D87+"AM:!(fT"</f>
        <v>#VALUE!</v>
      </c>
      <c r="DI177" s="97" t="e">
        <f>'Actual Value'!E87+"AM:!(fU"</f>
        <v>#VALUE!</v>
      </c>
      <c r="DJ177" s="97" t="e">
        <f>'Actual Value'!F87+"AM:!(fV"</f>
        <v>#VALUE!</v>
      </c>
      <c r="DK177" s="97" t="e">
        <f>'Actual Value'!G87+"AM:!(fW"</f>
        <v>#VALUE!</v>
      </c>
      <c r="DL177" s="97" t="e">
        <f>'Actual Value'!H87+"AM:!(fX"</f>
        <v>#VALUE!</v>
      </c>
      <c r="DM177" s="97" t="e">
        <f>'Actual Value'!I87+"AM:!(fY"</f>
        <v>#VALUE!</v>
      </c>
      <c r="DN177" s="97" t="e">
        <f>'Actual Value'!J87+"AM:!(fZ"</f>
        <v>#VALUE!</v>
      </c>
      <c r="DO177" s="97" t="e">
        <f>'Actual Value'!K87+"AM:!(f["</f>
        <v>#VALUE!</v>
      </c>
      <c r="DP177" s="97" t="e">
        <f>'Actual Value'!L87+"AM:!(f\"</f>
        <v>#VALUE!</v>
      </c>
      <c r="DQ177" s="97" t="e">
        <f>'Actual Value'!M87+"AM:!(f]"</f>
        <v>#VALUE!</v>
      </c>
      <c r="DR177" s="97" t="e">
        <f>'Actual Value'!N87+"AM:!(f^"</f>
        <v>#VALUE!</v>
      </c>
      <c r="DS177" s="97" t="e">
        <f>'Actual Value'!O87+"AM:!(f_"</f>
        <v>#VALUE!</v>
      </c>
      <c r="DT177" s="97" t="e">
        <f>'Actual Value'!P87+"AM:!(f`"</f>
        <v>#VALUE!</v>
      </c>
      <c r="DU177" s="97" t="e">
        <f>'Actual Value'!Q87+"AM:!(fa"</f>
        <v>#VALUE!</v>
      </c>
      <c r="DV177" s="97" t="e">
        <f>'Actual Value'!R87+"AM:!(fb"</f>
        <v>#VALUE!</v>
      </c>
      <c r="DW177" s="97" t="e">
        <f>'Actual Value'!S87+"AM:!(fc"</f>
        <v>#VALUE!</v>
      </c>
      <c r="DX177" s="97" t="e">
        <f>'Actual Value'!T87+"AM:!(fd"</f>
        <v>#VALUE!</v>
      </c>
      <c r="DY177" s="97" t="e">
        <f>'Actual Value'!U87+"AM:!(fe"</f>
        <v>#VALUE!</v>
      </c>
      <c r="DZ177" s="97" t="e">
        <f>'Actual Value'!V87+"AM:!(ff"</f>
        <v>#VALUE!</v>
      </c>
      <c r="EA177" s="97" t="e">
        <f>'Actual Value'!W87+"AM:!(fg"</f>
        <v>#VALUE!</v>
      </c>
      <c r="EB177" s="97" t="e">
        <f>'Actual Value'!X87+"AM:!(fh"</f>
        <v>#VALUE!</v>
      </c>
      <c r="EC177" s="97" t="e">
        <f>'Actual Value'!Y87+"AM:!(fi"</f>
        <v>#VALUE!</v>
      </c>
      <c r="ED177" s="97" t="e">
        <f>'Actual Value'!Z87+"AM:!(fj"</f>
        <v>#VALUE!</v>
      </c>
      <c r="EE177" s="97" t="e">
        <f>'Actual Value'!AA87+"AM:!(fk"</f>
        <v>#VALUE!</v>
      </c>
      <c r="EF177" s="97" t="e">
        <f>'Actual Value'!AB87+"AM:!(fl"</f>
        <v>#VALUE!</v>
      </c>
      <c r="EG177" s="97" t="e">
        <f>'Actual Value'!AC87+"AM:!(fm"</f>
        <v>#VALUE!</v>
      </c>
      <c r="EH177" s="97" t="e">
        <f>'Actual Value'!AD87+"AM:!(fn"</f>
        <v>#VALUE!</v>
      </c>
      <c r="EI177" s="97" t="e">
        <f>'Actual Value'!AE87+"AM:!(fo"</f>
        <v>#VALUE!</v>
      </c>
      <c r="EJ177" s="97" t="e">
        <f>'Actual Value'!AF87+"AM:!(fp"</f>
        <v>#VALUE!</v>
      </c>
      <c r="EK177" s="97" t="e">
        <f>'Actual Value'!AG87+"AM:!(fq"</f>
        <v>#VALUE!</v>
      </c>
      <c r="EL177" s="97" t="e">
        <f>'Actual Value'!AH87+"AM:!(fr"</f>
        <v>#VALUE!</v>
      </c>
      <c r="EM177" s="97" t="e">
        <f>'Actual Value'!AI87+"AM:!(fs"</f>
        <v>#VALUE!</v>
      </c>
      <c r="EN177" s="97" t="e">
        <f>'Actual Value'!AJ87+"AM:!(ft"</f>
        <v>#VALUE!</v>
      </c>
      <c r="EO177" s="97" t="e">
        <f>'Actual Value'!AK87+"AM:!(fu"</f>
        <v>#VALUE!</v>
      </c>
      <c r="EP177" s="97" t="e">
        <f>'Actual Value'!AL87+"AM:!(fv"</f>
        <v>#VALUE!</v>
      </c>
      <c r="EQ177" s="97" t="e">
        <f>'Actual Value'!AM87+"AM:!(fw"</f>
        <v>#VALUE!</v>
      </c>
      <c r="ER177" s="97" t="e">
        <f>'Actual Value'!AN87+"AM:!(fx"</f>
        <v>#VALUE!</v>
      </c>
      <c r="ES177" s="97" t="e">
        <f>'Actual Value'!AO87+"AM:!(fy"</f>
        <v>#VALUE!</v>
      </c>
      <c r="ET177" t="e">
        <f>'Actual Value'!AP87+"AM:!(fz"</f>
        <v>#VALUE!</v>
      </c>
      <c r="EU177" t="e">
        <f>'Actual Value'!AQ87+"AM:!(f{"</f>
        <v>#VALUE!</v>
      </c>
      <c r="EV177" t="e">
        <f>'Actual Value'!AR87+"AM:!(f|"</f>
        <v>#VALUE!</v>
      </c>
      <c r="EW177" t="e">
        <f>'Actual Value'!AS87+"AM:!(f}"</f>
        <v>#VALUE!</v>
      </c>
      <c r="EX177" t="e">
        <f>'Actual Value'!AT87+"AM:!(f~"</f>
        <v>#VALUE!</v>
      </c>
      <c r="EY177" t="e">
        <f>'Actual Value'!AU87+"AM:!(g#"</f>
        <v>#VALUE!</v>
      </c>
      <c r="EZ177" t="e">
        <f>'Actual Value'!AV87+"AM:!(g$"</f>
        <v>#VALUE!</v>
      </c>
      <c r="FA177" t="e">
        <f>'Actual Value'!AW87+"AM:!(g%"</f>
        <v>#VALUE!</v>
      </c>
      <c r="FB177" t="e">
        <f>'Actual Value'!AX87+"AM:!(g&amp;"</f>
        <v>#VALUE!</v>
      </c>
      <c r="FC177" t="e">
        <f>'Actual Value'!A88+"AM:!(g'"</f>
        <v>#VALUE!</v>
      </c>
      <c r="FD177" t="e">
        <f>'Actual Value'!B88+"AM:!(g("</f>
        <v>#VALUE!</v>
      </c>
      <c r="FE177" t="e">
        <f>'Actual Value'!C88+"AM:!(g)"</f>
        <v>#VALUE!</v>
      </c>
      <c r="FF177" s="97" t="e">
        <f>'Actual Value'!D88+"AM:!(g."</f>
        <v>#VALUE!</v>
      </c>
      <c r="FG177" s="97" t="e">
        <f>'Actual Value'!E88+"AM:!(g/"</f>
        <v>#VALUE!</v>
      </c>
      <c r="FH177" s="97" t="e">
        <f>'Actual Value'!F88+"AM:!(g0"</f>
        <v>#VALUE!</v>
      </c>
      <c r="FI177" s="97" t="e">
        <f>'Actual Value'!G88+"AM:!(g1"</f>
        <v>#VALUE!</v>
      </c>
      <c r="FJ177" s="97" t="e">
        <f>'Actual Value'!H88+"AM:!(g2"</f>
        <v>#VALUE!</v>
      </c>
      <c r="FK177" s="97" t="e">
        <f>'Actual Value'!I88+"AM:!(g3"</f>
        <v>#VALUE!</v>
      </c>
      <c r="FL177" s="97" t="e">
        <f>'Actual Value'!J88+"AM:!(g4"</f>
        <v>#VALUE!</v>
      </c>
      <c r="FM177" s="97" t="e">
        <f>'Actual Value'!K88+"AM:!(g5"</f>
        <v>#VALUE!</v>
      </c>
      <c r="FN177" s="97" t="e">
        <f>'Actual Value'!L88+"AM:!(g6"</f>
        <v>#VALUE!</v>
      </c>
      <c r="FO177" s="97" t="e">
        <f>'Actual Value'!M88+"AM:!(g7"</f>
        <v>#VALUE!</v>
      </c>
      <c r="FP177" s="97" t="e">
        <f>'Actual Value'!N88+"AM:!(g8"</f>
        <v>#VALUE!</v>
      </c>
      <c r="FQ177" s="97" t="e">
        <f>'Actual Value'!O88+"AM:!(g9"</f>
        <v>#VALUE!</v>
      </c>
      <c r="FR177" s="97" t="e">
        <f>'Actual Value'!P88+"AM:!(g:"</f>
        <v>#VALUE!</v>
      </c>
      <c r="FS177" s="97" t="e">
        <f>'Actual Value'!Q88+"AM:!(g;"</f>
        <v>#VALUE!</v>
      </c>
      <c r="FT177" s="97" t="e">
        <f>'Actual Value'!R88+"AM:!(g&lt;"</f>
        <v>#VALUE!</v>
      </c>
      <c r="FU177" s="97" t="e">
        <f>'Actual Value'!S88+"AM:!(g="</f>
        <v>#VALUE!</v>
      </c>
      <c r="FV177" s="97" t="e">
        <f>'Actual Value'!T88+"AM:!(g&gt;"</f>
        <v>#VALUE!</v>
      </c>
      <c r="FW177" s="97" t="e">
        <f>'Actual Value'!U88+"AM:!(g?"</f>
        <v>#VALUE!</v>
      </c>
      <c r="FX177" s="97" t="e">
        <f>'Actual Value'!V88+"AM:!(g@"</f>
        <v>#VALUE!</v>
      </c>
      <c r="FY177" s="97" t="e">
        <f>'Actual Value'!W88+"AM:!(gA"</f>
        <v>#VALUE!</v>
      </c>
      <c r="FZ177" s="97" t="e">
        <f>'Actual Value'!X88+"AM:!(gB"</f>
        <v>#VALUE!</v>
      </c>
      <c r="GA177" s="97" t="e">
        <f>'Actual Value'!Y88+"AM:!(gC"</f>
        <v>#VALUE!</v>
      </c>
      <c r="GB177" s="97" t="e">
        <f>'Actual Value'!Z88+"AM:!(gD"</f>
        <v>#VALUE!</v>
      </c>
      <c r="GC177" s="97" t="e">
        <f>'Actual Value'!AA88+"AM:!(gE"</f>
        <v>#VALUE!</v>
      </c>
      <c r="GD177" s="97" t="e">
        <f>'Actual Value'!AB88+"AM:!(gF"</f>
        <v>#VALUE!</v>
      </c>
      <c r="GE177" s="97" t="e">
        <f>'Actual Value'!AC88+"AM:!(gG"</f>
        <v>#VALUE!</v>
      </c>
      <c r="GF177" s="97" t="e">
        <f>'Actual Value'!AD88+"AM:!(gH"</f>
        <v>#VALUE!</v>
      </c>
      <c r="GG177" s="97" t="e">
        <f>'Actual Value'!AE88+"AM:!(gI"</f>
        <v>#VALUE!</v>
      </c>
      <c r="GH177" s="97" t="e">
        <f>'Actual Value'!AF88+"AM:!(gJ"</f>
        <v>#VALUE!</v>
      </c>
      <c r="GI177" s="97" t="e">
        <f>'Actual Value'!AG88+"AM:!(gK"</f>
        <v>#VALUE!</v>
      </c>
      <c r="GJ177" s="97" t="e">
        <f>'Actual Value'!AH88+"AM:!(gL"</f>
        <v>#VALUE!</v>
      </c>
      <c r="GK177" s="97" t="e">
        <f>'Actual Value'!AI88+"AM:!(gM"</f>
        <v>#VALUE!</v>
      </c>
      <c r="GL177" s="97" t="e">
        <f>'Actual Value'!AJ88+"AM:!(gN"</f>
        <v>#VALUE!</v>
      </c>
      <c r="GM177" s="97" t="e">
        <f>'Actual Value'!AK88+"AM:!(gO"</f>
        <v>#VALUE!</v>
      </c>
      <c r="GN177" s="97" t="e">
        <f>'Actual Value'!AL88+"AM:!(gP"</f>
        <v>#VALUE!</v>
      </c>
      <c r="GO177" s="97" t="e">
        <f>'Actual Value'!AM88+"AM:!(gQ"</f>
        <v>#VALUE!</v>
      </c>
      <c r="GP177" s="97" t="e">
        <f>'Actual Value'!AN88+"AM:!(gR"</f>
        <v>#VALUE!</v>
      </c>
      <c r="GQ177" s="97" t="e">
        <f>'Actual Value'!AO88+"AM:!(gS"</f>
        <v>#VALUE!</v>
      </c>
      <c r="GR177" t="e">
        <f>'Actual Value'!AP88+"AM:!(gT"</f>
        <v>#VALUE!</v>
      </c>
      <c r="GS177" t="e">
        <f>'Actual Value'!AQ88+"AM:!(gU"</f>
        <v>#VALUE!</v>
      </c>
      <c r="GT177" t="e">
        <f>'Actual Value'!AR88+"AM:!(gV"</f>
        <v>#VALUE!</v>
      </c>
      <c r="GU177" t="e">
        <f>'Actual Value'!AS88+"AM:!(gW"</f>
        <v>#VALUE!</v>
      </c>
      <c r="GV177" t="e">
        <f>'Actual Value'!AT88+"AM:!(gX"</f>
        <v>#VALUE!</v>
      </c>
      <c r="GW177" t="e">
        <f>'Actual Value'!AU88+"AM:!(gY"</f>
        <v>#VALUE!</v>
      </c>
      <c r="GX177" t="e">
        <f>'Actual Value'!AV88+"AM:!(gZ"</f>
        <v>#VALUE!</v>
      </c>
      <c r="GY177" t="e">
        <f>'Actual Value'!AW88+"AM:!(g["</f>
        <v>#VALUE!</v>
      </c>
      <c r="GZ177" t="e">
        <f>'Actual Value'!AX88+"AM:!(g\"</f>
        <v>#VALUE!</v>
      </c>
      <c r="HA177" t="e">
        <f>'Actual Value'!A89+"AM:!(g]"</f>
        <v>#VALUE!</v>
      </c>
      <c r="HB177" t="e">
        <f>'Actual Value'!B89+"AM:!(g^"</f>
        <v>#VALUE!</v>
      </c>
      <c r="HC177" t="e">
        <f>'Actual Value'!C89+"AM:!(g_"</f>
        <v>#VALUE!</v>
      </c>
      <c r="HD177" s="97" t="e">
        <f>'Actual Value'!D89+"AM:!(g`"</f>
        <v>#VALUE!</v>
      </c>
      <c r="HE177" s="97" t="e">
        <f>'Actual Value'!E89+"AM:!(ga"</f>
        <v>#VALUE!</v>
      </c>
      <c r="HF177" s="97" t="e">
        <f>'Actual Value'!F89+"AM:!(gb"</f>
        <v>#VALUE!</v>
      </c>
      <c r="HG177" s="97" t="e">
        <f>'Actual Value'!G89+"AM:!(gc"</f>
        <v>#VALUE!</v>
      </c>
      <c r="HH177" s="97" t="e">
        <f>'Actual Value'!H89+"AM:!(gd"</f>
        <v>#VALUE!</v>
      </c>
      <c r="HI177" s="97" t="e">
        <f>'Actual Value'!I89+"AM:!(ge"</f>
        <v>#VALUE!</v>
      </c>
      <c r="HJ177" s="97" t="e">
        <f>'Actual Value'!J89+"AM:!(gf"</f>
        <v>#VALUE!</v>
      </c>
      <c r="HK177" s="97" t="e">
        <f>'Actual Value'!K89+"AM:!(gg"</f>
        <v>#VALUE!</v>
      </c>
      <c r="HL177" s="97" t="e">
        <f>'Actual Value'!L89+"AM:!(gh"</f>
        <v>#VALUE!</v>
      </c>
      <c r="HM177" s="97" t="e">
        <f>'Actual Value'!M89+"AM:!(gi"</f>
        <v>#VALUE!</v>
      </c>
      <c r="HN177" s="97" t="e">
        <f>'Actual Value'!N89+"AM:!(gj"</f>
        <v>#VALUE!</v>
      </c>
      <c r="HO177" s="97" t="e">
        <f>'Actual Value'!O89+"AM:!(gk"</f>
        <v>#VALUE!</v>
      </c>
      <c r="HP177" s="97" t="e">
        <f>'Actual Value'!P89+"AM:!(gl"</f>
        <v>#VALUE!</v>
      </c>
      <c r="HQ177" s="97" t="e">
        <f>'Actual Value'!Q89+"AM:!(gm"</f>
        <v>#VALUE!</v>
      </c>
      <c r="HR177" s="97" t="e">
        <f>'Actual Value'!R89+"AM:!(gn"</f>
        <v>#VALUE!</v>
      </c>
      <c r="HS177" s="97" t="e">
        <f>'Actual Value'!S89+"AM:!(go"</f>
        <v>#VALUE!</v>
      </c>
      <c r="HT177" s="97" t="e">
        <f>'Actual Value'!T89+"AM:!(gp"</f>
        <v>#VALUE!</v>
      </c>
      <c r="HU177" s="97" t="e">
        <f>'Actual Value'!U89+"AM:!(gq"</f>
        <v>#VALUE!</v>
      </c>
      <c r="HV177" s="97" t="e">
        <f>'Actual Value'!V89+"AM:!(gr"</f>
        <v>#VALUE!</v>
      </c>
      <c r="HW177" s="97" t="e">
        <f>'Actual Value'!W89+"AM:!(gs"</f>
        <v>#VALUE!</v>
      </c>
      <c r="HX177" s="97" t="e">
        <f>'Actual Value'!X89+"AM:!(gt"</f>
        <v>#VALUE!</v>
      </c>
      <c r="HY177" s="97" t="e">
        <f>'Actual Value'!Y89+"AM:!(gu"</f>
        <v>#VALUE!</v>
      </c>
      <c r="HZ177" s="97" t="e">
        <f>'Actual Value'!Z89+"AM:!(gv"</f>
        <v>#VALUE!</v>
      </c>
      <c r="IA177" s="97" t="e">
        <f>'Actual Value'!AA89+"AM:!(gw"</f>
        <v>#VALUE!</v>
      </c>
      <c r="IB177" s="97" t="e">
        <f>'Actual Value'!AB89+"AM:!(gx"</f>
        <v>#VALUE!</v>
      </c>
      <c r="IC177" s="97" t="e">
        <f>'Actual Value'!AC89+"AM:!(gy"</f>
        <v>#VALUE!</v>
      </c>
      <c r="ID177" s="97" t="e">
        <f>'Actual Value'!AD89+"AM:!(gz"</f>
        <v>#VALUE!</v>
      </c>
      <c r="IE177" s="97" t="e">
        <f>'Actual Value'!AE89+"AM:!(g{"</f>
        <v>#VALUE!</v>
      </c>
      <c r="IF177" s="97" t="e">
        <f>'Actual Value'!AF89+"AM:!(g|"</f>
        <v>#VALUE!</v>
      </c>
      <c r="IG177" s="97" t="e">
        <f>'Actual Value'!AG89+"AM:!(g}"</f>
        <v>#VALUE!</v>
      </c>
      <c r="IH177" s="97" t="e">
        <f>'Actual Value'!AH89+"AM:!(g~"</f>
        <v>#VALUE!</v>
      </c>
      <c r="II177" s="97" t="e">
        <f>'Actual Value'!AI89+"AM:!(h#"</f>
        <v>#VALUE!</v>
      </c>
      <c r="IJ177" s="97" t="e">
        <f>'Actual Value'!AJ89+"AM:!(h$"</f>
        <v>#VALUE!</v>
      </c>
      <c r="IK177" s="97" t="e">
        <f>'Actual Value'!AK89+"AM:!(h%"</f>
        <v>#VALUE!</v>
      </c>
      <c r="IL177" s="97" t="e">
        <f>'Actual Value'!AL89+"AM:!(h&amp;"</f>
        <v>#VALUE!</v>
      </c>
      <c r="IM177" s="97" t="e">
        <f>'Actual Value'!AM89+"AM:!(h'"</f>
        <v>#VALUE!</v>
      </c>
      <c r="IN177" s="97" t="e">
        <f>'Actual Value'!AN89+"AM:!(h("</f>
        <v>#VALUE!</v>
      </c>
      <c r="IO177" s="97" t="e">
        <f>'Actual Value'!AO89+"AM:!(h)"</f>
        <v>#VALUE!</v>
      </c>
      <c r="IP177" t="e">
        <f>'Actual Value'!AP89+"AM:!(h."</f>
        <v>#VALUE!</v>
      </c>
      <c r="IQ177" t="e">
        <f>'Actual Value'!AQ89+"AM:!(h/"</f>
        <v>#VALUE!</v>
      </c>
      <c r="IR177" t="e">
        <f>'Actual Value'!AR89+"AM:!(h0"</f>
        <v>#VALUE!</v>
      </c>
      <c r="IS177" t="e">
        <f>'Actual Value'!AS89+"AM:!(h1"</f>
        <v>#VALUE!</v>
      </c>
      <c r="IT177" t="e">
        <f>'Actual Value'!AT89+"AM:!(h2"</f>
        <v>#VALUE!</v>
      </c>
      <c r="IU177" t="e">
        <f>'Actual Value'!AU89+"AM:!(h3"</f>
        <v>#VALUE!</v>
      </c>
      <c r="IV177" t="e">
        <f>'Actual Value'!AV89+"AM:!(h4"</f>
        <v>#VALUE!</v>
      </c>
    </row>
    <row r="178" spans="6:256">
      <c r="F178" t="e">
        <f>'Actual Value'!AW89+"AM:!(h5"</f>
        <v>#VALUE!</v>
      </c>
      <c r="G178" t="e">
        <f>'Actual Value'!AX89+"AM:!(h6"</f>
        <v>#VALUE!</v>
      </c>
      <c r="H178" t="e">
        <f>'Actual Value'!A90+"AM:!(h7"</f>
        <v>#VALUE!</v>
      </c>
      <c r="I178" t="e">
        <f>'Actual Value'!B90+"AM:!(h8"</f>
        <v>#VALUE!</v>
      </c>
      <c r="J178" t="e">
        <f>'Actual Value'!C90+"AM:!(h9"</f>
        <v>#VALUE!</v>
      </c>
      <c r="K178" s="97" t="e">
        <f>'Actual Value'!D90+"AM:!(h:"</f>
        <v>#VALUE!</v>
      </c>
      <c r="L178" s="97" t="e">
        <f>'Actual Value'!E90+"AM:!(h;"</f>
        <v>#VALUE!</v>
      </c>
      <c r="M178" s="97" t="e">
        <f>'Actual Value'!F90+"AM:!(h&lt;"</f>
        <v>#VALUE!</v>
      </c>
      <c r="N178" s="97" t="e">
        <f>'Actual Value'!G90+"AM:!(h="</f>
        <v>#VALUE!</v>
      </c>
      <c r="O178" s="97" t="e">
        <f>'Actual Value'!H90+"AM:!(h&gt;"</f>
        <v>#VALUE!</v>
      </c>
      <c r="P178" s="97" t="e">
        <f>'Actual Value'!I90+"AM:!(h?"</f>
        <v>#VALUE!</v>
      </c>
      <c r="Q178" s="97" t="e">
        <f>'Actual Value'!J90+"AM:!(h@"</f>
        <v>#VALUE!</v>
      </c>
      <c r="R178" s="97" t="e">
        <f>'Actual Value'!K90+"AM:!(hA"</f>
        <v>#VALUE!</v>
      </c>
      <c r="S178" s="97" t="e">
        <f>'Actual Value'!L90+"AM:!(hB"</f>
        <v>#VALUE!</v>
      </c>
      <c r="T178" s="97" t="e">
        <f>'Actual Value'!M90+"AM:!(hC"</f>
        <v>#VALUE!</v>
      </c>
      <c r="U178" s="97" t="e">
        <f>'Actual Value'!N90+"AM:!(hD"</f>
        <v>#VALUE!</v>
      </c>
      <c r="V178" s="97" t="e">
        <f>'Actual Value'!O90+"AM:!(hE"</f>
        <v>#VALUE!</v>
      </c>
      <c r="W178" s="97" t="e">
        <f>'Actual Value'!P90+"AM:!(hF"</f>
        <v>#VALUE!</v>
      </c>
      <c r="X178" s="97" t="e">
        <f>'Actual Value'!Q90+"AM:!(hG"</f>
        <v>#VALUE!</v>
      </c>
      <c r="Y178" s="97" t="e">
        <f>'Actual Value'!R90+"AM:!(hH"</f>
        <v>#VALUE!</v>
      </c>
      <c r="Z178" s="97" t="e">
        <f>'Actual Value'!S90+"AM:!(hI"</f>
        <v>#VALUE!</v>
      </c>
      <c r="AA178" s="97" t="e">
        <f>'Actual Value'!T90+"AM:!(hJ"</f>
        <v>#VALUE!</v>
      </c>
      <c r="AB178" s="97" t="e">
        <f>'Actual Value'!U90+"AM:!(hK"</f>
        <v>#VALUE!</v>
      </c>
      <c r="AC178" s="97" t="e">
        <f>'Actual Value'!V90+"AM:!(hL"</f>
        <v>#VALUE!</v>
      </c>
      <c r="AD178" s="97" t="e">
        <f>'Actual Value'!W90+"AM:!(hM"</f>
        <v>#VALUE!</v>
      </c>
      <c r="AE178" s="97" t="e">
        <f>'Actual Value'!X90+"AM:!(hN"</f>
        <v>#VALUE!</v>
      </c>
      <c r="AF178" s="97" t="e">
        <f>'Actual Value'!Y90+"AM:!(hO"</f>
        <v>#VALUE!</v>
      </c>
      <c r="AG178" s="97" t="e">
        <f>'Actual Value'!Z90+"AM:!(hP"</f>
        <v>#VALUE!</v>
      </c>
      <c r="AH178" s="97" t="e">
        <f>'Actual Value'!AA90+"AM:!(hQ"</f>
        <v>#VALUE!</v>
      </c>
      <c r="AI178" s="97" t="e">
        <f>'Actual Value'!AB90+"AM:!(hR"</f>
        <v>#VALUE!</v>
      </c>
      <c r="AJ178" s="97" t="e">
        <f>'Actual Value'!AC90+"AM:!(hS"</f>
        <v>#VALUE!</v>
      </c>
      <c r="AK178" s="97" t="e">
        <f>'Actual Value'!AD90+"AM:!(hT"</f>
        <v>#VALUE!</v>
      </c>
      <c r="AL178" s="97" t="e">
        <f>'Actual Value'!AE90+"AM:!(hU"</f>
        <v>#VALUE!</v>
      </c>
      <c r="AM178" s="97" t="e">
        <f>'Actual Value'!AF90+"AM:!(hV"</f>
        <v>#VALUE!</v>
      </c>
      <c r="AN178" s="97" t="e">
        <f>'Actual Value'!AG90+"AM:!(hW"</f>
        <v>#VALUE!</v>
      </c>
      <c r="AO178" s="97" t="e">
        <f>'Actual Value'!AH90+"AM:!(hX"</f>
        <v>#VALUE!</v>
      </c>
      <c r="AP178" s="97" t="e">
        <f>'Actual Value'!AI90+"AM:!(hY"</f>
        <v>#VALUE!</v>
      </c>
      <c r="AQ178" s="97" t="e">
        <f>'Actual Value'!AJ90+"AM:!(hZ"</f>
        <v>#VALUE!</v>
      </c>
      <c r="AR178" s="97" t="e">
        <f>'Actual Value'!AK90+"AM:!(h["</f>
        <v>#VALUE!</v>
      </c>
      <c r="AS178" s="97" t="e">
        <f>'Actual Value'!AL90+"AM:!(h\"</f>
        <v>#VALUE!</v>
      </c>
      <c r="AT178" s="97" t="e">
        <f>'Actual Value'!AM90+"AM:!(h]"</f>
        <v>#VALUE!</v>
      </c>
      <c r="AU178" s="97" t="e">
        <f>'Actual Value'!AN90+"AM:!(h^"</f>
        <v>#VALUE!</v>
      </c>
      <c r="AV178" s="97" t="e">
        <f>'Actual Value'!AO90+"AM:!(h_"</f>
        <v>#VALUE!</v>
      </c>
      <c r="AW178" t="e">
        <f>'Actual Value'!AP90+"AM:!(h`"</f>
        <v>#VALUE!</v>
      </c>
      <c r="AX178" t="e">
        <f>'Actual Value'!AQ90+"AM:!(ha"</f>
        <v>#VALUE!</v>
      </c>
      <c r="AY178" t="e">
        <f>'Actual Value'!AR90+"AM:!(hb"</f>
        <v>#VALUE!</v>
      </c>
      <c r="AZ178" t="e">
        <f>'Actual Value'!AS90+"AM:!(hc"</f>
        <v>#VALUE!</v>
      </c>
      <c r="BA178" t="e">
        <f>'Actual Value'!AT90+"AM:!(hd"</f>
        <v>#VALUE!</v>
      </c>
      <c r="BB178" t="e">
        <f>'Actual Value'!AU90+"AM:!(he"</f>
        <v>#VALUE!</v>
      </c>
      <c r="BC178" t="e">
        <f>'Actual Value'!AV90+"AM:!(hf"</f>
        <v>#VALUE!</v>
      </c>
      <c r="BD178" t="e">
        <f>'Actual Value'!AW90+"AM:!(hg"</f>
        <v>#VALUE!</v>
      </c>
      <c r="BE178" t="e">
        <f>'Actual Value'!AX90+"AM:!(hh"</f>
        <v>#VALUE!</v>
      </c>
      <c r="BF178" t="e">
        <f>'Actual Value'!A91+"AM:!(hi"</f>
        <v>#VALUE!</v>
      </c>
      <c r="BG178" t="e">
        <f>'Actual Value'!B91+"AM:!(hj"</f>
        <v>#VALUE!</v>
      </c>
      <c r="BH178" t="e">
        <f>'Actual Value'!C91+"AM:!(hk"</f>
        <v>#VALUE!</v>
      </c>
      <c r="BI178" s="97" t="e">
        <f>'Actual Value'!D91+"AM:!(hl"</f>
        <v>#VALUE!</v>
      </c>
      <c r="BJ178" s="97" t="e">
        <f>'Actual Value'!E91+"AM:!(hm"</f>
        <v>#VALUE!</v>
      </c>
      <c r="BK178" s="97" t="e">
        <f>'Actual Value'!F91+"AM:!(hn"</f>
        <v>#VALUE!</v>
      </c>
      <c r="BL178" s="97" t="e">
        <f>'Actual Value'!G91+"AM:!(ho"</f>
        <v>#VALUE!</v>
      </c>
      <c r="BM178" s="97" t="e">
        <f>'Actual Value'!H91+"AM:!(hp"</f>
        <v>#VALUE!</v>
      </c>
      <c r="BN178" s="97" t="e">
        <f>'Actual Value'!I91+"AM:!(hq"</f>
        <v>#VALUE!</v>
      </c>
      <c r="BO178" s="97" t="e">
        <f>'Actual Value'!J91+"AM:!(hr"</f>
        <v>#VALUE!</v>
      </c>
      <c r="BP178" s="97" t="e">
        <f>'Actual Value'!K91+"AM:!(hs"</f>
        <v>#VALUE!</v>
      </c>
      <c r="BQ178" s="97" t="e">
        <f>'Actual Value'!L91+"AM:!(ht"</f>
        <v>#VALUE!</v>
      </c>
      <c r="BR178" s="97" t="e">
        <f>'Actual Value'!M91+"AM:!(hu"</f>
        <v>#VALUE!</v>
      </c>
      <c r="BS178" s="97" t="e">
        <f>'Actual Value'!N91+"AM:!(hv"</f>
        <v>#VALUE!</v>
      </c>
      <c r="BT178" s="97" t="e">
        <f>'Actual Value'!O91+"AM:!(hw"</f>
        <v>#VALUE!</v>
      </c>
      <c r="BU178" s="97" t="e">
        <f>'Actual Value'!P91+"AM:!(hx"</f>
        <v>#VALUE!</v>
      </c>
      <c r="BV178" s="97" t="e">
        <f>'Actual Value'!Q91+"AM:!(hy"</f>
        <v>#VALUE!</v>
      </c>
      <c r="BW178" s="97" t="e">
        <f>'Actual Value'!R91+"AM:!(hz"</f>
        <v>#VALUE!</v>
      </c>
      <c r="BX178" s="97" t="e">
        <f>'Actual Value'!S91+"AM:!(h{"</f>
        <v>#VALUE!</v>
      </c>
      <c r="BY178" s="97" t="e">
        <f>'Actual Value'!T91+"AM:!(h|"</f>
        <v>#VALUE!</v>
      </c>
      <c r="BZ178" s="97" t="e">
        <f>'Actual Value'!U91+"AM:!(h}"</f>
        <v>#VALUE!</v>
      </c>
      <c r="CA178" s="97" t="e">
        <f>'Actual Value'!V91+"AM:!(h~"</f>
        <v>#VALUE!</v>
      </c>
      <c r="CB178" s="97" t="e">
        <f>'Actual Value'!W91+"AM:!(i#"</f>
        <v>#VALUE!</v>
      </c>
      <c r="CC178" s="97" t="e">
        <f>'Actual Value'!X91+"AM:!(i$"</f>
        <v>#VALUE!</v>
      </c>
      <c r="CD178" s="97" t="e">
        <f>'Actual Value'!Y91+"AM:!(i%"</f>
        <v>#VALUE!</v>
      </c>
      <c r="CE178" s="97" t="e">
        <f>'Actual Value'!Z91+"AM:!(i&amp;"</f>
        <v>#VALUE!</v>
      </c>
      <c r="CF178" s="97" t="e">
        <f>'Actual Value'!AA91+"AM:!(i'"</f>
        <v>#VALUE!</v>
      </c>
      <c r="CG178" s="97" t="e">
        <f>'Actual Value'!AB91+"AM:!(i("</f>
        <v>#VALUE!</v>
      </c>
      <c r="CH178" s="97" t="e">
        <f>'Actual Value'!AC91+"AM:!(i)"</f>
        <v>#VALUE!</v>
      </c>
      <c r="CI178" s="97" t="e">
        <f>'Actual Value'!AD91+"AM:!(i."</f>
        <v>#VALUE!</v>
      </c>
      <c r="CJ178" s="97" t="e">
        <f>'Actual Value'!AE91+"AM:!(i/"</f>
        <v>#VALUE!</v>
      </c>
      <c r="CK178" s="97" t="e">
        <f>'Actual Value'!AF91+"AM:!(i0"</f>
        <v>#VALUE!</v>
      </c>
      <c r="CL178" s="97" t="e">
        <f>'Actual Value'!AG91+"AM:!(i1"</f>
        <v>#VALUE!</v>
      </c>
      <c r="CM178" s="97" t="e">
        <f>'Actual Value'!AH91+"AM:!(i2"</f>
        <v>#VALUE!</v>
      </c>
      <c r="CN178" s="97" t="e">
        <f>'Actual Value'!AI91+"AM:!(i3"</f>
        <v>#VALUE!</v>
      </c>
      <c r="CO178" s="97" t="e">
        <f>'Actual Value'!AJ91+"AM:!(i4"</f>
        <v>#VALUE!</v>
      </c>
      <c r="CP178" s="97" t="e">
        <f>'Actual Value'!AK91+"AM:!(i5"</f>
        <v>#VALUE!</v>
      </c>
      <c r="CQ178" s="97" t="e">
        <f>'Actual Value'!AL91+"AM:!(i6"</f>
        <v>#VALUE!</v>
      </c>
      <c r="CR178" s="97" t="e">
        <f>'Actual Value'!AM91+"AM:!(i7"</f>
        <v>#VALUE!</v>
      </c>
      <c r="CS178" s="97" t="e">
        <f>'Actual Value'!AN91+"AM:!(i8"</f>
        <v>#VALUE!</v>
      </c>
      <c r="CT178" s="97" t="e">
        <f>'Actual Value'!AO91+"AM:!(i9"</f>
        <v>#VALUE!</v>
      </c>
      <c r="CU178" t="e">
        <f>'Actual Value'!AP91+"AM:!(i:"</f>
        <v>#VALUE!</v>
      </c>
      <c r="CV178" t="e">
        <f>'Actual Value'!AQ91+"AM:!(i;"</f>
        <v>#VALUE!</v>
      </c>
      <c r="CW178" t="e">
        <f>'Actual Value'!AR91+"AM:!(i&lt;"</f>
        <v>#VALUE!</v>
      </c>
      <c r="CX178" t="e">
        <f>'Actual Value'!AS91+"AM:!(i="</f>
        <v>#VALUE!</v>
      </c>
      <c r="CY178" t="e">
        <f>'Actual Value'!AT91+"AM:!(i&gt;"</f>
        <v>#VALUE!</v>
      </c>
      <c r="CZ178" t="e">
        <f>'Actual Value'!AU91+"AM:!(i?"</f>
        <v>#VALUE!</v>
      </c>
      <c r="DA178" t="e">
        <f>'Actual Value'!AV91+"AM:!(i@"</f>
        <v>#VALUE!</v>
      </c>
      <c r="DB178" t="e">
        <f>'Actual Value'!AW91+"AM:!(iA"</f>
        <v>#VALUE!</v>
      </c>
      <c r="DC178" t="e">
        <f>'Actual Value'!AX91+"AM:!(iB"</f>
        <v>#VALUE!</v>
      </c>
      <c r="DD178" t="e">
        <f>'Actual Value'!A92+"AM:!(iC"</f>
        <v>#VALUE!</v>
      </c>
      <c r="DE178" t="e">
        <f>'Actual Value'!B92+"AM:!(iD"</f>
        <v>#VALUE!</v>
      </c>
      <c r="DF178" t="e">
        <f>'Actual Value'!C92+"AM:!(iE"</f>
        <v>#VALUE!</v>
      </c>
      <c r="DG178" s="97" t="e">
        <f>'Actual Value'!D92+"AM:!(iF"</f>
        <v>#VALUE!</v>
      </c>
      <c r="DH178" s="97" t="e">
        <f>'Actual Value'!E92+"AM:!(iG"</f>
        <v>#VALUE!</v>
      </c>
      <c r="DI178" s="97" t="e">
        <f>'Actual Value'!F92+"AM:!(iH"</f>
        <v>#VALUE!</v>
      </c>
      <c r="DJ178" s="97" t="e">
        <f>'Actual Value'!G92+"AM:!(iI"</f>
        <v>#VALUE!</v>
      </c>
      <c r="DK178" s="97" t="e">
        <f>'Actual Value'!H92+"AM:!(iJ"</f>
        <v>#VALUE!</v>
      </c>
      <c r="DL178" s="97" t="e">
        <f>'Actual Value'!I92+"AM:!(iK"</f>
        <v>#VALUE!</v>
      </c>
      <c r="DM178" s="97" t="e">
        <f>'Actual Value'!J92+"AM:!(iL"</f>
        <v>#VALUE!</v>
      </c>
      <c r="DN178" s="97" t="e">
        <f>'Actual Value'!K92+"AM:!(iM"</f>
        <v>#VALUE!</v>
      </c>
      <c r="DO178" s="97" t="e">
        <f>'Actual Value'!L92+"AM:!(iN"</f>
        <v>#VALUE!</v>
      </c>
      <c r="DP178" s="97" t="e">
        <f>'Actual Value'!M92+"AM:!(iO"</f>
        <v>#VALUE!</v>
      </c>
      <c r="DQ178" s="97" t="e">
        <f>'Actual Value'!N92+"AM:!(iP"</f>
        <v>#VALUE!</v>
      </c>
      <c r="DR178" s="97" t="e">
        <f>'Actual Value'!O92+"AM:!(iQ"</f>
        <v>#VALUE!</v>
      </c>
      <c r="DS178" s="97" t="e">
        <f>'Actual Value'!P92+"AM:!(iR"</f>
        <v>#VALUE!</v>
      </c>
      <c r="DT178" s="97" t="e">
        <f>'Actual Value'!Q92+"AM:!(iS"</f>
        <v>#VALUE!</v>
      </c>
      <c r="DU178" s="97" t="e">
        <f>'Actual Value'!R92+"AM:!(iT"</f>
        <v>#VALUE!</v>
      </c>
      <c r="DV178" s="97" t="e">
        <f>'Actual Value'!S92+"AM:!(iU"</f>
        <v>#VALUE!</v>
      </c>
      <c r="DW178" s="97" t="e">
        <f>'Actual Value'!T92+"AM:!(iV"</f>
        <v>#VALUE!</v>
      </c>
      <c r="DX178" s="97" t="e">
        <f>'Actual Value'!U92+"AM:!(iW"</f>
        <v>#VALUE!</v>
      </c>
      <c r="DY178" s="97" t="e">
        <f>'Actual Value'!V92+"AM:!(iX"</f>
        <v>#VALUE!</v>
      </c>
      <c r="DZ178" s="97" t="e">
        <f>'Actual Value'!W92+"AM:!(iY"</f>
        <v>#VALUE!</v>
      </c>
      <c r="EA178" s="97" t="e">
        <f>'Actual Value'!X92+"AM:!(iZ"</f>
        <v>#VALUE!</v>
      </c>
      <c r="EB178" s="97" t="e">
        <f>'Actual Value'!Y92+"AM:!(i["</f>
        <v>#VALUE!</v>
      </c>
      <c r="EC178" s="97" t="e">
        <f>'Actual Value'!Z92+"AM:!(i\"</f>
        <v>#VALUE!</v>
      </c>
      <c r="ED178" s="97" t="e">
        <f>'Actual Value'!AA92+"AM:!(i]"</f>
        <v>#VALUE!</v>
      </c>
      <c r="EE178" s="97" t="e">
        <f>'Actual Value'!AB92+"AM:!(i^"</f>
        <v>#VALUE!</v>
      </c>
      <c r="EF178" s="97" t="e">
        <f>'Actual Value'!AC92+"AM:!(i_"</f>
        <v>#VALUE!</v>
      </c>
      <c r="EG178" s="97" t="e">
        <f>'Actual Value'!AD92+"AM:!(i`"</f>
        <v>#VALUE!</v>
      </c>
      <c r="EH178" s="97" t="e">
        <f>'Actual Value'!AE92+"AM:!(ia"</f>
        <v>#VALUE!</v>
      </c>
      <c r="EI178" s="97" t="e">
        <f>'Actual Value'!AF92+"AM:!(ib"</f>
        <v>#VALUE!</v>
      </c>
      <c r="EJ178" s="97" t="e">
        <f>'Actual Value'!AG92+"AM:!(ic"</f>
        <v>#VALUE!</v>
      </c>
      <c r="EK178" s="97" t="e">
        <f>'Actual Value'!AH92+"AM:!(id"</f>
        <v>#VALUE!</v>
      </c>
      <c r="EL178" s="97" t="e">
        <f>'Actual Value'!AI92+"AM:!(ie"</f>
        <v>#VALUE!</v>
      </c>
      <c r="EM178" s="97" t="e">
        <f>'Actual Value'!AJ92+"AM:!(if"</f>
        <v>#VALUE!</v>
      </c>
      <c r="EN178" s="97" t="e">
        <f>'Actual Value'!AK92+"AM:!(ig"</f>
        <v>#VALUE!</v>
      </c>
      <c r="EO178" s="97" t="e">
        <f>'Actual Value'!AL92+"AM:!(ih"</f>
        <v>#VALUE!</v>
      </c>
      <c r="EP178" s="97" t="e">
        <f>'Actual Value'!AM92+"AM:!(ii"</f>
        <v>#VALUE!</v>
      </c>
      <c r="EQ178" s="97" t="e">
        <f>'Actual Value'!AN92+"AM:!(ij"</f>
        <v>#VALUE!</v>
      </c>
      <c r="ER178" s="97" t="e">
        <f>'Actual Value'!AO92+"AM:!(ik"</f>
        <v>#VALUE!</v>
      </c>
      <c r="ES178" t="e">
        <f>'Actual Value'!AP92+"AM:!(il"</f>
        <v>#VALUE!</v>
      </c>
      <c r="ET178" t="e">
        <f>'Actual Value'!AQ92+"AM:!(im"</f>
        <v>#VALUE!</v>
      </c>
      <c r="EU178" t="e">
        <f>'Actual Value'!AR92+"AM:!(in"</f>
        <v>#VALUE!</v>
      </c>
      <c r="EV178" t="e">
        <f>'Actual Value'!AS92+"AM:!(io"</f>
        <v>#VALUE!</v>
      </c>
      <c r="EW178" t="e">
        <f>'Actual Value'!AT92+"AM:!(ip"</f>
        <v>#VALUE!</v>
      </c>
      <c r="EX178" t="e">
        <f>'Actual Value'!AU92+"AM:!(iq"</f>
        <v>#VALUE!</v>
      </c>
      <c r="EY178" t="e">
        <f>'Actual Value'!AV92+"AM:!(ir"</f>
        <v>#VALUE!</v>
      </c>
      <c r="EZ178" t="e">
        <f>'Actual Value'!AW92+"AM:!(is"</f>
        <v>#VALUE!</v>
      </c>
      <c r="FA178" t="e">
        <f>'Actual Value'!AX92+"AM:!(it"</f>
        <v>#VALUE!</v>
      </c>
      <c r="FB178" t="e">
        <f>'Actual Value'!A93+"AM:!(iu"</f>
        <v>#VALUE!</v>
      </c>
      <c r="FC178" t="e">
        <f>'Actual Value'!B93+"AM:!(iv"</f>
        <v>#VALUE!</v>
      </c>
      <c r="FD178" s="98" t="e">
        <f>'Actual Value'!C93+"AM:!(iw"</f>
        <v>#VALUE!</v>
      </c>
      <c r="FE178" t="e">
        <f>'Actual Value'!D93+"AM:!(ix"</f>
        <v>#VALUE!</v>
      </c>
      <c r="FF178" t="e">
        <f>'Actual Value'!E93+"AM:!(iy"</f>
        <v>#VALUE!</v>
      </c>
      <c r="FG178" t="e">
        <f>'Actual Value'!F93+"AM:!(iz"</f>
        <v>#VALUE!</v>
      </c>
      <c r="FH178" t="e">
        <f>'Actual Value'!G93+"AM:!(i{"</f>
        <v>#VALUE!</v>
      </c>
      <c r="FI178" t="e">
        <f>'Actual Value'!H93+"AM:!(i|"</f>
        <v>#VALUE!</v>
      </c>
      <c r="FJ178" t="e">
        <f>'Actual Value'!I93+"AM:!(i}"</f>
        <v>#VALUE!</v>
      </c>
      <c r="FK178" t="e">
        <f>'Actual Value'!J93+"AM:!(i~"</f>
        <v>#VALUE!</v>
      </c>
      <c r="FL178" t="e">
        <f>'Actual Value'!K93+"AM:!(j#"</f>
        <v>#VALUE!</v>
      </c>
      <c r="FM178" t="e">
        <f>'Actual Value'!L93+"AM:!(j$"</f>
        <v>#VALUE!</v>
      </c>
      <c r="FN178" t="e">
        <f>'Actual Value'!M93+"AM:!(j%"</f>
        <v>#VALUE!</v>
      </c>
      <c r="FO178" t="e">
        <f>'Actual Value'!N93+"AM:!(j&amp;"</f>
        <v>#VALUE!</v>
      </c>
      <c r="FP178" t="e">
        <f>'Actual Value'!O93+"AM:!(j'"</f>
        <v>#VALUE!</v>
      </c>
      <c r="FQ178" t="e">
        <f>'Actual Value'!P93+"AM:!(j("</f>
        <v>#VALUE!</v>
      </c>
      <c r="FR178" t="e">
        <f>'Actual Value'!Q93+"AM:!(j)"</f>
        <v>#VALUE!</v>
      </c>
      <c r="FS178" t="e">
        <f>'Actual Value'!R93+"AM:!(j."</f>
        <v>#VALUE!</v>
      </c>
      <c r="FT178" t="e">
        <f>'Actual Value'!S93+"AM:!(j/"</f>
        <v>#VALUE!</v>
      </c>
      <c r="FU178" t="e">
        <f>'Actual Value'!T93+"AM:!(j0"</f>
        <v>#VALUE!</v>
      </c>
      <c r="FV178" t="e">
        <f>'Actual Value'!U93+"AM:!(j1"</f>
        <v>#VALUE!</v>
      </c>
      <c r="FW178" t="e">
        <f>'Actual Value'!V93+"AM:!(j2"</f>
        <v>#VALUE!</v>
      </c>
      <c r="FX178" t="e">
        <f>'Actual Value'!W93+"AM:!(j3"</f>
        <v>#VALUE!</v>
      </c>
      <c r="FY178" t="e">
        <f>'Actual Value'!X93+"AM:!(j4"</f>
        <v>#VALUE!</v>
      </c>
      <c r="FZ178" t="e">
        <f>'Actual Value'!Y93+"AM:!(j5"</f>
        <v>#VALUE!</v>
      </c>
      <c r="GA178" t="e">
        <f>'Actual Value'!Z93+"AM:!(j6"</f>
        <v>#VALUE!</v>
      </c>
      <c r="GB178" t="e">
        <f>'Actual Value'!AA93+"AM:!(j7"</f>
        <v>#VALUE!</v>
      </c>
      <c r="GC178" t="e">
        <f>'Actual Value'!AB93+"AM:!(j8"</f>
        <v>#VALUE!</v>
      </c>
      <c r="GD178" t="e">
        <f>'Actual Value'!AC93+"AM:!(j9"</f>
        <v>#VALUE!</v>
      </c>
      <c r="GE178" t="e">
        <f>'Actual Value'!AD93+"AM:!(j:"</f>
        <v>#VALUE!</v>
      </c>
      <c r="GF178" t="e">
        <f>'Actual Value'!AE93+"AM:!(j;"</f>
        <v>#VALUE!</v>
      </c>
      <c r="GG178" t="e">
        <f>'Actual Value'!AF93+"AM:!(j&lt;"</f>
        <v>#VALUE!</v>
      </c>
      <c r="GH178" t="e">
        <f>'Actual Value'!AG93+"AM:!(j="</f>
        <v>#VALUE!</v>
      </c>
      <c r="GI178" t="e">
        <f>'Actual Value'!AH93+"AM:!(j&gt;"</f>
        <v>#VALUE!</v>
      </c>
      <c r="GJ178" t="e">
        <f>'Actual Value'!AI93+"AM:!(j?"</f>
        <v>#VALUE!</v>
      </c>
      <c r="GK178" t="e">
        <f>'Actual Value'!AJ93+"AM:!(j@"</f>
        <v>#VALUE!</v>
      </c>
      <c r="GL178" t="e">
        <f>'Actual Value'!AK93+"AM:!(jA"</f>
        <v>#VALUE!</v>
      </c>
      <c r="GM178" t="e">
        <f>'Actual Value'!AL93+"AM:!(jB"</f>
        <v>#VALUE!</v>
      </c>
      <c r="GN178" t="e">
        <f>'Actual Value'!AM93+"AM:!(jC"</f>
        <v>#VALUE!</v>
      </c>
      <c r="GO178" t="e">
        <f>'Actual Value'!AN93+"AM:!(jD"</f>
        <v>#VALUE!</v>
      </c>
      <c r="GP178" t="e">
        <f>'Actual Value'!AO93+"AM:!(jE"</f>
        <v>#VALUE!</v>
      </c>
      <c r="GQ178" t="e">
        <f>'Actual Value'!AP93+"AM:!(jF"</f>
        <v>#VALUE!</v>
      </c>
      <c r="GR178" t="e">
        <f>'Actual Value'!AQ93+"AM:!(jG"</f>
        <v>#VALUE!</v>
      </c>
      <c r="GS178" t="e">
        <f>'Actual Value'!AR93+"AM:!(jH"</f>
        <v>#VALUE!</v>
      </c>
      <c r="GT178" t="e">
        <f>'Actual Value'!AS93+"AM:!(jI"</f>
        <v>#VALUE!</v>
      </c>
      <c r="GU178" t="e">
        <f>'Actual Value'!AT93+"AM:!(jJ"</f>
        <v>#VALUE!</v>
      </c>
      <c r="GV178" t="e">
        <f>'Actual Value'!AU93+"AM:!(jK"</f>
        <v>#VALUE!</v>
      </c>
      <c r="GW178" t="e">
        <f>'Actual Value'!AV93+"AM:!(jL"</f>
        <v>#VALUE!</v>
      </c>
      <c r="GX178" t="e">
        <f>'Actual Value'!AW93+"AM:!(jM"</f>
        <v>#VALUE!</v>
      </c>
      <c r="GY178" t="e">
        <f>'Actual Value'!A94+"AM:!(jN"</f>
        <v>#VALUE!</v>
      </c>
      <c r="GZ178" t="e">
        <f>'Actual Value'!B94+"AM:!(jO"</f>
        <v>#VALUE!</v>
      </c>
      <c r="HA178" t="e">
        <f>'Actual Value'!C94+"AM:!(jP"</f>
        <v>#VALUE!</v>
      </c>
      <c r="HB178" s="105" t="e">
        <f>'Actual Value'!D94+"AM:!(jQ"</f>
        <v>#VALUE!</v>
      </c>
      <c r="HC178" s="105" t="e">
        <f>'Actual Value'!E94+"AM:!(jR"</f>
        <v>#VALUE!</v>
      </c>
      <c r="HD178" s="105" t="e">
        <f>'Actual Value'!F94+"AM:!(jS"</f>
        <v>#VALUE!</v>
      </c>
      <c r="HE178" s="105" t="e">
        <f>'Actual Value'!G94+"AM:!(jT"</f>
        <v>#VALUE!</v>
      </c>
      <c r="HF178" s="105" t="e">
        <f>'Actual Value'!H94+"AM:!(jU"</f>
        <v>#VALUE!</v>
      </c>
      <c r="HG178" s="105" t="e">
        <f>'Actual Value'!I94+"AM:!(jV"</f>
        <v>#VALUE!</v>
      </c>
      <c r="HH178" s="105" t="e">
        <f>'Actual Value'!J94+"AM:!(jW"</f>
        <v>#VALUE!</v>
      </c>
      <c r="HI178" s="105" t="e">
        <f>'Actual Value'!K94+"AM:!(jX"</f>
        <v>#VALUE!</v>
      </c>
      <c r="HJ178" s="105" t="e">
        <f>'Actual Value'!L94+"AM:!(jY"</f>
        <v>#VALUE!</v>
      </c>
      <c r="HK178" s="105" t="e">
        <f>'Actual Value'!M94+"AM:!(jZ"</f>
        <v>#VALUE!</v>
      </c>
      <c r="HL178" s="105" t="e">
        <f>'Actual Value'!N94+"AM:!(j["</f>
        <v>#VALUE!</v>
      </c>
      <c r="HM178" s="105" t="e">
        <f>'Actual Value'!O94+"AM:!(j\"</f>
        <v>#VALUE!</v>
      </c>
      <c r="HN178" s="105" t="e">
        <f>'Actual Value'!P94+"AM:!(j]"</f>
        <v>#VALUE!</v>
      </c>
      <c r="HO178" s="105" t="e">
        <f>'Actual Value'!Q94+"AM:!(j^"</f>
        <v>#VALUE!</v>
      </c>
      <c r="HP178" s="105" t="e">
        <f>'Actual Value'!R94+"AM:!(j_"</f>
        <v>#VALUE!</v>
      </c>
      <c r="HQ178" s="105" t="e">
        <f>'Actual Value'!S94+"AM:!(j`"</f>
        <v>#VALUE!</v>
      </c>
      <c r="HR178" s="105" t="e">
        <f>'Actual Value'!T94+"AM:!(ja"</f>
        <v>#VALUE!</v>
      </c>
      <c r="HS178" s="105" t="e">
        <f>'Actual Value'!U94+"AM:!(jb"</f>
        <v>#VALUE!</v>
      </c>
      <c r="HT178" s="105" t="e">
        <f>'Actual Value'!V94+"AM:!(jc"</f>
        <v>#VALUE!</v>
      </c>
      <c r="HU178" s="105" t="e">
        <f>'Actual Value'!W94+"AM:!(jd"</f>
        <v>#VALUE!</v>
      </c>
      <c r="HV178" s="105" t="e">
        <f>'Actual Value'!X94+"AM:!(je"</f>
        <v>#VALUE!</v>
      </c>
      <c r="HW178" s="105" t="e">
        <f>'Actual Value'!Y94+"AM:!(jf"</f>
        <v>#VALUE!</v>
      </c>
      <c r="HX178" s="105" t="e">
        <f>'Actual Value'!Z94+"AM:!(jg"</f>
        <v>#VALUE!</v>
      </c>
      <c r="HY178" s="105" t="e">
        <f>'Actual Value'!AA94+"AM:!(jh"</f>
        <v>#VALUE!</v>
      </c>
      <c r="HZ178" s="105" t="e">
        <f>'Actual Value'!AB94+"AM:!(ji"</f>
        <v>#VALUE!</v>
      </c>
      <c r="IA178" s="105" t="e">
        <f>'Actual Value'!AC94+"AM:!(jj"</f>
        <v>#VALUE!</v>
      </c>
      <c r="IB178" s="105" t="e">
        <f>'Actual Value'!AD94+"AM:!(jk"</f>
        <v>#VALUE!</v>
      </c>
      <c r="IC178" s="105" t="e">
        <f>'Actual Value'!AE94+"AM:!(jl"</f>
        <v>#VALUE!</v>
      </c>
      <c r="ID178" s="105" t="e">
        <f>'Actual Value'!AF94+"AM:!(jm"</f>
        <v>#VALUE!</v>
      </c>
      <c r="IE178" s="105" t="e">
        <f>'Actual Value'!AG94+"AM:!(jn"</f>
        <v>#VALUE!</v>
      </c>
      <c r="IF178" s="105" t="e">
        <f>'Actual Value'!AH94+"AM:!(jo"</f>
        <v>#VALUE!</v>
      </c>
      <c r="IG178" s="105" t="e">
        <f>'Actual Value'!AI94+"AM:!(jp"</f>
        <v>#VALUE!</v>
      </c>
      <c r="IH178" s="105" t="e">
        <f>'Actual Value'!AJ94+"AM:!(jq"</f>
        <v>#VALUE!</v>
      </c>
      <c r="II178" s="105" t="e">
        <f>'Actual Value'!AK94+"AM:!(jr"</f>
        <v>#VALUE!</v>
      </c>
      <c r="IJ178" s="105" t="e">
        <f>'Actual Value'!AL94+"AM:!(js"</f>
        <v>#VALUE!</v>
      </c>
      <c r="IK178" s="105" t="e">
        <f>'Actual Value'!AM94+"AM:!(jt"</f>
        <v>#VALUE!</v>
      </c>
      <c r="IL178" s="105" t="e">
        <f>'Actual Value'!AN94+"AM:!(ju"</f>
        <v>#VALUE!</v>
      </c>
      <c r="IM178" s="105" t="e">
        <f>'Actual Value'!AO94+"AM:!(jv"</f>
        <v>#VALUE!</v>
      </c>
      <c r="IN178" t="e">
        <f>'Actual Value'!AP94+"AM:!(jw"</f>
        <v>#VALUE!</v>
      </c>
      <c r="IO178" s="100" t="e">
        <f>'Actual Value'!AQ94+"AM:!(jx"</f>
        <v>#VALUE!</v>
      </c>
      <c r="IP178" s="100" t="e">
        <f>'Actual Value'!AR94+"AM:!(jy"</f>
        <v>#VALUE!</v>
      </c>
      <c r="IQ178" s="100" t="e">
        <f>'Actual Value'!AS94+"AM:!(jz"</f>
        <v>#VALUE!</v>
      </c>
      <c r="IR178" s="100" t="e">
        <f>'Actual Value'!AT94+"AM:!(j{"</f>
        <v>#VALUE!</v>
      </c>
      <c r="IS178" s="100" t="e">
        <f>'Actual Value'!AU94+"AM:!(j|"</f>
        <v>#VALUE!</v>
      </c>
      <c r="IT178" s="100" t="e">
        <f>'Actual Value'!AV94+"AM:!(j}"</f>
        <v>#VALUE!</v>
      </c>
      <c r="IU178" t="e">
        <f>'Actual Value'!AW94+"AM:!(j~"</f>
        <v>#VALUE!</v>
      </c>
      <c r="IV178" t="e">
        <f>'Actual Value'!A95+"AM:!(k#"</f>
        <v>#VALUE!</v>
      </c>
    </row>
    <row r="179" spans="6:256">
      <c r="F179" t="e">
        <f>'Actual Value'!B95+"AM:!(k$"</f>
        <v>#VALUE!</v>
      </c>
      <c r="G179" t="e">
        <f>'Actual Value'!C95+"AM:!(k%"</f>
        <v>#VALUE!</v>
      </c>
      <c r="H179" s="97" t="e">
        <f>'Actual Value'!D95+"AM:!(k&amp;"</f>
        <v>#VALUE!</v>
      </c>
      <c r="I179" s="97" t="e">
        <f>'Actual Value'!E95+"AM:!(k'"</f>
        <v>#VALUE!</v>
      </c>
      <c r="J179" s="97" t="e">
        <f>'Actual Value'!F95+"AM:!(k("</f>
        <v>#VALUE!</v>
      </c>
      <c r="K179" s="97" t="e">
        <f>'Actual Value'!G95+"AM:!(k)"</f>
        <v>#VALUE!</v>
      </c>
      <c r="L179" s="97" t="e">
        <f>'Actual Value'!H95+"AM:!(k."</f>
        <v>#VALUE!</v>
      </c>
      <c r="M179" s="97" t="e">
        <f>'Actual Value'!I95+"AM:!(k/"</f>
        <v>#VALUE!</v>
      </c>
      <c r="N179" s="97" t="e">
        <f>'Actual Value'!J95+"AM:!(k0"</f>
        <v>#VALUE!</v>
      </c>
      <c r="O179" s="97" t="e">
        <f>'Actual Value'!K95+"AM:!(k1"</f>
        <v>#VALUE!</v>
      </c>
      <c r="P179" s="97" t="e">
        <f>'Actual Value'!L95+"AM:!(k2"</f>
        <v>#VALUE!</v>
      </c>
      <c r="Q179" s="97" t="e">
        <f>'Actual Value'!M95+"AM:!(k3"</f>
        <v>#VALUE!</v>
      </c>
      <c r="R179" s="97" t="e">
        <f>'Actual Value'!N95+"AM:!(k4"</f>
        <v>#VALUE!</v>
      </c>
      <c r="S179" s="97" t="e">
        <f>'Actual Value'!O95+"AM:!(k5"</f>
        <v>#VALUE!</v>
      </c>
      <c r="T179" s="97" t="e">
        <f>'Actual Value'!P95+"AM:!(k6"</f>
        <v>#VALUE!</v>
      </c>
      <c r="U179" s="97" t="e">
        <f>'Actual Value'!Q95+"AM:!(k7"</f>
        <v>#VALUE!</v>
      </c>
      <c r="V179" s="97" t="e">
        <f>'Actual Value'!R95+"AM:!(k8"</f>
        <v>#VALUE!</v>
      </c>
      <c r="W179" s="97" t="e">
        <f>'Actual Value'!S95+"AM:!(k9"</f>
        <v>#VALUE!</v>
      </c>
      <c r="X179" s="97" t="e">
        <f>'Actual Value'!T95+"AM:!(k:"</f>
        <v>#VALUE!</v>
      </c>
      <c r="Y179" s="97" t="e">
        <f>'Actual Value'!U95+"AM:!(k;"</f>
        <v>#VALUE!</v>
      </c>
      <c r="Z179" s="97" t="e">
        <f>'Actual Value'!V95+"AM:!(k&lt;"</f>
        <v>#VALUE!</v>
      </c>
      <c r="AA179" s="97" t="e">
        <f>'Actual Value'!W95+"AM:!(k="</f>
        <v>#VALUE!</v>
      </c>
      <c r="AB179" s="97" t="e">
        <f>'Actual Value'!X95+"AM:!(k&gt;"</f>
        <v>#VALUE!</v>
      </c>
      <c r="AC179" s="97" t="e">
        <f>'Actual Value'!Y95+"AM:!(k?"</f>
        <v>#VALUE!</v>
      </c>
      <c r="AD179" s="97" t="e">
        <f>'Actual Value'!Z95+"AM:!(k@"</f>
        <v>#VALUE!</v>
      </c>
      <c r="AE179" s="97" t="e">
        <f>'Actual Value'!AA95+"AM:!(kA"</f>
        <v>#VALUE!</v>
      </c>
      <c r="AF179" s="97" t="e">
        <f>'Actual Value'!AB95+"AM:!(kB"</f>
        <v>#VALUE!</v>
      </c>
      <c r="AG179" s="97" t="e">
        <f>'Actual Value'!AC95+"AM:!(kC"</f>
        <v>#VALUE!</v>
      </c>
      <c r="AH179" s="97" t="e">
        <f>'Actual Value'!AD95+"AM:!(kD"</f>
        <v>#VALUE!</v>
      </c>
      <c r="AI179" s="97" t="e">
        <f>'Actual Value'!AE95+"AM:!(kE"</f>
        <v>#VALUE!</v>
      </c>
      <c r="AJ179" s="97" t="e">
        <f>'Actual Value'!AF95+"AM:!(kF"</f>
        <v>#VALUE!</v>
      </c>
      <c r="AK179" s="97" t="e">
        <f>'Actual Value'!AG95+"AM:!(kG"</f>
        <v>#VALUE!</v>
      </c>
      <c r="AL179" s="97" t="e">
        <f>'Actual Value'!AH95+"AM:!(kH"</f>
        <v>#VALUE!</v>
      </c>
      <c r="AM179" s="97" t="e">
        <f>'Actual Value'!AI95+"AM:!(kI"</f>
        <v>#VALUE!</v>
      </c>
      <c r="AN179" s="97" t="e">
        <f>'Actual Value'!AJ95+"AM:!(kJ"</f>
        <v>#VALUE!</v>
      </c>
      <c r="AO179" s="97" t="e">
        <f>'Actual Value'!AK95+"AM:!(kK"</f>
        <v>#VALUE!</v>
      </c>
      <c r="AP179" s="97" t="e">
        <f>'Actual Value'!AL95+"AM:!(kL"</f>
        <v>#VALUE!</v>
      </c>
      <c r="AQ179" s="97" t="e">
        <f>'Actual Value'!AM95+"AM:!(kM"</f>
        <v>#VALUE!</v>
      </c>
      <c r="AR179" s="97" t="e">
        <f>'Actual Value'!AN95+"AM:!(kN"</f>
        <v>#VALUE!</v>
      </c>
      <c r="AS179" s="97" t="e">
        <f>'Actual Value'!AO95+"AM:!(kO"</f>
        <v>#VALUE!</v>
      </c>
      <c r="AT179" t="e">
        <f>'Actual Value'!AP95+"AM:!(kP"</f>
        <v>#VALUE!</v>
      </c>
      <c r="AU179" t="e">
        <f>'Actual Value'!AQ95+"AM:!(kQ"</f>
        <v>#VALUE!</v>
      </c>
      <c r="AV179" t="e">
        <f>'Actual Value'!AR95+"AM:!(kR"</f>
        <v>#VALUE!</v>
      </c>
      <c r="AW179" s="97" t="e">
        <f>'Actual Value'!AS95+"AM:!(kS"</f>
        <v>#VALUE!</v>
      </c>
      <c r="AX179" t="e">
        <f>'Actual Value'!AT95+"AM:!(kT"</f>
        <v>#VALUE!</v>
      </c>
      <c r="AY179" t="e">
        <f>'Actual Value'!AU95+"AM:!(kU"</f>
        <v>#VALUE!</v>
      </c>
      <c r="AZ179" t="e">
        <f>'Actual Value'!AV95+"AM:!(kV"</f>
        <v>#VALUE!</v>
      </c>
      <c r="BA179" t="e">
        <f>'Actual Value'!AW95+"AM:!(kW"</f>
        <v>#VALUE!</v>
      </c>
      <c r="BB179" t="e">
        <f>'Actual Value'!A96+"AM:!(kX"</f>
        <v>#VALUE!</v>
      </c>
      <c r="BC179" t="e">
        <f>'Actual Value'!B96+"AM:!(kY"</f>
        <v>#VALUE!</v>
      </c>
      <c r="BD179" t="e">
        <f>'Actual Value'!C96+"AM:!(kZ"</f>
        <v>#VALUE!</v>
      </c>
      <c r="BE179" s="97" t="e">
        <f>'Actual Value'!D96+"AM:!(k["</f>
        <v>#VALUE!</v>
      </c>
      <c r="BF179" s="97" t="e">
        <f>'Actual Value'!E96+"AM:!(k\"</f>
        <v>#VALUE!</v>
      </c>
      <c r="BG179" s="97" t="e">
        <f>'Actual Value'!F96+"AM:!(k]"</f>
        <v>#VALUE!</v>
      </c>
      <c r="BH179" s="97" t="e">
        <f>'Actual Value'!G96+"AM:!(k^"</f>
        <v>#VALUE!</v>
      </c>
      <c r="BI179" s="97" t="e">
        <f>'Actual Value'!H96+"AM:!(k_"</f>
        <v>#VALUE!</v>
      </c>
      <c r="BJ179" s="97" t="e">
        <f>'Actual Value'!I96+"AM:!(k`"</f>
        <v>#VALUE!</v>
      </c>
      <c r="BK179" s="97" t="e">
        <f>'Actual Value'!J96+"AM:!(ka"</f>
        <v>#VALUE!</v>
      </c>
      <c r="BL179" s="97" t="e">
        <f>'Actual Value'!K96+"AM:!(kb"</f>
        <v>#VALUE!</v>
      </c>
      <c r="BM179" s="97" t="e">
        <f>'Actual Value'!L96+"AM:!(kc"</f>
        <v>#VALUE!</v>
      </c>
      <c r="BN179" s="97" t="e">
        <f>'Actual Value'!M96+"AM:!(kd"</f>
        <v>#VALUE!</v>
      </c>
      <c r="BO179" s="97" t="e">
        <f>'Actual Value'!N96+"AM:!(ke"</f>
        <v>#VALUE!</v>
      </c>
      <c r="BP179" s="97" t="e">
        <f>'Actual Value'!O96+"AM:!(kf"</f>
        <v>#VALUE!</v>
      </c>
      <c r="BQ179" s="97" t="e">
        <f>'Actual Value'!P96+"AM:!(kg"</f>
        <v>#VALUE!</v>
      </c>
      <c r="BR179" s="97" t="e">
        <f>'Actual Value'!Q96+"AM:!(kh"</f>
        <v>#VALUE!</v>
      </c>
      <c r="BS179" s="97" t="e">
        <f>'Actual Value'!R96+"AM:!(ki"</f>
        <v>#VALUE!</v>
      </c>
      <c r="BT179" s="97" t="e">
        <f>'Actual Value'!S96+"AM:!(kj"</f>
        <v>#VALUE!</v>
      </c>
      <c r="BU179" s="97" t="e">
        <f>'Actual Value'!T96+"AM:!(kk"</f>
        <v>#VALUE!</v>
      </c>
      <c r="BV179" s="97" t="e">
        <f>'Actual Value'!U96+"AM:!(kl"</f>
        <v>#VALUE!</v>
      </c>
      <c r="BW179" s="97" t="e">
        <f>'Actual Value'!V96+"AM:!(km"</f>
        <v>#VALUE!</v>
      </c>
      <c r="BX179" s="97" t="e">
        <f>'Actual Value'!W96+"AM:!(kn"</f>
        <v>#VALUE!</v>
      </c>
      <c r="BY179" s="97" t="e">
        <f>'Actual Value'!X96+"AM:!(ko"</f>
        <v>#VALUE!</v>
      </c>
      <c r="BZ179" s="97" t="e">
        <f>'Actual Value'!Y96+"AM:!(kp"</f>
        <v>#VALUE!</v>
      </c>
      <c r="CA179" s="97" t="e">
        <f>'Actual Value'!Z96+"AM:!(kq"</f>
        <v>#VALUE!</v>
      </c>
      <c r="CB179" s="97" t="e">
        <f>'Actual Value'!AA96+"AM:!(kr"</f>
        <v>#VALUE!</v>
      </c>
      <c r="CC179" s="97" t="e">
        <f>'Actual Value'!AB96+"AM:!(ks"</f>
        <v>#VALUE!</v>
      </c>
      <c r="CD179" s="97" t="e">
        <f>'Actual Value'!AC96+"AM:!(kt"</f>
        <v>#VALUE!</v>
      </c>
      <c r="CE179" s="97" t="e">
        <f>'Actual Value'!AD96+"AM:!(ku"</f>
        <v>#VALUE!</v>
      </c>
      <c r="CF179" s="97" t="e">
        <f>'Actual Value'!AE96+"AM:!(kv"</f>
        <v>#VALUE!</v>
      </c>
      <c r="CG179" s="97" t="e">
        <f>'Actual Value'!AF96+"AM:!(kw"</f>
        <v>#VALUE!</v>
      </c>
      <c r="CH179" s="97" t="e">
        <f>'Actual Value'!AG96+"AM:!(kx"</f>
        <v>#VALUE!</v>
      </c>
      <c r="CI179" s="97" t="e">
        <f>'Actual Value'!AH96+"AM:!(ky"</f>
        <v>#VALUE!</v>
      </c>
      <c r="CJ179" s="97" t="e">
        <f>'Actual Value'!AI96+"AM:!(kz"</f>
        <v>#VALUE!</v>
      </c>
      <c r="CK179" s="97" t="e">
        <f>'Actual Value'!AJ96+"AM:!(k{"</f>
        <v>#VALUE!</v>
      </c>
      <c r="CL179" s="97" t="e">
        <f>'Actual Value'!AK96+"AM:!(k|"</f>
        <v>#VALUE!</v>
      </c>
      <c r="CM179" s="97" t="e">
        <f>'Actual Value'!AL96+"AM:!(k}"</f>
        <v>#VALUE!</v>
      </c>
      <c r="CN179" s="97" t="e">
        <f>'Actual Value'!AM96+"AM:!(k~"</f>
        <v>#VALUE!</v>
      </c>
      <c r="CO179" s="97" t="e">
        <f>'Actual Value'!AN96+"AM:!(l#"</f>
        <v>#VALUE!</v>
      </c>
      <c r="CP179" s="97" t="e">
        <f>'Actual Value'!AO96+"AM:!(l$"</f>
        <v>#VALUE!</v>
      </c>
      <c r="CQ179" t="e">
        <f>'Actual Value'!AP96+"AM:!(l%"</f>
        <v>#VALUE!</v>
      </c>
      <c r="CR179" t="e">
        <f>'Actual Value'!AQ96+"AM:!(l&amp;"</f>
        <v>#VALUE!</v>
      </c>
      <c r="CS179" t="e">
        <f>'Actual Value'!AR96+"AM:!(l'"</f>
        <v>#VALUE!</v>
      </c>
      <c r="CT179" s="97" t="e">
        <f>'Actual Value'!AS96+"AM:!(l("</f>
        <v>#VALUE!</v>
      </c>
      <c r="CU179" t="e">
        <f>'Actual Value'!AT96+"AM:!(l)"</f>
        <v>#VALUE!</v>
      </c>
      <c r="CV179" t="e">
        <f>'Actual Value'!AU96+"AM:!(l."</f>
        <v>#VALUE!</v>
      </c>
      <c r="CW179" t="e">
        <f>'Actual Value'!AV96+"AM:!(l/"</f>
        <v>#VALUE!</v>
      </c>
      <c r="CX179" t="e">
        <f>'Actual Value'!AW96+"AM:!(l0"</f>
        <v>#VALUE!</v>
      </c>
      <c r="CY179" t="e">
        <f>'Actual Value'!A97+"AM:!(l1"</f>
        <v>#VALUE!</v>
      </c>
      <c r="CZ179" t="e">
        <f>'Actual Value'!B97+"AM:!(l2"</f>
        <v>#VALUE!</v>
      </c>
      <c r="DA179" t="e">
        <f>'Actual Value'!C97+"AM:!(l3"</f>
        <v>#VALUE!</v>
      </c>
      <c r="DB179" s="97" t="e">
        <f>'Actual Value'!D97+"AM:!(l4"</f>
        <v>#VALUE!</v>
      </c>
      <c r="DC179" s="97" t="e">
        <f>'Actual Value'!E97+"AM:!(l5"</f>
        <v>#VALUE!</v>
      </c>
      <c r="DD179" s="97" t="e">
        <f>'Actual Value'!F97+"AM:!(l6"</f>
        <v>#VALUE!</v>
      </c>
      <c r="DE179" s="97" t="e">
        <f>'Actual Value'!G97+"AM:!(l7"</f>
        <v>#VALUE!</v>
      </c>
      <c r="DF179" s="97" t="e">
        <f>'Actual Value'!H97+"AM:!(l8"</f>
        <v>#VALUE!</v>
      </c>
      <c r="DG179" s="97" t="e">
        <f>'Actual Value'!I97+"AM:!(l9"</f>
        <v>#VALUE!</v>
      </c>
      <c r="DH179" s="97" t="e">
        <f>'Actual Value'!J97+"AM:!(l:"</f>
        <v>#VALUE!</v>
      </c>
      <c r="DI179" s="97" t="e">
        <f>'Actual Value'!K97+"AM:!(l;"</f>
        <v>#VALUE!</v>
      </c>
      <c r="DJ179" s="97" t="e">
        <f>'Actual Value'!L97+"AM:!(l&lt;"</f>
        <v>#VALUE!</v>
      </c>
      <c r="DK179" s="97" t="e">
        <f>'Actual Value'!M97+"AM:!(l="</f>
        <v>#VALUE!</v>
      </c>
      <c r="DL179" s="97" t="e">
        <f>'Actual Value'!N97+"AM:!(l&gt;"</f>
        <v>#VALUE!</v>
      </c>
      <c r="DM179" s="97" t="e">
        <f>'Actual Value'!O97+"AM:!(l?"</f>
        <v>#VALUE!</v>
      </c>
      <c r="DN179" s="97" t="e">
        <f>'Actual Value'!P97+"AM:!(l@"</f>
        <v>#VALUE!</v>
      </c>
      <c r="DO179" s="97" t="e">
        <f>'Actual Value'!Q97+"AM:!(lA"</f>
        <v>#VALUE!</v>
      </c>
      <c r="DP179" s="97" t="e">
        <f>'Actual Value'!R97+"AM:!(lB"</f>
        <v>#VALUE!</v>
      </c>
      <c r="DQ179" s="97" t="e">
        <f>'Actual Value'!S97+"AM:!(lC"</f>
        <v>#VALUE!</v>
      </c>
      <c r="DR179" s="97" t="e">
        <f>'Actual Value'!T97+"AM:!(lD"</f>
        <v>#VALUE!</v>
      </c>
      <c r="DS179" s="97" t="e">
        <f>'Actual Value'!U97+"AM:!(lE"</f>
        <v>#VALUE!</v>
      </c>
      <c r="DT179" s="97" t="e">
        <f>'Actual Value'!V97+"AM:!(lF"</f>
        <v>#VALUE!</v>
      </c>
      <c r="DU179" s="97" t="e">
        <f>'Actual Value'!W97+"AM:!(lG"</f>
        <v>#VALUE!</v>
      </c>
      <c r="DV179" s="97" t="e">
        <f>'Actual Value'!X97+"AM:!(lH"</f>
        <v>#VALUE!</v>
      </c>
      <c r="DW179" s="97" t="e">
        <f>'Actual Value'!Y97+"AM:!(lI"</f>
        <v>#VALUE!</v>
      </c>
      <c r="DX179" s="97" t="e">
        <f>'Actual Value'!Z97+"AM:!(lJ"</f>
        <v>#VALUE!</v>
      </c>
      <c r="DY179" s="97" t="e">
        <f>'Actual Value'!AA97+"AM:!(lK"</f>
        <v>#VALUE!</v>
      </c>
      <c r="DZ179" s="97" t="e">
        <f>'Actual Value'!AB97+"AM:!(lL"</f>
        <v>#VALUE!</v>
      </c>
      <c r="EA179" s="97" t="e">
        <f>'Actual Value'!AC97+"AM:!(lM"</f>
        <v>#VALUE!</v>
      </c>
      <c r="EB179" s="97" t="e">
        <f>'Actual Value'!AD97+"AM:!(lN"</f>
        <v>#VALUE!</v>
      </c>
      <c r="EC179" s="97" t="e">
        <f>'Actual Value'!AE97+"AM:!(lO"</f>
        <v>#VALUE!</v>
      </c>
      <c r="ED179" s="97" t="e">
        <f>'Actual Value'!AF97+"AM:!(lP"</f>
        <v>#VALUE!</v>
      </c>
      <c r="EE179" s="97" t="e">
        <f>'Actual Value'!AG97+"AM:!(lQ"</f>
        <v>#VALUE!</v>
      </c>
      <c r="EF179" s="97" t="e">
        <f>'Actual Value'!AH97+"AM:!(lR"</f>
        <v>#VALUE!</v>
      </c>
      <c r="EG179" s="97" t="e">
        <f>'Actual Value'!AI97+"AM:!(lS"</f>
        <v>#VALUE!</v>
      </c>
      <c r="EH179" s="97" t="e">
        <f>'Actual Value'!AJ97+"AM:!(lT"</f>
        <v>#VALUE!</v>
      </c>
      <c r="EI179" s="97" t="e">
        <f>'Actual Value'!AK97+"AM:!(lU"</f>
        <v>#VALUE!</v>
      </c>
      <c r="EJ179" s="97" t="e">
        <f>'Actual Value'!AL97+"AM:!(lV"</f>
        <v>#VALUE!</v>
      </c>
      <c r="EK179" s="97" t="e">
        <f>'Actual Value'!AM97+"AM:!(lW"</f>
        <v>#VALUE!</v>
      </c>
      <c r="EL179" s="97" t="e">
        <f>'Actual Value'!AN97+"AM:!(lX"</f>
        <v>#VALUE!</v>
      </c>
      <c r="EM179" s="97" t="e">
        <f>'Actual Value'!AO97+"AM:!(lY"</f>
        <v>#VALUE!</v>
      </c>
      <c r="EN179" t="e">
        <f>'Actual Value'!AP97+"AM:!(lZ"</f>
        <v>#VALUE!</v>
      </c>
      <c r="EO179" t="e">
        <f>'Actual Value'!AQ97+"AM:!(l["</f>
        <v>#VALUE!</v>
      </c>
      <c r="EP179" t="e">
        <f>'Actual Value'!AR97+"AM:!(l\"</f>
        <v>#VALUE!</v>
      </c>
      <c r="EQ179" t="e">
        <f>'Actual Value'!AS97+"AM:!(l]"</f>
        <v>#VALUE!</v>
      </c>
      <c r="ER179" t="e">
        <f>'Actual Value'!AT97+"AM:!(l^"</f>
        <v>#VALUE!</v>
      </c>
      <c r="ES179" t="e">
        <f>'Actual Value'!AU97+"AM:!(l_"</f>
        <v>#VALUE!</v>
      </c>
      <c r="ET179" t="e">
        <f>'Actual Value'!AV97+"AM:!(l`"</f>
        <v>#VALUE!</v>
      </c>
      <c r="EU179" t="e">
        <f>'Actual Value'!AW97+"AM:!(la"</f>
        <v>#VALUE!</v>
      </c>
      <c r="EV179" t="e">
        <f>'Actual Value'!A98+"AM:!(lb"</f>
        <v>#VALUE!</v>
      </c>
      <c r="EW179" t="e">
        <f>'Actual Value'!B98+"AM:!(lc"</f>
        <v>#VALUE!</v>
      </c>
      <c r="EX179" t="e">
        <f>'Actual Value'!C98+"AM:!(ld"</f>
        <v>#VALUE!</v>
      </c>
      <c r="EY179" s="97" t="e">
        <f>'Actual Value'!D98+"AM:!(le"</f>
        <v>#VALUE!</v>
      </c>
      <c r="EZ179" s="97" t="e">
        <f>'Actual Value'!E98+"AM:!(lf"</f>
        <v>#VALUE!</v>
      </c>
      <c r="FA179" s="97" t="e">
        <f>'Actual Value'!F98+"AM:!(lg"</f>
        <v>#VALUE!</v>
      </c>
      <c r="FB179" s="97" t="e">
        <f>'Actual Value'!G98+"AM:!(lh"</f>
        <v>#VALUE!</v>
      </c>
      <c r="FC179" s="97" t="e">
        <f>'Actual Value'!H98+"AM:!(li"</f>
        <v>#VALUE!</v>
      </c>
      <c r="FD179" s="97" t="e">
        <f>'Actual Value'!I98+"AM:!(lj"</f>
        <v>#VALUE!</v>
      </c>
      <c r="FE179" s="97" t="e">
        <f>'Actual Value'!J98+"AM:!(lk"</f>
        <v>#VALUE!</v>
      </c>
      <c r="FF179" s="97" t="e">
        <f>'Actual Value'!K98+"AM:!(ll"</f>
        <v>#VALUE!</v>
      </c>
      <c r="FG179" s="97" t="e">
        <f>'Actual Value'!L98+"AM:!(lm"</f>
        <v>#VALUE!</v>
      </c>
      <c r="FH179" s="97" t="e">
        <f>'Actual Value'!M98+"AM:!(ln"</f>
        <v>#VALUE!</v>
      </c>
      <c r="FI179" s="97" t="e">
        <f>'Actual Value'!N98+"AM:!(lo"</f>
        <v>#VALUE!</v>
      </c>
      <c r="FJ179" s="97" t="e">
        <f>'Actual Value'!O98+"AM:!(lp"</f>
        <v>#VALUE!</v>
      </c>
      <c r="FK179" s="97" t="e">
        <f>'Actual Value'!P98+"AM:!(lq"</f>
        <v>#VALUE!</v>
      </c>
      <c r="FL179" s="97" t="e">
        <f>'Actual Value'!Q98+"AM:!(lr"</f>
        <v>#VALUE!</v>
      </c>
      <c r="FM179" s="97" t="e">
        <f>'Actual Value'!R98+"AM:!(ls"</f>
        <v>#VALUE!</v>
      </c>
      <c r="FN179" s="97" t="e">
        <f>'Actual Value'!S98+"AM:!(lt"</f>
        <v>#VALUE!</v>
      </c>
      <c r="FO179" s="97" t="e">
        <f>'Actual Value'!T98+"AM:!(lu"</f>
        <v>#VALUE!</v>
      </c>
      <c r="FP179" s="97" t="e">
        <f>'Actual Value'!U98+"AM:!(lv"</f>
        <v>#VALUE!</v>
      </c>
      <c r="FQ179" s="97" t="e">
        <f>'Actual Value'!V98+"AM:!(lw"</f>
        <v>#VALUE!</v>
      </c>
      <c r="FR179" s="97" t="e">
        <f>'Actual Value'!W98+"AM:!(lx"</f>
        <v>#VALUE!</v>
      </c>
      <c r="FS179" s="97" t="e">
        <f>'Actual Value'!X98+"AM:!(ly"</f>
        <v>#VALUE!</v>
      </c>
      <c r="FT179" s="97" t="e">
        <f>'Actual Value'!Y98+"AM:!(lz"</f>
        <v>#VALUE!</v>
      </c>
      <c r="FU179" s="97" t="e">
        <f>'Actual Value'!Z98+"AM:!(l{"</f>
        <v>#VALUE!</v>
      </c>
      <c r="FV179" s="97" t="e">
        <f>'Actual Value'!AA98+"AM:!(l|"</f>
        <v>#VALUE!</v>
      </c>
      <c r="FW179" s="97" t="e">
        <f>'Actual Value'!AB98+"AM:!(l}"</f>
        <v>#VALUE!</v>
      </c>
      <c r="FX179" s="97" t="e">
        <f>'Actual Value'!AC98+"AM:!(l~"</f>
        <v>#VALUE!</v>
      </c>
      <c r="FY179" s="97" t="e">
        <f>'Actual Value'!AD98+"AM:!(m#"</f>
        <v>#VALUE!</v>
      </c>
      <c r="FZ179" s="97" t="e">
        <f>'Actual Value'!AE98+"AM:!(m$"</f>
        <v>#VALUE!</v>
      </c>
      <c r="GA179" s="97" t="e">
        <f>'Actual Value'!AF98+"AM:!(m%"</f>
        <v>#VALUE!</v>
      </c>
      <c r="GB179" s="97" t="e">
        <f>'Actual Value'!AG98+"AM:!(m&amp;"</f>
        <v>#VALUE!</v>
      </c>
      <c r="GC179" s="97" t="e">
        <f>'Actual Value'!AH98+"AM:!(m'"</f>
        <v>#VALUE!</v>
      </c>
      <c r="GD179" s="97" t="e">
        <f>'Actual Value'!AI98+"AM:!(m("</f>
        <v>#VALUE!</v>
      </c>
      <c r="GE179" s="97" t="e">
        <f>'Actual Value'!AJ98+"AM:!(m)"</f>
        <v>#VALUE!</v>
      </c>
      <c r="GF179" s="97" t="e">
        <f>'Actual Value'!AK98+"AM:!(m."</f>
        <v>#VALUE!</v>
      </c>
      <c r="GG179" s="97" t="e">
        <f>'Actual Value'!AL98+"AM:!(m/"</f>
        <v>#VALUE!</v>
      </c>
      <c r="GH179" s="97" t="e">
        <f>'Actual Value'!AM98+"AM:!(m0"</f>
        <v>#VALUE!</v>
      </c>
      <c r="GI179" s="97" t="e">
        <f>'Actual Value'!AN98+"AM:!(m1"</f>
        <v>#VALUE!</v>
      </c>
      <c r="GJ179" s="97" t="e">
        <f>'Actual Value'!AO98+"AM:!(m2"</f>
        <v>#VALUE!</v>
      </c>
      <c r="GK179" t="e">
        <f>'Actual Value'!AP98+"AM:!(m3"</f>
        <v>#VALUE!</v>
      </c>
      <c r="GL179" t="e">
        <f>'Actual Value'!AQ98+"AM:!(m4"</f>
        <v>#VALUE!</v>
      </c>
      <c r="GM179" t="e">
        <f>'Actual Value'!AR98+"AM:!(m5"</f>
        <v>#VALUE!</v>
      </c>
      <c r="GN179" t="e">
        <f>'Actual Value'!AS98+"AM:!(m6"</f>
        <v>#VALUE!</v>
      </c>
      <c r="GO179" t="e">
        <f>'Actual Value'!AT98+"AM:!(m7"</f>
        <v>#VALUE!</v>
      </c>
      <c r="GP179" t="e">
        <f>'Actual Value'!AU98+"AM:!(m8"</f>
        <v>#VALUE!</v>
      </c>
      <c r="GQ179" t="e">
        <f>'Actual Value'!AV98+"AM:!(m9"</f>
        <v>#VALUE!</v>
      </c>
      <c r="GR179" t="e">
        <f>'Actual Value'!AW98+"AM:!(m:"</f>
        <v>#VALUE!</v>
      </c>
      <c r="GS179" t="e">
        <f>'Actual Value'!AX98+"AM:!(m;"</f>
        <v>#VALUE!</v>
      </c>
      <c r="GT179" t="e">
        <f>'Actual Value'!A99+"AM:!(m&lt;"</f>
        <v>#VALUE!</v>
      </c>
      <c r="GU179" t="e">
        <f>'Actual Value'!B99+"AM:!(m="</f>
        <v>#VALUE!</v>
      </c>
      <c r="GV179" t="e">
        <f>'Actual Value'!C99+"AM:!(m&gt;"</f>
        <v>#VALUE!</v>
      </c>
      <c r="GW179" s="97" t="e">
        <f>'Actual Value'!D99+"AM:!(m?"</f>
        <v>#VALUE!</v>
      </c>
      <c r="GX179" s="97" t="e">
        <f>'Actual Value'!E99+"AM:!(m@"</f>
        <v>#VALUE!</v>
      </c>
      <c r="GY179" s="97" t="e">
        <f>'Actual Value'!F99+"AM:!(mA"</f>
        <v>#VALUE!</v>
      </c>
      <c r="GZ179" s="97" t="e">
        <f>'Actual Value'!G99+"AM:!(mB"</f>
        <v>#VALUE!</v>
      </c>
      <c r="HA179" s="97" t="e">
        <f>'Actual Value'!H99+"AM:!(mC"</f>
        <v>#VALUE!</v>
      </c>
      <c r="HB179" s="97" t="e">
        <f>'Actual Value'!I99+"AM:!(mD"</f>
        <v>#VALUE!</v>
      </c>
      <c r="HC179" s="97" t="e">
        <f>'Actual Value'!J99+"AM:!(mE"</f>
        <v>#VALUE!</v>
      </c>
      <c r="HD179" s="97" t="e">
        <f>'Actual Value'!K99+"AM:!(mF"</f>
        <v>#VALUE!</v>
      </c>
      <c r="HE179" s="97" t="e">
        <f>'Actual Value'!L99+"AM:!(mG"</f>
        <v>#VALUE!</v>
      </c>
      <c r="HF179" s="97" t="e">
        <f>'Actual Value'!M99+"AM:!(mH"</f>
        <v>#VALUE!</v>
      </c>
      <c r="HG179" s="97" t="e">
        <f>'Actual Value'!N99+"AM:!(mI"</f>
        <v>#VALUE!</v>
      </c>
      <c r="HH179" s="97" t="e">
        <f>'Actual Value'!O99+"AM:!(mJ"</f>
        <v>#VALUE!</v>
      </c>
      <c r="HI179" s="97" t="e">
        <f>'Actual Value'!P99+"AM:!(mK"</f>
        <v>#VALUE!</v>
      </c>
      <c r="HJ179" s="97" t="e">
        <f>'Actual Value'!Q99+"AM:!(mL"</f>
        <v>#VALUE!</v>
      </c>
      <c r="HK179" s="97" t="e">
        <f>'Actual Value'!R99+"AM:!(mM"</f>
        <v>#VALUE!</v>
      </c>
      <c r="HL179" s="97" t="e">
        <f>'Actual Value'!S99+"AM:!(mN"</f>
        <v>#VALUE!</v>
      </c>
      <c r="HM179" s="97" t="e">
        <f>'Actual Value'!T99+"AM:!(mO"</f>
        <v>#VALUE!</v>
      </c>
      <c r="HN179" s="97" t="e">
        <f>'Actual Value'!U99+"AM:!(mP"</f>
        <v>#VALUE!</v>
      </c>
      <c r="HO179" s="97" t="e">
        <f>'Actual Value'!V99+"AM:!(mQ"</f>
        <v>#VALUE!</v>
      </c>
      <c r="HP179" s="97" t="e">
        <f>'Actual Value'!W99+"AM:!(mR"</f>
        <v>#VALUE!</v>
      </c>
      <c r="HQ179" s="97" t="e">
        <f>'Actual Value'!X99+"AM:!(mS"</f>
        <v>#VALUE!</v>
      </c>
      <c r="HR179" s="97" t="e">
        <f>'Actual Value'!Y99+"AM:!(mT"</f>
        <v>#VALUE!</v>
      </c>
      <c r="HS179" s="97" t="e">
        <f>'Actual Value'!Z99+"AM:!(mU"</f>
        <v>#VALUE!</v>
      </c>
      <c r="HT179" s="97" t="e">
        <f>'Actual Value'!AA99+"AM:!(mV"</f>
        <v>#VALUE!</v>
      </c>
      <c r="HU179" s="97" t="e">
        <f>'Actual Value'!AB99+"AM:!(mW"</f>
        <v>#VALUE!</v>
      </c>
      <c r="HV179" s="97" t="e">
        <f>'Actual Value'!AC99+"AM:!(mX"</f>
        <v>#VALUE!</v>
      </c>
      <c r="HW179" s="97" t="e">
        <f>'Actual Value'!AD99+"AM:!(mY"</f>
        <v>#VALUE!</v>
      </c>
      <c r="HX179" s="97" t="e">
        <f>'Actual Value'!AE99+"AM:!(mZ"</f>
        <v>#VALUE!</v>
      </c>
      <c r="HY179" s="97" t="e">
        <f>'Actual Value'!AF99+"AM:!(m["</f>
        <v>#VALUE!</v>
      </c>
      <c r="HZ179" s="97" t="e">
        <f>'Actual Value'!AG99+"AM:!(m\"</f>
        <v>#VALUE!</v>
      </c>
      <c r="IA179" s="97" t="e">
        <f>'Actual Value'!AH99+"AM:!(m]"</f>
        <v>#VALUE!</v>
      </c>
      <c r="IB179" s="97" t="e">
        <f>'Actual Value'!AI99+"AM:!(m^"</f>
        <v>#VALUE!</v>
      </c>
      <c r="IC179" s="97" t="e">
        <f>'Actual Value'!AJ99+"AM:!(m_"</f>
        <v>#VALUE!</v>
      </c>
      <c r="ID179" s="97" t="e">
        <f>'Actual Value'!AK99+"AM:!(m`"</f>
        <v>#VALUE!</v>
      </c>
      <c r="IE179" s="97" t="e">
        <f>'Actual Value'!AL99+"AM:!(ma"</f>
        <v>#VALUE!</v>
      </c>
      <c r="IF179" s="97" t="e">
        <f>'Actual Value'!AM99+"AM:!(mb"</f>
        <v>#VALUE!</v>
      </c>
      <c r="IG179" s="97" t="e">
        <f>'Actual Value'!AN99+"AM:!(mc"</f>
        <v>#VALUE!</v>
      </c>
      <c r="IH179" s="97" t="e">
        <f>'Actual Value'!AO99+"AM:!(md"</f>
        <v>#VALUE!</v>
      </c>
      <c r="II179" t="e">
        <f>'Actual Value'!AP99+"AM:!(me"</f>
        <v>#VALUE!</v>
      </c>
      <c r="IJ179" t="e">
        <f>'Actual Value'!AQ99+"AM:!(mf"</f>
        <v>#VALUE!</v>
      </c>
      <c r="IK179" t="e">
        <f>'Actual Value'!AR99+"AM:!(mg"</f>
        <v>#VALUE!</v>
      </c>
      <c r="IL179" t="e">
        <f>'Actual Value'!AS99+"AM:!(mh"</f>
        <v>#VALUE!</v>
      </c>
      <c r="IM179" t="e">
        <f>'Actual Value'!AT99+"AM:!(mi"</f>
        <v>#VALUE!</v>
      </c>
      <c r="IN179" t="e">
        <f>'Actual Value'!AU99+"AM:!(mj"</f>
        <v>#VALUE!</v>
      </c>
      <c r="IO179" t="e">
        <f>'Actual Value'!AV99+"AM:!(mk"</f>
        <v>#VALUE!</v>
      </c>
      <c r="IP179" t="e">
        <f>'Actual Value'!AW99+"AM:!(ml"</f>
        <v>#VALUE!</v>
      </c>
      <c r="IQ179" t="e">
        <f>'Actual Value'!AX99+"AM:!(mm"</f>
        <v>#VALUE!</v>
      </c>
      <c r="IR179" t="e">
        <f>'Actual Value'!A100+"AM:!(mn"</f>
        <v>#VALUE!</v>
      </c>
      <c r="IS179" t="e">
        <f>'Actual Value'!B100+"AM:!(mo"</f>
        <v>#VALUE!</v>
      </c>
      <c r="IT179" t="e">
        <f>'Actual Value'!C100+"AM:!(mp"</f>
        <v>#VALUE!</v>
      </c>
      <c r="IU179" s="97" t="e">
        <f>'Actual Value'!D100+"AM:!(mq"</f>
        <v>#VALUE!</v>
      </c>
      <c r="IV179" s="97" t="e">
        <f>'Actual Value'!E100+"AM:!(mr"</f>
        <v>#VALUE!</v>
      </c>
    </row>
    <row r="180" spans="6:256">
      <c r="F180" s="97" t="e">
        <f>'Actual Value'!F100+"AM:!(ms"</f>
        <v>#VALUE!</v>
      </c>
      <c r="G180" s="97" t="e">
        <f>'Actual Value'!G100+"AM:!(mt"</f>
        <v>#VALUE!</v>
      </c>
      <c r="H180" s="97" t="e">
        <f>'Actual Value'!H100+"AM:!(mu"</f>
        <v>#VALUE!</v>
      </c>
      <c r="I180" s="97" t="e">
        <f>'Actual Value'!I100+"AM:!(mv"</f>
        <v>#VALUE!</v>
      </c>
      <c r="J180" s="97" t="e">
        <f>'Actual Value'!J100+"AM:!(mw"</f>
        <v>#VALUE!</v>
      </c>
      <c r="K180" s="97" t="e">
        <f>'Actual Value'!K100+"AM:!(mx"</f>
        <v>#VALUE!</v>
      </c>
      <c r="L180" s="97" t="e">
        <f>'Actual Value'!L100+"AM:!(my"</f>
        <v>#VALUE!</v>
      </c>
      <c r="M180" s="97" t="e">
        <f>'Actual Value'!M100+"AM:!(mz"</f>
        <v>#VALUE!</v>
      </c>
      <c r="N180" s="97" t="e">
        <f>'Actual Value'!N100+"AM:!(m{"</f>
        <v>#VALUE!</v>
      </c>
      <c r="O180" s="97" t="e">
        <f>'Actual Value'!O100+"AM:!(m|"</f>
        <v>#VALUE!</v>
      </c>
      <c r="P180" s="97" t="e">
        <f>'Actual Value'!P100+"AM:!(m}"</f>
        <v>#VALUE!</v>
      </c>
      <c r="Q180" s="97" t="e">
        <f>'Actual Value'!Q100+"AM:!(m~"</f>
        <v>#VALUE!</v>
      </c>
      <c r="R180" s="97" t="e">
        <f>'Actual Value'!R100+"AM:!(n#"</f>
        <v>#VALUE!</v>
      </c>
      <c r="S180" s="97" t="e">
        <f>'Actual Value'!S100+"AM:!(n$"</f>
        <v>#VALUE!</v>
      </c>
      <c r="T180" s="97" t="e">
        <f>'Actual Value'!T100+"AM:!(n%"</f>
        <v>#VALUE!</v>
      </c>
      <c r="U180" s="97" t="e">
        <f>'Actual Value'!U100+"AM:!(n&amp;"</f>
        <v>#VALUE!</v>
      </c>
      <c r="V180" s="97" t="e">
        <f>'Actual Value'!V100+"AM:!(n'"</f>
        <v>#VALUE!</v>
      </c>
      <c r="W180" s="97" t="e">
        <f>'Actual Value'!W100+"AM:!(n("</f>
        <v>#VALUE!</v>
      </c>
      <c r="X180" s="97" t="e">
        <f>'Actual Value'!X100+"AM:!(n)"</f>
        <v>#VALUE!</v>
      </c>
      <c r="Y180" s="97" t="e">
        <f>'Actual Value'!Y100+"AM:!(n."</f>
        <v>#VALUE!</v>
      </c>
      <c r="Z180" s="97" t="e">
        <f>'Actual Value'!Z100+"AM:!(n/"</f>
        <v>#VALUE!</v>
      </c>
      <c r="AA180" s="97" t="e">
        <f>'Actual Value'!AA100+"AM:!(n0"</f>
        <v>#VALUE!</v>
      </c>
      <c r="AB180" s="97" t="e">
        <f>'Actual Value'!AB100+"AM:!(n1"</f>
        <v>#VALUE!</v>
      </c>
      <c r="AC180" s="97" t="e">
        <f>'Actual Value'!AC100+"AM:!(n2"</f>
        <v>#VALUE!</v>
      </c>
      <c r="AD180" s="97" t="e">
        <f>'Actual Value'!AD100+"AM:!(n3"</f>
        <v>#VALUE!</v>
      </c>
      <c r="AE180" s="97" t="e">
        <f>'Actual Value'!AE100+"AM:!(n4"</f>
        <v>#VALUE!</v>
      </c>
      <c r="AF180" s="97" t="e">
        <f>'Actual Value'!AF100+"AM:!(n5"</f>
        <v>#VALUE!</v>
      </c>
      <c r="AG180" s="97" t="e">
        <f>'Actual Value'!AG100+"AM:!(n6"</f>
        <v>#VALUE!</v>
      </c>
      <c r="AH180" s="97" t="e">
        <f>'Actual Value'!AH100+"AM:!(n7"</f>
        <v>#VALUE!</v>
      </c>
      <c r="AI180" s="97" t="e">
        <f>'Actual Value'!AI100+"AM:!(n8"</f>
        <v>#VALUE!</v>
      </c>
      <c r="AJ180" s="97" t="e">
        <f>'Actual Value'!AJ100+"AM:!(n9"</f>
        <v>#VALUE!</v>
      </c>
      <c r="AK180" s="97" t="e">
        <f>'Actual Value'!AK100+"AM:!(n:"</f>
        <v>#VALUE!</v>
      </c>
      <c r="AL180" s="97" t="e">
        <f>'Actual Value'!AL100+"AM:!(n;"</f>
        <v>#VALUE!</v>
      </c>
      <c r="AM180" s="97" t="e">
        <f>'Actual Value'!AM100+"AM:!(n&lt;"</f>
        <v>#VALUE!</v>
      </c>
      <c r="AN180" s="97" t="e">
        <f>'Actual Value'!AN100+"AM:!(n="</f>
        <v>#VALUE!</v>
      </c>
      <c r="AO180" s="97" t="e">
        <f>'Actual Value'!AO100+"AM:!(n&gt;"</f>
        <v>#VALUE!</v>
      </c>
      <c r="AP180" t="e">
        <f>'Actual Value'!AP100+"AM:!(n?"</f>
        <v>#VALUE!</v>
      </c>
      <c r="AQ180" t="e">
        <f>'Actual Value'!AQ100+"AM:!(n@"</f>
        <v>#VALUE!</v>
      </c>
      <c r="AR180" t="e">
        <f>'Actual Value'!AR100+"AM:!(nA"</f>
        <v>#VALUE!</v>
      </c>
      <c r="AS180" t="e">
        <f>'Actual Value'!AS100+"AM:!(nB"</f>
        <v>#VALUE!</v>
      </c>
      <c r="AT180" t="e">
        <f>'Actual Value'!AT100+"AM:!(nC"</f>
        <v>#VALUE!</v>
      </c>
      <c r="AU180" t="e">
        <f>'Actual Value'!AU100+"AM:!(nD"</f>
        <v>#VALUE!</v>
      </c>
      <c r="AV180" t="e">
        <f>'Actual Value'!AV100+"AM:!(nE"</f>
        <v>#VALUE!</v>
      </c>
      <c r="AW180" t="e">
        <f>'Actual Value'!AW100+"AM:!(nF"</f>
        <v>#VALUE!</v>
      </c>
      <c r="AX180" t="e">
        <f>'Actual Value'!AX100+"AM:!(nG"</f>
        <v>#VALUE!</v>
      </c>
      <c r="AY180" t="e">
        <f>'Actual Value'!A101+"AM:!(nH"</f>
        <v>#VALUE!</v>
      </c>
      <c r="AZ180" t="e">
        <f>'Actual Value'!B101+"AM:!(nI"</f>
        <v>#VALUE!</v>
      </c>
      <c r="BA180" t="e">
        <f>'Actual Value'!C101+"AM:!(nJ"</f>
        <v>#VALUE!</v>
      </c>
      <c r="BB180" s="97" t="e">
        <f>'Actual Value'!D101+"AM:!(nK"</f>
        <v>#VALUE!</v>
      </c>
      <c r="BC180" s="97" t="e">
        <f>'Actual Value'!E101+"AM:!(nL"</f>
        <v>#VALUE!</v>
      </c>
      <c r="BD180" s="97" t="e">
        <f>'Actual Value'!F101+"AM:!(nM"</f>
        <v>#VALUE!</v>
      </c>
      <c r="BE180" s="97" t="e">
        <f>'Actual Value'!G101+"AM:!(nN"</f>
        <v>#VALUE!</v>
      </c>
      <c r="BF180" s="97" t="e">
        <f>'Actual Value'!H101+"AM:!(nO"</f>
        <v>#VALUE!</v>
      </c>
      <c r="BG180" s="97" t="e">
        <f>'Actual Value'!I101+"AM:!(nP"</f>
        <v>#VALUE!</v>
      </c>
      <c r="BH180" s="97" t="e">
        <f>'Actual Value'!J101+"AM:!(nQ"</f>
        <v>#VALUE!</v>
      </c>
      <c r="BI180" s="97" t="e">
        <f>'Actual Value'!K101+"AM:!(nR"</f>
        <v>#VALUE!</v>
      </c>
      <c r="BJ180" s="97" t="e">
        <f>'Actual Value'!L101+"AM:!(nS"</f>
        <v>#VALUE!</v>
      </c>
      <c r="BK180" s="97" t="e">
        <f>'Actual Value'!M101+"AM:!(nT"</f>
        <v>#VALUE!</v>
      </c>
      <c r="BL180" s="97" t="e">
        <f>'Actual Value'!N101+"AM:!(nU"</f>
        <v>#VALUE!</v>
      </c>
      <c r="BM180" s="97" t="e">
        <f>'Actual Value'!O101+"AM:!(nV"</f>
        <v>#VALUE!</v>
      </c>
      <c r="BN180" s="97" t="e">
        <f>'Actual Value'!P101+"AM:!(nW"</f>
        <v>#VALUE!</v>
      </c>
      <c r="BO180" s="97" t="e">
        <f>'Actual Value'!Q101+"AM:!(nX"</f>
        <v>#VALUE!</v>
      </c>
      <c r="BP180" s="97" t="e">
        <f>'Actual Value'!R101+"AM:!(nY"</f>
        <v>#VALUE!</v>
      </c>
      <c r="BQ180" s="97" t="e">
        <f>'Actual Value'!S101+"AM:!(nZ"</f>
        <v>#VALUE!</v>
      </c>
      <c r="BR180" s="97" t="e">
        <f>'Actual Value'!T101+"AM:!(n["</f>
        <v>#VALUE!</v>
      </c>
      <c r="BS180" s="97" t="e">
        <f>'Actual Value'!U101+"AM:!(n\"</f>
        <v>#VALUE!</v>
      </c>
      <c r="BT180" s="97" t="e">
        <f>'Actual Value'!V101+"AM:!(n]"</f>
        <v>#VALUE!</v>
      </c>
      <c r="BU180" s="97" t="e">
        <f>'Actual Value'!W101+"AM:!(n^"</f>
        <v>#VALUE!</v>
      </c>
      <c r="BV180" s="97" t="e">
        <f>'Actual Value'!X101+"AM:!(n_"</f>
        <v>#VALUE!</v>
      </c>
      <c r="BW180" s="97" t="e">
        <f>'Actual Value'!Y101+"AM:!(n`"</f>
        <v>#VALUE!</v>
      </c>
      <c r="BX180" s="97" t="e">
        <f>'Actual Value'!Z101+"AM:!(na"</f>
        <v>#VALUE!</v>
      </c>
      <c r="BY180" s="97" t="e">
        <f>'Actual Value'!AA101+"AM:!(nb"</f>
        <v>#VALUE!</v>
      </c>
      <c r="BZ180" s="97" t="e">
        <f>'Actual Value'!AB101+"AM:!(nc"</f>
        <v>#VALUE!</v>
      </c>
      <c r="CA180" s="97" t="e">
        <f>'Actual Value'!AC101+"AM:!(nd"</f>
        <v>#VALUE!</v>
      </c>
      <c r="CB180" s="97" t="e">
        <f>'Actual Value'!AD101+"AM:!(ne"</f>
        <v>#VALUE!</v>
      </c>
      <c r="CC180" s="97" t="e">
        <f>'Actual Value'!AE101+"AM:!(nf"</f>
        <v>#VALUE!</v>
      </c>
      <c r="CD180" s="97" t="e">
        <f>'Actual Value'!AF101+"AM:!(ng"</f>
        <v>#VALUE!</v>
      </c>
      <c r="CE180" s="97" t="e">
        <f>'Actual Value'!AG101+"AM:!(nh"</f>
        <v>#VALUE!</v>
      </c>
      <c r="CF180" s="97" t="e">
        <f>'Actual Value'!AH101+"AM:!(ni"</f>
        <v>#VALUE!</v>
      </c>
      <c r="CG180" s="97" t="e">
        <f>'Actual Value'!AI101+"AM:!(nj"</f>
        <v>#VALUE!</v>
      </c>
      <c r="CH180" s="97" t="e">
        <f>'Actual Value'!AJ101+"AM:!(nk"</f>
        <v>#VALUE!</v>
      </c>
      <c r="CI180" s="97" t="e">
        <f>'Actual Value'!AK101+"AM:!(nl"</f>
        <v>#VALUE!</v>
      </c>
      <c r="CJ180" s="97" t="e">
        <f>'Actual Value'!AL101+"AM:!(nm"</f>
        <v>#VALUE!</v>
      </c>
      <c r="CK180" s="97" t="e">
        <f>'Actual Value'!AM101+"AM:!(nn"</f>
        <v>#VALUE!</v>
      </c>
      <c r="CL180" s="97" t="e">
        <f>'Actual Value'!AN101+"AM:!(no"</f>
        <v>#VALUE!</v>
      </c>
      <c r="CM180" s="97" t="e">
        <f>'Actual Value'!AO101+"AM:!(np"</f>
        <v>#VALUE!</v>
      </c>
      <c r="CN180" t="e">
        <f>'Actual Value'!AP101+"AM:!(nq"</f>
        <v>#VALUE!</v>
      </c>
      <c r="CO180" t="e">
        <f>'Actual Value'!AQ101+"AM:!(nr"</f>
        <v>#VALUE!</v>
      </c>
      <c r="CP180" t="e">
        <f>'Actual Value'!AR101+"AM:!(ns"</f>
        <v>#VALUE!</v>
      </c>
      <c r="CQ180" t="e">
        <f>'Actual Value'!AS101+"AM:!(nt"</f>
        <v>#VALUE!</v>
      </c>
      <c r="CR180" t="e">
        <f>'Actual Value'!AT101+"AM:!(nu"</f>
        <v>#VALUE!</v>
      </c>
      <c r="CS180" t="e">
        <f>'Actual Value'!AU101+"AM:!(nv"</f>
        <v>#VALUE!</v>
      </c>
      <c r="CT180" t="e">
        <f>'Actual Value'!AV101+"AM:!(nw"</f>
        <v>#VALUE!</v>
      </c>
      <c r="CU180" t="e">
        <f>'Actual Value'!AW101+"AM:!(nx"</f>
        <v>#VALUE!</v>
      </c>
      <c r="CV180" t="e">
        <f>'Actual Value'!AX101+"AM:!(ny"</f>
        <v>#VALUE!</v>
      </c>
      <c r="CW180" t="e">
        <f>'Actual Value'!A102+"AM:!(nz"</f>
        <v>#VALUE!</v>
      </c>
      <c r="CX180" t="e">
        <f>'Actual Value'!B102+"AM:!(n{"</f>
        <v>#VALUE!</v>
      </c>
      <c r="CY180" t="e">
        <f>'Actual Value'!C102+"AM:!(n|"</f>
        <v>#VALUE!</v>
      </c>
      <c r="CZ180" s="97" t="e">
        <f>'Actual Value'!D102+"AM:!(n}"</f>
        <v>#VALUE!</v>
      </c>
      <c r="DA180" s="97" t="e">
        <f>'Actual Value'!E102+"AM:!(n~"</f>
        <v>#VALUE!</v>
      </c>
      <c r="DB180" s="97" t="e">
        <f>'Actual Value'!F102+"AM:!(o#"</f>
        <v>#VALUE!</v>
      </c>
      <c r="DC180" s="97" t="e">
        <f>'Actual Value'!G102+"AM:!(o$"</f>
        <v>#VALUE!</v>
      </c>
      <c r="DD180" s="97" t="e">
        <f>'Actual Value'!H102+"AM:!(o%"</f>
        <v>#VALUE!</v>
      </c>
      <c r="DE180" s="97" t="e">
        <f>'Actual Value'!I102+"AM:!(o&amp;"</f>
        <v>#VALUE!</v>
      </c>
      <c r="DF180" s="97" t="e">
        <f>'Actual Value'!J102+"AM:!(o'"</f>
        <v>#VALUE!</v>
      </c>
      <c r="DG180" s="97" t="e">
        <f>'Actual Value'!K102+"AM:!(o("</f>
        <v>#VALUE!</v>
      </c>
      <c r="DH180" s="97" t="e">
        <f>'Actual Value'!L102+"AM:!(o)"</f>
        <v>#VALUE!</v>
      </c>
      <c r="DI180" s="97" t="e">
        <f>'Actual Value'!M102+"AM:!(o."</f>
        <v>#VALUE!</v>
      </c>
      <c r="DJ180" s="97" t="e">
        <f>'Actual Value'!N102+"AM:!(o/"</f>
        <v>#VALUE!</v>
      </c>
      <c r="DK180" s="97" t="e">
        <f>'Actual Value'!O102+"AM:!(o0"</f>
        <v>#VALUE!</v>
      </c>
      <c r="DL180" s="97" t="e">
        <f>'Actual Value'!P102+"AM:!(o1"</f>
        <v>#VALUE!</v>
      </c>
      <c r="DM180" s="97" t="e">
        <f>'Actual Value'!Q102+"AM:!(o2"</f>
        <v>#VALUE!</v>
      </c>
      <c r="DN180" s="97" t="e">
        <f>'Actual Value'!R102+"AM:!(o3"</f>
        <v>#VALUE!</v>
      </c>
      <c r="DO180" s="97" t="e">
        <f>'Actual Value'!S102+"AM:!(o4"</f>
        <v>#VALUE!</v>
      </c>
      <c r="DP180" s="97" t="e">
        <f>'Actual Value'!T102+"AM:!(o5"</f>
        <v>#VALUE!</v>
      </c>
      <c r="DQ180" s="97" t="e">
        <f>'Actual Value'!U102+"AM:!(o6"</f>
        <v>#VALUE!</v>
      </c>
      <c r="DR180" s="97" t="e">
        <f>'Actual Value'!V102+"AM:!(o7"</f>
        <v>#VALUE!</v>
      </c>
      <c r="DS180" s="97" t="e">
        <f>'Actual Value'!W102+"AM:!(o8"</f>
        <v>#VALUE!</v>
      </c>
      <c r="DT180" s="97" t="e">
        <f>'Actual Value'!X102+"AM:!(o9"</f>
        <v>#VALUE!</v>
      </c>
      <c r="DU180" s="97" t="e">
        <f>'Actual Value'!Y102+"AM:!(o:"</f>
        <v>#VALUE!</v>
      </c>
      <c r="DV180" s="97" t="e">
        <f>'Actual Value'!Z102+"AM:!(o;"</f>
        <v>#VALUE!</v>
      </c>
      <c r="DW180" s="97" t="e">
        <f>'Actual Value'!AA102+"AM:!(o&lt;"</f>
        <v>#VALUE!</v>
      </c>
      <c r="DX180" s="97" t="e">
        <f>'Actual Value'!AB102+"AM:!(o="</f>
        <v>#VALUE!</v>
      </c>
      <c r="DY180" s="97" t="e">
        <f>'Actual Value'!AC102+"AM:!(o&gt;"</f>
        <v>#VALUE!</v>
      </c>
      <c r="DZ180" s="97" t="e">
        <f>'Actual Value'!AD102+"AM:!(o?"</f>
        <v>#VALUE!</v>
      </c>
      <c r="EA180" s="97" t="e">
        <f>'Actual Value'!AE102+"AM:!(o@"</f>
        <v>#VALUE!</v>
      </c>
      <c r="EB180" s="97" t="e">
        <f>'Actual Value'!AF102+"AM:!(oA"</f>
        <v>#VALUE!</v>
      </c>
      <c r="EC180" s="97" t="e">
        <f>'Actual Value'!AG102+"AM:!(oB"</f>
        <v>#VALUE!</v>
      </c>
      <c r="ED180" s="97" t="e">
        <f>'Actual Value'!AH102+"AM:!(oC"</f>
        <v>#VALUE!</v>
      </c>
      <c r="EE180" s="97" t="e">
        <f>'Actual Value'!AI102+"AM:!(oD"</f>
        <v>#VALUE!</v>
      </c>
      <c r="EF180" s="97" t="e">
        <f>'Actual Value'!AJ102+"AM:!(oE"</f>
        <v>#VALUE!</v>
      </c>
      <c r="EG180" s="97" t="e">
        <f>'Actual Value'!AK102+"AM:!(oF"</f>
        <v>#VALUE!</v>
      </c>
      <c r="EH180" s="97" t="e">
        <f>'Actual Value'!AL102+"AM:!(oG"</f>
        <v>#VALUE!</v>
      </c>
      <c r="EI180" s="97" t="e">
        <f>'Actual Value'!AM102+"AM:!(oH"</f>
        <v>#VALUE!</v>
      </c>
      <c r="EJ180" s="97" t="e">
        <f>'Actual Value'!AN102+"AM:!(oI"</f>
        <v>#VALUE!</v>
      </c>
      <c r="EK180" s="97" t="e">
        <f>'Actual Value'!AO102+"AM:!(oJ"</f>
        <v>#VALUE!</v>
      </c>
      <c r="EL180" t="e">
        <f>'Actual Value'!AP102+"AM:!(oK"</f>
        <v>#VALUE!</v>
      </c>
      <c r="EM180" t="e">
        <f>'Actual Value'!AQ102+"AM:!(oL"</f>
        <v>#VALUE!</v>
      </c>
      <c r="EN180" t="e">
        <f>'Actual Value'!AR102+"AM:!(oM"</f>
        <v>#VALUE!</v>
      </c>
      <c r="EO180" t="e">
        <f>'Actual Value'!AS102+"AM:!(oN"</f>
        <v>#VALUE!</v>
      </c>
      <c r="EP180" t="e">
        <f>'Actual Value'!AT102+"AM:!(oO"</f>
        <v>#VALUE!</v>
      </c>
      <c r="EQ180" t="e">
        <f>'Actual Value'!AU102+"AM:!(oP"</f>
        <v>#VALUE!</v>
      </c>
      <c r="ER180" t="e">
        <f>'Actual Value'!AV102+"AM:!(oQ"</f>
        <v>#VALUE!</v>
      </c>
      <c r="ES180" t="e">
        <f>'Actual Value'!AW102+"AM:!(oR"</f>
        <v>#VALUE!</v>
      </c>
      <c r="ET180" t="e">
        <f>'Actual Value'!AX102+"AM:!(oS"</f>
        <v>#VALUE!</v>
      </c>
      <c r="EU180" t="e">
        <f>'Actual Value'!A103+"AM:!(oT"</f>
        <v>#VALUE!</v>
      </c>
      <c r="EV180" t="e">
        <f>'Actual Value'!B103+"AM:!(oU"</f>
        <v>#VALUE!</v>
      </c>
      <c r="EW180" t="e">
        <f>'Actual Value'!C103+"AM:!(oV"</f>
        <v>#VALUE!</v>
      </c>
      <c r="EX180" s="97" t="e">
        <f>'Actual Value'!D103+"AM:!(oW"</f>
        <v>#VALUE!</v>
      </c>
      <c r="EY180" s="97" t="e">
        <f>'Actual Value'!E103+"AM:!(oX"</f>
        <v>#VALUE!</v>
      </c>
      <c r="EZ180" s="97" t="e">
        <f>'Actual Value'!F103+"AM:!(oY"</f>
        <v>#VALUE!</v>
      </c>
      <c r="FA180" s="97" t="e">
        <f>'Actual Value'!G103+"AM:!(oZ"</f>
        <v>#VALUE!</v>
      </c>
      <c r="FB180" s="97" t="e">
        <f>'Actual Value'!H103+"AM:!(o["</f>
        <v>#VALUE!</v>
      </c>
      <c r="FC180" s="97" t="e">
        <f>'Actual Value'!I103+"AM:!(o\"</f>
        <v>#VALUE!</v>
      </c>
      <c r="FD180" s="97" t="e">
        <f>'Actual Value'!J103+"AM:!(o]"</f>
        <v>#VALUE!</v>
      </c>
      <c r="FE180" s="97" t="e">
        <f>'Actual Value'!K103+"AM:!(o^"</f>
        <v>#VALUE!</v>
      </c>
      <c r="FF180" s="97" t="e">
        <f>'Actual Value'!L103+"AM:!(o_"</f>
        <v>#VALUE!</v>
      </c>
      <c r="FG180" s="97" t="e">
        <f>'Actual Value'!M103+"AM:!(o`"</f>
        <v>#VALUE!</v>
      </c>
      <c r="FH180" s="97" t="e">
        <f>'Actual Value'!N103+"AM:!(oa"</f>
        <v>#VALUE!</v>
      </c>
      <c r="FI180" s="97" t="e">
        <f>'Actual Value'!O103+"AM:!(ob"</f>
        <v>#VALUE!</v>
      </c>
      <c r="FJ180" s="97" t="e">
        <f>'Actual Value'!P103+"AM:!(oc"</f>
        <v>#VALUE!</v>
      </c>
      <c r="FK180" s="97" t="e">
        <f>'Actual Value'!Q103+"AM:!(od"</f>
        <v>#VALUE!</v>
      </c>
      <c r="FL180" s="97" t="e">
        <f>'Actual Value'!R103+"AM:!(oe"</f>
        <v>#VALUE!</v>
      </c>
      <c r="FM180" s="97" t="e">
        <f>'Actual Value'!S103+"AM:!(of"</f>
        <v>#VALUE!</v>
      </c>
      <c r="FN180" s="97" t="e">
        <f>'Actual Value'!T103+"AM:!(og"</f>
        <v>#VALUE!</v>
      </c>
      <c r="FO180" s="97" t="e">
        <f>'Actual Value'!U103+"AM:!(oh"</f>
        <v>#VALUE!</v>
      </c>
      <c r="FP180" s="97" t="e">
        <f>'Actual Value'!V103+"AM:!(oi"</f>
        <v>#VALUE!</v>
      </c>
      <c r="FQ180" s="97" t="e">
        <f>'Actual Value'!W103+"AM:!(oj"</f>
        <v>#VALUE!</v>
      </c>
      <c r="FR180" s="97" t="e">
        <f>'Actual Value'!X103+"AM:!(ok"</f>
        <v>#VALUE!</v>
      </c>
      <c r="FS180" s="97" t="e">
        <f>'Actual Value'!Y103+"AM:!(ol"</f>
        <v>#VALUE!</v>
      </c>
      <c r="FT180" s="97" t="e">
        <f>'Actual Value'!Z103+"AM:!(om"</f>
        <v>#VALUE!</v>
      </c>
      <c r="FU180" s="97" t="e">
        <f>'Actual Value'!AA103+"AM:!(on"</f>
        <v>#VALUE!</v>
      </c>
      <c r="FV180" s="97" t="e">
        <f>'Actual Value'!AB103+"AM:!(oo"</f>
        <v>#VALUE!</v>
      </c>
      <c r="FW180" s="97" t="e">
        <f>'Actual Value'!AC103+"AM:!(op"</f>
        <v>#VALUE!</v>
      </c>
      <c r="FX180" s="97" t="e">
        <f>'Actual Value'!AD103+"AM:!(oq"</f>
        <v>#VALUE!</v>
      </c>
      <c r="FY180" s="97" t="e">
        <f>'Actual Value'!AE103+"AM:!(or"</f>
        <v>#VALUE!</v>
      </c>
      <c r="FZ180" s="97" t="e">
        <f>'Actual Value'!AF103+"AM:!(os"</f>
        <v>#VALUE!</v>
      </c>
      <c r="GA180" s="97" t="e">
        <f>'Actual Value'!AG103+"AM:!(ot"</f>
        <v>#VALUE!</v>
      </c>
      <c r="GB180" s="97" t="e">
        <f>'Actual Value'!AH103+"AM:!(ou"</f>
        <v>#VALUE!</v>
      </c>
      <c r="GC180" s="97" t="e">
        <f>'Actual Value'!AI103+"AM:!(ov"</f>
        <v>#VALUE!</v>
      </c>
      <c r="GD180" s="97" t="e">
        <f>'Actual Value'!AJ103+"AM:!(ow"</f>
        <v>#VALUE!</v>
      </c>
      <c r="GE180" s="97" t="e">
        <f>'Actual Value'!AK103+"AM:!(ox"</f>
        <v>#VALUE!</v>
      </c>
      <c r="GF180" s="97" t="e">
        <f>'Actual Value'!AL103+"AM:!(oy"</f>
        <v>#VALUE!</v>
      </c>
      <c r="GG180" s="97" t="e">
        <f>'Actual Value'!AM103+"AM:!(oz"</f>
        <v>#VALUE!</v>
      </c>
      <c r="GH180" s="97" t="e">
        <f>'Actual Value'!AN103+"AM:!(o{"</f>
        <v>#VALUE!</v>
      </c>
      <c r="GI180" s="97" t="e">
        <f>'Actual Value'!AO103+"AM:!(o|"</f>
        <v>#VALUE!</v>
      </c>
      <c r="GJ180" t="e">
        <f>'Actual Value'!AP103+"AM:!(o}"</f>
        <v>#VALUE!</v>
      </c>
      <c r="GK180" t="e">
        <f>'Actual Value'!AQ103+"AM:!(o~"</f>
        <v>#VALUE!</v>
      </c>
      <c r="GL180" t="e">
        <f>'Actual Value'!AR103+"AM:!(p#"</f>
        <v>#VALUE!</v>
      </c>
      <c r="GM180" t="e">
        <f>'Actual Value'!AS103+"AM:!(p$"</f>
        <v>#VALUE!</v>
      </c>
      <c r="GN180" t="e">
        <f>'Actual Value'!AT103+"AM:!(p%"</f>
        <v>#VALUE!</v>
      </c>
      <c r="GO180" t="e">
        <f>'Actual Value'!AU103+"AM:!(p&amp;"</f>
        <v>#VALUE!</v>
      </c>
      <c r="GP180" t="e">
        <f>'Actual Value'!AV103+"AM:!(p'"</f>
        <v>#VALUE!</v>
      </c>
      <c r="GQ180" t="e">
        <f>'Actual Value'!AW103+"AM:!(p("</f>
        <v>#VALUE!</v>
      </c>
      <c r="GR180" t="e">
        <f>'Actual Value'!AX103+"AM:!(p)"</f>
        <v>#VALUE!</v>
      </c>
      <c r="GS180" t="e">
        <f>'Actual Value'!A104+"AM:!(p."</f>
        <v>#VALUE!</v>
      </c>
      <c r="GT180" t="e">
        <f>'Actual Value'!B104+"AM:!(p/"</f>
        <v>#VALUE!</v>
      </c>
      <c r="GU180" s="98" t="e">
        <f>'Actual Value'!C104+"AM:!(p0"</f>
        <v>#VALUE!</v>
      </c>
      <c r="GV180" t="e">
        <f>'Actual Value'!D104+"AM:!(p1"</f>
        <v>#VALUE!</v>
      </c>
      <c r="GW180" t="e">
        <f>'Actual Value'!E104+"AM:!(p2"</f>
        <v>#VALUE!</v>
      </c>
      <c r="GX180" t="e">
        <f>'Actual Value'!F104+"AM:!(p3"</f>
        <v>#VALUE!</v>
      </c>
      <c r="GY180" t="e">
        <f>'Actual Value'!G104+"AM:!(p4"</f>
        <v>#VALUE!</v>
      </c>
      <c r="GZ180" t="e">
        <f>'Actual Value'!H104+"AM:!(p5"</f>
        <v>#VALUE!</v>
      </c>
      <c r="HA180" t="e">
        <f>'Actual Value'!I104+"AM:!(p6"</f>
        <v>#VALUE!</v>
      </c>
      <c r="HB180" t="e">
        <f>'Actual Value'!J104+"AM:!(p7"</f>
        <v>#VALUE!</v>
      </c>
      <c r="HC180" t="e">
        <f>'Actual Value'!K104+"AM:!(p8"</f>
        <v>#VALUE!</v>
      </c>
      <c r="HD180" t="e">
        <f>'Actual Value'!L104+"AM:!(p9"</f>
        <v>#VALUE!</v>
      </c>
      <c r="HE180" t="e">
        <f>'Actual Value'!M104+"AM:!(p:"</f>
        <v>#VALUE!</v>
      </c>
      <c r="HF180" t="e">
        <f>'Actual Value'!N104+"AM:!(p;"</f>
        <v>#VALUE!</v>
      </c>
      <c r="HG180" t="e">
        <f>'Actual Value'!O104+"AM:!(p&lt;"</f>
        <v>#VALUE!</v>
      </c>
      <c r="HH180" t="e">
        <f>'Actual Value'!P104+"AM:!(p="</f>
        <v>#VALUE!</v>
      </c>
      <c r="HI180" t="e">
        <f>'Actual Value'!Q104+"AM:!(p&gt;"</f>
        <v>#VALUE!</v>
      </c>
      <c r="HJ180" t="e">
        <f>'Actual Value'!R104+"AM:!(p?"</f>
        <v>#VALUE!</v>
      </c>
      <c r="HK180" t="e">
        <f>'Actual Value'!S104+"AM:!(p@"</f>
        <v>#VALUE!</v>
      </c>
      <c r="HL180" t="e">
        <f>'Actual Value'!T104+"AM:!(pA"</f>
        <v>#VALUE!</v>
      </c>
      <c r="HM180" t="e">
        <f>'Actual Value'!U104+"AM:!(pB"</f>
        <v>#VALUE!</v>
      </c>
      <c r="HN180" t="e">
        <f>'Actual Value'!V104+"AM:!(pC"</f>
        <v>#VALUE!</v>
      </c>
      <c r="HO180" t="e">
        <f>'Actual Value'!W104+"AM:!(pD"</f>
        <v>#VALUE!</v>
      </c>
      <c r="HP180" t="e">
        <f>'Actual Value'!X104+"AM:!(pE"</f>
        <v>#VALUE!</v>
      </c>
      <c r="HQ180" t="e">
        <f>'Actual Value'!Y104+"AM:!(pF"</f>
        <v>#VALUE!</v>
      </c>
      <c r="HR180" t="e">
        <f>'Actual Value'!Z104+"AM:!(pG"</f>
        <v>#VALUE!</v>
      </c>
      <c r="HS180" t="e">
        <f>'Actual Value'!AA104+"AM:!(pH"</f>
        <v>#VALUE!</v>
      </c>
      <c r="HT180" t="e">
        <f>'Actual Value'!AB104+"AM:!(pI"</f>
        <v>#VALUE!</v>
      </c>
      <c r="HU180" t="e">
        <f>'Actual Value'!AC104+"AM:!(pJ"</f>
        <v>#VALUE!</v>
      </c>
      <c r="HV180" t="e">
        <f>'Actual Value'!AD104+"AM:!(pK"</f>
        <v>#VALUE!</v>
      </c>
      <c r="HW180" t="e">
        <f>'Actual Value'!AE104+"AM:!(pL"</f>
        <v>#VALUE!</v>
      </c>
      <c r="HX180" t="e">
        <f>'Actual Value'!AF104+"AM:!(pM"</f>
        <v>#VALUE!</v>
      </c>
      <c r="HY180" t="e">
        <f>'Actual Value'!AG104+"AM:!(pN"</f>
        <v>#VALUE!</v>
      </c>
      <c r="HZ180" t="e">
        <f>'Actual Value'!AH104+"AM:!(pO"</f>
        <v>#VALUE!</v>
      </c>
      <c r="IA180" t="e">
        <f>'Actual Value'!AI104+"AM:!(pP"</f>
        <v>#VALUE!</v>
      </c>
      <c r="IB180" t="e">
        <f>'Actual Value'!AJ104+"AM:!(pQ"</f>
        <v>#VALUE!</v>
      </c>
      <c r="IC180" t="e">
        <f>'Actual Value'!AK104+"AM:!(pR"</f>
        <v>#VALUE!</v>
      </c>
      <c r="ID180" t="e">
        <f>'Actual Value'!AL104+"AM:!(pS"</f>
        <v>#VALUE!</v>
      </c>
      <c r="IE180" t="e">
        <f>'Actual Value'!AM104+"AM:!(pT"</f>
        <v>#VALUE!</v>
      </c>
      <c r="IF180" t="e">
        <f>'Actual Value'!AN104+"AM:!(pU"</f>
        <v>#VALUE!</v>
      </c>
      <c r="IG180" t="e">
        <f>'Actual Value'!AO104+"AM:!(pV"</f>
        <v>#VALUE!</v>
      </c>
      <c r="IH180" t="e">
        <f>'Actual Value'!AP104+"AM:!(pW"</f>
        <v>#VALUE!</v>
      </c>
      <c r="II180" t="e">
        <f>'Actual Value'!AQ104+"AM:!(pX"</f>
        <v>#VALUE!</v>
      </c>
      <c r="IJ180" t="e">
        <f>'Actual Value'!AR104+"AM:!(pY"</f>
        <v>#VALUE!</v>
      </c>
      <c r="IK180" t="e">
        <f>'Actual Value'!AS104+"AM:!(pZ"</f>
        <v>#VALUE!</v>
      </c>
      <c r="IL180" t="e">
        <f>'Actual Value'!AT104+"AM:!(p["</f>
        <v>#VALUE!</v>
      </c>
      <c r="IM180" t="e">
        <f>'Actual Value'!AU104+"AM:!(p\"</f>
        <v>#VALUE!</v>
      </c>
      <c r="IN180" t="e">
        <f>'Actual Value'!AV104+"AM:!(p]"</f>
        <v>#VALUE!</v>
      </c>
      <c r="IO180" t="e">
        <f>'Actual Value'!AW104+"AM:!(p^"</f>
        <v>#VALUE!</v>
      </c>
      <c r="IP180" t="e">
        <f>'Actual Value'!A105+"AM:!(p_"</f>
        <v>#VALUE!</v>
      </c>
      <c r="IQ180" t="e">
        <f>'Actual Value'!B105+"AM:!(p`"</f>
        <v>#VALUE!</v>
      </c>
      <c r="IR180" t="e">
        <f>'Actual Value'!C105+"AM:!(pa"</f>
        <v>#VALUE!</v>
      </c>
      <c r="IS180" s="105" t="e">
        <f>'Actual Value'!D105+"AM:!(pb"</f>
        <v>#VALUE!</v>
      </c>
      <c r="IT180" s="105" t="e">
        <f>'Actual Value'!E105+"AM:!(pc"</f>
        <v>#VALUE!</v>
      </c>
      <c r="IU180" s="105" t="e">
        <f>'Actual Value'!F105+"AM:!(pd"</f>
        <v>#VALUE!</v>
      </c>
      <c r="IV180" s="105" t="e">
        <f>'Actual Value'!G105+"AM:!(pe"</f>
        <v>#VALUE!</v>
      </c>
    </row>
    <row r="181" spans="6:256">
      <c r="F181" s="105" t="e">
        <f>'Actual Value'!H105+"AM:!(pf"</f>
        <v>#VALUE!</v>
      </c>
      <c r="G181" s="105" t="e">
        <f>'Actual Value'!I105+"AM:!(pg"</f>
        <v>#VALUE!</v>
      </c>
      <c r="H181" s="105" t="e">
        <f>'Actual Value'!J105+"AM:!(ph"</f>
        <v>#VALUE!</v>
      </c>
      <c r="I181" s="105" t="e">
        <f>'Actual Value'!K105+"AM:!(pi"</f>
        <v>#VALUE!</v>
      </c>
      <c r="J181" s="105" t="e">
        <f>'Actual Value'!L105+"AM:!(pj"</f>
        <v>#VALUE!</v>
      </c>
      <c r="K181" s="105" t="e">
        <f>'Actual Value'!M105+"AM:!(pk"</f>
        <v>#VALUE!</v>
      </c>
      <c r="L181" s="105" t="e">
        <f>'Actual Value'!N105+"AM:!(pl"</f>
        <v>#VALUE!</v>
      </c>
      <c r="M181" s="105" t="e">
        <f>'Actual Value'!O105+"AM:!(pm"</f>
        <v>#VALUE!</v>
      </c>
      <c r="N181" s="105" t="e">
        <f>'Actual Value'!P105+"AM:!(pn"</f>
        <v>#VALUE!</v>
      </c>
      <c r="O181" s="105" t="e">
        <f>'Actual Value'!Q105+"AM:!(po"</f>
        <v>#VALUE!</v>
      </c>
      <c r="P181" s="105" t="e">
        <f>'Actual Value'!R105+"AM:!(pp"</f>
        <v>#VALUE!</v>
      </c>
      <c r="Q181" s="105" t="e">
        <f>'Actual Value'!S105+"AM:!(pq"</f>
        <v>#VALUE!</v>
      </c>
      <c r="R181" s="105" t="e">
        <f>'Actual Value'!T105+"AM:!(pr"</f>
        <v>#VALUE!</v>
      </c>
      <c r="S181" s="105" t="e">
        <f>'Actual Value'!U105+"AM:!(ps"</f>
        <v>#VALUE!</v>
      </c>
      <c r="T181" s="105" t="e">
        <f>'Actual Value'!V105+"AM:!(pt"</f>
        <v>#VALUE!</v>
      </c>
      <c r="U181" s="105" t="e">
        <f>'Actual Value'!W105+"AM:!(pu"</f>
        <v>#VALUE!</v>
      </c>
      <c r="V181" s="105" t="e">
        <f>'Actual Value'!X105+"AM:!(pv"</f>
        <v>#VALUE!</v>
      </c>
      <c r="W181" s="105" t="e">
        <f>'Actual Value'!Y105+"AM:!(pw"</f>
        <v>#VALUE!</v>
      </c>
      <c r="X181" s="105" t="e">
        <f>'Actual Value'!Z105+"AM:!(px"</f>
        <v>#VALUE!</v>
      </c>
      <c r="Y181" s="105" t="e">
        <f>'Actual Value'!AA105+"AM:!(py"</f>
        <v>#VALUE!</v>
      </c>
      <c r="Z181" s="105" t="e">
        <f>'Actual Value'!AB105+"AM:!(pz"</f>
        <v>#VALUE!</v>
      </c>
      <c r="AA181" s="105" t="e">
        <f>'Actual Value'!AC105+"AM:!(p{"</f>
        <v>#VALUE!</v>
      </c>
      <c r="AB181" s="105" t="e">
        <f>'Actual Value'!AD105+"AM:!(p|"</f>
        <v>#VALUE!</v>
      </c>
      <c r="AC181" s="105" t="e">
        <f>'Actual Value'!AE105+"AM:!(p}"</f>
        <v>#VALUE!</v>
      </c>
      <c r="AD181" s="105" t="e">
        <f>'Actual Value'!AF105+"AM:!(p~"</f>
        <v>#VALUE!</v>
      </c>
      <c r="AE181" s="105" t="e">
        <f>'Actual Value'!AG105+"AM:!(q#"</f>
        <v>#VALUE!</v>
      </c>
      <c r="AF181" s="105" t="e">
        <f>'Actual Value'!AH105+"AM:!(q$"</f>
        <v>#VALUE!</v>
      </c>
      <c r="AG181" s="105" t="e">
        <f>'Actual Value'!AI105+"AM:!(q%"</f>
        <v>#VALUE!</v>
      </c>
      <c r="AH181" s="105" t="e">
        <f>'Actual Value'!AJ105+"AM:!(q&amp;"</f>
        <v>#VALUE!</v>
      </c>
      <c r="AI181" s="105" t="e">
        <f>'Actual Value'!AK105+"AM:!(q'"</f>
        <v>#VALUE!</v>
      </c>
      <c r="AJ181" s="105" t="e">
        <f>'Actual Value'!AL105+"AM:!(q("</f>
        <v>#VALUE!</v>
      </c>
      <c r="AK181" s="105" t="e">
        <f>'Actual Value'!AM105+"AM:!(q)"</f>
        <v>#VALUE!</v>
      </c>
      <c r="AL181" s="105" t="e">
        <f>'Actual Value'!AN105+"AM:!(q."</f>
        <v>#VALUE!</v>
      </c>
      <c r="AM181" s="105" t="e">
        <f>'Actual Value'!AO105+"AM:!(q/"</f>
        <v>#VALUE!</v>
      </c>
      <c r="AN181" t="e">
        <f>'Actual Value'!AP105+"AM:!(q0"</f>
        <v>#VALUE!</v>
      </c>
      <c r="AO181" s="100" t="e">
        <f>'Actual Value'!AQ105+"AM:!(q1"</f>
        <v>#VALUE!</v>
      </c>
      <c r="AP181" s="100" t="e">
        <f>'Actual Value'!AR105+"AM:!(q2"</f>
        <v>#VALUE!</v>
      </c>
      <c r="AQ181" s="100" t="e">
        <f>'Actual Value'!AS105+"AM:!(q3"</f>
        <v>#VALUE!</v>
      </c>
      <c r="AR181" s="100" t="e">
        <f>'Actual Value'!AT105+"AM:!(q4"</f>
        <v>#VALUE!</v>
      </c>
      <c r="AS181" s="100" t="e">
        <f>'Actual Value'!AU105+"AM:!(q5"</f>
        <v>#VALUE!</v>
      </c>
      <c r="AT181" t="e">
        <f>'Actual Value'!AV105+"AM:!(q6"</f>
        <v>#VALUE!</v>
      </c>
      <c r="AU181" t="e">
        <f>'Actual Value'!AW105+"AM:!(q7"</f>
        <v>#VALUE!</v>
      </c>
      <c r="AV181" t="e">
        <f>'Actual Value'!A106+"AM:!(q8"</f>
        <v>#VALUE!</v>
      </c>
      <c r="AW181" t="e">
        <f>'Actual Value'!B106+"AM:!(q9"</f>
        <v>#VALUE!</v>
      </c>
      <c r="AX181" t="e">
        <f>'Actual Value'!C106+"AM:!(q:"</f>
        <v>#VALUE!</v>
      </c>
      <c r="AY181" s="97" t="e">
        <f>'Actual Value'!D106+"AM:!(q;"</f>
        <v>#VALUE!</v>
      </c>
      <c r="AZ181" s="97" t="e">
        <f>'Actual Value'!E106+"AM:!(q&lt;"</f>
        <v>#VALUE!</v>
      </c>
      <c r="BA181" s="97" t="e">
        <f>'Actual Value'!F106+"AM:!(q="</f>
        <v>#VALUE!</v>
      </c>
      <c r="BB181" s="97" t="e">
        <f>'Actual Value'!G106+"AM:!(q&gt;"</f>
        <v>#VALUE!</v>
      </c>
      <c r="BC181" s="97" t="e">
        <f>'Actual Value'!H106+"AM:!(q?"</f>
        <v>#VALUE!</v>
      </c>
      <c r="BD181" s="97" t="e">
        <f>'Actual Value'!I106+"AM:!(q@"</f>
        <v>#VALUE!</v>
      </c>
      <c r="BE181" s="97" t="e">
        <f>'Actual Value'!J106+"AM:!(qA"</f>
        <v>#VALUE!</v>
      </c>
      <c r="BF181" s="97" t="e">
        <f>'Actual Value'!K106+"AM:!(qB"</f>
        <v>#VALUE!</v>
      </c>
      <c r="BG181" s="97" t="e">
        <f>'Actual Value'!L106+"AM:!(qC"</f>
        <v>#VALUE!</v>
      </c>
      <c r="BH181" s="97" t="e">
        <f>'Actual Value'!M106+"AM:!(qD"</f>
        <v>#VALUE!</v>
      </c>
      <c r="BI181" s="97" t="e">
        <f>'Actual Value'!N106+"AM:!(qE"</f>
        <v>#VALUE!</v>
      </c>
      <c r="BJ181" s="97" t="e">
        <f>'Actual Value'!O106+"AM:!(qF"</f>
        <v>#VALUE!</v>
      </c>
      <c r="BK181" s="97" t="e">
        <f>'Actual Value'!P106+"AM:!(qG"</f>
        <v>#VALUE!</v>
      </c>
      <c r="BL181" s="97" t="e">
        <f>'Actual Value'!Q106+"AM:!(qH"</f>
        <v>#VALUE!</v>
      </c>
      <c r="BM181" s="97" t="e">
        <f>'Actual Value'!R106+"AM:!(qI"</f>
        <v>#VALUE!</v>
      </c>
      <c r="BN181" s="97" t="e">
        <f>'Actual Value'!S106+"AM:!(qJ"</f>
        <v>#VALUE!</v>
      </c>
      <c r="BO181" s="97" t="e">
        <f>'Actual Value'!T106+"AM:!(qK"</f>
        <v>#VALUE!</v>
      </c>
      <c r="BP181" s="97" t="e">
        <f>'Actual Value'!U106+"AM:!(qL"</f>
        <v>#VALUE!</v>
      </c>
      <c r="BQ181" s="97" t="e">
        <f>'Actual Value'!V106+"AM:!(qM"</f>
        <v>#VALUE!</v>
      </c>
      <c r="BR181" s="97" t="e">
        <f>'Actual Value'!W106+"AM:!(qN"</f>
        <v>#VALUE!</v>
      </c>
      <c r="BS181" s="97" t="e">
        <f>'Actual Value'!X106+"AM:!(qO"</f>
        <v>#VALUE!</v>
      </c>
      <c r="BT181" s="97" t="e">
        <f>'Actual Value'!Y106+"AM:!(qP"</f>
        <v>#VALUE!</v>
      </c>
      <c r="BU181" s="97" t="e">
        <f>'Actual Value'!Z106+"AM:!(qQ"</f>
        <v>#VALUE!</v>
      </c>
      <c r="BV181" s="97" t="e">
        <f>'Actual Value'!AA106+"AM:!(qR"</f>
        <v>#VALUE!</v>
      </c>
      <c r="BW181" s="97" t="e">
        <f>'Actual Value'!AB106+"AM:!(qS"</f>
        <v>#VALUE!</v>
      </c>
      <c r="BX181" s="97" t="e">
        <f>'Actual Value'!AC106+"AM:!(qT"</f>
        <v>#VALUE!</v>
      </c>
      <c r="BY181" s="97" t="e">
        <f>'Actual Value'!AD106+"AM:!(qU"</f>
        <v>#VALUE!</v>
      </c>
      <c r="BZ181" s="97" t="e">
        <f>'Actual Value'!AE106+"AM:!(qV"</f>
        <v>#VALUE!</v>
      </c>
      <c r="CA181" s="97" t="e">
        <f>'Actual Value'!AF106+"AM:!(qW"</f>
        <v>#VALUE!</v>
      </c>
      <c r="CB181" s="97" t="e">
        <f>'Actual Value'!AG106+"AM:!(qX"</f>
        <v>#VALUE!</v>
      </c>
      <c r="CC181" s="97" t="e">
        <f>'Actual Value'!AH106+"AM:!(qY"</f>
        <v>#VALUE!</v>
      </c>
      <c r="CD181" s="97" t="e">
        <f>'Actual Value'!AI106+"AM:!(qZ"</f>
        <v>#VALUE!</v>
      </c>
      <c r="CE181" s="97" t="e">
        <f>'Actual Value'!AJ106+"AM:!(q["</f>
        <v>#VALUE!</v>
      </c>
      <c r="CF181" s="97" t="e">
        <f>'Actual Value'!AK106+"AM:!(q\"</f>
        <v>#VALUE!</v>
      </c>
      <c r="CG181" s="97" t="e">
        <f>'Actual Value'!AL106+"AM:!(q]"</f>
        <v>#VALUE!</v>
      </c>
      <c r="CH181" s="97" t="e">
        <f>'Actual Value'!AM106+"AM:!(q^"</f>
        <v>#VALUE!</v>
      </c>
      <c r="CI181" s="97" t="e">
        <f>'Actual Value'!AN106+"AM:!(q_"</f>
        <v>#VALUE!</v>
      </c>
      <c r="CJ181" s="97" t="e">
        <f>'Actual Value'!AO106+"AM:!(q`"</f>
        <v>#VALUE!</v>
      </c>
      <c r="CK181" t="e">
        <f>'Actual Value'!AP106+"AM:!(qa"</f>
        <v>#VALUE!</v>
      </c>
      <c r="CL181" t="e">
        <f>'Actual Value'!AQ106+"AM:!(qb"</f>
        <v>#VALUE!</v>
      </c>
      <c r="CM181" t="e">
        <f>'Actual Value'!AR106+"AM:!(qc"</f>
        <v>#VALUE!</v>
      </c>
      <c r="CN181" s="97" t="e">
        <f>'Actual Value'!AS106+"AM:!(qd"</f>
        <v>#VALUE!</v>
      </c>
      <c r="CO181" t="e">
        <f>'Actual Value'!AT106+"AM:!(qe"</f>
        <v>#VALUE!</v>
      </c>
      <c r="CP181" t="e">
        <f>'Actual Value'!AU106+"AM:!(qf"</f>
        <v>#VALUE!</v>
      </c>
      <c r="CQ181" t="e">
        <f>'Actual Value'!AV106+"AM:!(qg"</f>
        <v>#VALUE!</v>
      </c>
      <c r="CR181" t="e">
        <f>'Actual Value'!AW106+"AM:!(qh"</f>
        <v>#VALUE!</v>
      </c>
      <c r="CS181" t="e">
        <f>'Actual Value'!A107+"AM:!(qi"</f>
        <v>#VALUE!</v>
      </c>
      <c r="CT181" t="e">
        <f>'Actual Value'!B107+"AM:!(qj"</f>
        <v>#VALUE!</v>
      </c>
      <c r="CU181" t="e">
        <f>'Actual Value'!C107+"AM:!(qk"</f>
        <v>#VALUE!</v>
      </c>
      <c r="CV181" s="97" t="e">
        <f>'Actual Value'!D107+"AM:!(ql"</f>
        <v>#VALUE!</v>
      </c>
      <c r="CW181" s="97" t="e">
        <f>'Actual Value'!E107+"AM:!(qm"</f>
        <v>#VALUE!</v>
      </c>
      <c r="CX181" s="97" t="e">
        <f>'Actual Value'!F107+"AM:!(qn"</f>
        <v>#VALUE!</v>
      </c>
      <c r="CY181" s="97" t="e">
        <f>'Actual Value'!G107+"AM:!(qo"</f>
        <v>#VALUE!</v>
      </c>
      <c r="CZ181" s="97" t="e">
        <f>'Actual Value'!H107+"AM:!(qp"</f>
        <v>#VALUE!</v>
      </c>
      <c r="DA181" s="97" t="e">
        <f>'Actual Value'!I107+"AM:!(qq"</f>
        <v>#VALUE!</v>
      </c>
      <c r="DB181" s="97" t="e">
        <f>'Actual Value'!J107+"AM:!(qr"</f>
        <v>#VALUE!</v>
      </c>
      <c r="DC181" s="97" t="e">
        <f>'Actual Value'!K107+"AM:!(qs"</f>
        <v>#VALUE!</v>
      </c>
      <c r="DD181" s="97" t="e">
        <f>'Actual Value'!L107+"AM:!(qt"</f>
        <v>#VALUE!</v>
      </c>
      <c r="DE181" s="97" t="e">
        <f>'Actual Value'!M107+"AM:!(qu"</f>
        <v>#VALUE!</v>
      </c>
      <c r="DF181" s="97" t="e">
        <f>'Actual Value'!N107+"AM:!(qv"</f>
        <v>#VALUE!</v>
      </c>
      <c r="DG181" s="97" t="e">
        <f>'Actual Value'!O107+"AM:!(qw"</f>
        <v>#VALUE!</v>
      </c>
      <c r="DH181" s="97" t="e">
        <f>'Actual Value'!P107+"AM:!(qx"</f>
        <v>#VALUE!</v>
      </c>
      <c r="DI181" s="97" t="e">
        <f>'Actual Value'!Q107+"AM:!(qy"</f>
        <v>#VALUE!</v>
      </c>
      <c r="DJ181" s="97" t="e">
        <f>'Actual Value'!R107+"AM:!(qz"</f>
        <v>#VALUE!</v>
      </c>
      <c r="DK181" s="97" t="e">
        <f>'Actual Value'!S107+"AM:!(q{"</f>
        <v>#VALUE!</v>
      </c>
      <c r="DL181" s="97" t="e">
        <f>'Actual Value'!T107+"AM:!(q|"</f>
        <v>#VALUE!</v>
      </c>
      <c r="DM181" s="97" t="e">
        <f>'Actual Value'!U107+"AM:!(q}"</f>
        <v>#VALUE!</v>
      </c>
      <c r="DN181" s="97" t="e">
        <f>'Actual Value'!V107+"AM:!(q~"</f>
        <v>#VALUE!</v>
      </c>
      <c r="DO181" s="97" t="e">
        <f>'Actual Value'!W107+"AM:!(r#"</f>
        <v>#VALUE!</v>
      </c>
      <c r="DP181" s="97" t="e">
        <f>'Actual Value'!X107+"AM:!(r$"</f>
        <v>#VALUE!</v>
      </c>
      <c r="DQ181" s="97" t="e">
        <f>'Actual Value'!Y107+"AM:!(r%"</f>
        <v>#VALUE!</v>
      </c>
      <c r="DR181" s="97" t="e">
        <f>'Actual Value'!Z107+"AM:!(r&amp;"</f>
        <v>#VALUE!</v>
      </c>
      <c r="DS181" s="97" t="e">
        <f>'Actual Value'!AA107+"AM:!(r'"</f>
        <v>#VALUE!</v>
      </c>
      <c r="DT181" s="97" t="e">
        <f>'Actual Value'!AB107+"AM:!(r("</f>
        <v>#VALUE!</v>
      </c>
      <c r="DU181" s="97" t="e">
        <f>'Actual Value'!AC107+"AM:!(r)"</f>
        <v>#VALUE!</v>
      </c>
      <c r="DV181" s="97" t="e">
        <f>'Actual Value'!AD107+"AM:!(r."</f>
        <v>#VALUE!</v>
      </c>
      <c r="DW181" s="97" t="e">
        <f>'Actual Value'!AE107+"AM:!(r/"</f>
        <v>#VALUE!</v>
      </c>
      <c r="DX181" s="97" t="e">
        <f>'Actual Value'!AF107+"AM:!(r0"</f>
        <v>#VALUE!</v>
      </c>
      <c r="DY181" s="97" t="e">
        <f>'Actual Value'!AG107+"AM:!(r1"</f>
        <v>#VALUE!</v>
      </c>
      <c r="DZ181" s="97" t="e">
        <f>'Actual Value'!AH107+"AM:!(r2"</f>
        <v>#VALUE!</v>
      </c>
      <c r="EA181" s="97" t="e">
        <f>'Actual Value'!AI107+"AM:!(r3"</f>
        <v>#VALUE!</v>
      </c>
      <c r="EB181" s="97" t="e">
        <f>'Actual Value'!AJ107+"AM:!(r4"</f>
        <v>#VALUE!</v>
      </c>
      <c r="EC181" s="97" t="e">
        <f>'Actual Value'!AK107+"AM:!(r5"</f>
        <v>#VALUE!</v>
      </c>
      <c r="ED181" s="97" t="e">
        <f>'Actual Value'!AL107+"AM:!(r6"</f>
        <v>#VALUE!</v>
      </c>
      <c r="EE181" s="97" t="e">
        <f>'Actual Value'!AM107+"AM:!(r7"</f>
        <v>#VALUE!</v>
      </c>
      <c r="EF181" s="97" t="e">
        <f>'Actual Value'!AN107+"AM:!(r8"</f>
        <v>#VALUE!</v>
      </c>
      <c r="EG181" s="97" t="e">
        <f>'Actual Value'!AO107+"AM:!(r9"</f>
        <v>#VALUE!</v>
      </c>
      <c r="EH181" t="e">
        <f>'Actual Value'!AP107+"AM:!(r:"</f>
        <v>#VALUE!</v>
      </c>
      <c r="EI181" t="e">
        <f>'Actual Value'!AQ107+"AM:!(r;"</f>
        <v>#VALUE!</v>
      </c>
      <c r="EJ181" t="e">
        <f>'Actual Value'!AR107+"AM:!(r&lt;"</f>
        <v>#VALUE!</v>
      </c>
      <c r="EK181" s="97" t="e">
        <f>'Actual Value'!AS107+"AM:!(r="</f>
        <v>#VALUE!</v>
      </c>
      <c r="EL181" t="e">
        <f>'Actual Value'!AT107+"AM:!(r&gt;"</f>
        <v>#VALUE!</v>
      </c>
      <c r="EM181" t="e">
        <f>'Actual Value'!AU107+"AM:!(r?"</f>
        <v>#VALUE!</v>
      </c>
      <c r="EN181" t="e">
        <f>'Actual Value'!AV107+"AM:!(r@"</f>
        <v>#VALUE!</v>
      </c>
      <c r="EO181" t="e">
        <f>'Actual Value'!AW107+"AM:!(rA"</f>
        <v>#VALUE!</v>
      </c>
      <c r="EP181" t="e">
        <f>'Actual Value'!A108+"AM:!(rB"</f>
        <v>#VALUE!</v>
      </c>
      <c r="EQ181" t="e">
        <f>'Actual Value'!B108+"AM:!(rC"</f>
        <v>#VALUE!</v>
      </c>
      <c r="ER181" t="e">
        <f>'Actual Value'!C108+"AM:!(rD"</f>
        <v>#VALUE!</v>
      </c>
      <c r="ES181" s="97" t="e">
        <f>'Actual Value'!D108+"AM:!(rE"</f>
        <v>#VALUE!</v>
      </c>
      <c r="ET181" s="97" t="e">
        <f>'Actual Value'!E108+"AM:!(rF"</f>
        <v>#VALUE!</v>
      </c>
      <c r="EU181" s="97" t="e">
        <f>'Actual Value'!F108+"AM:!(rG"</f>
        <v>#VALUE!</v>
      </c>
      <c r="EV181" s="97" t="e">
        <f>'Actual Value'!G108+"AM:!(rH"</f>
        <v>#VALUE!</v>
      </c>
      <c r="EW181" s="97" t="e">
        <f>'Actual Value'!H108+"AM:!(rI"</f>
        <v>#VALUE!</v>
      </c>
      <c r="EX181" s="97" t="e">
        <f>'Actual Value'!I108+"AM:!(rJ"</f>
        <v>#VALUE!</v>
      </c>
      <c r="EY181" s="97" t="e">
        <f>'Actual Value'!J108+"AM:!(rK"</f>
        <v>#VALUE!</v>
      </c>
      <c r="EZ181" s="97" t="e">
        <f>'Actual Value'!K108+"AM:!(rL"</f>
        <v>#VALUE!</v>
      </c>
      <c r="FA181" s="97" t="e">
        <f>'Actual Value'!L108+"AM:!(rM"</f>
        <v>#VALUE!</v>
      </c>
      <c r="FB181" s="97" t="e">
        <f>'Actual Value'!M108+"AM:!(rN"</f>
        <v>#VALUE!</v>
      </c>
      <c r="FC181" s="97" t="e">
        <f>'Actual Value'!N108+"AM:!(rO"</f>
        <v>#VALUE!</v>
      </c>
      <c r="FD181" s="97" t="e">
        <f>'Actual Value'!O108+"AM:!(rP"</f>
        <v>#VALUE!</v>
      </c>
      <c r="FE181" s="97" t="e">
        <f>'Actual Value'!P108+"AM:!(rQ"</f>
        <v>#VALUE!</v>
      </c>
      <c r="FF181" s="97" t="e">
        <f>'Actual Value'!Q108+"AM:!(rR"</f>
        <v>#VALUE!</v>
      </c>
      <c r="FG181" s="97" t="e">
        <f>'Actual Value'!R108+"AM:!(rS"</f>
        <v>#VALUE!</v>
      </c>
      <c r="FH181" s="97" t="e">
        <f>'Actual Value'!S108+"AM:!(rT"</f>
        <v>#VALUE!</v>
      </c>
      <c r="FI181" s="97" t="e">
        <f>'Actual Value'!T108+"AM:!(rU"</f>
        <v>#VALUE!</v>
      </c>
      <c r="FJ181" s="97" t="e">
        <f>'Actual Value'!U108+"AM:!(rV"</f>
        <v>#VALUE!</v>
      </c>
      <c r="FK181" s="97" t="e">
        <f>'Actual Value'!V108+"AM:!(rW"</f>
        <v>#VALUE!</v>
      </c>
      <c r="FL181" s="97" t="e">
        <f>'Actual Value'!W108+"AM:!(rX"</f>
        <v>#VALUE!</v>
      </c>
      <c r="FM181" s="97" t="e">
        <f>'Actual Value'!X108+"AM:!(rY"</f>
        <v>#VALUE!</v>
      </c>
      <c r="FN181" s="97" t="e">
        <f>'Actual Value'!Y108+"AM:!(rZ"</f>
        <v>#VALUE!</v>
      </c>
      <c r="FO181" s="97" t="e">
        <f>'Actual Value'!Z108+"AM:!(r["</f>
        <v>#VALUE!</v>
      </c>
      <c r="FP181" s="97" t="e">
        <f>'Actual Value'!AA108+"AM:!(r\"</f>
        <v>#VALUE!</v>
      </c>
      <c r="FQ181" s="97" t="e">
        <f>'Actual Value'!AB108+"AM:!(r]"</f>
        <v>#VALUE!</v>
      </c>
      <c r="FR181" s="97" t="e">
        <f>'Actual Value'!AC108+"AM:!(r^"</f>
        <v>#VALUE!</v>
      </c>
      <c r="FS181" s="97" t="e">
        <f>'Actual Value'!AD108+"AM:!(r_"</f>
        <v>#VALUE!</v>
      </c>
      <c r="FT181" s="97" t="e">
        <f>'Actual Value'!AE108+"AM:!(r`"</f>
        <v>#VALUE!</v>
      </c>
      <c r="FU181" s="97" t="e">
        <f>'Actual Value'!AF108+"AM:!(ra"</f>
        <v>#VALUE!</v>
      </c>
      <c r="FV181" s="97" t="e">
        <f>'Actual Value'!AG108+"AM:!(rb"</f>
        <v>#VALUE!</v>
      </c>
      <c r="FW181" s="97" t="e">
        <f>'Actual Value'!AH108+"AM:!(rc"</f>
        <v>#VALUE!</v>
      </c>
      <c r="FX181" s="97" t="e">
        <f>'Actual Value'!AI108+"AM:!(rd"</f>
        <v>#VALUE!</v>
      </c>
      <c r="FY181" s="97" t="e">
        <f>'Actual Value'!AJ108+"AM:!(re"</f>
        <v>#VALUE!</v>
      </c>
      <c r="FZ181" s="97" t="e">
        <f>'Actual Value'!AK108+"AM:!(rf"</f>
        <v>#VALUE!</v>
      </c>
      <c r="GA181" s="97" t="e">
        <f>'Actual Value'!AL108+"AM:!(rg"</f>
        <v>#VALUE!</v>
      </c>
      <c r="GB181" s="97" t="e">
        <f>'Actual Value'!AM108+"AM:!(rh"</f>
        <v>#VALUE!</v>
      </c>
      <c r="GC181" s="97" t="e">
        <f>'Actual Value'!AN108+"AM:!(ri"</f>
        <v>#VALUE!</v>
      </c>
      <c r="GD181" s="97" t="e">
        <f>'Actual Value'!AO108+"AM:!(rj"</f>
        <v>#VALUE!</v>
      </c>
      <c r="GE181" t="e">
        <f>'Actual Value'!AP108+"AM:!(rk"</f>
        <v>#VALUE!</v>
      </c>
      <c r="GF181" t="e">
        <f>'Actual Value'!AQ108+"AM:!(rl"</f>
        <v>#VALUE!</v>
      </c>
      <c r="GG181" t="e">
        <f>'Actual Value'!AR108+"AM:!(rm"</f>
        <v>#VALUE!</v>
      </c>
      <c r="GH181" t="e">
        <f>'Actual Value'!AS108+"AM:!(rn"</f>
        <v>#VALUE!</v>
      </c>
      <c r="GI181" t="e">
        <f>'Actual Value'!AT108+"AM:!(ro"</f>
        <v>#VALUE!</v>
      </c>
      <c r="GJ181" t="e">
        <f>'Actual Value'!AU108+"AM:!(rp"</f>
        <v>#VALUE!</v>
      </c>
      <c r="GK181" t="e">
        <f>'Actual Value'!AV108+"AM:!(rq"</f>
        <v>#VALUE!</v>
      </c>
      <c r="GL181" t="e">
        <f>'Actual Value'!AW108+"AM:!(rr"</f>
        <v>#VALUE!</v>
      </c>
      <c r="GM181" t="e">
        <f>'Actual Value'!A109+"AM:!(rs"</f>
        <v>#VALUE!</v>
      </c>
      <c r="GN181" t="e">
        <f>'Actual Value'!B109+"AM:!(rt"</f>
        <v>#VALUE!</v>
      </c>
      <c r="GO181" t="e">
        <f>'Actual Value'!C109+"AM:!(ru"</f>
        <v>#VALUE!</v>
      </c>
      <c r="GP181" s="97" t="e">
        <f>'Actual Value'!D109+"AM:!(rv"</f>
        <v>#VALUE!</v>
      </c>
      <c r="GQ181" s="97" t="e">
        <f>'Actual Value'!E109+"AM:!(rw"</f>
        <v>#VALUE!</v>
      </c>
      <c r="GR181" s="97" t="e">
        <f>'Actual Value'!F109+"AM:!(rx"</f>
        <v>#VALUE!</v>
      </c>
      <c r="GS181" s="97" t="e">
        <f>'Actual Value'!G109+"AM:!(ry"</f>
        <v>#VALUE!</v>
      </c>
      <c r="GT181" s="97" t="e">
        <f>'Actual Value'!H109+"AM:!(rz"</f>
        <v>#VALUE!</v>
      </c>
      <c r="GU181" s="97" t="e">
        <f>'Actual Value'!I109+"AM:!(r{"</f>
        <v>#VALUE!</v>
      </c>
      <c r="GV181" s="97" t="e">
        <f>'Actual Value'!J109+"AM:!(r|"</f>
        <v>#VALUE!</v>
      </c>
      <c r="GW181" s="97" t="e">
        <f>'Actual Value'!K109+"AM:!(r}"</f>
        <v>#VALUE!</v>
      </c>
      <c r="GX181" s="97" t="e">
        <f>'Actual Value'!L109+"AM:!(r~"</f>
        <v>#VALUE!</v>
      </c>
      <c r="GY181" s="97" t="e">
        <f>'Actual Value'!M109+"AM:!(s#"</f>
        <v>#VALUE!</v>
      </c>
      <c r="GZ181" s="97" t="e">
        <f>'Actual Value'!N109+"AM:!(s$"</f>
        <v>#VALUE!</v>
      </c>
      <c r="HA181" s="97" t="e">
        <f>'Actual Value'!O109+"AM:!(s%"</f>
        <v>#VALUE!</v>
      </c>
      <c r="HB181" s="97" t="e">
        <f>'Actual Value'!P109+"AM:!(s&amp;"</f>
        <v>#VALUE!</v>
      </c>
      <c r="HC181" s="97" t="e">
        <f>'Actual Value'!Q109+"AM:!(s'"</f>
        <v>#VALUE!</v>
      </c>
      <c r="HD181" s="97" t="e">
        <f>'Actual Value'!R109+"AM:!(s("</f>
        <v>#VALUE!</v>
      </c>
      <c r="HE181" s="97" t="e">
        <f>'Actual Value'!S109+"AM:!(s)"</f>
        <v>#VALUE!</v>
      </c>
      <c r="HF181" s="97" t="e">
        <f>'Actual Value'!T109+"AM:!(s."</f>
        <v>#VALUE!</v>
      </c>
      <c r="HG181" s="97" t="e">
        <f>'Actual Value'!U109+"AM:!(s/"</f>
        <v>#VALUE!</v>
      </c>
      <c r="HH181" s="97" t="e">
        <f>'Actual Value'!V109+"AM:!(s0"</f>
        <v>#VALUE!</v>
      </c>
      <c r="HI181" s="97" t="e">
        <f>'Actual Value'!W109+"AM:!(s1"</f>
        <v>#VALUE!</v>
      </c>
      <c r="HJ181" s="97" t="e">
        <f>'Actual Value'!X109+"AM:!(s2"</f>
        <v>#VALUE!</v>
      </c>
      <c r="HK181" s="97" t="e">
        <f>'Actual Value'!Y109+"AM:!(s3"</f>
        <v>#VALUE!</v>
      </c>
      <c r="HL181" s="97" t="e">
        <f>'Actual Value'!Z109+"AM:!(s4"</f>
        <v>#VALUE!</v>
      </c>
      <c r="HM181" s="97" t="e">
        <f>'Actual Value'!AA109+"AM:!(s5"</f>
        <v>#VALUE!</v>
      </c>
      <c r="HN181" s="97" t="e">
        <f>'Actual Value'!AB109+"AM:!(s6"</f>
        <v>#VALUE!</v>
      </c>
      <c r="HO181" s="97" t="e">
        <f>'Actual Value'!AC109+"AM:!(s7"</f>
        <v>#VALUE!</v>
      </c>
      <c r="HP181" s="97" t="e">
        <f>'Actual Value'!AD109+"AM:!(s8"</f>
        <v>#VALUE!</v>
      </c>
      <c r="HQ181" s="97" t="e">
        <f>'Actual Value'!AE109+"AM:!(s9"</f>
        <v>#VALUE!</v>
      </c>
      <c r="HR181" s="97" t="e">
        <f>'Actual Value'!AF109+"AM:!(s:"</f>
        <v>#VALUE!</v>
      </c>
      <c r="HS181" s="97" t="e">
        <f>'Actual Value'!AG109+"AM:!(s;"</f>
        <v>#VALUE!</v>
      </c>
      <c r="HT181" s="97" t="e">
        <f>'Actual Value'!AH109+"AM:!(s&lt;"</f>
        <v>#VALUE!</v>
      </c>
      <c r="HU181" s="97" t="e">
        <f>'Actual Value'!AI109+"AM:!(s="</f>
        <v>#VALUE!</v>
      </c>
      <c r="HV181" s="97" t="e">
        <f>'Actual Value'!AJ109+"AM:!(s&gt;"</f>
        <v>#VALUE!</v>
      </c>
      <c r="HW181" s="97" t="e">
        <f>'Actual Value'!AK109+"AM:!(s?"</f>
        <v>#VALUE!</v>
      </c>
      <c r="HX181" s="97" t="e">
        <f>'Actual Value'!AL109+"AM:!(s@"</f>
        <v>#VALUE!</v>
      </c>
      <c r="HY181" s="97" t="e">
        <f>'Actual Value'!AM109+"AM:!(sA"</f>
        <v>#VALUE!</v>
      </c>
      <c r="HZ181" s="97" t="e">
        <f>'Actual Value'!AN109+"AM:!(sB"</f>
        <v>#VALUE!</v>
      </c>
      <c r="IA181" s="97" t="e">
        <f>'Actual Value'!AO109+"AM:!(sC"</f>
        <v>#VALUE!</v>
      </c>
      <c r="IB181" t="e">
        <f>'Actual Value'!AP109+"AM:!(sD"</f>
        <v>#VALUE!</v>
      </c>
      <c r="IC181" t="e">
        <f>'Actual Value'!AQ109+"AM:!(sE"</f>
        <v>#VALUE!</v>
      </c>
      <c r="ID181" t="e">
        <f>'Actual Value'!AR109+"AM:!(sF"</f>
        <v>#VALUE!</v>
      </c>
      <c r="IE181" t="e">
        <f>'Actual Value'!AS109+"AM:!(sG"</f>
        <v>#VALUE!</v>
      </c>
      <c r="IF181" t="e">
        <f>'Actual Value'!AT109+"AM:!(sH"</f>
        <v>#VALUE!</v>
      </c>
      <c r="IG181" t="e">
        <f>'Actual Value'!AU109+"AM:!(sI"</f>
        <v>#VALUE!</v>
      </c>
      <c r="IH181" t="e">
        <f>'Actual Value'!AV109+"AM:!(sJ"</f>
        <v>#VALUE!</v>
      </c>
      <c r="II181" t="e">
        <f>'Actual Value'!AW109+"AM:!(sK"</f>
        <v>#VALUE!</v>
      </c>
      <c r="IJ181" t="e">
        <f>'Actual Value'!AX109+"AM:!(sL"</f>
        <v>#VALUE!</v>
      </c>
      <c r="IK181" t="e">
        <f>'Actual Value'!A110+"AM:!(sM"</f>
        <v>#VALUE!</v>
      </c>
      <c r="IL181" t="e">
        <f>'Actual Value'!B110+"AM:!(sN"</f>
        <v>#VALUE!</v>
      </c>
      <c r="IM181" t="e">
        <f>'Actual Value'!C110+"AM:!(sO"</f>
        <v>#VALUE!</v>
      </c>
      <c r="IN181" s="97" t="e">
        <f>'Actual Value'!D110+"AM:!(sP"</f>
        <v>#VALUE!</v>
      </c>
      <c r="IO181" s="97" t="e">
        <f>'Actual Value'!E110+"AM:!(sQ"</f>
        <v>#VALUE!</v>
      </c>
      <c r="IP181" s="97" t="e">
        <f>'Actual Value'!F110+"AM:!(sR"</f>
        <v>#VALUE!</v>
      </c>
      <c r="IQ181" s="97" t="e">
        <f>'Actual Value'!G110+"AM:!(sS"</f>
        <v>#VALUE!</v>
      </c>
      <c r="IR181" s="97" t="e">
        <f>'Actual Value'!H110+"AM:!(sT"</f>
        <v>#VALUE!</v>
      </c>
      <c r="IS181" s="97" t="e">
        <f>'Actual Value'!I110+"AM:!(sU"</f>
        <v>#VALUE!</v>
      </c>
      <c r="IT181" s="97" t="e">
        <f>'Actual Value'!J110+"AM:!(sV"</f>
        <v>#VALUE!</v>
      </c>
      <c r="IU181" s="97" t="e">
        <f>'Actual Value'!K110+"AM:!(sW"</f>
        <v>#VALUE!</v>
      </c>
      <c r="IV181" s="97" t="e">
        <f>'Actual Value'!L110+"AM:!(sX"</f>
        <v>#VALUE!</v>
      </c>
    </row>
    <row r="182" spans="6:256">
      <c r="F182" s="97" t="e">
        <f>'Actual Value'!M110+"AM:!(sY"</f>
        <v>#VALUE!</v>
      </c>
      <c r="G182" s="97" t="e">
        <f>'Actual Value'!N110+"AM:!(sZ"</f>
        <v>#VALUE!</v>
      </c>
      <c r="H182" s="97" t="e">
        <f>'Actual Value'!O110+"AM:!(s["</f>
        <v>#VALUE!</v>
      </c>
      <c r="I182" s="97" t="e">
        <f>'Actual Value'!P110+"AM:!(s\"</f>
        <v>#VALUE!</v>
      </c>
      <c r="J182" s="97" t="e">
        <f>'Actual Value'!Q110+"AM:!(s]"</f>
        <v>#VALUE!</v>
      </c>
      <c r="K182" s="97" t="e">
        <f>'Actual Value'!R110+"AM:!(s^"</f>
        <v>#VALUE!</v>
      </c>
      <c r="L182" s="97" t="e">
        <f>'Actual Value'!S110+"AM:!(s_"</f>
        <v>#VALUE!</v>
      </c>
      <c r="M182" s="97" t="e">
        <f>'Actual Value'!T110+"AM:!(s`"</f>
        <v>#VALUE!</v>
      </c>
      <c r="N182" s="97" t="e">
        <f>'Actual Value'!U110+"AM:!(sa"</f>
        <v>#VALUE!</v>
      </c>
      <c r="O182" s="97" t="e">
        <f>'Actual Value'!V110+"AM:!(sb"</f>
        <v>#VALUE!</v>
      </c>
      <c r="P182" s="97" t="e">
        <f>'Actual Value'!W110+"AM:!(sc"</f>
        <v>#VALUE!</v>
      </c>
      <c r="Q182" s="97" t="e">
        <f>'Actual Value'!X110+"AM:!(sd"</f>
        <v>#VALUE!</v>
      </c>
      <c r="R182" s="97" t="e">
        <f>'Actual Value'!Y110+"AM:!(se"</f>
        <v>#VALUE!</v>
      </c>
      <c r="S182" s="97" t="e">
        <f>'Actual Value'!Z110+"AM:!(sf"</f>
        <v>#VALUE!</v>
      </c>
      <c r="T182" s="97" t="e">
        <f>'Actual Value'!AA110+"AM:!(sg"</f>
        <v>#VALUE!</v>
      </c>
      <c r="U182" s="97" t="e">
        <f>'Actual Value'!AB110+"AM:!(sh"</f>
        <v>#VALUE!</v>
      </c>
      <c r="V182" s="97" t="e">
        <f>'Actual Value'!AC110+"AM:!(si"</f>
        <v>#VALUE!</v>
      </c>
      <c r="W182" s="97" t="e">
        <f>'Actual Value'!AD110+"AM:!(sj"</f>
        <v>#VALUE!</v>
      </c>
      <c r="X182" s="97" t="e">
        <f>'Actual Value'!AE110+"AM:!(sk"</f>
        <v>#VALUE!</v>
      </c>
      <c r="Y182" s="97" t="e">
        <f>'Actual Value'!AF110+"AM:!(sl"</f>
        <v>#VALUE!</v>
      </c>
      <c r="Z182" s="97" t="e">
        <f>'Actual Value'!AG110+"AM:!(sm"</f>
        <v>#VALUE!</v>
      </c>
      <c r="AA182" s="97" t="e">
        <f>'Actual Value'!AH110+"AM:!(sn"</f>
        <v>#VALUE!</v>
      </c>
      <c r="AB182" s="97" t="e">
        <f>'Actual Value'!AI110+"AM:!(so"</f>
        <v>#VALUE!</v>
      </c>
      <c r="AC182" s="97" t="e">
        <f>'Actual Value'!AJ110+"AM:!(sp"</f>
        <v>#VALUE!</v>
      </c>
      <c r="AD182" s="97" t="e">
        <f>'Actual Value'!AK110+"AM:!(sq"</f>
        <v>#VALUE!</v>
      </c>
      <c r="AE182" s="97" t="e">
        <f>'Actual Value'!AL110+"AM:!(sr"</f>
        <v>#VALUE!</v>
      </c>
      <c r="AF182" s="97" t="e">
        <f>'Actual Value'!AM110+"AM:!(ss"</f>
        <v>#VALUE!</v>
      </c>
      <c r="AG182" s="97" t="e">
        <f>'Actual Value'!AN110+"AM:!(st"</f>
        <v>#VALUE!</v>
      </c>
      <c r="AH182" s="97" t="e">
        <f>'Actual Value'!AO110+"AM:!(su"</f>
        <v>#VALUE!</v>
      </c>
      <c r="AI182" t="e">
        <f>'Actual Value'!AP110+"AM:!(sv"</f>
        <v>#VALUE!</v>
      </c>
      <c r="AJ182" t="e">
        <f>'Actual Value'!AQ110+"AM:!(sw"</f>
        <v>#VALUE!</v>
      </c>
      <c r="AK182" t="e">
        <f>'Actual Value'!AR110+"AM:!(sx"</f>
        <v>#VALUE!</v>
      </c>
      <c r="AL182" t="e">
        <f>'Actual Value'!AS110+"AM:!(sy"</f>
        <v>#VALUE!</v>
      </c>
      <c r="AM182" t="e">
        <f>'Actual Value'!AT110+"AM:!(sz"</f>
        <v>#VALUE!</v>
      </c>
      <c r="AN182" t="e">
        <f>'Actual Value'!AU110+"AM:!(s{"</f>
        <v>#VALUE!</v>
      </c>
      <c r="AO182" t="e">
        <f>'Actual Value'!AV110+"AM:!(s|"</f>
        <v>#VALUE!</v>
      </c>
      <c r="AP182" t="e">
        <f>'Actual Value'!AW110+"AM:!(s}"</f>
        <v>#VALUE!</v>
      </c>
      <c r="AQ182" t="e">
        <f>'Actual Value'!AX110+"AM:!(s~"</f>
        <v>#VALUE!</v>
      </c>
      <c r="AR182" t="e">
        <f>'Actual Value'!A111+"AM:!(t#"</f>
        <v>#VALUE!</v>
      </c>
      <c r="AS182" t="e">
        <f>'Actual Value'!B111+"AM:!(t$"</f>
        <v>#VALUE!</v>
      </c>
      <c r="AT182" t="e">
        <f>'Actual Value'!C111+"AM:!(t%"</f>
        <v>#VALUE!</v>
      </c>
      <c r="AU182" s="97" t="e">
        <f>'Actual Value'!D111+"AM:!(t&amp;"</f>
        <v>#VALUE!</v>
      </c>
      <c r="AV182" s="97" t="e">
        <f>'Actual Value'!E111+"AM:!(t'"</f>
        <v>#VALUE!</v>
      </c>
      <c r="AW182" s="97" t="e">
        <f>'Actual Value'!F111+"AM:!(t("</f>
        <v>#VALUE!</v>
      </c>
      <c r="AX182" s="97" t="e">
        <f>'Actual Value'!G111+"AM:!(t)"</f>
        <v>#VALUE!</v>
      </c>
      <c r="AY182" s="97" t="e">
        <f>'Actual Value'!H111+"AM:!(t."</f>
        <v>#VALUE!</v>
      </c>
      <c r="AZ182" s="97" t="e">
        <f>'Actual Value'!I111+"AM:!(t/"</f>
        <v>#VALUE!</v>
      </c>
      <c r="BA182" s="97" t="e">
        <f>'Actual Value'!J111+"AM:!(t0"</f>
        <v>#VALUE!</v>
      </c>
      <c r="BB182" s="97" t="e">
        <f>'Actual Value'!K111+"AM:!(t1"</f>
        <v>#VALUE!</v>
      </c>
      <c r="BC182" s="97" t="e">
        <f>'Actual Value'!L111+"AM:!(t2"</f>
        <v>#VALUE!</v>
      </c>
      <c r="BD182" s="97" t="e">
        <f>'Actual Value'!M111+"AM:!(t3"</f>
        <v>#VALUE!</v>
      </c>
      <c r="BE182" s="97" t="e">
        <f>'Actual Value'!N111+"AM:!(t4"</f>
        <v>#VALUE!</v>
      </c>
      <c r="BF182" s="97" t="e">
        <f>'Actual Value'!O111+"AM:!(t5"</f>
        <v>#VALUE!</v>
      </c>
      <c r="BG182" s="97" t="e">
        <f>'Actual Value'!P111+"AM:!(t6"</f>
        <v>#VALUE!</v>
      </c>
      <c r="BH182" s="97" t="e">
        <f>'Actual Value'!Q111+"AM:!(t7"</f>
        <v>#VALUE!</v>
      </c>
      <c r="BI182" s="97" t="e">
        <f>'Actual Value'!R111+"AM:!(t8"</f>
        <v>#VALUE!</v>
      </c>
      <c r="BJ182" s="97" t="e">
        <f>'Actual Value'!S111+"AM:!(t9"</f>
        <v>#VALUE!</v>
      </c>
      <c r="BK182" s="97" t="e">
        <f>'Actual Value'!T111+"AM:!(t:"</f>
        <v>#VALUE!</v>
      </c>
      <c r="BL182" s="97" t="e">
        <f>'Actual Value'!U111+"AM:!(t;"</f>
        <v>#VALUE!</v>
      </c>
      <c r="BM182" s="97" t="e">
        <f>'Actual Value'!V111+"AM:!(t&lt;"</f>
        <v>#VALUE!</v>
      </c>
      <c r="BN182" s="97" t="e">
        <f>'Actual Value'!W111+"AM:!(t="</f>
        <v>#VALUE!</v>
      </c>
      <c r="BO182" s="97" t="e">
        <f>'Actual Value'!X111+"AM:!(t&gt;"</f>
        <v>#VALUE!</v>
      </c>
      <c r="BP182" s="97" t="e">
        <f>'Actual Value'!Y111+"AM:!(t?"</f>
        <v>#VALUE!</v>
      </c>
      <c r="BQ182" s="97" t="e">
        <f>'Actual Value'!Z111+"AM:!(t@"</f>
        <v>#VALUE!</v>
      </c>
      <c r="BR182" s="97" t="e">
        <f>'Actual Value'!AA111+"AM:!(tA"</f>
        <v>#VALUE!</v>
      </c>
      <c r="BS182" s="97" t="e">
        <f>'Actual Value'!AB111+"AM:!(tB"</f>
        <v>#VALUE!</v>
      </c>
      <c r="BT182" s="97" t="e">
        <f>'Actual Value'!AC111+"AM:!(tC"</f>
        <v>#VALUE!</v>
      </c>
      <c r="BU182" s="97" t="e">
        <f>'Actual Value'!AD111+"AM:!(tD"</f>
        <v>#VALUE!</v>
      </c>
      <c r="BV182" s="97" t="e">
        <f>'Actual Value'!AE111+"AM:!(tE"</f>
        <v>#VALUE!</v>
      </c>
      <c r="BW182" s="97" t="e">
        <f>'Actual Value'!AF111+"AM:!(tF"</f>
        <v>#VALUE!</v>
      </c>
      <c r="BX182" s="97" t="e">
        <f>'Actual Value'!AG111+"AM:!(tG"</f>
        <v>#VALUE!</v>
      </c>
      <c r="BY182" s="97" t="e">
        <f>'Actual Value'!AH111+"AM:!(tH"</f>
        <v>#VALUE!</v>
      </c>
      <c r="BZ182" s="97" t="e">
        <f>'Actual Value'!AI111+"AM:!(tI"</f>
        <v>#VALUE!</v>
      </c>
      <c r="CA182" s="97" t="e">
        <f>'Actual Value'!AJ111+"AM:!(tJ"</f>
        <v>#VALUE!</v>
      </c>
      <c r="CB182" s="97" t="e">
        <f>'Actual Value'!AK111+"AM:!(tK"</f>
        <v>#VALUE!</v>
      </c>
      <c r="CC182" s="97" t="e">
        <f>'Actual Value'!AL111+"AM:!(tL"</f>
        <v>#VALUE!</v>
      </c>
      <c r="CD182" s="97" t="e">
        <f>'Actual Value'!AM111+"AM:!(tM"</f>
        <v>#VALUE!</v>
      </c>
      <c r="CE182" s="97" t="e">
        <f>'Actual Value'!AN111+"AM:!(tN"</f>
        <v>#VALUE!</v>
      </c>
      <c r="CF182" s="97" t="e">
        <f>'Actual Value'!AO111+"AM:!(tO"</f>
        <v>#VALUE!</v>
      </c>
      <c r="CG182" t="e">
        <f>'Actual Value'!AP111+"AM:!(tP"</f>
        <v>#VALUE!</v>
      </c>
      <c r="CH182" t="e">
        <f>'Actual Value'!AQ111+"AM:!(tQ"</f>
        <v>#VALUE!</v>
      </c>
      <c r="CI182" t="e">
        <f>'Actual Value'!AR111+"AM:!(tR"</f>
        <v>#VALUE!</v>
      </c>
      <c r="CJ182" t="e">
        <f>'Actual Value'!AS111+"AM:!(tS"</f>
        <v>#VALUE!</v>
      </c>
      <c r="CK182" t="e">
        <f>'Actual Value'!AT111+"AM:!(tT"</f>
        <v>#VALUE!</v>
      </c>
      <c r="CL182" t="e">
        <f>'Actual Value'!AU111+"AM:!(tU"</f>
        <v>#VALUE!</v>
      </c>
      <c r="CM182" t="e">
        <f>'Actual Value'!AV111+"AM:!(tV"</f>
        <v>#VALUE!</v>
      </c>
      <c r="CN182" t="e">
        <f>'Actual Value'!AW111+"AM:!(tW"</f>
        <v>#VALUE!</v>
      </c>
      <c r="CO182" t="e">
        <f>'Actual Value'!AX111+"AM:!(tX"</f>
        <v>#VALUE!</v>
      </c>
      <c r="CP182" t="e">
        <f>'Actual Value'!A112+"AM:!(tY"</f>
        <v>#VALUE!</v>
      </c>
      <c r="CQ182" t="e">
        <f>'Actual Value'!B112+"AM:!(tZ"</f>
        <v>#VALUE!</v>
      </c>
      <c r="CR182" t="e">
        <f>'Actual Value'!C112+"AM:!(t["</f>
        <v>#VALUE!</v>
      </c>
      <c r="CS182" s="97" t="e">
        <f>'Actual Value'!D112+"AM:!(t\"</f>
        <v>#VALUE!</v>
      </c>
      <c r="CT182" s="97" t="e">
        <f>'Actual Value'!E112+"AM:!(t]"</f>
        <v>#VALUE!</v>
      </c>
      <c r="CU182" s="97" t="e">
        <f>'Actual Value'!F112+"AM:!(t^"</f>
        <v>#VALUE!</v>
      </c>
      <c r="CV182" s="97" t="e">
        <f>'Actual Value'!G112+"AM:!(t_"</f>
        <v>#VALUE!</v>
      </c>
      <c r="CW182" s="97" t="e">
        <f>'Actual Value'!H112+"AM:!(t`"</f>
        <v>#VALUE!</v>
      </c>
      <c r="CX182" s="97" t="e">
        <f>'Actual Value'!I112+"AM:!(ta"</f>
        <v>#VALUE!</v>
      </c>
      <c r="CY182" s="97" t="e">
        <f>'Actual Value'!J112+"AM:!(tb"</f>
        <v>#VALUE!</v>
      </c>
      <c r="CZ182" s="97" t="e">
        <f>'Actual Value'!K112+"AM:!(tc"</f>
        <v>#VALUE!</v>
      </c>
      <c r="DA182" s="97" t="e">
        <f>'Actual Value'!L112+"AM:!(td"</f>
        <v>#VALUE!</v>
      </c>
      <c r="DB182" s="97" t="e">
        <f>'Actual Value'!M112+"AM:!(te"</f>
        <v>#VALUE!</v>
      </c>
      <c r="DC182" s="97" t="e">
        <f>'Actual Value'!N112+"AM:!(tf"</f>
        <v>#VALUE!</v>
      </c>
      <c r="DD182" s="97" t="e">
        <f>'Actual Value'!O112+"AM:!(tg"</f>
        <v>#VALUE!</v>
      </c>
      <c r="DE182" s="97" t="e">
        <f>'Actual Value'!P112+"AM:!(th"</f>
        <v>#VALUE!</v>
      </c>
      <c r="DF182" s="97" t="e">
        <f>'Actual Value'!Q112+"AM:!(ti"</f>
        <v>#VALUE!</v>
      </c>
      <c r="DG182" s="97" t="e">
        <f>'Actual Value'!R112+"AM:!(tj"</f>
        <v>#VALUE!</v>
      </c>
      <c r="DH182" s="97" t="e">
        <f>'Actual Value'!S112+"AM:!(tk"</f>
        <v>#VALUE!</v>
      </c>
      <c r="DI182" s="97" t="e">
        <f>'Actual Value'!T112+"AM:!(tl"</f>
        <v>#VALUE!</v>
      </c>
      <c r="DJ182" s="97" t="e">
        <f>'Actual Value'!U112+"AM:!(tm"</f>
        <v>#VALUE!</v>
      </c>
      <c r="DK182" s="97" t="e">
        <f>'Actual Value'!V112+"AM:!(tn"</f>
        <v>#VALUE!</v>
      </c>
      <c r="DL182" s="97" t="e">
        <f>'Actual Value'!W112+"AM:!(to"</f>
        <v>#VALUE!</v>
      </c>
      <c r="DM182" s="97" t="e">
        <f>'Actual Value'!X112+"AM:!(tp"</f>
        <v>#VALUE!</v>
      </c>
      <c r="DN182" s="97" t="e">
        <f>'Actual Value'!Y112+"AM:!(tq"</f>
        <v>#VALUE!</v>
      </c>
      <c r="DO182" s="97" t="e">
        <f>'Actual Value'!Z112+"AM:!(tr"</f>
        <v>#VALUE!</v>
      </c>
      <c r="DP182" s="97" t="e">
        <f>'Actual Value'!AA112+"AM:!(ts"</f>
        <v>#VALUE!</v>
      </c>
      <c r="DQ182" s="97" t="e">
        <f>'Actual Value'!AB112+"AM:!(tt"</f>
        <v>#VALUE!</v>
      </c>
      <c r="DR182" s="97" t="e">
        <f>'Actual Value'!AC112+"AM:!(tu"</f>
        <v>#VALUE!</v>
      </c>
      <c r="DS182" s="97" t="e">
        <f>'Actual Value'!AD112+"AM:!(tv"</f>
        <v>#VALUE!</v>
      </c>
      <c r="DT182" s="97" t="e">
        <f>'Actual Value'!AE112+"AM:!(tw"</f>
        <v>#VALUE!</v>
      </c>
      <c r="DU182" s="97" t="e">
        <f>'Actual Value'!AF112+"AM:!(tx"</f>
        <v>#VALUE!</v>
      </c>
      <c r="DV182" s="97" t="e">
        <f>'Actual Value'!AG112+"AM:!(ty"</f>
        <v>#VALUE!</v>
      </c>
      <c r="DW182" s="97" t="e">
        <f>'Actual Value'!AH112+"AM:!(tz"</f>
        <v>#VALUE!</v>
      </c>
      <c r="DX182" s="97" t="e">
        <f>'Actual Value'!AI112+"AM:!(t{"</f>
        <v>#VALUE!</v>
      </c>
      <c r="DY182" s="97" t="e">
        <f>'Actual Value'!AJ112+"AM:!(t|"</f>
        <v>#VALUE!</v>
      </c>
      <c r="DZ182" s="97" t="e">
        <f>'Actual Value'!AK112+"AM:!(t}"</f>
        <v>#VALUE!</v>
      </c>
      <c r="EA182" s="97" t="e">
        <f>'Actual Value'!AL112+"AM:!(t~"</f>
        <v>#VALUE!</v>
      </c>
      <c r="EB182" s="97" t="e">
        <f>'Actual Value'!AM112+"AM:!(u#"</f>
        <v>#VALUE!</v>
      </c>
      <c r="EC182" s="97" t="e">
        <f>'Actual Value'!AN112+"AM:!(u$"</f>
        <v>#VALUE!</v>
      </c>
      <c r="ED182" s="97" t="e">
        <f>'Actual Value'!AO112+"AM:!(u%"</f>
        <v>#VALUE!</v>
      </c>
      <c r="EE182" t="e">
        <f>'Actual Value'!AP112+"AM:!(u&amp;"</f>
        <v>#VALUE!</v>
      </c>
      <c r="EF182" t="e">
        <f>'Actual Value'!AQ112+"AM:!(u'"</f>
        <v>#VALUE!</v>
      </c>
      <c r="EG182" t="e">
        <f>'Actual Value'!AR112+"AM:!(u("</f>
        <v>#VALUE!</v>
      </c>
      <c r="EH182" t="e">
        <f>'Actual Value'!AS112+"AM:!(u)"</f>
        <v>#VALUE!</v>
      </c>
      <c r="EI182" t="e">
        <f>'Actual Value'!AT112+"AM:!(u."</f>
        <v>#VALUE!</v>
      </c>
      <c r="EJ182" t="e">
        <f>'Actual Value'!AU112+"AM:!(u/"</f>
        <v>#VALUE!</v>
      </c>
      <c r="EK182" t="e">
        <f>'Actual Value'!AV112+"AM:!(u0"</f>
        <v>#VALUE!</v>
      </c>
      <c r="EL182" t="e">
        <f>'Actual Value'!AW112+"AM:!(u1"</f>
        <v>#VALUE!</v>
      </c>
      <c r="EM182" t="e">
        <f>'Actual Value'!AX112+"AM:!(u2"</f>
        <v>#VALUE!</v>
      </c>
      <c r="EN182" t="e">
        <f>'Actual Value'!A113+"AM:!(u3"</f>
        <v>#VALUE!</v>
      </c>
      <c r="EO182" t="e">
        <f>'Actual Value'!B113+"AM:!(u4"</f>
        <v>#VALUE!</v>
      </c>
      <c r="EP182" t="e">
        <f>'Actual Value'!C113+"AM:!(u5"</f>
        <v>#VALUE!</v>
      </c>
      <c r="EQ182" s="97" t="e">
        <f>'Actual Value'!D113+"AM:!(u6"</f>
        <v>#VALUE!</v>
      </c>
      <c r="ER182" s="97" t="e">
        <f>'Actual Value'!E113+"AM:!(u7"</f>
        <v>#VALUE!</v>
      </c>
      <c r="ES182" s="97" t="e">
        <f>'Actual Value'!F113+"AM:!(u8"</f>
        <v>#VALUE!</v>
      </c>
      <c r="ET182" s="97" t="e">
        <f>'Actual Value'!G113+"AM:!(u9"</f>
        <v>#VALUE!</v>
      </c>
      <c r="EU182" s="97" t="e">
        <f>'Actual Value'!H113+"AM:!(u:"</f>
        <v>#VALUE!</v>
      </c>
      <c r="EV182" s="97" t="e">
        <f>'Actual Value'!I113+"AM:!(u;"</f>
        <v>#VALUE!</v>
      </c>
      <c r="EW182" s="97" t="e">
        <f>'Actual Value'!J113+"AM:!(u&lt;"</f>
        <v>#VALUE!</v>
      </c>
      <c r="EX182" s="97" t="e">
        <f>'Actual Value'!K113+"AM:!(u="</f>
        <v>#VALUE!</v>
      </c>
      <c r="EY182" s="97" t="e">
        <f>'Actual Value'!L113+"AM:!(u&gt;"</f>
        <v>#VALUE!</v>
      </c>
      <c r="EZ182" s="97" t="e">
        <f>'Actual Value'!M113+"AM:!(u?"</f>
        <v>#VALUE!</v>
      </c>
      <c r="FA182" s="97" t="e">
        <f>'Actual Value'!N113+"AM:!(u@"</f>
        <v>#VALUE!</v>
      </c>
      <c r="FB182" s="97" t="e">
        <f>'Actual Value'!O113+"AM:!(uA"</f>
        <v>#VALUE!</v>
      </c>
      <c r="FC182" s="97" t="e">
        <f>'Actual Value'!P113+"AM:!(uB"</f>
        <v>#VALUE!</v>
      </c>
      <c r="FD182" s="97" t="e">
        <f>'Actual Value'!Q113+"AM:!(uC"</f>
        <v>#VALUE!</v>
      </c>
      <c r="FE182" s="97" t="e">
        <f>'Actual Value'!R113+"AM:!(uD"</f>
        <v>#VALUE!</v>
      </c>
      <c r="FF182" s="97" t="e">
        <f>'Actual Value'!S113+"AM:!(uE"</f>
        <v>#VALUE!</v>
      </c>
      <c r="FG182" s="97" t="e">
        <f>'Actual Value'!T113+"AM:!(uF"</f>
        <v>#VALUE!</v>
      </c>
      <c r="FH182" s="97" t="e">
        <f>'Actual Value'!U113+"AM:!(uG"</f>
        <v>#VALUE!</v>
      </c>
      <c r="FI182" s="97" t="e">
        <f>'Actual Value'!V113+"AM:!(uH"</f>
        <v>#VALUE!</v>
      </c>
      <c r="FJ182" s="97" t="e">
        <f>'Actual Value'!W113+"AM:!(uI"</f>
        <v>#VALUE!</v>
      </c>
      <c r="FK182" s="97" t="e">
        <f>'Actual Value'!X113+"AM:!(uJ"</f>
        <v>#VALUE!</v>
      </c>
      <c r="FL182" s="97" t="e">
        <f>'Actual Value'!Y113+"AM:!(uK"</f>
        <v>#VALUE!</v>
      </c>
      <c r="FM182" s="97" t="e">
        <f>'Actual Value'!Z113+"AM:!(uL"</f>
        <v>#VALUE!</v>
      </c>
      <c r="FN182" s="97" t="e">
        <f>'Actual Value'!AA113+"AM:!(uM"</f>
        <v>#VALUE!</v>
      </c>
      <c r="FO182" s="97" t="e">
        <f>'Actual Value'!AB113+"AM:!(uN"</f>
        <v>#VALUE!</v>
      </c>
      <c r="FP182" s="97" t="e">
        <f>'Actual Value'!AC113+"AM:!(uO"</f>
        <v>#VALUE!</v>
      </c>
      <c r="FQ182" s="97" t="e">
        <f>'Actual Value'!AD113+"AM:!(uP"</f>
        <v>#VALUE!</v>
      </c>
      <c r="FR182" s="97" t="e">
        <f>'Actual Value'!AE113+"AM:!(uQ"</f>
        <v>#VALUE!</v>
      </c>
      <c r="FS182" s="97" t="e">
        <f>'Actual Value'!AF113+"AM:!(uR"</f>
        <v>#VALUE!</v>
      </c>
      <c r="FT182" s="97" t="e">
        <f>'Actual Value'!AG113+"AM:!(uS"</f>
        <v>#VALUE!</v>
      </c>
      <c r="FU182" s="97" t="e">
        <f>'Actual Value'!AH113+"AM:!(uT"</f>
        <v>#VALUE!</v>
      </c>
      <c r="FV182" s="97" t="e">
        <f>'Actual Value'!AI113+"AM:!(uU"</f>
        <v>#VALUE!</v>
      </c>
      <c r="FW182" s="97" t="e">
        <f>'Actual Value'!AJ113+"AM:!(uV"</f>
        <v>#VALUE!</v>
      </c>
      <c r="FX182" s="97" t="e">
        <f>'Actual Value'!AK113+"AM:!(uW"</f>
        <v>#VALUE!</v>
      </c>
      <c r="FY182" s="97" t="e">
        <f>'Actual Value'!AL113+"AM:!(uX"</f>
        <v>#VALUE!</v>
      </c>
      <c r="FZ182" s="97" t="e">
        <f>'Actual Value'!AM113+"AM:!(uY"</f>
        <v>#VALUE!</v>
      </c>
      <c r="GA182" s="97" t="e">
        <f>'Actual Value'!AN113+"AM:!(uZ"</f>
        <v>#VALUE!</v>
      </c>
      <c r="GB182" s="97" t="e">
        <f>'Actual Value'!AO113+"AM:!(u["</f>
        <v>#VALUE!</v>
      </c>
      <c r="GC182" t="e">
        <f>'Actual Value'!AP113+"AM:!(u\"</f>
        <v>#VALUE!</v>
      </c>
      <c r="GD182" t="e">
        <f>'Actual Value'!AQ113+"AM:!(u]"</f>
        <v>#VALUE!</v>
      </c>
      <c r="GE182" t="e">
        <f>'Actual Value'!AR113+"AM:!(u^"</f>
        <v>#VALUE!</v>
      </c>
      <c r="GF182" t="e">
        <f>'Actual Value'!AS113+"AM:!(u_"</f>
        <v>#VALUE!</v>
      </c>
      <c r="GG182" t="e">
        <f>'Actual Value'!AT113+"AM:!(u`"</f>
        <v>#VALUE!</v>
      </c>
      <c r="GH182" t="e">
        <f>'Actual Value'!AU113+"AM:!(ua"</f>
        <v>#VALUE!</v>
      </c>
      <c r="GI182" t="e">
        <f>'Actual Value'!AV113+"AM:!(ub"</f>
        <v>#VALUE!</v>
      </c>
      <c r="GJ182" t="e">
        <f>'Actual Value'!AW113+"AM:!(uc"</f>
        <v>#VALUE!</v>
      </c>
      <c r="GK182" t="e">
        <f>'Actual Value'!AX113+"AM:!(ud"</f>
        <v>#VALUE!</v>
      </c>
      <c r="GL182" t="e">
        <f>'Actual Value'!A114+"AM:!(ue"</f>
        <v>#VALUE!</v>
      </c>
      <c r="GM182" t="e">
        <f>'Actual Value'!B114+"AM:!(uf"</f>
        <v>#VALUE!</v>
      </c>
      <c r="GN182" t="e">
        <f>'Actual Value'!C114+"AM:!(ug"</f>
        <v>#VALUE!</v>
      </c>
      <c r="GO182" s="97" t="e">
        <f>'Actual Value'!D114+"AM:!(uh"</f>
        <v>#VALUE!</v>
      </c>
      <c r="GP182" s="97" t="e">
        <f>'Actual Value'!E114+"AM:!(ui"</f>
        <v>#VALUE!</v>
      </c>
      <c r="GQ182" s="97" t="e">
        <f>'Actual Value'!F114+"AM:!(uj"</f>
        <v>#VALUE!</v>
      </c>
      <c r="GR182" s="97" t="e">
        <f>'Actual Value'!G114+"AM:!(uk"</f>
        <v>#VALUE!</v>
      </c>
      <c r="GS182" s="97" t="e">
        <f>'Actual Value'!H114+"AM:!(ul"</f>
        <v>#VALUE!</v>
      </c>
      <c r="GT182" s="97" t="e">
        <f>'Actual Value'!I114+"AM:!(um"</f>
        <v>#VALUE!</v>
      </c>
      <c r="GU182" s="97" t="e">
        <f>'Actual Value'!J114+"AM:!(un"</f>
        <v>#VALUE!</v>
      </c>
      <c r="GV182" s="97" t="e">
        <f>'Actual Value'!K114+"AM:!(uo"</f>
        <v>#VALUE!</v>
      </c>
      <c r="GW182" s="97" t="e">
        <f>'Actual Value'!L114+"AM:!(up"</f>
        <v>#VALUE!</v>
      </c>
      <c r="GX182" s="97" t="e">
        <f>'Actual Value'!M114+"AM:!(uq"</f>
        <v>#VALUE!</v>
      </c>
      <c r="GY182" s="97" t="e">
        <f>'Actual Value'!N114+"AM:!(ur"</f>
        <v>#VALUE!</v>
      </c>
      <c r="GZ182" s="97" t="e">
        <f>'Actual Value'!O114+"AM:!(us"</f>
        <v>#VALUE!</v>
      </c>
      <c r="HA182" s="97" t="e">
        <f>'Actual Value'!P114+"AM:!(ut"</f>
        <v>#VALUE!</v>
      </c>
      <c r="HB182" s="97" t="e">
        <f>'Actual Value'!Q114+"AM:!(uu"</f>
        <v>#VALUE!</v>
      </c>
      <c r="HC182" s="97" t="e">
        <f>'Actual Value'!R114+"AM:!(uv"</f>
        <v>#VALUE!</v>
      </c>
      <c r="HD182" s="97" t="e">
        <f>'Actual Value'!S114+"AM:!(uw"</f>
        <v>#VALUE!</v>
      </c>
      <c r="HE182" s="97" t="e">
        <f>'Actual Value'!T114+"AM:!(ux"</f>
        <v>#VALUE!</v>
      </c>
      <c r="HF182" s="97" t="e">
        <f>'Actual Value'!U114+"AM:!(uy"</f>
        <v>#VALUE!</v>
      </c>
      <c r="HG182" s="97" t="e">
        <f>'Actual Value'!V114+"AM:!(uz"</f>
        <v>#VALUE!</v>
      </c>
      <c r="HH182" s="97" t="e">
        <f>'Actual Value'!W114+"AM:!(u{"</f>
        <v>#VALUE!</v>
      </c>
      <c r="HI182" s="97" t="e">
        <f>'Actual Value'!X114+"AM:!(u|"</f>
        <v>#VALUE!</v>
      </c>
      <c r="HJ182" s="97" t="e">
        <f>'Actual Value'!Y114+"AM:!(u}"</f>
        <v>#VALUE!</v>
      </c>
      <c r="HK182" s="97" t="e">
        <f>'Actual Value'!Z114+"AM:!(u~"</f>
        <v>#VALUE!</v>
      </c>
      <c r="HL182" s="97" t="e">
        <f>'Actual Value'!AA114+"AM:!(v#"</f>
        <v>#VALUE!</v>
      </c>
      <c r="HM182" s="97" t="e">
        <f>'Actual Value'!AB114+"AM:!(v$"</f>
        <v>#VALUE!</v>
      </c>
      <c r="HN182" s="97" t="e">
        <f>'Actual Value'!AC114+"AM:!(v%"</f>
        <v>#VALUE!</v>
      </c>
      <c r="HO182" s="97" t="e">
        <f>'Actual Value'!AD114+"AM:!(v&amp;"</f>
        <v>#VALUE!</v>
      </c>
      <c r="HP182" s="97" t="e">
        <f>'Actual Value'!AE114+"AM:!(v'"</f>
        <v>#VALUE!</v>
      </c>
      <c r="HQ182" s="97" t="e">
        <f>'Actual Value'!AF114+"AM:!(v("</f>
        <v>#VALUE!</v>
      </c>
      <c r="HR182" s="97" t="e">
        <f>'Actual Value'!AG114+"AM:!(v)"</f>
        <v>#VALUE!</v>
      </c>
      <c r="HS182" s="97" t="e">
        <f>'Actual Value'!AH114+"AM:!(v."</f>
        <v>#VALUE!</v>
      </c>
      <c r="HT182" s="97" t="e">
        <f>'Actual Value'!AI114+"AM:!(v/"</f>
        <v>#VALUE!</v>
      </c>
      <c r="HU182" s="97" t="e">
        <f>'Actual Value'!AJ114+"AM:!(v0"</f>
        <v>#VALUE!</v>
      </c>
      <c r="HV182" s="97" t="e">
        <f>'Actual Value'!AK114+"AM:!(v1"</f>
        <v>#VALUE!</v>
      </c>
      <c r="HW182" s="97" t="e">
        <f>'Actual Value'!AL114+"AM:!(v2"</f>
        <v>#VALUE!</v>
      </c>
      <c r="HX182" s="97" t="e">
        <f>'Actual Value'!AM114+"AM:!(v3"</f>
        <v>#VALUE!</v>
      </c>
      <c r="HY182" s="97" t="e">
        <f>'Actual Value'!AN114+"AM:!(v4"</f>
        <v>#VALUE!</v>
      </c>
      <c r="HZ182" s="97" t="e">
        <f>'Actual Value'!AO114+"AM:!(v5"</f>
        <v>#VALUE!</v>
      </c>
      <c r="IA182" t="e">
        <f>'Actual Value'!AP114+"AM:!(v6"</f>
        <v>#VALUE!</v>
      </c>
      <c r="IB182" t="e">
        <f>'Actual Value'!AQ114+"AM:!(v7"</f>
        <v>#VALUE!</v>
      </c>
      <c r="IC182" t="e">
        <f>'Actual Value'!AR114+"AM:!(v8"</f>
        <v>#VALUE!</v>
      </c>
      <c r="ID182" t="e">
        <f>'Actual Value'!AS114+"AM:!(v9"</f>
        <v>#VALUE!</v>
      </c>
      <c r="IE182" t="e">
        <f>'Actual Value'!AT114+"AM:!(v:"</f>
        <v>#VALUE!</v>
      </c>
      <c r="IF182" t="e">
        <f>'Actual Value'!AU114+"AM:!(v;"</f>
        <v>#VALUE!</v>
      </c>
      <c r="IG182" t="e">
        <f>'Actual Value'!AV114+"AM:!(v&lt;"</f>
        <v>#VALUE!</v>
      </c>
      <c r="IH182" t="e">
        <f>'Actual Value'!AW114+"AM:!(v="</f>
        <v>#VALUE!</v>
      </c>
      <c r="II182" t="e">
        <f>'Actual Value'!AX114+"AM:!(v&gt;"</f>
        <v>#VALUE!</v>
      </c>
      <c r="IJ182" t="e">
        <f>'Actual Value'!A115+"AM:!(v?"</f>
        <v>#VALUE!</v>
      </c>
      <c r="IK182" t="e">
        <f>'Actual Value'!B115+"AM:!(v@"</f>
        <v>#VALUE!</v>
      </c>
      <c r="IL182" s="98" t="e">
        <f>'Actual Value'!C115+"AM:!(vA"</f>
        <v>#VALUE!</v>
      </c>
      <c r="IM182" t="e">
        <f>'Actual Value'!D115+"AM:!(vB"</f>
        <v>#VALUE!</v>
      </c>
      <c r="IN182" t="e">
        <f>'Actual Value'!E115+"AM:!(vC"</f>
        <v>#VALUE!</v>
      </c>
      <c r="IO182" t="e">
        <f>'Actual Value'!F115+"AM:!(vD"</f>
        <v>#VALUE!</v>
      </c>
      <c r="IP182" t="e">
        <f>'Actual Value'!G115+"AM:!(vE"</f>
        <v>#VALUE!</v>
      </c>
      <c r="IQ182" t="e">
        <f>'Actual Value'!H115+"AM:!(vF"</f>
        <v>#VALUE!</v>
      </c>
      <c r="IR182" t="e">
        <f>'Actual Value'!I115+"AM:!(vG"</f>
        <v>#VALUE!</v>
      </c>
      <c r="IS182" t="e">
        <f>'Actual Value'!J115+"AM:!(vH"</f>
        <v>#VALUE!</v>
      </c>
      <c r="IT182" t="e">
        <f>'Actual Value'!K115+"AM:!(vI"</f>
        <v>#VALUE!</v>
      </c>
      <c r="IU182" t="e">
        <f>'Actual Value'!L115+"AM:!(vJ"</f>
        <v>#VALUE!</v>
      </c>
      <c r="IV182" t="e">
        <f>'Actual Value'!M115+"AM:!(vK"</f>
        <v>#VALUE!</v>
      </c>
    </row>
    <row r="183" spans="6:256">
      <c r="F183" t="e">
        <f>'Actual Value'!N115+"AM:!(vL"</f>
        <v>#VALUE!</v>
      </c>
      <c r="G183" t="e">
        <f>'Actual Value'!O115+"AM:!(vM"</f>
        <v>#VALUE!</v>
      </c>
      <c r="H183" t="e">
        <f>'Actual Value'!P115+"AM:!(vN"</f>
        <v>#VALUE!</v>
      </c>
      <c r="I183" t="e">
        <f>'Actual Value'!Q115+"AM:!(vO"</f>
        <v>#VALUE!</v>
      </c>
      <c r="J183" t="e">
        <f>'Actual Value'!R115+"AM:!(vP"</f>
        <v>#VALUE!</v>
      </c>
      <c r="K183" t="e">
        <f>'Actual Value'!S115+"AM:!(vQ"</f>
        <v>#VALUE!</v>
      </c>
      <c r="L183" t="e">
        <f>'Actual Value'!T115+"AM:!(vR"</f>
        <v>#VALUE!</v>
      </c>
      <c r="M183" t="e">
        <f>'Actual Value'!U115+"AM:!(vS"</f>
        <v>#VALUE!</v>
      </c>
      <c r="N183" t="e">
        <f>'Actual Value'!V115+"AM:!(vT"</f>
        <v>#VALUE!</v>
      </c>
      <c r="O183" t="e">
        <f>'Actual Value'!W115+"AM:!(vU"</f>
        <v>#VALUE!</v>
      </c>
      <c r="P183" t="e">
        <f>'Actual Value'!X115+"AM:!(vV"</f>
        <v>#VALUE!</v>
      </c>
      <c r="Q183" t="e">
        <f>'Actual Value'!Y115+"AM:!(vW"</f>
        <v>#VALUE!</v>
      </c>
      <c r="R183" t="e">
        <f>'Actual Value'!Z115+"AM:!(vX"</f>
        <v>#VALUE!</v>
      </c>
      <c r="S183" t="e">
        <f>'Actual Value'!AA115+"AM:!(vY"</f>
        <v>#VALUE!</v>
      </c>
      <c r="T183" t="e">
        <f>'Actual Value'!AB115+"AM:!(vZ"</f>
        <v>#VALUE!</v>
      </c>
      <c r="U183" t="e">
        <f>'Actual Value'!AC115+"AM:!(v["</f>
        <v>#VALUE!</v>
      </c>
      <c r="V183" t="e">
        <f>'Actual Value'!AD115+"AM:!(v\"</f>
        <v>#VALUE!</v>
      </c>
      <c r="W183" t="e">
        <f>'Actual Value'!AE115+"AM:!(v]"</f>
        <v>#VALUE!</v>
      </c>
      <c r="X183" t="e">
        <f>'Actual Value'!AF115+"AM:!(v^"</f>
        <v>#VALUE!</v>
      </c>
      <c r="Y183" t="e">
        <f>'Actual Value'!AG115+"AM:!(v_"</f>
        <v>#VALUE!</v>
      </c>
      <c r="Z183" t="e">
        <f>'Actual Value'!AH115+"AM:!(v`"</f>
        <v>#VALUE!</v>
      </c>
      <c r="AA183" t="e">
        <f>'Actual Value'!AI115+"AM:!(va"</f>
        <v>#VALUE!</v>
      </c>
      <c r="AB183" t="e">
        <f>'Actual Value'!AJ115+"AM:!(vb"</f>
        <v>#VALUE!</v>
      </c>
      <c r="AC183" t="e">
        <f>'Actual Value'!AK115+"AM:!(vc"</f>
        <v>#VALUE!</v>
      </c>
      <c r="AD183" t="e">
        <f>'Actual Value'!AL115+"AM:!(vd"</f>
        <v>#VALUE!</v>
      </c>
      <c r="AE183" t="e">
        <f>'Actual Value'!AM115+"AM:!(ve"</f>
        <v>#VALUE!</v>
      </c>
      <c r="AF183" t="e">
        <f>'Actual Value'!AN115+"AM:!(vf"</f>
        <v>#VALUE!</v>
      </c>
      <c r="AG183" t="e">
        <f>'Actual Value'!AO115+"AM:!(vg"</f>
        <v>#VALUE!</v>
      </c>
      <c r="AH183" t="e">
        <f>'Actual Value'!AP115+"AM:!(vh"</f>
        <v>#VALUE!</v>
      </c>
      <c r="AI183" t="e">
        <f>'Actual Value'!AQ115+"AM:!(vi"</f>
        <v>#VALUE!</v>
      </c>
      <c r="AJ183" t="e">
        <f>'Actual Value'!AR115+"AM:!(vj"</f>
        <v>#VALUE!</v>
      </c>
      <c r="AK183" t="e">
        <f>'Actual Value'!AS115+"AM:!(vk"</f>
        <v>#VALUE!</v>
      </c>
      <c r="AL183" t="e">
        <f>'Actual Value'!AT115+"AM:!(vl"</f>
        <v>#VALUE!</v>
      </c>
      <c r="AM183" t="e">
        <f>'Actual Value'!AU115+"AM:!(vm"</f>
        <v>#VALUE!</v>
      </c>
      <c r="AN183" t="e">
        <f>'Actual Value'!AV115+"AM:!(vn"</f>
        <v>#VALUE!</v>
      </c>
      <c r="AO183" t="e">
        <f>'Actual Value'!AW115+"AM:!(vo"</f>
        <v>#VALUE!</v>
      </c>
      <c r="AP183" t="e">
        <f>'Actual Value'!A116+"AM:!(vp"</f>
        <v>#VALUE!</v>
      </c>
      <c r="AQ183" t="e">
        <f>'Actual Value'!B116+"AM:!(vq"</f>
        <v>#VALUE!</v>
      </c>
      <c r="AR183" t="e">
        <f>'Actual Value'!C116+"AM:!(vr"</f>
        <v>#VALUE!</v>
      </c>
      <c r="AS183" s="105" t="e">
        <f>'Actual Value'!D116+"AM:!(vs"</f>
        <v>#VALUE!</v>
      </c>
      <c r="AT183" s="105" t="e">
        <f>'Actual Value'!E116+"AM:!(vt"</f>
        <v>#VALUE!</v>
      </c>
      <c r="AU183" s="105" t="e">
        <f>'Actual Value'!F116+"AM:!(vu"</f>
        <v>#VALUE!</v>
      </c>
      <c r="AV183" s="105" t="e">
        <f>'Actual Value'!G116+"AM:!(vv"</f>
        <v>#VALUE!</v>
      </c>
      <c r="AW183" s="105" t="e">
        <f>'Actual Value'!H116+"AM:!(vw"</f>
        <v>#VALUE!</v>
      </c>
      <c r="AX183" s="105" t="e">
        <f>'Actual Value'!I116+"AM:!(vx"</f>
        <v>#VALUE!</v>
      </c>
      <c r="AY183" s="105" t="e">
        <f>'Actual Value'!J116+"AM:!(vy"</f>
        <v>#VALUE!</v>
      </c>
      <c r="AZ183" s="105" t="e">
        <f>'Actual Value'!K116+"AM:!(vz"</f>
        <v>#VALUE!</v>
      </c>
      <c r="BA183" s="105" t="e">
        <f>'Actual Value'!L116+"AM:!(v{"</f>
        <v>#VALUE!</v>
      </c>
      <c r="BB183" s="105" t="e">
        <f>'Actual Value'!M116+"AM:!(v|"</f>
        <v>#VALUE!</v>
      </c>
      <c r="BC183" s="105" t="e">
        <f>'Actual Value'!N116+"AM:!(v}"</f>
        <v>#VALUE!</v>
      </c>
      <c r="BD183" s="105" t="e">
        <f>'Actual Value'!O116+"AM:!(v~"</f>
        <v>#VALUE!</v>
      </c>
      <c r="BE183" s="105" t="e">
        <f>'Actual Value'!P116+"AM:!(w#"</f>
        <v>#VALUE!</v>
      </c>
      <c r="BF183" s="105" t="e">
        <f>'Actual Value'!Q116+"AM:!(w$"</f>
        <v>#VALUE!</v>
      </c>
      <c r="BG183" s="105" t="e">
        <f>'Actual Value'!R116+"AM:!(w%"</f>
        <v>#VALUE!</v>
      </c>
      <c r="BH183" s="105" t="e">
        <f>'Actual Value'!S116+"AM:!(w&amp;"</f>
        <v>#VALUE!</v>
      </c>
      <c r="BI183" s="105" t="e">
        <f>'Actual Value'!T116+"AM:!(w'"</f>
        <v>#VALUE!</v>
      </c>
      <c r="BJ183" s="105" t="e">
        <f>'Actual Value'!U116+"AM:!(w("</f>
        <v>#VALUE!</v>
      </c>
      <c r="BK183" s="105" t="e">
        <f>'Actual Value'!V116+"AM:!(w)"</f>
        <v>#VALUE!</v>
      </c>
      <c r="BL183" s="105" t="e">
        <f>'Actual Value'!W116+"AM:!(w."</f>
        <v>#VALUE!</v>
      </c>
      <c r="BM183" s="105" t="e">
        <f>'Actual Value'!X116+"AM:!(w/"</f>
        <v>#VALUE!</v>
      </c>
      <c r="BN183" s="105" t="e">
        <f>'Actual Value'!Y116+"AM:!(w0"</f>
        <v>#VALUE!</v>
      </c>
      <c r="BO183" s="105" t="e">
        <f>'Actual Value'!Z116+"AM:!(w1"</f>
        <v>#VALUE!</v>
      </c>
      <c r="BP183" s="105" t="e">
        <f>'Actual Value'!AA116+"AM:!(w2"</f>
        <v>#VALUE!</v>
      </c>
      <c r="BQ183" s="105" t="e">
        <f>'Actual Value'!AB116+"AM:!(w3"</f>
        <v>#VALUE!</v>
      </c>
      <c r="BR183" s="105" t="e">
        <f>'Actual Value'!AC116+"AM:!(w4"</f>
        <v>#VALUE!</v>
      </c>
      <c r="BS183" s="105" t="e">
        <f>'Actual Value'!AD116+"AM:!(w5"</f>
        <v>#VALUE!</v>
      </c>
      <c r="BT183" s="105" t="e">
        <f>'Actual Value'!AE116+"AM:!(w6"</f>
        <v>#VALUE!</v>
      </c>
      <c r="BU183" s="105" t="e">
        <f>'Actual Value'!AF116+"AM:!(w7"</f>
        <v>#VALUE!</v>
      </c>
      <c r="BV183" s="105" t="e">
        <f>'Actual Value'!AG116+"AM:!(w8"</f>
        <v>#VALUE!</v>
      </c>
      <c r="BW183" s="105" t="e">
        <f>'Actual Value'!AH116+"AM:!(w9"</f>
        <v>#VALUE!</v>
      </c>
      <c r="BX183" s="105" t="e">
        <f>'Actual Value'!AI116+"AM:!(w:"</f>
        <v>#VALUE!</v>
      </c>
      <c r="BY183" s="105" t="e">
        <f>'Actual Value'!AJ116+"AM:!(w;"</f>
        <v>#VALUE!</v>
      </c>
      <c r="BZ183" s="105" t="e">
        <f>'Actual Value'!AK116+"AM:!(w&lt;"</f>
        <v>#VALUE!</v>
      </c>
      <c r="CA183" s="105" t="e">
        <f>'Actual Value'!AL116+"AM:!(w="</f>
        <v>#VALUE!</v>
      </c>
      <c r="CB183" s="105" t="e">
        <f>'Actual Value'!AM116+"AM:!(w&gt;"</f>
        <v>#VALUE!</v>
      </c>
      <c r="CC183" s="105" t="e">
        <f>'Actual Value'!AN116+"AM:!(w?"</f>
        <v>#VALUE!</v>
      </c>
      <c r="CD183" s="105" t="e">
        <f>'Actual Value'!AO116+"AM:!(w@"</f>
        <v>#VALUE!</v>
      </c>
      <c r="CE183" t="e">
        <f>'Actual Value'!AP116+"AM:!(wA"</f>
        <v>#VALUE!</v>
      </c>
      <c r="CF183" s="100" t="e">
        <f>'Actual Value'!AQ116+"AM:!(wB"</f>
        <v>#VALUE!</v>
      </c>
      <c r="CG183" s="100" t="e">
        <f>'Actual Value'!AR116+"AM:!(wC"</f>
        <v>#VALUE!</v>
      </c>
      <c r="CH183" s="100" t="e">
        <f>'Actual Value'!AS116+"AM:!(wD"</f>
        <v>#VALUE!</v>
      </c>
      <c r="CI183" s="100" t="e">
        <f>'Actual Value'!AT116+"AM:!(wE"</f>
        <v>#VALUE!</v>
      </c>
      <c r="CJ183" s="100" t="e">
        <f>'Actual Value'!AU116+"AM:!(wF"</f>
        <v>#VALUE!</v>
      </c>
      <c r="CK183" t="e">
        <f>'Actual Value'!AV116+"AM:!(wG"</f>
        <v>#VALUE!</v>
      </c>
      <c r="CL183" t="e">
        <f>'Actual Value'!AW116+"AM:!(wH"</f>
        <v>#VALUE!</v>
      </c>
      <c r="CM183" t="e">
        <f>'Actual Value'!A117+"AM:!(wI"</f>
        <v>#VALUE!</v>
      </c>
      <c r="CN183" t="e">
        <f>'Actual Value'!B117+"AM:!(wJ"</f>
        <v>#VALUE!</v>
      </c>
      <c r="CO183" t="e">
        <f>'Actual Value'!C117+"AM:!(wK"</f>
        <v>#VALUE!</v>
      </c>
      <c r="CP183" s="97" t="e">
        <f>'Actual Value'!D117+"AM:!(wL"</f>
        <v>#VALUE!</v>
      </c>
      <c r="CQ183" s="97" t="e">
        <f>'Actual Value'!E117+"AM:!(wM"</f>
        <v>#VALUE!</v>
      </c>
      <c r="CR183" s="97" t="e">
        <f>'Actual Value'!F117+"AM:!(wN"</f>
        <v>#VALUE!</v>
      </c>
      <c r="CS183" s="97" t="e">
        <f>'Actual Value'!G117+"AM:!(wO"</f>
        <v>#VALUE!</v>
      </c>
      <c r="CT183" s="97" t="e">
        <f>'Actual Value'!H117+"AM:!(wP"</f>
        <v>#VALUE!</v>
      </c>
      <c r="CU183" s="97" t="e">
        <f>'Actual Value'!I117+"AM:!(wQ"</f>
        <v>#VALUE!</v>
      </c>
      <c r="CV183" s="97" t="e">
        <f>'Actual Value'!J117+"AM:!(wR"</f>
        <v>#VALUE!</v>
      </c>
      <c r="CW183" s="97" t="e">
        <f>'Actual Value'!K117+"AM:!(wS"</f>
        <v>#VALUE!</v>
      </c>
      <c r="CX183" s="97" t="e">
        <f>'Actual Value'!L117+"AM:!(wT"</f>
        <v>#VALUE!</v>
      </c>
      <c r="CY183" s="97" t="e">
        <f>'Actual Value'!M117+"AM:!(wU"</f>
        <v>#VALUE!</v>
      </c>
      <c r="CZ183" s="97" t="e">
        <f>'Actual Value'!N117+"AM:!(wV"</f>
        <v>#VALUE!</v>
      </c>
      <c r="DA183" s="97" t="e">
        <f>'Actual Value'!O117+"AM:!(wW"</f>
        <v>#VALUE!</v>
      </c>
      <c r="DB183" s="97" t="e">
        <f>'Actual Value'!P117+"AM:!(wX"</f>
        <v>#VALUE!</v>
      </c>
      <c r="DC183" s="97" t="e">
        <f>'Actual Value'!Q117+"AM:!(wY"</f>
        <v>#VALUE!</v>
      </c>
      <c r="DD183" s="97" t="e">
        <f>'Actual Value'!R117+"AM:!(wZ"</f>
        <v>#VALUE!</v>
      </c>
      <c r="DE183" s="97" t="e">
        <f>'Actual Value'!S117+"AM:!(w["</f>
        <v>#VALUE!</v>
      </c>
      <c r="DF183" s="97" t="e">
        <f>'Actual Value'!T117+"AM:!(w\"</f>
        <v>#VALUE!</v>
      </c>
      <c r="DG183" s="97" t="e">
        <f>'Actual Value'!U117+"AM:!(w]"</f>
        <v>#VALUE!</v>
      </c>
      <c r="DH183" s="97" t="e">
        <f>'Actual Value'!V117+"AM:!(w^"</f>
        <v>#VALUE!</v>
      </c>
      <c r="DI183" s="97" t="e">
        <f>'Actual Value'!W117+"AM:!(w_"</f>
        <v>#VALUE!</v>
      </c>
      <c r="DJ183" s="97" t="e">
        <f>'Actual Value'!X117+"AM:!(w`"</f>
        <v>#VALUE!</v>
      </c>
      <c r="DK183" s="97" t="e">
        <f>'Actual Value'!Y117+"AM:!(wa"</f>
        <v>#VALUE!</v>
      </c>
      <c r="DL183" s="97" t="e">
        <f>'Actual Value'!Z117+"AM:!(wb"</f>
        <v>#VALUE!</v>
      </c>
      <c r="DM183" s="97" t="e">
        <f>'Actual Value'!AA117+"AM:!(wc"</f>
        <v>#VALUE!</v>
      </c>
      <c r="DN183" s="97" t="e">
        <f>'Actual Value'!AB117+"AM:!(wd"</f>
        <v>#VALUE!</v>
      </c>
      <c r="DO183" s="97" t="e">
        <f>'Actual Value'!AC117+"AM:!(we"</f>
        <v>#VALUE!</v>
      </c>
      <c r="DP183" s="97" t="e">
        <f>'Actual Value'!AD117+"AM:!(wf"</f>
        <v>#VALUE!</v>
      </c>
      <c r="DQ183" s="97" t="e">
        <f>'Actual Value'!AE117+"AM:!(wg"</f>
        <v>#VALUE!</v>
      </c>
      <c r="DR183" s="97" t="e">
        <f>'Actual Value'!AF117+"AM:!(wh"</f>
        <v>#VALUE!</v>
      </c>
      <c r="DS183" s="97" t="e">
        <f>'Actual Value'!AG117+"AM:!(wi"</f>
        <v>#VALUE!</v>
      </c>
      <c r="DT183" s="97" t="e">
        <f>'Actual Value'!AH117+"AM:!(wj"</f>
        <v>#VALUE!</v>
      </c>
      <c r="DU183" s="97" t="e">
        <f>'Actual Value'!AI117+"AM:!(wk"</f>
        <v>#VALUE!</v>
      </c>
      <c r="DV183" s="97" t="e">
        <f>'Actual Value'!AJ117+"AM:!(wl"</f>
        <v>#VALUE!</v>
      </c>
      <c r="DW183" s="97" t="e">
        <f>'Actual Value'!AK117+"AM:!(wm"</f>
        <v>#VALUE!</v>
      </c>
      <c r="DX183" s="97" t="e">
        <f>'Actual Value'!AL117+"AM:!(wn"</f>
        <v>#VALUE!</v>
      </c>
      <c r="DY183" s="97" t="e">
        <f>'Actual Value'!AM117+"AM:!(wo"</f>
        <v>#VALUE!</v>
      </c>
      <c r="DZ183" s="97" t="e">
        <f>'Actual Value'!AN117+"AM:!(wp"</f>
        <v>#VALUE!</v>
      </c>
      <c r="EA183" s="97" t="e">
        <f>'Actual Value'!AO117+"AM:!(wq"</f>
        <v>#VALUE!</v>
      </c>
      <c r="EB183" t="e">
        <f>'Actual Value'!AP117+"AM:!(wr"</f>
        <v>#VALUE!</v>
      </c>
      <c r="EC183" t="e">
        <f>'Actual Value'!AQ117+"AM:!(ws"</f>
        <v>#VALUE!</v>
      </c>
      <c r="ED183" t="e">
        <f>'Actual Value'!AR117+"AM:!(wt"</f>
        <v>#VALUE!</v>
      </c>
      <c r="EE183" s="97" t="e">
        <f>'Actual Value'!AS117+"AM:!(wu"</f>
        <v>#VALUE!</v>
      </c>
      <c r="EF183" t="e">
        <f>'Actual Value'!AT117+"AM:!(wv"</f>
        <v>#VALUE!</v>
      </c>
      <c r="EG183" t="e">
        <f>'Actual Value'!AU117+"AM:!(ww"</f>
        <v>#VALUE!</v>
      </c>
      <c r="EH183" t="e">
        <f>'Actual Value'!AV117+"AM:!(wx"</f>
        <v>#VALUE!</v>
      </c>
      <c r="EI183" t="e">
        <f>'Actual Value'!AW117+"AM:!(wy"</f>
        <v>#VALUE!</v>
      </c>
      <c r="EJ183" t="e">
        <f>'Actual Value'!A118+"AM:!(wz"</f>
        <v>#VALUE!</v>
      </c>
      <c r="EK183" t="e">
        <f>'Actual Value'!B118+"AM:!(w{"</f>
        <v>#VALUE!</v>
      </c>
      <c r="EL183" t="e">
        <f>'Actual Value'!C118+"AM:!(w|"</f>
        <v>#VALUE!</v>
      </c>
      <c r="EM183" s="97" t="e">
        <f>'Actual Value'!D118+"AM:!(w}"</f>
        <v>#VALUE!</v>
      </c>
      <c r="EN183" s="97" t="e">
        <f>'Actual Value'!E118+"AM:!(w~"</f>
        <v>#VALUE!</v>
      </c>
      <c r="EO183" s="97" t="e">
        <f>'Actual Value'!F118+"AM:!(x#"</f>
        <v>#VALUE!</v>
      </c>
      <c r="EP183" s="97" t="e">
        <f>'Actual Value'!G118+"AM:!(x$"</f>
        <v>#VALUE!</v>
      </c>
      <c r="EQ183" s="97" t="e">
        <f>'Actual Value'!H118+"AM:!(x%"</f>
        <v>#VALUE!</v>
      </c>
      <c r="ER183" s="97" t="e">
        <f>'Actual Value'!I118+"AM:!(x&amp;"</f>
        <v>#VALUE!</v>
      </c>
      <c r="ES183" s="97" t="e">
        <f>'Actual Value'!J118+"AM:!(x'"</f>
        <v>#VALUE!</v>
      </c>
      <c r="ET183" s="97" t="e">
        <f>'Actual Value'!K118+"AM:!(x("</f>
        <v>#VALUE!</v>
      </c>
      <c r="EU183" s="97" t="e">
        <f>'Actual Value'!L118+"AM:!(x)"</f>
        <v>#VALUE!</v>
      </c>
      <c r="EV183" s="97" t="e">
        <f>'Actual Value'!M118+"AM:!(x."</f>
        <v>#VALUE!</v>
      </c>
      <c r="EW183" s="97" t="e">
        <f>'Actual Value'!N118+"AM:!(x/"</f>
        <v>#VALUE!</v>
      </c>
      <c r="EX183" s="97" t="e">
        <f>'Actual Value'!O118+"AM:!(x0"</f>
        <v>#VALUE!</v>
      </c>
      <c r="EY183" s="97" t="e">
        <f>'Actual Value'!P118+"AM:!(x1"</f>
        <v>#VALUE!</v>
      </c>
      <c r="EZ183" s="97" t="e">
        <f>'Actual Value'!Q118+"AM:!(x2"</f>
        <v>#VALUE!</v>
      </c>
      <c r="FA183" s="97" t="e">
        <f>'Actual Value'!R118+"AM:!(x3"</f>
        <v>#VALUE!</v>
      </c>
      <c r="FB183" s="97" t="e">
        <f>'Actual Value'!S118+"AM:!(x4"</f>
        <v>#VALUE!</v>
      </c>
      <c r="FC183" s="97" t="e">
        <f>'Actual Value'!T118+"AM:!(x5"</f>
        <v>#VALUE!</v>
      </c>
      <c r="FD183" s="97" t="e">
        <f>'Actual Value'!U118+"AM:!(x6"</f>
        <v>#VALUE!</v>
      </c>
      <c r="FE183" s="97" t="e">
        <f>'Actual Value'!V118+"AM:!(x7"</f>
        <v>#VALUE!</v>
      </c>
      <c r="FF183" s="97" t="e">
        <f>'Actual Value'!W118+"AM:!(x8"</f>
        <v>#VALUE!</v>
      </c>
      <c r="FG183" s="97" t="e">
        <f>'Actual Value'!X118+"AM:!(x9"</f>
        <v>#VALUE!</v>
      </c>
      <c r="FH183" s="97" t="e">
        <f>'Actual Value'!Y118+"AM:!(x:"</f>
        <v>#VALUE!</v>
      </c>
      <c r="FI183" s="97" t="e">
        <f>'Actual Value'!Z118+"AM:!(x;"</f>
        <v>#VALUE!</v>
      </c>
      <c r="FJ183" s="97" t="e">
        <f>'Actual Value'!AA118+"AM:!(x&lt;"</f>
        <v>#VALUE!</v>
      </c>
      <c r="FK183" s="97" t="e">
        <f>'Actual Value'!AB118+"AM:!(x="</f>
        <v>#VALUE!</v>
      </c>
      <c r="FL183" s="97" t="e">
        <f>'Actual Value'!AC118+"AM:!(x&gt;"</f>
        <v>#VALUE!</v>
      </c>
      <c r="FM183" s="97" t="e">
        <f>'Actual Value'!AD118+"AM:!(x?"</f>
        <v>#VALUE!</v>
      </c>
      <c r="FN183" s="97" t="e">
        <f>'Actual Value'!AE118+"AM:!(x@"</f>
        <v>#VALUE!</v>
      </c>
      <c r="FO183" s="97" t="e">
        <f>'Actual Value'!AF118+"AM:!(xA"</f>
        <v>#VALUE!</v>
      </c>
      <c r="FP183" s="97" t="e">
        <f>'Actual Value'!AG118+"AM:!(xB"</f>
        <v>#VALUE!</v>
      </c>
      <c r="FQ183" s="97" t="e">
        <f>'Actual Value'!AH118+"AM:!(xC"</f>
        <v>#VALUE!</v>
      </c>
      <c r="FR183" s="97" t="e">
        <f>'Actual Value'!AI118+"AM:!(xD"</f>
        <v>#VALUE!</v>
      </c>
      <c r="FS183" s="97" t="e">
        <f>'Actual Value'!AJ118+"AM:!(xE"</f>
        <v>#VALUE!</v>
      </c>
      <c r="FT183" s="97" t="e">
        <f>'Actual Value'!AK118+"AM:!(xF"</f>
        <v>#VALUE!</v>
      </c>
      <c r="FU183" s="97" t="e">
        <f>'Actual Value'!AL118+"AM:!(xG"</f>
        <v>#VALUE!</v>
      </c>
      <c r="FV183" s="97" t="e">
        <f>'Actual Value'!AM118+"AM:!(xH"</f>
        <v>#VALUE!</v>
      </c>
      <c r="FW183" s="97" t="e">
        <f>'Actual Value'!AN118+"AM:!(xI"</f>
        <v>#VALUE!</v>
      </c>
      <c r="FX183" s="97" t="e">
        <f>'Actual Value'!AO118+"AM:!(xJ"</f>
        <v>#VALUE!</v>
      </c>
      <c r="FY183" t="e">
        <f>'Actual Value'!AP118+"AM:!(xK"</f>
        <v>#VALUE!</v>
      </c>
      <c r="FZ183" t="e">
        <f>'Actual Value'!AQ118+"AM:!(xL"</f>
        <v>#VALUE!</v>
      </c>
      <c r="GA183" t="e">
        <f>'Actual Value'!AR118+"AM:!(xM"</f>
        <v>#VALUE!</v>
      </c>
      <c r="GB183" s="97" t="e">
        <f>'Actual Value'!AS118+"AM:!(xN"</f>
        <v>#VALUE!</v>
      </c>
      <c r="GC183" t="e">
        <f>'Actual Value'!AT118+"AM:!(xO"</f>
        <v>#VALUE!</v>
      </c>
      <c r="GD183" t="e">
        <f>'Actual Value'!AU118+"AM:!(xP"</f>
        <v>#VALUE!</v>
      </c>
      <c r="GE183" t="e">
        <f>'Actual Value'!AV118+"AM:!(xQ"</f>
        <v>#VALUE!</v>
      </c>
      <c r="GF183" t="e">
        <f>'Actual Value'!AW118+"AM:!(xR"</f>
        <v>#VALUE!</v>
      </c>
      <c r="GG183" t="e">
        <f>'Actual Value'!A119+"AM:!(xS"</f>
        <v>#VALUE!</v>
      </c>
      <c r="GH183" t="e">
        <f>'Actual Value'!B119+"AM:!(xT"</f>
        <v>#VALUE!</v>
      </c>
      <c r="GI183" t="e">
        <f>'Actual Value'!C119+"AM:!(xU"</f>
        <v>#VALUE!</v>
      </c>
      <c r="GJ183" s="97" t="e">
        <f>'Actual Value'!D119+"AM:!(xV"</f>
        <v>#VALUE!</v>
      </c>
      <c r="GK183" s="97" t="e">
        <f>'Actual Value'!E119+"AM:!(xW"</f>
        <v>#VALUE!</v>
      </c>
      <c r="GL183" s="97" t="e">
        <f>'Actual Value'!F119+"AM:!(xX"</f>
        <v>#VALUE!</v>
      </c>
      <c r="GM183" s="97" t="e">
        <f>'Actual Value'!G119+"AM:!(xY"</f>
        <v>#VALUE!</v>
      </c>
      <c r="GN183" s="97" t="e">
        <f>'Actual Value'!H119+"AM:!(xZ"</f>
        <v>#VALUE!</v>
      </c>
      <c r="GO183" s="97" t="e">
        <f>'Actual Value'!I119+"AM:!(x["</f>
        <v>#VALUE!</v>
      </c>
      <c r="GP183" s="97" t="e">
        <f>'Actual Value'!J119+"AM:!(x\"</f>
        <v>#VALUE!</v>
      </c>
      <c r="GQ183" s="97" t="e">
        <f>'Actual Value'!K119+"AM:!(x]"</f>
        <v>#VALUE!</v>
      </c>
      <c r="GR183" s="97" t="e">
        <f>'Actual Value'!L119+"AM:!(x^"</f>
        <v>#VALUE!</v>
      </c>
      <c r="GS183" s="97" t="e">
        <f>'Actual Value'!M119+"AM:!(x_"</f>
        <v>#VALUE!</v>
      </c>
      <c r="GT183" s="97" t="e">
        <f>'Actual Value'!N119+"AM:!(x`"</f>
        <v>#VALUE!</v>
      </c>
      <c r="GU183" s="97" t="e">
        <f>'Actual Value'!O119+"AM:!(xa"</f>
        <v>#VALUE!</v>
      </c>
      <c r="GV183" s="97" t="e">
        <f>'Actual Value'!P119+"AM:!(xb"</f>
        <v>#VALUE!</v>
      </c>
      <c r="GW183" s="97" t="e">
        <f>'Actual Value'!Q119+"AM:!(xc"</f>
        <v>#VALUE!</v>
      </c>
      <c r="GX183" s="97" t="e">
        <f>'Actual Value'!R119+"AM:!(xd"</f>
        <v>#VALUE!</v>
      </c>
      <c r="GY183" s="97" t="e">
        <f>'Actual Value'!S119+"AM:!(xe"</f>
        <v>#VALUE!</v>
      </c>
      <c r="GZ183" s="97" t="e">
        <f>'Actual Value'!T119+"AM:!(xf"</f>
        <v>#VALUE!</v>
      </c>
      <c r="HA183" s="97" t="e">
        <f>'Actual Value'!U119+"AM:!(xg"</f>
        <v>#VALUE!</v>
      </c>
      <c r="HB183" s="97" t="e">
        <f>'Actual Value'!V119+"AM:!(xh"</f>
        <v>#VALUE!</v>
      </c>
      <c r="HC183" s="97" t="e">
        <f>'Actual Value'!W119+"AM:!(xi"</f>
        <v>#VALUE!</v>
      </c>
      <c r="HD183" s="97" t="e">
        <f>'Actual Value'!X119+"AM:!(xj"</f>
        <v>#VALUE!</v>
      </c>
      <c r="HE183" s="97" t="e">
        <f>'Actual Value'!Y119+"AM:!(xk"</f>
        <v>#VALUE!</v>
      </c>
      <c r="HF183" s="97" t="e">
        <f>'Actual Value'!Z119+"AM:!(xl"</f>
        <v>#VALUE!</v>
      </c>
      <c r="HG183" s="97" t="e">
        <f>'Actual Value'!AA119+"AM:!(xm"</f>
        <v>#VALUE!</v>
      </c>
      <c r="HH183" s="97" t="e">
        <f>'Actual Value'!AB119+"AM:!(xn"</f>
        <v>#VALUE!</v>
      </c>
      <c r="HI183" s="97" t="e">
        <f>'Actual Value'!AC119+"AM:!(xo"</f>
        <v>#VALUE!</v>
      </c>
      <c r="HJ183" s="97" t="e">
        <f>'Actual Value'!AD119+"AM:!(xp"</f>
        <v>#VALUE!</v>
      </c>
      <c r="HK183" s="97" t="e">
        <f>'Actual Value'!AE119+"AM:!(xq"</f>
        <v>#VALUE!</v>
      </c>
      <c r="HL183" s="97" t="e">
        <f>'Actual Value'!AF119+"AM:!(xr"</f>
        <v>#VALUE!</v>
      </c>
      <c r="HM183" s="97" t="e">
        <f>'Actual Value'!AG119+"AM:!(xs"</f>
        <v>#VALUE!</v>
      </c>
      <c r="HN183" s="97" t="e">
        <f>'Actual Value'!AH119+"AM:!(xt"</f>
        <v>#VALUE!</v>
      </c>
      <c r="HO183" s="97" t="e">
        <f>'Actual Value'!AI119+"AM:!(xu"</f>
        <v>#VALUE!</v>
      </c>
      <c r="HP183" s="97" t="e">
        <f>'Actual Value'!AJ119+"AM:!(xv"</f>
        <v>#VALUE!</v>
      </c>
      <c r="HQ183" s="97" t="e">
        <f>'Actual Value'!AK119+"AM:!(xw"</f>
        <v>#VALUE!</v>
      </c>
      <c r="HR183" s="97" t="e">
        <f>'Actual Value'!AL119+"AM:!(xx"</f>
        <v>#VALUE!</v>
      </c>
      <c r="HS183" s="97" t="e">
        <f>'Actual Value'!AM119+"AM:!(xy"</f>
        <v>#VALUE!</v>
      </c>
      <c r="HT183" s="97" t="e">
        <f>'Actual Value'!AN119+"AM:!(xz"</f>
        <v>#VALUE!</v>
      </c>
      <c r="HU183" s="97" t="e">
        <f>'Actual Value'!AO119+"AM:!(x{"</f>
        <v>#VALUE!</v>
      </c>
      <c r="HV183" t="e">
        <f>'Actual Value'!AP119+"AM:!(x|"</f>
        <v>#VALUE!</v>
      </c>
      <c r="HW183" t="e">
        <f>'Actual Value'!AQ119+"AM:!(x}"</f>
        <v>#VALUE!</v>
      </c>
      <c r="HX183" t="e">
        <f>'Actual Value'!AR119+"AM:!(x~"</f>
        <v>#VALUE!</v>
      </c>
      <c r="HY183" t="e">
        <f>'Actual Value'!AS119+"AM:!(y#"</f>
        <v>#VALUE!</v>
      </c>
      <c r="HZ183" t="e">
        <f>'Actual Value'!AT119+"AM:!(y$"</f>
        <v>#VALUE!</v>
      </c>
      <c r="IA183" t="e">
        <f>'Actual Value'!AU119+"AM:!(y%"</f>
        <v>#VALUE!</v>
      </c>
      <c r="IB183" t="e">
        <f>'Actual Value'!AV119+"AM:!(y&amp;"</f>
        <v>#VALUE!</v>
      </c>
      <c r="IC183" t="e">
        <f>'Actual Value'!AW119+"AM:!(y'"</f>
        <v>#VALUE!</v>
      </c>
      <c r="ID183" t="e">
        <f>'Actual Value'!A120+"AM:!(y("</f>
        <v>#VALUE!</v>
      </c>
      <c r="IE183" t="e">
        <f>'Actual Value'!B120+"AM:!(y)"</f>
        <v>#VALUE!</v>
      </c>
      <c r="IF183" t="e">
        <f>'Actual Value'!C120+"AM:!(y."</f>
        <v>#VALUE!</v>
      </c>
      <c r="IG183" s="97" t="e">
        <f>'Actual Value'!D120+"AM:!(y/"</f>
        <v>#VALUE!</v>
      </c>
      <c r="IH183" s="97" t="e">
        <f>'Actual Value'!E120+"AM:!(y0"</f>
        <v>#VALUE!</v>
      </c>
      <c r="II183" s="97" t="e">
        <f>'Actual Value'!F120+"AM:!(y1"</f>
        <v>#VALUE!</v>
      </c>
      <c r="IJ183" s="97" t="e">
        <f>'Actual Value'!G120+"AM:!(y2"</f>
        <v>#VALUE!</v>
      </c>
      <c r="IK183" s="97" t="e">
        <f>'Actual Value'!H120+"AM:!(y3"</f>
        <v>#VALUE!</v>
      </c>
      <c r="IL183" s="97" t="e">
        <f>'Actual Value'!I120+"AM:!(y4"</f>
        <v>#VALUE!</v>
      </c>
      <c r="IM183" s="97" t="e">
        <f>'Actual Value'!J120+"AM:!(y5"</f>
        <v>#VALUE!</v>
      </c>
      <c r="IN183" s="97" t="e">
        <f>'Actual Value'!K120+"AM:!(y6"</f>
        <v>#VALUE!</v>
      </c>
      <c r="IO183" s="97" t="e">
        <f>'Actual Value'!L120+"AM:!(y7"</f>
        <v>#VALUE!</v>
      </c>
      <c r="IP183" s="97" t="e">
        <f>'Actual Value'!M120+"AM:!(y8"</f>
        <v>#VALUE!</v>
      </c>
      <c r="IQ183" s="97" t="e">
        <f>'Actual Value'!N120+"AM:!(y9"</f>
        <v>#VALUE!</v>
      </c>
      <c r="IR183" s="97" t="e">
        <f>'Actual Value'!O120+"AM:!(y:"</f>
        <v>#VALUE!</v>
      </c>
      <c r="IS183" s="97" t="e">
        <f>'Actual Value'!P120+"AM:!(y;"</f>
        <v>#VALUE!</v>
      </c>
      <c r="IT183" s="97" t="e">
        <f>'Actual Value'!Q120+"AM:!(y&lt;"</f>
        <v>#VALUE!</v>
      </c>
      <c r="IU183" s="97" t="e">
        <f>'Actual Value'!R120+"AM:!(y="</f>
        <v>#VALUE!</v>
      </c>
      <c r="IV183" s="97" t="e">
        <f>'Actual Value'!S120+"AM:!(y&gt;"</f>
        <v>#VALUE!</v>
      </c>
    </row>
    <row r="184" spans="6:256">
      <c r="F184" s="97" t="e">
        <f>'Actual Value'!T120+"AM:!(y?"</f>
        <v>#VALUE!</v>
      </c>
      <c r="G184" s="97" t="e">
        <f>'Actual Value'!U120+"AM:!(y@"</f>
        <v>#VALUE!</v>
      </c>
      <c r="H184" s="97" t="e">
        <f>'Actual Value'!V120+"AM:!(yA"</f>
        <v>#VALUE!</v>
      </c>
      <c r="I184" s="97" t="e">
        <f>'Actual Value'!W120+"AM:!(yB"</f>
        <v>#VALUE!</v>
      </c>
      <c r="J184" s="97" t="e">
        <f>'Actual Value'!X120+"AM:!(yC"</f>
        <v>#VALUE!</v>
      </c>
      <c r="K184" s="97" t="e">
        <f>'Actual Value'!Y120+"AM:!(yD"</f>
        <v>#VALUE!</v>
      </c>
      <c r="L184" s="97" t="e">
        <f>'Actual Value'!Z120+"AM:!(yE"</f>
        <v>#VALUE!</v>
      </c>
      <c r="M184" s="97" t="e">
        <f>'Actual Value'!AA120+"AM:!(yF"</f>
        <v>#VALUE!</v>
      </c>
      <c r="N184" s="97" t="e">
        <f>'Actual Value'!AB120+"AM:!(yG"</f>
        <v>#VALUE!</v>
      </c>
      <c r="O184" s="97" t="e">
        <f>'Actual Value'!AC120+"AM:!(yH"</f>
        <v>#VALUE!</v>
      </c>
      <c r="P184" s="97" t="e">
        <f>'Actual Value'!AD120+"AM:!(yI"</f>
        <v>#VALUE!</v>
      </c>
      <c r="Q184" s="97" t="e">
        <f>'Actual Value'!AE120+"AM:!(yJ"</f>
        <v>#VALUE!</v>
      </c>
      <c r="R184" s="97" t="e">
        <f>'Actual Value'!AF120+"AM:!(yK"</f>
        <v>#VALUE!</v>
      </c>
      <c r="S184" s="97" t="e">
        <f>'Actual Value'!AG120+"AM:!(yL"</f>
        <v>#VALUE!</v>
      </c>
      <c r="T184" s="97" t="e">
        <f>'Actual Value'!AH120+"AM:!(yM"</f>
        <v>#VALUE!</v>
      </c>
      <c r="U184" s="97" t="e">
        <f>'Actual Value'!AI120+"AM:!(yN"</f>
        <v>#VALUE!</v>
      </c>
      <c r="V184" s="97" t="e">
        <f>'Actual Value'!AJ120+"AM:!(yO"</f>
        <v>#VALUE!</v>
      </c>
      <c r="W184" s="97" t="e">
        <f>'Actual Value'!AK120+"AM:!(yP"</f>
        <v>#VALUE!</v>
      </c>
      <c r="X184" s="97" t="e">
        <f>'Actual Value'!AL120+"AM:!(yQ"</f>
        <v>#VALUE!</v>
      </c>
      <c r="Y184" s="97" t="e">
        <f>'Actual Value'!AM120+"AM:!(yR"</f>
        <v>#VALUE!</v>
      </c>
      <c r="Z184" s="97" t="e">
        <f>'Actual Value'!AN120+"AM:!(yS"</f>
        <v>#VALUE!</v>
      </c>
      <c r="AA184" s="97" t="e">
        <f>'Actual Value'!AO120+"AM:!(yT"</f>
        <v>#VALUE!</v>
      </c>
      <c r="AB184" t="e">
        <f>'Actual Value'!AP120+"AM:!(yU"</f>
        <v>#VALUE!</v>
      </c>
      <c r="AC184" t="e">
        <f>'Actual Value'!AQ120+"AM:!(yV"</f>
        <v>#VALUE!</v>
      </c>
      <c r="AD184" t="e">
        <f>'Actual Value'!AR120+"AM:!(yW"</f>
        <v>#VALUE!</v>
      </c>
      <c r="AE184" t="e">
        <f>'Actual Value'!AS120+"AM:!(yX"</f>
        <v>#VALUE!</v>
      </c>
      <c r="AF184" t="e">
        <f>'Actual Value'!AT120+"AM:!(yY"</f>
        <v>#VALUE!</v>
      </c>
      <c r="AG184" t="e">
        <f>'Actual Value'!AU120+"AM:!(yZ"</f>
        <v>#VALUE!</v>
      </c>
      <c r="AH184" t="e">
        <f>'Actual Value'!AV120+"AM:!(y["</f>
        <v>#VALUE!</v>
      </c>
      <c r="AI184" t="e">
        <f>'Actual Value'!AW120+"AM:!(y\"</f>
        <v>#VALUE!</v>
      </c>
      <c r="AJ184" t="e">
        <f>'Actual Value'!AX120+"AM:!(y]"</f>
        <v>#VALUE!</v>
      </c>
      <c r="AK184" t="e">
        <f>'Actual Value'!A121+"AM:!(y^"</f>
        <v>#VALUE!</v>
      </c>
      <c r="AL184" t="e">
        <f>'Actual Value'!B121+"AM:!(y_"</f>
        <v>#VALUE!</v>
      </c>
      <c r="AM184" t="e">
        <f>'Actual Value'!C121+"AM:!(y`"</f>
        <v>#VALUE!</v>
      </c>
      <c r="AN184" s="97" t="e">
        <f>'Actual Value'!D121+"AM:!(ya"</f>
        <v>#VALUE!</v>
      </c>
      <c r="AO184" s="97" t="e">
        <f>'Actual Value'!E121+"AM:!(yb"</f>
        <v>#VALUE!</v>
      </c>
      <c r="AP184" s="97" t="e">
        <f>'Actual Value'!F121+"AM:!(yc"</f>
        <v>#VALUE!</v>
      </c>
      <c r="AQ184" s="97" t="e">
        <f>'Actual Value'!G121+"AM:!(yd"</f>
        <v>#VALUE!</v>
      </c>
      <c r="AR184" s="97" t="e">
        <f>'Actual Value'!H121+"AM:!(ye"</f>
        <v>#VALUE!</v>
      </c>
      <c r="AS184" s="97" t="e">
        <f>'Actual Value'!I121+"AM:!(yf"</f>
        <v>#VALUE!</v>
      </c>
      <c r="AT184" s="97" t="e">
        <f>'Actual Value'!J121+"AM:!(yg"</f>
        <v>#VALUE!</v>
      </c>
      <c r="AU184" s="97" t="e">
        <f>'Actual Value'!K121+"AM:!(yh"</f>
        <v>#VALUE!</v>
      </c>
      <c r="AV184" s="97" t="e">
        <f>'Actual Value'!L121+"AM:!(yi"</f>
        <v>#VALUE!</v>
      </c>
      <c r="AW184" s="97" t="e">
        <f>'Actual Value'!M121+"AM:!(yj"</f>
        <v>#VALUE!</v>
      </c>
      <c r="AX184" s="97" t="e">
        <f>'Actual Value'!N121+"AM:!(yk"</f>
        <v>#VALUE!</v>
      </c>
      <c r="AY184" s="97" t="e">
        <f>'Actual Value'!O121+"AM:!(yl"</f>
        <v>#VALUE!</v>
      </c>
      <c r="AZ184" s="97" t="e">
        <f>'Actual Value'!P121+"AM:!(ym"</f>
        <v>#VALUE!</v>
      </c>
      <c r="BA184" s="97" t="e">
        <f>'Actual Value'!Q121+"AM:!(yn"</f>
        <v>#VALUE!</v>
      </c>
      <c r="BB184" s="97" t="e">
        <f>'Actual Value'!R121+"AM:!(yo"</f>
        <v>#VALUE!</v>
      </c>
      <c r="BC184" s="97" t="e">
        <f>'Actual Value'!S121+"AM:!(yp"</f>
        <v>#VALUE!</v>
      </c>
      <c r="BD184" s="97" t="e">
        <f>'Actual Value'!T121+"AM:!(yq"</f>
        <v>#VALUE!</v>
      </c>
      <c r="BE184" s="97" t="e">
        <f>'Actual Value'!U121+"AM:!(yr"</f>
        <v>#VALUE!</v>
      </c>
      <c r="BF184" s="97" t="e">
        <f>'Actual Value'!V121+"AM:!(ys"</f>
        <v>#VALUE!</v>
      </c>
      <c r="BG184" s="97" t="e">
        <f>'Actual Value'!W121+"AM:!(yt"</f>
        <v>#VALUE!</v>
      </c>
      <c r="BH184" s="97" t="e">
        <f>'Actual Value'!X121+"AM:!(yu"</f>
        <v>#VALUE!</v>
      </c>
      <c r="BI184" s="97" t="e">
        <f>'Actual Value'!Y121+"AM:!(yv"</f>
        <v>#VALUE!</v>
      </c>
      <c r="BJ184" s="97" t="e">
        <f>'Actual Value'!Z121+"AM:!(yw"</f>
        <v>#VALUE!</v>
      </c>
      <c r="BK184" s="97" t="e">
        <f>'Actual Value'!AA121+"AM:!(yx"</f>
        <v>#VALUE!</v>
      </c>
      <c r="BL184" s="97" t="e">
        <f>'Actual Value'!AB121+"AM:!(yy"</f>
        <v>#VALUE!</v>
      </c>
      <c r="BM184" s="97" t="e">
        <f>'Actual Value'!AC121+"AM:!(yz"</f>
        <v>#VALUE!</v>
      </c>
      <c r="BN184" s="97" t="e">
        <f>'Actual Value'!AD121+"AM:!(y{"</f>
        <v>#VALUE!</v>
      </c>
      <c r="BO184" s="97" t="e">
        <f>'Actual Value'!AE121+"AM:!(y|"</f>
        <v>#VALUE!</v>
      </c>
      <c r="BP184" s="97" t="e">
        <f>'Actual Value'!AF121+"AM:!(y}"</f>
        <v>#VALUE!</v>
      </c>
      <c r="BQ184" s="97" t="e">
        <f>'Actual Value'!AG121+"AM:!(y~"</f>
        <v>#VALUE!</v>
      </c>
      <c r="BR184" s="97" t="e">
        <f>'Actual Value'!AH121+"AM:!(z#"</f>
        <v>#VALUE!</v>
      </c>
      <c r="BS184" s="97" t="e">
        <f>'Actual Value'!AI121+"AM:!(z$"</f>
        <v>#VALUE!</v>
      </c>
      <c r="BT184" s="97" t="e">
        <f>'Actual Value'!AJ121+"AM:!(z%"</f>
        <v>#VALUE!</v>
      </c>
      <c r="BU184" s="97" t="e">
        <f>'Actual Value'!AK121+"AM:!(z&amp;"</f>
        <v>#VALUE!</v>
      </c>
      <c r="BV184" s="97" t="e">
        <f>'Actual Value'!AL121+"AM:!(z'"</f>
        <v>#VALUE!</v>
      </c>
      <c r="BW184" s="97" t="e">
        <f>'Actual Value'!AM121+"AM:!(z("</f>
        <v>#VALUE!</v>
      </c>
      <c r="BX184" s="97" t="e">
        <f>'Actual Value'!AN121+"AM:!(z)"</f>
        <v>#VALUE!</v>
      </c>
      <c r="BY184" s="97" t="e">
        <f>'Actual Value'!AO121+"AM:!(z."</f>
        <v>#VALUE!</v>
      </c>
      <c r="BZ184" t="e">
        <f>'Actual Value'!AP121+"AM:!(z/"</f>
        <v>#VALUE!</v>
      </c>
      <c r="CA184" t="e">
        <f>'Actual Value'!AQ121+"AM:!(z0"</f>
        <v>#VALUE!</v>
      </c>
      <c r="CB184" t="e">
        <f>'Actual Value'!AR121+"AM:!(z1"</f>
        <v>#VALUE!</v>
      </c>
      <c r="CC184" t="e">
        <f>'Actual Value'!AS121+"AM:!(z2"</f>
        <v>#VALUE!</v>
      </c>
      <c r="CD184" t="e">
        <f>'Actual Value'!AT121+"AM:!(z3"</f>
        <v>#VALUE!</v>
      </c>
      <c r="CE184" t="e">
        <f>'Actual Value'!AU121+"AM:!(z4"</f>
        <v>#VALUE!</v>
      </c>
      <c r="CF184" t="e">
        <f>'Actual Value'!AV121+"AM:!(z5"</f>
        <v>#VALUE!</v>
      </c>
      <c r="CG184" t="e">
        <f>'Actual Value'!AW121+"AM:!(z6"</f>
        <v>#VALUE!</v>
      </c>
      <c r="CH184" t="e">
        <f>'Actual Value'!AX121+"AM:!(z7"</f>
        <v>#VALUE!</v>
      </c>
      <c r="CI184" t="e">
        <f>'Actual Value'!A122+"AM:!(z8"</f>
        <v>#VALUE!</v>
      </c>
      <c r="CJ184" t="e">
        <f>'Actual Value'!B122+"AM:!(z9"</f>
        <v>#VALUE!</v>
      </c>
      <c r="CK184" t="e">
        <f>'Actual Value'!C122+"AM:!(z:"</f>
        <v>#VALUE!</v>
      </c>
      <c r="CL184" s="97" t="e">
        <f>'Actual Value'!D122+"AM:!(z;"</f>
        <v>#VALUE!</v>
      </c>
      <c r="CM184" s="97" t="e">
        <f>'Actual Value'!E122+"AM:!(z&lt;"</f>
        <v>#VALUE!</v>
      </c>
      <c r="CN184" s="97" t="e">
        <f>'Actual Value'!F122+"AM:!(z="</f>
        <v>#VALUE!</v>
      </c>
      <c r="CO184" s="97" t="e">
        <f>'Actual Value'!G122+"AM:!(z&gt;"</f>
        <v>#VALUE!</v>
      </c>
      <c r="CP184" s="97" t="e">
        <f>'Actual Value'!H122+"AM:!(z?"</f>
        <v>#VALUE!</v>
      </c>
      <c r="CQ184" s="97" t="e">
        <f>'Actual Value'!I122+"AM:!(z@"</f>
        <v>#VALUE!</v>
      </c>
      <c r="CR184" s="97" t="e">
        <f>'Actual Value'!J122+"AM:!(zA"</f>
        <v>#VALUE!</v>
      </c>
      <c r="CS184" s="97" t="e">
        <f>'Actual Value'!K122+"AM:!(zB"</f>
        <v>#VALUE!</v>
      </c>
      <c r="CT184" s="97" t="e">
        <f>'Actual Value'!L122+"AM:!(zC"</f>
        <v>#VALUE!</v>
      </c>
      <c r="CU184" s="97" t="e">
        <f>'Actual Value'!M122+"AM:!(zD"</f>
        <v>#VALUE!</v>
      </c>
      <c r="CV184" s="97" t="e">
        <f>'Actual Value'!N122+"AM:!(zE"</f>
        <v>#VALUE!</v>
      </c>
      <c r="CW184" s="97" t="e">
        <f>'Actual Value'!O122+"AM:!(zF"</f>
        <v>#VALUE!</v>
      </c>
      <c r="CX184" s="97" t="e">
        <f>'Actual Value'!P122+"AM:!(zG"</f>
        <v>#VALUE!</v>
      </c>
      <c r="CY184" s="97" t="e">
        <f>'Actual Value'!Q122+"AM:!(zH"</f>
        <v>#VALUE!</v>
      </c>
      <c r="CZ184" s="97" t="e">
        <f>'Actual Value'!R122+"AM:!(zI"</f>
        <v>#VALUE!</v>
      </c>
      <c r="DA184" s="97" t="e">
        <f>'Actual Value'!S122+"AM:!(zJ"</f>
        <v>#VALUE!</v>
      </c>
      <c r="DB184" s="97" t="e">
        <f>'Actual Value'!T122+"AM:!(zK"</f>
        <v>#VALUE!</v>
      </c>
      <c r="DC184" s="97" t="e">
        <f>'Actual Value'!U122+"AM:!(zL"</f>
        <v>#VALUE!</v>
      </c>
      <c r="DD184" s="97" t="e">
        <f>'Actual Value'!V122+"AM:!(zM"</f>
        <v>#VALUE!</v>
      </c>
      <c r="DE184" s="97" t="e">
        <f>'Actual Value'!W122+"AM:!(zN"</f>
        <v>#VALUE!</v>
      </c>
      <c r="DF184" s="97" t="e">
        <f>'Actual Value'!X122+"AM:!(zO"</f>
        <v>#VALUE!</v>
      </c>
      <c r="DG184" s="97" t="e">
        <f>'Actual Value'!Y122+"AM:!(zP"</f>
        <v>#VALUE!</v>
      </c>
      <c r="DH184" s="97" t="e">
        <f>'Actual Value'!Z122+"AM:!(zQ"</f>
        <v>#VALUE!</v>
      </c>
      <c r="DI184" s="97" t="e">
        <f>'Actual Value'!AA122+"AM:!(zR"</f>
        <v>#VALUE!</v>
      </c>
      <c r="DJ184" s="97" t="e">
        <f>'Actual Value'!AB122+"AM:!(zS"</f>
        <v>#VALUE!</v>
      </c>
      <c r="DK184" s="97" t="e">
        <f>'Actual Value'!AC122+"AM:!(zT"</f>
        <v>#VALUE!</v>
      </c>
      <c r="DL184" s="97" t="e">
        <f>'Actual Value'!AD122+"AM:!(zU"</f>
        <v>#VALUE!</v>
      </c>
      <c r="DM184" s="97" t="e">
        <f>'Actual Value'!AE122+"AM:!(zV"</f>
        <v>#VALUE!</v>
      </c>
      <c r="DN184" s="97" t="e">
        <f>'Actual Value'!AF122+"AM:!(zW"</f>
        <v>#VALUE!</v>
      </c>
      <c r="DO184" s="97" t="e">
        <f>'Actual Value'!AG122+"AM:!(zX"</f>
        <v>#VALUE!</v>
      </c>
      <c r="DP184" s="97" t="e">
        <f>'Actual Value'!AH122+"AM:!(zY"</f>
        <v>#VALUE!</v>
      </c>
      <c r="DQ184" s="97" t="e">
        <f>'Actual Value'!AI122+"AM:!(zZ"</f>
        <v>#VALUE!</v>
      </c>
      <c r="DR184" s="97" t="e">
        <f>'Actual Value'!AJ122+"AM:!(z["</f>
        <v>#VALUE!</v>
      </c>
      <c r="DS184" s="97" t="e">
        <f>'Actual Value'!AK122+"AM:!(z\"</f>
        <v>#VALUE!</v>
      </c>
      <c r="DT184" s="97" t="e">
        <f>'Actual Value'!AL122+"AM:!(z]"</f>
        <v>#VALUE!</v>
      </c>
      <c r="DU184" s="97" t="e">
        <f>'Actual Value'!AM122+"AM:!(z^"</f>
        <v>#VALUE!</v>
      </c>
      <c r="DV184" s="97" t="e">
        <f>'Actual Value'!AN122+"AM:!(z_"</f>
        <v>#VALUE!</v>
      </c>
      <c r="DW184" s="97" t="e">
        <f>'Actual Value'!AO122+"AM:!(z`"</f>
        <v>#VALUE!</v>
      </c>
      <c r="DX184" t="e">
        <f>'Actual Value'!AP122+"AM:!(za"</f>
        <v>#VALUE!</v>
      </c>
      <c r="DY184" t="e">
        <f>'Actual Value'!AQ122+"AM:!(zb"</f>
        <v>#VALUE!</v>
      </c>
      <c r="DZ184" t="e">
        <f>'Actual Value'!AR122+"AM:!(zc"</f>
        <v>#VALUE!</v>
      </c>
      <c r="EA184" t="e">
        <f>'Actual Value'!AS122+"AM:!(zd"</f>
        <v>#VALUE!</v>
      </c>
      <c r="EB184" t="e">
        <f>'Actual Value'!AT122+"AM:!(ze"</f>
        <v>#VALUE!</v>
      </c>
      <c r="EC184" t="e">
        <f>'Actual Value'!AU122+"AM:!(zf"</f>
        <v>#VALUE!</v>
      </c>
      <c r="ED184" t="e">
        <f>'Actual Value'!AV122+"AM:!(zg"</f>
        <v>#VALUE!</v>
      </c>
      <c r="EE184" t="e">
        <f>'Actual Value'!AW122+"AM:!(zh"</f>
        <v>#VALUE!</v>
      </c>
      <c r="EF184" t="e">
        <f>'Actual Value'!AX122+"AM:!(zi"</f>
        <v>#VALUE!</v>
      </c>
      <c r="EG184" t="e">
        <f>'Actual Value'!A123+"AM:!(zj"</f>
        <v>#VALUE!</v>
      </c>
      <c r="EH184" t="e">
        <f>'Actual Value'!B123+"AM:!(zk"</f>
        <v>#VALUE!</v>
      </c>
      <c r="EI184" t="e">
        <f>'Actual Value'!C123+"AM:!(zl"</f>
        <v>#VALUE!</v>
      </c>
      <c r="EJ184" s="97" t="e">
        <f>'Actual Value'!D123+"AM:!(zm"</f>
        <v>#VALUE!</v>
      </c>
      <c r="EK184" s="97" t="e">
        <f>'Actual Value'!E123+"AM:!(zn"</f>
        <v>#VALUE!</v>
      </c>
      <c r="EL184" s="97" t="e">
        <f>'Actual Value'!F123+"AM:!(zo"</f>
        <v>#VALUE!</v>
      </c>
      <c r="EM184" s="97" t="e">
        <f>'Actual Value'!G123+"AM:!(zp"</f>
        <v>#VALUE!</v>
      </c>
      <c r="EN184" s="97" t="e">
        <f>'Actual Value'!H123+"AM:!(zq"</f>
        <v>#VALUE!</v>
      </c>
      <c r="EO184" s="97" t="e">
        <f>'Actual Value'!I123+"AM:!(zr"</f>
        <v>#VALUE!</v>
      </c>
      <c r="EP184" s="97" t="e">
        <f>'Actual Value'!J123+"AM:!(zs"</f>
        <v>#VALUE!</v>
      </c>
      <c r="EQ184" s="97" t="e">
        <f>'Actual Value'!K123+"AM:!(zt"</f>
        <v>#VALUE!</v>
      </c>
      <c r="ER184" s="97" t="e">
        <f>'Actual Value'!L123+"AM:!(zu"</f>
        <v>#VALUE!</v>
      </c>
      <c r="ES184" s="97" t="e">
        <f>'Actual Value'!M123+"AM:!(zv"</f>
        <v>#VALUE!</v>
      </c>
      <c r="ET184" s="97" t="e">
        <f>'Actual Value'!N123+"AM:!(zw"</f>
        <v>#VALUE!</v>
      </c>
      <c r="EU184" s="97" t="e">
        <f>'Actual Value'!O123+"AM:!(zx"</f>
        <v>#VALUE!</v>
      </c>
      <c r="EV184" s="97" t="e">
        <f>'Actual Value'!P123+"AM:!(zy"</f>
        <v>#VALUE!</v>
      </c>
      <c r="EW184" s="97" t="e">
        <f>'Actual Value'!Q123+"AM:!(zz"</f>
        <v>#VALUE!</v>
      </c>
      <c r="EX184" s="97" t="e">
        <f>'Actual Value'!R123+"AM:!(z{"</f>
        <v>#VALUE!</v>
      </c>
      <c r="EY184" s="97" t="e">
        <f>'Actual Value'!S123+"AM:!(z|"</f>
        <v>#VALUE!</v>
      </c>
      <c r="EZ184" s="97" t="e">
        <f>'Actual Value'!T123+"AM:!(z}"</f>
        <v>#VALUE!</v>
      </c>
      <c r="FA184" s="97" t="e">
        <f>'Actual Value'!U123+"AM:!(z~"</f>
        <v>#VALUE!</v>
      </c>
      <c r="FB184" s="97" t="e">
        <f>'Actual Value'!V123+"AM:!({#"</f>
        <v>#VALUE!</v>
      </c>
      <c r="FC184" s="97" t="e">
        <f>'Actual Value'!W123+"AM:!({$"</f>
        <v>#VALUE!</v>
      </c>
      <c r="FD184" s="97" t="e">
        <f>'Actual Value'!X123+"AM:!({%"</f>
        <v>#VALUE!</v>
      </c>
      <c r="FE184" s="97" t="e">
        <f>'Actual Value'!Y123+"AM:!({&amp;"</f>
        <v>#VALUE!</v>
      </c>
      <c r="FF184" s="97" t="e">
        <f>'Actual Value'!Z123+"AM:!({'"</f>
        <v>#VALUE!</v>
      </c>
      <c r="FG184" s="97" t="e">
        <f>'Actual Value'!AA123+"AM:!({("</f>
        <v>#VALUE!</v>
      </c>
      <c r="FH184" s="97" t="e">
        <f>'Actual Value'!AB123+"AM:!({)"</f>
        <v>#VALUE!</v>
      </c>
      <c r="FI184" s="97" t="e">
        <f>'Actual Value'!AC123+"AM:!({."</f>
        <v>#VALUE!</v>
      </c>
      <c r="FJ184" s="97" t="e">
        <f>'Actual Value'!AD123+"AM:!({/"</f>
        <v>#VALUE!</v>
      </c>
      <c r="FK184" s="97" t="e">
        <f>'Actual Value'!AE123+"AM:!({0"</f>
        <v>#VALUE!</v>
      </c>
      <c r="FL184" s="97" t="e">
        <f>'Actual Value'!AF123+"AM:!({1"</f>
        <v>#VALUE!</v>
      </c>
      <c r="FM184" s="97" t="e">
        <f>'Actual Value'!AG123+"AM:!({2"</f>
        <v>#VALUE!</v>
      </c>
      <c r="FN184" s="97" t="e">
        <f>'Actual Value'!AH123+"AM:!({3"</f>
        <v>#VALUE!</v>
      </c>
      <c r="FO184" s="97" t="e">
        <f>'Actual Value'!AI123+"AM:!({4"</f>
        <v>#VALUE!</v>
      </c>
      <c r="FP184" s="97" t="e">
        <f>'Actual Value'!AJ123+"AM:!({5"</f>
        <v>#VALUE!</v>
      </c>
      <c r="FQ184" s="97" t="e">
        <f>'Actual Value'!AK123+"AM:!({6"</f>
        <v>#VALUE!</v>
      </c>
      <c r="FR184" s="97" t="e">
        <f>'Actual Value'!AL123+"AM:!({7"</f>
        <v>#VALUE!</v>
      </c>
      <c r="FS184" s="97" t="e">
        <f>'Actual Value'!AM123+"AM:!({8"</f>
        <v>#VALUE!</v>
      </c>
      <c r="FT184" s="97" t="e">
        <f>'Actual Value'!AN123+"AM:!({9"</f>
        <v>#VALUE!</v>
      </c>
      <c r="FU184" s="97" t="e">
        <f>'Actual Value'!AO123+"AM:!({:"</f>
        <v>#VALUE!</v>
      </c>
      <c r="FV184" t="e">
        <f>'Actual Value'!AP123+"AM:!({;"</f>
        <v>#VALUE!</v>
      </c>
      <c r="FW184" t="e">
        <f>'Actual Value'!AQ123+"AM:!({&lt;"</f>
        <v>#VALUE!</v>
      </c>
      <c r="FX184" t="e">
        <f>'Actual Value'!AR123+"AM:!({="</f>
        <v>#VALUE!</v>
      </c>
      <c r="FY184" t="e">
        <f>'Actual Value'!AS123+"AM:!({&gt;"</f>
        <v>#VALUE!</v>
      </c>
      <c r="FZ184" t="e">
        <f>'Actual Value'!AT123+"AM:!({?"</f>
        <v>#VALUE!</v>
      </c>
      <c r="GA184" t="e">
        <f>'Actual Value'!AU123+"AM:!({@"</f>
        <v>#VALUE!</v>
      </c>
      <c r="GB184" t="e">
        <f>'Actual Value'!AV123+"AM:!({A"</f>
        <v>#VALUE!</v>
      </c>
      <c r="GC184" t="e">
        <f>'Actual Value'!AW123+"AM:!({B"</f>
        <v>#VALUE!</v>
      </c>
      <c r="GD184" t="e">
        <f>'Actual Value'!AX123+"AM:!({C"</f>
        <v>#VALUE!</v>
      </c>
      <c r="GE184" t="e">
        <f>'Actual Value'!A124+"AM:!({D"</f>
        <v>#VALUE!</v>
      </c>
      <c r="GF184" t="e">
        <f>'Actual Value'!B124+"AM:!({E"</f>
        <v>#VALUE!</v>
      </c>
      <c r="GG184" t="e">
        <f>'Actual Value'!C124+"AM:!({F"</f>
        <v>#VALUE!</v>
      </c>
      <c r="GH184" s="97" t="e">
        <f>'Actual Value'!D124+"AM:!({G"</f>
        <v>#VALUE!</v>
      </c>
      <c r="GI184" s="97" t="e">
        <f>'Actual Value'!E124+"AM:!({H"</f>
        <v>#VALUE!</v>
      </c>
      <c r="GJ184" s="97" t="e">
        <f>'Actual Value'!F124+"AM:!({I"</f>
        <v>#VALUE!</v>
      </c>
      <c r="GK184" s="97" t="e">
        <f>'Actual Value'!G124+"AM:!({J"</f>
        <v>#VALUE!</v>
      </c>
      <c r="GL184" s="97" t="e">
        <f>'Actual Value'!H124+"AM:!({K"</f>
        <v>#VALUE!</v>
      </c>
      <c r="GM184" s="97" t="e">
        <f>'Actual Value'!I124+"AM:!({L"</f>
        <v>#VALUE!</v>
      </c>
      <c r="GN184" s="97" t="e">
        <f>'Actual Value'!J124+"AM:!({M"</f>
        <v>#VALUE!</v>
      </c>
      <c r="GO184" s="97" t="e">
        <f>'Actual Value'!K124+"AM:!({N"</f>
        <v>#VALUE!</v>
      </c>
      <c r="GP184" s="97" t="e">
        <f>'Actual Value'!L124+"AM:!({O"</f>
        <v>#VALUE!</v>
      </c>
      <c r="GQ184" s="97" t="e">
        <f>'Actual Value'!M124+"AM:!({P"</f>
        <v>#VALUE!</v>
      </c>
      <c r="GR184" s="97" t="e">
        <f>'Actual Value'!N124+"AM:!({Q"</f>
        <v>#VALUE!</v>
      </c>
      <c r="GS184" s="97" t="e">
        <f>'Actual Value'!O124+"AM:!({R"</f>
        <v>#VALUE!</v>
      </c>
      <c r="GT184" s="97" t="e">
        <f>'Actual Value'!P124+"AM:!({S"</f>
        <v>#VALUE!</v>
      </c>
      <c r="GU184" s="97" t="e">
        <f>'Actual Value'!Q124+"AM:!({T"</f>
        <v>#VALUE!</v>
      </c>
      <c r="GV184" s="97" t="e">
        <f>'Actual Value'!R124+"AM:!({U"</f>
        <v>#VALUE!</v>
      </c>
      <c r="GW184" s="97" t="e">
        <f>'Actual Value'!S124+"AM:!({V"</f>
        <v>#VALUE!</v>
      </c>
      <c r="GX184" s="97" t="e">
        <f>'Actual Value'!T124+"AM:!({W"</f>
        <v>#VALUE!</v>
      </c>
      <c r="GY184" s="97" t="e">
        <f>'Actual Value'!U124+"AM:!({X"</f>
        <v>#VALUE!</v>
      </c>
      <c r="GZ184" s="97" t="e">
        <f>'Actual Value'!V124+"AM:!({Y"</f>
        <v>#VALUE!</v>
      </c>
      <c r="HA184" s="97" t="e">
        <f>'Actual Value'!W124+"AM:!({Z"</f>
        <v>#VALUE!</v>
      </c>
      <c r="HB184" s="97" t="e">
        <f>'Actual Value'!X124+"AM:!({["</f>
        <v>#VALUE!</v>
      </c>
      <c r="HC184" s="97" t="e">
        <f>'Actual Value'!Y124+"AM:!({\"</f>
        <v>#VALUE!</v>
      </c>
      <c r="HD184" s="97" t="e">
        <f>'Actual Value'!Z124+"AM:!({]"</f>
        <v>#VALUE!</v>
      </c>
      <c r="HE184" s="97" t="e">
        <f>'Actual Value'!AA124+"AM:!({^"</f>
        <v>#VALUE!</v>
      </c>
      <c r="HF184" s="97" t="e">
        <f>'Actual Value'!AB124+"AM:!({_"</f>
        <v>#VALUE!</v>
      </c>
      <c r="HG184" s="97" t="e">
        <f>'Actual Value'!AC124+"AM:!({`"</f>
        <v>#VALUE!</v>
      </c>
      <c r="HH184" s="97" t="e">
        <f>'Actual Value'!AD124+"AM:!({a"</f>
        <v>#VALUE!</v>
      </c>
      <c r="HI184" s="97" t="e">
        <f>'Actual Value'!AE124+"AM:!({b"</f>
        <v>#VALUE!</v>
      </c>
      <c r="HJ184" s="97" t="e">
        <f>'Actual Value'!AF124+"AM:!({c"</f>
        <v>#VALUE!</v>
      </c>
      <c r="HK184" s="97" t="e">
        <f>'Actual Value'!AG124+"AM:!({d"</f>
        <v>#VALUE!</v>
      </c>
      <c r="HL184" s="97" t="e">
        <f>'Actual Value'!AH124+"AM:!({e"</f>
        <v>#VALUE!</v>
      </c>
      <c r="HM184" s="97" t="e">
        <f>'Actual Value'!AI124+"AM:!({f"</f>
        <v>#VALUE!</v>
      </c>
      <c r="HN184" s="97" t="e">
        <f>'Actual Value'!AJ124+"AM:!({g"</f>
        <v>#VALUE!</v>
      </c>
      <c r="HO184" s="97" t="e">
        <f>'Actual Value'!AK124+"AM:!({h"</f>
        <v>#VALUE!</v>
      </c>
      <c r="HP184" s="97" t="e">
        <f>'Actual Value'!AL124+"AM:!({i"</f>
        <v>#VALUE!</v>
      </c>
      <c r="HQ184" s="97" t="e">
        <f>'Actual Value'!AM124+"AM:!({j"</f>
        <v>#VALUE!</v>
      </c>
      <c r="HR184" s="97" t="e">
        <f>'Actual Value'!AN124+"AM:!({k"</f>
        <v>#VALUE!</v>
      </c>
      <c r="HS184" s="97" t="e">
        <f>'Actual Value'!AO124+"AM:!({l"</f>
        <v>#VALUE!</v>
      </c>
      <c r="HT184" t="e">
        <f>'Actual Value'!AP124+"AM:!({m"</f>
        <v>#VALUE!</v>
      </c>
      <c r="HU184" t="e">
        <f>'Actual Value'!AQ124+"AM:!({n"</f>
        <v>#VALUE!</v>
      </c>
      <c r="HV184" t="e">
        <f>'Actual Value'!AR124+"AM:!({o"</f>
        <v>#VALUE!</v>
      </c>
      <c r="HW184" t="e">
        <f>'Actual Value'!AS124+"AM:!({p"</f>
        <v>#VALUE!</v>
      </c>
      <c r="HX184" t="e">
        <f>'Actual Value'!AT124+"AM:!({q"</f>
        <v>#VALUE!</v>
      </c>
      <c r="HY184" t="e">
        <f>'Actual Value'!AU124+"AM:!({r"</f>
        <v>#VALUE!</v>
      </c>
      <c r="HZ184" t="e">
        <f>'Actual Value'!AV124+"AM:!({s"</f>
        <v>#VALUE!</v>
      </c>
      <c r="IA184" t="e">
        <f>'Actual Value'!AW124+"AM:!({t"</f>
        <v>#VALUE!</v>
      </c>
      <c r="IB184" t="e">
        <f>'Actual Value'!AX124+"AM:!({u"</f>
        <v>#VALUE!</v>
      </c>
      <c r="IC184" t="e">
        <f>'Actual Value'!A125+"AM:!({v"</f>
        <v>#VALUE!</v>
      </c>
      <c r="ID184" t="e">
        <f>'Actual Value'!B125+"AM:!({w"</f>
        <v>#VALUE!</v>
      </c>
      <c r="IE184" t="e">
        <f>'Actual Value'!C125+"AM:!({x"</f>
        <v>#VALUE!</v>
      </c>
      <c r="IF184" s="97" t="e">
        <f>'Actual Value'!D125+"AM:!({y"</f>
        <v>#VALUE!</v>
      </c>
      <c r="IG184" s="97" t="e">
        <f>'Actual Value'!E125+"AM:!({z"</f>
        <v>#VALUE!</v>
      </c>
      <c r="IH184" s="97" t="e">
        <f>'Actual Value'!F125+"AM:!({{"</f>
        <v>#VALUE!</v>
      </c>
      <c r="II184" s="97" t="e">
        <f>'Actual Value'!G125+"AM:!({|"</f>
        <v>#VALUE!</v>
      </c>
      <c r="IJ184" s="97" t="e">
        <f>'Actual Value'!H125+"AM:!({}"</f>
        <v>#VALUE!</v>
      </c>
      <c r="IK184" s="97" t="e">
        <f>'Actual Value'!I125+"AM:!({~"</f>
        <v>#VALUE!</v>
      </c>
      <c r="IL184" s="97" t="e">
        <f>'Actual Value'!J125+"AM:!(|#"</f>
        <v>#VALUE!</v>
      </c>
      <c r="IM184" s="97" t="e">
        <f>'Actual Value'!K125+"AM:!(|$"</f>
        <v>#VALUE!</v>
      </c>
      <c r="IN184" s="97" t="e">
        <f>'Actual Value'!L125+"AM:!(|%"</f>
        <v>#VALUE!</v>
      </c>
      <c r="IO184" s="97" t="e">
        <f>'Actual Value'!M125+"AM:!(|&amp;"</f>
        <v>#VALUE!</v>
      </c>
      <c r="IP184" s="97" t="e">
        <f>'Actual Value'!N125+"AM:!(|'"</f>
        <v>#VALUE!</v>
      </c>
      <c r="IQ184" s="97" t="e">
        <f>'Actual Value'!O125+"AM:!(|("</f>
        <v>#VALUE!</v>
      </c>
      <c r="IR184" s="97" t="e">
        <f>'Actual Value'!P125+"AM:!(|)"</f>
        <v>#VALUE!</v>
      </c>
      <c r="IS184" s="97" t="e">
        <f>'Actual Value'!Q125+"AM:!(|."</f>
        <v>#VALUE!</v>
      </c>
      <c r="IT184" s="97" t="e">
        <f>'Actual Value'!R125+"AM:!(|/"</f>
        <v>#VALUE!</v>
      </c>
      <c r="IU184" s="97" t="e">
        <f>'Actual Value'!S125+"AM:!(|0"</f>
        <v>#VALUE!</v>
      </c>
      <c r="IV184" s="97" t="e">
        <f>'Actual Value'!T125+"AM:!(|1"</f>
        <v>#VALUE!</v>
      </c>
    </row>
    <row r="185" spans="6:256">
      <c r="F185" s="97" t="e">
        <f>'Actual Value'!U125+"AM:!(|2"</f>
        <v>#VALUE!</v>
      </c>
      <c r="G185" s="97" t="e">
        <f>'Actual Value'!V125+"AM:!(|3"</f>
        <v>#VALUE!</v>
      </c>
      <c r="H185" s="97" t="e">
        <f>'Actual Value'!W125+"AM:!(|4"</f>
        <v>#VALUE!</v>
      </c>
      <c r="I185" s="97" t="e">
        <f>'Actual Value'!X125+"AM:!(|5"</f>
        <v>#VALUE!</v>
      </c>
      <c r="J185" s="97" t="e">
        <f>'Actual Value'!Y125+"AM:!(|6"</f>
        <v>#VALUE!</v>
      </c>
      <c r="K185" s="97" t="e">
        <f>'Actual Value'!Z125+"AM:!(|7"</f>
        <v>#VALUE!</v>
      </c>
      <c r="L185" s="97" t="e">
        <f>'Actual Value'!AA125+"AM:!(|8"</f>
        <v>#VALUE!</v>
      </c>
      <c r="M185" s="97" t="e">
        <f>'Actual Value'!AB125+"AM:!(|9"</f>
        <v>#VALUE!</v>
      </c>
      <c r="N185" s="97" t="e">
        <f>'Actual Value'!AC125+"AM:!(|:"</f>
        <v>#VALUE!</v>
      </c>
      <c r="O185" s="97" t="e">
        <f>'Actual Value'!AD125+"AM:!(|;"</f>
        <v>#VALUE!</v>
      </c>
      <c r="P185" s="97" t="e">
        <f>'Actual Value'!AE125+"AM:!(|&lt;"</f>
        <v>#VALUE!</v>
      </c>
      <c r="Q185" s="97" t="e">
        <f>'Actual Value'!AF125+"AM:!(|="</f>
        <v>#VALUE!</v>
      </c>
      <c r="R185" s="97" t="e">
        <f>'Actual Value'!AG125+"AM:!(|&gt;"</f>
        <v>#VALUE!</v>
      </c>
      <c r="S185" s="97" t="e">
        <f>'Actual Value'!AH125+"AM:!(|?"</f>
        <v>#VALUE!</v>
      </c>
      <c r="T185" s="97" t="e">
        <f>'Actual Value'!AI125+"AM:!(|@"</f>
        <v>#VALUE!</v>
      </c>
      <c r="U185" s="97" t="e">
        <f>'Actual Value'!AJ125+"AM:!(|A"</f>
        <v>#VALUE!</v>
      </c>
      <c r="V185" s="97" t="e">
        <f>'Actual Value'!AK125+"AM:!(|B"</f>
        <v>#VALUE!</v>
      </c>
      <c r="W185" s="97" t="e">
        <f>'Actual Value'!AL125+"AM:!(|C"</f>
        <v>#VALUE!</v>
      </c>
      <c r="X185" s="97" t="e">
        <f>'Actual Value'!AM125+"AM:!(|D"</f>
        <v>#VALUE!</v>
      </c>
      <c r="Y185" s="97" t="e">
        <f>'Actual Value'!AN125+"AM:!(|E"</f>
        <v>#VALUE!</v>
      </c>
      <c r="Z185" s="97" t="e">
        <f>'Actual Value'!AO125+"AM:!(|F"</f>
        <v>#VALUE!</v>
      </c>
      <c r="AA185" t="e">
        <f>'Actual Value'!AP125+"AM:!(|G"</f>
        <v>#VALUE!</v>
      </c>
      <c r="AB185" t="e">
        <f>'Actual Value'!AQ125+"AM:!(|H"</f>
        <v>#VALUE!</v>
      </c>
      <c r="AC185" t="e">
        <f>'Actual Value'!AR125+"AM:!(|I"</f>
        <v>#VALUE!</v>
      </c>
      <c r="AD185" t="e">
        <f>'Actual Value'!AS125+"AM:!(|J"</f>
        <v>#VALUE!</v>
      </c>
      <c r="AE185" t="e">
        <f>'Actual Value'!AT125+"AM:!(|K"</f>
        <v>#VALUE!</v>
      </c>
      <c r="AF185" t="e">
        <f>'Actual Value'!AU125+"AM:!(|L"</f>
        <v>#VALUE!</v>
      </c>
      <c r="AG185" t="e">
        <f>'Actual Value'!AV125+"AM:!(|M"</f>
        <v>#VALUE!</v>
      </c>
      <c r="AH185" t="e">
        <f>'Actual Value'!AW125+"AM:!(|N"</f>
        <v>#VALUE!</v>
      </c>
      <c r="AI185" t="e">
        <f>'Actual Value'!AX125+"AM:!(|O"</f>
        <v>#VALUE!</v>
      </c>
      <c r="AJ185" t="e">
        <f>'Actual Value'!A126+"AM:!(|P"</f>
        <v>#VALUE!</v>
      </c>
      <c r="AK185" t="e">
        <f>'Actual Value'!B126+"AM:!(|Q"</f>
        <v>#VALUE!</v>
      </c>
      <c r="AL185" s="98" t="e">
        <f>'Actual Value'!C126+"AM:!(|R"</f>
        <v>#VALUE!</v>
      </c>
      <c r="AM185" t="e">
        <f>'Actual Value'!D126+"AM:!(|S"</f>
        <v>#VALUE!</v>
      </c>
      <c r="AN185" t="e">
        <f>'Actual Value'!E126+"AM:!(|T"</f>
        <v>#VALUE!</v>
      </c>
      <c r="AO185" t="e">
        <f>'Actual Value'!F126+"AM:!(|U"</f>
        <v>#VALUE!</v>
      </c>
      <c r="AP185" t="e">
        <f>'Actual Value'!G126+"AM:!(|V"</f>
        <v>#VALUE!</v>
      </c>
      <c r="AQ185" t="e">
        <f>'Actual Value'!H126+"AM:!(|W"</f>
        <v>#VALUE!</v>
      </c>
      <c r="AR185" t="e">
        <f>'Actual Value'!I126+"AM:!(|X"</f>
        <v>#VALUE!</v>
      </c>
      <c r="AS185" t="e">
        <f>'Actual Value'!J126+"AM:!(|Y"</f>
        <v>#VALUE!</v>
      </c>
      <c r="AT185" t="e">
        <f>'Actual Value'!K126+"AM:!(|Z"</f>
        <v>#VALUE!</v>
      </c>
      <c r="AU185" t="e">
        <f>'Actual Value'!L126+"AM:!(|["</f>
        <v>#VALUE!</v>
      </c>
      <c r="AV185" t="e">
        <f>'Actual Value'!M126+"AM:!(|\"</f>
        <v>#VALUE!</v>
      </c>
      <c r="AW185" t="e">
        <f>'Actual Value'!N126+"AM:!(|]"</f>
        <v>#VALUE!</v>
      </c>
      <c r="AX185" t="e">
        <f>'Actual Value'!O126+"AM:!(|^"</f>
        <v>#VALUE!</v>
      </c>
      <c r="AY185" t="e">
        <f>'Actual Value'!P126+"AM:!(|_"</f>
        <v>#VALUE!</v>
      </c>
      <c r="AZ185" t="e">
        <f>'Actual Value'!Q126+"AM:!(|`"</f>
        <v>#VALUE!</v>
      </c>
      <c r="BA185" t="e">
        <f>'Actual Value'!R126+"AM:!(|a"</f>
        <v>#VALUE!</v>
      </c>
      <c r="BB185" t="e">
        <f>'Actual Value'!S126+"AM:!(|b"</f>
        <v>#VALUE!</v>
      </c>
      <c r="BC185" t="e">
        <f>'Actual Value'!T126+"AM:!(|c"</f>
        <v>#VALUE!</v>
      </c>
      <c r="BD185" t="e">
        <f>'Actual Value'!U126+"AM:!(|d"</f>
        <v>#VALUE!</v>
      </c>
      <c r="BE185" t="e">
        <f>'Actual Value'!V126+"AM:!(|e"</f>
        <v>#VALUE!</v>
      </c>
      <c r="BF185" t="e">
        <f>'Actual Value'!W126+"AM:!(|f"</f>
        <v>#VALUE!</v>
      </c>
      <c r="BG185" t="e">
        <f>'Actual Value'!X126+"AM:!(|g"</f>
        <v>#VALUE!</v>
      </c>
      <c r="BH185" t="e">
        <f>'Actual Value'!Y126+"AM:!(|h"</f>
        <v>#VALUE!</v>
      </c>
      <c r="BI185" t="e">
        <f>'Actual Value'!Z126+"AM:!(|i"</f>
        <v>#VALUE!</v>
      </c>
      <c r="BJ185" t="e">
        <f>'Actual Value'!AA126+"AM:!(|j"</f>
        <v>#VALUE!</v>
      </c>
      <c r="BK185" t="e">
        <f>'Actual Value'!AB126+"AM:!(|k"</f>
        <v>#VALUE!</v>
      </c>
      <c r="BL185" t="e">
        <f>'Actual Value'!AC126+"AM:!(|l"</f>
        <v>#VALUE!</v>
      </c>
      <c r="BM185" t="e">
        <f>'Actual Value'!AD126+"AM:!(|m"</f>
        <v>#VALUE!</v>
      </c>
      <c r="BN185" t="e">
        <f>'Actual Value'!AE126+"AM:!(|n"</f>
        <v>#VALUE!</v>
      </c>
      <c r="BO185" t="e">
        <f>'Actual Value'!AF126+"AM:!(|o"</f>
        <v>#VALUE!</v>
      </c>
      <c r="BP185" t="e">
        <f>'Actual Value'!AG126+"AM:!(|p"</f>
        <v>#VALUE!</v>
      </c>
      <c r="BQ185" t="e">
        <f>'Actual Value'!AH126+"AM:!(|q"</f>
        <v>#VALUE!</v>
      </c>
      <c r="BR185" t="e">
        <f>'Actual Value'!AI126+"AM:!(|r"</f>
        <v>#VALUE!</v>
      </c>
      <c r="BS185" t="e">
        <f>'Actual Value'!AJ126+"AM:!(|s"</f>
        <v>#VALUE!</v>
      </c>
      <c r="BT185" t="e">
        <f>'Actual Value'!AK126+"AM:!(|t"</f>
        <v>#VALUE!</v>
      </c>
      <c r="BU185" t="e">
        <f>'Actual Value'!AL126+"AM:!(|u"</f>
        <v>#VALUE!</v>
      </c>
      <c r="BV185" t="e">
        <f>'Actual Value'!AM126+"AM:!(|v"</f>
        <v>#VALUE!</v>
      </c>
      <c r="BW185" t="e">
        <f>'Actual Value'!AN126+"AM:!(|w"</f>
        <v>#VALUE!</v>
      </c>
      <c r="BX185" t="e">
        <f>'Actual Value'!AO126+"AM:!(|x"</f>
        <v>#VALUE!</v>
      </c>
      <c r="BY185" t="e">
        <f>'Actual Value'!AP126+"AM:!(|y"</f>
        <v>#VALUE!</v>
      </c>
      <c r="BZ185" t="e">
        <f>'Actual Value'!AQ126+"AM:!(|z"</f>
        <v>#VALUE!</v>
      </c>
      <c r="CA185" t="e">
        <f>'Actual Value'!AR126+"AM:!(|{"</f>
        <v>#VALUE!</v>
      </c>
      <c r="CB185" t="e">
        <f>'Actual Value'!AS126+"AM:!(||"</f>
        <v>#VALUE!</v>
      </c>
      <c r="CC185" t="e">
        <f>'Actual Value'!AT126+"AM:!(|}"</f>
        <v>#VALUE!</v>
      </c>
      <c r="CD185" t="e">
        <f>'Actual Value'!AU126+"AM:!(|~"</f>
        <v>#VALUE!</v>
      </c>
      <c r="CE185" t="e">
        <f>'Actual Value'!AV126+"AM:!(}#"</f>
        <v>#VALUE!</v>
      </c>
      <c r="CF185" t="e">
        <f>'Actual Value'!AW126+"AM:!(}$"</f>
        <v>#VALUE!</v>
      </c>
      <c r="CG185" t="e">
        <f>'Actual Value'!A127+"AM:!(}%"</f>
        <v>#VALUE!</v>
      </c>
      <c r="CH185" t="e">
        <f>'Actual Value'!B127+"AM:!(}&amp;"</f>
        <v>#VALUE!</v>
      </c>
      <c r="CI185" t="e">
        <f>'Actual Value'!C127+"AM:!(}'"</f>
        <v>#VALUE!</v>
      </c>
      <c r="CJ185" s="105" t="e">
        <f>'Actual Value'!D127+"AM:!(}("</f>
        <v>#VALUE!</v>
      </c>
      <c r="CK185" s="105" t="e">
        <f>'Actual Value'!E127+"AM:!(})"</f>
        <v>#VALUE!</v>
      </c>
      <c r="CL185" s="105" t="e">
        <f>'Actual Value'!F127+"AM:!(}."</f>
        <v>#VALUE!</v>
      </c>
      <c r="CM185" s="105" t="e">
        <f>'Actual Value'!G127+"AM:!(}/"</f>
        <v>#VALUE!</v>
      </c>
      <c r="CN185" s="105" t="e">
        <f>'Actual Value'!H127+"AM:!(}0"</f>
        <v>#VALUE!</v>
      </c>
      <c r="CO185" s="105" t="e">
        <f>'Actual Value'!I127+"AM:!(}1"</f>
        <v>#VALUE!</v>
      </c>
      <c r="CP185" s="105" t="e">
        <f>'Actual Value'!J127+"AM:!(}2"</f>
        <v>#VALUE!</v>
      </c>
      <c r="CQ185" s="105" t="e">
        <f>'Actual Value'!K127+"AM:!(}3"</f>
        <v>#VALUE!</v>
      </c>
      <c r="CR185" s="105" t="e">
        <f>'Actual Value'!L127+"AM:!(}4"</f>
        <v>#VALUE!</v>
      </c>
      <c r="CS185" s="105" t="e">
        <f>'Actual Value'!M127+"AM:!(}5"</f>
        <v>#VALUE!</v>
      </c>
      <c r="CT185" s="105" t="e">
        <f>'Actual Value'!N127+"AM:!(}6"</f>
        <v>#VALUE!</v>
      </c>
      <c r="CU185" s="105" t="e">
        <f>'Actual Value'!O127+"AM:!(}7"</f>
        <v>#VALUE!</v>
      </c>
      <c r="CV185" s="105" t="e">
        <f>'Actual Value'!P127+"AM:!(}8"</f>
        <v>#VALUE!</v>
      </c>
      <c r="CW185" s="105" t="e">
        <f>'Actual Value'!Q127+"AM:!(}9"</f>
        <v>#VALUE!</v>
      </c>
      <c r="CX185" s="105" t="e">
        <f>'Actual Value'!R127+"AM:!(}:"</f>
        <v>#VALUE!</v>
      </c>
      <c r="CY185" s="105" t="e">
        <f>'Actual Value'!S127+"AM:!(};"</f>
        <v>#VALUE!</v>
      </c>
      <c r="CZ185" s="105" t="e">
        <f>'Actual Value'!T127+"AM:!(}&lt;"</f>
        <v>#VALUE!</v>
      </c>
      <c r="DA185" s="105" t="e">
        <f>'Actual Value'!U127+"AM:!(}="</f>
        <v>#VALUE!</v>
      </c>
      <c r="DB185" s="105" t="e">
        <f>'Actual Value'!V127+"AM:!(}&gt;"</f>
        <v>#VALUE!</v>
      </c>
      <c r="DC185" s="105" t="e">
        <f>'Actual Value'!W127+"AM:!(}?"</f>
        <v>#VALUE!</v>
      </c>
      <c r="DD185" s="105" t="e">
        <f>'Actual Value'!X127+"AM:!(}@"</f>
        <v>#VALUE!</v>
      </c>
      <c r="DE185" s="105" t="e">
        <f>'Actual Value'!Y127+"AM:!(}A"</f>
        <v>#VALUE!</v>
      </c>
      <c r="DF185" s="105" t="e">
        <f>'Actual Value'!Z127+"AM:!(}B"</f>
        <v>#VALUE!</v>
      </c>
      <c r="DG185" s="105" t="e">
        <f>'Actual Value'!AA127+"AM:!(}C"</f>
        <v>#VALUE!</v>
      </c>
      <c r="DH185" s="105" t="e">
        <f>'Actual Value'!AB127+"AM:!(}D"</f>
        <v>#VALUE!</v>
      </c>
      <c r="DI185" s="105" t="e">
        <f>'Actual Value'!AC127+"AM:!(}E"</f>
        <v>#VALUE!</v>
      </c>
      <c r="DJ185" s="105" t="e">
        <f>'Actual Value'!AD127+"AM:!(}F"</f>
        <v>#VALUE!</v>
      </c>
      <c r="DK185" s="105" t="e">
        <f>'Actual Value'!AE127+"AM:!(}G"</f>
        <v>#VALUE!</v>
      </c>
      <c r="DL185" s="105" t="e">
        <f>'Actual Value'!AF127+"AM:!(}H"</f>
        <v>#VALUE!</v>
      </c>
      <c r="DM185" s="105" t="e">
        <f>'Actual Value'!AG127+"AM:!(}I"</f>
        <v>#VALUE!</v>
      </c>
      <c r="DN185" s="105" t="e">
        <f>'Actual Value'!AH127+"AM:!(}J"</f>
        <v>#VALUE!</v>
      </c>
      <c r="DO185" s="105" t="e">
        <f>'Actual Value'!AI127+"AM:!(}K"</f>
        <v>#VALUE!</v>
      </c>
      <c r="DP185" s="105" t="e">
        <f>'Actual Value'!AJ127+"AM:!(}L"</f>
        <v>#VALUE!</v>
      </c>
      <c r="DQ185" s="105" t="e">
        <f>'Actual Value'!AK127+"AM:!(}M"</f>
        <v>#VALUE!</v>
      </c>
      <c r="DR185" s="105" t="e">
        <f>'Actual Value'!AL127+"AM:!(}N"</f>
        <v>#VALUE!</v>
      </c>
      <c r="DS185" s="105" t="e">
        <f>'Actual Value'!AM127+"AM:!(}O"</f>
        <v>#VALUE!</v>
      </c>
      <c r="DT185" s="105" t="e">
        <f>'Actual Value'!AN127+"AM:!(}P"</f>
        <v>#VALUE!</v>
      </c>
      <c r="DU185" s="105" t="e">
        <f>'Actual Value'!AO127+"AM:!(}Q"</f>
        <v>#VALUE!</v>
      </c>
      <c r="DV185" t="e">
        <f>'Actual Value'!AP127+"AM:!(}R"</f>
        <v>#VALUE!</v>
      </c>
      <c r="DW185" s="100" t="e">
        <f>'Actual Value'!AQ127+"AM:!(}S"</f>
        <v>#VALUE!</v>
      </c>
      <c r="DX185" s="100" t="e">
        <f>'Actual Value'!AR127+"AM:!(}T"</f>
        <v>#VALUE!</v>
      </c>
      <c r="DY185" s="100" t="e">
        <f>'Actual Value'!AS127+"AM:!(}U"</f>
        <v>#VALUE!</v>
      </c>
      <c r="DZ185" s="100" t="e">
        <f>'Actual Value'!AT127+"AM:!(}V"</f>
        <v>#VALUE!</v>
      </c>
      <c r="EA185" s="100" t="e">
        <f>'Actual Value'!AU127+"AM:!(}W"</f>
        <v>#VALUE!</v>
      </c>
      <c r="EB185" t="e">
        <f>'Actual Value'!AV127+"AM:!(}X"</f>
        <v>#VALUE!</v>
      </c>
      <c r="EC185" t="e">
        <f>'Actual Value'!AW127+"AM:!(}Y"</f>
        <v>#VALUE!</v>
      </c>
      <c r="ED185" t="e">
        <f>'Actual Value'!A128+"AM:!(}Z"</f>
        <v>#VALUE!</v>
      </c>
      <c r="EE185" t="e">
        <f>'Actual Value'!B128+"AM:!(}["</f>
        <v>#VALUE!</v>
      </c>
      <c r="EF185" t="e">
        <f>'Actual Value'!C128+"AM:!(}\"</f>
        <v>#VALUE!</v>
      </c>
      <c r="EG185" s="97" t="e">
        <f>'Actual Value'!D128+"AM:!(}]"</f>
        <v>#VALUE!</v>
      </c>
      <c r="EH185" s="97" t="e">
        <f>'Actual Value'!E128+"AM:!(}^"</f>
        <v>#VALUE!</v>
      </c>
      <c r="EI185" s="97" t="e">
        <f>'Actual Value'!F128+"AM:!(}_"</f>
        <v>#VALUE!</v>
      </c>
      <c r="EJ185" s="97" t="e">
        <f>'Actual Value'!G128+"AM:!(}`"</f>
        <v>#VALUE!</v>
      </c>
      <c r="EK185" s="97" t="e">
        <f>'Actual Value'!H128+"AM:!(}a"</f>
        <v>#VALUE!</v>
      </c>
      <c r="EL185" s="97" t="e">
        <f>'Actual Value'!I128+"AM:!(}b"</f>
        <v>#VALUE!</v>
      </c>
      <c r="EM185" s="97" t="e">
        <f>'Actual Value'!J128+"AM:!(}c"</f>
        <v>#VALUE!</v>
      </c>
      <c r="EN185" s="97" t="e">
        <f>'Actual Value'!K128+"AM:!(}d"</f>
        <v>#VALUE!</v>
      </c>
      <c r="EO185" s="97" t="e">
        <f>'Actual Value'!L128+"AM:!(}e"</f>
        <v>#VALUE!</v>
      </c>
      <c r="EP185" s="97" t="e">
        <f>'Actual Value'!M128+"AM:!(}f"</f>
        <v>#VALUE!</v>
      </c>
      <c r="EQ185" s="97" t="e">
        <f>'Actual Value'!N128+"AM:!(}g"</f>
        <v>#VALUE!</v>
      </c>
      <c r="ER185" s="97" t="e">
        <f>'Actual Value'!O128+"AM:!(}h"</f>
        <v>#VALUE!</v>
      </c>
      <c r="ES185" s="97" t="e">
        <f>'Actual Value'!P128+"AM:!(}i"</f>
        <v>#VALUE!</v>
      </c>
      <c r="ET185" s="97" t="e">
        <f>'Actual Value'!Q128+"AM:!(}j"</f>
        <v>#VALUE!</v>
      </c>
      <c r="EU185" s="97" t="e">
        <f>'Actual Value'!R128+"AM:!(}k"</f>
        <v>#VALUE!</v>
      </c>
      <c r="EV185" s="97" t="e">
        <f>'Actual Value'!S128+"AM:!(}l"</f>
        <v>#VALUE!</v>
      </c>
      <c r="EW185" s="97" t="e">
        <f>'Actual Value'!T128+"AM:!(}m"</f>
        <v>#VALUE!</v>
      </c>
      <c r="EX185" s="97" t="e">
        <f>'Actual Value'!U128+"AM:!(}n"</f>
        <v>#VALUE!</v>
      </c>
      <c r="EY185" s="97" t="e">
        <f>'Actual Value'!V128+"AM:!(}o"</f>
        <v>#VALUE!</v>
      </c>
      <c r="EZ185" s="97" t="e">
        <f>'Actual Value'!W128+"AM:!(}p"</f>
        <v>#VALUE!</v>
      </c>
      <c r="FA185" s="97" t="e">
        <f>'Actual Value'!X128+"AM:!(}q"</f>
        <v>#VALUE!</v>
      </c>
      <c r="FB185" s="97" t="e">
        <f>'Actual Value'!Y128+"AM:!(}r"</f>
        <v>#VALUE!</v>
      </c>
      <c r="FC185" s="97" t="e">
        <f>'Actual Value'!Z128+"AM:!(}s"</f>
        <v>#VALUE!</v>
      </c>
      <c r="FD185" s="97" t="e">
        <f>'Actual Value'!AA128+"AM:!(}t"</f>
        <v>#VALUE!</v>
      </c>
      <c r="FE185" s="97" t="e">
        <f>'Actual Value'!AB128+"AM:!(}u"</f>
        <v>#VALUE!</v>
      </c>
      <c r="FF185" s="97" t="e">
        <f>'Actual Value'!AC128+"AM:!(}v"</f>
        <v>#VALUE!</v>
      </c>
      <c r="FG185" s="97" t="e">
        <f>'Actual Value'!AD128+"AM:!(}w"</f>
        <v>#VALUE!</v>
      </c>
      <c r="FH185" s="97" t="e">
        <f>'Actual Value'!AE128+"AM:!(}x"</f>
        <v>#VALUE!</v>
      </c>
      <c r="FI185" s="97" t="e">
        <f>'Actual Value'!AF128+"AM:!(}y"</f>
        <v>#VALUE!</v>
      </c>
      <c r="FJ185" s="97" t="e">
        <f>'Actual Value'!AG128+"AM:!(}z"</f>
        <v>#VALUE!</v>
      </c>
      <c r="FK185" s="97" t="e">
        <f>'Actual Value'!AH128+"AM:!(}{"</f>
        <v>#VALUE!</v>
      </c>
      <c r="FL185" s="97" t="e">
        <f>'Actual Value'!AI128+"AM:!(}|"</f>
        <v>#VALUE!</v>
      </c>
      <c r="FM185" s="97" t="e">
        <f>'Actual Value'!AJ128+"AM:!(}}"</f>
        <v>#VALUE!</v>
      </c>
      <c r="FN185" s="97" t="e">
        <f>'Actual Value'!AK128+"AM:!(}~"</f>
        <v>#VALUE!</v>
      </c>
      <c r="FO185" s="97" t="e">
        <f>'Actual Value'!AL128+"AM:!(~#"</f>
        <v>#VALUE!</v>
      </c>
      <c r="FP185" s="97" t="e">
        <f>'Actual Value'!AM128+"AM:!(~$"</f>
        <v>#VALUE!</v>
      </c>
      <c r="FQ185" s="97" t="e">
        <f>'Actual Value'!AN128+"AM:!(~%"</f>
        <v>#VALUE!</v>
      </c>
      <c r="FR185" s="97" t="e">
        <f>'Actual Value'!AO128+"AM:!(~&amp;"</f>
        <v>#VALUE!</v>
      </c>
      <c r="FS185" t="e">
        <f>'Actual Value'!AP128+"AM:!(~'"</f>
        <v>#VALUE!</v>
      </c>
      <c r="FT185" t="e">
        <f>'Actual Value'!AQ128+"AM:!(~("</f>
        <v>#VALUE!</v>
      </c>
      <c r="FU185" t="e">
        <f>'Actual Value'!AR128+"AM:!(~)"</f>
        <v>#VALUE!</v>
      </c>
      <c r="FV185" s="97" t="e">
        <f>'Actual Value'!AS128+"AM:!(~."</f>
        <v>#VALUE!</v>
      </c>
      <c r="FW185" t="e">
        <f>'Actual Value'!AT128+"AM:!(~/"</f>
        <v>#VALUE!</v>
      </c>
      <c r="FX185" t="e">
        <f>'Actual Value'!AU128+"AM:!(~0"</f>
        <v>#VALUE!</v>
      </c>
      <c r="FY185" t="e">
        <f>'Actual Value'!AV128+"AM:!(~1"</f>
        <v>#VALUE!</v>
      </c>
      <c r="FZ185" t="e">
        <f>'Actual Value'!AW128+"AM:!(~2"</f>
        <v>#VALUE!</v>
      </c>
      <c r="GA185" t="e">
        <f>'Actual Value'!A129+"AM:!(~3"</f>
        <v>#VALUE!</v>
      </c>
      <c r="GB185" t="e">
        <f>'Actual Value'!B129+"AM:!(~4"</f>
        <v>#VALUE!</v>
      </c>
      <c r="GC185" t="e">
        <f>'Actual Value'!C129+"AM:!(~5"</f>
        <v>#VALUE!</v>
      </c>
      <c r="GD185" s="97" t="e">
        <f>'Actual Value'!D129+"AM:!(~6"</f>
        <v>#VALUE!</v>
      </c>
      <c r="GE185" s="97" t="e">
        <f>'Actual Value'!E129+"AM:!(~7"</f>
        <v>#VALUE!</v>
      </c>
      <c r="GF185" s="97" t="e">
        <f>'Actual Value'!F129+"AM:!(~8"</f>
        <v>#VALUE!</v>
      </c>
      <c r="GG185" s="97" t="e">
        <f>'Actual Value'!G129+"AM:!(~9"</f>
        <v>#VALUE!</v>
      </c>
      <c r="GH185" s="97" t="e">
        <f>'Actual Value'!H129+"AM:!(~:"</f>
        <v>#VALUE!</v>
      </c>
      <c r="GI185" s="97" t="e">
        <f>'Actual Value'!I129+"AM:!(~;"</f>
        <v>#VALUE!</v>
      </c>
      <c r="GJ185" s="97" t="e">
        <f>'Actual Value'!J129+"AM:!(~&lt;"</f>
        <v>#VALUE!</v>
      </c>
      <c r="GK185" s="97" t="e">
        <f>'Actual Value'!K129+"AM:!(~="</f>
        <v>#VALUE!</v>
      </c>
      <c r="GL185" s="97" t="e">
        <f>'Actual Value'!L129+"AM:!(~&gt;"</f>
        <v>#VALUE!</v>
      </c>
      <c r="GM185" s="97" t="e">
        <f>'Actual Value'!M129+"AM:!(~?"</f>
        <v>#VALUE!</v>
      </c>
      <c r="GN185" s="97" t="e">
        <f>'Actual Value'!N129+"AM:!(~@"</f>
        <v>#VALUE!</v>
      </c>
      <c r="GO185" s="97" t="e">
        <f>'Actual Value'!O129+"AM:!(~A"</f>
        <v>#VALUE!</v>
      </c>
      <c r="GP185" s="97" t="e">
        <f>'Actual Value'!P129+"AM:!(~B"</f>
        <v>#VALUE!</v>
      </c>
      <c r="GQ185" s="97" t="e">
        <f>'Actual Value'!Q129+"AM:!(~C"</f>
        <v>#VALUE!</v>
      </c>
      <c r="GR185" s="97" t="e">
        <f>'Actual Value'!R129+"AM:!(~D"</f>
        <v>#VALUE!</v>
      </c>
      <c r="GS185" s="97" t="e">
        <f>'Actual Value'!S129+"AM:!(~E"</f>
        <v>#VALUE!</v>
      </c>
      <c r="GT185" s="97" t="e">
        <f>'Actual Value'!T129+"AM:!(~F"</f>
        <v>#VALUE!</v>
      </c>
      <c r="GU185" s="97" t="e">
        <f>'Actual Value'!U129+"AM:!(~G"</f>
        <v>#VALUE!</v>
      </c>
      <c r="GV185" s="97" t="e">
        <f>'Actual Value'!V129+"AM:!(~H"</f>
        <v>#VALUE!</v>
      </c>
      <c r="GW185" s="97" t="e">
        <f>'Actual Value'!W129+"AM:!(~I"</f>
        <v>#VALUE!</v>
      </c>
      <c r="GX185" s="97" t="e">
        <f>'Actual Value'!X129+"AM:!(~J"</f>
        <v>#VALUE!</v>
      </c>
      <c r="GY185" s="97" t="e">
        <f>'Actual Value'!Y129+"AM:!(~K"</f>
        <v>#VALUE!</v>
      </c>
      <c r="GZ185" s="97" t="e">
        <f>'Actual Value'!Z129+"AM:!(~L"</f>
        <v>#VALUE!</v>
      </c>
      <c r="HA185" s="97" t="e">
        <f>'Actual Value'!AA129+"AM:!(~M"</f>
        <v>#VALUE!</v>
      </c>
      <c r="HB185" s="97" t="e">
        <f>'Actual Value'!AB129+"AM:!(~N"</f>
        <v>#VALUE!</v>
      </c>
      <c r="HC185" s="97" t="e">
        <f>'Actual Value'!AC129+"AM:!(~O"</f>
        <v>#VALUE!</v>
      </c>
      <c r="HD185" s="97" t="e">
        <f>'Actual Value'!AD129+"AM:!(~P"</f>
        <v>#VALUE!</v>
      </c>
      <c r="HE185" s="97" t="e">
        <f>'Actual Value'!AE129+"AM:!(~Q"</f>
        <v>#VALUE!</v>
      </c>
      <c r="HF185" s="97" t="e">
        <f>'Actual Value'!AF129+"AM:!(~R"</f>
        <v>#VALUE!</v>
      </c>
      <c r="HG185" s="97" t="e">
        <f>'Actual Value'!AG129+"AM:!(~S"</f>
        <v>#VALUE!</v>
      </c>
      <c r="HH185" s="97" t="e">
        <f>'Actual Value'!AH129+"AM:!(~T"</f>
        <v>#VALUE!</v>
      </c>
      <c r="HI185" s="97" t="e">
        <f>'Actual Value'!AI129+"AM:!(~U"</f>
        <v>#VALUE!</v>
      </c>
      <c r="HJ185" s="97" t="e">
        <f>'Actual Value'!AJ129+"AM:!(~V"</f>
        <v>#VALUE!</v>
      </c>
      <c r="HK185" s="97" t="e">
        <f>'Actual Value'!AK129+"AM:!(~W"</f>
        <v>#VALUE!</v>
      </c>
      <c r="HL185" s="97" t="e">
        <f>'Actual Value'!AL129+"AM:!(~X"</f>
        <v>#VALUE!</v>
      </c>
      <c r="HM185" s="97" t="e">
        <f>'Actual Value'!AM129+"AM:!(~Y"</f>
        <v>#VALUE!</v>
      </c>
      <c r="HN185" s="97" t="e">
        <f>'Actual Value'!AN129+"AM:!(~Z"</f>
        <v>#VALUE!</v>
      </c>
      <c r="HO185" s="97" t="e">
        <f>'Actual Value'!AO129+"AM:!(~["</f>
        <v>#VALUE!</v>
      </c>
      <c r="HP185" t="e">
        <f>'Actual Value'!AP129+"AM:!(~\"</f>
        <v>#VALUE!</v>
      </c>
      <c r="HQ185" t="e">
        <f>'Actual Value'!AQ129+"AM:!(~]"</f>
        <v>#VALUE!</v>
      </c>
      <c r="HR185" t="e">
        <f>'Actual Value'!AR129+"AM:!(~^"</f>
        <v>#VALUE!</v>
      </c>
      <c r="HS185" s="97" t="e">
        <f>'Actual Value'!AS129+"AM:!(~_"</f>
        <v>#VALUE!</v>
      </c>
      <c r="HT185" t="e">
        <f>'Actual Value'!AT129+"AM:!(~`"</f>
        <v>#VALUE!</v>
      </c>
      <c r="HU185" t="e">
        <f>'Actual Value'!AU129+"AM:!(~a"</f>
        <v>#VALUE!</v>
      </c>
      <c r="HV185" t="e">
        <f>'Actual Value'!AV129+"AM:!(~b"</f>
        <v>#VALUE!</v>
      </c>
      <c r="HW185" t="e">
        <f>'Actual Value'!AW129+"AM:!(~c"</f>
        <v>#VALUE!</v>
      </c>
      <c r="HX185" t="e">
        <f>'Actual Value'!A130+"AM:!(~d"</f>
        <v>#VALUE!</v>
      </c>
      <c r="HY185" t="e">
        <f>'Actual Value'!B130+"AM:!(~e"</f>
        <v>#VALUE!</v>
      </c>
      <c r="HZ185" t="e">
        <f>'Actual Value'!C130+"AM:!(~f"</f>
        <v>#VALUE!</v>
      </c>
      <c r="IA185" s="97" t="e">
        <f>'Actual Value'!D130+"AM:!(~g"</f>
        <v>#VALUE!</v>
      </c>
      <c r="IB185" s="97" t="e">
        <f>'Actual Value'!E130+"AM:!(~h"</f>
        <v>#VALUE!</v>
      </c>
      <c r="IC185" s="97" t="e">
        <f>'Actual Value'!F130+"AM:!(~i"</f>
        <v>#VALUE!</v>
      </c>
      <c r="ID185" s="97" t="e">
        <f>'Actual Value'!G130+"AM:!(~j"</f>
        <v>#VALUE!</v>
      </c>
      <c r="IE185" s="97" t="e">
        <f>'Actual Value'!H130+"AM:!(~k"</f>
        <v>#VALUE!</v>
      </c>
      <c r="IF185" s="97" t="e">
        <f>'Actual Value'!I130+"AM:!(~l"</f>
        <v>#VALUE!</v>
      </c>
      <c r="IG185" s="97" t="e">
        <f>'Actual Value'!J130+"AM:!(~m"</f>
        <v>#VALUE!</v>
      </c>
      <c r="IH185" s="97" t="e">
        <f>'Actual Value'!K130+"AM:!(~n"</f>
        <v>#VALUE!</v>
      </c>
      <c r="II185" s="97" t="e">
        <f>'Actual Value'!L130+"AM:!(~o"</f>
        <v>#VALUE!</v>
      </c>
      <c r="IJ185" s="97" t="e">
        <f>'Actual Value'!M130+"AM:!(~p"</f>
        <v>#VALUE!</v>
      </c>
      <c r="IK185" s="97" t="e">
        <f>'Actual Value'!N130+"AM:!(~q"</f>
        <v>#VALUE!</v>
      </c>
      <c r="IL185" s="97" t="e">
        <f>'Actual Value'!O130+"AM:!(~r"</f>
        <v>#VALUE!</v>
      </c>
      <c r="IM185" s="97" t="e">
        <f>'Actual Value'!P130+"AM:!(~s"</f>
        <v>#VALUE!</v>
      </c>
      <c r="IN185" s="97" t="e">
        <f>'Actual Value'!Q130+"AM:!(~t"</f>
        <v>#VALUE!</v>
      </c>
      <c r="IO185" s="97" t="e">
        <f>'Actual Value'!R130+"AM:!(~u"</f>
        <v>#VALUE!</v>
      </c>
      <c r="IP185" s="97" t="e">
        <f>'Actual Value'!S130+"AM:!(~v"</f>
        <v>#VALUE!</v>
      </c>
      <c r="IQ185" s="97" t="e">
        <f>'Actual Value'!T130+"AM:!(~w"</f>
        <v>#VALUE!</v>
      </c>
      <c r="IR185" s="97" t="e">
        <f>'Actual Value'!U130+"AM:!(~x"</f>
        <v>#VALUE!</v>
      </c>
      <c r="IS185" s="97" t="e">
        <f>'Actual Value'!V130+"AM:!(~y"</f>
        <v>#VALUE!</v>
      </c>
      <c r="IT185" s="97" t="e">
        <f>'Actual Value'!W130+"AM:!(~z"</f>
        <v>#VALUE!</v>
      </c>
      <c r="IU185" s="97" t="e">
        <f>'Actual Value'!X130+"AM:!(~{"</f>
        <v>#VALUE!</v>
      </c>
      <c r="IV185" s="97" t="e">
        <f>'Actual Value'!Y130+"AM:!(~|"</f>
        <v>#VALUE!</v>
      </c>
    </row>
    <row r="186" spans="6:256">
      <c r="F186" s="97" t="e">
        <f>'Actual Value'!Z130+"AM:!(~}"</f>
        <v>#VALUE!</v>
      </c>
      <c r="G186" s="97" t="e">
        <f>'Actual Value'!AA130+"AM:!(~~"</f>
        <v>#VALUE!</v>
      </c>
      <c r="H186" s="97" t="e">
        <f>'Actual Value'!AB130+"AM:!)##"</f>
        <v>#VALUE!</v>
      </c>
      <c r="I186" s="97" t="e">
        <f>'Actual Value'!AC130+"AM:!)#$"</f>
        <v>#VALUE!</v>
      </c>
      <c r="J186" s="97" t="e">
        <f>'Actual Value'!AD130+"AM:!)#%"</f>
        <v>#VALUE!</v>
      </c>
      <c r="K186" s="97" t="e">
        <f>'Actual Value'!AE130+"AM:!)#&amp;"</f>
        <v>#VALUE!</v>
      </c>
      <c r="L186" s="97" t="e">
        <f>'Actual Value'!AF130+"AM:!)#'"</f>
        <v>#VALUE!</v>
      </c>
      <c r="M186" s="97" t="e">
        <f>'Actual Value'!AG130+"AM:!)#("</f>
        <v>#VALUE!</v>
      </c>
      <c r="N186" s="97" t="e">
        <f>'Actual Value'!AH130+"AM:!)#)"</f>
        <v>#VALUE!</v>
      </c>
      <c r="O186" s="97" t="e">
        <f>'Actual Value'!AI130+"AM:!)#."</f>
        <v>#VALUE!</v>
      </c>
      <c r="P186" s="97" t="e">
        <f>'Actual Value'!AJ130+"AM:!)#/"</f>
        <v>#VALUE!</v>
      </c>
      <c r="Q186" s="97" t="e">
        <f>'Actual Value'!AK130+"AM:!)#0"</f>
        <v>#VALUE!</v>
      </c>
      <c r="R186" s="97" t="e">
        <f>'Actual Value'!AL130+"AM:!)#1"</f>
        <v>#VALUE!</v>
      </c>
      <c r="S186" s="97" t="e">
        <f>'Actual Value'!AM130+"AM:!)#2"</f>
        <v>#VALUE!</v>
      </c>
      <c r="T186" s="97" t="e">
        <f>'Actual Value'!AN130+"AM:!)#3"</f>
        <v>#VALUE!</v>
      </c>
      <c r="U186" s="97" t="e">
        <f>'Actual Value'!AO130+"AM:!)#4"</f>
        <v>#VALUE!</v>
      </c>
      <c r="V186" t="e">
        <f>'Actual Value'!AP130+"AM:!)#5"</f>
        <v>#VALUE!</v>
      </c>
      <c r="W186" t="e">
        <f>'Actual Value'!AQ130+"AM:!)#6"</f>
        <v>#VALUE!</v>
      </c>
      <c r="X186" t="e">
        <f>'Actual Value'!AR130+"AM:!)#7"</f>
        <v>#VALUE!</v>
      </c>
      <c r="Y186" t="e">
        <f>'Actual Value'!AS130+"AM:!)#8"</f>
        <v>#VALUE!</v>
      </c>
      <c r="Z186" t="e">
        <f>'Actual Value'!AT130+"AM:!)#9"</f>
        <v>#VALUE!</v>
      </c>
      <c r="AA186" t="e">
        <f>'Actual Value'!AU130+"AM:!)#:"</f>
        <v>#VALUE!</v>
      </c>
      <c r="AB186" t="e">
        <f>'Actual Value'!AV130+"AM:!)#;"</f>
        <v>#VALUE!</v>
      </c>
      <c r="AC186" t="e">
        <f>'Actual Value'!AW130+"AM:!)#&lt;"</f>
        <v>#VALUE!</v>
      </c>
      <c r="AD186" t="e">
        <f>'Actual Value'!A131+"AM:!)#="</f>
        <v>#VALUE!</v>
      </c>
      <c r="AE186" t="e">
        <f>'Actual Value'!B131+"AM:!)#&gt;"</f>
        <v>#VALUE!</v>
      </c>
      <c r="AF186" t="e">
        <f>'Actual Value'!C131+"AM:!)#?"</f>
        <v>#VALUE!</v>
      </c>
      <c r="AG186" s="97" t="e">
        <f>'Actual Value'!D131+"AM:!)#@"</f>
        <v>#VALUE!</v>
      </c>
      <c r="AH186" s="97" t="e">
        <f>'Actual Value'!E131+"AM:!)#A"</f>
        <v>#VALUE!</v>
      </c>
      <c r="AI186" s="97" t="e">
        <f>'Actual Value'!F131+"AM:!)#B"</f>
        <v>#VALUE!</v>
      </c>
      <c r="AJ186" s="97" t="e">
        <f>'Actual Value'!G131+"AM:!)#C"</f>
        <v>#VALUE!</v>
      </c>
      <c r="AK186" s="97" t="e">
        <f>'Actual Value'!H131+"AM:!)#D"</f>
        <v>#VALUE!</v>
      </c>
      <c r="AL186" s="97" t="e">
        <f>'Actual Value'!I131+"AM:!)#E"</f>
        <v>#VALUE!</v>
      </c>
      <c r="AM186" s="97" t="e">
        <f>'Actual Value'!J131+"AM:!)#F"</f>
        <v>#VALUE!</v>
      </c>
      <c r="AN186" s="97" t="e">
        <f>'Actual Value'!K131+"AM:!)#G"</f>
        <v>#VALUE!</v>
      </c>
      <c r="AO186" s="97" t="e">
        <f>'Actual Value'!L131+"AM:!)#H"</f>
        <v>#VALUE!</v>
      </c>
      <c r="AP186" s="97" t="e">
        <f>'Actual Value'!M131+"AM:!)#I"</f>
        <v>#VALUE!</v>
      </c>
      <c r="AQ186" s="97" t="e">
        <f>'Actual Value'!N131+"AM:!)#J"</f>
        <v>#VALUE!</v>
      </c>
      <c r="AR186" s="97" t="e">
        <f>'Actual Value'!O131+"AM:!)#K"</f>
        <v>#VALUE!</v>
      </c>
      <c r="AS186" s="97" t="e">
        <f>'Actual Value'!P131+"AM:!)#L"</f>
        <v>#VALUE!</v>
      </c>
      <c r="AT186" s="97" t="e">
        <f>'Actual Value'!Q131+"AM:!)#M"</f>
        <v>#VALUE!</v>
      </c>
      <c r="AU186" s="97" t="e">
        <f>'Actual Value'!R131+"AM:!)#N"</f>
        <v>#VALUE!</v>
      </c>
      <c r="AV186" s="97" t="e">
        <f>'Actual Value'!S131+"AM:!)#O"</f>
        <v>#VALUE!</v>
      </c>
      <c r="AW186" s="97" t="e">
        <f>'Actual Value'!T131+"AM:!)#P"</f>
        <v>#VALUE!</v>
      </c>
      <c r="AX186" s="97" t="e">
        <f>'Actual Value'!U131+"AM:!)#Q"</f>
        <v>#VALUE!</v>
      </c>
      <c r="AY186" s="97" t="e">
        <f>'Actual Value'!V131+"AM:!)#R"</f>
        <v>#VALUE!</v>
      </c>
      <c r="AZ186" s="97" t="e">
        <f>'Actual Value'!W131+"AM:!)#S"</f>
        <v>#VALUE!</v>
      </c>
      <c r="BA186" s="97" t="e">
        <f>'Actual Value'!X131+"AM:!)#T"</f>
        <v>#VALUE!</v>
      </c>
      <c r="BB186" s="97" t="e">
        <f>'Actual Value'!Y131+"AM:!)#U"</f>
        <v>#VALUE!</v>
      </c>
      <c r="BC186" s="97" t="e">
        <f>'Actual Value'!Z131+"AM:!)#V"</f>
        <v>#VALUE!</v>
      </c>
      <c r="BD186" s="97" t="e">
        <f>'Actual Value'!AA131+"AM:!)#W"</f>
        <v>#VALUE!</v>
      </c>
      <c r="BE186" s="97" t="e">
        <f>'Actual Value'!AB131+"AM:!)#X"</f>
        <v>#VALUE!</v>
      </c>
      <c r="BF186" s="97" t="e">
        <f>'Actual Value'!AC131+"AM:!)#Y"</f>
        <v>#VALUE!</v>
      </c>
      <c r="BG186" s="97" t="e">
        <f>'Actual Value'!AD131+"AM:!)#Z"</f>
        <v>#VALUE!</v>
      </c>
      <c r="BH186" s="97" t="e">
        <f>'Actual Value'!AE131+"AM:!)#["</f>
        <v>#VALUE!</v>
      </c>
      <c r="BI186" s="97" t="e">
        <f>'Actual Value'!AF131+"AM:!)#\"</f>
        <v>#VALUE!</v>
      </c>
      <c r="BJ186" s="97" t="e">
        <f>'Actual Value'!AG131+"AM:!)#]"</f>
        <v>#VALUE!</v>
      </c>
      <c r="BK186" s="97" t="e">
        <f>'Actual Value'!AH131+"AM:!)#^"</f>
        <v>#VALUE!</v>
      </c>
      <c r="BL186" s="97" t="e">
        <f>'Actual Value'!AI131+"AM:!)#_"</f>
        <v>#VALUE!</v>
      </c>
      <c r="BM186" s="97" t="e">
        <f>'Actual Value'!AJ131+"AM:!)#`"</f>
        <v>#VALUE!</v>
      </c>
      <c r="BN186" s="97" t="e">
        <f>'Actual Value'!AK131+"AM:!)#a"</f>
        <v>#VALUE!</v>
      </c>
      <c r="BO186" s="97" t="e">
        <f>'Actual Value'!AL131+"AM:!)#b"</f>
        <v>#VALUE!</v>
      </c>
      <c r="BP186" s="97" t="e">
        <f>'Actual Value'!AM131+"AM:!)#c"</f>
        <v>#VALUE!</v>
      </c>
      <c r="BQ186" s="97" t="e">
        <f>'Actual Value'!AN131+"AM:!)#d"</f>
        <v>#VALUE!</v>
      </c>
      <c r="BR186" s="97" t="e">
        <f>'Actual Value'!AO131+"AM:!)#e"</f>
        <v>#VALUE!</v>
      </c>
      <c r="BS186" t="e">
        <f>'Actual Value'!AP131+"AM:!)#f"</f>
        <v>#VALUE!</v>
      </c>
      <c r="BT186" t="e">
        <f>'Actual Value'!AQ131+"AM:!)#g"</f>
        <v>#VALUE!</v>
      </c>
      <c r="BU186" t="e">
        <f>'Actual Value'!AR131+"AM:!)#h"</f>
        <v>#VALUE!</v>
      </c>
      <c r="BV186" t="e">
        <f>'Actual Value'!AS131+"AM:!)#i"</f>
        <v>#VALUE!</v>
      </c>
      <c r="BW186" t="e">
        <f>'Actual Value'!AT131+"AM:!)#j"</f>
        <v>#VALUE!</v>
      </c>
      <c r="BX186" t="e">
        <f>'Actual Value'!AU131+"AM:!)#k"</f>
        <v>#VALUE!</v>
      </c>
      <c r="BY186" t="e">
        <f>'Actual Value'!AV131+"AM:!)#l"</f>
        <v>#VALUE!</v>
      </c>
      <c r="BZ186" t="e">
        <f>'Actual Value'!AW131+"AM:!)#m"</f>
        <v>#VALUE!</v>
      </c>
      <c r="CA186" t="e">
        <f>'Actual Value'!AX131+"AM:!)#n"</f>
        <v>#VALUE!</v>
      </c>
      <c r="CB186" t="e">
        <f>'Actual Value'!A132+"AM:!)#o"</f>
        <v>#VALUE!</v>
      </c>
      <c r="CC186" t="e">
        <f>'Actual Value'!B132+"AM:!)#p"</f>
        <v>#VALUE!</v>
      </c>
      <c r="CD186" t="e">
        <f>'Actual Value'!C132+"AM:!)#q"</f>
        <v>#VALUE!</v>
      </c>
      <c r="CE186" s="97" t="e">
        <f>'Actual Value'!D132+"AM:!)#r"</f>
        <v>#VALUE!</v>
      </c>
      <c r="CF186" s="97" t="e">
        <f>'Actual Value'!E132+"AM:!)#s"</f>
        <v>#VALUE!</v>
      </c>
      <c r="CG186" s="97" t="e">
        <f>'Actual Value'!F132+"AM:!)#t"</f>
        <v>#VALUE!</v>
      </c>
      <c r="CH186" s="97" t="e">
        <f>'Actual Value'!G132+"AM:!)#u"</f>
        <v>#VALUE!</v>
      </c>
      <c r="CI186" s="97" t="e">
        <f>'Actual Value'!H132+"AM:!)#v"</f>
        <v>#VALUE!</v>
      </c>
      <c r="CJ186" s="97" t="e">
        <f>'Actual Value'!I132+"AM:!)#w"</f>
        <v>#VALUE!</v>
      </c>
      <c r="CK186" s="97" t="e">
        <f>'Actual Value'!J132+"AM:!)#x"</f>
        <v>#VALUE!</v>
      </c>
      <c r="CL186" s="97" t="e">
        <f>'Actual Value'!K132+"AM:!)#y"</f>
        <v>#VALUE!</v>
      </c>
      <c r="CM186" s="97" t="e">
        <f>'Actual Value'!L132+"AM:!)#z"</f>
        <v>#VALUE!</v>
      </c>
      <c r="CN186" s="97" t="e">
        <f>'Actual Value'!M132+"AM:!)#{"</f>
        <v>#VALUE!</v>
      </c>
      <c r="CO186" s="97" t="e">
        <f>'Actual Value'!N132+"AM:!)#|"</f>
        <v>#VALUE!</v>
      </c>
      <c r="CP186" s="97" t="e">
        <f>'Actual Value'!O132+"AM:!)#}"</f>
        <v>#VALUE!</v>
      </c>
      <c r="CQ186" s="97" t="e">
        <f>'Actual Value'!P132+"AM:!)#~"</f>
        <v>#VALUE!</v>
      </c>
      <c r="CR186" s="97" t="e">
        <f>'Actual Value'!Q132+"AM:!)$#"</f>
        <v>#VALUE!</v>
      </c>
      <c r="CS186" s="97" t="e">
        <f>'Actual Value'!R132+"AM:!)$$"</f>
        <v>#VALUE!</v>
      </c>
      <c r="CT186" s="97" t="e">
        <f>'Actual Value'!S132+"AM:!)$%"</f>
        <v>#VALUE!</v>
      </c>
      <c r="CU186" s="97" t="e">
        <f>'Actual Value'!T132+"AM:!)$&amp;"</f>
        <v>#VALUE!</v>
      </c>
      <c r="CV186" s="97" t="e">
        <f>'Actual Value'!U132+"AM:!)$'"</f>
        <v>#VALUE!</v>
      </c>
      <c r="CW186" s="97" t="e">
        <f>'Actual Value'!V132+"AM:!)$("</f>
        <v>#VALUE!</v>
      </c>
      <c r="CX186" s="97" t="e">
        <f>'Actual Value'!W132+"AM:!)$)"</f>
        <v>#VALUE!</v>
      </c>
      <c r="CY186" s="97" t="e">
        <f>'Actual Value'!X132+"AM:!)$."</f>
        <v>#VALUE!</v>
      </c>
      <c r="CZ186" s="97" t="e">
        <f>'Actual Value'!Y132+"AM:!)$/"</f>
        <v>#VALUE!</v>
      </c>
      <c r="DA186" s="97" t="e">
        <f>'Actual Value'!Z132+"AM:!)$0"</f>
        <v>#VALUE!</v>
      </c>
      <c r="DB186" s="97" t="e">
        <f>'Actual Value'!AA132+"AM:!)$1"</f>
        <v>#VALUE!</v>
      </c>
      <c r="DC186" s="97" t="e">
        <f>'Actual Value'!AB132+"AM:!)$2"</f>
        <v>#VALUE!</v>
      </c>
      <c r="DD186" s="97" t="e">
        <f>'Actual Value'!AC132+"AM:!)$3"</f>
        <v>#VALUE!</v>
      </c>
      <c r="DE186" s="97" t="e">
        <f>'Actual Value'!AD132+"AM:!)$4"</f>
        <v>#VALUE!</v>
      </c>
      <c r="DF186" s="97" t="e">
        <f>'Actual Value'!AE132+"AM:!)$5"</f>
        <v>#VALUE!</v>
      </c>
      <c r="DG186" s="97" t="e">
        <f>'Actual Value'!AF132+"AM:!)$6"</f>
        <v>#VALUE!</v>
      </c>
      <c r="DH186" s="97" t="e">
        <f>'Actual Value'!AG132+"AM:!)$7"</f>
        <v>#VALUE!</v>
      </c>
      <c r="DI186" s="97" t="e">
        <f>'Actual Value'!AH132+"AM:!)$8"</f>
        <v>#VALUE!</v>
      </c>
      <c r="DJ186" s="97" t="e">
        <f>'Actual Value'!AI132+"AM:!)$9"</f>
        <v>#VALUE!</v>
      </c>
      <c r="DK186" s="97" t="e">
        <f>'Actual Value'!AJ132+"AM:!)$:"</f>
        <v>#VALUE!</v>
      </c>
      <c r="DL186" s="97" t="e">
        <f>'Actual Value'!AK132+"AM:!)$;"</f>
        <v>#VALUE!</v>
      </c>
      <c r="DM186" s="97" t="e">
        <f>'Actual Value'!AL132+"AM:!)$&lt;"</f>
        <v>#VALUE!</v>
      </c>
      <c r="DN186" s="97" t="e">
        <f>'Actual Value'!AM132+"AM:!)$="</f>
        <v>#VALUE!</v>
      </c>
      <c r="DO186" s="97" t="e">
        <f>'Actual Value'!AN132+"AM:!)$&gt;"</f>
        <v>#VALUE!</v>
      </c>
      <c r="DP186" s="97" t="e">
        <f>'Actual Value'!AO132+"AM:!)$?"</f>
        <v>#VALUE!</v>
      </c>
      <c r="DQ186" t="e">
        <f>'Actual Value'!AP132+"AM:!)$@"</f>
        <v>#VALUE!</v>
      </c>
      <c r="DR186" t="e">
        <f>'Actual Value'!AQ132+"AM:!)$A"</f>
        <v>#VALUE!</v>
      </c>
      <c r="DS186" t="e">
        <f>'Actual Value'!AR132+"AM:!)$B"</f>
        <v>#VALUE!</v>
      </c>
      <c r="DT186" t="e">
        <f>'Actual Value'!AS132+"AM:!)$C"</f>
        <v>#VALUE!</v>
      </c>
      <c r="DU186" t="e">
        <f>'Actual Value'!AT132+"AM:!)$D"</f>
        <v>#VALUE!</v>
      </c>
      <c r="DV186" t="e">
        <f>'Actual Value'!AU132+"AM:!)$E"</f>
        <v>#VALUE!</v>
      </c>
      <c r="DW186" t="e">
        <f>'Actual Value'!AV132+"AM:!)$F"</f>
        <v>#VALUE!</v>
      </c>
      <c r="DX186" t="e">
        <f>'Actual Value'!AW132+"AM:!)$G"</f>
        <v>#VALUE!</v>
      </c>
      <c r="DY186" t="e">
        <f>'Actual Value'!AX132+"AM:!)$H"</f>
        <v>#VALUE!</v>
      </c>
      <c r="DZ186" t="e">
        <f>'Actual Value'!A133+"AM:!)$I"</f>
        <v>#VALUE!</v>
      </c>
      <c r="EA186" t="e">
        <f>'Actual Value'!B133+"AM:!)$J"</f>
        <v>#VALUE!</v>
      </c>
      <c r="EB186" t="e">
        <f>'Actual Value'!C133+"AM:!)$K"</f>
        <v>#VALUE!</v>
      </c>
      <c r="EC186" s="97" t="e">
        <f>'Actual Value'!D133+"AM:!)$L"</f>
        <v>#VALUE!</v>
      </c>
      <c r="ED186" s="97" t="e">
        <f>'Actual Value'!E133+"AM:!)$M"</f>
        <v>#VALUE!</v>
      </c>
      <c r="EE186" s="97" t="e">
        <f>'Actual Value'!F133+"AM:!)$N"</f>
        <v>#VALUE!</v>
      </c>
      <c r="EF186" s="97" t="e">
        <f>'Actual Value'!G133+"AM:!)$O"</f>
        <v>#VALUE!</v>
      </c>
      <c r="EG186" s="97" t="e">
        <f>'Actual Value'!H133+"AM:!)$P"</f>
        <v>#VALUE!</v>
      </c>
      <c r="EH186" s="97" t="e">
        <f>'Actual Value'!I133+"AM:!)$Q"</f>
        <v>#VALUE!</v>
      </c>
      <c r="EI186" s="97" t="e">
        <f>'Actual Value'!J133+"AM:!)$R"</f>
        <v>#VALUE!</v>
      </c>
      <c r="EJ186" s="97" t="e">
        <f>'Actual Value'!K133+"AM:!)$S"</f>
        <v>#VALUE!</v>
      </c>
      <c r="EK186" s="97" t="e">
        <f>'Actual Value'!L133+"AM:!)$T"</f>
        <v>#VALUE!</v>
      </c>
      <c r="EL186" s="97" t="e">
        <f>'Actual Value'!M133+"AM:!)$U"</f>
        <v>#VALUE!</v>
      </c>
      <c r="EM186" s="97" t="e">
        <f>'Actual Value'!N133+"AM:!)$V"</f>
        <v>#VALUE!</v>
      </c>
      <c r="EN186" s="97" t="e">
        <f>'Actual Value'!O133+"AM:!)$W"</f>
        <v>#VALUE!</v>
      </c>
      <c r="EO186" s="97" t="e">
        <f>'Actual Value'!P133+"AM:!)$X"</f>
        <v>#VALUE!</v>
      </c>
      <c r="EP186" s="97" t="e">
        <f>'Actual Value'!Q133+"AM:!)$Y"</f>
        <v>#VALUE!</v>
      </c>
      <c r="EQ186" s="97" t="e">
        <f>'Actual Value'!R133+"AM:!)$Z"</f>
        <v>#VALUE!</v>
      </c>
      <c r="ER186" s="97" t="e">
        <f>'Actual Value'!S133+"AM:!)$["</f>
        <v>#VALUE!</v>
      </c>
      <c r="ES186" s="97" t="e">
        <f>'Actual Value'!T133+"AM:!)$\"</f>
        <v>#VALUE!</v>
      </c>
      <c r="ET186" s="97" t="e">
        <f>'Actual Value'!U133+"AM:!)$]"</f>
        <v>#VALUE!</v>
      </c>
      <c r="EU186" s="97" t="e">
        <f>'Actual Value'!V133+"AM:!)$^"</f>
        <v>#VALUE!</v>
      </c>
      <c r="EV186" s="97" t="e">
        <f>'Actual Value'!W133+"AM:!)$_"</f>
        <v>#VALUE!</v>
      </c>
      <c r="EW186" s="97" t="e">
        <f>'Actual Value'!X133+"AM:!)$`"</f>
        <v>#VALUE!</v>
      </c>
      <c r="EX186" s="97" t="e">
        <f>'Actual Value'!Y133+"AM:!)$a"</f>
        <v>#VALUE!</v>
      </c>
      <c r="EY186" s="97" t="e">
        <f>'Actual Value'!Z133+"AM:!)$b"</f>
        <v>#VALUE!</v>
      </c>
      <c r="EZ186" s="97" t="e">
        <f>'Actual Value'!AA133+"AM:!)$c"</f>
        <v>#VALUE!</v>
      </c>
      <c r="FA186" s="97" t="e">
        <f>'Actual Value'!AB133+"AM:!)$d"</f>
        <v>#VALUE!</v>
      </c>
      <c r="FB186" s="97" t="e">
        <f>'Actual Value'!AC133+"AM:!)$e"</f>
        <v>#VALUE!</v>
      </c>
      <c r="FC186" s="97" t="e">
        <f>'Actual Value'!AD133+"AM:!)$f"</f>
        <v>#VALUE!</v>
      </c>
      <c r="FD186" s="97" t="e">
        <f>'Actual Value'!AE133+"AM:!)$g"</f>
        <v>#VALUE!</v>
      </c>
      <c r="FE186" s="97" t="e">
        <f>'Actual Value'!AF133+"AM:!)$h"</f>
        <v>#VALUE!</v>
      </c>
      <c r="FF186" s="97" t="e">
        <f>'Actual Value'!AG133+"AM:!)$i"</f>
        <v>#VALUE!</v>
      </c>
      <c r="FG186" s="97" t="e">
        <f>'Actual Value'!AH133+"AM:!)$j"</f>
        <v>#VALUE!</v>
      </c>
      <c r="FH186" s="97" t="e">
        <f>'Actual Value'!AI133+"AM:!)$k"</f>
        <v>#VALUE!</v>
      </c>
      <c r="FI186" s="97" t="e">
        <f>'Actual Value'!AJ133+"AM:!)$l"</f>
        <v>#VALUE!</v>
      </c>
      <c r="FJ186" s="97" t="e">
        <f>'Actual Value'!AK133+"AM:!)$m"</f>
        <v>#VALUE!</v>
      </c>
      <c r="FK186" s="97" t="e">
        <f>'Actual Value'!AL133+"AM:!)$n"</f>
        <v>#VALUE!</v>
      </c>
      <c r="FL186" s="97" t="e">
        <f>'Actual Value'!AM133+"AM:!)$o"</f>
        <v>#VALUE!</v>
      </c>
      <c r="FM186" s="97" t="e">
        <f>'Actual Value'!AN133+"AM:!)$p"</f>
        <v>#VALUE!</v>
      </c>
      <c r="FN186" s="97" t="e">
        <f>'Actual Value'!AO133+"AM:!)$q"</f>
        <v>#VALUE!</v>
      </c>
      <c r="FO186" t="e">
        <f>'Actual Value'!AP133+"AM:!)$r"</f>
        <v>#VALUE!</v>
      </c>
      <c r="FP186" t="e">
        <f>'Actual Value'!AQ133+"AM:!)$s"</f>
        <v>#VALUE!</v>
      </c>
      <c r="FQ186" t="e">
        <f>'Actual Value'!AR133+"AM:!)$t"</f>
        <v>#VALUE!</v>
      </c>
      <c r="FR186" t="e">
        <f>'Actual Value'!AS133+"AM:!)$u"</f>
        <v>#VALUE!</v>
      </c>
      <c r="FS186" t="e">
        <f>'Actual Value'!AT133+"AM:!)$v"</f>
        <v>#VALUE!</v>
      </c>
      <c r="FT186" t="e">
        <f>'Actual Value'!AU133+"AM:!)$w"</f>
        <v>#VALUE!</v>
      </c>
      <c r="FU186" t="e">
        <f>'Actual Value'!AV133+"AM:!)$x"</f>
        <v>#VALUE!</v>
      </c>
      <c r="FV186" t="e">
        <f>'Actual Value'!AW133+"AM:!)$y"</f>
        <v>#VALUE!</v>
      </c>
      <c r="FW186" t="e">
        <f>'Actual Value'!AX133+"AM:!)$z"</f>
        <v>#VALUE!</v>
      </c>
      <c r="FX186" t="e">
        <f>'Actual Value'!A134+"AM:!)${"</f>
        <v>#VALUE!</v>
      </c>
      <c r="FY186" t="e">
        <f>'Actual Value'!B134+"AM:!)$|"</f>
        <v>#VALUE!</v>
      </c>
      <c r="FZ186" t="e">
        <f>'Actual Value'!C134+"AM:!)$}"</f>
        <v>#VALUE!</v>
      </c>
      <c r="GA186" s="97" t="e">
        <f>'Actual Value'!D134+"AM:!)$~"</f>
        <v>#VALUE!</v>
      </c>
      <c r="GB186" s="97" t="e">
        <f>'Actual Value'!E134+"AM:!)%#"</f>
        <v>#VALUE!</v>
      </c>
      <c r="GC186" s="97" t="e">
        <f>'Actual Value'!F134+"AM:!)%$"</f>
        <v>#VALUE!</v>
      </c>
      <c r="GD186" s="97" t="e">
        <f>'Actual Value'!G134+"AM:!)%%"</f>
        <v>#VALUE!</v>
      </c>
      <c r="GE186" s="97" t="e">
        <f>'Actual Value'!H134+"AM:!)%&amp;"</f>
        <v>#VALUE!</v>
      </c>
      <c r="GF186" s="97" t="e">
        <f>'Actual Value'!I134+"AM:!)%'"</f>
        <v>#VALUE!</v>
      </c>
      <c r="GG186" s="97" t="e">
        <f>'Actual Value'!J134+"AM:!)%("</f>
        <v>#VALUE!</v>
      </c>
      <c r="GH186" s="97" t="e">
        <f>'Actual Value'!K134+"AM:!)%)"</f>
        <v>#VALUE!</v>
      </c>
      <c r="GI186" s="97" t="e">
        <f>'Actual Value'!L134+"AM:!)%."</f>
        <v>#VALUE!</v>
      </c>
      <c r="GJ186" s="97" t="e">
        <f>'Actual Value'!M134+"AM:!)%/"</f>
        <v>#VALUE!</v>
      </c>
      <c r="GK186" s="97" t="e">
        <f>'Actual Value'!N134+"AM:!)%0"</f>
        <v>#VALUE!</v>
      </c>
      <c r="GL186" s="97" t="e">
        <f>'Actual Value'!O134+"AM:!)%1"</f>
        <v>#VALUE!</v>
      </c>
      <c r="GM186" s="97" t="e">
        <f>'Actual Value'!P134+"AM:!)%2"</f>
        <v>#VALUE!</v>
      </c>
      <c r="GN186" s="97" t="e">
        <f>'Actual Value'!Q134+"AM:!)%3"</f>
        <v>#VALUE!</v>
      </c>
      <c r="GO186" s="97" t="e">
        <f>'Actual Value'!R134+"AM:!)%4"</f>
        <v>#VALUE!</v>
      </c>
      <c r="GP186" s="97" t="e">
        <f>'Actual Value'!S134+"AM:!)%5"</f>
        <v>#VALUE!</v>
      </c>
      <c r="GQ186" s="97" t="e">
        <f>'Actual Value'!T134+"AM:!)%6"</f>
        <v>#VALUE!</v>
      </c>
      <c r="GR186" s="97" t="e">
        <f>'Actual Value'!U134+"AM:!)%7"</f>
        <v>#VALUE!</v>
      </c>
      <c r="GS186" s="97" t="e">
        <f>'Actual Value'!V134+"AM:!)%8"</f>
        <v>#VALUE!</v>
      </c>
      <c r="GT186" s="97" t="e">
        <f>'Actual Value'!W134+"AM:!)%9"</f>
        <v>#VALUE!</v>
      </c>
      <c r="GU186" s="97" t="e">
        <f>'Actual Value'!X134+"AM:!)%:"</f>
        <v>#VALUE!</v>
      </c>
      <c r="GV186" s="97" t="e">
        <f>'Actual Value'!Y134+"AM:!)%;"</f>
        <v>#VALUE!</v>
      </c>
      <c r="GW186" s="97" t="e">
        <f>'Actual Value'!Z134+"AM:!)%&lt;"</f>
        <v>#VALUE!</v>
      </c>
      <c r="GX186" s="97" t="e">
        <f>'Actual Value'!AA134+"AM:!)%="</f>
        <v>#VALUE!</v>
      </c>
      <c r="GY186" s="97" t="e">
        <f>'Actual Value'!AB134+"AM:!)%&gt;"</f>
        <v>#VALUE!</v>
      </c>
      <c r="GZ186" s="97" t="e">
        <f>'Actual Value'!AC134+"AM:!)%?"</f>
        <v>#VALUE!</v>
      </c>
      <c r="HA186" s="97" t="e">
        <f>'Actual Value'!AD134+"AM:!)%@"</f>
        <v>#VALUE!</v>
      </c>
      <c r="HB186" s="97" t="e">
        <f>'Actual Value'!AE134+"AM:!)%A"</f>
        <v>#VALUE!</v>
      </c>
      <c r="HC186" s="97" t="e">
        <f>'Actual Value'!AF134+"AM:!)%B"</f>
        <v>#VALUE!</v>
      </c>
      <c r="HD186" s="97" t="e">
        <f>'Actual Value'!AG134+"AM:!)%C"</f>
        <v>#VALUE!</v>
      </c>
      <c r="HE186" s="97" t="e">
        <f>'Actual Value'!AH134+"AM:!)%D"</f>
        <v>#VALUE!</v>
      </c>
      <c r="HF186" s="97" t="e">
        <f>'Actual Value'!AI134+"AM:!)%E"</f>
        <v>#VALUE!</v>
      </c>
      <c r="HG186" s="97" t="e">
        <f>'Actual Value'!AJ134+"AM:!)%F"</f>
        <v>#VALUE!</v>
      </c>
      <c r="HH186" s="97" t="e">
        <f>'Actual Value'!AK134+"AM:!)%G"</f>
        <v>#VALUE!</v>
      </c>
      <c r="HI186" s="97" t="e">
        <f>'Actual Value'!AL134+"AM:!)%H"</f>
        <v>#VALUE!</v>
      </c>
      <c r="HJ186" s="97" t="e">
        <f>'Actual Value'!AM134+"AM:!)%I"</f>
        <v>#VALUE!</v>
      </c>
      <c r="HK186" s="97" t="e">
        <f>'Actual Value'!AN134+"AM:!)%J"</f>
        <v>#VALUE!</v>
      </c>
      <c r="HL186" s="97" t="e">
        <f>'Actual Value'!AO134+"AM:!)%K"</f>
        <v>#VALUE!</v>
      </c>
      <c r="HM186" t="e">
        <f>'Actual Value'!AP134+"AM:!)%L"</f>
        <v>#VALUE!</v>
      </c>
      <c r="HN186" t="e">
        <f>'Actual Value'!AQ134+"AM:!)%M"</f>
        <v>#VALUE!</v>
      </c>
      <c r="HO186" t="e">
        <f>'Actual Value'!AR134+"AM:!)%N"</f>
        <v>#VALUE!</v>
      </c>
      <c r="HP186" t="e">
        <f>'Actual Value'!AS134+"AM:!)%O"</f>
        <v>#VALUE!</v>
      </c>
      <c r="HQ186" t="e">
        <f>'Actual Value'!AT134+"AM:!)%P"</f>
        <v>#VALUE!</v>
      </c>
      <c r="HR186" t="e">
        <f>'Actual Value'!AU134+"AM:!)%Q"</f>
        <v>#VALUE!</v>
      </c>
      <c r="HS186" t="e">
        <f>'Actual Value'!AV134+"AM:!)%R"</f>
        <v>#VALUE!</v>
      </c>
      <c r="HT186" t="e">
        <f>'Actual Value'!AW134+"AM:!)%S"</f>
        <v>#VALUE!</v>
      </c>
      <c r="HU186" t="e">
        <f>'Actual Value'!AX134+"AM:!)%T"</f>
        <v>#VALUE!</v>
      </c>
      <c r="HV186" t="e">
        <f>'Actual Value'!A135+"AM:!)%U"</f>
        <v>#VALUE!</v>
      </c>
      <c r="HW186" t="e">
        <f>'Actual Value'!B135+"AM:!)%V"</f>
        <v>#VALUE!</v>
      </c>
      <c r="HX186" t="e">
        <f>'Actual Value'!C135+"AM:!)%W"</f>
        <v>#VALUE!</v>
      </c>
      <c r="HY186" s="97" t="e">
        <f>'Actual Value'!D135+"AM:!)%X"</f>
        <v>#VALUE!</v>
      </c>
      <c r="HZ186" s="97" t="e">
        <f>'Actual Value'!E135+"AM:!)%Y"</f>
        <v>#VALUE!</v>
      </c>
      <c r="IA186" s="97" t="e">
        <f>'Actual Value'!F135+"AM:!)%Z"</f>
        <v>#VALUE!</v>
      </c>
      <c r="IB186" s="97" t="e">
        <f>'Actual Value'!G135+"AM:!)%["</f>
        <v>#VALUE!</v>
      </c>
      <c r="IC186" s="97" t="e">
        <f>'Actual Value'!H135+"AM:!)%\"</f>
        <v>#VALUE!</v>
      </c>
      <c r="ID186" s="97" t="e">
        <f>'Actual Value'!I135+"AM:!)%]"</f>
        <v>#VALUE!</v>
      </c>
      <c r="IE186" s="97" t="e">
        <f>'Actual Value'!J135+"AM:!)%^"</f>
        <v>#VALUE!</v>
      </c>
      <c r="IF186" s="97" t="e">
        <f>'Actual Value'!K135+"AM:!)%_"</f>
        <v>#VALUE!</v>
      </c>
      <c r="IG186" s="97" t="e">
        <f>'Actual Value'!L135+"AM:!)%`"</f>
        <v>#VALUE!</v>
      </c>
      <c r="IH186" s="97" t="e">
        <f>'Actual Value'!M135+"AM:!)%a"</f>
        <v>#VALUE!</v>
      </c>
      <c r="II186" s="97" t="e">
        <f>'Actual Value'!N135+"AM:!)%b"</f>
        <v>#VALUE!</v>
      </c>
      <c r="IJ186" s="97" t="e">
        <f>'Actual Value'!O135+"AM:!)%c"</f>
        <v>#VALUE!</v>
      </c>
      <c r="IK186" s="97" t="e">
        <f>'Actual Value'!P135+"AM:!)%d"</f>
        <v>#VALUE!</v>
      </c>
      <c r="IL186" s="97" t="e">
        <f>'Actual Value'!Q135+"AM:!)%e"</f>
        <v>#VALUE!</v>
      </c>
      <c r="IM186" s="97" t="e">
        <f>'Actual Value'!R135+"AM:!)%f"</f>
        <v>#VALUE!</v>
      </c>
      <c r="IN186" s="97" t="e">
        <f>'Actual Value'!S135+"AM:!)%g"</f>
        <v>#VALUE!</v>
      </c>
      <c r="IO186" s="97" t="e">
        <f>'Actual Value'!T135+"AM:!)%h"</f>
        <v>#VALUE!</v>
      </c>
      <c r="IP186" s="97" t="e">
        <f>'Actual Value'!U135+"AM:!)%i"</f>
        <v>#VALUE!</v>
      </c>
      <c r="IQ186" s="97" t="e">
        <f>'Actual Value'!V135+"AM:!)%j"</f>
        <v>#VALUE!</v>
      </c>
      <c r="IR186" s="97" t="e">
        <f>'Actual Value'!W135+"AM:!)%k"</f>
        <v>#VALUE!</v>
      </c>
      <c r="IS186" s="97" t="e">
        <f>'Actual Value'!X135+"AM:!)%l"</f>
        <v>#VALUE!</v>
      </c>
      <c r="IT186" s="97" t="e">
        <f>'Actual Value'!Y135+"AM:!)%m"</f>
        <v>#VALUE!</v>
      </c>
      <c r="IU186" s="97" t="e">
        <f>'Actual Value'!Z135+"AM:!)%n"</f>
        <v>#VALUE!</v>
      </c>
      <c r="IV186" s="97" t="e">
        <f>'Actual Value'!AA135+"AM:!)%o"</f>
        <v>#VALUE!</v>
      </c>
    </row>
    <row r="187" spans="6:256">
      <c r="F187" s="97" t="e">
        <f>'Actual Value'!AB135+"AM:!)%p"</f>
        <v>#VALUE!</v>
      </c>
      <c r="G187" s="97" t="e">
        <f>'Actual Value'!AC135+"AM:!)%q"</f>
        <v>#VALUE!</v>
      </c>
      <c r="H187" s="97" t="e">
        <f>'Actual Value'!AD135+"AM:!)%r"</f>
        <v>#VALUE!</v>
      </c>
      <c r="I187" s="97" t="e">
        <f>'Actual Value'!AE135+"AM:!)%s"</f>
        <v>#VALUE!</v>
      </c>
      <c r="J187" s="97" t="e">
        <f>'Actual Value'!AF135+"AM:!)%t"</f>
        <v>#VALUE!</v>
      </c>
      <c r="K187" s="97" t="e">
        <f>'Actual Value'!AG135+"AM:!)%u"</f>
        <v>#VALUE!</v>
      </c>
      <c r="L187" s="97" t="e">
        <f>'Actual Value'!AH135+"AM:!)%v"</f>
        <v>#VALUE!</v>
      </c>
      <c r="M187" s="97" t="e">
        <f>'Actual Value'!AI135+"AM:!)%w"</f>
        <v>#VALUE!</v>
      </c>
      <c r="N187" s="97" t="e">
        <f>'Actual Value'!AJ135+"AM:!)%x"</f>
        <v>#VALUE!</v>
      </c>
      <c r="O187" s="97" t="e">
        <f>'Actual Value'!AK135+"AM:!)%y"</f>
        <v>#VALUE!</v>
      </c>
      <c r="P187" s="97" t="e">
        <f>'Actual Value'!AL135+"AM:!)%z"</f>
        <v>#VALUE!</v>
      </c>
      <c r="Q187" s="97" t="e">
        <f>'Actual Value'!AM135+"AM:!)%{"</f>
        <v>#VALUE!</v>
      </c>
      <c r="R187" s="97" t="e">
        <f>'Actual Value'!AN135+"AM:!)%|"</f>
        <v>#VALUE!</v>
      </c>
      <c r="S187" s="97" t="e">
        <f>'Actual Value'!AO135+"AM:!)%}"</f>
        <v>#VALUE!</v>
      </c>
      <c r="T187" t="e">
        <f>'Actual Value'!AP135+"AM:!)%~"</f>
        <v>#VALUE!</v>
      </c>
      <c r="U187" t="e">
        <f>'Actual Value'!AQ135+"AM:!)&amp;#"</f>
        <v>#VALUE!</v>
      </c>
      <c r="V187" t="e">
        <f>'Actual Value'!AR135+"AM:!)&amp;$"</f>
        <v>#VALUE!</v>
      </c>
      <c r="W187" t="e">
        <f>'Actual Value'!AS135+"AM:!)&amp;%"</f>
        <v>#VALUE!</v>
      </c>
      <c r="X187" t="e">
        <f>'Actual Value'!AT135+"AM:!)&amp;&amp;"</f>
        <v>#VALUE!</v>
      </c>
      <c r="Y187" t="e">
        <f>'Actual Value'!AU135+"AM:!)&amp;'"</f>
        <v>#VALUE!</v>
      </c>
      <c r="Z187" t="e">
        <f>'Actual Value'!AV135+"AM:!)&amp;("</f>
        <v>#VALUE!</v>
      </c>
      <c r="AA187" t="e">
        <f>'Actual Value'!AW135+"AM:!)&amp;)"</f>
        <v>#VALUE!</v>
      </c>
      <c r="AB187" t="e">
        <f>'Actual Value'!AX135+"AM:!)&amp;."</f>
        <v>#VALUE!</v>
      </c>
      <c r="AC187" t="e">
        <f>'Actual Value'!A136+"AM:!)&amp;/"</f>
        <v>#VALUE!</v>
      </c>
      <c r="AD187" t="e">
        <f>'Actual Value'!B136+"AM:!)&amp;0"</f>
        <v>#VALUE!</v>
      </c>
      <c r="AE187" t="e">
        <f>'Actual Value'!C136+"AM:!)&amp;1"</f>
        <v>#VALUE!</v>
      </c>
      <c r="AF187" s="97" t="e">
        <f>'Actual Value'!D136+"AM:!)&amp;2"</f>
        <v>#VALUE!</v>
      </c>
      <c r="AG187" s="97" t="e">
        <f>'Actual Value'!E136+"AM:!)&amp;3"</f>
        <v>#VALUE!</v>
      </c>
      <c r="AH187" s="97" t="e">
        <f>'Actual Value'!F136+"AM:!)&amp;4"</f>
        <v>#VALUE!</v>
      </c>
      <c r="AI187" s="97" t="e">
        <f>'Actual Value'!G136+"AM:!)&amp;5"</f>
        <v>#VALUE!</v>
      </c>
      <c r="AJ187" s="97" t="e">
        <f>'Actual Value'!H136+"AM:!)&amp;6"</f>
        <v>#VALUE!</v>
      </c>
      <c r="AK187" s="97" t="e">
        <f>'Actual Value'!I136+"AM:!)&amp;7"</f>
        <v>#VALUE!</v>
      </c>
      <c r="AL187" s="97" t="e">
        <f>'Actual Value'!J136+"AM:!)&amp;8"</f>
        <v>#VALUE!</v>
      </c>
      <c r="AM187" s="97" t="e">
        <f>'Actual Value'!K136+"AM:!)&amp;9"</f>
        <v>#VALUE!</v>
      </c>
      <c r="AN187" s="97" t="e">
        <f>'Actual Value'!L136+"AM:!)&amp;:"</f>
        <v>#VALUE!</v>
      </c>
      <c r="AO187" s="97" t="e">
        <f>'Actual Value'!M136+"AM:!)&amp;;"</f>
        <v>#VALUE!</v>
      </c>
      <c r="AP187" s="97" t="e">
        <f>'Actual Value'!N136+"AM:!)&amp;&lt;"</f>
        <v>#VALUE!</v>
      </c>
      <c r="AQ187" s="97" t="e">
        <f>'Actual Value'!O136+"AM:!)&amp;="</f>
        <v>#VALUE!</v>
      </c>
      <c r="AR187" s="97" t="e">
        <f>'Actual Value'!P136+"AM:!)&amp;&gt;"</f>
        <v>#VALUE!</v>
      </c>
      <c r="AS187" s="97" t="e">
        <f>'Actual Value'!Q136+"AM:!)&amp;?"</f>
        <v>#VALUE!</v>
      </c>
      <c r="AT187" s="97" t="e">
        <f>'Actual Value'!R136+"AM:!)&amp;@"</f>
        <v>#VALUE!</v>
      </c>
      <c r="AU187" s="97" t="e">
        <f>'Actual Value'!S136+"AM:!)&amp;A"</f>
        <v>#VALUE!</v>
      </c>
      <c r="AV187" s="97" t="e">
        <f>'Actual Value'!T136+"AM:!)&amp;B"</f>
        <v>#VALUE!</v>
      </c>
      <c r="AW187" s="97" t="e">
        <f>'Actual Value'!U136+"AM:!)&amp;C"</f>
        <v>#VALUE!</v>
      </c>
      <c r="AX187" s="97" t="e">
        <f>'Actual Value'!V136+"AM:!)&amp;D"</f>
        <v>#VALUE!</v>
      </c>
      <c r="AY187" s="97" t="e">
        <f>'Actual Value'!W136+"AM:!)&amp;E"</f>
        <v>#VALUE!</v>
      </c>
      <c r="AZ187" s="97" t="e">
        <f>'Actual Value'!X136+"AM:!)&amp;F"</f>
        <v>#VALUE!</v>
      </c>
      <c r="BA187" s="97" t="e">
        <f>'Actual Value'!Y136+"AM:!)&amp;G"</f>
        <v>#VALUE!</v>
      </c>
      <c r="BB187" s="97" t="e">
        <f>'Actual Value'!Z136+"AM:!)&amp;H"</f>
        <v>#VALUE!</v>
      </c>
      <c r="BC187" s="97" t="e">
        <f>'Actual Value'!AA136+"AM:!)&amp;I"</f>
        <v>#VALUE!</v>
      </c>
      <c r="BD187" s="97" t="e">
        <f>'Actual Value'!AB136+"AM:!)&amp;J"</f>
        <v>#VALUE!</v>
      </c>
      <c r="BE187" s="97" t="e">
        <f>'Actual Value'!AC136+"AM:!)&amp;K"</f>
        <v>#VALUE!</v>
      </c>
      <c r="BF187" s="97" t="e">
        <f>'Actual Value'!AD136+"AM:!)&amp;L"</f>
        <v>#VALUE!</v>
      </c>
      <c r="BG187" s="97" t="e">
        <f>'Actual Value'!AE136+"AM:!)&amp;M"</f>
        <v>#VALUE!</v>
      </c>
      <c r="BH187" s="97" t="e">
        <f>'Actual Value'!AF136+"AM:!)&amp;N"</f>
        <v>#VALUE!</v>
      </c>
      <c r="BI187" s="97" t="e">
        <f>'Actual Value'!AG136+"AM:!)&amp;O"</f>
        <v>#VALUE!</v>
      </c>
      <c r="BJ187" s="97" t="e">
        <f>'Actual Value'!AH136+"AM:!)&amp;P"</f>
        <v>#VALUE!</v>
      </c>
      <c r="BK187" s="97" t="e">
        <f>'Actual Value'!AI136+"AM:!)&amp;Q"</f>
        <v>#VALUE!</v>
      </c>
      <c r="BL187" s="97" t="e">
        <f>'Actual Value'!AJ136+"AM:!)&amp;R"</f>
        <v>#VALUE!</v>
      </c>
      <c r="BM187" s="97" t="e">
        <f>'Actual Value'!AK136+"AM:!)&amp;S"</f>
        <v>#VALUE!</v>
      </c>
      <c r="BN187" s="97" t="e">
        <f>'Actual Value'!AL136+"AM:!)&amp;T"</f>
        <v>#VALUE!</v>
      </c>
      <c r="BO187" s="97" t="e">
        <f>'Actual Value'!AM136+"AM:!)&amp;U"</f>
        <v>#VALUE!</v>
      </c>
      <c r="BP187" s="97" t="e">
        <f>'Actual Value'!AN136+"AM:!)&amp;V"</f>
        <v>#VALUE!</v>
      </c>
      <c r="BQ187" s="97" t="e">
        <f>'Actual Value'!AO136+"AM:!)&amp;W"</f>
        <v>#VALUE!</v>
      </c>
      <c r="BR187" t="e">
        <f>'Actual Value'!AP136+"AM:!)&amp;X"</f>
        <v>#VALUE!</v>
      </c>
      <c r="BS187" t="e">
        <f>'Actual Value'!AQ136+"AM:!)&amp;Y"</f>
        <v>#VALUE!</v>
      </c>
      <c r="BT187" t="e">
        <f>'Actual Value'!AR136+"AM:!)&amp;Z"</f>
        <v>#VALUE!</v>
      </c>
      <c r="BU187" t="e">
        <f>'Actual Value'!AS136+"AM:!)&amp;["</f>
        <v>#VALUE!</v>
      </c>
      <c r="BV187" t="e">
        <f>'Actual Value'!AT136+"AM:!)&amp;\"</f>
        <v>#VALUE!</v>
      </c>
      <c r="BW187" t="e">
        <f>'Actual Value'!AU136+"AM:!)&amp;]"</f>
        <v>#VALUE!</v>
      </c>
      <c r="BX187" t="e">
        <f>'Actual Value'!AV136+"AM:!)&amp;^"</f>
        <v>#VALUE!</v>
      </c>
      <c r="BY187" t="e">
        <f>'Actual Value'!AW136+"AM:!)&amp;_"</f>
        <v>#VALUE!</v>
      </c>
      <c r="BZ187" t="e">
        <f>'Actual Value'!AX136+"AM:!)&amp;`"</f>
        <v>#VALUE!</v>
      </c>
      <c r="CA187" t="e">
        <f>'Actual Value'!A137+"AM:!)&amp;a"</f>
        <v>#VALUE!</v>
      </c>
      <c r="CB187" t="e">
        <f>'Actual Value'!B137+"AM:!)&amp;b"</f>
        <v>#VALUE!</v>
      </c>
      <c r="CC187" s="98" t="e">
        <f>'Actual Value'!C137+"AM:!)&amp;c"</f>
        <v>#VALUE!</v>
      </c>
      <c r="CD187" t="e">
        <f>'Actual Value'!D137+"AM:!)&amp;d"</f>
        <v>#VALUE!</v>
      </c>
      <c r="CE187" t="e">
        <f>'Actual Value'!E137+"AM:!)&amp;e"</f>
        <v>#VALUE!</v>
      </c>
      <c r="CF187" t="e">
        <f>'Actual Value'!F137+"AM:!)&amp;f"</f>
        <v>#VALUE!</v>
      </c>
      <c r="CG187" t="e">
        <f>'Actual Value'!G137+"AM:!)&amp;g"</f>
        <v>#VALUE!</v>
      </c>
      <c r="CH187" t="e">
        <f>'Actual Value'!H137+"AM:!)&amp;h"</f>
        <v>#VALUE!</v>
      </c>
      <c r="CI187" t="e">
        <f>'Actual Value'!I137+"AM:!)&amp;i"</f>
        <v>#VALUE!</v>
      </c>
      <c r="CJ187" t="e">
        <f>'Actual Value'!J137+"AM:!)&amp;j"</f>
        <v>#VALUE!</v>
      </c>
      <c r="CK187" t="e">
        <f>'Actual Value'!K137+"AM:!)&amp;k"</f>
        <v>#VALUE!</v>
      </c>
      <c r="CL187" t="e">
        <f>'Actual Value'!L137+"AM:!)&amp;l"</f>
        <v>#VALUE!</v>
      </c>
      <c r="CM187" t="e">
        <f>'Actual Value'!M137+"AM:!)&amp;m"</f>
        <v>#VALUE!</v>
      </c>
      <c r="CN187" t="e">
        <f>'Actual Value'!N137+"AM:!)&amp;n"</f>
        <v>#VALUE!</v>
      </c>
      <c r="CO187" t="e">
        <f>'Actual Value'!O137+"AM:!)&amp;o"</f>
        <v>#VALUE!</v>
      </c>
      <c r="CP187" t="e">
        <f>'Actual Value'!P137+"AM:!)&amp;p"</f>
        <v>#VALUE!</v>
      </c>
      <c r="CQ187" t="e">
        <f>'Actual Value'!Q137+"AM:!)&amp;q"</f>
        <v>#VALUE!</v>
      </c>
      <c r="CR187" t="e">
        <f>'Actual Value'!R137+"AM:!)&amp;r"</f>
        <v>#VALUE!</v>
      </c>
      <c r="CS187" t="e">
        <f>'Actual Value'!S137+"AM:!)&amp;s"</f>
        <v>#VALUE!</v>
      </c>
      <c r="CT187" t="e">
        <f>'Actual Value'!T137+"AM:!)&amp;t"</f>
        <v>#VALUE!</v>
      </c>
      <c r="CU187" t="e">
        <f>'Actual Value'!U137+"AM:!)&amp;u"</f>
        <v>#VALUE!</v>
      </c>
      <c r="CV187" t="e">
        <f>'Actual Value'!V137+"AM:!)&amp;v"</f>
        <v>#VALUE!</v>
      </c>
      <c r="CW187" t="e">
        <f>'Actual Value'!W137+"AM:!)&amp;w"</f>
        <v>#VALUE!</v>
      </c>
      <c r="CX187" t="e">
        <f>'Actual Value'!X137+"AM:!)&amp;x"</f>
        <v>#VALUE!</v>
      </c>
      <c r="CY187" t="e">
        <f>'Actual Value'!Y137+"AM:!)&amp;y"</f>
        <v>#VALUE!</v>
      </c>
      <c r="CZ187" t="e">
        <f>'Actual Value'!Z137+"AM:!)&amp;z"</f>
        <v>#VALUE!</v>
      </c>
      <c r="DA187" t="e">
        <f>'Actual Value'!AA137+"AM:!)&amp;{"</f>
        <v>#VALUE!</v>
      </c>
      <c r="DB187" t="e">
        <f>'Actual Value'!AB137+"AM:!)&amp;|"</f>
        <v>#VALUE!</v>
      </c>
      <c r="DC187" t="e">
        <f>'Actual Value'!AC137+"AM:!)&amp;}"</f>
        <v>#VALUE!</v>
      </c>
      <c r="DD187" t="e">
        <f>'Actual Value'!AD137+"AM:!)&amp;~"</f>
        <v>#VALUE!</v>
      </c>
      <c r="DE187" t="e">
        <f>'Actual Value'!AE137+"AM:!)'#"</f>
        <v>#VALUE!</v>
      </c>
      <c r="DF187" t="e">
        <f>'Actual Value'!AF137+"AM:!)'$"</f>
        <v>#VALUE!</v>
      </c>
      <c r="DG187" t="e">
        <f>'Actual Value'!AG137+"AM:!)'%"</f>
        <v>#VALUE!</v>
      </c>
      <c r="DH187" t="e">
        <f>'Actual Value'!AH137+"AM:!)'&amp;"</f>
        <v>#VALUE!</v>
      </c>
      <c r="DI187" t="e">
        <f>'Actual Value'!AI137+"AM:!)''"</f>
        <v>#VALUE!</v>
      </c>
      <c r="DJ187" t="e">
        <f>'Actual Value'!AJ137+"AM:!)'("</f>
        <v>#VALUE!</v>
      </c>
      <c r="DK187" t="e">
        <f>'Actual Value'!AK137+"AM:!)')"</f>
        <v>#VALUE!</v>
      </c>
      <c r="DL187" t="e">
        <f>'Actual Value'!AL137+"AM:!)'."</f>
        <v>#VALUE!</v>
      </c>
      <c r="DM187" t="e">
        <f>'Actual Value'!AM137+"AM:!)'/"</f>
        <v>#VALUE!</v>
      </c>
      <c r="DN187" t="e">
        <f>'Actual Value'!AN137+"AM:!)'0"</f>
        <v>#VALUE!</v>
      </c>
      <c r="DO187" t="e">
        <f>'Actual Value'!AO137+"AM:!)'1"</f>
        <v>#VALUE!</v>
      </c>
      <c r="DP187" t="e">
        <f>'Actual Value'!AP137+"AM:!)'2"</f>
        <v>#VALUE!</v>
      </c>
      <c r="DQ187" t="e">
        <f>'Actual Value'!AQ137+"AM:!)'3"</f>
        <v>#VALUE!</v>
      </c>
      <c r="DR187" t="e">
        <f>'Actual Value'!AR137+"AM:!)'4"</f>
        <v>#VALUE!</v>
      </c>
      <c r="DS187" t="e">
        <f>'Actual Value'!AS137+"AM:!)'5"</f>
        <v>#VALUE!</v>
      </c>
      <c r="DT187" t="e">
        <f>'Actual Value'!AT137+"AM:!)'6"</f>
        <v>#VALUE!</v>
      </c>
      <c r="DU187" t="e">
        <f>'Actual Value'!AU137+"AM:!)'7"</f>
        <v>#VALUE!</v>
      </c>
      <c r="DV187" t="e">
        <f>'Actual Value'!AV137+"AM:!)'8"</f>
        <v>#VALUE!</v>
      </c>
      <c r="DW187" t="e">
        <f>'Actual Value'!AW137+"AM:!)'9"</f>
        <v>#VALUE!</v>
      </c>
      <c r="DX187" t="e">
        <f>'Actual Value'!A138+"AM:!)':"</f>
        <v>#VALUE!</v>
      </c>
      <c r="DY187" t="e">
        <f>'Actual Value'!B138+"AM:!)';"</f>
        <v>#VALUE!</v>
      </c>
      <c r="DZ187" t="e">
        <f>'Actual Value'!C138+"AM:!)'&lt;"</f>
        <v>#VALUE!</v>
      </c>
      <c r="EA187" s="105" t="e">
        <f>'Actual Value'!D138+"AM:!)'="</f>
        <v>#VALUE!</v>
      </c>
      <c r="EB187" s="105" t="e">
        <f>'Actual Value'!E138+"AM:!)'&gt;"</f>
        <v>#VALUE!</v>
      </c>
      <c r="EC187" s="105" t="e">
        <f>'Actual Value'!F138+"AM:!)'?"</f>
        <v>#VALUE!</v>
      </c>
      <c r="ED187" s="105" t="e">
        <f>'Actual Value'!G138+"AM:!)'@"</f>
        <v>#VALUE!</v>
      </c>
      <c r="EE187" s="105" t="e">
        <f>'Actual Value'!H138+"AM:!)'A"</f>
        <v>#VALUE!</v>
      </c>
      <c r="EF187" s="105" t="e">
        <f>'Actual Value'!I138+"AM:!)'B"</f>
        <v>#VALUE!</v>
      </c>
      <c r="EG187" s="105" t="e">
        <f>'Actual Value'!J138+"AM:!)'C"</f>
        <v>#VALUE!</v>
      </c>
      <c r="EH187" s="105" t="e">
        <f>'Actual Value'!K138+"AM:!)'D"</f>
        <v>#VALUE!</v>
      </c>
      <c r="EI187" s="105" t="e">
        <f>'Actual Value'!L138+"AM:!)'E"</f>
        <v>#VALUE!</v>
      </c>
      <c r="EJ187" s="105" t="e">
        <f>'Actual Value'!M138+"AM:!)'F"</f>
        <v>#VALUE!</v>
      </c>
      <c r="EK187" s="105" t="e">
        <f>'Actual Value'!N138+"AM:!)'G"</f>
        <v>#VALUE!</v>
      </c>
      <c r="EL187" s="105" t="e">
        <f>'Actual Value'!O138+"AM:!)'H"</f>
        <v>#VALUE!</v>
      </c>
      <c r="EM187" s="105" t="e">
        <f>'Actual Value'!P138+"AM:!)'I"</f>
        <v>#VALUE!</v>
      </c>
      <c r="EN187" s="105" t="e">
        <f>'Actual Value'!Q138+"AM:!)'J"</f>
        <v>#VALUE!</v>
      </c>
      <c r="EO187" s="105" t="e">
        <f>'Actual Value'!R138+"AM:!)'K"</f>
        <v>#VALUE!</v>
      </c>
      <c r="EP187" s="105" t="e">
        <f>'Actual Value'!S138+"AM:!)'L"</f>
        <v>#VALUE!</v>
      </c>
      <c r="EQ187" s="105" t="e">
        <f>'Actual Value'!T138+"AM:!)'M"</f>
        <v>#VALUE!</v>
      </c>
      <c r="ER187" s="105" t="e">
        <f>'Actual Value'!U138+"AM:!)'N"</f>
        <v>#VALUE!</v>
      </c>
      <c r="ES187" s="105" t="e">
        <f>'Actual Value'!V138+"AM:!)'O"</f>
        <v>#VALUE!</v>
      </c>
      <c r="ET187" s="105" t="e">
        <f>'Actual Value'!W138+"AM:!)'P"</f>
        <v>#VALUE!</v>
      </c>
      <c r="EU187" s="105" t="e">
        <f>'Actual Value'!X138+"AM:!)'Q"</f>
        <v>#VALUE!</v>
      </c>
      <c r="EV187" s="105" t="e">
        <f>'Actual Value'!Y138+"AM:!)'R"</f>
        <v>#VALUE!</v>
      </c>
      <c r="EW187" s="105" t="e">
        <f>'Actual Value'!Z138+"AM:!)'S"</f>
        <v>#VALUE!</v>
      </c>
      <c r="EX187" s="105" t="e">
        <f>'Actual Value'!AA138+"AM:!)'T"</f>
        <v>#VALUE!</v>
      </c>
      <c r="EY187" s="105" t="e">
        <f>'Actual Value'!AB138+"AM:!)'U"</f>
        <v>#VALUE!</v>
      </c>
      <c r="EZ187" s="105" t="e">
        <f>'Actual Value'!AC138+"AM:!)'V"</f>
        <v>#VALUE!</v>
      </c>
      <c r="FA187" s="105" t="e">
        <f>'Actual Value'!AD138+"AM:!)'W"</f>
        <v>#VALUE!</v>
      </c>
      <c r="FB187" s="105" t="e">
        <f>'Actual Value'!AE138+"AM:!)'X"</f>
        <v>#VALUE!</v>
      </c>
      <c r="FC187" s="105" t="e">
        <f>'Actual Value'!AF138+"AM:!)'Y"</f>
        <v>#VALUE!</v>
      </c>
      <c r="FD187" s="105" t="e">
        <f>'Actual Value'!AG138+"AM:!)'Z"</f>
        <v>#VALUE!</v>
      </c>
      <c r="FE187" s="105" t="e">
        <f>'Actual Value'!AH138+"AM:!)'["</f>
        <v>#VALUE!</v>
      </c>
      <c r="FF187" s="105" t="e">
        <f>'Actual Value'!AI138+"AM:!)'\"</f>
        <v>#VALUE!</v>
      </c>
      <c r="FG187" s="105" t="e">
        <f>'Actual Value'!AJ138+"AM:!)']"</f>
        <v>#VALUE!</v>
      </c>
      <c r="FH187" s="105" t="e">
        <f>'Actual Value'!AK138+"AM:!)'^"</f>
        <v>#VALUE!</v>
      </c>
      <c r="FI187" s="105" t="e">
        <f>'Actual Value'!AL138+"AM:!)'_"</f>
        <v>#VALUE!</v>
      </c>
      <c r="FJ187" s="105" t="e">
        <f>'Actual Value'!AM138+"AM:!)'`"</f>
        <v>#VALUE!</v>
      </c>
      <c r="FK187" s="105" t="e">
        <f>'Actual Value'!AN138+"AM:!)'a"</f>
        <v>#VALUE!</v>
      </c>
      <c r="FL187" s="105" t="e">
        <f>'Actual Value'!AO138+"AM:!)'b"</f>
        <v>#VALUE!</v>
      </c>
      <c r="FM187" t="e">
        <f>'Actual Value'!AP138+"AM:!)'c"</f>
        <v>#VALUE!</v>
      </c>
      <c r="FN187" s="100" t="e">
        <f>'Actual Value'!AQ138+"AM:!)'d"</f>
        <v>#VALUE!</v>
      </c>
      <c r="FO187" s="100" t="e">
        <f>'Actual Value'!AR138+"AM:!)'e"</f>
        <v>#VALUE!</v>
      </c>
      <c r="FP187" s="100" t="e">
        <f>'Actual Value'!AS138+"AM:!)'f"</f>
        <v>#VALUE!</v>
      </c>
      <c r="FQ187" s="100" t="e">
        <f>'Actual Value'!AT138+"AM:!)'g"</f>
        <v>#VALUE!</v>
      </c>
      <c r="FR187" s="100" t="e">
        <f>'Actual Value'!AU138+"AM:!)'h"</f>
        <v>#VALUE!</v>
      </c>
      <c r="FS187" t="e">
        <f>'Actual Value'!AV138+"AM:!)'i"</f>
        <v>#VALUE!</v>
      </c>
      <c r="FT187" t="e">
        <f>'Actual Value'!AW138+"AM:!)'j"</f>
        <v>#VALUE!</v>
      </c>
      <c r="FU187" t="e">
        <f>'Actual Value'!A139+"AM:!)'k"</f>
        <v>#VALUE!</v>
      </c>
      <c r="FV187" t="e">
        <f>'Actual Value'!B139+"AM:!)'l"</f>
        <v>#VALUE!</v>
      </c>
      <c r="FW187" t="e">
        <f>'Actual Value'!C139+"AM:!)'m"</f>
        <v>#VALUE!</v>
      </c>
      <c r="FX187" s="97" t="e">
        <f>'Actual Value'!D139+"AM:!)'n"</f>
        <v>#VALUE!</v>
      </c>
      <c r="FY187" s="97" t="e">
        <f>'Actual Value'!E139+"AM:!)'o"</f>
        <v>#VALUE!</v>
      </c>
      <c r="FZ187" s="97" t="e">
        <f>'Actual Value'!F139+"AM:!)'p"</f>
        <v>#VALUE!</v>
      </c>
      <c r="GA187" s="97" t="e">
        <f>'Actual Value'!G139+"AM:!)'q"</f>
        <v>#VALUE!</v>
      </c>
      <c r="GB187" s="97" t="e">
        <f>'Actual Value'!H139+"AM:!)'r"</f>
        <v>#VALUE!</v>
      </c>
      <c r="GC187" s="97" t="e">
        <f>'Actual Value'!I139+"AM:!)'s"</f>
        <v>#VALUE!</v>
      </c>
      <c r="GD187" s="97" t="e">
        <f>'Actual Value'!J139+"AM:!)'t"</f>
        <v>#VALUE!</v>
      </c>
      <c r="GE187" s="97" t="e">
        <f>'Actual Value'!K139+"AM:!)'u"</f>
        <v>#VALUE!</v>
      </c>
      <c r="GF187" s="97" t="e">
        <f>'Actual Value'!L139+"AM:!)'v"</f>
        <v>#VALUE!</v>
      </c>
      <c r="GG187" s="97" t="e">
        <f>'Actual Value'!M139+"AM:!)'w"</f>
        <v>#VALUE!</v>
      </c>
      <c r="GH187" s="97" t="e">
        <f>'Actual Value'!N139+"AM:!)'x"</f>
        <v>#VALUE!</v>
      </c>
      <c r="GI187" s="97" t="e">
        <f>'Actual Value'!O139+"AM:!)'y"</f>
        <v>#VALUE!</v>
      </c>
      <c r="GJ187" s="97" t="e">
        <f>'Actual Value'!P139+"AM:!)'z"</f>
        <v>#VALUE!</v>
      </c>
      <c r="GK187" s="97" t="e">
        <f>'Actual Value'!Q139+"AM:!)'{"</f>
        <v>#VALUE!</v>
      </c>
      <c r="GL187" s="97" t="e">
        <f>'Actual Value'!R139+"AM:!)'|"</f>
        <v>#VALUE!</v>
      </c>
      <c r="GM187" s="97" t="e">
        <f>'Actual Value'!S139+"AM:!)'}"</f>
        <v>#VALUE!</v>
      </c>
      <c r="GN187" s="97" t="e">
        <f>'Actual Value'!T139+"AM:!)'~"</f>
        <v>#VALUE!</v>
      </c>
      <c r="GO187" s="97" t="e">
        <f>'Actual Value'!U139+"AM:!)(#"</f>
        <v>#VALUE!</v>
      </c>
      <c r="GP187" s="97" t="e">
        <f>'Actual Value'!V139+"AM:!)($"</f>
        <v>#VALUE!</v>
      </c>
      <c r="GQ187" s="97" t="e">
        <f>'Actual Value'!W139+"AM:!)(%"</f>
        <v>#VALUE!</v>
      </c>
      <c r="GR187" s="97" t="e">
        <f>'Actual Value'!X139+"AM:!)(&amp;"</f>
        <v>#VALUE!</v>
      </c>
      <c r="GS187" s="97" t="e">
        <f>'Actual Value'!Y139+"AM:!)('"</f>
        <v>#VALUE!</v>
      </c>
      <c r="GT187" s="97" t="e">
        <f>'Actual Value'!Z139+"AM:!)(("</f>
        <v>#VALUE!</v>
      </c>
      <c r="GU187" s="97" t="e">
        <f>'Actual Value'!AA139+"AM:!)()"</f>
        <v>#VALUE!</v>
      </c>
      <c r="GV187" s="97" t="e">
        <f>'Actual Value'!AB139+"AM:!)(."</f>
        <v>#VALUE!</v>
      </c>
      <c r="GW187" s="97" t="e">
        <f>'Actual Value'!AC139+"AM:!)(/"</f>
        <v>#VALUE!</v>
      </c>
      <c r="GX187" s="97" t="e">
        <f>'Actual Value'!AD139+"AM:!)(0"</f>
        <v>#VALUE!</v>
      </c>
      <c r="GY187" s="97" t="e">
        <f>'Actual Value'!AE139+"AM:!)(1"</f>
        <v>#VALUE!</v>
      </c>
      <c r="GZ187" s="97" t="e">
        <f>'Actual Value'!AF139+"AM:!)(2"</f>
        <v>#VALUE!</v>
      </c>
      <c r="HA187" s="97" t="e">
        <f>'Actual Value'!AG139+"AM:!)(3"</f>
        <v>#VALUE!</v>
      </c>
      <c r="HB187" s="97" t="e">
        <f>'Actual Value'!AH139+"AM:!)(4"</f>
        <v>#VALUE!</v>
      </c>
      <c r="HC187" s="97" t="e">
        <f>'Actual Value'!AI139+"AM:!)(5"</f>
        <v>#VALUE!</v>
      </c>
      <c r="HD187" s="97" t="e">
        <f>'Actual Value'!AJ139+"AM:!)(6"</f>
        <v>#VALUE!</v>
      </c>
      <c r="HE187" s="97" t="e">
        <f>'Actual Value'!AK139+"AM:!)(7"</f>
        <v>#VALUE!</v>
      </c>
      <c r="HF187" s="97" t="e">
        <f>'Actual Value'!AL139+"AM:!)(8"</f>
        <v>#VALUE!</v>
      </c>
      <c r="HG187" s="97" t="e">
        <f>'Actual Value'!AM139+"AM:!)(9"</f>
        <v>#VALUE!</v>
      </c>
      <c r="HH187" s="97" t="e">
        <f>'Actual Value'!AN139+"AM:!)(:"</f>
        <v>#VALUE!</v>
      </c>
      <c r="HI187" s="97" t="e">
        <f>'Actual Value'!AO139+"AM:!)(;"</f>
        <v>#VALUE!</v>
      </c>
      <c r="HJ187" t="e">
        <f>'Actual Value'!AP139+"AM:!)(&lt;"</f>
        <v>#VALUE!</v>
      </c>
      <c r="HK187" t="e">
        <f>'Actual Value'!AQ139+"AM:!)(="</f>
        <v>#VALUE!</v>
      </c>
      <c r="HL187" t="e">
        <f>'Actual Value'!AR139+"AM:!)(&gt;"</f>
        <v>#VALUE!</v>
      </c>
      <c r="HM187" s="97" t="e">
        <f>'Actual Value'!AS139+"AM:!)(?"</f>
        <v>#VALUE!</v>
      </c>
      <c r="HN187" t="e">
        <f>'Actual Value'!AT139+"AM:!)(@"</f>
        <v>#VALUE!</v>
      </c>
      <c r="HO187" t="e">
        <f>'Actual Value'!AU139+"AM:!)(A"</f>
        <v>#VALUE!</v>
      </c>
      <c r="HP187" t="e">
        <f>'Actual Value'!AV139+"AM:!)(B"</f>
        <v>#VALUE!</v>
      </c>
      <c r="HQ187" t="e">
        <f>'Actual Value'!AW139+"AM:!)(C"</f>
        <v>#VALUE!</v>
      </c>
      <c r="HR187" t="e">
        <f>'Actual Value'!A140+"AM:!)(D"</f>
        <v>#VALUE!</v>
      </c>
      <c r="HS187" t="e">
        <f>'Actual Value'!B140+"AM:!)(E"</f>
        <v>#VALUE!</v>
      </c>
      <c r="HT187" t="e">
        <f>'Actual Value'!C140+"AM:!)(F"</f>
        <v>#VALUE!</v>
      </c>
      <c r="HU187" s="97" t="e">
        <f>'Actual Value'!D140+"AM:!)(G"</f>
        <v>#VALUE!</v>
      </c>
      <c r="HV187" s="97" t="e">
        <f>'Actual Value'!E140+"AM:!)(H"</f>
        <v>#VALUE!</v>
      </c>
      <c r="HW187" s="97" t="e">
        <f>'Actual Value'!F140+"AM:!)(I"</f>
        <v>#VALUE!</v>
      </c>
      <c r="HX187" s="97" t="e">
        <f>'Actual Value'!G140+"AM:!)(J"</f>
        <v>#VALUE!</v>
      </c>
      <c r="HY187" s="97" t="e">
        <f>'Actual Value'!H140+"AM:!)(K"</f>
        <v>#VALUE!</v>
      </c>
      <c r="HZ187" s="97" t="e">
        <f>'Actual Value'!I140+"AM:!)(L"</f>
        <v>#VALUE!</v>
      </c>
      <c r="IA187" s="97" t="e">
        <f>'Actual Value'!J140+"AM:!)(M"</f>
        <v>#VALUE!</v>
      </c>
      <c r="IB187" s="97" t="e">
        <f>'Actual Value'!K140+"AM:!)(N"</f>
        <v>#VALUE!</v>
      </c>
      <c r="IC187" s="97" t="e">
        <f>'Actual Value'!L140+"AM:!)(O"</f>
        <v>#VALUE!</v>
      </c>
      <c r="ID187" s="97" t="e">
        <f>'Actual Value'!M140+"AM:!)(P"</f>
        <v>#VALUE!</v>
      </c>
      <c r="IE187" s="97" t="e">
        <f>'Actual Value'!N140+"AM:!)(Q"</f>
        <v>#VALUE!</v>
      </c>
      <c r="IF187" s="97" t="e">
        <f>'Actual Value'!O140+"AM:!)(R"</f>
        <v>#VALUE!</v>
      </c>
      <c r="IG187" s="97" t="e">
        <f>'Actual Value'!P140+"AM:!)(S"</f>
        <v>#VALUE!</v>
      </c>
      <c r="IH187" s="97" t="e">
        <f>'Actual Value'!Q140+"AM:!)(T"</f>
        <v>#VALUE!</v>
      </c>
      <c r="II187" s="97" t="e">
        <f>'Actual Value'!R140+"AM:!)(U"</f>
        <v>#VALUE!</v>
      </c>
      <c r="IJ187" s="97" t="e">
        <f>'Actual Value'!S140+"AM:!)(V"</f>
        <v>#VALUE!</v>
      </c>
      <c r="IK187" s="97" t="e">
        <f>'Actual Value'!T140+"AM:!)(W"</f>
        <v>#VALUE!</v>
      </c>
      <c r="IL187" s="97" t="e">
        <f>'Actual Value'!U140+"AM:!)(X"</f>
        <v>#VALUE!</v>
      </c>
      <c r="IM187" s="97" t="e">
        <f>'Actual Value'!V140+"AM:!)(Y"</f>
        <v>#VALUE!</v>
      </c>
      <c r="IN187" s="97" t="e">
        <f>'Actual Value'!W140+"AM:!)(Z"</f>
        <v>#VALUE!</v>
      </c>
      <c r="IO187" s="97" t="e">
        <f>'Actual Value'!X140+"AM:!)(["</f>
        <v>#VALUE!</v>
      </c>
      <c r="IP187" s="97" t="e">
        <f>'Actual Value'!Y140+"AM:!)(\"</f>
        <v>#VALUE!</v>
      </c>
      <c r="IQ187" s="97" t="e">
        <f>'Actual Value'!Z140+"AM:!)(]"</f>
        <v>#VALUE!</v>
      </c>
      <c r="IR187" s="97" t="e">
        <f>'Actual Value'!AA140+"AM:!)(^"</f>
        <v>#VALUE!</v>
      </c>
      <c r="IS187" s="97" t="e">
        <f>'Actual Value'!AB140+"AM:!)(_"</f>
        <v>#VALUE!</v>
      </c>
      <c r="IT187" s="97" t="e">
        <f>'Actual Value'!AC140+"AM:!)(`"</f>
        <v>#VALUE!</v>
      </c>
      <c r="IU187" s="97" t="e">
        <f>'Actual Value'!AD140+"AM:!)(a"</f>
        <v>#VALUE!</v>
      </c>
      <c r="IV187" s="97" t="e">
        <f>'Actual Value'!AE140+"AM:!)(b"</f>
        <v>#VALUE!</v>
      </c>
    </row>
    <row r="188" spans="6:256">
      <c r="F188" s="97" t="e">
        <f>'Actual Value'!AF140+"AM:!)(c"</f>
        <v>#VALUE!</v>
      </c>
      <c r="G188" s="97" t="e">
        <f>'Actual Value'!AG140+"AM:!)(d"</f>
        <v>#VALUE!</v>
      </c>
      <c r="H188" s="97" t="e">
        <f>'Actual Value'!AH140+"AM:!)(e"</f>
        <v>#VALUE!</v>
      </c>
      <c r="I188" s="97" t="e">
        <f>'Actual Value'!AI140+"AM:!)(f"</f>
        <v>#VALUE!</v>
      </c>
      <c r="J188" s="97" t="e">
        <f>'Actual Value'!AJ140+"AM:!)(g"</f>
        <v>#VALUE!</v>
      </c>
      <c r="K188" s="97" t="e">
        <f>'Actual Value'!AK140+"AM:!)(h"</f>
        <v>#VALUE!</v>
      </c>
      <c r="L188" s="97" t="e">
        <f>'Actual Value'!AL140+"AM:!)(i"</f>
        <v>#VALUE!</v>
      </c>
      <c r="M188" s="97" t="e">
        <f>'Actual Value'!AM140+"AM:!)(j"</f>
        <v>#VALUE!</v>
      </c>
      <c r="N188" s="97" t="e">
        <f>'Actual Value'!AN140+"AM:!)(k"</f>
        <v>#VALUE!</v>
      </c>
      <c r="O188" s="97" t="e">
        <f>'Actual Value'!AO140+"AM:!)(l"</f>
        <v>#VALUE!</v>
      </c>
      <c r="P188" t="e">
        <f>'Actual Value'!AP140+"AM:!)(m"</f>
        <v>#VALUE!</v>
      </c>
      <c r="Q188" t="e">
        <f>'Actual Value'!AQ140+"AM:!)(n"</f>
        <v>#VALUE!</v>
      </c>
      <c r="R188" t="e">
        <f>'Actual Value'!AR140+"AM:!)(o"</f>
        <v>#VALUE!</v>
      </c>
      <c r="S188" s="97" t="e">
        <f>'Actual Value'!AS140+"AM:!)(p"</f>
        <v>#VALUE!</v>
      </c>
      <c r="T188" t="e">
        <f>'Actual Value'!AT140+"AM:!)(q"</f>
        <v>#VALUE!</v>
      </c>
      <c r="U188" t="e">
        <f>'Actual Value'!AU140+"AM:!)(r"</f>
        <v>#VALUE!</v>
      </c>
      <c r="V188" t="e">
        <f>'Actual Value'!AV140+"AM:!)(s"</f>
        <v>#VALUE!</v>
      </c>
      <c r="W188" t="e">
        <f>'Actual Value'!AW140+"AM:!)(t"</f>
        <v>#VALUE!</v>
      </c>
      <c r="X188" t="e">
        <f>'Actual Value'!A141+"AM:!)(u"</f>
        <v>#VALUE!</v>
      </c>
      <c r="Y188" t="e">
        <f>'Actual Value'!B141+"AM:!)(v"</f>
        <v>#VALUE!</v>
      </c>
      <c r="Z188" t="e">
        <f>'Actual Value'!C141+"AM:!)(w"</f>
        <v>#VALUE!</v>
      </c>
      <c r="AA188" s="97" t="e">
        <f>'Actual Value'!D141+"AM:!)(x"</f>
        <v>#VALUE!</v>
      </c>
      <c r="AB188" s="97" t="e">
        <f>'Actual Value'!E141+"AM:!)(y"</f>
        <v>#VALUE!</v>
      </c>
      <c r="AC188" s="97" t="e">
        <f>'Actual Value'!F141+"AM:!)(z"</f>
        <v>#VALUE!</v>
      </c>
      <c r="AD188" s="97" t="e">
        <f>'Actual Value'!G141+"AM:!)({"</f>
        <v>#VALUE!</v>
      </c>
      <c r="AE188" s="97" t="e">
        <f>'Actual Value'!H141+"AM:!)(|"</f>
        <v>#VALUE!</v>
      </c>
      <c r="AF188" s="97" t="e">
        <f>'Actual Value'!I141+"AM:!)(}"</f>
        <v>#VALUE!</v>
      </c>
      <c r="AG188" s="97" t="e">
        <f>'Actual Value'!J141+"AM:!)(~"</f>
        <v>#VALUE!</v>
      </c>
      <c r="AH188" s="97" t="e">
        <f>'Actual Value'!K141+"AM:!))#"</f>
        <v>#VALUE!</v>
      </c>
      <c r="AI188" s="97" t="e">
        <f>'Actual Value'!L141+"AM:!))$"</f>
        <v>#VALUE!</v>
      </c>
      <c r="AJ188" s="97" t="e">
        <f>'Actual Value'!M141+"AM:!))%"</f>
        <v>#VALUE!</v>
      </c>
      <c r="AK188" s="97" t="e">
        <f>'Actual Value'!N141+"AM:!))&amp;"</f>
        <v>#VALUE!</v>
      </c>
      <c r="AL188" s="97" t="e">
        <f>'Actual Value'!O141+"AM:!))'"</f>
        <v>#VALUE!</v>
      </c>
      <c r="AM188" s="97" t="e">
        <f>'Actual Value'!P141+"AM:!))("</f>
        <v>#VALUE!</v>
      </c>
      <c r="AN188" s="97" t="e">
        <f>'Actual Value'!Q141+"AM:!)))"</f>
        <v>#VALUE!</v>
      </c>
      <c r="AO188" s="97" t="e">
        <f>'Actual Value'!R141+"AM:!))."</f>
        <v>#VALUE!</v>
      </c>
      <c r="AP188" s="97" t="e">
        <f>'Actual Value'!S141+"AM:!))/"</f>
        <v>#VALUE!</v>
      </c>
      <c r="AQ188" s="97" t="e">
        <f>'Actual Value'!T141+"AM:!))0"</f>
        <v>#VALUE!</v>
      </c>
      <c r="AR188" s="97" t="e">
        <f>'Actual Value'!U141+"AM:!))1"</f>
        <v>#VALUE!</v>
      </c>
      <c r="AS188" s="97" t="e">
        <f>'Actual Value'!V141+"AM:!))2"</f>
        <v>#VALUE!</v>
      </c>
      <c r="AT188" s="97" t="e">
        <f>'Actual Value'!W141+"AM:!))3"</f>
        <v>#VALUE!</v>
      </c>
      <c r="AU188" s="97" t="e">
        <f>'Actual Value'!X141+"AM:!))4"</f>
        <v>#VALUE!</v>
      </c>
      <c r="AV188" s="97" t="e">
        <f>'Actual Value'!Y141+"AM:!))5"</f>
        <v>#VALUE!</v>
      </c>
      <c r="AW188" s="97" t="e">
        <f>'Actual Value'!Z141+"AM:!))6"</f>
        <v>#VALUE!</v>
      </c>
      <c r="AX188" s="97" t="e">
        <f>'Actual Value'!AA141+"AM:!))7"</f>
        <v>#VALUE!</v>
      </c>
      <c r="AY188" s="97" t="e">
        <f>'Actual Value'!AB141+"AM:!))8"</f>
        <v>#VALUE!</v>
      </c>
      <c r="AZ188" s="97" t="e">
        <f>'Actual Value'!AC141+"AM:!))9"</f>
        <v>#VALUE!</v>
      </c>
      <c r="BA188" s="97" t="e">
        <f>'Actual Value'!AD141+"AM:!)):"</f>
        <v>#VALUE!</v>
      </c>
      <c r="BB188" s="97" t="e">
        <f>'Actual Value'!AE141+"AM:!));"</f>
        <v>#VALUE!</v>
      </c>
      <c r="BC188" s="97" t="e">
        <f>'Actual Value'!AF141+"AM:!))&lt;"</f>
        <v>#VALUE!</v>
      </c>
      <c r="BD188" s="97" t="e">
        <f>'Actual Value'!AG141+"AM:!))="</f>
        <v>#VALUE!</v>
      </c>
      <c r="BE188" s="97" t="e">
        <f>'Actual Value'!AH141+"AM:!))&gt;"</f>
        <v>#VALUE!</v>
      </c>
      <c r="BF188" s="97" t="e">
        <f>'Actual Value'!AI141+"AM:!))?"</f>
        <v>#VALUE!</v>
      </c>
      <c r="BG188" s="97" t="e">
        <f>'Actual Value'!AJ141+"AM:!))@"</f>
        <v>#VALUE!</v>
      </c>
      <c r="BH188" s="97" t="e">
        <f>'Actual Value'!AK141+"AM:!))A"</f>
        <v>#VALUE!</v>
      </c>
      <c r="BI188" s="97" t="e">
        <f>'Actual Value'!AL141+"AM:!))B"</f>
        <v>#VALUE!</v>
      </c>
      <c r="BJ188" s="97" t="e">
        <f>'Actual Value'!AM141+"AM:!))C"</f>
        <v>#VALUE!</v>
      </c>
      <c r="BK188" s="97" t="e">
        <f>'Actual Value'!AN141+"AM:!))D"</f>
        <v>#VALUE!</v>
      </c>
      <c r="BL188" s="97" t="e">
        <f>'Actual Value'!AO141+"AM:!))E"</f>
        <v>#VALUE!</v>
      </c>
      <c r="BM188" t="e">
        <f>'Actual Value'!AP141+"AM:!))F"</f>
        <v>#VALUE!</v>
      </c>
      <c r="BN188" t="e">
        <f>'Actual Value'!AQ141+"AM:!))G"</f>
        <v>#VALUE!</v>
      </c>
      <c r="BO188" t="e">
        <f>'Actual Value'!AR141+"AM:!))H"</f>
        <v>#VALUE!</v>
      </c>
      <c r="BP188" t="e">
        <f>'Actual Value'!AS141+"AM:!))I"</f>
        <v>#VALUE!</v>
      </c>
      <c r="BQ188" t="e">
        <f>'Actual Value'!AT141+"AM:!))J"</f>
        <v>#VALUE!</v>
      </c>
      <c r="BR188" t="e">
        <f>'Actual Value'!AU141+"AM:!))K"</f>
        <v>#VALUE!</v>
      </c>
      <c r="BS188" t="e">
        <f>'Actual Value'!AV141+"AM:!))L"</f>
        <v>#VALUE!</v>
      </c>
      <c r="BT188" t="e">
        <f>'Actual Value'!AW141+"AM:!))M"</f>
        <v>#VALUE!</v>
      </c>
      <c r="BU188" t="e">
        <f>'Actual Value'!A142+"AM:!))N"</f>
        <v>#VALUE!</v>
      </c>
      <c r="BV188" t="e">
        <f>'Actual Value'!B142+"AM:!))O"</f>
        <v>#VALUE!</v>
      </c>
      <c r="BW188" t="e">
        <f>'Actual Value'!C142+"AM:!))P"</f>
        <v>#VALUE!</v>
      </c>
      <c r="BX188" s="97" t="e">
        <f>'Actual Value'!D142+"AM:!))Q"</f>
        <v>#VALUE!</v>
      </c>
      <c r="BY188" s="97" t="e">
        <f>'Actual Value'!E142+"AM:!))R"</f>
        <v>#VALUE!</v>
      </c>
      <c r="BZ188" s="97" t="e">
        <f>'Actual Value'!F142+"AM:!))S"</f>
        <v>#VALUE!</v>
      </c>
      <c r="CA188" s="97" t="e">
        <f>'Actual Value'!G142+"AM:!))T"</f>
        <v>#VALUE!</v>
      </c>
      <c r="CB188" s="97" t="e">
        <f>'Actual Value'!H142+"AM:!))U"</f>
        <v>#VALUE!</v>
      </c>
      <c r="CC188" s="97" t="e">
        <f>'Actual Value'!I142+"AM:!))V"</f>
        <v>#VALUE!</v>
      </c>
      <c r="CD188" s="97" t="e">
        <f>'Actual Value'!J142+"AM:!))W"</f>
        <v>#VALUE!</v>
      </c>
      <c r="CE188" s="97" t="e">
        <f>'Actual Value'!K142+"AM:!))X"</f>
        <v>#VALUE!</v>
      </c>
      <c r="CF188" s="97" t="e">
        <f>'Actual Value'!L142+"AM:!))Y"</f>
        <v>#VALUE!</v>
      </c>
      <c r="CG188" s="97" t="e">
        <f>'Actual Value'!M142+"AM:!))Z"</f>
        <v>#VALUE!</v>
      </c>
      <c r="CH188" s="97" t="e">
        <f>'Actual Value'!N142+"AM:!))["</f>
        <v>#VALUE!</v>
      </c>
      <c r="CI188" s="97" t="e">
        <f>'Actual Value'!O142+"AM:!))\"</f>
        <v>#VALUE!</v>
      </c>
      <c r="CJ188" s="97" t="e">
        <f>'Actual Value'!P142+"AM:!))]"</f>
        <v>#VALUE!</v>
      </c>
      <c r="CK188" s="97" t="e">
        <f>'Actual Value'!Q142+"AM:!))^"</f>
        <v>#VALUE!</v>
      </c>
      <c r="CL188" s="97" t="e">
        <f>'Actual Value'!R142+"AM:!))_"</f>
        <v>#VALUE!</v>
      </c>
      <c r="CM188" s="97" t="e">
        <f>'Actual Value'!S142+"AM:!))`"</f>
        <v>#VALUE!</v>
      </c>
      <c r="CN188" s="97" t="e">
        <f>'Actual Value'!T142+"AM:!))a"</f>
        <v>#VALUE!</v>
      </c>
      <c r="CO188" s="97" t="e">
        <f>'Actual Value'!U142+"AM:!))b"</f>
        <v>#VALUE!</v>
      </c>
      <c r="CP188" s="97" t="e">
        <f>'Actual Value'!V142+"AM:!))c"</f>
        <v>#VALUE!</v>
      </c>
      <c r="CQ188" s="97" t="e">
        <f>'Actual Value'!W142+"AM:!))d"</f>
        <v>#VALUE!</v>
      </c>
      <c r="CR188" s="97" t="e">
        <f>'Actual Value'!X142+"AM:!))e"</f>
        <v>#VALUE!</v>
      </c>
      <c r="CS188" s="97" t="e">
        <f>'Actual Value'!Y142+"AM:!))f"</f>
        <v>#VALUE!</v>
      </c>
      <c r="CT188" s="97" t="e">
        <f>'Actual Value'!Z142+"AM:!))g"</f>
        <v>#VALUE!</v>
      </c>
      <c r="CU188" s="97" t="e">
        <f>'Actual Value'!AA142+"AM:!))h"</f>
        <v>#VALUE!</v>
      </c>
      <c r="CV188" s="97" t="e">
        <f>'Actual Value'!AB142+"AM:!))i"</f>
        <v>#VALUE!</v>
      </c>
      <c r="CW188" s="97" t="e">
        <f>'Actual Value'!AC142+"AM:!))j"</f>
        <v>#VALUE!</v>
      </c>
      <c r="CX188" s="97" t="e">
        <f>'Actual Value'!AD142+"AM:!))k"</f>
        <v>#VALUE!</v>
      </c>
      <c r="CY188" s="97" t="e">
        <f>'Actual Value'!AE142+"AM:!))l"</f>
        <v>#VALUE!</v>
      </c>
      <c r="CZ188" s="97" t="e">
        <f>'Actual Value'!AF142+"AM:!))m"</f>
        <v>#VALUE!</v>
      </c>
      <c r="DA188" s="97" t="e">
        <f>'Actual Value'!AG142+"AM:!))n"</f>
        <v>#VALUE!</v>
      </c>
      <c r="DB188" s="97" t="e">
        <f>'Actual Value'!AH142+"AM:!))o"</f>
        <v>#VALUE!</v>
      </c>
      <c r="DC188" s="97" t="e">
        <f>'Actual Value'!AI142+"AM:!))p"</f>
        <v>#VALUE!</v>
      </c>
      <c r="DD188" s="97" t="e">
        <f>'Actual Value'!AJ142+"AM:!))q"</f>
        <v>#VALUE!</v>
      </c>
      <c r="DE188" s="97" t="e">
        <f>'Actual Value'!AK142+"AM:!))r"</f>
        <v>#VALUE!</v>
      </c>
      <c r="DF188" s="97" t="e">
        <f>'Actual Value'!AL142+"AM:!))s"</f>
        <v>#VALUE!</v>
      </c>
      <c r="DG188" s="97" t="e">
        <f>'Actual Value'!AM142+"AM:!))t"</f>
        <v>#VALUE!</v>
      </c>
      <c r="DH188" s="97" t="e">
        <f>'Actual Value'!AN142+"AM:!))u"</f>
        <v>#VALUE!</v>
      </c>
      <c r="DI188" s="97" t="e">
        <f>'Actual Value'!AO142+"AM:!))v"</f>
        <v>#VALUE!</v>
      </c>
      <c r="DJ188" t="e">
        <f>'Actual Value'!AP142+"AM:!))w"</f>
        <v>#VALUE!</v>
      </c>
      <c r="DK188" t="e">
        <f>'Actual Value'!AQ142+"AM:!))x"</f>
        <v>#VALUE!</v>
      </c>
      <c r="DL188" t="e">
        <f>'Actual Value'!AR142+"AM:!))y"</f>
        <v>#VALUE!</v>
      </c>
      <c r="DM188" t="e">
        <f>'Actual Value'!AS142+"AM:!))z"</f>
        <v>#VALUE!</v>
      </c>
      <c r="DN188" t="e">
        <f>'Actual Value'!AT142+"AM:!)){"</f>
        <v>#VALUE!</v>
      </c>
      <c r="DO188" t="e">
        <f>'Actual Value'!AU142+"AM:!))|"</f>
        <v>#VALUE!</v>
      </c>
      <c r="DP188" t="e">
        <f>'Actual Value'!AV142+"AM:!))}"</f>
        <v>#VALUE!</v>
      </c>
      <c r="DQ188" t="e">
        <f>'Actual Value'!AW142+"AM:!))~"</f>
        <v>#VALUE!</v>
      </c>
      <c r="DR188" t="e">
        <f>'Actual Value'!AX142+"AM:!).#"</f>
        <v>#VALUE!</v>
      </c>
      <c r="DS188" t="e">
        <f>'Actual Value'!A143+"AM:!).$"</f>
        <v>#VALUE!</v>
      </c>
      <c r="DT188" t="e">
        <f>'Actual Value'!B143+"AM:!).%"</f>
        <v>#VALUE!</v>
      </c>
      <c r="DU188" t="e">
        <f>'Actual Value'!C143+"AM:!).&amp;"</f>
        <v>#VALUE!</v>
      </c>
      <c r="DV188" s="97" t="e">
        <f>'Actual Value'!D143+"AM:!).'"</f>
        <v>#VALUE!</v>
      </c>
      <c r="DW188" s="97" t="e">
        <f>'Actual Value'!E143+"AM:!).("</f>
        <v>#VALUE!</v>
      </c>
      <c r="DX188" s="97" t="e">
        <f>'Actual Value'!F143+"AM:!).)"</f>
        <v>#VALUE!</v>
      </c>
      <c r="DY188" s="97" t="e">
        <f>'Actual Value'!G143+"AM:!).."</f>
        <v>#VALUE!</v>
      </c>
      <c r="DZ188" s="97" t="e">
        <f>'Actual Value'!H143+"AM:!)./"</f>
        <v>#VALUE!</v>
      </c>
      <c r="EA188" s="97" t="e">
        <f>'Actual Value'!I143+"AM:!).0"</f>
        <v>#VALUE!</v>
      </c>
      <c r="EB188" s="97" t="e">
        <f>'Actual Value'!J143+"AM:!).1"</f>
        <v>#VALUE!</v>
      </c>
      <c r="EC188" s="97" t="e">
        <f>'Actual Value'!K143+"AM:!).2"</f>
        <v>#VALUE!</v>
      </c>
      <c r="ED188" s="97" t="e">
        <f>'Actual Value'!L143+"AM:!).3"</f>
        <v>#VALUE!</v>
      </c>
      <c r="EE188" s="97" t="e">
        <f>'Actual Value'!M143+"AM:!).4"</f>
        <v>#VALUE!</v>
      </c>
      <c r="EF188" s="97" t="e">
        <f>'Actual Value'!N143+"AM:!).5"</f>
        <v>#VALUE!</v>
      </c>
      <c r="EG188" s="97" t="e">
        <f>'Actual Value'!O143+"AM:!).6"</f>
        <v>#VALUE!</v>
      </c>
      <c r="EH188" s="97" t="e">
        <f>'Actual Value'!P143+"AM:!).7"</f>
        <v>#VALUE!</v>
      </c>
      <c r="EI188" s="97" t="e">
        <f>'Actual Value'!Q143+"AM:!).8"</f>
        <v>#VALUE!</v>
      </c>
      <c r="EJ188" s="97" t="e">
        <f>'Actual Value'!R143+"AM:!).9"</f>
        <v>#VALUE!</v>
      </c>
      <c r="EK188" s="97" t="e">
        <f>'Actual Value'!S143+"AM:!).:"</f>
        <v>#VALUE!</v>
      </c>
      <c r="EL188" s="97" t="e">
        <f>'Actual Value'!T143+"AM:!).;"</f>
        <v>#VALUE!</v>
      </c>
      <c r="EM188" s="97" t="e">
        <f>'Actual Value'!U143+"AM:!).&lt;"</f>
        <v>#VALUE!</v>
      </c>
      <c r="EN188" s="97" t="e">
        <f>'Actual Value'!V143+"AM:!).="</f>
        <v>#VALUE!</v>
      </c>
      <c r="EO188" s="97" t="e">
        <f>'Actual Value'!W143+"AM:!).&gt;"</f>
        <v>#VALUE!</v>
      </c>
      <c r="EP188" s="97" t="e">
        <f>'Actual Value'!X143+"AM:!).?"</f>
        <v>#VALUE!</v>
      </c>
      <c r="EQ188" s="97" t="e">
        <f>'Actual Value'!Y143+"AM:!).@"</f>
        <v>#VALUE!</v>
      </c>
      <c r="ER188" s="97" t="e">
        <f>'Actual Value'!Z143+"AM:!).A"</f>
        <v>#VALUE!</v>
      </c>
      <c r="ES188" s="97" t="e">
        <f>'Actual Value'!AA143+"AM:!).B"</f>
        <v>#VALUE!</v>
      </c>
      <c r="ET188" s="97" t="e">
        <f>'Actual Value'!AB143+"AM:!).C"</f>
        <v>#VALUE!</v>
      </c>
      <c r="EU188" s="97" t="e">
        <f>'Actual Value'!AC143+"AM:!).D"</f>
        <v>#VALUE!</v>
      </c>
      <c r="EV188" s="97" t="e">
        <f>'Actual Value'!AD143+"AM:!).E"</f>
        <v>#VALUE!</v>
      </c>
      <c r="EW188" s="97" t="e">
        <f>'Actual Value'!AE143+"AM:!).F"</f>
        <v>#VALUE!</v>
      </c>
      <c r="EX188" s="97" t="e">
        <f>'Actual Value'!AF143+"AM:!).G"</f>
        <v>#VALUE!</v>
      </c>
      <c r="EY188" s="97" t="e">
        <f>'Actual Value'!AG143+"AM:!).H"</f>
        <v>#VALUE!</v>
      </c>
      <c r="EZ188" s="97" t="e">
        <f>'Actual Value'!AH143+"AM:!).I"</f>
        <v>#VALUE!</v>
      </c>
      <c r="FA188" s="97" t="e">
        <f>'Actual Value'!AI143+"AM:!).J"</f>
        <v>#VALUE!</v>
      </c>
      <c r="FB188" s="97" t="e">
        <f>'Actual Value'!AJ143+"AM:!).K"</f>
        <v>#VALUE!</v>
      </c>
      <c r="FC188" s="97" t="e">
        <f>'Actual Value'!AK143+"AM:!).L"</f>
        <v>#VALUE!</v>
      </c>
      <c r="FD188" s="97" t="e">
        <f>'Actual Value'!AL143+"AM:!).M"</f>
        <v>#VALUE!</v>
      </c>
      <c r="FE188" s="97" t="e">
        <f>'Actual Value'!AM143+"AM:!).N"</f>
        <v>#VALUE!</v>
      </c>
      <c r="FF188" s="97" t="e">
        <f>'Actual Value'!AN143+"AM:!).O"</f>
        <v>#VALUE!</v>
      </c>
      <c r="FG188" s="97" t="e">
        <f>'Actual Value'!AO143+"AM:!).P"</f>
        <v>#VALUE!</v>
      </c>
      <c r="FH188" t="e">
        <f>'Actual Value'!AP143+"AM:!).Q"</f>
        <v>#VALUE!</v>
      </c>
      <c r="FI188" t="e">
        <f>'Actual Value'!AQ143+"AM:!).R"</f>
        <v>#VALUE!</v>
      </c>
      <c r="FJ188" t="e">
        <f>'Actual Value'!AR143+"AM:!).S"</f>
        <v>#VALUE!</v>
      </c>
      <c r="FK188" t="e">
        <f>'Actual Value'!AS143+"AM:!).T"</f>
        <v>#VALUE!</v>
      </c>
      <c r="FL188" t="e">
        <f>'Actual Value'!AT143+"AM:!).U"</f>
        <v>#VALUE!</v>
      </c>
      <c r="FM188" t="e">
        <f>'Actual Value'!AU143+"AM:!).V"</f>
        <v>#VALUE!</v>
      </c>
      <c r="FN188" t="e">
        <f>'Actual Value'!AV143+"AM:!).W"</f>
        <v>#VALUE!</v>
      </c>
      <c r="FO188" t="e">
        <f>'Actual Value'!AW143+"AM:!).X"</f>
        <v>#VALUE!</v>
      </c>
      <c r="FP188" t="e">
        <f>'Actual Value'!AX143+"AM:!).Y"</f>
        <v>#VALUE!</v>
      </c>
      <c r="FQ188" t="e">
        <f>'Actual Value'!A144+"AM:!).Z"</f>
        <v>#VALUE!</v>
      </c>
      <c r="FR188" t="e">
        <f>'Actual Value'!B144+"AM:!).["</f>
        <v>#VALUE!</v>
      </c>
      <c r="FS188" t="e">
        <f>'Actual Value'!C144+"AM:!).\"</f>
        <v>#VALUE!</v>
      </c>
      <c r="FT188" s="97" t="e">
        <f>'Actual Value'!D144+"AM:!).]"</f>
        <v>#VALUE!</v>
      </c>
      <c r="FU188" s="97" t="e">
        <f>'Actual Value'!E144+"AM:!).^"</f>
        <v>#VALUE!</v>
      </c>
      <c r="FV188" s="97" t="e">
        <f>'Actual Value'!F144+"AM:!)._"</f>
        <v>#VALUE!</v>
      </c>
      <c r="FW188" s="97" t="e">
        <f>'Actual Value'!G144+"AM:!).`"</f>
        <v>#VALUE!</v>
      </c>
      <c r="FX188" s="97" t="e">
        <f>'Actual Value'!H144+"AM:!).a"</f>
        <v>#VALUE!</v>
      </c>
      <c r="FY188" s="97" t="e">
        <f>'Actual Value'!I144+"AM:!).b"</f>
        <v>#VALUE!</v>
      </c>
      <c r="FZ188" s="97" t="e">
        <f>'Actual Value'!J144+"AM:!).c"</f>
        <v>#VALUE!</v>
      </c>
      <c r="GA188" s="97" t="e">
        <f>'Actual Value'!K144+"AM:!).d"</f>
        <v>#VALUE!</v>
      </c>
      <c r="GB188" s="97" t="e">
        <f>'Actual Value'!L144+"AM:!).e"</f>
        <v>#VALUE!</v>
      </c>
      <c r="GC188" s="97" t="e">
        <f>'Actual Value'!M144+"AM:!).f"</f>
        <v>#VALUE!</v>
      </c>
      <c r="GD188" s="97" t="e">
        <f>'Actual Value'!N144+"AM:!).g"</f>
        <v>#VALUE!</v>
      </c>
      <c r="GE188" s="97" t="e">
        <f>'Actual Value'!O144+"AM:!).h"</f>
        <v>#VALUE!</v>
      </c>
      <c r="GF188" s="97" t="e">
        <f>'Actual Value'!P144+"AM:!).i"</f>
        <v>#VALUE!</v>
      </c>
      <c r="GG188" s="97" t="e">
        <f>'Actual Value'!Q144+"AM:!).j"</f>
        <v>#VALUE!</v>
      </c>
      <c r="GH188" s="97" t="e">
        <f>'Actual Value'!R144+"AM:!).k"</f>
        <v>#VALUE!</v>
      </c>
      <c r="GI188" s="97" t="e">
        <f>'Actual Value'!S144+"AM:!).l"</f>
        <v>#VALUE!</v>
      </c>
      <c r="GJ188" s="97" t="e">
        <f>'Actual Value'!T144+"AM:!).m"</f>
        <v>#VALUE!</v>
      </c>
      <c r="GK188" s="97" t="e">
        <f>'Actual Value'!U144+"AM:!).n"</f>
        <v>#VALUE!</v>
      </c>
      <c r="GL188" s="97" t="e">
        <f>'Actual Value'!V144+"AM:!).o"</f>
        <v>#VALUE!</v>
      </c>
      <c r="GM188" s="97" t="e">
        <f>'Actual Value'!W144+"AM:!).p"</f>
        <v>#VALUE!</v>
      </c>
      <c r="GN188" s="97" t="e">
        <f>'Actual Value'!X144+"AM:!).q"</f>
        <v>#VALUE!</v>
      </c>
      <c r="GO188" s="97" t="e">
        <f>'Actual Value'!Y144+"AM:!).r"</f>
        <v>#VALUE!</v>
      </c>
      <c r="GP188" s="97" t="e">
        <f>'Actual Value'!Z144+"AM:!).s"</f>
        <v>#VALUE!</v>
      </c>
      <c r="GQ188" s="97" t="e">
        <f>'Actual Value'!AA144+"AM:!).t"</f>
        <v>#VALUE!</v>
      </c>
      <c r="GR188" s="97" t="e">
        <f>'Actual Value'!AB144+"AM:!).u"</f>
        <v>#VALUE!</v>
      </c>
      <c r="GS188" s="97" t="e">
        <f>'Actual Value'!AC144+"AM:!).v"</f>
        <v>#VALUE!</v>
      </c>
      <c r="GT188" s="97" t="e">
        <f>'Actual Value'!AD144+"AM:!).w"</f>
        <v>#VALUE!</v>
      </c>
      <c r="GU188" s="97" t="e">
        <f>'Actual Value'!AE144+"AM:!).x"</f>
        <v>#VALUE!</v>
      </c>
      <c r="GV188" s="97" t="e">
        <f>'Actual Value'!AF144+"AM:!).y"</f>
        <v>#VALUE!</v>
      </c>
      <c r="GW188" s="97" t="e">
        <f>'Actual Value'!AG144+"AM:!).z"</f>
        <v>#VALUE!</v>
      </c>
      <c r="GX188" s="97" t="e">
        <f>'Actual Value'!AH144+"AM:!).{"</f>
        <v>#VALUE!</v>
      </c>
      <c r="GY188" s="97" t="e">
        <f>'Actual Value'!AI144+"AM:!).|"</f>
        <v>#VALUE!</v>
      </c>
      <c r="GZ188" s="97" t="e">
        <f>'Actual Value'!AJ144+"AM:!).}"</f>
        <v>#VALUE!</v>
      </c>
      <c r="HA188" s="97" t="e">
        <f>'Actual Value'!AK144+"AM:!).~"</f>
        <v>#VALUE!</v>
      </c>
      <c r="HB188" s="97" t="e">
        <f>'Actual Value'!AL144+"AM:!)/#"</f>
        <v>#VALUE!</v>
      </c>
      <c r="HC188" s="97" t="e">
        <f>'Actual Value'!AM144+"AM:!)/$"</f>
        <v>#VALUE!</v>
      </c>
      <c r="HD188" s="97" t="e">
        <f>'Actual Value'!AN144+"AM:!)/%"</f>
        <v>#VALUE!</v>
      </c>
      <c r="HE188" s="97" t="e">
        <f>'Actual Value'!AO144+"AM:!)/&amp;"</f>
        <v>#VALUE!</v>
      </c>
      <c r="HF188" t="e">
        <f>'Actual Value'!AP144+"AM:!)/'"</f>
        <v>#VALUE!</v>
      </c>
      <c r="HG188" t="e">
        <f>'Actual Value'!AQ144+"AM:!)/("</f>
        <v>#VALUE!</v>
      </c>
      <c r="HH188" t="e">
        <f>'Actual Value'!AR144+"AM:!)/)"</f>
        <v>#VALUE!</v>
      </c>
      <c r="HI188" t="e">
        <f>'Actual Value'!AS144+"AM:!)/."</f>
        <v>#VALUE!</v>
      </c>
      <c r="HJ188" t="e">
        <f>'Actual Value'!AT144+"AM:!)//"</f>
        <v>#VALUE!</v>
      </c>
      <c r="HK188" t="e">
        <f>'Actual Value'!AU144+"AM:!)/0"</f>
        <v>#VALUE!</v>
      </c>
      <c r="HL188" t="e">
        <f>'Actual Value'!AV144+"AM:!)/1"</f>
        <v>#VALUE!</v>
      </c>
      <c r="HM188" t="e">
        <f>'Actual Value'!AW144+"AM:!)/2"</f>
        <v>#VALUE!</v>
      </c>
      <c r="HN188" t="e">
        <f>'Actual Value'!AX144+"AM:!)/3"</f>
        <v>#VALUE!</v>
      </c>
      <c r="HO188" t="e">
        <f>'Actual Value'!A145+"AM:!)/4"</f>
        <v>#VALUE!</v>
      </c>
      <c r="HP188" t="e">
        <f>'Actual Value'!B145+"AM:!)/5"</f>
        <v>#VALUE!</v>
      </c>
      <c r="HQ188" t="e">
        <f>'Actual Value'!C145+"AM:!)/6"</f>
        <v>#VALUE!</v>
      </c>
      <c r="HR188" s="97" t="e">
        <f>'Actual Value'!D145+"AM:!)/7"</f>
        <v>#VALUE!</v>
      </c>
      <c r="HS188" s="97" t="e">
        <f>'Actual Value'!E145+"AM:!)/8"</f>
        <v>#VALUE!</v>
      </c>
      <c r="HT188" s="97" t="e">
        <f>'Actual Value'!F145+"AM:!)/9"</f>
        <v>#VALUE!</v>
      </c>
      <c r="HU188" s="97" t="e">
        <f>'Actual Value'!G145+"AM:!)/:"</f>
        <v>#VALUE!</v>
      </c>
      <c r="HV188" s="97" t="e">
        <f>'Actual Value'!H145+"AM:!)/;"</f>
        <v>#VALUE!</v>
      </c>
      <c r="HW188" s="97" t="e">
        <f>'Actual Value'!I145+"AM:!)/&lt;"</f>
        <v>#VALUE!</v>
      </c>
      <c r="HX188" s="97" t="e">
        <f>'Actual Value'!J145+"AM:!)/="</f>
        <v>#VALUE!</v>
      </c>
      <c r="HY188" s="97" t="e">
        <f>'Actual Value'!K145+"AM:!)/&gt;"</f>
        <v>#VALUE!</v>
      </c>
      <c r="HZ188" s="97" t="e">
        <f>'Actual Value'!L145+"AM:!)/?"</f>
        <v>#VALUE!</v>
      </c>
      <c r="IA188" s="97" t="e">
        <f>'Actual Value'!M145+"AM:!)/@"</f>
        <v>#VALUE!</v>
      </c>
      <c r="IB188" s="97" t="e">
        <f>'Actual Value'!N145+"AM:!)/A"</f>
        <v>#VALUE!</v>
      </c>
      <c r="IC188" s="97" t="e">
        <f>'Actual Value'!O145+"AM:!)/B"</f>
        <v>#VALUE!</v>
      </c>
      <c r="ID188" s="97" t="e">
        <f>'Actual Value'!P145+"AM:!)/C"</f>
        <v>#VALUE!</v>
      </c>
      <c r="IE188" s="97" t="e">
        <f>'Actual Value'!Q145+"AM:!)/D"</f>
        <v>#VALUE!</v>
      </c>
      <c r="IF188" s="97" t="e">
        <f>'Actual Value'!R145+"AM:!)/E"</f>
        <v>#VALUE!</v>
      </c>
      <c r="IG188" s="97" t="e">
        <f>'Actual Value'!S145+"AM:!)/F"</f>
        <v>#VALUE!</v>
      </c>
      <c r="IH188" s="97" t="e">
        <f>'Actual Value'!T145+"AM:!)/G"</f>
        <v>#VALUE!</v>
      </c>
      <c r="II188" s="97" t="e">
        <f>'Actual Value'!U145+"AM:!)/H"</f>
        <v>#VALUE!</v>
      </c>
      <c r="IJ188" s="97" t="e">
        <f>'Actual Value'!V145+"AM:!)/I"</f>
        <v>#VALUE!</v>
      </c>
      <c r="IK188" s="97" t="e">
        <f>'Actual Value'!W145+"AM:!)/J"</f>
        <v>#VALUE!</v>
      </c>
      <c r="IL188" s="97" t="e">
        <f>'Actual Value'!X145+"AM:!)/K"</f>
        <v>#VALUE!</v>
      </c>
      <c r="IM188" s="97" t="e">
        <f>'Actual Value'!Y145+"AM:!)/L"</f>
        <v>#VALUE!</v>
      </c>
      <c r="IN188" s="97" t="e">
        <f>'Actual Value'!Z145+"AM:!)/M"</f>
        <v>#VALUE!</v>
      </c>
      <c r="IO188" s="97" t="e">
        <f>'Actual Value'!AA145+"AM:!)/N"</f>
        <v>#VALUE!</v>
      </c>
      <c r="IP188" s="97" t="e">
        <f>'Actual Value'!AB145+"AM:!)/O"</f>
        <v>#VALUE!</v>
      </c>
      <c r="IQ188" s="97" t="e">
        <f>'Actual Value'!AC145+"AM:!)/P"</f>
        <v>#VALUE!</v>
      </c>
      <c r="IR188" s="97" t="e">
        <f>'Actual Value'!AD145+"AM:!)/Q"</f>
        <v>#VALUE!</v>
      </c>
      <c r="IS188" s="97" t="e">
        <f>'Actual Value'!AE145+"AM:!)/R"</f>
        <v>#VALUE!</v>
      </c>
      <c r="IT188" s="97" t="e">
        <f>'Actual Value'!AF145+"AM:!)/S"</f>
        <v>#VALUE!</v>
      </c>
      <c r="IU188" s="97" t="e">
        <f>'Actual Value'!AG145+"AM:!)/T"</f>
        <v>#VALUE!</v>
      </c>
      <c r="IV188" s="97" t="e">
        <f>'Actual Value'!AH145+"AM:!)/U"</f>
        <v>#VALUE!</v>
      </c>
    </row>
    <row r="189" spans="6:256">
      <c r="F189" s="97" t="e">
        <f>'Actual Value'!AI145+"AM:!)/V"</f>
        <v>#VALUE!</v>
      </c>
      <c r="G189" s="97" t="e">
        <f>'Actual Value'!AJ145+"AM:!)/W"</f>
        <v>#VALUE!</v>
      </c>
      <c r="H189" s="97" t="e">
        <f>'Actual Value'!AK145+"AM:!)/X"</f>
        <v>#VALUE!</v>
      </c>
      <c r="I189" s="97" t="e">
        <f>'Actual Value'!AL145+"AM:!)/Y"</f>
        <v>#VALUE!</v>
      </c>
      <c r="J189" s="97" t="e">
        <f>'Actual Value'!AM145+"AM:!)/Z"</f>
        <v>#VALUE!</v>
      </c>
      <c r="K189" s="97" t="e">
        <f>'Actual Value'!AN145+"AM:!)/["</f>
        <v>#VALUE!</v>
      </c>
      <c r="L189" s="97" t="e">
        <f>'Actual Value'!AO145+"AM:!)/\"</f>
        <v>#VALUE!</v>
      </c>
      <c r="M189" t="e">
        <f>'Actual Value'!AP145+"AM:!)/]"</f>
        <v>#VALUE!</v>
      </c>
      <c r="N189" t="e">
        <f>'Actual Value'!AQ145+"AM:!)/^"</f>
        <v>#VALUE!</v>
      </c>
      <c r="O189" t="e">
        <f>'Actual Value'!AR145+"AM:!)/_"</f>
        <v>#VALUE!</v>
      </c>
      <c r="P189" t="e">
        <f>'Actual Value'!AS145+"AM:!)/`"</f>
        <v>#VALUE!</v>
      </c>
      <c r="Q189" t="e">
        <f>'Actual Value'!AT145+"AM:!)/a"</f>
        <v>#VALUE!</v>
      </c>
      <c r="R189" t="e">
        <f>'Actual Value'!AU145+"AM:!)/b"</f>
        <v>#VALUE!</v>
      </c>
      <c r="S189" t="e">
        <f>'Actual Value'!AV145+"AM:!)/c"</f>
        <v>#VALUE!</v>
      </c>
      <c r="T189" t="e">
        <f>'Actual Value'!AW145+"AM:!)/d"</f>
        <v>#VALUE!</v>
      </c>
      <c r="U189" t="e">
        <f>'Actual Value'!AX145+"AM:!)/e"</f>
        <v>#VALUE!</v>
      </c>
      <c r="V189" t="e">
        <f>'Actual Value'!A146+"AM:!)/f"</f>
        <v>#VALUE!</v>
      </c>
      <c r="W189" t="e">
        <f>'Actual Value'!B146+"AM:!)/g"</f>
        <v>#VALUE!</v>
      </c>
      <c r="X189" t="e">
        <f>'Actual Value'!C146+"AM:!)/h"</f>
        <v>#VALUE!</v>
      </c>
      <c r="Y189" s="97" t="e">
        <f>'Actual Value'!D146+"AM:!)/i"</f>
        <v>#VALUE!</v>
      </c>
      <c r="Z189" s="97" t="e">
        <f>'Actual Value'!E146+"AM:!)/j"</f>
        <v>#VALUE!</v>
      </c>
      <c r="AA189" s="97" t="e">
        <f>'Actual Value'!F146+"AM:!)/k"</f>
        <v>#VALUE!</v>
      </c>
      <c r="AB189" s="97" t="e">
        <f>'Actual Value'!G146+"AM:!)/l"</f>
        <v>#VALUE!</v>
      </c>
      <c r="AC189" s="97" t="e">
        <f>'Actual Value'!H146+"AM:!)/m"</f>
        <v>#VALUE!</v>
      </c>
      <c r="AD189" s="97" t="e">
        <f>'Actual Value'!I146+"AM:!)/n"</f>
        <v>#VALUE!</v>
      </c>
      <c r="AE189" s="97" t="e">
        <f>'Actual Value'!J146+"AM:!)/o"</f>
        <v>#VALUE!</v>
      </c>
      <c r="AF189" s="97" t="e">
        <f>'Actual Value'!K146+"AM:!)/p"</f>
        <v>#VALUE!</v>
      </c>
      <c r="AG189" s="97" t="e">
        <f>'Actual Value'!L146+"AM:!)/q"</f>
        <v>#VALUE!</v>
      </c>
      <c r="AH189" s="97" t="e">
        <f>'Actual Value'!M146+"AM:!)/r"</f>
        <v>#VALUE!</v>
      </c>
      <c r="AI189" s="97" t="e">
        <f>'Actual Value'!N146+"AM:!)/s"</f>
        <v>#VALUE!</v>
      </c>
      <c r="AJ189" s="97" t="e">
        <f>'Actual Value'!O146+"AM:!)/t"</f>
        <v>#VALUE!</v>
      </c>
      <c r="AK189" s="97" t="e">
        <f>'Actual Value'!P146+"AM:!)/u"</f>
        <v>#VALUE!</v>
      </c>
      <c r="AL189" s="97" t="e">
        <f>'Actual Value'!Q146+"AM:!)/v"</f>
        <v>#VALUE!</v>
      </c>
      <c r="AM189" s="97" t="e">
        <f>'Actual Value'!R146+"AM:!)/w"</f>
        <v>#VALUE!</v>
      </c>
      <c r="AN189" s="97" t="e">
        <f>'Actual Value'!S146+"AM:!)/x"</f>
        <v>#VALUE!</v>
      </c>
      <c r="AO189" s="97" t="e">
        <f>'Actual Value'!T146+"AM:!)/y"</f>
        <v>#VALUE!</v>
      </c>
      <c r="AP189" s="97" t="e">
        <f>'Actual Value'!U146+"AM:!)/z"</f>
        <v>#VALUE!</v>
      </c>
      <c r="AQ189" s="97" t="e">
        <f>'Actual Value'!V146+"AM:!)/{"</f>
        <v>#VALUE!</v>
      </c>
      <c r="AR189" s="97" t="e">
        <f>'Actual Value'!W146+"AM:!)/|"</f>
        <v>#VALUE!</v>
      </c>
      <c r="AS189" s="97" t="e">
        <f>'Actual Value'!X146+"AM:!)/}"</f>
        <v>#VALUE!</v>
      </c>
      <c r="AT189" s="97" t="e">
        <f>'Actual Value'!Y146+"AM:!)/~"</f>
        <v>#VALUE!</v>
      </c>
      <c r="AU189" s="97" t="e">
        <f>'Actual Value'!Z146+"AM:!)0#"</f>
        <v>#VALUE!</v>
      </c>
      <c r="AV189" s="97" t="e">
        <f>'Actual Value'!AA146+"AM:!)0$"</f>
        <v>#VALUE!</v>
      </c>
      <c r="AW189" s="97" t="e">
        <f>'Actual Value'!AB146+"AM:!)0%"</f>
        <v>#VALUE!</v>
      </c>
      <c r="AX189" s="97" t="e">
        <f>'Actual Value'!AC146+"AM:!)0&amp;"</f>
        <v>#VALUE!</v>
      </c>
      <c r="AY189" s="97" t="e">
        <f>'Actual Value'!AD146+"AM:!)0'"</f>
        <v>#VALUE!</v>
      </c>
      <c r="AZ189" s="97" t="e">
        <f>'Actual Value'!AE146+"AM:!)0("</f>
        <v>#VALUE!</v>
      </c>
      <c r="BA189" s="97" t="e">
        <f>'Actual Value'!AF146+"AM:!)0)"</f>
        <v>#VALUE!</v>
      </c>
      <c r="BB189" s="97" t="e">
        <f>'Actual Value'!AG146+"AM:!)0."</f>
        <v>#VALUE!</v>
      </c>
      <c r="BC189" s="97" t="e">
        <f>'Actual Value'!AH146+"AM:!)0/"</f>
        <v>#VALUE!</v>
      </c>
      <c r="BD189" s="97" t="e">
        <f>'Actual Value'!AI146+"AM:!)00"</f>
        <v>#VALUE!</v>
      </c>
      <c r="BE189" s="97" t="e">
        <f>'Actual Value'!AJ146+"AM:!)01"</f>
        <v>#VALUE!</v>
      </c>
      <c r="BF189" s="97" t="e">
        <f>'Actual Value'!AK146+"AM:!)02"</f>
        <v>#VALUE!</v>
      </c>
      <c r="BG189" s="97" t="e">
        <f>'Actual Value'!AL146+"AM:!)03"</f>
        <v>#VALUE!</v>
      </c>
      <c r="BH189" s="97" t="e">
        <f>'Actual Value'!AM146+"AM:!)04"</f>
        <v>#VALUE!</v>
      </c>
      <c r="BI189" s="97" t="e">
        <f>'Actual Value'!AN146+"AM:!)05"</f>
        <v>#VALUE!</v>
      </c>
      <c r="BJ189" s="97" t="e">
        <f>'Actual Value'!AO146+"AM:!)06"</f>
        <v>#VALUE!</v>
      </c>
      <c r="BK189" t="e">
        <f>'Actual Value'!AP146+"AM:!)07"</f>
        <v>#VALUE!</v>
      </c>
      <c r="BL189" t="e">
        <f>'Actual Value'!AQ146+"AM:!)08"</f>
        <v>#VALUE!</v>
      </c>
      <c r="BM189" t="e">
        <f>'Actual Value'!AR146+"AM:!)09"</f>
        <v>#VALUE!</v>
      </c>
      <c r="BN189" t="e">
        <f>'Actual Value'!AS146+"AM:!)0:"</f>
        <v>#VALUE!</v>
      </c>
      <c r="BO189" t="e">
        <f>'Actual Value'!AT146+"AM:!)0;"</f>
        <v>#VALUE!</v>
      </c>
      <c r="BP189" t="e">
        <f>'Actual Value'!AU146+"AM:!)0&lt;"</f>
        <v>#VALUE!</v>
      </c>
      <c r="BQ189" t="e">
        <f>'Actual Value'!AV146+"AM:!)0="</f>
        <v>#VALUE!</v>
      </c>
      <c r="BR189" t="e">
        <f>'Actual Value'!AW146+"AM:!)0&gt;"</f>
        <v>#VALUE!</v>
      </c>
      <c r="BS189" t="e">
        <f>'Actual Value'!AX146+"AM:!)0?"</f>
        <v>#VALUE!</v>
      </c>
      <c r="BT189" t="e">
        <f>'Actual Value'!A147+"AM:!)0@"</f>
        <v>#VALUE!</v>
      </c>
      <c r="BU189" t="e">
        <f>'Actual Value'!B147+"AM:!)0A"</f>
        <v>#VALUE!</v>
      </c>
      <c r="BV189" t="e">
        <f>'Actual Value'!C147+"AM:!)0B"</f>
        <v>#VALUE!</v>
      </c>
      <c r="BW189" s="97" t="e">
        <f>'Actual Value'!D147+"AM:!)0C"</f>
        <v>#VALUE!</v>
      </c>
      <c r="BX189" s="97" t="e">
        <f>'Actual Value'!E147+"AM:!)0D"</f>
        <v>#VALUE!</v>
      </c>
      <c r="BY189" s="97" t="e">
        <f>'Actual Value'!F147+"AM:!)0E"</f>
        <v>#VALUE!</v>
      </c>
      <c r="BZ189" s="97" t="e">
        <f>'Actual Value'!G147+"AM:!)0F"</f>
        <v>#VALUE!</v>
      </c>
      <c r="CA189" s="97" t="e">
        <f>'Actual Value'!H147+"AM:!)0G"</f>
        <v>#VALUE!</v>
      </c>
      <c r="CB189" s="97" t="e">
        <f>'Actual Value'!I147+"AM:!)0H"</f>
        <v>#VALUE!</v>
      </c>
      <c r="CC189" s="97" t="e">
        <f>'Actual Value'!J147+"AM:!)0I"</f>
        <v>#VALUE!</v>
      </c>
      <c r="CD189" s="97" t="e">
        <f>'Actual Value'!K147+"AM:!)0J"</f>
        <v>#VALUE!</v>
      </c>
      <c r="CE189" s="97" t="e">
        <f>'Actual Value'!L147+"AM:!)0K"</f>
        <v>#VALUE!</v>
      </c>
      <c r="CF189" s="97" t="e">
        <f>'Actual Value'!M147+"AM:!)0L"</f>
        <v>#VALUE!</v>
      </c>
      <c r="CG189" s="97" t="e">
        <f>'Actual Value'!N147+"AM:!)0M"</f>
        <v>#VALUE!</v>
      </c>
      <c r="CH189" s="97" t="e">
        <f>'Actual Value'!O147+"AM:!)0N"</f>
        <v>#VALUE!</v>
      </c>
      <c r="CI189" s="97" t="e">
        <f>'Actual Value'!P147+"AM:!)0O"</f>
        <v>#VALUE!</v>
      </c>
      <c r="CJ189" s="97" t="e">
        <f>'Actual Value'!Q147+"AM:!)0P"</f>
        <v>#VALUE!</v>
      </c>
      <c r="CK189" s="97" t="e">
        <f>'Actual Value'!R147+"AM:!)0Q"</f>
        <v>#VALUE!</v>
      </c>
      <c r="CL189" s="97" t="e">
        <f>'Actual Value'!S147+"AM:!)0R"</f>
        <v>#VALUE!</v>
      </c>
      <c r="CM189" s="97" t="e">
        <f>'Actual Value'!T147+"AM:!)0S"</f>
        <v>#VALUE!</v>
      </c>
      <c r="CN189" s="97" t="e">
        <f>'Actual Value'!U147+"AM:!)0T"</f>
        <v>#VALUE!</v>
      </c>
      <c r="CO189" s="97" t="e">
        <f>'Actual Value'!V147+"AM:!)0U"</f>
        <v>#VALUE!</v>
      </c>
      <c r="CP189" s="97" t="e">
        <f>'Actual Value'!W147+"AM:!)0V"</f>
        <v>#VALUE!</v>
      </c>
      <c r="CQ189" s="97" t="e">
        <f>'Actual Value'!X147+"AM:!)0W"</f>
        <v>#VALUE!</v>
      </c>
      <c r="CR189" s="97" t="e">
        <f>'Actual Value'!Y147+"AM:!)0X"</f>
        <v>#VALUE!</v>
      </c>
      <c r="CS189" s="97" t="e">
        <f>'Actual Value'!Z147+"AM:!)0Y"</f>
        <v>#VALUE!</v>
      </c>
      <c r="CT189" s="97" t="e">
        <f>'Actual Value'!AA147+"AM:!)0Z"</f>
        <v>#VALUE!</v>
      </c>
      <c r="CU189" s="97" t="e">
        <f>'Actual Value'!AB147+"AM:!)0["</f>
        <v>#VALUE!</v>
      </c>
      <c r="CV189" s="97" t="e">
        <f>'Actual Value'!AC147+"AM:!)0\"</f>
        <v>#VALUE!</v>
      </c>
      <c r="CW189" s="97" t="e">
        <f>'Actual Value'!AD147+"AM:!)0]"</f>
        <v>#VALUE!</v>
      </c>
      <c r="CX189" s="97" t="e">
        <f>'Actual Value'!AE147+"AM:!)0^"</f>
        <v>#VALUE!</v>
      </c>
      <c r="CY189" s="97" t="e">
        <f>'Actual Value'!AF147+"AM:!)0_"</f>
        <v>#VALUE!</v>
      </c>
      <c r="CZ189" s="97" t="e">
        <f>'Actual Value'!AG147+"AM:!)0`"</f>
        <v>#VALUE!</v>
      </c>
      <c r="DA189" s="97" t="e">
        <f>'Actual Value'!AH147+"AM:!)0a"</f>
        <v>#VALUE!</v>
      </c>
      <c r="DB189" s="97" t="e">
        <f>'Actual Value'!AI147+"AM:!)0b"</f>
        <v>#VALUE!</v>
      </c>
      <c r="DC189" s="97" t="e">
        <f>'Actual Value'!AJ147+"AM:!)0c"</f>
        <v>#VALUE!</v>
      </c>
      <c r="DD189" s="97" t="e">
        <f>'Actual Value'!AK147+"AM:!)0d"</f>
        <v>#VALUE!</v>
      </c>
      <c r="DE189" s="97" t="e">
        <f>'Actual Value'!AL147+"AM:!)0e"</f>
        <v>#VALUE!</v>
      </c>
      <c r="DF189" s="97" t="e">
        <f>'Actual Value'!AM147+"AM:!)0f"</f>
        <v>#VALUE!</v>
      </c>
      <c r="DG189" s="97" t="e">
        <f>'Actual Value'!AN147+"AM:!)0g"</f>
        <v>#VALUE!</v>
      </c>
      <c r="DH189" s="97" t="e">
        <f>'Actual Value'!AO147+"AM:!)0h"</f>
        <v>#VALUE!</v>
      </c>
      <c r="DI189" t="e">
        <f>'Actual Value'!AP147+"AM:!)0i"</f>
        <v>#VALUE!</v>
      </c>
      <c r="DJ189" t="e">
        <f>'Actual Value'!AQ147+"AM:!)0j"</f>
        <v>#VALUE!</v>
      </c>
      <c r="DK189" t="e">
        <f>'Actual Value'!AR147+"AM:!)0k"</f>
        <v>#VALUE!</v>
      </c>
      <c r="DL189" t="e">
        <f>'Actual Value'!AS147+"AM:!)0l"</f>
        <v>#VALUE!</v>
      </c>
      <c r="DM189" t="e">
        <f>'Actual Value'!AT147+"AM:!)0m"</f>
        <v>#VALUE!</v>
      </c>
      <c r="DN189" t="e">
        <f>'Actual Value'!AU147+"AM:!)0n"</f>
        <v>#VALUE!</v>
      </c>
      <c r="DO189" t="e">
        <f>'Actual Value'!AV147+"AM:!)0o"</f>
        <v>#VALUE!</v>
      </c>
      <c r="DP189" t="e">
        <f>'Actual Value'!AW147+"AM:!)0p"</f>
        <v>#VALUE!</v>
      </c>
      <c r="DQ189" t="e">
        <f>'Actual Value'!AX147+"AM:!)0q"</f>
        <v>#VALUE!</v>
      </c>
      <c r="DR189" t="e">
        <f>'Actual Value'!A148+"AM:!)0r"</f>
        <v>#VALUE!</v>
      </c>
      <c r="DS189" t="e">
        <f>'Actual Value'!B148+"AM:!)0s"</f>
        <v>#VALUE!</v>
      </c>
      <c r="DT189" s="98" t="e">
        <f>'Actual Value'!C148+"AM:!)0t"</f>
        <v>#VALUE!</v>
      </c>
      <c r="DU189" t="e">
        <f>'Actual Value'!D148+"AM:!)0u"</f>
        <v>#VALUE!</v>
      </c>
      <c r="DV189" t="e">
        <f>'Actual Value'!E148+"AM:!)0v"</f>
        <v>#VALUE!</v>
      </c>
      <c r="DW189" t="e">
        <f>'Actual Value'!F148+"AM:!)0w"</f>
        <v>#VALUE!</v>
      </c>
      <c r="DX189" t="e">
        <f>'Actual Value'!G148+"AM:!)0x"</f>
        <v>#VALUE!</v>
      </c>
      <c r="DY189" t="e">
        <f>'Actual Value'!H148+"AM:!)0y"</f>
        <v>#VALUE!</v>
      </c>
      <c r="DZ189" t="e">
        <f>'Actual Value'!I148+"AM:!)0z"</f>
        <v>#VALUE!</v>
      </c>
      <c r="EA189" t="e">
        <f>'Actual Value'!J148+"AM:!)0{"</f>
        <v>#VALUE!</v>
      </c>
      <c r="EB189" t="e">
        <f>'Actual Value'!K148+"AM:!)0|"</f>
        <v>#VALUE!</v>
      </c>
      <c r="EC189" t="e">
        <f>'Actual Value'!L148+"AM:!)0}"</f>
        <v>#VALUE!</v>
      </c>
      <c r="ED189" t="e">
        <f>'Actual Value'!M148+"AM:!)0~"</f>
        <v>#VALUE!</v>
      </c>
      <c r="EE189" t="e">
        <f>'Actual Value'!N148+"AM:!)1#"</f>
        <v>#VALUE!</v>
      </c>
      <c r="EF189" t="e">
        <f>'Actual Value'!O148+"AM:!)1$"</f>
        <v>#VALUE!</v>
      </c>
      <c r="EG189" t="e">
        <f>'Actual Value'!P148+"AM:!)1%"</f>
        <v>#VALUE!</v>
      </c>
      <c r="EH189" t="e">
        <f>'Actual Value'!Q148+"AM:!)1&amp;"</f>
        <v>#VALUE!</v>
      </c>
      <c r="EI189" t="e">
        <f>'Actual Value'!R148+"AM:!)1'"</f>
        <v>#VALUE!</v>
      </c>
      <c r="EJ189" t="e">
        <f>'Actual Value'!S148+"AM:!)1("</f>
        <v>#VALUE!</v>
      </c>
      <c r="EK189" t="e">
        <f>'Actual Value'!T148+"AM:!)1)"</f>
        <v>#VALUE!</v>
      </c>
      <c r="EL189" t="e">
        <f>'Actual Value'!U148+"AM:!)1."</f>
        <v>#VALUE!</v>
      </c>
      <c r="EM189" t="e">
        <f>'Actual Value'!V148+"AM:!)1/"</f>
        <v>#VALUE!</v>
      </c>
      <c r="EN189" t="e">
        <f>'Actual Value'!W148+"AM:!)10"</f>
        <v>#VALUE!</v>
      </c>
      <c r="EO189" t="e">
        <f>'Actual Value'!X148+"AM:!)11"</f>
        <v>#VALUE!</v>
      </c>
      <c r="EP189" t="e">
        <f>'Actual Value'!Y148+"AM:!)12"</f>
        <v>#VALUE!</v>
      </c>
      <c r="EQ189" t="e">
        <f>'Actual Value'!Z148+"AM:!)13"</f>
        <v>#VALUE!</v>
      </c>
      <c r="ER189" t="e">
        <f>'Actual Value'!AA148+"AM:!)14"</f>
        <v>#VALUE!</v>
      </c>
      <c r="ES189" t="e">
        <f>'Actual Value'!AB148+"AM:!)15"</f>
        <v>#VALUE!</v>
      </c>
      <c r="ET189" t="e">
        <f>'Actual Value'!AC148+"AM:!)16"</f>
        <v>#VALUE!</v>
      </c>
      <c r="EU189" t="e">
        <f>'Actual Value'!AD148+"AM:!)17"</f>
        <v>#VALUE!</v>
      </c>
      <c r="EV189" t="e">
        <f>'Actual Value'!AE148+"AM:!)18"</f>
        <v>#VALUE!</v>
      </c>
      <c r="EW189" t="e">
        <f>'Actual Value'!AF148+"AM:!)19"</f>
        <v>#VALUE!</v>
      </c>
      <c r="EX189" t="e">
        <f>'Actual Value'!AG148+"AM:!)1:"</f>
        <v>#VALUE!</v>
      </c>
      <c r="EY189" t="e">
        <f>'Actual Value'!AH148+"AM:!)1;"</f>
        <v>#VALUE!</v>
      </c>
      <c r="EZ189" t="e">
        <f>'Actual Value'!AI148+"AM:!)1&lt;"</f>
        <v>#VALUE!</v>
      </c>
      <c r="FA189" t="e">
        <f>'Actual Value'!AJ148+"AM:!)1="</f>
        <v>#VALUE!</v>
      </c>
      <c r="FB189" t="e">
        <f>'Actual Value'!AK148+"AM:!)1&gt;"</f>
        <v>#VALUE!</v>
      </c>
      <c r="FC189" t="e">
        <f>'Actual Value'!AL148+"AM:!)1?"</f>
        <v>#VALUE!</v>
      </c>
      <c r="FD189" t="e">
        <f>'Actual Value'!AM148+"AM:!)1@"</f>
        <v>#VALUE!</v>
      </c>
      <c r="FE189" t="e">
        <f>'Actual Value'!AN148+"AM:!)1A"</f>
        <v>#VALUE!</v>
      </c>
      <c r="FF189" t="e">
        <f>'Actual Value'!AO148+"AM:!)1B"</f>
        <v>#VALUE!</v>
      </c>
      <c r="FG189" t="e">
        <f>'Actual Value'!AP148+"AM:!)1C"</f>
        <v>#VALUE!</v>
      </c>
      <c r="FH189" t="e">
        <f>'Actual Value'!AQ148+"AM:!)1D"</f>
        <v>#VALUE!</v>
      </c>
      <c r="FI189" t="e">
        <f>'Actual Value'!AR148+"AM:!)1E"</f>
        <v>#VALUE!</v>
      </c>
      <c r="FJ189" t="e">
        <f>'Actual Value'!AS148+"AM:!)1F"</f>
        <v>#VALUE!</v>
      </c>
      <c r="FK189" t="e">
        <f>'Actual Value'!AT148+"AM:!)1G"</f>
        <v>#VALUE!</v>
      </c>
      <c r="FL189" t="e">
        <f>'Actual Value'!AU148+"AM:!)1H"</f>
        <v>#VALUE!</v>
      </c>
      <c r="FM189" t="e">
        <f>'Actual Value'!AV148+"AM:!)1I"</f>
        <v>#VALUE!</v>
      </c>
      <c r="FN189" t="e">
        <f>'Actual Value'!AW148+"AM:!)1J"</f>
        <v>#VALUE!</v>
      </c>
      <c r="FO189" t="e">
        <f>'Actual Value'!A149+"AM:!)1K"</f>
        <v>#VALUE!</v>
      </c>
      <c r="FP189" t="e">
        <f>'Actual Value'!B149+"AM:!)1L"</f>
        <v>#VALUE!</v>
      </c>
      <c r="FQ189" t="e">
        <f>'Actual Value'!C149+"AM:!)1M"</f>
        <v>#VALUE!</v>
      </c>
      <c r="FR189" s="105" t="e">
        <f>'Actual Value'!D149+"AM:!)1N"</f>
        <v>#VALUE!</v>
      </c>
      <c r="FS189" s="105" t="e">
        <f>'Actual Value'!E149+"AM:!)1O"</f>
        <v>#VALUE!</v>
      </c>
      <c r="FT189" s="105" t="e">
        <f>'Actual Value'!F149+"AM:!)1P"</f>
        <v>#VALUE!</v>
      </c>
      <c r="FU189" s="105" t="e">
        <f>'Actual Value'!G149+"AM:!)1Q"</f>
        <v>#VALUE!</v>
      </c>
      <c r="FV189" s="105" t="e">
        <f>'Actual Value'!H149+"AM:!)1R"</f>
        <v>#VALUE!</v>
      </c>
      <c r="FW189" s="105" t="e">
        <f>'Actual Value'!I149+"AM:!)1S"</f>
        <v>#VALUE!</v>
      </c>
      <c r="FX189" s="105" t="e">
        <f>'Actual Value'!J149+"AM:!)1T"</f>
        <v>#VALUE!</v>
      </c>
      <c r="FY189" s="105" t="e">
        <f>'Actual Value'!K149+"AM:!)1U"</f>
        <v>#VALUE!</v>
      </c>
      <c r="FZ189" s="105" t="e">
        <f>'Actual Value'!L149+"AM:!)1V"</f>
        <v>#VALUE!</v>
      </c>
      <c r="GA189" s="105" t="e">
        <f>'Actual Value'!M149+"AM:!)1W"</f>
        <v>#VALUE!</v>
      </c>
      <c r="GB189" s="105" t="e">
        <f>'Actual Value'!N149+"AM:!)1X"</f>
        <v>#VALUE!</v>
      </c>
      <c r="GC189" s="105" t="e">
        <f>'Actual Value'!O149+"AM:!)1Y"</f>
        <v>#VALUE!</v>
      </c>
      <c r="GD189" s="105" t="e">
        <f>'Actual Value'!P149+"AM:!)1Z"</f>
        <v>#VALUE!</v>
      </c>
      <c r="GE189" s="105" t="e">
        <f>'Actual Value'!Q149+"AM:!)1["</f>
        <v>#VALUE!</v>
      </c>
      <c r="GF189" s="105" t="e">
        <f>'Actual Value'!R149+"AM:!)1\"</f>
        <v>#VALUE!</v>
      </c>
      <c r="GG189" s="105" t="e">
        <f>'Actual Value'!S149+"AM:!)1]"</f>
        <v>#VALUE!</v>
      </c>
      <c r="GH189" s="105" t="e">
        <f>'Actual Value'!T149+"AM:!)1^"</f>
        <v>#VALUE!</v>
      </c>
      <c r="GI189" s="105" t="e">
        <f>'Actual Value'!U149+"AM:!)1_"</f>
        <v>#VALUE!</v>
      </c>
      <c r="GJ189" s="105" t="e">
        <f>'Actual Value'!V149+"AM:!)1`"</f>
        <v>#VALUE!</v>
      </c>
      <c r="GK189" s="105" t="e">
        <f>'Actual Value'!W149+"AM:!)1a"</f>
        <v>#VALUE!</v>
      </c>
      <c r="GL189" s="105" t="e">
        <f>'Actual Value'!X149+"AM:!)1b"</f>
        <v>#VALUE!</v>
      </c>
      <c r="GM189" s="105" t="e">
        <f>'Actual Value'!Y149+"AM:!)1c"</f>
        <v>#VALUE!</v>
      </c>
      <c r="GN189" s="105" t="e">
        <f>'Actual Value'!Z149+"AM:!)1d"</f>
        <v>#VALUE!</v>
      </c>
      <c r="GO189" s="105" t="e">
        <f>'Actual Value'!AA149+"AM:!)1e"</f>
        <v>#VALUE!</v>
      </c>
      <c r="GP189" s="105" t="e">
        <f>'Actual Value'!AB149+"AM:!)1f"</f>
        <v>#VALUE!</v>
      </c>
      <c r="GQ189" s="105" t="e">
        <f>'Actual Value'!AC149+"AM:!)1g"</f>
        <v>#VALUE!</v>
      </c>
      <c r="GR189" s="105" t="e">
        <f>'Actual Value'!AD149+"AM:!)1h"</f>
        <v>#VALUE!</v>
      </c>
      <c r="GS189" s="105" t="e">
        <f>'Actual Value'!AE149+"AM:!)1i"</f>
        <v>#VALUE!</v>
      </c>
      <c r="GT189" s="105" t="e">
        <f>'Actual Value'!AF149+"AM:!)1j"</f>
        <v>#VALUE!</v>
      </c>
      <c r="GU189" s="105" t="e">
        <f>'Actual Value'!AG149+"AM:!)1k"</f>
        <v>#VALUE!</v>
      </c>
      <c r="GV189" s="105" t="e">
        <f>'Actual Value'!AH149+"AM:!)1l"</f>
        <v>#VALUE!</v>
      </c>
      <c r="GW189" s="105" t="e">
        <f>'Actual Value'!AI149+"AM:!)1m"</f>
        <v>#VALUE!</v>
      </c>
      <c r="GX189" s="105" t="e">
        <f>'Actual Value'!AJ149+"AM:!)1n"</f>
        <v>#VALUE!</v>
      </c>
      <c r="GY189" s="105" t="e">
        <f>'Actual Value'!AK149+"AM:!)1o"</f>
        <v>#VALUE!</v>
      </c>
      <c r="GZ189" s="105" t="e">
        <f>'Actual Value'!AL149+"AM:!)1p"</f>
        <v>#VALUE!</v>
      </c>
      <c r="HA189" s="105" t="e">
        <f>'Actual Value'!AM149+"AM:!)1q"</f>
        <v>#VALUE!</v>
      </c>
      <c r="HB189" s="105" t="e">
        <f>'Actual Value'!AN149+"AM:!)1r"</f>
        <v>#VALUE!</v>
      </c>
      <c r="HC189" s="105" t="e">
        <f>'Actual Value'!AO149+"AM:!)1s"</f>
        <v>#VALUE!</v>
      </c>
      <c r="HD189" t="e">
        <f>'Actual Value'!AP149+"AM:!)1t"</f>
        <v>#VALUE!</v>
      </c>
      <c r="HE189" s="100" t="e">
        <f>'Actual Value'!AQ149+"AM:!)1u"</f>
        <v>#VALUE!</v>
      </c>
      <c r="HF189" s="100" t="e">
        <f>'Actual Value'!AR149+"AM:!)1v"</f>
        <v>#VALUE!</v>
      </c>
      <c r="HG189" s="100" t="e">
        <f>'Actual Value'!AS149+"AM:!)1w"</f>
        <v>#VALUE!</v>
      </c>
      <c r="HH189" s="100" t="e">
        <f>'Actual Value'!AT149+"AM:!)1x"</f>
        <v>#VALUE!</v>
      </c>
      <c r="HI189" s="100" t="e">
        <f>'Actual Value'!AU149+"AM:!)1y"</f>
        <v>#VALUE!</v>
      </c>
      <c r="HJ189" t="e">
        <f>'Actual Value'!AV149+"AM:!)1z"</f>
        <v>#VALUE!</v>
      </c>
      <c r="HK189" t="e">
        <f>'Actual Value'!AW149+"AM:!)1{"</f>
        <v>#VALUE!</v>
      </c>
      <c r="HL189" t="e">
        <f>'Actual Value'!A150+"AM:!)1|"</f>
        <v>#VALUE!</v>
      </c>
      <c r="HM189" t="e">
        <f>'Actual Value'!B150+"AM:!)1}"</f>
        <v>#VALUE!</v>
      </c>
      <c r="HN189" t="e">
        <f>'Actual Value'!C150+"AM:!)1~"</f>
        <v>#VALUE!</v>
      </c>
      <c r="HO189" s="97" t="e">
        <f>'Actual Value'!D150+"AM:!)2#"</f>
        <v>#VALUE!</v>
      </c>
      <c r="HP189" s="97" t="e">
        <f>'Actual Value'!E150+"AM:!)2$"</f>
        <v>#VALUE!</v>
      </c>
      <c r="HQ189" s="97" t="e">
        <f>'Actual Value'!F150+"AM:!)2%"</f>
        <v>#VALUE!</v>
      </c>
      <c r="HR189" s="97" t="e">
        <f>'Actual Value'!G150+"AM:!)2&amp;"</f>
        <v>#VALUE!</v>
      </c>
      <c r="HS189" s="97" t="e">
        <f>'Actual Value'!H150+"AM:!)2'"</f>
        <v>#VALUE!</v>
      </c>
      <c r="HT189" s="97" t="e">
        <f>'Actual Value'!I150+"AM:!)2("</f>
        <v>#VALUE!</v>
      </c>
      <c r="HU189" s="97" t="e">
        <f>'Actual Value'!J150+"AM:!)2)"</f>
        <v>#VALUE!</v>
      </c>
      <c r="HV189" s="97" t="e">
        <f>'Actual Value'!K150+"AM:!)2."</f>
        <v>#VALUE!</v>
      </c>
      <c r="HW189" s="97" t="e">
        <f>'Actual Value'!L150+"AM:!)2/"</f>
        <v>#VALUE!</v>
      </c>
      <c r="HX189" s="97" t="e">
        <f>'Actual Value'!M150+"AM:!)20"</f>
        <v>#VALUE!</v>
      </c>
      <c r="HY189" s="97" t="e">
        <f>'Actual Value'!N150+"AM:!)21"</f>
        <v>#VALUE!</v>
      </c>
      <c r="HZ189" s="97" t="e">
        <f>'Actual Value'!O150+"AM:!)22"</f>
        <v>#VALUE!</v>
      </c>
      <c r="IA189" s="97" t="e">
        <f>'Actual Value'!P150+"AM:!)23"</f>
        <v>#VALUE!</v>
      </c>
      <c r="IB189" s="97" t="e">
        <f>'Actual Value'!Q150+"AM:!)24"</f>
        <v>#VALUE!</v>
      </c>
      <c r="IC189" s="97" t="e">
        <f>'Actual Value'!R150+"AM:!)25"</f>
        <v>#VALUE!</v>
      </c>
      <c r="ID189" s="97" t="e">
        <f>'Actual Value'!S150+"AM:!)26"</f>
        <v>#VALUE!</v>
      </c>
      <c r="IE189" s="97" t="e">
        <f>'Actual Value'!T150+"AM:!)27"</f>
        <v>#VALUE!</v>
      </c>
      <c r="IF189" s="97" t="e">
        <f>'Actual Value'!U150+"AM:!)28"</f>
        <v>#VALUE!</v>
      </c>
      <c r="IG189" s="97" t="e">
        <f>'Actual Value'!V150+"AM:!)29"</f>
        <v>#VALUE!</v>
      </c>
      <c r="IH189" s="97" t="e">
        <f>'Actual Value'!W150+"AM:!)2:"</f>
        <v>#VALUE!</v>
      </c>
      <c r="II189" s="97" t="e">
        <f>'Actual Value'!X150+"AM:!)2;"</f>
        <v>#VALUE!</v>
      </c>
      <c r="IJ189" s="97" t="e">
        <f>'Actual Value'!Y150+"AM:!)2&lt;"</f>
        <v>#VALUE!</v>
      </c>
      <c r="IK189" s="97" t="e">
        <f>'Actual Value'!Z150+"AM:!)2="</f>
        <v>#VALUE!</v>
      </c>
      <c r="IL189" s="97" t="e">
        <f>'Actual Value'!AA150+"AM:!)2&gt;"</f>
        <v>#VALUE!</v>
      </c>
      <c r="IM189" s="97" t="e">
        <f>'Actual Value'!AB150+"AM:!)2?"</f>
        <v>#VALUE!</v>
      </c>
      <c r="IN189" s="97" t="e">
        <f>'Actual Value'!AC150+"AM:!)2@"</f>
        <v>#VALUE!</v>
      </c>
      <c r="IO189" s="97" t="e">
        <f>'Actual Value'!AD150+"AM:!)2A"</f>
        <v>#VALUE!</v>
      </c>
      <c r="IP189" s="97" t="e">
        <f>'Actual Value'!AE150+"AM:!)2B"</f>
        <v>#VALUE!</v>
      </c>
      <c r="IQ189" s="97" t="e">
        <f>'Actual Value'!AF150+"AM:!)2C"</f>
        <v>#VALUE!</v>
      </c>
      <c r="IR189" s="97" t="e">
        <f>'Actual Value'!AG150+"AM:!)2D"</f>
        <v>#VALUE!</v>
      </c>
      <c r="IS189" s="97" t="e">
        <f>'Actual Value'!AH150+"AM:!)2E"</f>
        <v>#VALUE!</v>
      </c>
      <c r="IT189" s="97" t="e">
        <f>'Actual Value'!AI150+"AM:!)2F"</f>
        <v>#VALUE!</v>
      </c>
      <c r="IU189" s="97" t="e">
        <f>'Actual Value'!AJ150+"AM:!)2G"</f>
        <v>#VALUE!</v>
      </c>
      <c r="IV189" s="97" t="e">
        <f>'Actual Value'!AK150+"AM:!)2H"</f>
        <v>#VALUE!</v>
      </c>
    </row>
    <row r="190" spans="6:256">
      <c r="F190" s="97" t="e">
        <f>'Actual Value'!AL150+"AM:!)2I"</f>
        <v>#VALUE!</v>
      </c>
      <c r="G190" s="97" t="e">
        <f>'Actual Value'!AM150+"AM:!)2J"</f>
        <v>#VALUE!</v>
      </c>
      <c r="H190" s="97" t="e">
        <f>'Actual Value'!AN150+"AM:!)2K"</f>
        <v>#VALUE!</v>
      </c>
      <c r="I190" s="97" t="e">
        <f>'Actual Value'!AO150+"AM:!)2L"</f>
        <v>#VALUE!</v>
      </c>
      <c r="J190" t="e">
        <f>'Actual Value'!AP150+"AM:!)2M"</f>
        <v>#VALUE!</v>
      </c>
      <c r="K190" t="e">
        <f>'Actual Value'!AQ150+"AM:!)2N"</f>
        <v>#VALUE!</v>
      </c>
      <c r="L190" t="e">
        <f>'Actual Value'!AR150+"AM:!)2O"</f>
        <v>#VALUE!</v>
      </c>
      <c r="M190" s="97" t="e">
        <f>'Actual Value'!AS150+"AM:!)2P"</f>
        <v>#VALUE!</v>
      </c>
      <c r="N190" t="e">
        <f>'Actual Value'!AT150+"AM:!)2Q"</f>
        <v>#VALUE!</v>
      </c>
      <c r="O190" t="e">
        <f>'Actual Value'!AU150+"AM:!)2R"</f>
        <v>#VALUE!</v>
      </c>
      <c r="P190" t="e">
        <f>'Actual Value'!AV150+"AM:!)2S"</f>
        <v>#VALUE!</v>
      </c>
      <c r="Q190" t="e">
        <f>'Actual Value'!AW150+"AM:!)2T"</f>
        <v>#VALUE!</v>
      </c>
      <c r="R190" t="e">
        <f>'Actual Value'!A151+"AM:!)2U"</f>
        <v>#VALUE!</v>
      </c>
      <c r="S190" t="e">
        <f>'Actual Value'!B151+"AM:!)2V"</f>
        <v>#VALUE!</v>
      </c>
      <c r="T190" t="e">
        <f>'Actual Value'!C151+"AM:!)2W"</f>
        <v>#VALUE!</v>
      </c>
      <c r="U190" s="97" t="e">
        <f>'Actual Value'!D151+"AM:!)2X"</f>
        <v>#VALUE!</v>
      </c>
      <c r="V190" s="97" t="e">
        <f>'Actual Value'!E151+"AM:!)2Y"</f>
        <v>#VALUE!</v>
      </c>
      <c r="W190" s="97" t="e">
        <f>'Actual Value'!F151+"AM:!)2Z"</f>
        <v>#VALUE!</v>
      </c>
      <c r="X190" s="97" t="e">
        <f>'Actual Value'!G151+"AM:!)2["</f>
        <v>#VALUE!</v>
      </c>
      <c r="Y190" s="97" t="e">
        <f>'Actual Value'!H151+"AM:!)2\"</f>
        <v>#VALUE!</v>
      </c>
      <c r="Z190" s="97" t="e">
        <f>'Actual Value'!I151+"AM:!)2]"</f>
        <v>#VALUE!</v>
      </c>
      <c r="AA190" s="97" t="e">
        <f>'Actual Value'!J151+"AM:!)2^"</f>
        <v>#VALUE!</v>
      </c>
      <c r="AB190" s="97" t="e">
        <f>'Actual Value'!K151+"AM:!)2_"</f>
        <v>#VALUE!</v>
      </c>
      <c r="AC190" s="97" t="e">
        <f>'Actual Value'!L151+"AM:!)2`"</f>
        <v>#VALUE!</v>
      </c>
      <c r="AD190" s="97" t="e">
        <f>'Actual Value'!M151+"AM:!)2a"</f>
        <v>#VALUE!</v>
      </c>
      <c r="AE190" s="97" t="e">
        <f>'Actual Value'!N151+"AM:!)2b"</f>
        <v>#VALUE!</v>
      </c>
      <c r="AF190" s="97" t="e">
        <f>'Actual Value'!O151+"AM:!)2c"</f>
        <v>#VALUE!</v>
      </c>
      <c r="AG190" s="97" t="e">
        <f>'Actual Value'!P151+"AM:!)2d"</f>
        <v>#VALUE!</v>
      </c>
      <c r="AH190" s="97" t="e">
        <f>'Actual Value'!Q151+"AM:!)2e"</f>
        <v>#VALUE!</v>
      </c>
      <c r="AI190" s="97" t="e">
        <f>'Actual Value'!R151+"AM:!)2f"</f>
        <v>#VALUE!</v>
      </c>
      <c r="AJ190" s="97" t="e">
        <f>'Actual Value'!S151+"AM:!)2g"</f>
        <v>#VALUE!</v>
      </c>
      <c r="AK190" s="97" t="e">
        <f>'Actual Value'!T151+"AM:!)2h"</f>
        <v>#VALUE!</v>
      </c>
      <c r="AL190" s="97" t="e">
        <f>'Actual Value'!U151+"AM:!)2i"</f>
        <v>#VALUE!</v>
      </c>
      <c r="AM190" s="97" t="e">
        <f>'Actual Value'!V151+"AM:!)2j"</f>
        <v>#VALUE!</v>
      </c>
      <c r="AN190" s="97" t="e">
        <f>'Actual Value'!W151+"AM:!)2k"</f>
        <v>#VALUE!</v>
      </c>
      <c r="AO190" s="97" t="e">
        <f>'Actual Value'!X151+"AM:!)2l"</f>
        <v>#VALUE!</v>
      </c>
      <c r="AP190" s="97" t="e">
        <f>'Actual Value'!Y151+"AM:!)2m"</f>
        <v>#VALUE!</v>
      </c>
      <c r="AQ190" s="97" t="e">
        <f>'Actual Value'!Z151+"AM:!)2n"</f>
        <v>#VALUE!</v>
      </c>
      <c r="AR190" s="97" t="e">
        <f>'Actual Value'!AA151+"AM:!)2o"</f>
        <v>#VALUE!</v>
      </c>
      <c r="AS190" s="97" t="e">
        <f>'Actual Value'!AB151+"AM:!)2p"</f>
        <v>#VALUE!</v>
      </c>
      <c r="AT190" s="97" t="e">
        <f>'Actual Value'!AC151+"AM:!)2q"</f>
        <v>#VALUE!</v>
      </c>
      <c r="AU190" s="97" t="e">
        <f>'Actual Value'!AD151+"AM:!)2r"</f>
        <v>#VALUE!</v>
      </c>
      <c r="AV190" s="97" t="e">
        <f>'Actual Value'!AE151+"AM:!)2s"</f>
        <v>#VALUE!</v>
      </c>
      <c r="AW190" s="97" t="e">
        <f>'Actual Value'!AF151+"AM:!)2t"</f>
        <v>#VALUE!</v>
      </c>
      <c r="AX190" s="97" t="e">
        <f>'Actual Value'!AG151+"AM:!)2u"</f>
        <v>#VALUE!</v>
      </c>
      <c r="AY190" s="97" t="e">
        <f>'Actual Value'!AH151+"AM:!)2v"</f>
        <v>#VALUE!</v>
      </c>
      <c r="AZ190" s="97" t="e">
        <f>'Actual Value'!AI151+"AM:!)2w"</f>
        <v>#VALUE!</v>
      </c>
      <c r="BA190" s="97" t="e">
        <f>'Actual Value'!AJ151+"AM:!)2x"</f>
        <v>#VALUE!</v>
      </c>
      <c r="BB190" s="97" t="e">
        <f>'Actual Value'!AK151+"AM:!)2y"</f>
        <v>#VALUE!</v>
      </c>
      <c r="BC190" s="97" t="e">
        <f>'Actual Value'!AL151+"AM:!)2z"</f>
        <v>#VALUE!</v>
      </c>
      <c r="BD190" s="97" t="e">
        <f>'Actual Value'!AM151+"AM:!)2{"</f>
        <v>#VALUE!</v>
      </c>
      <c r="BE190" s="97" t="e">
        <f>'Actual Value'!AN151+"AM:!)2|"</f>
        <v>#VALUE!</v>
      </c>
      <c r="BF190" s="97" t="e">
        <f>'Actual Value'!AO151+"AM:!)2}"</f>
        <v>#VALUE!</v>
      </c>
      <c r="BG190" t="e">
        <f>'Actual Value'!AP151+"AM:!)2~"</f>
        <v>#VALUE!</v>
      </c>
      <c r="BH190" t="e">
        <f>'Actual Value'!AQ151+"AM:!)3#"</f>
        <v>#VALUE!</v>
      </c>
      <c r="BI190" t="e">
        <f>'Actual Value'!AR151+"AM:!)3$"</f>
        <v>#VALUE!</v>
      </c>
      <c r="BJ190" s="97" t="e">
        <f>'Actual Value'!AS151+"AM:!)3%"</f>
        <v>#VALUE!</v>
      </c>
      <c r="BK190" t="e">
        <f>'Actual Value'!AT151+"AM:!)3&amp;"</f>
        <v>#VALUE!</v>
      </c>
      <c r="BL190" t="e">
        <f>'Actual Value'!AU151+"AM:!)3'"</f>
        <v>#VALUE!</v>
      </c>
      <c r="BM190" t="e">
        <f>'Actual Value'!AV151+"AM:!)3("</f>
        <v>#VALUE!</v>
      </c>
      <c r="BN190" t="e">
        <f>'Actual Value'!AW151+"AM:!)3)"</f>
        <v>#VALUE!</v>
      </c>
      <c r="BO190" t="e">
        <f>'Actual Value'!A152+"AM:!)3."</f>
        <v>#VALUE!</v>
      </c>
      <c r="BP190" t="e">
        <f>'Actual Value'!B152+"AM:!)3/"</f>
        <v>#VALUE!</v>
      </c>
      <c r="BQ190" t="e">
        <f>'Actual Value'!C152+"AM:!)30"</f>
        <v>#VALUE!</v>
      </c>
      <c r="BR190" s="97" t="e">
        <f>'Actual Value'!D152+"AM:!)31"</f>
        <v>#VALUE!</v>
      </c>
      <c r="BS190" s="97" t="e">
        <f>'Actual Value'!E152+"AM:!)32"</f>
        <v>#VALUE!</v>
      </c>
      <c r="BT190" s="97" t="e">
        <f>'Actual Value'!F152+"AM:!)33"</f>
        <v>#VALUE!</v>
      </c>
      <c r="BU190" s="97" t="e">
        <f>'Actual Value'!G152+"AM:!)34"</f>
        <v>#VALUE!</v>
      </c>
      <c r="BV190" s="97" t="e">
        <f>'Actual Value'!H152+"AM:!)35"</f>
        <v>#VALUE!</v>
      </c>
      <c r="BW190" s="97" t="e">
        <f>'Actual Value'!I152+"AM:!)36"</f>
        <v>#VALUE!</v>
      </c>
      <c r="BX190" s="97" t="e">
        <f>'Actual Value'!J152+"AM:!)37"</f>
        <v>#VALUE!</v>
      </c>
      <c r="BY190" s="97" t="e">
        <f>'Actual Value'!K152+"AM:!)38"</f>
        <v>#VALUE!</v>
      </c>
      <c r="BZ190" s="97" t="e">
        <f>'Actual Value'!L152+"AM:!)39"</f>
        <v>#VALUE!</v>
      </c>
      <c r="CA190" s="97" t="e">
        <f>'Actual Value'!M152+"AM:!)3:"</f>
        <v>#VALUE!</v>
      </c>
      <c r="CB190" s="97" t="e">
        <f>'Actual Value'!N152+"AM:!)3;"</f>
        <v>#VALUE!</v>
      </c>
      <c r="CC190" s="97" t="e">
        <f>'Actual Value'!O152+"AM:!)3&lt;"</f>
        <v>#VALUE!</v>
      </c>
      <c r="CD190" s="97" t="e">
        <f>'Actual Value'!P152+"AM:!)3="</f>
        <v>#VALUE!</v>
      </c>
      <c r="CE190" s="97" t="e">
        <f>'Actual Value'!Q152+"AM:!)3&gt;"</f>
        <v>#VALUE!</v>
      </c>
      <c r="CF190" s="97" t="e">
        <f>'Actual Value'!R152+"AM:!)3?"</f>
        <v>#VALUE!</v>
      </c>
      <c r="CG190" s="97" t="e">
        <f>'Actual Value'!S152+"AM:!)3@"</f>
        <v>#VALUE!</v>
      </c>
      <c r="CH190" s="97" t="e">
        <f>'Actual Value'!T152+"AM:!)3A"</f>
        <v>#VALUE!</v>
      </c>
      <c r="CI190" s="97" t="e">
        <f>'Actual Value'!U152+"AM:!)3B"</f>
        <v>#VALUE!</v>
      </c>
      <c r="CJ190" s="97" t="e">
        <f>'Actual Value'!V152+"AM:!)3C"</f>
        <v>#VALUE!</v>
      </c>
      <c r="CK190" s="97" t="e">
        <f>'Actual Value'!W152+"AM:!)3D"</f>
        <v>#VALUE!</v>
      </c>
      <c r="CL190" s="97" t="e">
        <f>'Actual Value'!X152+"AM:!)3E"</f>
        <v>#VALUE!</v>
      </c>
      <c r="CM190" s="97" t="e">
        <f>'Actual Value'!Y152+"AM:!)3F"</f>
        <v>#VALUE!</v>
      </c>
      <c r="CN190" s="97" t="e">
        <f>'Actual Value'!Z152+"AM:!)3G"</f>
        <v>#VALUE!</v>
      </c>
      <c r="CO190" s="97" t="e">
        <f>'Actual Value'!AA152+"AM:!)3H"</f>
        <v>#VALUE!</v>
      </c>
      <c r="CP190" s="97" t="e">
        <f>'Actual Value'!AB152+"AM:!)3I"</f>
        <v>#VALUE!</v>
      </c>
      <c r="CQ190" s="97" t="e">
        <f>'Actual Value'!AC152+"AM:!)3J"</f>
        <v>#VALUE!</v>
      </c>
      <c r="CR190" s="97" t="e">
        <f>'Actual Value'!AD152+"AM:!)3K"</f>
        <v>#VALUE!</v>
      </c>
      <c r="CS190" s="97" t="e">
        <f>'Actual Value'!AE152+"AM:!)3L"</f>
        <v>#VALUE!</v>
      </c>
      <c r="CT190" s="97" t="e">
        <f>'Actual Value'!AF152+"AM:!)3M"</f>
        <v>#VALUE!</v>
      </c>
      <c r="CU190" s="97" t="e">
        <f>'Actual Value'!AG152+"AM:!)3N"</f>
        <v>#VALUE!</v>
      </c>
      <c r="CV190" s="97" t="e">
        <f>'Actual Value'!AH152+"AM:!)3O"</f>
        <v>#VALUE!</v>
      </c>
      <c r="CW190" s="97" t="e">
        <f>'Actual Value'!AI152+"AM:!)3P"</f>
        <v>#VALUE!</v>
      </c>
      <c r="CX190" s="97" t="e">
        <f>'Actual Value'!AJ152+"AM:!)3Q"</f>
        <v>#VALUE!</v>
      </c>
      <c r="CY190" s="97" t="e">
        <f>'Actual Value'!AK152+"AM:!)3R"</f>
        <v>#VALUE!</v>
      </c>
      <c r="CZ190" s="97" t="e">
        <f>'Actual Value'!AL152+"AM:!)3S"</f>
        <v>#VALUE!</v>
      </c>
      <c r="DA190" s="97" t="e">
        <f>'Actual Value'!AM152+"AM:!)3T"</f>
        <v>#VALUE!</v>
      </c>
      <c r="DB190" s="97" t="e">
        <f>'Actual Value'!AN152+"AM:!)3U"</f>
        <v>#VALUE!</v>
      </c>
      <c r="DC190" s="97" t="e">
        <f>'Actual Value'!AO152+"AM:!)3V"</f>
        <v>#VALUE!</v>
      </c>
      <c r="DD190" t="e">
        <f>'Actual Value'!AP152+"AM:!)3W"</f>
        <v>#VALUE!</v>
      </c>
      <c r="DE190" t="e">
        <f>'Actual Value'!AQ152+"AM:!)3X"</f>
        <v>#VALUE!</v>
      </c>
      <c r="DF190" t="e">
        <f>'Actual Value'!AR152+"AM:!)3Y"</f>
        <v>#VALUE!</v>
      </c>
      <c r="DG190" t="e">
        <f>'Actual Value'!AS152+"AM:!)3Z"</f>
        <v>#VALUE!</v>
      </c>
      <c r="DH190" t="e">
        <f>'Actual Value'!AT152+"AM:!)3["</f>
        <v>#VALUE!</v>
      </c>
      <c r="DI190" t="e">
        <f>'Actual Value'!AU152+"AM:!)3\"</f>
        <v>#VALUE!</v>
      </c>
      <c r="DJ190" t="e">
        <f>'Actual Value'!AV152+"AM:!)3]"</f>
        <v>#VALUE!</v>
      </c>
      <c r="DK190" t="e">
        <f>'Actual Value'!AW152+"AM:!)3^"</f>
        <v>#VALUE!</v>
      </c>
      <c r="DL190" t="e">
        <f>'Actual Value'!A153+"AM:!)3_"</f>
        <v>#VALUE!</v>
      </c>
      <c r="DM190" t="e">
        <f>'Actual Value'!B153+"AM:!)3`"</f>
        <v>#VALUE!</v>
      </c>
      <c r="DN190" t="e">
        <f>'Actual Value'!C153+"AM:!)3a"</f>
        <v>#VALUE!</v>
      </c>
      <c r="DO190" s="97" t="e">
        <f>'Actual Value'!D153+"AM:!)3b"</f>
        <v>#VALUE!</v>
      </c>
      <c r="DP190" s="97" t="e">
        <f>'Actual Value'!E153+"AM:!)3c"</f>
        <v>#VALUE!</v>
      </c>
      <c r="DQ190" s="97" t="e">
        <f>'Actual Value'!F153+"AM:!)3d"</f>
        <v>#VALUE!</v>
      </c>
      <c r="DR190" s="97" t="e">
        <f>'Actual Value'!G153+"AM:!)3e"</f>
        <v>#VALUE!</v>
      </c>
      <c r="DS190" s="97" t="e">
        <f>'Actual Value'!H153+"AM:!)3f"</f>
        <v>#VALUE!</v>
      </c>
      <c r="DT190" s="97" t="e">
        <f>'Actual Value'!I153+"AM:!)3g"</f>
        <v>#VALUE!</v>
      </c>
      <c r="DU190" s="97" t="e">
        <f>'Actual Value'!J153+"AM:!)3h"</f>
        <v>#VALUE!</v>
      </c>
      <c r="DV190" s="97" t="e">
        <f>'Actual Value'!K153+"AM:!)3i"</f>
        <v>#VALUE!</v>
      </c>
      <c r="DW190" s="97" t="e">
        <f>'Actual Value'!L153+"AM:!)3j"</f>
        <v>#VALUE!</v>
      </c>
      <c r="DX190" s="97" t="e">
        <f>'Actual Value'!M153+"AM:!)3k"</f>
        <v>#VALUE!</v>
      </c>
      <c r="DY190" s="97" t="e">
        <f>'Actual Value'!N153+"AM:!)3l"</f>
        <v>#VALUE!</v>
      </c>
      <c r="DZ190" s="97" t="e">
        <f>'Actual Value'!O153+"AM:!)3m"</f>
        <v>#VALUE!</v>
      </c>
      <c r="EA190" s="97" t="e">
        <f>'Actual Value'!P153+"AM:!)3n"</f>
        <v>#VALUE!</v>
      </c>
      <c r="EB190" s="97" t="e">
        <f>'Actual Value'!Q153+"AM:!)3o"</f>
        <v>#VALUE!</v>
      </c>
      <c r="EC190" s="97" t="e">
        <f>'Actual Value'!R153+"AM:!)3p"</f>
        <v>#VALUE!</v>
      </c>
      <c r="ED190" s="97" t="e">
        <f>'Actual Value'!S153+"AM:!)3q"</f>
        <v>#VALUE!</v>
      </c>
      <c r="EE190" s="97" t="e">
        <f>'Actual Value'!T153+"AM:!)3r"</f>
        <v>#VALUE!</v>
      </c>
      <c r="EF190" s="97" t="e">
        <f>'Actual Value'!U153+"AM:!)3s"</f>
        <v>#VALUE!</v>
      </c>
      <c r="EG190" s="97" t="e">
        <f>'Actual Value'!V153+"AM:!)3t"</f>
        <v>#VALUE!</v>
      </c>
      <c r="EH190" s="97" t="e">
        <f>'Actual Value'!W153+"AM:!)3u"</f>
        <v>#VALUE!</v>
      </c>
      <c r="EI190" s="97" t="e">
        <f>'Actual Value'!X153+"AM:!)3v"</f>
        <v>#VALUE!</v>
      </c>
      <c r="EJ190" s="97" t="e">
        <f>'Actual Value'!Y153+"AM:!)3w"</f>
        <v>#VALUE!</v>
      </c>
      <c r="EK190" s="97" t="e">
        <f>'Actual Value'!Z153+"AM:!)3x"</f>
        <v>#VALUE!</v>
      </c>
      <c r="EL190" s="97" t="e">
        <f>'Actual Value'!AA153+"AM:!)3y"</f>
        <v>#VALUE!</v>
      </c>
      <c r="EM190" s="97" t="e">
        <f>'Actual Value'!AB153+"AM:!)3z"</f>
        <v>#VALUE!</v>
      </c>
      <c r="EN190" s="97" t="e">
        <f>'Actual Value'!AC153+"AM:!)3{"</f>
        <v>#VALUE!</v>
      </c>
      <c r="EO190" s="97" t="e">
        <f>'Actual Value'!AD153+"AM:!)3|"</f>
        <v>#VALUE!</v>
      </c>
      <c r="EP190" s="97" t="e">
        <f>'Actual Value'!AE153+"AM:!)3}"</f>
        <v>#VALUE!</v>
      </c>
      <c r="EQ190" s="97" t="e">
        <f>'Actual Value'!AF153+"AM:!)3~"</f>
        <v>#VALUE!</v>
      </c>
      <c r="ER190" s="97" t="e">
        <f>'Actual Value'!AG153+"AM:!)4#"</f>
        <v>#VALUE!</v>
      </c>
      <c r="ES190" s="97" t="e">
        <f>'Actual Value'!AH153+"AM:!)4$"</f>
        <v>#VALUE!</v>
      </c>
      <c r="ET190" s="97" t="e">
        <f>'Actual Value'!AI153+"AM:!)4%"</f>
        <v>#VALUE!</v>
      </c>
      <c r="EU190" s="97" t="e">
        <f>'Actual Value'!AJ153+"AM:!)4&amp;"</f>
        <v>#VALUE!</v>
      </c>
      <c r="EV190" s="97" t="e">
        <f>'Actual Value'!AK153+"AM:!)4'"</f>
        <v>#VALUE!</v>
      </c>
      <c r="EW190" s="97" t="e">
        <f>'Actual Value'!AL153+"AM:!)4("</f>
        <v>#VALUE!</v>
      </c>
      <c r="EX190" s="97" t="e">
        <f>'Actual Value'!AM153+"AM:!)4)"</f>
        <v>#VALUE!</v>
      </c>
      <c r="EY190" s="97" t="e">
        <f>'Actual Value'!AN153+"AM:!)4."</f>
        <v>#VALUE!</v>
      </c>
      <c r="EZ190" s="97" t="e">
        <f>'Actual Value'!AO153+"AM:!)4/"</f>
        <v>#VALUE!</v>
      </c>
      <c r="FA190" t="e">
        <f>'Actual Value'!AP153+"AM:!)40"</f>
        <v>#VALUE!</v>
      </c>
      <c r="FB190" t="e">
        <f>'Actual Value'!AQ153+"AM:!)41"</f>
        <v>#VALUE!</v>
      </c>
      <c r="FC190" t="e">
        <f>'Actual Value'!AR153+"AM:!)42"</f>
        <v>#VALUE!</v>
      </c>
      <c r="FD190" t="e">
        <f>'Actual Value'!AS153+"AM:!)43"</f>
        <v>#VALUE!</v>
      </c>
      <c r="FE190" t="e">
        <f>'Actual Value'!AT153+"AM:!)44"</f>
        <v>#VALUE!</v>
      </c>
      <c r="FF190" t="e">
        <f>'Actual Value'!AU153+"AM:!)45"</f>
        <v>#VALUE!</v>
      </c>
      <c r="FG190" t="e">
        <f>'Actual Value'!AV153+"AM:!)46"</f>
        <v>#VALUE!</v>
      </c>
      <c r="FH190" t="e">
        <f>'Actual Value'!AW153+"AM:!)47"</f>
        <v>#VALUE!</v>
      </c>
      <c r="FI190" t="e">
        <f>'Actual Value'!AX153+"AM:!)48"</f>
        <v>#VALUE!</v>
      </c>
      <c r="FJ190" t="e">
        <f>'Actual Value'!A154+"AM:!)49"</f>
        <v>#VALUE!</v>
      </c>
      <c r="FK190" t="e">
        <f>'Actual Value'!B154+"AM:!)4:"</f>
        <v>#VALUE!</v>
      </c>
      <c r="FL190" t="e">
        <f>'Actual Value'!C154+"AM:!)4;"</f>
        <v>#VALUE!</v>
      </c>
      <c r="FM190" s="97" t="e">
        <f>'Actual Value'!D154+"AM:!)4&lt;"</f>
        <v>#VALUE!</v>
      </c>
      <c r="FN190" s="97" t="e">
        <f>'Actual Value'!E154+"AM:!)4="</f>
        <v>#VALUE!</v>
      </c>
      <c r="FO190" s="97" t="e">
        <f>'Actual Value'!F154+"AM:!)4&gt;"</f>
        <v>#VALUE!</v>
      </c>
      <c r="FP190" s="97" t="e">
        <f>'Actual Value'!G154+"AM:!)4?"</f>
        <v>#VALUE!</v>
      </c>
      <c r="FQ190" s="97" t="e">
        <f>'Actual Value'!H154+"AM:!)4@"</f>
        <v>#VALUE!</v>
      </c>
      <c r="FR190" s="97" t="e">
        <f>'Actual Value'!I154+"AM:!)4A"</f>
        <v>#VALUE!</v>
      </c>
      <c r="FS190" s="97" t="e">
        <f>'Actual Value'!J154+"AM:!)4B"</f>
        <v>#VALUE!</v>
      </c>
      <c r="FT190" s="97" t="e">
        <f>'Actual Value'!K154+"AM:!)4C"</f>
        <v>#VALUE!</v>
      </c>
      <c r="FU190" s="97" t="e">
        <f>'Actual Value'!L154+"AM:!)4D"</f>
        <v>#VALUE!</v>
      </c>
      <c r="FV190" s="97" t="e">
        <f>'Actual Value'!M154+"AM:!)4E"</f>
        <v>#VALUE!</v>
      </c>
      <c r="FW190" s="97" t="e">
        <f>'Actual Value'!N154+"AM:!)4F"</f>
        <v>#VALUE!</v>
      </c>
      <c r="FX190" s="97" t="e">
        <f>'Actual Value'!O154+"AM:!)4G"</f>
        <v>#VALUE!</v>
      </c>
      <c r="FY190" s="97" t="e">
        <f>'Actual Value'!P154+"AM:!)4H"</f>
        <v>#VALUE!</v>
      </c>
      <c r="FZ190" s="97" t="e">
        <f>'Actual Value'!Q154+"AM:!)4I"</f>
        <v>#VALUE!</v>
      </c>
      <c r="GA190" s="97" t="e">
        <f>'Actual Value'!R154+"AM:!)4J"</f>
        <v>#VALUE!</v>
      </c>
      <c r="GB190" s="97" t="e">
        <f>'Actual Value'!S154+"AM:!)4K"</f>
        <v>#VALUE!</v>
      </c>
      <c r="GC190" s="97" t="e">
        <f>'Actual Value'!T154+"AM:!)4L"</f>
        <v>#VALUE!</v>
      </c>
      <c r="GD190" s="97" t="e">
        <f>'Actual Value'!U154+"AM:!)4M"</f>
        <v>#VALUE!</v>
      </c>
      <c r="GE190" s="97" t="e">
        <f>'Actual Value'!V154+"AM:!)4N"</f>
        <v>#VALUE!</v>
      </c>
      <c r="GF190" s="97" t="e">
        <f>'Actual Value'!W154+"AM:!)4O"</f>
        <v>#VALUE!</v>
      </c>
      <c r="GG190" s="97" t="e">
        <f>'Actual Value'!X154+"AM:!)4P"</f>
        <v>#VALUE!</v>
      </c>
      <c r="GH190" s="97" t="e">
        <f>'Actual Value'!Y154+"AM:!)4Q"</f>
        <v>#VALUE!</v>
      </c>
      <c r="GI190" s="97" t="e">
        <f>'Actual Value'!Z154+"AM:!)4R"</f>
        <v>#VALUE!</v>
      </c>
      <c r="GJ190" s="97" t="e">
        <f>'Actual Value'!AA154+"AM:!)4S"</f>
        <v>#VALUE!</v>
      </c>
      <c r="GK190" s="97" t="e">
        <f>'Actual Value'!AB154+"AM:!)4T"</f>
        <v>#VALUE!</v>
      </c>
      <c r="GL190" s="97" t="e">
        <f>'Actual Value'!AC154+"AM:!)4U"</f>
        <v>#VALUE!</v>
      </c>
      <c r="GM190" s="97" t="e">
        <f>'Actual Value'!AD154+"AM:!)4V"</f>
        <v>#VALUE!</v>
      </c>
      <c r="GN190" s="97" t="e">
        <f>'Actual Value'!AE154+"AM:!)4W"</f>
        <v>#VALUE!</v>
      </c>
      <c r="GO190" s="97" t="e">
        <f>'Actual Value'!AF154+"AM:!)4X"</f>
        <v>#VALUE!</v>
      </c>
      <c r="GP190" s="97" t="e">
        <f>'Actual Value'!AG154+"AM:!)4Y"</f>
        <v>#VALUE!</v>
      </c>
      <c r="GQ190" s="97" t="e">
        <f>'Actual Value'!AH154+"AM:!)4Z"</f>
        <v>#VALUE!</v>
      </c>
      <c r="GR190" s="97" t="e">
        <f>'Actual Value'!AI154+"AM:!)4["</f>
        <v>#VALUE!</v>
      </c>
      <c r="GS190" s="97" t="e">
        <f>'Actual Value'!AJ154+"AM:!)4\"</f>
        <v>#VALUE!</v>
      </c>
      <c r="GT190" s="97" t="e">
        <f>'Actual Value'!AK154+"AM:!)4]"</f>
        <v>#VALUE!</v>
      </c>
      <c r="GU190" s="97" t="e">
        <f>'Actual Value'!AL154+"AM:!)4^"</f>
        <v>#VALUE!</v>
      </c>
      <c r="GV190" s="97" t="e">
        <f>'Actual Value'!AM154+"AM:!)4_"</f>
        <v>#VALUE!</v>
      </c>
      <c r="GW190" s="97" t="e">
        <f>'Actual Value'!AN154+"AM:!)4`"</f>
        <v>#VALUE!</v>
      </c>
      <c r="GX190" s="97" t="e">
        <f>'Actual Value'!AO154+"AM:!)4a"</f>
        <v>#VALUE!</v>
      </c>
      <c r="GY190" t="e">
        <f>'Actual Value'!AP154+"AM:!)4b"</f>
        <v>#VALUE!</v>
      </c>
      <c r="GZ190" t="e">
        <f>'Actual Value'!AQ154+"AM:!)4c"</f>
        <v>#VALUE!</v>
      </c>
      <c r="HA190" t="e">
        <f>'Actual Value'!AR154+"AM:!)4d"</f>
        <v>#VALUE!</v>
      </c>
      <c r="HB190" t="e">
        <f>'Actual Value'!AS154+"AM:!)4e"</f>
        <v>#VALUE!</v>
      </c>
      <c r="HC190" t="e">
        <f>'Actual Value'!AT154+"AM:!)4f"</f>
        <v>#VALUE!</v>
      </c>
      <c r="HD190" t="e">
        <f>'Actual Value'!AU154+"AM:!)4g"</f>
        <v>#VALUE!</v>
      </c>
      <c r="HE190" t="e">
        <f>'Actual Value'!AV154+"AM:!)4h"</f>
        <v>#VALUE!</v>
      </c>
      <c r="HF190" t="e">
        <f>'Actual Value'!AW154+"AM:!)4i"</f>
        <v>#VALUE!</v>
      </c>
      <c r="HG190" t="e">
        <f>'Actual Value'!AX154+"AM:!)4j"</f>
        <v>#VALUE!</v>
      </c>
      <c r="HH190" t="e">
        <f>'Actual Value'!A155+"AM:!)4k"</f>
        <v>#VALUE!</v>
      </c>
      <c r="HI190" t="e">
        <f>'Actual Value'!B155+"AM:!)4l"</f>
        <v>#VALUE!</v>
      </c>
      <c r="HJ190" t="e">
        <f>'Actual Value'!C155+"AM:!)4m"</f>
        <v>#VALUE!</v>
      </c>
      <c r="HK190" s="97" t="e">
        <f>'Actual Value'!D155+"AM:!)4n"</f>
        <v>#VALUE!</v>
      </c>
      <c r="HL190" s="97" t="e">
        <f>'Actual Value'!E155+"AM:!)4o"</f>
        <v>#VALUE!</v>
      </c>
      <c r="HM190" s="97" t="e">
        <f>'Actual Value'!F155+"AM:!)4p"</f>
        <v>#VALUE!</v>
      </c>
      <c r="HN190" s="97" t="e">
        <f>'Actual Value'!G155+"AM:!)4q"</f>
        <v>#VALUE!</v>
      </c>
      <c r="HO190" s="97" t="e">
        <f>'Actual Value'!H155+"AM:!)4r"</f>
        <v>#VALUE!</v>
      </c>
      <c r="HP190" s="97" t="e">
        <f>'Actual Value'!I155+"AM:!)4s"</f>
        <v>#VALUE!</v>
      </c>
      <c r="HQ190" s="97" t="e">
        <f>'Actual Value'!J155+"AM:!)4t"</f>
        <v>#VALUE!</v>
      </c>
      <c r="HR190" s="97" t="e">
        <f>'Actual Value'!K155+"AM:!)4u"</f>
        <v>#VALUE!</v>
      </c>
      <c r="HS190" s="97" t="e">
        <f>'Actual Value'!L155+"AM:!)4v"</f>
        <v>#VALUE!</v>
      </c>
      <c r="HT190" s="97" t="e">
        <f>'Actual Value'!M155+"AM:!)4w"</f>
        <v>#VALUE!</v>
      </c>
      <c r="HU190" s="97" t="e">
        <f>'Actual Value'!N155+"AM:!)4x"</f>
        <v>#VALUE!</v>
      </c>
      <c r="HV190" s="97" t="e">
        <f>'Actual Value'!O155+"AM:!)4y"</f>
        <v>#VALUE!</v>
      </c>
      <c r="HW190" s="97" t="e">
        <f>'Actual Value'!P155+"AM:!)4z"</f>
        <v>#VALUE!</v>
      </c>
      <c r="HX190" s="97" t="e">
        <f>'Actual Value'!Q155+"AM:!)4{"</f>
        <v>#VALUE!</v>
      </c>
      <c r="HY190" s="97" t="e">
        <f>'Actual Value'!R155+"AM:!)4|"</f>
        <v>#VALUE!</v>
      </c>
      <c r="HZ190" s="97" t="e">
        <f>'Actual Value'!S155+"AM:!)4}"</f>
        <v>#VALUE!</v>
      </c>
      <c r="IA190" s="97" t="e">
        <f>'Actual Value'!T155+"AM:!)4~"</f>
        <v>#VALUE!</v>
      </c>
      <c r="IB190" s="97" t="e">
        <f>'Actual Value'!U155+"AM:!)5#"</f>
        <v>#VALUE!</v>
      </c>
      <c r="IC190" s="97" t="e">
        <f>'Actual Value'!V155+"AM:!)5$"</f>
        <v>#VALUE!</v>
      </c>
      <c r="ID190" s="97" t="e">
        <f>'Actual Value'!W155+"AM:!)5%"</f>
        <v>#VALUE!</v>
      </c>
      <c r="IE190" s="97" t="e">
        <f>'Actual Value'!X155+"AM:!)5&amp;"</f>
        <v>#VALUE!</v>
      </c>
      <c r="IF190" s="97" t="e">
        <f>'Actual Value'!Y155+"AM:!)5'"</f>
        <v>#VALUE!</v>
      </c>
      <c r="IG190" s="97" t="e">
        <f>'Actual Value'!Z155+"AM:!)5("</f>
        <v>#VALUE!</v>
      </c>
      <c r="IH190" s="97" t="e">
        <f>'Actual Value'!AA155+"AM:!)5)"</f>
        <v>#VALUE!</v>
      </c>
      <c r="II190" s="97" t="e">
        <f>'Actual Value'!AB155+"AM:!)5."</f>
        <v>#VALUE!</v>
      </c>
      <c r="IJ190" s="97" t="e">
        <f>'Actual Value'!AC155+"AM:!)5/"</f>
        <v>#VALUE!</v>
      </c>
      <c r="IK190" s="97" t="e">
        <f>'Actual Value'!AD155+"AM:!)50"</f>
        <v>#VALUE!</v>
      </c>
      <c r="IL190" s="97" t="e">
        <f>'Actual Value'!AE155+"AM:!)51"</f>
        <v>#VALUE!</v>
      </c>
      <c r="IM190" s="97" t="e">
        <f>'Actual Value'!AF155+"AM:!)52"</f>
        <v>#VALUE!</v>
      </c>
      <c r="IN190" s="97" t="e">
        <f>'Actual Value'!AG155+"AM:!)53"</f>
        <v>#VALUE!</v>
      </c>
      <c r="IO190" s="97" t="e">
        <f>'Actual Value'!AH155+"AM:!)54"</f>
        <v>#VALUE!</v>
      </c>
      <c r="IP190" s="97" t="e">
        <f>'Actual Value'!AI155+"AM:!)55"</f>
        <v>#VALUE!</v>
      </c>
      <c r="IQ190" s="97" t="e">
        <f>'Actual Value'!AJ155+"AM:!)56"</f>
        <v>#VALUE!</v>
      </c>
      <c r="IR190" s="97" t="e">
        <f>'Actual Value'!AK155+"AM:!)57"</f>
        <v>#VALUE!</v>
      </c>
      <c r="IS190" s="97" t="e">
        <f>'Actual Value'!AL155+"AM:!)58"</f>
        <v>#VALUE!</v>
      </c>
      <c r="IT190" s="97" t="e">
        <f>'Actual Value'!AM155+"AM:!)59"</f>
        <v>#VALUE!</v>
      </c>
      <c r="IU190" s="97" t="e">
        <f>'Actual Value'!AN155+"AM:!)5:"</f>
        <v>#VALUE!</v>
      </c>
      <c r="IV190" s="97" t="e">
        <f>'Actual Value'!AO155+"AM:!)5;"</f>
        <v>#VALUE!</v>
      </c>
    </row>
    <row r="191" spans="6:256">
      <c r="F191" t="e">
        <f>'Actual Value'!AP155+"AM:!)5&lt;"</f>
        <v>#VALUE!</v>
      </c>
      <c r="G191" t="e">
        <f>'Actual Value'!AQ155+"AM:!)5="</f>
        <v>#VALUE!</v>
      </c>
      <c r="H191" t="e">
        <f>'Actual Value'!AR155+"AM:!)5&gt;"</f>
        <v>#VALUE!</v>
      </c>
      <c r="I191" t="e">
        <f>'Actual Value'!AS155+"AM:!)5?"</f>
        <v>#VALUE!</v>
      </c>
      <c r="J191" t="e">
        <f>'Actual Value'!AT155+"AM:!)5@"</f>
        <v>#VALUE!</v>
      </c>
      <c r="K191" t="e">
        <f>'Actual Value'!AU155+"AM:!)5A"</f>
        <v>#VALUE!</v>
      </c>
      <c r="L191" t="e">
        <f>'Actual Value'!AV155+"AM:!)5B"</f>
        <v>#VALUE!</v>
      </c>
      <c r="M191" t="e">
        <f>'Actual Value'!AW155+"AM:!)5C"</f>
        <v>#VALUE!</v>
      </c>
      <c r="N191" t="e">
        <f>'Actual Value'!AX155+"AM:!)5D"</f>
        <v>#VALUE!</v>
      </c>
      <c r="O191" t="e">
        <f>'Actual Value'!A156+"AM:!)5E"</f>
        <v>#VALUE!</v>
      </c>
      <c r="P191" t="e">
        <f>'Actual Value'!B156+"AM:!)5F"</f>
        <v>#VALUE!</v>
      </c>
      <c r="Q191" t="e">
        <f>'Actual Value'!C156+"AM:!)5G"</f>
        <v>#VALUE!</v>
      </c>
      <c r="R191" s="97" t="e">
        <f>'Actual Value'!D156+"AM:!)5H"</f>
        <v>#VALUE!</v>
      </c>
      <c r="S191" s="97" t="e">
        <f>'Actual Value'!E156+"AM:!)5I"</f>
        <v>#VALUE!</v>
      </c>
      <c r="T191" s="97" t="e">
        <f>'Actual Value'!F156+"AM:!)5J"</f>
        <v>#VALUE!</v>
      </c>
      <c r="U191" s="97" t="e">
        <f>'Actual Value'!G156+"AM:!)5K"</f>
        <v>#VALUE!</v>
      </c>
      <c r="V191" s="97" t="e">
        <f>'Actual Value'!H156+"AM:!)5L"</f>
        <v>#VALUE!</v>
      </c>
      <c r="W191" s="97" t="e">
        <f>'Actual Value'!I156+"AM:!)5M"</f>
        <v>#VALUE!</v>
      </c>
      <c r="X191" s="97" t="e">
        <f>'Actual Value'!J156+"AM:!)5N"</f>
        <v>#VALUE!</v>
      </c>
      <c r="Y191" s="97" t="e">
        <f>'Actual Value'!K156+"AM:!)5O"</f>
        <v>#VALUE!</v>
      </c>
      <c r="Z191" s="97" t="e">
        <f>'Actual Value'!L156+"AM:!)5P"</f>
        <v>#VALUE!</v>
      </c>
      <c r="AA191" s="97" t="e">
        <f>'Actual Value'!M156+"AM:!)5Q"</f>
        <v>#VALUE!</v>
      </c>
      <c r="AB191" s="97" t="e">
        <f>'Actual Value'!N156+"AM:!)5R"</f>
        <v>#VALUE!</v>
      </c>
      <c r="AC191" s="97" t="e">
        <f>'Actual Value'!O156+"AM:!)5S"</f>
        <v>#VALUE!</v>
      </c>
      <c r="AD191" s="97" t="e">
        <f>'Actual Value'!P156+"AM:!)5T"</f>
        <v>#VALUE!</v>
      </c>
      <c r="AE191" s="97" t="e">
        <f>'Actual Value'!Q156+"AM:!)5U"</f>
        <v>#VALUE!</v>
      </c>
      <c r="AF191" s="97" t="e">
        <f>'Actual Value'!R156+"AM:!)5V"</f>
        <v>#VALUE!</v>
      </c>
      <c r="AG191" s="97" t="e">
        <f>'Actual Value'!S156+"AM:!)5W"</f>
        <v>#VALUE!</v>
      </c>
      <c r="AH191" s="97" t="e">
        <f>'Actual Value'!T156+"AM:!)5X"</f>
        <v>#VALUE!</v>
      </c>
      <c r="AI191" s="97" t="e">
        <f>'Actual Value'!U156+"AM:!)5Y"</f>
        <v>#VALUE!</v>
      </c>
      <c r="AJ191" s="97" t="e">
        <f>'Actual Value'!V156+"AM:!)5Z"</f>
        <v>#VALUE!</v>
      </c>
      <c r="AK191" s="97" t="e">
        <f>'Actual Value'!W156+"AM:!)5["</f>
        <v>#VALUE!</v>
      </c>
      <c r="AL191" s="97" t="e">
        <f>'Actual Value'!X156+"AM:!)5\"</f>
        <v>#VALUE!</v>
      </c>
      <c r="AM191" s="97" t="e">
        <f>'Actual Value'!Y156+"AM:!)5]"</f>
        <v>#VALUE!</v>
      </c>
      <c r="AN191" s="97" t="e">
        <f>'Actual Value'!Z156+"AM:!)5^"</f>
        <v>#VALUE!</v>
      </c>
      <c r="AO191" s="97" t="e">
        <f>'Actual Value'!AA156+"AM:!)5_"</f>
        <v>#VALUE!</v>
      </c>
      <c r="AP191" s="97" t="e">
        <f>'Actual Value'!AB156+"AM:!)5`"</f>
        <v>#VALUE!</v>
      </c>
      <c r="AQ191" s="97" t="e">
        <f>'Actual Value'!AC156+"AM:!)5a"</f>
        <v>#VALUE!</v>
      </c>
      <c r="AR191" s="97" t="e">
        <f>'Actual Value'!AD156+"AM:!)5b"</f>
        <v>#VALUE!</v>
      </c>
      <c r="AS191" s="97" t="e">
        <f>'Actual Value'!AE156+"AM:!)5c"</f>
        <v>#VALUE!</v>
      </c>
      <c r="AT191" s="97" t="e">
        <f>'Actual Value'!AF156+"AM:!)5d"</f>
        <v>#VALUE!</v>
      </c>
      <c r="AU191" s="97" t="e">
        <f>'Actual Value'!AG156+"AM:!)5e"</f>
        <v>#VALUE!</v>
      </c>
      <c r="AV191" s="97" t="e">
        <f>'Actual Value'!AH156+"AM:!)5f"</f>
        <v>#VALUE!</v>
      </c>
      <c r="AW191" s="97" t="e">
        <f>'Actual Value'!AI156+"AM:!)5g"</f>
        <v>#VALUE!</v>
      </c>
      <c r="AX191" s="97" t="e">
        <f>'Actual Value'!AJ156+"AM:!)5h"</f>
        <v>#VALUE!</v>
      </c>
      <c r="AY191" s="97" t="e">
        <f>'Actual Value'!AK156+"AM:!)5i"</f>
        <v>#VALUE!</v>
      </c>
      <c r="AZ191" s="97" t="e">
        <f>'Actual Value'!AL156+"AM:!)5j"</f>
        <v>#VALUE!</v>
      </c>
      <c r="BA191" s="97" t="e">
        <f>'Actual Value'!AM156+"AM:!)5k"</f>
        <v>#VALUE!</v>
      </c>
      <c r="BB191" s="97" t="e">
        <f>'Actual Value'!AN156+"AM:!)5l"</f>
        <v>#VALUE!</v>
      </c>
      <c r="BC191" s="97" t="e">
        <f>'Actual Value'!AO156+"AM:!)5m"</f>
        <v>#VALUE!</v>
      </c>
      <c r="BD191" t="e">
        <f>'Actual Value'!AP156+"AM:!)5n"</f>
        <v>#VALUE!</v>
      </c>
      <c r="BE191" t="e">
        <f>'Actual Value'!AQ156+"AM:!)5o"</f>
        <v>#VALUE!</v>
      </c>
      <c r="BF191" t="e">
        <f>'Actual Value'!AR156+"AM:!)5p"</f>
        <v>#VALUE!</v>
      </c>
      <c r="BG191" t="e">
        <f>'Actual Value'!AS156+"AM:!)5q"</f>
        <v>#VALUE!</v>
      </c>
      <c r="BH191" t="e">
        <f>'Actual Value'!AT156+"AM:!)5r"</f>
        <v>#VALUE!</v>
      </c>
      <c r="BI191" t="e">
        <f>'Actual Value'!AU156+"AM:!)5s"</f>
        <v>#VALUE!</v>
      </c>
      <c r="BJ191" t="e">
        <f>'Actual Value'!AV156+"AM:!)5t"</f>
        <v>#VALUE!</v>
      </c>
      <c r="BK191" t="e">
        <f>'Actual Value'!AW156+"AM:!)5u"</f>
        <v>#VALUE!</v>
      </c>
      <c r="BL191" t="e">
        <f>'Actual Value'!AX156+"AM:!)5v"</f>
        <v>#VALUE!</v>
      </c>
      <c r="BM191" t="e">
        <f>'Actual Value'!A157+"AM:!)5w"</f>
        <v>#VALUE!</v>
      </c>
      <c r="BN191" t="e">
        <f>'Actual Value'!B157+"AM:!)5x"</f>
        <v>#VALUE!</v>
      </c>
      <c r="BO191" t="e">
        <f>'Actual Value'!C157+"AM:!)5y"</f>
        <v>#VALUE!</v>
      </c>
      <c r="BP191" s="97" t="e">
        <f>'Actual Value'!D157+"AM:!)5z"</f>
        <v>#VALUE!</v>
      </c>
      <c r="BQ191" s="97" t="e">
        <f>'Actual Value'!E157+"AM:!)5{"</f>
        <v>#VALUE!</v>
      </c>
      <c r="BR191" s="97" t="e">
        <f>'Actual Value'!F157+"AM:!)5|"</f>
        <v>#VALUE!</v>
      </c>
      <c r="BS191" s="97" t="e">
        <f>'Actual Value'!G157+"AM:!)5}"</f>
        <v>#VALUE!</v>
      </c>
      <c r="BT191" s="97" t="e">
        <f>'Actual Value'!H157+"AM:!)5~"</f>
        <v>#VALUE!</v>
      </c>
      <c r="BU191" s="97" t="e">
        <f>'Actual Value'!I157+"AM:!)6#"</f>
        <v>#VALUE!</v>
      </c>
      <c r="BV191" s="97" t="e">
        <f>'Actual Value'!J157+"AM:!)6$"</f>
        <v>#VALUE!</v>
      </c>
      <c r="BW191" s="97" t="e">
        <f>'Actual Value'!K157+"AM:!)6%"</f>
        <v>#VALUE!</v>
      </c>
      <c r="BX191" s="97" t="e">
        <f>'Actual Value'!L157+"AM:!)6&amp;"</f>
        <v>#VALUE!</v>
      </c>
      <c r="BY191" s="97" t="e">
        <f>'Actual Value'!M157+"AM:!)6'"</f>
        <v>#VALUE!</v>
      </c>
      <c r="BZ191" s="97" t="e">
        <f>'Actual Value'!N157+"AM:!)6("</f>
        <v>#VALUE!</v>
      </c>
      <c r="CA191" s="97" t="e">
        <f>'Actual Value'!O157+"AM:!)6)"</f>
        <v>#VALUE!</v>
      </c>
      <c r="CB191" s="97" t="e">
        <f>'Actual Value'!P157+"AM:!)6."</f>
        <v>#VALUE!</v>
      </c>
      <c r="CC191" s="97" t="e">
        <f>'Actual Value'!Q157+"AM:!)6/"</f>
        <v>#VALUE!</v>
      </c>
      <c r="CD191" s="97" t="e">
        <f>'Actual Value'!R157+"AM:!)60"</f>
        <v>#VALUE!</v>
      </c>
      <c r="CE191" s="97" t="e">
        <f>'Actual Value'!S157+"AM:!)61"</f>
        <v>#VALUE!</v>
      </c>
      <c r="CF191" s="97" t="e">
        <f>'Actual Value'!T157+"AM:!)62"</f>
        <v>#VALUE!</v>
      </c>
      <c r="CG191" s="97" t="e">
        <f>'Actual Value'!U157+"AM:!)63"</f>
        <v>#VALUE!</v>
      </c>
      <c r="CH191" s="97" t="e">
        <f>'Actual Value'!V157+"AM:!)64"</f>
        <v>#VALUE!</v>
      </c>
      <c r="CI191" s="97" t="e">
        <f>'Actual Value'!W157+"AM:!)65"</f>
        <v>#VALUE!</v>
      </c>
      <c r="CJ191" s="97" t="e">
        <f>'Actual Value'!X157+"AM:!)66"</f>
        <v>#VALUE!</v>
      </c>
      <c r="CK191" s="97" t="e">
        <f>'Actual Value'!Y157+"AM:!)67"</f>
        <v>#VALUE!</v>
      </c>
      <c r="CL191" s="97" t="e">
        <f>'Actual Value'!Z157+"AM:!)68"</f>
        <v>#VALUE!</v>
      </c>
      <c r="CM191" s="97" t="e">
        <f>'Actual Value'!AA157+"AM:!)69"</f>
        <v>#VALUE!</v>
      </c>
      <c r="CN191" s="97" t="e">
        <f>'Actual Value'!AB157+"AM:!)6:"</f>
        <v>#VALUE!</v>
      </c>
      <c r="CO191" s="97" t="e">
        <f>'Actual Value'!AC157+"AM:!)6;"</f>
        <v>#VALUE!</v>
      </c>
      <c r="CP191" s="97" t="e">
        <f>'Actual Value'!AD157+"AM:!)6&lt;"</f>
        <v>#VALUE!</v>
      </c>
      <c r="CQ191" s="97" t="e">
        <f>'Actual Value'!AE157+"AM:!)6="</f>
        <v>#VALUE!</v>
      </c>
      <c r="CR191" s="97" t="e">
        <f>'Actual Value'!AF157+"AM:!)6&gt;"</f>
        <v>#VALUE!</v>
      </c>
      <c r="CS191" s="97" t="e">
        <f>'Actual Value'!AG157+"AM:!)6?"</f>
        <v>#VALUE!</v>
      </c>
      <c r="CT191" s="97" t="e">
        <f>'Actual Value'!AH157+"AM:!)6@"</f>
        <v>#VALUE!</v>
      </c>
      <c r="CU191" s="97" t="e">
        <f>'Actual Value'!AI157+"AM:!)6A"</f>
        <v>#VALUE!</v>
      </c>
      <c r="CV191" s="97" t="e">
        <f>'Actual Value'!AJ157+"AM:!)6B"</f>
        <v>#VALUE!</v>
      </c>
      <c r="CW191" s="97" t="e">
        <f>'Actual Value'!AK157+"AM:!)6C"</f>
        <v>#VALUE!</v>
      </c>
      <c r="CX191" s="97" t="e">
        <f>'Actual Value'!AL157+"AM:!)6D"</f>
        <v>#VALUE!</v>
      </c>
      <c r="CY191" s="97" t="e">
        <f>'Actual Value'!AM157+"AM:!)6E"</f>
        <v>#VALUE!</v>
      </c>
      <c r="CZ191" s="97" t="e">
        <f>'Actual Value'!AN157+"AM:!)6F"</f>
        <v>#VALUE!</v>
      </c>
      <c r="DA191" s="97" t="e">
        <f>'Actual Value'!AO157+"AM:!)6G"</f>
        <v>#VALUE!</v>
      </c>
      <c r="DB191" t="e">
        <f>'Actual Value'!AP157+"AM:!)6H"</f>
        <v>#VALUE!</v>
      </c>
      <c r="DC191" t="e">
        <f>'Actual Value'!AQ157+"AM:!)6I"</f>
        <v>#VALUE!</v>
      </c>
      <c r="DD191" t="e">
        <f>'Actual Value'!AR157+"AM:!)6J"</f>
        <v>#VALUE!</v>
      </c>
      <c r="DE191" t="e">
        <f>'Actual Value'!AS157+"AM:!)6K"</f>
        <v>#VALUE!</v>
      </c>
      <c r="DF191" t="e">
        <f>'Actual Value'!AT157+"AM:!)6L"</f>
        <v>#VALUE!</v>
      </c>
      <c r="DG191" t="e">
        <f>'Actual Value'!AU157+"AM:!)6M"</f>
        <v>#VALUE!</v>
      </c>
      <c r="DH191" t="e">
        <f>'Actual Value'!AV157+"AM:!)6N"</f>
        <v>#VALUE!</v>
      </c>
      <c r="DI191" t="e">
        <f>'Actual Value'!AW157+"AM:!)6O"</f>
        <v>#VALUE!</v>
      </c>
      <c r="DJ191" t="e">
        <f>'Actual Value'!AX157+"AM:!)6P"</f>
        <v>#VALUE!</v>
      </c>
      <c r="DK191" t="e">
        <f>'Actual Value'!A158+"AM:!)6Q"</f>
        <v>#VALUE!</v>
      </c>
      <c r="DL191" t="e">
        <f>'Actual Value'!B158+"AM:!)6R"</f>
        <v>#VALUE!</v>
      </c>
      <c r="DM191" t="e">
        <f>'Actual Value'!C158+"AM:!)6S"</f>
        <v>#VALUE!</v>
      </c>
      <c r="DN191" s="97" t="e">
        <f>'Actual Value'!D158+"AM:!)6T"</f>
        <v>#VALUE!</v>
      </c>
      <c r="DO191" s="97" t="e">
        <f>'Actual Value'!E158+"AM:!)6U"</f>
        <v>#VALUE!</v>
      </c>
      <c r="DP191" s="97" t="e">
        <f>'Actual Value'!F158+"AM:!)6V"</f>
        <v>#VALUE!</v>
      </c>
      <c r="DQ191" s="97" t="e">
        <f>'Actual Value'!G158+"AM:!)6W"</f>
        <v>#VALUE!</v>
      </c>
      <c r="DR191" s="97" t="e">
        <f>'Actual Value'!H158+"AM:!)6X"</f>
        <v>#VALUE!</v>
      </c>
      <c r="DS191" s="97" t="e">
        <f>'Actual Value'!I158+"AM:!)6Y"</f>
        <v>#VALUE!</v>
      </c>
      <c r="DT191" s="97" t="e">
        <f>'Actual Value'!J158+"AM:!)6Z"</f>
        <v>#VALUE!</v>
      </c>
      <c r="DU191" s="97" t="e">
        <f>'Actual Value'!K158+"AM:!)6["</f>
        <v>#VALUE!</v>
      </c>
      <c r="DV191" s="97" t="e">
        <f>'Actual Value'!L158+"AM:!)6\"</f>
        <v>#VALUE!</v>
      </c>
      <c r="DW191" s="97" t="e">
        <f>'Actual Value'!M158+"AM:!)6]"</f>
        <v>#VALUE!</v>
      </c>
      <c r="DX191" s="97" t="e">
        <f>'Actual Value'!N158+"AM:!)6^"</f>
        <v>#VALUE!</v>
      </c>
      <c r="DY191" s="97" t="e">
        <f>'Actual Value'!O158+"AM:!)6_"</f>
        <v>#VALUE!</v>
      </c>
      <c r="DZ191" s="97" t="e">
        <f>'Actual Value'!P158+"AM:!)6`"</f>
        <v>#VALUE!</v>
      </c>
      <c r="EA191" s="97" t="e">
        <f>'Actual Value'!Q158+"AM:!)6a"</f>
        <v>#VALUE!</v>
      </c>
      <c r="EB191" s="97" t="e">
        <f>'Actual Value'!R158+"AM:!)6b"</f>
        <v>#VALUE!</v>
      </c>
      <c r="EC191" s="97" t="e">
        <f>'Actual Value'!S158+"AM:!)6c"</f>
        <v>#VALUE!</v>
      </c>
      <c r="ED191" s="97" t="e">
        <f>'Actual Value'!T158+"AM:!)6d"</f>
        <v>#VALUE!</v>
      </c>
      <c r="EE191" s="97" t="e">
        <f>'Actual Value'!U158+"AM:!)6e"</f>
        <v>#VALUE!</v>
      </c>
      <c r="EF191" s="97" t="e">
        <f>'Actual Value'!V158+"AM:!)6f"</f>
        <v>#VALUE!</v>
      </c>
      <c r="EG191" s="97" t="e">
        <f>'Actual Value'!W158+"AM:!)6g"</f>
        <v>#VALUE!</v>
      </c>
      <c r="EH191" s="97" t="e">
        <f>'Actual Value'!X158+"AM:!)6h"</f>
        <v>#VALUE!</v>
      </c>
      <c r="EI191" s="97" t="e">
        <f>'Actual Value'!Y158+"AM:!)6i"</f>
        <v>#VALUE!</v>
      </c>
      <c r="EJ191" s="97" t="e">
        <f>'Actual Value'!Z158+"AM:!)6j"</f>
        <v>#VALUE!</v>
      </c>
      <c r="EK191" s="97" t="e">
        <f>'Actual Value'!AA158+"AM:!)6k"</f>
        <v>#VALUE!</v>
      </c>
      <c r="EL191" s="97" t="e">
        <f>'Actual Value'!AB158+"AM:!)6l"</f>
        <v>#VALUE!</v>
      </c>
      <c r="EM191" s="97" t="e">
        <f>'Actual Value'!AC158+"AM:!)6m"</f>
        <v>#VALUE!</v>
      </c>
      <c r="EN191" s="97" t="e">
        <f>'Actual Value'!AD158+"AM:!)6n"</f>
        <v>#VALUE!</v>
      </c>
      <c r="EO191" s="97" t="e">
        <f>'Actual Value'!AE158+"AM:!)6o"</f>
        <v>#VALUE!</v>
      </c>
      <c r="EP191" s="97" t="e">
        <f>'Actual Value'!AF158+"AM:!)6p"</f>
        <v>#VALUE!</v>
      </c>
      <c r="EQ191" s="97" t="e">
        <f>'Actual Value'!AG158+"AM:!)6q"</f>
        <v>#VALUE!</v>
      </c>
      <c r="ER191" s="97" t="e">
        <f>'Actual Value'!AH158+"AM:!)6r"</f>
        <v>#VALUE!</v>
      </c>
      <c r="ES191" s="97" t="e">
        <f>'Actual Value'!AI158+"AM:!)6s"</f>
        <v>#VALUE!</v>
      </c>
      <c r="ET191" s="97" t="e">
        <f>'Actual Value'!AJ158+"AM:!)6t"</f>
        <v>#VALUE!</v>
      </c>
      <c r="EU191" s="97" t="e">
        <f>'Actual Value'!AK158+"AM:!)6u"</f>
        <v>#VALUE!</v>
      </c>
      <c r="EV191" s="97" t="e">
        <f>'Actual Value'!AL158+"AM:!)6v"</f>
        <v>#VALUE!</v>
      </c>
      <c r="EW191" s="97" t="e">
        <f>'Actual Value'!AM158+"AM:!)6w"</f>
        <v>#VALUE!</v>
      </c>
      <c r="EX191" s="97" t="e">
        <f>'Actual Value'!AN158+"AM:!)6x"</f>
        <v>#VALUE!</v>
      </c>
      <c r="EY191" s="97" t="e">
        <f>'Actual Value'!AO158+"AM:!)6y"</f>
        <v>#VALUE!</v>
      </c>
      <c r="EZ191" t="e">
        <f>'Actual Value'!AP158+"AM:!)6z"</f>
        <v>#VALUE!</v>
      </c>
      <c r="FA191" t="e">
        <f>'Actual Value'!AQ158+"AM:!)6{"</f>
        <v>#VALUE!</v>
      </c>
      <c r="FB191" t="e">
        <f>'Actual Value'!AR158+"AM:!)6|"</f>
        <v>#VALUE!</v>
      </c>
      <c r="FC191" t="e">
        <f>'Actual Value'!AS158+"AM:!)6}"</f>
        <v>#VALUE!</v>
      </c>
      <c r="FD191" t="e">
        <f>'Actual Value'!AT158+"AM:!)6~"</f>
        <v>#VALUE!</v>
      </c>
      <c r="FE191" t="e">
        <f>'Actual Value'!AU158+"AM:!)7#"</f>
        <v>#VALUE!</v>
      </c>
      <c r="FF191" t="e">
        <f>'Actual Value'!AV158+"AM:!)7$"</f>
        <v>#VALUE!</v>
      </c>
      <c r="FG191" t="e">
        <f>'Actual Value'!AW158+"AM:!)7%"</f>
        <v>#VALUE!</v>
      </c>
      <c r="FH191" t="e">
        <f>'Actual Value'!AX158+"AM:!)7&amp;"</f>
        <v>#VALUE!</v>
      </c>
      <c r="FI191" t="e">
        <f>'Actual Value'!A159+"AM:!)7'"</f>
        <v>#VALUE!</v>
      </c>
      <c r="FJ191" t="e">
        <f>'Actual Value'!B159+"AM:!)7("</f>
        <v>#VALUE!</v>
      </c>
      <c r="FK191" s="98" t="e">
        <f>'Actual Value'!C159+"AM:!)7)"</f>
        <v>#VALUE!</v>
      </c>
      <c r="FL191" t="e">
        <f>'Actual Value'!D159+"AM:!)7."</f>
        <v>#VALUE!</v>
      </c>
      <c r="FM191" t="e">
        <f>'Actual Value'!E159+"AM:!)7/"</f>
        <v>#VALUE!</v>
      </c>
      <c r="FN191" t="e">
        <f>'Actual Value'!F159+"AM:!)70"</f>
        <v>#VALUE!</v>
      </c>
      <c r="FO191" t="e">
        <f>'Actual Value'!G159+"AM:!)71"</f>
        <v>#VALUE!</v>
      </c>
      <c r="FP191" t="e">
        <f>'Actual Value'!H159+"AM:!)72"</f>
        <v>#VALUE!</v>
      </c>
      <c r="FQ191" t="e">
        <f>'Actual Value'!I159+"AM:!)73"</f>
        <v>#VALUE!</v>
      </c>
      <c r="FR191" t="e">
        <f>'Actual Value'!J159+"AM:!)74"</f>
        <v>#VALUE!</v>
      </c>
      <c r="FS191" t="e">
        <f>'Actual Value'!K159+"AM:!)75"</f>
        <v>#VALUE!</v>
      </c>
      <c r="FT191" t="e">
        <f>'Actual Value'!L159+"AM:!)76"</f>
        <v>#VALUE!</v>
      </c>
      <c r="FU191" t="e">
        <f>'Actual Value'!M159+"AM:!)77"</f>
        <v>#VALUE!</v>
      </c>
      <c r="FV191" t="e">
        <f>'Actual Value'!N159+"AM:!)78"</f>
        <v>#VALUE!</v>
      </c>
      <c r="FW191" t="e">
        <f>'Actual Value'!O159+"AM:!)79"</f>
        <v>#VALUE!</v>
      </c>
      <c r="FX191" t="e">
        <f>'Actual Value'!P159+"AM:!)7:"</f>
        <v>#VALUE!</v>
      </c>
      <c r="FY191" t="e">
        <f>'Actual Value'!Q159+"AM:!)7;"</f>
        <v>#VALUE!</v>
      </c>
      <c r="FZ191" t="e">
        <f>'Actual Value'!R159+"AM:!)7&lt;"</f>
        <v>#VALUE!</v>
      </c>
      <c r="GA191" t="e">
        <f>'Actual Value'!S159+"AM:!)7="</f>
        <v>#VALUE!</v>
      </c>
      <c r="GB191" t="e">
        <f>'Actual Value'!T159+"AM:!)7&gt;"</f>
        <v>#VALUE!</v>
      </c>
      <c r="GC191" t="e">
        <f>'Actual Value'!U159+"AM:!)7?"</f>
        <v>#VALUE!</v>
      </c>
      <c r="GD191" t="e">
        <f>'Actual Value'!V159+"AM:!)7@"</f>
        <v>#VALUE!</v>
      </c>
      <c r="GE191" t="e">
        <f>'Actual Value'!W159+"AM:!)7A"</f>
        <v>#VALUE!</v>
      </c>
      <c r="GF191" t="e">
        <f>'Actual Value'!X159+"AM:!)7B"</f>
        <v>#VALUE!</v>
      </c>
      <c r="GG191" t="e">
        <f>'Actual Value'!Y159+"AM:!)7C"</f>
        <v>#VALUE!</v>
      </c>
      <c r="GH191" t="e">
        <f>'Actual Value'!Z159+"AM:!)7D"</f>
        <v>#VALUE!</v>
      </c>
      <c r="GI191" t="e">
        <f>'Actual Value'!AA159+"AM:!)7E"</f>
        <v>#VALUE!</v>
      </c>
      <c r="GJ191" t="e">
        <f>'Actual Value'!AB159+"AM:!)7F"</f>
        <v>#VALUE!</v>
      </c>
      <c r="GK191" t="e">
        <f>'Actual Value'!AC159+"AM:!)7G"</f>
        <v>#VALUE!</v>
      </c>
      <c r="GL191" t="e">
        <f>'Actual Value'!AD159+"AM:!)7H"</f>
        <v>#VALUE!</v>
      </c>
      <c r="GM191" t="e">
        <f>'Actual Value'!AE159+"AM:!)7I"</f>
        <v>#VALUE!</v>
      </c>
      <c r="GN191" t="e">
        <f>'Actual Value'!AF159+"AM:!)7J"</f>
        <v>#VALUE!</v>
      </c>
      <c r="GO191" t="e">
        <f>'Actual Value'!AG159+"AM:!)7K"</f>
        <v>#VALUE!</v>
      </c>
      <c r="GP191" t="e">
        <f>'Actual Value'!AH159+"AM:!)7L"</f>
        <v>#VALUE!</v>
      </c>
      <c r="GQ191" t="e">
        <f>'Actual Value'!AI159+"AM:!)7M"</f>
        <v>#VALUE!</v>
      </c>
      <c r="GR191" t="e">
        <f>'Actual Value'!AJ159+"AM:!)7N"</f>
        <v>#VALUE!</v>
      </c>
      <c r="GS191" t="e">
        <f>'Actual Value'!AK159+"AM:!)7O"</f>
        <v>#VALUE!</v>
      </c>
      <c r="GT191" t="e">
        <f>'Actual Value'!AL159+"AM:!)7P"</f>
        <v>#VALUE!</v>
      </c>
      <c r="GU191" t="e">
        <f>'Actual Value'!AM159+"AM:!)7Q"</f>
        <v>#VALUE!</v>
      </c>
      <c r="GV191" t="e">
        <f>'Actual Value'!AN159+"AM:!)7R"</f>
        <v>#VALUE!</v>
      </c>
      <c r="GW191" t="e">
        <f>'Actual Value'!AO159+"AM:!)7S"</f>
        <v>#VALUE!</v>
      </c>
      <c r="GX191" t="e">
        <f>'Actual Value'!AP159+"AM:!)7T"</f>
        <v>#VALUE!</v>
      </c>
      <c r="GY191" t="e">
        <f>'Actual Value'!AQ159+"AM:!)7U"</f>
        <v>#VALUE!</v>
      </c>
      <c r="GZ191" t="e">
        <f>'Actual Value'!AR159+"AM:!)7V"</f>
        <v>#VALUE!</v>
      </c>
      <c r="HA191" t="e">
        <f>'Actual Value'!AS159+"AM:!)7W"</f>
        <v>#VALUE!</v>
      </c>
      <c r="HB191" t="e">
        <f>'Actual Value'!AT159+"AM:!)7X"</f>
        <v>#VALUE!</v>
      </c>
      <c r="HC191" t="e">
        <f>'Actual Value'!AU159+"AM:!)7Y"</f>
        <v>#VALUE!</v>
      </c>
      <c r="HD191" t="e">
        <f>'Actual Value'!AV159+"AM:!)7Z"</f>
        <v>#VALUE!</v>
      </c>
      <c r="HE191" t="e">
        <f>'Actual Value'!AW159+"AM:!)7["</f>
        <v>#VALUE!</v>
      </c>
      <c r="HF191" t="e">
        <f>'Actual Value'!A160+"AM:!)7\"</f>
        <v>#VALUE!</v>
      </c>
      <c r="HG191" t="e">
        <f>'Actual Value'!B160+"AM:!)7]"</f>
        <v>#VALUE!</v>
      </c>
      <c r="HH191" t="e">
        <f>'Actual Value'!C160+"AM:!)7^"</f>
        <v>#VALUE!</v>
      </c>
      <c r="HI191" s="105" t="e">
        <f>'Actual Value'!D160+"AM:!)7_"</f>
        <v>#VALUE!</v>
      </c>
      <c r="HJ191" s="105" t="e">
        <f>'Actual Value'!E160+"AM:!)7`"</f>
        <v>#VALUE!</v>
      </c>
      <c r="HK191" s="105" t="e">
        <f>'Actual Value'!F160+"AM:!)7a"</f>
        <v>#VALUE!</v>
      </c>
      <c r="HL191" s="105" t="e">
        <f>'Actual Value'!G160+"AM:!)7b"</f>
        <v>#VALUE!</v>
      </c>
      <c r="HM191" s="105" t="e">
        <f>'Actual Value'!H160+"AM:!)7c"</f>
        <v>#VALUE!</v>
      </c>
      <c r="HN191" s="105" t="e">
        <f>'Actual Value'!I160+"AM:!)7d"</f>
        <v>#VALUE!</v>
      </c>
      <c r="HO191" s="105" t="e">
        <f>'Actual Value'!J160+"AM:!)7e"</f>
        <v>#VALUE!</v>
      </c>
      <c r="HP191" s="105" t="e">
        <f>'Actual Value'!K160+"AM:!)7f"</f>
        <v>#VALUE!</v>
      </c>
      <c r="HQ191" s="105" t="e">
        <f>'Actual Value'!L160+"AM:!)7g"</f>
        <v>#VALUE!</v>
      </c>
      <c r="HR191" s="105" t="e">
        <f>'Actual Value'!M160+"AM:!)7h"</f>
        <v>#VALUE!</v>
      </c>
      <c r="HS191" s="105" t="e">
        <f>'Actual Value'!N160+"AM:!)7i"</f>
        <v>#VALUE!</v>
      </c>
      <c r="HT191" s="105" t="e">
        <f>'Actual Value'!O160+"AM:!)7j"</f>
        <v>#VALUE!</v>
      </c>
      <c r="HU191" s="105" t="e">
        <f>'Actual Value'!P160+"AM:!)7k"</f>
        <v>#VALUE!</v>
      </c>
      <c r="HV191" s="105" t="e">
        <f>'Actual Value'!Q160+"AM:!)7l"</f>
        <v>#VALUE!</v>
      </c>
      <c r="HW191" s="105" t="e">
        <f>'Actual Value'!R160+"AM:!)7m"</f>
        <v>#VALUE!</v>
      </c>
      <c r="HX191" s="105" t="e">
        <f>'Actual Value'!S160+"AM:!)7n"</f>
        <v>#VALUE!</v>
      </c>
      <c r="HY191" s="105" t="e">
        <f>'Actual Value'!T160+"AM:!)7o"</f>
        <v>#VALUE!</v>
      </c>
      <c r="HZ191" s="105" t="e">
        <f>'Actual Value'!U160+"AM:!)7p"</f>
        <v>#VALUE!</v>
      </c>
      <c r="IA191" s="105" t="e">
        <f>'Actual Value'!V160+"AM:!)7q"</f>
        <v>#VALUE!</v>
      </c>
      <c r="IB191" s="105" t="e">
        <f>'Actual Value'!W160+"AM:!)7r"</f>
        <v>#VALUE!</v>
      </c>
      <c r="IC191" s="105" t="e">
        <f>'Actual Value'!X160+"AM:!)7s"</f>
        <v>#VALUE!</v>
      </c>
      <c r="ID191" s="105" t="e">
        <f>'Actual Value'!Y160+"AM:!)7t"</f>
        <v>#VALUE!</v>
      </c>
      <c r="IE191" s="105" t="e">
        <f>'Actual Value'!Z160+"AM:!)7u"</f>
        <v>#VALUE!</v>
      </c>
      <c r="IF191" s="105" t="e">
        <f>'Actual Value'!AA160+"AM:!)7v"</f>
        <v>#VALUE!</v>
      </c>
      <c r="IG191" s="105" t="e">
        <f>'Actual Value'!AB160+"AM:!)7w"</f>
        <v>#VALUE!</v>
      </c>
      <c r="IH191" s="105" t="e">
        <f>'Actual Value'!AC160+"AM:!)7x"</f>
        <v>#VALUE!</v>
      </c>
      <c r="II191" s="105" t="e">
        <f>'Actual Value'!AD160+"AM:!)7y"</f>
        <v>#VALUE!</v>
      </c>
      <c r="IJ191" s="105" t="e">
        <f>'Actual Value'!AE160+"AM:!)7z"</f>
        <v>#VALUE!</v>
      </c>
      <c r="IK191" s="105" t="e">
        <f>'Actual Value'!AF160+"AM:!)7{"</f>
        <v>#VALUE!</v>
      </c>
      <c r="IL191" s="105" t="e">
        <f>'Actual Value'!AG160+"AM:!)7|"</f>
        <v>#VALUE!</v>
      </c>
      <c r="IM191" s="105" t="e">
        <f>'Actual Value'!AH160+"AM:!)7}"</f>
        <v>#VALUE!</v>
      </c>
      <c r="IN191" s="105" t="e">
        <f>'Actual Value'!AI160+"AM:!)7~"</f>
        <v>#VALUE!</v>
      </c>
      <c r="IO191" s="105" t="e">
        <f>'Actual Value'!AJ160+"AM:!)8#"</f>
        <v>#VALUE!</v>
      </c>
      <c r="IP191" s="105" t="e">
        <f>'Actual Value'!AK160+"AM:!)8$"</f>
        <v>#VALUE!</v>
      </c>
      <c r="IQ191" s="105" t="e">
        <f>'Actual Value'!AL160+"AM:!)8%"</f>
        <v>#VALUE!</v>
      </c>
      <c r="IR191" s="105" t="e">
        <f>'Actual Value'!AM160+"AM:!)8&amp;"</f>
        <v>#VALUE!</v>
      </c>
      <c r="IS191" s="105" t="e">
        <f>'Actual Value'!AN160+"AM:!)8'"</f>
        <v>#VALUE!</v>
      </c>
      <c r="IT191" s="105" t="e">
        <f>'Actual Value'!AO160+"AM:!)8("</f>
        <v>#VALUE!</v>
      </c>
      <c r="IU191" t="e">
        <f>'Actual Value'!AP160+"AM:!)8)"</f>
        <v>#VALUE!</v>
      </c>
      <c r="IV191" s="100" t="e">
        <f>'Actual Value'!AQ160+"AM:!)8."</f>
        <v>#VALUE!</v>
      </c>
    </row>
    <row r="192" spans="6:256">
      <c r="F192" s="100" t="e">
        <f>'Actual Value'!AR160+"AM:!)8/"</f>
        <v>#VALUE!</v>
      </c>
      <c r="G192" s="100" t="e">
        <f>'Actual Value'!AS160+"AM:!)80"</f>
        <v>#VALUE!</v>
      </c>
      <c r="H192" s="100" t="e">
        <f>'Actual Value'!AT160+"AM:!)81"</f>
        <v>#VALUE!</v>
      </c>
      <c r="I192" s="100" t="e">
        <f>'Actual Value'!AU160+"AM:!)82"</f>
        <v>#VALUE!</v>
      </c>
      <c r="J192" t="e">
        <f>'Actual Value'!AV160+"AM:!)83"</f>
        <v>#VALUE!</v>
      </c>
      <c r="K192" t="e">
        <f>'Actual Value'!AW160+"AM:!)84"</f>
        <v>#VALUE!</v>
      </c>
      <c r="L192" t="e">
        <f>'Actual Value'!A161+"AM:!)85"</f>
        <v>#VALUE!</v>
      </c>
      <c r="M192" t="e">
        <f>'Actual Value'!B161+"AM:!)86"</f>
        <v>#VALUE!</v>
      </c>
      <c r="N192" t="e">
        <f>'Actual Value'!C161+"AM:!)87"</f>
        <v>#VALUE!</v>
      </c>
      <c r="O192" s="97" t="e">
        <f>'Actual Value'!D161+"AM:!)88"</f>
        <v>#VALUE!</v>
      </c>
      <c r="P192" s="97" t="e">
        <f>'Actual Value'!E161+"AM:!)89"</f>
        <v>#VALUE!</v>
      </c>
      <c r="Q192" s="97" t="e">
        <f>'Actual Value'!F161+"AM:!)8:"</f>
        <v>#VALUE!</v>
      </c>
      <c r="R192" s="97" t="e">
        <f>'Actual Value'!G161+"AM:!)8;"</f>
        <v>#VALUE!</v>
      </c>
      <c r="S192" s="97" t="e">
        <f>'Actual Value'!H161+"AM:!)8&lt;"</f>
        <v>#VALUE!</v>
      </c>
      <c r="T192" s="97" t="e">
        <f>'Actual Value'!I161+"AM:!)8="</f>
        <v>#VALUE!</v>
      </c>
      <c r="U192" s="97" t="e">
        <f>'Actual Value'!J161+"AM:!)8&gt;"</f>
        <v>#VALUE!</v>
      </c>
      <c r="V192" s="97" t="e">
        <f>'Actual Value'!K161+"AM:!)8?"</f>
        <v>#VALUE!</v>
      </c>
      <c r="W192" s="97" t="e">
        <f>'Actual Value'!L161+"AM:!)8@"</f>
        <v>#VALUE!</v>
      </c>
      <c r="X192" s="97" t="e">
        <f>'Actual Value'!M161+"AM:!)8A"</f>
        <v>#VALUE!</v>
      </c>
      <c r="Y192" s="97" t="e">
        <f>'Actual Value'!N161+"AM:!)8B"</f>
        <v>#VALUE!</v>
      </c>
      <c r="Z192" s="97" t="e">
        <f>'Actual Value'!O161+"AM:!)8C"</f>
        <v>#VALUE!</v>
      </c>
      <c r="AA192" s="97" t="e">
        <f>'Actual Value'!P161+"AM:!)8D"</f>
        <v>#VALUE!</v>
      </c>
      <c r="AB192" s="97" t="e">
        <f>'Actual Value'!Q161+"AM:!)8E"</f>
        <v>#VALUE!</v>
      </c>
      <c r="AC192" s="97" t="e">
        <f>'Actual Value'!R161+"AM:!)8F"</f>
        <v>#VALUE!</v>
      </c>
      <c r="AD192" s="97" t="e">
        <f>'Actual Value'!S161+"AM:!)8G"</f>
        <v>#VALUE!</v>
      </c>
      <c r="AE192" s="97" t="e">
        <f>'Actual Value'!T161+"AM:!)8H"</f>
        <v>#VALUE!</v>
      </c>
      <c r="AF192" s="97" t="e">
        <f>'Actual Value'!U161+"AM:!)8I"</f>
        <v>#VALUE!</v>
      </c>
      <c r="AG192" s="97" t="e">
        <f>'Actual Value'!V161+"AM:!)8J"</f>
        <v>#VALUE!</v>
      </c>
      <c r="AH192" s="97" t="e">
        <f>'Actual Value'!W161+"AM:!)8K"</f>
        <v>#VALUE!</v>
      </c>
      <c r="AI192" s="97" t="e">
        <f>'Actual Value'!X161+"AM:!)8L"</f>
        <v>#VALUE!</v>
      </c>
      <c r="AJ192" s="97" t="e">
        <f>'Actual Value'!Y161+"AM:!)8M"</f>
        <v>#VALUE!</v>
      </c>
      <c r="AK192" s="97" t="e">
        <f>'Actual Value'!Z161+"AM:!)8N"</f>
        <v>#VALUE!</v>
      </c>
      <c r="AL192" s="97" t="e">
        <f>'Actual Value'!AA161+"AM:!)8O"</f>
        <v>#VALUE!</v>
      </c>
      <c r="AM192" s="97" t="e">
        <f>'Actual Value'!AB161+"AM:!)8P"</f>
        <v>#VALUE!</v>
      </c>
      <c r="AN192" s="97" t="e">
        <f>'Actual Value'!AC161+"AM:!)8Q"</f>
        <v>#VALUE!</v>
      </c>
      <c r="AO192" s="97" t="e">
        <f>'Actual Value'!AD161+"AM:!)8R"</f>
        <v>#VALUE!</v>
      </c>
      <c r="AP192" s="97" t="e">
        <f>'Actual Value'!AE161+"AM:!)8S"</f>
        <v>#VALUE!</v>
      </c>
      <c r="AQ192" s="97" t="e">
        <f>'Actual Value'!AF161+"AM:!)8T"</f>
        <v>#VALUE!</v>
      </c>
      <c r="AR192" s="97" t="e">
        <f>'Actual Value'!AG161+"AM:!)8U"</f>
        <v>#VALUE!</v>
      </c>
      <c r="AS192" s="97" t="e">
        <f>'Actual Value'!AH161+"AM:!)8V"</f>
        <v>#VALUE!</v>
      </c>
      <c r="AT192" s="97" t="e">
        <f>'Actual Value'!AI161+"AM:!)8W"</f>
        <v>#VALUE!</v>
      </c>
      <c r="AU192" s="97" t="e">
        <f>'Actual Value'!AJ161+"AM:!)8X"</f>
        <v>#VALUE!</v>
      </c>
      <c r="AV192" s="97" t="e">
        <f>'Actual Value'!AK161+"AM:!)8Y"</f>
        <v>#VALUE!</v>
      </c>
      <c r="AW192" s="97" t="e">
        <f>'Actual Value'!AL161+"AM:!)8Z"</f>
        <v>#VALUE!</v>
      </c>
      <c r="AX192" s="97" t="e">
        <f>'Actual Value'!AM161+"AM:!)8["</f>
        <v>#VALUE!</v>
      </c>
      <c r="AY192" s="97" t="e">
        <f>'Actual Value'!AN161+"AM:!)8\"</f>
        <v>#VALUE!</v>
      </c>
      <c r="AZ192" s="97" t="e">
        <f>'Actual Value'!AO161+"AM:!)8]"</f>
        <v>#VALUE!</v>
      </c>
      <c r="BA192" t="e">
        <f>'Actual Value'!AP161+"AM:!)8^"</f>
        <v>#VALUE!</v>
      </c>
      <c r="BB192" t="e">
        <f>'Actual Value'!AQ161+"AM:!)8_"</f>
        <v>#VALUE!</v>
      </c>
      <c r="BC192" t="e">
        <f>'Actual Value'!AR161+"AM:!)8`"</f>
        <v>#VALUE!</v>
      </c>
      <c r="BD192" s="97" t="e">
        <f>'Actual Value'!AS161+"AM:!)8a"</f>
        <v>#VALUE!</v>
      </c>
      <c r="BE192" t="e">
        <f>'Actual Value'!AT161+"AM:!)8b"</f>
        <v>#VALUE!</v>
      </c>
      <c r="BF192" t="e">
        <f>'Actual Value'!AU161+"AM:!)8c"</f>
        <v>#VALUE!</v>
      </c>
      <c r="BG192" t="e">
        <f>'Actual Value'!AV161+"AM:!)8d"</f>
        <v>#VALUE!</v>
      </c>
      <c r="BH192" t="e">
        <f>'Actual Value'!AW161+"AM:!)8e"</f>
        <v>#VALUE!</v>
      </c>
      <c r="BI192" t="e">
        <f>'Actual Value'!A162+"AM:!)8f"</f>
        <v>#VALUE!</v>
      </c>
      <c r="BJ192" t="e">
        <f>'Actual Value'!B162+"AM:!)8g"</f>
        <v>#VALUE!</v>
      </c>
      <c r="BK192" t="e">
        <f>'Actual Value'!C162+"AM:!)8h"</f>
        <v>#VALUE!</v>
      </c>
      <c r="BL192" s="97" t="e">
        <f>'Actual Value'!D162+"AM:!)8i"</f>
        <v>#VALUE!</v>
      </c>
      <c r="BM192" s="97" t="e">
        <f>'Actual Value'!E162+"AM:!)8j"</f>
        <v>#VALUE!</v>
      </c>
      <c r="BN192" s="97" t="e">
        <f>'Actual Value'!F162+"AM:!)8k"</f>
        <v>#VALUE!</v>
      </c>
      <c r="BO192" s="97" t="e">
        <f>'Actual Value'!G162+"AM:!)8l"</f>
        <v>#VALUE!</v>
      </c>
      <c r="BP192" s="97" t="e">
        <f>'Actual Value'!H162+"AM:!)8m"</f>
        <v>#VALUE!</v>
      </c>
      <c r="BQ192" s="97" t="e">
        <f>'Actual Value'!I162+"AM:!)8n"</f>
        <v>#VALUE!</v>
      </c>
      <c r="BR192" s="97" t="e">
        <f>'Actual Value'!J162+"AM:!)8o"</f>
        <v>#VALUE!</v>
      </c>
      <c r="BS192" s="97" t="e">
        <f>'Actual Value'!K162+"AM:!)8p"</f>
        <v>#VALUE!</v>
      </c>
      <c r="BT192" s="97" t="e">
        <f>'Actual Value'!L162+"AM:!)8q"</f>
        <v>#VALUE!</v>
      </c>
      <c r="BU192" s="97" t="e">
        <f>'Actual Value'!M162+"AM:!)8r"</f>
        <v>#VALUE!</v>
      </c>
      <c r="BV192" s="97" t="e">
        <f>'Actual Value'!N162+"AM:!)8s"</f>
        <v>#VALUE!</v>
      </c>
      <c r="BW192" s="97" t="e">
        <f>'Actual Value'!O162+"AM:!)8t"</f>
        <v>#VALUE!</v>
      </c>
      <c r="BX192" s="97" t="e">
        <f>'Actual Value'!P162+"AM:!)8u"</f>
        <v>#VALUE!</v>
      </c>
      <c r="BY192" s="97" t="e">
        <f>'Actual Value'!Q162+"AM:!)8v"</f>
        <v>#VALUE!</v>
      </c>
      <c r="BZ192" s="97" t="e">
        <f>'Actual Value'!R162+"AM:!)8w"</f>
        <v>#VALUE!</v>
      </c>
      <c r="CA192" s="97" t="e">
        <f>'Actual Value'!S162+"AM:!)8x"</f>
        <v>#VALUE!</v>
      </c>
      <c r="CB192" s="97" t="e">
        <f>'Actual Value'!T162+"AM:!)8y"</f>
        <v>#VALUE!</v>
      </c>
      <c r="CC192" s="97" t="e">
        <f>'Actual Value'!U162+"AM:!)8z"</f>
        <v>#VALUE!</v>
      </c>
      <c r="CD192" s="97" t="e">
        <f>'Actual Value'!V162+"AM:!)8{"</f>
        <v>#VALUE!</v>
      </c>
      <c r="CE192" s="97" t="e">
        <f>'Actual Value'!W162+"AM:!)8|"</f>
        <v>#VALUE!</v>
      </c>
      <c r="CF192" s="97" t="e">
        <f>'Actual Value'!X162+"AM:!)8}"</f>
        <v>#VALUE!</v>
      </c>
      <c r="CG192" s="97" t="e">
        <f>'Actual Value'!Y162+"AM:!)8~"</f>
        <v>#VALUE!</v>
      </c>
      <c r="CH192" s="97" t="e">
        <f>'Actual Value'!Z162+"AM:!)9#"</f>
        <v>#VALUE!</v>
      </c>
      <c r="CI192" s="97" t="e">
        <f>'Actual Value'!AA162+"AM:!)9$"</f>
        <v>#VALUE!</v>
      </c>
      <c r="CJ192" s="97" t="e">
        <f>'Actual Value'!AB162+"AM:!)9%"</f>
        <v>#VALUE!</v>
      </c>
      <c r="CK192" s="97" t="e">
        <f>'Actual Value'!AC162+"AM:!)9&amp;"</f>
        <v>#VALUE!</v>
      </c>
      <c r="CL192" s="97" t="e">
        <f>'Actual Value'!AD162+"AM:!)9'"</f>
        <v>#VALUE!</v>
      </c>
      <c r="CM192" s="97" t="e">
        <f>'Actual Value'!AE162+"AM:!)9("</f>
        <v>#VALUE!</v>
      </c>
      <c r="CN192" s="97" t="e">
        <f>'Actual Value'!AF162+"AM:!)9)"</f>
        <v>#VALUE!</v>
      </c>
      <c r="CO192" s="97" t="e">
        <f>'Actual Value'!AG162+"AM:!)9."</f>
        <v>#VALUE!</v>
      </c>
      <c r="CP192" s="97" t="e">
        <f>'Actual Value'!AH162+"AM:!)9/"</f>
        <v>#VALUE!</v>
      </c>
      <c r="CQ192" s="97" t="e">
        <f>'Actual Value'!AI162+"AM:!)90"</f>
        <v>#VALUE!</v>
      </c>
      <c r="CR192" s="97" t="e">
        <f>'Actual Value'!AJ162+"AM:!)91"</f>
        <v>#VALUE!</v>
      </c>
      <c r="CS192" s="97" t="e">
        <f>'Actual Value'!AK162+"AM:!)92"</f>
        <v>#VALUE!</v>
      </c>
      <c r="CT192" s="97" t="e">
        <f>'Actual Value'!AL162+"AM:!)93"</f>
        <v>#VALUE!</v>
      </c>
      <c r="CU192" s="97" t="e">
        <f>'Actual Value'!AM162+"AM:!)94"</f>
        <v>#VALUE!</v>
      </c>
      <c r="CV192" s="97" t="e">
        <f>'Actual Value'!AN162+"AM:!)95"</f>
        <v>#VALUE!</v>
      </c>
      <c r="CW192" s="97" t="e">
        <f>'Actual Value'!AO162+"AM:!)96"</f>
        <v>#VALUE!</v>
      </c>
      <c r="CX192" t="e">
        <f>'Actual Value'!AP162+"AM:!)97"</f>
        <v>#VALUE!</v>
      </c>
      <c r="CY192" t="e">
        <f>'Actual Value'!AQ162+"AM:!)98"</f>
        <v>#VALUE!</v>
      </c>
      <c r="CZ192" t="e">
        <f>'Actual Value'!AR162+"AM:!)99"</f>
        <v>#VALUE!</v>
      </c>
      <c r="DA192" s="97" t="e">
        <f>'Actual Value'!AS162+"AM:!)9:"</f>
        <v>#VALUE!</v>
      </c>
      <c r="DB192" t="e">
        <f>'Actual Value'!AT162+"AM:!)9;"</f>
        <v>#VALUE!</v>
      </c>
      <c r="DC192" t="e">
        <f>'Actual Value'!AU162+"AM:!)9&lt;"</f>
        <v>#VALUE!</v>
      </c>
      <c r="DD192" t="e">
        <f>'Actual Value'!AV162+"AM:!)9="</f>
        <v>#VALUE!</v>
      </c>
      <c r="DE192" t="e">
        <f>'Actual Value'!AW162+"AM:!)9&gt;"</f>
        <v>#VALUE!</v>
      </c>
      <c r="DF192" t="e">
        <f>'Actual Value'!A163+"AM:!)9?"</f>
        <v>#VALUE!</v>
      </c>
      <c r="DG192" t="e">
        <f>'Actual Value'!B163+"AM:!)9@"</f>
        <v>#VALUE!</v>
      </c>
      <c r="DH192" t="e">
        <f>'Actual Value'!C163+"AM:!)9A"</f>
        <v>#VALUE!</v>
      </c>
      <c r="DI192" s="97" t="e">
        <f>'Actual Value'!D163+"AM:!)9B"</f>
        <v>#VALUE!</v>
      </c>
      <c r="DJ192" s="97" t="e">
        <f>'Actual Value'!E163+"AM:!)9C"</f>
        <v>#VALUE!</v>
      </c>
      <c r="DK192" s="97" t="e">
        <f>'Actual Value'!F163+"AM:!)9D"</f>
        <v>#VALUE!</v>
      </c>
      <c r="DL192" s="97" t="e">
        <f>'Actual Value'!G163+"AM:!)9E"</f>
        <v>#VALUE!</v>
      </c>
      <c r="DM192" s="97" t="e">
        <f>'Actual Value'!H163+"AM:!)9F"</f>
        <v>#VALUE!</v>
      </c>
      <c r="DN192" s="97" t="e">
        <f>'Actual Value'!I163+"AM:!)9G"</f>
        <v>#VALUE!</v>
      </c>
      <c r="DO192" s="97" t="e">
        <f>'Actual Value'!J163+"AM:!)9H"</f>
        <v>#VALUE!</v>
      </c>
      <c r="DP192" s="97" t="e">
        <f>'Actual Value'!K163+"AM:!)9I"</f>
        <v>#VALUE!</v>
      </c>
      <c r="DQ192" s="97" t="e">
        <f>'Actual Value'!L163+"AM:!)9J"</f>
        <v>#VALUE!</v>
      </c>
      <c r="DR192" s="97" t="e">
        <f>'Actual Value'!M163+"AM:!)9K"</f>
        <v>#VALUE!</v>
      </c>
      <c r="DS192" s="97" t="e">
        <f>'Actual Value'!N163+"AM:!)9L"</f>
        <v>#VALUE!</v>
      </c>
      <c r="DT192" s="97" t="e">
        <f>'Actual Value'!O163+"AM:!)9M"</f>
        <v>#VALUE!</v>
      </c>
      <c r="DU192" s="97" t="e">
        <f>'Actual Value'!P163+"AM:!)9N"</f>
        <v>#VALUE!</v>
      </c>
      <c r="DV192" s="97" t="e">
        <f>'Actual Value'!Q163+"AM:!)9O"</f>
        <v>#VALUE!</v>
      </c>
      <c r="DW192" s="97" t="e">
        <f>'Actual Value'!R163+"AM:!)9P"</f>
        <v>#VALUE!</v>
      </c>
      <c r="DX192" s="97" t="e">
        <f>'Actual Value'!S163+"AM:!)9Q"</f>
        <v>#VALUE!</v>
      </c>
      <c r="DY192" s="97" t="e">
        <f>'Actual Value'!T163+"AM:!)9R"</f>
        <v>#VALUE!</v>
      </c>
      <c r="DZ192" s="97" t="e">
        <f>'Actual Value'!U163+"AM:!)9S"</f>
        <v>#VALUE!</v>
      </c>
      <c r="EA192" s="97" t="e">
        <f>'Actual Value'!V163+"AM:!)9T"</f>
        <v>#VALUE!</v>
      </c>
      <c r="EB192" s="97" t="e">
        <f>'Actual Value'!W163+"AM:!)9U"</f>
        <v>#VALUE!</v>
      </c>
      <c r="EC192" s="97" t="e">
        <f>'Actual Value'!X163+"AM:!)9V"</f>
        <v>#VALUE!</v>
      </c>
      <c r="ED192" s="97" t="e">
        <f>'Actual Value'!Y163+"AM:!)9W"</f>
        <v>#VALUE!</v>
      </c>
      <c r="EE192" s="97" t="e">
        <f>'Actual Value'!Z163+"AM:!)9X"</f>
        <v>#VALUE!</v>
      </c>
      <c r="EF192" s="97" t="e">
        <f>'Actual Value'!AA163+"AM:!)9Y"</f>
        <v>#VALUE!</v>
      </c>
      <c r="EG192" s="97" t="e">
        <f>'Actual Value'!AB163+"AM:!)9Z"</f>
        <v>#VALUE!</v>
      </c>
      <c r="EH192" s="97" t="e">
        <f>'Actual Value'!AC163+"AM:!)9["</f>
        <v>#VALUE!</v>
      </c>
      <c r="EI192" s="97" t="e">
        <f>'Actual Value'!AD163+"AM:!)9\"</f>
        <v>#VALUE!</v>
      </c>
      <c r="EJ192" s="97" t="e">
        <f>'Actual Value'!AE163+"AM:!)9]"</f>
        <v>#VALUE!</v>
      </c>
      <c r="EK192" s="97" t="e">
        <f>'Actual Value'!AF163+"AM:!)9^"</f>
        <v>#VALUE!</v>
      </c>
      <c r="EL192" s="97" t="e">
        <f>'Actual Value'!AG163+"AM:!)9_"</f>
        <v>#VALUE!</v>
      </c>
      <c r="EM192" s="97" t="e">
        <f>'Actual Value'!AH163+"AM:!)9`"</f>
        <v>#VALUE!</v>
      </c>
      <c r="EN192" s="97" t="e">
        <f>'Actual Value'!AI163+"AM:!)9a"</f>
        <v>#VALUE!</v>
      </c>
      <c r="EO192" s="97" t="e">
        <f>'Actual Value'!AJ163+"AM:!)9b"</f>
        <v>#VALUE!</v>
      </c>
      <c r="EP192" s="97" t="e">
        <f>'Actual Value'!AK163+"AM:!)9c"</f>
        <v>#VALUE!</v>
      </c>
      <c r="EQ192" s="97" t="e">
        <f>'Actual Value'!AL163+"AM:!)9d"</f>
        <v>#VALUE!</v>
      </c>
      <c r="ER192" s="97" t="e">
        <f>'Actual Value'!AM163+"AM:!)9e"</f>
        <v>#VALUE!</v>
      </c>
      <c r="ES192" s="97" t="e">
        <f>'Actual Value'!AN163+"AM:!)9f"</f>
        <v>#VALUE!</v>
      </c>
      <c r="ET192" s="97" t="e">
        <f>'Actual Value'!AO163+"AM:!)9g"</f>
        <v>#VALUE!</v>
      </c>
      <c r="EU192" t="e">
        <f>'Actual Value'!AP163+"AM:!)9h"</f>
        <v>#VALUE!</v>
      </c>
      <c r="EV192" t="e">
        <f>'Actual Value'!AQ163+"AM:!)9i"</f>
        <v>#VALUE!</v>
      </c>
      <c r="EW192" t="e">
        <f>'Actual Value'!AR163+"AM:!)9j"</f>
        <v>#VALUE!</v>
      </c>
      <c r="EX192" t="e">
        <f>'Actual Value'!AS163+"AM:!)9k"</f>
        <v>#VALUE!</v>
      </c>
      <c r="EY192" t="e">
        <f>'Actual Value'!AT163+"AM:!)9l"</f>
        <v>#VALUE!</v>
      </c>
      <c r="EZ192" t="e">
        <f>'Actual Value'!AU163+"AM:!)9m"</f>
        <v>#VALUE!</v>
      </c>
      <c r="FA192" t="e">
        <f>'Actual Value'!AV163+"AM:!)9n"</f>
        <v>#VALUE!</v>
      </c>
      <c r="FB192" t="e">
        <f>'Actual Value'!AW163+"AM:!)9o"</f>
        <v>#VALUE!</v>
      </c>
      <c r="FC192" t="e">
        <f>'Actual Value'!A164+"AM:!)9p"</f>
        <v>#VALUE!</v>
      </c>
      <c r="FD192" t="e">
        <f>'Actual Value'!B164+"AM:!)9q"</f>
        <v>#VALUE!</v>
      </c>
      <c r="FE192" t="e">
        <f>'Actual Value'!C164+"AM:!)9r"</f>
        <v>#VALUE!</v>
      </c>
      <c r="FF192" s="97" t="e">
        <f>'Actual Value'!D164+"AM:!)9s"</f>
        <v>#VALUE!</v>
      </c>
      <c r="FG192" s="97" t="e">
        <f>'Actual Value'!E164+"AM:!)9t"</f>
        <v>#VALUE!</v>
      </c>
      <c r="FH192" s="97" t="e">
        <f>'Actual Value'!F164+"AM:!)9u"</f>
        <v>#VALUE!</v>
      </c>
      <c r="FI192" s="97" t="e">
        <f>'Actual Value'!G164+"AM:!)9v"</f>
        <v>#VALUE!</v>
      </c>
      <c r="FJ192" s="97" t="e">
        <f>'Actual Value'!H164+"AM:!)9w"</f>
        <v>#VALUE!</v>
      </c>
      <c r="FK192" s="97" t="e">
        <f>'Actual Value'!I164+"AM:!)9x"</f>
        <v>#VALUE!</v>
      </c>
      <c r="FL192" s="97" t="e">
        <f>'Actual Value'!J164+"AM:!)9y"</f>
        <v>#VALUE!</v>
      </c>
      <c r="FM192" s="97" t="e">
        <f>'Actual Value'!K164+"AM:!)9z"</f>
        <v>#VALUE!</v>
      </c>
      <c r="FN192" s="97" t="e">
        <f>'Actual Value'!L164+"AM:!)9{"</f>
        <v>#VALUE!</v>
      </c>
      <c r="FO192" s="97" t="e">
        <f>'Actual Value'!M164+"AM:!)9|"</f>
        <v>#VALUE!</v>
      </c>
      <c r="FP192" s="97" t="e">
        <f>'Actual Value'!N164+"AM:!)9}"</f>
        <v>#VALUE!</v>
      </c>
      <c r="FQ192" s="97" t="e">
        <f>'Actual Value'!O164+"AM:!)9~"</f>
        <v>#VALUE!</v>
      </c>
      <c r="FR192" s="97" t="e">
        <f>'Actual Value'!P164+"AM:!):#"</f>
        <v>#VALUE!</v>
      </c>
      <c r="FS192" s="97" t="e">
        <f>'Actual Value'!Q164+"AM:!):$"</f>
        <v>#VALUE!</v>
      </c>
      <c r="FT192" s="97" t="e">
        <f>'Actual Value'!R164+"AM:!):%"</f>
        <v>#VALUE!</v>
      </c>
      <c r="FU192" s="97" t="e">
        <f>'Actual Value'!S164+"AM:!):&amp;"</f>
        <v>#VALUE!</v>
      </c>
      <c r="FV192" s="97" t="e">
        <f>'Actual Value'!T164+"AM:!):'"</f>
        <v>#VALUE!</v>
      </c>
      <c r="FW192" s="97" t="e">
        <f>'Actual Value'!U164+"AM:!):("</f>
        <v>#VALUE!</v>
      </c>
      <c r="FX192" s="97" t="e">
        <f>'Actual Value'!V164+"AM:!):)"</f>
        <v>#VALUE!</v>
      </c>
      <c r="FY192" s="97" t="e">
        <f>'Actual Value'!W164+"AM:!):."</f>
        <v>#VALUE!</v>
      </c>
      <c r="FZ192" s="97" t="e">
        <f>'Actual Value'!X164+"AM:!):/"</f>
        <v>#VALUE!</v>
      </c>
      <c r="GA192" s="97" t="e">
        <f>'Actual Value'!Y164+"AM:!):0"</f>
        <v>#VALUE!</v>
      </c>
      <c r="GB192" s="97" t="e">
        <f>'Actual Value'!Z164+"AM:!):1"</f>
        <v>#VALUE!</v>
      </c>
      <c r="GC192" s="97" t="e">
        <f>'Actual Value'!AA164+"AM:!):2"</f>
        <v>#VALUE!</v>
      </c>
      <c r="GD192" s="97" t="e">
        <f>'Actual Value'!AB164+"AM:!):3"</f>
        <v>#VALUE!</v>
      </c>
      <c r="GE192" s="97" t="e">
        <f>'Actual Value'!AC164+"AM:!):4"</f>
        <v>#VALUE!</v>
      </c>
      <c r="GF192" s="97" t="e">
        <f>'Actual Value'!AD164+"AM:!):5"</f>
        <v>#VALUE!</v>
      </c>
      <c r="GG192" s="97" t="e">
        <f>'Actual Value'!AE164+"AM:!):6"</f>
        <v>#VALUE!</v>
      </c>
      <c r="GH192" s="97" t="e">
        <f>'Actual Value'!AF164+"AM:!):7"</f>
        <v>#VALUE!</v>
      </c>
      <c r="GI192" s="97" t="e">
        <f>'Actual Value'!AG164+"AM:!):8"</f>
        <v>#VALUE!</v>
      </c>
      <c r="GJ192" s="97" t="e">
        <f>'Actual Value'!AH164+"AM:!):9"</f>
        <v>#VALUE!</v>
      </c>
      <c r="GK192" s="97" t="e">
        <f>'Actual Value'!AI164+"AM:!)::"</f>
        <v>#VALUE!</v>
      </c>
      <c r="GL192" s="97" t="e">
        <f>'Actual Value'!AJ164+"AM:!):;"</f>
        <v>#VALUE!</v>
      </c>
      <c r="GM192" s="97" t="e">
        <f>'Actual Value'!AK164+"AM:!):&lt;"</f>
        <v>#VALUE!</v>
      </c>
      <c r="GN192" s="97" t="e">
        <f>'Actual Value'!AL164+"AM:!):="</f>
        <v>#VALUE!</v>
      </c>
      <c r="GO192" s="97" t="e">
        <f>'Actual Value'!AM164+"AM:!):&gt;"</f>
        <v>#VALUE!</v>
      </c>
      <c r="GP192" s="97" t="e">
        <f>'Actual Value'!AN164+"AM:!):?"</f>
        <v>#VALUE!</v>
      </c>
      <c r="GQ192" s="97" t="e">
        <f>'Actual Value'!AO164+"AM:!):@"</f>
        <v>#VALUE!</v>
      </c>
      <c r="GR192" t="e">
        <f>'Actual Value'!AP164+"AM:!):A"</f>
        <v>#VALUE!</v>
      </c>
      <c r="GS192" t="e">
        <f>'Actual Value'!AQ164+"AM:!):B"</f>
        <v>#VALUE!</v>
      </c>
      <c r="GT192" t="e">
        <f>'Actual Value'!AR164+"AM:!):C"</f>
        <v>#VALUE!</v>
      </c>
      <c r="GU192" t="e">
        <f>'Actual Value'!AS164+"AM:!):D"</f>
        <v>#VALUE!</v>
      </c>
      <c r="GV192" t="e">
        <f>'Actual Value'!AT164+"AM:!):E"</f>
        <v>#VALUE!</v>
      </c>
      <c r="GW192" t="e">
        <f>'Actual Value'!AU164+"AM:!):F"</f>
        <v>#VALUE!</v>
      </c>
      <c r="GX192" t="e">
        <f>'Actual Value'!AV164+"AM:!):G"</f>
        <v>#VALUE!</v>
      </c>
      <c r="GY192" t="e">
        <f>'Actual Value'!AW164+"AM:!):H"</f>
        <v>#VALUE!</v>
      </c>
      <c r="GZ192" t="e">
        <f>'Actual Value'!AX164+"AM:!):I"</f>
        <v>#VALUE!</v>
      </c>
      <c r="HA192" t="e">
        <f>'Actual Value'!A165+"AM:!):J"</f>
        <v>#VALUE!</v>
      </c>
      <c r="HB192" t="e">
        <f>'Actual Value'!B165+"AM:!):K"</f>
        <v>#VALUE!</v>
      </c>
      <c r="HC192" t="e">
        <f>'Actual Value'!C165+"AM:!):L"</f>
        <v>#VALUE!</v>
      </c>
      <c r="HD192" s="97" t="e">
        <f>'Actual Value'!D165+"AM:!):M"</f>
        <v>#VALUE!</v>
      </c>
      <c r="HE192" s="97" t="e">
        <f>'Actual Value'!E165+"AM:!):N"</f>
        <v>#VALUE!</v>
      </c>
      <c r="HF192" s="97" t="e">
        <f>'Actual Value'!F165+"AM:!):O"</f>
        <v>#VALUE!</v>
      </c>
      <c r="HG192" s="97" t="e">
        <f>'Actual Value'!G165+"AM:!):P"</f>
        <v>#VALUE!</v>
      </c>
      <c r="HH192" s="97" t="e">
        <f>'Actual Value'!H165+"AM:!):Q"</f>
        <v>#VALUE!</v>
      </c>
      <c r="HI192" s="97" t="e">
        <f>'Actual Value'!I165+"AM:!):R"</f>
        <v>#VALUE!</v>
      </c>
      <c r="HJ192" s="97" t="e">
        <f>'Actual Value'!J165+"AM:!):S"</f>
        <v>#VALUE!</v>
      </c>
      <c r="HK192" s="97" t="e">
        <f>'Actual Value'!K165+"AM:!):T"</f>
        <v>#VALUE!</v>
      </c>
      <c r="HL192" s="97" t="e">
        <f>'Actual Value'!L165+"AM:!):U"</f>
        <v>#VALUE!</v>
      </c>
      <c r="HM192" s="97" t="e">
        <f>'Actual Value'!M165+"AM:!):V"</f>
        <v>#VALUE!</v>
      </c>
      <c r="HN192" s="97" t="e">
        <f>'Actual Value'!N165+"AM:!):W"</f>
        <v>#VALUE!</v>
      </c>
      <c r="HO192" s="97" t="e">
        <f>'Actual Value'!O165+"AM:!):X"</f>
        <v>#VALUE!</v>
      </c>
      <c r="HP192" s="97" t="e">
        <f>'Actual Value'!P165+"AM:!):Y"</f>
        <v>#VALUE!</v>
      </c>
      <c r="HQ192" s="97" t="e">
        <f>'Actual Value'!Q165+"AM:!):Z"</f>
        <v>#VALUE!</v>
      </c>
      <c r="HR192" s="97" t="e">
        <f>'Actual Value'!R165+"AM:!):["</f>
        <v>#VALUE!</v>
      </c>
      <c r="HS192" s="97" t="e">
        <f>'Actual Value'!S165+"AM:!):\"</f>
        <v>#VALUE!</v>
      </c>
      <c r="HT192" s="97" t="e">
        <f>'Actual Value'!T165+"AM:!):]"</f>
        <v>#VALUE!</v>
      </c>
      <c r="HU192" s="97" t="e">
        <f>'Actual Value'!U165+"AM:!):^"</f>
        <v>#VALUE!</v>
      </c>
      <c r="HV192" s="97" t="e">
        <f>'Actual Value'!V165+"AM:!):_"</f>
        <v>#VALUE!</v>
      </c>
      <c r="HW192" s="97" t="e">
        <f>'Actual Value'!W165+"AM:!):`"</f>
        <v>#VALUE!</v>
      </c>
      <c r="HX192" s="97" t="e">
        <f>'Actual Value'!X165+"AM:!):a"</f>
        <v>#VALUE!</v>
      </c>
      <c r="HY192" s="97" t="e">
        <f>'Actual Value'!Y165+"AM:!):b"</f>
        <v>#VALUE!</v>
      </c>
      <c r="HZ192" s="97" t="e">
        <f>'Actual Value'!Z165+"AM:!):c"</f>
        <v>#VALUE!</v>
      </c>
      <c r="IA192" s="97" t="e">
        <f>'Actual Value'!AA165+"AM:!):d"</f>
        <v>#VALUE!</v>
      </c>
      <c r="IB192" s="97" t="e">
        <f>'Actual Value'!AB165+"AM:!):e"</f>
        <v>#VALUE!</v>
      </c>
      <c r="IC192" s="97" t="e">
        <f>'Actual Value'!AC165+"AM:!):f"</f>
        <v>#VALUE!</v>
      </c>
      <c r="ID192" s="97" t="e">
        <f>'Actual Value'!AD165+"AM:!):g"</f>
        <v>#VALUE!</v>
      </c>
      <c r="IE192" s="97" t="e">
        <f>'Actual Value'!AE165+"AM:!):h"</f>
        <v>#VALUE!</v>
      </c>
      <c r="IF192" s="97" t="e">
        <f>'Actual Value'!AF165+"AM:!):i"</f>
        <v>#VALUE!</v>
      </c>
      <c r="IG192" s="97" t="e">
        <f>'Actual Value'!AG165+"AM:!):j"</f>
        <v>#VALUE!</v>
      </c>
      <c r="IH192" s="97" t="e">
        <f>'Actual Value'!AH165+"AM:!):k"</f>
        <v>#VALUE!</v>
      </c>
      <c r="II192" s="97" t="e">
        <f>'Actual Value'!AI165+"AM:!):l"</f>
        <v>#VALUE!</v>
      </c>
      <c r="IJ192" s="97" t="e">
        <f>'Actual Value'!AJ165+"AM:!):m"</f>
        <v>#VALUE!</v>
      </c>
      <c r="IK192" s="97" t="e">
        <f>'Actual Value'!AK165+"AM:!):n"</f>
        <v>#VALUE!</v>
      </c>
      <c r="IL192" s="97" t="e">
        <f>'Actual Value'!AL165+"AM:!):o"</f>
        <v>#VALUE!</v>
      </c>
      <c r="IM192" s="97" t="e">
        <f>'Actual Value'!AM165+"AM:!):p"</f>
        <v>#VALUE!</v>
      </c>
      <c r="IN192" s="97" t="e">
        <f>'Actual Value'!AN165+"AM:!):q"</f>
        <v>#VALUE!</v>
      </c>
      <c r="IO192" s="97" t="e">
        <f>'Actual Value'!AO165+"AM:!):r"</f>
        <v>#VALUE!</v>
      </c>
      <c r="IP192" t="e">
        <f>'Actual Value'!AP165+"AM:!):s"</f>
        <v>#VALUE!</v>
      </c>
      <c r="IQ192" t="e">
        <f>'Actual Value'!AQ165+"AM:!):t"</f>
        <v>#VALUE!</v>
      </c>
      <c r="IR192" t="e">
        <f>'Actual Value'!AR165+"AM:!):u"</f>
        <v>#VALUE!</v>
      </c>
      <c r="IS192" t="e">
        <f>'Actual Value'!AS165+"AM:!):v"</f>
        <v>#VALUE!</v>
      </c>
      <c r="IT192" t="e">
        <f>'Actual Value'!AT165+"AM:!):w"</f>
        <v>#VALUE!</v>
      </c>
      <c r="IU192" t="e">
        <f>'Actual Value'!AU165+"AM:!):x"</f>
        <v>#VALUE!</v>
      </c>
      <c r="IV192" t="e">
        <f>'Actual Value'!AV165+"AM:!):y"</f>
        <v>#VALUE!</v>
      </c>
    </row>
    <row r="193" spans="6:256">
      <c r="F193" t="e">
        <f>'Actual Value'!AW165+"AM:!):z"</f>
        <v>#VALUE!</v>
      </c>
      <c r="G193" t="e">
        <f>'Actual Value'!AX165+"AM:!):{"</f>
        <v>#VALUE!</v>
      </c>
      <c r="H193" t="e">
        <f>'Actual Value'!A166+"AM:!):|"</f>
        <v>#VALUE!</v>
      </c>
      <c r="I193" t="e">
        <f>'Actual Value'!B166+"AM:!):}"</f>
        <v>#VALUE!</v>
      </c>
      <c r="J193" t="e">
        <f>'Actual Value'!C166+"AM:!):~"</f>
        <v>#VALUE!</v>
      </c>
      <c r="K193" s="97" t="e">
        <f>'Actual Value'!D166+"AM:!);#"</f>
        <v>#VALUE!</v>
      </c>
      <c r="L193" s="97" t="e">
        <f>'Actual Value'!E166+"AM:!);$"</f>
        <v>#VALUE!</v>
      </c>
      <c r="M193" s="97" t="e">
        <f>'Actual Value'!F166+"AM:!);%"</f>
        <v>#VALUE!</v>
      </c>
      <c r="N193" s="97" t="e">
        <f>'Actual Value'!G166+"AM:!);&amp;"</f>
        <v>#VALUE!</v>
      </c>
      <c r="O193" s="97" t="e">
        <f>'Actual Value'!H166+"AM:!);'"</f>
        <v>#VALUE!</v>
      </c>
      <c r="P193" s="97" t="e">
        <f>'Actual Value'!I166+"AM:!);("</f>
        <v>#VALUE!</v>
      </c>
      <c r="Q193" s="97" t="e">
        <f>'Actual Value'!J166+"AM:!);)"</f>
        <v>#VALUE!</v>
      </c>
      <c r="R193" s="97" t="e">
        <f>'Actual Value'!K166+"AM:!);."</f>
        <v>#VALUE!</v>
      </c>
      <c r="S193" s="97" t="e">
        <f>'Actual Value'!L166+"AM:!);/"</f>
        <v>#VALUE!</v>
      </c>
      <c r="T193" s="97" t="e">
        <f>'Actual Value'!M166+"AM:!);0"</f>
        <v>#VALUE!</v>
      </c>
      <c r="U193" s="97" t="e">
        <f>'Actual Value'!N166+"AM:!);1"</f>
        <v>#VALUE!</v>
      </c>
      <c r="V193" s="97" t="e">
        <f>'Actual Value'!O166+"AM:!);2"</f>
        <v>#VALUE!</v>
      </c>
      <c r="W193" s="97" t="e">
        <f>'Actual Value'!P166+"AM:!);3"</f>
        <v>#VALUE!</v>
      </c>
      <c r="X193" s="97" t="e">
        <f>'Actual Value'!Q166+"AM:!);4"</f>
        <v>#VALUE!</v>
      </c>
      <c r="Y193" s="97" t="e">
        <f>'Actual Value'!R166+"AM:!);5"</f>
        <v>#VALUE!</v>
      </c>
      <c r="Z193" s="97" t="e">
        <f>'Actual Value'!S166+"AM:!);6"</f>
        <v>#VALUE!</v>
      </c>
      <c r="AA193" s="97" t="e">
        <f>'Actual Value'!T166+"AM:!);7"</f>
        <v>#VALUE!</v>
      </c>
      <c r="AB193" s="97" t="e">
        <f>'Actual Value'!U166+"AM:!);8"</f>
        <v>#VALUE!</v>
      </c>
      <c r="AC193" s="97" t="e">
        <f>'Actual Value'!V166+"AM:!);9"</f>
        <v>#VALUE!</v>
      </c>
      <c r="AD193" s="97" t="e">
        <f>'Actual Value'!W166+"AM:!);:"</f>
        <v>#VALUE!</v>
      </c>
      <c r="AE193" s="97" t="e">
        <f>'Actual Value'!X166+"AM:!);;"</f>
        <v>#VALUE!</v>
      </c>
      <c r="AF193" s="97" t="e">
        <f>'Actual Value'!Y166+"AM:!);&lt;"</f>
        <v>#VALUE!</v>
      </c>
      <c r="AG193" s="97" t="e">
        <f>'Actual Value'!Z166+"AM:!);="</f>
        <v>#VALUE!</v>
      </c>
      <c r="AH193" s="97" t="e">
        <f>'Actual Value'!AA166+"AM:!);&gt;"</f>
        <v>#VALUE!</v>
      </c>
      <c r="AI193" s="97" t="e">
        <f>'Actual Value'!AB166+"AM:!);?"</f>
        <v>#VALUE!</v>
      </c>
      <c r="AJ193" s="97" t="e">
        <f>'Actual Value'!AC166+"AM:!);@"</f>
        <v>#VALUE!</v>
      </c>
      <c r="AK193" s="97" t="e">
        <f>'Actual Value'!AD166+"AM:!);A"</f>
        <v>#VALUE!</v>
      </c>
      <c r="AL193" s="97" t="e">
        <f>'Actual Value'!AE166+"AM:!);B"</f>
        <v>#VALUE!</v>
      </c>
      <c r="AM193" s="97" t="e">
        <f>'Actual Value'!AF166+"AM:!);C"</f>
        <v>#VALUE!</v>
      </c>
      <c r="AN193" s="97" t="e">
        <f>'Actual Value'!AG166+"AM:!);D"</f>
        <v>#VALUE!</v>
      </c>
      <c r="AO193" s="97" t="e">
        <f>'Actual Value'!AH166+"AM:!);E"</f>
        <v>#VALUE!</v>
      </c>
      <c r="AP193" s="97" t="e">
        <f>'Actual Value'!AI166+"AM:!);F"</f>
        <v>#VALUE!</v>
      </c>
      <c r="AQ193" s="97" t="e">
        <f>'Actual Value'!AJ166+"AM:!);G"</f>
        <v>#VALUE!</v>
      </c>
      <c r="AR193" s="97" t="e">
        <f>'Actual Value'!AK166+"AM:!);H"</f>
        <v>#VALUE!</v>
      </c>
      <c r="AS193" s="97" t="e">
        <f>'Actual Value'!AL166+"AM:!);I"</f>
        <v>#VALUE!</v>
      </c>
      <c r="AT193" s="97" t="e">
        <f>'Actual Value'!AM166+"AM:!);J"</f>
        <v>#VALUE!</v>
      </c>
      <c r="AU193" s="97" t="e">
        <f>'Actual Value'!AN166+"AM:!);K"</f>
        <v>#VALUE!</v>
      </c>
      <c r="AV193" s="97" t="e">
        <f>'Actual Value'!AO166+"AM:!);L"</f>
        <v>#VALUE!</v>
      </c>
      <c r="AW193" t="e">
        <f>'Actual Value'!AP166+"AM:!);M"</f>
        <v>#VALUE!</v>
      </c>
      <c r="AX193" t="e">
        <f>'Actual Value'!AQ166+"AM:!);N"</f>
        <v>#VALUE!</v>
      </c>
      <c r="AY193" t="e">
        <f>'Actual Value'!AR166+"AM:!);O"</f>
        <v>#VALUE!</v>
      </c>
      <c r="AZ193" t="e">
        <f>'Actual Value'!AS166+"AM:!);P"</f>
        <v>#VALUE!</v>
      </c>
      <c r="BA193" t="e">
        <f>'Actual Value'!AT166+"AM:!);Q"</f>
        <v>#VALUE!</v>
      </c>
      <c r="BB193" t="e">
        <f>'Actual Value'!AU166+"AM:!);R"</f>
        <v>#VALUE!</v>
      </c>
      <c r="BC193" t="e">
        <f>'Actual Value'!AV166+"AM:!);S"</f>
        <v>#VALUE!</v>
      </c>
      <c r="BD193" t="e">
        <f>'Actual Value'!AW166+"AM:!);T"</f>
        <v>#VALUE!</v>
      </c>
      <c r="BE193" t="e">
        <f>'Actual Value'!AX166+"AM:!);U"</f>
        <v>#VALUE!</v>
      </c>
      <c r="BF193" t="e">
        <f>'Actual Value'!A167+"AM:!);V"</f>
        <v>#VALUE!</v>
      </c>
      <c r="BG193" t="e">
        <f>'Actual Value'!B167+"AM:!);W"</f>
        <v>#VALUE!</v>
      </c>
      <c r="BH193" t="e">
        <f>'Actual Value'!C167+"AM:!);X"</f>
        <v>#VALUE!</v>
      </c>
      <c r="BI193" s="97" t="e">
        <f>'Actual Value'!D167+"AM:!);Y"</f>
        <v>#VALUE!</v>
      </c>
      <c r="BJ193" s="97" t="e">
        <f>'Actual Value'!E167+"AM:!);Z"</f>
        <v>#VALUE!</v>
      </c>
      <c r="BK193" s="97" t="e">
        <f>'Actual Value'!F167+"AM:!);["</f>
        <v>#VALUE!</v>
      </c>
      <c r="BL193" s="97" t="e">
        <f>'Actual Value'!G167+"AM:!);\"</f>
        <v>#VALUE!</v>
      </c>
      <c r="BM193" s="97" t="e">
        <f>'Actual Value'!H167+"AM:!);]"</f>
        <v>#VALUE!</v>
      </c>
      <c r="BN193" s="97" t="e">
        <f>'Actual Value'!I167+"AM:!);^"</f>
        <v>#VALUE!</v>
      </c>
      <c r="BO193" s="97" t="e">
        <f>'Actual Value'!J167+"AM:!);_"</f>
        <v>#VALUE!</v>
      </c>
      <c r="BP193" s="97" t="e">
        <f>'Actual Value'!K167+"AM:!);`"</f>
        <v>#VALUE!</v>
      </c>
      <c r="BQ193" s="97" t="e">
        <f>'Actual Value'!L167+"AM:!);a"</f>
        <v>#VALUE!</v>
      </c>
      <c r="BR193" s="97" t="e">
        <f>'Actual Value'!M167+"AM:!);b"</f>
        <v>#VALUE!</v>
      </c>
      <c r="BS193" s="97" t="e">
        <f>'Actual Value'!N167+"AM:!);c"</f>
        <v>#VALUE!</v>
      </c>
      <c r="BT193" s="97" t="e">
        <f>'Actual Value'!O167+"AM:!);d"</f>
        <v>#VALUE!</v>
      </c>
      <c r="BU193" s="97" t="e">
        <f>'Actual Value'!P167+"AM:!);e"</f>
        <v>#VALUE!</v>
      </c>
      <c r="BV193" s="97" t="e">
        <f>'Actual Value'!Q167+"AM:!);f"</f>
        <v>#VALUE!</v>
      </c>
      <c r="BW193" s="97" t="e">
        <f>'Actual Value'!R167+"AM:!);g"</f>
        <v>#VALUE!</v>
      </c>
      <c r="BX193" s="97" t="e">
        <f>'Actual Value'!S167+"AM:!);h"</f>
        <v>#VALUE!</v>
      </c>
      <c r="BY193" s="97" t="e">
        <f>'Actual Value'!T167+"AM:!);i"</f>
        <v>#VALUE!</v>
      </c>
      <c r="BZ193" s="97" t="e">
        <f>'Actual Value'!U167+"AM:!);j"</f>
        <v>#VALUE!</v>
      </c>
      <c r="CA193" s="97" t="e">
        <f>'Actual Value'!V167+"AM:!);k"</f>
        <v>#VALUE!</v>
      </c>
      <c r="CB193" s="97" t="e">
        <f>'Actual Value'!W167+"AM:!);l"</f>
        <v>#VALUE!</v>
      </c>
      <c r="CC193" s="97" t="e">
        <f>'Actual Value'!X167+"AM:!);m"</f>
        <v>#VALUE!</v>
      </c>
      <c r="CD193" s="97" t="e">
        <f>'Actual Value'!Y167+"AM:!);n"</f>
        <v>#VALUE!</v>
      </c>
      <c r="CE193" s="97" t="e">
        <f>'Actual Value'!Z167+"AM:!);o"</f>
        <v>#VALUE!</v>
      </c>
      <c r="CF193" s="97" t="e">
        <f>'Actual Value'!AA167+"AM:!);p"</f>
        <v>#VALUE!</v>
      </c>
      <c r="CG193" s="97" t="e">
        <f>'Actual Value'!AB167+"AM:!);q"</f>
        <v>#VALUE!</v>
      </c>
      <c r="CH193" s="97" t="e">
        <f>'Actual Value'!AC167+"AM:!);r"</f>
        <v>#VALUE!</v>
      </c>
      <c r="CI193" s="97" t="e">
        <f>'Actual Value'!AD167+"AM:!);s"</f>
        <v>#VALUE!</v>
      </c>
      <c r="CJ193" s="97" t="e">
        <f>'Actual Value'!AE167+"AM:!);t"</f>
        <v>#VALUE!</v>
      </c>
      <c r="CK193" s="97" t="e">
        <f>'Actual Value'!AF167+"AM:!);u"</f>
        <v>#VALUE!</v>
      </c>
      <c r="CL193" s="97" t="e">
        <f>'Actual Value'!AG167+"AM:!);v"</f>
        <v>#VALUE!</v>
      </c>
      <c r="CM193" s="97" t="e">
        <f>'Actual Value'!AH167+"AM:!);w"</f>
        <v>#VALUE!</v>
      </c>
      <c r="CN193" s="97" t="e">
        <f>'Actual Value'!AI167+"AM:!);x"</f>
        <v>#VALUE!</v>
      </c>
      <c r="CO193" s="97" t="e">
        <f>'Actual Value'!AJ167+"AM:!);y"</f>
        <v>#VALUE!</v>
      </c>
      <c r="CP193" s="97" t="e">
        <f>'Actual Value'!AK167+"AM:!);z"</f>
        <v>#VALUE!</v>
      </c>
      <c r="CQ193" s="97" t="e">
        <f>'Actual Value'!AL167+"AM:!);{"</f>
        <v>#VALUE!</v>
      </c>
      <c r="CR193" s="97" t="e">
        <f>'Actual Value'!AM167+"AM:!);|"</f>
        <v>#VALUE!</v>
      </c>
      <c r="CS193" s="97" t="e">
        <f>'Actual Value'!AN167+"AM:!);}"</f>
        <v>#VALUE!</v>
      </c>
      <c r="CT193" s="97" t="e">
        <f>'Actual Value'!AO167+"AM:!);~"</f>
        <v>#VALUE!</v>
      </c>
      <c r="CU193" t="e">
        <f>'Actual Value'!AP167+"AM:!)&lt;#"</f>
        <v>#VALUE!</v>
      </c>
      <c r="CV193" t="e">
        <f>'Actual Value'!AQ167+"AM:!)&lt;$"</f>
        <v>#VALUE!</v>
      </c>
      <c r="CW193" t="e">
        <f>'Actual Value'!AR167+"AM:!)&lt;%"</f>
        <v>#VALUE!</v>
      </c>
      <c r="CX193" t="e">
        <f>'Actual Value'!AS167+"AM:!)&lt;&amp;"</f>
        <v>#VALUE!</v>
      </c>
      <c r="CY193" t="e">
        <f>'Actual Value'!AT167+"AM:!)&lt;'"</f>
        <v>#VALUE!</v>
      </c>
      <c r="CZ193" t="e">
        <f>'Actual Value'!AU167+"AM:!)&lt;("</f>
        <v>#VALUE!</v>
      </c>
      <c r="DA193" t="e">
        <f>'Actual Value'!AV167+"AM:!)&lt;)"</f>
        <v>#VALUE!</v>
      </c>
      <c r="DB193" t="e">
        <f>'Actual Value'!AW167+"AM:!)&lt;."</f>
        <v>#VALUE!</v>
      </c>
      <c r="DC193" t="e">
        <f>'Actual Value'!AX167+"AM:!)&lt;/"</f>
        <v>#VALUE!</v>
      </c>
      <c r="DD193" t="e">
        <f>'Actual Value'!A168+"AM:!)&lt;0"</f>
        <v>#VALUE!</v>
      </c>
      <c r="DE193" t="e">
        <f>'Actual Value'!B168+"AM:!)&lt;1"</f>
        <v>#VALUE!</v>
      </c>
      <c r="DF193" t="e">
        <f>'Actual Value'!C168+"AM:!)&lt;2"</f>
        <v>#VALUE!</v>
      </c>
      <c r="DG193" s="97" t="e">
        <f>'Actual Value'!D168+"AM:!)&lt;3"</f>
        <v>#VALUE!</v>
      </c>
      <c r="DH193" s="97" t="e">
        <f>'Actual Value'!E168+"AM:!)&lt;4"</f>
        <v>#VALUE!</v>
      </c>
      <c r="DI193" s="97" t="e">
        <f>'Actual Value'!F168+"AM:!)&lt;5"</f>
        <v>#VALUE!</v>
      </c>
      <c r="DJ193" s="97" t="e">
        <f>'Actual Value'!G168+"AM:!)&lt;6"</f>
        <v>#VALUE!</v>
      </c>
      <c r="DK193" s="97" t="e">
        <f>'Actual Value'!H168+"AM:!)&lt;7"</f>
        <v>#VALUE!</v>
      </c>
      <c r="DL193" s="97" t="e">
        <f>'Actual Value'!I168+"AM:!)&lt;8"</f>
        <v>#VALUE!</v>
      </c>
      <c r="DM193" s="97" t="e">
        <f>'Actual Value'!J168+"AM:!)&lt;9"</f>
        <v>#VALUE!</v>
      </c>
      <c r="DN193" s="97" t="e">
        <f>'Actual Value'!K168+"AM:!)&lt;:"</f>
        <v>#VALUE!</v>
      </c>
      <c r="DO193" s="97" t="e">
        <f>'Actual Value'!L168+"AM:!)&lt;;"</f>
        <v>#VALUE!</v>
      </c>
      <c r="DP193" s="97" t="e">
        <f>'Actual Value'!M168+"AM:!)&lt;&lt;"</f>
        <v>#VALUE!</v>
      </c>
      <c r="DQ193" s="97" t="e">
        <f>'Actual Value'!N168+"AM:!)&lt;="</f>
        <v>#VALUE!</v>
      </c>
      <c r="DR193" s="97" t="e">
        <f>'Actual Value'!O168+"AM:!)&lt;&gt;"</f>
        <v>#VALUE!</v>
      </c>
      <c r="DS193" s="97" t="e">
        <f>'Actual Value'!P168+"AM:!)&lt;?"</f>
        <v>#VALUE!</v>
      </c>
      <c r="DT193" s="97" t="e">
        <f>'Actual Value'!Q168+"AM:!)&lt;@"</f>
        <v>#VALUE!</v>
      </c>
      <c r="DU193" s="97" t="e">
        <f>'Actual Value'!R168+"AM:!)&lt;A"</f>
        <v>#VALUE!</v>
      </c>
      <c r="DV193" s="97" t="e">
        <f>'Actual Value'!S168+"AM:!)&lt;B"</f>
        <v>#VALUE!</v>
      </c>
      <c r="DW193" s="97" t="e">
        <f>'Actual Value'!T168+"AM:!)&lt;C"</f>
        <v>#VALUE!</v>
      </c>
      <c r="DX193" s="97" t="e">
        <f>'Actual Value'!U168+"AM:!)&lt;D"</f>
        <v>#VALUE!</v>
      </c>
      <c r="DY193" s="97" t="e">
        <f>'Actual Value'!V168+"AM:!)&lt;E"</f>
        <v>#VALUE!</v>
      </c>
      <c r="DZ193" s="97" t="e">
        <f>'Actual Value'!W168+"AM:!)&lt;F"</f>
        <v>#VALUE!</v>
      </c>
      <c r="EA193" s="97" t="e">
        <f>'Actual Value'!X168+"AM:!)&lt;G"</f>
        <v>#VALUE!</v>
      </c>
      <c r="EB193" s="97" t="e">
        <f>'Actual Value'!Y168+"AM:!)&lt;H"</f>
        <v>#VALUE!</v>
      </c>
      <c r="EC193" s="97" t="e">
        <f>'Actual Value'!Z168+"AM:!)&lt;I"</f>
        <v>#VALUE!</v>
      </c>
      <c r="ED193" s="97" t="e">
        <f>'Actual Value'!AA168+"AM:!)&lt;J"</f>
        <v>#VALUE!</v>
      </c>
      <c r="EE193" s="97" t="e">
        <f>'Actual Value'!AB168+"AM:!)&lt;K"</f>
        <v>#VALUE!</v>
      </c>
      <c r="EF193" s="97" t="e">
        <f>'Actual Value'!AC168+"AM:!)&lt;L"</f>
        <v>#VALUE!</v>
      </c>
      <c r="EG193" s="97" t="e">
        <f>'Actual Value'!AD168+"AM:!)&lt;M"</f>
        <v>#VALUE!</v>
      </c>
      <c r="EH193" s="97" t="e">
        <f>'Actual Value'!AE168+"AM:!)&lt;N"</f>
        <v>#VALUE!</v>
      </c>
      <c r="EI193" s="97" t="e">
        <f>'Actual Value'!AF168+"AM:!)&lt;O"</f>
        <v>#VALUE!</v>
      </c>
      <c r="EJ193" s="97" t="e">
        <f>'Actual Value'!AG168+"AM:!)&lt;P"</f>
        <v>#VALUE!</v>
      </c>
      <c r="EK193" s="97" t="e">
        <f>'Actual Value'!AH168+"AM:!)&lt;Q"</f>
        <v>#VALUE!</v>
      </c>
      <c r="EL193" s="97" t="e">
        <f>'Actual Value'!AI168+"AM:!)&lt;R"</f>
        <v>#VALUE!</v>
      </c>
      <c r="EM193" s="97" t="e">
        <f>'Actual Value'!AJ168+"AM:!)&lt;S"</f>
        <v>#VALUE!</v>
      </c>
      <c r="EN193" s="97" t="e">
        <f>'Actual Value'!AK168+"AM:!)&lt;T"</f>
        <v>#VALUE!</v>
      </c>
      <c r="EO193" s="97" t="e">
        <f>'Actual Value'!AL168+"AM:!)&lt;U"</f>
        <v>#VALUE!</v>
      </c>
      <c r="EP193" s="97" t="e">
        <f>'Actual Value'!AM168+"AM:!)&lt;V"</f>
        <v>#VALUE!</v>
      </c>
      <c r="EQ193" s="97" t="e">
        <f>'Actual Value'!AN168+"AM:!)&lt;W"</f>
        <v>#VALUE!</v>
      </c>
      <c r="ER193" s="97" t="e">
        <f>'Actual Value'!AO168+"AM:!)&lt;X"</f>
        <v>#VALUE!</v>
      </c>
      <c r="ES193" t="e">
        <f>'Actual Value'!AP168+"AM:!)&lt;Y"</f>
        <v>#VALUE!</v>
      </c>
      <c r="ET193" t="e">
        <f>'Actual Value'!AQ168+"AM:!)&lt;Z"</f>
        <v>#VALUE!</v>
      </c>
      <c r="EU193" t="e">
        <f>'Actual Value'!AR168+"AM:!)&lt;["</f>
        <v>#VALUE!</v>
      </c>
      <c r="EV193" t="e">
        <f>'Actual Value'!AS168+"AM:!)&lt;\"</f>
        <v>#VALUE!</v>
      </c>
      <c r="EW193" t="e">
        <f>'Actual Value'!AT168+"AM:!)&lt;]"</f>
        <v>#VALUE!</v>
      </c>
      <c r="EX193" t="e">
        <f>'Actual Value'!AU168+"AM:!)&lt;^"</f>
        <v>#VALUE!</v>
      </c>
      <c r="EY193" t="e">
        <f>'Actual Value'!AV168+"AM:!)&lt;_"</f>
        <v>#VALUE!</v>
      </c>
      <c r="EZ193" t="e">
        <f>'Actual Value'!AW168+"AM:!)&lt;`"</f>
        <v>#VALUE!</v>
      </c>
      <c r="FA193" t="e">
        <f>'Actual Value'!AX168+"AM:!)&lt;a"</f>
        <v>#VALUE!</v>
      </c>
      <c r="FB193" t="e">
        <f>'Actual Value'!A169+"AM:!)&lt;b"</f>
        <v>#VALUE!</v>
      </c>
      <c r="FC193" t="e">
        <f>'Actual Value'!B169+"AM:!)&lt;c"</f>
        <v>#VALUE!</v>
      </c>
      <c r="FD193" t="e">
        <f>'Actual Value'!C169+"AM:!)&lt;d"</f>
        <v>#VALUE!</v>
      </c>
      <c r="FE193" s="97" t="e">
        <f>'Actual Value'!D169+"AM:!)&lt;e"</f>
        <v>#VALUE!</v>
      </c>
      <c r="FF193" s="97" t="e">
        <f>'Actual Value'!E169+"AM:!)&lt;f"</f>
        <v>#VALUE!</v>
      </c>
      <c r="FG193" s="97" t="e">
        <f>'Actual Value'!F169+"AM:!)&lt;g"</f>
        <v>#VALUE!</v>
      </c>
      <c r="FH193" s="97" t="e">
        <f>'Actual Value'!G169+"AM:!)&lt;h"</f>
        <v>#VALUE!</v>
      </c>
      <c r="FI193" s="97" t="e">
        <f>'Actual Value'!H169+"AM:!)&lt;i"</f>
        <v>#VALUE!</v>
      </c>
      <c r="FJ193" s="97" t="e">
        <f>'Actual Value'!I169+"AM:!)&lt;j"</f>
        <v>#VALUE!</v>
      </c>
      <c r="FK193" s="97" t="e">
        <f>'Actual Value'!J169+"AM:!)&lt;k"</f>
        <v>#VALUE!</v>
      </c>
      <c r="FL193" s="97" t="e">
        <f>'Actual Value'!K169+"AM:!)&lt;l"</f>
        <v>#VALUE!</v>
      </c>
      <c r="FM193" s="97" t="e">
        <f>'Actual Value'!L169+"AM:!)&lt;m"</f>
        <v>#VALUE!</v>
      </c>
      <c r="FN193" s="97" t="e">
        <f>'Actual Value'!M169+"AM:!)&lt;n"</f>
        <v>#VALUE!</v>
      </c>
      <c r="FO193" s="97" t="e">
        <f>'Actual Value'!N169+"AM:!)&lt;o"</f>
        <v>#VALUE!</v>
      </c>
      <c r="FP193" s="97" t="e">
        <f>'Actual Value'!O169+"AM:!)&lt;p"</f>
        <v>#VALUE!</v>
      </c>
      <c r="FQ193" s="97" t="e">
        <f>'Actual Value'!P169+"AM:!)&lt;q"</f>
        <v>#VALUE!</v>
      </c>
      <c r="FR193" s="97" t="e">
        <f>'Actual Value'!Q169+"AM:!)&lt;r"</f>
        <v>#VALUE!</v>
      </c>
      <c r="FS193" s="97" t="e">
        <f>'Actual Value'!R169+"AM:!)&lt;s"</f>
        <v>#VALUE!</v>
      </c>
      <c r="FT193" s="97" t="e">
        <f>'Actual Value'!S169+"AM:!)&lt;t"</f>
        <v>#VALUE!</v>
      </c>
      <c r="FU193" s="97" t="e">
        <f>'Actual Value'!T169+"AM:!)&lt;u"</f>
        <v>#VALUE!</v>
      </c>
      <c r="FV193" s="97" t="e">
        <f>'Actual Value'!U169+"AM:!)&lt;v"</f>
        <v>#VALUE!</v>
      </c>
      <c r="FW193" s="97" t="e">
        <f>'Actual Value'!V169+"AM:!)&lt;w"</f>
        <v>#VALUE!</v>
      </c>
      <c r="FX193" s="97" t="e">
        <f>'Actual Value'!W169+"AM:!)&lt;x"</f>
        <v>#VALUE!</v>
      </c>
      <c r="FY193" s="97" t="e">
        <f>'Actual Value'!X169+"AM:!)&lt;y"</f>
        <v>#VALUE!</v>
      </c>
      <c r="FZ193" s="97" t="e">
        <f>'Actual Value'!Y169+"AM:!)&lt;z"</f>
        <v>#VALUE!</v>
      </c>
      <c r="GA193" s="97" t="e">
        <f>'Actual Value'!Z169+"AM:!)&lt;{"</f>
        <v>#VALUE!</v>
      </c>
      <c r="GB193" s="97" t="e">
        <f>'Actual Value'!AA169+"AM:!)&lt;|"</f>
        <v>#VALUE!</v>
      </c>
      <c r="GC193" s="97" t="e">
        <f>'Actual Value'!AB169+"AM:!)&lt;}"</f>
        <v>#VALUE!</v>
      </c>
      <c r="GD193" s="97" t="e">
        <f>'Actual Value'!AC169+"AM:!)&lt;~"</f>
        <v>#VALUE!</v>
      </c>
      <c r="GE193" s="97" t="e">
        <f>'Actual Value'!AD169+"AM:!)=#"</f>
        <v>#VALUE!</v>
      </c>
      <c r="GF193" s="97" t="e">
        <f>'Actual Value'!AE169+"AM:!)=$"</f>
        <v>#VALUE!</v>
      </c>
      <c r="GG193" s="97" t="e">
        <f>'Actual Value'!AF169+"AM:!)=%"</f>
        <v>#VALUE!</v>
      </c>
      <c r="GH193" s="97" t="e">
        <f>'Actual Value'!AG169+"AM:!)=&amp;"</f>
        <v>#VALUE!</v>
      </c>
      <c r="GI193" s="97" t="e">
        <f>'Actual Value'!AH169+"AM:!)='"</f>
        <v>#VALUE!</v>
      </c>
      <c r="GJ193" s="97" t="e">
        <f>'Actual Value'!AI169+"AM:!)=("</f>
        <v>#VALUE!</v>
      </c>
      <c r="GK193" s="97" t="e">
        <f>'Actual Value'!AJ169+"AM:!)=)"</f>
        <v>#VALUE!</v>
      </c>
      <c r="GL193" s="97" t="e">
        <f>'Actual Value'!AK169+"AM:!)=."</f>
        <v>#VALUE!</v>
      </c>
      <c r="GM193" s="97" t="e">
        <f>'Actual Value'!AL169+"AM:!)=/"</f>
        <v>#VALUE!</v>
      </c>
      <c r="GN193" s="97" t="e">
        <f>'Actual Value'!AM169+"AM:!)=0"</f>
        <v>#VALUE!</v>
      </c>
      <c r="GO193" s="97" t="e">
        <f>'Actual Value'!AN169+"AM:!)=1"</f>
        <v>#VALUE!</v>
      </c>
      <c r="GP193" s="97" t="e">
        <f>'Actual Value'!AO169+"AM:!)=2"</f>
        <v>#VALUE!</v>
      </c>
      <c r="GQ193" t="e">
        <f>'Actual Value'!AP169+"AM:!)=3"</f>
        <v>#VALUE!</v>
      </c>
      <c r="GR193" t="e">
        <f>'Actual Value'!AQ169+"AM:!)=4"</f>
        <v>#VALUE!</v>
      </c>
      <c r="GS193" t="e">
        <f>'Actual Value'!AR169+"AM:!)=5"</f>
        <v>#VALUE!</v>
      </c>
      <c r="GT193" t="e">
        <f>'Actual Value'!AS169+"AM:!)=6"</f>
        <v>#VALUE!</v>
      </c>
      <c r="GU193" t="e">
        <f>'Actual Value'!AT169+"AM:!)=7"</f>
        <v>#VALUE!</v>
      </c>
      <c r="GV193" t="e">
        <f>'Actual Value'!AU169+"AM:!)=8"</f>
        <v>#VALUE!</v>
      </c>
      <c r="GW193" t="e">
        <f>'Actual Value'!AV169+"AM:!)=9"</f>
        <v>#VALUE!</v>
      </c>
      <c r="GX193" t="e">
        <f>'Actual Value'!AW169+"AM:!)=:"</f>
        <v>#VALUE!</v>
      </c>
      <c r="GY193" t="e">
        <f>'Actual Value'!AX169+"AM:!)=;"</f>
        <v>#VALUE!</v>
      </c>
      <c r="GZ193" t="e">
        <f>'Actual Value'!A170+"AM:!)=&lt;"</f>
        <v>#VALUE!</v>
      </c>
      <c r="HA193" t="e">
        <f>'Actual Value'!B170+"AM:!)=="</f>
        <v>#VALUE!</v>
      </c>
      <c r="HB193" s="98" t="e">
        <f>'Actual Value'!C170+"AM:!)=&gt;"</f>
        <v>#VALUE!</v>
      </c>
      <c r="HC193" t="e">
        <f>'Actual Value'!D170+"AM:!)=?"</f>
        <v>#VALUE!</v>
      </c>
      <c r="HD193" t="e">
        <f>'Actual Value'!E170+"AM:!)=@"</f>
        <v>#VALUE!</v>
      </c>
      <c r="HE193" t="e">
        <f>'Actual Value'!F170+"AM:!)=A"</f>
        <v>#VALUE!</v>
      </c>
      <c r="HF193" t="e">
        <f>'Actual Value'!G170+"AM:!)=B"</f>
        <v>#VALUE!</v>
      </c>
      <c r="HG193" t="e">
        <f>'Actual Value'!H170+"AM:!)=C"</f>
        <v>#VALUE!</v>
      </c>
      <c r="HH193" t="e">
        <f>'Actual Value'!I170+"AM:!)=D"</f>
        <v>#VALUE!</v>
      </c>
      <c r="HI193" t="e">
        <f>'Actual Value'!J170+"AM:!)=E"</f>
        <v>#VALUE!</v>
      </c>
      <c r="HJ193" t="e">
        <f>'Actual Value'!K170+"AM:!)=F"</f>
        <v>#VALUE!</v>
      </c>
      <c r="HK193" t="e">
        <f>'Actual Value'!L170+"AM:!)=G"</f>
        <v>#VALUE!</v>
      </c>
      <c r="HL193" t="e">
        <f>'Actual Value'!M170+"AM:!)=H"</f>
        <v>#VALUE!</v>
      </c>
      <c r="HM193" t="e">
        <f>'Actual Value'!N170+"AM:!)=I"</f>
        <v>#VALUE!</v>
      </c>
      <c r="HN193" t="e">
        <f>'Actual Value'!O170+"AM:!)=J"</f>
        <v>#VALUE!</v>
      </c>
      <c r="HO193" t="e">
        <f>'Actual Value'!P170+"AM:!)=K"</f>
        <v>#VALUE!</v>
      </c>
      <c r="HP193" t="e">
        <f>'Actual Value'!Q170+"AM:!)=L"</f>
        <v>#VALUE!</v>
      </c>
      <c r="HQ193" t="e">
        <f>'Actual Value'!R170+"AM:!)=M"</f>
        <v>#VALUE!</v>
      </c>
      <c r="HR193" t="e">
        <f>'Actual Value'!S170+"AM:!)=N"</f>
        <v>#VALUE!</v>
      </c>
      <c r="HS193" t="e">
        <f>'Actual Value'!T170+"AM:!)=O"</f>
        <v>#VALUE!</v>
      </c>
      <c r="HT193" t="e">
        <f>'Actual Value'!U170+"AM:!)=P"</f>
        <v>#VALUE!</v>
      </c>
      <c r="HU193" t="e">
        <f>'Actual Value'!V170+"AM:!)=Q"</f>
        <v>#VALUE!</v>
      </c>
      <c r="HV193" t="e">
        <f>'Actual Value'!W170+"AM:!)=R"</f>
        <v>#VALUE!</v>
      </c>
      <c r="HW193" t="e">
        <f>'Actual Value'!X170+"AM:!)=S"</f>
        <v>#VALUE!</v>
      </c>
      <c r="HX193" t="e">
        <f>'Actual Value'!Y170+"AM:!)=T"</f>
        <v>#VALUE!</v>
      </c>
      <c r="HY193" t="e">
        <f>'Actual Value'!Z170+"AM:!)=U"</f>
        <v>#VALUE!</v>
      </c>
      <c r="HZ193" t="e">
        <f>'Actual Value'!AA170+"AM:!)=V"</f>
        <v>#VALUE!</v>
      </c>
      <c r="IA193" t="e">
        <f>'Actual Value'!AB170+"AM:!)=W"</f>
        <v>#VALUE!</v>
      </c>
      <c r="IB193" t="e">
        <f>'Actual Value'!AC170+"AM:!)=X"</f>
        <v>#VALUE!</v>
      </c>
      <c r="IC193" t="e">
        <f>'Actual Value'!AD170+"AM:!)=Y"</f>
        <v>#VALUE!</v>
      </c>
      <c r="ID193" t="e">
        <f>'Actual Value'!AE170+"AM:!)=Z"</f>
        <v>#VALUE!</v>
      </c>
      <c r="IE193" t="e">
        <f>'Actual Value'!AF170+"AM:!)=["</f>
        <v>#VALUE!</v>
      </c>
      <c r="IF193" t="e">
        <f>'Actual Value'!AG170+"AM:!)=\"</f>
        <v>#VALUE!</v>
      </c>
      <c r="IG193" t="e">
        <f>'Actual Value'!AH170+"AM:!)=]"</f>
        <v>#VALUE!</v>
      </c>
      <c r="IH193" t="e">
        <f>'Actual Value'!AI170+"AM:!)=^"</f>
        <v>#VALUE!</v>
      </c>
      <c r="II193" t="e">
        <f>'Actual Value'!AJ170+"AM:!)=_"</f>
        <v>#VALUE!</v>
      </c>
      <c r="IJ193" t="e">
        <f>'Actual Value'!AK170+"AM:!)=`"</f>
        <v>#VALUE!</v>
      </c>
      <c r="IK193" t="e">
        <f>'Actual Value'!AL170+"AM:!)=a"</f>
        <v>#VALUE!</v>
      </c>
      <c r="IL193" t="e">
        <f>'Actual Value'!AM170+"AM:!)=b"</f>
        <v>#VALUE!</v>
      </c>
      <c r="IM193" t="e">
        <f>'Actual Value'!AN170+"AM:!)=c"</f>
        <v>#VALUE!</v>
      </c>
      <c r="IN193" t="e">
        <f>'Actual Value'!AO170+"AM:!)=d"</f>
        <v>#VALUE!</v>
      </c>
      <c r="IO193" t="e">
        <f>'Actual Value'!AP170+"AM:!)=e"</f>
        <v>#VALUE!</v>
      </c>
      <c r="IP193" t="e">
        <f>'Actual Value'!AQ170+"AM:!)=f"</f>
        <v>#VALUE!</v>
      </c>
      <c r="IQ193" t="e">
        <f>'Actual Value'!AR170+"AM:!)=g"</f>
        <v>#VALUE!</v>
      </c>
      <c r="IR193" t="e">
        <f>'Actual Value'!AS170+"AM:!)=h"</f>
        <v>#VALUE!</v>
      </c>
      <c r="IS193" t="e">
        <f>'Actual Value'!AT170+"AM:!)=i"</f>
        <v>#VALUE!</v>
      </c>
      <c r="IT193" t="e">
        <f>'Actual Value'!AU170+"AM:!)=j"</f>
        <v>#VALUE!</v>
      </c>
      <c r="IU193" t="e">
        <f>'Actual Value'!AV170+"AM:!)=k"</f>
        <v>#VALUE!</v>
      </c>
      <c r="IV193" t="e">
        <f>'Actual Value'!AW170+"AM:!)=l"</f>
        <v>#VALUE!</v>
      </c>
    </row>
    <row r="194" spans="6:256">
      <c r="F194" t="e">
        <f>'Actual Value'!A171+"AM:!)=m"</f>
        <v>#VALUE!</v>
      </c>
      <c r="G194" t="e">
        <f>'Actual Value'!B171+"AM:!)=n"</f>
        <v>#VALUE!</v>
      </c>
      <c r="H194" t="e">
        <f>'Actual Value'!C171+"AM:!)=o"</f>
        <v>#VALUE!</v>
      </c>
      <c r="I194" s="105" t="e">
        <f>'Actual Value'!D171+"AM:!)=p"</f>
        <v>#VALUE!</v>
      </c>
      <c r="J194" s="105" t="e">
        <f>'Actual Value'!E171+"AM:!)=q"</f>
        <v>#VALUE!</v>
      </c>
      <c r="K194" s="105" t="e">
        <f>'Actual Value'!F171+"AM:!)=r"</f>
        <v>#VALUE!</v>
      </c>
      <c r="L194" s="105" t="e">
        <f>'Actual Value'!G171+"AM:!)=s"</f>
        <v>#VALUE!</v>
      </c>
      <c r="M194" s="105" t="e">
        <f>'Actual Value'!H171+"AM:!)=t"</f>
        <v>#VALUE!</v>
      </c>
      <c r="N194" s="105" t="e">
        <f>'Actual Value'!I171+"AM:!)=u"</f>
        <v>#VALUE!</v>
      </c>
      <c r="O194" s="105" t="e">
        <f>'Actual Value'!J171+"AM:!)=v"</f>
        <v>#VALUE!</v>
      </c>
      <c r="P194" s="105" t="e">
        <f>'Actual Value'!K171+"AM:!)=w"</f>
        <v>#VALUE!</v>
      </c>
      <c r="Q194" s="105" t="e">
        <f>'Actual Value'!L171+"AM:!)=x"</f>
        <v>#VALUE!</v>
      </c>
      <c r="R194" s="105" t="e">
        <f>'Actual Value'!M171+"AM:!)=y"</f>
        <v>#VALUE!</v>
      </c>
      <c r="S194" s="105" t="e">
        <f>'Actual Value'!N171+"AM:!)=z"</f>
        <v>#VALUE!</v>
      </c>
      <c r="T194" s="105" t="e">
        <f>'Actual Value'!O171+"AM:!)={"</f>
        <v>#VALUE!</v>
      </c>
      <c r="U194" s="105" t="e">
        <f>'Actual Value'!P171+"AM:!)=|"</f>
        <v>#VALUE!</v>
      </c>
      <c r="V194" s="105" t="e">
        <f>'Actual Value'!Q171+"AM:!)=}"</f>
        <v>#VALUE!</v>
      </c>
      <c r="W194" s="105" t="e">
        <f>'Actual Value'!R171+"AM:!)=~"</f>
        <v>#VALUE!</v>
      </c>
      <c r="X194" s="105" t="e">
        <f>'Actual Value'!S171+"AM:!)&gt;#"</f>
        <v>#VALUE!</v>
      </c>
      <c r="Y194" s="105" t="e">
        <f>'Actual Value'!T171+"AM:!)&gt;$"</f>
        <v>#VALUE!</v>
      </c>
      <c r="Z194" s="105" t="e">
        <f>'Actual Value'!U171+"AM:!)&gt;%"</f>
        <v>#VALUE!</v>
      </c>
      <c r="AA194" s="105" t="e">
        <f>'Actual Value'!V171+"AM:!)&gt;&amp;"</f>
        <v>#VALUE!</v>
      </c>
      <c r="AB194" s="105" t="e">
        <f>'Actual Value'!W171+"AM:!)&gt;'"</f>
        <v>#VALUE!</v>
      </c>
      <c r="AC194" s="105" t="e">
        <f>'Actual Value'!X171+"AM:!)&gt;("</f>
        <v>#VALUE!</v>
      </c>
      <c r="AD194" s="105" t="e">
        <f>'Actual Value'!Y171+"AM:!)&gt;)"</f>
        <v>#VALUE!</v>
      </c>
      <c r="AE194" s="105" t="e">
        <f>'Actual Value'!Z171+"AM:!)&gt;."</f>
        <v>#VALUE!</v>
      </c>
      <c r="AF194" s="105" t="e">
        <f>'Actual Value'!AA171+"AM:!)&gt;/"</f>
        <v>#VALUE!</v>
      </c>
      <c r="AG194" s="105" t="e">
        <f>'Actual Value'!AB171+"AM:!)&gt;0"</f>
        <v>#VALUE!</v>
      </c>
      <c r="AH194" s="105" t="e">
        <f>'Actual Value'!AC171+"AM:!)&gt;1"</f>
        <v>#VALUE!</v>
      </c>
      <c r="AI194" s="105" t="e">
        <f>'Actual Value'!AD171+"AM:!)&gt;2"</f>
        <v>#VALUE!</v>
      </c>
      <c r="AJ194" s="105" t="e">
        <f>'Actual Value'!AE171+"AM:!)&gt;3"</f>
        <v>#VALUE!</v>
      </c>
      <c r="AK194" s="105" t="e">
        <f>'Actual Value'!AF171+"AM:!)&gt;4"</f>
        <v>#VALUE!</v>
      </c>
      <c r="AL194" s="105" t="e">
        <f>'Actual Value'!AG171+"AM:!)&gt;5"</f>
        <v>#VALUE!</v>
      </c>
      <c r="AM194" s="105" t="e">
        <f>'Actual Value'!AH171+"AM:!)&gt;6"</f>
        <v>#VALUE!</v>
      </c>
      <c r="AN194" s="105" t="e">
        <f>'Actual Value'!AI171+"AM:!)&gt;7"</f>
        <v>#VALUE!</v>
      </c>
      <c r="AO194" s="105" t="e">
        <f>'Actual Value'!AJ171+"AM:!)&gt;8"</f>
        <v>#VALUE!</v>
      </c>
      <c r="AP194" s="105" t="e">
        <f>'Actual Value'!AK171+"AM:!)&gt;9"</f>
        <v>#VALUE!</v>
      </c>
      <c r="AQ194" s="105" t="e">
        <f>'Actual Value'!AL171+"AM:!)&gt;:"</f>
        <v>#VALUE!</v>
      </c>
      <c r="AR194" s="105" t="e">
        <f>'Actual Value'!AM171+"AM:!)&gt;;"</f>
        <v>#VALUE!</v>
      </c>
      <c r="AS194" s="105" t="e">
        <f>'Actual Value'!AN171+"AM:!)&gt;&lt;"</f>
        <v>#VALUE!</v>
      </c>
      <c r="AT194" s="105" t="e">
        <f>'Actual Value'!AO171+"AM:!)&gt;="</f>
        <v>#VALUE!</v>
      </c>
      <c r="AU194" t="e">
        <f>'Actual Value'!AP171+"AM:!)&gt;&gt;"</f>
        <v>#VALUE!</v>
      </c>
      <c r="AV194" s="100" t="e">
        <f>'Actual Value'!AQ171+"AM:!)&gt;?"</f>
        <v>#VALUE!</v>
      </c>
      <c r="AW194" s="100" t="e">
        <f>'Actual Value'!AR171+"AM:!)&gt;@"</f>
        <v>#VALUE!</v>
      </c>
      <c r="AX194" s="100" t="e">
        <f>'Actual Value'!AS171+"AM:!)&gt;A"</f>
        <v>#VALUE!</v>
      </c>
      <c r="AY194" s="100" t="e">
        <f>'Actual Value'!AT171+"AM:!)&gt;B"</f>
        <v>#VALUE!</v>
      </c>
      <c r="AZ194" s="100" t="e">
        <f>'Actual Value'!AU171+"AM:!)&gt;C"</f>
        <v>#VALUE!</v>
      </c>
      <c r="BA194" t="e">
        <f>'Actual Value'!AV171+"AM:!)&gt;D"</f>
        <v>#VALUE!</v>
      </c>
      <c r="BB194" t="e">
        <f>'Actual Value'!AW171+"AM:!)&gt;E"</f>
        <v>#VALUE!</v>
      </c>
      <c r="BC194" t="e">
        <f>'Actual Value'!A172+"AM:!)&gt;F"</f>
        <v>#VALUE!</v>
      </c>
      <c r="BD194" t="e">
        <f>'Actual Value'!B172+"AM:!)&gt;G"</f>
        <v>#VALUE!</v>
      </c>
      <c r="BE194" t="e">
        <f>'Actual Value'!C172+"AM:!)&gt;H"</f>
        <v>#VALUE!</v>
      </c>
      <c r="BF194" s="97" t="e">
        <f>'Actual Value'!D172+"AM:!)&gt;I"</f>
        <v>#VALUE!</v>
      </c>
      <c r="BG194" s="97" t="e">
        <f>'Actual Value'!E172+"AM:!)&gt;J"</f>
        <v>#VALUE!</v>
      </c>
      <c r="BH194" s="97" t="e">
        <f>'Actual Value'!F172+"AM:!)&gt;K"</f>
        <v>#VALUE!</v>
      </c>
      <c r="BI194" s="97" t="e">
        <f>'Actual Value'!G172+"AM:!)&gt;L"</f>
        <v>#VALUE!</v>
      </c>
      <c r="BJ194" s="97" t="e">
        <f>'Actual Value'!H172+"AM:!)&gt;M"</f>
        <v>#VALUE!</v>
      </c>
      <c r="BK194" s="97" t="e">
        <f>'Actual Value'!I172+"AM:!)&gt;N"</f>
        <v>#VALUE!</v>
      </c>
      <c r="BL194" s="97" t="e">
        <f>'Actual Value'!J172+"AM:!)&gt;O"</f>
        <v>#VALUE!</v>
      </c>
      <c r="BM194" s="97" t="e">
        <f>'Actual Value'!K172+"AM:!)&gt;P"</f>
        <v>#VALUE!</v>
      </c>
      <c r="BN194" s="97" t="e">
        <f>'Actual Value'!L172+"AM:!)&gt;Q"</f>
        <v>#VALUE!</v>
      </c>
      <c r="BO194" s="97" t="e">
        <f>'Actual Value'!M172+"AM:!)&gt;R"</f>
        <v>#VALUE!</v>
      </c>
      <c r="BP194" s="97" t="e">
        <f>'Actual Value'!N172+"AM:!)&gt;S"</f>
        <v>#VALUE!</v>
      </c>
      <c r="BQ194" s="97" t="e">
        <f>'Actual Value'!O172+"AM:!)&gt;T"</f>
        <v>#VALUE!</v>
      </c>
      <c r="BR194" s="97" t="e">
        <f>'Actual Value'!P172+"AM:!)&gt;U"</f>
        <v>#VALUE!</v>
      </c>
      <c r="BS194" s="97" t="e">
        <f>'Actual Value'!Q172+"AM:!)&gt;V"</f>
        <v>#VALUE!</v>
      </c>
      <c r="BT194" s="97" t="e">
        <f>'Actual Value'!R172+"AM:!)&gt;W"</f>
        <v>#VALUE!</v>
      </c>
      <c r="BU194" s="97" t="e">
        <f>'Actual Value'!S172+"AM:!)&gt;X"</f>
        <v>#VALUE!</v>
      </c>
      <c r="BV194" s="97" t="e">
        <f>'Actual Value'!T172+"AM:!)&gt;Y"</f>
        <v>#VALUE!</v>
      </c>
      <c r="BW194" s="97" t="e">
        <f>'Actual Value'!U172+"AM:!)&gt;Z"</f>
        <v>#VALUE!</v>
      </c>
      <c r="BX194" s="97" t="e">
        <f>'Actual Value'!V172+"AM:!)&gt;["</f>
        <v>#VALUE!</v>
      </c>
      <c r="BY194" s="97" t="e">
        <f>'Actual Value'!W172+"AM:!)&gt;\"</f>
        <v>#VALUE!</v>
      </c>
      <c r="BZ194" s="97" t="e">
        <f>'Actual Value'!X172+"AM:!)&gt;]"</f>
        <v>#VALUE!</v>
      </c>
      <c r="CA194" s="97" t="e">
        <f>'Actual Value'!Y172+"AM:!)&gt;^"</f>
        <v>#VALUE!</v>
      </c>
      <c r="CB194" s="97" t="e">
        <f>'Actual Value'!Z172+"AM:!)&gt;_"</f>
        <v>#VALUE!</v>
      </c>
      <c r="CC194" s="97" t="e">
        <f>'Actual Value'!AA172+"AM:!)&gt;`"</f>
        <v>#VALUE!</v>
      </c>
      <c r="CD194" s="97" t="e">
        <f>'Actual Value'!AB172+"AM:!)&gt;a"</f>
        <v>#VALUE!</v>
      </c>
      <c r="CE194" s="97" t="e">
        <f>'Actual Value'!AC172+"AM:!)&gt;b"</f>
        <v>#VALUE!</v>
      </c>
      <c r="CF194" s="97" t="e">
        <f>'Actual Value'!AD172+"AM:!)&gt;c"</f>
        <v>#VALUE!</v>
      </c>
      <c r="CG194" s="97" t="e">
        <f>'Actual Value'!AE172+"AM:!)&gt;d"</f>
        <v>#VALUE!</v>
      </c>
      <c r="CH194" s="97" t="e">
        <f>'Actual Value'!AF172+"AM:!)&gt;e"</f>
        <v>#VALUE!</v>
      </c>
      <c r="CI194" s="97" t="e">
        <f>'Actual Value'!AG172+"AM:!)&gt;f"</f>
        <v>#VALUE!</v>
      </c>
      <c r="CJ194" s="97" t="e">
        <f>'Actual Value'!AH172+"AM:!)&gt;g"</f>
        <v>#VALUE!</v>
      </c>
      <c r="CK194" s="97" t="e">
        <f>'Actual Value'!AI172+"AM:!)&gt;h"</f>
        <v>#VALUE!</v>
      </c>
      <c r="CL194" s="97" t="e">
        <f>'Actual Value'!AJ172+"AM:!)&gt;i"</f>
        <v>#VALUE!</v>
      </c>
      <c r="CM194" s="97" t="e">
        <f>'Actual Value'!AK172+"AM:!)&gt;j"</f>
        <v>#VALUE!</v>
      </c>
      <c r="CN194" s="97" t="e">
        <f>'Actual Value'!AL172+"AM:!)&gt;k"</f>
        <v>#VALUE!</v>
      </c>
      <c r="CO194" s="97" t="e">
        <f>'Actual Value'!AM172+"AM:!)&gt;l"</f>
        <v>#VALUE!</v>
      </c>
      <c r="CP194" s="97" t="e">
        <f>'Actual Value'!AN172+"AM:!)&gt;m"</f>
        <v>#VALUE!</v>
      </c>
      <c r="CQ194" s="97" t="e">
        <f>'Actual Value'!AO172+"AM:!)&gt;n"</f>
        <v>#VALUE!</v>
      </c>
      <c r="CR194" t="e">
        <f>'Actual Value'!AP172+"AM:!)&gt;o"</f>
        <v>#VALUE!</v>
      </c>
      <c r="CS194" t="e">
        <f>'Actual Value'!AQ172+"AM:!)&gt;p"</f>
        <v>#VALUE!</v>
      </c>
      <c r="CT194" t="e">
        <f>'Actual Value'!AR172+"AM:!)&gt;q"</f>
        <v>#VALUE!</v>
      </c>
      <c r="CU194" s="97" t="e">
        <f>'Actual Value'!AS172+"AM:!)&gt;r"</f>
        <v>#VALUE!</v>
      </c>
      <c r="CV194" t="e">
        <f>'Actual Value'!AT172+"AM:!)&gt;s"</f>
        <v>#VALUE!</v>
      </c>
      <c r="CW194" t="e">
        <f>'Actual Value'!AU172+"AM:!)&gt;t"</f>
        <v>#VALUE!</v>
      </c>
      <c r="CX194" t="e">
        <f>'Actual Value'!AV172+"AM:!)&gt;u"</f>
        <v>#VALUE!</v>
      </c>
      <c r="CY194" t="e">
        <f>'Actual Value'!AW172+"AM:!)&gt;v"</f>
        <v>#VALUE!</v>
      </c>
      <c r="CZ194" t="e">
        <f>'Actual Value'!A173+"AM:!)&gt;w"</f>
        <v>#VALUE!</v>
      </c>
      <c r="DA194" t="e">
        <f>'Actual Value'!B173+"AM:!)&gt;x"</f>
        <v>#VALUE!</v>
      </c>
      <c r="DB194" t="e">
        <f>'Actual Value'!C173+"AM:!)&gt;y"</f>
        <v>#VALUE!</v>
      </c>
      <c r="DC194" s="97" t="e">
        <f>'Actual Value'!D173+"AM:!)&gt;z"</f>
        <v>#VALUE!</v>
      </c>
      <c r="DD194" s="97" t="e">
        <f>'Actual Value'!E173+"AM:!)&gt;{"</f>
        <v>#VALUE!</v>
      </c>
      <c r="DE194" s="97" t="e">
        <f>'Actual Value'!F173+"AM:!)&gt;|"</f>
        <v>#VALUE!</v>
      </c>
      <c r="DF194" s="97" t="e">
        <f>'Actual Value'!G173+"AM:!)&gt;}"</f>
        <v>#VALUE!</v>
      </c>
      <c r="DG194" s="97" t="e">
        <f>'Actual Value'!H173+"AM:!)&gt;~"</f>
        <v>#VALUE!</v>
      </c>
      <c r="DH194" s="97" t="e">
        <f>'Actual Value'!I173+"AM:!)?#"</f>
        <v>#VALUE!</v>
      </c>
      <c r="DI194" s="97" t="e">
        <f>'Actual Value'!J173+"AM:!)?$"</f>
        <v>#VALUE!</v>
      </c>
      <c r="DJ194" s="97" t="e">
        <f>'Actual Value'!K173+"AM:!)?%"</f>
        <v>#VALUE!</v>
      </c>
      <c r="DK194" s="97" t="e">
        <f>'Actual Value'!L173+"AM:!)?&amp;"</f>
        <v>#VALUE!</v>
      </c>
      <c r="DL194" s="97" t="e">
        <f>'Actual Value'!M173+"AM:!)?'"</f>
        <v>#VALUE!</v>
      </c>
      <c r="DM194" s="97" t="e">
        <f>'Actual Value'!N173+"AM:!)?("</f>
        <v>#VALUE!</v>
      </c>
      <c r="DN194" s="97" t="e">
        <f>'Actual Value'!O173+"AM:!)?)"</f>
        <v>#VALUE!</v>
      </c>
      <c r="DO194" s="97" t="e">
        <f>'Actual Value'!P173+"AM:!)?."</f>
        <v>#VALUE!</v>
      </c>
      <c r="DP194" s="97" t="e">
        <f>'Actual Value'!Q173+"AM:!)?/"</f>
        <v>#VALUE!</v>
      </c>
      <c r="DQ194" s="97" t="e">
        <f>'Actual Value'!R173+"AM:!)?0"</f>
        <v>#VALUE!</v>
      </c>
      <c r="DR194" s="97" t="e">
        <f>'Actual Value'!S173+"AM:!)?1"</f>
        <v>#VALUE!</v>
      </c>
      <c r="DS194" s="97" t="e">
        <f>'Actual Value'!T173+"AM:!)?2"</f>
        <v>#VALUE!</v>
      </c>
      <c r="DT194" s="97" t="e">
        <f>'Actual Value'!U173+"AM:!)?3"</f>
        <v>#VALUE!</v>
      </c>
      <c r="DU194" s="97" t="e">
        <f>'Actual Value'!V173+"AM:!)?4"</f>
        <v>#VALUE!</v>
      </c>
      <c r="DV194" s="97" t="e">
        <f>'Actual Value'!W173+"AM:!)?5"</f>
        <v>#VALUE!</v>
      </c>
      <c r="DW194" s="97" t="e">
        <f>'Actual Value'!X173+"AM:!)?6"</f>
        <v>#VALUE!</v>
      </c>
      <c r="DX194" s="97" t="e">
        <f>'Actual Value'!Y173+"AM:!)?7"</f>
        <v>#VALUE!</v>
      </c>
      <c r="DY194" s="97" t="e">
        <f>'Actual Value'!Z173+"AM:!)?8"</f>
        <v>#VALUE!</v>
      </c>
      <c r="DZ194" s="97" t="e">
        <f>'Actual Value'!AA173+"AM:!)?9"</f>
        <v>#VALUE!</v>
      </c>
      <c r="EA194" s="97" t="e">
        <f>'Actual Value'!AB173+"AM:!)?:"</f>
        <v>#VALUE!</v>
      </c>
      <c r="EB194" s="97" t="e">
        <f>'Actual Value'!AC173+"AM:!)?;"</f>
        <v>#VALUE!</v>
      </c>
      <c r="EC194" s="97" t="e">
        <f>'Actual Value'!AD173+"AM:!)?&lt;"</f>
        <v>#VALUE!</v>
      </c>
      <c r="ED194" s="97" t="e">
        <f>'Actual Value'!AE173+"AM:!)?="</f>
        <v>#VALUE!</v>
      </c>
      <c r="EE194" s="97" t="e">
        <f>'Actual Value'!AF173+"AM:!)?&gt;"</f>
        <v>#VALUE!</v>
      </c>
      <c r="EF194" s="97" t="e">
        <f>'Actual Value'!AG173+"AM:!)??"</f>
        <v>#VALUE!</v>
      </c>
      <c r="EG194" s="97" t="e">
        <f>'Actual Value'!AH173+"AM:!)?@"</f>
        <v>#VALUE!</v>
      </c>
      <c r="EH194" s="97" t="e">
        <f>'Actual Value'!AI173+"AM:!)?A"</f>
        <v>#VALUE!</v>
      </c>
      <c r="EI194" s="97" t="e">
        <f>'Actual Value'!AJ173+"AM:!)?B"</f>
        <v>#VALUE!</v>
      </c>
      <c r="EJ194" s="97" t="e">
        <f>'Actual Value'!AK173+"AM:!)?C"</f>
        <v>#VALUE!</v>
      </c>
      <c r="EK194" s="97" t="e">
        <f>'Actual Value'!AL173+"AM:!)?D"</f>
        <v>#VALUE!</v>
      </c>
      <c r="EL194" s="97" t="e">
        <f>'Actual Value'!AM173+"AM:!)?E"</f>
        <v>#VALUE!</v>
      </c>
      <c r="EM194" s="97" t="e">
        <f>'Actual Value'!AN173+"AM:!)?F"</f>
        <v>#VALUE!</v>
      </c>
      <c r="EN194" s="97" t="e">
        <f>'Actual Value'!AO173+"AM:!)?G"</f>
        <v>#VALUE!</v>
      </c>
      <c r="EO194" t="e">
        <f>'Actual Value'!AP173+"AM:!)?H"</f>
        <v>#VALUE!</v>
      </c>
      <c r="EP194" t="e">
        <f>'Actual Value'!AQ173+"AM:!)?I"</f>
        <v>#VALUE!</v>
      </c>
      <c r="EQ194" t="e">
        <f>'Actual Value'!AR173+"AM:!)?J"</f>
        <v>#VALUE!</v>
      </c>
      <c r="ER194" s="97" t="e">
        <f>'Actual Value'!AS173+"AM:!)?K"</f>
        <v>#VALUE!</v>
      </c>
      <c r="ES194" t="e">
        <f>'Actual Value'!AT173+"AM:!)?L"</f>
        <v>#VALUE!</v>
      </c>
      <c r="ET194" t="e">
        <f>'Actual Value'!AU173+"AM:!)?M"</f>
        <v>#VALUE!</v>
      </c>
      <c r="EU194" t="e">
        <f>'Actual Value'!AV173+"AM:!)?N"</f>
        <v>#VALUE!</v>
      </c>
      <c r="EV194" t="e">
        <f>'Actual Value'!AW173+"AM:!)?O"</f>
        <v>#VALUE!</v>
      </c>
      <c r="EW194" t="e">
        <f>'Actual Value'!A174+"AM:!)?P"</f>
        <v>#VALUE!</v>
      </c>
      <c r="EX194" t="e">
        <f>'Actual Value'!B174+"AM:!)?Q"</f>
        <v>#VALUE!</v>
      </c>
      <c r="EY194" t="e">
        <f>'Actual Value'!C174+"AM:!)?R"</f>
        <v>#VALUE!</v>
      </c>
      <c r="EZ194" s="97" t="e">
        <f>'Actual Value'!D174+"AM:!)?S"</f>
        <v>#VALUE!</v>
      </c>
      <c r="FA194" s="97" t="e">
        <f>'Actual Value'!E174+"AM:!)?T"</f>
        <v>#VALUE!</v>
      </c>
      <c r="FB194" s="97" t="e">
        <f>'Actual Value'!F174+"AM:!)?U"</f>
        <v>#VALUE!</v>
      </c>
      <c r="FC194" s="97" t="e">
        <f>'Actual Value'!G174+"AM:!)?V"</f>
        <v>#VALUE!</v>
      </c>
      <c r="FD194" s="97" t="e">
        <f>'Actual Value'!H174+"AM:!)?W"</f>
        <v>#VALUE!</v>
      </c>
      <c r="FE194" s="97" t="e">
        <f>'Actual Value'!I174+"AM:!)?X"</f>
        <v>#VALUE!</v>
      </c>
      <c r="FF194" s="97" t="e">
        <f>'Actual Value'!J174+"AM:!)?Y"</f>
        <v>#VALUE!</v>
      </c>
      <c r="FG194" s="97" t="e">
        <f>'Actual Value'!K174+"AM:!)?Z"</f>
        <v>#VALUE!</v>
      </c>
      <c r="FH194" s="97" t="e">
        <f>'Actual Value'!L174+"AM:!)?["</f>
        <v>#VALUE!</v>
      </c>
      <c r="FI194" s="97" t="e">
        <f>'Actual Value'!M174+"AM:!)?\"</f>
        <v>#VALUE!</v>
      </c>
      <c r="FJ194" s="97" t="e">
        <f>'Actual Value'!N174+"AM:!)?]"</f>
        <v>#VALUE!</v>
      </c>
      <c r="FK194" s="97" t="e">
        <f>'Actual Value'!O174+"AM:!)?^"</f>
        <v>#VALUE!</v>
      </c>
      <c r="FL194" s="97" t="e">
        <f>'Actual Value'!P174+"AM:!)?_"</f>
        <v>#VALUE!</v>
      </c>
      <c r="FM194" s="97" t="e">
        <f>'Actual Value'!Q174+"AM:!)?`"</f>
        <v>#VALUE!</v>
      </c>
      <c r="FN194" s="97" t="e">
        <f>'Actual Value'!R174+"AM:!)?a"</f>
        <v>#VALUE!</v>
      </c>
      <c r="FO194" s="97" t="e">
        <f>'Actual Value'!S174+"AM:!)?b"</f>
        <v>#VALUE!</v>
      </c>
      <c r="FP194" s="97" t="e">
        <f>'Actual Value'!T174+"AM:!)?c"</f>
        <v>#VALUE!</v>
      </c>
      <c r="FQ194" s="97" t="e">
        <f>'Actual Value'!U174+"AM:!)?d"</f>
        <v>#VALUE!</v>
      </c>
      <c r="FR194" s="97" t="e">
        <f>'Actual Value'!V174+"AM:!)?e"</f>
        <v>#VALUE!</v>
      </c>
      <c r="FS194" s="97" t="e">
        <f>'Actual Value'!W174+"AM:!)?f"</f>
        <v>#VALUE!</v>
      </c>
      <c r="FT194" s="97" t="e">
        <f>'Actual Value'!X174+"AM:!)?g"</f>
        <v>#VALUE!</v>
      </c>
      <c r="FU194" s="97" t="e">
        <f>'Actual Value'!Y174+"AM:!)?h"</f>
        <v>#VALUE!</v>
      </c>
      <c r="FV194" s="97" t="e">
        <f>'Actual Value'!Z174+"AM:!)?i"</f>
        <v>#VALUE!</v>
      </c>
      <c r="FW194" s="97" t="e">
        <f>'Actual Value'!AA174+"AM:!)?j"</f>
        <v>#VALUE!</v>
      </c>
      <c r="FX194" s="97" t="e">
        <f>'Actual Value'!AB174+"AM:!)?k"</f>
        <v>#VALUE!</v>
      </c>
      <c r="FY194" s="97" t="e">
        <f>'Actual Value'!AC174+"AM:!)?l"</f>
        <v>#VALUE!</v>
      </c>
      <c r="FZ194" s="97" t="e">
        <f>'Actual Value'!AD174+"AM:!)?m"</f>
        <v>#VALUE!</v>
      </c>
      <c r="GA194" s="97" t="e">
        <f>'Actual Value'!AE174+"AM:!)?n"</f>
        <v>#VALUE!</v>
      </c>
      <c r="GB194" s="97" t="e">
        <f>'Actual Value'!AF174+"AM:!)?o"</f>
        <v>#VALUE!</v>
      </c>
      <c r="GC194" s="97" t="e">
        <f>'Actual Value'!AG174+"AM:!)?p"</f>
        <v>#VALUE!</v>
      </c>
      <c r="GD194" s="97" t="e">
        <f>'Actual Value'!AH174+"AM:!)?q"</f>
        <v>#VALUE!</v>
      </c>
      <c r="GE194" s="97" t="e">
        <f>'Actual Value'!AI174+"AM:!)?r"</f>
        <v>#VALUE!</v>
      </c>
      <c r="GF194" s="97" t="e">
        <f>'Actual Value'!AJ174+"AM:!)?s"</f>
        <v>#VALUE!</v>
      </c>
      <c r="GG194" s="97" t="e">
        <f>'Actual Value'!AK174+"AM:!)?t"</f>
        <v>#VALUE!</v>
      </c>
      <c r="GH194" s="97" t="e">
        <f>'Actual Value'!AL174+"AM:!)?u"</f>
        <v>#VALUE!</v>
      </c>
      <c r="GI194" s="97" t="e">
        <f>'Actual Value'!AM174+"AM:!)?v"</f>
        <v>#VALUE!</v>
      </c>
      <c r="GJ194" s="97" t="e">
        <f>'Actual Value'!AN174+"AM:!)?w"</f>
        <v>#VALUE!</v>
      </c>
      <c r="GK194" s="97" t="e">
        <f>'Actual Value'!AO174+"AM:!)?x"</f>
        <v>#VALUE!</v>
      </c>
      <c r="GL194" t="e">
        <f>'Actual Value'!AP174+"AM:!)?y"</f>
        <v>#VALUE!</v>
      </c>
      <c r="GM194" t="e">
        <f>'Actual Value'!AQ174+"AM:!)?z"</f>
        <v>#VALUE!</v>
      </c>
      <c r="GN194" t="e">
        <f>'Actual Value'!AR174+"AM:!)?{"</f>
        <v>#VALUE!</v>
      </c>
      <c r="GO194" t="e">
        <f>'Actual Value'!AS174+"AM:!)?|"</f>
        <v>#VALUE!</v>
      </c>
      <c r="GP194" t="e">
        <f>'Actual Value'!AT174+"AM:!)?}"</f>
        <v>#VALUE!</v>
      </c>
      <c r="GQ194" t="e">
        <f>'Actual Value'!AU174+"AM:!)?~"</f>
        <v>#VALUE!</v>
      </c>
      <c r="GR194" t="e">
        <f>'Actual Value'!AV174+"AM:!)@#"</f>
        <v>#VALUE!</v>
      </c>
      <c r="GS194" t="e">
        <f>'Actual Value'!AW174+"AM:!)@$"</f>
        <v>#VALUE!</v>
      </c>
      <c r="GT194" t="e">
        <f>'Actual Value'!A175+"AM:!)@%"</f>
        <v>#VALUE!</v>
      </c>
      <c r="GU194" t="e">
        <f>'Actual Value'!B175+"AM:!)@&amp;"</f>
        <v>#VALUE!</v>
      </c>
      <c r="GV194" t="e">
        <f>'Actual Value'!C175+"AM:!)@'"</f>
        <v>#VALUE!</v>
      </c>
      <c r="GW194" s="97" t="e">
        <f>'Actual Value'!D175+"AM:!)@("</f>
        <v>#VALUE!</v>
      </c>
      <c r="GX194" s="97" t="e">
        <f>'Actual Value'!E175+"AM:!)@)"</f>
        <v>#VALUE!</v>
      </c>
      <c r="GY194" s="97" t="e">
        <f>'Actual Value'!F175+"AM:!)@."</f>
        <v>#VALUE!</v>
      </c>
      <c r="GZ194" s="97" t="e">
        <f>'Actual Value'!G175+"AM:!)@/"</f>
        <v>#VALUE!</v>
      </c>
      <c r="HA194" s="97" t="e">
        <f>'Actual Value'!H175+"AM:!)@0"</f>
        <v>#VALUE!</v>
      </c>
      <c r="HB194" s="97" t="e">
        <f>'Actual Value'!I175+"AM:!)@1"</f>
        <v>#VALUE!</v>
      </c>
      <c r="HC194" s="97" t="e">
        <f>'Actual Value'!J175+"AM:!)@2"</f>
        <v>#VALUE!</v>
      </c>
      <c r="HD194" s="97" t="e">
        <f>'Actual Value'!K175+"AM:!)@3"</f>
        <v>#VALUE!</v>
      </c>
      <c r="HE194" s="97" t="e">
        <f>'Actual Value'!L175+"AM:!)@4"</f>
        <v>#VALUE!</v>
      </c>
      <c r="HF194" s="97" t="e">
        <f>'Actual Value'!M175+"AM:!)@5"</f>
        <v>#VALUE!</v>
      </c>
      <c r="HG194" s="97" t="e">
        <f>'Actual Value'!N175+"AM:!)@6"</f>
        <v>#VALUE!</v>
      </c>
      <c r="HH194" s="97" t="e">
        <f>'Actual Value'!O175+"AM:!)@7"</f>
        <v>#VALUE!</v>
      </c>
      <c r="HI194" s="97" t="e">
        <f>'Actual Value'!P175+"AM:!)@8"</f>
        <v>#VALUE!</v>
      </c>
      <c r="HJ194" s="97" t="e">
        <f>'Actual Value'!Q175+"AM:!)@9"</f>
        <v>#VALUE!</v>
      </c>
      <c r="HK194" s="97" t="e">
        <f>'Actual Value'!R175+"AM:!)@:"</f>
        <v>#VALUE!</v>
      </c>
      <c r="HL194" s="97" t="e">
        <f>'Actual Value'!S175+"AM:!)@;"</f>
        <v>#VALUE!</v>
      </c>
      <c r="HM194" s="97" t="e">
        <f>'Actual Value'!T175+"AM:!)@&lt;"</f>
        <v>#VALUE!</v>
      </c>
      <c r="HN194" s="97" t="e">
        <f>'Actual Value'!U175+"AM:!)@="</f>
        <v>#VALUE!</v>
      </c>
      <c r="HO194" s="97" t="e">
        <f>'Actual Value'!V175+"AM:!)@&gt;"</f>
        <v>#VALUE!</v>
      </c>
      <c r="HP194" s="97" t="e">
        <f>'Actual Value'!W175+"AM:!)@?"</f>
        <v>#VALUE!</v>
      </c>
      <c r="HQ194" s="97" t="e">
        <f>'Actual Value'!X175+"AM:!)@@"</f>
        <v>#VALUE!</v>
      </c>
      <c r="HR194" s="97" t="e">
        <f>'Actual Value'!Y175+"AM:!)@A"</f>
        <v>#VALUE!</v>
      </c>
      <c r="HS194" s="97" t="e">
        <f>'Actual Value'!Z175+"AM:!)@B"</f>
        <v>#VALUE!</v>
      </c>
      <c r="HT194" s="97" t="e">
        <f>'Actual Value'!AA175+"AM:!)@C"</f>
        <v>#VALUE!</v>
      </c>
      <c r="HU194" s="97" t="e">
        <f>'Actual Value'!AB175+"AM:!)@D"</f>
        <v>#VALUE!</v>
      </c>
      <c r="HV194" s="97" t="e">
        <f>'Actual Value'!AC175+"AM:!)@E"</f>
        <v>#VALUE!</v>
      </c>
      <c r="HW194" s="97" t="e">
        <f>'Actual Value'!AD175+"AM:!)@F"</f>
        <v>#VALUE!</v>
      </c>
      <c r="HX194" s="97" t="e">
        <f>'Actual Value'!AE175+"AM:!)@G"</f>
        <v>#VALUE!</v>
      </c>
      <c r="HY194" s="97" t="e">
        <f>'Actual Value'!AF175+"AM:!)@H"</f>
        <v>#VALUE!</v>
      </c>
      <c r="HZ194" s="97" t="e">
        <f>'Actual Value'!AG175+"AM:!)@I"</f>
        <v>#VALUE!</v>
      </c>
      <c r="IA194" s="97" t="e">
        <f>'Actual Value'!AH175+"AM:!)@J"</f>
        <v>#VALUE!</v>
      </c>
      <c r="IB194" s="97" t="e">
        <f>'Actual Value'!AI175+"AM:!)@K"</f>
        <v>#VALUE!</v>
      </c>
      <c r="IC194" s="97" t="e">
        <f>'Actual Value'!AJ175+"AM:!)@L"</f>
        <v>#VALUE!</v>
      </c>
      <c r="ID194" s="97" t="e">
        <f>'Actual Value'!AK175+"AM:!)@M"</f>
        <v>#VALUE!</v>
      </c>
      <c r="IE194" s="97" t="e">
        <f>'Actual Value'!AL175+"AM:!)@N"</f>
        <v>#VALUE!</v>
      </c>
      <c r="IF194" s="97" t="e">
        <f>'Actual Value'!AM175+"AM:!)@O"</f>
        <v>#VALUE!</v>
      </c>
      <c r="IG194" s="97" t="e">
        <f>'Actual Value'!AN175+"AM:!)@P"</f>
        <v>#VALUE!</v>
      </c>
      <c r="IH194" s="97" t="e">
        <f>'Actual Value'!AO175+"AM:!)@Q"</f>
        <v>#VALUE!</v>
      </c>
      <c r="II194" t="e">
        <f>'Actual Value'!AP175+"AM:!)@R"</f>
        <v>#VALUE!</v>
      </c>
      <c r="IJ194" t="e">
        <f>'Actual Value'!AQ175+"AM:!)@S"</f>
        <v>#VALUE!</v>
      </c>
      <c r="IK194" t="e">
        <f>'Actual Value'!AR175+"AM:!)@T"</f>
        <v>#VALUE!</v>
      </c>
      <c r="IL194" t="e">
        <f>'Actual Value'!AS175+"AM:!)@U"</f>
        <v>#VALUE!</v>
      </c>
      <c r="IM194" t="e">
        <f>'Actual Value'!AT175+"AM:!)@V"</f>
        <v>#VALUE!</v>
      </c>
      <c r="IN194" t="e">
        <f>'Actual Value'!AU175+"AM:!)@W"</f>
        <v>#VALUE!</v>
      </c>
      <c r="IO194" t="e">
        <f>'Actual Value'!AV175+"AM:!)@X"</f>
        <v>#VALUE!</v>
      </c>
      <c r="IP194" t="e">
        <f>'Actual Value'!AW175+"AM:!)@Y"</f>
        <v>#VALUE!</v>
      </c>
      <c r="IQ194" t="e">
        <f>'Actual Value'!AX175+"AM:!)@Z"</f>
        <v>#VALUE!</v>
      </c>
      <c r="IR194" t="e">
        <f>'Actual Value'!A176+"AM:!)@["</f>
        <v>#VALUE!</v>
      </c>
      <c r="IS194" t="e">
        <f>'Actual Value'!B176+"AM:!)@\"</f>
        <v>#VALUE!</v>
      </c>
      <c r="IT194" t="e">
        <f>'Actual Value'!C176+"AM:!)@]"</f>
        <v>#VALUE!</v>
      </c>
      <c r="IU194" s="97" t="e">
        <f>'Actual Value'!D176+"AM:!)@^"</f>
        <v>#VALUE!</v>
      </c>
      <c r="IV194" s="97" t="e">
        <f>'Actual Value'!E176+"AM:!)@_"</f>
        <v>#VALUE!</v>
      </c>
    </row>
    <row r="195" spans="6:256">
      <c r="F195" s="97" t="e">
        <f>'Actual Value'!F176+"AM:!)@`"</f>
        <v>#VALUE!</v>
      </c>
      <c r="G195" s="97" t="e">
        <f>'Actual Value'!G176+"AM:!)@a"</f>
        <v>#VALUE!</v>
      </c>
      <c r="H195" s="97" t="e">
        <f>'Actual Value'!H176+"AM:!)@b"</f>
        <v>#VALUE!</v>
      </c>
      <c r="I195" s="97" t="e">
        <f>'Actual Value'!I176+"AM:!)@c"</f>
        <v>#VALUE!</v>
      </c>
      <c r="J195" s="97" t="e">
        <f>'Actual Value'!J176+"AM:!)@d"</f>
        <v>#VALUE!</v>
      </c>
      <c r="K195" s="97" t="e">
        <f>'Actual Value'!K176+"AM:!)@e"</f>
        <v>#VALUE!</v>
      </c>
      <c r="L195" s="97" t="e">
        <f>'Actual Value'!L176+"AM:!)@f"</f>
        <v>#VALUE!</v>
      </c>
      <c r="M195" s="97" t="e">
        <f>'Actual Value'!M176+"AM:!)@g"</f>
        <v>#VALUE!</v>
      </c>
      <c r="N195" s="97" t="e">
        <f>'Actual Value'!N176+"AM:!)@h"</f>
        <v>#VALUE!</v>
      </c>
      <c r="O195" s="97" t="e">
        <f>'Actual Value'!O176+"AM:!)@i"</f>
        <v>#VALUE!</v>
      </c>
      <c r="P195" s="97" t="e">
        <f>'Actual Value'!P176+"AM:!)@j"</f>
        <v>#VALUE!</v>
      </c>
      <c r="Q195" s="97" t="e">
        <f>'Actual Value'!Q176+"AM:!)@k"</f>
        <v>#VALUE!</v>
      </c>
      <c r="R195" s="97" t="e">
        <f>'Actual Value'!R176+"AM:!)@l"</f>
        <v>#VALUE!</v>
      </c>
      <c r="S195" s="97" t="e">
        <f>'Actual Value'!S176+"AM:!)@m"</f>
        <v>#VALUE!</v>
      </c>
      <c r="T195" s="97" t="e">
        <f>'Actual Value'!T176+"AM:!)@n"</f>
        <v>#VALUE!</v>
      </c>
      <c r="U195" s="97" t="e">
        <f>'Actual Value'!U176+"AM:!)@o"</f>
        <v>#VALUE!</v>
      </c>
      <c r="V195" s="97" t="e">
        <f>'Actual Value'!V176+"AM:!)@p"</f>
        <v>#VALUE!</v>
      </c>
      <c r="W195" s="97" t="e">
        <f>'Actual Value'!W176+"AM:!)@q"</f>
        <v>#VALUE!</v>
      </c>
      <c r="X195" s="97" t="e">
        <f>'Actual Value'!X176+"AM:!)@r"</f>
        <v>#VALUE!</v>
      </c>
      <c r="Y195" s="97" t="e">
        <f>'Actual Value'!Y176+"AM:!)@s"</f>
        <v>#VALUE!</v>
      </c>
      <c r="Z195" s="97" t="e">
        <f>'Actual Value'!Z176+"AM:!)@t"</f>
        <v>#VALUE!</v>
      </c>
      <c r="AA195" s="97" t="e">
        <f>'Actual Value'!AA176+"AM:!)@u"</f>
        <v>#VALUE!</v>
      </c>
      <c r="AB195" s="97" t="e">
        <f>'Actual Value'!AB176+"AM:!)@v"</f>
        <v>#VALUE!</v>
      </c>
      <c r="AC195" s="97" t="e">
        <f>'Actual Value'!AC176+"AM:!)@w"</f>
        <v>#VALUE!</v>
      </c>
      <c r="AD195" s="97" t="e">
        <f>'Actual Value'!AD176+"AM:!)@x"</f>
        <v>#VALUE!</v>
      </c>
      <c r="AE195" s="97" t="e">
        <f>'Actual Value'!AE176+"AM:!)@y"</f>
        <v>#VALUE!</v>
      </c>
      <c r="AF195" s="97" t="e">
        <f>'Actual Value'!AF176+"AM:!)@z"</f>
        <v>#VALUE!</v>
      </c>
      <c r="AG195" s="97" t="e">
        <f>'Actual Value'!AG176+"AM:!)@{"</f>
        <v>#VALUE!</v>
      </c>
      <c r="AH195" s="97" t="e">
        <f>'Actual Value'!AH176+"AM:!)@|"</f>
        <v>#VALUE!</v>
      </c>
      <c r="AI195" s="97" t="e">
        <f>'Actual Value'!AI176+"AM:!)@}"</f>
        <v>#VALUE!</v>
      </c>
      <c r="AJ195" s="97" t="e">
        <f>'Actual Value'!AJ176+"AM:!)@~"</f>
        <v>#VALUE!</v>
      </c>
      <c r="AK195" s="97" t="e">
        <f>'Actual Value'!AK176+"AM:!)A#"</f>
        <v>#VALUE!</v>
      </c>
      <c r="AL195" s="97" t="e">
        <f>'Actual Value'!AL176+"AM:!)A$"</f>
        <v>#VALUE!</v>
      </c>
      <c r="AM195" s="97" t="e">
        <f>'Actual Value'!AM176+"AM:!)A%"</f>
        <v>#VALUE!</v>
      </c>
      <c r="AN195" s="97" t="e">
        <f>'Actual Value'!AN176+"AM:!)A&amp;"</f>
        <v>#VALUE!</v>
      </c>
      <c r="AO195" s="97" t="e">
        <f>'Actual Value'!AO176+"AM:!)A'"</f>
        <v>#VALUE!</v>
      </c>
      <c r="AP195" t="e">
        <f>'Actual Value'!AP176+"AM:!)A("</f>
        <v>#VALUE!</v>
      </c>
      <c r="AQ195" t="e">
        <f>'Actual Value'!AQ176+"AM:!)A)"</f>
        <v>#VALUE!</v>
      </c>
      <c r="AR195" t="e">
        <f>'Actual Value'!AR176+"AM:!)A."</f>
        <v>#VALUE!</v>
      </c>
      <c r="AS195" t="e">
        <f>'Actual Value'!AS176+"AM:!)A/"</f>
        <v>#VALUE!</v>
      </c>
      <c r="AT195" t="e">
        <f>'Actual Value'!AT176+"AM:!)A0"</f>
        <v>#VALUE!</v>
      </c>
      <c r="AU195" t="e">
        <f>'Actual Value'!AU176+"AM:!)A1"</f>
        <v>#VALUE!</v>
      </c>
      <c r="AV195" t="e">
        <f>'Actual Value'!AV176+"AM:!)A2"</f>
        <v>#VALUE!</v>
      </c>
      <c r="AW195" t="e">
        <f>'Actual Value'!AW176+"AM:!)A3"</f>
        <v>#VALUE!</v>
      </c>
      <c r="AX195" t="e">
        <f>'Actual Value'!AX176+"AM:!)A4"</f>
        <v>#VALUE!</v>
      </c>
      <c r="AY195" t="e">
        <f>'Actual Value'!A177+"AM:!)A5"</f>
        <v>#VALUE!</v>
      </c>
      <c r="AZ195" t="e">
        <f>'Actual Value'!B177+"AM:!)A6"</f>
        <v>#VALUE!</v>
      </c>
      <c r="BA195" t="e">
        <f>'Actual Value'!C177+"AM:!)A7"</f>
        <v>#VALUE!</v>
      </c>
      <c r="BB195" s="97" t="e">
        <f>'Actual Value'!D177+"AM:!)A8"</f>
        <v>#VALUE!</v>
      </c>
      <c r="BC195" s="97" t="e">
        <f>'Actual Value'!E177+"AM:!)A9"</f>
        <v>#VALUE!</v>
      </c>
      <c r="BD195" s="97" t="e">
        <f>'Actual Value'!F177+"AM:!)A:"</f>
        <v>#VALUE!</v>
      </c>
      <c r="BE195" s="97" t="e">
        <f>'Actual Value'!G177+"AM:!)A;"</f>
        <v>#VALUE!</v>
      </c>
      <c r="BF195" s="97" t="e">
        <f>'Actual Value'!H177+"AM:!)A&lt;"</f>
        <v>#VALUE!</v>
      </c>
      <c r="BG195" s="97" t="e">
        <f>'Actual Value'!I177+"AM:!)A="</f>
        <v>#VALUE!</v>
      </c>
      <c r="BH195" s="97" t="e">
        <f>'Actual Value'!J177+"AM:!)A&gt;"</f>
        <v>#VALUE!</v>
      </c>
      <c r="BI195" s="97" t="e">
        <f>'Actual Value'!K177+"AM:!)A?"</f>
        <v>#VALUE!</v>
      </c>
      <c r="BJ195" s="97" t="e">
        <f>'Actual Value'!L177+"AM:!)A@"</f>
        <v>#VALUE!</v>
      </c>
      <c r="BK195" s="97" t="e">
        <f>'Actual Value'!M177+"AM:!)AA"</f>
        <v>#VALUE!</v>
      </c>
      <c r="BL195" s="97" t="e">
        <f>'Actual Value'!N177+"AM:!)AB"</f>
        <v>#VALUE!</v>
      </c>
      <c r="BM195" s="97" t="e">
        <f>'Actual Value'!O177+"AM:!)AC"</f>
        <v>#VALUE!</v>
      </c>
      <c r="BN195" s="97" t="e">
        <f>'Actual Value'!P177+"AM:!)AD"</f>
        <v>#VALUE!</v>
      </c>
      <c r="BO195" s="97" t="e">
        <f>'Actual Value'!Q177+"AM:!)AE"</f>
        <v>#VALUE!</v>
      </c>
      <c r="BP195" s="97" t="e">
        <f>'Actual Value'!R177+"AM:!)AF"</f>
        <v>#VALUE!</v>
      </c>
      <c r="BQ195" s="97" t="e">
        <f>'Actual Value'!S177+"AM:!)AG"</f>
        <v>#VALUE!</v>
      </c>
      <c r="BR195" s="97" t="e">
        <f>'Actual Value'!T177+"AM:!)AH"</f>
        <v>#VALUE!</v>
      </c>
      <c r="BS195" s="97" t="e">
        <f>'Actual Value'!U177+"AM:!)AI"</f>
        <v>#VALUE!</v>
      </c>
      <c r="BT195" s="97" t="e">
        <f>'Actual Value'!V177+"AM:!)AJ"</f>
        <v>#VALUE!</v>
      </c>
      <c r="BU195" s="97" t="e">
        <f>'Actual Value'!W177+"AM:!)AK"</f>
        <v>#VALUE!</v>
      </c>
      <c r="BV195" s="97" t="e">
        <f>'Actual Value'!X177+"AM:!)AL"</f>
        <v>#VALUE!</v>
      </c>
      <c r="BW195" s="97" t="e">
        <f>'Actual Value'!Y177+"AM:!)AM"</f>
        <v>#VALUE!</v>
      </c>
      <c r="BX195" s="97" t="e">
        <f>'Actual Value'!Z177+"AM:!)AN"</f>
        <v>#VALUE!</v>
      </c>
      <c r="BY195" s="97" t="e">
        <f>'Actual Value'!AA177+"AM:!)AO"</f>
        <v>#VALUE!</v>
      </c>
      <c r="BZ195" s="97" t="e">
        <f>'Actual Value'!AB177+"AM:!)AP"</f>
        <v>#VALUE!</v>
      </c>
      <c r="CA195" s="97" t="e">
        <f>'Actual Value'!AC177+"AM:!)AQ"</f>
        <v>#VALUE!</v>
      </c>
      <c r="CB195" s="97" t="e">
        <f>'Actual Value'!AD177+"AM:!)AR"</f>
        <v>#VALUE!</v>
      </c>
      <c r="CC195" s="97" t="e">
        <f>'Actual Value'!AE177+"AM:!)AS"</f>
        <v>#VALUE!</v>
      </c>
      <c r="CD195" s="97" t="e">
        <f>'Actual Value'!AF177+"AM:!)AT"</f>
        <v>#VALUE!</v>
      </c>
      <c r="CE195" s="97" t="e">
        <f>'Actual Value'!AG177+"AM:!)AU"</f>
        <v>#VALUE!</v>
      </c>
      <c r="CF195" s="97" t="e">
        <f>'Actual Value'!AH177+"AM:!)AV"</f>
        <v>#VALUE!</v>
      </c>
      <c r="CG195" s="97" t="e">
        <f>'Actual Value'!AI177+"AM:!)AW"</f>
        <v>#VALUE!</v>
      </c>
      <c r="CH195" s="97" t="e">
        <f>'Actual Value'!AJ177+"AM:!)AX"</f>
        <v>#VALUE!</v>
      </c>
      <c r="CI195" s="97" t="e">
        <f>'Actual Value'!AK177+"AM:!)AY"</f>
        <v>#VALUE!</v>
      </c>
      <c r="CJ195" s="97" t="e">
        <f>'Actual Value'!AL177+"AM:!)AZ"</f>
        <v>#VALUE!</v>
      </c>
      <c r="CK195" s="97" t="e">
        <f>'Actual Value'!AM177+"AM:!)A["</f>
        <v>#VALUE!</v>
      </c>
      <c r="CL195" s="97" t="e">
        <f>'Actual Value'!AN177+"AM:!)A\"</f>
        <v>#VALUE!</v>
      </c>
      <c r="CM195" s="97" t="e">
        <f>'Actual Value'!AO177+"AM:!)A]"</f>
        <v>#VALUE!</v>
      </c>
      <c r="CN195" t="e">
        <f>'Actual Value'!AP177+"AM:!)A^"</f>
        <v>#VALUE!</v>
      </c>
      <c r="CO195" t="e">
        <f>'Actual Value'!AQ177+"AM:!)A_"</f>
        <v>#VALUE!</v>
      </c>
      <c r="CP195" t="e">
        <f>'Actual Value'!AR177+"AM:!)A`"</f>
        <v>#VALUE!</v>
      </c>
      <c r="CQ195" t="e">
        <f>'Actual Value'!AS177+"AM:!)Aa"</f>
        <v>#VALUE!</v>
      </c>
      <c r="CR195" t="e">
        <f>'Actual Value'!AT177+"AM:!)Ab"</f>
        <v>#VALUE!</v>
      </c>
      <c r="CS195" t="e">
        <f>'Actual Value'!AU177+"AM:!)Ac"</f>
        <v>#VALUE!</v>
      </c>
      <c r="CT195" t="e">
        <f>'Actual Value'!AV177+"AM:!)Ad"</f>
        <v>#VALUE!</v>
      </c>
      <c r="CU195" t="e">
        <f>'Actual Value'!AW177+"AM:!)Ae"</f>
        <v>#VALUE!</v>
      </c>
      <c r="CV195" t="e">
        <f>'Actual Value'!AX177+"AM:!)Af"</f>
        <v>#VALUE!</v>
      </c>
      <c r="CW195" t="e">
        <f>'Actual Value'!A178+"AM:!)Ag"</f>
        <v>#VALUE!</v>
      </c>
      <c r="CX195" t="e">
        <f>'Actual Value'!B178+"AM:!)Ah"</f>
        <v>#VALUE!</v>
      </c>
      <c r="CY195" t="e">
        <f>'Actual Value'!C178+"AM:!)Ai"</f>
        <v>#VALUE!</v>
      </c>
      <c r="CZ195" s="97" t="e">
        <f>'Actual Value'!D178+"AM:!)Aj"</f>
        <v>#VALUE!</v>
      </c>
      <c r="DA195" s="97" t="e">
        <f>'Actual Value'!E178+"AM:!)Ak"</f>
        <v>#VALUE!</v>
      </c>
      <c r="DB195" s="97" t="e">
        <f>'Actual Value'!F178+"AM:!)Al"</f>
        <v>#VALUE!</v>
      </c>
      <c r="DC195" s="97" t="e">
        <f>'Actual Value'!G178+"AM:!)Am"</f>
        <v>#VALUE!</v>
      </c>
      <c r="DD195" s="97" t="e">
        <f>'Actual Value'!H178+"AM:!)An"</f>
        <v>#VALUE!</v>
      </c>
      <c r="DE195" s="97" t="e">
        <f>'Actual Value'!I178+"AM:!)Ao"</f>
        <v>#VALUE!</v>
      </c>
      <c r="DF195" s="97" t="e">
        <f>'Actual Value'!J178+"AM:!)Ap"</f>
        <v>#VALUE!</v>
      </c>
      <c r="DG195" s="97" t="e">
        <f>'Actual Value'!K178+"AM:!)Aq"</f>
        <v>#VALUE!</v>
      </c>
      <c r="DH195" s="97" t="e">
        <f>'Actual Value'!L178+"AM:!)Ar"</f>
        <v>#VALUE!</v>
      </c>
      <c r="DI195" s="97" t="e">
        <f>'Actual Value'!M178+"AM:!)As"</f>
        <v>#VALUE!</v>
      </c>
      <c r="DJ195" s="97" t="e">
        <f>'Actual Value'!N178+"AM:!)At"</f>
        <v>#VALUE!</v>
      </c>
      <c r="DK195" s="97" t="e">
        <f>'Actual Value'!O178+"AM:!)Au"</f>
        <v>#VALUE!</v>
      </c>
      <c r="DL195" s="97" t="e">
        <f>'Actual Value'!P178+"AM:!)Av"</f>
        <v>#VALUE!</v>
      </c>
      <c r="DM195" s="97" t="e">
        <f>'Actual Value'!Q178+"AM:!)Aw"</f>
        <v>#VALUE!</v>
      </c>
      <c r="DN195" s="97" t="e">
        <f>'Actual Value'!R178+"AM:!)Ax"</f>
        <v>#VALUE!</v>
      </c>
      <c r="DO195" s="97" t="e">
        <f>'Actual Value'!S178+"AM:!)Ay"</f>
        <v>#VALUE!</v>
      </c>
      <c r="DP195" s="97" t="e">
        <f>'Actual Value'!T178+"AM:!)Az"</f>
        <v>#VALUE!</v>
      </c>
      <c r="DQ195" s="97" t="e">
        <f>'Actual Value'!U178+"AM:!)A{"</f>
        <v>#VALUE!</v>
      </c>
      <c r="DR195" s="97" t="e">
        <f>'Actual Value'!V178+"AM:!)A|"</f>
        <v>#VALUE!</v>
      </c>
      <c r="DS195" s="97" t="e">
        <f>'Actual Value'!W178+"AM:!)A}"</f>
        <v>#VALUE!</v>
      </c>
      <c r="DT195" s="97" t="e">
        <f>'Actual Value'!X178+"AM:!)A~"</f>
        <v>#VALUE!</v>
      </c>
      <c r="DU195" s="97" t="e">
        <f>'Actual Value'!Y178+"AM:!)B#"</f>
        <v>#VALUE!</v>
      </c>
      <c r="DV195" s="97" t="e">
        <f>'Actual Value'!Z178+"AM:!)B$"</f>
        <v>#VALUE!</v>
      </c>
      <c r="DW195" s="97" t="e">
        <f>'Actual Value'!AA178+"AM:!)B%"</f>
        <v>#VALUE!</v>
      </c>
      <c r="DX195" s="97" t="e">
        <f>'Actual Value'!AB178+"AM:!)B&amp;"</f>
        <v>#VALUE!</v>
      </c>
      <c r="DY195" s="97" t="e">
        <f>'Actual Value'!AC178+"AM:!)B'"</f>
        <v>#VALUE!</v>
      </c>
      <c r="DZ195" s="97" t="e">
        <f>'Actual Value'!AD178+"AM:!)B("</f>
        <v>#VALUE!</v>
      </c>
      <c r="EA195" s="97" t="e">
        <f>'Actual Value'!AE178+"AM:!)B)"</f>
        <v>#VALUE!</v>
      </c>
      <c r="EB195" s="97" t="e">
        <f>'Actual Value'!AF178+"AM:!)B."</f>
        <v>#VALUE!</v>
      </c>
      <c r="EC195" s="97" t="e">
        <f>'Actual Value'!AG178+"AM:!)B/"</f>
        <v>#VALUE!</v>
      </c>
      <c r="ED195" s="97" t="e">
        <f>'Actual Value'!AH178+"AM:!)B0"</f>
        <v>#VALUE!</v>
      </c>
      <c r="EE195" s="97" t="e">
        <f>'Actual Value'!AI178+"AM:!)B1"</f>
        <v>#VALUE!</v>
      </c>
      <c r="EF195" s="97" t="e">
        <f>'Actual Value'!AJ178+"AM:!)B2"</f>
        <v>#VALUE!</v>
      </c>
      <c r="EG195" s="97" t="e">
        <f>'Actual Value'!AK178+"AM:!)B3"</f>
        <v>#VALUE!</v>
      </c>
      <c r="EH195" s="97" t="e">
        <f>'Actual Value'!AL178+"AM:!)B4"</f>
        <v>#VALUE!</v>
      </c>
      <c r="EI195" s="97" t="e">
        <f>'Actual Value'!AM178+"AM:!)B5"</f>
        <v>#VALUE!</v>
      </c>
      <c r="EJ195" s="97" t="e">
        <f>'Actual Value'!AN178+"AM:!)B6"</f>
        <v>#VALUE!</v>
      </c>
      <c r="EK195" s="97" t="e">
        <f>'Actual Value'!AO178+"AM:!)B7"</f>
        <v>#VALUE!</v>
      </c>
      <c r="EL195" t="e">
        <f>'Actual Value'!AP178+"AM:!)B8"</f>
        <v>#VALUE!</v>
      </c>
      <c r="EM195" t="e">
        <f>'Actual Value'!AQ178+"AM:!)B9"</f>
        <v>#VALUE!</v>
      </c>
      <c r="EN195" t="e">
        <f>'Actual Value'!AR178+"AM:!)B:"</f>
        <v>#VALUE!</v>
      </c>
      <c r="EO195" t="e">
        <f>'Actual Value'!AS178+"AM:!)B;"</f>
        <v>#VALUE!</v>
      </c>
      <c r="EP195" t="e">
        <f>'Actual Value'!AT178+"AM:!)B&lt;"</f>
        <v>#VALUE!</v>
      </c>
      <c r="EQ195" t="e">
        <f>'Actual Value'!AU178+"AM:!)B="</f>
        <v>#VALUE!</v>
      </c>
      <c r="ER195" t="e">
        <f>'Actual Value'!AV178+"AM:!)B&gt;"</f>
        <v>#VALUE!</v>
      </c>
      <c r="ES195" t="e">
        <f>'Actual Value'!AW178+"AM:!)B?"</f>
        <v>#VALUE!</v>
      </c>
      <c r="ET195" t="e">
        <f>'Actual Value'!AX178+"AM:!)B@"</f>
        <v>#VALUE!</v>
      </c>
      <c r="EU195" t="e">
        <f>'Actual Value'!A179+"AM:!)BA"</f>
        <v>#VALUE!</v>
      </c>
      <c r="EV195" t="e">
        <f>'Actual Value'!B179+"AM:!)BB"</f>
        <v>#VALUE!</v>
      </c>
      <c r="EW195" t="e">
        <f>'Actual Value'!C179+"AM:!)BC"</f>
        <v>#VALUE!</v>
      </c>
      <c r="EX195" s="97" t="e">
        <f>'Actual Value'!D179+"AM:!)BD"</f>
        <v>#VALUE!</v>
      </c>
      <c r="EY195" s="97" t="e">
        <f>'Actual Value'!E179+"AM:!)BE"</f>
        <v>#VALUE!</v>
      </c>
      <c r="EZ195" s="97" t="e">
        <f>'Actual Value'!F179+"AM:!)BF"</f>
        <v>#VALUE!</v>
      </c>
      <c r="FA195" s="97" t="e">
        <f>'Actual Value'!G179+"AM:!)BG"</f>
        <v>#VALUE!</v>
      </c>
      <c r="FB195" s="97" t="e">
        <f>'Actual Value'!H179+"AM:!)BH"</f>
        <v>#VALUE!</v>
      </c>
      <c r="FC195" s="97" t="e">
        <f>'Actual Value'!I179+"AM:!)BI"</f>
        <v>#VALUE!</v>
      </c>
      <c r="FD195" s="97" t="e">
        <f>'Actual Value'!J179+"AM:!)BJ"</f>
        <v>#VALUE!</v>
      </c>
      <c r="FE195" s="97" t="e">
        <f>'Actual Value'!K179+"AM:!)BK"</f>
        <v>#VALUE!</v>
      </c>
      <c r="FF195" s="97" t="e">
        <f>'Actual Value'!L179+"AM:!)BL"</f>
        <v>#VALUE!</v>
      </c>
      <c r="FG195" s="97" t="e">
        <f>'Actual Value'!M179+"AM:!)BM"</f>
        <v>#VALUE!</v>
      </c>
      <c r="FH195" s="97" t="e">
        <f>'Actual Value'!N179+"AM:!)BN"</f>
        <v>#VALUE!</v>
      </c>
      <c r="FI195" s="97" t="e">
        <f>'Actual Value'!O179+"AM:!)BO"</f>
        <v>#VALUE!</v>
      </c>
      <c r="FJ195" s="97" t="e">
        <f>'Actual Value'!P179+"AM:!)BP"</f>
        <v>#VALUE!</v>
      </c>
      <c r="FK195" s="97" t="e">
        <f>'Actual Value'!Q179+"AM:!)BQ"</f>
        <v>#VALUE!</v>
      </c>
      <c r="FL195" s="97" t="e">
        <f>'Actual Value'!R179+"AM:!)BR"</f>
        <v>#VALUE!</v>
      </c>
      <c r="FM195" s="97" t="e">
        <f>'Actual Value'!S179+"AM:!)BS"</f>
        <v>#VALUE!</v>
      </c>
      <c r="FN195" s="97" t="e">
        <f>'Actual Value'!T179+"AM:!)BT"</f>
        <v>#VALUE!</v>
      </c>
      <c r="FO195" s="97" t="e">
        <f>'Actual Value'!U179+"AM:!)BU"</f>
        <v>#VALUE!</v>
      </c>
      <c r="FP195" s="97" t="e">
        <f>'Actual Value'!V179+"AM:!)BV"</f>
        <v>#VALUE!</v>
      </c>
      <c r="FQ195" s="97" t="e">
        <f>'Actual Value'!W179+"AM:!)BW"</f>
        <v>#VALUE!</v>
      </c>
      <c r="FR195" s="97" t="e">
        <f>'Actual Value'!X179+"AM:!)BX"</f>
        <v>#VALUE!</v>
      </c>
      <c r="FS195" s="97" t="e">
        <f>'Actual Value'!Y179+"AM:!)BY"</f>
        <v>#VALUE!</v>
      </c>
      <c r="FT195" s="97" t="e">
        <f>'Actual Value'!Z179+"AM:!)BZ"</f>
        <v>#VALUE!</v>
      </c>
      <c r="FU195" s="97" t="e">
        <f>'Actual Value'!AA179+"AM:!)B["</f>
        <v>#VALUE!</v>
      </c>
      <c r="FV195" s="97" t="e">
        <f>'Actual Value'!AB179+"AM:!)B\"</f>
        <v>#VALUE!</v>
      </c>
      <c r="FW195" s="97" t="e">
        <f>'Actual Value'!AC179+"AM:!)B]"</f>
        <v>#VALUE!</v>
      </c>
      <c r="FX195" s="97" t="e">
        <f>'Actual Value'!AD179+"AM:!)B^"</f>
        <v>#VALUE!</v>
      </c>
      <c r="FY195" s="97" t="e">
        <f>'Actual Value'!AE179+"AM:!)B_"</f>
        <v>#VALUE!</v>
      </c>
      <c r="FZ195" s="97" t="e">
        <f>'Actual Value'!AF179+"AM:!)B`"</f>
        <v>#VALUE!</v>
      </c>
      <c r="GA195" s="97" t="e">
        <f>'Actual Value'!AG179+"AM:!)Ba"</f>
        <v>#VALUE!</v>
      </c>
      <c r="GB195" s="97" t="e">
        <f>'Actual Value'!AH179+"AM:!)Bb"</f>
        <v>#VALUE!</v>
      </c>
      <c r="GC195" s="97" t="e">
        <f>'Actual Value'!AI179+"AM:!)Bc"</f>
        <v>#VALUE!</v>
      </c>
      <c r="GD195" s="97" t="e">
        <f>'Actual Value'!AJ179+"AM:!)Bd"</f>
        <v>#VALUE!</v>
      </c>
      <c r="GE195" s="97" t="e">
        <f>'Actual Value'!AK179+"AM:!)Be"</f>
        <v>#VALUE!</v>
      </c>
      <c r="GF195" s="97" t="e">
        <f>'Actual Value'!AL179+"AM:!)Bf"</f>
        <v>#VALUE!</v>
      </c>
      <c r="GG195" s="97" t="e">
        <f>'Actual Value'!AM179+"AM:!)Bg"</f>
        <v>#VALUE!</v>
      </c>
      <c r="GH195" s="97" t="e">
        <f>'Actual Value'!AN179+"AM:!)Bh"</f>
        <v>#VALUE!</v>
      </c>
      <c r="GI195" s="97" t="e">
        <f>'Actual Value'!AO179+"AM:!)Bi"</f>
        <v>#VALUE!</v>
      </c>
      <c r="GJ195" t="e">
        <f>'Actual Value'!AP179+"AM:!)Bj"</f>
        <v>#VALUE!</v>
      </c>
      <c r="GK195" t="e">
        <f>'Actual Value'!AQ179+"AM:!)Bk"</f>
        <v>#VALUE!</v>
      </c>
      <c r="GL195" t="e">
        <f>'Actual Value'!AR179+"AM:!)Bl"</f>
        <v>#VALUE!</v>
      </c>
      <c r="GM195" t="e">
        <f>'Actual Value'!AS179+"AM:!)Bm"</f>
        <v>#VALUE!</v>
      </c>
      <c r="GN195" t="e">
        <f>'Actual Value'!AT179+"AM:!)Bn"</f>
        <v>#VALUE!</v>
      </c>
      <c r="GO195" t="e">
        <f>'Actual Value'!AU179+"AM:!)Bo"</f>
        <v>#VALUE!</v>
      </c>
      <c r="GP195" t="e">
        <f>'Actual Value'!AV179+"AM:!)Bp"</f>
        <v>#VALUE!</v>
      </c>
      <c r="GQ195" t="e">
        <f>'Actual Value'!AW179+"AM:!)Bq"</f>
        <v>#VALUE!</v>
      </c>
      <c r="GR195" t="e">
        <f>'Actual Value'!AX179+"AM:!)Br"</f>
        <v>#VALUE!</v>
      </c>
      <c r="GS195" t="e">
        <f>'Actual Value'!A180+"AM:!)Bs"</f>
        <v>#VALUE!</v>
      </c>
      <c r="GT195" t="e">
        <f>'Actual Value'!B180+"AM:!)Bt"</f>
        <v>#VALUE!</v>
      </c>
      <c r="GU195" t="e">
        <f>'Actual Value'!C180+"AM:!)Bu"</f>
        <v>#VALUE!</v>
      </c>
      <c r="GV195" s="97" t="e">
        <f>'Actual Value'!D180+"AM:!)Bv"</f>
        <v>#VALUE!</v>
      </c>
      <c r="GW195" s="97" t="e">
        <f>'Actual Value'!E180+"AM:!)Bw"</f>
        <v>#VALUE!</v>
      </c>
      <c r="GX195" s="97" t="e">
        <f>'Actual Value'!F180+"AM:!)Bx"</f>
        <v>#VALUE!</v>
      </c>
      <c r="GY195" s="97" t="e">
        <f>'Actual Value'!G180+"AM:!)By"</f>
        <v>#VALUE!</v>
      </c>
      <c r="GZ195" s="97" t="e">
        <f>'Actual Value'!H180+"AM:!)Bz"</f>
        <v>#VALUE!</v>
      </c>
      <c r="HA195" s="97" t="e">
        <f>'Actual Value'!I180+"AM:!)B{"</f>
        <v>#VALUE!</v>
      </c>
      <c r="HB195" s="97" t="e">
        <f>'Actual Value'!J180+"AM:!)B|"</f>
        <v>#VALUE!</v>
      </c>
      <c r="HC195" s="97" t="e">
        <f>'Actual Value'!K180+"AM:!)B}"</f>
        <v>#VALUE!</v>
      </c>
      <c r="HD195" s="97" t="e">
        <f>'Actual Value'!L180+"AM:!)B~"</f>
        <v>#VALUE!</v>
      </c>
      <c r="HE195" s="97" t="e">
        <f>'Actual Value'!M180+"AM:!)C#"</f>
        <v>#VALUE!</v>
      </c>
      <c r="HF195" s="97" t="e">
        <f>'Actual Value'!N180+"AM:!)C$"</f>
        <v>#VALUE!</v>
      </c>
      <c r="HG195" s="97" t="e">
        <f>'Actual Value'!O180+"AM:!)C%"</f>
        <v>#VALUE!</v>
      </c>
      <c r="HH195" s="97" t="e">
        <f>'Actual Value'!P180+"AM:!)C&amp;"</f>
        <v>#VALUE!</v>
      </c>
      <c r="HI195" s="97" t="e">
        <f>'Actual Value'!Q180+"AM:!)C'"</f>
        <v>#VALUE!</v>
      </c>
      <c r="HJ195" s="97" t="e">
        <f>'Actual Value'!R180+"AM:!)C("</f>
        <v>#VALUE!</v>
      </c>
      <c r="HK195" s="97" t="e">
        <f>'Actual Value'!S180+"AM:!)C)"</f>
        <v>#VALUE!</v>
      </c>
      <c r="HL195" s="97" t="e">
        <f>'Actual Value'!T180+"AM:!)C."</f>
        <v>#VALUE!</v>
      </c>
      <c r="HM195" s="97" t="e">
        <f>'Actual Value'!U180+"AM:!)C/"</f>
        <v>#VALUE!</v>
      </c>
      <c r="HN195" s="97" t="e">
        <f>'Actual Value'!V180+"AM:!)C0"</f>
        <v>#VALUE!</v>
      </c>
      <c r="HO195" s="97" t="e">
        <f>'Actual Value'!W180+"AM:!)C1"</f>
        <v>#VALUE!</v>
      </c>
      <c r="HP195" s="97" t="e">
        <f>'Actual Value'!X180+"AM:!)C2"</f>
        <v>#VALUE!</v>
      </c>
      <c r="HQ195" s="97" t="e">
        <f>'Actual Value'!Y180+"AM:!)C3"</f>
        <v>#VALUE!</v>
      </c>
      <c r="HR195" s="97" t="e">
        <f>'Actual Value'!Z180+"AM:!)C4"</f>
        <v>#VALUE!</v>
      </c>
      <c r="HS195" s="97" t="e">
        <f>'Actual Value'!AA180+"AM:!)C5"</f>
        <v>#VALUE!</v>
      </c>
      <c r="HT195" s="97" t="e">
        <f>'Actual Value'!AB180+"AM:!)C6"</f>
        <v>#VALUE!</v>
      </c>
      <c r="HU195" s="97" t="e">
        <f>'Actual Value'!AC180+"AM:!)C7"</f>
        <v>#VALUE!</v>
      </c>
      <c r="HV195" s="97" t="e">
        <f>'Actual Value'!AD180+"AM:!)C8"</f>
        <v>#VALUE!</v>
      </c>
      <c r="HW195" s="97" t="e">
        <f>'Actual Value'!AE180+"AM:!)C9"</f>
        <v>#VALUE!</v>
      </c>
      <c r="HX195" s="97" t="e">
        <f>'Actual Value'!AF180+"AM:!)C:"</f>
        <v>#VALUE!</v>
      </c>
      <c r="HY195" s="97" t="e">
        <f>'Actual Value'!AG180+"AM:!)C;"</f>
        <v>#VALUE!</v>
      </c>
      <c r="HZ195" s="97" t="e">
        <f>'Actual Value'!AH180+"AM:!)C&lt;"</f>
        <v>#VALUE!</v>
      </c>
      <c r="IA195" s="97" t="e">
        <f>'Actual Value'!AI180+"AM:!)C="</f>
        <v>#VALUE!</v>
      </c>
      <c r="IB195" s="97" t="e">
        <f>'Actual Value'!AJ180+"AM:!)C&gt;"</f>
        <v>#VALUE!</v>
      </c>
      <c r="IC195" s="97" t="e">
        <f>'Actual Value'!AK180+"AM:!)C?"</f>
        <v>#VALUE!</v>
      </c>
      <c r="ID195" s="97" t="e">
        <f>'Actual Value'!AL180+"AM:!)C@"</f>
        <v>#VALUE!</v>
      </c>
      <c r="IE195" s="97" t="e">
        <f>'Actual Value'!AM180+"AM:!)CA"</f>
        <v>#VALUE!</v>
      </c>
      <c r="IF195" s="97" t="e">
        <f>'Actual Value'!AN180+"AM:!)CB"</f>
        <v>#VALUE!</v>
      </c>
      <c r="IG195" s="97" t="e">
        <f>'Actual Value'!AO180+"AM:!)CC"</f>
        <v>#VALUE!</v>
      </c>
      <c r="IH195" t="e">
        <f>'Actual Value'!AP180+"AM:!)CD"</f>
        <v>#VALUE!</v>
      </c>
      <c r="II195" t="e">
        <f>'Actual Value'!AQ180+"AM:!)CE"</f>
        <v>#VALUE!</v>
      </c>
      <c r="IJ195" t="e">
        <f>'Actual Value'!AR180+"AM:!)CF"</f>
        <v>#VALUE!</v>
      </c>
      <c r="IK195" t="e">
        <f>'Actual Value'!AS180+"AM:!)CG"</f>
        <v>#VALUE!</v>
      </c>
      <c r="IL195" t="e">
        <f>'Actual Value'!AT180+"AM:!)CH"</f>
        <v>#VALUE!</v>
      </c>
      <c r="IM195" t="e">
        <f>'Actual Value'!AU180+"AM:!)CI"</f>
        <v>#VALUE!</v>
      </c>
      <c r="IN195" t="e">
        <f>'Actual Value'!AV180+"AM:!)CJ"</f>
        <v>#VALUE!</v>
      </c>
      <c r="IO195" t="e">
        <f>'Actual Value'!AW180+"AM:!)CK"</f>
        <v>#VALUE!</v>
      </c>
      <c r="IP195" t="e">
        <f>'Actual Value'!AX180+"AM:!)CL"</f>
        <v>#VALUE!</v>
      </c>
      <c r="IQ195" t="e">
        <f>'Actual Value'!A181+"AM:!)CM"</f>
        <v>#VALUE!</v>
      </c>
      <c r="IR195" t="e">
        <f>'Actual Value'!B181+"AM:!)CN"</f>
        <v>#VALUE!</v>
      </c>
      <c r="IS195" s="98" t="e">
        <f>'Actual Value'!C181+"AM:!)CO"</f>
        <v>#VALUE!</v>
      </c>
      <c r="IT195" t="e">
        <f>'Actual Value'!D181+"AM:!)CP"</f>
        <v>#VALUE!</v>
      </c>
      <c r="IU195" t="e">
        <f>'Actual Value'!E181+"AM:!)CQ"</f>
        <v>#VALUE!</v>
      </c>
      <c r="IV195" t="e">
        <f>'Actual Value'!F181+"AM:!)CR"</f>
        <v>#VALUE!</v>
      </c>
    </row>
    <row r="196" spans="6:256">
      <c r="F196" t="e">
        <f>'Actual Value'!G181+"AM:!)CS"</f>
        <v>#VALUE!</v>
      </c>
      <c r="G196" t="e">
        <f>'Actual Value'!H181+"AM:!)CT"</f>
        <v>#VALUE!</v>
      </c>
      <c r="H196" t="e">
        <f>'Actual Value'!I181+"AM:!)CU"</f>
        <v>#VALUE!</v>
      </c>
      <c r="I196" t="e">
        <f>'Actual Value'!J181+"AM:!)CV"</f>
        <v>#VALUE!</v>
      </c>
      <c r="J196" t="e">
        <f>'Actual Value'!K181+"AM:!)CW"</f>
        <v>#VALUE!</v>
      </c>
      <c r="K196" t="e">
        <f>'Actual Value'!L181+"AM:!)CX"</f>
        <v>#VALUE!</v>
      </c>
      <c r="L196" t="e">
        <f>'Actual Value'!M181+"AM:!)CY"</f>
        <v>#VALUE!</v>
      </c>
      <c r="M196" t="e">
        <f>'Actual Value'!N181+"AM:!)CZ"</f>
        <v>#VALUE!</v>
      </c>
      <c r="N196" t="e">
        <f>'Actual Value'!O181+"AM:!)C["</f>
        <v>#VALUE!</v>
      </c>
      <c r="O196" t="e">
        <f>'Actual Value'!P181+"AM:!)C\"</f>
        <v>#VALUE!</v>
      </c>
      <c r="P196" t="e">
        <f>'Actual Value'!Q181+"AM:!)C]"</f>
        <v>#VALUE!</v>
      </c>
      <c r="Q196" t="e">
        <f>'Actual Value'!R181+"AM:!)C^"</f>
        <v>#VALUE!</v>
      </c>
      <c r="R196" t="e">
        <f>'Actual Value'!S181+"AM:!)C_"</f>
        <v>#VALUE!</v>
      </c>
      <c r="S196" t="e">
        <f>'Actual Value'!T181+"AM:!)C`"</f>
        <v>#VALUE!</v>
      </c>
      <c r="T196" t="e">
        <f>'Actual Value'!U181+"AM:!)Ca"</f>
        <v>#VALUE!</v>
      </c>
      <c r="U196" t="e">
        <f>'Actual Value'!V181+"AM:!)Cb"</f>
        <v>#VALUE!</v>
      </c>
      <c r="V196" t="e">
        <f>'Actual Value'!W181+"AM:!)Cc"</f>
        <v>#VALUE!</v>
      </c>
      <c r="W196" t="e">
        <f>'Actual Value'!X181+"AM:!)Cd"</f>
        <v>#VALUE!</v>
      </c>
      <c r="X196" t="e">
        <f>'Actual Value'!Y181+"AM:!)Ce"</f>
        <v>#VALUE!</v>
      </c>
      <c r="Y196" t="e">
        <f>'Actual Value'!Z181+"AM:!)Cf"</f>
        <v>#VALUE!</v>
      </c>
      <c r="Z196" t="e">
        <f>'Actual Value'!AA181+"AM:!)Cg"</f>
        <v>#VALUE!</v>
      </c>
      <c r="AA196" t="e">
        <f>'Actual Value'!AB181+"AM:!)Ch"</f>
        <v>#VALUE!</v>
      </c>
      <c r="AB196" t="e">
        <f>'Actual Value'!AC181+"AM:!)Ci"</f>
        <v>#VALUE!</v>
      </c>
      <c r="AC196" t="e">
        <f>'Actual Value'!AD181+"AM:!)Cj"</f>
        <v>#VALUE!</v>
      </c>
      <c r="AD196" t="e">
        <f>'Actual Value'!AE181+"AM:!)Ck"</f>
        <v>#VALUE!</v>
      </c>
      <c r="AE196" t="e">
        <f>'Actual Value'!AF181+"AM:!)Cl"</f>
        <v>#VALUE!</v>
      </c>
      <c r="AF196" t="e">
        <f>'Actual Value'!AG181+"AM:!)Cm"</f>
        <v>#VALUE!</v>
      </c>
      <c r="AG196" t="e">
        <f>'Actual Value'!AH181+"AM:!)Cn"</f>
        <v>#VALUE!</v>
      </c>
      <c r="AH196" t="e">
        <f>'Actual Value'!AI181+"AM:!)Co"</f>
        <v>#VALUE!</v>
      </c>
      <c r="AI196" t="e">
        <f>'Actual Value'!AJ181+"AM:!)Cp"</f>
        <v>#VALUE!</v>
      </c>
      <c r="AJ196" t="e">
        <f>'Actual Value'!AK181+"AM:!)Cq"</f>
        <v>#VALUE!</v>
      </c>
      <c r="AK196" t="e">
        <f>'Actual Value'!AL181+"AM:!)Cr"</f>
        <v>#VALUE!</v>
      </c>
      <c r="AL196" t="e">
        <f>'Actual Value'!AM181+"AM:!)Cs"</f>
        <v>#VALUE!</v>
      </c>
      <c r="AM196" t="e">
        <f>'Actual Value'!AN181+"AM:!)Ct"</f>
        <v>#VALUE!</v>
      </c>
      <c r="AN196" t="e">
        <f>'Actual Value'!AO181+"AM:!)Cu"</f>
        <v>#VALUE!</v>
      </c>
      <c r="AO196" t="e">
        <f>'Actual Value'!AP181+"AM:!)Cv"</f>
        <v>#VALUE!</v>
      </c>
      <c r="AP196" t="e">
        <f>'Actual Value'!AQ181+"AM:!)Cw"</f>
        <v>#VALUE!</v>
      </c>
      <c r="AQ196" t="e">
        <f>'Actual Value'!AR181+"AM:!)Cx"</f>
        <v>#VALUE!</v>
      </c>
      <c r="AR196" t="e">
        <f>'Actual Value'!AS181+"AM:!)Cy"</f>
        <v>#VALUE!</v>
      </c>
      <c r="AS196" t="e">
        <f>'Actual Value'!AT181+"AM:!)Cz"</f>
        <v>#VALUE!</v>
      </c>
      <c r="AT196" t="e">
        <f>'Actual Value'!AU181+"AM:!)C{"</f>
        <v>#VALUE!</v>
      </c>
      <c r="AU196" t="e">
        <f>'Actual Value'!AV181+"AM:!)C|"</f>
        <v>#VALUE!</v>
      </c>
      <c r="AV196" t="e">
        <f>'Actual Value'!AW181+"AM:!)C}"</f>
        <v>#VALUE!</v>
      </c>
      <c r="AW196" t="e">
        <f>'Actual Value'!A182+"AM:!)C~"</f>
        <v>#VALUE!</v>
      </c>
      <c r="AX196" t="e">
        <f>'Actual Value'!B182+"AM:!)D#"</f>
        <v>#VALUE!</v>
      </c>
      <c r="AY196" t="e">
        <f>'Actual Value'!C182+"AM:!)D$"</f>
        <v>#VALUE!</v>
      </c>
      <c r="AZ196" s="105" t="e">
        <f>'Actual Value'!D182+"AM:!)D%"</f>
        <v>#VALUE!</v>
      </c>
      <c r="BA196" s="105" t="e">
        <f>'Actual Value'!E182+"AM:!)D&amp;"</f>
        <v>#VALUE!</v>
      </c>
      <c r="BB196" s="105" t="e">
        <f>'Actual Value'!F182+"AM:!)D'"</f>
        <v>#VALUE!</v>
      </c>
      <c r="BC196" s="105" t="e">
        <f>'Actual Value'!G182+"AM:!)D("</f>
        <v>#VALUE!</v>
      </c>
      <c r="BD196" s="105" t="e">
        <f>'Actual Value'!H182+"AM:!)D)"</f>
        <v>#VALUE!</v>
      </c>
      <c r="BE196" s="105" t="e">
        <f>'Actual Value'!I182+"AM:!)D."</f>
        <v>#VALUE!</v>
      </c>
      <c r="BF196" s="105" t="e">
        <f>'Actual Value'!J182+"AM:!)D/"</f>
        <v>#VALUE!</v>
      </c>
      <c r="BG196" s="105" t="e">
        <f>'Actual Value'!K182+"AM:!)D0"</f>
        <v>#VALUE!</v>
      </c>
      <c r="BH196" s="105" t="e">
        <f>'Actual Value'!L182+"AM:!)D1"</f>
        <v>#VALUE!</v>
      </c>
      <c r="BI196" s="105" t="e">
        <f>'Actual Value'!M182+"AM:!)D2"</f>
        <v>#VALUE!</v>
      </c>
      <c r="BJ196" s="105" t="e">
        <f>'Actual Value'!N182+"AM:!)D3"</f>
        <v>#VALUE!</v>
      </c>
      <c r="BK196" s="105" t="e">
        <f>'Actual Value'!O182+"AM:!)D4"</f>
        <v>#VALUE!</v>
      </c>
      <c r="BL196" s="105" t="e">
        <f>'Actual Value'!P182+"AM:!)D5"</f>
        <v>#VALUE!</v>
      </c>
      <c r="BM196" s="105" t="e">
        <f>'Actual Value'!Q182+"AM:!)D6"</f>
        <v>#VALUE!</v>
      </c>
      <c r="BN196" s="105" t="e">
        <f>'Actual Value'!R182+"AM:!)D7"</f>
        <v>#VALUE!</v>
      </c>
      <c r="BO196" s="105" t="e">
        <f>'Actual Value'!S182+"AM:!)D8"</f>
        <v>#VALUE!</v>
      </c>
      <c r="BP196" s="105" t="e">
        <f>'Actual Value'!T182+"AM:!)D9"</f>
        <v>#VALUE!</v>
      </c>
      <c r="BQ196" s="105" t="e">
        <f>'Actual Value'!U182+"AM:!)D:"</f>
        <v>#VALUE!</v>
      </c>
      <c r="BR196" s="105" t="e">
        <f>'Actual Value'!V182+"AM:!)D;"</f>
        <v>#VALUE!</v>
      </c>
      <c r="BS196" s="105" t="e">
        <f>'Actual Value'!W182+"AM:!)D&lt;"</f>
        <v>#VALUE!</v>
      </c>
      <c r="BT196" s="105" t="e">
        <f>'Actual Value'!X182+"AM:!)D="</f>
        <v>#VALUE!</v>
      </c>
      <c r="BU196" s="105" t="e">
        <f>'Actual Value'!Y182+"AM:!)D&gt;"</f>
        <v>#VALUE!</v>
      </c>
      <c r="BV196" s="105" t="e">
        <f>'Actual Value'!Z182+"AM:!)D?"</f>
        <v>#VALUE!</v>
      </c>
      <c r="BW196" s="105" t="e">
        <f>'Actual Value'!AA182+"AM:!)D@"</f>
        <v>#VALUE!</v>
      </c>
      <c r="BX196" s="105" t="e">
        <f>'Actual Value'!AB182+"AM:!)DA"</f>
        <v>#VALUE!</v>
      </c>
      <c r="BY196" s="105" t="e">
        <f>'Actual Value'!AC182+"AM:!)DB"</f>
        <v>#VALUE!</v>
      </c>
      <c r="BZ196" s="105" t="e">
        <f>'Actual Value'!AD182+"AM:!)DC"</f>
        <v>#VALUE!</v>
      </c>
      <c r="CA196" s="105" t="e">
        <f>'Actual Value'!AE182+"AM:!)DD"</f>
        <v>#VALUE!</v>
      </c>
      <c r="CB196" s="105" t="e">
        <f>'Actual Value'!AF182+"AM:!)DE"</f>
        <v>#VALUE!</v>
      </c>
      <c r="CC196" s="105" t="e">
        <f>'Actual Value'!AG182+"AM:!)DF"</f>
        <v>#VALUE!</v>
      </c>
      <c r="CD196" s="105" t="e">
        <f>'Actual Value'!AH182+"AM:!)DG"</f>
        <v>#VALUE!</v>
      </c>
      <c r="CE196" s="105" t="e">
        <f>'Actual Value'!AI182+"AM:!)DH"</f>
        <v>#VALUE!</v>
      </c>
      <c r="CF196" s="105" t="e">
        <f>'Actual Value'!AJ182+"AM:!)DI"</f>
        <v>#VALUE!</v>
      </c>
      <c r="CG196" s="105" t="e">
        <f>'Actual Value'!AK182+"AM:!)DJ"</f>
        <v>#VALUE!</v>
      </c>
      <c r="CH196" s="105" t="e">
        <f>'Actual Value'!AL182+"AM:!)DK"</f>
        <v>#VALUE!</v>
      </c>
      <c r="CI196" s="105" t="e">
        <f>'Actual Value'!AM182+"AM:!)DL"</f>
        <v>#VALUE!</v>
      </c>
      <c r="CJ196" s="105" t="e">
        <f>'Actual Value'!AN182+"AM:!)DM"</f>
        <v>#VALUE!</v>
      </c>
      <c r="CK196" s="105" t="e">
        <f>'Actual Value'!AO182+"AM:!)DN"</f>
        <v>#VALUE!</v>
      </c>
      <c r="CL196" t="e">
        <f>'Actual Value'!AP182+"AM:!)DO"</f>
        <v>#VALUE!</v>
      </c>
      <c r="CM196" s="100" t="e">
        <f>'Actual Value'!AQ182+"AM:!)DP"</f>
        <v>#VALUE!</v>
      </c>
      <c r="CN196" s="100" t="e">
        <f>'Actual Value'!AR182+"AM:!)DQ"</f>
        <v>#VALUE!</v>
      </c>
      <c r="CO196" s="100" t="e">
        <f>'Actual Value'!AS182+"AM:!)DR"</f>
        <v>#VALUE!</v>
      </c>
      <c r="CP196" s="100" t="e">
        <f>'Actual Value'!AT182+"AM:!)DS"</f>
        <v>#VALUE!</v>
      </c>
      <c r="CQ196" s="100" t="e">
        <f>'Actual Value'!AU182+"AM:!)DT"</f>
        <v>#VALUE!</v>
      </c>
      <c r="CR196" t="e">
        <f>'Actual Value'!AV182+"AM:!)DU"</f>
        <v>#VALUE!</v>
      </c>
      <c r="CS196" t="e">
        <f>'Actual Value'!AW182+"AM:!)DV"</f>
        <v>#VALUE!</v>
      </c>
      <c r="CT196" t="e">
        <f>'Actual Value'!A183+"AM:!)DW"</f>
        <v>#VALUE!</v>
      </c>
      <c r="CU196" t="e">
        <f>'Actual Value'!B183+"AM:!)DX"</f>
        <v>#VALUE!</v>
      </c>
      <c r="CV196" t="e">
        <f>'Actual Value'!C183+"AM:!)DY"</f>
        <v>#VALUE!</v>
      </c>
      <c r="CW196" s="97" t="e">
        <f>'Actual Value'!D183+"AM:!)DZ"</f>
        <v>#VALUE!</v>
      </c>
      <c r="CX196" s="97" t="e">
        <f>'Actual Value'!E183+"AM:!)D["</f>
        <v>#VALUE!</v>
      </c>
      <c r="CY196" s="97" t="e">
        <f>'Actual Value'!F183+"AM:!)D\"</f>
        <v>#VALUE!</v>
      </c>
      <c r="CZ196" s="97" t="e">
        <f>'Actual Value'!G183+"AM:!)D]"</f>
        <v>#VALUE!</v>
      </c>
      <c r="DA196" s="97" t="e">
        <f>'Actual Value'!H183+"AM:!)D^"</f>
        <v>#VALUE!</v>
      </c>
      <c r="DB196" s="97" t="e">
        <f>'Actual Value'!I183+"AM:!)D_"</f>
        <v>#VALUE!</v>
      </c>
      <c r="DC196" s="97" t="e">
        <f>'Actual Value'!J183+"AM:!)D`"</f>
        <v>#VALUE!</v>
      </c>
      <c r="DD196" s="97" t="e">
        <f>'Actual Value'!K183+"AM:!)Da"</f>
        <v>#VALUE!</v>
      </c>
      <c r="DE196" s="97" t="e">
        <f>'Actual Value'!L183+"AM:!)Db"</f>
        <v>#VALUE!</v>
      </c>
      <c r="DF196" s="97" t="e">
        <f>'Actual Value'!M183+"AM:!)Dc"</f>
        <v>#VALUE!</v>
      </c>
      <c r="DG196" s="97" t="e">
        <f>'Actual Value'!N183+"AM:!)Dd"</f>
        <v>#VALUE!</v>
      </c>
      <c r="DH196" s="97" t="e">
        <f>'Actual Value'!O183+"AM:!)De"</f>
        <v>#VALUE!</v>
      </c>
      <c r="DI196" s="97" t="e">
        <f>'Actual Value'!P183+"AM:!)Df"</f>
        <v>#VALUE!</v>
      </c>
      <c r="DJ196" s="97" t="e">
        <f>'Actual Value'!Q183+"AM:!)Dg"</f>
        <v>#VALUE!</v>
      </c>
      <c r="DK196" s="97" t="e">
        <f>'Actual Value'!R183+"AM:!)Dh"</f>
        <v>#VALUE!</v>
      </c>
      <c r="DL196" s="97" t="e">
        <f>'Actual Value'!S183+"AM:!)Di"</f>
        <v>#VALUE!</v>
      </c>
      <c r="DM196" s="97" t="e">
        <f>'Actual Value'!T183+"AM:!)Dj"</f>
        <v>#VALUE!</v>
      </c>
      <c r="DN196" s="97" t="e">
        <f>'Actual Value'!U183+"AM:!)Dk"</f>
        <v>#VALUE!</v>
      </c>
      <c r="DO196" s="97" t="e">
        <f>'Actual Value'!V183+"AM:!)Dl"</f>
        <v>#VALUE!</v>
      </c>
      <c r="DP196" s="97" t="e">
        <f>'Actual Value'!W183+"AM:!)Dm"</f>
        <v>#VALUE!</v>
      </c>
      <c r="DQ196" s="97" t="e">
        <f>'Actual Value'!X183+"AM:!)Dn"</f>
        <v>#VALUE!</v>
      </c>
      <c r="DR196" s="97" t="e">
        <f>'Actual Value'!Y183+"AM:!)Do"</f>
        <v>#VALUE!</v>
      </c>
      <c r="DS196" s="97" t="e">
        <f>'Actual Value'!Z183+"AM:!)Dp"</f>
        <v>#VALUE!</v>
      </c>
      <c r="DT196" s="97" t="e">
        <f>'Actual Value'!AA183+"AM:!)Dq"</f>
        <v>#VALUE!</v>
      </c>
      <c r="DU196" s="97" t="e">
        <f>'Actual Value'!AB183+"AM:!)Dr"</f>
        <v>#VALUE!</v>
      </c>
      <c r="DV196" s="97" t="e">
        <f>'Actual Value'!AC183+"AM:!)Ds"</f>
        <v>#VALUE!</v>
      </c>
      <c r="DW196" s="97" t="e">
        <f>'Actual Value'!AD183+"AM:!)Dt"</f>
        <v>#VALUE!</v>
      </c>
      <c r="DX196" s="97" t="e">
        <f>'Actual Value'!AE183+"AM:!)Du"</f>
        <v>#VALUE!</v>
      </c>
      <c r="DY196" s="97" t="e">
        <f>'Actual Value'!AF183+"AM:!)Dv"</f>
        <v>#VALUE!</v>
      </c>
      <c r="DZ196" s="97" t="e">
        <f>'Actual Value'!AG183+"AM:!)Dw"</f>
        <v>#VALUE!</v>
      </c>
      <c r="EA196" s="97" t="e">
        <f>'Actual Value'!AH183+"AM:!)Dx"</f>
        <v>#VALUE!</v>
      </c>
      <c r="EB196" s="97" t="e">
        <f>'Actual Value'!AI183+"AM:!)Dy"</f>
        <v>#VALUE!</v>
      </c>
      <c r="EC196" s="97" t="e">
        <f>'Actual Value'!AJ183+"AM:!)Dz"</f>
        <v>#VALUE!</v>
      </c>
      <c r="ED196" s="97" t="e">
        <f>'Actual Value'!AK183+"AM:!)D{"</f>
        <v>#VALUE!</v>
      </c>
      <c r="EE196" s="97" t="e">
        <f>'Actual Value'!AL183+"AM:!)D|"</f>
        <v>#VALUE!</v>
      </c>
      <c r="EF196" s="97" t="e">
        <f>'Actual Value'!AM183+"AM:!)D}"</f>
        <v>#VALUE!</v>
      </c>
      <c r="EG196" s="97" t="e">
        <f>'Actual Value'!AN183+"AM:!)D~"</f>
        <v>#VALUE!</v>
      </c>
      <c r="EH196" s="97" t="e">
        <f>'Actual Value'!AO183+"AM:!)E#"</f>
        <v>#VALUE!</v>
      </c>
      <c r="EI196" t="e">
        <f>'Actual Value'!AP183+"AM:!)E$"</f>
        <v>#VALUE!</v>
      </c>
      <c r="EJ196" t="e">
        <f>'Actual Value'!AQ183+"AM:!)E%"</f>
        <v>#VALUE!</v>
      </c>
      <c r="EK196" t="e">
        <f>'Actual Value'!AR183+"AM:!)E&amp;"</f>
        <v>#VALUE!</v>
      </c>
      <c r="EL196" s="97" t="e">
        <f>'Actual Value'!AS183+"AM:!)E'"</f>
        <v>#VALUE!</v>
      </c>
      <c r="EM196" t="e">
        <f>'Actual Value'!AT183+"AM:!)E("</f>
        <v>#VALUE!</v>
      </c>
      <c r="EN196" t="e">
        <f>'Actual Value'!AU183+"AM:!)E)"</f>
        <v>#VALUE!</v>
      </c>
      <c r="EO196" t="e">
        <f>'Actual Value'!AV183+"AM:!)E."</f>
        <v>#VALUE!</v>
      </c>
      <c r="EP196" t="e">
        <f>'Actual Value'!AW183+"AM:!)E/"</f>
        <v>#VALUE!</v>
      </c>
      <c r="EQ196" t="e">
        <f>'Actual Value'!A184+"AM:!)E0"</f>
        <v>#VALUE!</v>
      </c>
      <c r="ER196" t="e">
        <f>'Actual Value'!B184+"AM:!)E1"</f>
        <v>#VALUE!</v>
      </c>
      <c r="ES196" t="e">
        <f>'Actual Value'!C184+"AM:!)E2"</f>
        <v>#VALUE!</v>
      </c>
      <c r="ET196" s="97" t="e">
        <f>'Actual Value'!D184+"AM:!)E3"</f>
        <v>#VALUE!</v>
      </c>
      <c r="EU196" s="97" t="e">
        <f>'Actual Value'!E184+"AM:!)E4"</f>
        <v>#VALUE!</v>
      </c>
      <c r="EV196" s="97" t="e">
        <f>'Actual Value'!F184+"AM:!)E5"</f>
        <v>#VALUE!</v>
      </c>
      <c r="EW196" s="97" t="e">
        <f>'Actual Value'!G184+"AM:!)E6"</f>
        <v>#VALUE!</v>
      </c>
      <c r="EX196" s="97" t="e">
        <f>'Actual Value'!H184+"AM:!)E7"</f>
        <v>#VALUE!</v>
      </c>
      <c r="EY196" s="97" t="e">
        <f>'Actual Value'!I184+"AM:!)E8"</f>
        <v>#VALUE!</v>
      </c>
      <c r="EZ196" s="97" t="e">
        <f>'Actual Value'!J184+"AM:!)E9"</f>
        <v>#VALUE!</v>
      </c>
      <c r="FA196" s="97" t="e">
        <f>'Actual Value'!K184+"AM:!)E:"</f>
        <v>#VALUE!</v>
      </c>
      <c r="FB196" s="97" t="e">
        <f>'Actual Value'!L184+"AM:!)E;"</f>
        <v>#VALUE!</v>
      </c>
      <c r="FC196" s="97" t="e">
        <f>'Actual Value'!M184+"AM:!)E&lt;"</f>
        <v>#VALUE!</v>
      </c>
      <c r="FD196" s="97" t="e">
        <f>'Actual Value'!N184+"AM:!)E="</f>
        <v>#VALUE!</v>
      </c>
      <c r="FE196" s="97" t="e">
        <f>'Actual Value'!O184+"AM:!)E&gt;"</f>
        <v>#VALUE!</v>
      </c>
      <c r="FF196" s="97" t="e">
        <f>'Actual Value'!P184+"AM:!)E?"</f>
        <v>#VALUE!</v>
      </c>
      <c r="FG196" s="97" t="e">
        <f>'Actual Value'!Q184+"AM:!)E@"</f>
        <v>#VALUE!</v>
      </c>
      <c r="FH196" s="97" t="e">
        <f>'Actual Value'!R184+"AM:!)EA"</f>
        <v>#VALUE!</v>
      </c>
      <c r="FI196" s="97" t="e">
        <f>'Actual Value'!S184+"AM:!)EB"</f>
        <v>#VALUE!</v>
      </c>
      <c r="FJ196" s="97" t="e">
        <f>'Actual Value'!T184+"AM:!)EC"</f>
        <v>#VALUE!</v>
      </c>
      <c r="FK196" s="97" t="e">
        <f>'Actual Value'!U184+"AM:!)ED"</f>
        <v>#VALUE!</v>
      </c>
      <c r="FL196" s="97" t="e">
        <f>'Actual Value'!V184+"AM:!)EE"</f>
        <v>#VALUE!</v>
      </c>
      <c r="FM196" s="97" t="e">
        <f>'Actual Value'!W184+"AM:!)EF"</f>
        <v>#VALUE!</v>
      </c>
      <c r="FN196" s="97" t="e">
        <f>'Actual Value'!X184+"AM:!)EG"</f>
        <v>#VALUE!</v>
      </c>
      <c r="FO196" s="97" t="e">
        <f>'Actual Value'!Y184+"AM:!)EH"</f>
        <v>#VALUE!</v>
      </c>
      <c r="FP196" s="97" t="e">
        <f>'Actual Value'!Z184+"AM:!)EI"</f>
        <v>#VALUE!</v>
      </c>
      <c r="FQ196" s="97" t="e">
        <f>'Actual Value'!AA184+"AM:!)EJ"</f>
        <v>#VALUE!</v>
      </c>
      <c r="FR196" s="97" t="e">
        <f>'Actual Value'!AB184+"AM:!)EK"</f>
        <v>#VALUE!</v>
      </c>
      <c r="FS196" s="97" t="e">
        <f>'Actual Value'!AC184+"AM:!)EL"</f>
        <v>#VALUE!</v>
      </c>
      <c r="FT196" s="97" t="e">
        <f>'Actual Value'!AD184+"AM:!)EM"</f>
        <v>#VALUE!</v>
      </c>
      <c r="FU196" s="97" t="e">
        <f>'Actual Value'!AE184+"AM:!)EN"</f>
        <v>#VALUE!</v>
      </c>
      <c r="FV196" s="97" t="e">
        <f>'Actual Value'!AF184+"AM:!)EO"</f>
        <v>#VALUE!</v>
      </c>
      <c r="FW196" s="97" t="e">
        <f>'Actual Value'!AG184+"AM:!)EP"</f>
        <v>#VALUE!</v>
      </c>
      <c r="FX196" s="97" t="e">
        <f>'Actual Value'!AH184+"AM:!)EQ"</f>
        <v>#VALUE!</v>
      </c>
      <c r="FY196" s="97" t="e">
        <f>'Actual Value'!AI184+"AM:!)ER"</f>
        <v>#VALUE!</v>
      </c>
      <c r="FZ196" s="97" t="e">
        <f>'Actual Value'!AJ184+"AM:!)ES"</f>
        <v>#VALUE!</v>
      </c>
      <c r="GA196" s="97" t="e">
        <f>'Actual Value'!AK184+"AM:!)ET"</f>
        <v>#VALUE!</v>
      </c>
      <c r="GB196" s="97" t="e">
        <f>'Actual Value'!AL184+"AM:!)EU"</f>
        <v>#VALUE!</v>
      </c>
      <c r="GC196" s="97" t="e">
        <f>'Actual Value'!AM184+"AM:!)EV"</f>
        <v>#VALUE!</v>
      </c>
      <c r="GD196" s="97" t="e">
        <f>'Actual Value'!AN184+"AM:!)EW"</f>
        <v>#VALUE!</v>
      </c>
      <c r="GE196" s="97" t="e">
        <f>'Actual Value'!AO184+"AM:!)EX"</f>
        <v>#VALUE!</v>
      </c>
      <c r="GF196" t="e">
        <f>'Actual Value'!AP184+"AM:!)EY"</f>
        <v>#VALUE!</v>
      </c>
      <c r="GG196" t="e">
        <f>'Actual Value'!AQ184+"AM:!)EZ"</f>
        <v>#VALUE!</v>
      </c>
      <c r="GH196" t="e">
        <f>'Actual Value'!AR184+"AM:!)E["</f>
        <v>#VALUE!</v>
      </c>
      <c r="GI196" s="97" t="e">
        <f>'Actual Value'!AS184+"AM:!)E\"</f>
        <v>#VALUE!</v>
      </c>
      <c r="GJ196" t="e">
        <f>'Actual Value'!AT184+"AM:!)E]"</f>
        <v>#VALUE!</v>
      </c>
      <c r="GK196" t="e">
        <f>'Actual Value'!AU184+"AM:!)E^"</f>
        <v>#VALUE!</v>
      </c>
      <c r="GL196" t="e">
        <f>'Actual Value'!AV184+"AM:!)E_"</f>
        <v>#VALUE!</v>
      </c>
      <c r="GM196" t="e">
        <f>'Actual Value'!AW184+"AM:!)E`"</f>
        <v>#VALUE!</v>
      </c>
      <c r="GN196" t="e">
        <f>'Actual Value'!A185+"AM:!)Ea"</f>
        <v>#VALUE!</v>
      </c>
      <c r="GO196" t="e">
        <f>'Actual Value'!B185+"AM:!)Eb"</f>
        <v>#VALUE!</v>
      </c>
      <c r="GP196" t="e">
        <f>'Actual Value'!C185+"AM:!)Ec"</f>
        <v>#VALUE!</v>
      </c>
      <c r="GQ196" s="97" t="e">
        <f>'Actual Value'!D185+"AM:!)Ed"</f>
        <v>#VALUE!</v>
      </c>
      <c r="GR196" s="97" t="e">
        <f>'Actual Value'!E185+"AM:!)Ee"</f>
        <v>#VALUE!</v>
      </c>
      <c r="GS196" s="97" t="e">
        <f>'Actual Value'!F185+"AM:!)Ef"</f>
        <v>#VALUE!</v>
      </c>
      <c r="GT196" s="97" t="e">
        <f>'Actual Value'!G185+"AM:!)Eg"</f>
        <v>#VALUE!</v>
      </c>
      <c r="GU196" s="97" t="e">
        <f>'Actual Value'!H185+"AM:!)Eh"</f>
        <v>#VALUE!</v>
      </c>
      <c r="GV196" s="97" t="e">
        <f>'Actual Value'!I185+"AM:!)Ei"</f>
        <v>#VALUE!</v>
      </c>
      <c r="GW196" s="97" t="e">
        <f>'Actual Value'!J185+"AM:!)Ej"</f>
        <v>#VALUE!</v>
      </c>
      <c r="GX196" s="97" t="e">
        <f>'Actual Value'!K185+"AM:!)Ek"</f>
        <v>#VALUE!</v>
      </c>
      <c r="GY196" s="97" t="e">
        <f>'Actual Value'!L185+"AM:!)El"</f>
        <v>#VALUE!</v>
      </c>
      <c r="GZ196" s="97" t="e">
        <f>'Actual Value'!M185+"AM:!)Em"</f>
        <v>#VALUE!</v>
      </c>
      <c r="HA196" s="97" t="e">
        <f>'Actual Value'!N185+"AM:!)En"</f>
        <v>#VALUE!</v>
      </c>
      <c r="HB196" s="97" t="e">
        <f>'Actual Value'!O185+"AM:!)Eo"</f>
        <v>#VALUE!</v>
      </c>
      <c r="HC196" s="97" t="e">
        <f>'Actual Value'!P185+"AM:!)Ep"</f>
        <v>#VALUE!</v>
      </c>
      <c r="HD196" s="97" t="e">
        <f>'Actual Value'!Q185+"AM:!)Eq"</f>
        <v>#VALUE!</v>
      </c>
      <c r="HE196" s="97" t="e">
        <f>'Actual Value'!R185+"AM:!)Er"</f>
        <v>#VALUE!</v>
      </c>
      <c r="HF196" s="97" t="e">
        <f>'Actual Value'!S185+"AM:!)Es"</f>
        <v>#VALUE!</v>
      </c>
      <c r="HG196" s="97" t="e">
        <f>'Actual Value'!T185+"AM:!)Et"</f>
        <v>#VALUE!</v>
      </c>
      <c r="HH196" s="97" t="e">
        <f>'Actual Value'!U185+"AM:!)Eu"</f>
        <v>#VALUE!</v>
      </c>
      <c r="HI196" s="97" t="e">
        <f>'Actual Value'!V185+"AM:!)Ev"</f>
        <v>#VALUE!</v>
      </c>
      <c r="HJ196" s="97" t="e">
        <f>'Actual Value'!W185+"AM:!)Ew"</f>
        <v>#VALUE!</v>
      </c>
      <c r="HK196" s="97" t="e">
        <f>'Actual Value'!X185+"AM:!)Ex"</f>
        <v>#VALUE!</v>
      </c>
      <c r="HL196" s="97" t="e">
        <f>'Actual Value'!Y185+"AM:!)Ey"</f>
        <v>#VALUE!</v>
      </c>
      <c r="HM196" s="97" t="e">
        <f>'Actual Value'!Z185+"AM:!)Ez"</f>
        <v>#VALUE!</v>
      </c>
      <c r="HN196" s="97" t="e">
        <f>'Actual Value'!AA185+"AM:!)E{"</f>
        <v>#VALUE!</v>
      </c>
      <c r="HO196" s="97" t="e">
        <f>'Actual Value'!AB185+"AM:!)E|"</f>
        <v>#VALUE!</v>
      </c>
      <c r="HP196" s="97" t="e">
        <f>'Actual Value'!AC185+"AM:!)E}"</f>
        <v>#VALUE!</v>
      </c>
      <c r="HQ196" s="97" t="e">
        <f>'Actual Value'!AD185+"AM:!)E~"</f>
        <v>#VALUE!</v>
      </c>
      <c r="HR196" s="97" t="e">
        <f>'Actual Value'!AE185+"AM:!)F#"</f>
        <v>#VALUE!</v>
      </c>
      <c r="HS196" s="97" t="e">
        <f>'Actual Value'!AF185+"AM:!)F$"</f>
        <v>#VALUE!</v>
      </c>
      <c r="HT196" s="97" t="e">
        <f>'Actual Value'!AG185+"AM:!)F%"</f>
        <v>#VALUE!</v>
      </c>
      <c r="HU196" s="97" t="e">
        <f>'Actual Value'!AH185+"AM:!)F&amp;"</f>
        <v>#VALUE!</v>
      </c>
      <c r="HV196" s="97" t="e">
        <f>'Actual Value'!AI185+"AM:!)F'"</f>
        <v>#VALUE!</v>
      </c>
      <c r="HW196" s="97" t="e">
        <f>'Actual Value'!AJ185+"AM:!)F("</f>
        <v>#VALUE!</v>
      </c>
      <c r="HX196" s="97" t="e">
        <f>'Actual Value'!AK185+"AM:!)F)"</f>
        <v>#VALUE!</v>
      </c>
      <c r="HY196" s="97" t="e">
        <f>'Actual Value'!AL185+"AM:!)F."</f>
        <v>#VALUE!</v>
      </c>
      <c r="HZ196" s="97" t="e">
        <f>'Actual Value'!AM185+"AM:!)F/"</f>
        <v>#VALUE!</v>
      </c>
      <c r="IA196" s="97" t="e">
        <f>'Actual Value'!AN185+"AM:!)F0"</f>
        <v>#VALUE!</v>
      </c>
      <c r="IB196" s="97" t="e">
        <f>'Actual Value'!AO185+"AM:!)F1"</f>
        <v>#VALUE!</v>
      </c>
      <c r="IC196" t="e">
        <f>'Actual Value'!AP185+"AM:!)F2"</f>
        <v>#VALUE!</v>
      </c>
      <c r="ID196" t="e">
        <f>'Actual Value'!AQ185+"AM:!)F3"</f>
        <v>#VALUE!</v>
      </c>
      <c r="IE196" t="e">
        <f>'Actual Value'!AR185+"AM:!)F4"</f>
        <v>#VALUE!</v>
      </c>
      <c r="IF196" t="e">
        <f>'Actual Value'!AS185+"AM:!)F5"</f>
        <v>#VALUE!</v>
      </c>
      <c r="IG196" t="e">
        <f>'Actual Value'!AT185+"AM:!)F6"</f>
        <v>#VALUE!</v>
      </c>
      <c r="IH196" t="e">
        <f>'Actual Value'!AU185+"AM:!)F7"</f>
        <v>#VALUE!</v>
      </c>
      <c r="II196" t="e">
        <f>'Actual Value'!AV185+"AM:!)F8"</f>
        <v>#VALUE!</v>
      </c>
      <c r="IJ196" t="e">
        <f>'Actual Value'!AW185+"AM:!)F9"</f>
        <v>#VALUE!</v>
      </c>
      <c r="IK196" t="e">
        <f>'Actual Value'!A186+"AM:!)F:"</f>
        <v>#VALUE!</v>
      </c>
      <c r="IL196" t="e">
        <f>'Actual Value'!B186+"AM:!)F;"</f>
        <v>#VALUE!</v>
      </c>
      <c r="IM196" t="e">
        <f>'Actual Value'!C186+"AM:!)F&lt;"</f>
        <v>#VALUE!</v>
      </c>
      <c r="IN196" s="97" t="e">
        <f>'Actual Value'!D186+"AM:!)F="</f>
        <v>#VALUE!</v>
      </c>
      <c r="IO196" s="97" t="e">
        <f>'Actual Value'!E186+"AM:!)F&gt;"</f>
        <v>#VALUE!</v>
      </c>
      <c r="IP196" s="97" t="e">
        <f>'Actual Value'!F186+"AM:!)F?"</f>
        <v>#VALUE!</v>
      </c>
      <c r="IQ196" s="97" t="e">
        <f>'Actual Value'!G186+"AM:!)F@"</f>
        <v>#VALUE!</v>
      </c>
      <c r="IR196" s="97" t="e">
        <f>'Actual Value'!H186+"AM:!)FA"</f>
        <v>#VALUE!</v>
      </c>
      <c r="IS196" s="97" t="e">
        <f>'Actual Value'!I186+"AM:!)FB"</f>
        <v>#VALUE!</v>
      </c>
      <c r="IT196" s="97" t="e">
        <f>'Actual Value'!J186+"AM:!)FC"</f>
        <v>#VALUE!</v>
      </c>
      <c r="IU196" s="97" t="e">
        <f>'Actual Value'!K186+"AM:!)FD"</f>
        <v>#VALUE!</v>
      </c>
      <c r="IV196" s="97" t="e">
        <f>'Actual Value'!L186+"AM:!)FE"</f>
        <v>#VALUE!</v>
      </c>
    </row>
    <row r="197" spans="6:256">
      <c r="F197" s="97" t="e">
        <f>'Actual Value'!M186+"AM:!)FF"</f>
        <v>#VALUE!</v>
      </c>
      <c r="G197" s="97" t="e">
        <f>'Actual Value'!N186+"AM:!)FG"</f>
        <v>#VALUE!</v>
      </c>
      <c r="H197" s="97" t="e">
        <f>'Actual Value'!O186+"AM:!)FH"</f>
        <v>#VALUE!</v>
      </c>
      <c r="I197" s="97" t="e">
        <f>'Actual Value'!P186+"AM:!)FI"</f>
        <v>#VALUE!</v>
      </c>
      <c r="J197" s="97" t="e">
        <f>'Actual Value'!Q186+"AM:!)FJ"</f>
        <v>#VALUE!</v>
      </c>
      <c r="K197" s="97" t="e">
        <f>'Actual Value'!R186+"AM:!)FK"</f>
        <v>#VALUE!</v>
      </c>
      <c r="L197" s="97" t="e">
        <f>'Actual Value'!S186+"AM:!)FL"</f>
        <v>#VALUE!</v>
      </c>
      <c r="M197" s="97" t="e">
        <f>'Actual Value'!T186+"AM:!)FM"</f>
        <v>#VALUE!</v>
      </c>
      <c r="N197" s="97" t="e">
        <f>'Actual Value'!U186+"AM:!)FN"</f>
        <v>#VALUE!</v>
      </c>
      <c r="O197" s="97" t="e">
        <f>'Actual Value'!V186+"AM:!)FO"</f>
        <v>#VALUE!</v>
      </c>
      <c r="P197" s="97" t="e">
        <f>'Actual Value'!W186+"AM:!)FP"</f>
        <v>#VALUE!</v>
      </c>
      <c r="Q197" s="97" t="e">
        <f>'Actual Value'!X186+"AM:!)FQ"</f>
        <v>#VALUE!</v>
      </c>
      <c r="R197" s="97" t="e">
        <f>'Actual Value'!Y186+"AM:!)FR"</f>
        <v>#VALUE!</v>
      </c>
      <c r="S197" s="97" t="e">
        <f>'Actual Value'!Z186+"AM:!)FS"</f>
        <v>#VALUE!</v>
      </c>
      <c r="T197" s="97" t="e">
        <f>'Actual Value'!AA186+"AM:!)FT"</f>
        <v>#VALUE!</v>
      </c>
      <c r="U197" s="97" t="e">
        <f>'Actual Value'!AB186+"AM:!)FU"</f>
        <v>#VALUE!</v>
      </c>
      <c r="V197" s="97" t="e">
        <f>'Actual Value'!AC186+"AM:!)FV"</f>
        <v>#VALUE!</v>
      </c>
      <c r="W197" s="97" t="e">
        <f>'Actual Value'!AD186+"AM:!)FW"</f>
        <v>#VALUE!</v>
      </c>
      <c r="X197" s="97" t="e">
        <f>'Actual Value'!AE186+"AM:!)FX"</f>
        <v>#VALUE!</v>
      </c>
      <c r="Y197" s="97" t="e">
        <f>'Actual Value'!AF186+"AM:!)FY"</f>
        <v>#VALUE!</v>
      </c>
      <c r="Z197" s="97" t="e">
        <f>'Actual Value'!AG186+"AM:!)FZ"</f>
        <v>#VALUE!</v>
      </c>
      <c r="AA197" s="97" t="e">
        <f>'Actual Value'!AH186+"AM:!)F["</f>
        <v>#VALUE!</v>
      </c>
      <c r="AB197" s="97" t="e">
        <f>'Actual Value'!AI186+"AM:!)F\"</f>
        <v>#VALUE!</v>
      </c>
      <c r="AC197" s="97" t="e">
        <f>'Actual Value'!AJ186+"AM:!)F]"</f>
        <v>#VALUE!</v>
      </c>
      <c r="AD197" s="97" t="e">
        <f>'Actual Value'!AK186+"AM:!)F^"</f>
        <v>#VALUE!</v>
      </c>
      <c r="AE197" s="97" t="e">
        <f>'Actual Value'!AL186+"AM:!)F_"</f>
        <v>#VALUE!</v>
      </c>
      <c r="AF197" s="97" t="e">
        <f>'Actual Value'!AM186+"AM:!)F`"</f>
        <v>#VALUE!</v>
      </c>
      <c r="AG197" s="97" t="e">
        <f>'Actual Value'!AN186+"AM:!)Fa"</f>
        <v>#VALUE!</v>
      </c>
      <c r="AH197" s="97" t="e">
        <f>'Actual Value'!AO186+"AM:!)Fb"</f>
        <v>#VALUE!</v>
      </c>
      <c r="AI197" t="e">
        <f>'Actual Value'!AP186+"AM:!)Fc"</f>
        <v>#VALUE!</v>
      </c>
      <c r="AJ197" t="e">
        <f>'Actual Value'!AQ186+"AM:!)Fd"</f>
        <v>#VALUE!</v>
      </c>
      <c r="AK197" t="e">
        <f>'Actual Value'!AR186+"AM:!)Fe"</f>
        <v>#VALUE!</v>
      </c>
      <c r="AL197" t="e">
        <f>'Actual Value'!AS186+"AM:!)Ff"</f>
        <v>#VALUE!</v>
      </c>
      <c r="AM197" t="e">
        <f>'Actual Value'!AT186+"AM:!)Fg"</f>
        <v>#VALUE!</v>
      </c>
      <c r="AN197" t="e">
        <f>'Actual Value'!AU186+"AM:!)Fh"</f>
        <v>#VALUE!</v>
      </c>
      <c r="AO197" t="e">
        <f>'Actual Value'!AV186+"AM:!)Fi"</f>
        <v>#VALUE!</v>
      </c>
      <c r="AP197" t="e">
        <f>'Actual Value'!AW186+"AM:!)Fj"</f>
        <v>#VALUE!</v>
      </c>
      <c r="AQ197" t="e">
        <f>'Actual Value'!AX186+"AM:!)Fk"</f>
        <v>#VALUE!</v>
      </c>
      <c r="AR197" t="e">
        <f>'Actual Value'!A187+"AM:!)Fl"</f>
        <v>#VALUE!</v>
      </c>
      <c r="AS197" t="e">
        <f>'Actual Value'!B187+"AM:!)Fm"</f>
        <v>#VALUE!</v>
      </c>
      <c r="AT197" t="e">
        <f>'Actual Value'!C187+"AM:!)Fn"</f>
        <v>#VALUE!</v>
      </c>
      <c r="AU197" s="97" t="e">
        <f>'Actual Value'!D187+"AM:!)Fo"</f>
        <v>#VALUE!</v>
      </c>
      <c r="AV197" s="97" t="e">
        <f>'Actual Value'!E187+"AM:!)Fp"</f>
        <v>#VALUE!</v>
      </c>
      <c r="AW197" s="97" t="e">
        <f>'Actual Value'!F187+"AM:!)Fq"</f>
        <v>#VALUE!</v>
      </c>
      <c r="AX197" s="97" t="e">
        <f>'Actual Value'!G187+"AM:!)Fr"</f>
        <v>#VALUE!</v>
      </c>
      <c r="AY197" s="97" t="e">
        <f>'Actual Value'!H187+"AM:!)Fs"</f>
        <v>#VALUE!</v>
      </c>
      <c r="AZ197" s="97" t="e">
        <f>'Actual Value'!I187+"AM:!)Ft"</f>
        <v>#VALUE!</v>
      </c>
      <c r="BA197" s="97" t="e">
        <f>'Actual Value'!J187+"AM:!)Fu"</f>
        <v>#VALUE!</v>
      </c>
      <c r="BB197" s="97" t="e">
        <f>'Actual Value'!K187+"AM:!)Fv"</f>
        <v>#VALUE!</v>
      </c>
      <c r="BC197" s="97" t="e">
        <f>'Actual Value'!L187+"AM:!)Fw"</f>
        <v>#VALUE!</v>
      </c>
      <c r="BD197" s="97" t="e">
        <f>'Actual Value'!M187+"AM:!)Fx"</f>
        <v>#VALUE!</v>
      </c>
      <c r="BE197" s="97" t="e">
        <f>'Actual Value'!N187+"AM:!)Fy"</f>
        <v>#VALUE!</v>
      </c>
      <c r="BF197" s="97" t="e">
        <f>'Actual Value'!O187+"AM:!)Fz"</f>
        <v>#VALUE!</v>
      </c>
      <c r="BG197" s="97" t="e">
        <f>'Actual Value'!P187+"AM:!)F{"</f>
        <v>#VALUE!</v>
      </c>
      <c r="BH197" s="97" t="e">
        <f>'Actual Value'!Q187+"AM:!)F|"</f>
        <v>#VALUE!</v>
      </c>
      <c r="BI197" s="97" t="e">
        <f>'Actual Value'!R187+"AM:!)F}"</f>
        <v>#VALUE!</v>
      </c>
      <c r="BJ197" s="97" t="e">
        <f>'Actual Value'!S187+"AM:!)F~"</f>
        <v>#VALUE!</v>
      </c>
      <c r="BK197" s="97" t="e">
        <f>'Actual Value'!T187+"AM:!)G#"</f>
        <v>#VALUE!</v>
      </c>
      <c r="BL197" s="97" t="e">
        <f>'Actual Value'!U187+"AM:!)G$"</f>
        <v>#VALUE!</v>
      </c>
      <c r="BM197" s="97" t="e">
        <f>'Actual Value'!V187+"AM:!)G%"</f>
        <v>#VALUE!</v>
      </c>
      <c r="BN197" s="97" t="e">
        <f>'Actual Value'!W187+"AM:!)G&amp;"</f>
        <v>#VALUE!</v>
      </c>
      <c r="BO197" s="97" t="e">
        <f>'Actual Value'!X187+"AM:!)G'"</f>
        <v>#VALUE!</v>
      </c>
      <c r="BP197" s="97" t="e">
        <f>'Actual Value'!Y187+"AM:!)G("</f>
        <v>#VALUE!</v>
      </c>
      <c r="BQ197" s="97" t="e">
        <f>'Actual Value'!Z187+"AM:!)G)"</f>
        <v>#VALUE!</v>
      </c>
      <c r="BR197" s="97" t="e">
        <f>'Actual Value'!AA187+"AM:!)G."</f>
        <v>#VALUE!</v>
      </c>
      <c r="BS197" s="97" t="e">
        <f>'Actual Value'!AB187+"AM:!)G/"</f>
        <v>#VALUE!</v>
      </c>
      <c r="BT197" s="97" t="e">
        <f>'Actual Value'!AC187+"AM:!)G0"</f>
        <v>#VALUE!</v>
      </c>
      <c r="BU197" s="97" t="e">
        <f>'Actual Value'!AD187+"AM:!)G1"</f>
        <v>#VALUE!</v>
      </c>
      <c r="BV197" s="97" t="e">
        <f>'Actual Value'!AE187+"AM:!)G2"</f>
        <v>#VALUE!</v>
      </c>
      <c r="BW197" s="97" t="e">
        <f>'Actual Value'!AF187+"AM:!)G3"</f>
        <v>#VALUE!</v>
      </c>
      <c r="BX197" s="97" t="e">
        <f>'Actual Value'!AG187+"AM:!)G4"</f>
        <v>#VALUE!</v>
      </c>
      <c r="BY197" s="97" t="e">
        <f>'Actual Value'!AH187+"AM:!)G5"</f>
        <v>#VALUE!</v>
      </c>
      <c r="BZ197" s="97" t="e">
        <f>'Actual Value'!AI187+"AM:!)G6"</f>
        <v>#VALUE!</v>
      </c>
      <c r="CA197" s="97" t="e">
        <f>'Actual Value'!AJ187+"AM:!)G7"</f>
        <v>#VALUE!</v>
      </c>
      <c r="CB197" s="97" t="e">
        <f>'Actual Value'!AK187+"AM:!)G8"</f>
        <v>#VALUE!</v>
      </c>
      <c r="CC197" s="97" t="e">
        <f>'Actual Value'!AL187+"AM:!)G9"</f>
        <v>#VALUE!</v>
      </c>
      <c r="CD197" s="97" t="e">
        <f>'Actual Value'!AM187+"AM:!)G:"</f>
        <v>#VALUE!</v>
      </c>
      <c r="CE197" s="97" t="e">
        <f>'Actual Value'!AN187+"AM:!)G;"</f>
        <v>#VALUE!</v>
      </c>
      <c r="CF197" s="97" t="e">
        <f>'Actual Value'!AO187+"AM:!)G&lt;"</f>
        <v>#VALUE!</v>
      </c>
      <c r="CG197" t="e">
        <f>'Actual Value'!AP187+"AM:!)G="</f>
        <v>#VALUE!</v>
      </c>
      <c r="CH197" t="e">
        <f>'Actual Value'!AQ187+"AM:!)G&gt;"</f>
        <v>#VALUE!</v>
      </c>
      <c r="CI197" t="e">
        <f>'Actual Value'!AR187+"AM:!)G?"</f>
        <v>#VALUE!</v>
      </c>
      <c r="CJ197" t="e">
        <f>'Actual Value'!AS187+"AM:!)G@"</f>
        <v>#VALUE!</v>
      </c>
      <c r="CK197" t="e">
        <f>'Actual Value'!AT187+"AM:!)GA"</f>
        <v>#VALUE!</v>
      </c>
      <c r="CL197" t="e">
        <f>'Actual Value'!AU187+"AM:!)GB"</f>
        <v>#VALUE!</v>
      </c>
      <c r="CM197" t="e">
        <f>'Actual Value'!AV187+"AM:!)GC"</f>
        <v>#VALUE!</v>
      </c>
      <c r="CN197" t="e">
        <f>'Actual Value'!AW187+"AM:!)GD"</f>
        <v>#VALUE!</v>
      </c>
      <c r="CO197" t="e">
        <f>'Actual Value'!AX187+"AM:!)GE"</f>
        <v>#VALUE!</v>
      </c>
      <c r="CP197" t="e">
        <f>'Actual Value'!A188+"AM:!)GF"</f>
        <v>#VALUE!</v>
      </c>
      <c r="CQ197" t="e">
        <f>'Actual Value'!B188+"AM:!)GG"</f>
        <v>#VALUE!</v>
      </c>
      <c r="CR197" t="e">
        <f>'Actual Value'!C188+"AM:!)GH"</f>
        <v>#VALUE!</v>
      </c>
      <c r="CS197" s="97" t="e">
        <f>'Actual Value'!D188+"AM:!)GI"</f>
        <v>#VALUE!</v>
      </c>
      <c r="CT197" s="97" t="e">
        <f>'Actual Value'!E188+"AM:!)GJ"</f>
        <v>#VALUE!</v>
      </c>
      <c r="CU197" s="97" t="e">
        <f>'Actual Value'!F188+"AM:!)GK"</f>
        <v>#VALUE!</v>
      </c>
      <c r="CV197" s="97" t="e">
        <f>'Actual Value'!G188+"AM:!)GL"</f>
        <v>#VALUE!</v>
      </c>
      <c r="CW197" s="97" t="e">
        <f>'Actual Value'!H188+"AM:!)GM"</f>
        <v>#VALUE!</v>
      </c>
      <c r="CX197" s="97" t="e">
        <f>'Actual Value'!I188+"AM:!)GN"</f>
        <v>#VALUE!</v>
      </c>
      <c r="CY197" s="97" t="e">
        <f>'Actual Value'!J188+"AM:!)GO"</f>
        <v>#VALUE!</v>
      </c>
      <c r="CZ197" s="97" t="e">
        <f>'Actual Value'!K188+"AM:!)GP"</f>
        <v>#VALUE!</v>
      </c>
      <c r="DA197" s="97" t="e">
        <f>'Actual Value'!L188+"AM:!)GQ"</f>
        <v>#VALUE!</v>
      </c>
      <c r="DB197" s="97" t="e">
        <f>'Actual Value'!M188+"AM:!)GR"</f>
        <v>#VALUE!</v>
      </c>
      <c r="DC197" s="97" t="e">
        <f>'Actual Value'!N188+"AM:!)GS"</f>
        <v>#VALUE!</v>
      </c>
      <c r="DD197" s="97" t="e">
        <f>'Actual Value'!O188+"AM:!)GT"</f>
        <v>#VALUE!</v>
      </c>
      <c r="DE197" s="97" t="e">
        <f>'Actual Value'!P188+"AM:!)GU"</f>
        <v>#VALUE!</v>
      </c>
      <c r="DF197" s="97" t="e">
        <f>'Actual Value'!Q188+"AM:!)GV"</f>
        <v>#VALUE!</v>
      </c>
      <c r="DG197" s="97" t="e">
        <f>'Actual Value'!R188+"AM:!)GW"</f>
        <v>#VALUE!</v>
      </c>
      <c r="DH197" s="97" t="e">
        <f>'Actual Value'!S188+"AM:!)GX"</f>
        <v>#VALUE!</v>
      </c>
      <c r="DI197" s="97" t="e">
        <f>'Actual Value'!T188+"AM:!)GY"</f>
        <v>#VALUE!</v>
      </c>
      <c r="DJ197" s="97" t="e">
        <f>'Actual Value'!U188+"AM:!)GZ"</f>
        <v>#VALUE!</v>
      </c>
      <c r="DK197" s="97" t="e">
        <f>'Actual Value'!V188+"AM:!)G["</f>
        <v>#VALUE!</v>
      </c>
      <c r="DL197" s="97" t="e">
        <f>'Actual Value'!W188+"AM:!)G\"</f>
        <v>#VALUE!</v>
      </c>
      <c r="DM197" s="97" t="e">
        <f>'Actual Value'!X188+"AM:!)G]"</f>
        <v>#VALUE!</v>
      </c>
      <c r="DN197" s="97" t="e">
        <f>'Actual Value'!Y188+"AM:!)G^"</f>
        <v>#VALUE!</v>
      </c>
      <c r="DO197" s="97" t="e">
        <f>'Actual Value'!Z188+"AM:!)G_"</f>
        <v>#VALUE!</v>
      </c>
      <c r="DP197" s="97" t="e">
        <f>'Actual Value'!AA188+"AM:!)G`"</f>
        <v>#VALUE!</v>
      </c>
      <c r="DQ197" s="97" t="e">
        <f>'Actual Value'!AB188+"AM:!)Ga"</f>
        <v>#VALUE!</v>
      </c>
      <c r="DR197" s="97" t="e">
        <f>'Actual Value'!AC188+"AM:!)Gb"</f>
        <v>#VALUE!</v>
      </c>
      <c r="DS197" s="97" t="e">
        <f>'Actual Value'!AD188+"AM:!)Gc"</f>
        <v>#VALUE!</v>
      </c>
      <c r="DT197" s="97" t="e">
        <f>'Actual Value'!AE188+"AM:!)Gd"</f>
        <v>#VALUE!</v>
      </c>
      <c r="DU197" s="97" t="e">
        <f>'Actual Value'!AF188+"AM:!)Ge"</f>
        <v>#VALUE!</v>
      </c>
      <c r="DV197" s="97" t="e">
        <f>'Actual Value'!AG188+"AM:!)Gf"</f>
        <v>#VALUE!</v>
      </c>
      <c r="DW197" s="97" t="e">
        <f>'Actual Value'!AH188+"AM:!)Gg"</f>
        <v>#VALUE!</v>
      </c>
      <c r="DX197" s="97" t="e">
        <f>'Actual Value'!AI188+"AM:!)Gh"</f>
        <v>#VALUE!</v>
      </c>
      <c r="DY197" s="97" t="e">
        <f>'Actual Value'!AJ188+"AM:!)Gi"</f>
        <v>#VALUE!</v>
      </c>
      <c r="DZ197" s="97" t="e">
        <f>'Actual Value'!AK188+"AM:!)Gj"</f>
        <v>#VALUE!</v>
      </c>
      <c r="EA197" s="97" t="e">
        <f>'Actual Value'!AL188+"AM:!)Gk"</f>
        <v>#VALUE!</v>
      </c>
      <c r="EB197" s="97" t="e">
        <f>'Actual Value'!AM188+"AM:!)Gl"</f>
        <v>#VALUE!</v>
      </c>
      <c r="EC197" s="97" t="e">
        <f>'Actual Value'!AN188+"AM:!)Gm"</f>
        <v>#VALUE!</v>
      </c>
      <c r="ED197" s="97" t="e">
        <f>'Actual Value'!AO188+"AM:!)Gn"</f>
        <v>#VALUE!</v>
      </c>
      <c r="EE197" t="e">
        <f>'Actual Value'!AP188+"AM:!)Go"</f>
        <v>#VALUE!</v>
      </c>
      <c r="EF197" t="e">
        <f>'Actual Value'!AQ188+"AM:!)Gp"</f>
        <v>#VALUE!</v>
      </c>
      <c r="EG197" t="e">
        <f>'Actual Value'!AR188+"AM:!)Gq"</f>
        <v>#VALUE!</v>
      </c>
      <c r="EH197" t="e">
        <f>'Actual Value'!AS188+"AM:!)Gr"</f>
        <v>#VALUE!</v>
      </c>
      <c r="EI197" t="e">
        <f>'Actual Value'!AT188+"AM:!)Gs"</f>
        <v>#VALUE!</v>
      </c>
      <c r="EJ197" t="e">
        <f>'Actual Value'!AU188+"AM:!)Gt"</f>
        <v>#VALUE!</v>
      </c>
      <c r="EK197" t="e">
        <f>'Actual Value'!AV188+"AM:!)Gu"</f>
        <v>#VALUE!</v>
      </c>
      <c r="EL197" t="e">
        <f>'Actual Value'!AW188+"AM:!)Gv"</f>
        <v>#VALUE!</v>
      </c>
      <c r="EM197" t="e">
        <f>'Actual Value'!AX188+"AM:!)Gw"</f>
        <v>#VALUE!</v>
      </c>
      <c r="EN197" t="e">
        <f>'Actual Value'!A189+"AM:!)Gx"</f>
        <v>#VALUE!</v>
      </c>
      <c r="EO197" t="e">
        <f>'Actual Value'!B189+"AM:!)Gy"</f>
        <v>#VALUE!</v>
      </c>
      <c r="EP197" t="e">
        <f>'Actual Value'!C189+"AM:!)Gz"</f>
        <v>#VALUE!</v>
      </c>
      <c r="EQ197" s="97" t="e">
        <f>'Actual Value'!D189+"AM:!)G{"</f>
        <v>#VALUE!</v>
      </c>
      <c r="ER197" s="97" t="e">
        <f>'Actual Value'!E189+"AM:!)G|"</f>
        <v>#VALUE!</v>
      </c>
      <c r="ES197" s="97" t="e">
        <f>'Actual Value'!F189+"AM:!)G}"</f>
        <v>#VALUE!</v>
      </c>
      <c r="ET197" s="97" t="e">
        <f>'Actual Value'!G189+"AM:!)G~"</f>
        <v>#VALUE!</v>
      </c>
      <c r="EU197" s="97" t="e">
        <f>'Actual Value'!H189+"AM:!)H#"</f>
        <v>#VALUE!</v>
      </c>
      <c r="EV197" s="97" t="e">
        <f>'Actual Value'!I189+"AM:!)H$"</f>
        <v>#VALUE!</v>
      </c>
      <c r="EW197" s="97" t="e">
        <f>'Actual Value'!J189+"AM:!)H%"</f>
        <v>#VALUE!</v>
      </c>
      <c r="EX197" s="97" t="e">
        <f>'Actual Value'!K189+"AM:!)H&amp;"</f>
        <v>#VALUE!</v>
      </c>
      <c r="EY197" s="97" t="e">
        <f>'Actual Value'!L189+"AM:!)H'"</f>
        <v>#VALUE!</v>
      </c>
      <c r="EZ197" s="97" t="e">
        <f>'Actual Value'!M189+"AM:!)H("</f>
        <v>#VALUE!</v>
      </c>
      <c r="FA197" s="97" t="e">
        <f>'Actual Value'!N189+"AM:!)H)"</f>
        <v>#VALUE!</v>
      </c>
      <c r="FB197" s="97" t="e">
        <f>'Actual Value'!O189+"AM:!)H."</f>
        <v>#VALUE!</v>
      </c>
      <c r="FC197" s="97" t="e">
        <f>'Actual Value'!P189+"AM:!)H/"</f>
        <v>#VALUE!</v>
      </c>
      <c r="FD197" s="97" t="e">
        <f>'Actual Value'!Q189+"AM:!)H0"</f>
        <v>#VALUE!</v>
      </c>
      <c r="FE197" s="97" t="e">
        <f>'Actual Value'!R189+"AM:!)H1"</f>
        <v>#VALUE!</v>
      </c>
      <c r="FF197" s="97" t="e">
        <f>'Actual Value'!S189+"AM:!)H2"</f>
        <v>#VALUE!</v>
      </c>
      <c r="FG197" s="97" t="e">
        <f>'Actual Value'!T189+"AM:!)H3"</f>
        <v>#VALUE!</v>
      </c>
      <c r="FH197" s="97" t="e">
        <f>'Actual Value'!U189+"AM:!)H4"</f>
        <v>#VALUE!</v>
      </c>
      <c r="FI197" s="97" t="e">
        <f>'Actual Value'!V189+"AM:!)H5"</f>
        <v>#VALUE!</v>
      </c>
      <c r="FJ197" s="97" t="e">
        <f>'Actual Value'!W189+"AM:!)H6"</f>
        <v>#VALUE!</v>
      </c>
      <c r="FK197" s="97" t="e">
        <f>'Actual Value'!X189+"AM:!)H7"</f>
        <v>#VALUE!</v>
      </c>
      <c r="FL197" s="97" t="e">
        <f>'Actual Value'!Y189+"AM:!)H8"</f>
        <v>#VALUE!</v>
      </c>
      <c r="FM197" s="97" t="e">
        <f>'Actual Value'!Z189+"AM:!)H9"</f>
        <v>#VALUE!</v>
      </c>
      <c r="FN197" s="97" t="e">
        <f>'Actual Value'!AA189+"AM:!)H:"</f>
        <v>#VALUE!</v>
      </c>
      <c r="FO197" s="97" t="e">
        <f>'Actual Value'!AB189+"AM:!)H;"</f>
        <v>#VALUE!</v>
      </c>
      <c r="FP197" s="97" t="e">
        <f>'Actual Value'!AC189+"AM:!)H&lt;"</f>
        <v>#VALUE!</v>
      </c>
      <c r="FQ197" s="97" t="e">
        <f>'Actual Value'!AD189+"AM:!)H="</f>
        <v>#VALUE!</v>
      </c>
      <c r="FR197" s="97" t="e">
        <f>'Actual Value'!AE189+"AM:!)H&gt;"</f>
        <v>#VALUE!</v>
      </c>
      <c r="FS197" s="97" t="e">
        <f>'Actual Value'!AF189+"AM:!)H?"</f>
        <v>#VALUE!</v>
      </c>
      <c r="FT197" s="97" t="e">
        <f>'Actual Value'!AG189+"AM:!)H@"</f>
        <v>#VALUE!</v>
      </c>
      <c r="FU197" s="97" t="e">
        <f>'Actual Value'!AH189+"AM:!)HA"</f>
        <v>#VALUE!</v>
      </c>
      <c r="FV197" s="97" t="e">
        <f>'Actual Value'!AI189+"AM:!)HB"</f>
        <v>#VALUE!</v>
      </c>
      <c r="FW197" s="97" t="e">
        <f>'Actual Value'!AJ189+"AM:!)HC"</f>
        <v>#VALUE!</v>
      </c>
      <c r="FX197" s="97" t="e">
        <f>'Actual Value'!AK189+"AM:!)HD"</f>
        <v>#VALUE!</v>
      </c>
      <c r="FY197" s="97" t="e">
        <f>'Actual Value'!AL189+"AM:!)HE"</f>
        <v>#VALUE!</v>
      </c>
      <c r="FZ197" s="97" t="e">
        <f>'Actual Value'!AM189+"AM:!)HF"</f>
        <v>#VALUE!</v>
      </c>
      <c r="GA197" s="97" t="e">
        <f>'Actual Value'!AN189+"AM:!)HG"</f>
        <v>#VALUE!</v>
      </c>
      <c r="GB197" s="97" t="e">
        <f>'Actual Value'!AO189+"AM:!)HH"</f>
        <v>#VALUE!</v>
      </c>
      <c r="GC197" t="e">
        <f>'Actual Value'!AP189+"AM:!)HI"</f>
        <v>#VALUE!</v>
      </c>
      <c r="GD197" t="e">
        <f>'Actual Value'!AQ189+"AM:!)HJ"</f>
        <v>#VALUE!</v>
      </c>
      <c r="GE197" t="e">
        <f>'Actual Value'!AR189+"AM:!)HK"</f>
        <v>#VALUE!</v>
      </c>
      <c r="GF197" t="e">
        <f>'Actual Value'!AS189+"AM:!)HL"</f>
        <v>#VALUE!</v>
      </c>
      <c r="GG197" t="e">
        <f>'Actual Value'!AT189+"AM:!)HM"</f>
        <v>#VALUE!</v>
      </c>
      <c r="GH197" t="e">
        <f>'Actual Value'!AU189+"AM:!)HN"</f>
        <v>#VALUE!</v>
      </c>
      <c r="GI197" t="e">
        <f>'Actual Value'!AV189+"AM:!)HO"</f>
        <v>#VALUE!</v>
      </c>
      <c r="GJ197" t="e">
        <f>'Actual Value'!AW189+"AM:!)HP"</f>
        <v>#VALUE!</v>
      </c>
      <c r="GK197" t="e">
        <f>'Actual Value'!AX189+"AM:!)HQ"</f>
        <v>#VALUE!</v>
      </c>
      <c r="GL197" t="e">
        <f>'Actual Value'!A190+"AM:!)HR"</f>
        <v>#VALUE!</v>
      </c>
      <c r="GM197" t="e">
        <f>'Actual Value'!B190+"AM:!)HS"</f>
        <v>#VALUE!</v>
      </c>
      <c r="GN197" t="e">
        <f>'Actual Value'!C190+"AM:!)HT"</f>
        <v>#VALUE!</v>
      </c>
      <c r="GO197" s="97" t="e">
        <f>'Actual Value'!D190+"AM:!)HU"</f>
        <v>#VALUE!</v>
      </c>
      <c r="GP197" s="97" t="e">
        <f>'Actual Value'!E190+"AM:!)HV"</f>
        <v>#VALUE!</v>
      </c>
      <c r="GQ197" s="97" t="e">
        <f>'Actual Value'!F190+"AM:!)HW"</f>
        <v>#VALUE!</v>
      </c>
      <c r="GR197" s="97" t="e">
        <f>'Actual Value'!G190+"AM:!)HX"</f>
        <v>#VALUE!</v>
      </c>
      <c r="GS197" s="97" t="e">
        <f>'Actual Value'!H190+"AM:!)HY"</f>
        <v>#VALUE!</v>
      </c>
      <c r="GT197" s="97" t="e">
        <f>'Actual Value'!I190+"AM:!)HZ"</f>
        <v>#VALUE!</v>
      </c>
      <c r="GU197" s="97" t="e">
        <f>'Actual Value'!J190+"AM:!)H["</f>
        <v>#VALUE!</v>
      </c>
      <c r="GV197" s="97" t="e">
        <f>'Actual Value'!K190+"AM:!)H\"</f>
        <v>#VALUE!</v>
      </c>
      <c r="GW197" s="97" t="e">
        <f>'Actual Value'!L190+"AM:!)H]"</f>
        <v>#VALUE!</v>
      </c>
      <c r="GX197" s="97" t="e">
        <f>'Actual Value'!M190+"AM:!)H^"</f>
        <v>#VALUE!</v>
      </c>
      <c r="GY197" s="97" t="e">
        <f>'Actual Value'!N190+"AM:!)H_"</f>
        <v>#VALUE!</v>
      </c>
      <c r="GZ197" s="97" t="e">
        <f>'Actual Value'!O190+"AM:!)H`"</f>
        <v>#VALUE!</v>
      </c>
      <c r="HA197" s="97" t="e">
        <f>'Actual Value'!P190+"AM:!)Ha"</f>
        <v>#VALUE!</v>
      </c>
      <c r="HB197" s="97" t="e">
        <f>'Actual Value'!Q190+"AM:!)Hb"</f>
        <v>#VALUE!</v>
      </c>
      <c r="HC197" s="97" t="e">
        <f>'Actual Value'!R190+"AM:!)Hc"</f>
        <v>#VALUE!</v>
      </c>
      <c r="HD197" s="97" t="e">
        <f>'Actual Value'!S190+"AM:!)Hd"</f>
        <v>#VALUE!</v>
      </c>
      <c r="HE197" s="97" t="e">
        <f>'Actual Value'!T190+"AM:!)He"</f>
        <v>#VALUE!</v>
      </c>
      <c r="HF197" s="97" t="e">
        <f>'Actual Value'!U190+"AM:!)Hf"</f>
        <v>#VALUE!</v>
      </c>
      <c r="HG197" s="97" t="e">
        <f>'Actual Value'!V190+"AM:!)Hg"</f>
        <v>#VALUE!</v>
      </c>
      <c r="HH197" s="97" t="e">
        <f>'Actual Value'!W190+"AM:!)Hh"</f>
        <v>#VALUE!</v>
      </c>
      <c r="HI197" s="97" t="e">
        <f>'Actual Value'!X190+"AM:!)Hi"</f>
        <v>#VALUE!</v>
      </c>
      <c r="HJ197" s="97" t="e">
        <f>'Actual Value'!Y190+"AM:!)Hj"</f>
        <v>#VALUE!</v>
      </c>
      <c r="HK197" s="97" t="e">
        <f>'Actual Value'!Z190+"AM:!)Hk"</f>
        <v>#VALUE!</v>
      </c>
      <c r="HL197" s="97" t="e">
        <f>'Actual Value'!AA190+"AM:!)Hl"</f>
        <v>#VALUE!</v>
      </c>
      <c r="HM197" s="97" t="e">
        <f>'Actual Value'!AB190+"AM:!)Hm"</f>
        <v>#VALUE!</v>
      </c>
      <c r="HN197" s="97" t="e">
        <f>'Actual Value'!AC190+"AM:!)Hn"</f>
        <v>#VALUE!</v>
      </c>
      <c r="HO197" s="97" t="e">
        <f>'Actual Value'!AD190+"AM:!)Ho"</f>
        <v>#VALUE!</v>
      </c>
      <c r="HP197" s="97" t="e">
        <f>'Actual Value'!AE190+"AM:!)Hp"</f>
        <v>#VALUE!</v>
      </c>
      <c r="HQ197" s="97" t="e">
        <f>'Actual Value'!AF190+"AM:!)Hq"</f>
        <v>#VALUE!</v>
      </c>
      <c r="HR197" s="97" t="e">
        <f>'Actual Value'!AG190+"AM:!)Hr"</f>
        <v>#VALUE!</v>
      </c>
      <c r="HS197" s="97" t="e">
        <f>'Actual Value'!AH190+"AM:!)Hs"</f>
        <v>#VALUE!</v>
      </c>
      <c r="HT197" s="97" t="e">
        <f>'Actual Value'!AI190+"AM:!)Ht"</f>
        <v>#VALUE!</v>
      </c>
      <c r="HU197" s="97" t="e">
        <f>'Actual Value'!AJ190+"AM:!)Hu"</f>
        <v>#VALUE!</v>
      </c>
      <c r="HV197" s="97" t="e">
        <f>'Actual Value'!AK190+"AM:!)Hv"</f>
        <v>#VALUE!</v>
      </c>
      <c r="HW197" s="97" t="e">
        <f>'Actual Value'!AL190+"AM:!)Hw"</f>
        <v>#VALUE!</v>
      </c>
      <c r="HX197" s="97" t="e">
        <f>'Actual Value'!AM190+"AM:!)Hx"</f>
        <v>#VALUE!</v>
      </c>
      <c r="HY197" s="97" t="e">
        <f>'Actual Value'!AN190+"AM:!)Hy"</f>
        <v>#VALUE!</v>
      </c>
      <c r="HZ197" s="97" t="e">
        <f>'Actual Value'!AO190+"AM:!)Hz"</f>
        <v>#VALUE!</v>
      </c>
      <c r="IA197" t="e">
        <f>'Actual Value'!AP190+"AM:!)H{"</f>
        <v>#VALUE!</v>
      </c>
      <c r="IB197" t="e">
        <f>'Actual Value'!AQ190+"AM:!)H|"</f>
        <v>#VALUE!</v>
      </c>
      <c r="IC197" t="e">
        <f>'Actual Value'!AR190+"AM:!)H}"</f>
        <v>#VALUE!</v>
      </c>
      <c r="ID197" t="e">
        <f>'Actual Value'!AS190+"AM:!)H~"</f>
        <v>#VALUE!</v>
      </c>
      <c r="IE197" t="e">
        <f>'Actual Value'!AT190+"AM:!)I#"</f>
        <v>#VALUE!</v>
      </c>
      <c r="IF197" t="e">
        <f>'Actual Value'!AU190+"AM:!)I$"</f>
        <v>#VALUE!</v>
      </c>
      <c r="IG197" t="e">
        <f>'Actual Value'!AV190+"AM:!)I%"</f>
        <v>#VALUE!</v>
      </c>
      <c r="IH197" t="e">
        <f>'Actual Value'!AW190+"AM:!)I&amp;"</f>
        <v>#VALUE!</v>
      </c>
      <c r="II197" t="e">
        <f>'Actual Value'!AX190+"AM:!)I'"</f>
        <v>#VALUE!</v>
      </c>
      <c r="IJ197" t="e">
        <f>'Actual Value'!A191+"AM:!)I("</f>
        <v>#VALUE!</v>
      </c>
      <c r="IK197" t="e">
        <f>'Actual Value'!B191+"AM:!)I)"</f>
        <v>#VALUE!</v>
      </c>
      <c r="IL197" t="e">
        <f>'Actual Value'!C191+"AM:!)I."</f>
        <v>#VALUE!</v>
      </c>
      <c r="IM197" s="97" t="e">
        <f>'Actual Value'!D191+"AM:!)I/"</f>
        <v>#VALUE!</v>
      </c>
      <c r="IN197" s="97" t="e">
        <f>'Actual Value'!E191+"AM:!)I0"</f>
        <v>#VALUE!</v>
      </c>
      <c r="IO197" s="97" t="e">
        <f>'Actual Value'!F191+"AM:!)I1"</f>
        <v>#VALUE!</v>
      </c>
      <c r="IP197" s="97" t="e">
        <f>'Actual Value'!G191+"AM:!)I2"</f>
        <v>#VALUE!</v>
      </c>
      <c r="IQ197" s="97" t="e">
        <f>'Actual Value'!H191+"AM:!)I3"</f>
        <v>#VALUE!</v>
      </c>
      <c r="IR197" s="97" t="e">
        <f>'Actual Value'!I191+"AM:!)I4"</f>
        <v>#VALUE!</v>
      </c>
      <c r="IS197" s="97" t="e">
        <f>'Actual Value'!J191+"AM:!)I5"</f>
        <v>#VALUE!</v>
      </c>
      <c r="IT197" s="97" t="e">
        <f>'Actual Value'!K191+"AM:!)I6"</f>
        <v>#VALUE!</v>
      </c>
      <c r="IU197" s="97" t="e">
        <f>'Actual Value'!L191+"AM:!)I7"</f>
        <v>#VALUE!</v>
      </c>
      <c r="IV197" s="97" t="e">
        <f>'Actual Value'!M191+"AM:!)I8"</f>
        <v>#VALUE!</v>
      </c>
    </row>
    <row r="198" spans="6:256">
      <c r="F198" s="97" t="e">
        <f>'Actual Value'!N191+"AM:!)I9"</f>
        <v>#VALUE!</v>
      </c>
      <c r="G198" s="97" t="e">
        <f>'Actual Value'!O191+"AM:!)I:"</f>
        <v>#VALUE!</v>
      </c>
      <c r="H198" s="97" t="e">
        <f>'Actual Value'!P191+"AM:!)I;"</f>
        <v>#VALUE!</v>
      </c>
      <c r="I198" s="97" t="e">
        <f>'Actual Value'!Q191+"AM:!)I&lt;"</f>
        <v>#VALUE!</v>
      </c>
      <c r="J198" s="97" t="e">
        <f>'Actual Value'!R191+"AM:!)I="</f>
        <v>#VALUE!</v>
      </c>
      <c r="K198" s="97" t="e">
        <f>'Actual Value'!S191+"AM:!)I&gt;"</f>
        <v>#VALUE!</v>
      </c>
      <c r="L198" s="97" t="e">
        <f>'Actual Value'!T191+"AM:!)I?"</f>
        <v>#VALUE!</v>
      </c>
      <c r="M198" s="97" t="e">
        <f>'Actual Value'!U191+"AM:!)I@"</f>
        <v>#VALUE!</v>
      </c>
      <c r="N198" s="97" t="e">
        <f>'Actual Value'!V191+"AM:!)IA"</f>
        <v>#VALUE!</v>
      </c>
      <c r="O198" s="97" t="e">
        <f>'Actual Value'!W191+"AM:!)IB"</f>
        <v>#VALUE!</v>
      </c>
      <c r="P198" s="97" t="e">
        <f>'Actual Value'!X191+"AM:!)IC"</f>
        <v>#VALUE!</v>
      </c>
      <c r="Q198" s="97" t="e">
        <f>'Actual Value'!Y191+"AM:!)ID"</f>
        <v>#VALUE!</v>
      </c>
      <c r="R198" s="97" t="e">
        <f>'Actual Value'!Z191+"AM:!)IE"</f>
        <v>#VALUE!</v>
      </c>
      <c r="S198" s="97" t="e">
        <f>'Actual Value'!AA191+"AM:!)IF"</f>
        <v>#VALUE!</v>
      </c>
      <c r="T198" s="97" t="e">
        <f>'Actual Value'!AB191+"AM:!)IG"</f>
        <v>#VALUE!</v>
      </c>
      <c r="U198" s="97" t="e">
        <f>'Actual Value'!AC191+"AM:!)IH"</f>
        <v>#VALUE!</v>
      </c>
      <c r="V198" s="97" t="e">
        <f>'Actual Value'!AD191+"AM:!)II"</f>
        <v>#VALUE!</v>
      </c>
      <c r="W198" s="97" t="e">
        <f>'Actual Value'!AE191+"AM:!)IJ"</f>
        <v>#VALUE!</v>
      </c>
      <c r="X198" s="97" t="e">
        <f>'Actual Value'!AF191+"AM:!)IK"</f>
        <v>#VALUE!</v>
      </c>
      <c r="Y198" s="97" t="e">
        <f>'Actual Value'!AG191+"AM:!)IL"</f>
        <v>#VALUE!</v>
      </c>
      <c r="Z198" s="97" t="e">
        <f>'Actual Value'!AH191+"AM:!)IM"</f>
        <v>#VALUE!</v>
      </c>
      <c r="AA198" s="97" t="e">
        <f>'Actual Value'!AI191+"AM:!)IN"</f>
        <v>#VALUE!</v>
      </c>
      <c r="AB198" s="97" t="e">
        <f>'Actual Value'!AJ191+"AM:!)IO"</f>
        <v>#VALUE!</v>
      </c>
      <c r="AC198" s="97" t="e">
        <f>'Actual Value'!AK191+"AM:!)IP"</f>
        <v>#VALUE!</v>
      </c>
      <c r="AD198" s="97" t="e">
        <f>'Actual Value'!AL191+"AM:!)IQ"</f>
        <v>#VALUE!</v>
      </c>
      <c r="AE198" s="97" t="e">
        <f>'Actual Value'!AM191+"AM:!)IR"</f>
        <v>#VALUE!</v>
      </c>
      <c r="AF198" s="97" t="e">
        <f>'Actual Value'!AN191+"AM:!)IS"</f>
        <v>#VALUE!</v>
      </c>
      <c r="AG198" s="97" t="e">
        <f>'Actual Value'!AO191+"AM:!)IT"</f>
        <v>#VALUE!</v>
      </c>
      <c r="AH198" t="e">
        <f>'Actual Value'!AP191+"AM:!)IU"</f>
        <v>#VALUE!</v>
      </c>
      <c r="AI198" t="e">
        <f>'Actual Value'!AQ191+"AM:!)IV"</f>
        <v>#VALUE!</v>
      </c>
      <c r="AJ198" t="e">
        <f>'Actual Value'!AR191+"AM:!)IW"</f>
        <v>#VALUE!</v>
      </c>
      <c r="AK198" t="e">
        <f>'Actual Value'!AS191+"AM:!)IX"</f>
        <v>#VALUE!</v>
      </c>
      <c r="AL198" t="e">
        <f>'Actual Value'!AT191+"AM:!)IY"</f>
        <v>#VALUE!</v>
      </c>
      <c r="AM198" t="e">
        <f>'Actual Value'!AU191+"AM:!)IZ"</f>
        <v>#VALUE!</v>
      </c>
      <c r="AN198" t="e">
        <f>'Actual Value'!AV191+"AM:!)I["</f>
        <v>#VALUE!</v>
      </c>
      <c r="AO198" t="e">
        <f>'Actual Value'!AW191+"AM:!)I\"</f>
        <v>#VALUE!</v>
      </c>
      <c r="AP198" t="e">
        <f>'Actual Value'!AX191+"AM:!)I]"</f>
        <v>#VALUE!</v>
      </c>
      <c r="AQ198" t="e">
        <f>'Actual Value'!A192+"AM:!)I^"</f>
        <v>#VALUE!</v>
      </c>
      <c r="AR198" t="e">
        <f>'Actual Value'!B192+"AM:!)I_"</f>
        <v>#VALUE!</v>
      </c>
      <c r="AS198" t="e">
        <f>'Actual Value'!C192+"AM:!)I`"</f>
        <v>#VALUE!</v>
      </c>
      <c r="AT198" t="e">
        <f>'Actual Value'!D192+"AM:!)Ia"</f>
        <v>#VALUE!</v>
      </c>
      <c r="AU198" t="e">
        <f>'Actual Value'!E192+"AM:!)Ib"</f>
        <v>#VALUE!</v>
      </c>
      <c r="AV198" t="e">
        <f>'Actual Value'!F192+"AM:!)Ic"</f>
        <v>#VALUE!</v>
      </c>
      <c r="AW198" t="e">
        <f>'Actual Value'!G192+"AM:!)Id"</f>
        <v>#VALUE!</v>
      </c>
      <c r="AX198" t="e">
        <f>'Actual Value'!H192+"AM:!)Ie"</f>
        <v>#VALUE!</v>
      </c>
      <c r="AY198" t="e">
        <f>'Actual Value'!I192+"AM:!)If"</f>
        <v>#VALUE!</v>
      </c>
      <c r="AZ198" t="e">
        <f>'Actual Value'!J192+"AM:!)Ig"</f>
        <v>#VALUE!</v>
      </c>
      <c r="BA198" t="e">
        <f>'Actual Value'!K192+"AM:!)Ih"</f>
        <v>#VALUE!</v>
      </c>
      <c r="BB198" t="e">
        <f>'Actual Value'!L192+"AM:!)Ii"</f>
        <v>#VALUE!</v>
      </c>
      <c r="BC198" t="e">
        <f>'Actual Value'!M192+"AM:!)Ij"</f>
        <v>#VALUE!</v>
      </c>
      <c r="BD198" t="e">
        <f>'Actual Value'!N192+"AM:!)Ik"</f>
        <v>#VALUE!</v>
      </c>
      <c r="BE198" t="e">
        <f>'Actual Value'!O192+"AM:!)Il"</f>
        <v>#VALUE!</v>
      </c>
      <c r="BF198" t="e">
        <f>'Actual Value'!P192+"AM:!)Im"</f>
        <v>#VALUE!</v>
      </c>
      <c r="BG198" t="e">
        <f>'Actual Value'!Q192+"AM:!)In"</f>
        <v>#VALUE!</v>
      </c>
      <c r="BH198" t="e">
        <f>'Actual Value'!R192+"AM:!)Io"</f>
        <v>#VALUE!</v>
      </c>
      <c r="BI198" t="e">
        <f>'Actual Value'!S192+"AM:!)Ip"</f>
        <v>#VALUE!</v>
      </c>
      <c r="BJ198" t="e">
        <f>'Actual Value'!T192+"AM:!)Iq"</f>
        <v>#VALUE!</v>
      </c>
      <c r="BK198" t="e">
        <f>'Actual Value'!U192+"AM:!)Ir"</f>
        <v>#VALUE!</v>
      </c>
      <c r="BL198" t="e">
        <f>'Actual Value'!V192+"AM:!)Is"</f>
        <v>#VALUE!</v>
      </c>
      <c r="BM198" t="e">
        <f>'Actual Value'!W192+"AM:!)It"</f>
        <v>#VALUE!</v>
      </c>
      <c r="BN198" t="e">
        <f>'Actual Value'!X192+"AM:!)Iu"</f>
        <v>#VALUE!</v>
      </c>
      <c r="BO198" t="e">
        <f>'Actual Value'!Y192+"AM:!)Iv"</f>
        <v>#VALUE!</v>
      </c>
      <c r="BP198" t="e">
        <f>'Actual Value'!Z192+"AM:!)Iw"</f>
        <v>#VALUE!</v>
      </c>
      <c r="BQ198" t="e">
        <f>'Actual Value'!AA192+"AM:!)Ix"</f>
        <v>#VALUE!</v>
      </c>
      <c r="BR198" t="e">
        <f>'Actual Value'!AB192+"AM:!)Iy"</f>
        <v>#VALUE!</v>
      </c>
      <c r="BS198" t="e">
        <f>'Actual Value'!AC192+"AM:!)Iz"</f>
        <v>#VALUE!</v>
      </c>
      <c r="BT198" t="e">
        <f>'Actual Value'!AD192+"AM:!)I{"</f>
        <v>#VALUE!</v>
      </c>
      <c r="BU198" t="e">
        <f>'Actual Value'!AE192+"AM:!)I|"</f>
        <v>#VALUE!</v>
      </c>
      <c r="BV198" t="e">
        <f>'Actual Value'!AF192+"AM:!)I}"</f>
        <v>#VALUE!</v>
      </c>
      <c r="BW198" t="e">
        <f>'Actual Value'!AG192+"AM:!)I~"</f>
        <v>#VALUE!</v>
      </c>
      <c r="BX198" t="e">
        <f>'Actual Value'!AH192+"AM:!)J#"</f>
        <v>#VALUE!</v>
      </c>
      <c r="BY198" t="e">
        <f>'Actual Value'!AI192+"AM:!)J$"</f>
        <v>#VALUE!</v>
      </c>
      <c r="BZ198" t="e">
        <f>'Actual Value'!AJ192+"AM:!)J%"</f>
        <v>#VALUE!</v>
      </c>
      <c r="CA198" t="e">
        <f>'Actual Value'!AK192+"AM:!)J&amp;"</f>
        <v>#VALUE!</v>
      </c>
      <c r="CB198" t="e">
        <f>'Actual Value'!AL192+"AM:!)J'"</f>
        <v>#VALUE!</v>
      </c>
      <c r="CC198" t="e">
        <f>'Actual Value'!AM192+"AM:!)J("</f>
        <v>#VALUE!</v>
      </c>
      <c r="CD198" t="e">
        <f>'Actual Value'!AN192+"AM:!)J)"</f>
        <v>#VALUE!</v>
      </c>
      <c r="CE198" t="e">
        <f>'Actual Value'!AO192+"AM:!)J."</f>
        <v>#VALUE!</v>
      </c>
      <c r="CF198" t="e">
        <f>'Actual Value'!AP192+"AM:!)J/"</f>
        <v>#VALUE!</v>
      </c>
      <c r="CG198" t="e">
        <f>'Actual Value'!AQ192+"AM:!)J0"</f>
        <v>#VALUE!</v>
      </c>
      <c r="CH198" t="e">
        <f>'Actual Value'!AR192+"AM:!)J1"</f>
        <v>#VALUE!</v>
      </c>
      <c r="CI198" t="e">
        <f>'Actual Value'!AS192+"AM:!)J2"</f>
        <v>#VALUE!</v>
      </c>
      <c r="CJ198" t="e">
        <f>'Actual Value'!AT192+"AM:!)J3"</f>
        <v>#VALUE!</v>
      </c>
      <c r="CK198" t="e">
        <f>'Actual Value'!AU192+"AM:!)J4"</f>
        <v>#VALUE!</v>
      </c>
      <c r="CL198" t="e">
        <f>'Actual Value'!AV192+"AM:!)J5"</f>
        <v>#VALUE!</v>
      </c>
      <c r="CM198" t="e">
        <f>'Actual Value'!AW192+"AM:!)J6"</f>
        <v>#VALUE!</v>
      </c>
      <c r="CN198" t="e">
        <f>'Actual Value'!A193+"AM:!)J7"</f>
        <v>#VALUE!</v>
      </c>
      <c r="CO198" t="e">
        <f>'Actual Value'!B193+"AM:!)J8"</f>
        <v>#VALUE!</v>
      </c>
      <c r="CP198" t="e">
        <f>'Actual Value'!C193+"AM:!)J9"</f>
        <v>#VALUE!</v>
      </c>
      <c r="CQ198" s="105" t="e">
        <f>'Actual Value'!D193+"AM:!)J:"</f>
        <v>#VALUE!</v>
      </c>
      <c r="CR198" s="105" t="e">
        <f>'Actual Value'!E193+"AM:!)J;"</f>
        <v>#VALUE!</v>
      </c>
      <c r="CS198" s="105" t="e">
        <f>'Actual Value'!F193+"AM:!)J&lt;"</f>
        <v>#VALUE!</v>
      </c>
      <c r="CT198" s="105" t="e">
        <f>'Actual Value'!G193+"AM:!)J="</f>
        <v>#VALUE!</v>
      </c>
      <c r="CU198" s="105" t="e">
        <f>'Actual Value'!H193+"AM:!)J&gt;"</f>
        <v>#VALUE!</v>
      </c>
      <c r="CV198" s="105" t="e">
        <f>'Actual Value'!I193+"AM:!)J?"</f>
        <v>#VALUE!</v>
      </c>
      <c r="CW198" s="105" t="e">
        <f>'Actual Value'!J193+"AM:!)J@"</f>
        <v>#VALUE!</v>
      </c>
      <c r="CX198" s="105" t="e">
        <f>'Actual Value'!K193+"AM:!)JA"</f>
        <v>#VALUE!</v>
      </c>
      <c r="CY198" s="105" t="e">
        <f>'Actual Value'!L193+"AM:!)JB"</f>
        <v>#VALUE!</v>
      </c>
      <c r="CZ198" s="105" t="e">
        <f>'Actual Value'!M193+"AM:!)JC"</f>
        <v>#VALUE!</v>
      </c>
      <c r="DA198" s="105" t="e">
        <f>'Actual Value'!N193+"AM:!)JD"</f>
        <v>#VALUE!</v>
      </c>
      <c r="DB198" s="105" t="e">
        <f>'Actual Value'!O193+"AM:!)JE"</f>
        <v>#VALUE!</v>
      </c>
      <c r="DC198" s="105" t="e">
        <f>'Actual Value'!P193+"AM:!)JF"</f>
        <v>#VALUE!</v>
      </c>
      <c r="DD198" s="105" t="e">
        <f>'Actual Value'!Q193+"AM:!)JG"</f>
        <v>#VALUE!</v>
      </c>
      <c r="DE198" s="105" t="e">
        <f>'Actual Value'!R193+"AM:!)JH"</f>
        <v>#VALUE!</v>
      </c>
      <c r="DF198" s="105" t="e">
        <f>'Actual Value'!S193+"AM:!)JI"</f>
        <v>#VALUE!</v>
      </c>
      <c r="DG198" s="105" t="e">
        <f>'Actual Value'!T193+"AM:!)JJ"</f>
        <v>#VALUE!</v>
      </c>
      <c r="DH198" s="105" t="e">
        <f>'Actual Value'!U193+"AM:!)JK"</f>
        <v>#VALUE!</v>
      </c>
      <c r="DI198" s="105" t="e">
        <f>'Actual Value'!V193+"AM:!)JL"</f>
        <v>#VALUE!</v>
      </c>
      <c r="DJ198" s="105" t="e">
        <f>'Actual Value'!W193+"AM:!)JM"</f>
        <v>#VALUE!</v>
      </c>
      <c r="DK198" s="105" t="e">
        <f>'Actual Value'!X193+"AM:!)JN"</f>
        <v>#VALUE!</v>
      </c>
      <c r="DL198" s="105" t="e">
        <f>'Actual Value'!Y193+"AM:!)JO"</f>
        <v>#VALUE!</v>
      </c>
      <c r="DM198" s="105" t="e">
        <f>'Actual Value'!Z193+"AM:!)JP"</f>
        <v>#VALUE!</v>
      </c>
      <c r="DN198" s="105" t="e">
        <f>'Actual Value'!AA193+"AM:!)JQ"</f>
        <v>#VALUE!</v>
      </c>
      <c r="DO198" s="105" t="e">
        <f>'Actual Value'!AB193+"AM:!)JR"</f>
        <v>#VALUE!</v>
      </c>
      <c r="DP198" s="105" t="e">
        <f>'Actual Value'!AC193+"AM:!)JS"</f>
        <v>#VALUE!</v>
      </c>
      <c r="DQ198" s="105" t="e">
        <f>'Actual Value'!AD193+"AM:!)JT"</f>
        <v>#VALUE!</v>
      </c>
      <c r="DR198" s="105" t="e">
        <f>'Actual Value'!AE193+"AM:!)JU"</f>
        <v>#VALUE!</v>
      </c>
      <c r="DS198" s="105" t="e">
        <f>'Actual Value'!AF193+"AM:!)JV"</f>
        <v>#VALUE!</v>
      </c>
      <c r="DT198" s="105" t="e">
        <f>'Actual Value'!AG193+"AM:!)JW"</f>
        <v>#VALUE!</v>
      </c>
      <c r="DU198" s="105" t="e">
        <f>'Actual Value'!AH193+"AM:!)JX"</f>
        <v>#VALUE!</v>
      </c>
      <c r="DV198" s="105" t="e">
        <f>'Actual Value'!AI193+"AM:!)JY"</f>
        <v>#VALUE!</v>
      </c>
      <c r="DW198" s="105" t="e">
        <f>'Actual Value'!AJ193+"AM:!)JZ"</f>
        <v>#VALUE!</v>
      </c>
      <c r="DX198" s="105" t="e">
        <f>'Actual Value'!AK193+"AM:!)J["</f>
        <v>#VALUE!</v>
      </c>
      <c r="DY198" s="105" t="e">
        <f>'Actual Value'!AL193+"AM:!)J\"</f>
        <v>#VALUE!</v>
      </c>
      <c r="DZ198" s="105" t="e">
        <f>'Actual Value'!AM193+"AM:!)J]"</f>
        <v>#VALUE!</v>
      </c>
      <c r="EA198" s="105" t="e">
        <f>'Actual Value'!AN193+"AM:!)J^"</f>
        <v>#VALUE!</v>
      </c>
      <c r="EB198" s="105" t="e">
        <f>'Actual Value'!AO193+"AM:!)J_"</f>
        <v>#VALUE!</v>
      </c>
      <c r="EC198" t="e">
        <f>'Actual Value'!AP193+"AM:!)J`"</f>
        <v>#VALUE!</v>
      </c>
      <c r="ED198" s="100" t="e">
        <f>'Actual Value'!AQ193+"AM:!)Ja"</f>
        <v>#VALUE!</v>
      </c>
      <c r="EE198" s="100" t="e">
        <f>'Actual Value'!AR193+"AM:!)Jb"</f>
        <v>#VALUE!</v>
      </c>
      <c r="EF198" s="100" t="e">
        <f>'Actual Value'!AS193+"AM:!)Jc"</f>
        <v>#VALUE!</v>
      </c>
      <c r="EG198" s="100" t="e">
        <f>'Actual Value'!AT193+"AM:!)Jd"</f>
        <v>#VALUE!</v>
      </c>
      <c r="EH198" s="100" t="e">
        <f>'Actual Value'!AU193+"AM:!)Je"</f>
        <v>#VALUE!</v>
      </c>
      <c r="EI198" t="e">
        <f>'Actual Value'!AV193+"AM:!)Jf"</f>
        <v>#VALUE!</v>
      </c>
      <c r="EJ198" t="e">
        <f>'Actual Value'!AW193+"AM:!)Jg"</f>
        <v>#VALUE!</v>
      </c>
      <c r="EK198" t="e">
        <f>'Actual Value'!A194+"AM:!)Jh"</f>
        <v>#VALUE!</v>
      </c>
      <c r="EL198" t="e">
        <f>'Actual Value'!B194+"AM:!)Ji"</f>
        <v>#VALUE!</v>
      </c>
      <c r="EM198" t="e">
        <f>'Actual Value'!C194+"AM:!)Jj"</f>
        <v>#VALUE!</v>
      </c>
      <c r="EN198" s="97" t="e">
        <f>'Actual Value'!D194+"AM:!)Jk"</f>
        <v>#VALUE!</v>
      </c>
      <c r="EO198" s="97" t="e">
        <f>'Actual Value'!E194+"AM:!)Jl"</f>
        <v>#VALUE!</v>
      </c>
      <c r="EP198" s="97" t="e">
        <f>'Actual Value'!F194+"AM:!)Jm"</f>
        <v>#VALUE!</v>
      </c>
      <c r="EQ198" s="97" t="e">
        <f>'Actual Value'!G194+"AM:!)Jn"</f>
        <v>#VALUE!</v>
      </c>
      <c r="ER198" s="97" t="e">
        <f>'Actual Value'!H194+"AM:!)Jo"</f>
        <v>#VALUE!</v>
      </c>
      <c r="ES198" s="97" t="e">
        <f>'Actual Value'!I194+"AM:!)Jp"</f>
        <v>#VALUE!</v>
      </c>
      <c r="ET198" s="97" t="e">
        <f>'Actual Value'!J194+"AM:!)Jq"</f>
        <v>#VALUE!</v>
      </c>
      <c r="EU198" s="97" t="e">
        <f>'Actual Value'!K194+"AM:!)Jr"</f>
        <v>#VALUE!</v>
      </c>
      <c r="EV198" s="97" t="e">
        <f>'Actual Value'!L194+"AM:!)Js"</f>
        <v>#VALUE!</v>
      </c>
      <c r="EW198" s="97" t="e">
        <f>'Actual Value'!M194+"AM:!)Jt"</f>
        <v>#VALUE!</v>
      </c>
      <c r="EX198" s="97" t="e">
        <f>'Actual Value'!N194+"AM:!)Ju"</f>
        <v>#VALUE!</v>
      </c>
      <c r="EY198" s="97" t="e">
        <f>'Actual Value'!O194+"AM:!)Jv"</f>
        <v>#VALUE!</v>
      </c>
      <c r="EZ198" s="97" t="e">
        <f>'Actual Value'!P194+"AM:!)Jw"</f>
        <v>#VALUE!</v>
      </c>
      <c r="FA198" s="97" t="e">
        <f>'Actual Value'!Q194+"AM:!)Jx"</f>
        <v>#VALUE!</v>
      </c>
      <c r="FB198" s="97" t="e">
        <f>'Actual Value'!R194+"AM:!)Jy"</f>
        <v>#VALUE!</v>
      </c>
      <c r="FC198" s="97" t="e">
        <f>'Actual Value'!S194+"AM:!)Jz"</f>
        <v>#VALUE!</v>
      </c>
      <c r="FD198" s="97" t="e">
        <f>'Actual Value'!T194+"AM:!)J{"</f>
        <v>#VALUE!</v>
      </c>
      <c r="FE198" s="97" t="e">
        <f>'Actual Value'!U194+"AM:!)J|"</f>
        <v>#VALUE!</v>
      </c>
      <c r="FF198" s="97" t="e">
        <f>'Actual Value'!V194+"AM:!)J}"</f>
        <v>#VALUE!</v>
      </c>
      <c r="FG198" s="97" t="e">
        <f>'Actual Value'!W194+"AM:!)J~"</f>
        <v>#VALUE!</v>
      </c>
      <c r="FH198" s="97" t="e">
        <f>'Actual Value'!X194+"AM:!)K#"</f>
        <v>#VALUE!</v>
      </c>
      <c r="FI198" s="97" t="e">
        <f>'Actual Value'!Y194+"AM:!)K$"</f>
        <v>#VALUE!</v>
      </c>
      <c r="FJ198" s="97" t="e">
        <f>'Actual Value'!Z194+"AM:!)K%"</f>
        <v>#VALUE!</v>
      </c>
      <c r="FK198" s="97" t="e">
        <f>'Actual Value'!AA194+"AM:!)K&amp;"</f>
        <v>#VALUE!</v>
      </c>
      <c r="FL198" s="97" t="e">
        <f>'Actual Value'!AB194+"AM:!)K'"</f>
        <v>#VALUE!</v>
      </c>
      <c r="FM198" s="97" t="e">
        <f>'Actual Value'!AC194+"AM:!)K("</f>
        <v>#VALUE!</v>
      </c>
      <c r="FN198" s="97" t="e">
        <f>'Actual Value'!AD194+"AM:!)K)"</f>
        <v>#VALUE!</v>
      </c>
      <c r="FO198" s="97" t="e">
        <f>'Actual Value'!AE194+"AM:!)K."</f>
        <v>#VALUE!</v>
      </c>
      <c r="FP198" s="97" t="e">
        <f>'Actual Value'!AF194+"AM:!)K/"</f>
        <v>#VALUE!</v>
      </c>
      <c r="FQ198" s="97" t="e">
        <f>'Actual Value'!AG194+"AM:!)K0"</f>
        <v>#VALUE!</v>
      </c>
      <c r="FR198" s="97" t="e">
        <f>'Actual Value'!AH194+"AM:!)K1"</f>
        <v>#VALUE!</v>
      </c>
      <c r="FS198" s="97" t="e">
        <f>'Actual Value'!AI194+"AM:!)K2"</f>
        <v>#VALUE!</v>
      </c>
      <c r="FT198" s="97" t="e">
        <f>'Actual Value'!AJ194+"AM:!)K3"</f>
        <v>#VALUE!</v>
      </c>
      <c r="FU198" s="97" t="e">
        <f>'Actual Value'!AK194+"AM:!)K4"</f>
        <v>#VALUE!</v>
      </c>
      <c r="FV198" s="97" t="e">
        <f>'Actual Value'!AL194+"AM:!)K5"</f>
        <v>#VALUE!</v>
      </c>
      <c r="FW198" s="97" t="e">
        <f>'Actual Value'!AM194+"AM:!)K6"</f>
        <v>#VALUE!</v>
      </c>
      <c r="FX198" s="97" t="e">
        <f>'Actual Value'!AN194+"AM:!)K7"</f>
        <v>#VALUE!</v>
      </c>
      <c r="FY198" s="97" t="e">
        <f>'Actual Value'!AO194+"AM:!)K8"</f>
        <v>#VALUE!</v>
      </c>
      <c r="FZ198" t="e">
        <f>'Actual Value'!AP194+"AM:!)K9"</f>
        <v>#VALUE!</v>
      </c>
      <c r="GA198" t="e">
        <f>'Actual Value'!AQ194+"AM:!)K:"</f>
        <v>#VALUE!</v>
      </c>
      <c r="GB198" t="e">
        <f>'Actual Value'!AR194+"AM:!)K;"</f>
        <v>#VALUE!</v>
      </c>
      <c r="GC198" s="97" t="e">
        <f>'Actual Value'!AS194+"AM:!)K&lt;"</f>
        <v>#VALUE!</v>
      </c>
      <c r="GD198" t="e">
        <f>'Actual Value'!AT194+"AM:!)K="</f>
        <v>#VALUE!</v>
      </c>
      <c r="GE198" t="e">
        <f>'Actual Value'!AU194+"AM:!)K&gt;"</f>
        <v>#VALUE!</v>
      </c>
      <c r="GF198" t="e">
        <f>'Actual Value'!AV194+"AM:!)K?"</f>
        <v>#VALUE!</v>
      </c>
      <c r="GG198" t="e">
        <f>'Actual Value'!AW194+"AM:!)K@"</f>
        <v>#VALUE!</v>
      </c>
      <c r="GH198" t="e">
        <f>'Actual Value'!A195+"AM:!)KA"</f>
        <v>#VALUE!</v>
      </c>
      <c r="GI198" t="e">
        <f>'Actual Value'!B195+"AM:!)KB"</f>
        <v>#VALUE!</v>
      </c>
      <c r="GJ198" t="e">
        <f>'Actual Value'!C195+"AM:!)KC"</f>
        <v>#VALUE!</v>
      </c>
      <c r="GK198" s="97" t="e">
        <f>'Actual Value'!D195+"AM:!)KD"</f>
        <v>#VALUE!</v>
      </c>
      <c r="GL198" s="97" t="e">
        <f>'Actual Value'!E195+"AM:!)KE"</f>
        <v>#VALUE!</v>
      </c>
      <c r="GM198" s="97" t="e">
        <f>'Actual Value'!F195+"AM:!)KF"</f>
        <v>#VALUE!</v>
      </c>
      <c r="GN198" s="97" t="e">
        <f>'Actual Value'!G195+"AM:!)KG"</f>
        <v>#VALUE!</v>
      </c>
      <c r="GO198" s="97" t="e">
        <f>'Actual Value'!H195+"AM:!)KH"</f>
        <v>#VALUE!</v>
      </c>
      <c r="GP198" s="97" t="e">
        <f>'Actual Value'!I195+"AM:!)KI"</f>
        <v>#VALUE!</v>
      </c>
      <c r="GQ198" s="97" t="e">
        <f>'Actual Value'!J195+"AM:!)KJ"</f>
        <v>#VALUE!</v>
      </c>
      <c r="GR198" s="97" t="e">
        <f>'Actual Value'!K195+"AM:!)KK"</f>
        <v>#VALUE!</v>
      </c>
      <c r="GS198" s="97" t="e">
        <f>'Actual Value'!L195+"AM:!)KL"</f>
        <v>#VALUE!</v>
      </c>
      <c r="GT198" s="97" t="e">
        <f>'Actual Value'!M195+"AM:!)KM"</f>
        <v>#VALUE!</v>
      </c>
      <c r="GU198" s="97" t="e">
        <f>'Actual Value'!N195+"AM:!)KN"</f>
        <v>#VALUE!</v>
      </c>
      <c r="GV198" s="97" t="e">
        <f>'Actual Value'!O195+"AM:!)KO"</f>
        <v>#VALUE!</v>
      </c>
      <c r="GW198" s="97" t="e">
        <f>'Actual Value'!P195+"AM:!)KP"</f>
        <v>#VALUE!</v>
      </c>
      <c r="GX198" s="97" t="e">
        <f>'Actual Value'!Q195+"AM:!)KQ"</f>
        <v>#VALUE!</v>
      </c>
      <c r="GY198" s="97" t="e">
        <f>'Actual Value'!R195+"AM:!)KR"</f>
        <v>#VALUE!</v>
      </c>
      <c r="GZ198" s="97" t="e">
        <f>'Actual Value'!S195+"AM:!)KS"</f>
        <v>#VALUE!</v>
      </c>
      <c r="HA198" s="97" t="e">
        <f>'Actual Value'!T195+"AM:!)KT"</f>
        <v>#VALUE!</v>
      </c>
      <c r="HB198" s="97" t="e">
        <f>'Actual Value'!U195+"AM:!)KU"</f>
        <v>#VALUE!</v>
      </c>
      <c r="HC198" s="97" t="e">
        <f>'Actual Value'!V195+"AM:!)KV"</f>
        <v>#VALUE!</v>
      </c>
      <c r="HD198" s="97" t="e">
        <f>'Actual Value'!W195+"AM:!)KW"</f>
        <v>#VALUE!</v>
      </c>
      <c r="HE198" s="97" t="e">
        <f>'Actual Value'!X195+"AM:!)KX"</f>
        <v>#VALUE!</v>
      </c>
      <c r="HF198" s="97" t="e">
        <f>'Actual Value'!Y195+"AM:!)KY"</f>
        <v>#VALUE!</v>
      </c>
      <c r="HG198" s="97" t="e">
        <f>'Actual Value'!Z195+"AM:!)KZ"</f>
        <v>#VALUE!</v>
      </c>
      <c r="HH198" s="97" t="e">
        <f>'Actual Value'!AA195+"AM:!)K["</f>
        <v>#VALUE!</v>
      </c>
      <c r="HI198" s="97" t="e">
        <f>'Actual Value'!AB195+"AM:!)K\"</f>
        <v>#VALUE!</v>
      </c>
      <c r="HJ198" s="97" t="e">
        <f>'Actual Value'!AC195+"AM:!)K]"</f>
        <v>#VALUE!</v>
      </c>
      <c r="HK198" s="97" t="e">
        <f>'Actual Value'!AD195+"AM:!)K^"</f>
        <v>#VALUE!</v>
      </c>
      <c r="HL198" s="97" t="e">
        <f>'Actual Value'!AE195+"AM:!)K_"</f>
        <v>#VALUE!</v>
      </c>
      <c r="HM198" s="97" t="e">
        <f>'Actual Value'!AF195+"AM:!)K`"</f>
        <v>#VALUE!</v>
      </c>
      <c r="HN198" s="97" t="e">
        <f>'Actual Value'!AG195+"AM:!)Ka"</f>
        <v>#VALUE!</v>
      </c>
      <c r="HO198" s="97" t="e">
        <f>'Actual Value'!AH195+"AM:!)Kb"</f>
        <v>#VALUE!</v>
      </c>
      <c r="HP198" s="97" t="e">
        <f>'Actual Value'!AI195+"AM:!)Kc"</f>
        <v>#VALUE!</v>
      </c>
      <c r="HQ198" s="97" t="e">
        <f>'Actual Value'!AJ195+"AM:!)Kd"</f>
        <v>#VALUE!</v>
      </c>
      <c r="HR198" s="97" t="e">
        <f>'Actual Value'!AK195+"AM:!)Ke"</f>
        <v>#VALUE!</v>
      </c>
      <c r="HS198" s="97" t="e">
        <f>'Actual Value'!AL195+"AM:!)Kf"</f>
        <v>#VALUE!</v>
      </c>
      <c r="HT198" s="97" t="e">
        <f>'Actual Value'!AM195+"AM:!)Kg"</f>
        <v>#VALUE!</v>
      </c>
      <c r="HU198" s="97" t="e">
        <f>'Actual Value'!AN195+"AM:!)Kh"</f>
        <v>#VALUE!</v>
      </c>
      <c r="HV198" s="97" t="e">
        <f>'Actual Value'!AO195+"AM:!)Ki"</f>
        <v>#VALUE!</v>
      </c>
      <c r="HW198" t="e">
        <f>'Actual Value'!AP195+"AM:!)Kj"</f>
        <v>#VALUE!</v>
      </c>
      <c r="HX198" t="e">
        <f>'Actual Value'!AQ195+"AM:!)Kk"</f>
        <v>#VALUE!</v>
      </c>
      <c r="HY198" t="e">
        <f>'Actual Value'!AR195+"AM:!)Kl"</f>
        <v>#VALUE!</v>
      </c>
      <c r="HZ198" s="97" t="e">
        <f>'Actual Value'!AS195+"AM:!)Km"</f>
        <v>#VALUE!</v>
      </c>
      <c r="IA198" t="e">
        <f>'Actual Value'!AT195+"AM:!)Kn"</f>
        <v>#VALUE!</v>
      </c>
      <c r="IB198" t="e">
        <f>'Actual Value'!AU195+"AM:!)Ko"</f>
        <v>#VALUE!</v>
      </c>
      <c r="IC198" t="e">
        <f>'Actual Value'!AV195+"AM:!)Kp"</f>
        <v>#VALUE!</v>
      </c>
      <c r="ID198" t="e">
        <f>'Actual Value'!AW195+"AM:!)Kq"</f>
        <v>#VALUE!</v>
      </c>
      <c r="IE198" t="e">
        <f>'Actual Value'!A196+"AM:!)Kr"</f>
        <v>#VALUE!</v>
      </c>
      <c r="IF198" t="e">
        <f>'Actual Value'!B196+"AM:!)Ks"</f>
        <v>#VALUE!</v>
      </c>
      <c r="IG198" t="e">
        <f>'Actual Value'!C196+"AM:!)Kt"</f>
        <v>#VALUE!</v>
      </c>
      <c r="IH198" s="97" t="e">
        <f>'Actual Value'!D196+"AM:!)Ku"</f>
        <v>#VALUE!</v>
      </c>
      <c r="II198" s="97" t="e">
        <f>'Actual Value'!E196+"AM:!)Kv"</f>
        <v>#VALUE!</v>
      </c>
      <c r="IJ198" s="97" t="e">
        <f>'Actual Value'!F196+"AM:!)Kw"</f>
        <v>#VALUE!</v>
      </c>
      <c r="IK198" s="97" t="e">
        <f>'Actual Value'!G196+"AM:!)Kx"</f>
        <v>#VALUE!</v>
      </c>
      <c r="IL198" s="97" t="e">
        <f>'Actual Value'!H196+"AM:!)Ky"</f>
        <v>#VALUE!</v>
      </c>
      <c r="IM198" s="97" t="e">
        <f>'Actual Value'!I196+"AM:!)Kz"</f>
        <v>#VALUE!</v>
      </c>
      <c r="IN198" s="97" t="e">
        <f>'Actual Value'!J196+"AM:!)K{"</f>
        <v>#VALUE!</v>
      </c>
      <c r="IO198" s="97" t="e">
        <f>'Actual Value'!K196+"AM:!)K|"</f>
        <v>#VALUE!</v>
      </c>
      <c r="IP198" s="97" t="e">
        <f>'Actual Value'!L196+"AM:!)K}"</f>
        <v>#VALUE!</v>
      </c>
      <c r="IQ198" s="97" t="e">
        <f>'Actual Value'!M196+"AM:!)K~"</f>
        <v>#VALUE!</v>
      </c>
      <c r="IR198" s="97" t="e">
        <f>'Actual Value'!N196+"AM:!)L#"</f>
        <v>#VALUE!</v>
      </c>
      <c r="IS198" s="97" t="e">
        <f>'Actual Value'!O196+"AM:!)L$"</f>
        <v>#VALUE!</v>
      </c>
      <c r="IT198" s="97" t="e">
        <f>'Actual Value'!P196+"AM:!)L%"</f>
        <v>#VALUE!</v>
      </c>
      <c r="IU198" s="97" t="e">
        <f>'Actual Value'!Q196+"AM:!)L&amp;"</f>
        <v>#VALUE!</v>
      </c>
      <c r="IV198" s="97" t="e">
        <f>'Actual Value'!R196+"AM:!)L'"</f>
        <v>#VALUE!</v>
      </c>
    </row>
    <row r="199" spans="6:256">
      <c r="F199" s="97" t="e">
        <f>'Actual Value'!S196+"AM:!)L("</f>
        <v>#VALUE!</v>
      </c>
      <c r="G199" s="97" t="e">
        <f>'Actual Value'!T196+"AM:!)L)"</f>
        <v>#VALUE!</v>
      </c>
      <c r="H199" s="97" t="e">
        <f>'Actual Value'!U196+"AM:!)L."</f>
        <v>#VALUE!</v>
      </c>
      <c r="I199" s="97" t="e">
        <f>'Actual Value'!V196+"AM:!)L/"</f>
        <v>#VALUE!</v>
      </c>
      <c r="J199" s="97" t="e">
        <f>'Actual Value'!W196+"AM:!)L0"</f>
        <v>#VALUE!</v>
      </c>
      <c r="K199" s="97" t="e">
        <f>'Actual Value'!X196+"AM:!)L1"</f>
        <v>#VALUE!</v>
      </c>
      <c r="L199" s="97" t="e">
        <f>'Actual Value'!Y196+"AM:!)L2"</f>
        <v>#VALUE!</v>
      </c>
      <c r="M199" s="97" t="e">
        <f>'Actual Value'!Z196+"AM:!)L3"</f>
        <v>#VALUE!</v>
      </c>
      <c r="N199" s="97" t="e">
        <f>'Actual Value'!AA196+"AM:!)L4"</f>
        <v>#VALUE!</v>
      </c>
      <c r="O199" s="97" t="e">
        <f>'Actual Value'!AB196+"AM:!)L5"</f>
        <v>#VALUE!</v>
      </c>
      <c r="P199" s="97" t="e">
        <f>'Actual Value'!AC196+"AM:!)L6"</f>
        <v>#VALUE!</v>
      </c>
      <c r="Q199" s="97" t="e">
        <f>'Actual Value'!AD196+"AM:!)L7"</f>
        <v>#VALUE!</v>
      </c>
      <c r="R199" s="97" t="e">
        <f>'Actual Value'!AE196+"AM:!)L8"</f>
        <v>#VALUE!</v>
      </c>
      <c r="S199" s="97" t="e">
        <f>'Actual Value'!AF196+"AM:!)L9"</f>
        <v>#VALUE!</v>
      </c>
      <c r="T199" s="97" t="e">
        <f>'Actual Value'!AG196+"AM:!)L:"</f>
        <v>#VALUE!</v>
      </c>
      <c r="U199" s="97" t="e">
        <f>'Actual Value'!AH196+"AM:!)L;"</f>
        <v>#VALUE!</v>
      </c>
      <c r="V199" s="97" t="e">
        <f>'Actual Value'!AI196+"AM:!)L&lt;"</f>
        <v>#VALUE!</v>
      </c>
      <c r="W199" s="97" t="e">
        <f>'Actual Value'!AJ196+"AM:!)L="</f>
        <v>#VALUE!</v>
      </c>
      <c r="X199" s="97" t="e">
        <f>'Actual Value'!AK196+"AM:!)L&gt;"</f>
        <v>#VALUE!</v>
      </c>
      <c r="Y199" s="97" t="e">
        <f>'Actual Value'!AL196+"AM:!)L?"</f>
        <v>#VALUE!</v>
      </c>
      <c r="Z199" s="97" t="e">
        <f>'Actual Value'!AM196+"AM:!)L@"</f>
        <v>#VALUE!</v>
      </c>
      <c r="AA199" s="97" t="e">
        <f>'Actual Value'!AN196+"AM:!)LA"</f>
        <v>#VALUE!</v>
      </c>
      <c r="AB199" s="97" t="e">
        <f>'Actual Value'!AO196+"AM:!)LB"</f>
        <v>#VALUE!</v>
      </c>
      <c r="AC199" t="e">
        <f>'Actual Value'!AP196+"AM:!)LC"</f>
        <v>#VALUE!</v>
      </c>
      <c r="AD199" t="e">
        <f>'Actual Value'!AQ196+"AM:!)LD"</f>
        <v>#VALUE!</v>
      </c>
      <c r="AE199" t="e">
        <f>'Actual Value'!AR196+"AM:!)LE"</f>
        <v>#VALUE!</v>
      </c>
      <c r="AF199" t="e">
        <f>'Actual Value'!AS196+"AM:!)LF"</f>
        <v>#VALUE!</v>
      </c>
      <c r="AG199" t="e">
        <f>'Actual Value'!AT196+"AM:!)LG"</f>
        <v>#VALUE!</v>
      </c>
      <c r="AH199" t="e">
        <f>'Actual Value'!AU196+"AM:!)LH"</f>
        <v>#VALUE!</v>
      </c>
      <c r="AI199" t="e">
        <f>'Actual Value'!AV196+"AM:!)LI"</f>
        <v>#VALUE!</v>
      </c>
      <c r="AJ199" t="e">
        <f>'Actual Value'!AW196+"AM:!)LJ"</f>
        <v>#VALUE!</v>
      </c>
      <c r="AK199" t="e">
        <f>'Actual Value'!A197+"AM:!)LK"</f>
        <v>#VALUE!</v>
      </c>
      <c r="AL199" t="e">
        <f>'Actual Value'!B197+"AM:!)LL"</f>
        <v>#VALUE!</v>
      </c>
      <c r="AM199" t="e">
        <f>'Actual Value'!C197+"AM:!)LM"</f>
        <v>#VALUE!</v>
      </c>
      <c r="AN199" s="97" t="e">
        <f>'Actual Value'!D197+"AM:!)LN"</f>
        <v>#VALUE!</v>
      </c>
      <c r="AO199" s="97" t="e">
        <f>'Actual Value'!E197+"AM:!)LO"</f>
        <v>#VALUE!</v>
      </c>
      <c r="AP199" s="97" t="e">
        <f>'Actual Value'!F197+"AM:!)LP"</f>
        <v>#VALUE!</v>
      </c>
      <c r="AQ199" s="97" t="e">
        <f>'Actual Value'!G197+"AM:!)LQ"</f>
        <v>#VALUE!</v>
      </c>
      <c r="AR199" s="97" t="e">
        <f>'Actual Value'!H197+"AM:!)LR"</f>
        <v>#VALUE!</v>
      </c>
      <c r="AS199" s="97" t="e">
        <f>'Actual Value'!I197+"AM:!)LS"</f>
        <v>#VALUE!</v>
      </c>
      <c r="AT199" s="97" t="e">
        <f>'Actual Value'!J197+"AM:!)LT"</f>
        <v>#VALUE!</v>
      </c>
      <c r="AU199" s="97" t="e">
        <f>'Actual Value'!K197+"AM:!)LU"</f>
        <v>#VALUE!</v>
      </c>
      <c r="AV199" s="97" t="e">
        <f>'Actual Value'!L197+"AM:!)LV"</f>
        <v>#VALUE!</v>
      </c>
      <c r="AW199" s="97" t="e">
        <f>'Actual Value'!M197+"AM:!)LW"</f>
        <v>#VALUE!</v>
      </c>
      <c r="AX199" s="97" t="e">
        <f>'Actual Value'!N197+"AM:!)LX"</f>
        <v>#VALUE!</v>
      </c>
      <c r="AY199" s="97" t="e">
        <f>'Actual Value'!O197+"AM:!)LY"</f>
        <v>#VALUE!</v>
      </c>
      <c r="AZ199" s="97" t="e">
        <f>'Actual Value'!P197+"AM:!)LZ"</f>
        <v>#VALUE!</v>
      </c>
      <c r="BA199" s="97" t="e">
        <f>'Actual Value'!Q197+"AM:!)L["</f>
        <v>#VALUE!</v>
      </c>
      <c r="BB199" s="97" t="e">
        <f>'Actual Value'!R197+"AM:!)L\"</f>
        <v>#VALUE!</v>
      </c>
      <c r="BC199" s="97" t="e">
        <f>'Actual Value'!S197+"AM:!)L]"</f>
        <v>#VALUE!</v>
      </c>
      <c r="BD199" s="97" t="e">
        <f>'Actual Value'!T197+"AM:!)L^"</f>
        <v>#VALUE!</v>
      </c>
      <c r="BE199" s="97" t="e">
        <f>'Actual Value'!U197+"AM:!)L_"</f>
        <v>#VALUE!</v>
      </c>
      <c r="BF199" s="97" t="e">
        <f>'Actual Value'!V197+"AM:!)L`"</f>
        <v>#VALUE!</v>
      </c>
      <c r="BG199" s="97" t="e">
        <f>'Actual Value'!W197+"AM:!)La"</f>
        <v>#VALUE!</v>
      </c>
      <c r="BH199" s="97" t="e">
        <f>'Actual Value'!X197+"AM:!)Lb"</f>
        <v>#VALUE!</v>
      </c>
      <c r="BI199" s="97" t="e">
        <f>'Actual Value'!Y197+"AM:!)Lc"</f>
        <v>#VALUE!</v>
      </c>
      <c r="BJ199" s="97" t="e">
        <f>'Actual Value'!Z197+"AM:!)Ld"</f>
        <v>#VALUE!</v>
      </c>
      <c r="BK199" s="97" t="e">
        <f>'Actual Value'!AA197+"AM:!)Le"</f>
        <v>#VALUE!</v>
      </c>
      <c r="BL199" s="97" t="e">
        <f>'Actual Value'!AB197+"AM:!)Lf"</f>
        <v>#VALUE!</v>
      </c>
      <c r="BM199" s="97" t="e">
        <f>'Actual Value'!AC197+"AM:!)Lg"</f>
        <v>#VALUE!</v>
      </c>
      <c r="BN199" s="97" t="e">
        <f>'Actual Value'!AD197+"AM:!)Lh"</f>
        <v>#VALUE!</v>
      </c>
      <c r="BO199" s="97" t="e">
        <f>'Actual Value'!AE197+"AM:!)Li"</f>
        <v>#VALUE!</v>
      </c>
      <c r="BP199" s="97" t="e">
        <f>'Actual Value'!AF197+"AM:!)Lj"</f>
        <v>#VALUE!</v>
      </c>
      <c r="BQ199" s="97" t="e">
        <f>'Actual Value'!AG197+"AM:!)Lk"</f>
        <v>#VALUE!</v>
      </c>
      <c r="BR199" s="97" t="e">
        <f>'Actual Value'!AH197+"AM:!)Ll"</f>
        <v>#VALUE!</v>
      </c>
      <c r="BS199" s="97" t="e">
        <f>'Actual Value'!AI197+"AM:!)Lm"</f>
        <v>#VALUE!</v>
      </c>
      <c r="BT199" s="97" t="e">
        <f>'Actual Value'!AJ197+"AM:!)Ln"</f>
        <v>#VALUE!</v>
      </c>
      <c r="BU199" s="97" t="e">
        <f>'Actual Value'!AK197+"AM:!)Lo"</f>
        <v>#VALUE!</v>
      </c>
      <c r="BV199" s="97" t="e">
        <f>'Actual Value'!AL197+"AM:!)Lp"</f>
        <v>#VALUE!</v>
      </c>
      <c r="BW199" s="97" t="e">
        <f>'Actual Value'!AM197+"AM:!)Lq"</f>
        <v>#VALUE!</v>
      </c>
      <c r="BX199" s="97" t="e">
        <f>'Actual Value'!AN197+"AM:!)Lr"</f>
        <v>#VALUE!</v>
      </c>
      <c r="BY199" s="97" t="e">
        <f>'Actual Value'!AO197+"AM:!)Ls"</f>
        <v>#VALUE!</v>
      </c>
      <c r="BZ199" t="e">
        <f>'Actual Value'!AP197+"AM:!)Lt"</f>
        <v>#VALUE!</v>
      </c>
      <c r="CA199" t="e">
        <f>'Actual Value'!AQ197+"AM:!)Lu"</f>
        <v>#VALUE!</v>
      </c>
      <c r="CB199" t="e">
        <f>'Actual Value'!AR197+"AM:!)Lv"</f>
        <v>#VALUE!</v>
      </c>
      <c r="CC199" t="e">
        <f>'Actual Value'!AS197+"AM:!)Lw"</f>
        <v>#VALUE!</v>
      </c>
      <c r="CD199" t="e">
        <f>'Actual Value'!AT197+"AM:!)Lx"</f>
        <v>#VALUE!</v>
      </c>
      <c r="CE199" t="e">
        <f>'Actual Value'!AU197+"AM:!)Ly"</f>
        <v>#VALUE!</v>
      </c>
      <c r="CF199" t="e">
        <f>'Actual Value'!AV197+"AM:!)Lz"</f>
        <v>#VALUE!</v>
      </c>
      <c r="CG199" t="e">
        <f>'Actual Value'!AW197+"AM:!)L{"</f>
        <v>#VALUE!</v>
      </c>
      <c r="CH199" t="e">
        <f>'Actual Value'!AX197+"AM:!)L|"</f>
        <v>#VALUE!</v>
      </c>
      <c r="CI199" t="e">
        <f>'Actual Value'!A198+"AM:!)L}"</f>
        <v>#VALUE!</v>
      </c>
      <c r="CJ199" t="e">
        <f>'Actual Value'!B198+"AM:!)L~"</f>
        <v>#VALUE!</v>
      </c>
      <c r="CK199" t="e">
        <f>'Actual Value'!C198+"AM:!)M#"</f>
        <v>#VALUE!</v>
      </c>
      <c r="CL199" s="97" t="e">
        <f>'Actual Value'!D198+"AM:!)M$"</f>
        <v>#VALUE!</v>
      </c>
      <c r="CM199" s="97" t="e">
        <f>'Actual Value'!E198+"AM:!)M%"</f>
        <v>#VALUE!</v>
      </c>
      <c r="CN199" s="97" t="e">
        <f>'Actual Value'!F198+"AM:!)M&amp;"</f>
        <v>#VALUE!</v>
      </c>
      <c r="CO199" s="97" t="e">
        <f>'Actual Value'!G198+"AM:!)M'"</f>
        <v>#VALUE!</v>
      </c>
      <c r="CP199" s="97" t="e">
        <f>'Actual Value'!H198+"AM:!)M("</f>
        <v>#VALUE!</v>
      </c>
      <c r="CQ199" s="97" t="e">
        <f>'Actual Value'!I198+"AM:!)M)"</f>
        <v>#VALUE!</v>
      </c>
      <c r="CR199" s="97" t="e">
        <f>'Actual Value'!J198+"AM:!)M."</f>
        <v>#VALUE!</v>
      </c>
      <c r="CS199" s="97" t="e">
        <f>'Actual Value'!K198+"AM:!)M/"</f>
        <v>#VALUE!</v>
      </c>
      <c r="CT199" s="97" t="e">
        <f>'Actual Value'!L198+"AM:!)M0"</f>
        <v>#VALUE!</v>
      </c>
      <c r="CU199" s="97" t="e">
        <f>'Actual Value'!M198+"AM:!)M1"</f>
        <v>#VALUE!</v>
      </c>
      <c r="CV199" s="97" t="e">
        <f>'Actual Value'!N198+"AM:!)M2"</f>
        <v>#VALUE!</v>
      </c>
      <c r="CW199" s="97" t="e">
        <f>'Actual Value'!O198+"AM:!)M3"</f>
        <v>#VALUE!</v>
      </c>
      <c r="CX199" s="97" t="e">
        <f>'Actual Value'!P198+"AM:!)M4"</f>
        <v>#VALUE!</v>
      </c>
      <c r="CY199" s="97" t="e">
        <f>'Actual Value'!Q198+"AM:!)M5"</f>
        <v>#VALUE!</v>
      </c>
      <c r="CZ199" s="97" t="e">
        <f>'Actual Value'!R198+"AM:!)M6"</f>
        <v>#VALUE!</v>
      </c>
      <c r="DA199" s="97" t="e">
        <f>'Actual Value'!S198+"AM:!)M7"</f>
        <v>#VALUE!</v>
      </c>
      <c r="DB199" s="97" t="e">
        <f>'Actual Value'!T198+"AM:!)M8"</f>
        <v>#VALUE!</v>
      </c>
      <c r="DC199" s="97" t="e">
        <f>'Actual Value'!U198+"AM:!)M9"</f>
        <v>#VALUE!</v>
      </c>
      <c r="DD199" s="97" t="e">
        <f>'Actual Value'!V198+"AM:!)M:"</f>
        <v>#VALUE!</v>
      </c>
      <c r="DE199" s="97" t="e">
        <f>'Actual Value'!W198+"AM:!)M;"</f>
        <v>#VALUE!</v>
      </c>
      <c r="DF199" s="97" t="e">
        <f>'Actual Value'!X198+"AM:!)M&lt;"</f>
        <v>#VALUE!</v>
      </c>
      <c r="DG199" s="97" t="e">
        <f>'Actual Value'!Y198+"AM:!)M="</f>
        <v>#VALUE!</v>
      </c>
      <c r="DH199" s="97" t="e">
        <f>'Actual Value'!Z198+"AM:!)M&gt;"</f>
        <v>#VALUE!</v>
      </c>
      <c r="DI199" s="97" t="e">
        <f>'Actual Value'!AA198+"AM:!)M?"</f>
        <v>#VALUE!</v>
      </c>
      <c r="DJ199" s="97" t="e">
        <f>'Actual Value'!AB198+"AM:!)M@"</f>
        <v>#VALUE!</v>
      </c>
      <c r="DK199" s="97" t="e">
        <f>'Actual Value'!AC198+"AM:!)MA"</f>
        <v>#VALUE!</v>
      </c>
      <c r="DL199" s="97" t="e">
        <f>'Actual Value'!AD198+"AM:!)MB"</f>
        <v>#VALUE!</v>
      </c>
      <c r="DM199" s="97" t="e">
        <f>'Actual Value'!AE198+"AM:!)MC"</f>
        <v>#VALUE!</v>
      </c>
      <c r="DN199" s="97" t="e">
        <f>'Actual Value'!AF198+"AM:!)MD"</f>
        <v>#VALUE!</v>
      </c>
      <c r="DO199" s="97" t="e">
        <f>'Actual Value'!AG198+"AM:!)ME"</f>
        <v>#VALUE!</v>
      </c>
      <c r="DP199" s="97" t="e">
        <f>'Actual Value'!AH198+"AM:!)MF"</f>
        <v>#VALUE!</v>
      </c>
      <c r="DQ199" s="97" t="e">
        <f>'Actual Value'!AI198+"AM:!)MG"</f>
        <v>#VALUE!</v>
      </c>
      <c r="DR199" s="97" t="e">
        <f>'Actual Value'!AJ198+"AM:!)MH"</f>
        <v>#VALUE!</v>
      </c>
      <c r="DS199" s="97" t="e">
        <f>'Actual Value'!AK198+"AM:!)MI"</f>
        <v>#VALUE!</v>
      </c>
      <c r="DT199" s="97" t="e">
        <f>'Actual Value'!AL198+"AM:!)MJ"</f>
        <v>#VALUE!</v>
      </c>
      <c r="DU199" s="97" t="e">
        <f>'Actual Value'!AM198+"AM:!)MK"</f>
        <v>#VALUE!</v>
      </c>
      <c r="DV199" s="97" t="e">
        <f>'Actual Value'!AN198+"AM:!)ML"</f>
        <v>#VALUE!</v>
      </c>
      <c r="DW199" s="97" t="e">
        <f>'Actual Value'!AO198+"AM:!)MM"</f>
        <v>#VALUE!</v>
      </c>
      <c r="DX199" t="e">
        <f>'Actual Value'!AP198+"AM:!)MN"</f>
        <v>#VALUE!</v>
      </c>
      <c r="DY199" t="e">
        <f>'Actual Value'!AQ198+"AM:!)MO"</f>
        <v>#VALUE!</v>
      </c>
      <c r="DZ199" t="e">
        <f>'Actual Value'!AR198+"AM:!)MP"</f>
        <v>#VALUE!</v>
      </c>
      <c r="EA199" t="e">
        <f>'Actual Value'!AS198+"AM:!)MQ"</f>
        <v>#VALUE!</v>
      </c>
      <c r="EB199" t="e">
        <f>'Actual Value'!AT198+"AM:!)MR"</f>
        <v>#VALUE!</v>
      </c>
      <c r="EC199" t="e">
        <f>'Actual Value'!AU198+"AM:!)MS"</f>
        <v>#VALUE!</v>
      </c>
      <c r="ED199" t="e">
        <f>'Actual Value'!AV198+"AM:!)MT"</f>
        <v>#VALUE!</v>
      </c>
      <c r="EE199" t="e">
        <f>'Actual Value'!AW198+"AM:!)MU"</f>
        <v>#VALUE!</v>
      </c>
      <c r="EF199" t="e">
        <f>'Actual Value'!AX198+"AM:!)MV"</f>
        <v>#VALUE!</v>
      </c>
      <c r="EG199" t="e">
        <f>'Actual Value'!A199+"AM:!)MW"</f>
        <v>#VALUE!</v>
      </c>
      <c r="EH199" t="e">
        <f>'Actual Value'!B199+"AM:!)MX"</f>
        <v>#VALUE!</v>
      </c>
      <c r="EI199" t="e">
        <f>'Actual Value'!C199+"AM:!)MY"</f>
        <v>#VALUE!</v>
      </c>
      <c r="EJ199" s="97" t="e">
        <f>'Actual Value'!D199+"AM:!)MZ"</f>
        <v>#VALUE!</v>
      </c>
      <c r="EK199" s="97" t="e">
        <f>'Actual Value'!E199+"AM:!)M["</f>
        <v>#VALUE!</v>
      </c>
      <c r="EL199" s="97" t="e">
        <f>'Actual Value'!F199+"AM:!)M\"</f>
        <v>#VALUE!</v>
      </c>
      <c r="EM199" s="97" t="e">
        <f>'Actual Value'!G199+"AM:!)M]"</f>
        <v>#VALUE!</v>
      </c>
      <c r="EN199" s="97" t="e">
        <f>'Actual Value'!H199+"AM:!)M^"</f>
        <v>#VALUE!</v>
      </c>
      <c r="EO199" s="97" t="e">
        <f>'Actual Value'!I199+"AM:!)M_"</f>
        <v>#VALUE!</v>
      </c>
      <c r="EP199" s="97" t="e">
        <f>'Actual Value'!J199+"AM:!)M`"</f>
        <v>#VALUE!</v>
      </c>
      <c r="EQ199" s="97" t="e">
        <f>'Actual Value'!K199+"AM:!)Ma"</f>
        <v>#VALUE!</v>
      </c>
      <c r="ER199" s="97" t="e">
        <f>'Actual Value'!L199+"AM:!)Mb"</f>
        <v>#VALUE!</v>
      </c>
      <c r="ES199" s="97" t="e">
        <f>'Actual Value'!M199+"AM:!)Mc"</f>
        <v>#VALUE!</v>
      </c>
      <c r="ET199" s="97" t="e">
        <f>'Actual Value'!N199+"AM:!)Md"</f>
        <v>#VALUE!</v>
      </c>
      <c r="EU199" s="97" t="e">
        <f>'Actual Value'!O199+"AM:!)Me"</f>
        <v>#VALUE!</v>
      </c>
      <c r="EV199" s="97" t="e">
        <f>'Actual Value'!P199+"AM:!)Mf"</f>
        <v>#VALUE!</v>
      </c>
      <c r="EW199" s="97" t="e">
        <f>'Actual Value'!Q199+"AM:!)Mg"</f>
        <v>#VALUE!</v>
      </c>
      <c r="EX199" s="97" t="e">
        <f>'Actual Value'!R199+"AM:!)Mh"</f>
        <v>#VALUE!</v>
      </c>
      <c r="EY199" s="97" t="e">
        <f>'Actual Value'!S199+"AM:!)Mi"</f>
        <v>#VALUE!</v>
      </c>
      <c r="EZ199" s="97" t="e">
        <f>'Actual Value'!T199+"AM:!)Mj"</f>
        <v>#VALUE!</v>
      </c>
      <c r="FA199" s="97" t="e">
        <f>'Actual Value'!U199+"AM:!)Mk"</f>
        <v>#VALUE!</v>
      </c>
      <c r="FB199" s="97" t="e">
        <f>'Actual Value'!V199+"AM:!)Ml"</f>
        <v>#VALUE!</v>
      </c>
      <c r="FC199" s="97" t="e">
        <f>'Actual Value'!W199+"AM:!)Mm"</f>
        <v>#VALUE!</v>
      </c>
      <c r="FD199" s="97" t="e">
        <f>'Actual Value'!X199+"AM:!)Mn"</f>
        <v>#VALUE!</v>
      </c>
      <c r="FE199" s="97" t="e">
        <f>'Actual Value'!Y199+"AM:!)Mo"</f>
        <v>#VALUE!</v>
      </c>
      <c r="FF199" s="97" t="e">
        <f>'Actual Value'!Z199+"AM:!)Mp"</f>
        <v>#VALUE!</v>
      </c>
      <c r="FG199" s="97" t="e">
        <f>'Actual Value'!AA199+"AM:!)Mq"</f>
        <v>#VALUE!</v>
      </c>
      <c r="FH199" s="97" t="e">
        <f>'Actual Value'!AB199+"AM:!)Mr"</f>
        <v>#VALUE!</v>
      </c>
      <c r="FI199" s="97" t="e">
        <f>'Actual Value'!AC199+"AM:!)Ms"</f>
        <v>#VALUE!</v>
      </c>
      <c r="FJ199" s="97" t="e">
        <f>'Actual Value'!AD199+"AM:!)Mt"</f>
        <v>#VALUE!</v>
      </c>
      <c r="FK199" s="97" t="e">
        <f>'Actual Value'!AE199+"AM:!)Mu"</f>
        <v>#VALUE!</v>
      </c>
      <c r="FL199" s="97" t="e">
        <f>'Actual Value'!AF199+"AM:!)Mv"</f>
        <v>#VALUE!</v>
      </c>
      <c r="FM199" s="97" t="e">
        <f>'Actual Value'!AG199+"AM:!)Mw"</f>
        <v>#VALUE!</v>
      </c>
      <c r="FN199" s="97" t="e">
        <f>'Actual Value'!AH199+"AM:!)Mx"</f>
        <v>#VALUE!</v>
      </c>
      <c r="FO199" s="97" t="e">
        <f>'Actual Value'!AI199+"AM:!)My"</f>
        <v>#VALUE!</v>
      </c>
      <c r="FP199" s="97" t="e">
        <f>'Actual Value'!AJ199+"AM:!)Mz"</f>
        <v>#VALUE!</v>
      </c>
      <c r="FQ199" s="97" t="e">
        <f>'Actual Value'!AK199+"AM:!)M{"</f>
        <v>#VALUE!</v>
      </c>
      <c r="FR199" s="97" t="e">
        <f>'Actual Value'!AL199+"AM:!)M|"</f>
        <v>#VALUE!</v>
      </c>
      <c r="FS199" s="97" t="e">
        <f>'Actual Value'!AM199+"AM:!)M}"</f>
        <v>#VALUE!</v>
      </c>
      <c r="FT199" s="97" t="e">
        <f>'Actual Value'!AN199+"AM:!)M~"</f>
        <v>#VALUE!</v>
      </c>
      <c r="FU199" s="97" t="e">
        <f>'Actual Value'!AO199+"AM:!)N#"</f>
        <v>#VALUE!</v>
      </c>
      <c r="FV199" t="e">
        <f>'Actual Value'!AP199+"AM:!)N$"</f>
        <v>#VALUE!</v>
      </c>
      <c r="FW199" t="e">
        <f>'Actual Value'!AQ199+"AM:!)N%"</f>
        <v>#VALUE!</v>
      </c>
      <c r="FX199" t="e">
        <f>'Actual Value'!AR199+"AM:!)N&amp;"</f>
        <v>#VALUE!</v>
      </c>
      <c r="FY199" t="e">
        <f>'Actual Value'!AS199+"AM:!)N'"</f>
        <v>#VALUE!</v>
      </c>
      <c r="FZ199" t="e">
        <f>'Actual Value'!AT199+"AM:!)N("</f>
        <v>#VALUE!</v>
      </c>
      <c r="GA199" t="e">
        <f>'Actual Value'!AU199+"AM:!)N)"</f>
        <v>#VALUE!</v>
      </c>
      <c r="GB199" t="e">
        <f>'Actual Value'!AV199+"AM:!)N."</f>
        <v>#VALUE!</v>
      </c>
      <c r="GC199" t="e">
        <f>'Actual Value'!AW199+"AM:!)N/"</f>
        <v>#VALUE!</v>
      </c>
      <c r="GD199" t="e">
        <f>'Actual Value'!AX199+"AM:!)N0"</f>
        <v>#VALUE!</v>
      </c>
      <c r="GE199" t="e">
        <f>'Actual Value'!A200+"AM:!)N1"</f>
        <v>#VALUE!</v>
      </c>
      <c r="GF199" t="e">
        <f>'Actual Value'!B200+"AM:!)N2"</f>
        <v>#VALUE!</v>
      </c>
      <c r="GG199" t="e">
        <f>'Actual Value'!C200+"AM:!)N3"</f>
        <v>#VALUE!</v>
      </c>
      <c r="GH199" s="97" t="e">
        <f>'Actual Value'!D200+"AM:!)N4"</f>
        <v>#VALUE!</v>
      </c>
      <c r="GI199" s="97" t="e">
        <f>'Actual Value'!E200+"AM:!)N5"</f>
        <v>#VALUE!</v>
      </c>
      <c r="GJ199" s="97" t="e">
        <f>'Actual Value'!F200+"AM:!)N6"</f>
        <v>#VALUE!</v>
      </c>
      <c r="GK199" s="97" t="e">
        <f>'Actual Value'!G200+"AM:!)N7"</f>
        <v>#VALUE!</v>
      </c>
      <c r="GL199" s="97" t="e">
        <f>'Actual Value'!H200+"AM:!)N8"</f>
        <v>#VALUE!</v>
      </c>
      <c r="GM199" s="97" t="e">
        <f>'Actual Value'!I200+"AM:!)N9"</f>
        <v>#VALUE!</v>
      </c>
      <c r="GN199" s="97" t="e">
        <f>'Actual Value'!J200+"AM:!)N:"</f>
        <v>#VALUE!</v>
      </c>
      <c r="GO199" s="97" t="e">
        <f>'Actual Value'!K200+"AM:!)N;"</f>
        <v>#VALUE!</v>
      </c>
      <c r="GP199" s="97" t="e">
        <f>'Actual Value'!L200+"AM:!)N&lt;"</f>
        <v>#VALUE!</v>
      </c>
      <c r="GQ199" s="97" t="e">
        <f>'Actual Value'!M200+"AM:!)N="</f>
        <v>#VALUE!</v>
      </c>
      <c r="GR199" s="97" t="e">
        <f>'Actual Value'!N200+"AM:!)N&gt;"</f>
        <v>#VALUE!</v>
      </c>
      <c r="GS199" s="97" t="e">
        <f>'Actual Value'!O200+"AM:!)N?"</f>
        <v>#VALUE!</v>
      </c>
      <c r="GT199" s="97" t="e">
        <f>'Actual Value'!P200+"AM:!)N@"</f>
        <v>#VALUE!</v>
      </c>
      <c r="GU199" s="97" t="e">
        <f>'Actual Value'!Q200+"AM:!)NA"</f>
        <v>#VALUE!</v>
      </c>
      <c r="GV199" s="97" t="e">
        <f>'Actual Value'!R200+"AM:!)NB"</f>
        <v>#VALUE!</v>
      </c>
      <c r="GW199" s="97" t="e">
        <f>'Actual Value'!S200+"AM:!)NC"</f>
        <v>#VALUE!</v>
      </c>
      <c r="GX199" s="97" t="e">
        <f>'Actual Value'!T200+"AM:!)ND"</f>
        <v>#VALUE!</v>
      </c>
      <c r="GY199" s="97" t="e">
        <f>'Actual Value'!U200+"AM:!)NE"</f>
        <v>#VALUE!</v>
      </c>
      <c r="GZ199" s="97" t="e">
        <f>'Actual Value'!V200+"AM:!)NF"</f>
        <v>#VALUE!</v>
      </c>
      <c r="HA199" s="97" t="e">
        <f>'Actual Value'!W200+"AM:!)NG"</f>
        <v>#VALUE!</v>
      </c>
      <c r="HB199" s="97" t="e">
        <f>'Actual Value'!X200+"AM:!)NH"</f>
        <v>#VALUE!</v>
      </c>
      <c r="HC199" s="97" t="e">
        <f>'Actual Value'!Y200+"AM:!)NI"</f>
        <v>#VALUE!</v>
      </c>
      <c r="HD199" s="97" t="e">
        <f>'Actual Value'!Z200+"AM:!)NJ"</f>
        <v>#VALUE!</v>
      </c>
      <c r="HE199" s="97" t="e">
        <f>'Actual Value'!AA200+"AM:!)NK"</f>
        <v>#VALUE!</v>
      </c>
      <c r="HF199" s="97" t="e">
        <f>'Actual Value'!AB200+"AM:!)NL"</f>
        <v>#VALUE!</v>
      </c>
      <c r="HG199" s="97" t="e">
        <f>'Actual Value'!AC200+"AM:!)NM"</f>
        <v>#VALUE!</v>
      </c>
      <c r="HH199" s="97" t="e">
        <f>'Actual Value'!AD200+"AM:!)NN"</f>
        <v>#VALUE!</v>
      </c>
      <c r="HI199" s="97" t="e">
        <f>'Actual Value'!AE200+"AM:!)NO"</f>
        <v>#VALUE!</v>
      </c>
      <c r="HJ199" s="97" t="e">
        <f>'Actual Value'!AF200+"AM:!)NP"</f>
        <v>#VALUE!</v>
      </c>
      <c r="HK199" s="97" t="e">
        <f>'Actual Value'!AG200+"AM:!)NQ"</f>
        <v>#VALUE!</v>
      </c>
      <c r="HL199" s="97" t="e">
        <f>'Actual Value'!AH200+"AM:!)NR"</f>
        <v>#VALUE!</v>
      </c>
      <c r="HM199" s="97" t="e">
        <f>'Actual Value'!AI200+"AM:!)NS"</f>
        <v>#VALUE!</v>
      </c>
      <c r="HN199" s="97" t="e">
        <f>'Actual Value'!AJ200+"AM:!)NT"</f>
        <v>#VALUE!</v>
      </c>
      <c r="HO199" s="97" t="e">
        <f>'Actual Value'!AK200+"AM:!)NU"</f>
        <v>#VALUE!</v>
      </c>
      <c r="HP199" s="97" t="e">
        <f>'Actual Value'!AL200+"AM:!)NV"</f>
        <v>#VALUE!</v>
      </c>
      <c r="HQ199" s="97" t="e">
        <f>'Actual Value'!AM200+"AM:!)NW"</f>
        <v>#VALUE!</v>
      </c>
      <c r="HR199" s="97" t="e">
        <f>'Actual Value'!AN200+"AM:!)NX"</f>
        <v>#VALUE!</v>
      </c>
      <c r="HS199" s="97" t="e">
        <f>'Actual Value'!AO200+"AM:!)NY"</f>
        <v>#VALUE!</v>
      </c>
      <c r="HT199" t="e">
        <f>'Actual Value'!AP200+"AM:!)NZ"</f>
        <v>#VALUE!</v>
      </c>
      <c r="HU199" t="e">
        <f>'Actual Value'!AQ200+"AM:!)N["</f>
        <v>#VALUE!</v>
      </c>
      <c r="HV199" t="e">
        <f>'Actual Value'!AR200+"AM:!)N\"</f>
        <v>#VALUE!</v>
      </c>
      <c r="HW199" t="e">
        <f>'Actual Value'!AS200+"AM:!)N]"</f>
        <v>#VALUE!</v>
      </c>
      <c r="HX199" t="e">
        <f>'Actual Value'!AT200+"AM:!)N^"</f>
        <v>#VALUE!</v>
      </c>
      <c r="HY199" t="e">
        <f>'Actual Value'!AU200+"AM:!)N_"</f>
        <v>#VALUE!</v>
      </c>
      <c r="HZ199" t="e">
        <f>'Actual Value'!AV200+"AM:!)N`"</f>
        <v>#VALUE!</v>
      </c>
      <c r="IA199" t="e">
        <f>'Actual Value'!AW200+"AM:!)Na"</f>
        <v>#VALUE!</v>
      </c>
      <c r="IB199" t="e">
        <f>'Actual Value'!AX200+"AM:!)Nb"</f>
        <v>#VALUE!</v>
      </c>
      <c r="IC199" t="e">
        <f>'Actual Value'!A201+"AM:!)Nc"</f>
        <v>#VALUE!</v>
      </c>
      <c r="ID199" t="e">
        <f>'Actual Value'!B201+"AM:!)Nd"</f>
        <v>#VALUE!</v>
      </c>
      <c r="IE199" t="e">
        <f>'Actual Value'!C201+"AM:!)Ne"</f>
        <v>#VALUE!</v>
      </c>
      <c r="IF199" s="97" t="e">
        <f>'Actual Value'!D201+"AM:!)Nf"</f>
        <v>#VALUE!</v>
      </c>
      <c r="IG199" s="97" t="e">
        <f>'Actual Value'!E201+"AM:!)Ng"</f>
        <v>#VALUE!</v>
      </c>
      <c r="IH199" s="97" t="e">
        <f>'Actual Value'!F201+"AM:!)Nh"</f>
        <v>#VALUE!</v>
      </c>
      <c r="II199" s="97" t="e">
        <f>'Actual Value'!G201+"AM:!)Ni"</f>
        <v>#VALUE!</v>
      </c>
      <c r="IJ199" s="97" t="e">
        <f>'Actual Value'!H201+"AM:!)Nj"</f>
        <v>#VALUE!</v>
      </c>
      <c r="IK199" s="97" t="e">
        <f>'Actual Value'!I201+"AM:!)Nk"</f>
        <v>#VALUE!</v>
      </c>
      <c r="IL199" s="97" t="e">
        <f>'Actual Value'!J201+"AM:!)Nl"</f>
        <v>#VALUE!</v>
      </c>
      <c r="IM199" s="97" t="e">
        <f>'Actual Value'!K201+"AM:!)Nm"</f>
        <v>#VALUE!</v>
      </c>
      <c r="IN199" s="97" t="e">
        <f>'Actual Value'!L201+"AM:!)Nn"</f>
        <v>#VALUE!</v>
      </c>
      <c r="IO199" s="97" t="e">
        <f>'Actual Value'!M201+"AM:!)No"</f>
        <v>#VALUE!</v>
      </c>
      <c r="IP199" s="97" t="e">
        <f>'Actual Value'!N201+"AM:!)Np"</f>
        <v>#VALUE!</v>
      </c>
      <c r="IQ199" s="97" t="e">
        <f>'Actual Value'!O201+"AM:!)Nq"</f>
        <v>#VALUE!</v>
      </c>
      <c r="IR199" s="97" t="e">
        <f>'Actual Value'!P201+"AM:!)Nr"</f>
        <v>#VALUE!</v>
      </c>
      <c r="IS199" s="97" t="e">
        <f>'Actual Value'!Q201+"AM:!)Ns"</f>
        <v>#VALUE!</v>
      </c>
      <c r="IT199" s="97" t="e">
        <f>'Actual Value'!R201+"AM:!)Nt"</f>
        <v>#VALUE!</v>
      </c>
      <c r="IU199" s="97" t="e">
        <f>'Actual Value'!S201+"AM:!)Nu"</f>
        <v>#VALUE!</v>
      </c>
      <c r="IV199" s="97" t="e">
        <f>'Actual Value'!T201+"AM:!)Nv"</f>
        <v>#VALUE!</v>
      </c>
    </row>
    <row r="200" spans="6:256">
      <c r="F200" s="97" t="e">
        <f>'Actual Value'!U201+"AM:!)Nw"</f>
        <v>#VALUE!</v>
      </c>
      <c r="G200" s="97" t="e">
        <f>'Actual Value'!V201+"AM:!)Nx"</f>
        <v>#VALUE!</v>
      </c>
      <c r="H200" s="97" t="e">
        <f>'Actual Value'!W201+"AM:!)Ny"</f>
        <v>#VALUE!</v>
      </c>
      <c r="I200" s="97" t="e">
        <f>'Actual Value'!X201+"AM:!)Nz"</f>
        <v>#VALUE!</v>
      </c>
      <c r="J200" s="97" t="e">
        <f>'Actual Value'!Y201+"AM:!)N{"</f>
        <v>#VALUE!</v>
      </c>
      <c r="K200" s="97" t="e">
        <f>'Actual Value'!Z201+"AM:!)N|"</f>
        <v>#VALUE!</v>
      </c>
      <c r="L200" s="97" t="e">
        <f>'Actual Value'!AA201+"AM:!)N}"</f>
        <v>#VALUE!</v>
      </c>
      <c r="M200" s="97" t="e">
        <f>'Actual Value'!AB201+"AM:!)N~"</f>
        <v>#VALUE!</v>
      </c>
      <c r="N200" s="97" t="e">
        <f>'Actual Value'!AC201+"AM:!)O#"</f>
        <v>#VALUE!</v>
      </c>
      <c r="O200" s="97" t="e">
        <f>'Actual Value'!AD201+"AM:!)O$"</f>
        <v>#VALUE!</v>
      </c>
      <c r="P200" s="97" t="e">
        <f>'Actual Value'!AE201+"AM:!)O%"</f>
        <v>#VALUE!</v>
      </c>
      <c r="Q200" s="97" t="e">
        <f>'Actual Value'!AF201+"AM:!)O&amp;"</f>
        <v>#VALUE!</v>
      </c>
      <c r="R200" s="97" t="e">
        <f>'Actual Value'!AG201+"AM:!)O'"</f>
        <v>#VALUE!</v>
      </c>
      <c r="S200" s="97" t="e">
        <f>'Actual Value'!AH201+"AM:!)O("</f>
        <v>#VALUE!</v>
      </c>
      <c r="T200" s="97" t="e">
        <f>'Actual Value'!AI201+"AM:!)O)"</f>
        <v>#VALUE!</v>
      </c>
      <c r="U200" s="97" t="e">
        <f>'Actual Value'!AJ201+"AM:!)O."</f>
        <v>#VALUE!</v>
      </c>
      <c r="V200" s="97" t="e">
        <f>'Actual Value'!AK201+"AM:!)O/"</f>
        <v>#VALUE!</v>
      </c>
      <c r="W200" s="97" t="e">
        <f>'Actual Value'!AL201+"AM:!)O0"</f>
        <v>#VALUE!</v>
      </c>
      <c r="X200" s="97" t="e">
        <f>'Actual Value'!AM201+"AM:!)O1"</f>
        <v>#VALUE!</v>
      </c>
      <c r="Y200" s="97" t="e">
        <f>'Actual Value'!AN201+"AM:!)O2"</f>
        <v>#VALUE!</v>
      </c>
      <c r="Z200" s="97" t="e">
        <f>'Actual Value'!AO201+"AM:!)O3"</f>
        <v>#VALUE!</v>
      </c>
      <c r="AA200" t="e">
        <f>'Actual Value'!AP201+"AM:!)O4"</f>
        <v>#VALUE!</v>
      </c>
      <c r="AB200" t="e">
        <f>'Actual Value'!AQ201+"AM:!)O5"</f>
        <v>#VALUE!</v>
      </c>
      <c r="AC200" t="e">
        <f>'Actual Value'!AR201+"AM:!)O6"</f>
        <v>#VALUE!</v>
      </c>
      <c r="AD200" t="e">
        <f>'Actual Value'!AS201+"AM:!)O7"</f>
        <v>#VALUE!</v>
      </c>
      <c r="AE200" t="e">
        <f>'Actual Value'!AT201+"AM:!)O8"</f>
        <v>#VALUE!</v>
      </c>
      <c r="AF200" t="e">
        <f>'Actual Value'!AU201+"AM:!)O9"</f>
        <v>#VALUE!</v>
      </c>
      <c r="AG200" t="e">
        <f>'Actual Value'!AV201+"AM:!)O:"</f>
        <v>#VALUE!</v>
      </c>
      <c r="AH200" t="e">
        <f>'Actual Value'!AW201+"AM:!)O;"</f>
        <v>#VALUE!</v>
      </c>
      <c r="AI200" t="e">
        <f>'Actual Value'!AX201+"AM:!)O&lt;"</f>
        <v>#VALUE!</v>
      </c>
      <c r="AJ200" t="e">
        <f>'Actual Value'!A202+"AM:!)O="</f>
        <v>#VALUE!</v>
      </c>
      <c r="AK200" t="e">
        <f>'Actual Value'!B202+"AM:!)O&gt;"</f>
        <v>#VALUE!</v>
      </c>
      <c r="AL200" t="e">
        <f>'Actual Value'!C202+"AM:!)O?"</f>
        <v>#VALUE!</v>
      </c>
      <c r="AM200" s="97" t="e">
        <f>'Actual Value'!D202+"AM:!)O@"</f>
        <v>#VALUE!</v>
      </c>
      <c r="AN200" s="97" t="e">
        <f>'Actual Value'!E202+"AM:!)OA"</f>
        <v>#VALUE!</v>
      </c>
      <c r="AO200" s="97" t="e">
        <f>'Actual Value'!F202+"AM:!)OB"</f>
        <v>#VALUE!</v>
      </c>
      <c r="AP200" s="97" t="e">
        <f>'Actual Value'!G202+"AM:!)OC"</f>
        <v>#VALUE!</v>
      </c>
      <c r="AQ200" s="97" t="e">
        <f>'Actual Value'!H202+"AM:!)OD"</f>
        <v>#VALUE!</v>
      </c>
      <c r="AR200" s="97" t="e">
        <f>'Actual Value'!I202+"AM:!)OE"</f>
        <v>#VALUE!</v>
      </c>
      <c r="AS200" s="97" t="e">
        <f>'Actual Value'!J202+"AM:!)OF"</f>
        <v>#VALUE!</v>
      </c>
      <c r="AT200" s="97" t="e">
        <f>'Actual Value'!K202+"AM:!)OG"</f>
        <v>#VALUE!</v>
      </c>
      <c r="AU200" s="97" t="e">
        <f>'Actual Value'!L202+"AM:!)OH"</f>
        <v>#VALUE!</v>
      </c>
      <c r="AV200" s="97" t="e">
        <f>'Actual Value'!M202+"AM:!)OI"</f>
        <v>#VALUE!</v>
      </c>
      <c r="AW200" s="97" t="e">
        <f>'Actual Value'!N202+"AM:!)OJ"</f>
        <v>#VALUE!</v>
      </c>
      <c r="AX200" s="97" t="e">
        <f>'Actual Value'!O202+"AM:!)OK"</f>
        <v>#VALUE!</v>
      </c>
      <c r="AY200" s="97" t="e">
        <f>'Actual Value'!P202+"AM:!)OL"</f>
        <v>#VALUE!</v>
      </c>
      <c r="AZ200" s="97" t="e">
        <f>'Actual Value'!Q202+"AM:!)OM"</f>
        <v>#VALUE!</v>
      </c>
      <c r="BA200" s="97" t="e">
        <f>'Actual Value'!R202+"AM:!)ON"</f>
        <v>#VALUE!</v>
      </c>
      <c r="BB200" s="97" t="e">
        <f>'Actual Value'!S202+"AM:!)OO"</f>
        <v>#VALUE!</v>
      </c>
      <c r="BC200" s="97" t="e">
        <f>'Actual Value'!T202+"AM:!)OP"</f>
        <v>#VALUE!</v>
      </c>
      <c r="BD200" s="97" t="e">
        <f>'Actual Value'!U202+"AM:!)OQ"</f>
        <v>#VALUE!</v>
      </c>
      <c r="BE200" s="97" t="e">
        <f>'Actual Value'!V202+"AM:!)OR"</f>
        <v>#VALUE!</v>
      </c>
      <c r="BF200" s="97" t="e">
        <f>'Actual Value'!W202+"AM:!)OS"</f>
        <v>#VALUE!</v>
      </c>
      <c r="BG200" s="97" t="e">
        <f>'Actual Value'!X202+"AM:!)OT"</f>
        <v>#VALUE!</v>
      </c>
      <c r="BH200" s="97" t="e">
        <f>'Actual Value'!Y202+"AM:!)OU"</f>
        <v>#VALUE!</v>
      </c>
      <c r="BI200" s="97" t="e">
        <f>'Actual Value'!Z202+"AM:!)OV"</f>
        <v>#VALUE!</v>
      </c>
      <c r="BJ200" s="97" t="e">
        <f>'Actual Value'!AA202+"AM:!)OW"</f>
        <v>#VALUE!</v>
      </c>
      <c r="BK200" s="97" t="e">
        <f>'Actual Value'!AB202+"AM:!)OX"</f>
        <v>#VALUE!</v>
      </c>
      <c r="BL200" s="97" t="e">
        <f>'Actual Value'!AC202+"AM:!)OY"</f>
        <v>#VALUE!</v>
      </c>
      <c r="BM200" s="97" t="e">
        <f>'Actual Value'!AD202+"AM:!)OZ"</f>
        <v>#VALUE!</v>
      </c>
      <c r="BN200" s="97" t="e">
        <f>'Actual Value'!AE202+"AM:!)O["</f>
        <v>#VALUE!</v>
      </c>
      <c r="BO200" s="97" t="e">
        <f>'Actual Value'!AF202+"AM:!)O\"</f>
        <v>#VALUE!</v>
      </c>
      <c r="BP200" s="97" t="e">
        <f>'Actual Value'!AG202+"AM:!)O]"</f>
        <v>#VALUE!</v>
      </c>
      <c r="BQ200" s="97" t="e">
        <f>'Actual Value'!AH202+"AM:!)O^"</f>
        <v>#VALUE!</v>
      </c>
      <c r="BR200" s="97" t="e">
        <f>'Actual Value'!AI202+"AM:!)O_"</f>
        <v>#VALUE!</v>
      </c>
      <c r="BS200" s="97" t="e">
        <f>'Actual Value'!AJ202+"AM:!)O`"</f>
        <v>#VALUE!</v>
      </c>
      <c r="BT200" s="97" t="e">
        <f>'Actual Value'!AK202+"AM:!)Oa"</f>
        <v>#VALUE!</v>
      </c>
      <c r="BU200" s="97" t="e">
        <f>'Actual Value'!AL202+"AM:!)Ob"</f>
        <v>#VALUE!</v>
      </c>
      <c r="BV200" s="97" t="e">
        <f>'Actual Value'!AM202+"AM:!)Oc"</f>
        <v>#VALUE!</v>
      </c>
      <c r="BW200" s="97" t="e">
        <f>'Actual Value'!AN202+"AM:!)Od"</f>
        <v>#VALUE!</v>
      </c>
      <c r="BX200" s="97" t="e">
        <f>'Actual Value'!AO202+"AM:!)Oe"</f>
        <v>#VALUE!</v>
      </c>
      <c r="BY200" t="e">
        <f>'Actual Value'!AP202+"AM:!)Of"</f>
        <v>#VALUE!</v>
      </c>
      <c r="BZ200" t="e">
        <f>'Actual Value'!AQ202+"AM:!)Og"</f>
        <v>#VALUE!</v>
      </c>
      <c r="CA200" t="e">
        <f>'Actual Value'!AR202+"AM:!)Oh"</f>
        <v>#VALUE!</v>
      </c>
      <c r="CB200" t="e">
        <f>'Actual Value'!AS202+"AM:!)Oi"</f>
        <v>#VALUE!</v>
      </c>
      <c r="CC200" t="e">
        <f>'Actual Value'!AT202+"AM:!)Oj"</f>
        <v>#VALUE!</v>
      </c>
      <c r="CD200" t="e">
        <f>'Actual Value'!AU202+"AM:!)Ok"</f>
        <v>#VALUE!</v>
      </c>
      <c r="CE200" t="e">
        <f>'Actual Value'!AV202+"AM:!)Ol"</f>
        <v>#VALUE!</v>
      </c>
      <c r="CF200" t="e">
        <f>'Actual Value'!AW202+"AM:!)Om"</f>
        <v>#VALUE!</v>
      </c>
      <c r="CG200" t="e">
        <f>'Actual Value'!AX202+"AM:!)On"</f>
        <v>#VALUE!</v>
      </c>
      <c r="CH200" t="e">
        <f>'Actual Value'!A203+"AM:!)Oo"</f>
        <v>#VALUE!</v>
      </c>
      <c r="CI200" t="e">
        <f>'Actual Value'!B203+"AM:!)Op"</f>
        <v>#VALUE!</v>
      </c>
      <c r="CJ200" t="e">
        <f>'Actual Value'!C203+"AM:!)Oq"</f>
        <v>#VALUE!</v>
      </c>
      <c r="CK200" t="e">
        <f>'Actual Value'!D203+"AM:!)Or"</f>
        <v>#VALUE!</v>
      </c>
      <c r="CL200" t="e">
        <f>'Actual Value'!E203+"AM:!)Os"</f>
        <v>#VALUE!</v>
      </c>
      <c r="CM200" t="e">
        <f>'Actual Value'!F203+"AM:!)Ot"</f>
        <v>#VALUE!</v>
      </c>
      <c r="CN200" t="e">
        <f>'Actual Value'!G203+"AM:!)Ou"</f>
        <v>#VALUE!</v>
      </c>
      <c r="CO200" t="e">
        <f>'Actual Value'!H203+"AM:!)Ov"</f>
        <v>#VALUE!</v>
      </c>
      <c r="CP200" t="e">
        <f>'Actual Value'!I203+"AM:!)Ow"</f>
        <v>#VALUE!</v>
      </c>
      <c r="CQ200" t="e">
        <f>'Actual Value'!J203+"AM:!)Ox"</f>
        <v>#VALUE!</v>
      </c>
      <c r="CR200" t="e">
        <f>'Actual Value'!K203+"AM:!)Oy"</f>
        <v>#VALUE!</v>
      </c>
      <c r="CS200" t="e">
        <f>'Actual Value'!L203+"AM:!)Oz"</f>
        <v>#VALUE!</v>
      </c>
      <c r="CT200" t="e">
        <f>'Actual Value'!M203+"AM:!)O{"</f>
        <v>#VALUE!</v>
      </c>
      <c r="CU200" t="e">
        <f>'Actual Value'!N203+"AM:!)O|"</f>
        <v>#VALUE!</v>
      </c>
      <c r="CV200" t="e">
        <f>'Actual Value'!O203+"AM:!)O}"</f>
        <v>#VALUE!</v>
      </c>
      <c r="CW200" t="e">
        <f>'Actual Value'!P203+"AM:!)O~"</f>
        <v>#VALUE!</v>
      </c>
      <c r="CX200" t="e">
        <f>'Actual Value'!Q203+"AM:!)P#"</f>
        <v>#VALUE!</v>
      </c>
      <c r="CY200" t="e">
        <f>'Actual Value'!R203+"AM:!)P$"</f>
        <v>#VALUE!</v>
      </c>
      <c r="CZ200" t="e">
        <f>'Actual Value'!S203+"AM:!)P%"</f>
        <v>#VALUE!</v>
      </c>
      <c r="DA200" t="e">
        <f>'Actual Value'!T203+"AM:!)P&amp;"</f>
        <v>#VALUE!</v>
      </c>
      <c r="DB200" t="e">
        <f>'Actual Value'!U203+"AM:!)P'"</f>
        <v>#VALUE!</v>
      </c>
      <c r="DC200" t="e">
        <f>'Actual Value'!V203+"AM:!)P("</f>
        <v>#VALUE!</v>
      </c>
      <c r="DD200" t="e">
        <f>'Actual Value'!W203+"AM:!)P)"</f>
        <v>#VALUE!</v>
      </c>
      <c r="DE200" t="e">
        <f>'Actual Value'!X203+"AM:!)P."</f>
        <v>#VALUE!</v>
      </c>
      <c r="DF200" t="e">
        <f>'Actual Value'!Y203+"AM:!)P/"</f>
        <v>#VALUE!</v>
      </c>
      <c r="DG200" t="e">
        <f>'Actual Value'!Z203+"AM:!)P0"</f>
        <v>#VALUE!</v>
      </c>
      <c r="DH200" t="e">
        <f>'Actual Value'!AA203+"AM:!)P1"</f>
        <v>#VALUE!</v>
      </c>
      <c r="DI200" t="e">
        <f>'Actual Value'!AB203+"AM:!)P2"</f>
        <v>#VALUE!</v>
      </c>
      <c r="DJ200" t="e">
        <f>'Actual Value'!AC203+"AM:!)P3"</f>
        <v>#VALUE!</v>
      </c>
      <c r="DK200" t="e">
        <f>'Actual Value'!AD203+"AM:!)P4"</f>
        <v>#VALUE!</v>
      </c>
      <c r="DL200" t="e">
        <f>'Actual Value'!AE203+"AM:!)P5"</f>
        <v>#VALUE!</v>
      </c>
      <c r="DM200" t="e">
        <f>'Actual Value'!AF203+"AM:!)P6"</f>
        <v>#VALUE!</v>
      </c>
      <c r="DN200" t="e">
        <f>'Actual Value'!AG203+"AM:!)P7"</f>
        <v>#VALUE!</v>
      </c>
      <c r="DO200" t="e">
        <f>'Actual Value'!AH203+"AM:!)P8"</f>
        <v>#VALUE!</v>
      </c>
      <c r="DP200" t="e">
        <f>'Actual Value'!AI203+"AM:!)P9"</f>
        <v>#VALUE!</v>
      </c>
      <c r="DQ200" t="e">
        <f>'Actual Value'!AJ203+"AM:!)P:"</f>
        <v>#VALUE!</v>
      </c>
      <c r="DR200" t="e">
        <f>'Actual Value'!AK203+"AM:!)P;"</f>
        <v>#VALUE!</v>
      </c>
      <c r="DS200" t="e">
        <f>'Actual Value'!AL203+"AM:!)P&lt;"</f>
        <v>#VALUE!</v>
      </c>
      <c r="DT200" t="e">
        <f>'Actual Value'!AM203+"AM:!)P="</f>
        <v>#VALUE!</v>
      </c>
      <c r="DU200" t="e">
        <f>'Actual Value'!AN203+"AM:!)P&gt;"</f>
        <v>#VALUE!</v>
      </c>
      <c r="DV200" t="e">
        <f>'Actual Value'!AO203+"AM:!)P?"</f>
        <v>#VALUE!</v>
      </c>
      <c r="DW200" t="e">
        <f>'Actual Value'!AP203+"AM:!)P@"</f>
        <v>#VALUE!</v>
      </c>
      <c r="DX200" t="e">
        <f>'Actual Value'!AQ203+"AM:!)PA"</f>
        <v>#VALUE!</v>
      </c>
      <c r="DY200" t="e">
        <f>'Actual Value'!AR203+"AM:!)PB"</f>
        <v>#VALUE!</v>
      </c>
      <c r="DZ200" t="e">
        <f>'Actual Value'!AS203+"AM:!)PC"</f>
        <v>#VALUE!</v>
      </c>
      <c r="EA200" t="e">
        <f>'Actual Value'!AT203+"AM:!)PD"</f>
        <v>#VALUE!</v>
      </c>
      <c r="EB200" t="e">
        <f>'Actual Value'!AU203+"AM:!)PE"</f>
        <v>#VALUE!</v>
      </c>
      <c r="EC200" t="e">
        <f>'Actual Value'!AV203+"AM:!)PF"</f>
        <v>#VALUE!</v>
      </c>
      <c r="ED200" t="e">
        <f>'Actual Value'!AW203+"AM:!)PG"</f>
        <v>#VALUE!</v>
      </c>
      <c r="EE200" t="e">
        <f>'Actual Value'!A204+"AM:!)PH"</f>
        <v>#VALUE!</v>
      </c>
      <c r="EF200" t="e">
        <f>'Actual Value'!B204+"AM:!)PI"</f>
        <v>#VALUE!</v>
      </c>
      <c r="EG200" t="e">
        <f>'Actual Value'!C204+"AM:!)PJ"</f>
        <v>#VALUE!</v>
      </c>
      <c r="EH200" s="105" t="e">
        <f>'Actual Value'!D204+"AM:!)PK"</f>
        <v>#VALUE!</v>
      </c>
      <c r="EI200" s="105" t="e">
        <f>'Actual Value'!E204+"AM:!)PL"</f>
        <v>#VALUE!</v>
      </c>
      <c r="EJ200" s="105" t="e">
        <f>'Actual Value'!F204+"AM:!)PM"</f>
        <v>#VALUE!</v>
      </c>
      <c r="EK200" s="105" t="e">
        <f>'Actual Value'!G204+"AM:!)PN"</f>
        <v>#VALUE!</v>
      </c>
      <c r="EL200" s="105" t="e">
        <f>'Actual Value'!H204+"AM:!)PO"</f>
        <v>#VALUE!</v>
      </c>
      <c r="EM200" s="105" t="e">
        <f>'Actual Value'!I204+"AM:!)PP"</f>
        <v>#VALUE!</v>
      </c>
      <c r="EN200" s="105" t="e">
        <f>'Actual Value'!J204+"AM:!)PQ"</f>
        <v>#VALUE!</v>
      </c>
      <c r="EO200" s="105" t="e">
        <f>'Actual Value'!K204+"AM:!)PR"</f>
        <v>#VALUE!</v>
      </c>
      <c r="EP200" s="105" t="e">
        <f>'Actual Value'!L204+"AM:!)PS"</f>
        <v>#VALUE!</v>
      </c>
      <c r="EQ200" s="105" t="e">
        <f>'Actual Value'!M204+"AM:!)PT"</f>
        <v>#VALUE!</v>
      </c>
      <c r="ER200" s="105" t="e">
        <f>'Actual Value'!N204+"AM:!)PU"</f>
        <v>#VALUE!</v>
      </c>
      <c r="ES200" s="105" t="e">
        <f>'Actual Value'!O204+"AM:!)PV"</f>
        <v>#VALUE!</v>
      </c>
      <c r="ET200" s="105" t="e">
        <f>'Actual Value'!P204+"AM:!)PW"</f>
        <v>#VALUE!</v>
      </c>
      <c r="EU200" s="105" t="e">
        <f>'Actual Value'!Q204+"AM:!)PX"</f>
        <v>#VALUE!</v>
      </c>
      <c r="EV200" s="105" t="e">
        <f>'Actual Value'!R204+"AM:!)PY"</f>
        <v>#VALUE!</v>
      </c>
      <c r="EW200" s="105" t="e">
        <f>'Actual Value'!S204+"AM:!)PZ"</f>
        <v>#VALUE!</v>
      </c>
      <c r="EX200" s="105" t="e">
        <f>'Actual Value'!T204+"AM:!)P["</f>
        <v>#VALUE!</v>
      </c>
      <c r="EY200" s="105" t="e">
        <f>'Actual Value'!U204+"AM:!)P\"</f>
        <v>#VALUE!</v>
      </c>
      <c r="EZ200" s="105" t="e">
        <f>'Actual Value'!V204+"AM:!)P]"</f>
        <v>#VALUE!</v>
      </c>
      <c r="FA200" s="105" t="e">
        <f>'Actual Value'!W204+"AM:!)P^"</f>
        <v>#VALUE!</v>
      </c>
      <c r="FB200" s="105" t="e">
        <f>'Actual Value'!X204+"AM:!)P_"</f>
        <v>#VALUE!</v>
      </c>
      <c r="FC200" s="105" t="e">
        <f>'Actual Value'!Y204+"AM:!)P`"</f>
        <v>#VALUE!</v>
      </c>
      <c r="FD200" s="105" t="e">
        <f>'Actual Value'!Z204+"AM:!)Pa"</f>
        <v>#VALUE!</v>
      </c>
      <c r="FE200" s="105" t="e">
        <f>'Actual Value'!AA204+"AM:!)Pb"</f>
        <v>#VALUE!</v>
      </c>
      <c r="FF200" s="105" t="e">
        <f>'Actual Value'!AB204+"AM:!)Pc"</f>
        <v>#VALUE!</v>
      </c>
      <c r="FG200" s="105" t="e">
        <f>'Actual Value'!AC204+"AM:!)Pd"</f>
        <v>#VALUE!</v>
      </c>
      <c r="FH200" s="105" t="e">
        <f>'Actual Value'!AD204+"AM:!)Pe"</f>
        <v>#VALUE!</v>
      </c>
      <c r="FI200" s="105" t="e">
        <f>'Actual Value'!AE204+"AM:!)Pf"</f>
        <v>#VALUE!</v>
      </c>
      <c r="FJ200" s="105" t="e">
        <f>'Actual Value'!AF204+"AM:!)Pg"</f>
        <v>#VALUE!</v>
      </c>
      <c r="FK200" s="105" t="e">
        <f>'Actual Value'!AG204+"AM:!)Ph"</f>
        <v>#VALUE!</v>
      </c>
      <c r="FL200" s="105" t="e">
        <f>'Actual Value'!AH204+"AM:!)Pi"</f>
        <v>#VALUE!</v>
      </c>
      <c r="FM200" s="105" t="e">
        <f>'Actual Value'!AI204+"AM:!)Pj"</f>
        <v>#VALUE!</v>
      </c>
      <c r="FN200" s="105" t="e">
        <f>'Actual Value'!AJ204+"AM:!)Pk"</f>
        <v>#VALUE!</v>
      </c>
      <c r="FO200" s="105" t="e">
        <f>'Actual Value'!AK204+"AM:!)Pl"</f>
        <v>#VALUE!</v>
      </c>
      <c r="FP200" s="105" t="e">
        <f>'Actual Value'!AL204+"AM:!)Pm"</f>
        <v>#VALUE!</v>
      </c>
      <c r="FQ200" s="105" t="e">
        <f>'Actual Value'!AM204+"AM:!)Pn"</f>
        <v>#VALUE!</v>
      </c>
      <c r="FR200" s="105" t="e">
        <f>'Actual Value'!AN204+"AM:!)Po"</f>
        <v>#VALUE!</v>
      </c>
      <c r="FS200" s="105" t="e">
        <f>'Actual Value'!AO204+"AM:!)Pp"</f>
        <v>#VALUE!</v>
      </c>
      <c r="FT200" t="e">
        <f>'Actual Value'!AP204+"AM:!)Pq"</f>
        <v>#VALUE!</v>
      </c>
      <c r="FU200" s="100" t="e">
        <f>'Actual Value'!AQ204+"AM:!)Pr"</f>
        <v>#VALUE!</v>
      </c>
      <c r="FV200" s="100" t="e">
        <f>'Actual Value'!AR204+"AM:!)Ps"</f>
        <v>#VALUE!</v>
      </c>
      <c r="FW200" s="100" t="e">
        <f>'Actual Value'!AS204+"AM:!)Pt"</f>
        <v>#VALUE!</v>
      </c>
      <c r="FX200" s="100" t="e">
        <f>'Actual Value'!AT204+"AM:!)Pu"</f>
        <v>#VALUE!</v>
      </c>
      <c r="FY200" s="100" t="e">
        <f>'Actual Value'!AU204+"AM:!)Pv"</f>
        <v>#VALUE!</v>
      </c>
      <c r="FZ200" t="e">
        <f>'Actual Value'!AV204+"AM:!)Pw"</f>
        <v>#VALUE!</v>
      </c>
      <c r="GA200" t="e">
        <f>'Actual Value'!AW204+"AM:!)Px"</f>
        <v>#VALUE!</v>
      </c>
      <c r="GB200" t="e">
        <f>'Actual Value'!A205+"AM:!)Py"</f>
        <v>#VALUE!</v>
      </c>
      <c r="GC200" t="e">
        <f>'Actual Value'!B205+"AM:!)Pz"</f>
        <v>#VALUE!</v>
      </c>
      <c r="GD200" t="e">
        <f>'Actual Value'!C205+"AM:!)P{"</f>
        <v>#VALUE!</v>
      </c>
      <c r="GE200" s="97" t="e">
        <f>'Actual Value'!D205+"AM:!)P|"</f>
        <v>#VALUE!</v>
      </c>
      <c r="GF200" s="97" t="e">
        <f>'Actual Value'!E205+"AM:!)P}"</f>
        <v>#VALUE!</v>
      </c>
      <c r="GG200" s="97" t="e">
        <f>'Actual Value'!F205+"AM:!)P~"</f>
        <v>#VALUE!</v>
      </c>
      <c r="GH200" s="97" t="e">
        <f>'Actual Value'!G205+"AM:!)Q#"</f>
        <v>#VALUE!</v>
      </c>
      <c r="GI200" s="97" t="e">
        <f>'Actual Value'!H205+"AM:!)Q$"</f>
        <v>#VALUE!</v>
      </c>
      <c r="GJ200" s="97" t="e">
        <f>'Actual Value'!I205+"AM:!)Q%"</f>
        <v>#VALUE!</v>
      </c>
      <c r="GK200" s="97" t="e">
        <f>'Actual Value'!J205+"AM:!)Q&amp;"</f>
        <v>#VALUE!</v>
      </c>
      <c r="GL200" s="97" t="e">
        <f>'Actual Value'!K205+"AM:!)Q'"</f>
        <v>#VALUE!</v>
      </c>
      <c r="GM200" s="97" t="e">
        <f>'Actual Value'!L205+"AM:!)Q("</f>
        <v>#VALUE!</v>
      </c>
      <c r="GN200" s="97" t="e">
        <f>'Actual Value'!M205+"AM:!)Q)"</f>
        <v>#VALUE!</v>
      </c>
      <c r="GO200" s="97" t="e">
        <f>'Actual Value'!N205+"AM:!)Q."</f>
        <v>#VALUE!</v>
      </c>
      <c r="GP200" s="97" t="e">
        <f>'Actual Value'!O205+"AM:!)Q/"</f>
        <v>#VALUE!</v>
      </c>
      <c r="GQ200" s="97" t="e">
        <f>'Actual Value'!P205+"AM:!)Q0"</f>
        <v>#VALUE!</v>
      </c>
      <c r="GR200" s="97" t="e">
        <f>'Actual Value'!Q205+"AM:!)Q1"</f>
        <v>#VALUE!</v>
      </c>
      <c r="GS200" s="97" t="e">
        <f>'Actual Value'!R205+"AM:!)Q2"</f>
        <v>#VALUE!</v>
      </c>
      <c r="GT200" s="97" t="e">
        <f>'Actual Value'!S205+"AM:!)Q3"</f>
        <v>#VALUE!</v>
      </c>
      <c r="GU200" s="97" t="e">
        <f>'Actual Value'!T205+"AM:!)Q4"</f>
        <v>#VALUE!</v>
      </c>
      <c r="GV200" s="97" t="e">
        <f>'Actual Value'!U205+"AM:!)Q5"</f>
        <v>#VALUE!</v>
      </c>
      <c r="GW200" s="97" t="e">
        <f>'Actual Value'!V205+"AM:!)Q6"</f>
        <v>#VALUE!</v>
      </c>
      <c r="GX200" s="97" t="e">
        <f>'Actual Value'!W205+"AM:!)Q7"</f>
        <v>#VALUE!</v>
      </c>
      <c r="GY200" s="97" t="e">
        <f>'Actual Value'!X205+"AM:!)Q8"</f>
        <v>#VALUE!</v>
      </c>
      <c r="GZ200" s="97" t="e">
        <f>'Actual Value'!Y205+"AM:!)Q9"</f>
        <v>#VALUE!</v>
      </c>
      <c r="HA200" s="97" t="e">
        <f>'Actual Value'!Z205+"AM:!)Q:"</f>
        <v>#VALUE!</v>
      </c>
      <c r="HB200" s="97" t="e">
        <f>'Actual Value'!AA205+"AM:!)Q;"</f>
        <v>#VALUE!</v>
      </c>
      <c r="HC200" s="97" t="e">
        <f>'Actual Value'!AB205+"AM:!)Q&lt;"</f>
        <v>#VALUE!</v>
      </c>
      <c r="HD200" s="97" t="e">
        <f>'Actual Value'!AC205+"AM:!)Q="</f>
        <v>#VALUE!</v>
      </c>
      <c r="HE200" s="97" t="e">
        <f>'Actual Value'!AD205+"AM:!)Q&gt;"</f>
        <v>#VALUE!</v>
      </c>
      <c r="HF200" s="97" t="e">
        <f>'Actual Value'!AE205+"AM:!)Q?"</f>
        <v>#VALUE!</v>
      </c>
      <c r="HG200" s="97" t="e">
        <f>'Actual Value'!AF205+"AM:!)Q@"</f>
        <v>#VALUE!</v>
      </c>
      <c r="HH200" s="97" t="e">
        <f>'Actual Value'!AG205+"AM:!)QA"</f>
        <v>#VALUE!</v>
      </c>
      <c r="HI200" s="97" t="e">
        <f>'Actual Value'!AH205+"AM:!)QB"</f>
        <v>#VALUE!</v>
      </c>
      <c r="HJ200" s="97" t="e">
        <f>'Actual Value'!AI205+"AM:!)QC"</f>
        <v>#VALUE!</v>
      </c>
      <c r="HK200" s="97" t="e">
        <f>'Actual Value'!AJ205+"AM:!)QD"</f>
        <v>#VALUE!</v>
      </c>
      <c r="HL200" s="97" t="e">
        <f>'Actual Value'!AK205+"AM:!)QE"</f>
        <v>#VALUE!</v>
      </c>
      <c r="HM200" s="97" t="e">
        <f>'Actual Value'!AL205+"AM:!)QF"</f>
        <v>#VALUE!</v>
      </c>
      <c r="HN200" s="97" t="e">
        <f>'Actual Value'!AM205+"AM:!)QG"</f>
        <v>#VALUE!</v>
      </c>
      <c r="HO200" s="97" t="e">
        <f>'Actual Value'!AN205+"AM:!)QH"</f>
        <v>#VALUE!</v>
      </c>
      <c r="HP200" s="97" t="e">
        <f>'Actual Value'!AO205+"AM:!)QI"</f>
        <v>#VALUE!</v>
      </c>
      <c r="HQ200" t="e">
        <f>'Actual Value'!AP205+"AM:!)QJ"</f>
        <v>#VALUE!</v>
      </c>
      <c r="HR200" t="e">
        <f>'Actual Value'!AQ205+"AM:!)QK"</f>
        <v>#VALUE!</v>
      </c>
      <c r="HS200" t="e">
        <f>'Actual Value'!AR205+"AM:!)QL"</f>
        <v>#VALUE!</v>
      </c>
      <c r="HT200" s="97" t="e">
        <f>'Actual Value'!AS205+"AM:!)QM"</f>
        <v>#VALUE!</v>
      </c>
      <c r="HU200" t="e">
        <f>'Actual Value'!AT205+"AM:!)QN"</f>
        <v>#VALUE!</v>
      </c>
      <c r="HV200" t="e">
        <f>'Actual Value'!AU205+"AM:!)QO"</f>
        <v>#VALUE!</v>
      </c>
      <c r="HW200" t="e">
        <f>'Actual Value'!AV205+"AM:!)QP"</f>
        <v>#VALUE!</v>
      </c>
      <c r="HX200" t="e">
        <f>'Actual Value'!AW205+"AM:!)QQ"</f>
        <v>#VALUE!</v>
      </c>
      <c r="HY200" t="e">
        <f>'Actual Value'!A206+"AM:!)QR"</f>
        <v>#VALUE!</v>
      </c>
      <c r="HZ200" t="e">
        <f>'Actual Value'!B206+"AM:!)QS"</f>
        <v>#VALUE!</v>
      </c>
      <c r="IA200" t="e">
        <f>'Actual Value'!C206+"AM:!)QT"</f>
        <v>#VALUE!</v>
      </c>
      <c r="IB200" s="97" t="e">
        <f>'Actual Value'!D206+"AM:!)QU"</f>
        <v>#VALUE!</v>
      </c>
      <c r="IC200" s="97" t="e">
        <f>'Actual Value'!E206+"AM:!)QV"</f>
        <v>#VALUE!</v>
      </c>
      <c r="ID200" s="97" t="e">
        <f>'Actual Value'!F206+"AM:!)QW"</f>
        <v>#VALUE!</v>
      </c>
      <c r="IE200" s="97" t="e">
        <f>'Actual Value'!G206+"AM:!)QX"</f>
        <v>#VALUE!</v>
      </c>
      <c r="IF200" s="97" t="e">
        <f>'Actual Value'!H206+"AM:!)QY"</f>
        <v>#VALUE!</v>
      </c>
      <c r="IG200" s="97" t="e">
        <f>'Actual Value'!I206+"AM:!)QZ"</f>
        <v>#VALUE!</v>
      </c>
      <c r="IH200" s="97" t="e">
        <f>'Actual Value'!J206+"AM:!)Q["</f>
        <v>#VALUE!</v>
      </c>
      <c r="II200" s="97" t="e">
        <f>'Actual Value'!K206+"AM:!)Q\"</f>
        <v>#VALUE!</v>
      </c>
      <c r="IJ200" s="97" t="e">
        <f>'Actual Value'!L206+"AM:!)Q]"</f>
        <v>#VALUE!</v>
      </c>
      <c r="IK200" s="97" t="e">
        <f>'Actual Value'!M206+"AM:!)Q^"</f>
        <v>#VALUE!</v>
      </c>
      <c r="IL200" s="97" t="e">
        <f>'Actual Value'!N206+"AM:!)Q_"</f>
        <v>#VALUE!</v>
      </c>
      <c r="IM200" s="97" t="e">
        <f>'Actual Value'!O206+"AM:!)Q`"</f>
        <v>#VALUE!</v>
      </c>
      <c r="IN200" s="97" t="e">
        <f>'Actual Value'!P206+"AM:!)Qa"</f>
        <v>#VALUE!</v>
      </c>
      <c r="IO200" s="97" t="e">
        <f>'Actual Value'!Q206+"AM:!)Qb"</f>
        <v>#VALUE!</v>
      </c>
      <c r="IP200" s="97" t="e">
        <f>'Actual Value'!R206+"AM:!)Qc"</f>
        <v>#VALUE!</v>
      </c>
      <c r="IQ200" s="97" t="e">
        <f>'Actual Value'!S206+"AM:!)Qd"</f>
        <v>#VALUE!</v>
      </c>
      <c r="IR200" s="97" t="e">
        <f>'Actual Value'!T206+"AM:!)Qe"</f>
        <v>#VALUE!</v>
      </c>
      <c r="IS200" s="97" t="e">
        <f>'Actual Value'!U206+"AM:!)Qf"</f>
        <v>#VALUE!</v>
      </c>
      <c r="IT200" s="97" t="e">
        <f>'Actual Value'!V206+"AM:!)Qg"</f>
        <v>#VALUE!</v>
      </c>
      <c r="IU200" s="97" t="e">
        <f>'Actual Value'!W206+"AM:!)Qh"</f>
        <v>#VALUE!</v>
      </c>
      <c r="IV200" s="97" t="e">
        <f>'Actual Value'!X206+"AM:!)Qi"</f>
        <v>#VALUE!</v>
      </c>
    </row>
    <row r="201" spans="6:256">
      <c r="F201" s="97" t="e">
        <f>'Actual Value'!Y206+"AM:!)Qj"</f>
        <v>#VALUE!</v>
      </c>
      <c r="G201" s="97" t="e">
        <f>'Actual Value'!Z206+"AM:!)Qk"</f>
        <v>#VALUE!</v>
      </c>
      <c r="H201" s="97" t="e">
        <f>'Actual Value'!AA206+"AM:!)Ql"</f>
        <v>#VALUE!</v>
      </c>
      <c r="I201" s="97" t="e">
        <f>'Actual Value'!AB206+"AM:!)Qm"</f>
        <v>#VALUE!</v>
      </c>
      <c r="J201" s="97" t="e">
        <f>'Actual Value'!AC206+"AM:!)Qn"</f>
        <v>#VALUE!</v>
      </c>
      <c r="K201" s="97" t="e">
        <f>'Actual Value'!AD206+"AM:!)Qo"</f>
        <v>#VALUE!</v>
      </c>
      <c r="L201" s="97" t="e">
        <f>'Actual Value'!AE206+"AM:!)Qp"</f>
        <v>#VALUE!</v>
      </c>
      <c r="M201" s="97" t="e">
        <f>'Actual Value'!AF206+"AM:!)Qq"</f>
        <v>#VALUE!</v>
      </c>
      <c r="N201" s="97" t="e">
        <f>'Actual Value'!AG206+"AM:!)Qr"</f>
        <v>#VALUE!</v>
      </c>
      <c r="O201" s="97" t="e">
        <f>'Actual Value'!AH206+"AM:!)Qs"</f>
        <v>#VALUE!</v>
      </c>
      <c r="P201" s="97" t="e">
        <f>'Actual Value'!AI206+"AM:!)Qt"</f>
        <v>#VALUE!</v>
      </c>
      <c r="Q201" s="97" t="e">
        <f>'Actual Value'!AJ206+"AM:!)Qu"</f>
        <v>#VALUE!</v>
      </c>
      <c r="R201" s="97" t="e">
        <f>'Actual Value'!AK206+"AM:!)Qv"</f>
        <v>#VALUE!</v>
      </c>
      <c r="S201" s="97" t="e">
        <f>'Actual Value'!AL206+"AM:!)Qw"</f>
        <v>#VALUE!</v>
      </c>
      <c r="T201" s="97" t="e">
        <f>'Actual Value'!AM206+"AM:!)Qx"</f>
        <v>#VALUE!</v>
      </c>
      <c r="U201" s="97" t="e">
        <f>'Actual Value'!AN206+"AM:!)Qy"</f>
        <v>#VALUE!</v>
      </c>
      <c r="V201" s="97" t="e">
        <f>'Actual Value'!AO206+"AM:!)Qz"</f>
        <v>#VALUE!</v>
      </c>
      <c r="W201" t="e">
        <f>'Actual Value'!AP206+"AM:!)Q{"</f>
        <v>#VALUE!</v>
      </c>
      <c r="X201" t="e">
        <f>'Actual Value'!AQ206+"AM:!)Q|"</f>
        <v>#VALUE!</v>
      </c>
      <c r="Y201" t="e">
        <f>'Actual Value'!AR206+"AM:!)Q}"</f>
        <v>#VALUE!</v>
      </c>
      <c r="Z201" s="97" t="e">
        <f>'Actual Value'!AS206+"AM:!)Q~"</f>
        <v>#VALUE!</v>
      </c>
      <c r="AA201" t="e">
        <f>'Actual Value'!AT206+"AM:!)R#"</f>
        <v>#VALUE!</v>
      </c>
      <c r="AB201" t="e">
        <f>'Actual Value'!AU206+"AM:!)R$"</f>
        <v>#VALUE!</v>
      </c>
      <c r="AC201" t="e">
        <f>'Actual Value'!AV206+"AM:!)R%"</f>
        <v>#VALUE!</v>
      </c>
      <c r="AD201" t="e">
        <f>'Actual Value'!AW206+"AM:!)R&amp;"</f>
        <v>#VALUE!</v>
      </c>
      <c r="AE201" t="e">
        <f>'Actual Value'!A207+"AM:!)R'"</f>
        <v>#VALUE!</v>
      </c>
      <c r="AF201" t="e">
        <f>'Actual Value'!B207+"AM:!)R("</f>
        <v>#VALUE!</v>
      </c>
      <c r="AG201" t="e">
        <f>'Actual Value'!C207+"AM:!)R)"</f>
        <v>#VALUE!</v>
      </c>
      <c r="AH201" s="97" t="e">
        <f>'Actual Value'!D207+"AM:!)R."</f>
        <v>#VALUE!</v>
      </c>
      <c r="AI201" s="97" t="e">
        <f>'Actual Value'!E207+"AM:!)R/"</f>
        <v>#VALUE!</v>
      </c>
      <c r="AJ201" s="97" t="e">
        <f>'Actual Value'!F207+"AM:!)R0"</f>
        <v>#VALUE!</v>
      </c>
      <c r="AK201" s="97" t="e">
        <f>'Actual Value'!G207+"AM:!)R1"</f>
        <v>#VALUE!</v>
      </c>
      <c r="AL201" s="97" t="e">
        <f>'Actual Value'!H207+"AM:!)R2"</f>
        <v>#VALUE!</v>
      </c>
      <c r="AM201" s="97" t="e">
        <f>'Actual Value'!I207+"AM:!)R3"</f>
        <v>#VALUE!</v>
      </c>
      <c r="AN201" s="97" t="e">
        <f>'Actual Value'!J207+"AM:!)R4"</f>
        <v>#VALUE!</v>
      </c>
      <c r="AO201" s="97" t="e">
        <f>'Actual Value'!K207+"AM:!)R5"</f>
        <v>#VALUE!</v>
      </c>
      <c r="AP201" s="97" t="e">
        <f>'Actual Value'!L207+"AM:!)R6"</f>
        <v>#VALUE!</v>
      </c>
      <c r="AQ201" s="97" t="e">
        <f>'Actual Value'!M207+"AM:!)R7"</f>
        <v>#VALUE!</v>
      </c>
      <c r="AR201" s="97" t="e">
        <f>'Actual Value'!N207+"AM:!)R8"</f>
        <v>#VALUE!</v>
      </c>
      <c r="AS201" s="97" t="e">
        <f>'Actual Value'!O207+"AM:!)R9"</f>
        <v>#VALUE!</v>
      </c>
      <c r="AT201" s="97" t="e">
        <f>'Actual Value'!P207+"AM:!)R:"</f>
        <v>#VALUE!</v>
      </c>
      <c r="AU201" s="97" t="e">
        <f>'Actual Value'!Q207+"AM:!)R;"</f>
        <v>#VALUE!</v>
      </c>
      <c r="AV201" s="97" t="e">
        <f>'Actual Value'!R207+"AM:!)R&lt;"</f>
        <v>#VALUE!</v>
      </c>
      <c r="AW201" s="97" t="e">
        <f>'Actual Value'!S207+"AM:!)R="</f>
        <v>#VALUE!</v>
      </c>
      <c r="AX201" s="97" t="e">
        <f>'Actual Value'!T207+"AM:!)R&gt;"</f>
        <v>#VALUE!</v>
      </c>
      <c r="AY201" s="97" t="e">
        <f>'Actual Value'!U207+"AM:!)R?"</f>
        <v>#VALUE!</v>
      </c>
      <c r="AZ201" s="97" t="e">
        <f>'Actual Value'!V207+"AM:!)R@"</f>
        <v>#VALUE!</v>
      </c>
      <c r="BA201" s="97" t="e">
        <f>'Actual Value'!W207+"AM:!)RA"</f>
        <v>#VALUE!</v>
      </c>
      <c r="BB201" s="97" t="e">
        <f>'Actual Value'!X207+"AM:!)RB"</f>
        <v>#VALUE!</v>
      </c>
      <c r="BC201" s="97" t="e">
        <f>'Actual Value'!Y207+"AM:!)RC"</f>
        <v>#VALUE!</v>
      </c>
      <c r="BD201" s="97" t="e">
        <f>'Actual Value'!Z207+"AM:!)RD"</f>
        <v>#VALUE!</v>
      </c>
      <c r="BE201" s="97" t="e">
        <f>'Actual Value'!AA207+"AM:!)RE"</f>
        <v>#VALUE!</v>
      </c>
      <c r="BF201" s="97" t="e">
        <f>'Actual Value'!AB207+"AM:!)RF"</f>
        <v>#VALUE!</v>
      </c>
      <c r="BG201" s="97" t="e">
        <f>'Actual Value'!AC207+"AM:!)RG"</f>
        <v>#VALUE!</v>
      </c>
      <c r="BH201" s="97" t="e">
        <f>'Actual Value'!AD207+"AM:!)RH"</f>
        <v>#VALUE!</v>
      </c>
      <c r="BI201" s="97" t="e">
        <f>'Actual Value'!AE207+"AM:!)RI"</f>
        <v>#VALUE!</v>
      </c>
      <c r="BJ201" s="97" t="e">
        <f>'Actual Value'!AF207+"AM:!)RJ"</f>
        <v>#VALUE!</v>
      </c>
      <c r="BK201" s="97" t="e">
        <f>'Actual Value'!AG207+"AM:!)RK"</f>
        <v>#VALUE!</v>
      </c>
      <c r="BL201" s="97" t="e">
        <f>'Actual Value'!AH207+"AM:!)RL"</f>
        <v>#VALUE!</v>
      </c>
      <c r="BM201" s="97" t="e">
        <f>'Actual Value'!AI207+"AM:!)RM"</f>
        <v>#VALUE!</v>
      </c>
      <c r="BN201" s="97" t="e">
        <f>'Actual Value'!AJ207+"AM:!)RN"</f>
        <v>#VALUE!</v>
      </c>
      <c r="BO201" s="97" t="e">
        <f>'Actual Value'!AK207+"AM:!)RO"</f>
        <v>#VALUE!</v>
      </c>
      <c r="BP201" s="97" t="e">
        <f>'Actual Value'!AL207+"AM:!)RP"</f>
        <v>#VALUE!</v>
      </c>
      <c r="BQ201" s="97" t="e">
        <f>'Actual Value'!AM207+"AM:!)RQ"</f>
        <v>#VALUE!</v>
      </c>
      <c r="BR201" s="97" t="e">
        <f>'Actual Value'!AN207+"AM:!)RR"</f>
        <v>#VALUE!</v>
      </c>
      <c r="BS201" s="97" t="e">
        <f>'Actual Value'!AO207+"AM:!)RS"</f>
        <v>#VALUE!</v>
      </c>
      <c r="BT201" t="e">
        <f>'Actual Value'!AP207+"AM:!)RT"</f>
        <v>#VALUE!</v>
      </c>
      <c r="BU201" t="e">
        <f>'Actual Value'!AQ207+"AM:!)RU"</f>
        <v>#VALUE!</v>
      </c>
      <c r="BV201" t="e">
        <f>'Actual Value'!AR207+"AM:!)RV"</f>
        <v>#VALUE!</v>
      </c>
      <c r="BW201" t="e">
        <f>'Actual Value'!AS207+"AM:!)RW"</f>
        <v>#VALUE!</v>
      </c>
      <c r="BX201" t="e">
        <f>'Actual Value'!AT207+"AM:!)RX"</f>
        <v>#VALUE!</v>
      </c>
      <c r="BY201" t="e">
        <f>'Actual Value'!AU207+"AM:!)RY"</f>
        <v>#VALUE!</v>
      </c>
      <c r="BZ201" t="e">
        <f>'Actual Value'!AV207+"AM:!)RZ"</f>
        <v>#VALUE!</v>
      </c>
      <c r="CA201" t="e">
        <f>'Actual Value'!AW207+"AM:!)R["</f>
        <v>#VALUE!</v>
      </c>
      <c r="CB201" t="e">
        <f>'Actual Value'!A208+"AM:!)R\"</f>
        <v>#VALUE!</v>
      </c>
      <c r="CC201" t="e">
        <f>'Actual Value'!B208+"AM:!)R]"</f>
        <v>#VALUE!</v>
      </c>
      <c r="CD201" t="e">
        <f>'Actual Value'!C208+"AM:!)R^"</f>
        <v>#VALUE!</v>
      </c>
      <c r="CE201" s="97" t="e">
        <f>'Actual Value'!D208+"AM:!)R_"</f>
        <v>#VALUE!</v>
      </c>
      <c r="CF201" s="97" t="e">
        <f>'Actual Value'!E208+"AM:!)R`"</f>
        <v>#VALUE!</v>
      </c>
      <c r="CG201" s="97" t="e">
        <f>'Actual Value'!F208+"AM:!)Ra"</f>
        <v>#VALUE!</v>
      </c>
      <c r="CH201" s="97" t="e">
        <f>'Actual Value'!G208+"AM:!)Rb"</f>
        <v>#VALUE!</v>
      </c>
      <c r="CI201" s="97" t="e">
        <f>'Actual Value'!H208+"AM:!)Rc"</f>
        <v>#VALUE!</v>
      </c>
      <c r="CJ201" s="97" t="e">
        <f>'Actual Value'!I208+"AM:!)Rd"</f>
        <v>#VALUE!</v>
      </c>
      <c r="CK201" s="97" t="e">
        <f>'Actual Value'!J208+"AM:!)Re"</f>
        <v>#VALUE!</v>
      </c>
      <c r="CL201" s="97" t="e">
        <f>'Actual Value'!K208+"AM:!)Rf"</f>
        <v>#VALUE!</v>
      </c>
      <c r="CM201" s="97" t="e">
        <f>'Actual Value'!L208+"AM:!)Rg"</f>
        <v>#VALUE!</v>
      </c>
      <c r="CN201" s="97" t="e">
        <f>'Actual Value'!M208+"AM:!)Rh"</f>
        <v>#VALUE!</v>
      </c>
      <c r="CO201" s="97" t="e">
        <f>'Actual Value'!N208+"AM:!)Ri"</f>
        <v>#VALUE!</v>
      </c>
      <c r="CP201" s="97" t="e">
        <f>'Actual Value'!O208+"AM:!)Rj"</f>
        <v>#VALUE!</v>
      </c>
      <c r="CQ201" s="97" t="e">
        <f>'Actual Value'!P208+"AM:!)Rk"</f>
        <v>#VALUE!</v>
      </c>
      <c r="CR201" s="97" t="e">
        <f>'Actual Value'!Q208+"AM:!)Rl"</f>
        <v>#VALUE!</v>
      </c>
      <c r="CS201" s="97" t="e">
        <f>'Actual Value'!R208+"AM:!)Rm"</f>
        <v>#VALUE!</v>
      </c>
      <c r="CT201" s="97" t="e">
        <f>'Actual Value'!S208+"AM:!)Rn"</f>
        <v>#VALUE!</v>
      </c>
      <c r="CU201" s="97" t="e">
        <f>'Actual Value'!T208+"AM:!)Ro"</f>
        <v>#VALUE!</v>
      </c>
      <c r="CV201" s="97" t="e">
        <f>'Actual Value'!U208+"AM:!)Rp"</f>
        <v>#VALUE!</v>
      </c>
      <c r="CW201" s="97" t="e">
        <f>'Actual Value'!V208+"AM:!)Rq"</f>
        <v>#VALUE!</v>
      </c>
      <c r="CX201" s="97" t="e">
        <f>'Actual Value'!W208+"AM:!)Rr"</f>
        <v>#VALUE!</v>
      </c>
      <c r="CY201" s="97" t="e">
        <f>'Actual Value'!X208+"AM:!)Rs"</f>
        <v>#VALUE!</v>
      </c>
      <c r="CZ201" s="97" t="e">
        <f>'Actual Value'!Y208+"AM:!)Rt"</f>
        <v>#VALUE!</v>
      </c>
      <c r="DA201" s="97" t="e">
        <f>'Actual Value'!Z208+"AM:!)Ru"</f>
        <v>#VALUE!</v>
      </c>
      <c r="DB201" s="97" t="e">
        <f>'Actual Value'!AA208+"AM:!)Rv"</f>
        <v>#VALUE!</v>
      </c>
      <c r="DC201" s="97" t="e">
        <f>'Actual Value'!AB208+"AM:!)Rw"</f>
        <v>#VALUE!</v>
      </c>
      <c r="DD201" s="97" t="e">
        <f>'Actual Value'!AC208+"AM:!)Rx"</f>
        <v>#VALUE!</v>
      </c>
      <c r="DE201" s="97" t="e">
        <f>'Actual Value'!AD208+"AM:!)Ry"</f>
        <v>#VALUE!</v>
      </c>
      <c r="DF201" s="97" t="e">
        <f>'Actual Value'!AE208+"AM:!)Rz"</f>
        <v>#VALUE!</v>
      </c>
      <c r="DG201" s="97" t="e">
        <f>'Actual Value'!AF208+"AM:!)R{"</f>
        <v>#VALUE!</v>
      </c>
      <c r="DH201" s="97" t="e">
        <f>'Actual Value'!AG208+"AM:!)R|"</f>
        <v>#VALUE!</v>
      </c>
      <c r="DI201" s="97" t="e">
        <f>'Actual Value'!AH208+"AM:!)R}"</f>
        <v>#VALUE!</v>
      </c>
      <c r="DJ201" s="97" t="e">
        <f>'Actual Value'!AI208+"AM:!)R~"</f>
        <v>#VALUE!</v>
      </c>
      <c r="DK201" s="97" t="e">
        <f>'Actual Value'!AJ208+"AM:!)S#"</f>
        <v>#VALUE!</v>
      </c>
      <c r="DL201" s="97" t="e">
        <f>'Actual Value'!AK208+"AM:!)S$"</f>
        <v>#VALUE!</v>
      </c>
      <c r="DM201" s="97" t="e">
        <f>'Actual Value'!AL208+"AM:!)S%"</f>
        <v>#VALUE!</v>
      </c>
      <c r="DN201" s="97" t="e">
        <f>'Actual Value'!AM208+"AM:!)S&amp;"</f>
        <v>#VALUE!</v>
      </c>
      <c r="DO201" s="97" t="e">
        <f>'Actual Value'!AN208+"AM:!)S'"</f>
        <v>#VALUE!</v>
      </c>
      <c r="DP201" s="97" t="e">
        <f>'Actual Value'!AO208+"AM:!)S("</f>
        <v>#VALUE!</v>
      </c>
      <c r="DQ201" t="e">
        <f>'Actual Value'!AP208+"AM:!)S)"</f>
        <v>#VALUE!</v>
      </c>
      <c r="DR201" t="e">
        <f>'Actual Value'!AQ208+"AM:!)S."</f>
        <v>#VALUE!</v>
      </c>
      <c r="DS201" t="e">
        <f>'Actual Value'!AR208+"AM:!)S/"</f>
        <v>#VALUE!</v>
      </c>
      <c r="DT201" t="e">
        <f>'Actual Value'!AS208+"AM:!)S0"</f>
        <v>#VALUE!</v>
      </c>
      <c r="DU201" t="e">
        <f>'Actual Value'!AT208+"AM:!)S1"</f>
        <v>#VALUE!</v>
      </c>
      <c r="DV201" t="e">
        <f>'Actual Value'!AU208+"AM:!)S2"</f>
        <v>#VALUE!</v>
      </c>
      <c r="DW201" t="e">
        <f>'Actual Value'!AV208+"AM:!)S3"</f>
        <v>#VALUE!</v>
      </c>
      <c r="DX201" t="e">
        <f>'Actual Value'!AW208+"AM:!)S4"</f>
        <v>#VALUE!</v>
      </c>
      <c r="DY201" t="e">
        <f>'Actual Value'!AX208+"AM:!)S5"</f>
        <v>#VALUE!</v>
      </c>
      <c r="DZ201" t="e">
        <f>'Actual Value'!A209+"AM:!)S6"</f>
        <v>#VALUE!</v>
      </c>
      <c r="EA201" t="e">
        <f>'Actual Value'!B209+"AM:!)S7"</f>
        <v>#VALUE!</v>
      </c>
      <c r="EB201" t="e">
        <f>'Actual Value'!C209+"AM:!)S8"</f>
        <v>#VALUE!</v>
      </c>
      <c r="EC201" s="97" t="e">
        <f>'Actual Value'!D209+"AM:!)S9"</f>
        <v>#VALUE!</v>
      </c>
      <c r="ED201" s="97" t="e">
        <f>'Actual Value'!E209+"AM:!)S:"</f>
        <v>#VALUE!</v>
      </c>
      <c r="EE201" s="97" t="e">
        <f>'Actual Value'!F209+"AM:!)S;"</f>
        <v>#VALUE!</v>
      </c>
      <c r="EF201" s="97" t="e">
        <f>'Actual Value'!G209+"AM:!)S&lt;"</f>
        <v>#VALUE!</v>
      </c>
      <c r="EG201" s="97" t="e">
        <f>'Actual Value'!H209+"AM:!)S="</f>
        <v>#VALUE!</v>
      </c>
      <c r="EH201" s="97" t="e">
        <f>'Actual Value'!I209+"AM:!)S&gt;"</f>
        <v>#VALUE!</v>
      </c>
      <c r="EI201" s="97" t="e">
        <f>'Actual Value'!J209+"AM:!)S?"</f>
        <v>#VALUE!</v>
      </c>
      <c r="EJ201" s="97" t="e">
        <f>'Actual Value'!K209+"AM:!)S@"</f>
        <v>#VALUE!</v>
      </c>
      <c r="EK201" s="97" t="e">
        <f>'Actual Value'!L209+"AM:!)SA"</f>
        <v>#VALUE!</v>
      </c>
      <c r="EL201" s="97" t="e">
        <f>'Actual Value'!M209+"AM:!)SB"</f>
        <v>#VALUE!</v>
      </c>
      <c r="EM201" s="97" t="e">
        <f>'Actual Value'!N209+"AM:!)SC"</f>
        <v>#VALUE!</v>
      </c>
      <c r="EN201" s="97" t="e">
        <f>'Actual Value'!O209+"AM:!)SD"</f>
        <v>#VALUE!</v>
      </c>
      <c r="EO201" s="97" t="e">
        <f>'Actual Value'!P209+"AM:!)SE"</f>
        <v>#VALUE!</v>
      </c>
      <c r="EP201" s="97" t="e">
        <f>'Actual Value'!Q209+"AM:!)SF"</f>
        <v>#VALUE!</v>
      </c>
      <c r="EQ201" s="97" t="e">
        <f>'Actual Value'!R209+"AM:!)SG"</f>
        <v>#VALUE!</v>
      </c>
      <c r="ER201" s="97" t="e">
        <f>'Actual Value'!S209+"AM:!)SH"</f>
        <v>#VALUE!</v>
      </c>
      <c r="ES201" s="97" t="e">
        <f>'Actual Value'!T209+"AM:!)SI"</f>
        <v>#VALUE!</v>
      </c>
      <c r="ET201" s="97" t="e">
        <f>'Actual Value'!U209+"AM:!)SJ"</f>
        <v>#VALUE!</v>
      </c>
      <c r="EU201" s="97" t="e">
        <f>'Actual Value'!V209+"AM:!)SK"</f>
        <v>#VALUE!</v>
      </c>
      <c r="EV201" s="97" t="e">
        <f>'Actual Value'!W209+"AM:!)SL"</f>
        <v>#VALUE!</v>
      </c>
      <c r="EW201" s="97" t="e">
        <f>'Actual Value'!X209+"AM:!)SM"</f>
        <v>#VALUE!</v>
      </c>
      <c r="EX201" s="97" t="e">
        <f>'Actual Value'!Y209+"AM:!)SN"</f>
        <v>#VALUE!</v>
      </c>
      <c r="EY201" s="97" t="e">
        <f>'Actual Value'!Z209+"AM:!)SO"</f>
        <v>#VALUE!</v>
      </c>
      <c r="EZ201" s="97" t="e">
        <f>'Actual Value'!AA209+"AM:!)SP"</f>
        <v>#VALUE!</v>
      </c>
      <c r="FA201" s="97" t="e">
        <f>'Actual Value'!AB209+"AM:!)SQ"</f>
        <v>#VALUE!</v>
      </c>
      <c r="FB201" s="97" t="e">
        <f>'Actual Value'!AC209+"AM:!)SR"</f>
        <v>#VALUE!</v>
      </c>
      <c r="FC201" s="97" t="e">
        <f>'Actual Value'!AD209+"AM:!)SS"</f>
        <v>#VALUE!</v>
      </c>
      <c r="FD201" s="97" t="e">
        <f>'Actual Value'!AE209+"AM:!)ST"</f>
        <v>#VALUE!</v>
      </c>
      <c r="FE201" s="97" t="e">
        <f>'Actual Value'!AF209+"AM:!)SU"</f>
        <v>#VALUE!</v>
      </c>
      <c r="FF201" s="97" t="e">
        <f>'Actual Value'!AG209+"AM:!)SV"</f>
        <v>#VALUE!</v>
      </c>
      <c r="FG201" s="97" t="e">
        <f>'Actual Value'!AH209+"AM:!)SW"</f>
        <v>#VALUE!</v>
      </c>
      <c r="FH201" s="97" t="e">
        <f>'Actual Value'!AI209+"AM:!)SX"</f>
        <v>#VALUE!</v>
      </c>
      <c r="FI201" s="97" t="e">
        <f>'Actual Value'!AJ209+"AM:!)SY"</f>
        <v>#VALUE!</v>
      </c>
      <c r="FJ201" s="97" t="e">
        <f>'Actual Value'!AK209+"AM:!)SZ"</f>
        <v>#VALUE!</v>
      </c>
      <c r="FK201" s="97" t="e">
        <f>'Actual Value'!AL209+"AM:!)S["</f>
        <v>#VALUE!</v>
      </c>
      <c r="FL201" s="97" t="e">
        <f>'Actual Value'!AM209+"AM:!)S\"</f>
        <v>#VALUE!</v>
      </c>
      <c r="FM201" s="97" t="e">
        <f>'Actual Value'!AN209+"AM:!)S]"</f>
        <v>#VALUE!</v>
      </c>
      <c r="FN201" s="97" t="e">
        <f>'Actual Value'!AO209+"AM:!)S^"</f>
        <v>#VALUE!</v>
      </c>
      <c r="FO201" t="e">
        <f>'Actual Value'!AP209+"AM:!)S_"</f>
        <v>#VALUE!</v>
      </c>
      <c r="FP201" t="e">
        <f>'Actual Value'!AQ209+"AM:!)S`"</f>
        <v>#VALUE!</v>
      </c>
      <c r="FQ201" t="e">
        <f>'Actual Value'!AR209+"AM:!)Sa"</f>
        <v>#VALUE!</v>
      </c>
      <c r="FR201" t="e">
        <f>'Actual Value'!AS209+"AM:!)Sb"</f>
        <v>#VALUE!</v>
      </c>
      <c r="FS201" t="e">
        <f>'Actual Value'!AT209+"AM:!)Sc"</f>
        <v>#VALUE!</v>
      </c>
      <c r="FT201" t="e">
        <f>'Actual Value'!AU209+"AM:!)Sd"</f>
        <v>#VALUE!</v>
      </c>
      <c r="FU201" t="e">
        <f>'Actual Value'!AV209+"AM:!)Se"</f>
        <v>#VALUE!</v>
      </c>
      <c r="FV201" t="e">
        <f>'Actual Value'!AW209+"AM:!)Sf"</f>
        <v>#VALUE!</v>
      </c>
      <c r="FW201" t="e">
        <f>'Actual Value'!AX209+"AM:!)Sg"</f>
        <v>#VALUE!</v>
      </c>
      <c r="FX201" t="e">
        <f>'Actual Value'!A210+"AM:!)Sh"</f>
        <v>#VALUE!</v>
      </c>
      <c r="FY201" t="e">
        <f>'Actual Value'!B210+"AM:!)Si"</f>
        <v>#VALUE!</v>
      </c>
      <c r="FZ201" t="e">
        <f>'Actual Value'!C210+"AM:!)Sj"</f>
        <v>#VALUE!</v>
      </c>
      <c r="GA201" s="97" t="e">
        <f>'Actual Value'!D210+"AM:!)Sk"</f>
        <v>#VALUE!</v>
      </c>
      <c r="GB201" s="97" t="e">
        <f>'Actual Value'!E210+"AM:!)Sl"</f>
        <v>#VALUE!</v>
      </c>
      <c r="GC201" s="97" t="e">
        <f>'Actual Value'!F210+"AM:!)Sm"</f>
        <v>#VALUE!</v>
      </c>
      <c r="GD201" s="97" t="e">
        <f>'Actual Value'!G210+"AM:!)Sn"</f>
        <v>#VALUE!</v>
      </c>
      <c r="GE201" s="97" t="e">
        <f>'Actual Value'!H210+"AM:!)So"</f>
        <v>#VALUE!</v>
      </c>
      <c r="GF201" s="97" t="e">
        <f>'Actual Value'!I210+"AM:!)Sp"</f>
        <v>#VALUE!</v>
      </c>
      <c r="GG201" s="97" t="e">
        <f>'Actual Value'!J210+"AM:!)Sq"</f>
        <v>#VALUE!</v>
      </c>
      <c r="GH201" s="97" t="e">
        <f>'Actual Value'!K210+"AM:!)Sr"</f>
        <v>#VALUE!</v>
      </c>
      <c r="GI201" s="97" t="e">
        <f>'Actual Value'!L210+"AM:!)Ss"</f>
        <v>#VALUE!</v>
      </c>
      <c r="GJ201" s="97" t="e">
        <f>'Actual Value'!M210+"AM:!)St"</f>
        <v>#VALUE!</v>
      </c>
      <c r="GK201" s="97" t="e">
        <f>'Actual Value'!N210+"AM:!)Su"</f>
        <v>#VALUE!</v>
      </c>
      <c r="GL201" s="97" t="e">
        <f>'Actual Value'!O210+"AM:!)Sv"</f>
        <v>#VALUE!</v>
      </c>
      <c r="GM201" s="97" t="e">
        <f>'Actual Value'!P210+"AM:!)Sw"</f>
        <v>#VALUE!</v>
      </c>
      <c r="GN201" s="97" t="e">
        <f>'Actual Value'!Q210+"AM:!)Sx"</f>
        <v>#VALUE!</v>
      </c>
      <c r="GO201" s="97" t="e">
        <f>'Actual Value'!R210+"AM:!)Sy"</f>
        <v>#VALUE!</v>
      </c>
      <c r="GP201" s="97" t="e">
        <f>'Actual Value'!S210+"AM:!)Sz"</f>
        <v>#VALUE!</v>
      </c>
      <c r="GQ201" s="97" t="e">
        <f>'Actual Value'!T210+"AM:!)S{"</f>
        <v>#VALUE!</v>
      </c>
      <c r="GR201" s="97" t="e">
        <f>'Actual Value'!U210+"AM:!)S|"</f>
        <v>#VALUE!</v>
      </c>
      <c r="GS201" s="97" t="e">
        <f>'Actual Value'!V210+"AM:!)S}"</f>
        <v>#VALUE!</v>
      </c>
      <c r="GT201" s="97" t="e">
        <f>'Actual Value'!W210+"AM:!)S~"</f>
        <v>#VALUE!</v>
      </c>
      <c r="GU201" s="97" t="e">
        <f>'Actual Value'!X210+"AM:!)T#"</f>
        <v>#VALUE!</v>
      </c>
      <c r="GV201" s="97" t="e">
        <f>'Actual Value'!Y210+"AM:!)T$"</f>
        <v>#VALUE!</v>
      </c>
      <c r="GW201" s="97" t="e">
        <f>'Actual Value'!Z210+"AM:!)T%"</f>
        <v>#VALUE!</v>
      </c>
      <c r="GX201" s="97" t="e">
        <f>'Actual Value'!AA210+"AM:!)T&amp;"</f>
        <v>#VALUE!</v>
      </c>
      <c r="GY201" s="97" t="e">
        <f>'Actual Value'!AB210+"AM:!)T'"</f>
        <v>#VALUE!</v>
      </c>
      <c r="GZ201" s="97" t="e">
        <f>'Actual Value'!AC210+"AM:!)T("</f>
        <v>#VALUE!</v>
      </c>
      <c r="HA201" s="97" t="e">
        <f>'Actual Value'!AD210+"AM:!)T)"</f>
        <v>#VALUE!</v>
      </c>
      <c r="HB201" s="97" t="e">
        <f>'Actual Value'!AE210+"AM:!)T."</f>
        <v>#VALUE!</v>
      </c>
      <c r="HC201" s="97" t="e">
        <f>'Actual Value'!AF210+"AM:!)T/"</f>
        <v>#VALUE!</v>
      </c>
      <c r="HD201" s="97" t="e">
        <f>'Actual Value'!AG210+"AM:!)T0"</f>
        <v>#VALUE!</v>
      </c>
      <c r="HE201" s="97" t="e">
        <f>'Actual Value'!AH210+"AM:!)T1"</f>
        <v>#VALUE!</v>
      </c>
      <c r="HF201" s="97" t="e">
        <f>'Actual Value'!AI210+"AM:!)T2"</f>
        <v>#VALUE!</v>
      </c>
      <c r="HG201" s="97" t="e">
        <f>'Actual Value'!AJ210+"AM:!)T3"</f>
        <v>#VALUE!</v>
      </c>
      <c r="HH201" s="97" t="e">
        <f>'Actual Value'!AK210+"AM:!)T4"</f>
        <v>#VALUE!</v>
      </c>
      <c r="HI201" s="97" t="e">
        <f>'Actual Value'!AL210+"AM:!)T5"</f>
        <v>#VALUE!</v>
      </c>
      <c r="HJ201" s="97" t="e">
        <f>'Actual Value'!AM210+"AM:!)T6"</f>
        <v>#VALUE!</v>
      </c>
      <c r="HK201" s="97" t="e">
        <f>'Actual Value'!AN210+"AM:!)T7"</f>
        <v>#VALUE!</v>
      </c>
      <c r="HL201" s="97" t="e">
        <f>'Actual Value'!AO210+"AM:!)T8"</f>
        <v>#VALUE!</v>
      </c>
      <c r="HM201" t="e">
        <f>'Actual Value'!AP210+"AM:!)T9"</f>
        <v>#VALUE!</v>
      </c>
      <c r="HN201" t="e">
        <f>'Actual Value'!AQ210+"AM:!)T:"</f>
        <v>#VALUE!</v>
      </c>
      <c r="HO201" t="e">
        <f>'Actual Value'!AR210+"AM:!)T;"</f>
        <v>#VALUE!</v>
      </c>
      <c r="HP201" t="e">
        <f>'Actual Value'!AS210+"AM:!)T&lt;"</f>
        <v>#VALUE!</v>
      </c>
      <c r="HQ201" t="e">
        <f>'Actual Value'!AT210+"AM:!)T="</f>
        <v>#VALUE!</v>
      </c>
      <c r="HR201" t="e">
        <f>'Actual Value'!AU210+"AM:!)T&gt;"</f>
        <v>#VALUE!</v>
      </c>
      <c r="HS201" t="e">
        <f>'Actual Value'!AV210+"AM:!)T?"</f>
        <v>#VALUE!</v>
      </c>
      <c r="HT201" t="e">
        <f>'Actual Value'!AW210+"AM:!)T@"</f>
        <v>#VALUE!</v>
      </c>
      <c r="HU201" t="e">
        <f>'Actual Value'!AX210+"AM:!)TA"</f>
        <v>#VALUE!</v>
      </c>
      <c r="HV201" t="e">
        <f>'Actual Value'!A211+"AM:!)TB"</f>
        <v>#VALUE!</v>
      </c>
      <c r="HW201" t="e">
        <f>'Actual Value'!B211+"AM:!)TC"</f>
        <v>#VALUE!</v>
      </c>
      <c r="HX201" t="e">
        <f>'Actual Value'!C211+"AM:!)TD"</f>
        <v>#VALUE!</v>
      </c>
      <c r="HY201" s="97" t="e">
        <f>'Actual Value'!D211+"AM:!)TE"</f>
        <v>#VALUE!</v>
      </c>
      <c r="HZ201" s="97" t="e">
        <f>'Actual Value'!E211+"AM:!)TF"</f>
        <v>#VALUE!</v>
      </c>
      <c r="IA201" s="97" t="e">
        <f>'Actual Value'!F211+"AM:!)TG"</f>
        <v>#VALUE!</v>
      </c>
      <c r="IB201" s="97" t="e">
        <f>'Actual Value'!G211+"AM:!)TH"</f>
        <v>#VALUE!</v>
      </c>
      <c r="IC201" s="97" t="e">
        <f>'Actual Value'!H211+"AM:!)TI"</f>
        <v>#VALUE!</v>
      </c>
      <c r="ID201" s="97" t="e">
        <f>'Actual Value'!I211+"AM:!)TJ"</f>
        <v>#VALUE!</v>
      </c>
      <c r="IE201" s="97" t="e">
        <f>'Actual Value'!J211+"AM:!)TK"</f>
        <v>#VALUE!</v>
      </c>
      <c r="IF201" s="97" t="e">
        <f>'Actual Value'!K211+"AM:!)TL"</f>
        <v>#VALUE!</v>
      </c>
      <c r="IG201" s="97" t="e">
        <f>'Actual Value'!L211+"AM:!)TM"</f>
        <v>#VALUE!</v>
      </c>
      <c r="IH201" s="97" t="e">
        <f>'Actual Value'!M211+"AM:!)TN"</f>
        <v>#VALUE!</v>
      </c>
      <c r="II201" s="97" t="e">
        <f>'Actual Value'!N211+"AM:!)TO"</f>
        <v>#VALUE!</v>
      </c>
      <c r="IJ201" s="97" t="e">
        <f>'Actual Value'!O211+"AM:!)TP"</f>
        <v>#VALUE!</v>
      </c>
      <c r="IK201" s="97" t="e">
        <f>'Actual Value'!P211+"AM:!)TQ"</f>
        <v>#VALUE!</v>
      </c>
      <c r="IL201" s="97" t="e">
        <f>'Actual Value'!Q211+"AM:!)TR"</f>
        <v>#VALUE!</v>
      </c>
      <c r="IM201" s="97" t="e">
        <f>'Actual Value'!R211+"AM:!)TS"</f>
        <v>#VALUE!</v>
      </c>
      <c r="IN201" s="97" t="e">
        <f>'Actual Value'!S211+"AM:!)TT"</f>
        <v>#VALUE!</v>
      </c>
      <c r="IO201" s="97" t="e">
        <f>'Actual Value'!T211+"AM:!)TU"</f>
        <v>#VALUE!</v>
      </c>
      <c r="IP201" s="97" t="e">
        <f>'Actual Value'!U211+"AM:!)TV"</f>
        <v>#VALUE!</v>
      </c>
      <c r="IQ201" s="97" t="e">
        <f>'Actual Value'!V211+"AM:!)TW"</f>
        <v>#VALUE!</v>
      </c>
      <c r="IR201" s="97" t="e">
        <f>'Actual Value'!W211+"AM:!)TX"</f>
        <v>#VALUE!</v>
      </c>
      <c r="IS201" s="97" t="e">
        <f>'Actual Value'!X211+"AM:!)TY"</f>
        <v>#VALUE!</v>
      </c>
      <c r="IT201" s="97" t="e">
        <f>'Actual Value'!Y211+"AM:!)TZ"</f>
        <v>#VALUE!</v>
      </c>
      <c r="IU201" s="97" t="e">
        <f>'Actual Value'!Z211+"AM:!)T["</f>
        <v>#VALUE!</v>
      </c>
      <c r="IV201" s="97" t="e">
        <f>'Actual Value'!AA211+"AM:!)T\"</f>
        <v>#VALUE!</v>
      </c>
    </row>
    <row r="202" spans="6:256">
      <c r="F202" s="97" t="e">
        <f>'Actual Value'!AB211+"AM:!)T]"</f>
        <v>#VALUE!</v>
      </c>
      <c r="G202" s="97" t="e">
        <f>'Actual Value'!AC211+"AM:!)T^"</f>
        <v>#VALUE!</v>
      </c>
      <c r="H202" s="97" t="e">
        <f>'Actual Value'!AD211+"AM:!)T_"</f>
        <v>#VALUE!</v>
      </c>
      <c r="I202" s="97" t="e">
        <f>'Actual Value'!AE211+"AM:!)T`"</f>
        <v>#VALUE!</v>
      </c>
      <c r="J202" s="97" t="e">
        <f>'Actual Value'!AF211+"AM:!)Ta"</f>
        <v>#VALUE!</v>
      </c>
      <c r="K202" s="97" t="e">
        <f>'Actual Value'!AG211+"AM:!)Tb"</f>
        <v>#VALUE!</v>
      </c>
      <c r="L202" s="97" t="e">
        <f>'Actual Value'!AH211+"AM:!)Tc"</f>
        <v>#VALUE!</v>
      </c>
      <c r="M202" s="97" t="e">
        <f>'Actual Value'!AI211+"AM:!)Td"</f>
        <v>#VALUE!</v>
      </c>
      <c r="N202" s="97" t="e">
        <f>'Actual Value'!AJ211+"AM:!)Te"</f>
        <v>#VALUE!</v>
      </c>
      <c r="O202" s="97" t="e">
        <f>'Actual Value'!AK211+"AM:!)Tf"</f>
        <v>#VALUE!</v>
      </c>
      <c r="P202" s="97" t="e">
        <f>'Actual Value'!AL211+"AM:!)Tg"</f>
        <v>#VALUE!</v>
      </c>
      <c r="Q202" s="97" t="e">
        <f>'Actual Value'!AM211+"AM:!)Th"</f>
        <v>#VALUE!</v>
      </c>
      <c r="R202" s="97" t="e">
        <f>'Actual Value'!AN211+"AM:!)Ti"</f>
        <v>#VALUE!</v>
      </c>
      <c r="S202" s="97" t="e">
        <f>'Actual Value'!AO211+"AM:!)Tj"</f>
        <v>#VALUE!</v>
      </c>
      <c r="T202" t="e">
        <f>'Actual Value'!AP211+"AM:!)Tk"</f>
        <v>#VALUE!</v>
      </c>
      <c r="U202" t="e">
        <f>'Actual Value'!AQ211+"AM:!)Tl"</f>
        <v>#VALUE!</v>
      </c>
      <c r="V202" t="e">
        <f>'Actual Value'!AR211+"AM:!)Tm"</f>
        <v>#VALUE!</v>
      </c>
      <c r="W202" t="e">
        <f>'Actual Value'!AS211+"AM:!)Tn"</f>
        <v>#VALUE!</v>
      </c>
      <c r="X202" t="e">
        <f>'Actual Value'!AT211+"AM:!)To"</f>
        <v>#VALUE!</v>
      </c>
      <c r="Y202" t="e">
        <f>'Actual Value'!AU211+"AM:!)Tp"</f>
        <v>#VALUE!</v>
      </c>
      <c r="Z202" t="e">
        <f>'Actual Value'!AV211+"AM:!)Tq"</f>
        <v>#VALUE!</v>
      </c>
      <c r="AA202" t="e">
        <f>'Actual Value'!AW211+"AM:!)Tr"</f>
        <v>#VALUE!</v>
      </c>
      <c r="AB202" t="e">
        <f>'Actual Value'!AX211+"AM:!)Ts"</f>
        <v>#VALUE!</v>
      </c>
      <c r="AC202" t="e">
        <f>'Actual Value'!A212+"AM:!)Tt"</f>
        <v>#VALUE!</v>
      </c>
      <c r="AD202" t="e">
        <f>'Actual Value'!B212+"AM:!)Tu"</f>
        <v>#VALUE!</v>
      </c>
      <c r="AE202" t="e">
        <f>'Actual Value'!C212+"AM:!)Tv"</f>
        <v>#VALUE!</v>
      </c>
      <c r="AF202" s="97" t="e">
        <f>'Actual Value'!D212+"AM:!)Tw"</f>
        <v>#VALUE!</v>
      </c>
      <c r="AG202" s="97" t="e">
        <f>'Actual Value'!E212+"AM:!)Tx"</f>
        <v>#VALUE!</v>
      </c>
      <c r="AH202" s="97" t="e">
        <f>'Actual Value'!F212+"AM:!)Ty"</f>
        <v>#VALUE!</v>
      </c>
      <c r="AI202" s="97" t="e">
        <f>'Actual Value'!G212+"AM:!)Tz"</f>
        <v>#VALUE!</v>
      </c>
      <c r="AJ202" s="97" t="e">
        <f>'Actual Value'!H212+"AM:!)T{"</f>
        <v>#VALUE!</v>
      </c>
      <c r="AK202" s="97" t="e">
        <f>'Actual Value'!I212+"AM:!)T|"</f>
        <v>#VALUE!</v>
      </c>
      <c r="AL202" s="97" t="e">
        <f>'Actual Value'!J212+"AM:!)T}"</f>
        <v>#VALUE!</v>
      </c>
      <c r="AM202" s="97" t="e">
        <f>'Actual Value'!K212+"AM:!)T~"</f>
        <v>#VALUE!</v>
      </c>
      <c r="AN202" s="97" t="e">
        <f>'Actual Value'!L212+"AM:!)U#"</f>
        <v>#VALUE!</v>
      </c>
      <c r="AO202" s="97" t="e">
        <f>'Actual Value'!M212+"AM:!)U$"</f>
        <v>#VALUE!</v>
      </c>
      <c r="AP202" s="97" t="e">
        <f>'Actual Value'!N212+"AM:!)U%"</f>
        <v>#VALUE!</v>
      </c>
      <c r="AQ202" s="97" t="e">
        <f>'Actual Value'!O212+"AM:!)U&amp;"</f>
        <v>#VALUE!</v>
      </c>
      <c r="AR202" s="97" t="e">
        <f>'Actual Value'!P212+"AM:!)U'"</f>
        <v>#VALUE!</v>
      </c>
      <c r="AS202" s="97" t="e">
        <f>'Actual Value'!Q212+"AM:!)U("</f>
        <v>#VALUE!</v>
      </c>
      <c r="AT202" s="97" t="e">
        <f>'Actual Value'!R212+"AM:!)U)"</f>
        <v>#VALUE!</v>
      </c>
      <c r="AU202" s="97" t="e">
        <f>'Actual Value'!S212+"AM:!)U."</f>
        <v>#VALUE!</v>
      </c>
      <c r="AV202" s="97" t="e">
        <f>'Actual Value'!T212+"AM:!)U/"</f>
        <v>#VALUE!</v>
      </c>
      <c r="AW202" s="97" t="e">
        <f>'Actual Value'!U212+"AM:!)U0"</f>
        <v>#VALUE!</v>
      </c>
      <c r="AX202" s="97" t="e">
        <f>'Actual Value'!V212+"AM:!)U1"</f>
        <v>#VALUE!</v>
      </c>
      <c r="AY202" s="97" t="e">
        <f>'Actual Value'!W212+"AM:!)U2"</f>
        <v>#VALUE!</v>
      </c>
      <c r="AZ202" s="97" t="e">
        <f>'Actual Value'!X212+"AM:!)U3"</f>
        <v>#VALUE!</v>
      </c>
      <c r="BA202" s="97" t="e">
        <f>'Actual Value'!Y212+"AM:!)U4"</f>
        <v>#VALUE!</v>
      </c>
      <c r="BB202" s="97" t="e">
        <f>'Actual Value'!Z212+"AM:!)U5"</f>
        <v>#VALUE!</v>
      </c>
      <c r="BC202" s="97" t="e">
        <f>'Actual Value'!AA212+"AM:!)U6"</f>
        <v>#VALUE!</v>
      </c>
      <c r="BD202" s="97" t="e">
        <f>'Actual Value'!AB212+"AM:!)U7"</f>
        <v>#VALUE!</v>
      </c>
      <c r="BE202" s="97" t="e">
        <f>'Actual Value'!AC212+"AM:!)U8"</f>
        <v>#VALUE!</v>
      </c>
      <c r="BF202" s="97" t="e">
        <f>'Actual Value'!AD212+"AM:!)U9"</f>
        <v>#VALUE!</v>
      </c>
      <c r="BG202" s="97" t="e">
        <f>'Actual Value'!AE212+"AM:!)U:"</f>
        <v>#VALUE!</v>
      </c>
      <c r="BH202" s="97" t="e">
        <f>'Actual Value'!AF212+"AM:!)U;"</f>
        <v>#VALUE!</v>
      </c>
      <c r="BI202" s="97" t="e">
        <f>'Actual Value'!AG212+"AM:!)U&lt;"</f>
        <v>#VALUE!</v>
      </c>
      <c r="BJ202" s="97" t="e">
        <f>'Actual Value'!AH212+"AM:!)U="</f>
        <v>#VALUE!</v>
      </c>
      <c r="BK202" s="97" t="e">
        <f>'Actual Value'!AI212+"AM:!)U&gt;"</f>
        <v>#VALUE!</v>
      </c>
      <c r="BL202" s="97" t="e">
        <f>'Actual Value'!AJ212+"AM:!)U?"</f>
        <v>#VALUE!</v>
      </c>
      <c r="BM202" s="97" t="e">
        <f>'Actual Value'!AK212+"AM:!)U@"</f>
        <v>#VALUE!</v>
      </c>
      <c r="BN202" s="97" t="e">
        <f>'Actual Value'!AL212+"AM:!)UA"</f>
        <v>#VALUE!</v>
      </c>
      <c r="BO202" s="97" t="e">
        <f>'Actual Value'!AM212+"AM:!)UB"</f>
        <v>#VALUE!</v>
      </c>
      <c r="BP202" s="97" t="e">
        <f>'Actual Value'!AN212+"AM:!)UC"</f>
        <v>#VALUE!</v>
      </c>
      <c r="BQ202" s="97" t="e">
        <f>'Actual Value'!AO212+"AM:!)UD"</f>
        <v>#VALUE!</v>
      </c>
      <c r="BR202" t="e">
        <f>'Actual Value'!AP212+"AM:!)UE"</f>
        <v>#VALUE!</v>
      </c>
      <c r="BS202" t="e">
        <f>'Actual Value'!AQ212+"AM:!)UF"</f>
        <v>#VALUE!</v>
      </c>
      <c r="BT202" t="e">
        <f>'Actual Value'!AR212+"AM:!)UG"</f>
        <v>#VALUE!</v>
      </c>
      <c r="BU202" t="e">
        <f>'Actual Value'!AS212+"AM:!)UH"</f>
        <v>#VALUE!</v>
      </c>
      <c r="BV202" t="e">
        <f>'Actual Value'!AT212+"AM:!)UI"</f>
        <v>#VALUE!</v>
      </c>
      <c r="BW202" t="e">
        <f>'Actual Value'!AU212+"AM:!)UJ"</f>
        <v>#VALUE!</v>
      </c>
      <c r="BX202" t="e">
        <f>'Actual Value'!AV212+"AM:!)UK"</f>
        <v>#VALUE!</v>
      </c>
      <c r="BY202" t="e">
        <f>'Actual Value'!AW212+"AM:!)UL"</f>
        <v>#VALUE!</v>
      </c>
      <c r="BZ202" t="e">
        <f>'Actual Value'!AX212+"AM:!)UM"</f>
        <v>#VALUE!</v>
      </c>
      <c r="CA202" t="e">
        <f>'Actual Value'!A213+"AM:!)UN"</f>
        <v>#VALUE!</v>
      </c>
      <c r="CB202" t="e">
        <f>'Actual Value'!B213+"AM:!)UO"</f>
        <v>#VALUE!</v>
      </c>
      <c r="CC202" t="e">
        <f>'Actual Value'!C213+"AM:!)UP"</f>
        <v>#VALUE!</v>
      </c>
      <c r="CD202" s="97" t="e">
        <f>'Actual Value'!D213+"AM:!)UQ"</f>
        <v>#VALUE!</v>
      </c>
      <c r="CE202" s="97" t="e">
        <f>'Actual Value'!E213+"AM:!)UR"</f>
        <v>#VALUE!</v>
      </c>
      <c r="CF202" s="97" t="e">
        <f>'Actual Value'!F213+"AM:!)US"</f>
        <v>#VALUE!</v>
      </c>
      <c r="CG202" s="97" t="e">
        <f>'Actual Value'!G213+"AM:!)UT"</f>
        <v>#VALUE!</v>
      </c>
      <c r="CH202" s="97" t="e">
        <f>'Actual Value'!H213+"AM:!)UU"</f>
        <v>#VALUE!</v>
      </c>
      <c r="CI202" s="97" t="e">
        <f>'Actual Value'!I213+"AM:!)UV"</f>
        <v>#VALUE!</v>
      </c>
      <c r="CJ202" s="97" t="e">
        <f>'Actual Value'!J213+"AM:!)UW"</f>
        <v>#VALUE!</v>
      </c>
      <c r="CK202" s="97" t="e">
        <f>'Actual Value'!K213+"AM:!)UX"</f>
        <v>#VALUE!</v>
      </c>
      <c r="CL202" s="97" t="e">
        <f>'Actual Value'!L213+"AM:!)UY"</f>
        <v>#VALUE!</v>
      </c>
      <c r="CM202" s="97" t="e">
        <f>'Actual Value'!M213+"AM:!)UZ"</f>
        <v>#VALUE!</v>
      </c>
      <c r="CN202" s="97" t="e">
        <f>'Actual Value'!N213+"AM:!)U["</f>
        <v>#VALUE!</v>
      </c>
      <c r="CO202" s="97" t="e">
        <f>'Actual Value'!O213+"AM:!)U\"</f>
        <v>#VALUE!</v>
      </c>
      <c r="CP202" s="97" t="e">
        <f>'Actual Value'!P213+"AM:!)U]"</f>
        <v>#VALUE!</v>
      </c>
      <c r="CQ202" s="97" t="e">
        <f>'Actual Value'!Q213+"AM:!)U^"</f>
        <v>#VALUE!</v>
      </c>
      <c r="CR202" s="97" t="e">
        <f>'Actual Value'!R213+"AM:!)U_"</f>
        <v>#VALUE!</v>
      </c>
      <c r="CS202" s="97" t="e">
        <f>'Actual Value'!S213+"AM:!)U`"</f>
        <v>#VALUE!</v>
      </c>
      <c r="CT202" s="97" t="e">
        <f>'Actual Value'!T213+"AM:!)Ua"</f>
        <v>#VALUE!</v>
      </c>
      <c r="CU202" s="97" t="e">
        <f>'Actual Value'!U213+"AM:!)Ub"</f>
        <v>#VALUE!</v>
      </c>
      <c r="CV202" s="97" t="e">
        <f>'Actual Value'!V213+"AM:!)Uc"</f>
        <v>#VALUE!</v>
      </c>
      <c r="CW202" s="97" t="e">
        <f>'Actual Value'!W213+"AM:!)Ud"</f>
        <v>#VALUE!</v>
      </c>
      <c r="CX202" s="97" t="e">
        <f>'Actual Value'!X213+"AM:!)Ue"</f>
        <v>#VALUE!</v>
      </c>
      <c r="CY202" s="97" t="e">
        <f>'Actual Value'!Y213+"AM:!)Uf"</f>
        <v>#VALUE!</v>
      </c>
      <c r="CZ202" s="97" t="e">
        <f>'Actual Value'!Z213+"AM:!)Ug"</f>
        <v>#VALUE!</v>
      </c>
      <c r="DA202" s="97" t="e">
        <f>'Actual Value'!AA213+"AM:!)Uh"</f>
        <v>#VALUE!</v>
      </c>
      <c r="DB202" s="97" t="e">
        <f>'Actual Value'!AB213+"AM:!)Ui"</f>
        <v>#VALUE!</v>
      </c>
      <c r="DC202" s="97" t="e">
        <f>'Actual Value'!AC213+"AM:!)Uj"</f>
        <v>#VALUE!</v>
      </c>
      <c r="DD202" s="97" t="e">
        <f>'Actual Value'!AD213+"AM:!)Uk"</f>
        <v>#VALUE!</v>
      </c>
      <c r="DE202" s="97" t="e">
        <f>'Actual Value'!AE213+"AM:!)Ul"</f>
        <v>#VALUE!</v>
      </c>
      <c r="DF202" s="97" t="e">
        <f>'Actual Value'!AF213+"AM:!)Um"</f>
        <v>#VALUE!</v>
      </c>
      <c r="DG202" s="97" t="e">
        <f>'Actual Value'!AG213+"AM:!)Un"</f>
        <v>#VALUE!</v>
      </c>
      <c r="DH202" s="97" t="e">
        <f>'Actual Value'!AH213+"AM:!)Uo"</f>
        <v>#VALUE!</v>
      </c>
      <c r="DI202" s="97" t="e">
        <f>'Actual Value'!AI213+"AM:!)Up"</f>
        <v>#VALUE!</v>
      </c>
      <c r="DJ202" s="97" t="e">
        <f>'Actual Value'!AJ213+"AM:!)Uq"</f>
        <v>#VALUE!</v>
      </c>
      <c r="DK202" s="97" t="e">
        <f>'Actual Value'!AK213+"AM:!)Ur"</f>
        <v>#VALUE!</v>
      </c>
      <c r="DL202" s="97" t="e">
        <f>'Actual Value'!AL213+"AM:!)Us"</f>
        <v>#VALUE!</v>
      </c>
      <c r="DM202" s="97" t="e">
        <f>'Actual Value'!AM213+"AM:!)Ut"</f>
        <v>#VALUE!</v>
      </c>
      <c r="DN202" s="97" t="e">
        <f>'Actual Value'!AN213+"AM:!)Uu"</f>
        <v>#VALUE!</v>
      </c>
      <c r="DO202" s="97" t="e">
        <f>'Actual Value'!AO213+"AM:!)Uv"</f>
        <v>#VALUE!</v>
      </c>
      <c r="DP202" t="e">
        <f>'Actual Value'!AP213+"AM:!)Uw"</f>
        <v>#VALUE!</v>
      </c>
      <c r="DQ202" t="e">
        <f>'Actual Value'!AQ213+"AM:!)Ux"</f>
        <v>#VALUE!</v>
      </c>
      <c r="DR202" t="e">
        <f>'Actual Value'!AR213+"AM:!)Uy"</f>
        <v>#VALUE!</v>
      </c>
      <c r="DS202" t="e">
        <f>'Actual Value'!AS213+"AM:!)Uz"</f>
        <v>#VALUE!</v>
      </c>
      <c r="DT202" t="e">
        <f>'Actual Value'!AT213+"AM:!)U{"</f>
        <v>#VALUE!</v>
      </c>
      <c r="DU202" t="e">
        <f>'Actual Value'!AU213+"AM:!)U|"</f>
        <v>#VALUE!</v>
      </c>
      <c r="DV202" t="e">
        <f>'Actual Value'!AV213+"AM:!)U}"</f>
        <v>#VALUE!</v>
      </c>
      <c r="DW202" t="e">
        <f>'Actual Value'!AW213+"AM:!)U~"</f>
        <v>#VALUE!</v>
      </c>
      <c r="DX202" t="e">
        <f>'Actual Value'!AX213+"AM:!)V#"</f>
        <v>#VALUE!</v>
      </c>
      <c r="DY202" t="e">
        <f>'Actual Value'!A214+"AM:!)V$"</f>
        <v>#VALUE!</v>
      </c>
      <c r="DZ202" t="e">
        <f>'Actual Value'!B214+"AM:!)V%"</f>
        <v>#VALUE!</v>
      </c>
      <c r="EA202" t="e">
        <f>'Actual Value'!C214+"AM:!)V&amp;"</f>
        <v>#VALUE!</v>
      </c>
      <c r="EB202" t="e">
        <f>'Actual Value'!D214+"AM:!)V'"</f>
        <v>#VALUE!</v>
      </c>
      <c r="EC202" t="e">
        <f>'Actual Value'!E214+"AM:!)V("</f>
        <v>#VALUE!</v>
      </c>
      <c r="ED202" t="e">
        <f>'Actual Value'!F214+"AM:!)V)"</f>
        <v>#VALUE!</v>
      </c>
      <c r="EE202" t="e">
        <f>'Actual Value'!G214+"AM:!)V."</f>
        <v>#VALUE!</v>
      </c>
      <c r="EF202" t="e">
        <f>'Actual Value'!H214+"AM:!)V/"</f>
        <v>#VALUE!</v>
      </c>
      <c r="EG202" t="e">
        <f>'Actual Value'!I214+"AM:!)V0"</f>
        <v>#VALUE!</v>
      </c>
      <c r="EH202" t="e">
        <f>'Actual Value'!J214+"AM:!)V1"</f>
        <v>#VALUE!</v>
      </c>
      <c r="EI202" t="e">
        <f>'Actual Value'!K214+"AM:!)V2"</f>
        <v>#VALUE!</v>
      </c>
      <c r="EJ202" t="e">
        <f>'Actual Value'!L214+"AM:!)V3"</f>
        <v>#VALUE!</v>
      </c>
      <c r="EK202" t="e">
        <f>'Actual Value'!M214+"AM:!)V4"</f>
        <v>#VALUE!</v>
      </c>
      <c r="EL202" t="e">
        <f>'Actual Value'!N214+"AM:!)V5"</f>
        <v>#VALUE!</v>
      </c>
      <c r="EM202" t="e">
        <f>'Actual Value'!O214+"AM:!)V6"</f>
        <v>#VALUE!</v>
      </c>
      <c r="EN202" t="e">
        <f>'Actual Value'!P214+"AM:!)V7"</f>
        <v>#VALUE!</v>
      </c>
      <c r="EO202" t="e">
        <f>'Actual Value'!Q214+"AM:!)V8"</f>
        <v>#VALUE!</v>
      </c>
      <c r="EP202" t="e">
        <f>'Actual Value'!R214+"AM:!)V9"</f>
        <v>#VALUE!</v>
      </c>
      <c r="EQ202" t="e">
        <f>'Actual Value'!S214+"AM:!)V:"</f>
        <v>#VALUE!</v>
      </c>
      <c r="ER202" t="e">
        <f>'Actual Value'!T214+"AM:!)V;"</f>
        <v>#VALUE!</v>
      </c>
      <c r="ES202" t="e">
        <f>'Actual Value'!U214+"AM:!)V&lt;"</f>
        <v>#VALUE!</v>
      </c>
      <c r="ET202" t="e">
        <f>'Actual Value'!V214+"AM:!)V="</f>
        <v>#VALUE!</v>
      </c>
      <c r="EU202" t="e">
        <f>'Actual Value'!W214+"AM:!)V&gt;"</f>
        <v>#VALUE!</v>
      </c>
      <c r="EV202" t="e">
        <f>'Actual Value'!X214+"AM:!)V?"</f>
        <v>#VALUE!</v>
      </c>
      <c r="EW202" t="e">
        <f>'Actual Value'!Y214+"AM:!)V@"</f>
        <v>#VALUE!</v>
      </c>
      <c r="EX202" t="e">
        <f>'Actual Value'!Z214+"AM:!)VA"</f>
        <v>#VALUE!</v>
      </c>
      <c r="EY202" t="e">
        <f>'Actual Value'!AA214+"AM:!)VB"</f>
        <v>#VALUE!</v>
      </c>
      <c r="EZ202" t="e">
        <f>'Actual Value'!AB214+"AM:!)VC"</f>
        <v>#VALUE!</v>
      </c>
      <c r="FA202" t="e">
        <f>'Actual Value'!AC214+"AM:!)VD"</f>
        <v>#VALUE!</v>
      </c>
      <c r="FB202" t="e">
        <f>'Actual Value'!AD214+"AM:!)VE"</f>
        <v>#VALUE!</v>
      </c>
      <c r="FC202" t="e">
        <f>'Actual Value'!AE214+"AM:!)VF"</f>
        <v>#VALUE!</v>
      </c>
      <c r="FD202" t="e">
        <f>'Actual Value'!AF214+"AM:!)VG"</f>
        <v>#VALUE!</v>
      </c>
      <c r="FE202" t="e">
        <f>'Actual Value'!AG214+"AM:!)VH"</f>
        <v>#VALUE!</v>
      </c>
      <c r="FF202" t="e">
        <f>'Actual Value'!AH214+"AM:!)VI"</f>
        <v>#VALUE!</v>
      </c>
      <c r="FG202" t="e">
        <f>'Actual Value'!AI214+"AM:!)VJ"</f>
        <v>#VALUE!</v>
      </c>
      <c r="FH202" t="e">
        <f>'Actual Value'!AJ214+"AM:!)VK"</f>
        <v>#VALUE!</v>
      </c>
      <c r="FI202" t="e">
        <f>'Actual Value'!AK214+"AM:!)VL"</f>
        <v>#VALUE!</v>
      </c>
      <c r="FJ202" t="e">
        <f>'Actual Value'!AL214+"AM:!)VM"</f>
        <v>#VALUE!</v>
      </c>
      <c r="FK202" t="e">
        <f>'Actual Value'!AM214+"AM:!)VN"</f>
        <v>#VALUE!</v>
      </c>
      <c r="FL202" t="e">
        <f>'Actual Value'!AN214+"AM:!)VO"</f>
        <v>#VALUE!</v>
      </c>
      <c r="FM202" t="e">
        <f>'Actual Value'!AO214+"AM:!)VP"</f>
        <v>#VALUE!</v>
      </c>
      <c r="FN202" t="e">
        <f>'Actual Value'!AP214+"AM:!)VQ"</f>
        <v>#VALUE!</v>
      </c>
      <c r="FO202" t="e">
        <f>'Actual Value'!AQ214+"AM:!)VR"</f>
        <v>#VALUE!</v>
      </c>
      <c r="FP202" t="e">
        <f>'Actual Value'!AR214+"AM:!)VS"</f>
        <v>#VALUE!</v>
      </c>
      <c r="FQ202" t="e">
        <f>'Actual Value'!AS214+"AM:!)VT"</f>
        <v>#VALUE!</v>
      </c>
      <c r="FR202" t="e">
        <f>'Actual Value'!AT214+"AM:!)VU"</f>
        <v>#VALUE!</v>
      </c>
      <c r="FS202" t="e">
        <f>'Actual Value'!AU214+"AM:!)VV"</f>
        <v>#VALUE!</v>
      </c>
      <c r="FT202" t="e">
        <f>'Actual Value'!AV214+"AM:!)VW"</f>
        <v>#VALUE!</v>
      </c>
      <c r="FU202" t="e">
        <f>'Actual Value'!AW214+"AM:!)VX"</f>
        <v>#VALUE!</v>
      </c>
      <c r="FV202" t="e">
        <f>'Actual Value'!A215+"AM:!)VY"</f>
        <v>#VALUE!</v>
      </c>
      <c r="FW202" t="e">
        <f>'Actual Value'!B215+"AM:!)VZ"</f>
        <v>#VALUE!</v>
      </c>
      <c r="FX202" t="e">
        <f>'Actual Value'!C215+"AM:!)V["</f>
        <v>#VALUE!</v>
      </c>
      <c r="FY202" s="105" t="e">
        <f>'Actual Value'!D215+"AM:!)V\"</f>
        <v>#VALUE!</v>
      </c>
      <c r="FZ202" s="105" t="e">
        <f>'Actual Value'!E215+"AM:!)V]"</f>
        <v>#VALUE!</v>
      </c>
      <c r="GA202" s="105" t="e">
        <f>'Actual Value'!F215+"AM:!)V^"</f>
        <v>#VALUE!</v>
      </c>
      <c r="GB202" s="105" t="e">
        <f>'Actual Value'!G215+"AM:!)V_"</f>
        <v>#VALUE!</v>
      </c>
      <c r="GC202" s="105" t="e">
        <f>'Actual Value'!H215+"AM:!)V`"</f>
        <v>#VALUE!</v>
      </c>
      <c r="GD202" s="105" t="e">
        <f>'Actual Value'!I215+"AM:!)Va"</f>
        <v>#VALUE!</v>
      </c>
      <c r="GE202" s="105" t="e">
        <f>'Actual Value'!J215+"AM:!)Vb"</f>
        <v>#VALUE!</v>
      </c>
      <c r="GF202" s="105" t="e">
        <f>'Actual Value'!K215+"AM:!)Vc"</f>
        <v>#VALUE!</v>
      </c>
      <c r="GG202" s="105" t="e">
        <f>'Actual Value'!L215+"AM:!)Vd"</f>
        <v>#VALUE!</v>
      </c>
      <c r="GH202" s="105" t="e">
        <f>'Actual Value'!M215+"AM:!)Ve"</f>
        <v>#VALUE!</v>
      </c>
      <c r="GI202" s="105" t="e">
        <f>'Actual Value'!N215+"AM:!)Vf"</f>
        <v>#VALUE!</v>
      </c>
      <c r="GJ202" s="105" t="e">
        <f>'Actual Value'!O215+"AM:!)Vg"</f>
        <v>#VALUE!</v>
      </c>
      <c r="GK202" s="105" t="e">
        <f>'Actual Value'!P215+"AM:!)Vh"</f>
        <v>#VALUE!</v>
      </c>
      <c r="GL202" s="105" t="e">
        <f>'Actual Value'!Q215+"AM:!)Vi"</f>
        <v>#VALUE!</v>
      </c>
      <c r="GM202" s="105" t="e">
        <f>'Actual Value'!R215+"AM:!)Vj"</f>
        <v>#VALUE!</v>
      </c>
      <c r="GN202" s="105" t="e">
        <f>'Actual Value'!S215+"AM:!)Vk"</f>
        <v>#VALUE!</v>
      </c>
      <c r="GO202" s="105" t="e">
        <f>'Actual Value'!T215+"AM:!)Vl"</f>
        <v>#VALUE!</v>
      </c>
      <c r="GP202" s="105" t="e">
        <f>'Actual Value'!U215+"AM:!)Vm"</f>
        <v>#VALUE!</v>
      </c>
      <c r="GQ202" s="105" t="e">
        <f>'Actual Value'!V215+"AM:!)Vn"</f>
        <v>#VALUE!</v>
      </c>
      <c r="GR202" s="105" t="e">
        <f>'Actual Value'!W215+"AM:!)Vo"</f>
        <v>#VALUE!</v>
      </c>
      <c r="GS202" s="105" t="e">
        <f>'Actual Value'!X215+"AM:!)Vp"</f>
        <v>#VALUE!</v>
      </c>
      <c r="GT202" s="105" t="e">
        <f>'Actual Value'!Y215+"AM:!)Vq"</f>
        <v>#VALUE!</v>
      </c>
      <c r="GU202" s="105" t="e">
        <f>'Actual Value'!Z215+"AM:!)Vr"</f>
        <v>#VALUE!</v>
      </c>
      <c r="GV202" s="105" t="e">
        <f>'Actual Value'!AA215+"AM:!)Vs"</f>
        <v>#VALUE!</v>
      </c>
      <c r="GW202" s="105" t="e">
        <f>'Actual Value'!AB215+"AM:!)Vt"</f>
        <v>#VALUE!</v>
      </c>
      <c r="GX202" s="105" t="e">
        <f>'Actual Value'!AC215+"AM:!)Vu"</f>
        <v>#VALUE!</v>
      </c>
      <c r="GY202" s="105" t="e">
        <f>'Actual Value'!AD215+"AM:!)Vv"</f>
        <v>#VALUE!</v>
      </c>
      <c r="GZ202" s="105" t="e">
        <f>'Actual Value'!AE215+"AM:!)Vw"</f>
        <v>#VALUE!</v>
      </c>
      <c r="HA202" s="105" t="e">
        <f>'Actual Value'!AF215+"AM:!)Vx"</f>
        <v>#VALUE!</v>
      </c>
      <c r="HB202" s="105" t="e">
        <f>'Actual Value'!AG215+"AM:!)Vy"</f>
        <v>#VALUE!</v>
      </c>
      <c r="HC202" s="105" t="e">
        <f>'Actual Value'!AH215+"AM:!)Vz"</f>
        <v>#VALUE!</v>
      </c>
      <c r="HD202" s="105" t="e">
        <f>'Actual Value'!AI215+"AM:!)V{"</f>
        <v>#VALUE!</v>
      </c>
      <c r="HE202" s="105" t="e">
        <f>'Actual Value'!AJ215+"AM:!)V|"</f>
        <v>#VALUE!</v>
      </c>
      <c r="HF202" s="105" t="e">
        <f>'Actual Value'!AK215+"AM:!)V}"</f>
        <v>#VALUE!</v>
      </c>
      <c r="HG202" s="105" t="e">
        <f>'Actual Value'!AL215+"AM:!)V~"</f>
        <v>#VALUE!</v>
      </c>
      <c r="HH202" s="105" t="e">
        <f>'Actual Value'!AM215+"AM:!)W#"</f>
        <v>#VALUE!</v>
      </c>
      <c r="HI202" s="105" t="e">
        <f>'Actual Value'!AN215+"AM:!)W$"</f>
        <v>#VALUE!</v>
      </c>
      <c r="HJ202" s="105" t="e">
        <f>'Actual Value'!AO215+"AM:!)W%"</f>
        <v>#VALUE!</v>
      </c>
      <c r="HK202" t="e">
        <f>'Actual Value'!AP215+"AM:!)W&amp;"</f>
        <v>#VALUE!</v>
      </c>
      <c r="HL202" s="100" t="e">
        <f>'Actual Value'!AQ215+"AM:!)W'"</f>
        <v>#VALUE!</v>
      </c>
      <c r="HM202" s="100" t="e">
        <f>'Actual Value'!AR215+"AM:!)W("</f>
        <v>#VALUE!</v>
      </c>
      <c r="HN202" s="100" t="e">
        <f>'Actual Value'!AS215+"AM:!)W)"</f>
        <v>#VALUE!</v>
      </c>
      <c r="HO202" s="100" t="e">
        <f>'Actual Value'!AT215+"AM:!)W."</f>
        <v>#VALUE!</v>
      </c>
      <c r="HP202" s="100" t="e">
        <f>'Actual Value'!AU215+"AM:!)W/"</f>
        <v>#VALUE!</v>
      </c>
      <c r="HQ202" t="e">
        <f>'Actual Value'!AV215+"AM:!)W0"</f>
        <v>#VALUE!</v>
      </c>
      <c r="HR202" t="e">
        <f>'Actual Value'!AW215+"AM:!)W1"</f>
        <v>#VALUE!</v>
      </c>
      <c r="HS202" t="e">
        <f>'Actual Value'!A216+"AM:!)W2"</f>
        <v>#VALUE!</v>
      </c>
      <c r="HT202" t="e">
        <f>'Actual Value'!B216+"AM:!)W3"</f>
        <v>#VALUE!</v>
      </c>
      <c r="HU202" t="e">
        <f>'Actual Value'!C216+"AM:!)W4"</f>
        <v>#VALUE!</v>
      </c>
      <c r="HV202" s="97" t="e">
        <f>'Actual Value'!D216+"AM:!)W5"</f>
        <v>#VALUE!</v>
      </c>
      <c r="HW202" s="97" t="e">
        <f>'Actual Value'!E216+"AM:!)W6"</f>
        <v>#VALUE!</v>
      </c>
      <c r="HX202" s="97" t="e">
        <f>'Actual Value'!F216+"AM:!)W7"</f>
        <v>#VALUE!</v>
      </c>
      <c r="HY202" s="97" t="e">
        <f>'Actual Value'!G216+"AM:!)W8"</f>
        <v>#VALUE!</v>
      </c>
      <c r="HZ202" s="97" t="e">
        <f>'Actual Value'!H216+"AM:!)W9"</f>
        <v>#VALUE!</v>
      </c>
      <c r="IA202" s="97" t="e">
        <f>'Actual Value'!I216+"AM:!)W:"</f>
        <v>#VALUE!</v>
      </c>
      <c r="IB202" s="97" t="e">
        <f>'Actual Value'!J216+"AM:!)W;"</f>
        <v>#VALUE!</v>
      </c>
      <c r="IC202" s="97" t="e">
        <f>'Actual Value'!K216+"AM:!)W&lt;"</f>
        <v>#VALUE!</v>
      </c>
      <c r="ID202" s="97" t="e">
        <f>'Actual Value'!L216+"AM:!)W="</f>
        <v>#VALUE!</v>
      </c>
      <c r="IE202" s="97" t="e">
        <f>'Actual Value'!M216+"AM:!)W&gt;"</f>
        <v>#VALUE!</v>
      </c>
      <c r="IF202" s="97" t="e">
        <f>'Actual Value'!N216+"AM:!)W?"</f>
        <v>#VALUE!</v>
      </c>
      <c r="IG202" s="97" t="e">
        <f>'Actual Value'!O216+"AM:!)W@"</f>
        <v>#VALUE!</v>
      </c>
      <c r="IH202" s="97" t="e">
        <f>'Actual Value'!P216+"AM:!)WA"</f>
        <v>#VALUE!</v>
      </c>
      <c r="II202" s="97" t="e">
        <f>'Actual Value'!Q216+"AM:!)WB"</f>
        <v>#VALUE!</v>
      </c>
      <c r="IJ202" s="97" t="e">
        <f>'Actual Value'!R216+"AM:!)WC"</f>
        <v>#VALUE!</v>
      </c>
      <c r="IK202" s="97" t="e">
        <f>'Actual Value'!S216+"AM:!)WD"</f>
        <v>#VALUE!</v>
      </c>
      <c r="IL202" s="97" t="e">
        <f>'Actual Value'!T216+"AM:!)WE"</f>
        <v>#VALUE!</v>
      </c>
      <c r="IM202" s="97" t="e">
        <f>'Actual Value'!U216+"AM:!)WF"</f>
        <v>#VALUE!</v>
      </c>
      <c r="IN202" s="97" t="e">
        <f>'Actual Value'!V216+"AM:!)WG"</f>
        <v>#VALUE!</v>
      </c>
      <c r="IO202" s="97" t="e">
        <f>'Actual Value'!W216+"AM:!)WH"</f>
        <v>#VALUE!</v>
      </c>
      <c r="IP202" s="97" t="e">
        <f>'Actual Value'!X216+"AM:!)WI"</f>
        <v>#VALUE!</v>
      </c>
      <c r="IQ202" s="97" t="e">
        <f>'Actual Value'!Y216+"AM:!)WJ"</f>
        <v>#VALUE!</v>
      </c>
      <c r="IR202" s="97" t="e">
        <f>'Actual Value'!Z216+"AM:!)WK"</f>
        <v>#VALUE!</v>
      </c>
      <c r="IS202" s="97" t="e">
        <f>'Actual Value'!AA216+"AM:!)WL"</f>
        <v>#VALUE!</v>
      </c>
      <c r="IT202" s="97" t="e">
        <f>'Actual Value'!AB216+"AM:!)WM"</f>
        <v>#VALUE!</v>
      </c>
      <c r="IU202" s="97" t="e">
        <f>'Actual Value'!AC216+"AM:!)WN"</f>
        <v>#VALUE!</v>
      </c>
      <c r="IV202" s="97" t="e">
        <f>'Actual Value'!AD216+"AM:!)WO"</f>
        <v>#VALUE!</v>
      </c>
    </row>
    <row r="203" spans="6:256">
      <c r="F203" s="97" t="e">
        <f>'Actual Value'!AE216+"AM:!)WP"</f>
        <v>#VALUE!</v>
      </c>
      <c r="G203" s="97" t="e">
        <f>'Actual Value'!AF216+"AM:!)WQ"</f>
        <v>#VALUE!</v>
      </c>
      <c r="H203" s="97" t="e">
        <f>'Actual Value'!AG216+"AM:!)WR"</f>
        <v>#VALUE!</v>
      </c>
      <c r="I203" s="97" t="e">
        <f>'Actual Value'!AH216+"AM:!)WS"</f>
        <v>#VALUE!</v>
      </c>
      <c r="J203" s="97" t="e">
        <f>'Actual Value'!AI216+"AM:!)WT"</f>
        <v>#VALUE!</v>
      </c>
      <c r="K203" s="97" t="e">
        <f>'Actual Value'!AJ216+"AM:!)WU"</f>
        <v>#VALUE!</v>
      </c>
      <c r="L203" s="97" t="e">
        <f>'Actual Value'!AK216+"AM:!)WV"</f>
        <v>#VALUE!</v>
      </c>
      <c r="M203" s="97" t="e">
        <f>'Actual Value'!AL216+"AM:!)WW"</f>
        <v>#VALUE!</v>
      </c>
      <c r="N203" s="97" t="e">
        <f>'Actual Value'!AM216+"AM:!)WX"</f>
        <v>#VALUE!</v>
      </c>
      <c r="O203" s="97" t="e">
        <f>'Actual Value'!AN216+"AM:!)WY"</f>
        <v>#VALUE!</v>
      </c>
      <c r="P203" s="97" t="e">
        <f>'Actual Value'!AO216+"AM:!)WZ"</f>
        <v>#VALUE!</v>
      </c>
      <c r="Q203" t="e">
        <f>'Actual Value'!AP216+"AM:!)W["</f>
        <v>#VALUE!</v>
      </c>
      <c r="R203" t="e">
        <f>'Actual Value'!AQ216+"AM:!)W\"</f>
        <v>#VALUE!</v>
      </c>
      <c r="S203" t="e">
        <f>'Actual Value'!AR216+"AM:!)W]"</f>
        <v>#VALUE!</v>
      </c>
      <c r="T203" s="97" t="e">
        <f>'Actual Value'!AS216+"AM:!)W^"</f>
        <v>#VALUE!</v>
      </c>
      <c r="U203" t="e">
        <f>'Actual Value'!AT216+"AM:!)W_"</f>
        <v>#VALUE!</v>
      </c>
      <c r="V203" t="e">
        <f>'Actual Value'!AU216+"AM:!)W`"</f>
        <v>#VALUE!</v>
      </c>
      <c r="W203" t="e">
        <f>'Actual Value'!AV216+"AM:!)Wa"</f>
        <v>#VALUE!</v>
      </c>
      <c r="X203" t="e">
        <f>'Actual Value'!AW216+"AM:!)Wb"</f>
        <v>#VALUE!</v>
      </c>
      <c r="Y203" t="e">
        <f>'Actual Value'!A217+"AM:!)Wc"</f>
        <v>#VALUE!</v>
      </c>
      <c r="Z203" t="e">
        <f>'Actual Value'!B217+"AM:!)Wd"</f>
        <v>#VALUE!</v>
      </c>
      <c r="AA203" t="e">
        <f>'Actual Value'!C217+"AM:!)We"</f>
        <v>#VALUE!</v>
      </c>
      <c r="AB203" s="97" t="e">
        <f>'Actual Value'!D217+"AM:!)Wf"</f>
        <v>#VALUE!</v>
      </c>
      <c r="AC203" s="97" t="e">
        <f>'Actual Value'!E217+"AM:!)Wg"</f>
        <v>#VALUE!</v>
      </c>
      <c r="AD203" s="97" t="e">
        <f>'Actual Value'!F217+"AM:!)Wh"</f>
        <v>#VALUE!</v>
      </c>
      <c r="AE203" s="97" t="e">
        <f>'Actual Value'!G217+"AM:!)Wi"</f>
        <v>#VALUE!</v>
      </c>
      <c r="AF203" s="97" t="e">
        <f>'Actual Value'!H217+"AM:!)Wj"</f>
        <v>#VALUE!</v>
      </c>
      <c r="AG203" s="97" t="e">
        <f>'Actual Value'!I217+"AM:!)Wk"</f>
        <v>#VALUE!</v>
      </c>
      <c r="AH203" s="97" t="e">
        <f>'Actual Value'!J217+"AM:!)Wl"</f>
        <v>#VALUE!</v>
      </c>
      <c r="AI203" s="97" t="e">
        <f>'Actual Value'!K217+"AM:!)Wm"</f>
        <v>#VALUE!</v>
      </c>
      <c r="AJ203" s="97" t="e">
        <f>'Actual Value'!L217+"AM:!)Wn"</f>
        <v>#VALUE!</v>
      </c>
      <c r="AK203" s="97" t="e">
        <f>'Actual Value'!M217+"AM:!)Wo"</f>
        <v>#VALUE!</v>
      </c>
      <c r="AL203" s="97" t="e">
        <f>'Actual Value'!N217+"AM:!)Wp"</f>
        <v>#VALUE!</v>
      </c>
      <c r="AM203" s="97" t="e">
        <f>'Actual Value'!O217+"AM:!)Wq"</f>
        <v>#VALUE!</v>
      </c>
      <c r="AN203" s="97" t="e">
        <f>'Actual Value'!P217+"AM:!)Wr"</f>
        <v>#VALUE!</v>
      </c>
      <c r="AO203" s="97" t="e">
        <f>'Actual Value'!Q217+"AM:!)Ws"</f>
        <v>#VALUE!</v>
      </c>
      <c r="AP203" s="97" t="e">
        <f>'Actual Value'!R217+"AM:!)Wt"</f>
        <v>#VALUE!</v>
      </c>
      <c r="AQ203" s="97" t="e">
        <f>'Actual Value'!S217+"AM:!)Wu"</f>
        <v>#VALUE!</v>
      </c>
      <c r="AR203" s="97" t="e">
        <f>'Actual Value'!T217+"AM:!)Wv"</f>
        <v>#VALUE!</v>
      </c>
      <c r="AS203" s="97" t="e">
        <f>'Actual Value'!U217+"AM:!)Ww"</f>
        <v>#VALUE!</v>
      </c>
      <c r="AT203" s="97" t="e">
        <f>'Actual Value'!V217+"AM:!)Wx"</f>
        <v>#VALUE!</v>
      </c>
      <c r="AU203" s="97" t="e">
        <f>'Actual Value'!W217+"AM:!)Wy"</f>
        <v>#VALUE!</v>
      </c>
      <c r="AV203" s="97" t="e">
        <f>'Actual Value'!X217+"AM:!)Wz"</f>
        <v>#VALUE!</v>
      </c>
      <c r="AW203" s="97" t="e">
        <f>'Actual Value'!Y217+"AM:!)W{"</f>
        <v>#VALUE!</v>
      </c>
      <c r="AX203" s="97" t="e">
        <f>'Actual Value'!Z217+"AM:!)W|"</f>
        <v>#VALUE!</v>
      </c>
      <c r="AY203" s="97" t="e">
        <f>'Actual Value'!AA217+"AM:!)W}"</f>
        <v>#VALUE!</v>
      </c>
      <c r="AZ203" s="97" t="e">
        <f>'Actual Value'!AB217+"AM:!)W~"</f>
        <v>#VALUE!</v>
      </c>
      <c r="BA203" s="97" t="e">
        <f>'Actual Value'!AC217+"AM:!)X#"</f>
        <v>#VALUE!</v>
      </c>
      <c r="BB203" s="97" t="e">
        <f>'Actual Value'!AD217+"AM:!)X$"</f>
        <v>#VALUE!</v>
      </c>
      <c r="BC203" s="97" t="e">
        <f>'Actual Value'!AE217+"AM:!)X%"</f>
        <v>#VALUE!</v>
      </c>
      <c r="BD203" s="97" t="e">
        <f>'Actual Value'!AF217+"AM:!)X&amp;"</f>
        <v>#VALUE!</v>
      </c>
      <c r="BE203" s="97" t="e">
        <f>'Actual Value'!AG217+"AM:!)X'"</f>
        <v>#VALUE!</v>
      </c>
      <c r="BF203" s="97" t="e">
        <f>'Actual Value'!AH217+"AM:!)X("</f>
        <v>#VALUE!</v>
      </c>
      <c r="BG203" s="97" t="e">
        <f>'Actual Value'!AI217+"AM:!)X)"</f>
        <v>#VALUE!</v>
      </c>
      <c r="BH203" s="97" t="e">
        <f>'Actual Value'!AJ217+"AM:!)X."</f>
        <v>#VALUE!</v>
      </c>
      <c r="BI203" s="97" t="e">
        <f>'Actual Value'!AK217+"AM:!)X/"</f>
        <v>#VALUE!</v>
      </c>
      <c r="BJ203" s="97" t="e">
        <f>'Actual Value'!AL217+"AM:!)X0"</f>
        <v>#VALUE!</v>
      </c>
      <c r="BK203" s="97" t="e">
        <f>'Actual Value'!AM217+"AM:!)X1"</f>
        <v>#VALUE!</v>
      </c>
      <c r="BL203" s="97" t="e">
        <f>'Actual Value'!AN217+"AM:!)X2"</f>
        <v>#VALUE!</v>
      </c>
      <c r="BM203" s="97" t="e">
        <f>'Actual Value'!AO217+"AM:!)X3"</f>
        <v>#VALUE!</v>
      </c>
      <c r="BN203" t="e">
        <f>'Actual Value'!AP217+"AM:!)X4"</f>
        <v>#VALUE!</v>
      </c>
      <c r="BO203" t="e">
        <f>'Actual Value'!AQ217+"AM:!)X5"</f>
        <v>#VALUE!</v>
      </c>
      <c r="BP203" t="e">
        <f>'Actual Value'!AR217+"AM:!)X6"</f>
        <v>#VALUE!</v>
      </c>
      <c r="BQ203" s="97" t="e">
        <f>'Actual Value'!AS217+"AM:!)X7"</f>
        <v>#VALUE!</v>
      </c>
      <c r="BR203" t="e">
        <f>'Actual Value'!AT217+"AM:!)X8"</f>
        <v>#VALUE!</v>
      </c>
      <c r="BS203" t="e">
        <f>'Actual Value'!AU217+"AM:!)X9"</f>
        <v>#VALUE!</v>
      </c>
      <c r="BT203" t="e">
        <f>'Actual Value'!AV217+"AM:!)X:"</f>
        <v>#VALUE!</v>
      </c>
      <c r="BU203" t="e">
        <f>'Actual Value'!AW217+"AM:!)X;"</f>
        <v>#VALUE!</v>
      </c>
      <c r="BV203" t="e">
        <f>'Actual Value'!A218+"AM:!)X&lt;"</f>
        <v>#VALUE!</v>
      </c>
      <c r="BW203" t="e">
        <f>'Actual Value'!B218+"AM:!)X="</f>
        <v>#VALUE!</v>
      </c>
      <c r="BX203" t="e">
        <f>'Actual Value'!C218+"AM:!)X&gt;"</f>
        <v>#VALUE!</v>
      </c>
      <c r="BY203" s="97" t="e">
        <f>'Actual Value'!D218+"AM:!)X?"</f>
        <v>#VALUE!</v>
      </c>
      <c r="BZ203" s="97" t="e">
        <f>'Actual Value'!E218+"AM:!)X@"</f>
        <v>#VALUE!</v>
      </c>
      <c r="CA203" s="97" t="e">
        <f>'Actual Value'!F218+"AM:!)XA"</f>
        <v>#VALUE!</v>
      </c>
      <c r="CB203" s="97" t="e">
        <f>'Actual Value'!G218+"AM:!)XB"</f>
        <v>#VALUE!</v>
      </c>
      <c r="CC203" s="97" t="e">
        <f>'Actual Value'!H218+"AM:!)XC"</f>
        <v>#VALUE!</v>
      </c>
      <c r="CD203" s="97" t="e">
        <f>'Actual Value'!I218+"AM:!)XD"</f>
        <v>#VALUE!</v>
      </c>
      <c r="CE203" s="97" t="e">
        <f>'Actual Value'!J218+"AM:!)XE"</f>
        <v>#VALUE!</v>
      </c>
      <c r="CF203" s="97" t="e">
        <f>'Actual Value'!K218+"AM:!)XF"</f>
        <v>#VALUE!</v>
      </c>
      <c r="CG203" s="97" t="e">
        <f>'Actual Value'!L218+"AM:!)XG"</f>
        <v>#VALUE!</v>
      </c>
      <c r="CH203" s="97" t="e">
        <f>'Actual Value'!M218+"AM:!)XH"</f>
        <v>#VALUE!</v>
      </c>
      <c r="CI203" s="97" t="e">
        <f>'Actual Value'!N218+"AM:!)XI"</f>
        <v>#VALUE!</v>
      </c>
      <c r="CJ203" s="97" t="e">
        <f>'Actual Value'!O218+"AM:!)XJ"</f>
        <v>#VALUE!</v>
      </c>
      <c r="CK203" s="97" t="e">
        <f>'Actual Value'!P218+"AM:!)XK"</f>
        <v>#VALUE!</v>
      </c>
      <c r="CL203" s="97" t="e">
        <f>'Actual Value'!Q218+"AM:!)XL"</f>
        <v>#VALUE!</v>
      </c>
      <c r="CM203" s="97" t="e">
        <f>'Actual Value'!R218+"AM:!)XM"</f>
        <v>#VALUE!</v>
      </c>
      <c r="CN203" s="97" t="e">
        <f>'Actual Value'!S218+"AM:!)XN"</f>
        <v>#VALUE!</v>
      </c>
      <c r="CO203" s="97" t="e">
        <f>'Actual Value'!T218+"AM:!)XO"</f>
        <v>#VALUE!</v>
      </c>
      <c r="CP203" s="97" t="e">
        <f>'Actual Value'!U218+"AM:!)XP"</f>
        <v>#VALUE!</v>
      </c>
      <c r="CQ203" s="97" t="e">
        <f>'Actual Value'!V218+"AM:!)XQ"</f>
        <v>#VALUE!</v>
      </c>
      <c r="CR203" s="97" t="e">
        <f>'Actual Value'!W218+"AM:!)XR"</f>
        <v>#VALUE!</v>
      </c>
      <c r="CS203" s="97" t="e">
        <f>'Actual Value'!X218+"AM:!)XS"</f>
        <v>#VALUE!</v>
      </c>
      <c r="CT203" s="97" t="e">
        <f>'Actual Value'!Y218+"AM:!)XT"</f>
        <v>#VALUE!</v>
      </c>
      <c r="CU203" s="97" t="e">
        <f>'Actual Value'!Z218+"AM:!)XU"</f>
        <v>#VALUE!</v>
      </c>
      <c r="CV203" s="97" t="e">
        <f>'Actual Value'!AA218+"AM:!)XV"</f>
        <v>#VALUE!</v>
      </c>
      <c r="CW203" s="97" t="e">
        <f>'Actual Value'!AB218+"AM:!)XW"</f>
        <v>#VALUE!</v>
      </c>
      <c r="CX203" s="97" t="e">
        <f>'Actual Value'!AC218+"AM:!)XX"</f>
        <v>#VALUE!</v>
      </c>
      <c r="CY203" s="97" t="e">
        <f>'Actual Value'!AD218+"AM:!)XY"</f>
        <v>#VALUE!</v>
      </c>
      <c r="CZ203" s="97" t="e">
        <f>'Actual Value'!AE218+"AM:!)XZ"</f>
        <v>#VALUE!</v>
      </c>
      <c r="DA203" s="97" t="e">
        <f>'Actual Value'!AF218+"AM:!)X["</f>
        <v>#VALUE!</v>
      </c>
      <c r="DB203" s="97" t="e">
        <f>'Actual Value'!AG218+"AM:!)X\"</f>
        <v>#VALUE!</v>
      </c>
      <c r="DC203" s="97" t="e">
        <f>'Actual Value'!AH218+"AM:!)X]"</f>
        <v>#VALUE!</v>
      </c>
      <c r="DD203" s="97" t="e">
        <f>'Actual Value'!AI218+"AM:!)X^"</f>
        <v>#VALUE!</v>
      </c>
      <c r="DE203" s="97" t="e">
        <f>'Actual Value'!AJ218+"AM:!)X_"</f>
        <v>#VALUE!</v>
      </c>
      <c r="DF203" s="97" t="e">
        <f>'Actual Value'!AK218+"AM:!)X`"</f>
        <v>#VALUE!</v>
      </c>
      <c r="DG203" s="97" t="e">
        <f>'Actual Value'!AL218+"AM:!)Xa"</f>
        <v>#VALUE!</v>
      </c>
      <c r="DH203" s="97" t="e">
        <f>'Actual Value'!AM218+"AM:!)Xb"</f>
        <v>#VALUE!</v>
      </c>
      <c r="DI203" s="97" t="e">
        <f>'Actual Value'!AN218+"AM:!)Xc"</f>
        <v>#VALUE!</v>
      </c>
      <c r="DJ203" s="97" t="e">
        <f>'Actual Value'!AO218+"AM:!)Xd"</f>
        <v>#VALUE!</v>
      </c>
      <c r="DK203" t="e">
        <f>'Actual Value'!AP218+"AM:!)Xe"</f>
        <v>#VALUE!</v>
      </c>
      <c r="DL203" t="e">
        <f>'Actual Value'!AQ218+"AM:!)Xf"</f>
        <v>#VALUE!</v>
      </c>
      <c r="DM203" t="e">
        <f>'Actual Value'!AR218+"AM:!)Xg"</f>
        <v>#VALUE!</v>
      </c>
      <c r="DN203" t="e">
        <f>'Actual Value'!AS218+"AM:!)Xh"</f>
        <v>#VALUE!</v>
      </c>
      <c r="DO203" t="e">
        <f>'Actual Value'!AT218+"AM:!)Xi"</f>
        <v>#VALUE!</v>
      </c>
      <c r="DP203" t="e">
        <f>'Actual Value'!AU218+"AM:!)Xj"</f>
        <v>#VALUE!</v>
      </c>
      <c r="DQ203" t="e">
        <f>'Actual Value'!AV218+"AM:!)Xk"</f>
        <v>#VALUE!</v>
      </c>
      <c r="DR203" t="e">
        <f>'Actual Value'!AW218+"AM:!)Xl"</f>
        <v>#VALUE!</v>
      </c>
      <c r="DS203" t="e">
        <f>'Actual Value'!A219+"AM:!)Xm"</f>
        <v>#VALUE!</v>
      </c>
      <c r="DT203" t="e">
        <f>'Actual Value'!B219+"AM:!)Xn"</f>
        <v>#VALUE!</v>
      </c>
      <c r="DU203" t="e">
        <f>'Actual Value'!C219+"AM:!)Xo"</f>
        <v>#VALUE!</v>
      </c>
      <c r="DV203" s="97" t="e">
        <f>'Actual Value'!D219+"AM:!)Xp"</f>
        <v>#VALUE!</v>
      </c>
      <c r="DW203" s="97" t="e">
        <f>'Actual Value'!E219+"AM:!)Xq"</f>
        <v>#VALUE!</v>
      </c>
      <c r="DX203" s="97" t="e">
        <f>'Actual Value'!F219+"AM:!)Xr"</f>
        <v>#VALUE!</v>
      </c>
      <c r="DY203" s="97" t="e">
        <f>'Actual Value'!G219+"AM:!)Xs"</f>
        <v>#VALUE!</v>
      </c>
      <c r="DZ203" s="97" t="e">
        <f>'Actual Value'!H219+"AM:!)Xt"</f>
        <v>#VALUE!</v>
      </c>
      <c r="EA203" s="97" t="e">
        <f>'Actual Value'!I219+"AM:!)Xu"</f>
        <v>#VALUE!</v>
      </c>
      <c r="EB203" s="97" t="e">
        <f>'Actual Value'!J219+"AM:!)Xv"</f>
        <v>#VALUE!</v>
      </c>
      <c r="EC203" s="97" t="e">
        <f>'Actual Value'!K219+"AM:!)Xw"</f>
        <v>#VALUE!</v>
      </c>
      <c r="ED203" s="97" t="e">
        <f>'Actual Value'!L219+"AM:!)Xx"</f>
        <v>#VALUE!</v>
      </c>
      <c r="EE203" s="97" t="e">
        <f>'Actual Value'!M219+"AM:!)Xy"</f>
        <v>#VALUE!</v>
      </c>
      <c r="EF203" s="97" t="e">
        <f>'Actual Value'!N219+"AM:!)Xz"</f>
        <v>#VALUE!</v>
      </c>
      <c r="EG203" s="97" t="e">
        <f>'Actual Value'!O219+"AM:!)X{"</f>
        <v>#VALUE!</v>
      </c>
      <c r="EH203" s="97" t="e">
        <f>'Actual Value'!P219+"AM:!)X|"</f>
        <v>#VALUE!</v>
      </c>
      <c r="EI203" s="97" t="e">
        <f>'Actual Value'!Q219+"AM:!)X}"</f>
        <v>#VALUE!</v>
      </c>
      <c r="EJ203" s="97" t="e">
        <f>'Actual Value'!R219+"AM:!)X~"</f>
        <v>#VALUE!</v>
      </c>
      <c r="EK203" s="97" t="e">
        <f>'Actual Value'!S219+"AM:!)Y#"</f>
        <v>#VALUE!</v>
      </c>
      <c r="EL203" s="97" t="e">
        <f>'Actual Value'!T219+"AM:!)Y$"</f>
        <v>#VALUE!</v>
      </c>
      <c r="EM203" s="97" t="e">
        <f>'Actual Value'!U219+"AM:!)Y%"</f>
        <v>#VALUE!</v>
      </c>
      <c r="EN203" s="97" t="e">
        <f>'Actual Value'!V219+"AM:!)Y&amp;"</f>
        <v>#VALUE!</v>
      </c>
      <c r="EO203" s="97" t="e">
        <f>'Actual Value'!W219+"AM:!)Y'"</f>
        <v>#VALUE!</v>
      </c>
      <c r="EP203" s="97" t="e">
        <f>'Actual Value'!X219+"AM:!)Y("</f>
        <v>#VALUE!</v>
      </c>
      <c r="EQ203" s="97" t="e">
        <f>'Actual Value'!Y219+"AM:!)Y)"</f>
        <v>#VALUE!</v>
      </c>
      <c r="ER203" s="97" t="e">
        <f>'Actual Value'!Z219+"AM:!)Y."</f>
        <v>#VALUE!</v>
      </c>
      <c r="ES203" s="97" t="e">
        <f>'Actual Value'!AA219+"AM:!)Y/"</f>
        <v>#VALUE!</v>
      </c>
      <c r="ET203" s="97" t="e">
        <f>'Actual Value'!AB219+"AM:!)Y0"</f>
        <v>#VALUE!</v>
      </c>
      <c r="EU203" s="97" t="e">
        <f>'Actual Value'!AC219+"AM:!)Y1"</f>
        <v>#VALUE!</v>
      </c>
      <c r="EV203" s="97" t="e">
        <f>'Actual Value'!AD219+"AM:!)Y2"</f>
        <v>#VALUE!</v>
      </c>
      <c r="EW203" s="97" t="e">
        <f>'Actual Value'!AE219+"AM:!)Y3"</f>
        <v>#VALUE!</v>
      </c>
      <c r="EX203" s="97" t="e">
        <f>'Actual Value'!AF219+"AM:!)Y4"</f>
        <v>#VALUE!</v>
      </c>
      <c r="EY203" s="97" t="e">
        <f>'Actual Value'!AG219+"AM:!)Y5"</f>
        <v>#VALUE!</v>
      </c>
      <c r="EZ203" s="97" t="e">
        <f>'Actual Value'!AH219+"AM:!)Y6"</f>
        <v>#VALUE!</v>
      </c>
      <c r="FA203" s="97" t="e">
        <f>'Actual Value'!AI219+"AM:!)Y7"</f>
        <v>#VALUE!</v>
      </c>
      <c r="FB203" s="97" t="e">
        <f>'Actual Value'!AJ219+"AM:!)Y8"</f>
        <v>#VALUE!</v>
      </c>
      <c r="FC203" s="97" t="e">
        <f>'Actual Value'!AK219+"AM:!)Y9"</f>
        <v>#VALUE!</v>
      </c>
      <c r="FD203" s="97" t="e">
        <f>'Actual Value'!AL219+"AM:!)Y:"</f>
        <v>#VALUE!</v>
      </c>
      <c r="FE203" s="97" t="e">
        <f>'Actual Value'!AM219+"AM:!)Y;"</f>
        <v>#VALUE!</v>
      </c>
      <c r="FF203" s="97" t="e">
        <f>'Actual Value'!AN219+"AM:!)Y&lt;"</f>
        <v>#VALUE!</v>
      </c>
      <c r="FG203" s="97" t="e">
        <f>'Actual Value'!AO219+"AM:!)Y="</f>
        <v>#VALUE!</v>
      </c>
      <c r="FH203" t="e">
        <f>'Actual Value'!AP219+"AM:!)Y&gt;"</f>
        <v>#VALUE!</v>
      </c>
      <c r="FI203" t="e">
        <f>'Actual Value'!AQ219+"AM:!)Y?"</f>
        <v>#VALUE!</v>
      </c>
      <c r="FJ203" t="e">
        <f>'Actual Value'!AR219+"AM:!)Y@"</f>
        <v>#VALUE!</v>
      </c>
      <c r="FK203" t="e">
        <f>'Actual Value'!AS219+"AM:!)YA"</f>
        <v>#VALUE!</v>
      </c>
      <c r="FL203" t="e">
        <f>'Actual Value'!AT219+"AM:!)YB"</f>
        <v>#VALUE!</v>
      </c>
      <c r="FM203" t="e">
        <f>'Actual Value'!AU219+"AM:!)YC"</f>
        <v>#VALUE!</v>
      </c>
      <c r="FN203" t="e">
        <f>'Actual Value'!AV219+"AM:!)YD"</f>
        <v>#VALUE!</v>
      </c>
      <c r="FO203" t="e">
        <f>'Actual Value'!AW219+"AM:!)YE"</f>
        <v>#VALUE!</v>
      </c>
      <c r="FP203" t="e">
        <f>'Actual Value'!AX219+"AM:!)YF"</f>
        <v>#VALUE!</v>
      </c>
      <c r="FQ203" t="e">
        <f>'Actual Value'!A220+"AM:!)YG"</f>
        <v>#VALUE!</v>
      </c>
      <c r="FR203" t="e">
        <f>'Actual Value'!B220+"AM:!)YH"</f>
        <v>#VALUE!</v>
      </c>
      <c r="FS203" t="e">
        <f>'Actual Value'!C220+"AM:!)YI"</f>
        <v>#VALUE!</v>
      </c>
      <c r="FT203" s="97" t="e">
        <f>'Actual Value'!D220+"AM:!)YJ"</f>
        <v>#VALUE!</v>
      </c>
      <c r="FU203" s="97" t="e">
        <f>'Actual Value'!E220+"AM:!)YK"</f>
        <v>#VALUE!</v>
      </c>
      <c r="FV203" s="97" t="e">
        <f>'Actual Value'!F220+"AM:!)YL"</f>
        <v>#VALUE!</v>
      </c>
      <c r="FW203" s="97" t="e">
        <f>'Actual Value'!G220+"AM:!)YM"</f>
        <v>#VALUE!</v>
      </c>
      <c r="FX203" s="97" t="e">
        <f>'Actual Value'!H220+"AM:!)YN"</f>
        <v>#VALUE!</v>
      </c>
      <c r="FY203" s="97" t="e">
        <f>'Actual Value'!I220+"AM:!)YO"</f>
        <v>#VALUE!</v>
      </c>
      <c r="FZ203" s="97" t="e">
        <f>'Actual Value'!J220+"AM:!)YP"</f>
        <v>#VALUE!</v>
      </c>
      <c r="GA203" s="97" t="e">
        <f>'Actual Value'!K220+"AM:!)YQ"</f>
        <v>#VALUE!</v>
      </c>
      <c r="GB203" s="97" t="e">
        <f>'Actual Value'!L220+"AM:!)YR"</f>
        <v>#VALUE!</v>
      </c>
      <c r="GC203" s="97" t="e">
        <f>'Actual Value'!M220+"AM:!)YS"</f>
        <v>#VALUE!</v>
      </c>
      <c r="GD203" s="97" t="e">
        <f>'Actual Value'!N220+"AM:!)YT"</f>
        <v>#VALUE!</v>
      </c>
      <c r="GE203" s="97" t="e">
        <f>'Actual Value'!O220+"AM:!)YU"</f>
        <v>#VALUE!</v>
      </c>
      <c r="GF203" s="97" t="e">
        <f>'Actual Value'!P220+"AM:!)YV"</f>
        <v>#VALUE!</v>
      </c>
      <c r="GG203" s="97" t="e">
        <f>'Actual Value'!Q220+"AM:!)YW"</f>
        <v>#VALUE!</v>
      </c>
      <c r="GH203" s="97" t="e">
        <f>'Actual Value'!R220+"AM:!)YX"</f>
        <v>#VALUE!</v>
      </c>
      <c r="GI203" s="97" t="e">
        <f>'Actual Value'!S220+"AM:!)YY"</f>
        <v>#VALUE!</v>
      </c>
      <c r="GJ203" s="97" t="e">
        <f>'Actual Value'!T220+"AM:!)YZ"</f>
        <v>#VALUE!</v>
      </c>
      <c r="GK203" s="97" t="e">
        <f>'Actual Value'!U220+"AM:!)Y["</f>
        <v>#VALUE!</v>
      </c>
      <c r="GL203" s="97" t="e">
        <f>'Actual Value'!V220+"AM:!)Y\"</f>
        <v>#VALUE!</v>
      </c>
      <c r="GM203" s="97" t="e">
        <f>'Actual Value'!W220+"AM:!)Y]"</f>
        <v>#VALUE!</v>
      </c>
      <c r="GN203" s="97" t="e">
        <f>'Actual Value'!X220+"AM:!)Y^"</f>
        <v>#VALUE!</v>
      </c>
      <c r="GO203" s="97" t="e">
        <f>'Actual Value'!Y220+"AM:!)Y_"</f>
        <v>#VALUE!</v>
      </c>
      <c r="GP203" s="97" t="e">
        <f>'Actual Value'!Z220+"AM:!)Y`"</f>
        <v>#VALUE!</v>
      </c>
      <c r="GQ203" s="97" t="e">
        <f>'Actual Value'!AA220+"AM:!)Ya"</f>
        <v>#VALUE!</v>
      </c>
      <c r="GR203" s="97" t="e">
        <f>'Actual Value'!AB220+"AM:!)Yb"</f>
        <v>#VALUE!</v>
      </c>
      <c r="GS203" s="97" t="e">
        <f>'Actual Value'!AC220+"AM:!)Yc"</f>
        <v>#VALUE!</v>
      </c>
      <c r="GT203" s="97" t="e">
        <f>'Actual Value'!AD220+"AM:!)Yd"</f>
        <v>#VALUE!</v>
      </c>
      <c r="GU203" s="97" t="e">
        <f>'Actual Value'!AE220+"AM:!)Ye"</f>
        <v>#VALUE!</v>
      </c>
      <c r="GV203" s="97" t="e">
        <f>'Actual Value'!AF220+"AM:!)Yf"</f>
        <v>#VALUE!</v>
      </c>
      <c r="GW203" s="97" t="e">
        <f>'Actual Value'!AG220+"AM:!)Yg"</f>
        <v>#VALUE!</v>
      </c>
      <c r="GX203" s="97" t="e">
        <f>'Actual Value'!AH220+"AM:!)Yh"</f>
        <v>#VALUE!</v>
      </c>
      <c r="GY203" s="97" t="e">
        <f>'Actual Value'!AI220+"AM:!)Yi"</f>
        <v>#VALUE!</v>
      </c>
      <c r="GZ203" s="97" t="e">
        <f>'Actual Value'!AJ220+"AM:!)Yj"</f>
        <v>#VALUE!</v>
      </c>
      <c r="HA203" s="97" t="e">
        <f>'Actual Value'!AK220+"AM:!)Yk"</f>
        <v>#VALUE!</v>
      </c>
      <c r="HB203" s="97" t="e">
        <f>'Actual Value'!AL220+"AM:!)Yl"</f>
        <v>#VALUE!</v>
      </c>
      <c r="HC203" s="97" t="e">
        <f>'Actual Value'!AM220+"AM:!)Ym"</f>
        <v>#VALUE!</v>
      </c>
      <c r="HD203" s="97" t="e">
        <f>'Actual Value'!AN220+"AM:!)Yn"</f>
        <v>#VALUE!</v>
      </c>
      <c r="HE203" s="97" t="e">
        <f>'Actual Value'!AO220+"AM:!)Yo"</f>
        <v>#VALUE!</v>
      </c>
      <c r="HF203" t="e">
        <f>'Actual Value'!AP220+"AM:!)Yp"</f>
        <v>#VALUE!</v>
      </c>
      <c r="HG203" t="e">
        <f>'Actual Value'!AQ220+"AM:!)Yq"</f>
        <v>#VALUE!</v>
      </c>
      <c r="HH203" t="e">
        <f>'Actual Value'!AR220+"AM:!)Yr"</f>
        <v>#VALUE!</v>
      </c>
      <c r="HI203" t="e">
        <f>'Actual Value'!AS220+"AM:!)Ys"</f>
        <v>#VALUE!</v>
      </c>
      <c r="HJ203" t="e">
        <f>'Actual Value'!AT220+"AM:!)Yt"</f>
        <v>#VALUE!</v>
      </c>
      <c r="HK203" t="e">
        <f>'Actual Value'!AU220+"AM:!)Yu"</f>
        <v>#VALUE!</v>
      </c>
      <c r="HL203" t="e">
        <f>'Actual Value'!AV220+"AM:!)Yv"</f>
        <v>#VALUE!</v>
      </c>
      <c r="HM203" t="e">
        <f>'Actual Value'!AW220+"AM:!)Yw"</f>
        <v>#VALUE!</v>
      </c>
      <c r="HN203" t="e">
        <f>'Actual Value'!AX220+"AM:!)Yx"</f>
        <v>#VALUE!</v>
      </c>
      <c r="HO203" t="e">
        <f>'Actual Value'!A221+"AM:!)Yy"</f>
        <v>#VALUE!</v>
      </c>
      <c r="HP203" t="e">
        <f>'Actual Value'!B221+"AM:!)Yz"</f>
        <v>#VALUE!</v>
      </c>
      <c r="HQ203" t="e">
        <f>'Actual Value'!C221+"AM:!)Y{"</f>
        <v>#VALUE!</v>
      </c>
      <c r="HR203" s="97" t="e">
        <f>'Actual Value'!D221+"AM:!)Y|"</f>
        <v>#VALUE!</v>
      </c>
      <c r="HS203" s="97" t="e">
        <f>'Actual Value'!E221+"AM:!)Y}"</f>
        <v>#VALUE!</v>
      </c>
      <c r="HT203" s="97" t="e">
        <f>'Actual Value'!F221+"AM:!)Y~"</f>
        <v>#VALUE!</v>
      </c>
      <c r="HU203" s="97" t="e">
        <f>'Actual Value'!G221+"AM:!)Z#"</f>
        <v>#VALUE!</v>
      </c>
      <c r="HV203" s="97" t="e">
        <f>'Actual Value'!H221+"AM:!)Z$"</f>
        <v>#VALUE!</v>
      </c>
      <c r="HW203" s="97" t="e">
        <f>'Actual Value'!I221+"AM:!)Z%"</f>
        <v>#VALUE!</v>
      </c>
      <c r="HX203" s="97" t="e">
        <f>'Actual Value'!J221+"AM:!)Z&amp;"</f>
        <v>#VALUE!</v>
      </c>
      <c r="HY203" s="97" t="e">
        <f>'Actual Value'!K221+"AM:!)Z'"</f>
        <v>#VALUE!</v>
      </c>
      <c r="HZ203" s="97" t="e">
        <f>'Actual Value'!L221+"AM:!)Z("</f>
        <v>#VALUE!</v>
      </c>
      <c r="IA203" s="97" t="e">
        <f>'Actual Value'!M221+"AM:!)Z)"</f>
        <v>#VALUE!</v>
      </c>
      <c r="IB203" s="97" t="e">
        <f>'Actual Value'!N221+"AM:!)Z."</f>
        <v>#VALUE!</v>
      </c>
      <c r="IC203" s="97" t="e">
        <f>'Actual Value'!O221+"AM:!)Z/"</f>
        <v>#VALUE!</v>
      </c>
      <c r="ID203" s="97" t="e">
        <f>'Actual Value'!P221+"AM:!)Z0"</f>
        <v>#VALUE!</v>
      </c>
      <c r="IE203" s="97" t="e">
        <f>'Actual Value'!Q221+"AM:!)Z1"</f>
        <v>#VALUE!</v>
      </c>
      <c r="IF203" s="97" t="e">
        <f>'Actual Value'!R221+"AM:!)Z2"</f>
        <v>#VALUE!</v>
      </c>
      <c r="IG203" s="97" t="e">
        <f>'Actual Value'!S221+"AM:!)Z3"</f>
        <v>#VALUE!</v>
      </c>
      <c r="IH203" s="97" t="e">
        <f>'Actual Value'!T221+"AM:!)Z4"</f>
        <v>#VALUE!</v>
      </c>
      <c r="II203" s="97" t="e">
        <f>'Actual Value'!U221+"AM:!)Z5"</f>
        <v>#VALUE!</v>
      </c>
      <c r="IJ203" s="97" t="e">
        <f>'Actual Value'!V221+"AM:!)Z6"</f>
        <v>#VALUE!</v>
      </c>
      <c r="IK203" s="97" t="e">
        <f>'Actual Value'!W221+"AM:!)Z7"</f>
        <v>#VALUE!</v>
      </c>
      <c r="IL203" s="97" t="e">
        <f>'Actual Value'!X221+"AM:!)Z8"</f>
        <v>#VALUE!</v>
      </c>
      <c r="IM203" s="97" t="e">
        <f>'Actual Value'!Y221+"AM:!)Z9"</f>
        <v>#VALUE!</v>
      </c>
      <c r="IN203" s="97" t="e">
        <f>'Actual Value'!Z221+"AM:!)Z:"</f>
        <v>#VALUE!</v>
      </c>
      <c r="IO203" s="97" t="e">
        <f>'Actual Value'!AA221+"AM:!)Z;"</f>
        <v>#VALUE!</v>
      </c>
      <c r="IP203" s="97" t="e">
        <f>'Actual Value'!AB221+"AM:!)Z&lt;"</f>
        <v>#VALUE!</v>
      </c>
      <c r="IQ203" s="97" t="e">
        <f>'Actual Value'!AC221+"AM:!)Z="</f>
        <v>#VALUE!</v>
      </c>
      <c r="IR203" s="97" t="e">
        <f>'Actual Value'!AD221+"AM:!)Z&gt;"</f>
        <v>#VALUE!</v>
      </c>
      <c r="IS203" s="97" t="e">
        <f>'Actual Value'!AE221+"AM:!)Z?"</f>
        <v>#VALUE!</v>
      </c>
      <c r="IT203" s="97" t="e">
        <f>'Actual Value'!AF221+"AM:!)Z@"</f>
        <v>#VALUE!</v>
      </c>
      <c r="IU203" s="97" t="e">
        <f>'Actual Value'!AG221+"AM:!)ZA"</f>
        <v>#VALUE!</v>
      </c>
      <c r="IV203" s="97" t="e">
        <f>'Actual Value'!AH221+"AM:!)ZB"</f>
        <v>#VALUE!</v>
      </c>
    </row>
    <row r="204" spans="6:256">
      <c r="F204" s="97" t="e">
        <f>'Actual Value'!AI221+"AM:!)ZC"</f>
        <v>#VALUE!</v>
      </c>
      <c r="G204" s="97" t="e">
        <f>'Actual Value'!AJ221+"AM:!)ZD"</f>
        <v>#VALUE!</v>
      </c>
      <c r="H204" s="97" t="e">
        <f>'Actual Value'!AK221+"AM:!)ZE"</f>
        <v>#VALUE!</v>
      </c>
      <c r="I204" s="97" t="e">
        <f>'Actual Value'!AL221+"AM:!)ZF"</f>
        <v>#VALUE!</v>
      </c>
      <c r="J204" s="97" t="e">
        <f>'Actual Value'!AM221+"AM:!)ZG"</f>
        <v>#VALUE!</v>
      </c>
      <c r="K204" s="97" t="e">
        <f>'Actual Value'!AN221+"AM:!)ZH"</f>
        <v>#VALUE!</v>
      </c>
      <c r="L204" s="97" t="e">
        <f>'Actual Value'!AO221+"AM:!)ZI"</f>
        <v>#VALUE!</v>
      </c>
      <c r="M204" t="e">
        <f>'Actual Value'!AP221+"AM:!)ZJ"</f>
        <v>#VALUE!</v>
      </c>
      <c r="N204" t="e">
        <f>'Actual Value'!AQ221+"AM:!)ZK"</f>
        <v>#VALUE!</v>
      </c>
      <c r="O204" t="e">
        <f>'Actual Value'!AR221+"AM:!)ZL"</f>
        <v>#VALUE!</v>
      </c>
      <c r="P204" t="e">
        <f>'Actual Value'!AS221+"AM:!)ZM"</f>
        <v>#VALUE!</v>
      </c>
      <c r="Q204" t="e">
        <f>'Actual Value'!AT221+"AM:!)ZN"</f>
        <v>#VALUE!</v>
      </c>
      <c r="R204" t="e">
        <f>'Actual Value'!AU221+"AM:!)ZO"</f>
        <v>#VALUE!</v>
      </c>
      <c r="S204" t="e">
        <f>'Actual Value'!AV221+"AM:!)ZP"</f>
        <v>#VALUE!</v>
      </c>
      <c r="T204" t="e">
        <f>'Actual Value'!AW221+"AM:!)ZQ"</f>
        <v>#VALUE!</v>
      </c>
      <c r="U204" t="e">
        <f>'Actual Value'!AX221+"AM:!)ZR"</f>
        <v>#VALUE!</v>
      </c>
      <c r="V204" t="e">
        <f>'Actual Value'!A222+"AM:!)ZS"</f>
        <v>#VALUE!</v>
      </c>
      <c r="W204" t="e">
        <f>'Actual Value'!B222+"AM:!)ZT"</f>
        <v>#VALUE!</v>
      </c>
      <c r="X204" t="e">
        <f>'Actual Value'!C222+"AM:!)ZU"</f>
        <v>#VALUE!</v>
      </c>
      <c r="Y204" s="97" t="e">
        <f>'Actual Value'!D222+"AM:!)ZV"</f>
        <v>#VALUE!</v>
      </c>
      <c r="Z204" s="97" t="e">
        <f>'Actual Value'!E222+"AM:!)ZW"</f>
        <v>#VALUE!</v>
      </c>
      <c r="AA204" s="97" t="e">
        <f>'Actual Value'!F222+"AM:!)ZX"</f>
        <v>#VALUE!</v>
      </c>
      <c r="AB204" s="97" t="e">
        <f>'Actual Value'!G222+"AM:!)ZY"</f>
        <v>#VALUE!</v>
      </c>
      <c r="AC204" s="97" t="e">
        <f>'Actual Value'!H222+"AM:!)ZZ"</f>
        <v>#VALUE!</v>
      </c>
      <c r="AD204" s="97" t="e">
        <f>'Actual Value'!I222+"AM:!)Z["</f>
        <v>#VALUE!</v>
      </c>
      <c r="AE204" s="97" t="e">
        <f>'Actual Value'!J222+"AM:!)Z\"</f>
        <v>#VALUE!</v>
      </c>
      <c r="AF204" s="97" t="e">
        <f>'Actual Value'!K222+"AM:!)Z]"</f>
        <v>#VALUE!</v>
      </c>
      <c r="AG204" s="97" t="e">
        <f>'Actual Value'!L222+"AM:!)Z^"</f>
        <v>#VALUE!</v>
      </c>
      <c r="AH204" s="97" t="e">
        <f>'Actual Value'!M222+"AM:!)Z_"</f>
        <v>#VALUE!</v>
      </c>
      <c r="AI204" s="97" t="e">
        <f>'Actual Value'!N222+"AM:!)Z`"</f>
        <v>#VALUE!</v>
      </c>
      <c r="AJ204" s="97" t="e">
        <f>'Actual Value'!O222+"AM:!)Za"</f>
        <v>#VALUE!</v>
      </c>
      <c r="AK204" s="97" t="e">
        <f>'Actual Value'!P222+"AM:!)Zb"</f>
        <v>#VALUE!</v>
      </c>
      <c r="AL204" s="97" t="e">
        <f>'Actual Value'!Q222+"AM:!)Zc"</f>
        <v>#VALUE!</v>
      </c>
      <c r="AM204" s="97" t="e">
        <f>'Actual Value'!R222+"AM:!)Zd"</f>
        <v>#VALUE!</v>
      </c>
      <c r="AN204" s="97" t="e">
        <f>'Actual Value'!S222+"AM:!)Ze"</f>
        <v>#VALUE!</v>
      </c>
      <c r="AO204" s="97" t="e">
        <f>'Actual Value'!T222+"AM:!)Zf"</f>
        <v>#VALUE!</v>
      </c>
      <c r="AP204" s="97" t="e">
        <f>'Actual Value'!U222+"AM:!)Zg"</f>
        <v>#VALUE!</v>
      </c>
      <c r="AQ204" s="97" t="e">
        <f>'Actual Value'!V222+"AM:!)Zh"</f>
        <v>#VALUE!</v>
      </c>
      <c r="AR204" s="97" t="e">
        <f>'Actual Value'!W222+"AM:!)Zi"</f>
        <v>#VALUE!</v>
      </c>
      <c r="AS204" s="97" t="e">
        <f>'Actual Value'!X222+"AM:!)Zj"</f>
        <v>#VALUE!</v>
      </c>
      <c r="AT204" s="97" t="e">
        <f>'Actual Value'!Y222+"AM:!)Zk"</f>
        <v>#VALUE!</v>
      </c>
      <c r="AU204" s="97" t="e">
        <f>'Actual Value'!Z222+"AM:!)Zl"</f>
        <v>#VALUE!</v>
      </c>
      <c r="AV204" s="97" t="e">
        <f>'Actual Value'!AA222+"AM:!)Zm"</f>
        <v>#VALUE!</v>
      </c>
      <c r="AW204" s="97" t="e">
        <f>'Actual Value'!AB222+"AM:!)Zn"</f>
        <v>#VALUE!</v>
      </c>
      <c r="AX204" s="97" t="e">
        <f>'Actual Value'!AC222+"AM:!)Zo"</f>
        <v>#VALUE!</v>
      </c>
      <c r="AY204" s="97" t="e">
        <f>'Actual Value'!AD222+"AM:!)Zp"</f>
        <v>#VALUE!</v>
      </c>
      <c r="AZ204" s="97" t="e">
        <f>'Actual Value'!AE222+"AM:!)Zq"</f>
        <v>#VALUE!</v>
      </c>
      <c r="BA204" s="97" t="e">
        <f>'Actual Value'!AF222+"AM:!)Zr"</f>
        <v>#VALUE!</v>
      </c>
      <c r="BB204" s="97" t="e">
        <f>'Actual Value'!AG222+"AM:!)Zs"</f>
        <v>#VALUE!</v>
      </c>
      <c r="BC204" s="97" t="e">
        <f>'Actual Value'!AH222+"AM:!)Zt"</f>
        <v>#VALUE!</v>
      </c>
      <c r="BD204" s="97" t="e">
        <f>'Actual Value'!AI222+"AM:!)Zu"</f>
        <v>#VALUE!</v>
      </c>
      <c r="BE204" s="97" t="e">
        <f>'Actual Value'!AJ222+"AM:!)Zv"</f>
        <v>#VALUE!</v>
      </c>
      <c r="BF204" s="97" t="e">
        <f>'Actual Value'!AK222+"AM:!)Zw"</f>
        <v>#VALUE!</v>
      </c>
      <c r="BG204" s="97" t="e">
        <f>'Actual Value'!AL222+"AM:!)Zx"</f>
        <v>#VALUE!</v>
      </c>
      <c r="BH204" s="97" t="e">
        <f>'Actual Value'!AM222+"AM:!)Zy"</f>
        <v>#VALUE!</v>
      </c>
      <c r="BI204" s="97" t="e">
        <f>'Actual Value'!AN222+"AM:!)Zz"</f>
        <v>#VALUE!</v>
      </c>
      <c r="BJ204" s="97" t="e">
        <f>'Actual Value'!AO222+"AM:!)Z{"</f>
        <v>#VALUE!</v>
      </c>
      <c r="BK204" t="e">
        <f>'Actual Value'!AP222+"AM:!)Z|"</f>
        <v>#VALUE!</v>
      </c>
      <c r="BL204" t="e">
        <f>'Actual Value'!AQ222+"AM:!)Z}"</f>
        <v>#VALUE!</v>
      </c>
      <c r="BM204" t="e">
        <f>'Actual Value'!AR222+"AM:!)Z~"</f>
        <v>#VALUE!</v>
      </c>
      <c r="BN204" t="e">
        <f>'Actual Value'!AS222+"AM:!)[#"</f>
        <v>#VALUE!</v>
      </c>
      <c r="BO204" t="e">
        <f>'Actual Value'!AT222+"AM:!)[$"</f>
        <v>#VALUE!</v>
      </c>
      <c r="BP204" t="e">
        <f>'Actual Value'!AU222+"AM:!)[%"</f>
        <v>#VALUE!</v>
      </c>
      <c r="BQ204" t="e">
        <f>'Actual Value'!AV222+"AM:!)[&amp;"</f>
        <v>#VALUE!</v>
      </c>
      <c r="BR204" t="e">
        <f>'Actual Value'!AW222+"AM:!)['"</f>
        <v>#VALUE!</v>
      </c>
      <c r="BS204" t="e">
        <f>'Actual Value'!AX222+"AM:!)[("</f>
        <v>#VALUE!</v>
      </c>
      <c r="BT204" t="e">
        <f>'Actual Value'!A223+"AM:!)[)"</f>
        <v>#VALUE!</v>
      </c>
      <c r="BU204" t="e">
        <f>'Actual Value'!B223+"AM:!)[."</f>
        <v>#VALUE!</v>
      </c>
      <c r="BV204" t="e">
        <f>'Actual Value'!C223+"AM:!)[/"</f>
        <v>#VALUE!</v>
      </c>
      <c r="BW204" s="97" t="e">
        <f>'Actual Value'!D223+"AM:!)[0"</f>
        <v>#VALUE!</v>
      </c>
      <c r="BX204" s="97" t="e">
        <f>'Actual Value'!E223+"AM:!)[1"</f>
        <v>#VALUE!</v>
      </c>
      <c r="BY204" s="97" t="e">
        <f>'Actual Value'!F223+"AM:!)[2"</f>
        <v>#VALUE!</v>
      </c>
      <c r="BZ204" s="97" t="e">
        <f>'Actual Value'!G223+"AM:!)[3"</f>
        <v>#VALUE!</v>
      </c>
      <c r="CA204" s="97" t="e">
        <f>'Actual Value'!H223+"AM:!)[4"</f>
        <v>#VALUE!</v>
      </c>
      <c r="CB204" s="97" t="e">
        <f>'Actual Value'!I223+"AM:!)[5"</f>
        <v>#VALUE!</v>
      </c>
      <c r="CC204" s="97" t="e">
        <f>'Actual Value'!J223+"AM:!)[6"</f>
        <v>#VALUE!</v>
      </c>
      <c r="CD204" s="97" t="e">
        <f>'Actual Value'!K223+"AM:!)[7"</f>
        <v>#VALUE!</v>
      </c>
      <c r="CE204" s="97" t="e">
        <f>'Actual Value'!L223+"AM:!)[8"</f>
        <v>#VALUE!</v>
      </c>
      <c r="CF204" s="97" t="e">
        <f>'Actual Value'!M223+"AM:!)[9"</f>
        <v>#VALUE!</v>
      </c>
      <c r="CG204" s="97" t="e">
        <f>'Actual Value'!N223+"AM:!)[:"</f>
        <v>#VALUE!</v>
      </c>
      <c r="CH204" s="97" t="e">
        <f>'Actual Value'!O223+"AM:!)[;"</f>
        <v>#VALUE!</v>
      </c>
      <c r="CI204" s="97" t="e">
        <f>'Actual Value'!P223+"AM:!)[&lt;"</f>
        <v>#VALUE!</v>
      </c>
      <c r="CJ204" s="97" t="e">
        <f>'Actual Value'!Q223+"AM:!)[="</f>
        <v>#VALUE!</v>
      </c>
      <c r="CK204" s="97" t="e">
        <f>'Actual Value'!R223+"AM:!)[&gt;"</f>
        <v>#VALUE!</v>
      </c>
      <c r="CL204" s="97" t="e">
        <f>'Actual Value'!S223+"AM:!)[?"</f>
        <v>#VALUE!</v>
      </c>
      <c r="CM204" s="97" t="e">
        <f>'Actual Value'!T223+"AM:!)[@"</f>
        <v>#VALUE!</v>
      </c>
      <c r="CN204" s="97" t="e">
        <f>'Actual Value'!U223+"AM:!)[A"</f>
        <v>#VALUE!</v>
      </c>
      <c r="CO204" s="97" t="e">
        <f>'Actual Value'!V223+"AM:!)[B"</f>
        <v>#VALUE!</v>
      </c>
      <c r="CP204" s="97" t="e">
        <f>'Actual Value'!W223+"AM:!)[C"</f>
        <v>#VALUE!</v>
      </c>
      <c r="CQ204" s="97" t="e">
        <f>'Actual Value'!X223+"AM:!)[D"</f>
        <v>#VALUE!</v>
      </c>
      <c r="CR204" s="97" t="e">
        <f>'Actual Value'!Y223+"AM:!)[E"</f>
        <v>#VALUE!</v>
      </c>
      <c r="CS204" s="97" t="e">
        <f>'Actual Value'!Z223+"AM:!)[F"</f>
        <v>#VALUE!</v>
      </c>
      <c r="CT204" s="97" t="e">
        <f>'Actual Value'!AA223+"AM:!)[G"</f>
        <v>#VALUE!</v>
      </c>
      <c r="CU204" s="97" t="e">
        <f>'Actual Value'!AB223+"AM:!)[H"</f>
        <v>#VALUE!</v>
      </c>
      <c r="CV204" s="97" t="e">
        <f>'Actual Value'!AC223+"AM:!)[I"</f>
        <v>#VALUE!</v>
      </c>
      <c r="CW204" s="97" t="e">
        <f>'Actual Value'!AD223+"AM:!)[J"</f>
        <v>#VALUE!</v>
      </c>
      <c r="CX204" s="97" t="e">
        <f>'Actual Value'!AE223+"AM:!)[K"</f>
        <v>#VALUE!</v>
      </c>
      <c r="CY204" s="97" t="e">
        <f>'Actual Value'!AF223+"AM:!)[L"</f>
        <v>#VALUE!</v>
      </c>
      <c r="CZ204" s="97" t="e">
        <f>'Actual Value'!AG223+"AM:!)[M"</f>
        <v>#VALUE!</v>
      </c>
      <c r="DA204" s="97" t="e">
        <f>'Actual Value'!AH223+"AM:!)[N"</f>
        <v>#VALUE!</v>
      </c>
      <c r="DB204" s="97" t="e">
        <f>'Actual Value'!AI223+"AM:!)[O"</f>
        <v>#VALUE!</v>
      </c>
      <c r="DC204" s="97" t="e">
        <f>'Actual Value'!AJ223+"AM:!)[P"</f>
        <v>#VALUE!</v>
      </c>
      <c r="DD204" s="97" t="e">
        <f>'Actual Value'!AK223+"AM:!)[Q"</f>
        <v>#VALUE!</v>
      </c>
      <c r="DE204" s="97" t="e">
        <f>'Actual Value'!AL223+"AM:!)[R"</f>
        <v>#VALUE!</v>
      </c>
      <c r="DF204" s="97" t="e">
        <f>'Actual Value'!AM223+"AM:!)[S"</f>
        <v>#VALUE!</v>
      </c>
      <c r="DG204" s="97" t="e">
        <f>'Actual Value'!AN223+"AM:!)[T"</f>
        <v>#VALUE!</v>
      </c>
      <c r="DH204" s="97" t="e">
        <f>'Actual Value'!AO223+"AM:!)[U"</f>
        <v>#VALUE!</v>
      </c>
      <c r="DI204" t="e">
        <f>'Actual Value'!AP223+"AM:!)[V"</f>
        <v>#VALUE!</v>
      </c>
      <c r="DJ204" t="e">
        <f>'Actual Value'!AQ223+"AM:!)[W"</f>
        <v>#VALUE!</v>
      </c>
      <c r="DK204" t="e">
        <f>'Actual Value'!AR223+"AM:!)[X"</f>
        <v>#VALUE!</v>
      </c>
      <c r="DL204" t="e">
        <f>'Actual Value'!AS223+"AM:!)[Y"</f>
        <v>#VALUE!</v>
      </c>
      <c r="DM204" t="e">
        <f>'Actual Value'!AT223+"AM:!)[Z"</f>
        <v>#VALUE!</v>
      </c>
      <c r="DN204" t="e">
        <f>'Actual Value'!AU223+"AM:!)[["</f>
        <v>#VALUE!</v>
      </c>
      <c r="DO204" t="e">
        <f>'Actual Value'!AV223+"AM:!)[\"</f>
        <v>#VALUE!</v>
      </c>
      <c r="DP204" t="e">
        <f>'Actual Value'!AW223+"AM:!)[]"</f>
        <v>#VALUE!</v>
      </c>
      <c r="DQ204" t="e">
        <f>'Actual Value'!AX223+"AM:!)[^"</f>
        <v>#VALUE!</v>
      </c>
      <c r="DR204" t="e">
        <f>'Actual Value'!A224+"AM:!)[_"</f>
        <v>#VALUE!</v>
      </c>
      <c r="DS204" t="e">
        <f>'Actual Value'!B224+"AM:!)[`"</f>
        <v>#VALUE!</v>
      </c>
      <c r="DT204" t="e">
        <f>'Actual Value'!C224+"AM:!)[a"</f>
        <v>#VALUE!</v>
      </c>
      <c r="DU204" s="97" t="e">
        <f>'Actual Value'!D224+"AM:!)[b"</f>
        <v>#VALUE!</v>
      </c>
      <c r="DV204" s="97" t="e">
        <f>'Actual Value'!E224+"AM:!)[c"</f>
        <v>#VALUE!</v>
      </c>
      <c r="DW204" s="97" t="e">
        <f>'Actual Value'!F224+"AM:!)[d"</f>
        <v>#VALUE!</v>
      </c>
      <c r="DX204" s="97" t="e">
        <f>'Actual Value'!G224+"AM:!)[e"</f>
        <v>#VALUE!</v>
      </c>
      <c r="DY204" s="97" t="e">
        <f>'Actual Value'!H224+"AM:!)[f"</f>
        <v>#VALUE!</v>
      </c>
      <c r="DZ204" s="97" t="e">
        <f>'Actual Value'!I224+"AM:!)[g"</f>
        <v>#VALUE!</v>
      </c>
      <c r="EA204" s="97" t="e">
        <f>'Actual Value'!J224+"AM:!)[h"</f>
        <v>#VALUE!</v>
      </c>
      <c r="EB204" s="97" t="e">
        <f>'Actual Value'!K224+"AM:!)[i"</f>
        <v>#VALUE!</v>
      </c>
      <c r="EC204" s="97" t="e">
        <f>'Actual Value'!L224+"AM:!)[j"</f>
        <v>#VALUE!</v>
      </c>
      <c r="ED204" s="97" t="e">
        <f>'Actual Value'!M224+"AM:!)[k"</f>
        <v>#VALUE!</v>
      </c>
      <c r="EE204" s="97" t="e">
        <f>'Actual Value'!N224+"AM:!)[l"</f>
        <v>#VALUE!</v>
      </c>
      <c r="EF204" s="97" t="e">
        <f>'Actual Value'!O224+"AM:!)[m"</f>
        <v>#VALUE!</v>
      </c>
      <c r="EG204" s="97" t="e">
        <f>'Actual Value'!P224+"AM:!)[n"</f>
        <v>#VALUE!</v>
      </c>
      <c r="EH204" s="97" t="e">
        <f>'Actual Value'!Q224+"AM:!)[o"</f>
        <v>#VALUE!</v>
      </c>
      <c r="EI204" s="97" t="e">
        <f>'Actual Value'!R224+"AM:!)[p"</f>
        <v>#VALUE!</v>
      </c>
      <c r="EJ204" s="97" t="e">
        <f>'Actual Value'!S224+"AM:!)[q"</f>
        <v>#VALUE!</v>
      </c>
      <c r="EK204" s="97" t="e">
        <f>'Actual Value'!T224+"AM:!)[r"</f>
        <v>#VALUE!</v>
      </c>
      <c r="EL204" s="97" t="e">
        <f>'Actual Value'!U224+"AM:!)[s"</f>
        <v>#VALUE!</v>
      </c>
      <c r="EM204" s="97" t="e">
        <f>'Actual Value'!V224+"AM:!)[t"</f>
        <v>#VALUE!</v>
      </c>
      <c r="EN204" s="97" t="e">
        <f>'Actual Value'!W224+"AM:!)[u"</f>
        <v>#VALUE!</v>
      </c>
      <c r="EO204" s="97" t="e">
        <f>'Actual Value'!X224+"AM:!)[v"</f>
        <v>#VALUE!</v>
      </c>
      <c r="EP204" s="97" t="e">
        <f>'Actual Value'!Y224+"AM:!)[w"</f>
        <v>#VALUE!</v>
      </c>
      <c r="EQ204" s="97" t="e">
        <f>'Actual Value'!Z224+"AM:!)[x"</f>
        <v>#VALUE!</v>
      </c>
      <c r="ER204" s="97" t="e">
        <f>'Actual Value'!AA224+"AM:!)[y"</f>
        <v>#VALUE!</v>
      </c>
      <c r="ES204" s="97" t="e">
        <f>'Actual Value'!AB224+"AM:!)[z"</f>
        <v>#VALUE!</v>
      </c>
      <c r="ET204" s="97" t="e">
        <f>'Actual Value'!AC224+"AM:!)[{"</f>
        <v>#VALUE!</v>
      </c>
      <c r="EU204" s="97" t="e">
        <f>'Actual Value'!AD224+"AM:!)[|"</f>
        <v>#VALUE!</v>
      </c>
      <c r="EV204" s="97" t="e">
        <f>'Actual Value'!AE224+"AM:!)[}"</f>
        <v>#VALUE!</v>
      </c>
      <c r="EW204" s="97" t="e">
        <f>'Actual Value'!AF224+"AM:!)[~"</f>
        <v>#VALUE!</v>
      </c>
      <c r="EX204" s="97" t="e">
        <f>'Actual Value'!AG224+"AM:!)\#"</f>
        <v>#VALUE!</v>
      </c>
      <c r="EY204" s="97" t="e">
        <f>'Actual Value'!AH224+"AM:!)\$"</f>
        <v>#VALUE!</v>
      </c>
      <c r="EZ204" s="97" t="e">
        <f>'Actual Value'!AI224+"AM:!)\%"</f>
        <v>#VALUE!</v>
      </c>
      <c r="FA204" s="97" t="e">
        <f>'Actual Value'!AJ224+"AM:!)\&amp;"</f>
        <v>#VALUE!</v>
      </c>
      <c r="FB204" s="97" t="e">
        <f>'Actual Value'!AK224+"AM:!)\'"</f>
        <v>#VALUE!</v>
      </c>
      <c r="FC204" s="97" t="e">
        <f>'Actual Value'!AL224+"AM:!)\("</f>
        <v>#VALUE!</v>
      </c>
      <c r="FD204" s="97" t="e">
        <f>'Actual Value'!AM224+"AM:!)\)"</f>
        <v>#VALUE!</v>
      </c>
      <c r="FE204" s="97" t="e">
        <f>'Actual Value'!AN224+"AM:!)\."</f>
        <v>#VALUE!</v>
      </c>
      <c r="FF204" s="97" t="e">
        <f>'Actual Value'!AO224+"AM:!)\/"</f>
        <v>#VALUE!</v>
      </c>
      <c r="FG204" t="e">
        <f>'Actual Value'!AP224+"AM:!)\0"</f>
        <v>#VALUE!</v>
      </c>
      <c r="FH204" t="e">
        <f>'Actual Value'!AQ224+"AM:!)\1"</f>
        <v>#VALUE!</v>
      </c>
      <c r="FI204" t="e">
        <f>'Actual Value'!AR224+"AM:!)\2"</f>
        <v>#VALUE!</v>
      </c>
      <c r="FJ204" t="e">
        <f>'Actual Value'!AS224+"AM:!)\3"</f>
        <v>#VALUE!</v>
      </c>
      <c r="FK204" t="e">
        <f>'Actual Value'!AT224+"AM:!)\4"</f>
        <v>#VALUE!</v>
      </c>
      <c r="FL204" t="e">
        <f>'Actual Value'!AU224+"AM:!)\5"</f>
        <v>#VALUE!</v>
      </c>
      <c r="FM204" t="e">
        <f>'Actual Value'!AV224+"AM:!)\6"</f>
        <v>#VALUE!</v>
      </c>
      <c r="FN204" t="e">
        <f>'Actual Value'!AW224+"AM:!)\7"</f>
        <v>#VALUE!</v>
      </c>
      <c r="FO204" t="e">
        <f>'Actual Value'!AX224+"AM:!)\8"</f>
        <v>#VALUE!</v>
      </c>
      <c r="FP204" t="e">
        <f>'Actual Value'!A225+"AM:!)\9"</f>
        <v>#VALUE!</v>
      </c>
      <c r="FQ204" t="e">
        <f>'Actual Value'!B225+"AM:!)\:"</f>
        <v>#VALUE!</v>
      </c>
      <c r="FR204" t="e">
        <f>'Actual Value'!C225+"AM:!)\;"</f>
        <v>#VALUE!</v>
      </c>
      <c r="FS204" t="e">
        <f>'Actual Value'!D225+"AM:!)\&lt;"</f>
        <v>#VALUE!</v>
      </c>
      <c r="FT204" t="e">
        <f>'Actual Value'!E225+"AM:!)\="</f>
        <v>#VALUE!</v>
      </c>
      <c r="FU204" t="e">
        <f>'Actual Value'!F225+"AM:!)\&gt;"</f>
        <v>#VALUE!</v>
      </c>
      <c r="FV204" t="e">
        <f>'Actual Value'!G225+"AM:!)\?"</f>
        <v>#VALUE!</v>
      </c>
      <c r="FW204" t="e">
        <f>'Actual Value'!H225+"AM:!)\@"</f>
        <v>#VALUE!</v>
      </c>
      <c r="FX204" t="e">
        <f>'Actual Value'!I225+"AM:!)\A"</f>
        <v>#VALUE!</v>
      </c>
      <c r="FY204" t="e">
        <f>'Actual Value'!J225+"AM:!)\B"</f>
        <v>#VALUE!</v>
      </c>
      <c r="FZ204" t="e">
        <f>'Actual Value'!K225+"AM:!)\C"</f>
        <v>#VALUE!</v>
      </c>
      <c r="GA204" t="e">
        <f>'Actual Value'!L225+"AM:!)\D"</f>
        <v>#VALUE!</v>
      </c>
      <c r="GB204" t="e">
        <f>'Actual Value'!M225+"AM:!)\E"</f>
        <v>#VALUE!</v>
      </c>
      <c r="GC204" t="e">
        <f>'Actual Value'!N225+"AM:!)\F"</f>
        <v>#VALUE!</v>
      </c>
      <c r="GD204" t="e">
        <f>'Actual Value'!O225+"AM:!)\G"</f>
        <v>#VALUE!</v>
      </c>
      <c r="GE204" t="e">
        <f>'Actual Value'!P225+"AM:!)\H"</f>
        <v>#VALUE!</v>
      </c>
      <c r="GF204" t="e">
        <f>'Actual Value'!Q225+"AM:!)\I"</f>
        <v>#VALUE!</v>
      </c>
      <c r="GG204" t="e">
        <f>'Actual Value'!R225+"AM:!)\J"</f>
        <v>#VALUE!</v>
      </c>
      <c r="GH204" t="e">
        <f>'Actual Value'!S225+"AM:!)\K"</f>
        <v>#VALUE!</v>
      </c>
      <c r="GI204" t="e">
        <f>'Actual Value'!T225+"AM:!)\L"</f>
        <v>#VALUE!</v>
      </c>
      <c r="GJ204" t="e">
        <f>'Actual Value'!U225+"AM:!)\M"</f>
        <v>#VALUE!</v>
      </c>
      <c r="GK204" t="e">
        <f>'Actual Value'!V225+"AM:!)\N"</f>
        <v>#VALUE!</v>
      </c>
      <c r="GL204" t="e">
        <f>'Actual Value'!W225+"AM:!)\O"</f>
        <v>#VALUE!</v>
      </c>
      <c r="GM204" t="e">
        <f>'Actual Value'!X225+"AM:!)\P"</f>
        <v>#VALUE!</v>
      </c>
      <c r="GN204" t="e">
        <f>'Actual Value'!Y225+"AM:!)\Q"</f>
        <v>#VALUE!</v>
      </c>
      <c r="GO204" t="e">
        <f>'Actual Value'!Z225+"AM:!)\R"</f>
        <v>#VALUE!</v>
      </c>
      <c r="GP204" t="e">
        <f>'Actual Value'!AA225+"AM:!)\S"</f>
        <v>#VALUE!</v>
      </c>
      <c r="GQ204" t="e">
        <f>'Actual Value'!AB225+"AM:!)\T"</f>
        <v>#VALUE!</v>
      </c>
      <c r="GR204" t="e">
        <f>'Actual Value'!AC225+"AM:!)\U"</f>
        <v>#VALUE!</v>
      </c>
      <c r="GS204" t="e">
        <f>'Actual Value'!AD225+"AM:!)\V"</f>
        <v>#VALUE!</v>
      </c>
      <c r="GT204" t="e">
        <f>'Actual Value'!AE225+"AM:!)\W"</f>
        <v>#VALUE!</v>
      </c>
      <c r="GU204" t="e">
        <f>'Actual Value'!AF225+"AM:!)\X"</f>
        <v>#VALUE!</v>
      </c>
      <c r="GV204" t="e">
        <f>'Actual Value'!AG225+"AM:!)\Y"</f>
        <v>#VALUE!</v>
      </c>
      <c r="GW204" t="e">
        <f>'Actual Value'!AH225+"AM:!)\Z"</f>
        <v>#VALUE!</v>
      </c>
      <c r="GX204" t="e">
        <f>'Actual Value'!AI225+"AM:!)\["</f>
        <v>#VALUE!</v>
      </c>
      <c r="GY204" t="e">
        <f>'Actual Value'!AJ225+"AM:!)\\"</f>
        <v>#VALUE!</v>
      </c>
      <c r="GZ204" t="e">
        <f>'Actual Value'!AK225+"AM:!)\]"</f>
        <v>#VALUE!</v>
      </c>
      <c r="HA204" t="e">
        <f>'Actual Value'!AL225+"AM:!)\^"</f>
        <v>#VALUE!</v>
      </c>
      <c r="HB204" t="e">
        <f>'Actual Value'!AM225+"AM:!)\_"</f>
        <v>#VALUE!</v>
      </c>
      <c r="HC204" t="e">
        <f>'Actual Value'!AN225+"AM:!)\`"</f>
        <v>#VALUE!</v>
      </c>
      <c r="HD204" t="e">
        <f>'Actual Value'!AO225+"AM:!)\a"</f>
        <v>#VALUE!</v>
      </c>
      <c r="HE204" t="e">
        <f>'Actual Value'!AP225+"AM:!)\b"</f>
        <v>#VALUE!</v>
      </c>
      <c r="HF204" t="e">
        <f>'Actual Value'!AQ225+"AM:!)\c"</f>
        <v>#VALUE!</v>
      </c>
      <c r="HG204" t="e">
        <f>'Actual Value'!AR225+"AM:!)\d"</f>
        <v>#VALUE!</v>
      </c>
      <c r="HH204" t="e">
        <f>'Actual Value'!AS225+"AM:!)\e"</f>
        <v>#VALUE!</v>
      </c>
      <c r="HI204" t="e">
        <f>'Actual Value'!AT225+"AM:!)\f"</f>
        <v>#VALUE!</v>
      </c>
      <c r="HJ204" t="e">
        <f>'Actual Value'!AU225+"AM:!)\g"</f>
        <v>#VALUE!</v>
      </c>
      <c r="HK204" t="e">
        <f>'Actual Value'!AV225+"AM:!)\h"</f>
        <v>#VALUE!</v>
      </c>
      <c r="HL204" t="e">
        <f>'Actual Value'!AW225+"AM:!)\i"</f>
        <v>#VALUE!</v>
      </c>
      <c r="HM204" t="e">
        <f>'Actual Value'!A226+"AM:!)\j"</f>
        <v>#VALUE!</v>
      </c>
      <c r="HN204" t="e">
        <f>'Actual Value'!B226+"AM:!)\k"</f>
        <v>#VALUE!</v>
      </c>
      <c r="HO204" t="e">
        <f>'Actual Value'!C226+"AM:!)\l"</f>
        <v>#VALUE!</v>
      </c>
      <c r="HP204" s="105" t="e">
        <f>'Actual Value'!D226+"AM:!)\m"</f>
        <v>#VALUE!</v>
      </c>
      <c r="HQ204" s="105" t="e">
        <f>'Actual Value'!E226+"AM:!)\n"</f>
        <v>#VALUE!</v>
      </c>
      <c r="HR204" s="105" t="e">
        <f>'Actual Value'!F226+"AM:!)\o"</f>
        <v>#VALUE!</v>
      </c>
      <c r="HS204" s="105" t="e">
        <f>'Actual Value'!G226+"AM:!)\p"</f>
        <v>#VALUE!</v>
      </c>
      <c r="HT204" s="105" t="e">
        <f>'Actual Value'!H226+"AM:!)\q"</f>
        <v>#VALUE!</v>
      </c>
      <c r="HU204" s="105" t="e">
        <f>'Actual Value'!I226+"AM:!)\r"</f>
        <v>#VALUE!</v>
      </c>
      <c r="HV204" s="105" t="e">
        <f>'Actual Value'!J226+"AM:!)\s"</f>
        <v>#VALUE!</v>
      </c>
      <c r="HW204" s="105" t="e">
        <f>'Actual Value'!K226+"AM:!)\t"</f>
        <v>#VALUE!</v>
      </c>
      <c r="HX204" s="105" t="e">
        <f>'Actual Value'!L226+"AM:!)\u"</f>
        <v>#VALUE!</v>
      </c>
      <c r="HY204" s="105" t="e">
        <f>'Actual Value'!M226+"AM:!)\v"</f>
        <v>#VALUE!</v>
      </c>
      <c r="HZ204" s="105" t="e">
        <f>'Actual Value'!N226+"AM:!)\w"</f>
        <v>#VALUE!</v>
      </c>
      <c r="IA204" s="105" t="e">
        <f>'Actual Value'!O226+"AM:!)\x"</f>
        <v>#VALUE!</v>
      </c>
      <c r="IB204" s="105" t="e">
        <f>'Actual Value'!P226+"AM:!)\y"</f>
        <v>#VALUE!</v>
      </c>
      <c r="IC204" s="105" t="e">
        <f>'Actual Value'!Q226+"AM:!)\z"</f>
        <v>#VALUE!</v>
      </c>
      <c r="ID204" s="105" t="e">
        <f>'Actual Value'!R226+"AM:!)\{"</f>
        <v>#VALUE!</v>
      </c>
      <c r="IE204" s="105" t="e">
        <f>'Actual Value'!S226+"AM:!)\|"</f>
        <v>#VALUE!</v>
      </c>
      <c r="IF204" s="105" t="e">
        <f>'Actual Value'!T226+"AM:!)\}"</f>
        <v>#VALUE!</v>
      </c>
      <c r="IG204" s="105" t="e">
        <f>'Actual Value'!U226+"AM:!)\~"</f>
        <v>#VALUE!</v>
      </c>
      <c r="IH204" s="105" t="e">
        <f>'Actual Value'!V226+"AM:!)]#"</f>
        <v>#VALUE!</v>
      </c>
      <c r="II204" s="105" t="e">
        <f>'Actual Value'!W226+"AM:!)]$"</f>
        <v>#VALUE!</v>
      </c>
      <c r="IJ204" s="105" t="e">
        <f>'Actual Value'!X226+"AM:!)]%"</f>
        <v>#VALUE!</v>
      </c>
      <c r="IK204" s="105" t="e">
        <f>'Actual Value'!Y226+"AM:!)]&amp;"</f>
        <v>#VALUE!</v>
      </c>
      <c r="IL204" s="105" t="e">
        <f>'Actual Value'!Z226+"AM:!)]'"</f>
        <v>#VALUE!</v>
      </c>
      <c r="IM204" s="105" t="e">
        <f>'Actual Value'!AA226+"AM:!)]("</f>
        <v>#VALUE!</v>
      </c>
      <c r="IN204" s="105" t="e">
        <f>'Actual Value'!AB226+"AM:!)])"</f>
        <v>#VALUE!</v>
      </c>
      <c r="IO204" s="105" t="e">
        <f>'Actual Value'!AC226+"AM:!)]."</f>
        <v>#VALUE!</v>
      </c>
      <c r="IP204" s="105" t="e">
        <f>'Actual Value'!AD226+"AM:!)]/"</f>
        <v>#VALUE!</v>
      </c>
      <c r="IQ204" s="105" t="e">
        <f>'Actual Value'!AE226+"AM:!)]0"</f>
        <v>#VALUE!</v>
      </c>
      <c r="IR204" s="105" t="e">
        <f>'Actual Value'!AF226+"AM:!)]1"</f>
        <v>#VALUE!</v>
      </c>
      <c r="IS204" s="105" t="e">
        <f>'Actual Value'!AG226+"AM:!)]2"</f>
        <v>#VALUE!</v>
      </c>
      <c r="IT204" s="105" t="e">
        <f>'Actual Value'!AH226+"AM:!)]3"</f>
        <v>#VALUE!</v>
      </c>
      <c r="IU204" s="105" t="e">
        <f>'Actual Value'!AI226+"AM:!)]4"</f>
        <v>#VALUE!</v>
      </c>
      <c r="IV204" s="105" t="e">
        <f>'Actual Value'!AJ226+"AM:!)]5"</f>
        <v>#VALUE!</v>
      </c>
    </row>
    <row r="205" spans="6:256">
      <c r="F205" s="105" t="e">
        <f>'Actual Value'!AK226+"AM:!)]6"</f>
        <v>#VALUE!</v>
      </c>
      <c r="G205" s="105" t="e">
        <f>'Actual Value'!AL226+"AM:!)]7"</f>
        <v>#VALUE!</v>
      </c>
      <c r="H205" s="105" t="e">
        <f>'Actual Value'!AM226+"AM:!)]8"</f>
        <v>#VALUE!</v>
      </c>
      <c r="I205" s="105" t="e">
        <f>'Actual Value'!AN226+"AM:!)]9"</f>
        <v>#VALUE!</v>
      </c>
      <c r="J205" s="105" t="e">
        <f>'Actual Value'!AO226+"AM:!)]:"</f>
        <v>#VALUE!</v>
      </c>
      <c r="K205" t="e">
        <f>'Actual Value'!AP226+"AM:!)];"</f>
        <v>#VALUE!</v>
      </c>
      <c r="L205" s="100" t="e">
        <f>'Actual Value'!AQ226+"AM:!)]&lt;"</f>
        <v>#VALUE!</v>
      </c>
      <c r="M205" s="100" t="e">
        <f>'Actual Value'!AR226+"AM:!)]="</f>
        <v>#VALUE!</v>
      </c>
      <c r="N205" s="100" t="e">
        <f>'Actual Value'!AS226+"AM:!)]&gt;"</f>
        <v>#VALUE!</v>
      </c>
      <c r="O205" s="100" t="e">
        <f>'Actual Value'!AT226+"AM:!)]?"</f>
        <v>#VALUE!</v>
      </c>
      <c r="P205" s="100" t="e">
        <f>'Actual Value'!AU226+"AM:!)]@"</f>
        <v>#VALUE!</v>
      </c>
      <c r="Q205" t="e">
        <f>'Actual Value'!AV226+"AM:!)]A"</f>
        <v>#VALUE!</v>
      </c>
      <c r="R205" t="e">
        <f>'Actual Value'!AW226+"AM:!)]B"</f>
        <v>#VALUE!</v>
      </c>
      <c r="S205" t="e">
        <f>'Actual Value'!A227+"AM:!)]C"</f>
        <v>#VALUE!</v>
      </c>
      <c r="T205" t="e">
        <f>'Actual Value'!B227+"AM:!)]D"</f>
        <v>#VALUE!</v>
      </c>
      <c r="U205" t="e">
        <f>'Actual Value'!C227+"AM:!)]E"</f>
        <v>#VALUE!</v>
      </c>
      <c r="V205" s="97" t="e">
        <f>'Actual Value'!D227+"AM:!)]F"</f>
        <v>#VALUE!</v>
      </c>
      <c r="W205" s="97" t="e">
        <f>'Actual Value'!E227+"AM:!)]G"</f>
        <v>#VALUE!</v>
      </c>
      <c r="X205" s="97" t="e">
        <f>'Actual Value'!F227+"AM:!)]H"</f>
        <v>#VALUE!</v>
      </c>
      <c r="Y205" s="97" t="e">
        <f>'Actual Value'!G227+"AM:!)]I"</f>
        <v>#VALUE!</v>
      </c>
      <c r="Z205" s="97" t="e">
        <f>'Actual Value'!H227+"AM:!)]J"</f>
        <v>#VALUE!</v>
      </c>
      <c r="AA205" s="97" t="e">
        <f>'Actual Value'!I227+"AM:!)]K"</f>
        <v>#VALUE!</v>
      </c>
      <c r="AB205" s="97" t="e">
        <f>'Actual Value'!J227+"AM:!)]L"</f>
        <v>#VALUE!</v>
      </c>
      <c r="AC205" s="97" t="e">
        <f>'Actual Value'!K227+"AM:!)]M"</f>
        <v>#VALUE!</v>
      </c>
      <c r="AD205" s="97" t="e">
        <f>'Actual Value'!L227+"AM:!)]N"</f>
        <v>#VALUE!</v>
      </c>
      <c r="AE205" s="97" t="e">
        <f>'Actual Value'!M227+"AM:!)]O"</f>
        <v>#VALUE!</v>
      </c>
      <c r="AF205" s="97" t="e">
        <f>'Actual Value'!N227+"AM:!)]P"</f>
        <v>#VALUE!</v>
      </c>
      <c r="AG205" s="97" t="e">
        <f>'Actual Value'!O227+"AM:!)]Q"</f>
        <v>#VALUE!</v>
      </c>
      <c r="AH205" s="97" t="e">
        <f>'Actual Value'!P227+"AM:!)]R"</f>
        <v>#VALUE!</v>
      </c>
      <c r="AI205" s="97" t="e">
        <f>'Actual Value'!Q227+"AM:!)]S"</f>
        <v>#VALUE!</v>
      </c>
      <c r="AJ205" s="97" t="e">
        <f>'Actual Value'!R227+"AM:!)]T"</f>
        <v>#VALUE!</v>
      </c>
      <c r="AK205" s="97" t="e">
        <f>'Actual Value'!S227+"AM:!)]U"</f>
        <v>#VALUE!</v>
      </c>
      <c r="AL205" s="97" t="e">
        <f>'Actual Value'!T227+"AM:!)]V"</f>
        <v>#VALUE!</v>
      </c>
      <c r="AM205" s="97" t="e">
        <f>'Actual Value'!U227+"AM:!)]W"</f>
        <v>#VALUE!</v>
      </c>
      <c r="AN205" s="97" t="e">
        <f>'Actual Value'!V227+"AM:!)]X"</f>
        <v>#VALUE!</v>
      </c>
      <c r="AO205" s="97" t="e">
        <f>'Actual Value'!W227+"AM:!)]Y"</f>
        <v>#VALUE!</v>
      </c>
      <c r="AP205" s="97" t="e">
        <f>'Actual Value'!X227+"AM:!)]Z"</f>
        <v>#VALUE!</v>
      </c>
      <c r="AQ205" s="97" t="e">
        <f>'Actual Value'!Y227+"AM:!)]["</f>
        <v>#VALUE!</v>
      </c>
      <c r="AR205" s="97" t="e">
        <f>'Actual Value'!Z227+"AM:!)]\"</f>
        <v>#VALUE!</v>
      </c>
      <c r="AS205" s="97" t="e">
        <f>'Actual Value'!AA227+"AM:!)]]"</f>
        <v>#VALUE!</v>
      </c>
      <c r="AT205" s="97" t="e">
        <f>'Actual Value'!AB227+"AM:!)]^"</f>
        <v>#VALUE!</v>
      </c>
      <c r="AU205" s="97" t="e">
        <f>'Actual Value'!AC227+"AM:!)]_"</f>
        <v>#VALUE!</v>
      </c>
      <c r="AV205" s="97" t="e">
        <f>'Actual Value'!AD227+"AM:!)]`"</f>
        <v>#VALUE!</v>
      </c>
      <c r="AW205" s="97" t="e">
        <f>'Actual Value'!AE227+"AM:!)]a"</f>
        <v>#VALUE!</v>
      </c>
      <c r="AX205" s="97" t="e">
        <f>'Actual Value'!AF227+"AM:!)]b"</f>
        <v>#VALUE!</v>
      </c>
      <c r="AY205" s="97" t="e">
        <f>'Actual Value'!AG227+"AM:!)]c"</f>
        <v>#VALUE!</v>
      </c>
      <c r="AZ205" s="97" t="e">
        <f>'Actual Value'!AH227+"AM:!)]d"</f>
        <v>#VALUE!</v>
      </c>
      <c r="BA205" s="97" t="e">
        <f>'Actual Value'!AI227+"AM:!)]e"</f>
        <v>#VALUE!</v>
      </c>
      <c r="BB205" s="97" t="e">
        <f>'Actual Value'!AJ227+"AM:!)]f"</f>
        <v>#VALUE!</v>
      </c>
      <c r="BC205" s="97" t="e">
        <f>'Actual Value'!AK227+"AM:!)]g"</f>
        <v>#VALUE!</v>
      </c>
      <c r="BD205" s="97" t="e">
        <f>'Actual Value'!AL227+"AM:!)]h"</f>
        <v>#VALUE!</v>
      </c>
      <c r="BE205" s="97" t="e">
        <f>'Actual Value'!AM227+"AM:!)]i"</f>
        <v>#VALUE!</v>
      </c>
      <c r="BF205" s="97" t="e">
        <f>'Actual Value'!AN227+"AM:!)]j"</f>
        <v>#VALUE!</v>
      </c>
      <c r="BG205" s="97" t="e">
        <f>'Actual Value'!AO227+"AM:!)]k"</f>
        <v>#VALUE!</v>
      </c>
      <c r="BH205" t="e">
        <f>'Actual Value'!AP227+"AM:!)]l"</f>
        <v>#VALUE!</v>
      </c>
      <c r="BI205" t="e">
        <f>'Actual Value'!AQ227+"AM:!)]m"</f>
        <v>#VALUE!</v>
      </c>
      <c r="BJ205" t="e">
        <f>'Actual Value'!AR227+"AM:!)]n"</f>
        <v>#VALUE!</v>
      </c>
      <c r="BK205" s="97" t="e">
        <f>'Actual Value'!AS227+"AM:!)]o"</f>
        <v>#VALUE!</v>
      </c>
      <c r="BL205" t="e">
        <f>'Actual Value'!AT227+"AM:!)]p"</f>
        <v>#VALUE!</v>
      </c>
      <c r="BM205" t="e">
        <f>'Actual Value'!AU227+"AM:!)]q"</f>
        <v>#VALUE!</v>
      </c>
      <c r="BN205" t="e">
        <f>'Actual Value'!AV227+"AM:!)]r"</f>
        <v>#VALUE!</v>
      </c>
      <c r="BO205" t="e">
        <f>'Actual Value'!AW227+"AM:!)]s"</f>
        <v>#VALUE!</v>
      </c>
      <c r="BP205" t="e">
        <f>'Actual Value'!A228+"AM:!)]t"</f>
        <v>#VALUE!</v>
      </c>
      <c r="BQ205" t="e">
        <f>'Actual Value'!B228+"AM:!)]u"</f>
        <v>#VALUE!</v>
      </c>
      <c r="BR205" t="e">
        <f>'Actual Value'!C228+"AM:!)]v"</f>
        <v>#VALUE!</v>
      </c>
      <c r="BS205" s="97" t="e">
        <f>'Actual Value'!D228+"AM:!)]w"</f>
        <v>#VALUE!</v>
      </c>
      <c r="BT205" s="97" t="e">
        <f>'Actual Value'!E228+"AM:!)]x"</f>
        <v>#VALUE!</v>
      </c>
      <c r="BU205" s="97" t="e">
        <f>'Actual Value'!F228+"AM:!)]y"</f>
        <v>#VALUE!</v>
      </c>
      <c r="BV205" s="97" t="e">
        <f>'Actual Value'!G228+"AM:!)]z"</f>
        <v>#VALUE!</v>
      </c>
      <c r="BW205" s="97" t="e">
        <f>'Actual Value'!H228+"AM:!)]{"</f>
        <v>#VALUE!</v>
      </c>
      <c r="BX205" s="97" t="e">
        <f>'Actual Value'!I228+"AM:!)]|"</f>
        <v>#VALUE!</v>
      </c>
      <c r="BY205" s="97" t="e">
        <f>'Actual Value'!J228+"AM:!)]}"</f>
        <v>#VALUE!</v>
      </c>
      <c r="BZ205" s="97" t="e">
        <f>'Actual Value'!K228+"AM:!)]~"</f>
        <v>#VALUE!</v>
      </c>
      <c r="CA205" s="97" t="e">
        <f>'Actual Value'!L228+"AM:!)^#"</f>
        <v>#VALUE!</v>
      </c>
      <c r="CB205" s="97" t="e">
        <f>'Actual Value'!M228+"AM:!)^$"</f>
        <v>#VALUE!</v>
      </c>
      <c r="CC205" s="97" t="e">
        <f>'Actual Value'!N228+"AM:!)^%"</f>
        <v>#VALUE!</v>
      </c>
      <c r="CD205" s="97" t="e">
        <f>'Actual Value'!O228+"AM:!)^&amp;"</f>
        <v>#VALUE!</v>
      </c>
      <c r="CE205" s="97" t="e">
        <f>'Actual Value'!P228+"AM:!)^'"</f>
        <v>#VALUE!</v>
      </c>
      <c r="CF205" s="97" t="e">
        <f>'Actual Value'!Q228+"AM:!)^("</f>
        <v>#VALUE!</v>
      </c>
      <c r="CG205" s="97" t="e">
        <f>'Actual Value'!R228+"AM:!)^)"</f>
        <v>#VALUE!</v>
      </c>
      <c r="CH205" s="97" t="e">
        <f>'Actual Value'!S228+"AM:!)^."</f>
        <v>#VALUE!</v>
      </c>
      <c r="CI205" s="97" t="e">
        <f>'Actual Value'!T228+"AM:!)^/"</f>
        <v>#VALUE!</v>
      </c>
      <c r="CJ205" s="97" t="e">
        <f>'Actual Value'!U228+"AM:!)^0"</f>
        <v>#VALUE!</v>
      </c>
      <c r="CK205" s="97" t="e">
        <f>'Actual Value'!V228+"AM:!)^1"</f>
        <v>#VALUE!</v>
      </c>
      <c r="CL205" s="97" t="e">
        <f>'Actual Value'!W228+"AM:!)^2"</f>
        <v>#VALUE!</v>
      </c>
      <c r="CM205" s="97" t="e">
        <f>'Actual Value'!X228+"AM:!)^3"</f>
        <v>#VALUE!</v>
      </c>
      <c r="CN205" s="97" t="e">
        <f>'Actual Value'!Y228+"AM:!)^4"</f>
        <v>#VALUE!</v>
      </c>
      <c r="CO205" s="97" t="e">
        <f>'Actual Value'!Z228+"AM:!)^5"</f>
        <v>#VALUE!</v>
      </c>
      <c r="CP205" s="97" t="e">
        <f>'Actual Value'!AA228+"AM:!)^6"</f>
        <v>#VALUE!</v>
      </c>
      <c r="CQ205" s="97" t="e">
        <f>'Actual Value'!AB228+"AM:!)^7"</f>
        <v>#VALUE!</v>
      </c>
      <c r="CR205" s="97" t="e">
        <f>'Actual Value'!AC228+"AM:!)^8"</f>
        <v>#VALUE!</v>
      </c>
      <c r="CS205" s="97" t="e">
        <f>'Actual Value'!AD228+"AM:!)^9"</f>
        <v>#VALUE!</v>
      </c>
      <c r="CT205" s="97" t="e">
        <f>'Actual Value'!AE228+"AM:!)^:"</f>
        <v>#VALUE!</v>
      </c>
      <c r="CU205" s="97" t="e">
        <f>'Actual Value'!AF228+"AM:!)^;"</f>
        <v>#VALUE!</v>
      </c>
      <c r="CV205" s="97" t="e">
        <f>'Actual Value'!AG228+"AM:!)^&lt;"</f>
        <v>#VALUE!</v>
      </c>
      <c r="CW205" s="97" t="e">
        <f>'Actual Value'!AH228+"AM:!)^="</f>
        <v>#VALUE!</v>
      </c>
      <c r="CX205" s="97" t="e">
        <f>'Actual Value'!AI228+"AM:!)^&gt;"</f>
        <v>#VALUE!</v>
      </c>
      <c r="CY205" s="97" t="e">
        <f>'Actual Value'!AJ228+"AM:!)^?"</f>
        <v>#VALUE!</v>
      </c>
      <c r="CZ205" s="97" t="e">
        <f>'Actual Value'!AK228+"AM:!)^@"</f>
        <v>#VALUE!</v>
      </c>
      <c r="DA205" s="97" t="e">
        <f>'Actual Value'!AL228+"AM:!)^A"</f>
        <v>#VALUE!</v>
      </c>
      <c r="DB205" s="97" t="e">
        <f>'Actual Value'!AM228+"AM:!)^B"</f>
        <v>#VALUE!</v>
      </c>
      <c r="DC205" s="97" t="e">
        <f>'Actual Value'!AN228+"AM:!)^C"</f>
        <v>#VALUE!</v>
      </c>
      <c r="DD205" s="97" t="e">
        <f>'Actual Value'!AO228+"AM:!)^D"</f>
        <v>#VALUE!</v>
      </c>
      <c r="DE205" t="e">
        <f>'Actual Value'!AP228+"AM:!)^E"</f>
        <v>#VALUE!</v>
      </c>
      <c r="DF205" t="e">
        <f>'Actual Value'!AQ228+"AM:!)^F"</f>
        <v>#VALUE!</v>
      </c>
      <c r="DG205" t="e">
        <f>'Actual Value'!AR228+"AM:!)^G"</f>
        <v>#VALUE!</v>
      </c>
      <c r="DH205" s="97" t="e">
        <f>'Actual Value'!AS228+"AM:!)^H"</f>
        <v>#VALUE!</v>
      </c>
      <c r="DI205" t="e">
        <f>'Actual Value'!AT228+"AM:!)^I"</f>
        <v>#VALUE!</v>
      </c>
      <c r="DJ205" t="e">
        <f>'Actual Value'!AU228+"AM:!)^J"</f>
        <v>#VALUE!</v>
      </c>
      <c r="DK205" t="e">
        <f>'Actual Value'!AV228+"AM:!)^K"</f>
        <v>#VALUE!</v>
      </c>
      <c r="DL205" t="e">
        <f>'Actual Value'!AW228+"AM:!)^L"</f>
        <v>#VALUE!</v>
      </c>
      <c r="DM205" t="e">
        <f>'Actual Value'!A229+"AM:!)^M"</f>
        <v>#VALUE!</v>
      </c>
      <c r="DN205" t="e">
        <f>'Actual Value'!B229+"AM:!)^N"</f>
        <v>#VALUE!</v>
      </c>
      <c r="DO205" t="e">
        <f>'Actual Value'!C229+"AM:!)^O"</f>
        <v>#VALUE!</v>
      </c>
      <c r="DP205" s="97" t="e">
        <f>'Actual Value'!D229+"AM:!)^P"</f>
        <v>#VALUE!</v>
      </c>
      <c r="DQ205" s="97" t="e">
        <f>'Actual Value'!E229+"AM:!)^Q"</f>
        <v>#VALUE!</v>
      </c>
      <c r="DR205" s="97" t="e">
        <f>'Actual Value'!F229+"AM:!)^R"</f>
        <v>#VALUE!</v>
      </c>
      <c r="DS205" s="97" t="e">
        <f>'Actual Value'!G229+"AM:!)^S"</f>
        <v>#VALUE!</v>
      </c>
      <c r="DT205" s="97" t="e">
        <f>'Actual Value'!H229+"AM:!)^T"</f>
        <v>#VALUE!</v>
      </c>
      <c r="DU205" s="97" t="e">
        <f>'Actual Value'!I229+"AM:!)^U"</f>
        <v>#VALUE!</v>
      </c>
      <c r="DV205" s="97" t="e">
        <f>'Actual Value'!J229+"AM:!)^V"</f>
        <v>#VALUE!</v>
      </c>
      <c r="DW205" s="97" t="e">
        <f>'Actual Value'!K229+"AM:!)^W"</f>
        <v>#VALUE!</v>
      </c>
      <c r="DX205" s="97" t="e">
        <f>'Actual Value'!L229+"AM:!)^X"</f>
        <v>#VALUE!</v>
      </c>
      <c r="DY205" s="97" t="e">
        <f>'Actual Value'!M229+"AM:!)^Y"</f>
        <v>#VALUE!</v>
      </c>
      <c r="DZ205" s="97" t="e">
        <f>'Actual Value'!N229+"AM:!)^Z"</f>
        <v>#VALUE!</v>
      </c>
      <c r="EA205" s="97" t="e">
        <f>'Actual Value'!O229+"AM:!)^["</f>
        <v>#VALUE!</v>
      </c>
      <c r="EB205" s="97" t="e">
        <f>'Actual Value'!P229+"AM:!)^\"</f>
        <v>#VALUE!</v>
      </c>
      <c r="EC205" s="97" t="e">
        <f>'Actual Value'!Q229+"AM:!)^]"</f>
        <v>#VALUE!</v>
      </c>
      <c r="ED205" s="97" t="e">
        <f>'Actual Value'!R229+"AM:!)^^"</f>
        <v>#VALUE!</v>
      </c>
      <c r="EE205" s="97" t="e">
        <f>'Actual Value'!S229+"AM:!)^_"</f>
        <v>#VALUE!</v>
      </c>
      <c r="EF205" s="97" t="e">
        <f>'Actual Value'!T229+"AM:!)^`"</f>
        <v>#VALUE!</v>
      </c>
      <c r="EG205" s="97" t="e">
        <f>'Actual Value'!U229+"AM:!)^a"</f>
        <v>#VALUE!</v>
      </c>
      <c r="EH205" s="97" t="e">
        <f>'Actual Value'!V229+"AM:!)^b"</f>
        <v>#VALUE!</v>
      </c>
      <c r="EI205" s="97" t="e">
        <f>'Actual Value'!W229+"AM:!)^c"</f>
        <v>#VALUE!</v>
      </c>
      <c r="EJ205" s="97" t="e">
        <f>'Actual Value'!X229+"AM:!)^d"</f>
        <v>#VALUE!</v>
      </c>
      <c r="EK205" s="97" t="e">
        <f>'Actual Value'!Y229+"AM:!)^e"</f>
        <v>#VALUE!</v>
      </c>
      <c r="EL205" s="97" t="e">
        <f>'Actual Value'!Z229+"AM:!)^f"</f>
        <v>#VALUE!</v>
      </c>
      <c r="EM205" s="97" t="e">
        <f>'Actual Value'!AA229+"AM:!)^g"</f>
        <v>#VALUE!</v>
      </c>
      <c r="EN205" s="97" t="e">
        <f>'Actual Value'!AB229+"AM:!)^h"</f>
        <v>#VALUE!</v>
      </c>
      <c r="EO205" s="97" t="e">
        <f>'Actual Value'!AC229+"AM:!)^i"</f>
        <v>#VALUE!</v>
      </c>
      <c r="EP205" s="97" t="e">
        <f>'Actual Value'!AD229+"AM:!)^j"</f>
        <v>#VALUE!</v>
      </c>
      <c r="EQ205" s="97" t="e">
        <f>'Actual Value'!AE229+"AM:!)^k"</f>
        <v>#VALUE!</v>
      </c>
      <c r="ER205" s="97" t="e">
        <f>'Actual Value'!AF229+"AM:!)^l"</f>
        <v>#VALUE!</v>
      </c>
      <c r="ES205" s="97" t="e">
        <f>'Actual Value'!AG229+"AM:!)^m"</f>
        <v>#VALUE!</v>
      </c>
      <c r="ET205" s="97" t="e">
        <f>'Actual Value'!AH229+"AM:!)^n"</f>
        <v>#VALUE!</v>
      </c>
      <c r="EU205" s="97" t="e">
        <f>'Actual Value'!AI229+"AM:!)^o"</f>
        <v>#VALUE!</v>
      </c>
      <c r="EV205" s="97" t="e">
        <f>'Actual Value'!AJ229+"AM:!)^p"</f>
        <v>#VALUE!</v>
      </c>
      <c r="EW205" s="97" t="e">
        <f>'Actual Value'!AK229+"AM:!)^q"</f>
        <v>#VALUE!</v>
      </c>
      <c r="EX205" s="97" t="e">
        <f>'Actual Value'!AL229+"AM:!)^r"</f>
        <v>#VALUE!</v>
      </c>
      <c r="EY205" s="97" t="e">
        <f>'Actual Value'!AM229+"AM:!)^s"</f>
        <v>#VALUE!</v>
      </c>
      <c r="EZ205" s="97" t="e">
        <f>'Actual Value'!AN229+"AM:!)^t"</f>
        <v>#VALUE!</v>
      </c>
      <c r="FA205" s="97" t="e">
        <f>'Actual Value'!AO229+"AM:!)^u"</f>
        <v>#VALUE!</v>
      </c>
      <c r="FB205" t="e">
        <f>'Actual Value'!AP229+"AM:!)^v"</f>
        <v>#VALUE!</v>
      </c>
      <c r="FC205" t="e">
        <f>'Actual Value'!AQ229+"AM:!)^w"</f>
        <v>#VALUE!</v>
      </c>
      <c r="FD205" t="e">
        <f>'Actual Value'!AR229+"AM:!)^x"</f>
        <v>#VALUE!</v>
      </c>
      <c r="FE205" t="e">
        <f>'Actual Value'!AS229+"AM:!)^y"</f>
        <v>#VALUE!</v>
      </c>
      <c r="FF205" t="e">
        <f>'Actual Value'!AT229+"AM:!)^z"</f>
        <v>#VALUE!</v>
      </c>
      <c r="FG205" t="e">
        <f>'Actual Value'!AU229+"AM:!)^{"</f>
        <v>#VALUE!</v>
      </c>
      <c r="FH205" t="e">
        <f>'Actual Value'!AV229+"AM:!)^|"</f>
        <v>#VALUE!</v>
      </c>
      <c r="FI205" t="e">
        <f>'Actual Value'!AW229+"AM:!)^}"</f>
        <v>#VALUE!</v>
      </c>
      <c r="FJ205" t="e">
        <f>'Actual Value'!A230+"AM:!)^~"</f>
        <v>#VALUE!</v>
      </c>
      <c r="FK205" t="e">
        <f>'Actual Value'!B230+"AM:!)_#"</f>
        <v>#VALUE!</v>
      </c>
      <c r="FL205" t="e">
        <f>'Actual Value'!C230+"AM:!)_$"</f>
        <v>#VALUE!</v>
      </c>
      <c r="FM205" s="97" t="e">
        <f>'Actual Value'!D230+"AM:!)_%"</f>
        <v>#VALUE!</v>
      </c>
      <c r="FN205" s="97" t="e">
        <f>'Actual Value'!E230+"AM:!)_&amp;"</f>
        <v>#VALUE!</v>
      </c>
      <c r="FO205" s="97" t="e">
        <f>'Actual Value'!F230+"AM:!)_'"</f>
        <v>#VALUE!</v>
      </c>
      <c r="FP205" s="97" t="e">
        <f>'Actual Value'!G230+"AM:!)_("</f>
        <v>#VALUE!</v>
      </c>
      <c r="FQ205" s="97" t="e">
        <f>'Actual Value'!H230+"AM:!)_)"</f>
        <v>#VALUE!</v>
      </c>
      <c r="FR205" s="97" t="e">
        <f>'Actual Value'!I230+"AM:!)_."</f>
        <v>#VALUE!</v>
      </c>
      <c r="FS205" s="97" t="e">
        <f>'Actual Value'!J230+"AM:!)_/"</f>
        <v>#VALUE!</v>
      </c>
      <c r="FT205" s="97" t="e">
        <f>'Actual Value'!K230+"AM:!)_0"</f>
        <v>#VALUE!</v>
      </c>
      <c r="FU205" s="97" t="e">
        <f>'Actual Value'!L230+"AM:!)_1"</f>
        <v>#VALUE!</v>
      </c>
      <c r="FV205" s="97" t="e">
        <f>'Actual Value'!M230+"AM:!)_2"</f>
        <v>#VALUE!</v>
      </c>
      <c r="FW205" s="97" t="e">
        <f>'Actual Value'!N230+"AM:!)_3"</f>
        <v>#VALUE!</v>
      </c>
      <c r="FX205" s="97" t="e">
        <f>'Actual Value'!O230+"AM:!)_4"</f>
        <v>#VALUE!</v>
      </c>
      <c r="FY205" s="97" t="e">
        <f>'Actual Value'!P230+"AM:!)_5"</f>
        <v>#VALUE!</v>
      </c>
      <c r="FZ205" s="97" t="e">
        <f>'Actual Value'!Q230+"AM:!)_6"</f>
        <v>#VALUE!</v>
      </c>
      <c r="GA205" s="97" t="e">
        <f>'Actual Value'!R230+"AM:!)_7"</f>
        <v>#VALUE!</v>
      </c>
      <c r="GB205" s="97" t="e">
        <f>'Actual Value'!S230+"AM:!)_8"</f>
        <v>#VALUE!</v>
      </c>
      <c r="GC205" s="97" t="e">
        <f>'Actual Value'!T230+"AM:!)_9"</f>
        <v>#VALUE!</v>
      </c>
      <c r="GD205" s="97" t="e">
        <f>'Actual Value'!U230+"AM:!)_:"</f>
        <v>#VALUE!</v>
      </c>
      <c r="GE205" s="97" t="e">
        <f>'Actual Value'!V230+"AM:!)_;"</f>
        <v>#VALUE!</v>
      </c>
      <c r="GF205" s="97" t="e">
        <f>'Actual Value'!W230+"AM:!)_&lt;"</f>
        <v>#VALUE!</v>
      </c>
      <c r="GG205" s="97" t="e">
        <f>'Actual Value'!X230+"AM:!)_="</f>
        <v>#VALUE!</v>
      </c>
      <c r="GH205" s="97" t="e">
        <f>'Actual Value'!Y230+"AM:!)_&gt;"</f>
        <v>#VALUE!</v>
      </c>
      <c r="GI205" s="97" t="e">
        <f>'Actual Value'!Z230+"AM:!)_?"</f>
        <v>#VALUE!</v>
      </c>
      <c r="GJ205" s="97" t="e">
        <f>'Actual Value'!AA230+"AM:!)_@"</f>
        <v>#VALUE!</v>
      </c>
      <c r="GK205" s="97" t="e">
        <f>'Actual Value'!AB230+"AM:!)_A"</f>
        <v>#VALUE!</v>
      </c>
      <c r="GL205" s="97" t="e">
        <f>'Actual Value'!AC230+"AM:!)_B"</f>
        <v>#VALUE!</v>
      </c>
      <c r="GM205" s="97" t="e">
        <f>'Actual Value'!AD230+"AM:!)_C"</f>
        <v>#VALUE!</v>
      </c>
      <c r="GN205" s="97" t="e">
        <f>'Actual Value'!AE230+"AM:!)_D"</f>
        <v>#VALUE!</v>
      </c>
      <c r="GO205" s="97" t="e">
        <f>'Actual Value'!AF230+"AM:!)_E"</f>
        <v>#VALUE!</v>
      </c>
      <c r="GP205" s="97" t="e">
        <f>'Actual Value'!AG230+"AM:!)_F"</f>
        <v>#VALUE!</v>
      </c>
      <c r="GQ205" s="97" t="e">
        <f>'Actual Value'!AH230+"AM:!)_G"</f>
        <v>#VALUE!</v>
      </c>
      <c r="GR205" s="97" t="e">
        <f>'Actual Value'!AI230+"AM:!)_H"</f>
        <v>#VALUE!</v>
      </c>
      <c r="GS205" s="97" t="e">
        <f>'Actual Value'!AJ230+"AM:!)_I"</f>
        <v>#VALUE!</v>
      </c>
      <c r="GT205" s="97" t="e">
        <f>'Actual Value'!AK230+"AM:!)_J"</f>
        <v>#VALUE!</v>
      </c>
      <c r="GU205" s="97" t="e">
        <f>'Actual Value'!AL230+"AM:!)_K"</f>
        <v>#VALUE!</v>
      </c>
      <c r="GV205" s="97" t="e">
        <f>'Actual Value'!AM230+"AM:!)_L"</f>
        <v>#VALUE!</v>
      </c>
      <c r="GW205" s="97" t="e">
        <f>'Actual Value'!AN230+"AM:!)_M"</f>
        <v>#VALUE!</v>
      </c>
      <c r="GX205" s="97" t="e">
        <f>'Actual Value'!AO230+"AM:!)_N"</f>
        <v>#VALUE!</v>
      </c>
      <c r="GY205" t="e">
        <f>'Actual Value'!AP230+"AM:!)_O"</f>
        <v>#VALUE!</v>
      </c>
      <c r="GZ205" t="e">
        <f>'Actual Value'!AQ230+"AM:!)_P"</f>
        <v>#VALUE!</v>
      </c>
      <c r="HA205" t="e">
        <f>'Actual Value'!AR230+"AM:!)_Q"</f>
        <v>#VALUE!</v>
      </c>
      <c r="HB205" t="e">
        <f>'Actual Value'!AS230+"AM:!)_R"</f>
        <v>#VALUE!</v>
      </c>
      <c r="HC205" t="e">
        <f>'Actual Value'!AT230+"AM:!)_S"</f>
        <v>#VALUE!</v>
      </c>
      <c r="HD205" t="e">
        <f>'Actual Value'!AU230+"AM:!)_T"</f>
        <v>#VALUE!</v>
      </c>
      <c r="HE205" t="e">
        <f>'Actual Value'!AV230+"AM:!)_U"</f>
        <v>#VALUE!</v>
      </c>
      <c r="HF205" t="e">
        <f>'Actual Value'!AW230+"AM:!)_V"</f>
        <v>#VALUE!</v>
      </c>
      <c r="HG205" t="e">
        <f>'Actual Value'!AX230+"AM:!)_W"</f>
        <v>#VALUE!</v>
      </c>
      <c r="HH205" t="e">
        <f>'Actual Value'!A231+"AM:!)_X"</f>
        <v>#VALUE!</v>
      </c>
      <c r="HI205" t="e">
        <f>'Actual Value'!B231+"AM:!)_Y"</f>
        <v>#VALUE!</v>
      </c>
      <c r="HJ205" t="e">
        <f>'Actual Value'!C231+"AM:!)_Z"</f>
        <v>#VALUE!</v>
      </c>
      <c r="HK205" s="97" t="e">
        <f>'Actual Value'!D231+"AM:!)_["</f>
        <v>#VALUE!</v>
      </c>
      <c r="HL205" s="97" t="e">
        <f>'Actual Value'!E231+"AM:!)_\"</f>
        <v>#VALUE!</v>
      </c>
      <c r="HM205" s="97" t="e">
        <f>'Actual Value'!F231+"AM:!)_]"</f>
        <v>#VALUE!</v>
      </c>
      <c r="HN205" s="97" t="e">
        <f>'Actual Value'!G231+"AM:!)_^"</f>
        <v>#VALUE!</v>
      </c>
      <c r="HO205" s="97" t="e">
        <f>'Actual Value'!H231+"AM:!)__"</f>
        <v>#VALUE!</v>
      </c>
      <c r="HP205" s="97" t="e">
        <f>'Actual Value'!I231+"AM:!)_`"</f>
        <v>#VALUE!</v>
      </c>
      <c r="HQ205" s="97" t="e">
        <f>'Actual Value'!J231+"AM:!)_a"</f>
        <v>#VALUE!</v>
      </c>
      <c r="HR205" s="97" t="e">
        <f>'Actual Value'!K231+"AM:!)_b"</f>
        <v>#VALUE!</v>
      </c>
      <c r="HS205" s="97" t="e">
        <f>'Actual Value'!L231+"AM:!)_c"</f>
        <v>#VALUE!</v>
      </c>
      <c r="HT205" s="97" t="e">
        <f>'Actual Value'!M231+"AM:!)_d"</f>
        <v>#VALUE!</v>
      </c>
      <c r="HU205" s="97" t="e">
        <f>'Actual Value'!N231+"AM:!)_e"</f>
        <v>#VALUE!</v>
      </c>
      <c r="HV205" s="97" t="e">
        <f>'Actual Value'!O231+"AM:!)_f"</f>
        <v>#VALUE!</v>
      </c>
      <c r="HW205" s="97" t="e">
        <f>'Actual Value'!P231+"AM:!)_g"</f>
        <v>#VALUE!</v>
      </c>
      <c r="HX205" s="97" t="e">
        <f>'Actual Value'!Q231+"AM:!)_h"</f>
        <v>#VALUE!</v>
      </c>
      <c r="HY205" s="97" t="e">
        <f>'Actual Value'!R231+"AM:!)_i"</f>
        <v>#VALUE!</v>
      </c>
      <c r="HZ205" s="97" t="e">
        <f>'Actual Value'!S231+"AM:!)_j"</f>
        <v>#VALUE!</v>
      </c>
      <c r="IA205" s="97" t="e">
        <f>'Actual Value'!T231+"AM:!)_k"</f>
        <v>#VALUE!</v>
      </c>
      <c r="IB205" s="97" t="e">
        <f>'Actual Value'!U231+"AM:!)_l"</f>
        <v>#VALUE!</v>
      </c>
      <c r="IC205" s="97" t="e">
        <f>'Actual Value'!V231+"AM:!)_m"</f>
        <v>#VALUE!</v>
      </c>
      <c r="ID205" s="97" t="e">
        <f>'Actual Value'!W231+"AM:!)_n"</f>
        <v>#VALUE!</v>
      </c>
      <c r="IE205" s="97" t="e">
        <f>'Actual Value'!X231+"AM:!)_o"</f>
        <v>#VALUE!</v>
      </c>
      <c r="IF205" s="97" t="e">
        <f>'Actual Value'!Y231+"AM:!)_p"</f>
        <v>#VALUE!</v>
      </c>
      <c r="IG205" s="97" t="e">
        <f>'Actual Value'!Z231+"AM:!)_q"</f>
        <v>#VALUE!</v>
      </c>
      <c r="IH205" s="97" t="e">
        <f>'Actual Value'!AA231+"AM:!)_r"</f>
        <v>#VALUE!</v>
      </c>
      <c r="II205" s="97" t="e">
        <f>'Actual Value'!AB231+"AM:!)_s"</f>
        <v>#VALUE!</v>
      </c>
      <c r="IJ205" s="97" t="e">
        <f>'Actual Value'!AC231+"AM:!)_t"</f>
        <v>#VALUE!</v>
      </c>
      <c r="IK205" s="97" t="e">
        <f>'Actual Value'!AD231+"AM:!)_u"</f>
        <v>#VALUE!</v>
      </c>
      <c r="IL205" s="97" t="e">
        <f>'Actual Value'!AE231+"AM:!)_v"</f>
        <v>#VALUE!</v>
      </c>
      <c r="IM205" s="97" t="e">
        <f>'Actual Value'!AF231+"AM:!)_w"</f>
        <v>#VALUE!</v>
      </c>
      <c r="IN205" s="97" t="e">
        <f>'Actual Value'!AG231+"AM:!)_x"</f>
        <v>#VALUE!</v>
      </c>
      <c r="IO205" s="97" t="e">
        <f>'Actual Value'!AH231+"AM:!)_y"</f>
        <v>#VALUE!</v>
      </c>
      <c r="IP205" s="97" t="e">
        <f>'Actual Value'!AI231+"AM:!)_z"</f>
        <v>#VALUE!</v>
      </c>
      <c r="IQ205" s="97" t="e">
        <f>'Actual Value'!AJ231+"AM:!)_{"</f>
        <v>#VALUE!</v>
      </c>
      <c r="IR205" s="97" t="e">
        <f>'Actual Value'!AK231+"AM:!)_|"</f>
        <v>#VALUE!</v>
      </c>
      <c r="IS205" s="97" t="e">
        <f>'Actual Value'!AL231+"AM:!)_}"</f>
        <v>#VALUE!</v>
      </c>
      <c r="IT205" s="97" t="e">
        <f>'Actual Value'!AM231+"AM:!)_~"</f>
        <v>#VALUE!</v>
      </c>
      <c r="IU205" s="97" t="e">
        <f>'Actual Value'!AN231+"AM:!)`#"</f>
        <v>#VALUE!</v>
      </c>
      <c r="IV205" s="97" t="e">
        <f>'Actual Value'!AO231+"AM:!)`$"</f>
        <v>#VALUE!</v>
      </c>
    </row>
    <row r="206" spans="6:256">
      <c r="F206" t="e">
        <f>'Actual Value'!AP231+"AM:!)`%"</f>
        <v>#VALUE!</v>
      </c>
      <c r="G206" t="e">
        <f>'Actual Value'!AQ231+"AM:!)`&amp;"</f>
        <v>#VALUE!</v>
      </c>
      <c r="H206" t="e">
        <f>'Actual Value'!AR231+"AM:!)`'"</f>
        <v>#VALUE!</v>
      </c>
      <c r="I206" t="e">
        <f>'Actual Value'!AS231+"AM:!)`("</f>
        <v>#VALUE!</v>
      </c>
      <c r="J206" t="e">
        <f>'Actual Value'!AT231+"AM:!)`)"</f>
        <v>#VALUE!</v>
      </c>
      <c r="K206" t="e">
        <f>'Actual Value'!AU231+"AM:!)`."</f>
        <v>#VALUE!</v>
      </c>
      <c r="L206" t="e">
        <f>'Actual Value'!AV231+"AM:!)`/"</f>
        <v>#VALUE!</v>
      </c>
      <c r="M206" t="e">
        <f>'Actual Value'!AW231+"AM:!)`0"</f>
        <v>#VALUE!</v>
      </c>
      <c r="N206" t="e">
        <f>'Actual Value'!AX231+"AM:!)`1"</f>
        <v>#VALUE!</v>
      </c>
      <c r="O206" t="e">
        <f>'Actual Value'!A232+"AM:!)`2"</f>
        <v>#VALUE!</v>
      </c>
      <c r="P206" t="e">
        <f>'Actual Value'!B232+"AM:!)`3"</f>
        <v>#VALUE!</v>
      </c>
      <c r="Q206" t="e">
        <f>'Actual Value'!C232+"AM:!)`4"</f>
        <v>#VALUE!</v>
      </c>
      <c r="R206" s="97" t="e">
        <f>'Actual Value'!D232+"AM:!)`5"</f>
        <v>#VALUE!</v>
      </c>
      <c r="S206" s="97" t="e">
        <f>'Actual Value'!E232+"AM:!)`6"</f>
        <v>#VALUE!</v>
      </c>
      <c r="T206" s="97" t="e">
        <f>'Actual Value'!F232+"AM:!)`7"</f>
        <v>#VALUE!</v>
      </c>
      <c r="U206" s="97" t="e">
        <f>'Actual Value'!G232+"AM:!)`8"</f>
        <v>#VALUE!</v>
      </c>
      <c r="V206" s="97" t="e">
        <f>'Actual Value'!H232+"AM:!)`9"</f>
        <v>#VALUE!</v>
      </c>
      <c r="W206" s="97" t="e">
        <f>'Actual Value'!I232+"AM:!)`:"</f>
        <v>#VALUE!</v>
      </c>
      <c r="X206" s="97" t="e">
        <f>'Actual Value'!J232+"AM:!)`;"</f>
        <v>#VALUE!</v>
      </c>
      <c r="Y206" s="97" t="e">
        <f>'Actual Value'!K232+"AM:!)`&lt;"</f>
        <v>#VALUE!</v>
      </c>
      <c r="Z206" s="97" t="e">
        <f>'Actual Value'!L232+"AM:!)`="</f>
        <v>#VALUE!</v>
      </c>
      <c r="AA206" s="97" t="e">
        <f>'Actual Value'!M232+"AM:!)`&gt;"</f>
        <v>#VALUE!</v>
      </c>
      <c r="AB206" s="97" t="e">
        <f>'Actual Value'!N232+"AM:!)`?"</f>
        <v>#VALUE!</v>
      </c>
      <c r="AC206" s="97" t="e">
        <f>'Actual Value'!O232+"AM:!)`@"</f>
        <v>#VALUE!</v>
      </c>
      <c r="AD206" s="97" t="e">
        <f>'Actual Value'!P232+"AM:!)`A"</f>
        <v>#VALUE!</v>
      </c>
      <c r="AE206" s="97" t="e">
        <f>'Actual Value'!Q232+"AM:!)`B"</f>
        <v>#VALUE!</v>
      </c>
      <c r="AF206" s="97" t="e">
        <f>'Actual Value'!R232+"AM:!)`C"</f>
        <v>#VALUE!</v>
      </c>
      <c r="AG206" s="97" t="e">
        <f>'Actual Value'!S232+"AM:!)`D"</f>
        <v>#VALUE!</v>
      </c>
      <c r="AH206" s="97" t="e">
        <f>'Actual Value'!T232+"AM:!)`E"</f>
        <v>#VALUE!</v>
      </c>
      <c r="AI206" s="97" t="e">
        <f>'Actual Value'!U232+"AM:!)`F"</f>
        <v>#VALUE!</v>
      </c>
      <c r="AJ206" s="97" t="e">
        <f>'Actual Value'!V232+"AM:!)`G"</f>
        <v>#VALUE!</v>
      </c>
      <c r="AK206" s="97" t="e">
        <f>'Actual Value'!W232+"AM:!)`H"</f>
        <v>#VALUE!</v>
      </c>
      <c r="AL206" s="97" t="e">
        <f>'Actual Value'!X232+"AM:!)`I"</f>
        <v>#VALUE!</v>
      </c>
      <c r="AM206" s="97" t="e">
        <f>'Actual Value'!Y232+"AM:!)`J"</f>
        <v>#VALUE!</v>
      </c>
      <c r="AN206" s="97" t="e">
        <f>'Actual Value'!Z232+"AM:!)`K"</f>
        <v>#VALUE!</v>
      </c>
      <c r="AO206" s="97" t="e">
        <f>'Actual Value'!AA232+"AM:!)`L"</f>
        <v>#VALUE!</v>
      </c>
      <c r="AP206" s="97" t="e">
        <f>'Actual Value'!AB232+"AM:!)`M"</f>
        <v>#VALUE!</v>
      </c>
      <c r="AQ206" s="97" t="e">
        <f>'Actual Value'!AC232+"AM:!)`N"</f>
        <v>#VALUE!</v>
      </c>
      <c r="AR206" s="97" t="e">
        <f>'Actual Value'!AD232+"AM:!)`O"</f>
        <v>#VALUE!</v>
      </c>
      <c r="AS206" s="97" t="e">
        <f>'Actual Value'!AE232+"AM:!)`P"</f>
        <v>#VALUE!</v>
      </c>
      <c r="AT206" s="97" t="e">
        <f>'Actual Value'!AF232+"AM:!)`Q"</f>
        <v>#VALUE!</v>
      </c>
      <c r="AU206" s="97" t="e">
        <f>'Actual Value'!AG232+"AM:!)`R"</f>
        <v>#VALUE!</v>
      </c>
      <c r="AV206" s="97" t="e">
        <f>'Actual Value'!AH232+"AM:!)`S"</f>
        <v>#VALUE!</v>
      </c>
      <c r="AW206" s="97" t="e">
        <f>'Actual Value'!AI232+"AM:!)`T"</f>
        <v>#VALUE!</v>
      </c>
      <c r="AX206" s="97" t="e">
        <f>'Actual Value'!AJ232+"AM:!)`U"</f>
        <v>#VALUE!</v>
      </c>
      <c r="AY206" s="97" t="e">
        <f>'Actual Value'!AK232+"AM:!)`V"</f>
        <v>#VALUE!</v>
      </c>
      <c r="AZ206" s="97" t="e">
        <f>'Actual Value'!AL232+"AM:!)`W"</f>
        <v>#VALUE!</v>
      </c>
      <c r="BA206" s="97" t="e">
        <f>'Actual Value'!AM232+"AM:!)`X"</f>
        <v>#VALUE!</v>
      </c>
      <c r="BB206" s="97" t="e">
        <f>'Actual Value'!AN232+"AM:!)`Y"</f>
        <v>#VALUE!</v>
      </c>
      <c r="BC206" s="97" t="e">
        <f>'Actual Value'!AO232+"AM:!)`Z"</f>
        <v>#VALUE!</v>
      </c>
      <c r="BD206" t="e">
        <f>'Actual Value'!AP232+"AM:!)`["</f>
        <v>#VALUE!</v>
      </c>
      <c r="BE206" t="e">
        <f>'Actual Value'!AQ232+"AM:!)`\"</f>
        <v>#VALUE!</v>
      </c>
      <c r="BF206" t="e">
        <f>'Actual Value'!AR232+"AM:!)`]"</f>
        <v>#VALUE!</v>
      </c>
      <c r="BG206" t="e">
        <f>'Actual Value'!AS232+"AM:!)`^"</f>
        <v>#VALUE!</v>
      </c>
      <c r="BH206" t="e">
        <f>'Actual Value'!AT232+"AM:!)`_"</f>
        <v>#VALUE!</v>
      </c>
      <c r="BI206" t="e">
        <f>'Actual Value'!AU232+"AM:!)``"</f>
        <v>#VALUE!</v>
      </c>
      <c r="BJ206" t="e">
        <f>'Actual Value'!AV232+"AM:!)`a"</f>
        <v>#VALUE!</v>
      </c>
      <c r="BK206" t="e">
        <f>'Actual Value'!AW232+"AM:!)`b"</f>
        <v>#VALUE!</v>
      </c>
      <c r="BL206" t="e">
        <f>'Actual Value'!AX232+"AM:!)`c"</f>
        <v>#VALUE!</v>
      </c>
      <c r="BM206" t="e">
        <f>'Actual Value'!A233+"AM:!)`d"</f>
        <v>#VALUE!</v>
      </c>
      <c r="BN206" t="e">
        <f>'Actual Value'!B233+"AM:!)`e"</f>
        <v>#VALUE!</v>
      </c>
      <c r="BO206" t="e">
        <f>'Actual Value'!C233+"AM:!)`f"</f>
        <v>#VALUE!</v>
      </c>
      <c r="BP206" s="97" t="e">
        <f>'Actual Value'!D233+"AM:!)`g"</f>
        <v>#VALUE!</v>
      </c>
      <c r="BQ206" s="97" t="e">
        <f>'Actual Value'!E233+"AM:!)`h"</f>
        <v>#VALUE!</v>
      </c>
      <c r="BR206" s="97" t="e">
        <f>'Actual Value'!F233+"AM:!)`i"</f>
        <v>#VALUE!</v>
      </c>
      <c r="BS206" s="97" t="e">
        <f>'Actual Value'!G233+"AM:!)`j"</f>
        <v>#VALUE!</v>
      </c>
      <c r="BT206" s="97" t="e">
        <f>'Actual Value'!H233+"AM:!)`k"</f>
        <v>#VALUE!</v>
      </c>
      <c r="BU206" s="97" t="e">
        <f>'Actual Value'!I233+"AM:!)`l"</f>
        <v>#VALUE!</v>
      </c>
      <c r="BV206" s="97" t="e">
        <f>'Actual Value'!J233+"AM:!)`m"</f>
        <v>#VALUE!</v>
      </c>
      <c r="BW206" s="97" t="e">
        <f>'Actual Value'!K233+"AM:!)`n"</f>
        <v>#VALUE!</v>
      </c>
      <c r="BX206" s="97" t="e">
        <f>'Actual Value'!L233+"AM:!)`o"</f>
        <v>#VALUE!</v>
      </c>
      <c r="BY206" s="97" t="e">
        <f>'Actual Value'!M233+"AM:!)`p"</f>
        <v>#VALUE!</v>
      </c>
      <c r="BZ206" s="97" t="e">
        <f>'Actual Value'!N233+"AM:!)`q"</f>
        <v>#VALUE!</v>
      </c>
      <c r="CA206" s="97" t="e">
        <f>'Actual Value'!O233+"AM:!)`r"</f>
        <v>#VALUE!</v>
      </c>
      <c r="CB206" s="97" t="e">
        <f>'Actual Value'!P233+"AM:!)`s"</f>
        <v>#VALUE!</v>
      </c>
      <c r="CC206" s="97" t="e">
        <f>'Actual Value'!Q233+"AM:!)`t"</f>
        <v>#VALUE!</v>
      </c>
      <c r="CD206" s="97" t="e">
        <f>'Actual Value'!R233+"AM:!)`u"</f>
        <v>#VALUE!</v>
      </c>
      <c r="CE206" s="97" t="e">
        <f>'Actual Value'!S233+"AM:!)`v"</f>
        <v>#VALUE!</v>
      </c>
      <c r="CF206" s="97" t="e">
        <f>'Actual Value'!T233+"AM:!)`w"</f>
        <v>#VALUE!</v>
      </c>
      <c r="CG206" s="97" t="e">
        <f>'Actual Value'!U233+"AM:!)`x"</f>
        <v>#VALUE!</v>
      </c>
      <c r="CH206" s="97" t="e">
        <f>'Actual Value'!V233+"AM:!)`y"</f>
        <v>#VALUE!</v>
      </c>
      <c r="CI206" s="97" t="e">
        <f>'Actual Value'!W233+"AM:!)`z"</f>
        <v>#VALUE!</v>
      </c>
      <c r="CJ206" s="97" t="e">
        <f>'Actual Value'!X233+"AM:!)`{"</f>
        <v>#VALUE!</v>
      </c>
      <c r="CK206" s="97" t="e">
        <f>'Actual Value'!Y233+"AM:!)`|"</f>
        <v>#VALUE!</v>
      </c>
      <c r="CL206" s="97" t="e">
        <f>'Actual Value'!Z233+"AM:!)`}"</f>
        <v>#VALUE!</v>
      </c>
      <c r="CM206" s="97" t="e">
        <f>'Actual Value'!AA233+"AM:!)`~"</f>
        <v>#VALUE!</v>
      </c>
      <c r="CN206" s="97" t="e">
        <f>'Actual Value'!AB233+"AM:!)a#"</f>
        <v>#VALUE!</v>
      </c>
      <c r="CO206" s="97" t="e">
        <f>'Actual Value'!AC233+"AM:!)a$"</f>
        <v>#VALUE!</v>
      </c>
      <c r="CP206" s="97" t="e">
        <f>'Actual Value'!AD233+"AM:!)a%"</f>
        <v>#VALUE!</v>
      </c>
      <c r="CQ206" s="97" t="e">
        <f>'Actual Value'!AE233+"AM:!)a&amp;"</f>
        <v>#VALUE!</v>
      </c>
      <c r="CR206" s="97" t="e">
        <f>'Actual Value'!AF233+"AM:!)a'"</f>
        <v>#VALUE!</v>
      </c>
      <c r="CS206" s="97" t="e">
        <f>'Actual Value'!AG233+"AM:!)a("</f>
        <v>#VALUE!</v>
      </c>
      <c r="CT206" s="97" t="e">
        <f>'Actual Value'!AH233+"AM:!)a)"</f>
        <v>#VALUE!</v>
      </c>
      <c r="CU206" s="97" t="e">
        <f>'Actual Value'!AI233+"AM:!)a."</f>
        <v>#VALUE!</v>
      </c>
      <c r="CV206" s="97" t="e">
        <f>'Actual Value'!AJ233+"AM:!)a/"</f>
        <v>#VALUE!</v>
      </c>
      <c r="CW206" s="97" t="e">
        <f>'Actual Value'!AK233+"AM:!)a0"</f>
        <v>#VALUE!</v>
      </c>
      <c r="CX206" s="97" t="e">
        <f>'Actual Value'!AL233+"AM:!)a1"</f>
        <v>#VALUE!</v>
      </c>
      <c r="CY206" s="97" t="e">
        <f>'Actual Value'!AM233+"AM:!)a2"</f>
        <v>#VALUE!</v>
      </c>
      <c r="CZ206" s="97" t="e">
        <f>'Actual Value'!AN233+"AM:!)a3"</f>
        <v>#VALUE!</v>
      </c>
      <c r="DA206" s="97" t="e">
        <f>'Actual Value'!AO233+"AM:!)a4"</f>
        <v>#VALUE!</v>
      </c>
      <c r="DB206" t="e">
        <f>'Actual Value'!AP233+"AM:!)a5"</f>
        <v>#VALUE!</v>
      </c>
      <c r="DC206" t="e">
        <f>'Actual Value'!AQ233+"AM:!)a6"</f>
        <v>#VALUE!</v>
      </c>
      <c r="DD206" t="e">
        <f>'Actual Value'!AR233+"AM:!)a7"</f>
        <v>#VALUE!</v>
      </c>
      <c r="DE206" t="e">
        <f>'Actual Value'!AS233+"AM:!)a8"</f>
        <v>#VALUE!</v>
      </c>
      <c r="DF206" t="e">
        <f>'Actual Value'!AT233+"AM:!)a9"</f>
        <v>#VALUE!</v>
      </c>
      <c r="DG206" t="e">
        <f>'Actual Value'!AU233+"AM:!)a:"</f>
        <v>#VALUE!</v>
      </c>
      <c r="DH206" t="e">
        <f>'Actual Value'!AV233+"AM:!)a;"</f>
        <v>#VALUE!</v>
      </c>
      <c r="DI206" t="e">
        <f>'Actual Value'!AW233+"AM:!)a&lt;"</f>
        <v>#VALUE!</v>
      </c>
      <c r="DJ206" t="e">
        <f>'Actual Value'!AX233+"AM:!)a="</f>
        <v>#VALUE!</v>
      </c>
      <c r="DK206" t="e">
        <f>'Actual Value'!A234+"AM:!)a&gt;"</f>
        <v>#VALUE!</v>
      </c>
      <c r="DL206" t="e">
        <f>'Actual Value'!B234+"AM:!)a?"</f>
        <v>#VALUE!</v>
      </c>
      <c r="DM206" t="e">
        <f>'Actual Value'!C234+"AM:!)a@"</f>
        <v>#VALUE!</v>
      </c>
      <c r="DN206" s="97" t="e">
        <f>'Actual Value'!D234+"AM:!)aA"</f>
        <v>#VALUE!</v>
      </c>
      <c r="DO206" s="97" t="e">
        <f>'Actual Value'!E234+"AM:!)aB"</f>
        <v>#VALUE!</v>
      </c>
      <c r="DP206" s="97" t="e">
        <f>'Actual Value'!F234+"AM:!)aC"</f>
        <v>#VALUE!</v>
      </c>
      <c r="DQ206" s="97" t="e">
        <f>'Actual Value'!G234+"AM:!)aD"</f>
        <v>#VALUE!</v>
      </c>
      <c r="DR206" s="97" t="e">
        <f>'Actual Value'!H234+"AM:!)aE"</f>
        <v>#VALUE!</v>
      </c>
      <c r="DS206" s="97" t="e">
        <f>'Actual Value'!I234+"AM:!)aF"</f>
        <v>#VALUE!</v>
      </c>
      <c r="DT206" s="97" t="e">
        <f>'Actual Value'!J234+"AM:!)aG"</f>
        <v>#VALUE!</v>
      </c>
      <c r="DU206" s="97" t="e">
        <f>'Actual Value'!K234+"AM:!)aH"</f>
        <v>#VALUE!</v>
      </c>
      <c r="DV206" s="97" t="e">
        <f>'Actual Value'!L234+"AM:!)aI"</f>
        <v>#VALUE!</v>
      </c>
      <c r="DW206" s="97" t="e">
        <f>'Actual Value'!M234+"AM:!)aJ"</f>
        <v>#VALUE!</v>
      </c>
      <c r="DX206" s="97" t="e">
        <f>'Actual Value'!N234+"AM:!)aK"</f>
        <v>#VALUE!</v>
      </c>
      <c r="DY206" s="97" t="e">
        <f>'Actual Value'!O234+"AM:!)aL"</f>
        <v>#VALUE!</v>
      </c>
      <c r="DZ206" s="97" t="e">
        <f>'Actual Value'!P234+"AM:!)aM"</f>
        <v>#VALUE!</v>
      </c>
      <c r="EA206" s="97" t="e">
        <f>'Actual Value'!Q234+"AM:!)aN"</f>
        <v>#VALUE!</v>
      </c>
      <c r="EB206" s="97" t="e">
        <f>'Actual Value'!R234+"AM:!)aO"</f>
        <v>#VALUE!</v>
      </c>
      <c r="EC206" s="97" t="e">
        <f>'Actual Value'!S234+"AM:!)aP"</f>
        <v>#VALUE!</v>
      </c>
      <c r="ED206" s="97" t="e">
        <f>'Actual Value'!T234+"AM:!)aQ"</f>
        <v>#VALUE!</v>
      </c>
      <c r="EE206" s="97" t="e">
        <f>'Actual Value'!U234+"AM:!)aR"</f>
        <v>#VALUE!</v>
      </c>
      <c r="EF206" s="97" t="e">
        <f>'Actual Value'!V234+"AM:!)aS"</f>
        <v>#VALUE!</v>
      </c>
      <c r="EG206" s="97" t="e">
        <f>'Actual Value'!W234+"AM:!)aT"</f>
        <v>#VALUE!</v>
      </c>
      <c r="EH206" s="97" t="e">
        <f>'Actual Value'!X234+"AM:!)aU"</f>
        <v>#VALUE!</v>
      </c>
      <c r="EI206" s="97" t="e">
        <f>'Actual Value'!Y234+"AM:!)aV"</f>
        <v>#VALUE!</v>
      </c>
      <c r="EJ206" s="97" t="e">
        <f>'Actual Value'!Z234+"AM:!)aW"</f>
        <v>#VALUE!</v>
      </c>
      <c r="EK206" s="97" t="e">
        <f>'Actual Value'!AA234+"AM:!)aX"</f>
        <v>#VALUE!</v>
      </c>
      <c r="EL206" s="97" t="e">
        <f>'Actual Value'!AB234+"AM:!)aY"</f>
        <v>#VALUE!</v>
      </c>
      <c r="EM206" s="97" t="e">
        <f>'Actual Value'!AC234+"AM:!)aZ"</f>
        <v>#VALUE!</v>
      </c>
      <c r="EN206" s="97" t="e">
        <f>'Actual Value'!AD234+"AM:!)a["</f>
        <v>#VALUE!</v>
      </c>
      <c r="EO206" s="97" t="e">
        <f>'Actual Value'!AE234+"AM:!)a\"</f>
        <v>#VALUE!</v>
      </c>
      <c r="EP206" s="97" t="e">
        <f>'Actual Value'!AF234+"AM:!)a]"</f>
        <v>#VALUE!</v>
      </c>
      <c r="EQ206" s="97" t="e">
        <f>'Actual Value'!AG234+"AM:!)a^"</f>
        <v>#VALUE!</v>
      </c>
      <c r="ER206" s="97" t="e">
        <f>'Actual Value'!AH234+"AM:!)a_"</f>
        <v>#VALUE!</v>
      </c>
      <c r="ES206" s="97" t="e">
        <f>'Actual Value'!AI234+"AM:!)a`"</f>
        <v>#VALUE!</v>
      </c>
      <c r="ET206" s="97" t="e">
        <f>'Actual Value'!AJ234+"AM:!)aa"</f>
        <v>#VALUE!</v>
      </c>
      <c r="EU206" s="97" t="e">
        <f>'Actual Value'!AK234+"AM:!)ab"</f>
        <v>#VALUE!</v>
      </c>
      <c r="EV206" s="97" t="e">
        <f>'Actual Value'!AL234+"AM:!)ac"</f>
        <v>#VALUE!</v>
      </c>
      <c r="EW206" s="97" t="e">
        <f>'Actual Value'!AM234+"AM:!)ad"</f>
        <v>#VALUE!</v>
      </c>
      <c r="EX206" s="97" t="e">
        <f>'Actual Value'!AN234+"AM:!)ae"</f>
        <v>#VALUE!</v>
      </c>
      <c r="EY206" s="97" t="e">
        <f>'Actual Value'!AO234+"AM:!)af"</f>
        <v>#VALUE!</v>
      </c>
      <c r="EZ206" t="e">
        <f>'Actual Value'!AP234+"AM:!)ag"</f>
        <v>#VALUE!</v>
      </c>
      <c r="FA206" t="e">
        <f>'Actual Value'!AQ234+"AM:!)ah"</f>
        <v>#VALUE!</v>
      </c>
      <c r="FB206" t="e">
        <f>'Actual Value'!AR234+"AM:!)ai"</f>
        <v>#VALUE!</v>
      </c>
      <c r="FC206" t="e">
        <f>'Actual Value'!AS234+"AM:!)aj"</f>
        <v>#VALUE!</v>
      </c>
      <c r="FD206" t="e">
        <f>'Actual Value'!AT234+"AM:!)ak"</f>
        <v>#VALUE!</v>
      </c>
      <c r="FE206" t="e">
        <f>'Actual Value'!AU234+"AM:!)al"</f>
        <v>#VALUE!</v>
      </c>
      <c r="FF206" t="e">
        <f>'Actual Value'!AV234+"AM:!)am"</f>
        <v>#VALUE!</v>
      </c>
      <c r="FG206" t="e">
        <f>'Actual Value'!AW234+"AM:!)an"</f>
        <v>#VALUE!</v>
      </c>
      <c r="FH206" t="e">
        <f>'Actual Value'!AX234+"AM:!)ao"</f>
        <v>#VALUE!</v>
      </c>
      <c r="FI206" t="e">
        <f>'Actual Value'!A235+"AM:!)ap"</f>
        <v>#VALUE!</v>
      </c>
      <c r="FJ206" t="e">
        <f>'Actual Value'!B235+"AM:!)aq"</f>
        <v>#VALUE!</v>
      </c>
      <c r="FK206" t="e">
        <f>'Actual Value'!C235+"AM:!)ar"</f>
        <v>#VALUE!</v>
      </c>
      <c r="FL206" s="97" t="e">
        <f>'Actual Value'!D235+"AM:!)as"</f>
        <v>#VALUE!</v>
      </c>
      <c r="FM206" s="97" t="e">
        <f>'Actual Value'!E235+"AM:!)at"</f>
        <v>#VALUE!</v>
      </c>
      <c r="FN206" s="97" t="e">
        <f>'Actual Value'!F235+"AM:!)au"</f>
        <v>#VALUE!</v>
      </c>
      <c r="FO206" s="97" t="e">
        <f>'Actual Value'!G235+"AM:!)av"</f>
        <v>#VALUE!</v>
      </c>
      <c r="FP206" s="97" t="e">
        <f>'Actual Value'!H235+"AM:!)aw"</f>
        <v>#VALUE!</v>
      </c>
      <c r="FQ206" s="97" t="e">
        <f>'Actual Value'!I235+"AM:!)ax"</f>
        <v>#VALUE!</v>
      </c>
      <c r="FR206" s="97" t="e">
        <f>'Actual Value'!J235+"AM:!)ay"</f>
        <v>#VALUE!</v>
      </c>
      <c r="FS206" s="97" t="e">
        <f>'Actual Value'!K235+"AM:!)az"</f>
        <v>#VALUE!</v>
      </c>
      <c r="FT206" s="97" t="e">
        <f>'Actual Value'!L235+"AM:!)a{"</f>
        <v>#VALUE!</v>
      </c>
      <c r="FU206" s="97" t="e">
        <f>'Actual Value'!M235+"AM:!)a|"</f>
        <v>#VALUE!</v>
      </c>
      <c r="FV206" s="97" t="e">
        <f>'Actual Value'!N235+"AM:!)a}"</f>
        <v>#VALUE!</v>
      </c>
      <c r="FW206" s="97" t="e">
        <f>'Actual Value'!O235+"AM:!)a~"</f>
        <v>#VALUE!</v>
      </c>
      <c r="FX206" s="97" t="e">
        <f>'Actual Value'!P235+"AM:!)b#"</f>
        <v>#VALUE!</v>
      </c>
      <c r="FY206" s="97" t="e">
        <f>'Actual Value'!Q235+"AM:!)b$"</f>
        <v>#VALUE!</v>
      </c>
      <c r="FZ206" s="97" t="e">
        <f>'Actual Value'!R235+"AM:!)b%"</f>
        <v>#VALUE!</v>
      </c>
      <c r="GA206" s="97" t="e">
        <f>'Actual Value'!S235+"AM:!)b&amp;"</f>
        <v>#VALUE!</v>
      </c>
      <c r="GB206" s="97" t="e">
        <f>'Actual Value'!T235+"AM:!)b'"</f>
        <v>#VALUE!</v>
      </c>
      <c r="GC206" s="97" t="e">
        <f>'Actual Value'!U235+"AM:!)b("</f>
        <v>#VALUE!</v>
      </c>
      <c r="GD206" s="97" t="e">
        <f>'Actual Value'!V235+"AM:!)b)"</f>
        <v>#VALUE!</v>
      </c>
      <c r="GE206" s="97" t="e">
        <f>'Actual Value'!W235+"AM:!)b."</f>
        <v>#VALUE!</v>
      </c>
      <c r="GF206" s="97" t="e">
        <f>'Actual Value'!X235+"AM:!)b/"</f>
        <v>#VALUE!</v>
      </c>
      <c r="GG206" s="97" t="e">
        <f>'Actual Value'!Y235+"AM:!)b0"</f>
        <v>#VALUE!</v>
      </c>
      <c r="GH206" s="97" t="e">
        <f>'Actual Value'!Z235+"AM:!)b1"</f>
        <v>#VALUE!</v>
      </c>
      <c r="GI206" s="97" t="e">
        <f>'Actual Value'!AA235+"AM:!)b2"</f>
        <v>#VALUE!</v>
      </c>
      <c r="GJ206" s="97" t="e">
        <f>'Actual Value'!AB235+"AM:!)b3"</f>
        <v>#VALUE!</v>
      </c>
      <c r="GK206" s="97" t="e">
        <f>'Actual Value'!AC235+"AM:!)b4"</f>
        <v>#VALUE!</v>
      </c>
      <c r="GL206" s="97" t="e">
        <f>'Actual Value'!AD235+"AM:!)b5"</f>
        <v>#VALUE!</v>
      </c>
      <c r="GM206" s="97" t="e">
        <f>'Actual Value'!AE235+"AM:!)b6"</f>
        <v>#VALUE!</v>
      </c>
      <c r="GN206" s="97" t="e">
        <f>'Actual Value'!AF235+"AM:!)b7"</f>
        <v>#VALUE!</v>
      </c>
      <c r="GO206" s="97" t="e">
        <f>'Actual Value'!AG235+"AM:!)b8"</f>
        <v>#VALUE!</v>
      </c>
      <c r="GP206" s="97" t="e">
        <f>'Actual Value'!AH235+"AM:!)b9"</f>
        <v>#VALUE!</v>
      </c>
      <c r="GQ206" s="97" t="e">
        <f>'Actual Value'!AI235+"AM:!)b:"</f>
        <v>#VALUE!</v>
      </c>
      <c r="GR206" s="97" t="e">
        <f>'Actual Value'!AJ235+"AM:!)b;"</f>
        <v>#VALUE!</v>
      </c>
      <c r="GS206" s="97" t="e">
        <f>'Actual Value'!AK235+"AM:!)b&lt;"</f>
        <v>#VALUE!</v>
      </c>
      <c r="GT206" s="97" t="e">
        <f>'Actual Value'!AL235+"AM:!)b="</f>
        <v>#VALUE!</v>
      </c>
      <c r="GU206" s="97" t="e">
        <f>'Actual Value'!AM235+"AM:!)b&gt;"</f>
        <v>#VALUE!</v>
      </c>
      <c r="GV206" s="97" t="e">
        <f>'Actual Value'!AN235+"AM:!)b?"</f>
        <v>#VALUE!</v>
      </c>
      <c r="GW206" s="97" t="e">
        <f>'Actual Value'!AO235+"AM:!)b@"</f>
        <v>#VALUE!</v>
      </c>
      <c r="GX206" t="e">
        <f>'Actual Value'!AP235+"AM:!)bA"</f>
        <v>#VALUE!</v>
      </c>
      <c r="GY206" t="e">
        <f>'Actual Value'!AQ235+"AM:!)bB"</f>
        <v>#VALUE!</v>
      </c>
      <c r="GZ206" t="e">
        <f>'Actual Value'!AR235+"AM:!)bC"</f>
        <v>#VALUE!</v>
      </c>
      <c r="HA206" t="e">
        <f>'Actual Value'!AS235+"AM:!)bD"</f>
        <v>#VALUE!</v>
      </c>
      <c r="HB206" t="e">
        <f>'Actual Value'!AT235+"AM:!)bE"</f>
        <v>#VALUE!</v>
      </c>
      <c r="HC206" t="e">
        <f>'Actual Value'!AU235+"AM:!)bF"</f>
        <v>#VALUE!</v>
      </c>
      <c r="HD206" t="e">
        <f>'Actual Value'!AV235+"AM:!)bG"</f>
        <v>#VALUE!</v>
      </c>
      <c r="HE206" t="e">
        <f>'Actual Value'!AW235+"AM:!)bH"</f>
        <v>#VALUE!</v>
      </c>
      <c r="HF206" t="e">
        <f>'Actual Value'!AX235+"AM:!)bI"</f>
        <v>#VALUE!</v>
      </c>
      <c r="HG206" t="e">
        <f>'Actual Value'!A236+"AM:!)bJ"</f>
        <v>#VALUE!</v>
      </c>
      <c r="HH206" t="e">
        <f>'Actual Value'!B236+"AM:!)bK"</f>
        <v>#VALUE!</v>
      </c>
      <c r="HI206" t="e">
        <f>'Actual Value'!C236+"AM:!)bL"</f>
        <v>#VALUE!</v>
      </c>
      <c r="HJ206" t="e">
        <f>'Actual Value'!D236+"AM:!)bM"</f>
        <v>#VALUE!</v>
      </c>
      <c r="HK206" t="e">
        <f>'Actual Value'!E236+"AM:!)bN"</f>
        <v>#VALUE!</v>
      </c>
      <c r="HL206" t="e">
        <f>'Actual Value'!F236+"AM:!)bO"</f>
        <v>#VALUE!</v>
      </c>
      <c r="HM206" t="e">
        <f>'Actual Value'!G236+"AM:!)bP"</f>
        <v>#VALUE!</v>
      </c>
      <c r="HN206" t="e">
        <f>'Actual Value'!H236+"AM:!)bQ"</f>
        <v>#VALUE!</v>
      </c>
      <c r="HO206" t="e">
        <f>'Actual Value'!I236+"AM:!)bR"</f>
        <v>#VALUE!</v>
      </c>
      <c r="HP206" t="e">
        <f>'Actual Value'!J236+"AM:!)bS"</f>
        <v>#VALUE!</v>
      </c>
      <c r="HQ206" t="e">
        <f>'Actual Value'!K236+"AM:!)bT"</f>
        <v>#VALUE!</v>
      </c>
      <c r="HR206" t="e">
        <f>'Actual Value'!L236+"AM:!)bU"</f>
        <v>#VALUE!</v>
      </c>
      <c r="HS206" t="e">
        <f>'Actual Value'!M236+"AM:!)bV"</f>
        <v>#VALUE!</v>
      </c>
      <c r="HT206" t="e">
        <f>'Actual Value'!N236+"AM:!)bW"</f>
        <v>#VALUE!</v>
      </c>
      <c r="HU206" t="e">
        <f>'Actual Value'!O236+"AM:!)bX"</f>
        <v>#VALUE!</v>
      </c>
      <c r="HV206" t="e">
        <f>'Actual Value'!P236+"AM:!)bY"</f>
        <v>#VALUE!</v>
      </c>
      <c r="HW206" t="e">
        <f>'Actual Value'!Q236+"AM:!)bZ"</f>
        <v>#VALUE!</v>
      </c>
      <c r="HX206" t="e">
        <f>'Actual Value'!R236+"AM:!)b["</f>
        <v>#VALUE!</v>
      </c>
      <c r="HY206" t="e">
        <f>'Actual Value'!S236+"AM:!)b\"</f>
        <v>#VALUE!</v>
      </c>
      <c r="HZ206" t="e">
        <f>'Actual Value'!T236+"AM:!)b]"</f>
        <v>#VALUE!</v>
      </c>
      <c r="IA206" t="e">
        <f>'Actual Value'!U236+"AM:!)b^"</f>
        <v>#VALUE!</v>
      </c>
      <c r="IB206" t="e">
        <f>'Actual Value'!V236+"AM:!)b_"</f>
        <v>#VALUE!</v>
      </c>
      <c r="IC206" t="e">
        <f>'Actual Value'!W236+"AM:!)b`"</f>
        <v>#VALUE!</v>
      </c>
      <c r="ID206" t="e">
        <f>'Actual Value'!X236+"AM:!)ba"</f>
        <v>#VALUE!</v>
      </c>
      <c r="IE206" t="e">
        <f>'Actual Value'!Y236+"AM:!)bb"</f>
        <v>#VALUE!</v>
      </c>
      <c r="IF206" t="e">
        <f>'Actual Value'!Z236+"AM:!)bc"</f>
        <v>#VALUE!</v>
      </c>
      <c r="IG206" t="e">
        <f>'Actual Value'!AA236+"AM:!)bd"</f>
        <v>#VALUE!</v>
      </c>
      <c r="IH206" t="e">
        <f>'Actual Value'!AB236+"AM:!)be"</f>
        <v>#VALUE!</v>
      </c>
      <c r="II206" t="e">
        <f>'Actual Value'!AC236+"AM:!)bf"</f>
        <v>#VALUE!</v>
      </c>
      <c r="IJ206" t="e">
        <f>'Actual Value'!AD236+"AM:!)bg"</f>
        <v>#VALUE!</v>
      </c>
      <c r="IK206" t="e">
        <f>'Actual Value'!AE236+"AM:!)bh"</f>
        <v>#VALUE!</v>
      </c>
      <c r="IL206" t="e">
        <f>'Actual Value'!AF236+"AM:!)bi"</f>
        <v>#VALUE!</v>
      </c>
      <c r="IM206" t="e">
        <f>'Actual Value'!AG236+"AM:!)bj"</f>
        <v>#VALUE!</v>
      </c>
      <c r="IN206" t="e">
        <f>'Actual Value'!AH236+"AM:!)bk"</f>
        <v>#VALUE!</v>
      </c>
      <c r="IO206" t="e">
        <f>'Actual Value'!AI236+"AM:!)bl"</f>
        <v>#VALUE!</v>
      </c>
      <c r="IP206" t="e">
        <f>'Actual Value'!AJ236+"AM:!)bm"</f>
        <v>#VALUE!</v>
      </c>
      <c r="IQ206" t="e">
        <f>'Actual Value'!AK236+"AM:!)bn"</f>
        <v>#VALUE!</v>
      </c>
      <c r="IR206" t="e">
        <f>'Actual Value'!AL236+"AM:!)bo"</f>
        <v>#VALUE!</v>
      </c>
      <c r="IS206" t="e">
        <f>'Actual Value'!AM236+"AM:!)bp"</f>
        <v>#VALUE!</v>
      </c>
      <c r="IT206" t="e">
        <f>'Actual Value'!AN236+"AM:!)bq"</f>
        <v>#VALUE!</v>
      </c>
      <c r="IU206" t="e">
        <f>'Actual Value'!AO236+"AM:!)br"</f>
        <v>#VALUE!</v>
      </c>
      <c r="IV206" t="e">
        <f>'Actual Value'!AP236+"AM:!)bs"</f>
        <v>#VALUE!</v>
      </c>
    </row>
    <row r="207" spans="6:256">
      <c r="F207" t="e">
        <f>'Actual Value'!AQ236+"AM:!)bt"</f>
        <v>#VALUE!</v>
      </c>
      <c r="G207" t="e">
        <f>'Actual Value'!AR236+"AM:!)bu"</f>
        <v>#VALUE!</v>
      </c>
      <c r="H207" t="e">
        <f>'Actual Value'!AS236+"AM:!)bv"</f>
        <v>#VALUE!</v>
      </c>
      <c r="I207" t="e">
        <f>'Actual Value'!AT236+"AM:!)bw"</f>
        <v>#VALUE!</v>
      </c>
      <c r="J207" t="e">
        <f>'Actual Value'!AU236+"AM:!)bx"</f>
        <v>#VALUE!</v>
      </c>
      <c r="K207" t="e">
        <f>'Actual Value'!AV236+"AM:!)by"</f>
        <v>#VALUE!</v>
      </c>
      <c r="L207" t="e">
        <f>'Actual Value'!AW236+"AM:!)bz"</f>
        <v>#VALUE!</v>
      </c>
      <c r="M207" t="e">
        <f>'Actual Value'!A237+"AM:!)b{"</f>
        <v>#VALUE!</v>
      </c>
      <c r="N207" t="e">
        <f>'Actual Value'!B237+"AM:!)b|"</f>
        <v>#VALUE!</v>
      </c>
      <c r="O207" t="e">
        <f>'Actual Value'!C237+"AM:!)b}"</f>
        <v>#VALUE!</v>
      </c>
      <c r="P207" s="105" t="e">
        <f>'Actual Value'!D237+"AM:!)b~"</f>
        <v>#VALUE!</v>
      </c>
      <c r="Q207" s="105" t="e">
        <f>'Actual Value'!E237+"AM:!)c#"</f>
        <v>#VALUE!</v>
      </c>
      <c r="R207" s="105" t="e">
        <f>'Actual Value'!F237+"AM:!)c$"</f>
        <v>#VALUE!</v>
      </c>
      <c r="S207" s="105" t="e">
        <f>'Actual Value'!G237+"AM:!)c%"</f>
        <v>#VALUE!</v>
      </c>
      <c r="T207" s="105" t="e">
        <f>'Actual Value'!H237+"AM:!)c&amp;"</f>
        <v>#VALUE!</v>
      </c>
      <c r="U207" s="105" t="e">
        <f>'Actual Value'!I237+"AM:!)c'"</f>
        <v>#VALUE!</v>
      </c>
      <c r="V207" s="105" t="e">
        <f>'Actual Value'!J237+"AM:!)c("</f>
        <v>#VALUE!</v>
      </c>
      <c r="W207" s="105" t="e">
        <f>'Actual Value'!K237+"AM:!)c)"</f>
        <v>#VALUE!</v>
      </c>
      <c r="X207" s="105" t="e">
        <f>'Actual Value'!L237+"AM:!)c."</f>
        <v>#VALUE!</v>
      </c>
      <c r="Y207" s="105" t="e">
        <f>'Actual Value'!M237+"AM:!)c/"</f>
        <v>#VALUE!</v>
      </c>
      <c r="Z207" s="105" t="e">
        <f>'Actual Value'!N237+"AM:!)c0"</f>
        <v>#VALUE!</v>
      </c>
      <c r="AA207" s="105" t="e">
        <f>'Actual Value'!O237+"AM:!)c1"</f>
        <v>#VALUE!</v>
      </c>
      <c r="AB207" s="105" t="e">
        <f>'Actual Value'!P237+"AM:!)c2"</f>
        <v>#VALUE!</v>
      </c>
      <c r="AC207" s="105" t="e">
        <f>'Actual Value'!Q237+"AM:!)c3"</f>
        <v>#VALUE!</v>
      </c>
      <c r="AD207" s="105" t="e">
        <f>'Actual Value'!R237+"AM:!)c4"</f>
        <v>#VALUE!</v>
      </c>
      <c r="AE207" s="105" t="e">
        <f>'Actual Value'!S237+"AM:!)c5"</f>
        <v>#VALUE!</v>
      </c>
      <c r="AF207" s="105" t="e">
        <f>'Actual Value'!T237+"AM:!)c6"</f>
        <v>#VALUE!</v>
      </c>
      <c r="AG207" s="105" t="e">
        <f>'Actual Value'!U237+"AM:!)c7"</f>
        <v>#VALUE!</v>
      </c>
      <c r="AH207" s="105" t="e">
        <f>'Actual Value'!V237+"AM:!)c8"</f>
        <v>#VALUE!</v>
      </c>
      <c r="AI207" s="105" t="e">
        <f>'Actual Value'!W237+"AM:!)c9"</f>
        <v>#VALUE!</v>
      </c>
      <c r="AJ207" s="105" t="e">
        <f>'Actual Value'!X237+"AM:!)c:"</f>
        <v>#VALUE!</v>
      </c>
      <c r="AK207" s="105" t="e">
        <f>'Actual Value'!Y237+"AM:!)c;"</f>
        <v>#VALUE!</v>
      </c>
      <c r="AL207" s="105" t="e">
        <f>'Actual Value'!Z237+"AM:!)c&lt;"</f>
        <v>#VALUE!</v>
      </c>
      <c r="AM207" s="105" t="e">
        <f>'Actual Value'!AA237+"AM:!)c="</f>
        <v>#VALUE!</v>
      </c>
      <c r="AN207" s="105" t="e">
        <f>'Actual Value'!AB237+"AM:!)c&gt;"</f>
        <v>#VALUE!</v>
      </c>
      <c r="AO207" s="105" t="e">
        <f>'Actual Value'!AC237+"AM:!)c?"</f>
        <v>#VALUE!</v>
      </c>
      <c r="AP207" s="105" t="e">
        <f>'Actual Value'!AD237+"AM:!)c@"</f>
        <v>#VALUE!</v>
      </c>
      <c r="AQ207" s="105" t="e">
        <f>'Actual Value'!AE237+"AM:!)cA"</f>
        <v>#VALUE!</v>
      </c>
      <c r="AR207" s="105" t="e">
        <f>'Actual Value'!AF237+"AM:!)cB"</f>
        <v>#VALUE!</v>
      </c>
      <c r="AS207" s="105" t="e">
        <f>'Actual Value'!AG237+"AM:!)cC"</f>
        <v>#VALUE!</v>
      </c>
      <c r="AT207" s="105" t="e">
        <f>'Actual Value'!AH237+"AM:!)cD"</f>
        <v>#VALUE!</v>
      </c>
      <c r="AU207" s="105" t="e">
        <f>'Actual Value'!AI237+"AM:!)cE"</f>
        <v>#VALUE!</v>
      </c>
      <c r="AV207" s="105" t="e">
        <f>'Actual Value'!AJ237+"AM:!)cF"</f>
        <v>#VALUE!</v>
      </c>
      <c r="AW207" s="105" t="e">
        <f>'Actual Value'!AK237+"AM:!)cG"</f>
        <v>#VALUE!</v>
      </c>
      <c r="AX207" s="105" t="e">
        <f>'Actual Value'!AL237+"AM:!)cH"</f>
        <v>#VALUE!</v>
      </c>
      <c r="AY207" s="105" t="e">
        <f>'Actual Value'!AM237+"AM:!)cI"</f>
        <v>#VALUE!</v>
      </c>
      <c r="AZ207" s="105" t="e">
        <f>'Actual Value'!AN237+"AM:!)cJ"</f>
        <v>#VALUE!</v>
      </c>
      <c r="BA207" s="105" t="e">
        <f>'Actual Value'!AO237+"AM:!)cK"</f>
        <v>#VALUE!</v>
      </c>
      <c r="BB207" t="e">
        <f>'Actual Value'!AP237+"AM:!)cL"</f>
        <v>#VALUE!</v>
      </c>
      <c r="BC207" s="100" t="e">
        <f>'Actual Value'!AQ237+"AM:!)cM"</f>
        <v>#VALUE!</v>
      </c>
      <c r="BD207" s="100" t="e">
        <f>'Actual Value'!AR237+"AM:!)cN"</f>
        <v>#VALUE!</v>
      </c>
      <c r="BE207" s="100" t="e">
        <f>'Actual Value'!AS237+"AM:!)cO"</f>
        <v>#VALUE!</v>
      </c>
      <c r="BF207" s="100" t="e">
        <f>'Actual Value'!AT237+"AM:!)cP"</f>
        <v>#VALUE!</v>
      </c>
      <c r="BG207" s="100" t="e">
        <f>'Actual Value'!AU237+"AM:!)cQ"</f>
        <v>#VALUE!</v>
      </c>
      <c r="BH207" t="e">
        <f>'Actual Value'!AV237+"AM:!)cR"</f>
        <v>#VALUE!</v>
      </c>
      <c r="BI207" t="e">
        <f>'Actual Value'!AW237+"AM:!)cS"</f>
        <v>#VALUE!</v>
      </c>
      <c r="BJ207" t="e">
        <f>'Actual Value'!A238+"AM:!)cT"</f>
        <v>#VALUE!</v>
      </c>
      <c r="BK207" t="e">
        <f>'Actual Value'!B238+"AM:!)cU"</f>
        <v>#VALUE!</v>
      </c>
      <c r="BL207" t="e">
        <f>'Actual Value'!C238+"AM:!)cV"</f>
        <v>#VALUE!</v>
      </c>
      <c r="BM207" s="97" t="e">
        <f>'Actual Value'!D238+"AM:!)cW"</f>
        <v>#VALUE!</v>
      </c>
      <c r="BN207" s="97" t="e">
        <f>'Actual Value'!E238+"AM:!)cX"</f>
        <v>#VALUE!</v>
      </c>
      <c r="BO207" s="97" t="e">
        <f>'Actual Value'!F238+"AM:!)cY"</f>
        <v>#VALUE!</v>
      </c>
      <c r="BP207" s="97" t="e">
        <f>'Actual Value'!G238+"AM:!)cZ"</f>
        <v>#VALUE!</v>
      </c>
      <c r="BQ207" s="97" t="e">
        <f>'Actual Value'!H238+"AM:!)c["</f>
        <v>#VALUE!</v>
      </c>
      <c r="BR207" s="97" t="e">
        <f>'Actual Value'!I238+"AM:!)c\"</f>
        <v>#VALUE!</v>
      </c>
      <c r="BS207" s="97" t="e">
        <f>'Actual Value'!J238+"AM:!)c]"</f>
        <v>#VALUE!</v>
      </c>
      <c r="BT207" s="97" t="e">
        <f>'Actual Value'!K238+"AM:!)c^"</f>
        <v>#VALUE!</v>
      </c>
      <c r="BU207" s="97" t="e">
        <f>'Actual Value'!L238+"AM:!)c_"</f>
        <v>#VALUE!</v>
      </c>
      <c r="BV207" s="97" t="e">
        <f>'Actual Value'!M238+"AM:!)c`"</f>
        <v>#VALUE!</v>
      </c>
      <c r="BW207" s="97" t="e">
        <f>'Actual Value'!N238+"AM:!)ca"</f>
        <v>#VALUE!</v>
      </c>
      <c r="BX207" s="97" t="e">
        <f>'Actual Value'!O238+"AM:!)cb"</f>
        <v>#VALUE!</v>
      </c>
      <c r="BY207" s="97" t="e">
        <f>'Actual Value'!P238+"AM:!)cc"</f>
        <v>#VALUE!</v>
      </c>
      <c r="BZ207" s="97" t="e">
        <f>'Actual Value'!Q238+"AM:!)cd"</f>
        <v>#VALUE!</v>
      </c>
      <c r="CA207" s="97" t="e">
        <f>'Actual Value'!R238+"AM:!)ce"</f>
        <v>#VALUE!</v>
      </c>
      <c r="CB207" s="97" t="e">
        <f>'Actual Value'!S238+"AM:!)cf"</f>
        <v>#VALUE!</v>
      </c>
      <c r="CC207" s="97" t="e">
        <f>'Actual Value'!T238+"AM:!)cg"</f>
        <v>#VALUE!</v>
      </c>
      <c r="CD207" s="97" t="e">
        <f>'Actual Value'!U238+"AM:!)ch"</f>
        <v>#VALUE!</v>
      </c>
      <c r="CE207" s="97" t="e">
        <f>'Actual Value'!V238+"AM:!)ci"</f>
        <v>#VALUE!</v>
      </c>
      <c r="CF207" s="97" t="e">
        <f>'Actual Value'!W238+"AM:!)cj"</f>
        <v>#VALUE!</v>
      </c>
      <c r="CG207" s="97" t="e">
        <f>'Actual Value'!X238+"AM:!)ck"</f>
        <v>#VALUE!</v>
      </c>
      <c r="CH207" s="97" t="e">
        <f>'Actual Value'!Y238+"AM:!)cl"</f>
        <v>#VALUE!</v>
      </c>
      <c r="CI207" s="97" t="e">
        <f>'Actual Value'!Z238+"AM:!)cm"</f>
        <v>#VALUE!</v>
      </c>
      <c r="CJ207" s="97" t="e">
        <f>'Actual Value'!AA238+"AM:!)cn"</f>
        <v>#VALUE!</v>
      </c>
      <c r="CK207" s="97" t="e">
        <f>'Actual Value'!AB238+"AM:!)co"</f>
        <v>#VALUE!</v>
      </c>
      <c r="CL207" s="97" t="e">
        <f>'Actual Value'!AC238+"AM:!)cp"</f>
        <v>#VALUE!</v>
      </c>
      <c r="CM207" s="97" t="e">
        <f>'Actual Value'!AD238+"AM:!)cq"</f>
        <v>#VALUE!</v>
      </c>
      <c r="CN207" s="97" t="e">
        <f>'Actual Value'!AE238+"AM:!)cr"</f>
        <v>#VALUE!</v>
      </c>
      <c r="CO207" s="97" t="e">
        <f>'Actual Value'!AF238+"AM:!)cs"</f>
        <v>#VALUE!</v>
      </c>
      <c r="CP207" s="97" t="e">
        <f>'Actual Value'!AG238+"AM:!)ct"</f>
        <v>#VALUE!</v>
      </c>
      <c r="CQ207" s="97" t="e">
        <f>'Actual Value'!AH238+"AM:!)cu"</f>
        <v>#VALUE!</v>
      </c>
      <c r="CR207" s="97" t="e">
        <f>'Actual Value'!AI238+"AM:!)cv"</f>
        <v>#VALUE!</v>
      </c>
      <c r="CS207" s="97" t="e">
        <f>'Actual Value'!AJ238+"AM:!)cw"</f>
        <v>#VALUE!</v>
      </c>
      <c r="CT207" s="97" t="e">
        <f>'Actual Value'!AK238+"AM:!)cx"</f>
        <v>#VALUE!</v>
      </c>
      <c r="CU207" s="97" t="e">
        <f>'Actual Value'!AL238+"AM:!)cy"</f>
        <v>#VALUE!</v>
      </c>
      <c r="CV207" s="97" t="e">
        <f>'Actual Value'!AM238+"AM:!)cz"</f>
        <v>#VALUE!</v>
      </c>
      <c r="CW207" s="97" t="e">
        <f>'Actual Value'!AN238+"AM:!)c{"</f>
        <v>#VALUE!</v>
      </c>
      <c r="CX207" s="97" t="e">
        <f>'Actual Value'!AO238+"AM:!)c|"</f>
        <v>#VALUE!</v>
      </c>
      <c r="CY207" t="e">
        <f>'Actual Value'!AP238+"AM:!)c}"</f>
        <v>#VALUE!</v>
      </c>
      <c r="CZ207" t="e">
        <f>'Actual Value'!AQ238+"AM:!)c~"</f>
        <v>#VALUE!</v>
      </c>
      <c r="DA207" t="e">
        <f>'Actual Value'!AR238+"AM:!)d#"</f>
        <v>#VALUE!</v>
      </c>
      <c r="DB207" s="97" t="e">
        <f>'Actual Value'!AS238+"AM:!)d$"</f>
        <v>#VALUE!</v>
      </c>
      <c r="DC207" t="e">
        <f>'Actual Value'!AT238+"AM:!)d%"</f>
        <v>#VALUE!</v>
      </c>
      <c r="DD207" t="e">
        <f>'Actual Value'!AU238+"AM:!)d&amp;"</f>
        <v>#VALUE!</v>
      </c>
      <c r="DE207" t="e">
        <f>'Actual Value'!AV238+"AM:!)d'"</f>
        <v>#VALUE!</v>
      </c>
      <c r="DF207" t="e">
        <f>'Actual Value'!AW238+"AM:!)d("</f>
        <v>#VALUE!</v>
      </c>
      <c r="DG207" t="e">
        <f>'Actual Value'!A239+"AM:!)d)"</f>
        <v>#VALUE!</v>
      </c>
      <c r="DH207" t="e">
        <f>'Actual Value'!B239+"AM:!)d."</f>
        <v>#VALUE!</v>
      </c>
      <c r="DI207" t="e">
        <f>'Actual Value'!C239+"AM:!)d/"</f>
        <v>#VALUE!</v>
      </c>
      <c r="DJ207" s="97" t="e">
        <f>'Actual Value'!D239+"AM:!)d0"</f>
        <v>#VALUE!</v>
      </c>
      <c r="DK207" s="97" t="e">
        <f>'Actual Value'!E239+"AM:!)d1"</f>
        <v>#VALUE!</v>
      </c>
      <c r="DL207" s="97" t="e">
        <f>'Actual Value'!F239+"AM:!)d2"</f>
        <v>#VALUE!</v>
      </c>
      <c r="DM207" s="97" t="e">
        <f>'Actual Value'!G239+"AM:!)d3"</f>
        <v>#VALUE!</v>
      </c>
      <c r="DN207" s="97" t="e">
        <f>'Actual Value'!H239+"AM:!)d4"</f>
        <v>#VALUE!</v>
      </c>
      <c r="DO207" s="97" t="e">
        <f>'Actual Value'!I239+"AM:!)d5"</f>
        <v>#VALUE!</v>
      </c>
      <c r="DP207" s="97" t="e">
        <f>'Actual Value'!J239+"AM:!)d6"</f>
        <v>#VALUE!</v>
      </c>
      <c r="DQ207" s="97" t="e">
        <f>'Actual Value'!K239+"AM:!)d7"</f>
        <v>#VALUE!</v>
      </c>
      <c r="DR207" s="97" t="e">
        <f>'Actual Value'!L239+"AM:!)d8"</f>
        <v>#VALUE!</v>
      </c>
      <c r="DS207" s="97" t="e">
        <f>'Actual Value'!M239+"AM:!)d9"</f>
        <v>#VALUE!</v>
      </c>
      <c r="DT207" s="97" t="e">
        <f>'Actual Value'!N239+"AM:!)d:"</f>
        <v>#VALUE!</v>
      </c>
      <c r="DU207" s="97" t="e">
        <f>'Actual Value'!O239+"AM:!)d;"</f>
        <v>#VALUE!</v>
      </c>
      <c r="DV207" s="97" t="e">
        <f>'Actual Value'!P239+"AM:!)d&lt;"</f>
        <v>#VALUE!</v>
      </c>
      <c r="DW207" s="97" t="e">
        <f>'Actual Value'!Q239+"AM:!)d="</f>
        <v>#VALUE!</v>
      </c>
      <c r="DX207" s="97" t="e">
        <f>'Actual Value'!R239+"AM:!)d&gt;"</f>
        <v>#VALUE!</v>
      </c>
      <c r="DY207" s="97" t="e">
        <f>'Actual Value'!S239+"AM:!)d?"</f>
        <v>#VALUE!</v>
      </c>
      <c r="DZ207" s="97" t="e">
        <f>'Actual Value'!T239+"AM:!)d@"</f>
        <v>#VALUE!</v>
      </c>
      <c r="EA207" s="97" t="e">
        <f>'Actual Value'!U239+"AM:!)dA"</f>
        <v>#VALUE!</v>
      </c>
      <c r="EB207" s="97" t="e">
        <f>'Actual Value'!V239+"AM:!)dB"</f>
        <v>#VALUE!</v>
      </c>
      <c r="EC207" s="97" t="e">
        <f>'Actual Value'!W239+"AM:!)dC"</f>
        <v>#VALUE!</v>
      </c>
      <c r="ED207" s="97" t="e">
        <f>'Actual Value'!X239+"AM:!)dD"</f>
        <v>#VALUE!</v>
      </c>
      <c r="EE207" s="97" t="e">
        <f>'Actual Value'!Y239+"AM:!)dE"</f>
        <v>#VALUE!</v>
      </c>
      <c r="EF207" s="97" t="e">
        <f>'Actual Value'!Z239+"AM:!)dF"</f>
        <v>#VALUE!</v>
      </c>
      <c r="EG207" s="97" t="e">
        <f>'Actual Value'!AA239+"AM:!)dG"</f>
        <v>#VALUE!</v>
      </c>
      <c r="EH207" s="97" t="e">
        <f>'Actual Value'!AB239+"AM:!)dH"</f>
        <v>#VALUE!</v>
      </c>
      <c r="EI207" s="97" t="e">
        <f>'Actual Value'!AC239+"AM:!)dI"</f>
        <v>#VALUE!</v>
      </c>
      <c r="EJ207" s="97" t="e">
        <f>'Actual Value'!AD239+"AM:!)dJ"</f>
        <v>#VALUE!</v>
      </c>
      <c r="EK207" s="97" t="e">
        <f>'Actual Value'!AE239+"AM:!)dK"</f>
        <v>#VALUE!</v>
      </c>
      <c r="EL207" s="97" t="e">
        <f>'Actual Value'!AF239+"AM:!)dL"</f>
        <v>#VALUE!</v>
      </c>
      <c r="EM207" s="97" t="e">
        <f>'Actual Value'!AG239+"AM:!)dM"</f>
        <v>#VALUE!</v>
      </c>
      <c r="EN207" s="97" t="e">
        <f>'Actual Value'!AH239+"AM:!)dN"</f>
        <v>#VALUE!</v>
      </c>
      <c r="EO207" s="97" t="e">
        <f>'Actual Value'!AI239+"AM:!)dO"</f>
        <v>#VALUE!</v>
      </c>
      <c r="EP207" s="97" t="e">
        <f>'Actual Value'!AJ239+"AM:!)dP"</f>
        <v>#VALUE!</v>
      </c>
      <c r="EQ207" s="97" t="e">
        <f>'Actual Value'!AK239+"AM:!)dQ"</f>
        <v>#VALUE!</v>
      </c>
      <c r="ER207" s="97" t="e">
        <f>'Actual Value'!AL239+"AM:!)dR"</f>
        <v>#VALUE!</v>
      </c>
      <c r="ES207" s="97" t="e">
        <f>'Actual Value'!AM239+"AM:!)dS"</f>
        <v>#VALUE!</v>
      </c>
      <c r="ET207" s="97" t="e">
        <f>'Actual Value'!AN239+"AM:!)dT"</f>
        <v>#VALUE!</v>
      </c>
      <c r="EU207" s="97" t="e">
        <f>'Actual Value'!AO239+"AM:!)dU"</f>
        <v>#VALUE!</v>
      </c>
      <c r="EV207" t="e">
        <f>'Actual Value'!AP239+"AM:!)dV"</f>
        <v>#VALUE!</v>
      </c>
      <c r="EW207" t="e">
        <f>'Actual Value'!AQ239+"AM:!)dW"</f>
        <v>#VALUE!</v>
      </c>
      <c r="EX207" t="e">
        <f>'Actual Value'!AR239+"AM:!)dX"</f>
        <v>#VALUE!</v>
      </c>
      <c r="EY207" s="97" t="e">
        <f>'Actual Value'!AS239+"AM:!)dY"</f>
        <v>#VALUE!</v>
      </c>
      <c r="EZ207" t="e">
        <f>'Actual Value'!AT239+"AM:!)dZ"</f>
        <v>#VALUE!</v>
      </c>
      <c r="FA207" t="e">
        <f>'Actual Value'!AU239+"AM:!)d["</f>
        <v>#VALUE!</v>
      </c>
      <c r="FB207" t="e">
        <f>'Actual Value'!AV239+"AM:!)d\"</f>
        <v>#VALUE!</v>
      </c>
      <c r="FC207" t="e">
        <f>'Actual Value'!AW239+"AM:!)d]"</f>
        <v>#VALUE!</v>
      </c>
      <c r="FD207" t="e">
        <f>'Actual Value'!A240+"AM:!)d^"</f>
        <v>#VALUE!</v>
      </c>
      <c r="FE207" t="e">
        <f>'Actual Value'!B240+"AM:!)d_"</f>
        <v>#VALUE!</v>
      </c>
      <c r="FF207" t="e">
        <f>'Actual Value'!C240+"AM:!)d`"</f>
        <v>#VALUE!</v>
      </c>
      <c r="FG207" s="97" t="e">
        <f>'Actual Value'!D240+"AM:!)da"</f>
        <v>#VALUE!</v>
      </c>
      <c r="FH207" s="97" t="e">
        <f>'Actual Value'!E240+"AM:!)db"</f>
        <v>#VALUE!</v>
      </c>
      <c r="FI207" s="97" t="e">
        <f>'Actual Value'!F240+"AM:!)dc"</f>
        <v>#VALUE!</v>
      </c>
      <c r="FJ207" s="97" t="e">
        <f>'Actual Value'!G240+"AM:!)dd"</f>
        <v>#VALUE!</v>
      </c>
      <c r="FK207" s="97" t="e">
        <f>'Actual Value'!H240+"AM:!)de"</f>
        <v>#VALUE!</v>
      </c>
      <c r="FL207" s="97" t="e">
        <f>'Actual Value'!I240+"AM:!)df"</f>
        <v>#VALUE!</v>
      </c>
      <c r="FM207" s="97" t="e">
        <f>'Actual Value'!J240+"AM:!)dg"</f>
        <v>#VALUE!</v>
      </c>
      <c r="FN207" s="97" t="e">
        <f>'Actual Value'!K240+"AM:!)dh"</f>
        <v>#VALUE!</v>
      </c>
      <c r="FO207" s="97" t="e">
        <f>'Actual Value'!L240+"AM:!)di"</f>
        <v>#VALUE!</v>
      </c>
      <c r="FP207" s="97" t="e">
        <f>'Actual Value'!M240+"AM:!)dj"</f>
        <v>#VALUE!</v>
      </c>
      <c r="FQ207" s="97" t="e">
        <f>'Actual Value'!N240+"AM:!)dk"</f>
        <v>#VALUE!</v>
      </c>
      <c r="FR207" s="97" t="e">
        <f>'Actual Value'!O240+"AM:!)dl"</f>
        <v>#VALUE!</v>
      </c>
      <c r="FS207" s="97" t="e">
        <f>'Actual Value'!P240+"AM:!)dm"</f>
        <v>#VALUE!</v>
      </c>
      <c r="FT207" s="97" t="e">
        <f>'Actual Value'!Q240+"AM:!)dn"</f>
        <v>#VALUE!</v>
      </c>
      <c r="FU207" s="97" t="e">
        <f>'Actual Value'!R240+"AM:!)do"</f>
        <v>#VALUE!</v>
      </c>
      <c r="FV207" s="97" t="e">
        <f>'Actual Value'!S240+"AM:!)dp"</f>
        <v>#VALUE!</v>
      </c>
      <c r="FW207" s="97" t="e">
        <f>'Actual Value'!T240+"AM:!)dq"</f>
        <v>#VALUE!</v>
      </c>
      <c r="FX207" s="97" t="e">
        <f>'Actual Value'!U240+"AM:!)dr"</f>
        <v>#VALUE!</v>
      </c>
      <c r="FY207" s="97" t="e">
        <f>'Actual Value'!V240+"AM:!)ds"</f>
        <v>#VALUE!</v>
      </c>
      <c r="FZ207" s="97" t="e">
        <f>'Actual Value'!W240+"AM:!)dt"</f>
        <v>#VALUE!</v>
      </c>
      <c r="GA207" s="97" t="e">
        <f>'Actual Value'!X240+"AM:!)du"</f>
        <v>#VALUE!</v>
      </c>
      <c r="GB207" s="97" t="e">
        <f>'Actual Value'!Y240+"AM:!)dv"</f>
        <v>#VALUE!</v>
      </c>
      <c r="GC207" s="97" t="e">
        <f>'Actual Value'!Z240+"AM:!)dw"</f>
        <v>#VALUE!</v>
      </c>
      <c r="GD207" s="97" t="e">
        <f>'Actual Value'!AA240+"AM:!)dx"</f>
        <v>#VALUE!</v>
      </c>
      <c r="GE207" s="97" t="e">
        <f>'Actual Value'!AB240+"AM:!)dy"</f>
        <v>#VALUE!</v>
      </c>
      <c r="GF207" s="97" t="e">
        <f>'Actual Value'!AC240+"AM:!)dz"</f>
        <v>#VALUE!</v>
      </c>
      <c r="GG207" s="97" t="e">
        <f>'Actual Value'!AD240+"AM:!)d{"</f>
        <v>#VALUE!</v>
      </c>
      <c r="GH207" s="97" t="e">
        <f>'Actual Value'!AE240+"AM:!)d|"</f>
        <v>#VALUE!</v>
      </c>
      <c r="GI207" s="97" t="e">
        <f>'Actual Value'!AF240+"AM:!)d}"</f>
        <v>#VALUE!</v>
      </c>
      <c r="GJ207" s="97" t="e">
        <f>'Actual Value'!AG240+"AM:!)d~"</f>
        <v>#VALUE!</v>
      </c>
      <c r="GK207" s="97" t="e">
        <f>'Actual Value'!AH240+"AM:!)e#"</f>
        <v>#VALUE!</v>
      </c>
      <c r="GL207" s="97" t="e">
        <f>'Actual Value'!AI240+"AM:!)e$"</f>
        <v>#VALUE!</v>
      </c>
      <c r="GM207" s="97" t="e">
        <f>'Actual Value'!AJ240+"AM:!)e%"</f>
        <v>#VALUE!</v>
      </c>
      <c r="GN207" s="97" t="e">
        <f>'Actual Value'!AK240+"AM:!)e&amp;"</f>
        <v>#VALUE!</v>
      </c>
      <c r="GO207" s="97" t="e">
        <f>'Actual Value'!AL240+"AM:!)e'"</f>
        <v>#VALUE!</v>
      </c>
      <c r="GP207" s="97" t="e">
        <f>'Actual Value'!AM240+"AM:!)e("</f>
        <v>#VALUE!</v>
      </c>
      <c r="GQ207" s="97" t="e">
        <f>'Actual Value'!AN240+"AM:!)e)"</f>
        <v>#VALUE!</v>
      </c>
      <c r="GR207" s="97" t="e">
        <f>'Actual Value'!AO240+"AM:!)e."</f>
        <v>#VALUE!</v>
      </c>
      <c r="GS207" t="e">
        <f>'Actual Value'!AP240+"AM:!)e/"</f>
        <v>#VALUE!</v>
      </c>
      <c r="GT207" t="e">
        <f>'Actual Value'!AQ240+"AM:!)e0"</f>
        <v>#VALUE!</v>
      </c>
      <c r="GU207" t="e">
        <f>'Actual Value'!AR240+"AM:!)e1"</f>
        <v>#VALUE!</v>
      </c>
      <c r="GV207" t="e">
        <f>'Actual Value'!AS240+"AM:!)e2"</f>
        <v>#VALUE!</v>
      </c>
      <c r="GW207" t="e">
        <f>'Actual Value'!AT240+"AM:!)e3"</f>
        <v>#VALUE!</v>
      </c>
      <c r="GX207" t="e">
        <f>'Actual Value'!AU240+"AM:!)e4"</f>
        <v>#VALUE!</v>
      </c>
      <c r="GY207" t="e">
        <f>'Actual Value'!AV240+"AM:!)e5"</f>
        <v>#VALUE!</v>
      </c>
      <c r="GZ207" t="e">
        <f>'Actual Value'!AW240+"AM:!)e6"</f>
        <v>#VALUE!</v>
      </c>
      <c r="HA207" t="e">
        <f>'Actual Value'!A241+"AM:!)e7"</f>
        <v>#VALUE!</v>
      </c>
      <c r="HB207" t="e">
        <f>'Actual Value'!B241+"AM:!)e8"</f>
        <v>#VALUE!</v>
      </c>
      <c r="HC207" t="e">
        <f>'Actual Value'!C241+"AM:!)e9"</f>
        <v>#VALUE!</v>
      </c>
      <c r="HD207" s="97" t="e">
        <f>'Actual Value'!D241+"AM:!)e:"</f>
        <v>#VALUE!</v>
      </c>
      <c r="HE207" s="97" t="e">
        <f>'Actual Value'!E241+"AM:!)e;"</f>
        <v>#VALUE!</v>
      </c>
      <c r="HF207" s="97" t="e">
        <f>'Actual Value'!F241+"AM:!)e&lt;"</f>
        <v>#VALUE!</v>
      </c>
      <c r="HG207" s="97" t="e">
        <f>'Actual Value'!G241+"AM:!)e="</f>
        <v>#VALUE!</v>
      </c>
      <c r="HH207" s="97" t="e">
        <f>'Actual Value'!H241+"AM:!)e&gt;"</f>
        <v>#VALUE!</v>
      </c>
      <c r="HI207" s="97" t="e">
        <f>'Actual Value'!I241+"AM:!)e?"</f>
        <v>#VALUE!</v>
      </c>
      <c r="HJ207" s="97" t="e">
        <f>'Actual Value'!J241+"AM:!)e@"</f>
        <v>#VALUE!</v>
      </c>
      <c r="HK207" s="97" t="e">
        <f>'Actual Value'!K241+"AM:!)eA"</f>
        <v>#VALUE!</v>
      </c>
      <c r="HL207" s="97" t="e">
        <f>'Actual Value'!L241+"AM:!)eB"</f>
        <v>#VALUE!</v>
      </c>
      <c r="HM207" s="97" t="e">
        <f>'Actual Value'!M241+"AM:!)eC"</f>
        <v>#VALUE!</v>
      </c>
      <c r="HN207" s="97" t="e">
        <f>'Actual Value'!N241+"AM:!)eD"</f>
        <v>#VALUE!</v>
      </c>
      <c r="HO207" s="97" t="e">
        <f>'Actual Value'!O241+"AM:!)eE"</f>
        <v>#VALUE!</v>
      </c>
      <c r="HP207" s="97" t="e">
        <f>'Actual Value'!P241+"AM:!)eF"</f>
        <v>#VALUE!</v>
      </c>
      <c r="HQ207" s="97" t="e">
        <f>'Actual Value'!Q241+"AM:!)eG"</f>
        <v>#VALUE!</v>
      </c>
      <c r="HR207" s="97" t="e">
        <f>'Actual Value'!R241+"AM:!)eH"</f>
        <v>#VALUE!</v>
      </c>
      <c r="HS207" s="97" t="e">
        <f>'Actual Value'!S241+"AM:!)eI"</f>
        <v>#VALUE!</v>
      </c>
      <c r="HT207" s="97" t="e">
        <f>'Actual Value'!T241+"AM:!)eJ"</f>
        <v>#VALUE!</v>
      </c>
      <c r="HU207" s="97" t="e">
        <f>'Actual Value'!U241+"AM:!)eK"</f>
        <v>#VALUE!</v>
      </c>
      <c r="HV207" s="97" t="e">
        <f>'Actual Value'!V241+"AM:!)eL"</f>
        <v>#VALUE!</v>
      </c>
      <c r="HW207" s="97" t="e">
        <f>'Actual Value'!W241+"AM:!)eM"</f>
        <v>#VALUE!</v>
      </c>
      <c r="HX207" s="97" t="e">
        <f>'Actual Value'!X241+"AM:!)eN"</f>
        <v>#VALUE!</v>
      </c>
      <c r="HY207" s="97" t="e">
        <f>'Actual Value'!Y241+"AM:!)eO"</f>
        <v>#VALUE!</v>
      </c>
      <c r="HZ207" s="97" t="e">
        <f>'Actual Value'!Z241+"AM:!)eP"</f>
        <v>#VALUE!</v>
      </c>
      <c r="IA207" s="97" t="e">
        <f>'Actual Value'!AA241+"AM:!)eQ"</f>
        <v>#VALUE!</v>
      </c>
      <c r="IB207" s="97" t="e">
        <f>'Actual Value'!AB241+"AM:!)eR"</f>
        <v>#VALUE!</v>
      </c>
      <c r="IC207" s="97" t="e">
        <f>'Actual Value'!AC241+"AM:!)eS"</f>
        <v>#VALUE!</v>
      </c>
      <c r="ID207" s="97" t="e">
        <f>'Actual Value'!AD241+"AM:!)eT"</f>
        <v>#VALUE!</v>
      </c>
      <c r="IE207" s="97" t="e">
        <f>'Actual Value'!AE241+"AM:!)eU"</f>
        <v>#VALUE!</v>
      </c>
      <c r="IF207" s="97" t="e">
        <f>'Actual Value'!AF241+"AM:!)eV"</f>
        <v>#VALUE!</v>
      </c>
      <c r="IG207" s="97" t="e">
        <f>'Actual Value'!AG241+"AM:!)eW"</f>
        <v>#VALUE!</v>
      </c>
      <c r="IH207" s="97" t="e">
        <f>'Actual Value'!AH241+"AM:!)eX"</f>
        <v>#VALUE!</v>
      </c>
      <c r="II207" s="97" t="e">
        <f>'Actual Value'!AI241+"AM:!)eY"</f>
        <v>#VALUE!</v>
      </c>
      <c r="IJ207" s="97" t="e">
        <f>'Actual Value'!AJ241+"AM:!)eZ"</f>
        <v>#VALUE!</v>
      </c>
      <c r="IK207" s="97" t="e">
        <f>'Actual Value'!AK241+"AM:!)e["</f>
        <v>#VALUE!</v>
      </c>
      <c r="IL207" s="97" t="e">
        <f>'Actual Value'!AL241+"AM:!)e\"</f>
        <v>#VALUE!</v>
      </c>
      <c r="IM207" s="97" t="e">
        <f>'Actual Value'!AM241+"AM:!)e]"</f>
        <v>#VALUE!</v>
      </c>
      <c r="IN207" s="97" t="e">
        <f>'Actual Value'!AN241+"AM:!)e^"</f>
        <v>#VALUE!</v>
      </c>
      <c r="IO207" s="97" t="e">
        <f>'Actual Value'!AO241+"AM:!)e_"</f>
        <v>#VALUE!</v>
      </c>
      <c r="IP207" t="e">
        <f>'Actual Value'!AP241+"AM:!)e`"</f>
        <v>#VALUE!</v>
      </c>
      <c r="IQ207" t="e">
        <f>'Actual Value'!AQ241+"AM:!)ea"</f>
        <v>#VALUE!</v>
      </c>
      <c r="IR207" t="e">
        <f>'Actual Value'!AR241+"AM:!)eb"</f>
        <v>#VALUE!</v>
      </c>
      <c r="IS207" t="e">
        <f>'Actual Value'!AS241+"AM:!)ec"</f>
        <v>#VALUE!</v>
      </c>
      <c r="IT207" t="e">
        <f>'Actual Value'!AT241+"AM:!)ed"</f>
        <v>#VALUE!</v>
      </c>
      <c r="IU207" t="e">
        <f>'Actual Value'!AU241+"AM:!)ee"</f>
        <v>#VALUE!</v>
      </c>
      <c r="IV207" t="e">
        <f>'Actual Value'!AV241+"AM:!)ef"</f>
        <v>#VALUE!</v>
      </c>
    </row>
    <row r="208" spans="6:256">
      <c r="F208" t="e">
        <f>'Actual Value'!AW241+"AM:!)eg"</f>
        <v>#VALUE!</v>
      </c>
      <c r="G208" t="e">
        <f>'Actual Value'!AX241+"AM:!)eh"</f>
        <v>#VALUE!</v>
      </c>
      <c r="H208" t="e">
        <f>'Actual Value'!A242+"AM:!)ei"</f>
        <v>#VALUE!</v>
      </c>
      <c r="I208" t="e">
        <f>'Actual Value'!B242+"AM:!)ej"</f>
        <v>#VALUE!</v>
      </c>
      <c r="J208" t="e">
        <f>'Actual Value'!C242+"AM:!)ek"</f>
        <v>#VALUE!</v>
      </c>
      <c r="K208" s="97" t="e">
        <f>'Actual Value'!D242+"AM:!)el"</f>
        <v>#VALUE!</v>
      </c>
      <c r="L208" s="97" t="e">
        <f>'Actual Value'!E242+"AM:!)em"</f>
        <v>#VALUE!</v>
      </c>
      <c r="M208" s="97" t="e">
        <f>'Actual Value'!F242+"AM:!)en"</f>
        <v>#VALUE!</v>
      </c>
      <c r="N208" s="97" t="e">
        <f>'Actual Value'!G242+"AM:!)eo"</f>
        <v>#VALUE!</v>
      </c>
      <c r="O208" s="97" t="e">
        <f>'Actual Value'!H242+"AM:!)ep"</f>
        <v>#VALUE!</v>
      </c>
      <c r="P208" s="97" t="e">
        <f>'Actual Value'!I242+"AM:!)eq"</f>
        <v>#VALUE!</v>
      </c>
      <c r="Q208" s="97" t="e">
        <f>'Actual Value'!J242+"AM:!)er"</f>
        <v>#VALUE!</v>
      </c>
      <c r="R208" s="97" t="e">
        <f>'Actual Value'!K242+"AM:!)es"</f>
        <v>#VALUE!</v>
      </c>
      <c r="S208" s="97" t="e">
        <f>'Actual Value'!L242+"AM:!)et"</f>
        <v>#VALUE!</v>
      </c>
      <c r="T208" s="97" t="e">
        <f>'Actual Value'!M242+"AM:!)eu"</f>
        <v>#VALUE!</v>
      </c>
      <c r="U208" s="97" t="e">
        <f>'Actual Value'!N242+"AM:!)ev"</f>
        <v>#VALUE!</v>
      </c>
      <c r="V208" s="97" t="e">
        <f>'Actual Value'!O242+"AM:!)ew"</f>
        <v>#VALUE!</v>
      </c>
      <c r="W208" s="97" t="e">
        <f>'Actual Value'!P242+"AM:!)ex"</f>
        <v>#VALUE!</v>
      </c>
      <c r="X208" s="97" t="e">
        <f>'Actual Value'!Q242+"AM:!)ey"</f>
        <v>#VALUE!</v>
      </c>
      <c r="Y208" s="97" t="e">
        <f>'Actual Value'!R242+"AM:!)ez"</f>
        <v>#VALUE!</v>
      </c>
      <c r="Z208" s="97" t="e">
        <f>'Actual Value'!S242+"AM:!)e{"</f>
        <v>#VALUE!</v>
      </c>
      <c r="AA208" s="97" t="e">
        <f>'Actual Value'!T242+"AM:!)e|"</f>
        <v>#VALUE!</v>
      </c>
      <c r="AB208" s="97" t="e">
        <f>'Actual Value'!U242+"AM:!)e}"</f>
        <v>#VALUE!</v>
      </c>
      <c r="AC208" s="97" t="e">
        <f>'Actual Value'!V242+"AM:!)e~"</f>
        <v>#VALUE!</v>
      </c>
      <c r="AD208" s="97" t="e">
        <f>'Actual Value'!W242+"AM:!)f#"</f>
        <v>#VALUE!</v>
      </c>
      <c r="AE208" s="97" t="e">
        <f>'Actual Value'!X242+"AM:!)f$"</f>
        <v>#VALUE!</v>
      </c>
      <c r="AF208" s="97" t="e">
        <f>'Actual Value'!Y242+"AM:!)f%"</f>
        <v>#VALUE!</v>
      </c>
      <c r="AG208" s="97" t="e">
        <f>'Actual Value'!Z242+"AM:!)f&amp;"</f>
        <v>#VALUE!</v>
      </c>
      <c r="AH208" s="97" t="e">
        <f>'Actual Value'!AA242+"AM:!)f'"</f>
        <v>#VALUE!</v>
      </c>
      <c r="AI208" s="97" t="e">
        <f>'Actual Value'!AB242+"AM:!)f("</f>
        <v>#VALUE!</v>
      </c>
      <c r="AJ208" s="97" t="e">
        <f>'Actual Value'!AC242+"AM:!)f)"</f>
        <v>#VALUE!</v>
      </c>
      <c r="AK208" s="97" t="e">
        <f>'Actual Value'!AD242+"AM:!)f."</f>
        <v>#VALUE!</v>
      </c>
      <c r="AL208" s="97" t="e">
        <f>'Actual Value'!AE242+"AM:!)f/"</f>
        <v>#VALUE!</v>
      </c>
      <c r="AM208" s="97" t="e">
        <f>'Actual Value'!AF242+"AM:!)f0"</f>
        <v>#VALUE!</v>
      </c>
      <c r="AN208" s="97" t="e">
        <f>'Actual Value'!AG242+"AM:!)f1"</f>
        <v>#VALUE!</v>
      </c>
      <c r="AO208" s="97" t="e">
        <f>'Actual Value'!AH242+"AM:!)f2"</f>
        <v>#VALUE!</v>
      </c>
      <c r="AP208" s="97" t="e">
        <f>'Actual Value'!AI242+"AM:!)f3"</f>
        <v>#VALUE!</v>
      </c>
      <c r="AQ208" s="97" t="e">
        <f>'Actual Value'!AJ242+"AM:!)f4"</f>
        <v>#VALUE!</v>
      </c>
      <c r="AR208" s="97" t="e">
        <f>'Actual Value'!AK242+"AM:!)f5"</f>
        <v>#VALUE!</v>
      </c>
      <c r="AS208" s="97" t="e">
        <f>'Actual Value'!AL242+"AM:!)f6"</f>
        <v>#VALUE!</v>
      </c>
      <c r="AT208" s="97" t="e">
        <f>'Actual Value'!AM242+"AM:!)f7"</f>
        <v>#VALUE!</v>
      </c>
      <c r="AU208" s="97" t="e">
        <f>'Actual Value'!AN242+"AM:!)f8"</f>
        <v>#VALUE!</v>
      </c>
      <c r="AV208" s="97" t="e">
        <f>'Actual Value'!AO242+"AM:!)f9"</f>
        <v>#VALUE!</v>
      </c>
      <c r="AW208" t="e">
        <f>'Actual Value'!AP242+"AM:!)f:"</f>
        <v>#VALUE!</v>
      </c>
      <c r="AX208" t="e">
        <f>'Actual Value'!AQ242+"AM:!)f;"</f>
        <v>#VALUE!</v>
      </c>
      <c r="AY208" t="e">
        <f>'Actual Value'!AR242+"AM:!)f&lt;"</f>
        <v>#VALUE!</v>
      </c>
      <c r="AZ208" t="e">
        <f>'Actual Value'!AS242+"AM:!)f="</f>
        <v>#VALUE!</v>
      </c>
      <c r="BA208" t="e">
        <f>'Actual Value'!AT242+"AM:!)f&gt;"</f>
        <v>#VALUE!</v>
      </c>
      <c r="BB208" t="e">
        <f>'Actual Value'!AU242+"AM:!)f?"</f>
        <v>#VALUE!</v>
      </c>
      <c r="BC208" t="e">
        <f>'Actual Value'!AV242+"AM:!)f@"</f>
        <v>#VALUE!</v>
      </c>
      <c r="BD208" t="e">
        <f>'Actual Value'!AW242+"AM:!)fA"</f>
        <v>#VALUE!</v>
      </c>
      <c r="BE208" t="e">
        <f>'Actual Value'!AX242+"AM:!)fB"</f>
        <v>#VALUE!</v>
      </c>
      <c r="BF208" t="e">
        <f>'Actual Value'!A243+"AM:!)fC"</f>
        <v>#VALUE!</v>
      </c>
      <c r="BG208" t="e">
        <f>'Actual Value'!B243+"AM:!)fD"</f>
        <v>#VALUE!</v>
      </c>
      <c r="BH208" t="e">
        <f>'Actual Value'!C243+"AM:!)fE"</f>
        <v>#VALUE!</v>
      </c>
      <c r="BI208" s="97" t="e">
        <f>'Actual Value'!D243+"AM:!)fF"</f>
        <v>#VALUE!</v>
      </c>
      <c r="BJ208" s="97" t="e">
        <f>'Actual Value'!E243+"AM:!)fG"</f>
        <v>#VALUE!</v>
      </c>
      <c r="BK208" s="97" t="e">
        <f>'Actual Value'!F243+"AM:!)fH"</f>
        <v>#VALUE!</v>
      </c>
      <c r="BL208" s="97" t="e">
        <f>'Actual Value'!G243+"AM:!)fI"</f>
        <v>#VALUE!</v>
      </c>
      <c r="BM208" s="97" t="e">
        <f>'Actual Value'!H243+"AM:!)fJ"</f>
        <v>#VALUE!</v>
      </c>
      <c r="BN208" s="97" t="e">
        <f>'Actual Value'!I243+"AM:!)fK"</f>
        <v>#VALUE!</v>
      </c>
      <c r="BO208" s="97" t="e">
        <f>'Actual Value'!J243+"AM:!)fL"</f>
        <v>#VALUE!</v>
      </c>
      <c r="BP208" s="97" t="e">
        <f>'Actual Value'!K243+"AM:!)fM"</f>
        <v>#VALUE!</v>
      </c>
      <c r="BQ208" s="97" t="e">
        <f>'Actual Value'!L243+"AM:!)fN"</f>
        <v>#VALUE!</v>
      </c>
      <c r="BR208" s="97" t="e">
        <f>'Actual Value'!M243+"AM:!)fO"</f>
        <v>#VALUE!</v>
      </c>
      <c r="BS208" s="97" t="e">
        <f>'Actual Value'!N243+"AM:!)fP"</f>
        <v>#VALUE!</v>
      </c>
      <c r="BT208" s="97" t="e">
        <f>'Actual Value'!O243+"AM:!)fQ"</f>
        <v>#VALUE!</v>
      </c>
      <c r="BU208" s="97" t="e">
        <f>'Actual Value'!P243+"AM:!)fR"</f>
        <v>#VALUE!</v>
      </c>
      <c r="BV208" s="97" t="e">
        <f>'Actual Value'!Q243+"AM:!)fS"</f>
        <v>#VALUE!</v>
      </c>
      <c r="BW208" s="97" t="e">
        <f>'Actual Value'!R243+"AM:!)fT"</f>
        <v>#VALUE!</v>
      </c>
      <c r="BX208" s="97" t="e">
        <f>'Actual Value'!S243+"AM:!)fU"</f>
        <v>#VALUE!</v>
      </c>
      <c r="BY208" s="97" t="e">
        <f>'Actual Value'!T243+"AM:!)fV"</f>
        <v>#VALUE!</v>
      </c>
      <c r="BZ208" s="97" t="e">
        <f>'Actual Value'!U243+"AM:!)fW"</f>
        <v>#VALUE!</v>
      </c>
      <c r="CA208" s="97" t="e">
        <f>'Actual Value'!V243+"AM:!)fX"</f>
        <v>#VALUE!</v>
      </c>
      <c r="CB208" s="97" t="e">
        <f>'Actual Value'!W243+"AM:!)fY"</f>
        <v>#VALUE!</v>
      </c>
      <c r="CC208" s="97" t="e">
        <f>'Actual Value'!X243+"AM:!)fZ"</f>
        <v>#VALUE!</v>
      </c>
      <c r="CD208" s="97" t="e">
        <f>'Actual Value'!Y243+"AM:!)f["</f>
        <v>#VALUE!</v>
      </c>
      <c r="CE208" s="97" t="e">
        <f>'Actual Value'!Z243+"AM:!)f\"</f>
        <v>#VALUE!</v>
      </c>
      <c r="CF208" s="97" t="e">
        <f>'Actual Value'!AA243+"AM:!)f]"</f>
        <v>#VALUE!</v>
      </c>
      <c r="CG208" s="97" t="e">
        <f>'Actual Value'!AB243+"AM:!)f^"</f>
        <v>#VALUE!</v>
      </c>
      <c r="CH208" s="97" t="e">
        <f>'Actual Value'!AC243+"AM:!)f_"</f>
        <v>#VALUE!</v>
      </c>
      <c r="CI208" s="97" t="e">
        <f>'Actual Value'!AD243+"AM:!)f`"</f>
        <v>#VALUE!</v>
      </c>
      <c r="CJ208" s="97" t="e">
        <f>'Actual Value'!AE243+"AM:!)fa"</f>
        <v>#VALUE!</v>
      </c>
      <c r="CK208" s="97" t="e">
        <f>'Actual Value'!AF243+"AM:!)fb"</f>
        <v>#VALUE!</v>
      </c>
      <c r="CL208" s="97" t="e">
        <f>'Actual Value'!AG243+"AM:!)fc"</f>
        <v>#VALUE!</v>
      </c>
      <c r="CM208" s="97" t="e">
        <f>'Actual Value'!AH243+"AM:!)fd"</f>
        <v>#VALUE!</v>
      </c>
      <c r="CN208" s="97" t="e">
        <f>'Actual Value'!AI243+"AM:!)fe"</f>
        <v>#VALUE!</v>
      </c>
      <c r="CO208" s="97" t="e">
        <f>'Actual Value'!AJ243+"AM:!)ff"</f>
        <v>#VALUE!</v>
      </c>
      <c r="CP208" s="97" t="e">
        <f>'Actual Value'!AK243+"AM:!)fg"</f>
        <v>#VALUE!</v>
      </c>
      <c r="CQ208" s="97" t="e">
        <f>'Actual Value'!AL243+"AM:!)fh"</f>
        <v>#VALUE!</v>
      </c>
      <c r="CR208" s="97" t="e">
        <f>'Actual Value'!AM243+"AM:!)fi"</f>
        <v>#VALUE!</v>
      </c>
      <c r="CS208" s="97" t="e">
        <f>'Actual Value'!AN243+"AM:!)fj"</f>
        <v>#VALUE!</v>
      </c>
      <c r="CT208" s="97" t="e">
        <f>'Actual Value'!AO243+"AM:!)fk"</f>
        <v>#VALUE!</v>
      </c>
      <c r="CU208" t="e">
        <f>'Actual Value'!AP243+"AM:!)fl"</f>
        <v>#VALUE!</v>
      </c>
      <c r="CV208" t="e">
        <f>'Actual Value'!AQ243+"AM:!)fm"</f>
        <v>#VALUE!</v>
      </c>
      <c r="CW208" t="e">
        <f>'Actual Value'!AR243+"AM:!)fn"</f>
        <v>#VALUE!</v>
      </c>
      <c r="CX208" t="e">
        <f>'Actual Value'!AS243+"AM:!)fo"</f>
        <v>#VALUE!</v>
      </c>
      <c r="CY208" t="e">
        <f>'Actual Value'!AT243+"AM:!)fp"</f>
        <v>#VALUE!</v>
      </c>
      <c r="CZ208" t="e">
        <f>'Actual Value'!AU243+"AM:!)fq"</f>
        <v>#VALUE!</v>
      </c>
      <c r="DA208" t="e">
        <f>'Actual Value'!AV243+"AM:!)fr"</f>
        <v>#VALUE!</v>
      </c>
      <c r="DB208" t="e">
        <f>'Actual Value'!AW243+"AM:!)fs"</f>
        <v>#VALUE!</v>
      </c>
      <c r="DC208" t="e">
        <f>'Actual Value'!AX243+"AM:!)ft"</f>
        <v>#VALUE!</v>
      </c>
      <c r="DD208" t="e">
        <f>'Actual Value'!A244+"AM:!)fu"</f>
        <v>#VALUE!</v>
      </c>
      <c r="DE208" t="e">
        <f>'Actual Value'!B244+"AM:!)fv"</f>
        <v>#VALUE!</v>
      </c>
      <c r="DF208" t="e">
        <f>'Actual Value'!C244+"AM:!)fw"</f>
        <v>#VALUE!</v>
      </c>
      <c r="DG208" s="97" t="e">
        <f>'Actual Value'!D244+"AM:!)fx"</f>
        <v>#VALUE!</v>
      </c>
      <c r="DH208" s="97" t="e">
        <f>'Actual Value'!E244+"AM:!)fy"</f>
        <v>#VALUE!</v>
      </c>
      <c r="DI208" s="97" t="e">
        <f>'Actual Value'!F244+"AM:!)fz"</f>
        <v>#VALUE!</v>
      </c>
      <c r="DJ208" s="97" t="e">
        <f>'Actual Value'!G244+"AM:!)f{"</f>
        <v>#VALUE!</v>
      </c>
      <c r="DK208" s="97" t="e">
        <f>'Actual Value'!H244+"AM:!)f|"</f>
        <v>#VALUE!</v>
      </c>
      <c r="DL208" s="97" t="e">
        <f>'Actual Value'!I244+"AM:!)f}"</f>
        <v>#VALUE!</v>
      </c>
      <c r="DM208" s="97" t="e">
        <f>'Actual Value'!J244+"AM:!)f~"</f>
        <v>#VALUE!</v>
      </c>
      <c r="DN208" s="97" t="e">
        <f>'Actual Value'!K244+"AM:!)g#"</f>
        <v>#VALUE!</v>
      </c>
      <c r="DO208" s="97" t="e">
        <f>'Actual Value'!L244+"AM:!)g$"</f>
        <v>#VALUE!</v>
      </c>
      <c r="DP208" s="97" t="e">
        <f>'Actual Value'!M244+"AM:!)g%"</f>
        <v>#VALUE!</v>
      </c>
      <c r="DQ208" s="97" t="e">
        <f>'Actual Value'!N244+"AM:!)g&amp;"</f>
        <v>#VALUE!</v>
      </c>
      <c r="DR208" s="97" t="e">
        <f>'Actual Value'!O244+"AM:!)g'"</f>
        <v>#VALUE!</v>
      </c>
      <c r="DS208" s="97" t="e">
        <f>'Actual Value'!P244+"AM:!)g("</f>
        <v>#VALUE!</v>
      </c>
      <c r="DT208" s="97" t="e">
        <f>'Actual Value'!Q244+"AM:!)g)"</f>
        <v>#VALUE!</v>
      </c>
      <c r="DU208" s="97" t="e">
        <f>'Actual Value'!R244+"AM:!)g."</f>
        <v>#VALUE!</v>
      </c>
      <c r="DV208" s="97" t="e">
        <f>'Actual Value'!S244+"AM:!)g/"</f>
        <v>#VALUE!</v>
      </c>
      <c r="DW208" s="97" t="e">
        <f>'Actual Value'!T244+"AM:!)g0"</f>
        <v>#VALUE!</v>
      </c>
      <c r="DX208" s="97" t="e">
        <f>'Actual Value'!U244+"AM:!)g1"</f>
        <v>#VALUE!</v>
      </c>
      <c r="DY208" s="97" t="e">
        <f>'Actual Value'!V244+"AM:!)g2"</f>
        <v>#VALUE!</v>
      </c>
      <c r="DZ208" s="97" t="e">
        <f>'Actual Value'!W244+"AM:!)g3"</f>
        <v>#VALUE!</v>
      </c>
      <c r="EA208" s="97" t="e">
        <f>'Actual Value'!X244+"AM:!)g4"</f>
        <v>#VALUE!</v>
      </c>
      <c r="EB208" s="97" t="e">
        <f>'Actual Value'!Y244+"AM:!)g5"</f>
        <v>#VALUE!</v>
      </c>
      <c r="EC208" s="97" t="e">
        <f>'Actual Value'!Z244+"AM:!)g6"</f>
        <v>#VALUE!</v>
      </c>
      <c r="ED208" s="97" t="e">
        <f>'Actual Value'!AA244+"AM:!)g7"</f>
        <v>#VALUE!</v>
      </c>
      <c r="EE208" s="97" t="e">
        <f>'Actual Value'!AB244+"AM:!)g8"</f>
        <v>#VALUE!</v>
      </c>
      <c r="EF208" s="97" t="e">
        <f>'Actual Value'!AC244+"AM:!)g9"</f>
        <v>#VALUE!</v>
      </c>
      <c r="EG208" s="97" t="e">
        <f>'Actual Value'!AD244+"AM:!)g:"</f>
        <v>#VALUE!</v>
      </c>
      <c r="EH208" s="97" t="e">
        <f>'Actual Value'!AE244+"AM:!)g;"</f>
        <v>#VALUE!</v>
      </c>
      <c r="EI208" s="97" t="e">
        <f>'Actual Value'!AF244+"AM:!)g&lt;"</f>
        <v>#VALUE!</v>
      </c>
      <c r="EJ208" s="97" t="e">
        <f>'Actual Value'!AG244+"AM:!)g="</f>
        <v>#VALUE!</v>
      </c>
      <c r="EK208" s="97" t="e">
        <f>'Actual Value'!AH244+"AM:!)g&gt;"</f>
        <v>#VALUE!</v>
      </c>
      <c r="EL208" s="97" t="e">
        <f>'Actual Value'!AI244+"AM:!)g?"</f>
        <v>#VALUE!</v>
      </c>
      <c r="EM208" s="97" t="e">
        <f>'Actual Value'!AJ244+"AM:!)g@"</f>
        <v>#VALUE!</v>
      </c>
      <c r="EN208" s="97" t="e">
        <f>'Actual Value'!AK244+"AM:!)gA"</f>
        <v>#VALUE!</v>
      </c>
      <c r="EO208" s="97" t="e">
        <f>'Actual Value'!AL244+"AM:!)gB"</f>
        <v>#VALUE!</v>
      </c>
      <c r="EP208" s="97" t="e">
        <f>'Actual Value'!AM244+"AM:!)gC"</f>
        <v>#VALUE!</v>
      </c>
      <c r="EQ208" s="97" t="e">
        <f>'Actual Value'!AN244+"AM:!)gD"</f>
        <v>#VALUE!</v>
      </c>
      <c r="ER208" s="97" t="e">
        <f>'Actual Value'!AO244+"AM:!)gE"</f>
        <v>#VALUE!</v>
      </c>
      <c r="ES208" t="e">
        <f>'Actual Value'!AP244+"AM:!)gF"</f>
        <v>#VALUE!</v>
      </c>
      <c r="ET208" t="e">
        <f>'Actual Value'!AQ244+"AM:!)gG"</f>
        <v>#VALUE!</v>
      </c>
      <c r="EU208" t="e">
        <f>'Actual Value'!AR244+"AM:!)gH"</f>
        <v>#VALUE!</v>
      </c>
      <c r="EV208" t="e">
        <f>'Actual Value'!AS244+"AM:!)gI"</f>
        <v>#VALUE!</v>
      </c>
      <c r="EW208" t="e">
        <f>'Actual Value'!AT244+"AM:!)gJ"</f>
        <v>#VALUE!</v>
      </c>
      <c r="EX208" t="e">
        <f>'Actual Value'!AU244+"AM:!)gK"</f>
        <v>#VALUE!</v>
      </c>
      <c r="EY208" t="e">
        <f>'Actual Value'!AV244+"AM:!)gL"</f>
        <v>#VALUE!</v>
      </c>
      <c r="EZ208" t="e">
        <f>'Actual Value'!AW244+"AM:!)gM"</f>
        <v>#VALUE!</v>
      </c>
      <c r="FA208" t="e">
        <f>'Actual Value'!AX244+"AM:!)gN"</f>
        <v>#VALUE!</v>
      </c>
      <c r="FB208" t="e">
        <f>'Actual Value'!A245+"AM:!)gO"</f>
        <v>#VALUE!</v>
      </c>
      <c r="FC208" t="e">
        <f>'Actual Value'!B245+"AM:!)gP"</f>
        <v>#VALUE!</v>
      </c>
      <c r="FD208" t="e">
        <f>'Actual Value'!C245+"AM:!)gQ"</f>
        <v>#VALUE!</v>
      </c>
      <c r="FE208" s="97" t="e">
        <f>'Actual Value'!D245+"AM:!)gR"</f>
        <v>#VALUE!</v>
      </c>
      <c r="FF208" s="97" t="e">
        <f>'Actual Value'!E245+"AM:!)gS"</f>
        <v>#VALUE!</v>
      </c>
      <c r="FG208" s="97" t="e">
        <f>'Actual Value'!F245+"AM:!)gT"</f>
        <v>#VALUE!</v>
      </c>
      <c r="FH208" s="97" t="e">
        <f>'Actual Value'!G245+"AM:!)gU"</f>
        <v>#VALUE!</v>
      </c>
      <c r="FI208" s="97" t="e">
        <f>'Actual Value'!H245+"AM:!)gV"</f>
        <v>#VALUE!</v>
      </c>
      <c r="FJ208" s="97" t="e">
        <f>'Actual Value'!I245+"AM:!)gW"</f>
        <v>#VALUE!</v>
      </c>
      <c r="FK208" s="97" t="e">
        <f>'Actual Value'!J245+"AM:!)gX"</f>
        <v>#VALUE!</v>
      </c>
      <c r="FL208" s="97" t="e">
        <f>'Actual Value'!K245+"AM:!)gY"</f>
        <v>#VALUE!</v>
      </c>
      <c r="FM208" s="97" t="e">
        <f>'Actual Value'!L245+"AM:!)gZ"</f>
        <v>#VALUE!</v>
      </c>
      <c r="FN208" s="97" t="e">
        <f>'Actual Value'!M245+"AM:!)g["</f>
        <v>#VALUE!</v>
      </c>
      <c r="FO208" s="97" t="e">
        <f>'Actual Value'!N245+"AM:!)g\"</f>
        <v>#VALUE!</v>
      </c>
      <c r="FP208" s="97" t="e">
        <f>'Actual Value'!O245+"AM:!)g]"</f>
        <v>#VALUE!</v>
      </c>
      <c r="FQ208" s="97" t="e">
        <f>'Actual Value'!P245+"AM:!)g^"</f>
        <v>#VALUE!</v>
      </c>
      <c r="FR208" s="97" t="e">
        <f>'Actual Value'!Q245+"AM:!)g_"</f>
        <v>#VALUE!</v>
      </c>
      <c r="FS208" s="97" t="e">
        <f>'Actual Value'!R245+"AM:!)g`"</f>
        <v>#VALUE!</v>
      </c>
      <c r="FT208" s="97" t="e">
        <f>'Actual Value'!S245+"AM:!)ga"</f>
        <v>#VALUE!</v>
      </c>
      <c r="FU208" s="97" t="e">
        <f>'Actual Value'!T245+"AM:!)gb"</f>
        <v>#VALUE!</v>
      </c>
      <c r="FV208" s="97" t="e">
        <f>'Actual Value'!U245+"AM:!)gc"</f>
        <v>#VALUE!</v>
      </c>
      <c r="FW208" s="97" t="e">
        <f>'Actual Value'!V245+"AM:!)gd"</f>
        <v>#VALUE!</v>
      </c>
      <c r="FX208" s="97" t="e">
        <f>'Actual Value'!W245+"AM:!)ge"</f>
        <v>#VALUE!</v>
      </c>
      <c r="FY208" s="97" t="e">
        <f>'Actual Value'!X245+"AM:!)gf"</f>
        <v>#VALUE!</v>
      </c>
      <c r="FZ208" s="97" t="e">
        <f>'Actual Value'!Y245+"AM:!)gg"</f>
        <v>#VALUE!</v>
      </c>
      <c r="GA208" s="97" t="e">
        <f>'Actual Value'!Z245+"AM:!)gh"</f>
        <v>#VALUE!</v>
      </c>
      <c r="GB208" s="97" t="e">
        <f>'Actual Value'!AA245+"AM:!)gi"</f>
        <v>#VALUE!</v>
      </c>
      <c r="GC208" s="97" t="e">
        <f>'Actual Value'!AB245+"AM:!)gj"</f>
        <v>#VALUE!</v>
      </c>
      <c r="GD208" s="97" t="e">
        <f>'Actual Value'!AC245+"AM:!)gk"</f>
        <v>#VALUE!</v>
      </c>
      <c r="GE208" s="97" t="e">
        <f>'Actual Value'!AD245+"AM:!)gl"</f>
        <v>#VALUE!</v>
      </c>
      <c r="GF208" s="97" t="e">
        <f>'Actual Value'!AE245+"AM:!)gm"</f>
        <v>#VALUE!</v>
      </c>
      <c r="GG208" s="97" t="e">
        <f>'Actual Value'!AF245+"AM:!)gn"</f>
        <v>#VALUE!</v>
      </c>
      <c r="GH208" s="97" t="e">
        <f>'Actual Value'!AG245+"AM:!)go"</f>
        <v>#VALUE!</v>
      </c>
      <c r="GI208" s="97" t="e">
        <f>'Actual Value'!AH245+"AM:!)gp"</f>
        <v>#VALUE!</v>
      </c>
      <c r="GJ208" s="97" t="e">
        <f>'Actual Value'!AI245+"AM:!)gq"</f>
        <v>#VALUE!</v>
      </c>
      <c r="GK208" s="97" t="e">
        <f>'Actual Value'!AJ245+"AM:!)gr"</f>
        <v>#VALUE!</v>
      </c>
      <c r="GL208" s="97" t="e">
        <f>'Actual Value'!AK245+"AM:!)gs"</f>
        <v>#VALUE!</v>
      </c>
      <c r="GM208" s="97" t="e">
        <f>'Actual Value'!AL245+"AM:!)gt"</f>
        <v>#VALUE!</v>
      </c>
      <c r="GN208" s="97" t="e">
        <f>'Actual Value'!AM245+"AM:!)gu"</f>
        <v>#VALUE!</v>
      </c>
      <c r="GO208" s="97" t="e">
        <f>'Actual Value'!AN245+"AM:!)gv"</f>
        <v>#VALUE!</v>
      </c>
      <c r="GP208" s="97" t="e">
        <f>'Actual Value'!AO245+"AM:!)gw"</f>
        <v>#VALUE!</v>
      </c>
      <c r="GQ208" t="e">
        <f>'Actual Value'!AP245+"AM:!)gx"</f>
        <v>#VALUE!</v>
      </c>
      <c r="GR208" t="e">
        <f>'Actual Value'!AQ245+"AM:!)gy"</f>
        <v>#VALUE!</v>
      </c>
      <c r="GS208" t="e">
        <f>'Actual Value'!AR245+"AM:!)gz"</f>
        <v>#VALUE!</v>
      </c>
      <c r="GT208" t="e">
        <f>'Actual Value'!AS245+"AM:!)g{"</f>
        <v>#VALUE!</v>
      </c>
      <c r="GU208" t="e">
        <f>'Actual Value'!AT245+"AM:!)g|"</f>
        <v>#VALUE!</v>
      </c>
      <c r="GV208" t="e">
        <f>'Actual Value'!AU245+"AM:!)g}"</f>
        <v>#VALUE!</v>
      </c>
      <c r="GW208" t="e">
        <f>'Actual Value'!AV245+"AM:!)g~"</f>
        <v>#VALUE!</v>
      </c>
      <c r="GX208" t="e">
        <f>'Actual Value'!AW245+"AM:!)h#"</f>
        <v>#VALUE!</v>
      </c>
      <c r="GY208" t="e">
        <f>'Actual Value'!AX245+"AM:!)h$"</f>
        <v>#VALUE!</v>
      </c>
      <c r="GZ208" t="e">
        <f>'Actual Value'!A246+"AM:!)h%"</f>
        <v>#VALUE!</v>
      </c>
      <c r="HA208" t="e">
        <f>'Actual Value'!B246+"AM:!)h&amp;"</f>
        <v>#VALUE!</v>
      </c>
      <c r="HB208" t="e">
        <f>'Actual Value'!C246+"AM:!)h'"</f>
        <v>#VALUE!</v>
      </c>
      <c r="HC208" s="97" t="e">
        <f>'Actual Value'!D246+"AM:!)h("</f>
        <v>#VALUE!</v>
      </c>
      <c r="HD208" s="97" t="e">
        <f>'Actual Value'!E246+"AM:!)h)"</f>
        <v>#VALUE!</v>
      </c>
      <c r="HE208" s="97" t="e">
        <f>'Actual Value'!F246+"AM:!)h."</f>
        <v>#VALUE!</v>
      </c>
      <c r="HF208" s="97" t="e">
        <f>'Actual Value'!G246+"AM:!)h/"</f>
        <v>#VALUE!</v>
      </c>
      <c r="HG208" s="97" t="e">
        <f>'Actual Value'!H246+"AM:!)h0"</f>
        <v>#VALUE!</v>
      </c>
      <c r="HH208" s="97" t="e">
        <f>'Actual Value'!I246+"AM:!)h1"</f>
        <v>#VALUE!</v>
      </c>
      <c r="HI208" s="97" t="e">
        <f>'Actual Value'!J246+"AM:!)h2"</f>
        <v>#VALUE!</v>
      </c>
      <c r="HJ208" s="97" t="e">
        <f>'Actual Value'!K246+"AM:!)h3"</f>
        <v>#VALUE!</v>
      </c>
      <c r="HK208" s="97" t="e">
        <f>'Actual Value'!L246+"AM:!)h4"</f>
        <v>#VALUE!</v>
      </c>
      <c r="HL208" s="97" t="e">
        <f>'Actual Value'!M246+"AM:!)h5"</f>
        <v>#VALUE!</v>
      </c>
      <c r="HM208" s="97" t="e">
        <f>'Actual Value'!N246+"AM:!)h6"</f>
        <v>#VALUE!</v>
      </c>
      <c r="HN208" s="97" t="e">
        <f>'Actual Value'!O246+"AM:!)h7"</f>
        <v>#VALUE!</v>
      </c>
      <c r="HO208" s="97" t="e">
        <f>'Actual Value'!P246+"AM:!)h8"</f>
        <v>#VALUE!</v>
      </c>
      <c r="HP208" s="97" t="e">
        <f>'Actual Value'!Q246+"AM:!)h9"</f>
        <v>#VALUE!</v>
      </c>
      <c r="HQ208" s="97" t="e">
        <f>'Actual Value'!R246+"AM:!)h:"</f>
        <v>#VALUE!</v>
      </c>
      <c r="HR208" s="97" t="e">
        <f>'Actual Value'!S246+"AM:!)h;"</f>
        <v>#VALUE!</v>
      </c>
      <c r="HS208" s="97" t="e">
        <f>'Actual Value'!T246+"AM:!)h&lt;"</f>
        <v>#VALUE!</v>
      </c>
      <c r="HT208" s="97" t="e">
        <f>'Actual Value'!U246+"AM:!)h="</f>
        <v>#VALUE!</v>
      </c>
      <c r="HU208" s="97" t="e">
        <f>'Actual Value'!V246+"AM:!)h&gt;"</f>
        <v>#VALUE!</v>
      </c>
      <c r="HV208" s="97" t="e">
        <f>'Actual Value'!W246+"AM:!)h?"</f>
        <v>#VALUE!</v>
      </c>
      <c r="HW208" s="97" t="e">
        <f>'Actual Value'!X246+"AM:!)h@"</f>
        <v>#VALUE!</v>
      </c>
      <c r="HX208" s="97" t="e">
        <f>'Actual Value'!Y246+"AM:!)hA"</f>
        <v>#VALUE!</v>
      </c>
      <c r="HY208" s="97" t="e">
        <f>'Actual Value'!Z246+"AM:!)hB"</f>
        <v>#VALUE!</v>
      </c>
      <c r="HZ208" s="97" t="e">
        <f>'Actual Value'!AA246+"AM:!)hC"</f>
        <v>#VALUE!</v>
      </c>
      <c r="IA208" s="97" t="e">
        <f>'Actual Value'!AB246+"AM:!)hD"</f>
        <v>#VALUE!</v>
      </c>
      <c r="IB208" s="97" t="e">
        <f>'Actual Value'!AC246+"AM:!)hE"</f>
        <v>#VALUE!</v>
      </c>
      <c r="IC208" s="97" t="e">
        <f>'Actual Value'!AD246+"AM:!)hF"</f>
        <v>#VALUE!</v>
      </c>
      <c r="ID208" s="97" t="e">
        <f>'Actual Value'!AE246+"AM:!)hG"</f>
        <v>#VALUE!</v>
      </c>
      <c r="IE208" s="97" t="e">
        <f>'Actual Value'!AF246+"AM:!)hH"</f>
        <v>#VALUE!</v>
      </c>
      <c r="IF208" s="97" t="e">
        <f>'Actual Value'!AG246+"AM:!)hI"</f>
        <v>#VALUE!</v>
      </c>
      <c r="IG208" s="97" t="e">
        <f>'Actual Value'!AH246+"AM:!)hJ"</f>
        <v>#VALUE!</v>
      </c>
      <c r="IH208" s="97" t="e">
        <f>'Actual Value'!AI246+"AM:!)hK"</f>
        <v>#VALUE!</v>
      </c>
      <c r="II208" s="97" t="e">
        <f>'Actual Value'!AJ246+"AM:!)hL"</f>
        <v>#VALUE!</v>
      </c>
      <c r="IJ208" s="97" t="e">
        <f>'Actual Value'!AK246+"AM:!)hM"</f>
        <v>#VALUE!</v>
      </c>
      <c r="IK208" s="97" t="e">
        <f>'Actual Value'!AL246+"AM:!)hN"</f>
        <v>#VALUE!</v>
      </c>
      <c r="IL208" s="97" t="e">
        <f>'Actual Value'!AM246+"AM:!)hO"</f>
        <v>#VALUE!</v>
      </c>
      <c r="IM208" s="97" t="e">
        <f>'Actual Value'!AN246+"AM:!)hP"</f>
        <v>#VALUE!</v>
      </c>
      <c r="IN208" s="97" t="e">
        <f>'Actual Value'!AO246+"AM:!)hQ"</f>
        <v>#VALUE!</v>
      </c>
      <c r="IO208" t="e">
        <f>'Actual Value'!AP246+"AM:!)hR"</f>
        <v>#VALUE!</v>
      </c>
      <c r="IP208" t="e">
        <f>'Actual Value'!AQ246+"AM:!)hS"</f>
        <v>#VALUE!</v>
      </c>
      <c r="IQ208" t="e">
        <f>'Actual Value'!AR246+"AM:!)hT"</f>
        <v>#VALUE!</v>
      </c>
      <c r="IR208" t="e">
        <f>'Actual Value'!AS246+"AM:!)hU"</f>
        <v>#VALUE!</v>
      </c>
      <c r="IS208" t="e">
        <f>'Actual Value'!AT246+"AM:!)hV"</f>
        <v>#VALUE!</v>
      </c>
      <c r="IT208" t="e">
        <f>'Actual Value'!AU246+"AM:!)hW"</f>
        <v>#VALUE!</v>
      </c>
      <c r="IU208" t="e">
        <f>'Actual Value'!AV246+"AM:!)hX"</f>
        <v>#VALUE!</v>
      </c>
      <c r="IV208" t="e">
        <f>'Actual Value'!AW246+"AM:!)hY"</f>
        <v>#VALUE!</v>
      </c>
    </row>
    <row r="209" spans="6:256">
      <c r="F209" t="e">
        <f>'Actual Value'!AX246+"AM:!)hZ"</f>
        <v>#VALUE!</v>
      </c>
      <c r="G209" t="e">
        <f>'Actual Value'!A247+"AM:!)h["</f>
        <v>#VALUE!</v>
      </c>
      <c r="H209" t="e">
        <f>'Actual Value'!B247+"AM:!)h\"</f>
        <v>#VALUE!</v>
      </c>
      <c r="I209" t="e">
        <f>'Actual Value'!C247+"AM:!)h]"</f>
        <v>#VALUE!</v>
      </c>
      <c r="J209" t="e">
        <f>'Actual Value'!D247+"AM:!)h^"</f>
        <v>#VALUE!</v>
      </c>
      <c r="K209" t="e">
        <f>'Actual Value'!E247+"AM:!)h_"</f>
        <v>#VALUE!</v>
      </c>
      <c r="L209" t="e">
        <f>'Actual Value'!F247+"AM:!)h`"</f>
        <v>#VALUE!</v>
      </c>
      <c r="M209" t="e">
        <f>'Actual Value'!G247+"AM:!)ha"</f>
        <v>#VALUE!</v>
      </c>
      <c r="N209" t="e">
        <f>'Actual Value'!H247+"AM:!)hb"</f>
        <v>#VALUE!</v>
      </c>
      <c r="O209" t="e">
        <f>'Actual Value'!I247+"AM:!)hc"</f>
        <v>#VALUE!</v>
      </c>
      <c r="P209" t="e">
        <f>'Actual Value'!J247+"AM:!)hd"</f>
        <v>#VALUE!</v>
      </c>
      <c r="Q209" t="e">
        <f>'Actual Value'!K247+"AM:!)he"</f>
        <v>#VALUE!</v>
      </c>
      <c r="R209" t="e">
        <f>'Actual Value'!L247+"AM:!)hf"</f>
        <v>#VALUE!</v>
      </c>
      <c r="S209" t="e">
        <f>'Actual Value'!M247+"AM:!)hg"</f>
        <v>#VALUE!</v>
      </c>
      <c r="T209" t="e">
        <f>'Actual Value'!N247+"AM:!)hh"</f>
        <v>#VALUE!</v>
      </c>
      <c r="U209" t="e">
        <f>'Actual Value'!O247+"AM:!)hi"</f>
        <v>#VALUE!</v>
      </c>
      <c r="V209" t="e">
        <f>'Actual Value'!P247+"AM:!)hj"</f>
        <v>#VALUE!</v>
      </c>
      <c r="W209" t="e">
        <f>'Actual Value'!Q247+"AM:!)hk"</f>
        <v>#VALUE!</v>
      </c>
      <c r="X209" t="e">
        <f>'Actual Value'!R247+"AM:!)hl"</f>
        <v>#VALUE!</v>
      </c>
      <c r="Y209" t="e">
        <f>'Actual Value'!S247+"AM:!)hm"</f>
        <v>#VALUE!</v>
      </c>
      <c r="Z209" t="e">
        <f>'Actual Value'!T247+"AM:!)hn"</f>
        <v>#VALUE!</v>
      </c>
      <c r="AA209" t="e">
        <f>'Actual Value'!U247+"AM:!)ho"</f>
        <v>#VALUE!</v>
      </c>
      <c r="AB209" t="e">
        <f>'Actual Value'!V247+"AM:!)hp"</f>
        <v>#VALUE!</v>
      </c>
      <c r="AC209" t="e">
        <f>'Actual Value'!W247+"AM:!)hq"</f>
        <v>#VALUE!</v>
      </c>
      <c r="AD209" t="e">
        <f>'Actual Value'!X247+"AM:!)hr"</f>
        <v>#VALUE!</v>
      </c>
      <c r="AE209" t="e">
        <f>'Actual Value'!Y247+"AM:!)hs"</f>
        <v>#VALUE!</v>
      </c>
      <c r="AF209" t="e">
        <f>'Actual Value'!Z247+"AM:!)ht"</f>
        <v>#VALUE!</v>
      </c>
      <c r="AG209" t="e">
        <f>'Actual Value'!AA247+"AM:!)hu"</f>
        <v>#VALUE!</v>
      </c>
      <c r="AH209" t="e">
        <f>'Actual Value'!AB247+"AM:!)hv"</f>
        <v>#VALUE!</v>
      </c>
      <c r="AI209" t="e">
        <f>'Actual Value'!AC247+"AM:!)hw"</f>
        <v>#VALUE!</v>
      </c>
      <c r="AJ209" t="e">
        <f>'Actual Value'!AD247+"AM:!)hx"</f>
        <v>#VALUE!</v>
      </c>
      <c r="AK209" t="e">
        <f>'Actual Value'!AE247+"AM:!)hy"</f>
        <v>#VALUE!</v>
      </c>
      <c r="AL209" t="e">
        <f>'Actual Value'!AF247+"AM:!)hz"</f>
        <v>#VALUE!</v>
      </c>
      <c r="AM209" t="e">
        <f>'Actual Value'!AG247+"AM:!)h{"</f>
        <v>#VALUE!</v>
      </c>
      <c r="AN209" t="e">
        <f>'Actual Value'!AH247+"AM:!)h|"</f>
        <v>#VALUE!</v>
      </c>
      <c r="AO209" t="e">
        <f>'Actual Value'!AI247+"AM:!)h}"</f>
        <v>#VALUE!</v>
      </c>
      <c r="AP209" t="e">
        <f>'Actual Value'!AJ247+"AM:!)h~"</f>
        <v>#VALUE!</v>
      </c>
      <c r="AQ209" t="e">
        <f>'Actual Value'!AK247+"AM:!)i#"</f>
        <v>#VALUE!</v>
      </c>
      <c r="AR209" t="e">
        <f>'Actual Value'!AL247+"AM:!)i$"</f>
        <v>#VALUE!</v>
      </c>
      <c r="AS209" t="e">
        <f>'Actual Value'!AM247+"AM:!)i%"</f>
        <v>#VALUE!</v>
      </c>
      <c r="AT209" t="e">
        <f>'Actual Value'!AN247+"AM:!)i&amp;"</f>
        <v>#VALUE!</v>
      </c>
      <c r="AU209" t="e">
        <f>'Actual Value'!AO247+"AM:!)i'"</f>
        <v>#VALUE!</v>
      </c>
      <c r="AV209" t="e">
        <f>'Actual Value'!AP247+"AM:!)i("</f>
        <v>#VALUE!</v>
      </c>
      <c r="AW209" t="e">
        <f>'Actual Value'!AQ247+"AM:!)i)"</f>
        <v>#VALUE!</v>
      </c>
      <c r="AX209" t="e">
        <f>'Actual Value'!AR247+"AM:!)i."</f>
        <v>#VALUE!</v>
      </c>
      <c r="AY209" t="e">
        <f>'Actual Value'!AS247+"AM:!)i/"</f>
        <v>#VALUE!</v>
      </c>
      <c r="AZ209" t="e">
        <f>'Actual Value'!AT247+"AM:!)i0"</f>
        <v>#VALUE!</v>
      </c>
      <c r="BA209" t="e">
        <f>'Actual Value'!AU247+"AM:!)i1"</f>
        <v>#VALUE!</v>
      </c>
      <c r="BB209" t="e">
        <f>'Actual Value'!AV247+"AM:!)i2"</f>
        <v>#VALUE!</v>
      </c>
      <c r="BC209" t="e">
        <f>'Actual Value'!AW247+"AM:!)i3"</f>
        <v>#VALUE!</v>
      </c>
      <c r="BD209" t="e">
        <f>'Actual Value'!A248+"AM:!)i4"</f>
        <v>#VALUE!</v>
      </c>
      <c r="BE209" t="e">
        <f>'Actual Value'!B248+"AM:!)i5"</f>
        <v>#VALUE!</v>
      </c>
      <c r="BF209" t="e">
        <f>'Actual Value'!C248+"AM:!)i6"</f>
        <v>#VALUE!</v>
      </c>
      <c r="BG209" s="105" t="e">
        <f>'Actual Value'!D248+"AM:!)i7"</f>
        <v>#VALUE!</v>
      </c>
      <c r="BH209" s="105" t="e">
        <f>'Actual Value'!E248+"AM:!)i8"</f>
        <v>#VALUE!</v>
      </c>
      <c r="BI209" s="105" t="e">
        <f>'Actual Value'!F248+"AM:!)i9"</f>
        <v>#VALUE!</v>
      </c>
      <c r="BJ209" s="105" t="e">
        <f>'Actual Value'!G248+"AM:!)i:"</f>
        <v>#VALUE!</v>
      </c>
      <c r="BK209" s="105" t="e">
        <f>'Actual Value'!H248+"AM:!)i;"</f>
        <v>#VALUE!</v>
      </c>
      <c r="BL209" s="105" t="e">
        <f>'Actual Value'!I248+"AM:!)i&lt;"</f>
        <v>#VALUE!</v>
      </c>
      <c r="BM209" s="105" t="e">
        <f>'Actual Value'!J248+"AM:!)i="</f>
        <v>#VALUE!</v>
      </c>
      <c r="BN209" s="105" t="e">
        <f>'Actual Value'!K248+"AM:!)i&gt;"</f>
        <v>#VALUE!</v>
      </c>
      <c r="BO209" s="105" t="e">
        <f>'Actual Value'!L248+"AM:!)i?"</f>
        <v>#VALUE!</v>
      </c>
      <c r="BP209" s="105" t="e">
        <f>'Actual Value'!M248+"AM:!)i@"</f>
        <v>#VALUE!</v>
      </c>
      <c r="BQ209" s="105" t="e">
        <f>'Actual Value'!N248+"AM:!)iA"</f>
        <v>#VALUE!</v>
      </c>
      <c r="BR209" s="105" t="e">
        <f>'Actual Value'!O248+"AM:!)iB"</f>
        <v>#VALUE!</v>
      </c>
      <c r="BS209" s="105" t="e">
        <f>'Actual Value'!P248+"AM:!)iC"</f>
        <v>#VALUE!</v>
      </c>
      <c r="BT209" s="105" t="e">
        <f>'Actual Value'!Q248+"AM:!)iD"</f>
        <v>#VALUE!</v>
      </c>
      <c r="BU209" s="105" t="e">
        <f>'Actual Value'!R248+"AM:!)iE"</f>
        <v>#VALUE!</v>
      </c>
      <c r="BV209" s="105" t="e">
        <f>'Actual Value'!S248+"AM:!)iF"</f>
        <v>#VALUE!</v>
      </c>
      <c r="BW209" s="105" t="e">
        <f>'Actual Value'!T248+"AM:!)iG"</f>
        <v>#VALUE!</v>
      </c>
      <c r="BX209" s="105" t="e">
        <f>'Actual Value'!U248+"AM:!)iH"</f>
        <v>#VALUE!</v>
      </c>
      <c r="BY209" s="105" t="e">
        <f>'Actual Value'!V248+"AM:!)iI"</f>
        <v>#VALUE!</v>
      </c>
      <c r="BZ209" s="105" t="e">
        <f>'Actual Value'!W248+"AM:!)iJ"</f>
        <v>#VALUE!</v>
      </c>
      <c r="CA209" s="105" t="e">
        <f>'Actual Value'!X248+"AM:!)iK"</f>
        <v>#VALUE!</v>
      </c>
      <c r="CB209" s="105" t="e">
        <f>'Actual Value'!Y248+"AM:!)iL"</f>
        <v>#VALUE!</v>
      </c>
      <c r="CC209" s="105" t="e">
        <f>'Actual Value'!Z248+"AM:!)iM"</f>
        <v>#VALUE!</v>
      </c>
      <c r="CD209" s="105" t="e">
        <f>'Actual Value'!AA248+"AM:!)iN"</f>
        <v>#VALUE!</v>
      </c>
      <c r="CE209" s="105" t="e">
        <f>'Actual Value'!AB248+"AM:!)iO"</f>
        <v>#VALUE!</v>
      </c>
      <c r="CF209" s="105" t="e">
        <f>'Actual Value'!AC248+"AM:!)iP"</f>
        <v>#VALUE!</v>
      </c>
      <c r="CG209" s="105" t="e">
        <f>'Actual Value'!AD248+"AM:!)iQ"</f>
        <v>#VALUE!</v>
      </c>
      <c r="CH209" s="105" t="e">
        <f>'Actual Value'!AE248+"AM:!)iR"</f>
        <v>#VALUE!</v>
      </c>
      <c r="CI209" s="105" t="e">
        <f>'Actual Value'!AF248+"AM:!)iS"</f>
        <v>#VALUE!</v>
      </c>
      <c r="CJ209" s="105" t="e">
        <f>'Actual Value'!AG248+"AM:!)iT"</f>
        <v>#VALUE!</v>
      </c>
      <c r="CK209" s="105" t="e">
        <f>'Actual Value'!AH248+"AM:!)iU"</f>
        <v>#VALUE!</v>
      </c>
      <c r="CL209" s="105" t="e">
        <f>'Actual Value'!AI248+"AM:!)iV"</f>
        <v>#VALUE!</v>
      </c>
      <c r="CM209" s="105" t="e">
        <f>'Actual Value'!AJ248+"AM:!)iW"</f>
        <v>#VALUE!</v>
      </c>
      <c r="CN209" s="105" t="e">
        <f>'Actual Value'!AK248+"AM:!)iX"</f>
        <v>#VALUE!</v>
      </c>
      <c r="CO209" s="105" t="e">
        <f>'Actual Value'!AL248+"AM:!)iY"</f>
        <v>#VALUE!</v>
      </c>
      <c r="CP209" s="105" t="e">
        <f>'Actual Value'!AM248+"AM:!)iZ"</f>
        <v>#VALUE!</v>
      </c>
      <c r="CQ209" s="105" t="e">
        <f>'Actual Value'!AN248+"AM:!)i["</f>
        <v>#VALUE!</v>
      </c>
      <c r="CR209" s="105" t="e">
        <f>'Actual Value'!AO248+"AM:!)i\"</f>
        <v>#VALUE!</v>
      </c>
      <c r="CS209" t="e">
        <f>'Actual Value'!AP248+"AM:!)i]"</f>
        <v>#VALUE!</v>
      </c>
      <c r="CT209" s="100" t="e">
        <f>'Actual Value'!AQ248+"AM:!)i^"</f>
        <v>#VALUE!</v>
      </c>
      <c r="CU209" s="100" t="e">
        <f>'Actual Value'!AR248+"AM:!)i_"</f>
        <v>#VALUE!</v>
      </c>
      <c r="CV209" s="100" t="e">
        <f>'Actual Value'!AS248+"AM:!)i`"</f>
        <v>#VALUE!</v>
      </c>
      <c r="CW209" s="100" t="e">
        <f>'Actual Value'!AT248+"AM:!)ia"</f>
        <v>#VALUE!</v>
      </c>
      <c r="CX209" s="100" t="e">
        <f>'Actual Value'!AU248+"AM:!)ib"</f>
        <v>#VALUE!</v>
      </c>
      <c r="CY209" t="e">
        <f>'Actual Value'!AV248+"AM:!)ic"</f>
        <v>#VALUE!</v>
      </c>
      <c r="CZ209" t="e">
        <f>'Actual Value'!AW248+"AM:!)id"</f>
        <v>#VALUE!</v>
      </c>
      <c r="DA209" t="e">
        <f>'Actual Value'!A249+"AM:!)ie"</f>
        <v>#VALUE!</v>
      </c>
      <c r="DB209" t="e">
        <f>'Actual Value'!B249+"AM:!)if"</f>
        <v>#VALUE!</v>
      </c>
      <c r="DC209" t="e">
        <f>'Actual Value'!C249+"AM:!)ig"</f>
        <v>#VALUE!</v>
      </c>
      <c r="DD209" s="97" t="e">
        <f>'Actual Value'!D249+"AM:!)ih"</f>
        <v>#VALUE!</v>
      </c>
      <c r="DE209" s="97" t="e">
        <f>'Actual Value'!E249+"AM:!)ii"</f>
        <v>#VALUE!</v>
      </c>
      <c r="DF209" s="97" t="e">
        <f>'Actual Value'!F249+"AM:!)ij"</f>
        <v>#VALUE!</v>
      </c>
      <c r="DG209" s="97" t="e">
        <f>'Actual Value'!G249+"AM:!)ik"</f>
        <v>#VALUE!</v>
      </c>
      <c r="DH209" s="97" t="e">
        <f>'Actual Value'!H249+"AM:!)il"</f>
        <v>#VALUE!</v>
      </c>
      <c r="DI209" s="97" t="e">
        <f>'Actual Value'!I249+"AM:!)im"</f>
        <v>#VALUE!</v>
      </c>
      <c r="DJ209" s="97" t="e">
        <f>'Actual Value'!J249+"AM:!)in"</f>
        <v>#VALUE!</v>
      </c>
      <c r="DK209" s="97" t="e">
        <f>'Actual Value'!K249+"AM:!)io"</f>
        <v>#VALUE!</v>
      </c>
      <c r="DL209" s="97" t="e">
        <f>'Actual Value'!L249+"AM:!)ip"</f>
        <v>#VALUE!</v>
      </c>
      <c r="DM209" s="97" t="e">
        <f>'Actual Value'!M249+"AM:!)iq"</f>
        <v>#VALUE!</v>
      </c>
      <c r="DN209" s="97" t="e">
        <f>'Actual Value'!N249+"AM:!)ir"</f>
        <v>#VALUE!</v>
      </c>
      <c r="DO209" s="97" t="e">
        <f>'Actual Value'!O249+"AM:!)is"</f>
        <v>#VALUE!</v>
      </c>
      <c r="DP209" s="97" t="e">
        <f>'Actual Value'!P249+"AM:!)it"</f>
        <v>#VALUE!</v>
      </c>
      <c r="DQ209" s="97" t="e">
        <f>'Actual Value'!Q249+"AM:!)iu"</f>
        <v>#VALUE!</v>
      </c>
      <c r="DR209" s="97" t="e">
        <f>'Actual Value'!R249+"AM:!)iv"</f>
        <v>#VALUE!</v>
      </c>
      <c r="DS209" s="97" t="e">
        <f>'Actual Value'!S249+"AM:!)iw"</f>
        <v>#VALUE!</v>
      </c>
      <c r="DT209" s="97" t="e">
        <f>'Actual Value'!T249+"AM:!)ix"</f>
        <v>#VALUE!</v>
      </c>
      <c r="DU209" s="97" t="e">
        <f>'Actual Value'!U249+"AM:!)iy"</f>
        <v>#VALUE!</v>
      </c>
      <c r="DV209" s="97" t="e">
        <f>'Actual Value'!V249+"AM:!)iz"</f>
        <v>#VALUE!</v>
      </c>
      <c r="DW209" s="97" t="e">
        <f>'Actual Value'!W249+"AM:!)i{"</f>
        <v>#VALUE!</v>
      </c>
      <c r="DX209" s="97" t="e">
        <f>'Actual Value'!X249+"AM:!)i|"</f>
        <v>#VALUE!</v>
      </c>
      <c r="DY209" s="97" t="e">
        <f>'Actual Value'!Y249+"AM:!)i}"</f>
        <v>#VALUE!</v>
      </c>
      <c r="DZ209" s="97" t="e">
        <f>'Actual Value'!Z249+"AM:!)i~"</f>
        <v>#VALUE!</v>
      </c>
      <c r="EA209" s="97" t="e">
        <f>'Actual Value'!AA249+"AM:!)j#"</f>
        <v>#VALUE!</v>
      </c>
      <c r="EB209" s="97" t="e">
        <f>'Actual Value'!AB249+"AM:!)j$"</f>
        <v>#VALUE!</v>
      </c>
      <c r="EC209" s="97" t="e">
        <f>'Actual Value'!AC249+"AM:!)j%"</f>
        <v>#VALUE!</v>
      </c>
      <c r="ED209" s="97" t="e">
        <f>'Actual Value'!AD249+"AM:!)j&amp;"</f>
        <v>#VALUE!</v>
      </c>
      <c r="EE209" s="97" t="e">
        <f>'Actual Value'!AE249+"AM:!)j'"</f>
        <v>#VALUE!</v>
      </c>
      <c r="EF209" s="97" t="e">
        <f>'Actual Value'!AF249+"AM:!)j("</f>
        <v>#VALUE!</v>
      </c>
      <c r="EG209" s="97" t="e">
        <f>'Actual Value'!AG249+"AM:!)j)"</f>
        <v>#VALUE!</v>
      </c>
      <c r="EH209" s="97" t="e">
        <f>'Actual Value'!AH249+"AM:!)j."</f>
        <v>#VALUE!</v>
      </c>
      <c r="EI209" s="97" t="e">
        <f>'Actual Value'!AI249+"AM:!)j/"</f>
        <v>#VALUE!</v>
      </c>
      <c r="EJ209" s="97" t="e">
        <f>'Actual Value'!AJ249+"AM:!)j0"</f>
        <v>#VALUE!</v>
      </c>
      <c r="EK209" s="97" t="e">
        <f>'Actual Value'!AK249+"AM:!)j1"</f>
        <v>#VALUE!</v>
      </c>
      <c r="EL209" s="97" t="e">
        <f>'Actual Value'!AL249+"AM:!)j2"</f>
        <v>#VALUE!</v>
      </c>
      <c r="EM209" s="97" t="e">
        <f>'Actual Value'!AM249+"AM:!)j3"</f>
        <v>#VALUE!</v>
      </c>
      <c r="EN209" s="97" t="e">
        <f>'Actual Value'!AN249+"AM:!)j4"</f>
        <v>#VALUE!</v>
      </c>
      <c r="EO209" s="97" t="e">
        <f>'Actual Value'!AO249+"AM:!)j5"</f>
        <v>#VALUE!</v>
      </c>
      <c r="EP209" t="e">
        <f>'Actual Value'!AP249+"AM:!)j6"</f>
        <v>#VALUE!</v>
      </c>
      <c r="EQ209" t="e">
        <f>'Actual Value'!AQ249+"AM:!)j7"</f>
        <v>#VALUE!</v>
      </c>
      <c r="ER209" t="e">
        <f>'Actual Value'!AR249+"AM:!)j8"</f>
        <v>#VALUE!</v>
      </c>
      <c r="ES209" s="97" t="e">
        <f>'Actual Value'!AS249+"AM:!)j9"</f>
        <v>#VALUE!</v>
      </c>
      <c r="ET209" t="e">
        <f>'Actual Value'!AT249+"AM:!)j:"</f>
        <v>#VALUE!</v>
      </c>
      <c r="EU209" t="e">
        <f>'Actual Value'!AU249+"AM:!)j;"</f>
        <v>#VALUE!</v>
      </c>
      <c r="EV209" t="e">
        <f>'Actual Value'!AV249+"AM:!)j&lt;"</f>
        <v>#VALUE!</v>
      </c>
      <c r="EW209" t="e">
        <f>'Actual Value'!AW249+"AM:!)j="</f>
        <v>#VALUE!</v>
      </c>
      <c r="EX209" t="e">
        <f>'Actual Value'!A250+"AM:!)j&gt;"</f>
        <v>#VALUE!</v>
      </c>
      <c r="EY209" t="e">
        <f>'Actual Value'!B250+"AM:!)j?"</f>
        <v>#VALUE!</v>
      </c>
      <c r="EZ209" t="e">
        <f>'Actual Value'!C250+"AM:!)j@"</f>
        <v>#VALUE!</v>
      </c>
      <c r="FA209" s="97" t="e">
        <f>'Actual Value'!D250+"AM:!)jA"</f>
        <v>#VALUE!</v>
      </c>
      <c r="FB209" s="97" t="e">
        <f>'Actual Value'!E250+"AM:!)jB"</f>
        <v>#VALUE!</v>
      </c>
      <c r="FC209" s="97" t="e">
        <f>'Actual Value'!F250+"AM:!)jC"</f>
        <v>#VALUE!</v>
      </c>
      <c r="FD209" s="97" t="e">
        <f>'Actual Value'!G250+"AM:!)jD"</f>
        <v>#VALUE!</v>
      </c>
      <c r="FE209" s="97" t="e">
        <f>'Actual Value'!H250+"AM:!)jE"</f>
        <v>#VALUE!</v>
      </c>
      <c r="FF209" s="97" t="e">
        <f>'Actual Value'!I250+"AM:!)jF"</f>
        <v>#VALUE!</v>
      </c>
      <c r="FG209" s="97" t="e">
        <f>'Actual Value'!J250+"AM:!)jG"</f>
        <v>#VALUE!</v>
      </c>
      <c r="FH209" s="97" t="e">
        <f>'Actual Value'!K250+"AM:!)jH"</f>
        <v>#VALUE!</v>
      </c>
      <c r="FI209" s="97" t="e">
        <f>'Actual Value'!L250+"AM:!)jI"</f>
        <v>#VALUE!</v>
      </c>
      <c r="FJ209" s="97" t="e">
        <f>'Actual Value'!M250+"AM:!)jJ"</f>
        <v>#VALUE!</v>
      </c>
      <c r="FK209" s="97" t="e">
        <f>'Actual Value'!N250+"AM:!)jK"</f>
        <v>#VALUE!</v>
      </c>
      <c r="FL209" s="97" t="e">
        <f>'Actual Value'!O250+"AM:!)jL"</f>
        <v>#VALUE!</v>
      </c>
      <c r="FM209" s="97" t="e">
        <f>'Actual Value'!P250+"AM:!)jM"</f>
        <v>#VALUE!</v>
      </c>
      <c r="FN209" s="97" t="e">
        <f>'Actual Value'!Q250+"AM:!)jN"</f>
        <v>#VALUE!</v>
      </c>
      <c r="FO209" s="97" t="e">
        <f>'Actual Value'!R250+"AM:!)jO"</f>
        <v>#VALUE!</v>
      </c>
      <c r="FP209" s="97" t="e">
        <f>'Actual Value'!S250+"AM:!)jP"</f>
        <v>#VALUE!</v>
      </c>
      <c r="FQ209" s="97" t="e">
        <f>'Actual Value'!T250+"AM:!)jQ"</f>
        <v>#VALUE!</v>
      </c>
      <c r="FR209" s="97" t="e">
        <f>'Actual Value'!U250+"AM:!)jR"</f>
        <v>#VALUE!</v>
      </c>
      <c r="FS209" s="97" t="e">
        <f>'Actual Value'!V250+"AM:!)jS"</f>
        <v>#VALUE!</v>
      </c>
      <c r="FT209" s="97" t="e">
        <f>'Actual Value'!W250+"AM:!)jT"</f>
        <v>#VALUE!</v>
      </c>
      <c r="FU209" s="97" t="e">
        <f>'Actual Value'!X250+"AM:!)jU"</f>
        <v>#VALUE!</v>
      </c>
      <c r="FV209" s="97" t="e">
        <f>'Actual Value'!Y250+"AM:!)jV"</f>
        <v>#VALUE!</v>
      </c>
      <c r="FW209" s="97" t="e">
        <f>'Actual Value'!Z250+"AM:!)jW"</f>
        <v>#VALUE!</v>
      </c>
      <c r="FX209" s="97" t="e">
        <f>'Actual Value'!AA250+"AM:!)jX"</f>
        <v>#VALUE!</v>
      </c>
      <c r="FY209" s="97" t="e">
        <f>'Actual Value'!AB250+"AM:!)jY"</f>
        <v>#VALUE!</v>
      </c>
      <c r="FZ209" s="97" t="e">
        <f>'Actual Value'!AC250+"AM:!)jZ"</f>
        <v>#VALUE!</v>
      </c>
      <c r="GA209" s="97" t="e">
        <f>'Actual Value'!AD250+"AM:!)j["</f>
        <v>#VALUE!</v>
      </c>
      <c r="GB209" s="97" t="e">
        <f>'Actual Value'!AE250+"AM:!)j\"</f>
        <v>#VALUE!</v>
      </c>
      <c r="GC209" s="97" t="e">
        <f>'Actual Value'!AF250+"AM:!)j]"</f>
        <v>#VALUE!</v>
      </c>
      <c r="GD209" s="97" t="e">
        <f>'Actual Value'!AG250+"AM:!)j^"</f>
        <v>#VALUE!</v>
      </c>
      <c r="GE209" s="97" t="e">
        <f>'Actual Value'!AH250+"AM:!)j_"</f>
        <v>#VALUE!</v>
      </c>
      <c r="GF209" s="97" t="e">
        <f>'Actual Value'!AI250+"AM:!)j`"</f>
        <v>#VALUE!</v>
      </c>
      <c r="GG209" s="97" t="e">
        <f>'Actual Value'!AJ250+"AM:!)ja"</f>
        <v>#VALUE!</v>
      </c>
      <c r="GH209" s="97" t="e">
        <f>'Actual Value'!AK250+"AM:!)jb"</f>
        <v>#VALUE!</v>
      </c>
      <c r="GI209" s="97" t="e">
        <f>'Actual Value'!AL250+"AM:!)jc"</f>
        <v>#VALUE!</v>
      </c>
      <c r="GJ209" s="97" t="e">
        <f>'Actual Value'!AM250+"AM:!)jd"</f>
        <v>#VALUE!</v>
      </c>
      <c r="GK209" s="97" t="e">
        <f>'Actual Value'!AN250+"AM:!)je"</f>
        <v>#VALUE!</v>
      </c>
      <c r="GL209" s="97" t="e">
        <f>'Actual Value'!AO250+"AM:!)jf"</f>
        <v>#VALUE!</v>
      </c>
      <c r="GM209" t="e">
        <f>'Actual Value'!AP250+"AM:!)jg"</f>
        <v>#VALUE!</v>
      </c>
      <c r="GN209" t="e">
        <f>'Actual Value'!AQ250+"AM:!)jh"</f>
        <v>#VALUE!</v>
      </c>
      <c r="GO209" t="e">
        <f>'Actual Value'!AR250+"AM:!)ji"</f>
        <v>#VALUE!</v>
      </c>
      <c r="GP209" s="97" t="e">
        <f>'Actual Value'!AS250+"AM:!)jj"</f>
        <v>#VALUE!</v>
      </c>
      <c r="GQ209" t="e">
        <f>'Actual Value'!AT250+"AM:!)jk"</f>
        <v>#VALUE!</v>
      </c>
      <c r="GR209" t="e">
        <f>'Actual Value'!AU250+"AM:!)jl"</f>
        <v>#VALUE!</v>
      </c>
      <c r="GS209" t="e">
        <f>'Actual Value'!AV250+"AM:!)jm"</f>
        <v>#VALUE!</v>
      </c>
      <c r="GT209" t="e">
        <f>'Actual Value'!AW250+"AM:!)jn"</f>
        <v>#VALUE!</v>
      </c>
      <c r="GU209" t="e">
        <f>'Actual Value'!A251+"AM:!)jo"</f>
        <v>#VALUE!</v>
      </c>
      <c r="GV209" t="e">
        <f>'Actual Value'!B251+"AM:!)jp"</f>
        <v>#VALUE!</v>
      </c>
      <c r="GW209" t="e">
        <f>'Actual Value'!C251+"AM:!)jq"</f>
        <v>#VALUE!</v>
      </c>
      <c r="GX209" s="97" t="e">
        <f>'Actual Value'!D251+"AM:!)jr"</f>
        <v>#VALUE!</v>
      </c>
      <c r="GY209" s="97" t="e">
        <f>'Actual Value'!E251+"AM:!)js"</f>
        <v>#VALUE!</v>
      </c>
      <c r="GZ209" s="97" t="e">
        <f>'Actual Value'!F251+"AM:!)jt"</f>
        <v>#VALUE!</v>
      </c>
      <c r="HA209" s="97" t="e">
        <f>'Actual Value'!G251+"AM:!)ju"</f>
        <v>#VALUE!</v>
      </c>
      <c r="HB209" s="97" t="e">
        <f>'Actual Value'!H251+"AM:!)jv"</f>
        <v>#VALUE!</v>
      </c>
      <c r="HC209" s="97" t="e">
        <f>'Actual Value'!I251+"AM:!)jw"</f>
        <v>#VALUE!</v>
      </c>
      <c r="HD209" s="97" t="e">
        <f>'Actual Value'!J251+"AM:!)jx"</f>
        <v>#VALUE!</v>
      </c>
      <c r="HE209" s="97" t="e">
        <f>'Actual Value'!K251+"AM:!)jy"</f>
        <v>#VALUE!</v>
      </c>
      <c r="HF209" s="97" t="e">
        <f>'Actual Value'!L251+"AM:!)jz"</f>
        <v>#VALUE!</v>
      </c>
      <c r="HG209" s="97" t="e">
        <f>'Actual Value'!M251+"AM:!)j{"</f>
        <v>#VALUE!</v>
      </c>
      <c r="HH209" s="97" t="e">
        <f>'Actual Value'!N251+"AM:!)j|"</f>
        <v>#VALUE!</v>
      </c>
      <c r="HI209" s="97" t="e">
        <f>'Actual Value'!O251+"AM:!)j}"</f>
        <v>#VALUE!</v>
      </c>
      <c r="HJ209" s="97" t="e">
        <f>'Actual Value'!P251+"AM:!)j~"</f>
        <v>#VALUE!</v>
      </c>
      <c r="HK209" s="97" t="e">
        <f>'Actual Value'!Q251+"AM:!)k#"</f>
        <v>#VALUE!</v>
      </c>
      <c r="HL209" s="97" t="e">
        <f>'Actual Value'!R251+"AM:!)k$"</f>
        <v>#VALUE!</v>
      </c>
      <c r="HM209" s="97" t="e">
        <f>'Actual Value'!S251+"AM:!)k%"</f>
        <v>#VALUE!</v>
      </c>
      <c r="HN209" s="97" t="e">
        <f>'Actual Value'!T251+"AM:!)k&amp;"</f>
        <v>#VALUE!</v>
      </c>
      <c r="HO209" s="97" t="e">
        <f>'Actual Value'!U251+"AM:!)k'"</f>
        <v>#VALUE!</v>
      </c>
      <c r="HP209" s="97" t="e">
        <f>'Actual Value'!V251+"AM:!)k("</f>
        <v>#VALUE!</v>
      </c>
      <c r="HQ209" s="97" t="e">
        <f>'Actual Value'!W251+"AM:!)k)"</f>
        <v>#VALUE!</v>
      </c>
      <c r="HR209" s="97" t="e">
        <f>'Actual Value'!X251+"AM:!)k."</f>
        <v>#VALUE!</v>
      </c>
      <c r="HS209" s="97" t="e">
        <f>'Actual Value'!Y251+"AM:!)k/"</f>
        <v>#VALUE!</v>
      </c>
      <c r="HT209" s="97" t="e">
        <f>'Actual Value'!Z251+"AM:!)k0"</f>
        <v>#VALUE!</v>
      </c>
      <c r="HU209" s="97" t="e">
        <f>'Actual Value'!AA251+"AM:!)k1"</f>
        <v>#VALUE!</v>
      </c>
      <c r="HV209" s="97" t="e">
        <f>'Actual Value'!AB251+"AM:!)k2"</f>
        <v>#VALUE!</v>
      </c>
      <c r="HW209" s="97" t="e">
        <f>'Actual Value'!AC251+"AM:!)k3"</f>
        <v>#VALUE!</v>
      </c>
      <c r="HX209" s="97" t="e">
        <f>'Actual Value'!AD251+"AM:!)k4"</f>
        <v>#VALUE!</v>
      </c>
      <c r="HY209" s="97" t="e">
        <f>'Actual Value'!AE251+"AM:!)k5"</f>
        <v>#VALUE!</v>
      </c>
      <c r="HZ209" s="97" t="e">
        <f>'Actual Value'!AF251+"AM:!)k6"</f>
        <v>#VALUE!</v>
      </c>
      <c r="IA209" s="97" t="e">
        <f>'Actual Value'!AG251+"AM:!)k7"</f>
        <v>#VALUE!</v>
      </c>
      <c r="IB209" s="97" t="e">
        <f>'Actual Value'!AH251+"AM:!)k8"</f>
        <v>#VALUE!</v>
      </c>
      <c r="IC209" s="97" t="e">
        <f>'Actual Value'!AI251+"AM:!)k9"</f>
        <v>#VALUE!</v>
      </c>
      <c r="ID209" s="97" t="e">
        <f>'Actual Value'!AJ251+"AM:!)k:"</f>
        <v>#VALUE!</v>
      </c>
      <c r="IE209" s="97" t="e">
        <f>'Actual Value'!AK251+"AM:!)k;"</f>
        <v>#VALUE!</v>
      </c>
      <c r="IF209" s="97" t="e">
        <f>'Actual Value'!AL251+"AM:!)k&lt;"</f>
        <v>#VALUE!</v>
      </c>
      <c r="IG209" s="97" t="e">
        <f>'Actual Value'!AM251+"AM:!)k="</f>
        <v>#VALUE!</v>
      </c>
      <c r="IH209" s="97" t="e">
        <f>'Actual Value'!AN251+"AM:!)k&gt;"</f>
        <v>#VALUE!</v>
      </c>
      <c r="II209" s="97" t="e">
        <f>'Actual Value'!AO251+"AM:!)k?"</f>
        <v>#VALUE!</v>
      </c>
      <c r="IJ209" t="e">
        <f>'Actual Value'!AP251+"AM:!)k@"</f>
        <v>#VALUE!</v>
      </c>
      <c r="IK209" t="e">
        <f>'Actual Value'!AQ251+"AM:!)kA"</f>
        <v>#VALUE!</v>
      </c>
      <c r="IL209" t="e">
        <f>'Actual Value'!AR251+"AM:!)kB"</f>
        <v>#VALUE!</v>
      </c>
      <c r="IM209" t="e">
        <f>'Actual Value'!AS251+"AM:!)kC"</f>
        <v>#VALUE!</v>
      </c>
      <c r="IN209" t="e">
        <f>'Actual Value'!AT251+"AM:!)kD"</f>
        <v>#VALUE!</v>
      </c>
      <c r="IO209" t="e">
        <f>'Actual Value'!AU251+"AM:!)kE"</f>
        <v>#VALUE!</v>
      </c>
      <c r="IP209" t="e">
        <f>'Actual Value'!AV251+"AM:!)kF"</f>
        <v>#VALUE!</v>
      </c>
      <c r="IQ209" t="e">
        <f>'Actual Value'!AW251+"AM:!)kG"</f>
        <v>#VALUE!</v>
      </c>
      <c r="IR209" t="e">
        <f>'Actual Value'!A252+"AM:!)kH"</f>
        <v>#VALUE!</v>
      </c>
      <c r="IS209" t="e">
        <f>'Actual Value'!B252+"AM:!)kI"</f>
        <v>#VALUE!</v>
      </c>
      <c r="IT209" t="e">
        <f>'Actual Value'!C252+"AM:!)kJ"</f>
        <v>#VALUE!</v>
      </c>
      <c r="IU209" s="97" t="e">
        <f>'Actual Value'!D252+"AM:!)kK"</f>
        <v>#VALUE!</v>
      </c>
      <c r="IV209" s="97" t="e">
        <f>'Actual Value'!E252+"AM:!)kL"</f>
        <v>#VALUE!</v>
      </c>
    </row>
    <row r="210" spans="6:256">
      <c r="F210" s="97" t="e">
        <f>'Actual Value'!F252+"AM:!)kM"</f>
        <v>#VALUE!</v>
      </c>
      <c r="G210" s="97" t="e">
        <f>'Actual Value'!G252+"AM:!)kN"</f>
        <v>#VALUE!</v>
      </c>
      <c r="H210" s="97" t="e">
        <f>'Actual Value'!H252+"AM:!)kO"</f>
        <v>#VALUE!</v>
      </c>
      <c r="I210" s="97" t="e">
        <f>'Actual Value'!I252+"AM:!)kP"</f>
        <v>#VALUE!</v>
      </c>
      <c r="J210" s="97" t="e">
        <f>'Actual Value'!J252+"AM:!)kQ"</f>
        <v>#VALUE!</v>
      </c>
      <c r="K210" s="97" t="e">
        <f>'Actual Value'!K252+"AM:!)kR"</f>
        <v>#VALUE!</v>
      </c>
      <c r="L210" s="97" t="e">
        <f>'Actual Value'!L252+"AM:!)kS"</f>
        <v>#VALUE!</v>
      </c>
      <c r="M210" s="97" t="e">
        <f>'Actual Value'!M252+"AM:!)kT"</f>
        <v>#VALUE!</v>
      </c>
      <c r="N210" s="97" t="e">
        <f>'Actual Value'!N252+"AM:!)kU"</f>
        <v>#VALUE!</v>
      </c>
      <c r="O210" s="97" t="e">
        <f>'Actual Value'!O252+"AM:!)kV"</f>
        <v>#VALUE!</v>
      </c>
      <c r="P210" s="97" t="e">
        <f>'Actual Value'!P252+"AM:!)kW"</f>
        <v>#VALUE!</v>
      </c>
      <c r="Q210" s="97" t="e">
        <f>'Actual Value'!Q252+"AM:!)kX"</f>
        <v>#VALUE!</v>
      </c>
      <c r="R210" s="97" t="e">
        <f>'Actual Value'!R252+"AM:!)kY"</f>
        <v>#VALUE!</v>
      </c>
      <c r="S210" s="97" t="e">
        <f>'Actual Value'!S252+"AM:!)kZ"</f>
        <v>#VALUE!</v>
      </c>
      <c r="T210" s="97" t="e">
        <f>'Actual Value'!T252+"AM:!)k["</f>
        <v>#VALUE!</v>
      </c>
      <c r="U210" s="97" t="e">
        <f>'Actual Value'!U252+"AM:!)k\"</f>
        <v>#VALUE!</v>
      </c>
      <c r="V210" s="97" t="e">
        <f>'Actual Value'!V252+"AM:!)k]"</f>
        <v>#VALUE!</v>
      </c>
      <c r="W210" s="97" t="e">
        <f>'Actual Value'!W252+"AM:!)k^"</f>
        <v>#VALUE!</v>
      </c>
      <c r="X210" s="97" t="e">
        <f>'Actual Value'!X252+"AM:!)k_"</f>
        <v>#VALUE!</v>
      </c>
      <c r="Y210" s="97" t="e">
        <f>'Actual Value'!Y252+"AM:!)k`"</f>
        <v>#VALUE!</v>
      </c>
      <c r="Z210" s="97" t="e">
        <f>'Actual Value'!Z252+"AM:!)ka"</f>
        <v>#VALUE!</v>
      </c>
      <c r="AA210" s="97" t="e">
        <f>'Actual Value'!AA252+"AM:!)kb"</f>
        <v>#VALUE!</v>
      </c>
      <c r="AB210" s="97" t="e">
        <f>'Actual Value'!AB252+"AM:!)kc"</f>
        <v>#VALUE!</v>
      </c>
      <c r="AC210" s="97" t="e">
        <f>'Actual Value'!AC252+"AM:!)kd"</f>
        <v>#VALUE!</v>
      </c>
      <c r="AD210" s="97" t="e">
        <f>'Actual Value'!AD252+"AM:!)ke"</f>
        <v>#VALUE!</v>
      </c>
      <c r="AE210" s="97" t="e">
        <f>'Actual Value'!AE252+"AM:!)kf"</f>
        <v>#VALUE!</v>
      </c>
      <c r="AF210" s="97" t="e">
        <f>'Actual Value'!AF252+"AM:!)kg"</f>
        <v>#VALUE!</v>
      </c>
      <c r="AG210" s="97" t="e">
        <f>'Actual Value'!AG252+"AM:!)kh"</f>
        <v>#VALUE!</v>
      </c>
      <c r="AH210" s="97" t="e">
        <f>'Actual Value'!AH252+"AM:!)ki"</f>
        <v>#VALUE!</v>
      </c>
      <c r="AI210" s="97" t="e">
        <f>'Actual Value'!AI252+"AM:!)kj"</f>
        <v>#VALUE!</v>
      </c>
      <c r="AJ210" s="97" t="e">
        <f>'Actual Value'!AJ252+"AM:!)kk"</f>
        <v>#VALUE!</v>
      </c>
      <c r="AK210" s="97" t="e">
        <f>'Actual Value'!AK252+"AM:!)kl"</f>
        <v>#VALUE!</v>
      </c>
      <c r="AL210" s="97" t="e">
        <f>'Actual Value'!AL252+"AM:!)km"</f>
        <v>#VALUE!</v>
      </c>
      <c r="AM210" s="97" t="e">
        <f>'Actual Value'!AM252+"AM:!)kn"</f>
        <v>#VALUE!</v>
      </c>
      <c r="AN210" s="97" t="e">
        <f>'Actual Value'!AN252+"AM:!)ko"</f>
        <v>#VALUE!</v>
      </c>
      <c r="AO210" s="97" t="e">
        <f>'Actual Value'!AO252+"AM:!)kp"</f>
        <v>#VALUE!</v>
      </c>
      <c r="AP210" t="e">
        <f>'Actual Value'!AP252+"AM:!)kq"</f>
        <v>#VALUE!</v>
      </c>
      <c r="AQ210" t="e">
        <f>'Actual Value'!AQ252+"AM:!)kr"</f>
        <v>#VALUE!</v>
      </c>
      <c r="AR210" t="e">
        <f>'Actual Value'!AR252+"AM:!)ks"</f>
        <v>#VALUE!</v>
      </c>
      <c r="AS210" t="e">
        <f>'Actual Value'!AS252+"AM:!)kt"</f>
        <v>#VALUE!</v>
      </c>
      <c r="AT210" t="e">
        <f>'Actual Value'!AT252+"AM:!)ku"</f>
        <v>#VALUE!</v>
      </c>
      <c r="AU210" t="e">
        <f>'Actual Value'!AU252+"AM:!)kv"</f>
        <v>#VALUE!</v>
      </c>
      <c r="AV210" t="e">
        <f>'Actual Value'!AV252+"AM:!)kw"</f>
        <v>#VALUE!</v>
      </c>
      <c r="AW210" t="e">
        <f>'Actual Value'!AW252+"AM:!)kx"</f>
        <v>#VALUE!</v>
      </c>
      <c r="AX210" t="e">
        <f>'Actual Value'!AX252+"AM:!)ky"</f>
        <v>#VALUE!</v>
      </c>
      <c r="AY210" t="e">
        <f>'Actual Value'!A253+"AM:!)kz"</f>
        <v>#VALUE!</v>
      </c>
      <c r="AZ210" t="e">
        <f>'Actual Value'!B253+"AM:!)k{"</f>
        <v>#VALUE!</v>
      </c>
      <c r="BA210" t="e">
        <f>'Actual Value'!C253+"AM:!)k|"</f>
        <v>#VALUE!</v>
      </c>
      <c r="BB210" s="97" t="e">
        <f>'Actual Value'!D253+"AM:!)k}"</f>
        <v>#VALUE!</v>
      </c>
      <c r="BC210" s="97" t="e">
        <f>'Actual Value'!E253+"AM:!)k~"</f>
        <v>#VALUE!</v>
      </c>
      <c r="BD210" s="97" t="e">
        <f>'Actual Value'!F253+"AM:!)l#"</f>
        <v>#VALUE!</v>
      </c>
      <c r="BE210" s="97" t="e">
        <f>'Actual Value'!G253+"AM:!)l$"</f>
        <v>#VALUE!</v>
      </c>
      <c r="BF210" s="97" t="e">
        <f>'Actual Value'!H253+"AM:!)l%"</f>
        <v>#VALUE!</v>
      </c>
      <c r="BG210" s="97" t="e">
        <f>'Actual Value'!I253+"AM:!)l&amp;"</f>
        <v>#VALUE!</v>
      </c>
      <c r="BH210" s="97" t="e">
        <f>'Actual Value'!J253+"AM:!)l'"</f>
        <v>#VALUE!</v>
      </c>
      <c r="BI210" s="97" t="e">
        <f>'Actual Value'!K253+"AM:!)l("</f>
        <v>#VALUE!</v>
      </c>
      <c r="BJ210" s="97" t="e">
        <f>'Actual Value'!L253+"AM:!)l)"</f>
        <v>#VALUE!</v>
      </c>
      <c r="BK210" s="97" t="e">
        <f>'Actual Value'!M253+"AM:!)l."</f>
        <v>#VALUE!</v>
      </c>
      <c r="BL210" s="97" t="e">
        <f>'Actual Value'!N253+"AM:!)l/"</f>
        <v>#VALUE!</v>
      </c>
      <c r="BM210" s="97" t="e">
        <f>'Actual Value'!O253+"AM:!)l0"</f>
        <v>#VALUE!</v>
      </c>
      <c r="BN210" s="97" t="e">
        <f>'Actual Value'!P253+"AM:!)l1"</f>
        <v>#VALUE!</v>
      </c>
      <c r="BO210" s="97" t="e">
        <f>'Actual Value'!Q253+"AM:!)l2"</f>
        <v>#VALUE!</v>
      </c>
      <c r="BP210" s="97" t="e">
        <f>'Actual Value'!R253+"AM:!)l3"</f>
        <v>#VALUE!</v>
      </c>
      <c r="BQ210" s="97" t="e">
        <f>'Actual Value'!S253+"AM:!)l4"</f>
        <v>#VALUE!</v>
      </c>
      <c r="BR210" s="97" t="e">
        <f>'Actual Value'!T253+"AM:!)l5"</f>
        <v>#VALUE!</v>
      </c>
      <c r="BS210" s="97" t="e">
        <f>'Actual Value'!U253+"AM:!)l6"</f>
        <v>#VALUE!</v>
      </c>
      <c r="BT210" s="97" t="e">
        <f>'Actual Value'!V253+"AM:!)l7"</f>
        <v>#VALUE!</v>
      </c>
      <c r="BU210" s="97" t="e">
        <f>'Actual Value'!W253+"AM:!)l8"</f>
        <v>#VALUE!</v>
      </c>
      <c r="BV210" s="97" t="e">
        <f>'Actual Value'!X253+"AM:!)l9"</f>
        <v>#VALUE!</v>
      </c>
      <c r="BW210" s="97" t="e">
        <f>'Actual Value'!Y253+"AM:!)l:"</f>
        <v>#VALUE!</v>
      </c>
      <c r="BX210" s="97" t="e">
        <f>'Actual Value'!Z253+"AM:!)l;"</f>
        <v>#VALUE!</v>
      </c>
      <c r="BY210" s="97" t="e">
        <f>'Actual Value'!AA253+"AM:!)l&lt;"</f>
        <v>#VALUE!</v>
      </c>
      <c r="BZ210" s="97" t="e">
        <f>'Actual Value'!AB253+"AM:!)l="</f>
        <v>#VALUE!</v>
      </c>
      <c r="CA210" s="97" t="e">
        <f>'Actual Value'!AC253+"AM:!)l&gt;"</f>
        <v>#VALUE!</v>
      </c>
      <c r="CB210" s="97" t="e">
        <f>'Actual Value'!AD253+"AM:!)l?"</f>
        <v>#VALUE!</v>
      </c>
      <c r="CC210" s="97" t="e">
        <f>'Actual Value'!AE253+"AM:!)l@"</f>
        <v>#VALUE!</v>
      </c>
      <c r="CD210" s="97" t="e">
        <f>'Actual Value'!AF253+"AM:!)lA"</f>
        <v>#VALUE!</v>
      </c>
      <c r="CE210" s="97" t="e">
        <f>'Actual Value'!AG253+"AM:!)lB"</f>
        <v>#VALUE!</v>
      </c>
      <c r="CF210" s="97" t="e">
        <f>'Actual Value'!AH253+"AM:!)lC"</f>
        <v>#VALUE!</v>
      </c>
      <c r="CG210" s="97" t="e">
        <f>'Actual Value'!AI253+"AM:!)lD"</f>
        <v>#VALUE!</v>
      </c>
      <c r="CH210" s="97" t="e">
        <f>'Actual Value'!AJ253+"AM:!)lE"</f>
        <v>#VALUE!</v>
      </c>
      <c r="CI210" s="97" t="e">
        <f>'Actual Value'!AK253+"AM:!)lF"</f>
        <v>#VALUE!</v>
      </c>
      <c r="CJ210" s="97" t="e">
        <f>'Actual Value'!AL253+"AM:!)lG"</f>
        <v>#VALUE!</v>
      </c>
      <c r="CK210" s="97" t="e">
        <f>'Actual Value'!AM253+"AM:!)lH"</f>
        <v>#VALUE!</v>
      </c>
      <c r="CL210" s="97" t="e">
        <f>'Actual Value'!AN253+"AM:!)lI"</f>
        <v>#VALUE!</v>
      </c>
      <c r="CM210" s="97" t="e">
        <f>'Actual Value'!AO253+"AM:!)lJ"</f>
        <v>#VALUE!</v>
      </c>
      <c r="CN210" t="e">
        <f>'Actual Value'!AP253+"AM:!)lK"</f>
        <v>#VALUE!</v>
      </c>
      <c r="CO210" t="e">
        <f>'Actual Value'!AQ253+"AM:!)lL"</f>
        <v>#VALUE!</v>
      </c>
      <c r="CP210" t="e">
        <f>'Actual Value'!AR253+"AM:!)lM"</f>
        <v>#VALUE!</v>
      </c>
      <c r="CQ210" t="e">
        <f>'Actual Value'!AS253+"AM:!)lN"</f>
        <v>#VALUE!</v>
      </c>
      <c r="CR210" t="e">
        <f>'Actual Value'!AT253+"AM:!)lO"</f>
        <v>#VALUE!</v>
      </c>
      <c r="CS210" t="e">
        <f>'Actual Value'!AU253+"AM:!)lP"</f>
        <v>#VALUE!</v>
      </c>
      <c r="CT210" t="e">
        <f>'Actual Value'!AV253+"AM:!)lQ"</f>
        <v>#VALUE!</v>
      </c>
      <c r="CU210" t="e">
        <f>'Actual Value'!AW253+"AM:!)lR"</f>
        <v>#VALUE!</v>
      </c>
      <c r="CV210" t="e">
        <f>'Actual Value'!AX253+"AM:!)lS"</f>
        <v>#VALUE!</v>
      </c>
      <c r="CW210" t="e">
        <f>'Actual Value'!A254+"AM:!)lT"</f>
        <v>#VALUE!</v>
      </c>
      <c r="CX210" t="e">
        <f>'Actual Value'!B254+"AM:!)lU"</f>
        <v>#VALUE!</v>
      </c>
      <c r="CY210" t="e">
        <f>'Actual Value'!C254+"AM:!)lV"</f>
        <v>#VALUE!</v>
      </c>
      <c r="CZ210" s="97" t="e">
        <f>'Actual Value'!D254+"AM:!)lW"</f>
        <v>#VALUE!</v>
      </c>
      <c r="DA210" s="97" t="e">
        <f>'Actual Value'!E254+"AM:!)lX"</f>
        <v>#VALUE!</v>
      </c>
      <c r="DB210" s="97" t="e">
        <f>'Actual Value'!F254+"AM:!)lY"</f>
        <v>#VALUE!</v>
      </c>
      <c r="DC210" s="97" t="e">
        <f>'Actual Value'!G254+"AM:!)lZ"</f>
        <v>#VALUE!</v>
      </c>
      <c r="DD210" s="97" t="e">
        <f>'Actual Value'!H254+"AM:!)l["</f>
        <v>#VALUE!</v>
      </c>
      <c r="DE210" s="97" t="e">
        <f>'Actual Value'!I254+"AM:!)l\"</f>
        <v>#VALUE!</v>
      </c>
      <c r="DF210" s="97" t="e">
        <f>'Actual Value'!J254+"AM:!)l]"</f>
        <v>#VALUE!</v>
      </c>
      <c r="DG210" s="97" t="e">
        <f>'Actual Value'!K254+"AM:!)l^"</f>
        <v>#VALUE!</v>
      </c>
      <c r="DH210" s="97" t="e">
        <f>'Actual Value'!L254+"AM:!)l_"</f>
        <v>#VALUE!</v>
      </c>
      <c r="DI210" s="97" t="e">
        <f>'Actual Value'!M254+"AM:!)l`"</f>
        <v>#VALUE!</v>
      </c>
      <c r="DJ210" s="97" t="e">
        <f>'Actual Value'!N254+"AM:!)la"</f>
        <v>#VALUE!</v>
      </c>
      <c r="DK210" s="97" t="e">
        <f>'Actual Value'!O254+"AM:!)lb"</f>
        <v>#VALUE!</v>
      </c>
      <c r="DL210" s="97" t="e">
        <f>'Actual Value'!P254+"AM:!)lc"</f>
        <v>#VALUE!</v>
      </c>
      <c r="DM210" s="97" t="e">
        <f>'Actual Value'!Q254+"AM:!)ld"</f>
        <v>#VALUE!</v>
      </c>
      <c r="DN210" s="97" t="e">
        <f>'Actual Value'!R254+"AM:!)le"</f>
        <v>#VALUE!</v>
      </c>
      <c r="DO210" s="97" t="e">
        <f>'Actual Value'!S254+"AM:!)lf"</f>
        <v>#VALUE!</v>
      </c>
      <c r="DP210" s="97" t="e">
        <f>'Actual Value'!T254+"AM:!)lg"</f>
        <v>#VALUE!</v>
      </c>
      <c r="DQ210" s="97" t="e">
        <f>'Actual Value'!U254+"AM:!)lh"</f>
        <v>#VALUE!</v>
      </c>
      <c r="DR210" s="97" t="e">
        <f>'Actual Value'!V254+"AM:!)li"</f>
        <v>#VALUE!</v>
      </c>
      <c r="DS210" s="97" t="e">
        <f>'Actual Value'!W254+"AM:!)lj"</f>
        <v>#VALUE!</v>
      </c>
      <c r="DT210" s="97" t="e">
        <f>'Actual Value'!X254+"AM:!)lk"</f>
        <v>#VALUE!</v>
      </c>
      <c r="DU210" s="97" t="e">
        <f>'Actual Value'!Y254+"AM:!)ll"</f>
        <v>#VALUE!</v>
      </c>
      <c r="DV210" s="97" t="e">
        <f>'Actual Value'!Z254+"AM:!)lm"</f>
        <v>#VALUE!</v>
      </c>
      <c r="DW210" s="97" t="e">
        <f>'Actual Value'!AA254+"AM:!)ln"</f>
        <v>#VALUE!</v>
      </c>
      <c r="DX210" s="97" t="e">
        <f>'Actual Value'!AB254+"AM:!)lo"</f>
        <v>#VALUE!</v>
      </c>
      <c r="DY210" s="97" t="e">
        <f>'Actual Value'!AC254+"AM:!)lp"</f>
        <v>#VALUE!</v>
      </c>
      <c r="DZ210" s="97" t="e">
        <f>'Actual Value'!AD254+"AM:!)lq"</f>
        <v>#VALUE!</v>
      </c>
      <c r="EA210" s="97" t="e">
        <f>'Actual Value'!AE254+"AM:!)lr"</f>
        <v>#VALUE!</v>
      </c>
      <c r="EB210" s="97" t="e">
        <f>'Actual Value'!AF254+"AM:!)ls"</f>
        <v>#VALUE!</v>
      </c>
      <c r="EC210" s="97" t="e">
        <f>'Actual Value'!AG254+"AM:!)lt"</f>
        <v>#VALUE!</v>
      </c>
      <c r="ED210" s="97" t="e">
        <f>'Actual Value'!AH254+"AM:!)lu"</f>
        <v>#VALUE!</v>
      </c>
      <c r="EE210" s="97" t="e">
        <f>'Actual Value'!AI254+"AM:!)lv"</f>
        <v>#VALUE!</v>
      </c>
      <c r="EF210" s="97" t="e">
        <f>'Actual Value'!AJ254+"AM:!)lw"</f>
        <v>#VALUE!</v>
      </c>
      <c r="EG210" s="97" t="e">
        <f>'Actual Value'!AK254+"AM:!)lx"</f>
        <v>#VALUE!</v>
      </c>
      <c r="EH210" s="97" t="e">
        <f>'Actual Value'!AL254+"AM:!)ly"</f>
        <v>#VALUE!</v>
      </c>
      <c r="EI210" s="97" t="e">
        <f>'Actual Value'!AM254+"AM:!)lz"</f>
        <v>#VALUE!</v>
      </c>
      <c r="EJ210" s="97" t="e">
        <f>'Actual Value'!AN254+"AM:!)l{"</f>
        <v>#VALUE!</v>
      </c>
      <c r="EK210" s="97" t="e">
        <f>'Actual Value'!AO254+"AM:!)l|"</f>
        <v>#VALUE!</v>
      </c>
      <c r="EL210" t="e">
        <f>'Actual Value'!AP254+"AM:!)l}"</f>
        <v>#VALUE!</v>
      </c>
      <c r="EM210" t="e">
        <f>'Actual Value'!AQ254+"AM:!)l~"</f>
        <v>#VALUE!</v>
      </c>
      <c r="EN210" t="e">
        <f>'Actual Value'!AR254+"AM:!)m#"</f>
        <v>#VALUE!</v>
      </c>
      <c r="EO210" t="e">
        <f>'Actual Value'!AS254+"AM:!)m$"</f>
        <v>#VALUE!</v>
      </c>
      <c r="EP210" t="e">
        <f>'Actual Value'!AT254+"AM:!)m%"</f>
        <v>#VALUE!</v>
      </c>
      <c r="EQ210" t="e">
        <f>'Actual Value'!AU254+"AM:!)m&amp;"</f>
        <v>#VALUE!</v>
      </c>
      <c r="ER210" t="e">
        <f>'Actual Value'!AV254+"AM:!)m'"</f>
        <v>#VALUE!</v>
      </c>
      <c r="ES210" t="e">
        <f>'Actual Value'!AW254+"AM:!)m("</f>
        <v>#VALUE!</v>
      </c>
      <c r="ET210" t="e">
        <f>'Actual Value'!AX254+"AM:!)m)"</f>
        <v>#VALUE!</v>
      </c>
      <c r="EU210" t="e">
        <f>'Actual Value'!A255+"AM:!)m."</f>
        <v>#VALUE!</v>
      </c>
      <c r="EV210" t="e">
        <f>'Actual Value'!B255+"AM:!)m/"</f>
        <v>#VALUE!</v>
      </c>
      <c r="EW210" t="e">
        <f>'Actual Value'!C255+"AM:!)m0"</f>
        <v>#VALUE!</v>
      </c>
      <c r="EX210" s="97" t="e">
        <f>'Actual Value'!D255+"AM:!)m1"</f>
        <v>#VALUE!</v>
      </c>
      <c r="EY210" s="97" t="e">
        <f>'Actual Value'!E255+"AM:!)m2"</f>
        <v>#VALUE!</v>
      </c>
      <c r="EZ210" s="97" t="e">
        <f>'Actual Value'!F255+"AM:!)m3"</f>
        <v>#VALUE!</v>
      </c>
      <c r="FA210" s="97" t="e">
        <f>'Actual Value'!G255+"AM:!)m4"</f>
        <v>#VALUE!</v>
      </c>
      <c r="FB210" s="97" t="e">
        <f>'Actual Value'!H255+"AM:!)m5"</f>
        <v>#VALUE!</v>
      </c>
      <c r="FC210" s="97" t="e">
        <f>'Actual Value'!I255+"AM:!)m6"</f>
        <v>#VALUE!</v>
      </c>
      <c r="FD210" s="97" t="e">
        <f>'Actual Value'!J255+"AM:!)m7"</f>
        <v>#VALUE!</v>
      </c>
      <c r="FE210" s="97" t="e">
        <f>'Actual Value'!K255+"AM:!)m8"</f>
        <v>#VALUE!</v>
      </c>
      <c r="FF210" s="97" t="e">
        <f>'Actual Value'!L255+"AM:!)m9"</f>
        <v>#VALUE!</v>
      </c>
      <c r="FG210" s="97" t="e">
        <f>'Actual Value'!M255+"AM:!)m:"</f>
        <v>#VALUE!</v>
      </c>
      <c r="FH210" s="97" t="e">
        <f>'Actual Value'!N255+"AM:!)m;"</f>
        <v>#VALUE!</v>
      </c>
      <c r="FI210" s="97" t="e">
        <f>'Actual Value'!O255+"AM:!)m&lt;"</f>
        <v>#VALUE!</v>
      </c>
      <c r="FJ210" s="97" t="e">
        <f>'Actual Value'!P255+"AM:!)m="</f>
        <v>#VALUE!</v>
      </c>
      <c r="FK210" s="97" t="e">
        <f>'Actual Value'!Q255+"AM:!)m&gt;"</f>
        <v>#VALUE!</v>
      </c>
      <c r="FL210" s="97" t="e">
        <f>'Actual Value'!R255+"AM:!)m?"</f>
        <v>#VALUE!</v>
      </c>
      <c r="FM210" s="97" t="e">
        <f>'Actual Value'!S255+"AM:!)m@"</f>
        <v>#VALUE!</v>
      </c>
      <c r="FN210" s="97" t="e">
        <f>'Actual Value'!T255+"AM:!)mA"</f>
        <v>#VALUE!</v>
      </c>
      <c r="FO210" s="97" t="e">
        <f>'Actual Value'!U255+"AM:!)mB"</f>
        <v>#VALUE!</v>
      </c>
      <c r="FP210" s="97" t="e">
        <f>'Actual Value'!V255+"AM:!)mC"</f>
        <v>#VALUE!</v>
      </c>
      <c r="FQ210" s="97" t="e">
        <f>'Actual Value'!W255+"AM:!)mD"</f>
        <v>#VALUE!</v>
      </c>
      <c r="FR210" s="97" t="e">
        <f>'Actual Value'!X255+"AM:!)mE"</f>
        <v>#VALUE!</v>
      </c>
      <c r="FS210" s="97" t="e">
        <f>'Actual Value'!Y255+"AM:!)mF"</f>
        <v>#VALUE!</v>
      </c>
      <c r="FT210" s="97" t="e">
        <f>'Actual Value'!Z255+"AM:!)mG"</f>
        <v>#VALUE!</v>
      </c>
      <c r="FU210" s="97" t="e">
        <f>'Actual Value'!AA255+"AM:!)mH"</f>
        <v>#VALUE!</v>
      </c>
      <c r="FV210" s="97" t="e">
        <f>'Actual Value'!AB255+"AM:!)mI"</f>
        <v>#VALUE!</v>
      </c>
      <c r="FW210" s="97" t="e">
        <f>'Actual Value'!AC255+"AM:!)mJ"</f>
        <v>#VALUE!</v>
      </c>
      <c r="FX210" s="97" t="e">
        <f>'Actual Value'!AD255+"AM:!)mK"</f>
        <v>#VALUE!</v>
      </c>
      <c r="FY210" s="97" t="e">
        <f>'Actual Value'!AE255+"AM:!)mL"</f>
        <v>#VALUE!</v>
      </c>
      <c r="FZ210" s="97" t="e">
        <f>'Actual Value'!AF255+"AM:!)mM"</f>
        <v>#VALUE!</v>
      </c>
      <c r="GA210" s="97" t="e">
        <f>'Actual Value'!AG255+"AM:!)mN"</f>
        <v>#VALUE!</v>
      </c>
      <c r="GB210" s="97" t="e">
        <f>'Actual Value'!AH255+"AM:!)mO"</f>
        <v>#VALUE!</v>
      </c>
      <c r="GC210" s="97" t="e">
        <f>'Actual Value'!AI255+"AM:!)mP"</f>
        <v>#VALUE!</v>
      </c>
      <c r="GD210" s="97" t="e">
        <f>'Actual Value'!AJ255+"AM:!)mQ"</f>
        <v>#VALUE!</v>
      </c>
      <c r="GE210" s="97" t="e">
        <f>'Actual Value'!AK255+"AM:!)mR"</f>
        <v>#VALUE!</v>
      </c>
      <c r="GF210" s="97" t="e">
        <f>'Actual Value'!AL255+"AM:!)mS"</f>
        <v>#VALUE!</v>
      </c>
      <c r="GG210" s="97" t="e">
        <f>'Actual Value'!AM255+"AM:!)mT"</f>
        <v>#VALUE!</v>
      </c>
      <c r="GH210" s="97" t="e">
        <f>'Actual Value'!AN255+"AM:!)mU"</f>
        <v>#VALUE!</v>
      </c>
      <c r="GI210" s="97" t="e">
        <f>'Actual Value'!AO255+"AM:!)mV"</f>
        <v>#VALUE!</v>
      </c>
      <c r="GJ210" t="e">
        <f>'Actual Value'!AP255+"AM:!)mW"</f>
        <v>#VALUE!</v>
      </c>
      <c r="GK210" t="e">
        <f>'Actual Value'!AQ255+"AM:!)mX"</f>
        <v>#VALUE!</v>
      </c>
      <c r="GL210" t="e">
        <f>'Actual Value'!AR255+"AM:!)mY"</f>
        <v>#VALUE!</v>
      </c>
      <c r="GM210" t="e">
        <f>'Actual Value'!AS255+"AM:!)mZ"</f>
        <v>#VALUE!</v>
      </c>
      <c r="GN210" t="e">
        <f>'Actual Value'!AT255+"AM:!)m["</f>
        <v>#VALUE!</v>
      </c>
      <c r="GO210" t="e">
        <f>'Actual Value'!AU255+"AM:!)m\"</f>
        <v>#VALUE!</v>
      </c>
      <c r="GP210" t="e">
        <f>'Actual Value'!AV255+"AM:!)m]"</f>
        <v>#VALUE!</v>
      </c>
      <c r="GQ210" t="e">
        <f>'Actual Value'!AW255+"AM:!)m^"</f>
        <v>#VALUE!</v>
      </c>
      <c r="GR210" t="e">
        <f>'Actual Value'!AX255+"AM:!)m_"</f>
        <v>#VALUE!</v>
      </c>
      <c r="GS210" t="e">
        <f>'Actual Value'!A256+"AM:!)m`"</f>
        <v>#VALUE!</v>
      </c>
      <c r="GT210" t="e">
        <f>'Actual Value'!B256+"AM:!)ma"</f>
        <v>#VALUE!</v>
      </c>
      <c r="GU210" t="e">
        <f>'Actual Value'!C256+"AM:!)mb"</f>
        <v>#VALUE!</v>
      </c>
      <c r="GV210" s="97" t="e">
        <f>'Actual Value'!D256+"AM:!)mc"</f>
        <v>#VALUE!</v>
      </c>
      <c r="GW210" s="97" t="e">
        <f>'Actual Value'!E256+"AM:!)md"</f>
        <v>#VALUE!</v>
      </c>
      <c r="GX210" s="97" t="e">
        <f>'Actual Value'!F256+"AM:!)me"</f>
        <v>#VALUE!</v>
      </c>
      <c r="GY210" s="97" t="e">
        <f>'Actual Value'!G256+"AM:!)mf"</f>
        <v>#VALUE!</v>
      </c>
      <c r="GZ210" s="97" t="e">
        <f>'Actual Value'!H256+"AM:!)mg"</f>
        <v>#VALUE!</v>
      </c>
      <c r="HA210" s="97" t="e">
        <f>'Actual Value'!I256+"AM:!)mh"</f>
        <v>#VALUE!</v>
      </c>
      <c r="HB210" s="97" t="e">
        <f>'Actual Value'!J256+"AM:!)mi"</f>
        <v>#VALUE!</v>
      </c>
      <c r="HC210" s="97" t="e">
        <f>'Actual Value'!K256+"AM:!)mj"</f>
        <v>#VALUE!</v>
      </c>
      <c r="HD210" s="97" t="e">
        <f>'Actual Value'!L256+"AM:!)mk"</f>
        <v>#VALUE!</v>
      </c>
      <c r="HE210" s="97" t="e">
        <f>'Actual Value'!M256+"AM:!)ml"</f>
        <v>#VALUE!</v>
      </c>
      <c r="HF210" s="97" t="e">
        <f>'Actual Value'!N256+"AM:!)mm"</f>
        <v>#VALUE!</v>
      </c>
      <c r="HG210" s="97" t="e">
        <f>'Actual Value'!O256+"AM:!)mn"</f>
        <v>#VALUE!</v>
      </c>
      <c r="HH210" s="97" t="e">
        <f>'Actual Value'!P256+"AM:!)mo"</f>
        <v>#VALUE!</v>
      </c>
      <c r="HI210" s="97" t="e">
        <f>'Actual Value'!Q256+"AM:!)mp"</f>
        <v>#VALUE!</v>
      </c>
      <c r="HJ210" s="97" t="e">
        <f>'Actual Value'!R256+"AM:!)mq"</f>
        <v>#VALUE!</v>
      </c>
      <c r="HK210" s="97" t="e">
        <f>'Actual Value'!S256+"AM:!)mr"</f>
        <v>#VALUE!</v>
      </c>
      <c r="HL210" s="97" t="e">
        <f>'Actual Value'!T256+"AM:!)ms"</f>
        <v>#VALUE!</v>
      </c>
      <c r="HM210" s="97" t="e">
        <f>'Actual Value'!U256+"AM:!)mt"</f>
        <v>#VALUE!</v>
      </c>
      <c r="HN210" s="97" t="e">
        <f>'Actual Value'!V256+"AM:!)mu"</f>
        <v>#VALUE!</v>
      </c>
      <c r="HO210" s="97" t="e">
        <f>'Actual Value'!W256+"AM:!)mv"</f>
        <v>#VALUE!</v>
      </c>
      <c r="HP210" s="97" t="e">
        <f>'Actual Value'!X256+"AM:!)mw"</f>
        <v>#VALUE!</v>
      </c>
      <c r="HQ210" s="97" t="e">
        <f>'Actual Value'!Y256+"AM:!)mx"</f>
        <v>#VALUE!</v>
      </c>
      <c r="HR210" s="97" t="e">
        <f>'Actual Value'!Z256+"AM:!)my"</f>
        <v>#VALUE!</v>
      </c>
      <c r="HS210" s="97" t="e">
        <f>'Actual Value'!AA256+"AM:!)mz"</f>
        <v>#VALUE!</v>
      </c>
      <c r="HT210" s="97" t="e">
        <f>'Actual Value'!AB256+"AM:!)m{"</f>
        <v>#VALUE!</v>
      </c>
      <c r="HU210" s="97" t="e">
        <f>'Actual Value'!AC256+"AM:!)m|"</f>
        <v>#VALUE!</v>
      </c>
      <c r="HV210" s="97" t="e">
        <f>'Actual Value'!AD256+"AM:!)m}"</f>
        <v>#VALUE!</v>
      </c>
      <c r="HW210" s="97" t="e">
        <f>'Actual Value'!AE256+"AM:!)m~"</f>
        <v>#VALUE!</v>
      </c>
      <c r="HX210" s="97" t="e">
        <f>'Actual Value'!AF256+"AM:!)n#"</f>
        <v>#VALUE!</v>
      </c>
      <c r="HY210" s="97" t="e">
        <f>'Actual Value'!AG256+"AM:!)n$"</f>
        <v>#VALUE!</v>
      </c>
      <c r="HZ210" s="97" t="e">
        <f>'Actual Value'!AH256+"AM:!)n%"</f>
        <v>#VALUE!</v>
      </c>
      <c r="IA210" s="97" t="e">
        <f>'Actual Value'!AI256+"AM:!)n&amp;"</f>
        <v>#VALUE!</v>
      </c>
      <c r="IB210" s="97" t="e">
        <f>'Actual Value'!AJ256+"AM:!)n'"</f>
        <v>#VALUE!</v>
      </c>
      <c r="IC210" s="97" t="e">
        <f>'Actual Value'!AK256+"AM:!)n("</f>
        <v>#VALUE!</v>
      </c>
      <c r="ID210" s="97" t="e">
        <f>'Actual Value'!AL256+"AM:!)n)"</f>
        <v>#VALUE!</v>
      </c>
      <c r="IE210" s="97" t="e">
        <f>'Actual Value'!AM256+"AM:!)n."</f>
        <v>#VALUE!</v>
      </c>
      <c r="IF210" s="97" t="e">
        <f>'Actual Value'!AN256+"AM:!)n/"</f>
        <v>#VALUE!</v>
      </c>
      <c r="IG210" s="97" t="e">
        <f>'Actual Value'!AO256+"AM:!)n0"</f>
        <v>#VALUE!</v>
      </c>
      <c r="IH210" t="e">
        <f>'Actual Value'!AP256+"AM:!)n1"</f>
        <v>#VALUE!</v>
      </c>
      <c r="II210" t="e">
        <f>'Actual Value'!AQ256+"AM:!)n2"</f>
        <v>#VALUE!</v>
      </c>
      <c r="IJ210" t="e">
        <f>'Actual Value'!AR256+"AM:!)n3"</f>
        <v>#VALUE!</v>
      </c>
      <c r="IK210" t="e">
        <f>'Actual Value'!AS256+"AM:!)n4"</f>
        <v>#VALUE!</v>
      </c>
      <c r="IL210" t="e">
        <f>'Actual Value'!AT256+"AM:!)n5"</f>
        <v>#VALUE!</v>
      </c>
      <c r="IM210" t="e">
        <f>'Actual Value'!AU256+"AM:!)n6"</f>
        <v>#VALUE!</v>
      </c>
      <c r="IN210" t="e">
        <f>'Actual Value'!AV256+"AM:!)n7"</f>
        <v>#VALUE!</v>
      </c>
      <c r="IO210" t="e">
        <f>'Actual Value'!AW256+"AM:!)n8"</f>
        <v>#VALUE!</v>
      </c>
      <c r="IP210" t="e">
        <f>'Actual Value'!AX256+"AM:!)n9"</f>
        <v>#VALUE!</v>
      </c>
      <c r="IQ210" t="e">
        <f>'Actual Value'!A257+"AM:!)n:"</f>
        <v>#VALUE!</v>
      </c>
      <c r="IR210" t="e">
        <f>'Actual Value'!B257+"AM:!)n;"</f>
        <v>#VALUE!</v>
      </c>
      <c r="IS210" t="e">
        <f>'Actual Value'!C257+"AM:!)n&lt;"</f>
        <v>#VALUE!</v>
      </c>
      <c r="IT210" s="97" t="e">
        <f>'Actual Value'!D257+"AM:!)n="</f>
        <v>#VALUE!</v>
      </c>
      <c r="IU210" s="97" t="e">
        <f>'Actual Value'!E257+"AM:!)n&gt;"</f>
        <v>#VALUE!</v>
      </c>
      <c r="IV210" s="97" t="e">
        <f>'Actual Value'!F257+"AM:!)n?"</f>
        <v>#VALUE!</v>
      </c>
    </row>
    <row r="211" spans="6:256">
      <c r="F211" s="97" t="e">
        <f>'Actual Value'!G257+"AM:!)n@"</f>
        <v>#VALUE!</v>
      </c>
      <c r="G211" s="97" t="e">
        <f>'Actual Value'!H257+"AM:!)nA"</f>
        <v>#VALUE!</v>
      </c>
      <c r="H211" s="97" t="e">
        <f>'Actual Value'!I257+"AM:!)nB"</f>
        <v>#VALUE!</v>
      </c>
      <c r="I211" s="97" t="e">
        <f>'Actual Value'!J257+"AM:!)nC"</f>
        <v>#VALUE!</v>
      </c>
      <c r="J211" s="97" t="e">
        <f>'Actual Value'!K257+"AM:!)nD"</f>
        <v>#VALUE!</v>
      </c>
      <c r="K211" s="97" t="e">
        <f>'Actual Value'!L257+"AM:!)nE"</f>
        <v>#VALUE!</v>
      </c>
      <c r="L211" s="97" t="e">
        <f>'Actual Value'!M257+"AM:!)nF"</f>
        <v>#VALUE!</v>
      </c>
      <c r="M211" s="97" t="e">
        <f>'Actual Value'!N257+"AM:!)nG"</f>
        <v>#VALUE!</v>
      </c>
      <c r="N211" s="97" t="e">
        <f>'Actual Value'!O257+"AM:!)nH"</f>
        <v>#VALUE!</v>
      </c>
      <c r="O211" s="97" t="e">
        <f>'Actual Value'!P257+"AM:!)nI"</f>
        <v>#VALUE!</v>
      </c>
      <c r="P211" s="97" t="e">
        <f>'Actual Value'!Q257+"AM:!)nJ"</f>
        <v>#VALUE!</v>
      </c>
      <c r="Q211" s="97" t="e">
        <f>'Actual Value'!R257+"AM:!)nK"</f>
        <v>#VALUE!</v>
      </c>
      <c r="R211" s="97" t="e">
        <f>'Actual Value'!S257+"AM:!)nL"</f>
        <v>#VALUE!</v>
      </c>
      <c r="S211" s="97" t="e">
        <f>'Actual Value'!T257+"AM:!)nM"</f>
        <v>#VALUE!</v>
      </c>
      <c r="T211" s="97" t="e">
        <f>'Actual Value'!U257+"AM:!)nN"</f>
        <v>#VALUE!</v>
      </c>
      <c r="U211" s="97" t="e">
        <f>'Actual Value'!V257+"AM:!)nO"</f>
        <v>#VALUE!</v>
      </c>
      <c r="V211" s="97" t="e">
        <f>'Actual Value'!W257+"AM:!)nP"</f>
        <v>#VALUE!</v>
      </c>
      <c r="W211" s="97" t="e">
        <f>'Actual Value'!X257+"AM:!)nQ"</f>
        <v>#VALUE!</v>
      </c>
      <c r="X211" s="97" t="e">
        <f>'Actual Value'!Y257+"AM:!)nR"</f>
        <v>#VALUE!</v>
      </c>
      <c r="Y211" s="97" t="e">
        <f>'Actual Value'!Z257+"AM:!)nS"</f>
        <v>#VALUE!</v>
      </c>
      <c r="Z211" s="97" t="e">
        <f>'Actual Value'!AA257+"AM:!)nT"</f>
        <v>#VALUE!</v>
      </c>
      <c r="AA211" s="97" t="e">
        <f>'Actual Value'!AB257+"AM:!)nU"</f>
        <v>#VALUE!</v>
      </c>
      <c r="AB211" s="97" t="e">
        <f>'Actual Value'!AC257+"AM:!)nV"</f>
        <v>#VALUE!</v>
      </c>
      <c r="AC211" s="97" t="e">
        <f>'Actual Value'!AD257+"AM:!)nW"</f>
        <v>#VALUE!</v>
      </c>
      <c r="AD211" s="97" t="e">
        <f>'Actual Value'!AE257+"AM:!)nX"</f>
        <v>#VALUE!</v>
      </c>
      <c r="AE211" s="97" t="e">
        <f>'Actual Value'!AF257+"AM:!)nY"</f>
        <v>#VALUE!</v>
      </c>
      <c r="AF211" s="97" t="e">
        <f>'Actual Value'!AG257+"AM:!)nZ"</f>
        <v>#VALUE!</v>
      </c>
      <c r="AG211" s="97" t="e">
        <f>'Actual Value'!AH257+"AM:!)n["</f>
        <v>#VALUE!</v>
      </c>
      <c r="AH211" s="97" t="e">
        <f>'Actual Value'!AI257+"AM:!)n\"</f>
        <v>#VALUE!</v>
      </c>
      <c r="AI211" s="97" t="e">
        <f>'Actual Value'!AJ257+"AM:!)n]"</f>
        <v>#VALUE!</v>
      </c>
      <c r="AJ211" s="97" t="e">
        <f>'Actual Value'!AK257+"AM:!)n^"</f>
        <v>#VALUE!</v>
      </c>
      <c r="AK211" s="97" t="e">
        <f>'Actual Value'!AL257+"AM:!)n_"</f>
        <v>#VALUE!</v>
      </c>
      <c r="AL211" s="97" t="e">
        <f>'Actual Value'!AM257+"AM:!)n`"</f>
        <v>#VALUE!</v>
      </c>
      <c r="AM211" s="97" t="e">
        <f>'Actual Value'!AN257+"AM:!)na"</f>
        <v>#VALUE!</v>
      </c>
      <c r="AN211" s="97" t="e">
        <f>'Actual Value'!AO257+"AM:!)nb"</f>
        <v>#VALUE!</v>
      </c>
      <c r="AO211" t="e">
        <f>'Actual Value'!AP257+"AM:!)nc"</f>
        <v>#VALUE!</v>
      </c>
      <c r="AP211" t="e">
        <f>'Actual Value'!AQ257+"AM:!)nd"</f>
        <v>#VALUE!</v>
      </c>
      <c r="AQ211" t="e">
        <f>'Actual Value'!AR257+"AM:!)ne"</f>
        <v>#VALUE!</v>
      </c>
      <c r="AR211" t="e">
        <f>'Actual Value'!AS257+"AM:!)nf"</f>
        <v>#VALUE!</v>
      </c>
      <c r="AS211" t="e">
        <f>'Actual Value'!AT257+"AM:!)ng"</f>
        <v>#VALUE!</v>
      </c>
      <c r="AT211" t="e">
        <f>'Actual Value'!AU257+"AM:!)nh"</f>
        <v>#VALUE!</v>
      </c>
      <c r="AU211" t="e">
        <f>'Actual Value'!AV257+"AM:!)ni"</f>
        <v>#VALUE!</v>
      </c>
      <c r="AV211" t="e">
        <f>'Actual Value'!AW257+"AM:!)nj"</f>
        <v>#VALUE!</v>
      </c>
      <c r="AW211" t="e">
        <f>'Actual Value'!AX257+"AM:!)nk"</f>
        <v>#VALUE!</v>
      </c>
      <c r="AX211" t="e">
        <f>'Actual Value'!A258+"AM:!)nl"</f>
        <v>#VALUE!</v>
      </c>
      <c r="AY211" t="e">
        <f>'Actual Value'!B258+"AM:!)nm"</f>
        <v>#VALUE!</v>
      </c>
      <c r="AZ211" t="e">
        <f>'Actual Value'!C258+"AM:!)nn"</f>
        <v>#VALUE!</v>
      </c>
      <c r="BA211" t="e">
        <f>'Actual Value'!D258+"AM:!)no"</f>
        <v>#VALUE!</v>
      </c>
      <c r="BB211" t="e">
        <f>'Actual Value'!E258+"AM:!)np"</f>
        <v>#VALUE!</v>
      </c>
      <c r="BC211" t="e">
        <f>'Actual Value'!F258+"AM:!)nq"</f>
        <v>#VALUE!</v>
      </c>
      <c r="BD211" t="e">
        <f>'Actual Value'!G258+"AM:!)nr"</f>
        <v>#VALUE!</v>
      </c>
      <c r="BE211" t="e">
        <f>'Actual Value'!H258+"AM:!)ns"</f>
        <v>#VALUE!</v>
      </c>
      <c r="BF211" t="e">
        <f>'Actual Value'!I258+"AM:!)nt"</f>
        <v>#VALUE!</v>
      </c>
      <c r="BG211" t="e">
        <f>'Actual Value'!J258+"AM:!)nu"</f>
        <v>#VALUE!</v>
      </c>
      <c r="BH211" t="e">
        <f>'Actual Value'!K258+"AM:!)nv"</f>
        <v>#VALUE!</v>
      </c>
      <c r="BI211" t="e">
        <f>'Actual Value'!L258+"AM:!)nw"</f>
        <v>#VALUE!</v>
      </c>
      <c r="BJ211" t="e">
        <f>'Actual Value'!M258+"AM:!)nx"</f>
        <v>#VALUE!</v>
      </c>
      <c r="BK211" t="e">
        <f>'Actual Value'!N258+"AM:!)ny"</f>
        <v>#VALUE!</v>
      </c>
      <c r="BL211" t="e">
        <f>'Actual Value'!O258+"AM:!)nz"</f>
        <v>#VALUE!</v>
      </c>
      <c r="BM211" t="e">
        <f>'Actual Value'!P258+"AM:!)n{"</f>
        <v>#VALUE!</v>
      </c>
      <c r="BN211" t="e">
        <f>'Actual Value'!Q258+"AM:!)n|"</f>
        <v>#VALUE!</v>
      </c>
      <c r="BO211" t="e">
        <f>'Actual Value'!R258+"AM:!)n}"</f>
        <v>#VALUE!</v>
      </c>
      <c r="BP211" t="e">
        <f>'Actual Value'!S258+"AM:!)n~"</f>
        <v>#VALUE!</v>
      </c>
      <c r="BQ211" t="e">
        <f>'Actual Value'!T258+"AM:!)o#"</f>
        <v>#VALUE!</v>
      </c>
      <c r="BR211" t="e">
        <f>'Actual Value'!U258+"AM:!)o$"</f>
        <v>#VALUE!</v>
      </c>
      <c r="BS211" t="e">
        <f>'Actual Value'!V258+"AM:!)o%"</f>
        <v>#VALUE!</v>
      </c>
      <c r="BT211" t="e">
        <f>'Actual Value'!W258+"AM:!)o&amp;"</f>
        <v>#VALUE!</v>
      </c>
      <c r="BU211" t="e">
        <f>'Actual Value'!X258+"AM:!)o'"</f>
        <v>#VALUE!</v>
      </c>
      <c r="BV211" t="e">
        <f>'Actual Value'!Y258+"AM:!)o("</f>
        <v>#VALUE!</v>
      </c>
      <c r="BW211" t="e">
        <f>'Actual Value'!Z258+"AM:!)o)"</f>
        <v>#VALUE!</v>
      </c>
      <c r="BX211" t="e">
        <f>'Actual Value'!AA258+"AM:!)o."</f>
        <v>#VALUE!</v>
      </c>
      <c r="BY211" t="e">
        <f>'Actual Value'!AB258+"AM:!)o/"</f>
        <v>#VALUE!</v>
      </c>
      <c r="BZ211" t="e">
        <f>'Actual Value'!AC258+"AM:!)o0"</f>
        <v>#VALUE!</v>
      </c>
      <c r="CA211" t="e">
        <f>'Actual Value'!AD258+"AM:!)o1"</f>
        <v>#VALUE!</v>
      </c>
      <c r="CB211" t="e">
        <f>'Actual Value'!AE258+"AM:!)o2"</f>
        <v>#VALUE!</v>
      </c>
      <c r="CC211" t="e">
        <f>'Actual Value'!AF258+"AM:!)o3"</f>
        <v>#VALUE!</v>
      </c>
      <c r="CD211" t="e">
        <f>'Actual Value'!AG258+"AM:!)o4"</f>
        <v>#VALUE!</v>
      </c>
      <c r="CE211" t="e">
        <f>'Actual Value'!AH258+"AM:!)o5"</f>
        <v>#VALUE!</v>
      </c>
      <c r="CF211" t="e">
        <f>'Actual Value'!AI258+"AM:!)o6"</f>
        <v>#VALUE!</v>
      </c>
      <c r="CG211" t="e">
        <f>'Actual Value'!AJ258+"AM:!)o7"</f>
        <v>#VALUE!</v>
      </c>
      <c r="CH211" t="e">
        <f>'Actual Value'!AK258+"AM:!)o8"</f>
        <v>#VALUE!</v>
      </c>
      <c r="CI211" t="e">
        <f>'Actual Value'!AL258+"AM:!)o9"</f>
        <v>#VALUE!</v>
      </c>
      <c r="CJ211" t="e">
        <f>'Actual Value'!AM258+"AM:!)o:"</f>
        <v>#VALUE!</v>
      </c>
      <c r="CK211" t="e">
        <f>'Actual Value'!AN258+"AM:!)o;"</f>
        <v>#VALUE!</v>
      </c>
      <c r="CL211" t="e">
        <f>'Actual Value'!AO258+"AM:!)o&lt;"</f>
        <v>#VALUE!</v>
      </c>
      <c r="CM211" t="e">
        <f>'Actual Value'!AP258+"AM:!)o="</f>
        <v>#VALUE!</v>
      </c>
      <c r="CN211" t="e">
        <f>'Actual Value'!AQ258+"AM:!)o&gt;"</f>
        <v>#VALUE!</v>
      </c>
      <c r="CO211" t="e">
        <f>'Actual Value'!AR258+"AM:!)o?"</f>
        <v>#VALUE!</v>
      </c>
      <c r="CP211" t="e">
        <f>'Actual Value'!AS258+"AM:!)o@"</f>
        <v>#VALUE!</v>
      </c>
      <c r="CQ211" t="e">
        <f>'Actual Value'!AT258+"AM:!)oA"</f>
        <v>#VALUE!</v>
      </c>
      <c r="CR211" t="e">
        <f>'Actual Value'!AU258+"AM:!)oB"</f>
        <v>#VALUE!</v>
      </c>
      <c r="CS211" t="e">
        <f>'Actual Value'!AV258+"AM:!)oC"</f>
        <v>#VALUE!</v>
      </c>
      <c r="CT211" t="e">
        <f>'Actual Value'!AW258+"AM:!)oD"</f>
        <v>#VALUE!</v>
      </c>
      <c r="CU211" t="e">
        <f>'Actual Value'!A259+"AM:!)oE"</f>
        <v>#VALUE!</v>
      </c>
      <c r="CV211" t="e">
        <f>'Actual Value'!B259+"AM:!)oF"</f>
        <v>#VALUE!</v>
      </c>
      <c r="CW211" t="e">
        <f>'Actual Value'!C259+"AM:!)oG"</f>
        <v>#VALUE!</v>
      </c>
      <c r="CX211" s="105" t="e">
        <f>'Actual Value'!D259+"AM:!)oH"</f>
        <v>#VALUE!</v>
      </c>
      <c r="CY211" s="105" t="e">
        <f>'Actual Value'!E259+"AM:!)oI"</f>
        <v>#VALUE!</v>
      </c>
      <c r="CZ211" s="105" t="e">
        <f>'Actual Value'!F259+"AM:!)oJ"</f>
        <v>#VALUE!</v>
      </c>
      <c r="DA211" s="105" t="e">
        <f>'Actual Value'!G259+"AM:!)oK"</f>
        <v>#VALUE!</v>
      </c>
      <c r="DB211" s="105" t="e">
        <f>'Actual Value'!H259+"AM:!)oL"</f>
        <v>#VALUE!</v>
      </c>
      <c r="DC211" s="105" t="e">
        <f>'Actual Value'!I259+"AM:!)oM"</f>
        <v>#VALUE!</v>
      </c>
      <c r="DD211" s="105" t="e">
        <f>'Actual Value'!J259+"AM:!)oN"</f>
        <v>#VALUE!</v>
      </c>
      <c r="DE211" s="105" t="e">
        <f>'Actual Value'!K259+"AM:!)oO"</f>
        <v>#VALUE!</v>
      </c>
      <c r="DF211" s="105" t="e">
        <f>'Actual Value'!L259+"AM:!)oP"</f>
        <v>#VALUE!</v>
      </c>
      <c r="DG211" s="105" t="e">
        <f>'Actual Value'!M259+"AM:!)oQ"</f>
        <v>#VALUE!</v>
      </c>
      <c r="DH211" s="105" t="e">
        <f>'Actual Value'!N259+"AM:!)oR"</f>
        <v>#VALUE!</v>
      </c>
      <c r="DI211" s="105" t="e">
        <f>'Actual Value'!O259+"AM:!)oS"</f>
        <v>#VALUE!</v>
      </c>
      <c r="DJ211" s="105" t="e">
        <f>'Actual Value'!P259+"AM:!)oT"</f>
        <v>#VALUE!</v>
      </c>
      <c r="DK211" s="105" t="e">
        <f>'Actual Value'!Q259+"AM:!)oU"</f>
        <v>#VALUE!</v>
      </c>
      <c r="DL211" s="105" t="e">
        <f>'Actual Value'!R259+"AM:!)oV"</f>
        <v>#VALUE!</v>
      </c>
      <c r="DM211" s="105" t="e">
        <f>'Actual Value'!S259+"AM:!)oW"</f>
        <v>#VALUE!</v>
      </c>
      <c r="DN211" s="105" t="e">
        <f>'Actual Value'!T259+"AM:!)oX"</f>
        <v>#VALUE!</v>
      </c>
      <c r="DO211" s="105" t="e">
        <f>'Actual Value'!U259+"AM:!)oY"</f>
        <v>#VALUE!</v>
      </c>
      <c r="DP211" s="105" t="e">
        <f>'Actual Value'!V259+"AM:!)oZ"</f>
        <v>#VALUE!</v>
      </c>
      <c r="DQ211" s="105" t="e">
        <f>'Actual Value'!W259+"AM:!)o["</f>
        <v>#VALUE!</v>
      </c>
      <c r="DR211" s="105" t="e">
        <f>'Actual Value'!X259+"AM:!)o\"</f>
        <v>#VALUE!</v>
      </c>
      <c r="DS211" s="105" t="e">
        <f>'Actual Value'!Y259+"AM:!)o]"</f>
        <v>#VALUE!</v>
      </c>
      <c r="DT211" s="105" t="e">
        <f>'Actual Value'!Z259+"AM:!)o^"</f>
        <v>#VALUE!</v>
      </c>
      <c r="DU211" s="105" t="e">
        <f>'Actual Value'!AA259+"AM:!)o_"</f>
        <v>#VALUE!</v>
      </c>
      <c r="DV211" s="105" t="e">
        <f>'Actual Value'!AB259+"AM:!)o`"</f>
        <v>#VALUE!</v>
      </c>
      <c r="DW211" s="105" t="e">
        <f>'Actual Value'!AC259+"AM:!)oa"</f>
        <v>#VALUE!</v>
      </c>
      <c r="DX211" s="105" t="e">
        <f>'Actual Value'!AD259+"AM:!)ob"</f>
        <v>#VALUE!</v>
      </c>
      <c r="DY211" s="105" t="e">
        <f>'Actual Value'!AE259+"AM:!)oc"</f>
        <v>#VALUE!</v>
      </c>
      <c r="DZ211" s="105" t="e">
        <f>'Actual Value'!AF259+"AM:!)od"</f>
        <v>#VALUE!</v>
      </c>
      <c r="EA211" s="105" t="e">
        <f>'Actual Value'!AG259+"AM:!)oe"</f>
        <v>#VALUE!</v>
      </c>
      <c r="EB211" s="105" t="e">
        <f>'Actual Value'!AH259+"AM:!)of"</f>
        <v>#VALUE!</v>
      </c>
      <c r="EC211" s="105" t="e">
        <f>'Actual Value'!AI259+"AM:!)og"</f>
        <v>#VALUE!</v>
      </c>
      <c r="ED211" s="105" t="e">
        <f>'Actual Value'!AJ259+"AM:!)oh"</f>
        <v>#VALUE!</v>
      </c>
      <c r="EE211" s="105" t="e">
        <f>'Actual Value'!AK259+"AM:!)oi"</f>
        <v>#VALUE!</v>
      </c>
      <c r="EF211" s="105" t="e">
        <f>'Actual Value'!AL259+"AM:!)oj"</f>
        <v>#VALUE!</v>
      </c>
      <c r="EG211" s="105" t="e">
        <f>'Actual Value'!AM259+"AM:!)ok"</f>
        <v>#VALUE!</v>
      </c>
      <c r="EH211" s="105" t="e">
        <f>'Actual Value'!AN259+"AM:!)ol"</f>
        <v>#VALUE!</v>
      </c>
      <c r="EI211" s="105" t="e">
        <f>'Actual Value'!AO259+"AM:!)om"</f>
        <v>#VALUE!</v>
      </c>
      <c r="EJ211" t="e">
        <f>'Actual Value'!AP259+"AM:!)on"</f>
        <v>#VALUE!</v>
      </c>
      <c r="EK211" s="100" t="e">
        <f>'Actual Value'!AQ259+"AM:!)oo"</f>
        <v>#VALUE!</v>
      </c>
      <c r="EL211" s="100" t="e">
        <f>'Actual Value'!AR259+"AM:!)op"</f>
        <v>#VALUE!</v>
      </c>
      <c r="EM211" s="100" t="e">
        <f>'Actual Value'!AS259+"AM:!)oq"</f>
        <v>#VALUE!</v>
      </c>
      <c r="EN211" s="100" t="e">
        <f>'Actual Value'!AT259+"AM:!)or"</f>
        <v>#VALUE!</v>
      </c>
      <c r="EO211" s="100" t="e">
        <f>'Actual Value'!AU259+"AM:!)os"</f>
        <v>#VALUE!</v>
      </c>
      <c r="EP211" t="e">
        <f>'Actual Value'!AV259+"AM:!)ot"</f>
        <v>#VALUE!</v>
      </c>
      <c r="EQ211" t="e">
        <f>'Actual Value'!AW259+"AM:!)ou"</f>
        <v>#VALUE!</v>
      </c>
      <c r="ER211" t="e">
        <f>'Actual Value'!A260+"AM:!)ov"</f>
        <v>#VALUE!</v>
      </c>
      <c r="ES211" t="e">
        <f>'Actual Value'!B260+"AM:!)ow"</f>
        <v>#VALUE!</v>
      </c>
      <c r="ET211" t="e">
        <f>'Actual Value'!C260+"AM:!)ox"</f>
        <v>#VALUE!</v>
      </c>
      <c r="EU211" s="97" t="e">
        <f>'Actual Value'!D260+"AM:!)oy"</f>
        <v>#VALUE!</v>
      </c>
      <c r="EV211" s="97" t="e">
        <f>'Actual Value'!E260+"AM:!)oz"</f>
        <v>#VALUE!</v>
      </c>
      <c r="EW211" s="97" t="e">
        <f>'Actual Value'!F260+"AM:!)o{"</f>
        <v>#VALUE!</v>
      </c>
      <c r="EX211" s="97" t="e">
        <f>'Actual Value'!G260+"AM:!)o|"</f>
        <v>#VALUE!</v>
      </c>
      <c r="EY211" s="97" t="e">
        <f>'Actual Value'!H260+"AM:!)o}"</f>
        <v>#VALUE!</v>
      </c>
      <c r="EZ211" s="97" t="e">
        <f>'Actual Value'!I260+"AM:!)o~"</f>
        <v>#VALUE!</v>
      </c>
      <c r="FA211" s="97" t="e">
        <f>'Actual Value'!J260+"AM:!)p#"</f>
        <v>#VALUE!</v>
      </c>
      <c r="FB211" s="97" t="e">
        <f>'Actual Value'!K260+"AM:!)p$"</f>
        <v>#VALUE!</v>
      </c>
      <c r="FC211" s="97" t="e">
        <f>'Actual Value'!L260+"AM:!)p%"</f>
        <v>#VALUE!</v>
      </c>
      <c r="FD211" s="97" t="e">
        <f>'Actual Value'!M260+"AM:!)p&amp;"</f>
        <v>#VALUE!</v>
      </c>
      <c r="FE211" s="97" t="e">
        <f>'Actual Value'!N260+"AM:!)p'"</f>
        <v>#VALUE!</v>
      </c>
      <c r="FF211" s="97" t="e">
        <f>'Actual Value'!O260+"AM:!)p("</f>
        <v>#VALUE!</v>
      </c>
      <c r="FG211" s="97" t="e">
        <f>'Actual Value'!P260+"AM:!)p)"</f>
        <v>#VALUE!</v>
      </c>
      <c r="FH211" s="97" t="e">
        <f>'Actual Value'!Q260+"AM:!)p."</f>
        <v>#VALUE!</v>
      </c>
      <c r="FI211" s="97" t="e">
        <f>'Actual Value'!R260+"AM:!)p/"</f>
        <v>#VALUE!</v>
      </c>
      <c r="FJ211" s="97" t="e">
        <f>'Actual Value'!S260+"AM:!)p0"</f>
        <v>#VALUE!</v>
      </c>
      <c r="FK211" s="97" t="e">
        <f>'Actual Value'!T260+"AM:!)p1"</f>
        <v>#VALUE!</v>
      </c>
      <c r="FL211" s="97" t="e">
        <f>'Actual Value'!U260+"AM:!)p2"</f>
        <v>#VALUE!</v>
      </c>
      <c r="FM211" s="97" t="e">
        <f>'Actual Value'!V260+"AM:!)p3"</f>
        <v>#VALUE!</v>
      </c>
      <c r="FN211" s="97" t="e">
        <f>'Actual Value'!W260+"AM:!)p4"</f>
        <v>#VALUE!</v>
      </c>
      <c r="FO211" s="97" t="e">
        <f>'Actual Value'!X260+"AM:!)p5"</f>
        <v>#VALUE!</v>
      </c>
      <c r="FP211" s="97" t="e">
        <f>'Actual Value'!Y260+"AM:!)p6"</f>
        <v>#VALUE!</v>
      </c>
      <c r="FQ211" s="97" t="e">
        <f>'Actual Value'!Z260+"AM:!)p7"</f>
        <v>#VALUE!</v>
      </c>
      <c r="FR211" s="97" t="e">
        <f>'Actual Value'!AA260+"AM:!)p8"</f>
        <v>#VALUE!</v>
      </c>
      <c r="FS211" s="97" t="e">
        <f>'Actual Value'!AB260+"AM:!)p9"</f>
        <v>#VALUE!</v>
      </c>
      <c r="FT211" s="97" t="e">
        <f>'Actual Value'!AC260+"AM:!)p:"</f>
        <v>#VALUE!</v>
      </c>
      <c r="FU211" s="97" t="e">
        <f>'Actual Value'!AD260+"AM:!)p;"</f>
        <v>#VALUE!</v>
      </c>
      <c r="FV211" s="97" t="e">
        <f>'Actual Value'!AE260+"AM:!)p&lt;"</f>
        <v>#VALUE!</v>
      </c>
      <c r="FW211" s="97" t="e">
        <f>'Actual Value'!AF260+"AM:!)p="</f>
        <v>#VALUE!</v>
      </c>
      <c r="FX211" s="97" t="e">
        <f>'Actual Value'!AG260+"AM:!)p&gt;"</f>
        <v>#VALUE!</v>
      </c>
      <c r="FY211" s="97" t="e">
        <f>'Actual Value'!AH260+"AM:!)p?"</f>
        <v>#VALUE!</v>
      </c>
      <c r="FZ211" s="97" t="e">
        <f>'Actual Value'!AI260+"AM:!)p@"</f>
        <v>#VALUE!</v>
      </c>
      <c r="GA211" s="97" t="e">
        <f>'Actual Value'!AJ260+"AM:!)pA"</f>
        <v>#VALUE!</v>
      </c>
      <c r="GB211" s="97" t="e">
        <f>'Actual Value'!AK260+"AM:!)pB"</f>
        <v>#VALUE!</v>
      </c>
      <c r="GC211" s="97" t="e">
        <f>'Actual Value'!AL260+"AM:!)pC"</f>
        <v>#VALUE!</v>
      </c>
      <c r="GD211" s="97" t="e">
        <f>'Actual Value'!AM260+"AM:!)pD"</f>
        <v>#VALUE!</v>
      </c>
      <c r="GE211" s="97" t="e">
        <f>'Actual Value'!AN260+"AM:!)pE"</f>
        <v>#VALUE!</v>
      </c>
      <c r="GF211" s="97" t="e">
        <f>'Actual Value'!AO260+"AM:!)pF"</f>
        <v>#VALUE!</v>
      </c>
      <c r="GG211" t="e">
        <f>'Actual Value'!AP260+"AM:!)pG"</f>
        <v>#VALUE!</v>
      </c>
      <c r="GH211" t="e">
        <f>'Actual Value'!AQ260+"AM:!)pH"</f>
        <v>#VALUE!</v>
      </c>
      <c r="GI211" t="e">
        <f>'Actual Value'!AR260+"AM:!)pI"</f>
        <v>#VALUE!</v>
      </c>
      <c r="GJ211" s="97" t="e">
        <f>'Actual Value'!AS260+"AM:!)pJ"</f>
        <v>#VALUE!</v>
      </c>
      <c r="GK211" t="e">
        <f>'Actual Value'!AT260+"AM:!)pK"</f>
        <v>#VALUE!</v>
      </c>
      <c r="GL211" t="e">
        <f>'Actual Value'!AU260+"AM:!)pL"</f>
        <v>#VALUE!</v>
      </c>
      <c r="GM211" t="e">
        <f>'Actual Value'!AV260+"AM:!)pM"</f>
        <v>#VALUE!</v>
      </c>
      <c r="GN211" t="e">
        <f>'Actual Value'!AW260+"AM:!)pN"</f>
        <v>#VALUE!</v>
      </c>
      <c r="GO211" t="e">
        <f>'Actual Value'!A261+"AM:!)pO"</f>
        <v>#VALUE!</v>
      </c>
      <c r="GP211" t="e">
        <f>'Actual Value'!B261+"AM:!)pP"</f>
        <v>#VALUE!</v>
      </c>
      <c r="GQ211" t="e">
        <f>'Actual Value'!C261+"AM:!)pQ"</f>
        <v>#VALUE!</v>
      </c>
      <c r="GR211" s="97" t="e">
        <f>'Actual Value'!D261+"AM:!)pR"</f>
        <v>#VALUE!</v>
      </c>
      <c r="GS211" s="97" t="e">
        <f>'Actual Value'!E261+"AM:!)pS"</f>
        <v>#VALUE!</v>
      </c>
      <c r="GT211" s="97" t="e">
        <f>'Actual Value'!F261+"AM:!)pT"</f>
        <v>#VALUE!</v>
      </c>
      <c r="GU211" s="97" t="e">
        <f>'Actual Value'!G261+"AM:!)pU"</f>
        <v>#VALUE!</v>
      </c>
      <c r="GV211" s="97" t="e">
        <f>'Actual Value'!H261+"AM:!)pV"</f>
        <v>#VALUE!</v>
      </c>
      <c r="GW211" s="97" t="e">
        <f>'Actual Value'!I261+"AM:!)pW"</f>
        <v>#VALUE!</v>
      </c>
      <c r="GX211" s="97" t="e">
        <f>'Actual Value'!J261+"AM:!)pX"</f>
        <v>#VALUE!</v>
      </c>
      <c r="GY211" s="97" t="e">
        <f>'Actual Value'!K261+"AM:!)pY"</f>
        <v>#VALUE!</v>
      </c>
      <c r="GZ211" s="97" t="e">
        <f>'Actual Value'!L261+"AM:!)pZ"</f>
        <v>#VALUE!</v>
      </c>
      <c r="HA211" s="97" t="e">
        <f>'Actual Value'!M261+"AM:!)p["</f>
        <v>#VALUE!</v>
      </c>
      <c r="HB211" s="97" t="e">
        <f>'Actual Value'!N261+"AM:!)p\"</f>
        <v>#VALUE!</v>
      </c>
      <c r="HC211" s="97" t="e">
        <f>'Actual Value'!O261+"AM:!)p]"</f>
        <v>#VALUE!</v>
      </c>
      <c r="HD211" s="97" t="e">
        <f>'Actual Value'!P261+"AM:!)p^"</f>
        <v>#VALUE!</v>
      </c>
      <c r="HE211" s="97" t="e">
        <f>'Actual Value'!Q261+"AM:!)p_"</f>
        <v>#VALUE!</v>
      </c>
      <c r="HF211" s="97" t="e">
        <f>'Actual Value'!R261+"AM:!)p`"</f>
        <v>#VALUE!</v>
      </c>
      <c r="HG211" s="97" t="e">
        <f>'Actual Value'!S261+"AM:!)pa"</f>
        <v>#VALUE!</v>
      </c>
      <c r="HH211" s="97" t="e">
        <f>'Actual Value'!T261+"AM:!)pb"</f>
        <v>#VALUE!</v>
      </c>
      <c r="HI211" s="97" t="e">
        <f>'Actual Value'!U261+"AM:!)pc"</f>
        <v>#VALUE!</v>
      </c>
      <c r="HJ211" s="97" t="e">
        <f>'Actual Value'!V261+"AM:!)pd"</f>
        <v>#VALUE!</v>
      </c>
      <c r="HK211" s="97" t="e">
        <f>'Actual Value'!W261+"AM:!)pe"</f>
        <v>#VALUE!</v>
      </c>
      <c r="HL211" s="97" t="e">
        <f>'Actual Value'!X261+"AM:!)pf"</f>
        <v>#VALUE!</v>
      </c>
      <c r="HM211" s="97" t="e">
        <f>'Actual Value'!Y261+"AM:!)pg"</f>
        <v>#VALUE!</v>
      </c>
      <c r="HN211" s="97" t="e">
        <f>'Actual Value'!Z261+"AM:!)ph"</f>
        <v>#VALUE!</v>
      </c>
      <c r="HO211" s="97" t="e">
        <f>'Actual Value'!AA261+"AM:!)pi"</f>
        <v>#VALUE!</v>
      </c>
      <c r="HP211" s="97" t="e">
        <f>'Actual Value'!AB261+"AM:!)pj"</f>
        <v>#VALUE!</v>
      </c>
      <c r="HQ211" s="97" t="e">
        <f>'Actual Value'!AC261+"AM:!)pk"</f>
        <v>#VALUE!</v>
      </c>
      <c r="HR211" s="97" t="e">
        <f>'Actual Value'!AD261+"AM:!)pl"</f>
        <v>#VALUE!</v>
      </c>
      <c r="HS211" s="97" t="e">
        <f>'Actual Value'!AE261+"AM:!)pm"</f>
        <v>#VALUE!</v>
      </c>
      <c r="HT211" s="97" t="e">
        <f>'Actual Value'!AF261+"AM:!)pn"</f>
        <v>#VALUE!</v>
      </c>
      <c r="HU211" s="97" t="e">
        <f>'Actual Value'!AG261+"AM:!)po"</f>
        <v>#VALUE!</v>
      </c>
      <c r="HV211" s="97" t="e">
        <f>'Actual Value'!AH261+"AM:!)pp"</f>
        <v>#VALUE!</v>
      </c>
      <c r="HW211" s="97" t="e">
        <f>'Actual Value'!AI261+"AM:!)pq"</f>
        <v>#VALUE!</v>
      </c>
      <c r="HX211" s="97" t="e">
        <f>'Actual Value'!AJ261+"AM:!)pr"</f>
        <v>#VALUE!</v>
      </c>
      <c r="HY211" s="97" t="e">
        <f>'Actual Value'!AK261+"AM:!)ps"</f>
        <v>#VALUE!</v>
      </c>
      <c r="HZ211" s="97" t="e">
        <f>'Actual Value'!AL261+"AM:!)pt"</f>
        <v>#VALUE!</v>
      </c>
      <c r="IA211" s="97" t="e">
        <f>'Actual Value'!AM261+"AM:!)pu"</f>
        <v>#VALUE!</v>
      </c>
      <c r="IB211" s="97" t="e">
        <f>'Actual Value'!AN261+"AM:!)pv"</f>
        <v>#VALUE!</v>
      </c>
      <c r="IC211" s="97" t="e">
        <f>'Actual Value'!AO261+"AM:!)pw"</f>
        <v>#VALUE!</v>
      </c>
      <c r="ID211" t="e">
        <f>'Actual Value'!AP261+"AM:!)px"</f>
        <v>#VALUE!</v>
      </c>
      <c r="IE211" t="e">
        <f>'Actual Value'!AQ261+"AM:!)py"</f>
        <v>#VALUE!</v>
      </c>
      <c r="IF211" t="e">
        <f>'Actual Value'!AR261+"AM:!)pz"</f>
        <v>#VALUE!</v>
      </c>
      <c r="IG211" s="97" t="e">
        <f>'Actual Value'!AS261+"AM:!)p{"</f>
        <v>#VALUE!</v>
      </c>
      <c r="IH211" t="e">
        <f>'Actual Value'!AT261+"AM:!)p|"</f>
        <v>#VALUE!</v>
      </c>
      <c r="II211" t="e">
        <f>'Actual Value'!AU261+"AM:!)p}"</f>
        <v>#VALUE!</v>
      </c>
      <c r="IJ211" t="e">
        <f>'Actual Value'!AV261+"AM:!)p~"</f>
        <v>#VALUE!</v>
      </c>
      <c r="IK211" t="e">
        <f>'Actual Value'!AW261+"AM:!)q#"</f>
        <v>#VALUE!</v>
      </c>
      <c r="IL211" t="e">
        <f>'Actual Value'!A262+"AM:!)q$"</f>
        <v>#VALUE!</v>
      </c>
      <c r="IM211" t="e">
        <f>'Actual Value'!B262+"AM:!)q%"</f>
        <v>#VALUE!</v>
      </c>
      <c r="IN211" t="e">
        <f>'Actual Value'!C262+"AM:!)q&amp;"</f>
        <v>#VALUE!</v>
      </c>
      <c r="IO211" s="97" t="e">
        <f>'Actual Value'!D262+"AM:!)q'"</f>
        <v>#VALUE!</v>
      </c>
      <c r="IP211" s="97" t="e">
        <f>'Actual Value'!E262+"AM:!)q("</f>
        <v>#VALUE!</v>
      </c>
      <c r="IQ211" s="97" t="e">
        <f>'Actual Value'!F262+"AM:!)q)"</f>
        <v>#VALUE!</v>
      </c>
      <c r="IR211" s="97" t="e">
        <f>'Actual Value'!G262+"AM:!)q."</f>
        <v>#VALUE!</v>
      </c>
      <c r="IS211" s="97" t="e">
        <f>'Actual Value'!H262+"AM:!)q/"</f>
        <v>#VALUE!</v>
      </c>
      <c r="IT211" s="97" t="e">
        <f>'Actual Value'!I262+"AM:!)q0"</f>
        <v>#VALUE!</v>
      </c>
      <c r="IU211" s="97" t="e">
        <f>'Actual Value'!J262+"AM:!)q1"</f>
        <v>#VALUE!</v>
      </c>
      <c r="IV211" s="97" t="e">
        <f>'Actual Value'!K262+"AM:!)q2"</f>
        <v>#VALUE!</v>
      </c>
    </row>
    <row r="212" spans="6:256">
      <c r="F212" s="97" t="e">
        <f>'Actual Value'!L262+"AM:!)q3"</f>
        <v>#VALUE!</v>
      </c>
      <c r="G212" s="97" t="e">
        <f>'Actual Value'!M262+"AM:!)q4"</f>
        <v>#VALUE!</v>
      </c>
      <c r="H212" s="97" t="e">
        <f>'Actual Value'!N262+"AM:!)q5"</f>
        <v>#VALUE!</v>
      </c>
      <c r="I212" s="97" t="e">
        <f>'Actual Value'!O262+"AM:!)q6"</f>
        <v>#VALUE!</v>
      </c>
      <c r="J212" s="97" t="e">
        <f>'Actual Value'!P262+"AM:!)q7"</f>
        <v>#VALUE!</v>
      </c>
      <c r="K212" s="97" t="e">
        <f>'Actual Value'!Q262+"AM:!)q8"</f>
        <v>#VALUE!</v>
      </c>
      <c r="L212" s="97" t="e">
        <f>'Actual Value'!R262+"AM:!)q9"</f>
        <v>#VALUE!</v>
      </c>
      <c r="M212" s="97" t="e">
        <f>'Actual Value'!S262+"AM:!)q:"</f>
        <v>#VALUE!</v>
      </c>
      <c r="N212" s="97" t="e">
        <f>'Actual Value'!T262+"AM:!)q;"</f>
        <v>#VALUE!</v>
      </c>
      <c r="O212" s="97" t="e">
        <f>'Actual Value'!U262+"AM:!)q&lt;"</f>
        <v>#VALUE!</v>
      </c>
      <c r="P212" s="97" t="e">
        <f>'Actual Value'!V262+"AM:!)q="</f>
        <v>#VALUE!</v>
      </c>
      <c r="Q212" s="97" t="e">
        <f>'Actual Value'!W262+"AM:!)q&gt;"</f>
        <v>#VALUE!</v>
      </c>
      <c r="R212" s="97" t="e">
        <f>'Actual Value'!X262+"AM:!)q?"</f>
        <v>#VALUE!</v>
      </c>
      <c r="S212" s="97" t="e">
        <f>'Actual Value'!Y262+"AM:!)q@"</f>
        <v>#VALUE!</v>
      </c>
      <c r="T212" s="97" t="e">
        <f>'Actual Value'!Z262+"AM:!)qA"</f>
        <v>#VALUE!</v>
      </c>
      <c r="U212" s="97" t="e">
        <f>'Actual Value'!AA262+"AM:!)qB"</f>
        <v>#VALUE!</v>
      </c>
      <c r="V212" s="97" t="e">
        <f>'Actual Value'!AB262+"AM:!)qC"</f>
        <v>#VALUE!</v>
      </c>
      <c r="W212" s="97" t="e">
        <f>'Actual Value'!AC262+"AM:!)qD"</f>
        <v>#VALUE!</v>
      </c>
      <c r="X212" s="97" t="e">
        <f>'Actual Value'!AD262+"AM:!)qE"</f>
        <v>#VALUE!</v>
      </c>
      <c r="Y212" s="97" t="e">
        <f>'Actual Value'!AE262+"AM:!)qF"</f>
        <v>#VALUE!</v>
      </c>
      <c r="Z212" s="97" t="e">
        <f>'Actual Value'!AF262+"AM:!)qG"</f>
        <v>#VALUE!</v>
      </c>
      <c r="AA212" s="97" t="e">
        <f>'Actual Value'!AG262+"AM:!)qH"</f>
        <v>#VALUE!</v>
      </c>
      <c r="AB212" s="97" t="e">
        <f>'Actual Value'!AH262+"AM:!)qI"</f>
        <v>#VALUE!</v>
      </c>
      <c r="AC212" s="97" t="e">
        <f>'Actual Value'!AI262+"AM:!)qJ"</f>
        <v>#VALUE!</v>
      </c>
      <c r="AD212" s="97" t="e">
        <f>'Actual Value'!AJ262+"AM:!)qK"</f>
        <v>#VALUE!</v>
      </c>
      <c r="AE212" s="97" t="e">
        <f>'Actual Value'!AK262+"AM:!)qL"</f>
        <v>#VALUE!</v>
      </c>
      <c r="AF212" s="97" t="e">
        <f>'Actual Value'!AL262+"AM:!)qM"</f>
        <v>#VALUE!</v>
      </c>
      <c r="AG212" s="97" t="e">
        <f>'Actual Value'!AM262+"AM:!)qN"</f>
        <v>#VALUE!</v>
      </c>
      <c r="AH212" s="97" t="e">
        <f>'Actual Value'!AN262+"AM:!)qO"</f>
        <v>#VALUE!</v>
      </c>
      <c r="AI212" s="97" t="e">
        <f>'Actual Value'!AO262+"AM:!)qP"</f>
        <v>#VALUE!</v>
      </c>
      <c r="AJ212" t="e">
        <f>'Actual Value'!AP262+"AM:!)qQ"</f>
        <v>#VALUE!</v>
      </c>
      <c r="AK212" t="e">
        <f>'Actual Value'!AQ262+"AM:!)qR"</f>
        <v>#VALUE!</v>
      </c>
      <c r="AL212" t="e">
        <f>'Actual Value'!AR262+"AM:!)qS"</f>
        <v>#VALUE!</v>
      </c>
      <c r="AM212" t="e">
        <f>'Actual Value'!AS262+"AM:!)qT"</f>
        <v>#VALUE!</v>
      </c>
      <c r="AN212" t="e">
        <f>'Actual Value'!AT262+"AM:!)qU"</f>
        <v>#VALUE!</v>
      </c>
      <c r="AO212" t="e">
        <f>'Actual Value'!AU262+"AM:!)qV"</f>
        <v>#VALUE!</v>
      </c>
      <c r="AP212" t="e">
        <f>'Actual Value'!AV262+"AM:!)qW"</f>
        <v>#VALUE!</v>
      </c>
      <c r="AQ212" t="e">
        <f>'Actual Value'!AW262+"AM:!)qX"</f>
        <v>#VALUE!</v>
      </c>
      <c r="AR212" t="e">
        <f>'Actual Value'!A263+"AM:!)qY"</f>
        <v>#VALUE!</v>
      </c>
      <c r="AS212" t="e">
        <f>'Actual Value'!B263+"AM:!)qZ"</f>
        <v>#VALUE!</v>
      </c>
      <c r="AT212" t="e">
        <f>'Actual Value'!C263+"AM:!)q["</f>
        <v>#VALUE!</v>
      </c>
      <c r="AU212" s="97" t="e">
        <f>'Actual Value'!D263+"AM:!)q\"</f>
        <v>#VALUE!</v>
      </c>
      <c r="AV212" s="97" t="e">
        <f>'Actual Value'!E263+"AM:!)q]"</f>
        <v>#VALUE!</v>
      </c>
      <c r="AW212" s="97" t="e">
        <f>'Actual Value'!F263+"AM:!)q^"</f>
        <v>#VALUE!</v>
      </c>
      <c r="AX212" s="97" t="e">
        <f>'Actual Value'!G263+"AM:!)q_"</f>
        <v>#VALUE!</v>
      </c>
      <c r="AY212" s="97" t="e">
        <f>'Actual Value'!H263+"AM:!)q`"</f>
        <v>#VALUE!</v>
      </c>
      <c r="AZ212" s="97" t="e">
        <f>'Actual Value'!I263+"AM:!)qa"</f>
        <v>#VALUE!</v>
      </c>
      <c r="BA212" s="97" t="e">
        <f>'Actual Value'!J263+"AM:!)qb"</f>
        <v>#VALUE!</v>
      </c>
      <c r="BB212" s="97" t="e">
        <f>'Actual Value'!K263+"AM:!)qc"</f>
        <v>#VALUE!</v>
      </c>
      <c r="BC212" s="97" t="e">
        <f>'Actual Value'!L263+"AM:!)qd"</f>
        <v>#VALUE!</v>
      </c>
      <c r="BD212" s="97" t="e">
        <f>'Actual Value'!M263+"AM:!)qe"</f>
        <v>#VALUE!</v>
      </c>
      <c r="BE212" s="97" t="e">
        <f>'Actual Value'!N263+"AM:!)qf"</f>
        <v>#VALUE!</v>
      </c>
      <c r="BF212" s="97" t="e">
        <f>'Actual Value'!O263+"AM:!)qg"</f>
        <v>#VALUE!</v>
      </c>
      <c r="BG212" s="97" t="e">
        <f>'Actual Value'!P263+"AM:!)qh"</f>
        <v>#VALUE!</v>
      </c>
      <c r="BH212" s="97" t="e">
        <f>'Actual Value'!Q263+"AM:!)qi"</f>
        <v>#VALUE!</v>
      </c>
      <c r="BI212" s="97" t="e">
        <f>'Actual Value'!R263+"AM:!)qj"</f>
        <v>#VALUE!</v>
      </c>
      <c r="BJ212" s="97" t="e">
        <f>'Actual Value'!S263+"AM:!)qk"</f>
        <v>#VALUE!</v>
      </c>
      <c r="BK212" s="97" t="e">
        <f>'Actual Value'!T263+"AM:!)ql"</f>
        <v>#VALUE!</v>
      </c>
      <c r="BL212" s="97" t="e">
        <f>'Actual Value'!U263+"AM:!)qm"</f>
        <v>#VALUE!</v>
      </c>
      <c r="BM212" s="97" t="e">
        <f>'Actual Value'!V263+"AM:!)qn"</f>
        <v>#VALUE!</v>
      </c>
      <c r="BN212" s="97" t="e">
        <f>'Actual Value'!W263+"AM:!)qo"</f>
        <v>#VALUE!</v>
      </c>
      <c r="BO212" s="97" t="e">
        <f>'Actual Value'!X263+"AM:!)qp"</f>
        <v>#VALUE!</v>
      </c>
      <c r="BP212" s="97" t="e">
        <f>'Actual Value'!Y263+"AM:!)qq"</f>
        <v>#VALUE!</v>
      </c>
      <c r="BQ212" s="97" t="e">
        <f>'Actual Value'!Z263+"AM:!)qr"</f>
        <v>#VALUE!</v>
      </c>
      <c r="BR212" s="97" t="e">
        <f>'Actual Value'!AA263+"AM:!)qs"</f>
        <v>#VALUE!</v>
      </c>
      <c r="BS212" s="97" t="e">
        <f>'Actual Value'!AB263+"AM:!)qt"</f>
        <v>#VALUE!</v>
      </c>
      <c r="BT212" s="97" t="e">
        <f>'Actual Value'!AC263+"AM:!)qu"</f>
        <v>#VALUE!</v>
      </c>
      <c r="BU212" s="97" t="e">
        <f>'Actual Value'!AD263+"AM:!)qv"</f>
        <v>#VALUE!</v>
      </c>
      <c r="BV212" s="97" t="e">
        <f>'Actual Value'!AE263+"AM:!)qw"</f>
        <v>#VALUE!</v>
      </c>
      <c r="BW212" s="97" t="e">
        <f>'Actual Value'!AF263+"AM:!)qx"</f>
        <v>#VALUE!</v>
      </c>
      <c r="BX212" s="97" t="e">
        <f>'Actual Value'!AG263+"AM:!)qy"</f>
        <v>#VALUE!</v>
      </c>
      <c r="BY212" s="97" t="e">
        <f>'Actual Value'!AH263+"AM:!)qz"</f>
        <v>#VALUE!</v>
      </c>
      <c r="BZ212" s="97" t="e">
        <f>'Actual Value'!AI263+"AM:!)q{"</f>
        <v>#VALUE!</v>
      </c>
      <c r="CA212" s="97" t="e">
        <f>'Actual Value'!AJ263+"AM:!)q|"</f>
        <v>#VALUE!</v>
      </c>
      <c r="CB212" s="97" t="e">
        <f>'Actual Value'!AK263+"AM:!)q}"</f>
        <v>#VALUE!</v>
      </c>
      <c r="CC212" s="97" t="e">
        <f>'Actual Value'!AL263+"AM:!)q~"</f>
        <v>#VALUE!</v>
      </c>
      <c r="CD212" s="97" t="e">
        <f>'Actual Value'!AM263+"AM:!)r#"</f>
        <v>#VALUE!</v>
      </c>
      <c r="CE212" s="97" t="e">
        <f>'Actual Value'!AN263+"AM:!)r$"</f>
        <v>#VALUE!</v>
      </c>
      <c r="CF212" s="97" t="e">
        <f>'Actual Value'!AO263+"AM:!)r%"</f>
        <v>#VALUE!</v>
      </c>
      <c r="CG212" t="e">
        <f>'Actual Value'!AP263+"AM:!)r&amp;"</f>
        <v>#VALUE!</v>
      </c>
      <c r="CH212" t="e">
        <f>'Actual Value'!AQ263+"AM:!)r'"</f>
        <v>#VALUE!</v>
      </c>
      <c r="CI212" t="e">
        <f>'Actual Value'!AR263+"AM:!)r("</f>
        <v>#VALUE!</v>
      </c>
      <c r="CJ212" t="e">
        <f>'Actual Value'!AS263+"AM:!)r)"</f>
        <v>#VALUE!</v>
      </c>
      <c r="CK212" t="e">
        <f>'Actual Value'!AT263+"AM:!)r."</f>
        <v>#VALUE!</v>
      </c>
      <c r="CL212" t="e">
        <f>'Actual Value'!AU263+"AM:!)r/"</f>
        <v>#VALUE!</v>
      </c>
      <c r="CM212" t="e">
        <f>'Actual Value'!AV263+"AM:!)r0"</f>
        <v>#VALUE!</v>
      </c>
      <c r="CN212" t="e">
        <f>'Actual Value'!AW263+"AM:!)r1"</f>
        <v>#VALUE!</v>
      </c>
      <c r="CO212" t="e">
        <f>'Actual Value'!AX263+"AM:!)r2"</f>
        <v>#VALUE!</v>
      </c>
      <c r="CP212" t="e">
        <f>'Actual Value'!A264+"AM:!)r3"</f>
        <v>#VALUE!</v>
      </c>
      <c r="CQ212" t="e">
        <f>'Actual Value'!B264+"AM:!)r4"</f>
        <v>#VALUE!</v>
      </c>
      <c r="CR212" t="e">
        <f>'Actual Value'!C264+"AM:!)r5"</f>
        <v>#VALUE!</v>
      </c>
      <c r="CS212" s="97" t="e">
        <f>'Actual Value'!D264+"AM:!)r6"</f>
        <v>#VALUE!</v>
      </c>
      <c r="CT212" s="97" t="e">
        <f>'Actual Value'!E264+"AM:!)r7"</f>
        <v>#VALUE!</v>
      </c>
      <c r="CU212" s="97" t="e">
        <f>'Actual Value'!F264+"AM:!)r8"</f>
        <v>#VALUE!</v>
      </c>
      <c r="CV212" s="97" t="e">
        <f>'Actual Value'!G264+"AM:!)r9"</f>
        <v>#VALUE!</v>
      </c>
      <c r="CW212" s="97" t="e">
        <f>'Actual Value'!H264+"AM:!)r:"</f>
        <v>#VALUE!</v>
      </c>
      <c r="CX212" s="97" t="e">
        <f>'Actual Value'!I264+"AM:!)r;"</f>
        <v>#VALUE!</v>
      </c>
      <c r="CY212" s="97" t="e">
        <f>'Actual Value'!J264+"AM:!)r&lt;"</f>
        <v>#VALUE!</v>
      </c>
      <c r="CZ212" s="97" t="e">
        <f>'Actual Value'!K264+"AM:!)r="</f>
        <v>#VALUE!</v>
      </c>
      <c r="DA212" s="97" t="e">
        <f>'Actual Value'!L264+"AM:!)r&gt;"</f>
        <v>#VALUE!</v>
      </c>
      <c r="DB212" s="97" t="e">
        <f>'Actual Value'!M264+"AM:!)r?"</f>
        <v>#VALUE!</v>
      </c>
      <c r="DC212" s="97" t="e">
        <f>'Actual Value'!N264+"AM:!)r@"</f>
        <v>#VALUE!</v>
      </c>
      <c r="DD212" s="97" t="e">
        <f>'Actual Value'!O264+"AM:!)rA"</f>
        <v>#VALUE!</v>
      </c>
      <c r="DE212" s="97" t="e">
        <f>'Actual Value'!P264+"AM:!)rB"</f>
        <v>#VALUE!</v>
      </c>
      <c r="DF212" s="97" t="e">
        <f>'Actual Value'!Q264+"AM:!)rC"</f>
        <v>#VALUE!</v>
      </c>
      <c r="DG212" s="97" t="e">
        <f>'Actual Value'!R264+"AM:!)rD"</f>
        <v>#VALUE!</v>
      </c>
      <c r="DH212" s="97" t="e">
        <f>'Actual Value'!S264+"AM:!)rE"</f>
        <v>#VALUE!</v>
      </c>
      <c r="DI212" s="97" t="e">
        <f>'Actual Value'!T264+"AM:!)rF"</f>
        <v>#VALUE!</v>
      </c>
      <c r="DJ212" s="97" t="e">
        <f>'Actual Value'!U264+"AM:!)rG"</f>
        <v>#VALUE!</v>
      </c>
      <c r="DK212" s="97" t="e">
        <f>'Actual Value'!V264+"AM:!)rH"</f>
        <v>#VALUE!</v>
      </c>
      <c r="DL212" s="97" t="e">
        <f>'Actual Value'!W264+"AM:!)rI"</f>
        <v>#VALUE!</v>
      </c>
      <c r="DM212" s="97" t="e">
        <f>'Actual Value'!X264+"AM:!)rJ"</f>
        <v>#VALUE!</v>
      </c>
      <c r="DN212" s="97" t="e">
        <f>'Actual Value'!Y264+"AM:!)rK"</f>
        <v>#VALUE!</v>
      </c>
      <c r="DO212" s="97" t="e">
        <f>'Actual Value'!Z264+"AM:!)rL"</f>
        <v>#VALUE!</v>
      </c>
      <c r="DP212" s="97" t="e">
        <f>'Actual Value'!AA264+"AM:!)rM"</f>
        <v>#VALUE!</v>
      </c>
      <c r="DQ212" s="97" t="e">
        <f>'Actual Value'!AB264+"AM:!)rN"</f>
        <v>#VALUE!</v>
      </c>
      <c r="DR212" s="97" t="e">
        <f>'Actual Value'!AC264+"AM:!)rO"</f>
        <v>#VALUE!</v>
      </c>
      <c r="DS212" s="97" t="e">
        <f>'Actual Value'!AD264+"AM:!)rP"</f>
        <v>#VALUE!</v>
      </c>
      <c r="DT212" s="97" t="e">
        <f>'Actual Value'!AE264+"AM:!)rQ"</f>
        <v>#VALUE!</v>
      </c>
      <c r="DU212" s="97" t="e">
        <f>'Actual Value'!AF264+"AM:!)rR"</f>
        <v>#VALUE!</v>
      </c>
      <c r="DV212" s="97" t="e">
        <f>'Actual Value'!AG264+"AM:!)rS"</f>
        <v>#VALUE!</v>
      </c>
      <c r="DW212" s="97" t="e">
        <f>'Actual Value'!AH264+"AM:!)rT"</f>
        <v>#VALUE!</v>
      </c>
      <c r="DX212" s="97" t="e">
        <f>'Actual Value'!AI264+"AM:!)rU"</f>
        <v>#VALUE!</v>
      </c>
      <c r="DY212" s="97" t="e">
        <f>'Actual Value'!AJ264+"AM:!)rV"</f>
        <v>#VALUE!</v>
      </c>
      <c r="DZ212" s="97" t="e">
        <f>'Actual Value'!AK264+"AM:!)rW"</f>
        <v>#VALUE!</v>
      </c>
      <c r="EA212" s="97" t="e">
        <f>'Actual Value'!AL264+"AM:!)rX"</f>
        <v>#VALUE!</v>
      </c>
      <c r="EB212" s="97" t="e">
        <f>'Actual Value'!AM264+"AM:!)rY"</f>
        <v>#VALUE!</v>
      </c>
      <c r="EC212" s="97" t="e">
        <f>'Actual Value'!AN264+"AM:!)rZ"</f>
        <v>#VALUE!</v>
      </c>
      <c r="ED212" s="97" t="e">
        <f>'Actual Value'!AO264+"AM:!)r["</f>
        <v>#VALUE!</v>
      </c>
      <c r="EE212" t="e">
        <f>'Actual Value'!AP264+"AM:!)r\"</f>
        <v>#VALUE!</v>
      </c>
      <c r="EF212" t="e">
        <f>'Actual Value'!AQ264+"AM:!)r]"</f>
        <v>#VALUE!</v>
      </c>
      <c r="EG212" t="e">
        <f>'Actual Value'!AR264+"AM:!)r^"</f>
        <v>#VALUE!</v>
      </c>
      <c r="EH212" t="e">
        <f>'Actual Value'!AS264+"AM:!)r_"</f>
        <v>#VALUE!</v>
      </c>
      <c r="EI212" t="e">
        <f>'Actual Value'!AT264+"AM:!)r`"</f>
        <v>#VALUE!</v>
      </c>
      <c r="EJ212" t="e">
        <f>'Actual Value'!AU264+"AM:!)ra"</f>
        <v>#VALUE!</v>
      </c>
      <c r="EK212" t="e">
        <f>'Actual Value'!AV264+"AM:!)rb"</f>
        <v>#VALUE!</v>
      </c>
      <c r="EL212" t="e">
        <f>'Actual Value'!AW264+"AM:!)rc"</f>
        <v>#VALUE!</v>
      </c>
      <c r="EM212" t="e">
        <f>'Actual Value'!AX264+"AM:!)rd"</f>
        <v>#VALUE!</v>
      </c>
      <c r="EN212" t="e">
        <f>'Actual Value'!A265+"AM:!)re"</f>
        <v>#VALUE!</v>
      </c>
      <c r="EO212" t="e">
        <f>'Actual Value'!B265+"AM:!)rf"</f>
        <v>#VALUE!</v>
      </c>
      <c r="EP212" t="e">
        <f>'Actual Value'!C265+"AM:!)rg"</f>
        <v>#VALUE!</v>
      </c>
      <c r="EQ212" s="97" t="e">
        <f>'Actual Value'!D265+"AM:!)rh"</f>
        <v>#VALUE!</v>
      </c>
      <c r="ER212" s="97" t="e">
        <f>'Actual Value'!E265+"AM:!)ri"</f>
        <v>#VALUE!</v>
      </c>
      <c r="ES212" s="97" t="e">
        <f>'Actual Value'!F265+"AM:!)rj"</f>
        <v>#VALUE!</v>
      </c>
      <c r="ET212" s="97" t="e">
        <f>'Actual Value'!G265+"AM:!)rk"</f>
        <v>#VALUE!</v>
      </c>
      <c r="EU212" s="97" t="e">
        <f>'Actual Value'!H265+"AM:!)rl"</f>
        <v>#VALUE!</v>
      </c>
      <c r="EV212" s="97" t="e">
        <f>'Actual Value'!I265+"AM:!)rm"</f>
        <v>#VALUE!</v>
      </c>
      <c r="EW212" s="97" t="e">
        <f>'Actual Value'!J265+"AM:!)rn"</f>
        <v>#VALUE!</v>
      </c>
      <c r="EX212" s="97" t="e">
        <f>'Actual Value'!K265+"AM:!)ro"</f>
        <v>#VALUE!</v>
      </c>
      <c r="EY212" s="97" t="e">
        <f>'Actual Value'!L265+"AM:!)rp"</f>
        <v>#VALUE!</v>
      </c>
      <c r="EZ212" s="97" t="e">
        <f>'Actual Value'!M265+"AM:!)rq"</f>
        <v>#VALUE!</v>
      </c>
      <c r="FA212" s="97" t="e">
        <f>'Actual Value'!N265+"AM:!)rr"</f>
        <v>#VALUE!</v>
      </c>
      <c r="FB212" s="97" t="e">
        <f>'Actual Value'!O265+"AM:!)rs"</f>
        <v>#VALUE!</v>
      </c>
      <c r="FC212" s="97" t="e">
        <f>'Actual Value'!P265+"AM:!)rt"</f>
        <v>#VALUE!</v>
      </c>
      <c r="FD212" s="97" t="e">
        <f>'Actual Value'!Q265+"AM:!)ru"</f>
        <v>#VALUE!</v>
      </c>
      <c r="FE212" s="97" t="e">
        <f>'Actual Value'!R265+"AM:!)rv"</f>
        <v>#VALUE!</v>
      </c>
      <c r="FF212" s="97" t="e">
        <f>'Actual Value'!S265+"AM:!)rw"</f>
        <v>#VALUE!</v>
      </c>
      <c r="FG212" s="97" t="e">
        <f>'Actual Value'!T265+"AM:!)rx"</f>
        <v>#VALUE!</v>
      </c>
      <c r="FH212" s="97" t="e">
        <f>'Actual Value'!U265+"AM:!)ry"</f>
        <v>#VALUE!</v>
      </c>
      <c r="FI212" s="97" t="e">
        <f>'Actual Value'!V265+"AM:!)rz"</f>
        <v>#VALUE!</v>
      </c>
      <c r="FJ212" s="97" t="e">
        <f>'Actual Value'!W265+"AM:!)r{"</f>
        <v>#VALUE!</v>
      </c>
      <c r="FK212" s="97" t="e">
        <f>'Actual Value'!X265+"AM:!)r|"</f>
        <v>#VALUE!</v>
      </c>
      <c r="FL212" s="97" t="e">
        <f>'Actual Value'!Y265+"AM:!)r}"</f>
        <v>#VALUE!</v>
      </c>
      <c r="FM212" s="97" t="e">
        <f>'Actual Value'!Z265+"AM:!)r~"</f>
        <v>#VALUE!</v>
      </c>
      <c r="FN212" s="97" t="e">
        <f>'Actual Value'!AA265+"AM:!)s#"</f>
        <v>#VALUE!</v>
      </c>
      <c r="FO212" s="97" t="e">
        <f>'Actual Value'!AB265+"AM:!)s$"</f>
        <v>#VALUE!</v>
      </c>
      <c r="FP212" s="97" t="e">
        <f>'Actual Value'!AC265+"AM:!)s%"</f>
        <v>#VALUE!</v>
      </c>
      <c r="FQ212" s="97" t="e">
        <f>'Actual Value'!AD265+"AM:!)s&amp;"</f>
        <v>#VALUE!</v>
      </c>
      <c r="FR212" s="97" t="e">
        <f>'Actual Value'!AE265+"AM:!)s'"</f>
        <v>#VALUE!</v>
      </c>
      <c r="FS212" s="97" t="e">
        <f>'Actual Value'!AF265+"AM:!)s("</f>
        <v>#VALUE!</v>
      </c>
      <c r="FT212" s="97" t="e">
        <f>'Actual Value'!AG265+"AM:!)s)"</f>
        <v>#VALUE!</v>
      </c>
      <c r="FU212" s="97" t="e">
        <f>'Actual Value'!AH265+"AM:!)s."</f>
        <v>#VALUE!</v>
      </c>
      <c r="FV212" s="97" t="e">
        <f>'Actual Value'!AI265+"AM:!)s/"</f>
        <v>#VALUE!</v>
      </c>
      <c r="FW212" s="97" t="e">
        <f>'Actual Value'!AJ265+"AM:!)s0"</f>
        <v>#VALUE!</v>
      </c>
      <c r="FX212" s="97" t="e">
        <f>'Actual Value'!AK265+"AM:!)s1"</f>
        <v>#VALUE!</v>
      </c>
      <c r="FY212" s="97" t="e">
        <f>'Actual Value'!AL265+"AM:!)s2"</f>
        <v>#VALUE!</v>
      </c>
      <c r="FZ212" s="97" t="e">
        <f>'Actual Value'!AM265+"AM:!)s3"</f>
        <v>#VALUE!</v>
      </c>
      <c r="GA212" s="97" t="e">
        <f>'Actual Value'!AN265+"AM:!)s4"</f>
        <v>#VALUE!</v>
      </c>
      <c r="GB212" s="97" t="e">
        <f>'Actual Value'!AO265+"AM:!)s5"</f>
        <v>#VALUE!</v>
      </c>
      <c r="GC212" t="e">
        <f>'Actual Value'!AP265+"AM:!)s6"</f>
        <v>#VALUE!</v>
      </c>
      <c r="GD212" t="e">
        <f>'Actual Value'!AQ265+"AM:!)s7"</f>
        <v>#VALUE!</v>
      </c>
      <c r="GE212" t="e">
        <f>'Actual Value'!AR265+"AM:!)s8"</f>
        <v>#VALUE!</v>
      </c>
      <c r="GF212" t="e">
        <f>'Actual Value'!AS265+"AM:!)s9"</f>
        <v>#VALUE!</v>
      </c>
      <c r="GG212" t="e">
        <f>'Actual Value'!AT265+"AM:!)s:"</f>
        <v>#VALUE!</v>
      </c>
      <c r="GH212" t="e">
        <f>'Actual Value'!AU265+"AM:!)s;"</f>
        <v>#VALUE!</v>
      </c>
      <c r="GI212" t="e">
        <f>'Actual Value'!AV265+"AM:!)s&lt;"</f>
        <v>#VALUE!</v>
      </c>
      <c r="GJ212" t="e">
        <f>'Actual Value'!AW265+"AM:!)s="</f>
        <v>#VALUE!</v>
      </c>
      <c r="GK212" t="e">
        <f>'Actual Value'!AX265+"AM:!)s&gt;"</f>
        <v>#VALUE!</v>
      </c>
      <c r="GL212" t="e">
        <f>'Actual Value'!A266+"AM:!)s?"</f>
        <v>#VALUE!</v>
      </c>
      <c r="GM212" t="e">
        <f>'Actual Value'!B266+"AM:!)s@"</f>
        <v>#VALUE!</v>
      </c>
      <c r="GN212" t="e">
        <f>'Actual Value'!C266+"AM:!)sA"</f>
        <v>#VALUE!</v>
      </c>
      <c r="GO212" s="97" t="e">
        <f>'Actual Value'!D266+"AM:!)sB"</f>
        <v>#VALUE!</v>
      </c>
      <c r="GP212" s="97" t="e">
        <f>'Actual Value'!E266+"AM:!)sC"</f>
        <v>#VALUE!</v>
      </c>
      <c r="GQ212" s="97" t="e">
        <f>'Actual Value'!F266+"AM:!)sD"</f>
        <v>#VALUE!</v>
      </c>
      <c r="GR212" s="97" t="e">
        <f>'Actual Value'!G266+"AM:!)sE"</f>
        <v>#VALUE!</v>
      </c>
      <c r="GS212" s="97" t="e">
        <f>'Actual Value'!H266+"AM:!)sF"</f>
        <v>#VALUE!</v>
      </c>
      <c r="GT212" s="97" t="e">
        <f>'Actual Value'!I266+"AM:!)sG"</f>
        <v>#VALUE!</v>
      </c>
      <c r="GU212" s="97" t="e">
        <f>'Actual Value'!J266+"AM:!)sH"</f>
        <v>#VALUE!</v>
      </c>
      <c r="GV212" s="97" t="e">
        <f>'Actual Value'!K266+"AM:!)sI"</f>
        <v>#VALUE!</v>
      </c>
      <c r="GW212" s="97" t="e">
        <f>'Actual Value'!L266+"AM:!)sJ"</f>
        <v>#VALUE!</v>
      </c>
      <c r="GX212" s="97" t="e">
        <f>'Actual Value'!M266+"AM:!)sK"</f>
        <v>#VALUE!</v>
      </c>
      <c r="GY212" s="97" t="e">
        <f>'Actual Value'!N266+"AM:!)sL"</f>
        <v>#VALUE!</v>
      </c>
      <c r="GZ212" s="97" t="e">
        <f>'Actual Value'!O266+"AM:!)sM"</f>
        <v>#VALUE!</v>
      </c>
      <c r="HA212" s="97" t="e">
        <f>'Actual Value'!P266+"AM:!)sN"</f>
        <v>#VALUE!</v>
      </c>
      <c r="HB212" s="97" t="e">
        <f>'Actual Value'!Q266+"AM:!)sO"</f>
        <v>#VALUE!</v>
      </c>
      <c r="HC212" s="97" t="e">
        <f>'Actual Value'!R266+"AM:!)sP"</f>
        <v>#VALUE!</v>
      </c>
      <c r="HD212" s="97" t="e">
        <f>'Actual Value'!S266+"AM:!)sQ"</f>
        <v>#VALUE!</v>
      </c>
      <c r="HE212" s="97" t="e">
        <f>'Actual Value'!T266+"AM:!)sR"</f>
        <v>#VALUE!</v>
      </c>
      <c r="HF212" s="97" t="e">
        <f>'Actual Value'!U266+"AM:!)sS"</f>
        <v>#VALUE!</v>
      </c>
      <c r="HG212" s="97" t="e">
        <f>'Actual Value'!V266+"AM:!)sT"</f>
        <v>#VALUE!</v>
      </c>
      <c r="HH212" s="97" t="e">
        <f>'Actual Value'!W266+"AM:!)sU"</f>
        <v>#VALUE!</v>
      </c>
      <c r="HI212" s="97" t="e">
        <f>'Actual Value'!X266+"AM:!)sV"</f>
        <v>#VALUE!</v>
      </c>
      <c r="HJ212" s="97" t="e">
        <f>'Actual Value'!Y266+"AM:!)sW"</f>
        <v>#VALUE!</v>
      </c>
      <c r="HK212" s="97" t="e">
        <f>'Actual Value'!Z266+"AM:!)sX"</f>
        <v>#VALUE!</v>
      </c>
      <c r="HL212" s="97" t="e">
        <f>'Actual Value'!AA266+"AM:!)sY"</f>
        <v>#VALUE!</v>
      </c>
      <c r="HM212" s="97" t="e">
        <f>'Actual Value'!AB266+"AM:!)sZ"</f>
        <v>#VALUE!</v>
      </c>
      <c r="HN212" s="97" t="e">
        <f>'Actual Value'!AC266+"AM:!)s["</f>
        <v>#VALUE!</v>
      </c>
      <c r="HO212" s="97" t="e">
        <f>'Actual Value'!AD266+"AM:!)s\"</f>
        <v>#VALUE!</v>
      </c>
      <c r="HP212" s="97" t="e">
        <f>'Actual Value'!AE266+"AM:!)s]"</f>
        <v>#VALUE!</v>
      </c>
      <c r="HQ212" s="97" t="e">
        <f>'Actual Value'!AF266+"AM:!)s^"</f>
        <v>#VALUE!</v>
      </c>
      <c r="HR212" s="97" t="e">
        <f>'Actual Value'!AG266+"AM:!)s_"</f>
        <v>#VALUE!</v>
      </c>
      <c r="HS212" s="97" t="e">
        <f>'Actual Value'!AH266+"AM:!)s`"</f>
        <v>#VALUE!</v>
      </c>
      <c r="HT212" s="97" t="e">
        <f>'Actual Value'!AI266+"AM:!)sa"</f>
        <v>#VALUE!</v>
      </c>
      <c r="HU212" s="97" t="e">
        <f>'Actual Value'!AJ266+"AM:!)sb"</f>
        <v>#VALUE!</v>
      </c>
      <c r="HV212" s="97" t="e">
        <f>'Actual Value'!AK266+"AM:!)sc"</f>
        <v>#VALUE!</v>
      </c>
      <c r="HW212" s="97" t="e">
        <f>'Actual Value'!AL266+"AM:!)sd"</f>
        <v>#VALUE!</v>
      </c>
      <c r="HX212" s="97" t="e">
        <f>'Actual Value'!AM266+"AM:!)se"</f>
        <v>#VALUE!</v>
      </c>
      <c r="HY212" s="97" t="e">
        <f>'Actual Value'!AN266+"AM:!)sf"</f>
        <v>#VALUE!</v>
      </c>
      <c r="HZ212" s="97" t="e">
        <f>'Actual Value'!AO266+"AM:!)sg"</f>
        <v>#VALUE!</v>
      </c>
      <c r="IA212" t="e">
        <f>'Actual Value'!AP266+"AM:!)sh"</f>
        <v>#VALUE!</v>
      </c>
      <c r="IB212" t="e">
        <f>'Actual Value'!AQ266+"AM:!)si"</f>
        <v>#VALUE!</v>
      </c>
      <c r="IC212" t="e">
        <f>'Actual Value'!AR266+"AM:!)sj"</f>
        <v>#VALUE!</v>
      </c>
      <c r="ID212" t="e">
        <f>'Actual Value'!AS266+"AM:!)sk"</f>
        <v>#VALUE!</v>
      </c>
      <c r="IE212" t="e">
        <f>'Actual Value'!AT266+"AM:!)sl"</f>
        <v>#VALUE!</v>
      </c>
      <c r="IF212" t="e">
        <f>'Actual Value'!AU266+"AM:!)sm"</f>
        <v>#VALUE!</v>
      </c>
      <c r="IG212" t="e">
        <f>'Actual Value'!AV266+"AM:!)sn"</f>
        <v>#VALUE!</v>
      </c>
      <c r="IH212" t="e">
        <f>'Actual Value'!AW266+"AM:!)so"</f>
        <v>#VALUE!</v>
      </c>
      <c r="II212" t="e">
        <f>'Actual Value'!AX266+"AM:!)sp"</f>
        <v>#VALUE!</v>
      </c>
      <c r="IJ212" t="e">
        <f>'Actual Value'!A267+"AM:!)sq"</f>
        <v>#VALUE!</v>
      </c>
      <c r="IK212" t="e">
        <f>'Actual Value'!B267+"AM:!)sr"</f>
        <v>#VALUE!</v>
      </c>
      <c r="IL212" t="e">
        <f>'Actual Value'!C267+"AM:!)ss"</f>
        <v>#VALUE!</v>
      </c>
      <c r="IM212" s="97" t="e">
        <f>'Actual Value'!D267+"AM:!)st"</f>
        <v>#VALUE!</v>
      </c>
      <c r="IN212" s="97" t="e">
        <f>'Actual Value'!E267+"AM:!)su"</f>
        <v>#VALUE!</v>
      </c>
      <c r="IO212" s="97" t="e">
        <f>'Actual Value'!F267+"AM:!)sv"</f>
        <v>#VALUE!</v>
      </c>
      <c r="IP212" s="97" t="e">
        <f>'Actual Value'!G267+"AM:!)sw"</f>
        <v>#VALUE!</v>
      </c>
      <c r="IQ212" s="97" t="e">
        <f>'Actual Value'!H267+"AM:!)sx"</f>
        <v>#VALUE!</v>
      </c>
      <c r="IR212" s="97" t="e">
        <f>'Actual Value'!I267+"AM:!)sy"</f>
        <v>#VALUE!</v>
      </c>
      <c r="IS212" s="97" t="e">
        <f>'Actual Value'!J267+"AM:!)sz"</f>
        <v>#VALUE!</v>
      </c>
      <c r="IT212" s="97" t="e">
        <f>'Actual Value'!K267+"AM:!)s{"</f>
        <v>#VALUE!</v>
      </c>
      <c r="IU212" s="97" t="e">
        <f>'Actual Value'!L267+"AM:!)s|"</f>
        <v>#VALUE!</v>
      </c>
      <c r="IV212" s="97" t="e">
        <f>'Actual Value'!M267+"AM:!)s}"</f>
        <v>#VALUE!</v>
      </c>
    </row>
    <row r="213" spans="6:256">
      <c r="F213" s="97" t="e">
        <f>'Actual Value'!N267+"AM:!)s~"</f>
        <v>#VALUE!</v>
      </c>
      <c r="G213" s="97" t="e">
        <f>'Actual Value'!O267+"AM:!)t#"</f>
        <v>#VALUE!</v>
      </c>
      <c r="H213" s="97" t="e">
        <f>'Actual Value'!P267+"AM:!)t$"</f>
        <v>#VALUE!</v>
      </c>
      <c r="I213" s="97" t="e">
        <f>'Actual Value'!Q267+"AM:!)t%"</f>
        <v>#VALUE!</v>
      </c>
      <c r="J213" s="97" t="e">
        <f>'Actual Value'!R267+"AM:!)t&amp;"</f>
        <v>#VALUE!</v>
      </c>
      <c r="K213" s="97" t="e">
        <f>'Actual Value'!S267+"AM:!)t'"</f>
        <v>#VALUE!</v>
      </c>
      <c r="L213" s="97" t="e">
        <f>'Actual Value'!T267+"AM:!)t("</f>
        <v>#VALUE!</v>
      </c>
      <c r="M213" s="97" t="e">
        <f>'Actual Value'!U267+"AM:!)t)"</f>
        <v>#VALUE!</v>
      </c>
      <c r="N213" s="97" t="e">
        <f>'Actual Value'!V267+"AM:!)t."</f>
        <v>#VALUE!</v>
      </c>
      <c r="O213" s="97" t="e">
        <f>'Actual Value'!W267+"AM:!)t/"</f>
        <v>#VALUE!</v>
      </c>
      <c r="P213" s="97" t="e">
        <f>'Actual Value'!X267+"AM:!)t0"</f>
        <v>#VALUE!</v>
      </c>
      <c r="Q213" s="97" t="e">
        <f>'Actual Value'!Y267+"AM:!)t1"</f>
        <v>#VALUE!</v>
      </c>
      <c r="R213" s="97" t="e">
        <f>'Actual Value'!Z267+"AM:!)t2"</f>
        <v>#VALUE!</v>
      </c>
      <c r="S213" s="97" t="e">
        <f>'Actual Value'!AA267+"AM:!)t3"</f>
        <v>#VALUE!</v>
      </c>
      <c r="T213" s="97" t="e">
        <f>'Actual Value'!AB267+"AM:!)t4"</f>
        <v>#VALUE!</v>
      </c>
      <c r="U213" s="97" t="e">
        <f>'Actual Value'!AC267+"AM:!)t5"</f>
        <v>#VALUE!</v>
      </c>
      <c r="V213" s="97" t="e">
        <f>'Actual Value'!AD267+"AM:!)t6"</f>
        <v>#VALUE!</v>
      </c>
      <c r="W213" s="97" t="e">
        <f>'Actual Value'!AE267+"AM:!)t7"</f>
        <v>#VALUE!</v>
      </c>
      <c r="X213" s="97" t="e">
        <f>'Actual Value'!AF267+"AM:!)t8"</f>
        <v>#VALUE!</v>
      </c>
      <c r="Y213" s="97" t="e">
        <f>'Actual Value'!AG267+"AM:!)t9"</f>
        <v>#VALUE!</v>
      </c>
      <c r="Z213" s="97" t="e">
        <f>'Actual Value'!AH267+"AM:!)t:"</f>
        <v>#VALUE!</v>
      </c>
      <c r="AA213" s="97" t="e">
        <f>'Actual Value'!AI267+"AM:!)t;"</f>
        <v>#VALUE!</v>
      </c>
      <c r="AB213" s="97" t="e">
        <f>'Actual Value'!AJ267+"AM:!)t&lt;"</f>
        <v>#VALUE!</v>
      </c>
      <c r="AC213" s="97" t="e">
        <f>'Actual Value'!AK267+"AM:!)t="</f>
        <v>#VALUE!</v>
      </c>
      <c r="AD213" s="97" t="e">
        <f>'Actual Value'!AL267+"AM:!)t&gt;"</f>
        <v>#VALUE!</v>
      </c>
      <c r="AE213" s="97" t="e">
        <f>'Actual Value'!AM267+"AM:!)t?"</f>
        <v>#VALUE!</v>
      </c>
      <c r="AF213" s="97" t="e">
        <f>'Actual Value'!AN267+"AM:!)t@"</f>
        <v>#VALUE!</v>
      </c>
      <c r="AG213" s="97" t="e">
        <f>'Actual Value'!AO267+"AM:!)tA"</f>
        <v>#VALUE!</v>
      </c>
      <c r="AH213" t="e">
        <f>'Actual Value'!AP267+"AM:!)tB"</f>
        <v>#VALUE!</v>
      </c>
      <c r="AI213" t="e">
        <f>'Actual Value'!AQ267+"AM:!)tC"</f>
        <v>#VALUE!</v>
      </c>
      <c r="AJ213" t="e">
        <f>'Actual Value'!AR267+"AM:!)tD"</f>
        <v>#VALUE!</v>
      </c>
      <c r="AK213" t="e">
        <f>'Actual Value'!AS267+"AM:!)tE"</f>
        <v>#VALUE!</v>
      </c>
      <c r="AL213" t="e">
        <f>'Actual Value'!AT267+"AM:!)tF"</f>
        <v>#VALUE!</v>
      </c>
      <c r="AM213" t="e">
        <f>'Actual Value'!AU267+"AM:!)tG"</f>
        <v>#VALUE!</v>
      </c>
      <c r="AN213" t="e">
        <f>'Actual Value'!AV267+"AM:!)tH"</f>
        <v>#VALUE!</v>
      </c>
      <c r="AO213" t="e">
        <f>'Actual Value'!AW267+"AM:!)tI"</f>
        <v>#VALUE!</v>
      </c>
      <c r="AP213" t="e">
        <f>'Actual Value'!AX267+"AM:!)tJ"</f>
        <v>#VALUE!</v>
      </c>
      <c r="AQ213" t="e">
        <f>'Actual Value'!A268+"AM:!)tK"</f>
        <v>#VALUE!</v>
      </c>
      <c r="AR213" t="e">
        <f>'Actual Value'!B268+"AM:!)tL"</f>
        <v>#VALUE!</v>
      </c>
      <c r="AS213" t="e">
        <f>'Actual Value'!C268+"AM:!)tM"</f>
        <v>#VALUE!</v>
      </c>
      <c r="AT213" s="97" t="e">
        <f>'Actual Value'!D268+"AM:!)tN"</f>
        <v>#VALUE!</v>
      </c>
      <c r="AU213" s="97" t="e">
        <f>'Actual Value'!E268+"AM:!)tO"</f>
        <v>#VALUE!</v>
      </c>
      <c r="AV213" s="97" t="e">
        <f>'Actual Value'!F268+"AM:!)tP"</f>
        <v>#VALUE!</v>
      </c>
      <c r="AW213" s="97" t="e">
        <f>'Actual Value'!G268+"AM:!)tQ"</f>
        <v>#VALUE!</v>
      </c>
      <c r="AX213" s="97" t="e">
        <f>'Actual Value'!H268+"AM:!)tR"</f>
        <v>#VALUE!</v>
      </c>
      <c r="AY213" s="97" t="e">
        <f>'Actual Value'!I268+"AM:!)tS"</f>
        <v>#VALUE!</v>
      </c>
      <c r="AZ213" s="97" t="e">
        <f>'Actual Value'!J268+"AM:!)tT"</f>
        <v>#VALUE!</v>
      </c>
      <c r="BA213" s="97" t="e">
        <f>'Actual Value'!K268+"AM:!)tU"</f>
        <v>#VALUE!</v>
      </c>
      <c r="BB213" s="97" t="e">
        <f>'Actual Value'!L268+"AM:!)tV"</f>
        <v>#VALUE!</v>
      </c>
      <c r="BC213" s="97" t="e">
        <f>'Actual Value'!M268+"AM:!)tW"</f>
        <v>#VALUE!</v>
      </c>
      <c r="BD213" s="97" t="e">
        <f>'Actual Value'!N268+"AM:!)tX"</f>
        <v>#VALUE!</v>
      </c>
      <c r="BE213" s="97" t="e">
        <f>'Actual Value'!O268+"AM:!)tY"</f>
        <v>#VALUE!</v>
      </c>
      <c r="BF213" s="97" t="e">
        <f>'Actual Value'!P268+"AM:!)tZ"</f>
        <v>#VALUE!</v>
      </c>
      <c r="BG213" s="97" t="e">
        <f>'Actual Value'!Q268+"AM:!)t["</f>
        <v>#VALUE!</v>
      </c>
      <c r="BH213" s="97" t="e">
        <f>'Actual Value'!R268+"AM:!)t\"</f>
        <v>#VALUE!</v>
      </c>
      <c r="BI213" s="97" t="e">
        <f>'Actual Value'!S268+"AM:!)t]"</f>
        <v>#VALUE!</v>
      </c>
      <c r="BJ213" s="97" t="e">
        <f>'Actual Value'!T268+"AM:!)t^"</f>
        <v>#VALUE!</v>
      </c>
      <c r="BK213" s="97" t="e">
        <f>'Actual Value'!U268+"AM:!)t_"</f>
        <v>#VALUE!</v>
      </c>
      <c r="BL213" s="97" t="e">
        <f>'Actual Value'!V268+"AM:!)t`"</f>
        <v>#VALUE!</v>
      </c>
      <c r="BM213" s="97" t="e">
        <f>'Actual Value'!W268+"AM:!)ta"</f>
        <v>#VALUE!</v>
      </c>
      <c r="BN213" s="97" t="e">
        <f>'Actual Value'!X268+"AM:!)tb"</f>
        <v>#VALUE!</v>
      </c>
      <c r="BO213" s="97" t="e">
        <f>'Actual Value'!Y268+"AM:!)tc"</f>
        <v>#VALUE!</v>
      </c>
      <c r="BP213" s="97" t="e">
        <f>'Actual Value'!Z268+"AM:!)td"</f>
        <v>#VALUE!</v>
      </c>
      <c r="BQ213" s="97" t="e">
        <f>'Actual Value'!AA268+"AM:!)te"</f>
        <v>#VALUE!</v>
      </c>
      <c r="BR213" s="97" t="e">
        <f>'Actual Value'!AB268+"AM:!)tf"</f>
        <v>#VALUE!</v>
      </c>
      <c r="BS213" s="97" t="e">
        <f>'Actual Value'!AC268+"AM:!)tg"</f>
        <v>#VALUE!</v>
      </c>
      <c r="BT213" s="97" t="e">
        <f>'Actual Value'!AD268+"AM:!)th"</f>
        <v>#VALUE!</v>
      </c>
      <c r="BU213" s="97" t="e">
        <f>'Actual Value'!AE268+"AM:!)ti"</f>
        <v>#VALUE!</v>
      </c>
      <c r="BV213" s="97" t="e">
        <f>'Actual Value'!AF268+"AM:!)tj"</f>
        <v>#VALUE!</v>
      </c>
      <c r="BW213" s="97" t="e">
        <f>'Actual Value'!AG268+"AM:!)tk"</f>
        <v>#VALUE!</v>
      </c>
      <c r="BX213" s="97" t="e">
        <f>'Actual Value'!AH268+"AM:!)tl"</f>
        <v>#VALUE!</v>
      </c>
      <c r="BY213" s="97" t="e">
        <f>'Actual Value'!AI268+"AM:!)tm"</f>
        <v>#VALUE!</v>
      </c>
      <c r="BZ213" s="97" t="e">
        <f>'Actual Value'!AJ268+"AM:!)tn"</f>
        <v>#VALUE!</v>
      </c>
      <c r="CA213" s="97" t="e">
        <f>'Actual Value'!AK268+"AM:!)to"</f>
        <v>#VALUE!</v>
      </c>
      <c r="CB213" s="97" t="e">
        <f>'Actual Value'!AL268+"AM:!)tp"</f>
        <v>#VALUE!</v>
      </c>
      <c r="CC213" s="97" t="e">
        <f>'Actual Value'!AM268+"AM:!)tq"</f>
        <v>#VALUE!</v>
      </c>
      <c r="CD213" s="97" t="e">
        <f>'Actual Value'!AN268+"AM:!)tr"</f>
        <v>#VALUE!</v>
      </c>
      <c r="CE213" s="97" t="e">
        <f>'Actual Value'!AO268+"AM:!)ts"</f>
        <v>#VALUE!</v>
      </c>
      <c r="CF213" t="e">
        <f>'Actual Value'!AP268+"AM:!)tt"</f>
        <v>#VALUE!</v>
      </c>
      <c r="CG213" t="e">
        <f>'Actual Value'!AQ268+"AM:!)tu"</f>
        <v>#VALUE!</v>
      </c>
      <c r="CH213" t="e">
        <f>'Actual Value'!AR268+"AM:!)tv"</f>
        <v>#VALUE!</v>
      </c>
      <c r="CI213" t="e">
        <f>'Actual Value'!AS268+"AM:!)tw"</f>
        <v>#VALUE!</v>
      </c>
      <c r="CJ213" t="e">
        <f>'Actual Value'!AT268+"AM:!)tx"</f>
        <v>#VALUE!</v>
      </c>
      <c r="CK213" t="e">
        <f>'Actual Value'!AU268+"AM:!)ty"</f>
        <v>#VALUE!</v>
      </c>
      <c r="CL213" t="e">
        <f>'Actual Value'!AV268+"AM:!)tz"</f>
        <v>#VALUE!</v>
      </c>
      <c r="CM213" t="e">
        <f>'Actual Value'!AW268+"AM:!)t{"</f>
        <v>#VALUE!</v>
      </c>
      <c r="CN213" t="e">
        <f>'Actual Value'!AX268+"AM:!)t|"</f>
        <v>#VALUE!</v>
      </c>
      <c r="CO213" t="e">
        <f>'Actual Value'!A269+"AM:!)t}"</f>
        <v>#VALUE!</v>
      </c>
      <c r="CP213" t="e">
        <f>'Actual Value'!B269+"AM:!)t~"</f>
        <v>#VALUE!</v>
      </c>
      <c r="CQ213" t="e">
        <f>'Actual Value'!C269+"AM:!)u#"</f>
        <v>#VALUE!</v>
      </c>
      <c r="CR213" t="e">
        <f>'Actual Value'!D269+"AM:!)u$"</f>
        <v>#VALUE!</v>
      </c>
      <c r="CS213" t="e">
        <f>'Actual Value'!E269+"AM:!)u%"</f>
        <v>#VALUE!</v>
      </c>
      <c r="CT213" t="e">
        <f>'Actual Value'!F269+"AM:!)u&amp;"</f>
        <v>#VALUE!</v>
      </c>
      <c r="CU213" t="e">
        <f>'Actual Value'!G269+"AM:!)u'"</f>
        <v>#VALUE!</v>
      </c>
      <c r="CV213" t="e">
        <f>'Actual Value'!H269+"AM:!)u("</f>
        <v>#VALUE!</v>
      </c>
      <c r="CW213" t="e">
        <f>'Actual Value'!I269+"AM:!)u)"</f>
        <v>#VALUE!</v>
      </c>
      <c r="CX213" t="e">
        <f>'Actual Value'!J269+"AM:!)u."</f>
        <v>#VALUE!</v>
      </c>
      <c r="CY213" t="e">
        <f>'Actual Value'!K269+"AM:!)u/"</f>
        <v>#VALUE!</v>
      </c>
      <c r="CZ213" t="e">
        <f>'Actual Value'!L269+"AM:!)u0"</f>
        <v>#VALUE!</v>
      </c>
      <c r="DA213" t="e">
        <f>'Actual Value'!M269+"AM:!)u1"</f>
        <v>#VALUE!</v>
      </c>
      <c r="DB213" t="e">
        <f>'Actual Value'!N269+"AM:!)u2"</f>
        <v>#VALUE!</v>
      </c>
      <c r="DC213" t="e">
        <f>'Actual Value'!O269+"AM:!)u3"</f>
        <v>#VALUE!</v>
      </c>
      <c r="DD213" t="e">
        <f>'Actual Value'!P269+"AM:!)u4"</f>
        <v>#VALUE!</v>
      </c>
      <c r="DE213" t="e">
        <f>'Actual Value'!Q269+"AM:!)u5"</f>
        <v>#VALUE!</v>
      </c>
      <c r="DF213" t="e">
        <f>'Actual Value'!R269+"AM:!)u6"</f>
        <v>#VALUE!</v>
      </c>
      <c r="DG213" t="e">
        <f>'Actual Value'!S269+"AM:!)u7"</f>
        <v>#VALUE!</v>
      </c>
      <c r="DH213" t="e">
        <f>'Actual Value'!T269+"AM:!)u8"</f>
        <v>#VALUE!</v>
      </c>
      <c r="DI213" t="e">
        <f>'Actual Value'!U269+"AM:!)u9"</f>
        <v>#VALUE!</v>
      </c>
      <c r="DJ213" t="e">
        <f>'Actual Value'!V269+"AM:!)u:"</f>
        <v>#VALUE!</v>
      </c>
      <c r="DK213" t="e">
        <f>'Actual Value'!W269+"AM:!)u;"</f>
        <v>#VALUE!</v>
      </c>
      <c r="DL213" t="e">
        <f>'Actual Value'!X269+"AM:!)u&lt;"</f>
        <v>#VALUE!</v>
      </c>
      <c r="DM213" t="e">
        <f>'Actual Value'!Y269+"AM:!)u="</f>
        <v>#VALUE!</v>
      </c>
      <c r="DN213" t="e">
        <f>'Actual Value'!Z269+"AM:!)u&gt;"</f>
        <v>#VALUE!</v>
      </c>
      <c r="DO213" t="e">
        <f>'Actual Value'!AA269+"AM:!)u?"</f>
        <v>#VALUE!</v>
      </c>
      <c r="DP213" t="e">
        <f>'Actual Value'!AB269+"AM:!)u@"</f>
        <v>#VALUE!</v>
      </c>
      <c r="DQ213" t="e">
        <f>'Actual Value'!AC269+"AM:!)uA"</f>
        <v>#VALUE!</v>
      </c>
      <c r="DR213" t="e">
        <f>'Actual Value'!AD269+"AM:!)uB"</f>
        <v>#VALUE!</v>
      </c>
      <c r="DS213" t="e">
        <f>'Actual Value'!AE269+"AM:!)uC"</f>
        <v>#VALUE!</v>
      </c>
      <c r="DT213" t="e">
        <f>'Actual Value'!AF269+"AM:!)uD"</f>
        <v>#VALUE!</v>
      </c>
      <c r="DU213" t="e">
        <f>'Actual Value'!AG269+"AM:!)uE"</f>
        <v>#VALUE!</v>
      </c>
      <c r="DV213" t="e">
        <f>'Actual Value'!AH269+"AM:!)uF"</f>
        <v>#VALUE!</v>
      </c>
      <c r="DW213" t="e">
        <f>'Actual Value'!AI269+"AM:!)uG"</f>
        <v>#VALUE!</v>
      </c>
      <c r="DX213" t="e">
        <f>'Actual Value'!AJ269+"AM:!)uH"</f>
        <v>#VALUE!</v>
      </c>
      <c r="DY213" t="e">
        <f>'Actual Value'!AK269+"AM:!)uI"</f>
        <v>#VALUE!</v>
      </c>
      <c r="DZ213" t="e">
        <f>'Actual Value'!AL269+"AM:!)uJ"</f>
        <v>#VALUE!</v>
      </c>
      <c r="EA213" t="e">
        <f>'Actual Value'!AM269+"AM:!)uK"</f>
        <v>#VALUE!</v>
      </c>
      <c r="EB213" t="e">
        <f>'Actual Value'!AN269+"AM:!)uL"</f>
        <v>#VALUE!</v>
      </c>
      <c r="EC213" t="e">
        <f>'Actual Value'!AO269+"AM:!)uM"</f>
        <v>#VALUE!</v>
      </c>
      <c r="ED213" t="e">
        <f>'Actual Value'!AP269+"AM:!)uN"</f>
        <v>#VALUE!</v>
      </c>
      <c r="EE213" t="e">
        <f>'Actual Value'!AQ269+"AM:!)uO"</f>
        <v>#VALUE!</v>
      </c>
      <c r="EF213" t="e">
        <f>'Actual Value'!AR269+"AM:!)uP"</f>
        <v>#VALUE!</v>
      </c>
      <c r="EG213" t="e">
        <f>'Actual Value'!AS269+"AM:!)uQ"</f>
        <v>#VALUE!</v>
      </c>
      <c r="EH213" t="e">
        <f>'Actual Value'!AT269+"AM:!)uR"</f>
        <v>#VALUE!</v>
      </c>
      <c r="EI213" t="e">
        <f>'Actual Value'!AU269+"AM:!)uS"</f>
        <v>#VALUE!</v>
      </c>
      <c r="EJ213" t="e">
        <f>'Actual Value'!AV269+"AM:!)uT"</f>
        <v>#VALUE!</v>
      </c>
      <c r="EK213" t="e">
        <f>'Actual Value'!AW269+"AM:!)uU"</f>
        <v>#VALUE!</v>
      </c>
      <c r="EL213" t="e">
        <f>'Actual Value'!A270+"AM:!)uV"</f>
        <v>#VALUE!</v>
      </c>
      <c r="EM213" t="e">
        <f>'Actual Value'!B270+"AM:!)uW"</f>
        <v>#VALUE!</v>
      </c>
      <c r="EN213" t="e">
        <f>'Actual Value'!C270+"AM:!)uX"</f>
        <v>#VALUE!</v>
      </c>
      <c r="EO213" s="105" t="e">
        <f>'Actual Value'!D270+"AM:!)uY"</f>
        <v>#VALUE!</v>
      </c>
      <c r="EP213" s="105" t="e">
        <f>'Actual Value'!E270+"AM:!)uZ"</f>
        <v>#VALUE!</v>
      </c>
      <c r="EQ213" s="105" t="e">
        <f>'Actual Value'!F270+"AM:!)u["</f>
        <v>#VALUE!</v>
      </c>
      <c r="ER213" s="105" t="e">
        <f>'Actual Value'!G270+"AM:!)u\"</f>
        <v>#VALUE!</v>
      </c>
      <c r="ES213" s="105" t="e">
        <f>'Actual Value'!H270+"AM:!)u]"</f>
        <v>#VALUE!</v>
      </c>
      <c r="ET213" s="105" t="e">
        <f>'Actual Value'!I270+"AM:!)u^"</f>
        <v>#VALUE!</v>
      </c>
      <c r="EU213" s="105" t="e">
        <f>'Actual Value'!J270+"AM:!)u_"</f>
        <v>#VALUE!</v>
      </c>
      <c r="EV213" s="105" t="e">
        <f>'Actual Value'!K270+"AM:!)u`"</f>
        <v>#VALUE!</v>
      </c>
      <c r="EW213" s="105" t="e">
        <f>'Actual Value'!L270+"AM:!)ua"</f>
        <v>#VALUE!</v>
      </c>
      <c r="EX213" s="105" t="e">
        <f>'Actual Value'!M270+"AM:!)ub"</f>
        <v>#VALUE!</v>
      </c>
      <c r="EY213" s="105" t="e">
        <f>'Actual Value'!N270+"AM:!)uc"</f>
        <v>#VALUE!</v>
      </c>
      <c r="EZ213" s="105" t="e">
        <f>'Actual Value'!O270+"AM:!)ud"</f>
        <v>#VALUE!</v>
      </c>
      <c r="FA213" s="105" t="e">
        <f>'Actual Value'!P270+"AM:!)ue"</f>
        <v>#VALUE!</v>
      </c>
      <c r="FB213" s="105" t="e">
        <f>'Actual Value'!Q270+"AM:!)uf"</f>
        <v>#VALUE!</v>
      </c>
      <c r="FC213" s="105" t="e">
        <f>'Actual Value'!R270+"AM:!)ug"</f>
        <v>#VALUE!</v>
      </c>
      <c r="FD213" s="105" t="e">
        <f>'Actual Value'!S270+"AM:!)uh"</f>
        <v>#VALUE!</v>
      </c>
      <c r="FE213" s="105" t="e">
        <f>'Actual Value'!T270+"AM:!)ui"</f>
        <v>#VALUE!</v>
      </c>
      <c r="FF213" s="105" t="e">
        <f>'Actual Value'!U270+"AM:!)uj"</f>
        <v>#VALUE!</v>
      </c>
      <c r="FG213" s="105" t="e">
        <f>'Actual Value'!V270+"AM:!)uk"</f>
        <v>#VALUE!</v>
      </c>
      <c r="FH213" s="105" t="e">
        <f>'Actual Value'!W270+"AM:!)ul"</f>
        <v>#VALUE!</v>
      </c>
      <c r="FI213" s="105" t="e">
        <f>'Actual Value'!X270+"AM:!)um"</f>
        <v>#VALUE!</v>
      </c>
      <c r="FJ213" s="105" t="e">
        <f>'Actual Value'!Y270+"AM:!)un"</f>
        <v>#VALUE!</v>
      </c>
      <c r="FK213" s="105" t="e">
        <f>'Actual Value'!Z270+"AM:!)uo"</f>
        <v>#VALUE!</v>
      </c>
      <c r="FL213" s="105" t="e">
        <f>'Actual Value'!AA270+"AM:!)up"</f>
        <v>#VALUE!</v>
      </c>
      <c r="FM213" s="105" t="e">
        <f>'Actual Value'!AB270+"AM:!)uq"</f>
        <v>#VALUE!</v>
      </c>
      <c r="FN213" s="105" t="e">
        <f>'Actual Value'!AC270+"AM:!)ur"</f>
        <v>#VALUE!</v>
      </c>
      <c r="FO213" s="105" t="e">
        <f>'Actual Value'!AD270+"AM:!)us"</f>
        <v>#VALUE!</v>
      </c>
      <c r="FP213" s="105" t="e">
        <f>'Actual Value'!AE270+"AM:!)ut"</f>
        <v>#VALUE!</v>
      </c>
      <c r="FQ213" s="105" t="e">
        <f>'Actual Value'!AF270+"AM:!)uu"</f>
        <v>#VALUE!</v>
      </c>
      <c r="FR213" s="105" t="e">
        <f>'Actual Value'!AG270+"AM:!)uv"</f>
        <v>#VALUE!</v>
      </c>
      <c r="FS213" s="105" t="e">
        <f>'Actual Value'!AH270+"AM:!)uw"</f>
        <v>#VALUE!</v>
      </c>
      <c r="FT213" s="105" t="e">
        <f>'Actual Value'!AI270+"AM:!)ux"</f>
        <v>#VALUE!</v>
      </c>
      <c r="FU213" s="105" t="e">
        <f>'Actual Value'!AJ270+"AM:!)uy"</f>
        <v>#VALUE!</v>
      </c>
      <c r="FV213" s="105" t="e">
        <f>'Actual Value'!AK270+"AM:!)uz"</f>
        <v>#VALUE!</v>
      </c>
      <c r="FW213" s="105" t="e">
        <f>'Actual Value'!AL270+"AM:!)u{"</f>
        <v>#VALUE!</v>
      </c>
      <c r="FX213" s="105" t="e">
        <f>'Actual Value'!AM270+"AM:!)u|"</f>
        <v>#VALUE!</v>
      </c>
      <c r="FY213" s="105" t="e">
        <f>'Actual Value'!AN270+"AM:!)u}"</f>
        <v>#VALUE!</v>
      </c>
      <c r="FZ213" s="105" t="e">
        <f>'Actual Value'!AO270+"AM:!)u~"</f>
        <v>#VALUE!</v>
      </c>
      <c r="GA213" t="e">
        <f>'Actual Value'!AP270+"AM:!)v#"</f>
        <v>#VALUE!</v>
      </c>
      <c r="GB213" s="100" t="e">
        <f>'Actual Value'!AQ270+"AM:!)v$"</f>
        <v>#VALUE!</v>
      </c>
      <c r="GC213" s="100" t="e">
        <f>'Actual Value'!AR270+"AM:!)v%"</f>
        <v>#VALUE!</v>
      </c>
      <c r="GD213" s="100" t="e">
        <f>'Actual Value'!AS270+"AM:!)v&amp;"</f>
        <v>#VALUE!</v>
      </c>
      <c r="GE213" s="100" t="e">
        <f>'Actual Value'!AT270+"AM:!)v'"</f>
        <v>#VALUE!</v>
      </c>
      <c r="GF213" s="100" t="e">
        <f>'Actual Value'!AU270+"AM:!)v("</f>
        <v>#VALUE!</v>
      </c>
      <c r="GG213" t="e">
        <f>'Actual Value'!AV270+"AM:!)v)"</f>
        <v>#VALUE!</v>
      </c>
      <c r="GH213" t="e">
        <f>'Actual Value'!AW270+"AM:!)v."</f>
        <v>#VALUE!</v>
      </c>
      <c r="GI213" t="e">
        <f>'Actual Value'!A271+"AM:!)v/"</f>
        <v>#VALUE!</v>
      </c>
      <c r="GJ213" t="e">
        <f>'Actual Value'!B271+"AM:!)v0"</f>
        <v>#VALUE!</v>
      </c>
      <c r="GK213" t="e">
        <f>'Actual Value'!C271+"AM:!)v1"</f>
        <v>#VALUE!</v>
      </c>
      <c r="GL213" s="97" t="e">
        <f>'Actual Value'!D271+"AM:!)v2"</f>
        <v>#VALUE!</v>
      </c>
      <c r="GM213" s="97" t="e">
        <f>'Actual Value'!E271+"AM:!)v3"</f>
        <v>#VALUE!</v>
      </c>
      <c r="GN213" s="97" t="e">
        <f>'Actual Value'!F271+"AM:!)v4"</f>
        <v>#VALUE!</v>
      </c>
      <c r="GO213" s="97" t="e">
        <f>'Actual Value'!G271+"AM:!)v5"</f>
        <v>#VALUE!</v>
      </c>
      <c r="GP213" s="97" t="e">
        <f>'Actual Value'!H271+"AM:!)v6"</f>
        <v>#VALUE!</v>
      </c>
      <c r="GQ213" s="97" t="e">
        <f>'Actual Value'!I271+"AM:!)v7"</f>
        <v>#VALUE!</v>
      </c>
      <c r="GR213" s="97" t="e">
        <f>'Actual Value'!J271+"AM:!)v8"</f>
        <v>#VALUE!</v>
      </c>
      <c r="GS213" s="97" t="e">
        <f>'Actual Value'!K271+"AM:!)v9"</f>
        <v>#VALUE!</v>
      </c>
      <c r="GT213" s="97" t="e">
        <f>'Actual Value'!L271+"AM:!)v:"</f>
        <v>#VALUE!</v>
      </c>
      <c r="GU213" s="97" t="e">
        <f>'Actual Value'!M271+"AM:!)v;"</f>
        <v>#VALUE!</v>
      </c>
      <c r="GV213" s="97" t="e">
        <f>'Actual Value'!N271+"AM:!)v&lt;"</f>
        <v>#VALUE!</v>
      </c>
      <c r="GW213" s="97" t="e">
        <f>'Actual Value'!O271+"AM:!)v="</f>
        <v>#VALUE!</v>
      </c>
      <c r="GX213" s="97" t="e">
        <f>'Actual Value'!P271+"AM:!)v&gt;"</f>
        <v>#VALUE!</v>
      </c>
      <c r="GY213" s="97" t="e">
        <f>'Actual Value'!Q271+"AM:!)v?"</f>
        <v>#VALUE!</v>
      </c>
      <c r="GZ213" s="97" t="e">
        <f>'Actual Value'!R271+"AM:!)v@"</f>
        <v>#VALUE!</v>
      </c>
      <c r="HA213" s="97" t="e">
        <f>'Actual Value'!S271+"AM:!)vA"</f>
        <v>#VALUE!</v>
      </c>
      <c r="HB213" s="97" t="e">
        <f>'Actual Value'!T271+"AM:!)vB"</f>
        <v>#VALUE!</v>
      </c>
      <c r="HC213" s="97" t="e">
        <f>'Actual Value'!U271+"AM:!)vC"</f>
        <v>#VALUE!</v>
      </c>
      <c r="HD213" s="97" t="e">
        <f>'Actual Value'!V271+"AM:!)vD"</f>
        <v>#VALUE!</v>
      </c>
      <c r="HE213" s="97" t="e">
        <f>'Actual Value'!W271+"AM:!)vE"</f>
        <v>#VALUE!</v>
      </c>
      <c r="HF213" s="97" t="e">
        <f>'Actual Value'!X271+"AM:!)vF"</f>
        <v>#VALUE!</v>
      </c>
      <c r="HG213" s="97" t="e">
        <f>'Actual Value'!Y271+"AM:!)vG"</f>
        <v>#VALUE!</v>
      </c>
      <c r="HH213" s="97" t="e">
        <f>'Actual Value'!Z271+"AM:!)vH"</f>
        <v>#VALUE!</v>
      </c>
      <c r="HI213" s="97" t="e">
        <f>'Actual Value'!AA271+"AM:!)vI"</f>
        <v>#VALUE!</v>
      </c>
      <c r="HJ213" s="97" t="e">
        <f>'Actual Value'!AB271+"AM:!)vJ"</f>
        <v>#VALUE!</v>
      </c>
      <c r="HK213" s="97" t="e">
        <f>'Actual Value'!AC271+"AM:!)vK"</f>
        <v>#VALUE!</v>
      </c>
      <c r="HL213" s="97" t="e">
        <f>'Actual Value'!AD271+"AM:!)vL"</f>
        <v>#VALUE!</v>
      </c>
      <c r="HM213" s="97" t="e">
        <f>'Actual Value'!AE271+"AM:!)vM"</f>
        <v>#VALUE!</v>
      </c>
      <c r="HN213" s="97" t="e">
        <f>'Actual Value'!AF271+"AM:!)vN"</f>
        <v>#VALUE!</v>
      </c>
      <c r="HO213" s="97" t="e">
        <f>'Actual Value'!AG271+"AM:!)vO"</f>
        <v>#VALUE!</v>
      </c>
      <c r="HP213" s="97" t="e">
        <f>'Actual Value'!AH271+"AM:!)vP"</f>
        <v>#VALUE!</v>
      </c>
      <c r="HQ213" s="97" t="e">
        <f>'Actual Value'!AI271+"AM:!)vQ"</f>
        <v>#VALUE!</v>
      </c>
      <c r="HR213" s="97" t="e">
        <f>'Actual Value'!AJ271+"AM:!)vR"</f>
        <v>#VALUE!</v>
      </c>
      <c r="HS213" s="97" t="e">
        <f>'Actual Value'!AK271+"AM:!)vS"</f>
        <v>#VALUE!</v>
      </c>
      <c r="HT213" s="97" t="e">
        <f>'Actual Value'!AL271+"AM:!)vT"</f>
        <v>#VALUE!</v>
      </c>
      <c r="HU213" s="97" t="e">
        <f>'Actual Value'!AM271+"AM:!)vU"</f>
        <v>#VALUE!</v>
      </c>
      <c r="HV213" s="97" t="e">
        <f>'Actual Value'!AN271+"AM:!)vV"</f>
        <v>#VALUE!</v>
      </c>
      <c r="HW213" s="97" t="e">
        <f>'Actual Value'!AO271+"AM:!)vW"</f>
        <v>#VALUE!</v>
      </c>
      <c r="HX213" t="e">
        <f>'Actual Value'!AP271+"AM:!)vX"</f>
        <v>#VALUE!</v>
      </c>
      <c r="HY213" t="e">
        <f>'Actual Value'!AQ271+"AM:!)vY"</f>
        <v>#VALUE!</v>
      </c>
      <c r="HZ213" t="e">
        <f>'Actual Value'!AR271+"AM:!)vZ"</f>
        <v>#VALUE!</v>
      </c>
      <c r="IA213" s="97" t="e">
        <f>'Actual Value'!AS271+"AM:!)v["</f>
        <v>#VALUE!</v>
      </c>
      <c r="IB213" t="e">
        <f>'Actual Value'!AT271+"AM:!)v\"</f>
        <v>#VALUE!</v>
      </c>
      <c r="IC213" t="e">
        <f>'Actual Value'!AU271+"AM:!)v]"</f>
        <v>#VALUE!</v>
      </c>
      <c r="ID213" t="e">
        <f>'Actual Value'!AV271+"AM:!)v^"</f>
        <v>#VALUE!</v>
      </c>
      <c r="IE213" t="e">
        <f>'Actual Value'!AW271+"AM:!)v_"</f>
        <v>#VALUE!</v>
      </c>
      <c r="IF213" t="e">
        <f>'Actual Value'!A272+"AM:!)v`"</f>
        <v>#VALUE!</v>
      </c>
      <c r="IG213" t="e">
        <f>'Actual Value'!B272+"AM:!)va"</f>
        <v>#VALUE!</v>
      </c>
      <c r="IH213" t="e">
        <f>'Actual Value'!C272+"AM:!)vb"</f>
        <v>#VALUE!</v>
      </c>
      <c r="II213" s="97" t="e">
        <f>'Actual Value'!D272+"AM:!)vc"</f>
        <v>#VALUE!</v>
      </c>
      <c r="IJ213" s="97" t="e">
        <f>'Actual Value'!E272+"AM:!)vd"</f>
        <v>#VALUE!</v>
      </c>
      <c r="IK213" s="97" t="e">
        <f>'Actual Value'!F272+"AM:!)ve"</f>
        <v>#VALUE!</v>
      </c>
      <c r="IL213" s="97" t="e">
        <f>'Actual Value'!G272+"AM:!)vf"</f>
        <v>#VALUE!</v>
      </c>
      <c r="IM213" s="97" t="e">
        <f>'Actual Value'!H272+"AM:!)vg"</f>
        <v>#VALUE!</v>
      </c>
      <c r="IN213" s="97" t="e">
        <f>'Actual Value'!I272+"AM:!)vh"</f>
        <v>#VALUE!</v>
      </c>
      <c r="IO213" s="97" t="e">
        <f>'Actual Value'!J272+"AM:!)vi"</f>
        <v>#VALUE!</v>
      </c>
      <c r="IP213" s="97" t="e">
        <f>'Actual Value'!K272+"AM:!)vj"</f>
        <v>#VALUE!</v>
      </c>
      <c r="IQ213" s="97" t="e">
        <f>'Actual Value'!L272+"AM:!)vk"</f>
        <v>#VALUE!</v>
      </c>
      <c r="IR213" s="97" t="e">
        <f>'Actual Value'!M272+"AM:!)vl"</f>
        <v>#VALUE!</v>
      </c>
      <c r="IS213" s="97" t="e">
        <f>'Actual Value'!N272+"AM:!)vm"</f>
        <v>#VALUE!</v>
      </c>
      <c r="IT213" s="97" t="e">
        <f>'Actual Value'!O272+"AM:!)vn"</f>
        <v>#VALUE!</v>
      </c>
      <c r="IU213" s="97" t="e">
        <f>'Actual Value'!P272+"AM:!)vo"</f>
        <v>#VALUE!</v>
      </c>
      <c r="IV213" s="97" t="e">
        <f>'Actual Value'!Q272+"AM:!)vp"</f>
        <v>#VALUE!</v>
      </c>
    </row>
    <row r="214" spans="6:256">
      <c r="F214" s="97" t="e">
        <f>'Actual Value'!R272+"AM:!)vq"</f>
        <v>#VALUE!</v>
      </c>
      <c r="G214" s="97" t="e">
        <f>'Actual Value'!S272+"AM:!)vr"</f>
        <v>#VALUE!</v>
      </c>
      <c r="H214" s="97" t="e">
        <f>'Actual Value'!T272+"AM:!)vs"</f>
        <v>#VALUE!</v>
      </c>
      <c r="I214" s="97" t="e">
        <f>'Actual Value'!U272+"AM:!)vt"</f>
        <v>#VALUE!</v>
      </c>
      <c r="J214" s="97" t="e">
        <f>'Actual Value'!V272+"AM:!)vu"</f>
        <v>#VALUE!</v>
      </c>
      <c r="K214" s="97" t="e">
        <f>'Actual Value'!W272+"AM:!)vv"</f>
        <v>#VALUE!</v>
      </c>
      <c r="L214" s="97" t="e">
        <f>'Actual Value'!X272+"AM:!)vw"</f>
        <v>#VALUE!</v>
      </c>
      <c r="M214" s="97" t="e">
        <f>'Actual Value'!Y272+"AM:!)vx"</f>
        <v>#VALUE!</v>
      </c>
      <c r="N214" s="97" t="e">
        <f>'Actual Value'!Z272+"AM:!)vy"</f>
        <v>#VALUE!</v>
      </c>
      <c r="O214" s="97" t="e">
        <f>'Actual Value'!AA272+"AM:!)vz"</f>
        <v>#VALUE!</v>
      </c>
      <c r="P214" s="97" t="e">
        <f>'Actual Value'!AB272+"AM:!)v{"</f>
        <v>#VALUE!</v>
      </c>
      <c r="Q214" s="97" t="e">
        <f>'Actual Value'!AC272+"AM:!)v|"</f>
        <v>#VALUE!</v>
      </c>
      <c r="R214" s="97" t="e">
        <f>'Actual Value'!AD272+"AM:!)v}"</f>
        <v>#VALUE!</v>
      </c>
      <c r="S214" s="97" t="e">
        <f>'Actual Value'!AE272+"AM:!)v~"</f>
        <v>#VALUE!</v>
      </c>
      <c r="T214" s="97" t="e">
        <f>'Actual Value'!AF272+"AM:!)w#"</f>
        <v>#VALUE!</v>
      </c>
      <c r="U214" s="97" t="e">
        <f>'Actual Value'!AG272+"AM:!)w$"</f>
        <v>#VALUE!</v>
      </c>
      <c r="V214" s="97" t="e">
        <f>'Actual Value'!AH272+"AM:!)w%"</f>
        <v>#VALUE!</v>
      </c>
      <c r="W214" s="97" t="e">
        <f>'Actual Value'!AI272+"AM:!)w&amp;"</f>
        <v>#VALUE!</v>
      </c>
      <c r="X214" s="97" t="e">
        <f>'Actual Value'!AJ272+"AM:!)w'"</f>
        <v>#VALUE!</v>
      </c>
      <c r="Y214" s="97" t="e">
        <f>'Actual Value'!AK272+"AM:!)w("</f>
        <v>#VALUE!</v>
      </c>
      <c r="Z214" s="97" t="e">
        <f>'Actual Value'!AL272+"AM:!)w)"</f>
        <v>#VALUE!</v>
      </c>
      <c r="AA214" s="97" t="e">
        <f>'Actual Value'!AM272+"AM:!)w."</f>
        <v>#VALUE!</v>
      </c>
      <c r="AB214" s="97" t="e">
        <f>'Actual Value'!AN272+"AM:!)w/"</f>
        <v>#VALUE!</v>
      </c>
      <c r="AC214" s="97" t="e">
        <f>'Actual Value'!AO272+"AM:!)w0"</f>
        <v>#VALUE!</v>
      </c>
      <c r="AD214" t="e">
        <f>'Actual Value'!AP272+"AM:!)w1"</f>
        <v>#VALUE!</v>
      </c>
      <c r="AE214" t="e">
        <f>'Actual Value'!AQ272+"AM:!)w2"</f>
        <v>#VALUE!</v>
      </c>
      <c r="AF214" t="e">
        <f>'Actual Value'!AR272+"AM:!)w3"</f>
        <v>#VALUE!</v>
      </c>
      <c r="AG214" s="97" t="e">
        <f>'Actual Value'!AS272+"AM:!)w4"</f>
        <v>#VALUE!</v>
      </c>
      <c r="AH214" t="e">
        <f>'Actual Value'!AT272+"AM:!)w5"</f>
        <v>#VALUE!</v>
      </c>
      <c r="AI214" t="e">
        <f>'Actual Value'!AU272+"AM:!)w6"</f>
        <v>#VALUE!</v>
      </c>
      <c r="AJ214" t="e">
        <f>'Actual Value'!AV272+"AM:!)w7"</f>
        <v>#VALUE!</v>
      </c>
      <c r="AK214" t="e">
        <f>'Actual Value'!AW272+"AM:!)w8"</f>
        <v>#VALUE!</v>
      </c>
      <c r="AL214" t="e">
        <f>'Actual Value'!A273+"AM:!)w9"</f>
        <v>#VALUE!</v>
      </c>
      <c r="AM214" t="e">
        <f>'Actual Value'!B273+"AM:!)w:"</f>
        <v>#VALUE!</v>
      </c>
      <c r="AN214" t="e">
        <f>'Actual Value'!C273+"AM:!)w;"</f>
        <v>#VALUE!</v>
      </c>
      <c r="AO214" s="97" t="e">
        <f>'Actual Value'!D273+"AM:!)w&lt;"</f>
        <v>#VALUE!</v>
      </c>
      <c r="AP214" s="97" t="e">
        <f>'Actual Value'!E273+"AM:!)w="</f>
        <v>#VALUE!</v>
      </c>
      <c r="AQ214" s="97" t="e">
        <f>'Actual Value'!F273+"AM:!)w&gt;"</f>
        <v>#VALUE!</v>
      </c>
      <c r="AR214" s="97" t="e">
        <f>'Actual Value'!G273+"AM:!)w?"</f>
        <v>#VALUE!</v>
      </c>
      <c r="AS214" s="97" t="e">
        <f>'Actual Value'!H273+"AM:!)w@"</f>
        <v>#VALUE!</v>
      </c>
      <c r="AT214" s="97" t="e">
        <f>'Actual Value'!I273+"AM:!)wA"</f>
        <v>#VALUE!</v>
      </c>
      <c r="AU214" s="97" t="e">
        <f>'Actual Value'!J273+"AM:!)wB"</f>
        <v>#VALUE!</v>
      </c>
      <c r="AV214" s="97" t="e">
        <f>'Actual Value'!K273+"AM:!)wC"</f>
        <v>#VALUE!</v>
      </c>
      <c r="AW214" s="97" t="e">
        <f>'Actual Value'!L273+"AM:!)wD"</f>
        <v>#VALUE!</v>
      </c>
      <c r="AX214" s="97" t="e">
        <f>'Actual Value'!M273+"AM:!)wE"</f>
        <v>#VALUE!</v>
      </c>
      <c r="AY214" s="97" t="e">
        <f>'Actual Value'!N273+"AM:!)wF"</f>
        <v>#VALUE!</v>
      </c>
      <c r="AZ214" s="97" t="e">
        <f>'Actual Value'!O273+"AM:!)wG"</f>
        <v>#VALUE!</v>
      </c>
      <c r="BA214" s="97" t="e">
        <f>'Actual Value'!P273+"AM:!)wH"</f>
        <v>#VALUE!</v>
      </c>
      <c r="BB214" s="97" t="e">
        <f>'Actual Value'!Q273+"AM:!)wI"</f>
        <v>#VALUE!</v>
      </c>
      <c r="BC214" s="97" t="e">
        <f>'Actual Value'!R273+"AM:!)wJ"</f>
        <v>#VALUE!</v>
      </c>
      <c r="BD214" s="97" t="e">
        <f>'Actual Value'!S273+"AM:!)wK"</f>
        <v>#VALUE!</v>
      </c>
      <c r="BE214" s="97" t="e">
        <f>'Actual Value'!T273+"AM:!)wL"</f>
        <v>#VALUE!</v>
      </c>
      <c r="BF214" s="97" t="e">
        <f>'Actual Value'!U273+"AM:!)wM"</f>
        <v>#VALUE!</v>
      </c>
      <c r="BG214" s="97" t="e">
        <f>'Actual Value'!V273+"AM:!)wN"</f>
        <v>#VALUE!</v>
      </c>
      <c r="BH214" s="97" t="e">
        <f>'Actual Value'!W273+"AM:!)wO"</f>
        <v>#VALUE!</v>
      </c>
      <c r="BI214" s="97" t="e">
        <f>'Actual Value'!X273+"AM:!)wP"</f>
        <v>#VALUE!</v>
      </c>
      <c r="BJ214" s="97" t="e">
        <f>'Actual Value'!Y273+"AM:!)wQ"</f>
        <v>#VALUE!</v>
      </c>
      <c r="BK214" s="97" t="e">
        <f>'Actual Value'!Z273+"AM:!)wR"</f>
        <v>#VALUE!</v>
      </c>
      <c r="BL214" s="97" t="e">
        <f>'Actual Value'!AA273+"AM:!)wS"</f>
        <v>#VALUE!</v>
      </c>
      <c r="BM214" s="97" t="e">
        <f>'Actual Value'!AB273+"AM:!)wT"</f>
        <v>#VALUE!</v>
      </c>
      <c r="BN214" s="97" t="e">
        <f>'Actual Value'!AC273+"AM:!)wU"</f>
        <v>#VALUE!</v>
      </c>
      <c r="BO214" s="97" t="e">
        <f>'Actual Value'!AD273+"AM:!)wV"</f>
        <v>#VALUE!</v>
      </c>
      <c r="BP214" s="97" t="e">
        <f>'Actual Value'!AE273+"AM:!)wW"</f>
        <v>#VALUE!</v>
      </c>
      <c r="BQ214" s="97" t="e">
        <f>'Actual Value'!AF273+"AM:!)wX"</f>
        <v>#VALUE!</v>
      </c>
      <c r="BR214" s="97" t="e">
        <f>'Actual Value'!AG273+"AM:!)wY"</f>
        <v>#VALUE!</v>
      </c>
      <c r="BS214" s="97" t="e">
        <f>'Actual Value'!AH273+"AM:!)wZ"</f>
        <v>#VALUE!</v>
      </c>
      <c r="BT214" s="97" t="e">
        <f>'Actual Value'!AI273+"AM:!)w["</f>
        <v>#VALUE!</v>
      </c>
      <c r="BU214" s="97" t="e">
        <f>'Actual Value'!AJ273+"AM:!)w\"</f>
        <v>#VALUE!</v>
      </c>
      <c r="BV214" s="97" t="e">
        <f>'Actual Value'!AK273+"AM:!)w]"</f>
        <v>#VALUE!</v>
      </c>
      <c r="BW214" s="97" t="e">
        <f>'Actual Value'!AL273+"AM:!)w^"</f>
        <v>#VALUE!</v>
      </c>
      <c r="BX214" s="97" t="e">
        <f>'Actual Value'!AM273+"AM:!)w_"</f>
        <v>#VALUE!</v>
      </c>
      <c r="BY214" s="97" t="e">
        <f>'Actual Value'!AN273+"AM:!)w`"</f>
        <v>#VALUE!</v>
      </c>
      <c r="BZ214" s="97" t="e">
        <f>'Actual Value'!AO273+"AM:!)wa"</f>
        <v>#VALUE!</v>
      </c>
      <c r="CA214" t="e">
        <f>'Actual Value'!AP273+"AM:!)wb"</f>
        <v>#VALUE!</v>
      </c>
      <c r="CB214" t="e">
        <f>'Actual Value'!AQ273+"AM:!)wc"</f>
        <v>#VALUE!</v>
      </c>
      <c r="CC214" t="e">
        <f>'Actual Value'!AR273+"AM:!)wd"</f>
        <v>#VALUE!</v>
      </c>
      <c r="CD214" t="e">
        <f>'Actual Value'!AS273+"AM:!)we"</f>
        <v>#VALUE!</v>
      </c>
      <c r="CE214" t="e">
        <f>'Actual Value'!AT273+"AM:!)wf"</f>
        <v>#VALUE!</v>
      </c>
      <c r="CF214" t="e">
        <f>'Actual Value'!AU273+"AM:!)wg"</f>
        <v>#VALUE!</v>
      </c>
      <c r="CG214" t="e">
        <f>'Actual Value'!AV273+"AM:!)wh"</f>
        <v>#VALUE!</v>
      </c>
      <c r="CH214" t="e">
        <f>'Actual Value'!AW273+"AM:!)wi"</f>
        <v>#VALUE!</v>
      </c>
      <c r="CI214" t="e">
        <f>'Actual Value'!A274+"AM:!)wj"</f>
        <v>#VALUE!</v>
      </c>
      <c r="CJ214" t="e">
        <f>'Actual Value'!B274+"AM:!)wk"</f>
        <v>#VALUE!</v>
      </c>
      <c r="CK214" t="e">
        <f>'Actual Value'!C274+"AM:!)wl"</f>
        <v>#VALUE!</v>
      </c>
      <c r="CL214" s="97" t="e">
        <f>'Actual Value'!D274+"AM:!)wm"</f>
        <v>#VALUE!</v>
      </c>
      <c r="CM214" s="97" t="e">
        <f>'Actual Value'!E274+"AM:!)wn"</f>
        <v>#VALUE!</v>
      </c>
      <c r="CN214" s="97" t="e">
        <f>'Actual Value'!F274+"AM:!)wo"</f>
        <v>#VALUE!</v>
      </c>
      <c r="CO214" s="97" t="e">
        <f>'Actual Value'!G274+"AM:!)wp"</f>
        <v>#VALUE!</v>
      </c>
      <c r="CP214" s="97" t="e">
        <f>'Actual Value'!H274+"AM:!)wq"</f>
        <v>#VALUE!</v>
      </c>
      <c r="CQ214" s="97" t="e">
        <f>'Actual Value'!I274+"AM:!)wr"</f>
        <v>#VALUE!</v>
      </c>
      <c r="CR214" s="97" t="e">
        <f>'Actual Value'!J274+"AM:!)ws"</f>
        <v>#VALUE!</v>
      </c>
      <c r="CS214" s="97" t="e">
        <f>'Actual Value'!K274+"AM:!)wt"</f>
        <v>#VALUE!</v>
      </c>
      <c r="CT214" s="97" t="e">
        <f>'Actual Value'!L274+"AM:!)wu"</f>
        <v>#VALUE!</v>
      </c>
      <c r="CU214" s="97" t="e">
        <f>'Actual Value'!M274+"AM:!)wv"</f>
        <v>#VALUE!</v>
      </c>
      <c r="CV214" s="97" t="e">
        <f>'Actual Value'!N274+"AM:!)ww"</f>
        <v>#VALUE!</v>
      </c>
      <c r="CW214" s="97" t="e">
        <f>'Actual Value'!O274+"AM:!)wx"</f>
        <v>#VALUE!</v>
      </c>
      <c r="CX214" s="97" t="e">
        <f>'Actual Value'!P274+"AM:!)wy"</f>
        <v>#VALUE!</v>
      </c>
      <c r="CY214" s="97" t="e">
        <f>'Actual Value'!Q274+"AM:!)wz"</f>
        <v>#VALUE!</v>
      </c>
      <c r="CZ214" s="97" t="e">
        <f>'Actual Value'!R274+"AM:!)w{"</f>
        <v>#VALUE!</v>
      </c>
      <c r="DA214" s="97" t="e">
        <f>'Actual Value'!S274+"AM:!)w|"</f>
        <v>#VALUE!</v>
      </c>
      <c r="DB214" s="97" t="e">
        <f>'Actual Value'!T274+"AM:!)w}"</f>
        <v>#VALUE!</v>
      </c>
      <c r="DC214" s="97" t="e">
        <f>'Actual Value'!U274+"AM:!)w~"</f>
        <v>#VALUE!</v>
      </c>
      <c r="DD214" s="97" t="e">
        <f>'Actual Value'!V274+"AM:!)x#"</f>
        <v>#VALUE!</v>
      </c>
      <c r="DE214" s="97" t="e">
        <f>'Actual Value'!W274+"AM:!)x$"</f>
        <v>#VALUE!</v>
      </c>
      <c r="DF214" s="97" t="e">
        <f>'Actual Value'!X274+"AM:!)x%"</f>
        <v>#VALUE!</v>
      </c>
      <c r="DG214" s="97" t="e">
        <f>'Actual Value'!Y274+"AM:!)x&amp;"</f>
        <v>#VALUE!</v>
      </c>
      <c r="DH214" s="97" t="e">
        <f>'Actual Value'!Z274+"AM:!)x'"</f>
        <v>#VALUE!</v>
      </c>
      <c r="DI214" s="97" t="e">
        <f>'Actual Value'!AA274+"AM:!)x("</f>
        <v>#VALUE!</v>
      </c>
      <c r="DJ214" s="97" t="e">
        <f>'Actual Value'!AB274+"AM:!)x)"</f>
        <v>#VALUE!</v>
      </c>
      <c r="DK214" s="97" t="e">
        <f>'Actual Value'!AC274+"AM:!)x."</f>
        <v>#VALUE!</v>
      </c>
      <c r="DL214" s="97" t="e">
        <f>'Actual Value'!AD274+"AM:!)x/"</f>
        <v>#VALUE!</v>
      </c>
      <c r="DM214" s="97" t="e">
        <f>'Actual Value'!AE274+"AM:!)x0"</f>
        <v>#VALUE!</v>
      </c>
      <c r="DN214" s="97" t="e">
        <f>'Actual Value'!AF274+"AM:!)x1"</f>
        <v>#VALUE!</v>
      </c>
      <c r="DO214" s="97" t="e">
        <f>'Actual Value'!AG274+"AM:!)x2"</f>
        <v>#VALUE!</v>
      </c>
      <c r="DP214" s="97" t="e">
        <f>'Actual Value'!AH274+"AM:!)x3"</f>
        <v>#VALUE!</v>
      </c>
      <c r="DQ214" s="97" t="e">
        <f>'Actual Value'!AI274+"AM:!)x4"</f>
        <v>#VALUE!</v>
      </c>
      <c r="DR214" s="97" t="e">
        <f>'Actual Value'!AJ274+"AM:!)x5"</f>
        <v>#VALUE!</v>
      </c>
      <c r="DS214" s="97" t="e">
        <f>'Actual Value'!AK274+"AM:!)x6"</f>
        <v>#VALUE!</v>
      </c>
      <c r="DT214" s="97" t="e">
        <f>'Actual Value'!AL274+"AM:!)x7"</f>
        <v>#VALUE!</v>
      </c>
      <c r="DU214" s="97" t="e">
        <f>'Actual Value'!AM274+"AM:!)x8"</f>
        <v>#VALUE!</v>
      </c>
      <c r="DV214" s="97" t="e">
        <f>'Actual Value'!AN274+"AM:!)x9"</f>
        <v>#VALUE!</v>
      </c>
      <c r="DW214" s="97" t="e">
        <f>'Actual Value'!AO274+"AM:!)x:"</f>
        <v>#VALUE!</v>
      </c>
      <c r="DX214" t="e">
        <f>'Actual Value'!AP274+"AM:!)x;"</f>
        <v>#VALUE!</v>
      </c>
      <c r="DY214" t="e">
        <f>'Actual Value'!AQ274+"AM:!)x&lt;"</f>
        <v>#VALUE!</v>
      </c>
      <c r="DZ214" t="e">
        <f>'Actual Value'!AR274+"AM:!)x="</f>
        <v>#VALUE!</v>
      </c>
      <c r="EA214" t="e">
        <f>'Actual Value'!AS274+"AM:!)x&gt;"</f>
        <v>#VALUE!</v>
      </c>
      <c r="EB214" t="e">
        <f>'Actual Value'!AT274+"AM:!)x?"</f>
        <v>#VALUE!</v>
      </c>
      <c r="EC214" t="e">
        <f>'Actual Value'!AU274+"AM:!)x@"</f>
        <v>#VALUE!</v>
      </c>
      <c r="ED214" t="e">
        <f>'Actual Value'!AV274+"AM:!)xA"</f>
        <v>#VALUE!</v>
      </c>
      <c r="EE214" t="e">
        <f>'Actual Value'!AW274+"AM:!)xB"</f>
        <v>#VALUE!</v>
      </c>
      <c r="EF214" t="e">
        <f>'Actual Value'!AX274+"AM:!)xC"</f>
        <v>#VALUE!</v>
      </c>
      <c r="EG214" t="e">
        <f>'Actual Value'!A275+"AM:!)xD"</f>
        <v>#VALUE!</v>
      </c>
      <c r="EH214" t="e">
        <f>'Actual Value'!B275+"AM:!)xE"</f>
        <v>#VALUE!</v>
      </c>
      <c r="EI214" t="e">
        <f>'Actual Value'!C275+"AM:!)xF"</f>
        <v>#VALUE!</v>
      </c>
      <c r="EJ214" s="97" t="e">
        <f>'Actual Value'!D275+"AM:!)xG"</f>
        <v>#VALUE!</v>
      </c>
      <c r="EK214" s="97" t="e">
        <f>'Actual Value'!E275+"AM:!)xH"</f>
        <v>#VALUE!</v>
      </c>
      <c r="EL214" s="97" t="e">
        <f>'Actual Value'!F275+"AM:!)xI"</f>
        <v>#VALUE!</v>
      </c>
      <c r="EM214" s="97" t="e">
        <f>'Actual Value'!G275+"AM:!)xJ"</f>
        <v>#VALUE!</v>
      </c>
      <c r="EN214" s="97" t="e">
        <f>'Actual Value'!H275+"AM:!)xK"</f>
        <v>#VALUE!</v>
      </c>
      <c r="EO214" s="97" t="e">
        <f>'Actual Value'!I275+"AM:!)xL"</f>
        <v>#VALUE!</v>
      </c>
      <c r="EP214" s="97" t="e">
        <f>'Actual Value'!J275+"AM:!)xM"</f>
        <v>#VALUE!</v>
      </c>
      <c r="EQ214" s="97" t="e">
        <f>'Actual Value'!K275+"AM:!)xN"</f>
        <v>#VALUE!</v>
      </c>
      <c r="ER214" s="97" t="e">
        <f>'Actual Value'!L275+"AM:!)xO"</f>
        <v>#VALUE!</v>
      </c>
      <c r="ES214" s="97" t="e">
        <f>'Actual Value'!M275+"AM:!)xP"</f>
        <v>#VALUE!</v>
      </c>
      <c r="ET214" s="97" t="e">
        <f>'Actual Value'!N275+"AM:!)xQ"</f>
        <v>#VALUE!</v>
      </c>
      <c r="EU214" s="97" t="e">
        <f>'Actual Value'!O275+"AM:!)xR"</f>
        <v>#VALUE!</v>
      </c>
      <c r="EV214" s="97" t="e">
        <f>'Actual Value'!P275+"AM:!)xS"</f>
        <v>#VALUE!</v>
      </c>
      <c r="EW214" s="97" t="e">
        <f>'Actual Value'!Q275+"AM:!)xT"</f>
        <v>#VALUE!</v>
      </c>
      <c r="EX214" s="97" t="e">
        <f>'Actual Value'!R275+"AM:!)xU"</f>
        <v>#VALUE!</v>
      </c>
      <c r="EY214" s="97" t="e">
        <f>'Actual Value'!S275+"AM:!)xV"</f>
        <v>#VALUE!</v>
      </c>
      <c r="EZ214" s="97" t="e">
        <f>'Actual Value'!T275+"AM:!)xW"</f>
        <v>#VALUE!</v>
      </c>
      <c r="FA214" s="97" t="e">
        <f>'Actual Value'!U275+"AM:!)xX"</f>
        <v>#VALUE!</v>
      </c>
      <c r="FB214" s="97" t="e">
        <f>'Actual Value'!V275+"AM:!)xY"</f>
        <v>#VALUE!</v>
      </c>
      <c r="FC214" s="97" t="e">
        <f>'Actual Value'!W275+"AM:!)xZ"</f>
        <v>#VALUE!</v>
      </c>
      <c r="FD214" s="97" t="e">
        <f>'Actual Value'!X275+"AM:!)x["</f>
        <v>#VALUE!</v>
      </c>
      <c r="FE214" s="97" t="e">
        <f>'Actual Value'!Y275+"AM:!)x\"</f>
        <v>#VALUE!</v>
      </c>
      <c r="FF214" s="97" t="e">
        <f>'Actual Value'!Z275+"AM:!)x]"</f>
        <v>#VALUE!</v>
      </c>
      <c r="FG214" s="97" t="e">
        <f>'Actual Value'!AA275+"AM:!)x^"</f>
        <v>#VALUE!</v>
      </c>
      <c r="FH214" s="97" t="e">
        <f>'Actual Value'!AB275+"AM:!)x_"</f>
        <v>#VALUE!</v>
      </c>
      <c r="FI214" s="97" t="e">
        <f>'Actual Value'!AC275+"AM:!)x`"</f>
        <v>#VALUE!</v>
      </c>
      <c r="FJ214" s="97" t="e">
        <f>'Actual Value'!AD275+"AM:!)xa"</f>
        <v>#VALUE!</v>
      </c>
      <c r="FK214" s="97" t="e">
        <f>'Actual Value'!AE275+"AM:!)xb"</f>
        <v>#VALUE!</v>
      </c>
      <c r="FL214" s="97" t="e">
        <f>'Actual Value'!AF275+"AM:!)xc"</f>
        <v>#VALUE!</v>
      </c>
      <c r="FM214" s="97" t="e">
        <f>'Actual Value'!AG275+"AM:!)xd"</f>
        <v>#VALUE!</v>
      </c>
      <c r="FN214" s="97" t="e">
        <f>'Actual Value'!AH275+"AM:!)xe"</f>
        <v>#VALUE!</v>
      </c>
      <c r="FO214" s="97" t="e">
        <f>'Actual Value'!AI275+"AM:!)xf"</f>
        <v>#VALUE!</v>
      </c>
      <c r="FP214" s="97" t="e">
        <f>'Actual Value'!AJ275+"AM:!)xg"</f>
        <v>#VALUE!</v>
      </c>
      <c r="FQ214" s="97" t="e">
        <f>'Actual Value'!AK275+"AM:!)xh"</f>
        <v>#VALUE!</v>
      </c>
      <c r="FR214" s="97" t="e">
        <f>'Actual Value'!AL275+"AM:!)xi"</f>
        <v>#VALUE!</v>
      </c>
      <c r="FS214" s="97" t="e">
        <f>'Actual Value'!AM275+"AM:!)xj"</f>
        <v>#VALUE!</v>
      </c>
      <c r="FT214" s="97" t="e">
        <f>'Actual Value'!AN275+"AM:!)xk"</f>
        <v>#VALUE!</v>
      </c>
      <c r="FU214" s="97" t="e">
        <f>'Actual Value'!AO275+"AM:!)xl"</f>
        <v>#VALUE!</v>
      </c>
      <c r="FV214" t="e">
        <f>'Actual Value'!AP275+"AM:!)xm"</f>
        <v>#VALUE!</v>
      </c>
      <c r="FW214" t="e">
        <f>'Actual Value'!AQ275+"AM:!)xn"</f>
        <v>#VALUE!</v>
      </c>
      <c r="FX214" t="e">
        <f>'Actual Value'!AR275+"AM:!)xo"</f>
        <v>#VALUE!</v>
      </c>
      <c r="FY214" t="e">
        <f>'Actual Value'!AS275+"AM:!)xp"</f>
        <v>#VALUE!</v>
      </c>
      <c r="FZ214" t="e">
        <f>'Actual Value'!AT275+"AM:!)xq"</f>
        <v>#VALUE!</v>
      </c>
      <c r="GA214" t="e">
        <f>'Actual Value'!AU275+"AM:!)xr"</f>
        <v>#VALUE!</v>
      </c>
      <c r="GB214" t="e">
        <f>'Actual Value'!AV275+"AM:!)xs"</f>
        <v>#VALUE!</v>
      </c>
      <c r="GC214" t="e">
        <f>'Actual Value'!AW275+"AM:!)xt"</f>
        <v>#VALUE!</v>
      </c>
      <c r="GD214" t="e">
        <f>'Actual Value'!AX275+"AM:!)xu"</f>
        <v>#VALUE!</v>
      </c>
      <c r="GE214" t="e">
        <f>'Actual Value'!A276+"AM:!)xv"</f>
        <v>#VALUE!</v>
      </c>
      <c r="GF214" t="e">
        <f>'Actual Value'!B276+"AM:!)xw"</f>
        <v>#VALUE!</v>
      </c>
      <c r="GG214" t="e">
        <f>'Actual Value'!C276+"AM:!)xx"</f>
        <v>#VALUE!</v>
      </c>
      <c r="GH214" s="97" t="e">
        <f>'Actual Value'!D276+"AM:!)xy"</f>
        <v>#VALUE!</v>
      </c>
      <c r="GI214" s="97" t="e">
        <f>'Actual Value'!E276+"AM:!)xz"</f>
        <v>#VALUE!</v>
      </c>
      <c r="GJ214" s="97" t="e">
        <f>'Actual Value'!F276+"AM:!)x{"</f>
        <v>#VALUE!</v>
      </c>
      <c r="GK214" s="97" t="e">
        <f>'Actual Value'!G276+"AM:!)x|"</f>
        <v>#VALUE!</v>
      </c>
      <c r="GL214" s="97" t="e">
        <f>'Actual Value'!H276+"AM:!)x}"</f>
        <v>#VALUE!</v>
      </c>
      <c r="GM214" s="97" t="e">
        <f>'Actual Value'!I276+"AM:!)x~"</f>
        <v>#VALUE!</v>
      </c>
      <c r="GN214" s="97" t="e">
        <f>'Actual Value'!J276+"AM:!)y#"</f>
        <v>#VALUE!</v>
      </c>
      <c r="GO214" s="97" t="e">
        <f>'Actual Value'!K276+"AM:!)y$"</f>
        <v>#VALUE!</v>
      </c>
      <c r="GP214" s="97" t="e">
        <f>'Actual Value'!L276+"AM:!)y%"</f>
        <v>#VALUE!</v>
      </c>
      <c r="GQ214" s="97" t="e">
        <f>'Actual Value'!M276+"AM:!)y&amp;"</f>
        <v>#VALUE!</v>
      </c>
      <c r="GR214" s="97" t="e">
        <f>'Actual Value'!N276+"AM:!)y'"</f>
        <v>#VALUE!</v>
      </c>
      <c r="GS214" s="97" t="e">
        <f>'Actual Value'!O276+"AM:!)y("</f>
        <v>#VALUE!</v>
      </c>
      <c r="GT214" s="97" t="e">
        <f>'Actual Value'!P276+"AM:!)y)"</f>
        <v>#VALUE!</v>
      </c>
      <c r="GU214" s="97" t="e">
        <f>'Actual Value'!Q276+"AM:!)y."</f>
        <v>#VALUE!</v>
      </c>
      <c r="GV214" s="97" t="e">
        <f>'Actual Value'!R276+"AM:!)y/"</f>
        <v>#VALUE!</v>
      </c>
      <c r="GW214" s="97" t="e">
        <f>'Actual Value'!S276+"AM:!)y0"</f>
        <v>#VALUE!</v>
      </c>
      <c r="GX214" s="97" t="e">
        <f>'Actual Value'!T276+"AM:!)y1"</f>
        <v>#VALUE!</v>
      </c>
      <c r="GY214" s="97" t="e">
        <f>'Actual Value'!U276+"AM:!)y2"</f>
        <v>#VALUE!</v>
      </c>
      <c r="GZ214" s="97" t="e">
        <f>'Actual Value'!V276+"AM:!)y3"</f>
        <v>#VALUE!</v>
      </c>
      <c r="HA214" s="97" t="e">
        <f>'Actual Value'!W276+"AM:!)y4"</f>
        <v>#VALUE!</v>
      </c>
      <c r="HB214" s="97" t="e">
        <f>'Actual Value'!X276+"AM:!)y5"</f>
        <v>#VALUE!</v>
      </c>
      <c r="HC214" s="97" t="e">
        <f>'Actual Value'!Y276+"AM:!)y6"</f>
        <v>#VALUE!</v>
      </c>
      <c r="HD214" s="97" t="e">
        <f>'Actual Value'!Z276+"AM:!)y7"</f>
        <v>#VALUE!</v>
      </c>
      <c r="HE214" s="97" t="e">
        <f>'Actual Value'!AA276+"AM:!)y8"</f>
        <v>#VALUE!</v>
      </c>
      <c r="HF214" s="97" t="e">
        <f>'Actual Value'!AB276+"AM:!)y9"</f>
        <v>#VALUE!</v>
      </c>
      <c r="HG214" s="97" t="e">
        <f>'Actual Value'!AC276+"AM:!)y:"</f>
        <v>#VALUE!</v>
      </c>
      <c r="HH214" s="97" t="e">
        <f>'Actual Value'!AD276+"AM:!)y;"</f>
        <v>#VALUE!</v>
      </c>
      <c r="HI214" s="97" t="e">
        <f>'Actual Value'!AE276+"AM:!)y&lt;"</f>
        <v>#VALUE!</v>
      </c>
      <c r="HJ214" s="97" t="e">
        <f>'Actual Value'!AF276+"AM:!)y="</f>
        <v>#VALUE!</v>
      </c>
      <c r="HK214" s="97" t="e">
        <f>'Actual Value'!AG276+"AM:!)y&gt;"</f>
        <v>#VALUE!</v>
      </c>
      <c r="HL214" s="97" t="e">
        <f>'Actual Value'!AH276+"AM:!)y?"</f>
        <v>#VALUE!</v>
      </c>
      <c r="HM214" s="97" t="e">
        <f>'Actual Value'!AI276+"AM:!)y@"</f>
        <v>#VALUE!</v>
      </c>
      <c r="HN214" s="97" t="e">
        <f>'Actual Value'!AJ276+"AM:!)yA"</f>
        <v>#VALUE!</v>
      </c>
      <c r="HO214" s="97" t="e">
        <f>'Actual Value'!AK276+"AM:!)yB"</f>
        <v>#VALUE!</v>
      </c>
      <c r="HP214" s="97" t="e">
        <f>'Actual Value'!AL276+"AM:!)yC"</f>
        <v>#VALUE!</v>
      </c>
      <c r="HQ214" s="97" t="e">
        <f>'Actual Value'!AM276+"AM:!)yD"</f>
        <v>#VALUE!</v>
      </c>
      <c r="HR214" s="97" t="e">
        <f>'Actual Value'!AN276+"AM:!)yE"</f>
        <v>#VALUE!</v>
      </c>
      <c r="HS214" s="97" t="e">
        <f>'Actual Value'!AO276+"AM:!)yF"</f>
        <v>#VALUE!</v>
      </c>
      <c r="HT214" t="e">
        <f>'Actual Value'!AP276+"AM:!)yG"</f>
        <v>#VALUE!</v>
      </c>
      <c r="HU214" t="e">
        <f>'Actual Value'!AQ276+"AM:!)yH"</f>
        <v>#VALUE!</v>
      </c>
      <c r="HV214" t="e">
        <f>'Actual Value'!AR276+"AM:!)yI"</f>
        <v>#VALUE!</v>
      </c>
      <c r="HW214" t="e">
        <f>'Actual Value'!AS276+"AM:!)yJ"</f>
        <v>#VALUE!</v>
      </c>
      <c r="HX214" t="e">
        <f>'Actual Value'!AT276+"AM:!)yK"</f>
        <v>#VALUE!</v>
      </c>
      <c r="HY214" t="e">
        <f>'Actual Value'!AU276+"AM:!)yL"</f>
        <v>#VALUE!</v>
      </c>
      <c r="HZ214" t="e">
        <f>'Actual Value'!AV276+"AM:!)yM"</f>
        <v>#VALUE!</v>
      </c>
      <c r="IA214" t="e">
        <f>'Actual Value'!AW276+"AM:!)yN"</f>
        <v>#VALUE!</v>
      </c>
      <c r="IB214" t="e">
        <f>'Actual Value'!AX276+"AM:!)yO"</f>
        <v>#VALUE!</v>
      </c>
      <c r="IC214" t="e">
        <f>'Actual Value'!A277+"AM:!)yP"</f>
        <v>#VALUE!</v>
      </c>
      <c r="ID214" t="e">
        <f>'Actual Value'!B277+"AM:!)yQ"</f>
        <v>#VALUE!</v>
      </c>
      <c r="IE214" t="e">
        <f>'Actual Value'!C277+"AM:!)yR"</f>
        <v>#VALUE!</v>
      </c>
      <c r="IF214" s="97" t="e">
        <f>'Actual Value'!D277+"AM:!)yS"</f>
        <v>#VALUE!</v>
      </c>
      <c r="IG214" s="97" t="e">
        <f>'Actual Value'!E277+"AM:!)yT"</f>
        <v>#VALUE!</v>
      </c>
      <c r="IH214" s="97" t="e">
        <f>'Actual Value'!F277+"AM:!)yU"</f>
        <v>#VALUE!</v>
      </c>
      <c r="II214" s="97" t="e">
        <f>'Actual Value'!G277+"AM:!)yV"</f>
        <v>#VALUE!</v>
      </c>
      <c r="IJ214" s="97" t="e">
        <f>'Actual Value'!H277+"AM:!)yW"</f>
        <v>#VALUE!</v>
      </c>
      <c r="IK214" s="97" t="e">
        <f>'Actual Value'!I277+"AM:!)yX"</f>
        <v>#VALUE!</v>
      </c>
      <c r="IL214" s="97" t="e">
        <f>'Actual Value'!J277+"AM:!)yY"</f>
        <v>#VALUE!</v>
      </c>
      <c r="IM214" s="97" t="e">
        <f>'Actual Value'!K277+"AM:!)yZ"</f>
        <v>#VALUE!</v>
      </c>
      <c r="IN214" s="97" t="e">
        <f>'Actual Value'!L277+"AM:!)y["</f>
        <v>#VALUE!</v>
      </c>
      <c r="IO214" s="97" t="e">
        <f>'Actual Value'!M277+"AM:!)y\"</f>
        <v>#VALUE!</v>
      </c>
      <c r="IP214" s="97" t="e">
        <f>'Actual Value'!N277+"AM:!)y]"</f>
        <v>#VALUE!</v>
      </c>
      <c r="IQ214" s="97" t="e">
        <f>'Actual Value'!O277+"AM:!)y^"</f>
        <v>#VALUE!</v>
      </c>
      <c r="IR214" s="97" t="e">
        <f>'Actual Value'!P277+"AM:!)y_"</f>
        <v>#VALUE!</v>
      </c>
      <c r="IS214" s="97" t="e">
        <f>'Actual Value'!Q277+"AM:!)y`"</f>
        <v>#VALUE!</v>
      </c>
      <c r="IT214" s="97" t="e">
        <f>'Actual Value'!R277+"AM:!)ya"</f>
        <v>#VALUE!</v>
      </c>
      <c r="IU214" s="97" t="e">
        <f>'Actual Value'!S277+"AM:!)yb"</f>
        <v>#VALUE!</v>
      </c>
      <c r="IV214" s="97" t="e">
        <f>'Actual Value'!T277+"AM:!)yc"</f>
        <v>#VALUE!</v>
      </c>
    </row>
    <row r="215" spans="6:256">
      <c r="F215" s="97" t="e">
        <f>'Actual Value'!U277+"AM:!)yd"</f>
        <v>#VALUE!</v>
      </c>
      <c r="G215" s="97" t="e">
        <f>'Actual Value'!V277+"AM:!)ye"</f>
        <v>#VALUE!</v>
      </c>
      <c r="H215" s="97" t="e">
        <f>'Actual Value'!W277+"AM:!)yf"</f>
        <v>#VALUE!</v>
      </c>
      <c r="I215" s="97" t="e">
        <f>'Actual Value'!X277+"AM:!)yg"</f>
        <v>#VALUE!</v>
      </c>
      <c r="J215" s="97" t="e">
        <f>'Actual Value'!Y277+"AM:!)yh"</f>
        <v>#VALUE!</v>
      </c>
      <c r="K215" s="97" t="e">
        <f>'Actual Value'!Z277+"AM:!)yi"</f>
        <v>#VALUE!</v>
      </c>
      <c r="L215" s="97" t="e">
        <f>'Actual Value'!AA277+"AM:!)yj"</f>
        <v>#VALUE!</v>
      </c>
      <c r="M215" s="97" t="e">
        <f>'Actual Value'!AB277+"AM:!)yk"</f>
        <v>#VALUE!</v>
      </c>
      <c r="N215" s="97" t="e">
        <f>'Actual Value'!AC277+"AM:!)yl"</f>
        <v>#VALUE!</v>
      </c>
      <c r="O215" s="97" t="e">
        <f>'Actual Value'!AD277+"AM:!)ym"</f>
        <v>#VALUE!</v>
      </c>
      <c r="P215" s="97" t="e">
        <f>'Actual Value'!AE277+"AM:!)yn"</f>
        <v>#VALUE!</v>
      </c>
      <c r="Q215" s="97" t="e">
        <f>'Actual Value'!AF277+"AM:!)yo"</f>
        <v>#VALUE!</v>
      </c>
      <c r="R215" s="97" t="e">
        <f>'Actual Value'!AG277+"AM:!)yp"</f>
        <v>#VALUE!</v>
      </c>
      <c r="S215" s="97" t="e">
        <f>'Actual Value'!AH277+"AM:!)yq"</f>
        <v>#VALUE!</v>
      </c>
      <c r="T215" s="97" t="e">
        <f>'Actual Value'!AI277+"AM:!)yr"</f>
        <v>#VALUE!</v>
      </c>
      <c r="U215" s="97" t="e">
        <f>'Actual Value'!AJ277+"AM:!)ys"</f>
        <v>#VALUE!</v>
      </c>
      <c r="V215" s="97" t="e">
        <f>'Actual Value'!AK277+"AM:!)yt"</f>
        <v>#VALUE!</v>
      </c>
      <c r="W215" s="97" t="e">
        <f>'Actual Value'!AL277+"AM:!)yu"</f>
        <v>#VALUE!</v>
      </c>
      <c r="X215" s="97" t="e">
        <f>'Actual Value'!AM277+"AM:!)yv"</f>
        <v>#VALUE!</v>
      </c>
      <c r="Y215" s="97" t="e">
        <f>'Actual Value'!AN277+"AM:!)yw"</f>
        <v>#VALUE!</v>
      </c>
      <c r="Z215" s="97" t="e">
        <f>'Actual Value'!AO277+"AM:!)yx"</f>
        <v>#VALUE!</v>
      </c>
      <c r="AA215" t="e">
        <f>'Actual Value'!AP277+"AM:!)yy"</f>
        <v>#VALUE!</v>
      </c>
      <c r="AB215" t="e">
        <f>'Actual Value'!AQ277+"AM:!)yz"</f>
        <v>#VALUE!</v>
      </c>
      <c r="AC215" t="e">
        <f>'Actual Value'!AR277+"AM:!)y{"</f>
        <v>#VALUE!</v>
      </c>
      <c r="AD215" t="e">
        <f>'Actual Value'!AS277+"AM:!)y|"</f>
        <v>#VALUE!</v>
      </c>
      <c r="AE215" t="e">
        <f>'Actual Value'!AT277+"AM:!)y}"</f>
        <v>#VALUE!</v>
      </c>
      <c r="AF215" t="e">
        <f>'Actual Value'!AU277+"AM:!)y~"</f>
        <v>#VALUE!</v>
      </c>
      <c r="AG215" t="e">
        <f>'Actual Value'!AV277+"AM:!)z#"</f>
        <v>#VALUE!</v>
      </c>
      <c r="AH215" t="e">
        <f>'Actual Value'!AW277+"AM:!)z$"</f>
        <v>#VALUE!</v>
      </c>
      <c r="AI215" t="e">
        <f>'Actual Value'!AX277+"AM:!)z%"</f>
        <v>#VALUE!</v>
      </c>
      <c r="AJ215" t="e">
        <f>'Actual Value'!A278+"AM:!)z&amp;"</f>
        <v>#VALUE!</v>
      </c>
      <c r="AK215" t="e">
        <f>'Actual Value'!B278+"AM:!)z'"</f>
        <v>#VALUE!</v>
      </c>
      <c r="AL215" t="e">
        <f>'Actual Value'!C278+"AM:!)z("</f>
        <v>#VALUE!</v>
      </c>
      <c r="AM215" s="97" t="e">
        <f>'Actual Value'!D278+"AM:!)z)"</f>
        <v>#VALUE!</v>
      </c>
      <c r="AN215" s="97" t="e">
        <f>'Actual Value'!E278+"AM:!)z."</f>
        <v>#VALUE!</v>
      </c>
      <c r="AO215" s="97" t="e">
        <f>'Actual Value'!F278+"AM:!)z/"</f>
        <v>#VALUE!</v>
      </c>
      <c r="AP215" s="97" t="e">
        <f>'Actual Value'!G278+"AM:!)z0"</f>
        <v>#VALUE!</v>
      </c>
      <c r="AQ215" s="97" t="e">
        <f>'Actual Value'!H278+"AM:!)z1"</f>
        <v>#VALUE!</v>
      </c>
      <c r="AR215" s="97" t="e">
        <f>'Actual Value'!I278+"AM:!)z2"</f>
        <v>#VALUE!</v>
      </c>
      <c r="AS215" s="97" t="e">
        <f>'Actual Value'!J278+"AM:!)z3"</f>
        <v>#VALUE!</v>
      </c>
      <c r="AT215" s="97" t="e">
        <f>'Actual Value'!K278+"AM:!)z4"</f>
        <v>#VALUE!</v>
      </c>
      <c r="AU215" s="97" t="e">
        <f>'Actual Value'!L278+"AM:!)z5"</f>
        <v>#VALUE!</v>
      </c>
      <c r="AV215" s="97" t="e">
        <f>'Actual Value'!M278+"AM:!)z6"</f>
        <v>#VALUE!</v>
      </c>
      <c r="AW215" s="97" t="e">
        <f>'Actual Value'!N278+"AM:!)z7"</f>
        <v>#VALUE!</v>
      </c>
      <c r="AX215" s="97" t="e">
        <f>'Actual Value'!O278+"AM:!)z8"</f>
        <v>#VALUE!</v>
      </c>
      <c r="AY215" s="97" t="e">
        <f>'Actual Value'!P278+"AM:!)z9"</f>
        <v>#VALUE!</v>
      </c>
      <c r="AZ215" s="97" t="e">
        <f>'Actual Value'!Q278+"AM:!)z:"</f>
        <v>#VALUE!</v>
      </c>
      <c r="BA215" s="97" t="e">
        <f>'Actual Value'!R278+"AM:!)z;"</f>
        <v>#VALUE!</v>
      </c>
      <c r="BB215" s="97" t="e">
        <f>'Actual Value'!S278+"AM:!)z&lt;"</f>
        <v>#VALUE!</v>
      </c>
      <c r="BC215" s="97" t="e">
        <f>'Actual Value'!T278+"AM:!)z="</f>
        <v>#VALUE!</v>
      </c>
      <c r="BD215" s="97" t="e">
        <f>'Actual Value'!U278+"AM:!)z&gt;"</f>
        <v>#VALUE!</v>
      </c>
      <c r="BE215" s="97" t="e">
        <f>'Actual Value'!V278+"AM:!)z?"</f>
        <v>#VALUE!</v>
      </c>
      <c r="BF215" s="97" t="e">
        <f>'Actual Value'!W278+"AM:!)z@"</f>
        <v>#VALUE!</v>
      </c>
      <c r="BG215" s="97" t="e">
        <f>'Actual Value'!X278+"AM:!)zA"</f>
        <v>#VALUE!</v>
      </c>
      <c r="BH215" s="97" t="e">
        <f>'Actual Value'!Y278+"AM:!)zB"</f>
        <v>#VALUE!</v>
      </c>
      <c r="BI215" s="97" t="e">
        <f>'Actual Value'!Z278+"AM:!)zC"</f>
        <v>#VALUE!</v>
      </c>
      <c r="BJ215" s="97" t="e">
        <f>'Actual Value'!AA278+"AM:!)zD"</f>
        <v>#VALUE!</v>
      </c>
      <c r="BK215" s="97" t="e">
        <f>'Actual Value'!AB278+"AM:!)zE"</f>
        <v>#VALUE!</v>
      </c>
      <c r="BL215" s="97" t="e">
        <f>'Actual Value'!AC278+"AM:!)zF"</f>
        <v>#VALUE!</v>
      </c>
      <c r="BM215" s="97" t="e">
        <f>'Actual Value'!AD278+"AM:!)zG"</f>
        <v>#VALUE!</v>
      </c>
      <c r="BN215" s="97" t="e">
        <f>'Actual Value'!AE278+"AM:!)zH"</f>
        <v>#VALUE!</v>
      </c>
      <c r="BO215" s="97" t="e">
        <f>'Actual Value'!AF278+"AM:!)zI"</f>
        <v>#VALUE!</v>
      </c>
      <c r="BP215" s="97" t="e">
        <f>'Actual Value'!AG278+"AM:!)zJ"</f>
        <v>#VALUE!</v>
      </c>
      <c r="BQ215" s="97" t="e">
        <f>'Actual Value'!AH278+"AM:!)zK"</f>
        <v>#VALUE!</v>
      </c>
      <c r="BR215" s="97" t="e">
        <f>'Actual Value'!AI278+"AM:!)zL"</f>
        <v>#VALUE!</v>
      </c>
      <c r="BS215" s="97" t="e">
        <f>'Actual Value'!AJ278+"AM:!)zM"</f>
        <v>#VALUE!</v>
      </c>
      <c r="BT215" s="97" t="e">
        <f>'Actual Value'!AK278+"AM:!)zN"</f>
        <v>#VALUE!</v>
      </c>
      <c r="BU215" s="97" t="e">
        <f>'Actual Value'!AL278+"AM:!)zO"</f>
        <v>#VALUE!</v>
      </c>
      <c r="BV215" s="97" t="e">
        <f>'Actual Value'!AM278+"AM:!)zP"</f>
        <v>#VALUE!</v>
      </c>
      <c r="BW215" s="97" t="e">
        <f>'Actual Value'!AN278+"AM:!)zQ"</f>
        <v>#VALUE!</v>
      </c>
      <c r="BX215" s="97" t="e">
        <f>'Actual Value'!AO278+"AM:!)zR"</f>
        <v>#VALUE!</v>
      </c>
      <c r="BY215" t="e">
        <f>'Actual Value'!AP278+"AM:!)zS"</f>
        <v>#VALUE!</v>
      </c>
      <c r="BZ215" t="e">
        <f>'Actual Value'!AQ278+"AM:!)zT"</f>
        <v>#VALUE!</v>
      </c>
      <c r="CA215" t="e">
        <f>'Actual Value'!AR278+"AM:!)zU"</f>
        <v>#VALUE!</v>
      </c>
      <c r="CB215" t="e">
        <f>'Actual Value'!AS278+"AM:!)zV"</f>
        <v>#VALUE!</v>
      </c>
      <c r="CC215" t="e">
        <f>'Actual Value'!AT278+"AM:!)zW"</f>
        <v>#VALUE!</v>
      </c>
      <c r="CD215" t="e">
        <f>'Actual Value'!AU278+"AM:!)zX"</f>
        <v>#VALUE!</v>
      </c>
      <c r="CE215" t="e">
        <f>'Actual Value'!AV278+"AM:!)zY"</f>
        <v>#VALUE!</v>
      </c>
      <c r="CF215" t="e">
        <f>'Actual Value'!AW278+"AM:!)zZ"</f>
        <v>#VALUE!</v>
      </c>
      <c r="CG215" t="e">
        <f>'Actual Value'!AX278+"AM:!)z["</f>
        <v>#VALUE!</v>
      </c>
      <c r="CH215" t="e">
        <f>'Actual Value'!A279+"AM:!)z\"</f>
        <v>#VALUE!</v>
      </c>
      <c r="CI215" t="e">
        <f>'Actual Value'!B279+"AM:!)z]"</f>
        <v>#VALUE!</v>
      </c>
      <c r="CJ215" t="e">
        <f>'Actual Value'!C279+"AM:!)z^"</f>
        <v>#VALUE!</v>
      </c>
      <c r="CK215" s="97" t="e">
        <f>'Actual Value'!D279+"AM:!)z_"</f>
        <v>#VALUE!</v>
      </c>
      <c r="CL215" s="97" t="e">
        <f>'Actual Value'!E279+"AM:!)z`"</f>
        <v>#VALUE!</v>
      </c>
      <c r="CM215" s="97" t="e">
        <f>'Actual Value'!F279+"AM:!)za"</f>
        <v>#VALUE!</v>
      </c>
      <c r="CN215" s="97" t="e">
        <f>'Actual Value'!G279+"AM:!)zb"</f>
        <v>#VALUE!</v>
      </c>
      <c r="CO215" s="97" t="e">
        <f>'Actual Value'!H279+"AM:!)zc"</f>
        <v>#VALUE!</v>
      </c>
      <c r="CP215" s="97" t="e">
        <f>'Actual Value'!I279+"AM:!)zd"</f>
        <v>#VALUE!</v>
      </c>
      <c r="CQ215" s="97" t="e">
        <f>'Actual Value'!J279+"AM:!)ze"</f>
        <v>#VALUE!</v>
      </c>
      <c r="CR215" s="97" t="e">
        <f>'Actual Value'!K279+"AM:!)zf"</f>
        <v>#VALUE!</v>
      </c>
      <c r="CS215" s="97" t="e">
        <f>'Actual Value'!L279+"AM:!)zg"</f>
        <v>#VALUE!</v>
      </c>
      <c r="CT215" s="97" t="e">
        <f>'Actual Value'!M279+"AM:!)zh"</f>
        <v>#VALUE!</v>
      </c>
      <c r="CU215" s="97" t="e">
        <f>'Actual Value'!N279+"AM:!)zi"</f>
        <v>#VALUE!</v>
      </c>
      <c r="CV215" s="97" t="e">
        <f>'Actual Value'!O279+"AM:!)zj"</f>
        <v>#VALUE!</v>
      </c>
      <c r="CW215" s="97" t="e">
        <f>'Actual Value'!P279+"AM:!)zk"</f>
        <v>#VALUE!</v>
      </c>
      <c r="CX215" s="97" t="e">
        <f>'Actual Value'!Q279+"AM:!)zl"</f>
        <v>#VALUE!</v>
      </c>
      <c r="CY215" s="97" t="e">
        <f>'Actual Value'!R279+"AM:!)zm"</f>
        <v>#VALUE!</v>
      </c>
      <c r="CZ215" s="97" t="e">
        <f>'Actual Value'!S279+"AM:!)zn"</f>
        <v>#VALUE!</v>
      </c>
      <c r="DA215" s="97" t="e">
        <f>'Actual Value'!T279+"AM:!)zo"</f>
        <v>#VALUE!</v>
      </c>
      <c r="DB215" s="97" t="e">
        <f>'Actual Value'!U279+"AM:!)zp"</f>
        <v>#VALUE!</v>
      </c>
      <c r="DC215" s="97" t="e">
        <f>'Actual Value'!V279+"AM:!)zq"</f>
        <v>#VALUE!</v>
      </c>
      <c r="DD215" s="97" t="e">
        <f>'Actual Value'!W279+"AM:!)zr"</f>
        <v>#VALUE!</v>
      </c>
      <c r="DE215" s="97" t="e">
        <f>'Actual Value'!X279+"AM:!)zs"</f>
        <v>#VALUE!</v>
      </c>
      <c r="DF215" s="97" t="e">
        <f>'Actual Value'!Y279+"AM:!)zt"</f>
        <v>#VALUE!</v>
      </c>
      <c r="DG215" s="97" t="e">
        <f>'Actual Value'!Z279+"AM:!)zu"</f>
        <v>#VALUE!</v>
      </c>
      <c r="DH215" s="97" t="e">
        <f>'Actual Value'!AA279+"AM:!)zv"</f>
        <v>#VALUE!</v>
      </c>
      <c r="DI215" s="97" t="e">
        <f>'Actual Value'!AB279+"AM:!)zw"</f>
        <v>#VALUE!</v>
      </c>
      <c r="DJ215" s="97" t="e">
        <f>'Actual Value'!AC279+"AM:!)zx"</f>
        <v>#VALUE!</v>
      </c>
      <c r="DK215" s="97" t="e">
        <f>'Actual Value'!AD279+"AM:!)zy"</f>
        <v>#VALUE!</v>
      </c>
      <c r="DL215" s="97" t="e">
        <f>'Actual Value'!AE279+"AM:!)zz"</f>
        <v>#VALUE!</v>
      </c>
      <c r="DM215" s="97" t="e">
        <f>'Actual Value'!AF279+"AM:!)z{"</f>
        <v>#VALUE!</v>
      </c>
      <c r="DN215" s="97" t="e">
        <f>'Actual Value'!AG279+"AM:!)z|"</f>
        <v>#VALUE!</v>
      </c>
      <c r="DO215" s="97" t="e">
        <f>'Actual Value'!AH279+"AM:!)z}"</f>
        <v>#VALUE!</v>
      </c>
      <c r="DP215" s="97" t="e">
        <f>'Actual Value'!AI279+"AM:!)z~"</f>
        <v>#VALUE!</v>
      </c>
      <c r="DQ215" s="97" t="e">
        <f>'Actual Value'!AJ279+"AM:!){#"</f>
        <v>#VALUE!</v>
      </c>
      <c r="DR215" s="97" t="e">
        <f>'Actual Value'!AK279+"AM:!){$"</f>
        <v>#VALUE!</v>
      </c>
      <c r="DS215" s="97" t="e">
        <f>'Actual Value'!AL279+"AM:!){%"</f>
        <v>#VALUE!</v>
      </c>
      <c r="DT215" s="97" t="e">
        <f>'Actual Value'!AM279+"AM:!){&amp;"</f>
        <v>#VALUE!</v>
      </c>
      <c r="DU215" s="97" t="e">
        <f>'Actual Value'!AN279+"AM:!){'"</f>
        <v>#VALUE!</v>
      </c>
      <c r="DV215" s="97" t="e">
        <f>'Actual Value'!AO279+"AM:!){("</f>
        <v>#VALUE!</v>
      </c>
      <c r="DW215" t="e">
        <f>'Actual Value'!AP279+"AM:!){)"</f>
        <v>#VALUE!</v>
      </c>
      <c r="DX215" t="e">
        <f>'Actual Value'!AQ279+"AM:!){."</f>
        <v>#VALUE!</v>
      </c>
      <c r="DY215" t="e">
        <f>'Actual Value'!AR279+"AM:!){/"</f>
        <v>#VALUE!</v>
      </c>
      <c r="DZ215" t="e">
        <f>'Actual Value'!AS279+"AM:!){0"</f>
        <v>#VALUE!</v>
      </c>
      <c r="EA215" t="e">
        <f>'Actual Value'!AT279+"AM:!){1"</f>
        <v>#VALUE!</v>
      </c>
      <c r="EB215" t="e">
        <f>'Actual Value'!AU279+"AM:!){2"</f>
        <v>#VALUE!</v>
      </c>
      <c r="EC215" t="e">
        <f>'Actual Value'!AV279+"AM:!){3"</f>
        <v>#VALUE!</v>
      </c>
      <c r="ED215" t="e">
        <f>'Actual Value'!AW279+"AM:!){4"</f>
        <v>#VALUE!</v>
      </c>
      <c r="EE215" t="e">
        <f>'Actual Value'!AX279+"AM:!){5"</f>
        <v>#VALUE!</v>
      </c>
      <c r="EF215" t="e">
        <f>'Actual Value'!A280+"AM:!){6"</f>
        <v>#VALUE!</v>
      </c>
      <c r="EG215" t="e">
        <f>'Actual Value'!B280+"AM:!){7"</f>
        <v>#VALUE!</v>
      </c>
      <c r="EH215" t="e">
        <f>'Actual Value'!C280+"AM:!){8"</f>
        <v>#VALUE!</v>
      </c>
      <c r="EI215" t="e">
        <f>'Actual Value'!D280+"AM:!){9"</f>
        <v>#VALUE!</v>
      </c>
      <c r="EJ215" t="e">
        <f>'Actual Value'!E280+"AM:!){:"</f>
        <v>#VALUE!</v>
      </c>
      <c r="EK215" t="e">
        <f>'Actual Value'!F280+"AM:!){;"</f>
        <v>#VALUE!</v>
      </c>
      <c r="EL215" t="e">
        <f>'Actual Value'!G280+"AM:!){&lt;"</f>
        <v>#VALUE!</v>
      </c>
      <c r="EM215" t="e">
        <f>'Actual Value'!H280+"AM:!){="</f>
        <v>#VALUE!</v>
      </c>
      <c r="EN215" t="e">
        <f>'Actual Value'!I280+"AM:!){&gt;"</f>
        <v>#VALUE!</v>
      </c>
      <c r="EO215" t="e">
        <f>'Actual Value'!J280+"AM:!){?"</f>
        <v>#VALUE!</v>
      </c>
      <c r="EP215" t="e">
        <f>'Actual Value'!K280+"AM:!){@"</f>
        <v>#VALUE!</v>
      </c>
      <c r="EQ215" t="e">
        <f>'Actual Value'!L280+"AM:!){A"</f>
        <v>#VALUE!</v>
      </c>
      <c r="ER215" t="e">
        <f>'Actual Value'!M280+"AM:!){B"</f>
        <v>#VALUE!</v>
      </c>
      <c r="ES215" t="e">
        <f>'Actual Value'!N280+"AM:!){C"</f>
        <v>#VALUE!</v>
      </c>
      <c r="ET215" t="e">
        <f>'Actual Value'!O280+"AM:!){D"</f>
        <v>#VALUE!</v>
      </c>
      <c r="EU215" t="e">
        <f>'Actual Value'!P280+"AM:!){E"</f>
        <v>#VALUE!</v>
      </c>
      <c r="EV215" t="e">
        <f>'Actual Value'!Q280+"AM:!){F"</f>
        <v>#VALUE!</v>
      </c>
      <c r="EW215" t="e">
        <f>'Actual Value'!R280+"AM:!){G"</f>
        <v>#VALUE!</v>
      </c>
      <c r="EX215" t="e">
        <f>'Actual Value'!S280+"AM:!){H"</f>
        <v>#VALUE!</v>
      </c>
      <c r="EY215" t="e">
        <f>'Actual Value'!T280+"AM:!){I"</f>
        <v>#VALUE!</v>
      </c>
      <c r="EZ215" t="e">
        <f>'Actual Value'!U280+"AM:!){J"</f>
        <v>#VALUE!</v>
      </c>
      <c r="FA215" t="e">
        <f>'Actual Value'!V280+"AM:!){K"</f>
        <v>#VALUE!</v>
      </c>
      <c r="FB215" t="e">
        <f>'Actual Value'!W280+"AM:!){L"</f>
        <v>#VALUE!</v>
      </c>
      <c r="FC215" t="e">
        <f>'Actual Value'!X280+"AM:!){M"</f>
        <v>#VALUE!</v>
      </c>
      <c r="FD215" t="e">
        <f>'Actual Value'!Y280+"AM:!){N"</f>
        <v>#VALUE!</v>
      </c>
      <c r="FE215" t="e">
        <f>'Actual Value'!Z280+"AM:!){O"</f>
        <v>#VALUE!</v>
      </c>
      <c r="FF215" t="e">
        <f>'Actual Value'!AA280+"AM:!){P"</f>
        <v>#VALUE!</v>
      </c>
      <c r="FG215" t="e">
        <f>'Actual Value'!AB280+"AM:!){Q"</f>
        <v>#VALUE!</v>
      </c>
      <c r="FH215" t="e">
        <f>'Actual Value'!AC280+"AM:!){R"</f>
        <v>#VALUE!</v>
      </c>
      <c r="FI215" t="e">
        <f>'Actual Value'!AD280+"AM:!){S"</f>
        <v>#VALUE!</v>
      </c>
      <c r="FJ215" t="e">
        <f>'Actual Value'!AE280+"AM:!){T"</f>
        <v>#VALUE!</v>
      </c>
      <c r="FK215" t="e">
        <f>'Actual Value'!AF280+"AM:!){U"</f>
        <v>#VALUE!</v>
      </c>
      <c r="FL215" t="e">
        <f>'Actual Value'!AG280+"AM:!){V"</f>
        <v>#VALUE!</v>
      </c>
      <c r="FM215" t="e">
        <f>'Actual Value'!AH280+"AM:!){W"</f>
        <v>#VALUE!</v>
      </c>
      <c r="FN215" t="e">
        <f>'Actual Value'!AI280+"AM:!){X"</f>
        <v>#VALUE!</v>
      </c>
      <c r="FO215" t="e">
        <f>'Actual Value'!AJ280+"AM:!){Y"</f>
        <v>#VALUE!</v>
      </c>
      <c r="FP215" t="e">
        <f>'Actual Value'!AK280+"AM:!){Z"</f>
        <v>#VALUE!</v>
      </c>
      <c r="FQ215" t="e">
        <f>'Actual Value'!AL280+"AM:!){["</f>
        <v>#VALUE!</v>
      </c>
      <c r="FR215" t="e">
        <f>'Actual Value'!AM280+"AM:!){\"</f>
        <v>#VALUE!</v>
      </c>
      <c r="FS215" t="e">
        <f>'Actual Value'!AN280+"AM:!){]"</f>
        <v>#VALUE!</v>
      </c>
      <c r="FT215" t="e">
        <f>'Actual Value'!AO280+"AM:!){^"</f>
        <v>#VALUE!</v>
      </c>
      <c r="FU215" t="e">
        <f>'Actual Value'!AP280+"AM:!){_"</f>
        <v>#VALUE!</v>
      </c>
      <c r="FV215" t="e">
        <f>'Actual Value'!AQ280+"AM:!){`"</f>
        <v>#VALUE!</v>
      </c>
      <c r="FW215" t="e">
        <f>'Actual Value'!AR280+"AM:!){a"</f>
        <v>#VALUE!</v>
      </c>
      <c r="FX215" t="e">
        <f>'Actual Value'!AS280+"AM:!){b"</f>
        <v>#VALUE!</v>
      </c>
      <c r="FY215" t="e">
        <f>'Actual Value'!AT280+"AM:!){c"</f>
        <v>#VALUE!</v>
      </c>
      <c r="FZ215" t="e">
        <f>'Actual Value'!AU280+"AM:!){d"</f>
        <v>#VALUE!</v>
      </c>
      <c r="GA215" t="e">
        <f>'Actual Value'!AV280+"AM:!){e"</f>
        <v>#VALUE!</v>
      </c>
      <c r="GB215" t="e">
        <f>'Actual Value'!AW280+"AM:!){f"</f>
        <v>#VALUE!</v>
      </c>
      <c r="GC215" t="e">
        <f>'Actual Value'!A281+"AM:!){g"</f>
        <v>#VALUE!</v>
      </c>
      <c r="GD215" t="e">
        <f>'Actual Value'!B281+"AM:!){h"</f>
        <v>#VALUE!</v>
      </c>
      <c r="GE215" t="e">
        <f>'Actual Value'!C281+"AM:!){i"</f>
        <v>#VALUE!</v>
      </c>
      <c r="GF215" s="105" t="e">
        <f>'Actual Value'!D281+"AM:!){j"</f>
        <v>#VALUE!</v>
      </c>
      <c r="GG215" s="105" t="e">
        <f>'Actual Value'!E281+"AM:!){k"</f>
        <v>#VALUE!</v>
      </c>
      <c r="GH215" s="105" t="e">
        <f>'Actual Value'!F281+"AM:!){l"</f>
        <v>#VALUE!</v>
      </c>
      <c r="GI215" s="105" t="e">
        <f>'Actual Value'!G281+"AM:!){m"</f>
        <v>#VALUE!</v>
      </c>
      <c r="GJ215" s="105" t="e">
        <f>'Actual Value'!H281+"AM:!){n"</f>
        <v>#VALUE!</v>
      </c>
      <c r="GK215" s="105" t="e">
        <f>'Actual Value'!I281+"AM:!){o"</f>
        <v>#VALUE!</v>
      </c>
      <c r="GL215" s="105" t="e">
        <f>'Actual Value'!J281+"AM:!){p"</f>
        <v>#VALUE!</v>
      </c>
      <c r="GM215" s="105" t="e">
        <f>'Actual Value'!K281+"AM:!){q"</f>
        <v>#VALUE!</v>
      </c>
      <c r="GN215" s="105" t="e">
        <f>'Actual Value'!L281+"AM:!){r"</f>
        <v>#VALUE!</v>
      </c>
      <c r="GO215" s="105" t="e">
        <f>'Actual Value'!M281+"AM:!){s"</f>
        <v>#VALUE!</v>
      </c>
      <c r="GP215" s="105" t="e">
        <f>'Actual Value'!N281+"AM:!){t"</f>
        <v>#VALUE!</v>
      </c>
      <c r="GQ215" s="105" t="e">
        <f>'Actual Value'!O281+"AM:!){u"</f>
        <v>#VALUE!</v>
      </c>
      <c r="GR215" s="105" t="e">
        <f>'Actual Value'!P281+"AM:!){v"</f>
        <v>#VALUE!</v>
      </c>
      <c r="GS215" s="105" t="e">
        <f>'Actual Value'!Q281+"AM:!){w"</f>
        <v>#VALUE!</v>
      </c>
      <c r="GT215" s="105" t="e">
        <f>'Actual Value'!R281+"AM:!){x"</f>
        <v>#VALUE!</v>
      </c>
      <c r="GU215" s="105" t="e">
        <f>'Actual Value'!S281+"AM:!){y"</f>
        <v>#VALUE!</v>
      </c>
      <c r="GV215" s="105" t="e">
        <f>'Actual Value'!T281+"AM:!){z"</f>
        <v>#VALUE!</v>
      </c>
      <c r="GW215" s="105" t="e">
        <f>'Actual Value'!U281+"AM:!){{"</f>
        <v>#VALUE!</v>
      </c>
      <c r="GX215" s="105" t="e">
        <f>'Actual Value'!V281+"AM:!){|"</f>
        <v>#VALUE!</v>
      </c>
      <c r="GY215" s="105" t="e">
        <f>'Actual Value'!W281+"AM:!){}"</f>
        <v>#VALUE!</v>
      </c>
      <c r="GZ215" s="105" t="e">
        <f>'Actual Value'!X281+"AM:!){~"</f>
        <v>#VALUE!</v>
      </c>
      <c r="HA215" s="105" t="e">
        <f>'Actual Value'!Y281+"AM:!)|#"</f>
        <v>#VALUE!</v>
      </c>
      <c r="HB215" s="105" t="e">
        <f>'Actual Value'!Z281+"AM:!)|$"</f>
        <v>#VALUE!</v>
      </c>
      <c r="HC215" s="105" t="e">
        <f>'Actual Value'!AA281+"AM:!)|%"</f>
        <v>#VALUE!</v>
      </c>
      <c r="HD215" s="105" t="e">
        <f>'Actual Value'!AB281+"AM:!)|&amp;"</f>
        <v>#VALUE!</v>
      </c>
      <c r="HE215" s="105" t="e">
        <f>'Actual Value'!AC281+"AM:!)|'"</f>
        <v>#VALUE!</v>
      </c>
      <c r="HF215" s="105" t="e">
        <f>'Actual Value'!AD281+"AM:!)|("</f>
        <v>#VALUE!</v>
      </c>
      <c r="HG215" s="105" t="e">
        <f>'Actual Value'!AE281+"AM:!)|)"</f>
        <v>#VALUE!</v>
      </c>
      <c r="HH215" s="105" t="e">
        <f>'Actual Value'!AF281+"AM:!)|."</f>
        <v>#VALUE!</v>
      </c>
      <c r="HI215" s="105" t="e">
        <f>'Actual Value'!AG281+"AM:!)|/"</f>
        <v>#VALUE!</v>
      </c>
      <c r="HJ215" s="105" t="e">
        <f>'Actual Value'!AH281+"AM:!)|0"</f>
        <v>#VALUE!</v>
      </c>
      <c r="HK215" s="105" t="e">
        <f>'Actual Value'!AI281+"AM:!)|1"</f>
        <v>#VALUE!</v>
      </c>
      <c r="HL215" s="105" t="e">
        <f>'Actual Value'!AJ281+"AM:!)|2"</f>
        <v>#VALUE!</v>
      </c>
      <c r="HM215" s="105" t="e">
        <f>'Actual Value'!AK281+"AM:!)|3"</f>
        <v>#VALUE!</v>
      </c>
      <c r="HN215" s="105" t="e">
        <f>'Actual Value'!AL281+"AM:!)|4"</f>
        <v>#VALUE!</v>
      </c>
      <c r="HO215" s="105" t="e">
        <f>'Actual Value'!AM281+"AM:!)|5"</f>
        <v>#VALUE!</v>
      </c>
      <c r="HP215" s="105" t="e">
        <f>'Actual Value'!AN281+"AM:!)|6"</f>
        <v>#VALUE!</v>
      </c>
      <c r="HQ215" s="105" t="e">
        <f>'Actual Value'!AO281+"AM:!)|7"</f>
        <v>#VALUE!</v>
      </c>
      <c r="HR215" t="e">
        <f>'Actual Value'!AP281+"AM:!)|8"</f>
        <v>#VALUE!</v>
      </c>
      <c r="HS215" s="100" t="e">
        <f>'Actual Value'!AQ281+"AM:!)|9"</f>
        <v>#VALUE!</v>
      </c>
      <c r="HT215" s="100" t="e">
        <f>'Actual Value'!AR281+"AM:!)|:"</f>
        <v>#VALUE!</v>
      </c>
      <c r="HU215" s="100" t="e">
        <f>'Actual Value'!AS281+"AM:!)|;"</f>
        <v>#VALUE!</v>
      </c>
      <c r="HV215" s="100" t="e">
        <f>'Actual Value'!AT281+"AM:!)|&lt;"</f>
        <v>#VALUE!</v>
      </c>
      <c r="HW215" s="100" t="e">
        <f>'Actual Value'!AU281+"AM:!)|="</f>
        <v>#VALUE!</v>
      </c>
      <c r="HX215" t="e">
        <f>'Actual Value'!AV281+"AM:!)|&gt;"</f>
        <v>#VALUE!</v>
      </c>
      <c r="HY215" t="e">
        <f>'Actual Value'!AW281+"AM:!)|?"</f>
        <v>#VALUE!</v>
      </c>
      <c r="HZ215" t="e">
        <f>'Actual Value'!A282+"AM:!)|@"</f>
        <v>#VALUE!</v>
      </c>
      <c r="IA215" t="e">
        <f>'Actual Value'!B282+"AM:!)|A"</f>
        <v>#VALUE!</v>
      </c>
      <c r="IB215" t="e">
        <f>'Actual Value'!C282+"AM:!)|B"</f>
        <v>#VALUE!</v>
      </c>
      <c r="IC215" s="97" t="e">
        <f>'Actual Value'!D282+"AM:!)|C"</f>
        <v>#VALUE!</v>
      </c>
      <c r="ID215" s="97" t="e">
        <f>'Actual Value'!E282+"AM:!)|D"</f>
        <v>#VALUE!</v>
      </c>
      <c r="IE215" s="97" t="e">
        <f>'Actual Value'!F282+"AM:!)|E"</f>
        <v>#VALUE!</v>
      </c>
      <c r="IF215" s="97" t="e">
        <f>'Actual Value'!G282+"AM:!)|F"</f>
        <v>#VALUE!</v>
      </c>
      <c r="IG215" s="97" t="e">
        <f>'Actual Value'!H282+"AM:!)|G"</f>
        <v>#VALUE!</v>
      </c>
      <c r="IH215" s="97" t="e">
        <f>'Actual Value'!I282+"AM:!)|H"</f>
        <v>#VALUE!</v>
      </c>
      <c r="II215" s="97" t="e">
        <f>'Actual Value'!J282+"AM:!)|I"</f>
        <v>#VALUE!</v>
      </c>
      <c r="IJ215" s="97" t="e">
        <f>'Actual Value'!K282+"AM:!)|J"</f>
        <v>#VALUE!</v>
      </c>
      <c r="IK215" s="97" t="e">
        <f>'Actual Value'!L282+"AM:!)|K"</f>
        <v>#VALUE!</v>
      </c>
      <c r="IL215" s="97" t="e">
        <f>'Actual Value'!M282+"AM:!)|L"</f>
        <v>#VALUE!</v>
      </c>
      <c r="IM215" s="97" t="e">
        <f>'Actual Value'!N282+"AM:!)|M"</f>
        <v>#VALUE!</v>
      </c>
      <c r="IN215" s="97" t="e">
        <f>'Actual Value'!O282+"AM:!)|N"</f>
        <v>#VALUE!</v>
      </c>
      <c r="IO215" s="97" t="e">
        <f>'Actual Value'!P282+"AM:!)|O"</f>
        <v>#VALUE!</v>
      </c>
      <c r="IP215" s="97" t="e">
        <f>'Actual Value'!Q282+"AM:!)|P"</f>
        <v>#VALUE!</v>
      </c>
      <c r="IQ215" s="97" t="e">
        <f>'Actual Value'!R282+"AM:!)|Q"</f>
        <v>#VALUE!</v>
      </c>
      <c r="IR215" s="97" t="e">
        <f>'Actual Value'!S282+"AM:!)|R"</f>
        <v>#VALUE!</v>
      </c>
      <c r="IS215" s="97" t="e">
        <f>'Actual Value'!T282+"AM:!)|S"</f>
        <v>#VALUE!</v>
      </c>
      <c r="IT215" s="97" t="e">
        <f>'Actual Value'!U282+"AM:!)|T"</f>
        <v>#VALUE!</v>
      </c>
      <c r="IU215" s="97" t="e">
        <f>'Actual Value'!V282+"AM:!)|U"</f>
        <v>#VALUE!</v>
      </c>
      <c r="IV215" s="97" t="e">
        <f>'Actual Value'!W282+"AM:!)|V"</f>
        <v>#VALUE!</v>
      </c>
    </row>
    <row r="216" spans="6:256">
      <c r="F216" s="97" t="e">
        <f>'Actual Value'!X282+"AM:!)|W"</f>
        <v>#VALUE!</v>
      </c>
      <c r="G216" s="97" t="e">
        <f>'Actual Value'!Y282+"AM:!)|X"</f>
        <v>#VALUE!</v>
      </c>
      <c r="H216" s="97" t="e">
        <f>'Actual Value'!Z282+"AM:!)|Y"</f>
        <v>#VALUE!</v>
      </c>
      <c r="I216" s="97" t="e">
        <f>'Actual Value'!AA282+"AM:!)|Z"</f>
        <v>#VALUE!</v>
      </c>
      <c r="J216" s="97" t="e">
        <f>'Actual Value'!AB282+"AM:!)|["</f>
        <v>#VALUE!</v>
      </c>
      <c r="K216" s="97" t="e">
        <f>'Actual Value'!AC282+"AM:!)|\"</f>
        <v>#VALUE!</v>
      </c>
      <c r="L216" s="97" t="e">
        <f>'Actual Value'!AD282+"AM:!)|]"</f>
        <v>#VALUE!</v>
      </c>
      <c r="M216" s="97" t="e">
        <f>'Actual Value'!AE282+"AM:!)|^"</f>
        <v>#VALUE!</v>
      </c>
      <c r="N216" s="97" t="e">
        <f>'Actual Value'!AF282+"AM:!)|_"</f>
        <v>#VALUE!</v>
      </c>
      <c r="O216" s="97" t="e">
        <f>'Actual Value'!AG282+"AM:!)|`"</f>
        <v>#VALUE!</v>
      </c>
      <c r="P216" s="97" t="e">
        <f>'Actual Value'!AH282+"AM:!)|a"</f>
        <v>#VALUE!</v>
      </c>
      <c r="Q216" s="97" t="e">
        <f>'Actual Value'!AI282+"AM:!)|b"</f>
        <v>#VALUE!</v>
      </c>
      <c r="R216" s="97" t="e">
        <f>'Actual Value'!AJ282+"AM:!)|c"</f>
        <v>#VALUE!</v>
      </c>
      <c r="S216" s="97" t="e">
        <f>'Actual Value'!AK282+"AM:!)|d"</f>
        <v>#VALUE!</v>
      </c>
      <c r="T216" s="97" t="e">
        <f>'Actual Value'!AL282+"AM:!)|e"</f>
        <v>#VALUE!</v>
      </c>
      <c r="U216" s="97" t="e">
        <f>'Actual Value'!AM282+"AM:!)|f"</f>
        <v>#VALUE!</v>
      </c>
      <c r="V216" s="97" t="e">
        <f>'Actual Value'!AN282+"AM:!)|g"</f>
        <v>#VALUE!</v>
      </c>
      <c r="W216" s="97" t="e">
        <f>'Actual Value'!AO282+"AM:!)|h"</f>
        <v>#VALUE!</v>
      </c>
      <c r="X216" t="e">
        <f>'Actual Value'!AP282+"AM:!)|i"</f>
        <v>#VALUE!</v>
      </c>
      <c r="Y216" t="e">
        <f>'Actual Value'!AQ282+"AM:!)|j"</f>
        <v>#VALUE!</v>
      </c>
      <c r="Z216" t="e">
        <f>'Actual Value'!AR282+"AM:!)|k"</f>
        <v>#VALUE!</v>
      </c>
      <c r="AA216" s="97" t="e">
        <f>'Actual Value'!AS282+"AM:!)|l"</f>
        <v>#VALUE!</v>
      </c>
      <c r="AB216" t="e">
        <f>'Actual Value'!AT282+"AM:!)|m"</f>
        <v>#VALUE!</v>
      </c>
      <c r="AC216" t="e">
        <f>'Actual Value'!AU282+"AM:!)|n"</f>
        <v>#VALUE!</v>
      </c>
      <c r="AD216" t="e">
        <f>'Actual Value'!AV282+"AM:!)|o"</f>
        <v>#VALUE!</v>
      </c>
      <c r="AE216" t="e">
        <f>'Actual Value'!AW282+"AM:!)|p"</f>
        <v>#VALUE!</v>
      </c>
      <c r="AF216" t="e">
        <f>'Actual Value'!A283+"AM:!)|q"</f>
        <v>#VALUE!</v>
      </c>
      <c r="AG216" t="e">
        <f>'Actual Value'!B283+"AM:!)|r"</f>
        <v>#VALUE!</v>
      </c>
      <c r="AH216" t="e">
        <f>'Actual Value'!C283+"AM:!)|s"</f>
        <v>#VALUE!</v>
      </c>
      <c r="AI216" s="97" t="e">
        <f>'Actual Value'!D283+"AM:!)|t"</f>
        <v>#VALUE!</v>
      </c>
      <c r="AJ216" s="97" t="e">
        <f>'Actual Value'!E283+"AM:!)|u"</f>
        <v>#VALUE!</v>
      </c>
      <c r="AK216" s="97" t="e">
        <f>'Actual Value'!F283+"AM:!)|v"</f>
        <v>#VALUE!</v>
      </c>
      <c r="AL216" s="97" t="e">
        <f>'Actual Value'!G283+"AM:!)|w"</f>
        <v>#VALUE!</v>
      </c>
      <c r="AM216" s="97" t="e">
        <f>'Actual Value'!H283+"AM:!)|x"</f>
        <v>#VALUE!</v>
      </c>
      <c r="AN216" s="97" t="e">
        <f>'Actual Value'!I283+"AM:!)|y"</f>
        <v>#VALUE!</v>
      </c>
      <c r="AO216" s="97" t="e">
        <f>'Actual Value'!J283+"AM:!)|z"</f>
        <v>#VALUE!</v>
      </c>
      <c r="AP216" s="97" t="e">
        <f>'Actual Value'!K283+"AM:!)|{"</f>
        <v>#VALUE!</v>
      </c>
      <c r="AQ216" s="97" t="e">
        <f>'Actual Value'!L283+"AM:!)||"</f>
        <v>#VALUE!</v>
      </c>
      <c r="AR216" s="97" t="e">
        <f>'Actual Value'!M283+"AM:!)|}"</f>
        <v>#VALUE!</v>
      </c>
      <c r="AS216" s="97" t="e">
        <f>'Actual Value'!N283+"AM:!)|~"</f>
        <v>#VALUE!</v>
      </c>
      <c r="AT216" s="97" t="e">
        <f>'Actual Value'!O283+"AM:!)}#"</f>
        <v>#VALUE!</v>
      </c>
      <c r="AU216" s="97" t="e">
        <f>'Actual Value'!P283+"AM:!)}$"</f>
        <v>#VALUE!</v>
      </c>
      <c r="AV216" s="97" t="e">
        <f>'Actual Value'!Q283+"AM:!)}%"</f>
        <v>#VALUE!</v>
      </c>
      <c r="AW216" s="97" t="e">
        <f>'Actual Value'!R283+"AM:!)}&amp;"</f>
        <v>#VALUE!</v>
      </c>
      <c r="AX216" s="97" t="e">
        <f>'Actual Value'!S283+"AM:!)}'"</f>
        <v>#VALUE!</v>
      </c>
      <c r="AY216" s="97" t="e">
        <f>'Actual Value'!T283+"AM:!)}("</f>
        <v>#VALUE!</v>
      </c>
      <c r="AZ216" s="97" t="e">
        <f>'Actual Value'!U283+"AM:!)})"</f>
        <v>#VALUE!</v>
      </c>
      <c r="BA216" s="97" t="e">
        <f>'Actual Value'!V283+"AM:!)}."</f>
        <v>#VALUE!</v>
      </c>
      <c r="BB216" s="97" t="e">
        <f>'Actual Value'!W283+"AM:!)}/"</f>
        <v>#VALUE!</v>
      </c>
      <c r="BC216" s="97" t="e">
        <f>'Actual Value'!X283+"AM:!)}0"</f>
        <v>#VALUE!</v>
      </c>
      <c r="BD216" s="97" t="e">
        <f>'Actual Value'!Y283+"AM:!)}1"</f>
        <v>#VALUE!</v>
      </c>
      <c r="BE216" s="97" t="e">
        <f>'Actual Value'!Z283+"AM:!)}2"</f>
        <v>#VALUE!</v>
      </c>
      <c r="BF216" s="97" t="e">
        <f>'Actual Value'!AA283+"AM:!)}3"</f>
        <v>#VALUE!</v>
      </c>
      <c r="BG216" s="97" t="e">
        <f>'Actual Value'!AB283+"AM:!)}4"</f>
        <v>#VALUE!</v>
      </c>
      <c r="BH216" s="97" t="e">
        <f>'Actual Value'!AC283+"AM:!)}5"</f>
        <v>#VALUE!</v>
      </c>
      <c r="BI216" s="97" t="e">
        <f>'Actual Value'!AD283+"AM:!)}6"</f>
        <v>#VALUE!</v>
      </c>
      <c r="BJ216" s="97" t="e">
        <f>'Actual Value'!AE283+"AM:!)}7"</f>
        <v>#VALUE!</v>
      </c>
      <c r="BK216" s="97" t="e">
        <f>'Actual Value'!AF283+"AM:!)}8"</f>
        <v>#VALUE!</v>
      </c>
      <c r="BL216" s="97" t="e">
        <f>'Actual Value'!AG283+"AM:!)}9"</f>
        <v>#VALUE!</v>
      </c>
      <c r="BM216" s="97" t="e">
        <f>'Actual Value'!AH283+"AM:!)}:"</f>
        <v>#VALUE!</v>
      </c>
      <c r="BN216" s="97" t="e">
        <f>'Actual Value'!AI283+"AM:!)};"</f>
        <v>#VALUE!</v>
      </c>
      <c r="BO216" s="97" t="e">
        <f>'Actual Value'!AJ283+"AM:!)}&lt;"</f>
        <v>#VALUE!</v>
      </c>
      <c r="BP216" s="97" t="e">
        <f>'Actual Value'!AK283+"AM:!)}="</f>
        <v>#VALUE!</v>
      </c>
      <c r="BQ216" s="97" t="e">
        <f>'Actual Value'!AL283+"AM:!)}&gt;"</f>
        <v>#VALUE!</v>
      </c>
      <c r="BR216" s="97" t="e">
        <f>'Actual Value'!AM283+"AM:!)}?"</f>
        <v>#VALUE!</v>
      </c>
      <c r="BS216" s="97" t="e">
        <f>'Actual Value'!AN283+"AM:!)}@"</f>
        <v>#VALUE!</v>
      </c>
      <c r="BT216" s="97" t="e">
        <f>'Actual Value'!AO283+"AM:!)}A"</f>
        <v>#VALUE!</v>
      </c>
      <c r="BU216" t="e">
        <f>'Actual Value'!AP283+"AM:!)}B"</f>
        <v>#VALUE!</v>
      </c>
      <c r="BV216" t="e">
        <f>'Actual Value'!AQ283+"AM:!)}C"</f>
        <v>#VALUE!</v>
      </c>
      <c r="BW216" t="e">
        <f>'Actual Value'!AR283+"AM:!)}D"</f>
        <v>#VALUE!</v>
      </c>
      <c r="BX216" s="97" t="e">
        <f>'Actual Value'!AS283+"AM:!)}E"</f>
        <v>#VALUE!</v>
      </c>
      <c r="BY216" t="e">
        <f>'Actual Value'!AT283+"AM:!)}F"</f>
        <v>#VALUE!</v>
      </c>
      <c r="BZ216" t="e">
        <f>'Actual Value'!AU283+"AM:!)}G"</f>
        <v>#VALUE!</v>
      </c>
      <c r="CA216" t="e">
        <f>'Actual Value'!AV283+"AM:!)}H"</f>
        <v>#VALUE!</v>
      </c>
      <c r="CB216" t="e">
        <f>'Actual Value'!AW283+"AM:!)}I"</f>
        <v>#VALUE!</v>
      </c>
      <c r="CC216" t="e">
        <f>'Actual Value'!A284+"AM:!)}J"</f>
        <v>#VALUE!</v>
      </c>
      <c r="CD216" t="e">
        <f>'Actual Value'!B284+"AM:!)}K"</f>
        <v>#VALUE!</v>
      </c>
      <c r="CE216" t="e">
        <f>'Actual Value'!C284+"AM:!)}L"</f>
        <v>#VALUE!</v>
      </c>
      <c r="CF216" s="97" t="e">
        <f>'Actual Value'!D284+"AM:!)}M"</f>
        <v>#VALUE!</v>
      </c>
      <c r="CG216" s="97" t="e">
        <f>'Actual Value'!E284+"AM:!)}N"</f>
        <v>#VALUE!</v>
      </c>
      <c r="CH216" s="97" t="e">
        <f>'Actual Value'!F284+"AM:!)}O"</f>
        <v>#VALUE!</v>
      </c>
      <c r="CI216" s="97" t="e">
        <f>'Actual Value'!G284+"AM:!)}P"</f>
        <v>#VALUE!</v>
      </c>
      <c r="CJ216" s="97" t="e">
        <f>'Actual Value'!H284+"AM:!)}Q"</f>
        <v>#VALUE!</v>
      </c>
      <c r="CK216" s="97" t="e">
        <f>'Actual Value'!I284+"AM:!)}R"</f>
        <v>#VALUE!</v>
      </c>
      <c r="CL216" s="97" t="e">
        <f>'Actual Value'!J284+"AM:!)}S"</f>
        <v>#VALUE!</v>
      </c>
      <c r="CM216" s="97" t="e">
        <f>'Actual Value'!K284+"AM:!)}T"</f>
        <v>#VALUE!</v>
      </c>
      <c r="CN216" s="97" t="e">
        <f>'Actual Value'!L284+"AM:!)}U"</f>
        <v>#VALUE!</v>
      </c>
      <c r="CO216" s="97" t="e">
        <f>'Actual Value'!M284+"AM:!)}V"</f>
        <v>#VALUE!</v>
      </c>
      <c r="CP216" s="97" t="e">
        <f>'Actual Value'!N284+"AM:!)}W"</f>
        <v>#VALUE!</v>
      </c>
      <c r="CQ216" s="97" t="e">
        <f>'Actual Value'!O284+"AM:!)}X"</f>
        <v>#VALUE!</v>
      </c>
      <c r="CR216" s="97" t="e">
        <f>'Actual Value'!P284+"AM:!)}Y"</f>
        <v>#VALUE!</v>
      </c>
      <c r="CS216" s="97" t="e">
        <f>'Actual Value'!Q284+"AM:!)}Z"</f>
        <v>#VALUE!</v>
      </c>
      <c r="CT216" s="97" t="e">
        <f>'Actual Value'!R284+"AM:!)}["</f>
        <v>#VALUE!</v>
      </c>
      <c r="CU216" s="97" t="e">
        <f>'Actual Value'!S284+"AM:!)}\"</f>
        <v>#VALUE!</v>
      </c>
      <c r="CV216" s="97" t="e">
        <f>'Actual Value'!T284+"AM:!)}]"</f>
        <v>#VALUE!</v>
      </c>
      <c r="CW216" s="97" t="e">
        <f>'Actual Value'!U284+"AM:!)}^"</f>
        <v>#VALUE!</v>
      </c>
      <c r="CX216" s="97" t="e">
        <f>'Actual Value'!V284+"AM:!)}_"</f>
        <v>#VALUE!</v>
      </c>
      <c r="CY216" s="97" t="e">
        <f>'Actual Value'!W284+"AM:!)}`"</f>
        <v>#VALUE!</v>
      </c>
      <c r="CZ216" s="97" t="e">
        <f>'Actual Value'!X284+"AM:!)}a"</f>
        <v>#VALUE!</v>
      </c>
      <c r="DA216" s="97" t="e">
        <f>'Actual Value'!Y284+"AM:!)}b"</f>
        <v>#VALUE!</v>
      </c>
      <c r="DB216" s="97" t="e">
        <f>'Actual Value'!Z284+"AM:!)}c"</f>
        <v>#VALUE!</v>
      </c>
      <c r="DC216" s="97" t="e">
        <f>'Actual Value'!AA284+"AM:!)}d"</f>
        <v>#VALUE!</v>
      </c>
      <c r="DD216" s="97" t="e">
        <f>'Actual Value'!AB284+"AM:!)}e"</f>
        <v>#VALUE!</v>
      </c>
      <c r="DE216" s="97" t="e">
        <f>'Actual Value'!AC284+"AM:!)}f"</f>
        <v>#VALUE!</v>
      </c>
      <c r="DF216" s="97" t="e">
        <f>'Actual Value'!AD284+"AM:!)}g"</f>
        <v>#VALUE!</v>
      </c>
      <c r="DG216" s="97" t="e">
        <f>'Actual Value'!AE284+"AM:!)}h"</f>
        <v>#VALUE!</v>
      </c>
      <c r="DH216" s="97" t="e">
        <f>'Actual Value'!AF284+"AM:!)}i"</f>
        <v>#VALUE!</v>
      </c>
      <c r="DI216" s="97" t="e">
        <f>'Actual Value'!AG284+"AM:!)}j"</f>
        <v>#VALUE!</v>
      </c>
      <c r="DJ216" s="97" t="e">
        <f>'Actual Value'!AH284+"AM:!)}k"</f>
        <v>#VALUE!</v>
      </c>
      <c r="DK216" s="97" t="e">
        <f>'Actual Value'!AI284+"AM:!)}l"</f>
        <v>#VALUE!</v>
      </c>
      <c r="DL216" s="97" t="e">
        <f>'Actual Value'!AJ284+"AM:!)}m"</f>
        <v>#VALUE!</v>
      </c>
      <c r="DM216" s="97" t="e">
        <f>'Actual Value'!AK284+"AM:!)}n"</f>
        <v>#VALUE!</v>
      </c>
      <c r="DN216" s="97" t="e">
        <f>'Actual Value'!AL284+"AM:!)}o"</f>
        <v>#VALUE!</v>
      </c>
      <c r="DO216" s="97" t="e">
        <f>'Actual Value'!AM284+"AM:!)}p"</f>
        <v>#VALUE!</v>
      </c>
      <c r="DP216" s="97" t="e">
        <f>'Actual Value'!AN284+"AM:!)}q"</f>
        <v>#VALUE!</v>
      </c>
      <c r="DQ216" s="97" t="e">
        <f>'Actual Value'!AO284+"AM:!)}r"</f>
        <v>#VALUE!</v>
      </c>
      <c r="DR216" t="e">
        <f>'Actual Value'!AP284+"AM:!)}s"</f>
        <v>#VALUE!</v>
      </c>
      <c r="DS216" t="e">
        <f>'Actual Value'!AQ284+"AM:!)}t"</f>
        <v>#VALUE!</v>
      </c>
      <c r="DT216" t="e">
        <f>'Actual Value'!AR284+"AM:!)}u"</f>
        <v>#VALUE!</v>
      </c>
      <c r="DU216" t="e">
        <f>'Actual Value'!AS284+"AM:!)}v"</f>
        <v>#VALUE!</v>
      </c>
      <c r="DV216" t="e">
        <f>'Actual Value'!AT284+"AM:!)}w"</f>
        <v>#VALUE!</v>
      </c>
      <c r="DW216" t="e">
        <f>'Actual Value'!AU284+"AM:!)}x"</f>
        <v>#VALUE!</v>
      </c>
      <c r="DX216" t="e">
        <f>'Actual Value'!AV284+"AM:!)}y"</f>
        <v>#VALUE!</v>
      </c>
      <c r="DY216" t="e">
        <f>'Actual Value'!AW284+"AM:!)}z"</f>
        <v>#VALUE!</v>
      </c>
      <c r="DZ216" t="e">
        <f>'Actual Value'!A285+"AM:!)}{"</f>
        <v>#VALUE!</v>
      </c>
      <c r="EA216" t="e">
        <f>'Actual Value'!B285+"AM:!)}|"</f>
        <v>#VALUE!</v>
      </c>
      <c r="EB216" t="e">
        <f>'Actual Value'!C285+"AM:!)}}"</f>
        <v>#VALUE!</v>
      </c>
      <c r="EC216" s="97" t="e">
        <f>'Actual Value'!D285+"AM:!)}~"</f>
        <v>#VALUE!</v>
      </c>
      <c r="ED216" s="97" t="e">
        <f>'Actual Value'!E285+"AM:!)~#"</f>
        <v>#VALUE!</v>
      </c>
      <c r="EE216" s="97" t="e">
        <f>'Actual Value'!F285+"AM:!)~$"</f>
        <v>#VALUE!</v>
      </c>
      <c r="EF216" s="97" t="e">
        <f>'Actual Value'!G285+"AM:!)~%"</f>
        <v>#VALUE!</v>
      </c>
      <c r="EG216" s="97" t="e">
        <f>'Actual Value'!H285+"AM:!)~&amp;"</f>
        <v>#VALUE!</v>
      </c>
      <c r="EH216" s="97" t="e">
        <f>'Actual Value'!I285+"AM:!)~'"</f>
        <v>#VALUE!</v>
      </c>
      <c r="EI216" s="97" t="e">
        <f>'Actual Value'!J285+"AM:!)~("</f>
        <v>#VALUE!</v>
      </c>
      <c r="EJ216" s="97" t="e">
        <f>'Actual Value'!K285+"AM:!)~)"</f>
        <v>#VALUE!</v>
      </c>
      <c r="EK216" s="97" t="e">
        <f>'Actual Value'!L285+"AM:!)~."</f>
        <v>#VALUE!</v>
      </c>
      <c r="EL216" s="97" t="e">
        <f>'Actual Value'!M285+"AM:!)~/"</f>
        <v>#VALUE!</v>
      </c>
      <c r="EM216" s="97" t="e">
        <f>'Actual Value'!N285+"AM:!)~0"</f>
        <v>#VALUE!</v>
      </c>
      <c r="EN216" s="97" t="e">
        <f>'Actual Value'!O285+"AM:!)~1"</f>
        <v>#VALUE!</v>
      </c>
      <c r="EO216" s="97" t="e">
        <f>'Actual Value'!P285+"AM:!)~2"</f>
        <v>#VALUE!</v>
      </c>
      <c r="EP216" s="97" t="e">
        <f>'Actual Value'!Q285+"AM:!)~3"</f>
        <v>#VALUE!</v>
      </c>
      <c r="EQ216" s="97" t="e">
        <f>'Actual Value'!R285+"AM:!)~4"</f>
        <v>#VALUE!</v>
      </c>
      <c r="ER216" s="97" t="e">
        <f>'Actual Value'!S285+"AM:!)~5"</f>
        <v>#VALUE!</v>
      </c>
      <c r="ES216" s="97" t="e">
        <f>'Actual Value'!T285+"AM:!)~6"</f>
        <v>#VALUE!</v>
      </c>
      <c r="ET216" s="97" t="e">
        <f>'Actual Value'!U285+"AM:!)~7"</f>
        <v>#VALUE!</v>
      </c>
      <c r="EU216" s="97" t="e">
        <f>'Actual Value'!V285+"AM:!)~8"</f>
        <v>#VALUE!</v>
      </c>
      <c r="EV216" s="97" t="e">
        <f>'Actual Value'!W285+"AM:!)~9"</f>
        <v>#VALUE!</v>
      </c>
      <c r="EW216" s="97" t="e">
        <f>'Actual Value'!X285+"AM:!)~:"</f>
        <v>#VALUE!</v>
      </c>
      <c r="EX216" s="97" t="e">
        <f>'Actual Value'!Y285+"AM:!)~;"</f>
        <v>#VALUE!</v>
      </c>
      <c r="EY216" s="97" t="e">
        <f>'Actual Value'!Z285+"AM:!)~&lt;"</f>
        <v>#VALUE!</v>
      </c>
      <c r="EZ216" s="97" t="e">
        <f>'Actual Value'!AA285+"AM:!)~="</f>
        <v>#VALUE!</v>
      </c>
      <c r="FA216" s="97" t="e">
        <f>'Actual Value'!AB285+"AM:!)~&gt;"</f>
        <v>#VALUE!</v>
      </c>
      <c r="FB216" s="97" t="e">
        <f>'Actual Value'!AC285+"AM:!)~?"</f>
        <v>#VALUE!</v>
      </c>
      <c r="FC216" s="97" t="e">
        <f>'Actual Value'!AD285+"AM:!)~@"</f>
        <v>#VALUE!</v>
      </c>
      <c r="FD216" s="97" t="e">
        <f>'Actual Value'!AE285+"AM:!)~A"</f>
        <v>#VALUE!</v>
      </c>
      <c r="FE216" s="97" t="e">
        <f>'Actual Value'!AF285+"AM:!)~B"</f>
        <v>#VALUE!</v>
      </c>
      <c r="FF216" s="97" t="e">
        <f>'Actual Value'!AG285+"AM:!)~C"</f>
        <v>#VALUE!</v>
      </c>
      <c r="FG216" s="97" t="e">
        <f>'Actual Value'!AH285+"AM:!)~D"</f>
        <v>#VALUE!</v>
      </c>
      <c r="FH216" s="97" t="e">
        <f>'Actual Value'!AI285+"AM:!)~E"</f>
        <v>#VALUE!</v>
      </c>
      <c r="FI216" s="97" t="e">
        <f>'Actual Value'!AJ285+"AM:!)~F"</f>
        <v>#VALUE!</v>
      </c>
      <c r="FJ216" s="97" t="e">
        <f>'Actual Value'!AK285+"AM:!)~G"</f>
        <v>#VALUE!</v>
      </c>
      <c r="FK216" s="97" t="e">
        <f>'Actual Value'!AL285+"AM:!)~H"</f>
        <v>#VALUE!</v>
      </c>
      <c r="FL216" s="97" t="e">
        <f>'Actual Value'!AM285+"AM:!)~I"</f>
        <v>#VALUE!</v>
      </c>
      <c r="FM216" s="97" t="e">
        <f>'Actual Value'!AN285+"AM:!)~J"</f>
        <v>#VALUE!</v>
      </c>
      <c r="FN216" s="97" t="e">
        <f>'Actual Value'!AO285+"AM:!)~K"</f>
        <v>#VALUE!</v>
      </c>
      <c r="FO216" t="e">
        <f>'Actual Value'!AP285+"AM:!)~L"</f>
        <v>#VALUE!</v>
      </c>
      <c r="FP216" t="e">
        <f>'Actual Value'!AQ285+"AM:!)~M"</f>
        <v>#VALUE!</v>
      </c>
      <c r="FQ216" t="e">
        <f>'Actual Value'!AR285+"AM:!)~N"</f>
        <v>#VALUE!</v>
      </c>
      <c r="FR216" t="e">
        <f>'Actual Value'!AS285+"AM:!)~O"</f>
        <v>#VALUE!</v>
      </c>
      <c r="FS216" t="e">
        <f>'Actual Value'!AT285+"AM:!)~P"</f>
        <v>#VALUE!</v>
      </c>
      <c r="FT216" t="e">
        <f>'Actual Value'!AU285+"AM:!)~Q"</f>
        <v>#VALUE!</v>
      </c>
      <c r="FU216" t="e">
        <f>'Actual Value'!AV285+"AM:!)~R"</f>
        <v>#VALUE!</v>
      </c>
      <c r="FV216" t="e">
        <f>'Actual Value'!AW285+"AM:!)~S"</f>
        <v>#VALUE!</v>
      </c>
      <c r="FW216" t="e">
        <f>'Actual Value'!AX285+"AM:!)~T"</f>
        <v>#VALUE!</v>
      </c>
      <c r="FX216" t="e">
        <f>'Actual Value'!A286+"AM:!)~U"</f>
        <v>#VALUE!</v>
      </c>
      <c r="FY216" t="e">
        <f>'Actual Value'!B286+"AM:!)~V"</f>
        <v>#VALUE!</v>
      </c>
      <c r="FZ216" t="e">
        <f>'Actual Value'!C286+"AM:!)~W"</f>
        <v>#VALUE!</v>
      </c>
      <c r="GA216" s="97" t="e">
        <f>'Actual Value'!D286+"AM:!)~X"</f>
        <v>#VALUE!</v>
      </c>
      <c r="GB216" s="97" t="e">
        <f>'Actual Value'!E286+"AM:!)~Y"</f>
        <v>#VALUE!</v>
      </c>
      <c r="GC216" s="97" t="e">
        <f>'Actual Value'!F286+"AM:!)~Z"</f>
        <v>#VALUE!</v>
      </c>
      <c r="GD216" s="97" t="e">
        <f>'Actual Value'!G286+"AM:!)~["</f>
        <v>#VALUE!</v>
      </c>
      <c r="GE216" s="97" t="e">
        <f>'Actual Value'!H286+"AM:!)~\"</f>
        <v>#VALUE!</v>
      </c>
      <c r="GF216" s="97" t="e">
        <f>'Actual Value'!I286+"AM:!)~]"</f>
        <v>#VALUE!</v>
      </c>
      <c r="GG216" s="97" t="e">
        <f>'Actual Value'!J286+"AM:!)~^"</f>
        <v>#VALUE!</v>
      </c>
      <c r="GH216" s="97" t="e">
        <f>'Actual Value'!K286+"AM:!)~_"</f>
        <v>#VALUE!</v>
      </c>
      <c r="GI216" s="97" t="e">
        <f>'Actual Value'!L286+"AM:!)~`"</f>
        <v>#VALUE!</v>
      </c>
      <c r="GJ216" s="97" t="e">
        <f>'Actual Value'!M286+"AM:!)~a"</f>
        <v>#VALUE!</v>
      </c>
      <c r="GK216" s="97" t="e">
        <f>'Actual Value'!N286+"AM:!)~b"</f>
        <v>#VALUE!</v>
      </c>
      <c r="GL216" s="97" t="e">
        <f>'Actual Value'!O286+"AM:!)~c"</f>
        <v>#VALUE!</v>
      </c>
      <c r="GM216" s="97" t="e">
        <f>'Actual Value'!P286+"AM:!)~d"</f>
        <v>#VALUE!</v>
      </c>
      <c r="GN216" s="97" t="e">
        <f>'Actual Value'!Q286+"AM:!)~e"</f>
        <v>#VALUE!</v>
      </c>
      <c r="GO216" s="97" t="e">
        <f>'Actual Value'!R286+"AM:!)~f"</f>
        <v>#VALUE!</v>
      </c>
      <c r="GP216" s="97" t="e">
        <f>'Actual Value'!S286+"AM:!)~g"</f>
        <v>#VALUE!</v>
      </c>
      <c r="GQ216" s="97" t="e">
        <f>'Actual Value'!T286+"AM:!)~h"</f>
        <v>#VALUE!</v>
      </c>
      <c r="GR216" s="97" t="e">
        <f>'Actual Value'!U286+"AM:!)~i"</f>
        <v>#VALUE!</v>
      </c>
      <c r="GS216" s="97" t="e">
        <f>'Actual Value'!V286+"AM:!)~j"</f>
        <v>#VALUE!</v>
      </c>
      <c r="GT216" s="97" t="e">
        <f>'Actual Value'!W286+"AM:!)~k"</f>
        <v>#VALUE!</v>
      </c>
      <c r="GU216" s="97" t="e">
        <f>'Actual Value'!X286+"AM:!)~l"</f>
        <v>#VALUE!</v>
      </c>
      <c r="GV216" s="97" t="e">
        <f>'Actual Value'!Y286+"AM:!)~m"</f>
        <v>#VALUE!</v>
      </c>
      <c r="GW216" s="97" t="e">
        <f>'Actual Value'!Z286+"AM:!)~n"</f>
        <v>#VALUE!</v>
      </c>
      <c r="GX216" s="97" t="e">
        <f>'Actual Value'!AA286+"AM:!)~o"</f>
        <v>#VALUE!</v>
      </c>
      <c r="GY216" s="97" t="e">
        <f>'Actual Value'!AB286+"AM:!)~p"</f>
        <v>#VALUE!</v>
      </c>
      <c r="GZ216" s="97" t="e">
        <f>'Actual Value'!AC286+"AM:!)~q"</f>
        <v>#VALUE!</v>
      </c>
      <c r="HA216" s="97" t="e">
        <f>'Actual Value'!AD286+"AM:!)~r"</f>
        <v>#VALUE!</v>
      </c>
      <c r="HB216" s="97" t="e">
        <f>'Actual Value'!AE286+"AM:!)~s"</f>
        <v>#VALUE!</v>
      </c>
      <c r="HC216" s="97" t="e">
        <f>'Actual Value'!AF286+"AM:!)~t"</f>
        <v>#VALUE!</v>
      </c>
      <c r="HD216" s="97" t="e">
        <f>'Actual Value'!AG286+"AM:!)~u"</f>
        <v>#VALUE!</v>
      </c>
      <c r="HE216" s="97" t="e">
        <f>'Actual Value'!AH286+"AM:!)~v"</f>
        <v>#VALUE!</v>
      </c>
      <c r="HF216" s="97" t="e">
        <f>'Actual Value'!AI286+"AM:!)~w"</f>
        <v>#VALUE!</v>
      </c>
      <c r="HG216" s="97" t="e">
        <f>'Actual Value'!AJ286+"AM:!)~x"</f>
        <v>#VALUE!</v>
      </c>
      <c r="HH216" s="97" t="e">
        <f>'Actual Value'!AK286+"AM:!)~y"</f>
        <v>#VALUE!</v>
      </c>
      <c r="HI216" s="97" t="e">
        <f>'Actual Value'!AL286+"AM:!)~z"</f>
        <v>#VALUE!</v>
      </c>
      <c r="HJ216" s="97" t="e">
        <f>'Actual Value'!AM286+"AM:!)~{"</f>
        <v>#VALUE!</v>
      </c>
      <c r="HK216" s="97" t="e">
        <f>'Actual Value'!AN286+"AM:!)~|"</f>
        <v>#VALUE!</v>
      </c>
      <c r="HL216" s="97" t="e">
        <f>'Actual Value'!AO286+"AM:!)~}"</f>
        <v>#VALUE!</v>
      </c>
      <c r="HM216" t="e">
        <f>'Actual Value'!AP286+"AM:!)~~"</f>
        <v>#VALUE!</v>
      </c>
      <c r="HN216" t="e">
        <f>'Actual Value'!AQ286+"AM:!.##"</f>
        <v>#VALUE!</v>
      </c>
      <c r="HO216" t="e">
        <f>'Actual Value'!AR286+"AM:!.#$"</f>
        <v>#VALUE!</v>
      </c>
      <c r="HP216" t="e">
        <f>'Actual Value'!AS286+"AM:!.#%"</f>
        <v>#VALUE!</v>
      </c>
      <c r="HQ216" t="e">
        <f>'Actual Value'!AT286+"AM:!.#&amp;"</f>
        <v>#VALUE!</v>
      </c>
      <c r="HR216" t="e">
        <f>'Actual Value'!AU286+"AM:!.#'"</f>
        <v>#VALUE!</v>
      </c>
      <c r="HS216" t="e">
        <f>'Actual Value'!AV286+"AM:!.#("</f>
        <v>#VALUE!</v>
      </c>
      <c r="HT216" t="e">
        <f>'Actual Value'!AW286+"AM:!.#)"</f>
        <v>#VALUE!</v>
      </c>
      <c r="HU216" t="e">
        <f>'Actual Value'!AX286+"AM:!.#."</f>
        <v>#VALUE!</v>
      </c>
      <c r="HV216" t="e">
        <f>'Actual Value'!A287+"AM:!.#/"</f>
        <v>#VALUE!</v>
      </c>
      <c r="HW216" t="e">
        <f>'Actual Value'!B287+"AM:!.#0"</f>
        <v>#VALUE!</v>
      </c>
      <c r="HX216" t="e">
        <f>'Actual Value'!C287+"AM:!.#1"</f>
        <v>#VALUE!</v>
      </c>
      <c r="HY216" s="97" t="e">
        <f>'Actual Value'!D287+"AM:!.#2"</f>
        <v>#VALUE!</v>
      </c>
      <c r="HZ216" s="97" t="e">
        <f>'Actual Value'!E287+"AM:!.#3"</f>
        <v>#VALUE!</v>
      </c>
      <c r="IA216" s="97" t="e">
        <f>'Actual Value'!F287+"AM:!.#4"</f>
        <v>#VALUE!</v>
      </c>
      <c r="IB216" s="97" t="e">
        <f>'Actual Value'!G287+"AM:!.#5"</f>
        <v>#VALUE!</v>
      </c>
      <c r="IC216" s="97" t="e">
        <f>'Actual Value'!H287+"AM:!.#6"</f>
        <v>#VALUE!</v>
      </c>
      <c r="ID216" s="97" t="e">
        <f>'Actual Value'!I287+"AM:!.#7"</f>
        <v>#VALUE!</v>
      </c>
      <c r="IE216" s="97" t="e">
        <f>'Actual Value'!J287+"AM:!.#8"</f>
        <v>#VALUE!</v>
      </c>
      <c r="IF216" s="97" t="e">
        <f>'Actual Value'!K287+"AM:!.#9"</f>
        <v>#VALUE!</v>
      </c>
      <c r="IG216" s="97" t="e">
        <f>'Actual Value'!L287+"AM:!.#:"</f>
        <v>#VALUE!</v>
      </c>
      <c r="IH216" s="97" t="e">
        <f>'Actual Value'!M287+"AM:!.#;"</f>
        <v>#VALUE!</v>
      </c>
      <c r="II216" s="97" t="e">
        <f>'Actual Value'!N287+"AM:!.#&lt;"</f>
        <v>#VALUE!</v>
      </c>
      <c r="IJ216" s="97" t="e">
        <f>'Actual Value'!O287+"AM:!.#="</f>
        <v>#VALUE!</v>
      </c>
      <c r="IK216" s="97" t="e">
        <f>'Actual Value'!P287+"AM:!.#&gt;"</f>
        <v>#VALUE!</v>
      </c>
      <c r="IL216" s="97" t="e">
        <f>'Actual Value'!Q287+"AM:!.#?"</f>
        <v>#VALUE!</v>
      </c>
      <c r="IM216" s="97" t="e">
        <f>'Actual Value'!R287+"AM:!.#@"</f>
        <v>#VALUE!</v>
      </c>
      <c r="IN216" s="97" t="e">
        <f>'Actual Value'!S287+"AM:!.#A"</f>
        <v>#VALUE!</v>
      </c>
      <c r="IO216" s="97" t="e">
        <f>'Actual Value'!T287+"AM:!.#B"</f>
        <v>#VALUE!</v>
      </c>
      <c r="IP216" s="97" t="e">
        <f>'Actual Value'!U287+"AM:!.#C"</f>
        <v>#VALUE!</v>
      </c>
      <c r="IQ216" s="97" t="e">
        <f>'Actual Value'!V287+"AM:!.#D"</f>
        <v>#VALUE!</v>
      </c>
      <c r="IR216" s="97" t="e">
        <f>'Actual Value'!W287+"AM:!.#E"</f>
        <v>#VALUE!</v>
      </c>
      <c r="IS216" s="97" t="e">
        <f>'Actual Value'!X287+"AM:!.#F"</f>
        <v>#VALUE!</v>
      </c>
      <c r="IT216" s="97" t="e">
        <f>'Actual Value'!Y287+"AM:!.#G"</f>
        <v>#VALUE!</v>
      </c>
      <c r="IU216" s="97" t="e">
        <f>'Actual Value'!Z287+"AM:!.#H"</f>
        <v>#VALUE!</v>
      </c>
      <c r="IV216" s="97" t="e">
        <f>'Actual Value'!AA287+"AM:!.#I"</f>
        <v>#VALUE!</v>
      </c>
    </row>
    <row r="217" spans="6:256">
      <c r="F217" s="97" t="e">
        <f>'Actual Value'!AB287+"AM:!.#J"</f>
        <v>#VALUE!</v>
      </c>
      <c r="G217" s="97" t="e">
        <f>'Actual Value'!AC287+"AM:!.#K"</f>
        <v>#VALUE!</v>
      </c>
      <c r="H217" s="97" t="e">
        <f>'Actual Value'!AD287+"AM:!.#L"</f>
        <v>#VALUE!</v>
      </c>
      <c r="I217" s="97" t="e">
        <f>'Actual Value'!AE287+"AM:!.#M"</f>
        <v>#VALUE!</v>
      </c>
      <c r="J217" s="97" t="e">
        <f>'Actual Value'!AF287+"AM:!.#N"</f>
        <v>#VALUE!</v>
      </c>
      <c r="K217" s="97" t="e">
        <f>'Actual Value'!AG287+"AM:!.#O"</f>
        <v>#VALUE!</v>
      </c>
      <c r="L217" s="97" t="e">
        <f>'Actual Value'!AH287+"AM:!.#P"</f>
        <v>#VALUE!</v>
      </c>
      <c r="M217" s="97" t="e">
        <f>'Actual Value'!AI287+"AM:!.#Q"</f>
        <v>#VALUE!</v>
      </c>
      <c r="N217" s="97" t="e">
        <f>'Actual Value'!AJ287+"AM:!.#R"</f>
        <v>#VALUE!</v>
      </c>
      <c r="O217" s="97" t="e">
        <f>'Actual Value'!AK287+"AM:!.#S"</f>
        <v>#VALUE!</v>
      </c>
      <c r="P217" s="97" t="e">
        <f>'Actual Value'!AL287+"AM:!.#T"</f>
        <v>#VALUE!</v>
      </c>
      <c r="Q217" s="97" t="e">
        <f>'Actual Value'!AM287+"AM:!.#U"</f>
        <v>#VALUE!</v>
      </c>
      <c r="R217" s="97" t="e">
        <f>'Actual Value'!AN287+"AM:!.#V"</f>
        <v>#VALUE!</v>
      </c>
      <c r="S217" s="97" t="e">
        <f>'Actual Value'!AO287+"AM:!.#W"</f>
        <v>#VALUE!</v>
      </c>
      <c r="T217" t="e">
        <f>'Actual Value'!AP287+"AM:!.#X"</f>
        <v>#VALUE!</v>
      </c>
      <c r="U217" t="e">
        <f>'Actual Value'!AQ287+"AM:!.#Y"</f>
        <v>#VALUE!</v>
      </c>
      <c r="V217" t="e">
        <f>'Actual Value'!AR287+"AM:!.#Z"</f>
        <v>#VALUE!</v>
      </c>
      <c r="W217" t="e">
        <f>'Actual Value'!AS287+"AM:!.#["</f>
        <v>#VALUE!</v>
      </c>
      <c r="X217" t="e">
        <f>'Actual Value'!AT287+"AM:!.#\"</f>
        <v>#VALUE!</v>
      </c>
      <c r="Y217" t="e">
        <f>'Actual Value'!AU287+"AM:!.#]"</f>
        <v>#VALUE!</v>
      </c>
      <c r="Z217" t="e">
        <f>'Actual Value'!AV287+"AM:!.#^"</f>
        <v>#VALUE!</v>
      </c>
      <c r="AA217" t="e">
        <f>'Actual Value'!AW287+"AM:!.#_"</f>
        <v>#VALUE!</v>
      </c>
      <c r="AB217" t="e">
        <f>'Actual Value'!AX287+"AM:!.#`"</f>
        <v>#VALUE!</v>
      </c>
      <c r="AC217" t="e">
        <f>'Actual Value'!A288+"AM:!.#a"</f>
        <v>#VALUE!</v>
      </c>
      <c r="AD217" t="e">
        <f>'Actual Value'!B288+"AM:!.#b"</f>
        <v>#VALUE!</v>
      </c>
      <c r="AE217" t="e">
        <f>'Actual Value'!C288+"AM:!.#c"</f>
        <v>#VALUE!</v>
      </c>
      <c r="AF217" s="97" t="e">
        <f>'Actual Value'!D288+"AM:!.#d"</f>
        <v>#VALUE!</v>
      </c>
      <c r="AG217" s="97" t="e">
        <f>'Actual Value'!E288+"AM:!.#e"</f>
        <v>#VALUE!</v>
      </c>
      <c r="AH217" s="97" t="e">
        <f>'Actual Value'!F288+"AM:!.#f"</f>
        <v>#VALUE!</v>
      </c>
      <c r="AI217" s="97" t="e">
        <f>'Actual Value'!G288+"AM:!.#g"</f>
        <v>#VALUE!</v>
      </c>
      <c r="AJ217" s="97" t="e">
        <f>'Actual Value'!H288+"AM:!.#h"</f>
        <v>#VALUE!</v>
      </c>
      <c r="AK217" s="97" t="e">
        <f>'Actual Value'!I288+"AM:!.#i"</f>
        <v>#VALUE!</v>
      </c>
      <c r="AL217" s="97" t="e">
        <f>'Actual Value'!J288+"AM:!.#j"</f>
        <v>#VALUE!</v>
      </c>
      <c r="AM217" s="97" t="e">
        <f>'Actual Value'!K288+"AM:!.#k"</f>
        <v>#VALUE!</v>
      </c>
      <c r="AN217" s="97" t="e">
        <f>'Actual Value'!L288+"AM:!.#l"</f>
        <v>#VALUE!</v>
      </c>
      <c r="AO217" s="97" t="e">
        <f>'Actual Value'!M288+"AM:!.#m"</f>
        <v>#VALUE!</v>
      </c>
      <c r="AP217" s="97" t="e">
        <f>'Actual Value'!N288+"AM:!.#n"</f>
        <v>#VALUE!</v>
      </c>
      <c r="AQ217" s="97" t="e">
        <f>'Actual Value'!O288+"AM:!.#o"</f>
        <v>#VALUE!</v>
      </c>
      <c r="AR217" s="97" t="e">
        <f>'Actual Value'!P288+"AM:!.#p"</f>
        <v>#VALUE!</v>
      </c>
      <c r="AS217" s="97" t="e">
        <f>'Actual Value'!Q288+"AM:!.#q"</f>
        <v>#VALUE!</v>
      </c>
      <c r="AT217" s="97" t="e">
        <f>'Actual Value'!R288+"AM:!.#r"</f>
        <v>#VALUE!</v>
      </c>
      <c r="AU217" s="97" t="e">
        <f>'Actual Value'!S288+"AM:!.#s"</f>
        <v>#VALUE!</v>
      </c>
      <c r="AV217" s="97" t="e">
        <f>'Actual Value'!T288+"AM:!.#t"</f>
        <v>#VALUE!</v>
      </c>
      <c r="AW217" s="97" t="e">
        <f>'Actual Value'!U288+"AM:!.#u"</f>
        <v>#VALUE!</v>
      </c>
      <c r="AX217" s="97" t="e">
        <f>'Actual Value'!V288+"AM:!.#v"</f>
        <v>#VALUE!</v>
      </c>
      <c r="AY217" s="97" t="e">
        <f>'Actual Value'!W288+"AM:!.#w"</f>
        <v>#VALUE!</v>
      </c>
      <c r="AZ217" s="97" t="e">
        <f>'Actual Value'!X288+"AM:!.#x"</f>
        <v>#VALUE!</v>
      </c>
      <c r="BA217" s="97" t="e">
        <f>'Actual Value'!Y288+"AM:!.#y"</f>
        <v>#VALUE!</v>
      </c>
      <c r="BB217" s="97" t="e">
        <f>'Actual Value'!Z288+"AM:!.#z"</f>
        <v>#VALUE!</v>
      </c>
      <c r="BC217" s="97" t="e">
        <f>'Actual Value'!AA288+"AM:!.#{"</f>
        <v>#VALUE!</v>
      </c>
      <c r="BD217" s="97" t="e">
        <f>'Actual Value'!AB288+"AM:!.#|"</f>
        <v>#VALUE!</v>
      </c>
      <c r="BE217" s="97" t="e">
        <f>'Actual Value'!AC288+"AM:!.#}"</f>
        <v>#VALUE!</v>
      </c>
      <c r="BF217" s="97" t="e">
        <f>'Actual Value'!AD288+"AM:!.#~"</f>
        <v>#VALUE!</v>
      </c>
      <c r="BG217" s="97" t="e">
        <f>'Actual Value'!AE288+"AM:!.$#"</f>
        <v>#VALUE!</v>
      </c>
      <c r="BH217" s="97" t="e">
        <f>'Actual Value'!AF288+"AM:!.$$"</f>
        <v>#VALUE!</v>
      </c>
      <c r="BI217" s="97" t="e">
        <f>'Actual Value'!AG288+"AM:!.$%"</f>
        <v>#VALUE!</v>
      </c>
      <c r="BJ217" s="97" t="e">
        <f>'Actual Value'!AH288+"AM:!.$&amp;"</f>
        <v>#VALUE!</v>
      </c>
      <c r="BK217" s="97" t="e">
        <f>'Actual Value'!AI288+"AM:!.$'"</f>
        <v>#VALUE!</v>
      </c>
      <c r="BL217" s="97" t="e">
        <f>'Actual Value'!AJ288+"AM:!.$("</f>
        <v>#VALUE!</v>
      </c>
      <c r="BM217" s="97" t="e">
        <f>'Actual Value'!AK288+"AM:!.$)"</f>
        <v>#VALUE!</v>
      </c>
      <c r="BN217" s="97" t="e">
        <f>'Actual Value'!AL288+"AM:!.$."</f>
        <v>#VALUE!</v>
      </c>
      <c r="BO217" s="97" t="e">
        <f>'Actual Value'!AM288+"AM:!.$/"</f>
        <v>#VALUE!</v>
      </c>
      <c r="BP217" s="97" t="e">
        <f>'Actual Value'!AN288+"AM:!.$0"</f>
        <v>#VALUE!</v>
      </c>
      <c r="BQ217" s="97" t="e">
        <f>'Actual Value'!AO288+"AM:!.$1"</f>
        <v>#VALUE!</v>
      </c>
      <c r="BR217" t="e">
        <f>'Actual Value'!AP288+"AM:!.$2"</f>
        <v>#VALUE!</v>
      </c>
      <c r="BS217" t="e">
        <f>'Actual Value'!AQ288+"AM:!.$3"</f>
        <v>#VALUE!</v>
      </c>
      <c r="BT217" t="e">
        <f>'Actual Value'!AR288+"AM:!.$4"</f>
        <v>#VALUE!</v>
      </c>
      <c r="BU217" t="e">
        <f>'Actual Value'!AS288+"AM:!.$5"</f>
        <v>#VALUE!</v>
      </c>
      <c r="BV217" t="e">
        <f>'Actual Value'!AT288+"AM:!.$6"</f>
        <v>#VALUE!</v>
      </c>
      <c r="BW217" t="e">
        <f>'Actual Value'!AU288+"AM:!.$7"</f>
        <v>#VALUE!</v>
      </c>
      <c r="BX217" t="e">
        <f>'Actual Value'!AV288+"AM:!.$8"</f>
        <v>#VALUE!</v>
      </c>
      <c r="BY217" t="e">
        <f>'Actual Value'!AW288+"AM:!.$9"</f>
        <v>#VALUE!</v>
      </c>
      <c r="BZ217" t="e">
        <f>'Actual Value'!AX288+"AM:!.$:"</f>
        <v>#VALUE!</v>
      </c>
      <c r="CA217" t="e">
        <f>'Actual Value'!A289+"AM:!.$;"</f>
        <v>#VALUE!</v>
      </c>
      <c r="CB217" t="e">
        <f>'Actual Value'!B289+"AM:!.$&lt;"</f>
        <v>#VALUE!</v>
      </c>
      <c r="CC217" t="e">
        <f>'Actual Value'!C289+"AM:!.$="</f>
        <v>#VALUE!</v>
      </c>
      <c r="CD217" s="97" t="e">
        <f>'Actual Value'!D289+"AM:!.$&gt;"</f>
        <v>#VALUE!</v>
      </c>
      <c r="CE217" s="97" t="e">
        <f>'Actual Value'!E289+"AM:!.$?"</f>
        <v>#VALUE!</v>
      </c>
      <c r="CF217" s="97" t="e">
        <f>'Actual Value'!F289+"AM:!.$@"</f>
        <v>#VALUE!</v>
      </c>
      <c r="CG217" s="97" t="e">
        <f>'Actual Value'!G289+"AM:!.$A"</f>
        <v>#VALUE!</v>
      </c>
      <c r="CH217" s="97" t="e">
        <f>'Actual Value'!H289+"AM:!.$B"</f>
        <v>#VALUE!</v>
      </c>
      <c r="CI217" s="97" t="e">
        <f>'Actual Value'!I289+"AM:!.$C"</f>
        <v>#VALUE!</v>
      </c>
      <c r="CJ217" s="97" t="e">
        <f>'Actual Value'!J289+"AM:!.$D"</f>
        <v>#VALUE!</v>
      </c>
      <c r="CK217" s="97" t="e">
        <f>'Actual Value'!K289+"AM:!.$E"</f>
        <v>#VALUE!</v>
      </c>
      <c r="CL217" s="97" t="e">
        <f>'Actual Value'!L289+"AM:!.$F"</f>
        <v>#VALUE!</v>
      </c>
      <c r="CM217" s="97" t="e">
        <f>'Actual Value'!M289+"AM:!.$G"</f>
        <v>#VALUE!</v>
      </c>
      <c r="CN217" s="97" t="e">
        <f>'Actual Value'!N289+"AM:!.$H"</f>
        <v>#VALUE!</v>
      </c>
      <c r="CO217" s="97" t="e">
        <f>'Actual Value'!O289+"AM:!.$I"</f>
        <v>#VALUE!</v>
      </c>
      <c r="CP217" s="97" t="e">
        <f>'Actual Value'!P289+"AM:!.$J"</f>
        <v>#VALUE!</v>
      </c>
      <c r="CQ217" s="97" t="e">
        <f>'Actual Value'!Q289+"AM:!.$K"</f>
        <v>#VALUE!</v>
      </c>
      <c r="CR217" s="97" t="e">
        <f>'Actual Value'!R289+"AM:!.$L"</f>
        <v>#VALUE!</v>
      </c>
      <c r="CS217" s="97" t="e">
        <f>'Actual Value'!S289+"AM:!.$M"</f>
        <v>#VALUE!</v>
      </c>
      <c r="CT217" s="97" t="e">
        <f>'Actual Value'!T289+"AM:!.$N"</f>
        <v>#VALUE!</v>
      </c>
      <c r="CU217" s="97" t="e">
        <f>'Actual Value'!U289+"AM:!.$O"</f>
        <v>#VALUE!</v>
      </c>
      <c r="CV217" s="97" t="e">
        <f>'Actual Value'!V289+"AM:!.$P"</f>
        <v>#VALUE!</v>
      </c>
      <c r="CW217" s="97" t="e">
        <f>'Actual Value'!W289+"AM:!.$Q"</f>
        <v>#VALUE!</v>
      </c>
      <c r="CX217" s="97" t="e">
        <f>'Actual Value'!X289+"AM:!.$R"</f>
        <v>#VALUE!</v>
      </c>
      <c r="CY217" s="97" t="e">
        <f>'Actual Value'!Y289+"AM:!.$S"</f>
        <v>#VALUE!</v>
      </c>
      <c r="CZ217" s="97" t="e">
        <f>'Actual Value'!Z289+"AM:!.$T"</f>
        <v>#VALUE!</v>
      </c>
      <c r="DA217" s="97" t="e">
        <f>'Actual Value'!AA289+"AM:!.$U"</f>
        <v>#VALUE!</v>
      </c>
      <c r="DB217" s="97" t="e">
        <f>'Actual Value'!AB289+"AM:!.$V"</f>
        <v>#VALUE!</v>
      </c>
      <c r="DC217" s="97" t="e">
        <f>'Actual Value'!AC289+"AM:!.$W"</f>
        <v>#VALUE!</v>
      </c>
      <c r="DD217" s="97" t="e">
        <f>'Actual Value'!AD289+"AM:!.$X"</f>
        <v>#VALUE!</v>
      </c>
      <c r="DE217" s="97" t="e">
        <f>'Actual Value'!AE289+"AM:!.$Y"</f>
        <v>#VALUE!</v>
      </c>
      <c r="DF217" s="97" t="e">
        <f>'Actual Value'!AF289+"AM:!.$Z"</f>
        <v>#VALUE!</v>
      </c>
      <c r="DG217" s="97" t="e">
        <f>'Actual Value'!AG289+"AM:!.$["</f>
        <v>#VALUE!</v>
      </c>
      <c r="DH217" s="97" t="e">
        <f>'Actual Value'!AH289+"AM:!.$\"</f>
        <v>#VALUE!</v>
      </c>
      <c r="DI217" s="97" t="e">
        <f>'Actual Value'!AI289+"AM:!.$]"</f>
        <v>#VALUE!</v>
      </c>
      <c r="DJ217" s="97" t="e">
        <f>'Actual Value'!AJ289+"AM:!.$^"</f>
        <v>#VALUE!</v>
      </c>
      <c r="DK217" s="97" t="e">
        <f>'Actual Value'!AK289+"AM:!.$_"</f>
        <v>#VALUE!</v>
      </c>
      <c r="DL217" s="97" t="e">
        <f>'Actual Value'!AL289+"AM:!.$`"</f>
        <v>#VALUE!</v>
      </c>
      <c r="DM217" s="97" t="e">
        <f>'Actual Value'!AM289+"AM:!.$a"</f>
        <v>#VALUE!</v>
      </c>
      <c r="DN217" s="97" t="e">
        <f>'Actual Value'!AN289+"AM:!.$b"</f>
        <v>#VALUE!</v>
      </c>
      <c r="DO217" s="97" t="e">
        <f>'Actual Value'!AO289+"AM:!.$c"</f>
        <v>#VALUE!</v>
      </c>
      <c r="DP217" t="e">
        <f>'Actual Value'!AP289+"AM:!.$d"</f>
        <v>#VALUE!</v>
      </c>
      <c r="DQ217" t="e">
        <f>'Actual Value'!AQ289+"AM:!.$e"</f>
        <v>#VALUE!</v>
      </c>
      <c r="DR217" t="e">
        <f>'Actual Value'!AR289+"AM:!.$f"</f>
        <v>#VALUE!</v>
      </c>
      <c r="DS217" t="e">
        <f>'Actual Value'!AS289+"AM:!.$g"</f>
        <v>#VALUE!</v>
      </c>
      <c r="DT217" t="e">
        <f>'Actual Value'!AT289+"AM:!.$h"</f>
        <v>#VALUE!</v>
      </c>
      <c r="DU217" t="e">
        <f>'Actual Value'!AU289+"AM:!.$i"</f>
        <v>#VALUE!</v>
      </c>
      <c r="DV217" t="e">
        <f>'Actual Value'!AV289+"AM:!.$j"</f>
        <v>#VALUE!</v>
      </c>
      <c r="DW217" t="e">
        <f>'Actual Value'!AW289+"AM:!.$k"</f>
        <v>#VALUE!</v>
      </c>
      <c r="DX217" t="e">
        <f>'Actual Value'!AX289+"AM:!.$l"</f>
        <v>#VALUE!</v>
      </c>
      <c r="DY217" t="e">
        <f>'Actual Value'!A290+"AM:!.$m"</f>
        <v>#VALUE!</v>
      </c>
      <c r="DZ217" t="e">
        <f>'Actual Value'!B290+"AM:!.$n"</f>
        <v>#VALUE!</v>
      </c>
      <c r="EA217" t="e">
        <f>'Actual Value'!C290+"AM:!.$o"</f>
        <v>#VALUE!</v>
      </c>
      <c r="EB217" s="97" t="e">
        <f>'Actual Value'!D290+"AM:!.$p"</f>
        <v>#VALUE!</v>
      </c>
      <c r="EC217" s="97" t="e">
        <f>'Actual Value'!E290+"AM:!.$q"</f>
        <v>#VALUE!</v>
      </c>
      <c r="ED217" s="97" t="e">
        <f>'Actual Value'!F290+"AM:!.$r"</f>
        <v>#VALUE!</v>
      </c>
      <c r="EE217" s="97" t="e">
        <f>'Actual Value'!G290+"AM:!.$s"</f>
        <v>#VALUE!</v>
      </c>
      <c r="EF217" s="97" t="e">
        <f>'Actual Value'!H290+"AM:!.$t"</f>
        <v>#VALUE!</v>
      </c>
      <c r="EG217" s="97" t="e">
        <f>'Actual Value'!I290+"AM:!.$u"</f>
        <v>#VALUE!</v>
      </c>
      <c r="EH217" s="97" t="e">
        <f>'Actual Value'!J290+"AM:!.$v"</f>
        <v>#VALUE!</v>
      </c>
      <c r="EI217" s="97" t="e">
        <f>'Actual Value'!K290+"AM:!.$w"</f>
        <v>#VALUE!</v>
      </c>
      <c r="EJ217" s="97" t="e">
        <f>'Actual Value'!L290+"AM:!.$x"</f>
        <v>#VALUE!</v>
      </c>
      <c r="EK217" s="97" t="e">
        <f>'Actual Value'!M290+"AM:!.$y"</f>
        <v>#VALUE!</v>
      </c>
      <c r="EL217" s="97" t="e">
        <f>'Actual Value'!N290+"AM:!.$z"</f>
        <v>#VALUE!</v>
      </c>
      <c r="EM217" s="97" t="e">
        <f>'Actual Value'!O290+"AM:!.${"</f>
        <v>#VALUE!</v>
      </c>
      <c r="EN217" s="97" t="e">
        <f>'Actual Value'!P290+"AM:!.$|"</f>
        <v>#VALUE!</v>
      </c>
      <c r="EO217" s="97" t="e">
        <f>'Actual Value'!Q290+"AM:!.$}"</f>
        <v>#VALUE!</v>
      </c>
      <c r="EP217" s="97" t="e">
        <f>'Actual Value'!R290+"AM:!.$~"</f>
        <v>#VALUE!</v>
      </c>
      <c r="EQ217" s="97" t="e">
        <f>'Actual Value'!S290+"AM:!.%#"</f>
        <v>#VALUE!</v>
      </c>
      <c r="ER217" s="97" t="e">
        <f>'Actual Value'!T290+"AM:!.%$"</f>
        <v>#VALUE!</v>
      </c>
      <c r="ES217" s="97" t="e">
        <f>'Actual Value'!U290+"AM:!.%%"</f>
        <v>#VALUE!</v>
      </c>
      <c r="ET217" s="97" t="e">
        <f>'Actual Value'!V290+"AM:!.%&amp;"</f>
        <v>#VALUE!</v>
      </c>
      <c r="EU217" s="97" t="e">
        <f>'Actual Value'!W290+"AM:!.%'"</f>
        <v>#VALUE!</v>
      </c>
      <c r="EV217" s="97" t="e">
        <f>'Actual Value'!X290+"AM:!.%("</f>
        <v>#VALUE!</v>
      </c>
      <c r="EW217" s="97" t="e">
        <f>'Actual Value'!Y290+"AM:!.%)"</f>
        <v>#VALUE!</v>
      </c>
      <c r="EX217" s="97" t="e">
        <f>'Actual Value'!Z290+"AM:!.%."</f>
        <v>#VALUE!</v>
      </c>
      <c r="EY217" s="97" t="e">
        <f>'Actual Value'!AA290+"AM:!.%/"</f>
        <v>#VALUE!</v>
      </c>
      <c r="EZ217" s="97" t="e">
        <f>'Actual Value'!AB290+"AM:!.%0"</f>
        <v>#VALUE!</v>
      </c>
      <c r="FA217" s="97" t="e">
        <f>'Actual Value'!AC290+"AM:!.%1"</f>
        <v>#VALUE!</v>
      </c>
      <c r="FB217" s="97" t="e">
        <f>'Actual Value'!AD290+"AM:!.%2"</f>
        <v>#VALUE!</v>
      </c>
      <c r="FC217" s="97" t="e">
        <f>'Actual Value'!AE290+"AM:!.%3"</f>
        <v>#VALUE!</v>
      </c>
      <c r="FD217" s="97" t="e">
        <f>'Actual Value'!AF290+"AM:!.%4"</f>
        <v>#VALUE!</v>
      </c>
      <c r="FE217" s="97" t="e">
        <f>'Actual Value'!AG290+"AM:!.%5"</f>
        <v>#VALUE!</v>
      </c>
      <c r="FF217" s="97" t="e">
        <f>'Actual Value'!AH290+"AM:!.%6"</f>
        <v>#VALUE!</v>
      </c>
      <c r="FG217" s="97" t="e">
        <f>'Actual Value'!AI290+"AM:!.%7"</f>
        <v>#VALUE!</v>
      </c>
      <c r="FH217" s="97" t="e">
        <f>'Actual Value'!AJ290+"AM:!.%8"</f>
        <v>#VALUE!</v>
      </c>
      <c r="FI217" s="97" t="e">
        <f>'Actual Value'!AK290+"AM:!.%9"</f>
        <v>#VALUE!</v>
      </c>
      <c r="FJ217" s="97" t="e">
        <f>'Actual Value'!AL290+"AM:!.%:"</f>
        <v>#VALUE!</v>
      </c>
      <c r="FK217" s="97" t="e">
        <f>'Actual Value'!AM290+"AM:!.%;"</f>
        <v>#VALUE!</v>
      </c>
      <c r="FL217" s="97" t="e">
        <f>'Actual Value'!AN290+"AM:!.%&lt;"</f>
        <v>#VALUE!</v>
      </c>
      <c r="FM217" s="97" t="e">
        <f>'Actual Value'!AO290+"AM:!.%="</f>
        <v>#VALUE!</v>
      </c>
      <c r="FN217" t="e">
        <f>'Actual Value'!AP290+"AM:!.%&gt;"</f>
        <v>#VALUE!</v>
      </c>
      <c r="FO217" t="e">
        <f>'Actual Value'!AQ290+"AM:!.%?"</f>
        <v>#VALUE!</v>
      </c>
      <c r="FP217" t="e">
        <f>'Actual Value'!AR290+"AM:!.%@"</f>
        <v>#VALUE!</v>
      </c>
      <c r="FQ217" t="e">
        <f>'Actual Value'!AS290+"AM:!.%A"</f>
        <v>#VALUE!</v>
      </c>
      <c r="FR217" t="e">
        <f>'Actual Value'!AT290+"AM:!.%B"</f>
        <v>#VALUE!</v>
      </c>
      <c r="FS217" t="e">
        <f>'Actual Value'!AU290+"AM:!.%C"</f>
        <v>#VALUE!</v>
      </c>
      <c r="FT217" t="e">
        <f>'Actual Value'!AV290+"AM:!.%D"</f>
        <v>#VALUE!</v>
      </c>
      <c r="FU217" t="e">
        <f>'Actual Value'!AW290+"AM:!.%E"</f>
        <v>#VALUE!</v>
      </c>
      <c r="FV217" t="e">
        <f>'Actual Value'!AX290+"AM:!.%F"</f>
        <v>#VALUE!</v>
      </c>
      <c r="FW217" t="e">
        <f>'Actual Value'!A291+"AM:!.%G"</f>
        <v>#VALUE!</v>
      </c>
      <c r="FX217" t="e">
        <f>'Actual Value'!B291+"AM:!.%H"</f>
        <v>#VALUE!</v>
      </c>
      <c r="FY217" t="e">
        <f>'Actual Value'!C291+"AM:!.%I"</f>
        <v>#VALUE!</v>
      </c>
      <c r="FZ217" t="e">
        <f>'Actual Value'!D291+"AM:!.%J"</f>
        <v>#VALUE!</v>
      </c>
      <c r="GA217" t="e">
        <f>'Actual Value'!E291+"AM:!.%K"</f>
        <v>#VALUE!</v>
      </c>
      <c r="GB217" t="e">
        <f>'Actual Value'!F291+"AM:!.%L"</f>
        <v>#VALUE!</v>
      </c>
      <c r="GC217" t="e">
        <f>'Actual Value'!G291+"AM:!.%M"</f>
        <v>#VALUE!</v>
      </c>
      <c r="GD217" t="e">
        <f>'Actual Value'!H291+"AM:!.%N"</f>
        <v>#VALUE!</v>
      </c>
      <c r="GE217" t="e">
        <f>'Actual Value'!I291+"AM:!.%O"</f>
        <v>#VALUE!</v>
      </c>
      <c r="GF217" t="e">
        <f>'Actual Value'!J291+"AM:!.%P"</f>
        <v>#VALUE!</v>
      </c>
      <c r="GG217" t="e">
        <f>'Actual Value'!K291+"AM:!.%Q"</f>
        <v>#VALUE!</v>
      </c>
      <c r="GH217" t="e">
        <f>'Actual Value'!L291+"AM:!.%R"</f>
        <v>#VALUE!</v>
      </c>
      <c r="GI217" t="e">
        <f>'Actual Value'!M291+"AM:!.%S"</f>
        <v>#VALUE!</v>
      </c>
      <c r="GJ217" t="e">
        <f>'Actual Value'!N291+"AM:!.%T"</f>
        <v>#VALUE!</v>
      </c>
      <c r="GK217" t="e">
        <f>'Actual Value'!O291+"AM:!.%U"</f>
        <v>#VALUE!</v>
      </c>
      <c r="GL217" t="e">
        <f>'Actual Value'!P291+"AM:!.%V"</f>
        <v>#VALUE!</v>
      </c>
      <c r="GM217" t="e">
        <f>'Actual Value'!Q291+"AM:!.%W"</f>
        <v>#VALUE!</v>
      </c>
      <c r="GN217" t="e">
        <f>'Actual Value'!R291+"AM:!.%X"</f>
        <v>#VALUE!</v>
      </c>
      <c r="GO217" t="e">
        <f>'Actual Value'!S291+"AM:!.%Y"</f>
        <v>#VALUE!</v>
      </c>
      <c r="GP217" t="e">
        <f>'Actual Value'!T291+"AM:!.%Z"</f>
        <v>#VALUE!</v>
      </c>
      <c r="GQ217" t="e">
        <f>'Actual Value'!U291+"AM:!.%["</f>
        <v>#VALUE!</v>
      </c>
      <c r="GR217" t="e">
        <f>'Actual Value'!V291+"AM:!.%\"</f>
        <v>#VALUE!</v>
      </c>
      <c r="GS217" t="e">
        <f>'Actual Value'!W291+"AM:!.%]"</f>
        <v>#VALUE!</v>
      </c>
      <c r="GT217" t="e">
        <f>'Actual Value'!X291+"AM:!.%^"</f>
        <v>#VALUE!</v>
      </c>
      <c r="GU217" t="e">
        <f>'Actual Value'!Y291+"AM:!.%_"</f>
        <v>#VALUE!</v>
      </c>
      <c r="GV217" t="e">
        <f>'Actual Value'!Z291+"AM:!.%`"</f>
        <v>#VALUE!</v>
      </c>
      <c r="GW217" t="e">
        <f>'Actual Value'!AA291+"AM:!.%a"</f>
        <v>#VALUE!</v>
      </c>
      <c r="GX217" t="e">
        <f>'Actual Value'!AB291+"AM:!.%b"</f>
        <v>#VALUE!</v>
      </c>
      <c r="GY217" t="e">
        <f>'Actual Value'!AC291+"AM:!.%c"</f>
        <v>#VALUE!</v>
      </c>
      <c r="GZ217" t="e">
        <f>'Actual Value'!AD291+"AM:!.%d"</f>
        <v>#VALUE!</v>
      </c>
      <c r="HA217" t="e">
        <f>'Actual Value'!AE291+"AM:!.%e"</f>
        <v>#VALUE!</v>
      </c>
      <c r="HB217" t="e">
        <f>'Actual Value'!AF291+"AM:!.%f"</f>
        <v>#VALUE!</v>
      </c>
      <c r="HC217" t="e">
        <f>'Actual Value'!AG291+"AM:!.%g"</f>
        <v>#VALUE!</v>
      </c>
      <c r="HD217" t="e">
        <f>'Actual Value'!AH291+"AM:!.%h"</f>
        <v>#VALUE!</v>
      </c>
      <c r="HE217" t="e">
        <f>'Actual Value'!AI291+"AM:!.%i"</f>
        <v>#VALUE!</v>
      </c>
      <c r="HF217" t="e">
        <f>'Actual Value'!AJ291+"AM:!.%j"</f>
        <v>#VALUE!</v>
      </c>
      <c r="HG217" t="e">
        <f>'Actual Value'!AK291+"AM:!.%k"</f>
        <v>#VALUE!</v>
      </c>
      <c r="HH217" t="e">
        <f>'Actual Value'!AL291+"AM:!.%l"</f>
        <v>#VALUE!</v>
      </c>
      <c r="HI217" t="e">
        <f>'Actual Value'!AM291+"AM:!.%m"</f>
        <v>#VALUE!</v>
      </c>
      <c r="HJ217" t="e">
        <f>'Actual Value'!AN291+"AM:!.%n"</f>
        <v>#VALUE!</v>
      </c>
      <c r="HK217" t="e">
        <f>'Actual Value'!AO291+"AM:!.%o"</f>
        <v>#VALUE!</v>
      </c>
      <c r="HL217" t="e">
        <f>'Actual Value'!AP291+"AM:!.%p"</f>
        <v>#VALUE!</v>
      </c>
      <c r="HM217" t="e">
        <f>'Actual Value'!AQ291+"AM:!.%q"</f>
        <v>#VALUE!</v>
      </c>
      <c r="HN217" t="e">
        <f>'Actual Value'!AR291+"AM:!.%r"</f>
        <v>#VALUE!</v>
      </c>
      <c r="HO217" t="e">
        <f>'Actual Value'!AS291+"AM:!.%s"</f>
        <v>#VALUE!</v>
      </c>
      <c r="HP217" t="e">
        <f>'Actual Value'!AT291+"AM:!.%t"</f>
        <v>#VALUE!</v>
      </c>
      <c r="HQ217" t="e">
        <f>'Actual Value'!AU291+"AM:!.%u"</f>
        <v>#VALUE!</v>
      </c>
      <c r="HR217" t="e">
        <f>'Actual Value'!AV291+"AM:!.%v"</f>
        <v>#VALUE!</v>
      </c>
      <c r="HS217" t="e">
        <f>'Actual Value'!AW291+"AM:!.%w"</f>
        <v>#VALUE!</v>
      </c>
      <c r="HT217" t="e">
        <f>'Actual Value'!A292+"AM:!.%x"</f>
        <v>#VALUE!</v>
      </c>
      <c r="HU217" t="e">
        <f>'Actual Value'!B292+"AM:!.%y"</f>
        <v>#VALUE!</v>
      </c>
      <c r="HV217" t="e">
        <f>'Actual Value'!C292+"AM:!.%z"</f>
        <v>#VALUE!</v>
      </c>
      <c r="HW217" s="105" t="e">
        <f>'Actual Value'!D292+"AM:!.%{"</f>
        <v>#VALUE!</v>
      </c>
      <c r="HX217" s="105" t="e">
        <f>'Actual Value'!E292+"AM:!.%|"</f>
        <v>#VALUE!</v>
      </c>
      <c r="HY217" s="105" t="e">
        <f>'Actual Value'!F292+"AM:!.%}"</f>
        <v>#VALUE!</v>
      </c>
      <c r="HZ217" s="105" t="e">
        <f>'Actual Value'!G292+"AM:!.%~"</f>
        <v>#VALUE!</v>
      </c>
      <c r="IA217" s="105" t="e">
        <f>'Actual Value'!H292+"AM:!.&amp;#"</f>
        <v>#VALUE!</v>
      </c>
      <c r="IB217" s="105" t="e">
        <f>'Actual Value'!I292+"AM:!.&amp;$"</f>
        <v>#VALUE!</v>
      </c>
      <c r="IC217" s="105" t="e">
        <f>'Actual Value'!J292+"AM:!.&amp;%"</f>
        <v>#VALUE!</v>
      </c>
      <c r="ID217" s="105" t="e">
        <f>'Actual Value'!K292+"AM:!.&amp;&amp;"</f>
        <v>#VALUE!</v>
      </c>
      <c r="IE217" s="105" t="e">
        <f>'Actual Value'!L292+"AM:!.&amp;'"</f>
        <v>#VALUE!</v>
      </c>
      <c r="IF217" s="105" t="e">
        <f>'Actual Value'!M292+"AM:!.&amp;("</f>
        <v>#VALUE!</v>
      </c>
      <c r="IG217" s="105" t="e">
        <f>'Actual Value'!N292+"AM:!.&amp;)"</f>
        <v>#VALUE!</v>
      </c>
      <c r="IH217" s="105" t="e">
        <f>'Actual Value'!O292+"AM:!.&amp;."</f>
        <v>#VALUE!</v>
      </c>
      <c r="II217" s="105" t="e">
        <f>'Actual Value'!P292+"AM:!.&amp;/"</f>
        <v>#VALUE!</v>
      </c>
      <c r="IJ217" s="105" t="e">
        <f>'Actual Value'!Q292+"AM:!.&amp;0"</f>
        <v>#VALUE!</v>
      </c>
      <c r="IK217" s="105" t="e">
        <f>'Actual Value'!R292+"AM:!.&amp;1"</f>
        <v>#VALUE!</v>
      </c>
      <c r="IL217" s="105" t="e">
        <f>'Actual Value'!S292+"AM:!.&amp;2"</f>
        <v>#VALUE!</v>
      </c>
      <c r="IM217" s="105" t="e">
        <f>'Actual Value'!T292+"AM:!.&amp;3"</f>
        <v>#VALUE!</v>
      </c>
      <c r="IN217" s="105" t="e">
        <f>'Actual Value'!U292+"AM:!.&amp;4"</f>
        <v>#VALUE!</v>
      </c>
      <c r="IO217" s="105" t="e">
        <f>'Actual Value'!V292+"AM:!.&amp;5"</f>
        <v>#VALUE!</v>
      </c>
      <c r="IP217" s="105" t="e">
        <f>'Actual Value'!W292+"AM:!.&amp;6"</f>
        <v>#VALUE!</v>
      </c>
      <c r="IQ217" s="105" t="e">
        <f>'Actual Value'!X292+"AM:!.&amp;7"</f>
        <v>#VALUE!</v>
      </c>
      <c r="IR217" s="105" t="e">
        <f>'Actual Value'!Y292+"AM:!.&amp;8"</f>
        <v>#VALUE!</v>
      </c>
      <c r="IS217" s="105" t="e">
        <f>'Actual Value'!Z292+"AM:!.&amp;9"</f>
        <v>#VALUE!</v>
      </c>
      <c r="IT217" s="105" t="e">
        <f>'Actual Value'!AA292+"AM:!.&amp;:"</f>
        <v>#VALUE!</v>
      </c>
      <c r="IU217" s="105" t="e">
        <f>'Actual Value'!AB292+"AM:!.&amp;;"</f>
        <v>#VALUE!</v>
      </c>
      <c r="IV217" s="105" t="e">
        <f>'Actual Value'!AC292+"AM:!.&amp;&lt;"</f>
        <v>#VALUE!</v>
      </c>
    </row>
    <row r="218" spans="6:256">
      <c r="F218" s="105" t="e">
        <f>'Actual Value'!AD292+"AM:!.&amp;="</f>
        <v>#VALUE!</v>
      </c>
      <c r="G218" s="105" t="e">
        <f>'Actual Value'!AE292+"AM:!.&amp;&gt;"</f>
        <v>#VALUE!</v>
      </c>
      <c r="H218" s="105" t="e">
        <f>'Actual Value'!AF292+"AM:!.&amp;?"</f>
        <v>#VALUE!</v>
      </c>
      <c r="I218" s="105" t="e">
        <f>'Actual Value'!AG292+"AM:!.&amp;@"</f>
        <v>#VALUE!</v>
      </c>
      <c r="J218" s="105" t="e">
        <f>'Actual Value'!AH292+"AM:!.&amp;A"</f>
        <v>#VALUE!</v>
      </c>
      <c r="K218" s="105" t="e">
        <f>'Actual Value'!AI292+"AM:!.&amp;B"</f>
        <v>#VALUE!</v>
      </c>
      <c r="L218" s="105" t="e">
        <f>'Actual Value'!AJ292+"AM:!.&amp;C"</f>
        <v>#VALUE!</v>
      </c>
      <c r="M218" s="105" t="e">
        <f>'Actual Value'!AK292+"AM:!.&amp;D"</f>
        <v>#VALUE!</v>
      </c>
      <c r="N218" s="105" t="e">
        <f>'Actual Value'!AL292+"AM:!.&amp;E"</f>
        <v>#VALUE!</v>
      </c>
      <c r="O218" s="105" t="e">
        <f>'Actual Value'!AM292+"AM:!.&amp;F"</f>
        <v>#VALUE!</v>
      </c>
      <c r="P218" s="105" t="e">
        <f>'Actual Value'!AN292+"AM:!.&amp;G"</f>
        <v>#VALUE!</v>
      </c>
      <c r="Q218" s="105" t="e">
        <f>'Actual Value'!AO292+"AM:!.&amp;H"</f>
        <v>#VALUE!</v>
      </c>
      <c r="R218" t="e">
        <f>'Actual Value'!AP292+"AM:!.&amp;I"</f>
        <v>#VALUE!</v>
      </c>
      <c r="S218" s="100" t="e">
        <f>'Actual Value'!AQ292+"AM:!.&amp;J"</f>
        <v>#VALUE!</v>
      </c>
      <c r="T218" s="100" t="e">
        <f>'Actual Value'!AR292+"AM:!.&amp;K"</f>
        <v>#VALUE!</v>
      </c>
      <c r="U218" s="100" t="e">
        <f>'Actual Value'!AS292+"AM:!.&amp;L"</f>
        <v>#VALUE!</v>
      </c>
      <c r="V218" s="100" t="e">
        <f>'Actual Value'!AT292+"AM:!.&amp;M"</f>
        <v>#VALUE!</v>
      </c>
      <c r="W218" s="100" t="e">
        <f>'Actual Value'!AU292+"AM:!.&amp;N"</f>
        <v>#VALUE!</v>
      </c>
      <c r="X218" t="e">
        <f>'Actual Value'!AV292+"AM:!.&amp;O"</f>
        <v>#VALUE!</v>
      </c>
      <c r="Y218" t="e">
        <f>'Actual Value'!AW292+"AM:!.&amp;P"</f>
        <v>#VALUE!</v>
      </c>
      <c r="Z218" t="e">
        <f>'Actual Value'!A293+"AM:!.&amp;Q"</f>
        <v>#VALUE!</v>
      </c>
      <c r="AA218" t="e">
        <f>'Actual Value'!B293+"AM:!.&amp;R"</f>
        <v>#VALUE!</v>
      </c>
      <c r="AB218" t="e">
        <f>'Actual Value'!C293+"AM:!.&amp;S"</f>
        <v>#VALUE!</v>
      </c>
      <c r="AC218" s="97" t="e">
        <f>'Actual Value'!D293+"AM:!.&amp;T"</f>
        <v>#VALUE!</v>
      </c>
      <c r="AD218" s="97" t="e">
        <f>'Actual Value'!E293+"AM:!.&amp;U"</f>
        <v>#VALUE!</v>
      </c>
      <c r="AE218" s="97" t="e">
        <f>'Actual Value'!F293+"AM:!.&amp;V"</f>
        <v>#VALUE!</v>
      </c>
      <c r="AF218" s="97" t="e">
        <f>'Actual Value'!G293+"AM:!.&amp;W"</f>
        <v>#VALUE!</v>
      </c>
      <c r="AG218" s="97" t="e">
        <f>'Actual Value'!H293+"AM:!.&amp;X"</f>
        <v>#VALUE!</v>
      </c>
      <c r="AH218" s="97" t="e">
        <f>'Actual Value'!I293+"AM:!.&amp;Y"</f>
        <v>#VALUE!</v>
      </c>
      <c r="AI218" s="97" t="e">
        <f>'Actual Value'!J293+"AM:!.&amp;Z"</f>
        <v>#VALUE!</v>
      </c>
      <c r="AJ218" s="97" t="e">
        <f>'Actual Value'!K293+"AM:!.&amp;["</f>
        <v>#VALUE!</v>
      </c>
      <c r="AK218" s="97" t="e">
        <f>'Actual Value'!L293+"AM:!.&amp;\"</f>
        <v>#VALUE!</v>
      </c>
      <c r="AL218" s="97" t="e">
        <f>'Actual Value'!M293+"AM:!.&amp;]"</f>
        <v>#VALUE!</v>
      </c>
      <c r="AM218" s="97" t="e">
        <f>'Actual Value'!N293+"AM:!.&amp;^"</f>
        <v>#VALUE!</v>
      </c>
      <c r="AN218" s="97" t="e">
        <f>'Actual Value'!O293+"AM:!.&amp;_"</f>
        <v>#VALUE!</v>
      </c>
      <c r="AO218" s="97" t="e">
        <f>'Actual Value'!P293+"AM:!.&amp;`"</f>
        <v>#VALUE!</v>
      </c>
      <c r="AP218" s="97" t="e">
        <f>'Actual Value'!Q293+"AM:!.&amp;a"</f>
        <v>#VALUE!</v>
      </c>
      <c r="AQ218" s="97" t="e">
        <f>'Actual Value'!R293+"AM:!.&amp;b"</f>
        <v>#VALUE!</v>
      </c>
      <c r="AR218" s="97" t="e">
        <f>'Actual Value'!S293+"AM:!.&amp;c"</f>
        <v>#VALUE!</v>
      </c>
      <c r="AS218" s="97" t="e">
        <f>'Actual Value'!T293+"AM:!.&amp;d"</f>
        <v>#VALUE!</v>
      </c>
      <c r="AT218" s="97" t="e">
        <f>'Actual Value'!U293+"AM:!.&amp;e"</f>
        <v>#VALUE!</v>
      </c>
      <c r="AU218" s="97" t="e">
        <f>'Actual Value'!V293+"AM:!.&amp;f"</f>
        <v>#VALUE!</v>
      </c>
      <c r="AV218" s="97" t="e">
        <f>'Actual Value'!W293+"AM:!.&amp;g"</f>
        <v>#VALUE!</v>
      </c>
      <c r="AW218" s="97" t="e">
        <f>'Actual Value'!X293+"AM:!.&amp;h"</f>
        <v>#VALUE!</v>
      </c>
      <c r="AX218" s="97" t="e">
        <f>'Actual Value'!Y293+"AM:!.&amp;i"</f>
        <v>#VALUE!</v>
      </c>
      <c r="AY218" s="97" t="e">
        <f>'Actual Value'!Z293+"AM:!.&amp;j"</f>
        <v>#VALUE!</v>
      </c>
      <c r="AZ218" s="97" t="e">
        <f>'Actual Value'!AA293+"AM:!.&amp;k"</f>
        <v>#VALUE!</v>
      </c>
      <c r="BA218" s="97" t="e">
        <f>'Actual Value'!AB293+"AM:!.&amp;l"</f>
        <v>#VALUE!</v>
      </c>
      <c r="BB218" s="97" t="e">
        <f>'Actual Value'!AC293+"AM:!.&amp;m"</f>
        <v>#VALUE!</v>
      </c>
      <c r="BC218" s="97" t="e">
        <f>'Actual Value'!AD293+"AM:!.&amp;n"</f>
        <v>#VALUE!</v>
      </c>
      <c r="BD218" s="97" t="e">
        <f>'Actual Value'!AE293+"AM:!.&amp;o"</f>
        <v>#VALUE!</v>
      </c>
      <c r="BE218" s="97" t="e">
        <f>'Actual Value'!AF293+"AM:!.&amp;p"</f>
        <v>#VALUE!</v>
      </c>
      <c r="BF218" s="97" t="e">
        <f>'Actual Value'!AG293+"AM:!.&amp;q"</f>
        <v>#VALUE!</v>
      </c>
      <c r="BG218" s="97" t="e">
        <f>'Actual Value'!AH293+"AM:!.&amp;r"</f>
        <v>#VALUE!</v>
      </c>
      <c r="BH218" s="97" t="e">
        <f>'Actual Value'!AI293+"AM:!.&amp;s"</f>
        <v>#VALUE!</v>
      </c>
      <c r="BI218" s="97" t="e">
        <f>'Actual Value'!AJ293+"AM:!.&amp;t"</f>
        <v>#VALUE!</v>
      </c>
      <c r="BJ218" s="97" t="e">
        <f>'Actual Value'!AK293+"AM:!.&amp;u"</f>
        <v>#VALUE!</v>
      </c>
      <c r="BK218" s="97" t="e">
        <f>'Actual Value'!AL293+"AM:!.&amp;v"</f>
        <v>#VALUE!</v>
      </c>
      <c r="BL218" s="97" t="e">
        <f>'Actual Value'!AM293+"AM:!.&amp;w"</f>
        <v>#VALUE!</v>
      </c>
      <c r="BM218" s="97" t="e">
        <f>'Actual Value'!AN293+"AM:!.&amp;x"</f>
        <v>#VALUE!</v>
      </c>
      <c r="BN218" s="97" t="e">
        <f>'Actual Value'!AO293+"AM:!.&amp;y"</f>
        <v>#VALUE!</v>
      </c>
      <c r="BO218" t="e">
        <f>'Actual Value'!AP293+"AM:!.&amp;z"</f>
        <v>#VALUE!</v>
      </c>
      <c r="BP218" t="e">
        <f>'Actual Value'!AQ293+"AM:!.&amp;{"</f>
        <v>#VALUE!</v>
      </c>
      <c r="BQ218" t="e">
        <f>'Actual Value'!AR293+"AM:!.&amp;|"</f>
        <v>#VALUE!</v>
      </c>
      <c r="BR218" s="97" t="e">
        <f>'Actual Value'!AS293+"AM:!.&amp;}"</f>
        <v>#VALUE!</v>
      </c>
      <c r="BS218" t="e">
        <f>'Actual Value'!AT293+"AM:!.&amp;~"</f>
        <v>#VALUE!</v>
      </c>
      <c r="BT218" t="e">
        <f>'Actual Value'!AU293+"AM:!.'#"</f>
        <v>#VALUE!</v>
      </c>
      <c r="BU218" t="e">
        <f>'Actual Value'!AV293+"AM:!.'$"</f>
        <v>#VALUE!</v>
      </c>
      <c r="BV218" t="e">
        <f>'Actual Value'!AW293+"AM:!.'%"</f>
        <v>#VALUE!</v>
      </c>
      <c r="BW218" t="e">
        <f>'Actual Value'!A294+"AM:!.'&amp;"</f>
        <v>#VALUE!</v>
      </c>
      <c r="BX218" t="e">
        <f>'Actual Value'!B294+"AM:!.''"</f>
        <v>#VALUE!</v>
      </c>
      <c r="BY218" t="e">
        <f>'Actual Value'!C294+"AM:!.'("</f>
        <v>#VALUE!</v>
      </c>
      <c r="BZ218" s="97" t="e">
        <f>'Actual Value'!D294+"AM:!.')"</f>
        <v>#VALUE!</v>
      </c>
      <c r="CA218" s="97" t="e">
        <f>'Actual Value'!E294+"AM:!.'."</f>
        <v>#VALUE!</v>
      </c>
      <c r="CB218" s="97" t="e">
        <f>'Actual Value'!F294+"AM:!.'/"</f>
        <v>#VALUE!</v>
      </c>
      <c r="CC218" s="97" t="e">
        <f>'Actual Value'!G294+"AM:!.'0"</f>
        <v>#VALUE!</v>
      </c>
      <c r="CD218" s="97" t="e">
        <f>'Actual Value'!H294+"AM:!.'1"</f>
        <v>#VALUE!</v>
      </c>
      <c r="CE218" s="97" t="e">
        <f>'Actual Value'!I294+"AM:!.'2"</f>
        <v>#VALUE!</v>
      </c>
      <c r="CF218" s="97" t="e">
        <f>'Actual Value'!J294+"AM:!.'3"</f>
        <v>#VALUE!</v>
      </c>
      <c r="CG218" s="97" t="e">
        <f>'Actual Value'!K294+"AM:!.'4"</f>
        <v>#VALUE!</v>
      </c>
      <c r="CH218" s="97" t="e">
        <f>'Actual Value'!L294+"AM:!.'5"</f>
        <v>#VALUE!</v>
      </c>
      <c r="CI218" s="97" t="e">
        <f>'Actual Value'!M294+"AM:!.'6"</f>
        <v>#VALUE!</v>
      </c>
      <c r="CJ218" s="97" t="e">
        <f>'Actual Value'!N294+"AM:!.'7"</f>
        <v>#VALUE!</v>
      </c>
      <c r="CK218" s="97" t="e">
        <f>'Actual Value'!O294+"AM:!.'8"</f>
        <v>#VALUE!</v>
      </c>
      <c r="CL218" s="97" t="e">
        <f>'Actual Value'!P294+"AM:!.'9"</f>
        <v>#VALUE!</v>
      </c>
      <c r="CM218" s="97" t="e">
        <f>'Actual Value'!Q294+"AM:!.':"</f>
        <v>#VALUE!</v>
      </c>
      <c r="CN218" s="97" t="e">
        <f>'Actual Value'!R294+"AM:!.';"</f>
        <v>#VALUE!</v>
      </c>
      <c r="CO218" s="97" t="e">
        <f>'Actual Value'!S294+"AM:!.'&lt;"</f>
        <v>#VALUE!</v>
      </c>
      <c r="CP218" s="97" t="e">
        <f>'Actual Value'!T294+"AM:!.'="</f>
        <v>#VALUE!</v>
      </c>
      <c r="CQ218" s="97" t="e">
        <f>'Actual Value'!U294+"AM:!.'&gt;"</f>
        <v>#VALUE!</v>
      </c>
      <c r="CR218" s="97" t="e">
        <f>'Actual Value'!V294+"AM:!.'?"</f>
        <v>#VALUE!</v>
      </c>
      <c r="CS218" s="97" t="e">
        <f>'Actual Value'!W294+"AM:!.'@"</f>
        <v>#VALUE!</v>
      </c>
      <c r="CT218" s="97" t="e">
        <f>'Actual Value'!X294+"AM:!.'A"</f>
        <v>#VALUE!</v>
      </c>
      <c r="CU218" s="97" t="e">
        <f>'Actual Value'!Y294+"AM:!.'B"</f>
        <v>#VALUE!</v>
      </c>
      <c r="CV218" s="97" t="e">
        <f>'Actual Value'!Z294+"AM:!.'C"</f>
        <v>#VALUE!</v>
      </c>
      <c r="CW218" s="97" t="e">
        <f>'Actual Value'!AA294+"AM:!.'D"</f>
        <v>#VALUE!</v>
      </c>
      <c r="CX218" s="97" t="e">
        <f>'Actual Value'!AB294+"AM:!.'E"</f>
        <v>#VALUE!</v>
      </c>
      <c r="CY218" s="97" t="e">
        <f>'Actual Value'!AC294+"AM:!.'F"</f>
        <v>#VALUE!</v>
      </c>
      <c r="CZ218" s="97" t="e">
        <f>'Actual Value'!AD294+"AM:!.'G"</f>
        <v>#VALUE!</v>
      </c>
      <c r="DA218" s="97" t="e">
        <f>'Actual Value'!AE294+"AM:!.'H"</f>
        <v>#VALUE!</v>
      </c>
      <c r="DB218" s="97" t="e">
        <f>'Actual Value'!AF294+"AM:!.'I"</f>
        <v>#VALUE!</v>
      </c>
      <c r="DC218" s="97" t="e">
        <f>'Actual Value'!AG294+"AM:!.'J"</f>
        <v>#VALUE!</v>
      </c>
      <c r="DD218" s="97" t="e">
        <f>'Actual Value'!AH294+"AM:!.'K"</f>
        <v>#VALUE!</v>
      </c>
      <c r="DE218" s="97" t="e">
        <f>'Actual Value'!AI294+"AM:!.'L"</f>
        <v>#VALUE!</v>
      </c>
      <c r="DF218" s="97" t="e">
        <f>'Actual Value'!AJ294+"AM:!.'M"</f>
        <v>#VALUE!</v>
      </c>
      <c r="DG218" s="97" t="e">
        <f>'Actual Value'!AK294+"AM:!.'N"</f>
        <v>#VALUE!</v>
      </c>
      <c r="DH218" s="97" t="e">
        <f>'Actual Value'!AL294+"AM:!.'O"</f>
        <v>#VALUE!</v>
      </c>
      <c r="DI218" s="97" t="e">
        <f>'Actual Value'!AM294+"AM:!.'P"</f>
        <v>#VALUE!</v>
      </c>
      <c r="DJ218" s="97" t="e">
        <f>'Actual Value'!AN294+"AM:!.'Q"</f>
        <v>#VALUE!</v>
      </c>
      <c r="DK218" s="97" t="e">
        <f>'Actual Value'!AO294+"AM:!.'R"</f>
        <v>#VALUE!</v>
      </c>
      <c r="DL218" t="e">
        <f>'Actual Value'!AP294+"AM:!.'S"</f>
        <v>#VALUE!</v>
      </c>
      <c r="DM218" t="e">
        <f>'Actual Value'!AQ294+"AM:!.'T"</f>
        <v>#VALUE!</v>
      </c>
      <c r="DN218" t="e">
        <f>'Actual Value'!AR294+"AM:!.'U"</f>
        <v>#VALUE!</v>
      </c>
      <c r="DO218" s="97" t="e">
        <f>'Actual Value'!AS294+"AM:!.'V"</f>
        <v>#VALUE!</v>
      </c>
      <c r="DP218" t="e">
        <f>'Actual Value'!AT294+"AM:!.'W"</f>
        <v>#VALUE!</v>
      </c>
      <c r="DQ218" t="e">
        <f>'Actual Value'!AU294+"AM:!.'X"</f>
        <v>#VALUE!</v>
      </c>
      <c r="DR218" t="e">
        <f>'Actual Value'!AV294+"AM:!.'Y"</f>
        <v>#VALUE!</v>
      </c>
      <c r="DS218" t="e">
        <f>'Actual Value'!AW294+"AM:!.'Z"</f>
        <v>#VALUE!</v>
      </c>
      <c r="DT218" t="e">
        <f>'Actual Value'!A295+"AM:!.'["</f>
        <v>#VALUE!</v>
      </c>
      <c r="DU218" t="e">
        <f>'Actual Value'!B295+"AM:!.'\"</f>
        <v>#VALUE!</v>
      </c>
      <c r="DV218" t="e">
        <f>'Actual Value'!C295+"AM:!.']"</f>
        <v>#VALUE!</v>
      </c>
      <c r="DW218" s="97" t="e">
        <f>'Actual Value'!D295+"AM:!.'^"</f>
        <v>#VALUE!</v>
      </c>
      <c r="DX218" s="97" t="e">
        <f>'Actual Value'!E295+"AM:!.'_"</f>
        <v>#VALUE!</v>
      </c>
      <c r="DY218" s="97" t="e">
        <f>'Actual Value'!F295+"AM:!.'`"</f>
        <v>#VALUE!</v>
      </c>
      <c r="DZ218" s="97" t="e">
        <f>'Actual Value'!G295+"AM:!.'a"</f>
        <v>#VALUE!</v>
      </c>
      <c r="EA218" s="97" t="e">
        <f>'Actual Value'!H295+"AM:!.'b"</f>
        <v>#VALUE!</v>
      </c>
      <c r="EB218" s="97" t="e">
        <f>'Actual Value'!I295+"AM:!.'c"</f>
        <v>#VALUE!</v>
      </c>
      <c r="EC218" s="97" t="e">
        <f>'Actual Value'!J295+"AM:!.'d"</f>
        <v>#VALUE!</v>
      </c>
      <c r="ED218" s="97" t="e">
        <f>'Actual Value'!K295+"AM:!.'e"</f>
        <v>#VALUE!</v>
      </c>
      <c r="EE218" s="97" t="e">
        <f>'Actual Value'!L295+"AM:!.'f"</f>
        <v>#VALUE!</v>
      </c>
      <c r="EF218" s="97" t="e">
        <f>'Actual Value'!M295+"AM:!.'g"</f>
        <v>#VALUE!</v>
      </c>
      <c r="EG218" s="97" t="e">
        <f>'Actual Value'!N295+"AM:!.'h"</f>
        <v>#VALUE!</v>
      </c>
      <c r="EH218" s="97" t="e">
        <f>'Actual Value'!O295+"AM:!.'i"</f>
        <v>#VALUE!</v>
      </c>
      <c r="EI218" s="97" t="e">
        <f>'Actual Value'!P295+"AM:!.'j"</f>
        <v>#VALUE!</v>
      </c>
      <c r="EJ218" s="97" t="e">
        <f>'Actual Value'!Q295+"AM:!.'k"</f>
        <v>#VALUE!</v>
      </c>
      <c r="EK218" s="97" t="e">
        <f>'Actual Value'!R295+"AM:!.'l"</f>
        <v>#VALUE!</v>
      </c>
      <c r="EL218" s="97" t="e">
        <f>'Actual Value'!S295+"AM:!.'m"</f>
        <v>#VALUE!</v>
      </c>
      <c r="EM218" s="97" t="e">
        <f>'Actual Value'!T295+"AM:!.'n"</f>
        <v>#VALUE!</v>
      </c>
      <c r="EN218" s="97" t="e">
        <f>'Actual Value'!U295+"AM:!.'o"</f>
        <v>#VALUE!</v>
      </c>
      <c r="EO218" s="97" t="e">
        <f>'Actual Value'!V295+"AM:!.'p"</f>
        <v>#VALUE!</v>
      </c>
      <c r="EP218" s="97" t="e">
        <f>'Actual Value'!W295+"AM:!.'q"</f>
        <v>#VALUE!</v>
      </c>
      <c r="EQ218" s="97" t="e">
        <f>'Actual Value'!X295+"AM:!.'r"</f>
        <v>#VALUE!</v>
      </c>
      <c r="ER218" s="97" t="e">
        <f>'Actual Value'!Y295+"AM:!.'s"</f>
        <v>#VALUE!</v>
      </c>
      <c r="ES218" s="97" t="e">
        <f>'Actual Value'!Z295+"AM:!.'t"</f>
        <v>#VALUE!</v>
      </c>
      <c r="ET218" s="97" t="e">
        <f>'Actual Value'!AA295+"AM:!.'u"</f>
        <v>#VALUE!</v>
      </c>
      <c r="EU218" s="97" t="e">
        <f>'Actual Value'!AB295+"AM:!.'v"</f>
        <v>#VALUE!</v>
      </c>
      <c r="EV218" s="97" t="e">
        <f>'Actual Value'!AC295+"AM:!.'w"</f>
        <v>#VALUE!</v>
      </c>
      <c r="EW218" s="97" t="e">
        <f>'Actual Value'!AD295+"AM:!.'x"</f>
        <v>#VALUE!</v>
      </c>
      <c r="EX218" s="97" t="e">
        <f>'Actual Value'!AE295+"AM:!.'y"</f>
        <v>#VALUE!</v>
      </c>
      <c r="EY218" s="97" t="e">
        <f>'Actual Value'!AF295+"AM:!.'z"</f>
        <v>#VALUE!</v>
      </c>
      <c r="EZ218" s="97" t="e">
        <f>'Actual Value'!AG295+"AM:!.'{"</f>
        <v>#VALUE!</v>
      </c>
      <c r="FA218" s="97" t="e">
        <f>'Actual Value'!AH295+"AM:!.'|"</f>
        <v>#VALUE!</v>
      </c>
      <c r="FB218" s="97" t="e">
        <f>'Actual Value'!AI295+"AM:!.'}"</f>
        <v>#VALUE!</v>
      </c>
      <c r="FC218" s="97" t="e">
        <f>'Actual Value'!AJ295+"AM:!.'~"</f>
        <v>#VALUE!</v>
      </c>
      <c r="FD218" s="97" t="e">
        <f>'Actual Value'!AK295+"AM:!.(#"</f>
        <v>#VALUE!</v>
      </c>
      <c r="FE218" s="97" t="e">
        <f>'Actual Value'!AL295+"AM:!.($"</f>
        <v>#VALUE!</v>
      </c>
      <c r="FF218" s="97" t="e">
        <f>'Actual Value'!AM295+"AM:!.(%"</f>
        <v>#VALUE!</v>
      </c>
      <c r="FG218" s="97" t="e">
        <f>'Actual Value'!AN295+"AM:!.(&amp;"</f>
        <v>#VALUE!</v>
      </c>
      <c r="FH218" s="97" t="e">
        <f>'Actual Value'!AO295+"AM:!.('"</f>
        <v>#VALUE!</v>
      </c>
      <c r="FI218" t="e">
        <f>'Actual Value'!AP295+"AM:!.(("</f>
        <v>#VALUE!</v>
      </c>
      <c r="FJ218" t="e">
        <f>'Actual Value'!AQ295+"AM:!.()"</f>
        <v>#VALUE!</v>
      </c>
      <c r="FK218" t="e">
        <f>'Actual Value'!AR295+"AM:!.(."</f>
        <v>#VALUE!</v>
      </c>
      <c r="FL218" t="e">
        <f>'Actual Value'!AS295+"AM:!.(/"</f>
        <v>#VALUE!</v>
      </c>
      <c r="FM218" t="e">
        <f>'Actual Value'!AT295+"AM:!.(0"</f>
        <v>#VALUE!</v>
      </c>
      <c r="FN218" t="e">
        <f>'Actual Value'!AU295+"AM:!.(1"</f>
        <v>#VALUE!</v>
      </c>
      <c r="FO218" t="e">
        <f>'Actual Value'!AV295+"AM:!.(2"</f>
        <v>#VALUE!</v>
      </c>
      <c r="FP218" t="e">
        <f>'Actual Value'!AW295+"AM:!.(3"</f>
        <v>#VALUE!</v>
      </c>
      <c r="FQ218" t="e">
        <f>'Actual Value'!A296+"AM:!.(4"</f>
        <v>#VALUE!</v>
      </c>
      <c r="FR218" t="e">
        <f>'Actual Value'!B296+"AM:!.(5"</f>
        <v>#VALUE!</v>
      </c>
      <c r="FS218" t="e">
        <f>'Actual Value'!C296+"AM:!.(6"</f>
        <v>#VALUE!</v>
      </c>
      <c r="FT218" s="97" t="e">
        <f>'Actual Value'!D296+"AM:!.(7"</f>
        <v>#VALUE!</v>
      </c>
      <c r="FU218" s="97" t="e">
        <f>'Actual Value'!E296+"AM:!.(8"</f>
        <v>#VALUE!</v>
      </c>
      <c r="FV218" s="97" t="e">
        <f>'Actual Value'!F296+"AM:!.(9"</f>
        <v>#VALUE!</v>
      </c>
      <c r="FW218" s="97" t="e">
        <f>'Actual Value'!G296+"AM:!.(:"</f>
        <v>#VALUE!</v>
      </c>
      <c r="FX218" s="97" t="e">
        <f>'Actual Value'!H296+"AM:!.(;"</f>
        <v>#VALUE!</v>
      </c>
      <c r="FY218" s="97" t="e">
        <f>'Actual Value'!I296+"AM:!.(&lt;"</f>
        <v>#VALUE!</v>
      </c>
      <c r="FZ218" s="97" t="e">
        <f>'Actual Value'!J296+"AM:!.(="</f>
        <v>#VALUE!</v>
      </c>
      <c r="GA218" s="97" t="e">
        <f>'Actual Value'!K296+"AM:!.(&gt;"</f>
        <v>#VALUE!</v>
      </c>
      <c r="GB218" s="97" t="e">
        <f>'Actual Value'!L296+"AM:!.(?"</f>
        <v>#VALUE!</v>
      </c>
      <c r="GC218" s="97" t="e">
        <f>'Actual Value'!M296+"AM:!.(@"</f>
        <v>#VALUE!</v>
      </c>
      <c r="GD218" s="97" t="e">
        <f>'Actual Value'!N296+"AM:!.(A"</f>
        <v>#VALUE!</v>
      </c>
      <c r="GE218" s="97" t="e">
        <f>'Actual Value'!O296+"AM:!.(B"</f>
        <v>#VALUE!</v>
      </c>
      <c r="GF218" s="97" t="e">
        <f>'Actual Value'!P296+"AM:!.(C"</f>
        <v>#VALUE!</v>
      </c>
      <c r="GG218" s="97" t="e">
        <f>'Actual Value'!Q296+"AM:!.(D"</f>
        <v>#VALUE!</v>
      </c>
      <c r="GH218" s="97" t="e">
        <f>'Actual Value'!R296+"AM:!.(E"</f>
        <v>#VALUE!</v>
      </c>
      <c r="GI218" s="97" t="e">
        <f>'Actual Value'!S296+"AM:!.(F"</f>
        <v>#VALUE!</v>
      </c>
      <c r="GJ218" s="97" t="e">
        <f>'Actual Value'!T296+"AM:!.(G"</f>
        <v>#VALUE!</v>
      </c>
      <c r="GK218" s="97" t="e">
        <f>'Actual Value'!U296+"AM:!.(H"</f>
        <v>#VALUE!</v>
      </c>
      <c r="GL218" s="97" t="e">
        <f>'Actual Value'!V296+"AM:!.(I"</f>
        <v>#VALUE!</v>
      </c>
      <c r="GM218" s="97" t="e">
        <f>'Actual Value'!W296+"AM:!.(J"</f>
        <v>#VALUE!</v>
      </c>
      <c r="GN218" s="97" t="e">
        <f>'Actual Value'!X296+"AM:!.(K"</f>
        <v>#VALUE!</v>
      </c>
      <c r="GO218" s="97" t="e">
        <f>'Actual Value'!Y296+"AM:!.(L"</f>
        <v>#VALUE!</v>
      </c>
      <c r="GP218" s="97" t="e">
        <f>'Actual Value'!Z296+"AM:!.(M"</f>
        <v>#VALUE!</v>
      </c>
      <c r="GQ218" s="97" t="e">
        <f>'Actual Value'!AA296+"AM:!.(N"</f>
        <v>#VALUE!</v>
      </c>
      <c r="GR218" s="97" t="e">
        <f>'Actual Value'!AB296+"AM:!.(O"</f>
        <v>#VALUE!</v>
      </c>
      <c r="GS218" s="97" t="e">
        <f>'Actual Value'!AC296+"AM:!.(P"</f>
        <v>#VALUE!</v>
      </c>
      <c r="GT218" s="97" t="e">
        <f>'Actual Value'!AD296+"AM:!.(Q"</f>
        <v>#VALUE!</v>
      </c>
      <c r="GU218" s="97" t="e">
        <f>'Actual Value'!AE296+"AM:!.(R"</f>
        <v>#VALUE!</v>
      </c>
      <c r="GV218" s="97" t="e">
        <f>'Actual Value'!AF296+"AM:!.(S"</f>
        <v>#VALUE!</v>
      </c>
      <c r="GW218" s="97" t="e">
        <f>'Actual Value'!AG296+"AM:!.(T"</f>
        <v>#VALUE!</v>
      </c>
      <c r="GX218" s="97" t="e">
        <f>'Actual Value'!AH296+"AM:!.(U"</f>
        <v>#VALUE!</v>
      </c>
      <c r="GY218" s="97" t="e">
        <f>'Actual Value'!AI296+"AM:!.(V"</f>
        <v>#VALUE!</v>
      </c>
      <c r="GZ218" s="97" t="e">
        <f>'Actual Value'!AJ296+"AM:!.(W"</f>
        <v>#VALUE!</v>
      </c>
      <c r="HA218" s="97" t="e">
        <f>'Actual Value'!AK296+"AM:!.(X"</f>
        <v>#VALUE!</v>
      </c>
      <c r="HB218" s="97" t="e">
        <f>'Actual Value'!AL296+"AM:!.(Y"</f>
        <v>#VALUE!</v>
      </c>
      <c r="HC218" s="97" t="e">
        <f>'Actual Value'!AM296+"AM:!.(Z"</f>
        <v>#VALUE!</v>
      </c>
      <c r="HD218" s="97" t="e">
        <f>'Actual Value'!AN296+"AM:!.(["</f>
        <v>#VALUE!</v>
      </c>
      <c r="HE218" s="97" t="e">
        <f>'Actual Value'!AO296+"AM:!.(\"</f>
        <v>#VALUE!</v>
      </c>
      <c r="HF218" t="e">
        <f>'Actual Value'!AP296+"AM:!.(]"</f>
        <v>#VALUE!</v>
      </c>
      <c r="HG218" t="e">
        <f>'Actual Value'!AQ296+"AM:!.(^"</f>
        <v>#VALUE!</v>
      </c>
      <c r="HH218" t="e">
        <f>'Actual Value'!AR296+"AM:!.(_"</f>
        <v>#VALUE!</v>
      </c>
      <c r="HI218" t="e">
        <f>'Actual Value'!AS296+"AM:!.(`"</f>
        <v>#VALUE!</v>
      </c>
      <c r="HJ218" t="e">
        <f>'Actual Value'!AT296+"AM:!.(a"</f>
        <v>#VALUE!</v>
      </c>
      <c r="HK218" t="e">
        <f>'Actual Value'!AU296+"AM:!.(b"</f>
        <v>#VALUE!</v>
      </c>
      <c r="HL218" t="e">
        <f>'Actual Value'!AV296+"AM:!.(c"</f>
        <v>#VALUE!</v>
      </c>
      <c r="HM218" t="e">
        <f>'Actual Value'!AW296+"AM:!.(d"</f>
        <v>#VALUE!</v>
      </c>
      <c r="HN218" t="e">
        <f>'Actual Value'!AX296+"AM:!.(e"</f>
        <v>#VALUE!</v>
      </c>
      <c r="HO218" t="e">
        <f>'Actual Value'!A297+"AM:!.(f"</f>
        <v>#VALUE!</v>
      </c>
      <c r="HP218" t="e">
        <f>'Actual Value'!B297+"AM:!.(g"</f>
        <v>#VALUE!</v>
      </c>
      <c r="HQ218" t="e">
        <f>'Actual Value'!C297+"AM:!.(h"</f>
        <v>#VALUE!</v>
      </c>
      <c r="HR218" s="97" t="e">
        <f>'Actual Value'!D297+"AM:!.(i"</f>
        <v>#VALUE!</v>
      </c>
      <c r="HS218" s="97" t="e">
        <f>'Actual Value'!E297+"AM:!.(j"</f>
        <v>#VALUE!</v>
      </c>
      <c r="HT218" s="97" t="e">
        <f>'Actual Value'!F297+"AM:!.(k"</f>
        <v>#VALUE!</v>
      </c>
      <c r="HU218" s="97" t="e">
        <f>'Actual Value'!G297+"AM:!.(l"</f>
        <v>#VALUE!</v>
      </c>
      <c r="HV218" s="97" t="e">
        <f>'Actual Value'!H297+"AM:!.(m"</f>
        <v>#VALUE!</v>
      </c>
      <c r="HW218" s="97" t="e">
        <f>'Actual Value'!I297+"AM:!.(n"</f>
        <v>#VALUE!</v>
      </c>
      <c r="HX218" s="97" t="e">
        <f>'Actual Value'!J297+"AM:!.(o"</f>
        <v>#VALUE!</v>
      </c>
      <c r="HY218" s="97" t="e">
        <f>'Actual Value'!K297+"AM:!.(p"</f>
        <v>#VALUE!</v>
      </c>
      <c r="HZ218" s="97" t="e">
        <f>'Actual Value'!L297+"AM:!.(q"</f>
        <v>#VALUE!</v>
      </c>
      <c r="IA218" s="97" t="e">
        <f>'Actual Value'!M297+"AM:!.(r"</f>
        <v>#VALUE!</v>
      </c>
      <c r="IB218" s="97" t="e">
        <f>'Actual Value'!N297+"AM:!.(s"</f>
        <v>#VALUE!</v>
      </c>
      <c r="IC218" s="97" t="e">
        <f>'Actual Value'!O297+"AM:!.(t"</f>
        <v>#VALUE!</v>
      </c>
      <c r="ID218" s="97" t="e">
        <f>'Actual Value'!P297+"AM:!.(u"</f>
        <v>#VALUE!</v>
      </c>
      <c r="IE218" s="97" t="e">
        <f>'Actual Value'!Q297+"AM:!.(v"</f>
        <v>#VALUE!</v>
      </c>
      <c r="IF218" s="97" t="e">
        <f>'Actual Value'!R297+"AM:!.(w"</f>
        <v>#VALUE!</v>
      </c>
      <c r="IG218" s="97" t="e">
        <f>'Actual Value'!S297+"AM:!.(x"</f>
        <v>#VALUE!</v>
      </c>
      <c r="IH218" s="97" t="e">
        <f>'Actual Value'!T297+"AM:!.(y"</f>
        <v>#VALUE!</v>
      </c>
      <c r="II218" s="97" t="e">
        <f>'Actual Value'!U297+"AM:!.(z"</f>
        <v>#VALUE!</v>
      </c>
      <c r="IJ218" s="97" t="e">
        <f>'Actual Value'!V297+"AM:!.({"</f>
        <v>#VALUE!</v>
      </c>
      <c r="IK218" s="97" t="e">
        <f>'Actual Value'!W297+"AM:!.(|"</f>
        <v>#VALUE!</v>
      </c>
      <c r="IL218" s="97" t="e">
        <f>'Actual Value'!X297+"AM:!.(}"</f>
        <v>#VALUE!</v>
      </c>
      <c r="IM218" s="97" t="e">
        <f>'Actual Value'!Y297+"AM:!.(~"</f>
        <v>#VALUE!</v>
      </c>
      <c r="IN218" s="97" t="e">
        <f>'Actual Value'!Z297+"AM:!.)#"</f>
        <v>#VALUE!</v>
      </c>
      <c r="IO218" s="97" t="e">
        <f>'Actual Value'!AA297+"AM:!.)$"</f>
        <v>#VALUE!</v>
      </c>
      <c r="IP218" s="97" t="e">
        <f>'Actual Value'!AB297+"AM:!.)%"</f>
        <v>#VALUE!</v>
      </c>
      <c r="IQ218" s="97" t="e">
        <f>'Actual Value'!AC297+"AM:!.)&amp;"</f>
        <v>#VALUE!</v>
      </c>
      <c r="IR218" s="97" t="e">
        <f>'Actual Value'!AD297+"AM:!.)'"</f>
        <v>#VALUE!</v>
      </c>
      <c r="IS218" s="97" t="e">
        <f>'Actual Value'!AE297+"AM:!.)("</f>
        <v>#VALUE!</v>
      </c>
      <c r="IT218" s="97" t="e">
        <f>'Actual Value'!AF297+"AM:!.))"</f>
        <v>#VALUE!</v>
      </c>
      <c r="IU218" s="97" t="e">
        <f>'Actual Value'!AG297+"AM:!.)."</f>
        <v>#VALUE!</v>
      </c>
      <c r="IV218" s="97" t="e">
        <f>'Actual Value'!AH297+"AM:!.)/"</f>
        <v>#VALUE!</v>
      </c>
    </row>
    <row r="219" spans="6:256">
      <c r="F219" s="97" t="e">
        <f>'Actual Value'!AI297+"AM:!.)0"</f>
        <v>#VALUE!</v>
      </c>
      <c r="G219" s="97" t="e">
        <f>'Actual Value'!AJ297+"AM:!.)1"</f>
        <v>#VALUE!</v>
      </c>
      <c r="H219" s="97" t="e">
        <f>'Actual Value'!AK297+"AM:!.)2"</f>
        <v>#VALUE!</v>
      </c>
      <c r="I219" s="97" t="e">
        <f>'Actual Value'!AL297+"AM:!.)3"</f>
        <v>#VALUE!</v>
      </c>
      <c r="J219" s="97" t="e">
        <f>'Actual Value'!AM297+"AM:!.)4"</f>
        <v>#VALUE!</v>
      </c>
      <c r="K219" s="97" t="e">
        <f>'Actual Value'!AN297+"AM:!.)5"</f>
        <v>#VALUE!</v>
      </c>
      <c r="L219" s="97" t="e">
        <f>'Actual Value'!AO297+"AM:!.)6"</f>
        <v>#VALUE!</v>
      </c>
      <c r="M219" t="e">
        <f>'Actual Value'!AP297+"AM:!.)7"</f>
        <v>#VALUE!</v>
      </c>
      <c r="N219" t="e">
        <f>'Actual Value'!AQ297+"AM:!.)8"</f>
        <v>#VALUE!</v>
      </c>
      <c r="O219" t="e">
        <f>'Actual Value'!AR297+"AM:!.)9"</f>
        <v>#VALUE!</v>
      </c>
      <c r="P219" t="e">
        <f>'Actual Value'!AS297+"AM:!.):"</f>
        <v>#VALUE!</v>
      </c>
      <c r="Q219" t="e">
        <f>'Actual Value'!AT297+"AM:!.);"</f>
        <v>#VALUE!</v>
      </c>
      <c r="R219" t="e">
        <f>'Actual Value'!AU297+"AM:!.)&lt;"</f>
        <v>#VALUE!</v>
      </c>
      <c r="S219" t="e">
        <f>'Actual Value'!AV297+"AM:!.)="</f>
        <v>#VALUE!</v>
      </c>
      <c r="T219" t="e">
        <f>'Actual Value'!AW297+"AM:!.)&gt;"</f>
        <v>#VALUE!</v>
      </c>
      <c r="U219" t="e">
        <f>'Actual Value'!AX297+"AM:!.)?"</f>
        <v>#VALUE!</v>
      </c>
      <c r="V219" t="e">
        <f>'Actual Value'!A298+"AM:!.)@"</f>
        <v>#VALUE!</v>
      </c>
      <c r="W219" t="e">
        <f>'Actual Value'!B298+"AM:!.)A"</f>
        <v>#VALUE!</v>
      </c>
      <c r="X219" t="e">
        <f>'Actual Value'!C298+"AM:!.)B"</f>
        <v>#VALUE!</v>
      </c>
      <c r="Y219" s="97" t="e">
        <f>'Actual Value'!D298+"AM:!.)C"</f>
        <v>#VALUE!</v>
      </c>
      <c r="Z219" s="97" t="e">
        <f>'Actual Value'!E298+"AM:!.)D"</f>
        <v>#VALUE!</v>
      </c>
      <c r="AA219" s="97" t="e">
        <f>'Actual Value'!F298+"AM:!.)E"</f>
        <v>#VALUE!</v>
      </c>
      <c r="AB219" s="97" t="e">
        <f>'Actual Value'!G298+"AM:!.)F"</f>
        <v>#VALUE!</v>
      </c>
      <c r="AC219" s="97" t="e">
        <f>'Actual Value'!H298+"AM:!.)G"</f>
        <v>#VALUE!</v>
      </c>
      <c r="AD219" s="97" t="e">
        <f>'Actual Value'!I298+"AM:!.)H"</f>
        <v>#VALUE!</v>
      </c>
      <c r="AE219" s="97" t="e">
        <f>'Actual Value'!J298+"AM:!.)I"</f>
        <v>#VALUE!</v>
      </c>
      <c r="AF219" s="97" t="e">
        <f>'Actual Value'!K298+"AM:!.)J"</f>
        <v>#VALUE!</v>
      </c>
      <c r="AG219" s="97" t="e">
        <f>'Actual Value'!L298+"AM:!.)K"</f>
        <v>#VALUE!</v>
      </c>
      <c r="AH219" s="97" t="e">
        <f>'Actual Value'!M298+"AM:!.)L"</f>
        <v>#VALUE!</v>
      </c>
      <c r="AI219" s="97" t="e">
        <f>'Actual Value'!N298+"AM:!.)M"</f>
        <v>#VALUE!</v>
      </c>
      <c r="AJ219" s="97" t="e">
        <f>'Actual Value'!O298+"AM:!.)N"</f>
        <v>#VALUE!</v>
      </c>
      <c r="AK219" s="97" t="e">
        <f>'Actual Value'!P298+"AM:!.)O"</f>
        <v>#VALUE!</v>
      </c>
      <c r="AL219" s="97" t="e">
        <f>'Actual Value'!Q298+"AM:!.)P"</f>
        <v>#VALUE!</v>
      </c>
      <c r="AM219" s="97" t="e">
        <f>'Actual Value'!R298+"AM:!.)Q"</f>
        <v>#VALUE!</v>
      </c>
      <c r="AN219" s="97" t="e">
        <f>'Actual Value'!S298+"AM:!.)R"</f>
        <v>#VALUE!</v>
      </c>
      <c r="AO219" s="97" t="e">
        <f>'Actual Value'!T298+"AM:!.)S"</f>
        <v>#VALUE!</v>
      </c>
      <c r="AP219" s="97" t="e">
        <f>'Actual Value'!U298+"AM:!.)T"</f>
        <v>#VALUE!</v>
      </c>
      <c r="AQ219" s="97" t="e">
        <f>'Actual Value'!V298+"AM:!.)U"</f>
        <v>#VALUE!</v>
      </c>
      <c r="AR219" s="97" t="e">
        <f>'Actual Value'!W298+"AM:!.)V"</f>
        <v>#VALUE!</v>
      </c>
      <c r="AS219" s="97" t="e">
        <f>'Actual Value'!X298+"AM:!.)W"</f>
        <v>#VALUE!</v>
      </c>
      <c r="AT219" s="97" t="e">
        <f>'Actual Value'!Y298+"AM:!.)X"</f>
        <v>#VALUE!</v>
      </c>
      <c r="AU219" s="97" t="e">
        <f>'Actual Value'!Z298+"AM:!.)Y"</f>
        <v>#VALUE!</v>
      </c>
      <c r="AV219" s="97" t="e">
        <f>'Actual Value'!AA298+"AM:!.)Z"</f>
        <v>#VALUE!</v>
      </c>
      <c r="AW219" s="97" t="e">
        <f>'Actual Value'!AB298+"AM:!.)["</f>
        <v>#VALUE!</v>
      </c>
      <c r="AX219" s="97" t="e">
        <f>'Actual Value'!AC298+"AM:!.)\"</f>
        <v>#VALUE!</v>
      </c>
      <c r="AY219" s="97" t="e">
        <f>'Actual Value'!AD298+"AM:!.)]"</f>
        <v>#VALUE!</v>
      </c>
      <c r="AZ219" s="97" t="e">
        <f>'Actual Value'!AE298+"AM:!.)^"</f>
        <v>#VALUE!</v>
      </c>
      <c r="BA219" s="97" t="e">
        <f>'Actual Value'!AF298+"AM:!.)_"</f>
        <v>#VALUE!</v>
      </c>
      <c r="BB219" s="97" t="e">
        <f>'Actual Value'!AG298+"AM:!.)`"</f>
        <v>#VALUE!</v>
      </c>
      <c r="BC219" s="97" t="e">
        <f>'Actual Value'!AH298+"AM:!.)a"</f>
        <v>#VALUE!</v>
      </c>
      <c r="BD219" s="97" t="e">
        <f>'Actual Value'!AI298+"AM:!.)b"</f>
        <v>#VALUE!</v>
      </c>
      <c r="BE219" s="97" t="e">
        <f>'Actual Value'!AJ298+"AM:!.)c"</f>
        <v>#VALUE!</v>
      </c>
      <c r="BF219" s="97" t="e">
        <f>'Actual Value'!AK298+"AM:!.)d"</f>
        <v>#VALUE!</v>
      </c>
      <c r="BG219" s="97" t="e">
        <f>'Actual Value'!AL298+"AM:!.)e"</f>
        <v>#VALUE!</v>
      </c>
      <c r="BH219" s="97" t="e">
        <f>'Actual Value'!AM298+"AM:!.)f"</f>
        <v>#VALUE!</v>
      </c>
      <c r="BI219" s="97" t="e">
        <f>'Actual Value'!AN298+"AM:!.)g"</f>
        <v>#VALUE!</v>
      </c>
      <c r="BJ219" s="97" t="e">
        <f>'Actual Value'!AO298+"AM:!.)h"</f>
        <v>#VALUE!</v>
      </c>
      <c r="BK219" t="e">
        <f>'Actual Value'!AP298+"AM:!.)i"</f>
        <v>#VALUE!</v>
      </c>
      <c r="BL219" t="e">
        <f>'Actual Value'!AQ298+"AM:!.)j"</f>
        <v>#VALUE!</v>
      </c>
      <c r="BM219" t="e">
        <f>'Actual Value'!AR298+"AM:!.)k"</f>
        <v>#VALUE!</v>
      </c>
      <c r="BN219" t="e">
        <f>'Actual Value'!AS298+"AM:!.)l"</f>
        <v>#VALUE!</v>
      </c>
      <c r="BO219" t="e">
        <f>'Actual Value'!AT298+"AM:!.)m"</f>
        <v>#VALUE!</v>
      </c>
      <c r="BP219" t="e">
        <f>'Actual Value'!AU298+"AM:!.)n"</f>
        <v>#VALUE!</v>
      </c>
      <c r="BQ219" t="e">
        <f>'Actual Value'!AV298+"AM:!.)o"</f>
        <v>#VALUE!</v>
      </c>
      <c r="BR219" t="e">
        <f>'Actual Value'!AW298+"AM:!.)p"</f>
        <v>#VALUE!</v>
      </c>
      <c r="BS219" t="e">
        <f>'Actual Value'!AX298+"AM:!.)q"</f>
        <v>#VALUE!</v>
      </c>
      <c r="BT219" t="e">
        <f>'Actual Value'!A299+"AM:!.)r"</f>
        <v>#VALUE!</v>
      </c>
      <c r="BU219" t="e">
        <f>'Actual Value'!B299+"AM:!.)s"</f>
        <v>#VALUE!</v>
      </c>
      <c r="BV219" t="e">
        <f>'Actual Value'!C299+"AM:!.)t"</f>
        <v>#VALUE!</v>
      </c>
      <c r="BW219" s="97" t="e">
        <f>'Actual Value'!D299+"AM:!.)u"</f>
        <v>#VALUE!</v>
      </c>
      <c r="BX219" s="97" t="e">
        <f>'Actual Value'!E299+"AM:!.)v"</f>
        <v>#VALUE!</v>
      </c>
      <c r="BY219" s="97" t="e">
        <f>'Actual Value'!F299+"AM:!.)w"</f>
        <v>#VALUE!</v>
      </c>
      <c r="BZ219" s="97" t="e">
        <f>'Actual Value'!G299+"AM:!.)x"</f>
        <v>#VALUE!</v>
      </c>
      <c r="CA219" s="97" t="e">
        <f>'Actual Value'!H299+"AM:!.)y"</f>
        <v>#VALUE!</v>
      </c>
      <c r="CB219" s="97" t="e">
        <f>'Actual Value'!I299+"AM:!.)z"</f>
        <v>#VALUE!</v>
      </c>
      <c r="CC219" s="97" t="e">
        <f>'Actual Value'!J299+"AM:!.){"</f>
        <v>#VALUE!</v>
      </c>
      <c r="CD219" s="97" t="e">
        <f>'Actual Value'!K299+"AM:!.)|"</f>
        <v>#VALUE!</v>
      </c>
      <c r="CE219" s="97" t="e">
        <f>'Actual Value'!L299+"AM:!.)}"</f>
        <v>#VALUE!</v>
      </c>
      <c r="CF219" s="97" t="e">
        <f>'Actual Value'!M299+"AM:!.)~"</f>
        <v>#VALUE!</v>
      </c>
      <c r="CG219" s="97" t="e">
        <f>'Actual Value'!N299+"AM:!..#"</f>
        <v>#VALUE!</v>
      </c>
      <c r="CH219" s="97" t="e">
        <f>'Actual Value'!O299+"AM:!..$"</f>
        <v>#VALUE!</v>
      </c>
      <c r="CI219" s="97" t="e">
        <f>'Actual Value'!P299+"AM:!..%"</f>
        <v>#VALUE!</v>
      </c>
      <c r="CJ219" s="97" t="e">
        <f>'Actual Value'!Q299+"AM:!..&amp;"</f>
        <v>#VALUE!</v>
      </c>
      <c r="CK219" s="97" t="e">
        <f>'Actual Value'!R299+"AM:!..'"</f>
        <v>#VALUE!</v>
      </c>
      <c r="CL219" s="97" t="e">
        <f>'Actual Value'!S299+"AM:!..("</f>
        <v>#VALUE!</v>
      </c>
      <c r="CM219" s="97" t="e">
        <f>'Actual Value'!T299+"AM:!..)"</f>
        <v>#VALUE!</v>
      </c>
      <c r="CN219" s="97" t="e">
        <f>'Actual Value'!U299+"AM:!..."</f>
        <v>#VALUE!</v>
      </c>
      <c r="CO219" s="97" t="e">
        <f>'Actual Value'!V299+"AM:!../"</f>
        <v>#VALUE!</v>
      </c>
      <c r="CP219" s="97" t="e">
        <f>'Actual Value'!W299+"AM:!..0"</f>
        <v>#VALUE!</v>
      </c>
      <c r="CQ219" s="97" t="e">
        <f>'Actual Value'!X299+"AM:!..1"</f>
        <v>#VALUE!</v>
      </c>
      <c r="CR219" s="97" t="e">
        <f>'Actual Value'!Y299+"AM:!..2"</f>
        <v>#VALUE!</v>
      </c>
      <c r="CS219" s="97" t="e">
        <f>'Actual Value'!Z299+"AM:!..3"</f>
        <v>#VALUE!</v>
      </c>
      <c r="CT219" s="97" t="e">
        <f>'Actual Value'!AA299+"AM:!..4"</f>
        <v>#VALUE!</v>
      </c>
      <c r="CU219" s="97" t="e">
        <f>'Actual Value'!AB299+"AM:!..5"</f>
        <v>#VALUE!</v>
      </c>
      <c r="CV219" s="97" t="e">
        <f>'Actual Value'!AC299+"AM:!..6"</f>
        <v>#VALUE!</v>
      </c>
      <c r="CW219" s="97" t="e">
        <f>'Actual Value'!AD299+"AM:!..7"</f>
        <v>#VALUE!</v>
      </c>
      <c r="CX219" s="97" t="e">
        <f>'Actual Value'!AE299+"AM:!..8"</f>
        <v>#VALUE!</v>
      </c>
      <c r="CY219" s="97" t="e">
        <f>'Actual Value'!AF299+"AM:!..9"</f>
        <v>#VALUE!</v>
      </c>
      <c r="CZ219" s="97" t="e">
        <f>'Actual Value'!AG299+"AM:!..:"</f>
        <v>#VALUE!</v>
      </c>
      <c r="DA219" s="97" t="e">
        <f>'Actual Value'!AH299+"AM:!..;"</f>
        <v>#VALUE!</v>
      </c>
      <c r="DB219" s="97" t="e">
        <f>'Actual Value'!AI299+"AM:!..&lt;"</f>
        <v>#VALUE!</v>
      </c>
      <c r="DC219" s="97" t="e">
        <f>'Actual Value'!AJ299+"AM:!..="</f>
        <v>#VALUE!</v>
      </c>
      <c r="DD219" s="97" t="e">
        <f>'Actual Value'!AK299+"AM:!..&gt;"</f>
        <v>#VALUE!</v>
      </c>
      <c r="DE219" s="97" t="e">
        <f>'Actual Value'!AL299+"AM:!..?"</f>
        <v>#VALUE!</v>
      </c>
      <c r="DF219" s="97" t="e">
        <f>'Actual Value'!AM299+"AM:!..@"</f>
        <v>#VALUE!</v>
      </c>
      <c r="DG219" s="97" t="e">
        <f>'Actual Value'!AN299+"AM:!..A"</f>
        <v>#VALUE!</v>
      </c>
      <c r="DH219" s="97" t="e">
        <f>'Actual Value'!AO299+"AM:!..B"</f>
        <v>#VALUE!</v>
      </c>
      <c r="DI219" t="e">
        <f>'Actual Value'!AP299+"AM:!..C"</f>
        <v>#VALUE!</v>
      </c>
      <c r="DJ219" t="e">
        <f>'Actual Value'!AQ299+"AM:!..D"</f>
        <v>#VALUE!</v>
      </c>
      <c r="DK219" t="e">
        <f>'Actual Value'!AR299+"AM:!..E"</f>
        <v>#VALUE!</v>
      </c>
      <c r="DL219" t="e">
        <f>'Actual Value'!AS299+"AM:!..F"</f>
        <v>#VALUE!</v>
      </c>
      <c r="DM219" t="e">
        <f>'Actual Value'!AT299+"AM:!..G"</f>
        <v>#VALUE!</v>
      </c>
      <c r="DN219" t="e">
        <f>'Actual Value'!AU299+"AM:!..H"</f>
        <v>#VALUE!</v>
      </c>
      <c r="DO219" t="e">
        <f>'Actual Value'!AV299+"AM:!..I"</f>
        <v>#VALUE!</v>
      </c>
      <c r="DP219" t="e">
        <f>'Actual Value'!AW299+"AM:!..J"</f>
        <v>#VALUE!</v>
      </c>
      <c r="DQ219" t="e">
        <f>'Actual Value'!AX299+"AM:!..K"</f>
        <v>#VALUE!</v>
      </c>
      <c r="DR219" t="e">
        <f>'Actual Value'!A300+"AM:!..L"</f>
        <v>#VALUE!</v>
      </c>
      <c r="DS219" t="e">
        <f>'Actual Value'!B300+"AM:!..M"</f>
        <v>#VALUE!</v>
      </c>
      <c r="DT219" t="e">
        <f>'Actual Value'!C300+"AM:!..N"</f>
        <v>#VALUE!</v>
      </c>
      <c r="DU219" s="97" t="e">
        <f>'Actual Value'!D300+"AM:!..O"</f>
        <v>#VALUE!</v>
      </c>
      <c r="DV219" s="97" t="e">
        <f>'Actual Value'!E300+"AM:!..P"</f>
        <v>#VALUE!</v>
      </c>
      <c r="DW219" s="97" t="e">
        <f>'Actual Value'!F300+"AM:!..Q"</f>
        <v>#VALUE!</v>
      </c>
      <c r="DX219" s="97" t="e">
        <f>'Actual Value'!G300+"AM:!..R"</f>
        <v>#VALUE!</v>
      </c>
      <c r="DY219" s="97" t="e">
        <f>'Actual Value'!H300+"AM:!..S"</f>
        <v>#VALUE!</v>
      </c>
      <c r="DZ219" s="97" t="e">
        <f>'Actual Value'!I300+"AM:!..T"</f>
        <v>#VALUE!</v>
      </c>
      <c r="EA219" s="97" t="e">
        <f>'Actual Value'!J300+"AM:!..U"</f>
        <v>#VALUE!</v>
      </c>
      <c r="EB219" s="97" t="e">
        <f>'Actual Value'!K300+"AM:!..V"</f>
        <v>#VALUE!</v>
      </c>
      <c r="EC219" s="97" t="e">
        <f>'Actual Value'!L300+"AM:!..W"</f>
        <v>#VALUE!</v>
      </c>
      <c r="ED219" s="97" t="e">
        <f>'Actual Value'!M300+"AM:!..X"</f>
        <v>#VALUE!</v>
      </c>
      <c r="EE219" s="97" t="e">
        <f>'Actual Value'!N300+"AM:!..Y"</f>
        <v>#VALUE!</v>
      </c>
      <c r="EF219" s="97" t="e">
        <f>'Actual Value'!O300+"AM:!..Z"</f>
        <v>#VALUE!</v>
      </c>
      <c r="EG219" s="97" t="e">
        <f>'Actual Value'!P300+"AM:!..["</f>
        <v>#VALUE!</v>
      </c>
      <c r="EH219" s="97" t="e">
        <f>'Actual Value'!Q300+"AM:!..\"</f>
        <v>#VALUE!</v>
      </c>
      <c r="EI219" s="97" t="e">
        <f>'Actual Value'!R300+"AM:!..]"</f>
        <v>#VALUE!</v>
      </c>
      <c r="EJ219" s="97" t="e">
        <f>'Actual Value'!S300+"AM:!..^"</f>
        <v>#VALUE!</v>
      </c>
      <c r="EK219" s="97" t="e">
        <f>'Actual Value'!T300+"AM:!.._"</f>
        <v>#VALUE!</v>
      </c>
      <c r="EL219" s="97" t="e">
        <f>'Actual Value'!U300+"AM:!..`"</f>
        <v>#VALUE!</v>
      </c>
      <c r="EM219" s="97" t="e">
        <f>'Actual Value'!V300+"AM:!..a"</f>
        <v>#VALUE!</v>
      </c>
      <c r="EN219" s="97" t="e">
        <f>'Actual Value'!W300+"AM:!..b"</f>
        <v>#VALUE!</v>
      </c>
      <c r="EO219" s="97" t="e">
        <f>'Actual Value'!X300+"AM:!..c"</f>
        <v>#VALUE!</v>
      </c>
      <c r="EP219" s="97" t="e">
        <f>'Actual Value'!Y300+"AM:!..d"</f>
        <v>#VALUE!</v>
      </c>
      <c r="EQ219" s="97" t="e">
        <f>'Actual Value'!Z300+"AM:!..e"</f>
        <v>#VALUE!</v>
      </c>
      <c r="ER219" s="97" t="e">
        <f>'Actual Value'!AA300+"AM:!..f"</f>
        <v>#VALUE!</v>
      </c>
      <c r="ES219" s="97" t="e">
        <f>'Actual Value'!AB300+"AM:!..g"</f>
        <v>#VALUE!</v>
      </c>
      <c r="ET219" s="97" t="e">
        <f>'Actual Value'!AC300+"AM:!..h"</f>
        <v>#VALUE!</v>
      </c>
      <c r="EU219" s="97" t="e">
        <f>'Actual Value'!AD300+"AM:!..i"</f>
        <v>#VALUE!</v>
      </c>
      <c r="EV219" s="97" t="e">
        <f>'Actual Value'!AE300+"AM:!..j"</f>
        <v>#VALUE!</v>
      </c>
      <c r="EW219" s="97" t="e">
        <f>'Actual Value'!AF300+"AM:!..k"</f>
        <v>#VALUE!</v>
      </c>
      <c r="EX219" s="97" t="e">
        <f>'Actual Value'!AG300+"AM:!..l"</f>
        <v>#VALUE!</v>
      </c>
      <c r="EY219" s="97" t="e">
        <f>'Actual Value'!AH300+"AM:!..m"</f>
        <v>#VALUE!</v>
      </c>
      <c r="EZ219" s="97" t="e">
        <f>'Actual Value'!AI300+"AM:!..n"</f>
        <v>#VALUE!</v>
      </c>
      <c r="FA219" s="97" t="e">
        <f>'Actual Value'!AJ300+"AM:!..o"</f>
        <v>#VALUE!</v>
      </c>
      <c r="FB219" s="97" t="e">
        <f>'Actual Value'!AK300+"AM:!..p"</f>
        <v>#VALUE!</v>
      </c>
      <c r="FC219" s="97" t="e">
        <f>'Actual Value'!AL300+"AM:!..q"</f>
        <v>#VALUE!</v>
      </c>
      <c r="FD219" s="97" t="e">
        <f>'Actual Value'!AM300+"AM:!..r"</f>
        <v>#VALUE!</v>
      </c>
      <c r="FE219" s="97" t="e">
        <f>'Actual Value'!AN300+"AM:!..s"</f>
        <v>#VALUE!</v>
      </c>
      <c r="FF219" s="97" t="e">
        <f>'Actual Value'!AO300+"AM:!..t"</f>
        <v>#VALUE!</v>
      </c>
      <c r="FG219" t="e">
        <f>'Actual Value'!AP300+"AM:!..u"</f>
        <v>#VALUE!</v>
      </c>
      <c r="FH219" t="e">
        <f>'Actual Value'!AQ300+"AM:!..v"</f>
        <v>#VALUE!</v>
      </c>
      <c r="FI219" t="e">
        <f>'Actual Value'!AR300+"AM:!..w"</f>
        <v>#VALUE!</v>
      </c>
      <c r="FJ219" t="e">
        <f>'Actual Value'!AS300+"AM:!..x"</f>
        <v>#VALUE!</v>
      </c>
      <c r="FK219" t="e">
        <f>'Actual Value'!AT300+"AM:!..y"</f>
        <v>#VALUE!</v>
      </c>
      <c r="FL219" t="e">
        <f>'Actual Value'!AU300+"AM:!..z"</f>
        <v>#VALUE!</v>
      </c>
      <c r="FM219" t="e">
        <f>'Actual Value'!AV300+"AM:!..{"</f>
        <v>#VALUE!</v>
      </c>
      <c r="FN219" t="e">
        <f>'Actual Value'!AW300+"AM:!..|"</f>
        <v>#VALUE!</v>
      </c>
      <c r="FO219" t="e">
        <f>'Actual Value'!AX300+"AM:!..}"</f>
        <v>#VALUE!</v>
      </c>
      <c r="FP219" t="e">
        <f>'Actual Value'!A301+"AM:!..~"</f>
        <v>#VALUE!</v>
      </c>
      <c r="FQ219" t="e">
        <f>'Actual Value'!B301+"AM:!./#"</f>
        <v>#VALUE!</v>
      </c>
      <c r="FR219" t="e">
        <f>'Actual Value'!C301+"AM:!./$"</f>
        <v>#VALUE!</v>
      </c>
      <c r="FS219" s="97" t="e">
        <f>'Actual Value'!D301+"AM:!./%"</f>
        <v>#VALUE!</v>
      </c>
      <c r="FT219" s="97" t="e">
        <f>'Actual Value'!E301+"AM:!./&amp;"</f>
        <v>#VALUE!</v>
      </c>
      <c r="FU219" s="97" t="e">
        <f>'Actual Value'!F301+"AM:!./'"</f>
        <v>#VALUE!</v>
      </c>
      <c r="FV219" s="97" t="e">
        <f>'Actual Value'!G301+"AM:!./("</f>
        <v>#VALUE!</v>
      </c>
      <c r="FW219" s="97" t="e">
        <f>'Actual Value'!H301+"AM:!./)"</f>
        <v>#VALUE!</v>
      </c>
      <c r="FX219" s="97" t="e">
        <f>'Actual Value'!I301+"AM:!./."</f>
        <v>#VALUE!</v>
      </c>
      <c r="FY219" s="97" t="e">
        <f>'Actual Value'!J301+"AM:!.//"</f>
        <v>#VALUE!</v>
      </c>
      <c r="FZ219" s="97" t="e">
        <f>'Actual Value'!K301+"AM:!./0"</f>
        <v>#VALUE!</v>
      </c>
      <c r="GA219" s="97" t="e">
        <f>'Actual Value'!L301+"AM:!./1"</f>
        <v>#VALUE!</v>
      </c>
      <c r="GB219" s="97" t="e">
        <f>'Actual Value'!M301+"AM:!./2"</f>
        <v>#VALUE!</v>
      </c>
      <c r="GC219" s="97" t="e">
        <f>'Actual Value'!N301+"AM:!./3"</f>
        <v>#VALUE!</v>
      </c>
      <c r="GD219" s="97" t="e">
        <f>'Actual Value'!O301+"AM:!./4"</f>
        <v>#VALUE!</v>
      </c>
      <c r="GE219" s="97" t="e">
        <f>'Actual Value'!P301+"AM:!./5"</f>
        <v>#VALUE!</v>
      </c>
      <c r="GF219" s="97" t="e">
        <f>'Actual Value'!Q301+"AM:!./6"</f>
        <v>#VALUE!</v>
      </c>
      <c r="GG219" s="97" t="e">
        <f>'Actual Value'!R301+"AM:!./7"</f>
        <v>#VALUE!</v>
      </c>
      <c r="GH219" s="97" t="e">
        <f>'Actual Value'!S301+"AM:!./8"</f>
        <v>#VALUE!</v>
      </c>
      <c r="GI219" s="97" t="e">
        <f>'Actual Value'!T301+"AM:!./9"</f>
        <v>#VALUE!</v>
      </c>
      <c r="GJ219" s="97" t="e">
        <f>'Actual Value'!U301+"AM:!./:"</f>
        <v>#VALUE!</v>
      </c>
      <c r="GK219" s="97" t="e">
        <f>'Actual Value'!V301+"AM:!./;"</f>
        <v>#VALUE!</v>
      </c>
      <c r="GL219" s="97" t="e">
        <f>'Actual Value'!W301+"AM:!./&lt;"</f>
        <v>#VALUE!</v>
      </c>
      <c r="GM219" s="97" t="e">
        <f>'Actual Value'!X301+"AM:!./="</f>
        <v>#VALUE!</v>
      </c>
      <c r="GN219" s="97" t="e">
        <f>'Actual Value'!Y301+"AM:!./&gt;"</f>
        <v>#VALUE!</v>
      </c>
      <c r="GO219" s="97" t="e">
        <f>'Actual Value'!Z301+"AM:!./?"</f>
        <v>#VALUE!</v>
      </c>
      <c r="GP219" s="97" t="e">
        <f>'Actual Value'!AA301+"AM:!./@"</f>
        <v>#VALUE!</v>
      </c>
      <c r="GQ219" s="97" t="e">
        <f>'Actual Value'!AB301+"AM:!./A"</f>
        <v>#VALUE!</v>
      </c>
      <c r="GR219" s="97" t="e">
        <f>'Actual Value'!AC301+"AM:!./B"</f>
        <v>#VALUE!</v>
      </c>
      <c r="GS219" s="97" t="e">
        <f>'Actual Value'!AD301+"AM:!./C"</f>
        <v>#VALUE!</v>
      </c>
      <c r="GT219" s="97" t="e">
        <f>'Actual Value'!AE301+"AM:!./D"</f>
        <v>#VALUE!</v>
      </c>
      <c r="GU219" s="97" t="e">
        <f>'Actual Value'!AF301+"AM:!./E"</f>
        <v>#VALUE!</v>
      </c>
      <c r="GV219" s="97" t="e">
        <f>'Actual Value'!AG301+"AM:!./F"</f>
        <v>#VALUE!</v>
      </c>
      <c r="GW219" s="97" t="e">
        <f>'Actual Value'!AH301+"AM:!./G"</f>
        <v>#VALUE!</v>
      </c>
      <c r="GX219" s="97" t="e">
        <f>'Actual Value'!AI301+"AM:!./H"</f>
        <v>#VALUE!</v>
      </c>
      <c r="GY219" s="97" t="e">
        <f>'Actual Value'!AJ301+"AM:!./I"</f>
        <v>#VALUE!</v>
      </c>
      <c r="GZ219" s="97" t="e">
        <f>'Actual Value'!AK301+"AM:!./J"</f>
        <v>#VALUE!</v>
      </c>
      <c r="HA219" s="97" t="e">
        <f>'Actual Value'!AL301+"AM:!./K"</f>
        <v>#VALUE!</v>
      </c>
      <c r="HB219" s="97" t="e">
        <f>'Actual Value'!AM301+"AM:!./L"</f>
        <v>#VALUE!</v>
      </c>
      <c r="HC219" s="97" t="e">
        <f>'Actual Value'!AN301+"AM:!./M"</f>
        <v>#VALUE!</v>
      </c>
      <c r="HD219" s="97" t="e">
        <f>'Actual Value'!AO301+"AM:!./N"</f>
        <v>#VALUE!</v>
      </c>
      <c r="HE219" t="e">
        <f>'Actual Value'!AP301+"AM:!./O"</f>
        <v>#VALUE!</v>
      </c>
      <c r="HF219" t="e">
        <f>'Actual Value'!AQ301+"AM:!./P"</f>
        <v>#VALUE!</v>
      </c>
      <c r="HG219" t="e">
        <f>'Actual Value'!AR301+"AM:!./Q"</f>
        <v>#VALUE!</v>
      </c>
      <c r="HH219" t="e">
        <f>'Actual Value'!AS301+"AM:!./R"</f>
        <v>#VALUE!</v>
      </c>
      <c r="HI219" t="e">
        <f>'Actual Value'!AT301+"AM:!./S"</f>
        <v>#VALUE!</v>
      </c>
      <c r="HJ219" t="e">
        <f>'Actual Value'!AU301+"AM:!./T"</f>
        <v>#VALUE!</v>
      </c>
      <c r="HK219" t="e">
        <f>'Actual Value'!AV301+"AM:!./U"</f>
        <v>#VALUE!</v>
      </c>
      <c r="HL219" t="e">
        <f>'Actual Value'!AW301+"AM:!./V"</f>
        <v>#VALUE!</v>
      </c>
      <c r="HM219" t="e">
        <f>'Actual Value'!AX301+"AM:!./W"</f>
        <v>#VALUE!</v>
      </c>
      <c r="HN219" t="e">
        <f>'Actual Value'!A302+"AM:!./X"</f>
        <v>#VALUE!</v>
      </c>
      <c r="HO219" t="e">
        <f>'Actual Value'!B302+"AM:!./Y"</f>
        <v>#VALUE!</v>
      </c>
      <c r="HP219" t="e">
        <f>'Actual Value'!C302+"AM:!./Z"</f>
        <v>#VALUE!</v>
      </c>
      <c r="HQ219" t="e">
        <f>'Actual Value'!D302+"AM:!./["</f>
        <v>#VALUE!</v>
      </c>
      <c r="HR219" t="e">
        <f>'Actual Value'!E302+"AM:!./\"</f>
        <v>#VALUE!</v>
      </c>
      <c r="HS219" t="e">
        <f>'Actual Value'!F302+"AM:!./]"</f>
        <v>#VALUE!</v>
      </c>
      <c r="HT219" t="e">
        <f>'Actual Value'!G302+"AM:!./^"</f>
        <v>#VALUE!</v>
      </c>
      <c r="HU219" t="e">
        <f>'Actual Value'!H302+"AM:!./_"</f>
        <v>#VALUE!</v>
      </c>
      <c r="HV219" t="e">
        <f>'Actual Value'!I302+"AM:!./`"</f>
        <v>#VALUE!</v>
      </c>
      <c r="HW219" t="e">
        <f>'Actual Value'!J302+"AM:!./a"</f>
        <v>#VALUE!</v>
      </c>
      <c r="HX219" t="e">
        <f>'Actual Value'!K302+"AM:!./b"</f>
        <v>#VALUE!</v>
      </c>
      <c r="HY219" t="e">
        <f>'Actual Value'!L302+"AM:!./c"</f>
        <v>#VALUE!</v>
      </c>
      <c r="HZ219" t="e">
        <f>'Actual Value'!M302+"AM:!./d"</f>
        <v>#VALUE!</v>
      </c>
      <c r="IA219" t="e">
        <f>'Actual Value'!N302+"AM:!./e"</f>
        <v>#VALUE!</v>
      </c>
      <c r="IB219" t="e">
        <f>'Actual Value'!O302+"AM:!./f"</f>
        <v>#VALUE!</v>
      </c>
      <c r="IC219" t="e">
        <f>'Actual Value'!P302+"AM:!./g"</f>
        <v>#VALUE!</v>
      </c>
      <c r="ID219" t="e">
        <f>'Actual Value'!Q302+"AM:!./h"</f>
        <v>#VALUE!</v>
      </c>
      <c r="IE219" t="e">
        <f>'Actual Value'!R302+"AM:!./i"</f>
        <v>#VALUE!</v>
      </c>
      <c r="IF219" t="e">
        <f>'Actual Value'!S302+"AM:!./j"</f>
        <v>#VALUE!</v>
      </c>
      <c r="IG219" t="e">
        <f>'Actual Value'!T302+"AM:!./k"</f>
        <v>#VALUE!</v>
      </c>
      <c r="IH219" t="e">
        <f>'Actual Value'!U302+"AM:!./l"</f>
        <v>#VALUE!</v>
      </c>
      <c r="II219" t="e">
        <f>'Actual Value'!V302+"AM:!./m"</f>
        <v>#VALUE!</v>
      </c>
      <c r="IJ219" t="e">
        <f>'Actual Value'!W302+"AM:!./n"</f>
        <v>#VALUE!</v>
      </c>
      <c r="IK219" t="e">
        <f>'Actual Value'!X302+"AM:!./o"</f>
        <v>#VALUE!</v>
      </c>
      <c r="IL219" t="e">
        <f>'Actual Value'!Y302+"AM:!./p"</f>
        <v>#VALUE!</v>
      </c>
      <c r="IM219" t="e">
        <f>'Actual Value'!Z302+"AM:!./q"</f>
        <v>#VALUE!</v>
      </c>
      <c r="IN219" t="e">
        <f>'Actual Value'!AA302+"AM:!./r"</f>
        <v>#VALUE!</v>
      </c>
      <c r="IO219" t="e">
        <f>'Actual Value'!AB302+"AM:!./s"</f>
        <v>#VALUE!</v>
      </c>
      <c r="IP219" t="e">
        <f>'Actual Value'!AC302+"AM:!./t"</f>
        <v>#VALUE!</v>
      </c>
      <c r="IQ219" t="e">
        <f>'Actual Value'!AD302+"AM:!./u"</f>
        <v>#VALUE!</v>
      </c>
      <c r="IR219" t="e">
        <f>'Actual Value'!AE302+"AM:!./v"</f>
        <v>#VALUE!</v>
      </c>
      <c r="IS219" t="e">
        <f>'Actual Value'!AF302+"AM:!./w"</f>
        <v>#VALUE!</v>
      </c>
      <c r="IT219" t="e">
        <f>'Actual Value'!AG302+"AM:!./x"</f>
        <v>#VALUE!</v>
      </c>
      <c r="IU219" t="e">
        <f>'Actual Value'!AH302+"AM:!./y"</f>
        <v>#VALUE!</v>
      </c>
      <c r="IV219" t="e">
        <f>'Actual Value'!AI302+"AM:!./z"</f>
        <v>#VALUE!</v>
      </c>
    </row>
    <row r="220" spans="6:256">
      <c r="F220" t="e">
        <f>'Actual Value'!AJ302+"AM:!./{"</f>
        <v>#VALUE!</v>
      </c>
      <c r="G220" t="e">
        <f>'Actual Value'!AK302+"AM:!./|"</f>
        <v>#VALUE!</v>
      </c>
      <c r="H220" t="e">
        <f>'Actual Value'!AL302+"AM:!./}"</f>
        <v>#VALUE!</v>
      </c>
      <c r="I220" t="e">
        <f>'Actual Value'!AM302+"AM:!./~"</f>
        <v>#VALUE!</v>
      </c>
      <c r="J220" t="e">
        <f>'Actual Value'!AN302+"AM:!.0#"</f>
        <v>#VALUE!</v>
      </c>
      <c r="K220" t="e">
        <f>'Actual Value'!AO302+"AM:!.0$"</f>
        <v>#VALUE!</v>
      </c>
      <c r="L220" t="e">
        <f>'Actual Value'!AP302+"AM:!.0%"</f>
        <v>#VALUE!</v>
      </c>
      <c r="M220" t="e">
        <f>'Actual Value'!AQ302+"AM:!.0&amp;"</f>
        <v>#VALUE!</v>
      </c>
      <c r="N220" t="e">
        <f>'Actual Value'!AR302+"AM:!.0'"</f>
        <v>#VALUE!</v>
      </c>
      <c r="O220" t="e">
        <f>'Actual Value'!AS302+"AM:!.0("</f>
        <v>#VALUE!</v>
      </c>
      <c r="P220" t="e">
        <f>'Actual Value'!AT302+"AM:!.0)"</f>
        <v>#VALUE!</v>
      </c>
      <c r="Q220" t="e">
        <f>'Actual Value'!AU302+"AM:!.0."</f>
        <v>#VALUE!</v>
      </c>
      <c r="R220" t="e">
        <f>'Actual Value'!AV302+"AM:!.0/"</f>
        <v>#VALUE!</v>
      </c>
      <c r="S220" t="e">
        <f>'Actual Value'!AW302+"AM:!.00"</f>
        <v>#VALUE!</v>
      </c>
      <c r="T220" t="e">
        <f>'Actual Value'!A303+"AM:!.01"</f>
        <v>#VALUE!</v>
      </c>
      <c r="U220" t="e">
        <f>'Actual Value'!B303+"AM:!.02"</f>
        <v>#VALUE!</v>
      </c>
      <c r="V220" t="e">
        <f>'Actual Value'!C303+"AM:!.03"</f>
        <v>#VALUE!</v>
      </c>
      <c r="W220" s="105" t="e">
        <f>'Actual Value'!D303+"AM:!.04"</f>
        <v>#VALUE!</v>
      </c>
      <c r="X220" s="105" t="e">
        <f>'Actual Value'!E303+"AM:!.05"</f>
        <v>#VALUE!</v>
      </c>
      <c r="Y220" s="105" t="e">
        <f>'Actual Value'!F303+"AM:!.06"</f>
        <v>#VALUE!</v>
      </c>
      <c r="Z220" s="105" t="e">
        <f>'Actual Value'!G303+"AM:!.07"</f>
        <v>#VALUE!</v>
      </c>
      <c r="AA220" s="105" t="e">
        <f>'Actual Value'!H303+"AM:!.08"</f>
        <v>#VALUE!</v>
      </c>
      <c r="AB220" s="105" t="e">
        <f>'Actual Value'!I303+"AM:!.09"</f>
        <v>#VALUE!</v>
      </c>
      <c r="AC220" s="105" t="e">
        <f>'Actual Value'!J303+"AM:!.0:"</f>
        <v>#VALUE!</v>
      </c>
      <c r="AD220" s="105" t="e">
        <f>'Actual Value'!K303+"AM:!.0;"</f>
        <v>#VALUE!</v>
      </c>
      <c r="AE220" s="105" t="e">
        <f>'Actual Value'!L303+"AM:!.0&lt;"</f>
        <v>#VALUE!</v>
      </c>
      <c r="AF220" s="105" t="e">
        <f>'Actual Value'!M303+"AM:!.0="</f>
        <v>#VALUE!</v>
      </c>
      <c r="AG220" s="105" t="e">
        <f>'Actual Value'!N303+"AM:!.0&gt;"</f>
        <v>#VALUE!</v>
      </c>
      <c r="AH220" s="105" t="e">
        <f>'Actual Value'!O303+"AM:!.0?"</f>
        <v>#VALUE!</v>
      </c>
      <c r="AI220" s="105" t="e">
        <f>'Actual Value'!P303+"AM:!.0@"</f>
        <v>#VALUE!</v>
      </c>
      <c r="AJ220" s="105" t="e">
        <f>'Actual Value'!Q303+"AM:!.0A"</f>
        <v>#VALUE!</v>
      </c>
      <c r="AK220" s="105" t="e">
        <f>'Actual Value'!R303+"AM:!.0B"</f>
        <v>#VALUE!</v>
      </c>
      <c r="AL220" s="105" t="e">
        <f>'Actual Value'!S303+"AM:!.0C"</f>
        <v>#VALUE!</v>
      </c>
      <c r="AM220" s="105" t="e">
        <f>'Actual Value'!T303+"AM:!.0D"</f>
        <v>#VALUE!</v>
      </c>
      <c r="AN220" s="105" t="e">
        <f>'Actual Value'!U303+"AM:!.0E"</f>
        <v>#VALUE!</v>
      </c>
      <c r="AO220" s="105" t="e">
        <f>'Actual Value'!V303+"AM:!.0F"</f>
        <v>#VALUE!</v>
      </c>
      <c r="AP220" s="105" t="e">
        <f>'Actual Value'!W303+"AM:!.0G"</f>
        <v>#VALUE!</v>
      </c>
      <c r="AQ220" s="105" t="e">
        <f>'Actual Value'!X303+"AM:!.0H"</f>
        <v>#VALUE!</v>
      </c>
      <c r="AR220" s="105" t="e">
        <f>'Actual Value'!Y303+"AM:!.0I"</f>
        <v>#VALUE!</v>
      </c>
      <c r="AS220" s="105" t="e">
        <f>'Actual Value'!Z303+"AM:!.0J"</f>
        <v>#VALUE!</v>
      </c>
      <c r="AT220" s="105" t="e">
        <f>'Actual Value'!AA303+"AM:!.0K"</f>
        <v>#VALUE!</v>
      </c>
      <c r="AU220" s="105" t="e">
        <f>'Actual Value'!AB303+"AM:!.0L"</f>
        <v>#VALUE!</v>
      </c>
      <c r="AV220" s="105" t="e">
        <f>'Actual Value'!AC303+"AM:!.0M"</f>
        <v>#VALUE!</v>
      </c>
      <c r="AW220" s="105" t="e">
        <f>'Actual Value'!AD303+"AM:!.0N"</f>
        <v>#VALUE!</v>
      </c>
      <c r="AX220" s="105" t="e">
        <f>'Actual Value'!AE303+"AM:!.0O"</f>
        <v>#VALUE!</v>
      </c>
      <c r="AY220" s="105" t="e">
        <f>'Actual Value'!AF303+"AM:!.0P"</f>
        <v>#VALUE!</v>
      </c>
      <c r="AZ220" s="105" t="e">
        <f>'Actual Value'!AG303+"AM:!.0Q"</f>
        <v>#VALUE!</v>
      </c>
      <c r="BA220" s="105" t="e">
        <f>'Actual Value'!AH303+"AM:!.0R"</f>
        <v>#VALUE!</v>
      </c>
      <c r="BB220" s="105" t="e">
        <f>'Actual Value'!AI303+"AM:!.0S"</f>
        <v>#VALUE!</v>
      </c>
      <c r="BC220" s="105" t="e">
        <f>'Actual Value'!AJ303+"AM:!.0T"</f>
        <v>#VALUE!</v>
      </c>
      <c r="BD220" s="105" t="e">
        <f>'Actual Value'!AK303+"AM:!.0U"</f>
        <v>#VALUE!</v>
      </c>
      <c r="BE220" s="105" t="e">
        <f>'Actual Value'!AL303+"AM:!.0V"</f>
        <v>#VALUE!</v>
      </c>
      <c r="BF220" s="105" t="e">
        <f>'Actual Value'!AM303+"AM:!.0W"</f>
        <v>#VALUE!</v>
      </c>
      <c r="BG220" s="105" t="e">
        <f>'Actual Value'!AN303+"AM:!.0X"</f>
        <v>#VALUE!</v>
      </c>
      <c r="BH220" s="105" t="e">
        <f>'Actual Value'!AO303+"AM:!.0Y"</f>
        <v>#VALUE!</v>
      </c>
      <c r="BI220" t="e">
        <f>'Actual Value'!AP303+"AM:!.0Z"</f>
        <v>#VALUE!</v>
      </c>
      <c r="BJ220" s="100" t="e">
        <f>'Actual Value'!AQ303+"AM:!.0["</f>
        <v>#VALUE!</v>
      </c>
      <c r="BK220" s="100" t="e">
        <f>'Actual Value'!AR303+"AM:!.0\"</f>
        <v>#VALUE!</v>
      </c>
      <c r="BL220" s="100" t="e">
        <f>'Actual Value'!AS303+"AM:!.0]"</f>
        <v>#VALUE!</v>
      </c>
      <c r="BM220" s="100" t="e">
        <f>'Actual Value'!AT303+"AM:!.0^"</f>
        <v>#VALUE!</v>
      </c>
      <c r="BN220" s="100" t="e">
        <f>'Actual Value'!AU303+"AM:!.0_"</f>
        <v>#VALUE!</v>
      </c>
      <c r="BO220" t="e">
        <f>'Actual Value'!AV303+"AM:!.0`"</f>
        <v>#VALUE!</v>
      </c>
      <c r="BP220" t="e">
        <f>'Actual Value'!AW303+"AM:!.0a"</f>
        <v>#VALUE!</v>
      </c>
      <c r="BQ220" t="e">
        <f>'Actual Value'!A304+"AM:!.0b"</f>
        <v>#VALUE!</v>
      </c>
      <c r="BR220" t="e">
        <f>'Actual Value'!B304+"AM:!.0c"</f>
        <v>#VALUE!</v>
      </c>
      <c r="BS220" t="e">
        <f>'Actual Value'!C304+"AM:!.0d"</f>
        <v>#VALUE!</v>
      </c>
      <c r="BT220" s="97" t="e">
        <f>'Actual Value'!D304+"AM:!.0e"</f>
        <v>#VALUE!</v>
      </c>
      <c r="BU220" s="97" t="e">
        <f>'Actual Value'!E304+"AM:!.0f"</f>
        <v>#VALUE!</v>
      </c>
      <c r="BV220" s="97" t="e">
        <f>'Actual Value'!F304+"AM:!.0g"</f>
        <v>#VALUE!</v>
      </c>
      <c r="BW220" s="97" t="e">
        <f>'Actual Value'!G304+"AM:!.0h"</f>
        <v>#VALUE!</v>
      </c>
      <c r="BX220" s="97" t="e">
        <f>'Actual Value'!H304+"AM:!.0i"</f>
        <v>#VALUE!</v>
      </c>
      <c r="BY220" s="97" t="e">
        <f>'Actual Value'!I304+"AM:!.0j"</f>
        <v>#VALUE!</v>
      </c>
      <c r="BZ220" s="97" t="e">
        <f>'Actual Value'!J304+"AM:!.0k"</f>
        <v>#VALUE!</v>
      </c>
      <c r="CA220" s="97" t="e">
        <f>'Actual Value'!K304+"AM:!.0l"</f>
        <v>#VALUE!</v>
      </c>
      <c r="CB220" s="97" t="e">
        <f>'Actual Value'!L304+"AM:!.0m"</f>
        <v>#VALUE!</v>
      </c>
      <c r="CC220" s="97" t="e">
        <f>'Actual Value'!M304+"AM:!.0n"</f>
        <v>#VALUE!</v>
      </c>
      <c r="CD220" s="97" t="e">
        <f>'Actual Value'!N304+"AM:!.0o"</f>
        <v>#VALUE!</v>
      </c>
      <c r="CE220" s="97" t="e">
        <f>'Actual Value'!O304+"AM:!.0p"</f>
        <v>#VALUE!</v>
      </c>
      <c r="CF220" s="97" t="e">
        <f>'Actual Value'!P304+"AM:!.0q"</f>
        <v>#VALUE!</v>
      </c>
      <c r="CG220" s="97" t="e">
        <f>'Actual Value'!Q304+"AM:!.0r"</f>
        <v>#VALUE!</v>
      </c>
      <c r="CH220" s="97" t="e">
        <f>'Actual Value'!R304+"AM:!.0s"</f>
        <v>#VALUE!</v>
      </c>
      <c r="CI220" s="97" t="e">
        <f>'Actual Value'!S304+"AM:!.0t"</f>
        <v>#VALUE!</v>
      </c>
      <c r="CJ220" s="97" t="e">
        <f>'Actual Value'!T304+"AM:!.0u"</f>
        <v>#VALUE!</v>
      </c>
      <c r="CK220" s="97" t="e">
        <f>'Actual Value'!U304+"AM:!.0v"</f>
        <v>#VALUE!</v>
      </c>
      <c r="CL220" s="97" t="e">
        <f>'Actual Value'!V304+"AM:!.0w"</f>
        <v>#VALUE!</v>
      </c>
      <c r="CM220" s="97" t="e">
        <f>'Actual Value'!W304+"AM:!.0x"</f>
        <v>#VALUE!</v>
      </c>
      <c r="CN220" s="97" t="e">
        <f>'Actual Value'!X304+"AM:!.0y"</f>
        <v>#VALUE!</v>
      </c>
      <c r="CO220" s="97" t="e">
        <f>'Actual Value'!Y304+"AM:!.0z"</f>
        <v>#VALUE!</v>
      </c>
      <c r="CP220" s="97" t="e">
        <f>'Actual Value'!Z304+"AM:!.0{"</f>
        <v>#VALUE!</v>
      </c>
      <c r="CQ220" s="97" t="e">
        <f>'Actual Value'!AA304+"AM:!.0|"</f>
        <v>#VALUE!</v>
      </c>
      <c r="CR220" s="97" t="e">
        <f>'Actual Value'!AB304+"AM:!.0}"</f>
        <v>#VALUE!</v>
      </c>
      <c r="CS220" s="97" t="e">
        <f>'Actual Value'!AC304+"AM:!.0~"</f>
        <v>#VALUE!</v>
      </c>
      <c r="CT220" s="97" t="e">
        <f>'Actual Value'!AD304+"AM:!.1#"</f>
        <v>#VALUE!</v>
      </c>
      <c r="CU220" s="97" t="e">
        <f>'Actual Value'!AE304+"AM:!.1$"</f>
        <v>#VALUE!</v>
      </c>
      <c r="CV220" s="97" t="e">
        <f>'Actual Value'!AF304+"AM:!.1%"</f>
        <v>#VALUE!</v>
      </c>
      <c r="CW220" s="97" t="e">
        <f>'Actual Value'!AG304+"AM:!.1&amp;"</f>
        <v>#VALUE!</v>
      </c>
      <c r="CX220" s="97" t="e">
        <f>'Actual Value'!AH304+"AM:!.1'"</f>
        <v>#VALUE!</v>
      </c>
      <c r="CY220" s="97" t="e">
        <f>'Actual Value'!AI304+"AM:!.1("</f>
        <v>#VALUE!</v>
      </c>
      <c r="CZ220" s="97" t="e">
        <f>'Actual Value'!AJ304+"AM:!.1)"</f>
        <v>#VALUE!</v>
      </c>
      <c r="DA220" s="97" t="e">
        <f>'Actual Value'!AK304+"AM:!.1."</f>
        <v>#VALUE!</v>
      </c>
      <c r="DB220" s="97" t="e">
        <f>'Actual Value'!AL304+"AM:!.1/"</f>
        <v>#VALUE!</v>
      </c>
      <c r="DC220" s="97" t="e">
        <f>'Actual Value'!AM304+"AM:!.10"</f>
        <v>#VALUE!</v>
      </c>
      <c r="DD220" s="97" t="e">
        <f>'Actual Value'!AN304+"AM:!.11"</f>
        <v>#VALUE!</v>
      </c>
      <c r="DE220" s="97" t="e">
        <f>'Actual Value'!AO304+"AM:!.12"</f>
        <v>#VALUE!</v>
      </c>
      <c r="DF220" t="e">
        <f>'Actual Value'!AP304+"AM:!.13"</f>
        <v>#VALUE!</v>
      </c>
      <c r="DG220" t="e">
        <f>'Actual Value'!AQ304+"AM:!.14"</f>
        <v>#VALUE!</v>
      </c>
      <c r="DH220" t="e">
        <f>'Actual Value'!AR304+"AM:!.15"</f>
        <v>#VALUE!</v>
      </c>
      <c r="DI220" s="97" t="e">
        <f>'Actual Value'!AS304+"AM:!.16"</f>
        <v>#VALUE!</v>
      </c>
      <c r="DJ220" t="e">
        <f>'Actual Value'!AT304+"AM:!.17"</f>
        <v>#VALUE!</v>
      </c>
      <c r="DK220" t="e">
        <f>'Actual Value'!AU304+"AM:!.18"</f>
        <v>#VALUE!</v>
      </c>
      <c r="DL220" t="e">
        <f>'Actual Value'!AV304+"AM:!.19"</f>
        <v>#VALUE!</v>
      </c>
      <c r="DM220" t="e">
        <f>'Actual Value'!AW304+"AM:!.1:"</f>
        <v>#VALUE!</v>
      </c>
      <c r="DN220" t="e">
        <f>'Actual Value'!A305+"AM:!.1;"</f>
        <v>#VALUE!</v>
      </c>
      <c r="DO220" t="e">
        <f>'Actual Value'!B305+"AM:!.1&lt;"</f>
        <v>#VALUE!</v>
      </c>
      <c r="DP220" t="e">
        <f>'Actual Value'!C305+"AM:!.1="</f>
        <v>#VALUE!</v>
      </c>
      <c r="DQ220" s="97" t="e">
        <f>'Actual Value'!D305+"AM:!.1&gt;"</f>
        <v>#VALUE!</v>
      </c>
      <c r="DR220" s="97" t="e">
        <f>'Actual Value'!E305+"AM:!.1?"</f>
        <v>#VALUE!</v>
      </c>
      <c r="DS220" s="97" t="e">
        <f>'Actual Value'!F305+"AM:!.1@"</f>
        <v>#VALUE!</v>
      </c>
      <c r="DT220" s="97" t="e">
        <f>'Actual Value'!G305+"AM:!.1A"</f>
        <v>#VALUE!</v>
      </c>
      <c r="DU220" s="97" t="e">
        <f>'Actual Value'!H305+"AM:!.1B"</f>
        <v>#VALUE!</v>
      </c>
      <c r="DV220" s="97" t="e">
        <f>'Actual Value'!I305+"AM:!.1C"</f>
        <v>#VALUE!</v>
      </c>
      <c r="DW220" s="97" t="e">
        <f>'Actual Value'!J305+"AM:!.1D"</f>
        <v>#VALUE!</v>
      </c>
      <c r="DX220" s="97" t="e">
        <f>'Actual Value'!K305+"AM:!.1E"</f>
        <v>#VALUE!</v>
      </c>
      <c r="DY220" s="97" t="e">
        <f>'Actual Value'!L305+"AM:!.1F"</f>
        <v>#VALUE!</v>
      </c>
      <c r="DZ220" s="97" t="e">
        <f>'Actual Value'!M305+"AM:!.1G"</f>
        <v>#VALUE!</v>
      </c>
      <c r="EA220" s="97" t="e">
        <f>'Actual Value'!N305+"AM:!.1H"</f>
        <v>#VALUE!</v>
      </c>
      <c r="EB220" s="97" t="e">
        <f>'Actual Value'!O305+"AM:!.1I"</f>
        <v>#VALUE!</v>
      </c>
      <c r="EC220" s="97" t="e">
        <f>'Actual Value'!P305+"AM:!.1J"</f>
        <v>#VALUE!</v>
      </c>
      <c r="ED220" s="97" t="e">
        <f>'Actual Value'!Q305+"AM:!.1K"</f>
        <v>#VALUE!</v>
      </c>
      <c r="EE220" s="97" t="e">
        <f>'Actual Value'!R305+"AM:!.1L"</f>
        <v>#VALUE!</v>
      </c>
      <c r="EF220" s="97" t="e">
        <f>'Actual Value'!S305+"AM:!.1M"</f>
        <v>#VALUE!</v>
      </c>
      <c r="EG220" s="97" t="e">
        <f>'Actual Value'!T305+"AM:!.1N"</f>
        <v>#VALUE!</v>
      </c>
      <c r="EH220" s="97" t="e">
        <f>'Actual Value'!U305+"AM:!.1O"</f>
        <v>#VALUE!</v>
      </c>
      <c r="EI220" s="97" t="e">
        <f>'Actual Value'!V305+"AM:!.1P"</f>
        <v>#VALUE!</v>
      </c>
      <c r="EJ220" s="97" t="e">
        <f>'Actual Value'!W305+"AM:!.1Q"</f>
        <v>#VALUE!</v>
      </c>
      <c r="EK220" s="97" t="e">
        <f>'Actual Value'!X305+"AM:!.1R"</f>
        <v>#VALUE!</v>
      </c>
      <c r="EL220" s="97" t="e">
        <f>'Actual Value'!Y305+"AM:!.1S"</f>
        <v>#VALUE!</v>
      </c>
      <c r="EM220" s="97" t="e">
        <f>'Actual Value'!Z305+"AM:!.1T"</f>
        <v>#VALUE!</v>
      </c>
      <c r="EN220" s="97" t="e">
        <f>'Actual Value'!AA305+"AM:!.1U"</f>
        <v>#VALUE!</v>
      </c>
      <c r="EO220" s="97" t="e">
        <f>'Actual Value'!AB305+"AM:!.1V"</f>
        <v>#VALUE!</v>
      </c>
      <c r="EP220" s="97" t="e">
        <f>'Actual Value'!AC305+"AM:!.1W"</f>
        <v>#VALUE!</v>
      </c>
      <c r="EQ220" s="97" t="e">
        <f>'Actual Value'!AD305+"AM:!.1X"</f>
        <v>#VALUE!</v>
      </c>
      <c r="ER220" s="97" t="e">
        <f>'Actual Value'!AE305+"AM:!.1Y"</f>
        <v>#VALUE!</v>
      </c>
      <c r="ES220" s="97" t="e">
        <f>'Actual Value'!AF305+"AM:!.1Z"</f>
        <v>#VALUE!</v>
      </c>
      <c r="ET220" s="97" t="e">
        <f>'Actual Value'!AG305+"AM:!.1["</f>
        <v>#VALUE!</v>
      </c>
      <c r="EU220" s="97" t="e">
        <f>'Actual Value'!AH305+"AM:!.1\"</f>
        <v>#VALUE!</v>
      </c>
      <c r="EV220" s="97" t="e">
        <f>'Actual Value'!AI305+"AM:!.1]"</f>
        <v>#VALUE!</v>
      </c>
      <c r="EW220" s="97" t="e">
        <f>'Actual Value'!AJ305+"AM:!.1^"</f>
        <v>#VALUE!</v>
      </c>
      <c r="EX220" s="97" t="e">
        <f>'Actual Value'!AK305+"AM:!.1_"</f>
        <v>#VALUE!</v>
      </c>
      <c r="EY220" s="97" t="e">
        <f>'Actual Value'!AL305+"AM:!.1`"</f>
        <v>#VALUE!</v>
      </c>
      <c r="EZ220" s="97" t="e">
        <f>'Actual Value'!AM305+"AM:!.1a"</f>
        <v>#VALUE!</v>
      </c>
      <c r="FA220" s="97" t="e">
        <f>'Actual Value'!AN305+"AM:!.1b"</f>
        <v>#VALUE!</v>
      </c>
      <c r="FB220" s="97" t="e">
        <f>'Actual Value'!AO305+"AM:!.1c"</f>
        <v>#VALUE!</v>
      </c>
      <c r="FC220" t="e">
        <f>'Actual Value'!AP305+"AM:!.1d"</f>
        <v>#VALUE!</v>
      </c>
      <c r="FD220" t="e">
        <f>'Actual Value'!AQ305+"AM:!.1e"</f>
        <v>#VALUE!</v>
      </c>
      <c r="FE220" t="e">
        <f>'Actual Value'!AR305+"AM:!.1f"</f>
        <v>#VALUE!</v>
      </c>
      <c r="FF220" s="97" t="e">
        <f>'Actual Value'!AS305+"AM:!.1g"</f>
        <v>#VALUE!</v>
      </c>
      <c r="FG220" t="e">
        <f>'Actual Value'!AT305+"AM:!.1h"</f>
        <v>#VALUE!</v>
      </c>
      <c r="FH220" t="e">
        <f>'Actual Value'!AU305+"AM:!.1i"</f>
        <v>#VALUE!</v>
      </c>
      <c r="FI220" t="e">
        <f>'Actual Value'!AV305+"AM:!.1j"</f>
        <v>#VALUE!</v>
      </c>
      <c r="FJ220" t="e">
        <f>'Actual Value'!AW305+"AM:!.1k"</f>
        <v>#VALUE!</v>
      </c>
      <c r="FK220" t="e">
        <f>'Actual Value'!A306+"AM:!.1l"</f>
        <v>#VALUE!</v>
      </c>
      <c r="FL220" t="e">
        <f>'Actual Value'!B306+"AM:!.1m"</f>
        <v>#VALUE!</v>
      </c>
      <c r="FM220" t="e">
        <f>'Actual Value'!C306+"AM:!.1n"</f>
        <v>#VALUE!</v>
      </c>
      <c r="FN220" s="97" t="e">
        <f>'Actual Value'!D306+"AM:!.1o"</f>
        <v>#VALUE!</v>
      </c>
      <c r="FO220" s="97" t="e">
        <f>'Actual Value'!E306+"AM:!.1p"</f>
        <v>#VALUE!</v>
      </c>
      <c r="FP220" s="97" t="e">
        <f>'Actual Value'!F306+"AM:!.1q"</f>
        <v>#VALUE!</v>
      </c>
      <c r="FQ220" s="97" t="e">
        <f>'Actual Value'!G306+"AM:!.1r"</f>
        <v>#VALUE!</v>
      </c>
      <c r="FR220" s="97" t="e">
        <f>'Actual Value'!H306+"AM:!.1s"</f>
        <v>#VALUE!</v>
      </c>
      <c r="FS220" s="97" t="e">
        <f>'Actual Value'!I306+"AM:!.1t"</f>
        <v>#VALUE!</v>
      </c>
      <c r="FT220" s="97" t="e">
        <f>'Actual Value'!J306+"AM:!.1u"</f>
        <v>#VALUE!</v>
      </c>
      <c r="FU220" s="97" t="e">
        <f>'Actual Value'!K306+"AM:!.1v"</f>
        <v>#VALUE!</v>
      </c>
      <c r="FV220" s="97" t="e">
        <f>'Actual Value'!L306+"AM:!.1w"</f>
        <v>#VALUE!</v>
      </c>
      <c r="FW220" s="97" t="e">
        <f>'Actual Value'!M306+"AM:!.1x"</f>
        <v>#VALUE!</v>
      </c>
      <c r="FX220" s="97" t="e">
        <f>'Actual Value'!N306+"AM:!.1y"</f>
        <v>#VALUE!</v>
      </c>
      <c r="FY220" s="97" t="e">
        <f>'Actual Value'!O306+"AM:!.1z"</f>
        <v>#VALUE!</v>
      </c>
      <c r="FZ220" s="97" t="e">
        <f>'Actual Value'!P306+"AM:!.1{"</f>
        <v>#VALUE!</v>
      </c>
      <c r="GA220" s="97" t="e">
        <f>'Actual Value'!Q306+"AM:!.1|"</f>
        <v>#VALUE!</v>
      </c>
      <c r="GB220" s="97" t="e">
        <f>'Actual Value'!R306+"AM:!.1}"</f>
        <v>#VALUE!</v>
      </c>
      <c r="GC220" s="97" t="e">
        <f>'Actual Value'!S306+"AM:!.1~"</f>
        <v>#VALUE!</v>
      </c>
      <c r="GD220" s="97" t="e">
        <f>'Actual Value'!T306+"AM:!.2#"</f>
        <v>#VALUE!</v>
      </c>
      <c r="GE220" s="97" t="e">
        <f>'Actual Value'!U306+"AM:!.2$"</f>
        <v>#VALUE!</v>
      </c>
      <c r="GF220" s="97" t="e">
        <f>'Actual Value'!V306+"AM:!.2%"</f>
        <v>#VALUE!</v>
      </c>
      <c r="GG220" s="97" t="e">
        <f>'Actual Value'!W306+"AM:!.2&amp;"</f>
        <v>#VALUE!</v>
      </c>
      <c r="GH220" s="97" t="e">
        <f>'Actual Value'!X306+"AM:!.2'"</f>
        <v>#VALUE!</v>
      </c>
      <c r="GI220" s="97" t="e">
        <f>'Actual Value'!Y306+"AM:!.2("</f>
        <v>#VALUE!</v>
      </c>
      <c r="GJ220" s="97" t="e">
        <f>'Actual Value'!Z306+"AM:!.2)"</f>
        <v>#VALUE!</v>
      </c>
      <c r="GK220" s="97" t="e">
        <f>'Actual Value'!AA306+"AM:!.2."</f>
        <v>#VALUE!</v>
      </c>
      <c r="GL220" s="97" t="e">
        <f>'Actual Value'!AB306+"AM:!.2/"</f>
        <v>#VALUE!</v>
      </c>
      <c r="GM220" s="97" t="e">
        <f>'Actual Value'!AC306+"AM:!.20"</f>
        <v>#VALUE!</v>
      </c>
      <c r="GN220" s="97" t="e">
        <f>'Actual Value'!AD306+"AM:!.21"</f>
        <v>#VALUE!</v>
      </c>
      <c r="GO220" s="97" t="e">
        <f>'Actual Value'!AE306+"AM:!.22"</f>
        <v>#VALUE!</v>
      </c>
      <c r="GP220" s="97" t="e">
        <f>'Actual Value'!AF306+"AM:!.23"</f>
        <v>#VALUE!</v>
      </c>
      <c r="GQ220" s="97" t="e">
        <f>'Actual Value'!AG306+"AM:!.24"</f>
        <v>#VALUE!</v>
      </c>
      <c r="GR220" s="97" t="e">
        <f>'Actual Value'!AH306+"AM:!.25"</f>
        <v>#VALUE!</v>
      </c>
      <c r="GS220" s="97" t="e">
        <f>'Actual Value'!AI306+"AM:!.26"</f>
        <v>#VALUE!</v>
      </c>
      <c r="GT220" s="97" t="e">
        <f>'Actual Value'!AJ306+"AM:!.27"</f>
        <v>#VALUE!</v>
      </c>
      <c r="GU220" s="97" t="e">
        <f>'Actual Value'!AK306+"AM:!.28"</f>
        <v>#VALUE!</v>
      </c>
      <c r="GV220" s="97" t="e">
        <f>'Actual Value'!AL306+"AM:!.29"</f>
        <v>#VALUE!</v>
      </c>
      <c r="GW220" s="97" t="e">
        <f>'Actual Value'!AM306+"AM:!.2:"</f>
        <v>#VALUE!</v>
      </c>
      <c r="GX220" s="97" t="e">
        <f>'Actual Value'!AN306+"AM:!.2;"</f>
        <v>#VALUE!</v>
      </c>
      <c r="GY220" s="97" t="e">
        <f>'Actual Value'!AO306+"AM:!.2&lt;"</f>
        <v>#VALUE!</v>
      </c>
      <c r="GZ220" t="e">
        <f>'Actual Value'!AP306+"AM:!.2="</f>
        <v>#VALUE!</v>
      </c>
      <c r="HA220" t="e">
        <f>'Actual Value'!AQ306+"AM:!.2&gt;"</f>
        <v>#VALUE!</v>
      </c>
      <c r="HB220" t="e">
        <f>'Actual Value'!AR306+"AM:!.2?"</f>
        <v>#VALUE!</v>
      </c>
      <c r="HC220" t="e">
        <f>'Actual Value'!AS306+"AM:!.2@"</f>
        <v>#VALUE!</v>
      </c>
      <c r="HD220" t="e">
        <f>'Actual Value'!AT306+"AM:!.2A"</f>
        <v>#VALUE!</v>
      </c>
      <c r="HE220" t="e">
        <f>'Actual Value'!AU306+"AM:!.2B"</f>
        <v>#VALUE!</v>
      </c>
      <c r="HF220" t="e">
        <f>'Actual Value'!AV306+"AM:!.2C"</f>
        <v>#VALUE!</v>
      </c>
      <c r="HG220" t="e">
        <f>'Actual Value'!AW306+"AM:!.2D"</f>
        <v>#VALUE!</v>
      </c>
      <c r="HH220" t="e">
        <f>'Actual Value'!A307+"AM:!.2E"</f>
        <v>#VALUE!</v>
      </c>
      <c r="HI220" t="e">
        <f>'Actual Value'!B307+"AM:!.2F"</f>
        <v>#VALUE!</v>
      </c>
      <c r="HJ220" t="e">
        <f>'Actual Value'!C307+"AM:!.2G"</f>
        <v>#VALUE!</v>
      </c>
      <c r="HK220" s="97" t="e">
        <f>'Actual Value'!D307+"AM:!.2H"</f>
        <v>#VALUE!</v>
      </c>
      <c r="HL220" s="97" t="e">
        <f>'Actual Value'!E307+"AM:!.2I"</f>
        <v>#VALUE!</v>
      </c>
      <c r="HM220" s="97" t="e">
        <f>'Actual Value'!F307+"AM:!.2J"</f>
        <v>#VALUE!</v>
      </c>
      <c r="HN220" s="97" t="e">
        <f>'Actual Value'!G307+"AM:!.2K"</f>
        <v>#VALUE!</v>
      </c>
      <c r="HO220" s="97" t="e">
        <f>'Actual Value'!H307+"AM:!.2L"</f>
        <v>#VALUE!</v>
      </c>
      <c r="HP220" s="97" t="e">
        <f>'Actual Value'!I307+"AM:!.2M"</f>
        <v>#VALUE!</v>
      </c>
      <c r="HQ220" s="97" t="e">
        <f>'Actual Value'!J307+"AM:!.2N"</f>
        <v>#VALUE!</v>
      </c>
      <c r="HR220" s="97" t="e">
        <f>'Actual Value'!K307+"AM:!.2O"</f>
        <v>#VALUE!</v>
      </c>
      <c r="HS220" s="97" t="e">
        <f>'Actual Value'!L307+"AM:!.2P"</f>
        <v>#VALUE!</v>
      </c>
      <c r="HT220" s="97" t="e">
        <f>'Actual Value'!M307+"AM:!.2Q"</f>
        <v>#VALUE!</v>
      </c>
      <c r="HU220" s="97" t="e">
        <f>'Actual Value'!N307+"AM:!.2R"</f>
        <v>#VALUE!</v>
      </c>
      <c r="HV220" s="97" t="e">
        <f>'Actual Value'!O307+"AM:!.2S"</f>
        <v>#VALUE!</v>
      </c>
      <c r="HW220" s="97" t="e">
        <f>'Actual Value'!P307+"AM:!.2T"</f>
        <v>#VALUE!</v>
      </c>
      <c r="HX220" s="97" t="e">
        <f>'Actual Value'!Q307+"AM:!.2U"</f>
        <v>#VALUE!</v>
      </c>
      <c r="HY220" s="97" t="e">
        <f>'Actual Value'!R307+"AM:!.2V"</f>
        <v>#VALUE!</v>
      </c>
      <c r="HZ220" s="97" t="e">
        <f>'Actual Value'!S307+"AM:!.2W"</f>
        <v>#VALUE!</v>
      </c>
      <c r="IA220" s="97" t="e">
        <f>'Actual Value'!T307+"AM:!.2X"</f>
        <v>#VALUE!</v>
      </c>
      <c r="IB220" s="97" t="e">
        <f>'Actual Value'!U307+"AM:!.2Y"</f>
        <v>#VALUE!</v>
      </c>
      <c r="IC220" s="97" t="e">
        <f>'Actual Value'!V307+"AM:!.2Z"</f>
        <v>#VALUE!</v>
      </c>
      <c r="ID220" s="97" t="e">
        <f>'Actual Value'!W307+"AM:!.2["</f>
        <v>#VALUE!</v>
      </c>
      <c r="IE220" s="97" t="e">
        <f>'Actual Value'!X307+"AM:!.2\"</f>
        <v>#VALUE!</v>
      </c>
      <c r="IF220" s="97" t="e">
        <f>'Actual Value'!Y307+"AM:!.2]"</f>
        <v>#VALUE!</v>
      </c>
      <c r="IG220" s="97" t="e">
        <f>'Actual Value'!Z307+"AM:!.2^"</f>
        <v>#VALUE!</v>
      </c>
      <c r="IH220" s="97" t="e">
        <f>'Actual Value'!AA307+"AM:!.2_"</f>
        <v>#VALUE!</v>
      </c>
      <c r="II220" s="97" t="e">
        <f>'Actual Value'!AB307+"AM:!.2`"</f>
        <v>#VALUE!</v>
      </c>
      <c r="IJ220" s="97" t="e">
        <f>'Actual Value'!AC307+"AM:!.2a"</f>
        <v>#VALUE!</v>
      </c>
      <c r="IK220" s="97" t="e">
        <f>'Actual Value'!AD307+"AM:!.2b"</f>
        <v>#VALUE!</v>
      </c>
      <c r="IL220" s="97" t="e">
        <f>'Actual Value'!AE307+"AM:!.2c"</f>
        <v>#VALUE!</v>
      </c>
      <c r="IM220" s="97" t="e">
        <f>'Actual Value'!AF307+"AM:!.2d"</f>
        <v>#VALUE!</v>
      </c>
      <c r="IN220" s="97" t="e">
        <f>'Actual Value'!AG307+"AM:!.2e"</f>
        <v>#VALUE!</v>
      </c>
      <c r="IO220" s="97" t="e">
        <f>'Actual Value'!AH307+"AM:!.2f"</f>
        <v>#VALUE!</v>
      </c>
      <c r="IP220" s="97" t="e">
        <f>'Actual Value'!AI307+"AM:!.2g"</f>
        <v>#VALUE!</v>
      </c>
      <c r="IQ220" s="97" t="e">
        <f>'Actual Value'!AJ307+"AM:!.2h"</f>
        <v>#VALUE!</v>
      </c>
      <c r="IR220" s="97" t="e">
        <f>'Actual Value'!AK307+"AM:!.2i"</f>
        <v>#VALUE!</v>
      </c>
      <c r="IS220" s="97" t="e">
        <f>'Actual Value'!AL307+"AM:!.2j"</f>
        <v>#VALUE!</v>
      </c>
      <c r="IT220" s="97" t="e">
        <f>'Actual Value'!AM307+"AM:!.2k"</f>
        <v>#VALUE!</v>
      </c>
      <c r="IU220" s="97" t="e">
        <f>'Actual Value'!AN307+"AM:!.2l"</f>
        <v>#VALUE!</v>
      </c>
      <c r="IV220" s="97" t="e">
        <f>'Actual Value'!AO307+"AM:!.2m"</f>
        <v>#VALUE!</v>
      </c>
    </row>
    <row r="221" spans="6:256">
      <c r="F221" t="e">
        <f>'Actual Value'!AP307+"AM:!.2n"</f>
        <v>#VALUE!</v>
      </c>
      <c r="G221" t="e">
        <f>'Actual Value'!AQ307+"AM:!.2o"</f>
        <v>#VALUE!</v>
      </c>
      <c r="H221" t="e">
        <f>'Actual Value'!AR307+"AM:!.2p"</f>
        <v>#VALUE!</v>
      </c>
      <c r="I221" t="e">
        <f>'Actual Value'!AS307+"AM:!.2q"</f>
        <v>#VALUE!</v>
      </c>
      <c r="J221" t="e">
        <f>'Actual Value'!AT307+"AM:!.2r"</f>
        <v>#VALUE!</v>
      </c>
      <c r="K221" t="e">
        <f>'Actual Value'!AU307+"AM:!.2s"</f>
        <v>#VALUE!</v>
      </c>
      <c r="L221" t="e">
        <f>'Actual Value'!AV307+"AM:!.2t"</f>
        <v>#VALUE!</v>
      </c>
      <c r="M221" t="e">
        <f>'Actual Value'!AW307+"AM:!.2u"</f>
        <v>#VALUE!</v>
      </c>
      <c r="N221" t="e">
        <f>'Actual Value'!AX307+"AM:!.2v"</f>
        <v>#VALUE!</v>
      </c>
      <c r="O221" t="e">
        <f>'Actual Value'!A308+"AM:!.2w"</f>
        <v>#VALUE!</v>
      </c>
      <c r="P221" t="e">
        <f>'Actual Value'!B308+"AM:!.2x"</f>
        <v>#VALUE!</v>
      </c>
      <c r="Q221" t="e">
        <f>'Actual Value'!C308+"AM:!.2y"</f>
        <v>#VALUE!</v>
      </c>
      <c r="R221" s="97" t="e">
        <f>'Actual Value'!D308+"AM:!.2z"</f>
        <v>#VALUE!</v>
      </c>
      <c r="S221" s="97" t="e">
        <f>'Actual Value'!E308+"AM:!.2{"</f>
        <v>#VALUE!</v>
      </c>
      <c r="T221" s="97" t="e">
        <f>'Actual Value'!F308+"AM:!.2|"</f>
        <v>#VALUE!</v>
      </c>
      <c r="U221" s="97" t="e">
        <f>'Actual Value'!G308+"AM:!.2}"</f>
        <v>#VALUE!</v>
      </c>
      <c r="V221" s="97" t="e">
        <f>'Actual Value'!H308+"AM:!.2~"</f>
        <v>#VALUE!</v>
      </c>
      <c r="W221" s="97" t="e">
        <f>'Actual Value'!I308+"AM:!.3#"</f>
        <v>#VALUE!</v>
      </c>
      <c r="X221" s="97" t="e">
        <f>'Actual Value'!J308+"AM:!.3$"</f>
        <v>#VALUE!</v>
      </c>
      <c r="Y221" s="97" t="e">
        <f>'Actual Value'!K308+"AM:!.3%"</f>
        <v>#VALUE!</v>
      </c>
      <c r="Z221" s="97" t="e">
        <f>'Actual Value'!L308+"AM:!.3&amp;"</f>
        <v>#VALUE!</v>
      </c>
      <c r="AA221" s="97" t="e">
        <f>'Actual Value'!M308+"AM:!.3'"</f>
        <v>#VALUE!</v>
      </c>
      <c r="AB221" s="97" t="e">
        <f>'Actual Value'!N308+"AM:!.3("</f>
        <v>#VALUE!</v>
      </c>
      <c r="AC221" s="97" t="e">
        <f>'Actual Value'!O308+"AM:!.3)"</f>
        <v>#VALUE!</v>
      </c>
      <c r="AD221" s="97" t="e">
        <f>'Actual Value'!P308+"AM:!.3."</f>
        <v>#VALUE!</v>
      </c>
      <c r="AE221" s="97" t="e">
        <f>'Actual Value'!Q308+"AM:!.3/"</f>
        <v>#VALUE!</v>
      </c>
      <c r="AF221" s="97" t="e">
        <f>'Actual Value'!R308+"AM:!.30"</f>
        <v>#VALUE!</v>
      </c>
      <c r="AG221" s="97" t="e">
        <f>'Actual Value'!S308+"AM:!.31"</f>
        <v>#VALUE!</v>
      </c>
      <c r="AH221" s="97" t="e">
        <f>'Actual Value'!T308+"AM:!.32"</f>
        <v>#VALUE!</v>
      </c>
      <c r="AI221" s="97" t="e">
        <f>'Actual Value'!U308+"AM:!.33"</f>
        <v>#VALUE!</v>
      </c>
      <c r="AJ221" s="97" t="e">
        <f>'Actual Value'!V308+"AM:!.34"</f>
        <v>#VALUE!</v>
      </c>
      <c r="AK221" s="97" t="e">
        <f>'Actual Value'!W308+"AM:!.35"</f>
        <v>#VALUE!</v>
      </c>
      <c r="AL221" s="97" t="e">
        <f>'Actual Value'!X308+"AM:!.36"</f>
        <v>#VALUE!</v>
      </c>
      <c r="AM221" s="97" t="e">
        <f>'Actual Value'!Y308+"AM:!.37"</f>
        <v>#VALUE!</v>
      </c>
      <c r="AN221" s="97" t="e">
        <f>'Actual Value'!Z308+"AM:!.38"</f>
        <v>#VALUE!</v>
      </c>
      <c r="AO221" s="97" t="e">
        <f>'Actual Value'!AA308+"AM:!.39"</f>
        <v>#VALUE!</v>
      </c>
      <c r="AP221" s="97" t="e">
        <f>'Actual Value'!AB308+"AM:!.3:"</f>
        <v>#VALUE!</v>
      </c>
      <c r="AQ221" s="97" t="e">
        <f>'Actual Value'!AC308+"AM:!.3;"</f>
        <v>#VALUE!</v>
      </c>
      <c r="AR221" s="97" t="e">
        <f>'Actual Value'!AD308+"AM:!.3&lt;"</f>
        <v>#VALUE!</v>
      </c>
      <c r="AS221" s="97" t="e">
        <f>'Actual Value'!AE308+"AM:!.3="</f>
        <v>#VALUE!</v>
      </c>
      <c r="AT221" s="97" t="e">
        <f>'Actual Value'!AF308+"AM:!.3&gt;"</f>
        <v>#VALUE!</v>
      </c>
      <c r="AU221" s="97" t="e">
        <f>'Actual Value'!AG308+"AM:!.3?"</f>
        <v>#VALUE!</v>
      </c>
      <c r="AV221" s="97" t="e">
        <f>'Actual Value'!AH308+"AM:!.3@"</f>
        <v>#VALUE!</v>
      </c>
      <c r="AW221" s="97" t="e">
        <f>'Actual Value'!AI308+"AM:!.3A"</f>
        <v>#VALUE!</v>
      </c>
      <c r="AX221" s="97" t="e">
        <f>'Actual Value'!AJ308+"AM:!.3B"</f>
        <v>#VALUE!</v>
      </c>
      <c r="AY221" s="97" t="e">
        <f>'Actual Value'!AK308+"AM:!.3C"</f>
        <v>#VALUE!</v>
      </c>
      <c r="AZ221" s="97" t="e">
        <f>'Actual Value'!AL308+"AM:!.3D"</f>
        <v>#VALUE!</v>
      </c>
      <c r="BA221" s="97" t="e">
        <f>'Actual Value'!AM308+"AM:!.3E"</f>
        <v>#VALUE!</v>
      </c>
      <c r="BB221" s="97" t="e">
        <f>'Actual Value'!AN308+"AM:!.3F"</f>
        <v>#VALUE!</v>
      </c>
      <c r="BC221" s="97" t="e">
        <f>'Actual Value'!AO308+"AM:!.3G"</f>
        <v>#VALUE!</v>
      </c>
      <c r="BD221" t="e">
        <f>'Actual Value'!AP308+"AM:!.3H"</f>
        <v>#VALUE!</v>
      </c>
      <c r="BE221" t="e">
        <f>'Actual Value'!AQ308+"AM:!.3I"</f>
        <v>#VALUE!</v>
      </c>
      <c r="BF221" t="e">
        <f>'Actual Value'!AR308+"AM:!.3J"</f>
        <v>#VALUE!</v>
      </c>
      <c r="BG221" t="e">
        <f>'Actual Value'!AS308+"AM:!.3K"</f>
        <v>#VALUE!</v>
      </c>
      <c r="BH221" t="e">
        <f>'Actual Value'!AT308+"AM:!.3L"</f>
        <v>#VALUE!</v>
      </c>
      <c r="BI221" t="e">
        <f>'Actual Value'!AU308+"AM:!.3M"</f>
        <v>#VALUE!</v>
      </c>
      <c r="BJ221" t="e">
        <f>'Actual Value'!AV308+"AM:!.3N"</f>
        <v>#VALUE!</v>
      </c>
      <c r="BK221" t="e">
        <f>'Actual Value'!AW308+"AM:!.3O"</f>
        <v>#VALUE!</v>
      </c>
      <c r="BL221" t="e">
        <f>'Actual Value'!AX308+"AM:!.3P"</f>
        <v>#VALUE!</v>
      </c>
      <c r="BM221" t="e">
        <f>'Actual Value'!A309+"AM:!.3Q"</f>
        <v>#VALUE!</v>
      </c>
      <c r="BN221" t="e">
        <f>'Actual Value'!B309+"AM:!.3R"</f>
        <v>#VALUE!</v>
      </c>
      <c r="BO221" t="e">
        <f>'Actual Value'!C309+"AM:!.3S"</f>
        <v>#VALUE!</v>
      </c>
      <c r="BP221" s="97" t="e">
        <f>'Actual Value'!D309+"AM:!.3T"</f>
        <v>#VALUE!</v>
      </c>
      <c r="BQ221" s="97" t="e">
        <f>'Actual Value'!E309+"AM:!.3U"</f>
        <v>#VALUE!</v>
      </c>
      <c r="BR221" s="97" t="e">
        <f>'Actual Value'!F309+"AM:!.3V"</f>
        <v>#VALUE!</v>
      </c>
      <c r="BS221" s="97" t="e">
        <f>'Actual Value'!G309+"AM:!.3W"</f>
        <v>#VALUE!</v>
      </c>
      <c r="BT221" s="97" t="e">
        <f>'Actual Value'!H309+"AM:!.3X"</f>
        <v>#VALUE!</v>
      </c>
      <c r="BU221" s="97" t="e">
        <f>'Actual Value'!I309+"AM:!.3Y"</f>
        <v>#VALUE!</v>
      </c>
      <c r="BV221" s="97" t="e">
        <f>'Actual Value'!J309+"AM:!.3Z"</f>
        <v>#VALUE!</v>
      </c>
      <c r="BW221" s="97" t="e">
        <f>'Actual Value'!K309+"AM:!.3["</f>
        <v>#VALUE!</v>
      </c>
      <c r="BX221" s="97" t="e">
        <f>'Actual Value'!L309+"AM:!.3\"</f>
        <v>#VALUE!</v>
      </c>
      <c r="BY221" s="97" t="e">
        <f>'Actual Value'!M309+"AM:!.3]"</f>
        <v>#VALUE!</v>
      </c>
      <c r="BZ221" s="97" t="e">
        <f>'Actual Value'!N309+"AM:!.3^"</f>
        <v>#VALUE!</v>
      </c>
      <c r="CA221" s="97" t="e">
        <f>'Actual Value'!O309+"AM:!.3_"</f>
        <v>#VALUE!</v>
      </c>
      <c r="CB221" s="97" t="e">
        <f>'Actual Value'!P309+"AM:!.3`"</f>
        <v>#VALUE!</v>
      </c>
      <c r="CC221" s="97" t="e">
        <f>'Actual Value'!Q309+"AM:!.3a"</f>
        <v>#VALUE!</v>
      </c>
      <c r="CD221" s="97" t="e">
        <f>'Actual Value'!R309+"AM:!.3b"</f>
        <v>#VALUE!</v>
      </c>
      <c r="CE221" s="97" t="e">
        <f>'Actual Value'!S309+"AM:!.3c"</f>
        <v>#VALUE!</v>
      </c>
      <c r="CF221" s="97" t="e">
        <f>'Actual Value'!T309+"AM:!.3d"</f>
        <v>#VALUE!</v>
      </c>
      <c r="CG221" s="97" t="e">
        <f>'Actual Value'!U309+"AM:!.3e"</f>
        <v>#VALUE!</v>
      </c>
      <c r="CH221" s="97" t="e">
        <f>'Actual Value'!V309+"AM:!.3f"</f>
        <v>#VALUE!</v>
      </c>
      <c r="CI221" s="97" t="e">
        <f>'Actual Value'!W309+"AM:!.3g"</f>
        <v>#VALUE!</v>
      </c>
      <c r="CJ221" s="97" t="e">
        <f>'Actual Value'!X309+"AM:!.3h"</f>
        <v>#VALUE!</v>
      </c>
      <c r="CK221" s="97" t="e">
        <f>'Actual Value'!Y309+"AM:!.3i"</f>
        <v>#VALUE!</v>
      </c>
      <c r="CL221" s="97" t="e">
        <f>'Actual Value'!Z309+"AM:!.3j"</f>
        <v>#VALUE!</v>
      </c>
      <c r="CM221" s="97" t="e">
        <f>'Actual Value'!AA309+"AM:!.3k"</f>
        <v>#VALUE!</v>
      </c>
      <c r="CN221" s="97" t="e">
        <f>'Actual Value'!AB309+"AM:!.3l"</f>
        <v>#VALUE!</v>
      </c>
      <c r="CO221" s="97" t="e">
        <f>'Actual Value'!AC309+"AM:!.3m"</f>
        <v>#VALUE!</v>
      </c>
      <c r="CP221" s="97" t="e">
        <f>'Actual Value'!AD309+"AM:!.3n"</f>
        <v>#VALUE!</v>
      </c>
      <c r="CQ221" s="97" t="e">
        <f>'Actual Value'!AE309+"AM:!.3o"</f>
        <v>#VALUE!</v>
      </c>
      <c r="CR221" s="97" t="e">
        <f>'Actual Value'!AF309+"AM:!.3p"</f>
        <v>#VALUE!</v>
      </c>
      <c r="CS221" s="97" t="e">
        <f>'Actual Value'!AG309+"AM:!.3q"</f>
        <v>#VALUE!</v>
      </c>
      <c r="CT221" s="97" t="e">
        <f>'Actual Value'!AH309+"AM:!.3r"</f>
        <v>#VALUE!</v>
      </c>
      <c r="CU221" s="97" t="e">
        <f>'Actual Value'!AI309+"AM:!.3s"</f>
        <v>#VALUE!</v>
      </c>
      <c r="CV221" s="97" t="e">
        <f>'Actual Value'!AJ309+"AM:!.3t"</f>
        <v>#VALUE!</v>
      </c>
      <c r="CW221" s="97" t="e">
        <f>'Actual Value'!AK309+"AM:!.3u"</f>
        <v>#VALUE!</v>
      </c>
      <c r="CX221" s="97" t="e">
        <f>'Actual Value'!AL309+"AM:!.3v"</f>
        <v>#VALUE!</v>
      </c>
      <c r="CY221" s="97" t="e">
        <f>'Actual Value'!AM309+"AM:!.3w"</f>
        <v>#VALUE!</v>
      </c>
      <c r="CZ221" s="97" t="e">
        <f>'Actual Value'!AN309+"AM:!.3x"</f>
        <v>#VALUE!</v>
      </c>
      <c r="DA221" s="97" t="e">
        <f>'Actual Value'!AO309+"AM:!.3y"</f>
        <v>#VALUE!</v>
      </c>
      <c r="DB221" t="e">
        <f>'Actual Value'!AP309+"AM:!.3z"</f>
        <v>#VALUE!</v>
      </c>
      <c r="DC221" t="e">
        <f>'Actual Value'!AQ309+"AM:!.3{"</f>
        <v>#VALUE!</v>
      </c>
      <c r="DD221" t="e">
        <f>'Actual Value'!AR309+"AM:!.3|"</f>
        <v>#VALUE!</v>
      </c>
      <c r="DE221" t="e">
        <f>'Actual Value'!AS309+"AM:!.3}"</f>
        <v>#VALUE!</v>
      </c>
      <c r="DF221" t="e">
        <f>'Actual Value'!AT309+"AM:!.3~"</f>
        <v>#VALUE!</v>
      </c>
      <c r="DG221" t="e">
        <f>'Actual Value'!AU309+"AM:!.4#"</f>
        <v>#VALUE!</v>
      </c>
      <c r="DH221" t="e">
        <f>'Actual Value'!AV309+"AM:!.4$"</f>
        <v>#VALUE!</v>
      </c>
      <c r="DI221" t="e">
        <f>'Actual Value'!AW309+"AM:!.4%"</f>
        <v>#VALUE!</v>
      </c>
      <c r="DJ221" t="e">
        <f>'Actual Value'!AX309+"AM:!.4&amp;"</f>
        <v>#VALUE!</v>
      </c>
      <c r="DK221" t="e">
        <f>'Actual Value'!A310+"AM:!.4'"</f>
        <v>#VALUE!</v>
      </c>
      <c r="DL221" t="e">
        <f>'Actual Value'!B310+"AM:!.4("</f>
        <v>#VALUE!</v>
      </c>
      <c r="DM221" t="e">
        <f>'Actual Value'!C310+"AM:!.4)"</f>
        <v>#VALUE!</v>
      </c>
      <c r="DN221" s="97" t="e">
        <f>'Actual Value'!D310+"AM:!.4."</f>
        <v>#VALUE!</v>
      </c>
      <c r="DO221" s="97" t="e">
        <f>'Actual Value'!E310+"AM:!.4/"</f>
        <v>#VALUE!</v>
      </c>
      <c r="DP221" s="97" t="e">
        <f>'Actual Value'!F310+"AM:!.40"</f>
        <v>#VALUE!</v>
      </c>
      <c r="DQ221" s="97" t="e">
        <f>'Actual Value'!G310+"AM:!.41"</f>
        <v>#VALUE!</v>
      </c>
      <c r="DR221" s="97" t="e">
        <f>'Actual Value'!H310+"AM:!.42"</f>
        <v>#VALUE!</v>
      </c>
      <c r="DS221" s="97" t="e">
        <f>'Actual Value'!I310+"AM:!.43"</f>
        <v>#VALUE!</v>
      </c>
      <c r="DT221" s="97" t="e">
        <f>'Actual Value'!J310+"AM:!.44"</f>
        <v>#VALUE!</v>
      </c>
      <c r="DU221" s="97" t="e">
        <f>'Actual Value'!K310+"AM:!.45"</f>
        <v>#VALUE!</v>
      </c>
      <c r="DV221" s="97" t="e">
        <f>'Actual Value'!L310+"AM:!.46"</f>
        <v>#VALUE!</v>
      </c>
      <c r="DW221" s="97" t="e">
        <f>'Actual Value'!M310+"AM:!.47"</f>
        <v>#VALUE!</v>
      </c>
      <c r="DX221" s="97" t="e">
        <f>'Actual Value'!N310+"AM:!.48"</f>
        <v>#VALUE!</v>
      </c>
      <c r="DY221" s="97" t="e">
        <f>'Actual Value'!O310+"AM:!.49"</f>
        <v>#VALUE!</v>
      </c>
      <c r="DZ221" s="97" t="e">
        <f>'Actual Value'!P310+"AM:!.4:"</f>
        <v>#VALUE!</v>
      </c>
      <c r="EA221" s="97" t="e">
        <f>'Actual Value'!Q310+"AM:!.4;"</f>
        <v>#VALUE!</v>
      </c>
      <c r="EB221" s="97" t="e">
        <f>'Actual Value'!R310+"AM:!.4&lt;"</f>
        <v>#VALUE!</v>
      </c>
      <c r="EC221" s="97" t="e">
        <f>'Actual Value'!S310+"AM:!.4="</f>
        <v>#VALUE!</v>
      </c>
      <c r="ED221" s="97" t="e">
        <f>'Actual Value'!T310+"AM:!.4&gt;"</f>
        <v>#VALUE!</v>
      </c>
      <c r="EE221" s="97" t="e">
        <f>'Actual Value'!U310+"AM:!.4?"</f>
        <v>#VALUE!</v>
      </c>
      <c r="EF221" s="97" t="e">
        <f>'Actual Value'!V310+"AM:!.4@"</f>
        <v>#VALUE!</v>
      </c>
      <c r="EG221" s="97" t="e">
        <f>'Actual Value'!W310+"AM:!.4A"</f>
        <v>#VALUE!</v>
      </c>
      <c r="EH221" s="97" t="e">
        <f>'Actual Value'!X310+"AM:!.4B"</f>
        <v>#VALUE!</v>
      </c>
      <c r="EI221" s="97" t="e">
        <f>'Actual Value'!Y310+"AM:!.4C"</f>
        <v>#VALUE!</v>
      </c>
      <c r="EJ221" s="97" t="e">
        <f>'Actual Value'!Z310+"AM:!.4D"</f>
        <v>#VALUE!</v>
      </c>
      <c r="EK221" s="97" t="e">
        <f>'Actual Value'!AA310+"AM:!.4E"</f>
        <v>#VALUE!</v>
      </c>
      <c r="EL221" s="97" t="e">
        <f>'Actual Value'!AB310+"AM:!.4F"</f>
        <v>#VALUE!</v>
      </c>
      <c r="EM221" s="97" t="e">
        <f>'Actual Value'!AC310+"AM:!.4G"</f>
        <v>#VALUE!</v>
      </c>
      <c r="EN221" s="97" t="e">
        <f>'Actual Value'!AD310+"AM:!.4H"</f>
        <v>#VALUE!</v>
      </c>
      <c r="EO221" s="97" t="e">
        <f>'Actual Value'!AE310+"AM:!.4I"</f>
        <v>#VALUE!</v>
      </c>
      <c r="EP221" s="97" t="e">
        <f>'Actual Value'!AF310+"AM:!.4J"</f>
        <v>#VALUE!</v>
      </c>
      <c r="EQ221" s="97" t="e">
        <f>'Actual Value'!AG310+"AM:!.4K"</f>
        <v>#VALUE!</v>
      </c>
      <c r="ER221" s="97" t="e">
        <f>'Actual Value'!AH310+"AM:!.4L"</f>
        <v>#VALUE!</v>
      </c>
      <c r="ES221" s="97" t="e">
        <f>'Actual Value'!AI310+"AM:!.4M"</f>
        <v>#VALUE!</v>
      </c>
      <c r="ET221" s="97" t="e">
        <f>'Actual Value'!AJ310+"AM:!.4N"</f>
        <v>#VALUE!</v>
      </c>
      <c r="EU221" s="97" t="e">
        <f>'Actual Value'!AK310+"AM:!.4O"</f>
        <v>#VALUE!</v>
      </c>
      <c r="EV221" s="97" t="e">
        <f>'Actual Value'!AL310+"AM:!.4P"</f>
        <v>#VALUE!</v>
      </c>
      <c r="EW221" s="97" t="e">
        <f>'Actual Value'!AM310+"AM:!.4Q"</f>
        <v>#VALUE!</v>
      </c>
      <c r="EX221" s="97" t="e">
        <f>'Actual Value'!AN310+"AM:!.4R"</f>
        <v>#VALUE!</v>
      </c>
      <c r="EY221" s="97" t="e">
        <f>'Actual Value'!AO310+"AM:!.4S"</f>
        <v>#VALUE!</v>
      </c>
      <c r="EZ221" t="e">
        <f>'Actual Value'!AP310+"AM:!.4T"</f>
        <v>#VALUE!</v>
      </c>
      <c r="FA221" t="e">
        <f>'Actual Value'!AQ310+"AM:!.4U"</f>
        <v>#VALUE!</v>
      </c>
      <c r="FB221" t="e">
        <f>'Actual Value'!AR310+"AM:!.4V"</f>
        <v>#VALUE!</v>
      </c>
      <c r="FC221" t="e">
        <f>'Actual Value'!AS310+"AM:!.4W"</f>
        <v>#VALUE!</v>
      </c>
      <c r="FD221" t="e">
        <f>'Actual Value'!AT310+"AM:!.4X"</f>
        <v>#VALUE!</v>
      </c>
      <c r="FE221" t="e">
        <f>'Actual Value'!AU310+"AM:!.4Y"</f>
        <v>#VALUE!</v>
      </c>
      <c r="FF221" t="e">
        <f>'Actual Value'!AV310+"AM:!.4Z"</f>
        <v>#VALUE!</v>
      </c>
      <c r="FG221" t="e">
        <f>'Actual Value'!AW310+"AM:!.4["</f>
        <v>#VALUE!</v>
      </c>
      <c r="FH221" t="e">
        <f>'Actual Value'!AX310+"AM:!.4\"</f>
        <v>#VALUE!</v>
      </c>
      <c r="FI221" t="e">
        <f>'Actual Value'!A311+"AM:!.4]"</f>
        <v>#VALUE!</v>
      </c>
      <c r="FJ221" t="e">
        <f>'Actual Value'!B311+"AM:!.4^"</f>
        <v>#VALUE!</v>
      </c>
      <c r="FK221" t="e">
        <f>'Actual Value'!C311+"AM:!.4_"</f>
        <v>#VALUE!</v>
      </c>
      <c r="FL221" s="97" t="e">
        <f>'Actual Value'!D311+"AM:!.4`"</f>
        <v>#VALUE!</v>
      </c>
      <c r="FM221" s="97" t="e">
        <f>'Actual Value'!E311+"AM:!.4a"</f>
        <v>#VALUE!</v>
      </c>
      <c r="FN221" s="97" t="e">
        <f>'Actual Value'!F311+"AM:!.4b"</f>
        <v>#VALUE!</v>
      </c>
      <c r="FO221" s="97" t="e">
        <f>'Actual Value'!G311+"AM:!.4c"</f>
        <v>#VALUE!</v>
      </c>
      <c r="FP221" s="97" t="e">
        <f>'Actual Value'!H311+"AM:!.4d"</f>
        <v>#VALUE!</v>
      </c>
      <c r="FQ221" s="97" t="e">
        <f>'Actual Value'!I311+"AM:!.4e"</f>
        <v>#VALUE!</v>
      </c>
      <c r="FR221" s="97" t="e">
        <f>'Actual Value'!J311+"AM:!.4f"</f>
        <v>#VALUE!</v>
      </c>
      <c r="FS221" s="97" t="e">
        <f>'Actual Value'!K311+"AM:!.4g"</f>
        <v>#VALUE!</v>
      </c>
      <c r="FT221" s="97" t="e">
        <f>'Actual Value'!L311+"AM:!.4h"</f>
        <v>#VALUE!</v>
      </c>
      <c r="FU221" s="97" t="e">
        <f>'Actual Value'!M311+"AM:!.4i"</f>
        <v>#VALUE!</v>
      </c>
      <c r="FV221" s="97" t="e">
        <f>'Actual Value'!N311+"AM:!.4j"</f>
        <v>#VALUE!</v>
      </c>
      <c r="FW221" s="97" t="e">
        <f>'Actual Value'!O311+"AM:!.4k"</f>
        <v>#VALUE!</v>
      </c>
      <c r="FX221" s="97" t="e">
        <f>'Actual Value'!P311+"AM:!.4l"</f>
        <v>#VALUE!</v>
      </c>
      <c r="FY221" s="97" t="e">
        <f>'Actual Value'!Q311+"AM:!.4m"</f>
        <v>#VALUE!</v>
      </c>
      <c r="FZ221" s="97" t="e">
        <f>'Actual Value'!R311+"AM:!.4n"</f>
        <v>#VALUE!</v>
      </c>
      <c r="GA221" s="97" t="e">
        <f>'Actual Value'!S311+"AM:!.4o"</f>
        <v>#VALUE!</v>
      </c>
      <c r="GB221" s="97" t="e">
        <f>'Actual Value'!T311+"AM:!.4p"</f>
        <v>#VALUE!</v>
      </c>
      <c r="GC221" s="97" t="e">
        <f>'Actual Value'!U311+"AM:!.4q"</f>
        <v>#VALUE!</v>
      </c>
      <c r="GD221" s="97" t="e">
        <f>'Actual Value'!V311+"AM:!.4r"</f>
        <v>#VALUE!</v>
      </c>
      <c r="GE221" s="97" t="e">
        <f>'Actual Value'!W311+"AM:!.4s"</f>
        <v>#VALUE!</v>
      </c>
      <c r="GF221" s="97" t="e">
        <f>'Actual Value'!X311+"AM:!.4t"</f>
        <v>#VALUE!</v>
      </c>
      <c r="GG221" s="97" t="e">
        <f>'Actual Value'!Y311+"AM:!.4u"</f>
        <v>#VALUE!</v>
      </c>
      <c r="GH221" s="97" t="e">
        <f>'Actual Value'!Z311+"AM:!.4v"</f>
        <v>#VALUE!</v>
      </c>
      <c r="GI221" s="97" t="e">
        <f>'Actual Value'!AA311+"AM:!.4w"</f>
        <v>#VALUE!</v>
      </c>
      <c r="GJ221" s="97" t="e">
        <f>'Actual Value'!AB311+"AM:!.4x"</f>
        <v>#VALUE!</v>
      </c>
      <c r="GK221" s="97" t="e">
        <f>'Actual Value'!AC311+"AM:!.4y"</f>
        <v>#VALUE!</v>
      </c>
      <c r="GL221" s="97" t="e">
        <f>'Actual Value'!AD311+"AM:!.4z"</f>
        <v>#VALUE!</v>
      </c>
      <c r="GM221" s="97" t="e">
        <f>'Actual Value'!AE311+"AM:!.4{"</f>
        <v>#VALUE!</v>
      </c>
      <c r="GN221" s="97" t="e">
        <f>'Actual Value'!AF311+"AM:!.4|"</f>
        <v>#VALUE!</v>
      </c>
      <c r="GO221" s="97" t="e">
        <f>'Actual Value'!AG311+"AM:!.4}"</f>
        <v>#VALUE!</v>
      </c>
      <c r="GP221" s="97" t="e">
        <f>'Actual Value'!AH311+"AM:!.4~"</f>
        <v>#VALUE!</v>
      </c>
      <c r="GQ221" s="97" t="e">
        <f>'Actual Value'!AI311+"AM:!.5#"</f>
        <v>#VALUE!</v>
      </c>
      <c r="GR221" s="97" t="e">
        <f>'Actual Value'!AJ311+"AM:!.5$"</f>
        <v>#VALUE!</v>
      </c>
      <c r="GS221" s="97" t="e">
        <f>'Actual Value'!AK311+"AM:!.5%"</f>
        <v>#VALUE!</v>
      </c>
      <c r="GT221" s="97" t="e">
        <f>'Actual Value'!AL311+"AM:!.5&amp;"</f>
        <v>#VALUE!</v>
      </c>
      <c r="GU221" s="97" t="e">
        <f>'Actual Value'!AM311+"AM:!.5'"</f>
        <v>#VALUE!</v>
      </c>
      <c r="GV221" s="97" t="e">
        <f>'Actual Value'!AN311+"AM:!.5("</f>
        <v>#VALUE!</v>
      </c>
      <c r="GW221" s="97" t="e">
        <f>'Actual Value'!AO311+"AM:!.5)"</f>
        <v>#VALUE!</v>
      </c>
      <c r="GX221" t="e">
        <f>'Actual Value'!AP311+"AM:!.5."</f>
        <v>#VALUE!</v>
      </c>
      <c r="GY221" t="e">
        <f>'Actual Value'!AQ311+"AM:!.5/"</f>
        <v>#VALUE!</v>
      </c>
      <c r="GZ221" t="e">
        <f>'Actual Value'!AR311+"AM:!.50"</f>
        <v>#VALUE!</v>
      </c>
      <c r="HA221" t="e">
        <f>'Actual Value'!AS311+"AM:!.51"</f>
        <v>#VALUE!</v>
      </c>
      <c r="HB221" t="e">
        <f>'Actual Value'!AT311+"AM:!.52"</f>
        <v>#VALUE!</v>
      </c>
      <c r="HC221" t="e">
        <f>'Actual Value'!AU311+"AM:!.53"</f>
        <v>#VALUE!</v>
      </c>
      <c r="HD221" t="e">
        <f>'Actual Value'!AV311+"AM:!.54"</f>
        <v>#VALUE!</v>
      </c>
      <c r="HE221" t="e">
        <f>'Actual Value'!AW311+"AM:!.55"</f>
        <v>#VALUE!</v>
      </c>
      <c r="HF221" t="e">
        <f>'Actual Value'!AX311+"AM:!.56"</f>
        <v>#VALUE!</v>
      </c>
      <c r="HG221" t="e">
        <f>'Actual Value'!A312+"AM:!.57"</f>
        <v>#VALUE!</v>
      </c>
      <c r="HH221" t="e">
        <f>'Actual Value'!B312+"AM:!.58"</f>
        <v>#VALUE!</v>
      </c>
      <c r="HI221" t="e">
        <f>'Actual Value'!C312+"AM:!.59"</f>
        <v>#VALUE!</v>
      </c>
      <c r="HJ221" s="97" t="e">
        <f>'Actual Value'!D312+"AM:!.5:"</f>
        <v>#VALUE!</v>
      </c>
      <c r="HK221" s="97" t="e">
        <f>'Actual Value'!E312+"AM:!.5;"</f>
        <v>#VALUE!</v>
      </c>
      <c r="HL221" s="97" t="e">
        <f>'Actual Value'!F312+"AM:!.5&lt;"</f>
        <v>#VALUE!</v>
      </c>
      <c r="HM221" s="97" t="e">
        <f>'Actual Value'!G312+"AM:!.5="</f>
        <v>#VALUE!</v>
      </c>
      <c r="HN221" s="97" t="e">
        <f>'Actual Value'!H312+"AM:!.5&gt;"</f>
        <v>#VALUE!</v>
      </c>
      <c r="HO221" s="97" t="e">
        <f>'Actual Value'!I312+"AM:!.5?"</f>
        <v>#VALUE!</v>
      </c>
      <c r="HP221" s="97" t="e">
        <f>'Actual Value'!J312+"AM:!.5@"</f>
        <v>#VALUE!</v>
      </c>
      <c r="HQ221" s="97" t="e">
        <f>'Actual Value'!K312+"AM:!.5A"</f>
        <v>#VALUE!</v>
      </c>
      <c r="HR221" s="97" t="e">
        <f>'Actual Value'!L312+"AM:!.5B"</f>
        <v>#VALUE!</v>
      </c>
      <c r="HS221" s="97" t="e">
        <f>'Actual Value'!M312+"AM:!.5C"</f>
        <v>#VALUE!</v>
      </c>
      <c r="HT221" s="97" t="e">
        <f>'Actual Value'!N312+"AM:!.5D"</f>
        <v>#VALUE!</v>
      </c>
      <c r="HU221" s="97" t="e">
        <f>'Actual Value'!O312+"AM:!.5E"</f>
        <v>#VALUE!</v>
      </c>
      <c r="HV221" s="97" t="e">
        <f>'Actual Value'!P312+"AM:!.5F"</f>
        <v>#VALUE!</v>
      </c>
      <c r="HW221" s="97" t="e">
        <f>'Actual Value'!Q312+"AM:!.5G"</f>
        <v>#VALUE!</v>
      </c>
      <c r="HX221" s="97" t="e">
        <f>'Actual Value'!R312+"AM:!.5H"</f>
        <v>#VALUE!</v>
      </c>
      <c r="HY221" s="97" t="e">
        <f>'Actual Value'!S312+"AM:!.5I"</f>
        <v>#VALUE!</v>
      </c>
      <c r="HZ221" s="97" t="e">
        <f>'Actual Value'!T312+"AM:!.5J"</f>
        <v>#VALUE!</v>
      </c>
      <c r="IA221" s="97" t="e">
        <f>'Actual Value'!U312+"AM:!.5K"</f>
        <v>#VALUE!</v>
      </c>
      <c r="IB221" s="97" t="e">
        <f>'Actual Value'!V312+"AM:!.5L"</f>
        <v>#VALUE!</v>
      </c>
      <c r="IC221" s="97" t="e">
        <f>'Actual Value'!W312+"AM:!.5M"</f>
        <v>#VALUE!</v>
      </c>
      <c r="ID221" s="97" t="e">
        <f>'Actual Value'!X312+"AM:!.5N"</f>
        <v>#VALUE!</v>
      </c>
      <c r="IE221" s="97" t="e">
        <f>'Actual Value'!Y312+"AM:!.5O"</f>
        <v>#VALUE!</v>
      </c>
      <c r="IF221" s="97" t="e">
        <f>'Actual Value'!Z312+"AM:!.5P"</f>
        <v>#VALUE!</v>
      </c>
      <c r="IG221" s="97" t="e">
        <f>'Actual Value'!AA312+"AM:!.5Q"</f>
        <v>#VALUE!</v>
      </c>
      <c r="IH221" s="97" t="e">
        <f>'Actual Value'!AB312+"AM:!.5R"</f>
        <v>#VALUE!</v>
      </c>
      <c r="II221" s="97" t="e">
        <f>'Actual Value'!AC312+"AM:!.5S"</f>
        <v>#VALUE!</v>
      </c>
      <c r="IJ221" s="97" t="e">
        <f>'Actual Value'!AD312+"AM:!.5T"</f>
        <v>#VALUE!</v>
      </c>
      <c r="IK221" s="97" t="e">
        <f>'Actual Value'!AE312+"AM:!.5U"</f>
        <v>#VALUE!</v>
      </c>
      <c r="IL221" s="97" t="e">
        <f>'Actual Value'!AF312+"AM:!.5V"</f>
        <v>#VALUE!</v>
      </c>
      <c r="IM221" s="97" t="e">
        <f>'Actual Value'!AG312+"AM:!.5W"</f>
        <v>#VALUE!</v>
      </c>
      <c r="IN221" s="97" t="e">
        <f>'Actual Value'!AH312+"AM:!.5X"</f>
        <v>#VALUE!</v>
      </c>
      <c r="IO221" s="97" t="e">
        <f>'Actual Value'!AI312+"AM:!.5Y"</f>
        <v>#VALUE!</v>
      </c>
      <c r="IP221" s="97" t="e">
        <f>'Actual Value'!AJ312+"AM:!.5Z"</f>
        <v>#VALUE!</v>
      </c>
      <c r="IQ221" s="97" t="e">
        <f>'Actual Value'!AK312+"AM:!.5["</f>
        <v>#VALUE!</v>
      </c>
      <c r="IR221" s="97" t="e">
        <f>'Actual Value'!AL312+"AM:!.5\"</f>
        <v>#VALUE!</v>
      </c>
      <c r="IS221" s="97" t="e">
        <f>'Actual Value'!AM312+"AM:!.5]"</f>
        <v>#VALUE!</v>
      </c>
      <c r="IT221" s="97" t="e">
        <f>'Actual Value'!AN312+"AM:!.5^"</f>
        <v>#VALUE!</v>
      </c>
      <c r="IU221" s="97" t="e">
        <f>'Actual Value'!AO312+"AM:!.5_"</f>
        <v>#VALUE!</v>
      </c>
      <c r="IV221" t="e">
        <f>'Actual Value'!AP312+"AM:!.5`"</f>
        <v>#VALUE!</v>
      </c>
    </row>
    <row r="222" spans="6:256">
      <c r="F222" t="e">
        <f>'Actual Value'!AQ312+"AM:!.5a"</f>
        <v>#VALUE!</v>
      </c>
      <c r="G222" t="e">
        <f>'Actual Value'!AR312+"AM:!.5b"</f>
        <v>#VALUE!</v>
      </c>
      <c r="H222" t="e">
        <f>'Actual Value'!AS312+"AM:!.5c"</f>
        <v>#VALUE!</v>
      </c>
      <c r="I222" t="e">
        <f>'Actual Value'!AT312+"AM:!.5d"</f>
        <v>#VALUE!</v>
      </c>
      <c r="J222" t="e">
        <f>'Actual Value'!AU312+"AM:!.5e"</f>
        <v>#VALUE!</v>
      </c>
      <c r="K222" t="e">
        <f>'Actual Value'!AV312+"AM:!.5f"</f>
        <v>#VALUE!</v>
      </c>
      <c r="L222" t="e">
        <f>'Actual Value'!AW312+"AM:!.5g"</f>
        <v>#VALUE!</v>
      </c>
      <c r="M222" t="e">
        <f>'Actual Value'!AX312+"AM:!.5h"</f>
        <v>#VALUE!</v>
      </c>
      <c r="N222" t="e">
        <f>'Actual Value'!A313+"AM:!.5i"</f>
        <v>#VALUE!</v>
      </c>
      <c r="O222" t="e">
        <f>'Actual Value'!B313+"AM:!.5j"</f>
        <v>#VALUE!</v>
      </c>
      <c r="P222" t="e">
        <f>'Actual Value'!C313+"AM:!.5k"</f>
        <v>#VALUE!</v>
      </c>
      <c r="Q222" t="e">
        <f>'Actual Value'!D313+"AM:!.5l"</f>
        <v>#VALUE!</v>
      </c>
      <c r="R222" t="e">
        <f>'Actual Value'!E313+"AM:!.5m"</f>
        <v>#VALUE!</v>
      </c>
      <c r="S222" t="e">
        <f>'Actual Value'!F313+"AM:!.5n"</f>
        <v>#VALUE!</v>
      </c>
      <c r="T222" t="e">
        <f>'Actual Value'!G313+"AM:!.5o"</f>
        <v>#VALUE!</v>
      </c>
      <c r="U222" t="e">
        <f>'Actual Value'!H313+"AM:!.5p"</f>
        <v>#VALUE!</v>
      </c>
      <c r="V222" t="e">
        <f>'Actual Value'!I313+"AM:!.5q"</f>
        <v>#VALUE!</v>
      </c>
      <c r="W222" t="e">
        <f>'Actual Value'!J313+"AM:!.5r"</f>
        <v>#VALUE!</v>
      </c>
      <c r="X222" t="e">
        <f>'Actual Value'!K313+"AM:!.5s"</f>
        <v>#VALUE!</v>
      </c>
      <c r="Y222" t="e">
        <f>'Actual Value'!L313+"AM:!.5t"</f>
        <v>#VALUE!</v>
      </c>
      <c r="Z222" t="e">
        <f>'Actual Value'!M313+"AM:!.5u"</f>
        <v>#VALUE!</v>
      </c>
      <c r="AA222" t="e">
        <f>'Actual Value'!N313+"AM:!.5v"</f>
        <v>#VALUE!</v>
      </c>
      <c r="AB222" t="e">
        <f>'Actual Value'!O313+"AM:!.5w"</f>
        <v>#VALUE!</v>
      </c>
      <c r="AC222" t="e">
        <f>'Actual Value'!P313+"AM:!.5x"</f>
        <v>#VALUE!</v>
      </c>
      <c r="AD222" t="e">
        <f>'Actual Value'!Q313+"AM:!.5y"</f>
        <v>#VALUE!</v>
      </c>
      <c r="AE222" t="e">
        <f>'Actual Value'!R313+"AM:!.5z"</f>
        <v>#VALUE!</v>
      </c>
      <c r="AF222" t="e">
        <f>'Actual Value'!S313+"AM:!.5{"</f>
        <v>#VALUE!</v>
      </c>
      <c r="AG222" t="e">
        <f>'Actual Value'!T313+"AM:!.5|"</f>
        <v>#VALUE!</v>
      </c>
      <c r="AH222" t="e">
        <f>'Actual Value'!U313+"AM:!.5}"</f>
        <v>#VALUE!</v>
      </c>
      <c r="AI222" t="e">
        <f>'Actual Value'!V313+"AM:!.5~"</f>
        <v>#VALUE!</v>
      </c>
      <c r="AJ222" t="e">
        <f>'Actual Value'!W313+"AM:!.6#"</f>
        <v>#VALUE!</v>
      </c>
      <c r="AK222" t="e">
        <f>'Actual Value'!X313+"AM:!.6$"</f>
        <v>#VALUE!</v>
      </c>
      <c r="AL222" t="e">
        <f>'Actual Value'!Y313+"AM:!.6%"</f>
        <v>#VALUE!</v>
      </c>
      <c r="AM222" t="e">
        <f>'Actual Value'!Z313+"AM:!.6&amp;"</f>
        <v>#VALUE!</v>
      </c>
      <c r="AN222" t="e">
        <f>'Actual Value'!AA313+"AM:!.6'"</f>
        <v>#VALUE!</v>
      </c>
      <c r="AO222" t="e">
        <f>'Actual Value'!AB313+"AM:!.6("</f>
        <v>#VALUE!</v>
      </c>
      <c r="AP222" t="e">
        <f>'Actual Value'!AC313+"AM:!.6)"</f>
        <v>#VALUE!</v>
      </c>
      <c r="AQ222" t="e">
        <f>'Actual Value'!AD313+"AM:!.6."</f>
        <v>#VALUE!</v>
      </c>
      <c r="AR222" t="e">
        <f>'Actual Value'!AE313+"AM:!.6/"</f>
        <v>#VALUE!</v>
      </c>
      <c r="AS222" t="e">
        <f>'Actual Value'!AF313+"AM:!.60"</f>
        <v>#VALUE!</v>
      </c>
      <c r="AT222" t="e">
        <f>'Actual Value'!AG313+"AM:!.61"</f>
        <v>#VALUE!</v>
      </c>
      <c r="AU222" t="e">
        <f>'Actual Value'!AH313+"AM:!.62"</f>
        <v>#VALUE!</v>
      </c>
      <c r="AV222" t="e">
        <f>'Actual Value'!AI313+"AM:!.63"</f>
        <v>#VALUE!</v>
      </c>
      <c r="AW222" t="e">
        <f>'Actual Value'!AJ313+"AM:!.64"</f>
        <v>#VALUE!</v>
      </c>
      <c r="AX222" t="e">
        <f>'Actual Value'!AK313+"AM:!.65"</f>
        <v>#VALUE!</v>
      </c>
      <c r="AY222" t="e">
        <f>'Actual Value'!AL313+"AM:!.66"</f>
        <v>#VALUE!</v>
      </c>
      <c r="AZ222" t="e">
        <f>'Actual Value'!AM313+"AM:!.67"</f>
        <v>#VALUE!</v>
      </c>
      <c r="BA222" t="e">
        <f>'Actual Value'!AN313+"AM:!.68"</f>
        <v>#VALUE!</v>
      </c>
      <c r="BB222" t="e">
        <f>'Actual Value'!AO313+"AM:!.69"</f>
        <v>#VALUE!</v>
      </c>
      <c r="BC222" t="e">
        <f>'Actual Value'!AP313+"AM:!.6:"</f>
        <v>#VALUE!</v>
      </c>
      <c r="BD222" t="e">
        <f>'Actual Value'!AQ313+"AM:!.6;"</f>
        <v>#VALUE!</v>
      </c>
      <c r="BE222" t="e">
        <f>'Actual Value'!AR313+"AM:!.6&lt;"</f>
        <v>#VALUE!</v>
      </c>
      <c r="BF222" t="e">
        <f>'Actual Value'!AS313+"AM:!.6="</f>
        <v>#VALUE!</v>
      </c>
      <c r="BG222" t="e">
        <f>'Actual Value'!AT313+"AM:!.6&gt;"</f>
        <v>#VALUE!</v>
      </c>
      <c r="BH222" t="e">
        <f>'Actual Value'!AU313+"AM:!.6?"</f>
        <v>#VALUE!</v>
      </c>
      <c r="BI222" t="e">
        <f>'Actual Value'!AV313+"AM:!.6@"</f>
        <v>#VALUE!</v>
      </c>
      <c r="BJ222" t="e">
        <f>'Actual Value'!AW313+"AM:!.6A"</f>
        <v>#VALUE!</v>
      </c>
      <c r="BK222" t="e">
        <f>'Actual Value'!A314+"AM:!.6B"</f>
        <v>#VALUE!</v>
      </c>
      <c r="BL222" t="e">
        <f>'Actual Value'!B314+"AM:!.6C"</f>
        <v>#VALUE!</v>
      </c>
      <c r="BM222" t="e">
        <f>'Actual Value'!C314+"AM:!.6D"</f>
        <v>#VALUE!</v>
      </c>
      <c r="BN222" s="105" t="e">
        <f>'Actual Value'!D314+"AM:!.6E"</f>
        <v>#VALUE!</v>
      </c>
      <c r="BO222" s="105" t="e">
        <f>'Actual Value'!E314+"AM:!.6F"</f>
        <v>#VALUE!</v>
      </c>
      <c r="BP222" s="105" t="e">
        <f>'Actual Value'!F314+"AM:!.6G"</f>
        <v>#VALUE!</v>
      </c>
      <c r="BQ222" s="105" t="e">
        <f>'Actual Value'!G314+"AM:!.6H"</f>
        <v>#VALUE!</v>
      </c>
      <c r="BR222" s="105" t="e">
        <f>'Actual Value'!H314+"AM:!.6I"</f>
        <v>#VALUE!</v>
      </c>
      <c r="BS222" s="105" t="e">
        <f>'Actual Value'!I314+"AM:!.6J"</f>
        <v>#VALUE!</v>
      </c>
      <c r="BT222" s="105" t="e">
        <f>'Actual Value'!J314+"AM:!.6K"</f>
        <v>#VALUE!</v>
      </c>
      <c r="BU222" s="105" t="e">
        <f>'Actual Value'!K314+"AM:!.6L"</f>
        <v>#VALUE!</v>
      </c>
      <c r="BV222" s="105" t="e">
        <f>'Actual Value'!L314+"AM:!.6M"</f>
        <v>#VALUE!</v>
      </c>
      <c r="BW222" s="105" t="e">
        <f>'Actual Value'!M314+"AM:!.6N"</f>
        <v>#VALUE!</v>
      </c>
      <c r="BX222" s="105" t="e">
        <f>'Actual Value'!N314+"AM:!.6O"</f>
        <v>#VALUE!</v>
      </c>
      <c r="BY222" s="105" t="e">
        <f>'Actual Value'!O314+"AM:!.6P"</f>
        <v>#VALUE!</v>
      </c>
      <c r="BZ222" s="105" t="e">
        <f>'Actual Value'!P314+"AM:!.6Q"</f>
        <v>#VALUE!</v>
      </c>
      <c r="CA222" s="105" t="e">
        <f>'Actual Value'!Q314+"AM:!.6R"</f>
        <v>#VALUE!</v>
      </c>
      <c r="CB222" s="105" t="e">
        <f>'Actual Value'!R314+"AM:!.6S"</f>
        <v>#VALUE!</v>
      </c>
      <c r="CC222" s="105" t="e">
        <f>'Actual Value'!S314+"AM:!.6T"</f>
        <v>#VALUE!</v>
      </c>
      <c r="CD222" s="105" t="e">
        <f>'Actual Value'!T314+"AM:!.6U"</f>
        <v>#VALUE!</v>
      </c>
      <c r="CE222" s="105" t="e">
        <f>'Actual Value'!U314+"AM:!.6V"</f>
        <v>#VALUE!</v>
      </c>
      <c r="CF222" s="105" t="e">
        <f>'Actual Value'!V314+"AM:!.6W"</f>
        <v>#VALUE!</v>
      </c>
      <c r="CG222" s="105" t="e">
        <f>'Actual Value'!W314+"AM:!.6X"</f>
        <v>#VALUE!</v>
      </c>
      <c r="CH222" s="105" t="e">
        <f>'Actual Value'!X314+"AM:!.6Y"</f>
        <v>#VALUE!</v>
      </c>
      <c r="CI222" s="105" t="e">
        <f>'Actual Value'!Y314+"AM:!.6Z"</f>
        <v>#VALUE!</v>
      </c>
      <c r="CJ222" s="105" t="e">
        <f>'Actual Value'!Z314+"AM:!.6["</f>
        <v>#VALUE!</v>
      </c>
      <c r="CK222" s="105" t="e">
        <f>'Actual Value'!AA314+"AM:!.6\"</f>
        <v>#VALUE!</v>
      </c>
      <c r="CL222" s="105" t="e">
        <f>'Actual Value'!AB314+"AM:!.6]"</f>
        <v>#VALUE!</v>
      </c>
      <c r="CM222" s="105" t="e">
        <f>'Actual Value'!AC314+"AM:!.6^"</f>
        <v>#VALUE!</v>
      </c>
      <c r="CN222" s="105" t="e">
        <f>'Actual Value'!AD314+"AM:!.6_"</f>
        <v>#VALUE!</v>
      </c>
      <c r="CO222" s="105" t="e">
        <f>'Actual Value'!AE314+"AM:!.6`"</f>
        <v>#VALUE!</v>
      </c>
      <c r="CP222" s="105" t="e">
        <f>'Actual Value'!AF314+"AM:!.6a"</f>
        <v>#VALUE!</v>
      </c>
      <c r="CQ222" s="105" t="e">
        <f>'Actual Value'!AG314+"AM:!.6b"</f>
        <v>#VALUE!</v>
      </c>
      <c r="CR222" s="105" t="e">
        <f>'Actual Value'!AH314+"AM:!.6c"</f>
        <v>#VALUE!</v>
      </c>
      <c r="CS222" s="105" t="e">
        <f>'Actual Value'!AI314+"AM:!.6d"</f>
        <v>#VALUE!</v>
      </c>
      <c r="CT222" s="105" t="e">
        <f>'Actual Value'!AJ314+"AM:!.6e"</f>
        <v>#VALUE!</v>
      </c>
      <c r="CU222" s="105" t="e">
        <f>'Actual Value'!AK314+"AM:!.6f"</f>
        <v>#VALUE!</v>
      </c>
      <c r="CV222" s="105" t="e">
        <f>'Actual Value'!AL314+"AM:!.6g"</f>
        <v>#VALUE!</v>
      </c>
      <c r="CW222" s="105" t="e">
        <f>'Actual Value'!AM314+"AM:!.6h"</f>
        <v>#VALUE!</v>
      </c>
      <c r="CX222" s="105" t="e">
        <f>'Actual Value'!AN314+"AM:!.6i"</f>
        <v>#VALUE!</v>
      </c>
      <c r="CY222" s="105" t="e">
        <f>'Actual Value'!AO314+"AM:!.6j"</f>
        <v>#VALUE!</v>
      </c>
      <c r="CZ222" t="e">
        <f>'Actual Value'!AP314+"AM:!.6k"</f>
        <v>#VALUE!</v>
      </c>
      <c r="DA222" s="100" t="e">
        <f>'Actual Value'!AQ314+"AM:!.6l"</f>
        <v>#VALUE!</v>
      </c>
      <c r="DB222" s="100" t="e">
        <f>'Actual Value'!AR314+"AM:!.6m"</f>
        <v>#VALUE!</v>
      </c>
      <c r="DC222" s="100" t="e">
        <f>'Actual Value'!AS314+"AM:!.6n"</f>
        <v>#VALUE!</v>
      </c>
      <c r="DD222" s="100" t="e">
        <f>'Actual Value'!AT314+"AM:!.6o"</f>
        <v>#VALUE!</v>
      </c>
      <c r="DE222" s="100" t="e">
        <f>'Actual Value'!AU314+"AM:!.6p"</f>
        <v>#VALUE!</v>
      </c>
      <c r="DF222" t="e">
        <f>'Actual Value'!AV314+"AM:!.6q"</f>
        <v>#VALUE!</v>
      </c>
      <c r="DG222" t="e">
        <f>'Actual Value'!AW314+"AM:!.6r"</f>
        <v>#VALUE!</v>
      </c>
      <c r="DH222" t="e">
        <f>'Actual Value'!A315+"AM:!.6s"</f>
        <v>#VALUE!</v>
      </c>
      <c r="DI222" t="e">
        <f>'Actual Value'!B315+"AM:!.6t"</f>
        <v>#VALUE!</v>
      </c>
      <c r="DJ222" t="e">
        <f>'Actual Value'!C315+"AM:!.6u"</f>
        <v>#VALUE!</v>
      </c>
      <c r="DK222" s="97" t="e">
        <f>'Actual Value'!D315+"AM:!.6v"</f>
        <v>#VALUE!</v>
      </c>
      <c r="DL222" s="97" t="e">
        <f>'Actual Value'!E315+"AM:!.6w"</f>
        <v>#VALUE!</v>
      </c>
      <c r="DM222" s="97" t="e">
        <f>'Actual Value'!F315+"AM:!.6x"</f>
        <v>#VALUE!</v>
      </c>
      <c r="DN222" s="97" t="e">
        <f>'Actual Value'!G315+"AM:!.6y"</f>
        <v>#VALUE!</v>
      </c>
      <c r="DO222" s="97" t="e">
        <f>'Actual Value'!H315+"AM:!.6z"</f>
        <v>#VALUE!</v>
      </c>
      <c r="DP222" s="97" t="e">
        <f>'Actual Value'!I315+"AM:!.6{"</f>
        <v>#VALUE!</v>
      </c>
      <c r="DQ222" s="97" t="e">
        <f>'Actual Value'!J315+"AM:!.6|"</f>
        <v>#VALUE!</v>
      </c>
      <c r="DR222" s="97" t="e">
        <f>'Actual Value'!K315+"AM:!.6}"</f>
        <v>#VALUE!</v>
      </c>
      <c r="DS222" s="97" t="e">
        <f>'Actual Value'!L315+"AM:!.6~"</f>
        <v>#VALUE!</v>
      </c>
      <c r="DT222" s="97" t="e">
        <f>'Actual Value'!M315+"AM:!.7#"</f>
        <v>#VALUE!</v>
      </c>
      <c r="DU222" s="97" t="e">
        <f>'Actual Value'!N315+"AM:!.7$"</f>
        <v>#VALUE!</v>
      </c>
      <c r="DV222" s="97" t="e">
        <f>'Actual Value'!O315+"AM:!.7%"</f>
        <v>#VALUE!</v>
      </c>
      <c r="DW222" s="97" t="e">
        <f>'Actual Value'!P315+"AM:!.7&amp;"</f>
        <v>#VALUE!</v>
      </c>
      <c r="DX222" s="97" t="e">
        <f>'Actual Value'!Q315+"AM:!.7'"</f>
        <v>#VALUE!</v>
      </c>
      <c r="DY222" s="97" t="e">
        <f>'Actual Value'!R315+"AM:!.7("</f>
        <v>#VALUE!</v>
      </c>
      <c r="DZ222" s="97" t="e">
        <f>'Actual Value'!S315+"AM:!.7)"</f>
        <v>#VALUE!</v>
      </c>
      <c r="EA222" s="97" t="e">
        <f>'Actual Value'!T315+"AM:!.7."</f>
        <v>#VALUE!</v>
      </c>
      <c r="EB222" s="97" t="e">
        <f>'Actual Value'!U315+"AM:!.7/"</f>
        <v>#VALUE!</v>
      </c>
      <c r="EC222" s="97" t="e">
        <f>'Actual Value'!V315+"AM:!.70"</f>
        <v>#VALUE!</v>
      </c>
      <c r="ED222" s="97" t="e">
        <f>'Actual Value'!W315+"AM:!.71"</f>
        <v>#VALUE!</v>
      </c>
      <c r="EE222" s="97" t="e">
        <f>'Actual Value'!X315+"AM:!.72"</f>
        <v>#VALUE!</v>
      </c>
      <c r="EF222" s="97" t="e">
        <f>'Actual Value'!Y315+"AM:!.73"</f>
        <v>#VALUE!</v>
      </c>
      <c r="EG222" s="97" t="e">
        <f>'Actual Value'!Z315+"AM:!.74"</f>
        <v>#VALUE!</v>
      </c>
      <c r="EH222" s="97" t="e">
        <f>'Actual Value'!AA315+"AM:!.75"</f>
        <v>#VALUE!</v>
      </c>
      <c r="EI222" s="97" t="e">
        <f>'Actual Value'!AB315+"AM:!.76"</f>
        <v>#VALUE!</v>
      </c>
      <c r="EJ222" s="97" t="e">
        <f>'Actual Value'!AC315+"AM:!.77"</f>
        <v>#VALUE!</v>
      </c>
      <c r="EK222" s="97" t="e">
        <f>'Actual Value'!AD315+"AM:!.78"</f>
        <v>#VALUE!</v>
      </c>
      <c r="EL222" s="97" t="e">
        <f>'Actual Value'!AE315+"AM:!.79"</f>
        <v>#VALUE!</v>
      </c>
      <c r="EM222" s="97" t="e">
        <f>'Actual Value'!AF315+"AM:!.7:"</f>
        <v>#VALUE!</v>
      </c>
      <c r="EN222" s="97" t="e">
        <f>'Actual Value'!AG315+"AM:!.7;"</f>
        <v>#VALUE!</v>
      </c>
      <c r="EO222" s="97" t="e">
        <f>'Actual Value'!AH315+"AM:!.7&lt;"</f>
        <v>#VALUE!</v>
      </c>
      <c r="EP222" s="97" t="e">
        <f>'Actual Value'!AI315+"AM:!.7="</f>
        <v>#VALUE!</v>
      </c>
      <c r="EQ222" s="97" t="e">
        <f>'Actual Value'!AJ315+"AM:!.7&gt;"</f>
        <v>#VALUE!</v>
      </c>
      <c r="ER222" s="97" t="e">
        <f>'Actual Value'!AK315+"AM:!.7?"</f>
        <v>#VALUE!</v>
      </c>
      <c r="ES222" s="97" t="e">
        <f>'Actual Value'!AL315+"AM:!.7@"</f>
        <v>#VALUE!</v>
      </c>
      <c r="ET222" s="97" t="e">
        <f>'Actual Value'!AM315+"AM:!.7A"</f>
        <v>#VALUE!</v>
      </c>
      <c r="EU222" s="97" t="e">
        <f>'Actual Value'!AN315+"AM:!.7B"</f>
        <v>#VALUE!</v>
      </c>
      <c r="EV222" s="97" t="e">
        <f>'Actual Value'!AO315+"AM:!.7C"</f>
        <v>#VALUE!</v>
      </c>
      <c r="EW222" t="e">
        <f>'Actual Value'!AP315+"AM:!.7D"</f>
        <v>#VALUE!</v>
      </c>
      <c r="EX222" t="e">
        <f>'Actual Value'!AQ315+"AM:!.7E"</f>
        <v>#VALUE!</v>
      </c>
      <c r="EY222" t="e">
        <f>'Actual Value'!AR315+"AM:!.7F"</f>
        <v>#VALUE!</v>
      </c>
      <c r="EZ222" s="97" t="e">
        <f>'Actual Value'!AS315+"AM:!.7G"</f>
        <v>#VALUE!</v>
      </c>
      <c r="FA222" t="e">
        <f>'Actual Value'!AT315+"AM:!.7H"</f>
        <v>#VALUE!</v>
      </c>
      <c r="FB222" t="e">
        <f>'Actual Value'!AU315+"AM:!.7I"</f>
        <v>#VALUE!</v>
      </c>
      <c r="FC222" t="e">
        <f>'Actual Value'!AV315+"AM:!.7J"</f>
        <v>#VALUE!</v>
      </c>
      <c r="FD222" t="e">
        <f>'Actual Value'!AW315+"AM:!.7K"</f>
        <v>#VALUE!</v>
      </c>
      <c r="FE222" t="e">
        <f>'Actual Value'!A316+"AM:!.7L"</f>
        <v>#VALUE!</v>
      </c>
      <c r="FF222" t="e">
        <f>'Actual Value'!B316+"AM:!.7M"</f>
        <v>#VALUE!</v>
      </c>
      <c r="FG222" t="e">
        <f>'Actual Value'!C316+"AM:!.7N"</f>
        <v>#VALUE!</v>
      </c>
      <c r="FH222" s="97" t="e">
        <f>'Actual Value'!D316+"AM:!.7O"</f>
        <v>#VALUE!</v>
      </c>
      <c r="FI222" s="97" t="e">
        <f>'Actual Value'!E316+"AM:!.7P"</f>
        <v>#VALUE!</v>
      </c>
      <c r="FJ222" s="97" t="e">
        <f>'Actual Value'!F316+"AM:!.7Q"</f>
        <v>#VALUE!</v>
      </c>
      <c r="FK222" s="97" t="e">
        <f>'Actual Value'!G316+"AM:!.7R"</f>
        <v>#VALUE!</v>
      </c>
      <c r="FL222" s="97" t="e">
        <f>'Actual Value'!H316+"AM:!.7S"</f>
        <v>#VALUE!</v>
      </c>
      <c r="FM222" s="97" t="e">
        <f>'Actual Value'!I316+"AM:!.7T"</f>
        <v>#VALUE!</v>
      </c>
      <c r="FN222" s="97" t="e">
        <f>'Actual Value'!J316+"AM:!.7U"</f>
        <v>#VALUE!</v>
      </c>
      <c r="FO222" s="97" t="e">
        <f>'Actual Value'!K316+"AM:!.7V"</f>
        <v>#VALUE!</v>
      </c>
      <c r="FP222" s="97" t="e">
        <f>'Actual Value'!L316+"AM:!.7W"</f>
        <v>#VALUE!</v>
      </c>
      <c r="FQ222" s="97" t="e">
        <f>'Actual Value'!M316+"AM:!.7X"</f>
        <v>#VALUE!</v>
      </c>
      <c r="FR222" s="97" t="e">
        <f>'Actual Value'!N316+"AM:!.7Y"</f>
        <v>#VALUE!</v>
      </c>
      <c r="FS222" s="97" t="e">
        <f>'Actual Value'!O316+"AM:!.7Z"</f>
        <v>#VALUE!</v>
      </c>
      <c r="FT222" s="97" t="e">
        <f>'Actual Value'!P316+"AM:!.7["</f>
        <v>#VALUE!</v>
      </c>
      <c r="FU222" s="97" t="e">
        <f>'Actual Value'!Q316+"AM:!.7\"</f>
        <v>#VALUE!</v>
      </c>
      <c r="FV222" s="97" t="e">
        <f>'Actual Value'!R316+"AM:!.7]"</f>
        <v>#VALUE!</v>
      </c>
      <c r="FW222" s="97" t="e">
        <f>'Actual Value'!S316+"AM:!.7^"</f>
        <v>#VALUE!</v>
      </c>
      <c r="FX222" s="97" t="e">
        <f>'Actual Value'!T316+"AM:!.7_"</f>
        <v>#VALUE!</v>
      </c>
      <c r="FY222" s="97" t="e">
        <f>'Actual Value'!U316+"AM:!.7`"</f>
        <v>#VALUE!</v>
      </c>
      <c r="FZ222" s="97" t="e">
        <f>'Actual Value'!V316+"AM:!.7a"</f>
        <v>#VALUE!</v>
      </c>
      <c r="GA222" s="97" t="e">
        <f>'Actual Value'!W316+"AM:!.7b"</f>
        <v>#VALUE!</v>
      </c>
      <c r="GB222" s="97" t="e">
        <f>'Actual Value'!X316+"AM:!.7c"</f>
        <v>#VALUE!</v>
      </c>
      <c r="GC222" s="97" t="e">
        <f>'Actual Value'!Y316+"AM:!.7d"</f>
        <v>#VALUE!</v>
      </c>
      <c r="GD222" s="97" t="e">
        <f>'Actual Value'!Z316+"AM:!.7e"</f>
        <v>#VALUE!</v>
      </c>
      <c r="GE222" s="97" t="e">
        <f>'Actual Value'!AA316+"AM:!.7f"</f>
        <v>#VALUE!</v>
      </c>
      <c r="GF222" s="97" t="e">
        <f>'Actual Value'!AB316+"AM:!.7g"</f>
        <v>#VALUE!</v>
      </c>
      <c r="GG222" s="97" t="e">
        <f>'Actual Value'!AC316+"AM:!.7h"</f>
        <v>#VALUE!</v>
      </c>
      <c r="GH222" s="97" t="e">
        <f>'Actual Value'!AD316+"AM:!.7i"</f>
        <v>#VALUE!</v>
      </c>
      <c r="GI222" s="97" t="e">
        <f>'Actual Value'!AE316+"AM:!.7j"</f>
        <v>#VALUE!</v>
      </c>
      <c r="GJ222" s="97" t="e">
        <f>'Actual Value'!AF316+"AM:!.7k"</f>
        <v>#VALUE!</v>
      </c>
      <c r="GK222" s="97" t="e">
        <f>'Actual Value'!AG316+"AM:!.7l"</f>
        <v>#VALUE!</v>
      </c>
      <c r="GL222" s="97" t="e">
        <f>'Actual Value'!AH316+"AM:!.7m"</f>
        <v>#VALUE!</v>
      </c>
      <c r="GM222" s="97" t="e">
        <f>'Actual Value'!AI316+"AM:!.7n"</f>
        <v>#VALUE!</v>
      </c>
      <c r="GN222" s="97" t="e">
        <f>'Actual Value'!AJ316+"AM:!.7o"</f>
        <v>#VALUE!</v>
      </c>
      <c r="GO222" s="97" t="e">
        <f>'Actual Value'!AK316+"AM:!.7p"</f>
        <v>#VALUE!</v>
      </c>
      <c r="GP222" s="97" t="e">
        <f>'Actual Value'!AL316+"AM:!.7q"</f>
        <v>#VALUE!</v>
      </c>
      <c r="GQ222" s="97" t="e">
        <f>'Actual Value'!AM316+"AM:!.7r"</f>
        <v>#VALUE!</v>
      </c>
      <c r="GR222" s="97" t="e">
        <f>'Actual Value'!AN316+"AM:!.7s"</f>
        <v>#VALUE!</v>
      </c>
      <c r="GS222" s="97" t="e">
        <f>'Actual Value'!AO316+"AM:!.7t"</f>
        <v>#VALUE!</v>
      </c>
      <c r="GT222" t="e">
        <f>'Actual Value'!AP316+"AM:!.7u"</f>
        <v>#VALUE!</v>
      </c>
      <c r="GU222" t="e">
        <f>'Actual Value'!AQ316+"AM:!.7v"</f>
        <v>#VALUE!</v>
      </c>
      <c r="GV222" t="e">
        <f>'Actual Value'!AR316+"AM:!.7w"</f>
        <v>#VALUE!</v>
      </c>
      <c r="GW222" s="97" t="e">
        <f>'Actual Value'!AS316+"AM:!.7x"</f>
        <v>#VALUE!</v>
      </c>
      <c r="GX222" t="e">
        <f>'Actual Value'!AT316+"AM:!.7y"</f>
        <v>#VALUE!</v>
      </c>
      <c r="GY222" t="e">
        <f>'Actual Value'!AU316+"AM:!.7z"</f>
        <v>#VALUE!</v>
      </c>
      <c r="GZ222" t="e">
        <f>'Actual Value'!AV316+"AM:!.7{"</f>
        <v>#VALUE!</v>
      </c>
      <c r="HA222" t="e">
        <f>'Actual Value'!AW316+"AM:!.7|"</f>
        <v>#VALUE!</v>
      </c>
      <c r="HB222" t="e">
        <f>'Actual Value'!A317+"AM:!.7}"</f>
        <v>#VALUE!</v>
      </c>
      <c r="HC222" t="e">
        <f>'Actual Value'!B317+"AM:!.7~"</f>
        <v>#VALUE!</v>
      </c>
      <c r="HD222" t="e">
        <f>'Actual Value'!C317+"AM:!.8#"</f>
        <v>#VALUE!</v>
      </c>
      <c r="HE222" s="97" t="e">
        <f>'Actual Value'!D317+"AM:!.8$"</f>
        <v>#VALUE!</v>
      </c>
      <c r="HF222" s="97" t="e">
        <f>'Actual Value'!E317+"AM:!.8%"</f>
        <v>#VALUE!</v>
      </c>
      <c r="HG222" s="97" t="e">
        <f>'Actual Value'!F317+"AM:!.8&amp;"</f>
        <v>#VALUE!</v>
      </c>
      <c r="HH222" s="97" t="e">
        <f>'Actual Value'!G317+"AM:!.8'"</f>
        <v>#VALUE!</v>
      </c>
      <c r="HI222" s="97" t="e">
        <f>'Actual Value'!H317+"AM:!.8("</f>
        <v>#VALUE!</v>
      </c>
      <c r="HJ222" s="97" t="e">
        <f>'Actual Value'!I317+"AM:!.8)"</f>
        <v>#VALUE!</v>
      </c>
      <c r="HK222" s="97" t="e">
        <f>'Actual Value'!J317+"AM:!.8."</f>
        <v>#VALUE!</v>
      </c>
      <c r="HL222" s="97" t="e">
        <f>'Actual Value'!K317+"AM:!.8/"</f>
        <v>#VALUE!</v>
      </c>
      <c r="HM222" s="97" t="e">
        <f>'Actual Value'!L317+"AM:!.80"</f>
        <v>#VALUE!</v>
      </c>
      <c r="HN222" s="97" t="e">
        <f>'Actual Value'!M317+"AM:!.81"</f>
        <v>#VALUE!</v>
      </c>
      <c r="HO222" s="97" t="e">
        <f>'Actual Value'!N317+"AM:!.82"</f>
        <v>#VALUE!</v>
      </c>
      <c r="HP222" s="97" t="e">
        <f>'Actual Value'!O317+"AM:!.83"</f>
        <v>#VALUE!</v>
      </c>
      <c r="HQ222" s="97" t="e">
        <f>'Actual Value'!P317+"AM:!.84"</f>
        <v>#VALUE!</v>
      </c>
      <c r="HR222" s="97" t="e">
        <f>'Actual Value'!Q317+"AM:!.85"</f>
        <v>#VALUE!</v>
      </c>
      <c r="HS222" s="97" t="e">
        <f>'Actual Value'!R317+"AM:!.86"</f>
        <v>#VALUE!</v>
      </c>
      <c r="HT222" s="97" t="e">
        <f>'Actual Value'!S317+"AM:!.87"</f>
        <v>#VALUE!</v>
      </c>
      <c r="HU222" s="97" t="e">
        <f>'Actual Value'!T317+"AM:!.88"</f>
        <v>#VALUE!</v>
      </c>
      <c r="HV222" s="97" t="e">
        <f>'Actual Value'!U317+"AM:!.89"</f>
        <v>#VALUE!</v>
      </c>
      <c r="HW222" s="97" t="e">
        <f>'Actual Value'!V317+"AM:!.8:"</f>
        <v>#VALUE!</v>
      </c>
      <c r="HX222" s="97" t="e">
        <f>'Actual Value'!W317+"AM:!.8;"</f>
        <v>#VALUE!</v>
      </c>
      <c r="HY222" s="97" t="e">
        <f>'Actual Value'!X317+"AM:!.8&lt;"</f>
        <v>#VALUE!</v>
      </c>
      <c r="HZ222" s="97" t="e">
        <f>'Actual Value'!Y317+"AM:!.8="</f>
        <v>#VALUE!</v>
      </c>
      <c r="IA222" s="97" t="e">
        <f>'Actual Value'!Z317+"AM:!.8&gt;"</f>
        <v>#VALUE!</v>
      </c>
      <c r="IB222" s="97" t="e">
        <f>'Actual Value'!AA317+"AM:!.8?"</f>
        <v>#VALUE!</v>
      </c>
      <c r="IC222" s="97" t="e">
        <f>'Actual Value'!AB317+"AM:!.8@"</f>
        <v>#VALUE!</v>
      </c>
      <c r="ID222" s="97" t="e">
        <f>'Actual Value'!AC317+"AM:!.8A"</f>
        <v>#VALUE!</v>
      </c>
      <c r="IE222" s="97" t="e">
        <f>'Actual Value'!AD317+"AM:!.8B"</f>
        <v>#VALUE!</v>
      </c>
      <c r="IF222" s="97" t="e">
        <f>'Actual Value'!AE317+"AM:!.8C"</f>
        <v>#VALUE!</v>
      </c>
      <c r="IG222" s="97" t="e">
        <f>'Actual Value'!AF317+"AM:!.8D"</f>
        <v>#VALUE!</v>
      </c>
      <c r="IH222" s="97" t="e">
        <f>'Actual Value'!AG317+"AM:!.8E"</f>
        <v>#VALUE!</v>
      </c>
      <c r="II222" s="97" t="e">
        <f>'Actual Value'!AH317+"AM:!.8F"</f>
        <v>#VALUE!</v>
      </c>
      <c r="IJ222" s="97" t="e">
        <f>'Actual Value'!AI317+"AM:!.8G"</f>
        <v>#VALUE!</v>
      </c>
      <c r="IK222" s="97" t="e">
        <f>'Actual Value'!AJ317+"AM:!.8H"</f>
        <v>#VALUE!</v>
      </c>
      <c r="IL222" s="97" t="e">
        <f>'Actual Value'!AK317+"AM:!.8I"</f>
        <v>#VALUE!</v>
      </c>
      <c r="IM222" s="97" t="e">
        <f>'Actual Value'!AL317+"AM:!.8J"</f>
        <v>#VALUE!</v>
      </c>
      <c r="IN222" s="97" t="e">
        <f>'Actual Value'!AM317+"AM:!.8K"</f>
        <v>#VALUE!</v>
      </c>
      <c r="IO222" s="97" t="e">
        <f>'Actual Value'!AN317+"AM:!.8L"</f>
        <v>#VALUE!</v>
      </c>
      <c r="IP222" s="97" t="e">
        <f>'Actual Value'!AO317+"AM:!.8M"</f>
        <v>#VALUE!</v>
      </c>
      <c r="IQ222" t="e">
        <f>'Actual Value'!AP317+"AM:!.8N"</f>
        <v>#VALUE!</v>
      </c>
      <c r="IR222" t="e">
        <f>'Actual Value'!AQ317+"AM:!.8O"</f>
        <v>#VALUE!</v>
      </c>
      <c r="IS222" t="e">
        <f>'Actual Value'!AR317+"AM:!.8P"</f>
        <v>#VALUE!</v>
      </c>
      <c r="IT222" t="e">
        <f>'Actual Value'!AS317+"AM:!.8Q"</f>
        <v>#VALUE!</v>
      </c>
      <c r="IU222" t="e">
        <f>'Actual Value'!AT317+"AM:!.8R"</f>
        <v>#VALUE!</v>
      </c>
      <c r="IV222" t="e">
        <f>'Actual Value'!AU317+"AM:!.8S"</f>
        <v>#VALUE!</v>
      </c>
    </row>
    <row r="223" spans="6:256">
      <c r="F223" t="e">
        <f>'Actual Value'!AV317+"AM:!.8T"</f>
        <v>#VALUE!</v>
      </c>
      <c r="G223" t="e">
        <f>'Actual Value'!AW317+"AM:!.8U"</f>
        <v>#VALUE!</v>
      </c>
      <c r="H223" t="e">
        <f>'Actual Value'!A318+"AM:!.8V"</f>
        <v>#VALUE!</v>
      </c>
      <c r="I223" t="e">
        <f>'Actual Value'!B318+"AM:!.8W"</f>
        <v>#VALUE!</v>
      </c>
      <c r="J223" t="e">
        <f>'Actual Value'!C318+"AM:!.8X"</f>
        <v>#VALUE!</v>
      </c>
      <c r="K223" s="97" t="e">
        <f>'Actual Value'!D318+"AM:!.8Y"</f>
        <v>#VALUE!</v>
      </c>
      <c r="L223" s="97" t="e">
        <f>'Actual Value'!E318+"AM:!.8Z"</f>
        <v>#VALUE!</v>
      </c>
      <c r="M223" s="97" t="e">
        <f>'Actual Value'!F318+"AM:!.8["</f>
        <v>#VALUE!</v>
      </c>
      <c r="N223" s="97" t="e">
        <f>'Actual Value'!G318+"AM:!.8\"</f>
        <v>#VALUE!</v>
      </c>
      <c r="O223" s="97" t="e">
        <f>'Actual Value'!H318+"AM:!.8]"</f>
        <v>#VALUE!</v>
      </c>
      <c r="P223" s="97" t="e">
        <f>'Actual Value'!I318+"AM:!.8^"</f>
        <v>#VALUE!</v>
      </c>
      <c r="Q223" s="97" t="e">
        <f>'Actual Value'!J318+"AM:!.8_"</f>
        <v>#VALUE!</v>
      </c>
      <c r="R223" s="97" t="e">
        <f>'Actual Value'!K318+"AM:!.8`"</f>
        <v>#VALUE!</v>
      </c>
      <c r="S223" s="97" t="e">
        <f>'Actual Value'!L318+"AM:!.8a"</f>
        <v>#VALUE!</v>
      </c>
      <c r="T223" s="97" t="e">
        <f>'Actual Value'!M318+"AM:!.8b"</f>
        <v>#VALUE!</v>
      </c>
      <c r="U223" s="97" t="e">
        <f>'Actual Value'!N318+"AM:!.8c"</f>
        <v>#VALUE!</v>
      </c>
      <c r="V223" s="97" t="e">
        <f>'Actual Value'!O318+"AM:!.8d"</f>
        <v>#VALUE!</v>
      </c>
      <c r="W223" s="97" t="e">
        <f>'Actual Value'!P318+"AM:!.8e"</f>
        <v>#VALUE!</v>
      </c>
      <c r="X223" s="97" t="e">
        <f>'Actual Value'!Q318+"AM:!.8f"</f>
        <v>#VALUE!</v>
      </c>
      <c r="Y223" s="97" t="e">
        <f>'Actual Value'!R318+"AM:!.8g"</f>
        <v>#VALUE!</v>
      </c>
      <c r="Z223" s="97" t="e">
        <f>'Actual Value'!S318+"AM:!.8h"</f>
        <v>#VALUE!</v>
      </c>
      <c r="AA223" s="97" t="e">
        <f>'Actual Value'!T318+"AM:!.8i"</f>
        <v>#VALUE!</v>
      </c>
      <c r="AB223" s="97" t="e">
        <f>'Actual Value'!U318+"AM:!.8j"</f>
        <v>#VALUE!</v>
      </c>
      <c r="AC223" s="97" t="e">
        <f>'Actual Value'!V318+"AM:!.8k"</f>
        <v>#VALUE!</v>
      </c>
      <c r="AD223" s="97" t="e">
        <f>'Actual Value'!W318+"AM:!.8l"</f>
        <v>#VALUE!</v>
      </c>
      <c r="AE223" s="97" t="e">
        <f>'Actual Value'!X318+"AM:!.8m"</f>
        <v>#VALUE!</v>
      </c>
      <c r="AF223" s="97" t="e">
        <f>'Actual Value'!Y318+"AM:!.8n"</f>
        <v>#VALUE!</v>
      </c>
      <c r="AG223" s="97" t="e">
        <f>'Actual Value'!Z318+"AM:!.8o"</f>
        <v>#VALUE!</v>
      </c>
      <c r="AH223" s="97" t="e">
        <f>'Actual Value'!AA318+"AM:!.8p"</f>
        <v>#VALUE!</v>
      </c>
      <c r="AI223" s="97" t="e">
        <f>'Actual Value'!AB318+"AM:!.8q"</f>
        <v>#VALUE!</v>
      </c>
      <c r="AJ223" s="97" t="e">
        <f>'Actual Value'!AC318+"AM:!.8r"</f>
        <v>#VALUE!</v>
      </c>
      <c r="AK223" s="97" t="e">
        <f>'Actual Value'!AD318+"AM:!.8s"</f>
        <v>#VALUE!</v>
      </c>
      <c r="AL223" s="97" t="e">
        <f>'Actual Value'!AE318+"AM:!.8t"</f>
        <v>#VALUE!</v>
      </c>
      <c r="AM223" s="97" t="e">
        <f>'Actual Value'!AF318+"AM:!.8u"</f>
        <v>#VALUE!</v>
      </c>
      <c r="AN223" s="97" t="e">
        <f>'Actual Value'!AG318+"AM:!.8v"</f>
        <v>#VALUE!</v>
      </c>
      <c r="AO223" s="97" t="e">
        <f>'Actual Value'!AH318+"AM:!.8w"</f>
        <v>#VALUE!</v>
      </c>
      <c r="AP223" s="97" t="e">
        <f>'Actual Value'!AI318+"AM:!.8x"</f>
        <v>#VALUE!</v>
      </c>
      <c r="AQ223" s="97" t="e">
        <f>'Actual Value'!AJ318+"AM:!.8y"</f>
        <v>#VALUE!</v>
      </c>
      <c r="AR223" s="97" t="e">
        <f>'Actual Value'!AK318+"AM:!.8z"</f>
        <v>#VALUE!</v>
      </c>
      <c r="AS223" s="97" t="e">
        <f>'Actual Value'!AL318+"AM:!.8{"</f>
        <v>#VALUE!</v>
      </c>
      <c r="AT223" s="97" t="e">
        <f>'Actual Value'!AM318+"AM:!.8|"</f>
        <v>#VALUE!</v>
      </c>
      <c r="AU223" s="97" t="e">
        <f>'Actual Value'!AN318+"AM:!.8}"</f>
        <v>#VALUE!</v>
      </c>
      <c r="AV223" s="97" t="e">
        <f>'Actual Value'!AO318+"AM:!.8~"</f>
        <v>#VALUE!</v>
      </c>
      <c r="AW223" t="e">
        <f>'Actual Value'!AP318+"AM:!.9#"</f>
        <v>#VALUE!</v>
      </c>
      <c r="AX223" t="e">
        <f>'Actual Value'!AQ318+"AM:!.9$"</f>
        <v>#VALUE!</v>
      </c>
      <c r="AY223" t="e">
        <f>'Actual Value'!AR318+"AM:!.9%"</f>
        <v>#VALUE!</v>
      </c>
      <c r="AZ223" t="e">
        <f>'Actual Value'!AS318+"AM:!.9&amp;"</f>
        <v>#VALUE!</v>
      </c>
      <c r="BA223" t="e">
        <f>'Actual Value'!AT318+"AM:!.9'"</f>
        <v>#VALUE!</v>
      </c>
      <c r="BB223" t="e">
        <f>'Actual Value'!AU318+"AM:!.9("</f>
        <v>#VALUE!</v>
      </c>
      <c r="BC223" t="e">
        <f>'Actual Value'!AV318+"AM:!.9)"</f>
        <v>#VALUE!</v>
      </c>
      <c r="BD223" t="e">
        <f>'Actual Value'!AW318+"AM:!.9."</f>
        <v>#VALUE!</v>
      </c>
      <c r="BE223" t="e">
        <f>'Actual Value'!AX318+"AM:!.9/"</f>
        <v>#VALUE!</v>
      </c>
      <c r="BF223" t="e">
        <f>'Actual Value'!A319+"AM:!.90"</f>
        <v>#VALUE!</v>
      </c>
      <c r="BG223" t="e">
        <f>'Actual Value'!B319+"AM:!.91"</f>
        <v>#VALUE!</v>
      </c>
      <c r="BH223" t="e">
        <f>'Actual Value'!C319+"AM:!.92"</f>
        <v>#VALUE!</v>
      </c>
      <c r="BI223" s="97" t="e">
        <f>'Actual Value'!D319+"AM:!.93"</f>
        <v>#VALUE!</v>
      </c>
      <c r="BJ223" s="97" t="e">
        <f>'Actual Value'!E319+"AM:!.94"</f>
        <v>#VALUE!</v>
      </c>
      <c r="BK223" s="97" t="e">
        <f>'Actual Value'!F319+"AM:!.95"</f>
        <v>#VALUE!</v>
      </c>
      <c r="BL223" s="97" t="e">
        <f>'Actual Value'!G319+"AM:!.96"</f>
        <v>#VALUE!</v>
      </c>
      <c r="BM223" s="97" t="e">
        <f>'Actual Value'!H319+"AM:!.97"</f>
        <v>#VALUE!</v>
      </c>
      <c r="BN223" s="97" t="e">
        <f>'Actual Value'!I319+"AM:!.98"</f>
        <v>#VALUE!</v>
      </c>
      <c r="BO223" s="97" t="e">
        <f>'Actual Value'!J319+"AM:!.99"</f>
        <v>#VALUE!</v>
      </c>
      <c r="BP223" s="97" t="e">
        <f>'Actual Value'!K319+"AM:!.9:"</f>
        <v>#VALUE!</v>
      </c>
      <c r="BQ223" s="97" t="e">
        <f>'Actual Value'!L319+"AM:!.9;"</f>
        <v>#VALUE!</v>
      </c>
      <c r="BR223" s="97" t="e">
        <f>'Actual Value'!M319+"AM:!.9&lt;"</f>
        <v>#VALUE!</v>
      </c>
      <c r="BS223" s="97" t="e">
        <f>'Actual Value'!N319+"AM:!.9="</f>
        <v>#VALUE!</v>
      </c>
      <c r="BT223" s="97" t="e">
        <f>'Actual Value'!O319+"AM:!.9&gt;"</f>
        <v>#VALUE!</v>
      </c>
      <c r="BU223" s="97" t="e">
        <f>'Actual Value'!P319+"AM:!.9?"</f>
        <v>#VALUE!</v>
      </c>
      <c r="BV223" s="97" t="e">
        <f>'Actual Value'!Q319+"AM:!.9@"</f>
        <v>#VALUE!</v>
      </c>
      <c r="BW223" s="97" t="e">
        <f>'Actual Value'!R319+"AM:!.9A"</f>
        <v>#VALUE!</v>
      </c>
      <c r="BX223" s="97" t="e">
        <f>'Actual Value'!S319+"AM:!.9B"</f>
        <v>#VALUE!</v>
      </c>
      <c r="BY223" s="97" t="e">
        <f>'Actual Value'!T319+"AM:!.9C"</f>
        <v>#VALUE!</v>
      </c>
      <c r="BZ223" s="97" t="e">
        <f>'Actual Value'!U319+"AM:!.9D"</f>
        <v>#VALUE!</v>
      </c>
      <c r="CA223" s="97" t="e">
        <f>'Actual Value'!V319+"AM:!.9E"</f>
        <v>#VALUE!</v>
      </c>
      <c r="CB223" s="97" t="e">
        <f>'Actual Value'!W319+"AM:!.9F"</f>
        <v>#VALUE!</v>
      </c>
      <c r="CC223" s="97" t="e">
        <f>'Actual Value'!X319+"AM:!.9G"</f>
        <v>#VALUE!</v>
      </c>
      <c r="CD223" s="97" t="e">
        <f>'Actual Value'!Y319+"AM:!.9H"</f>
        <v>#VALUE!</v>
      </c>
      <c r="CE223" s="97" t="e">
        <f>'Actual Value'!Z319+"AM:!.9I"</f>
        <v>#VALUE!</v>
      </c>
      <c r="CF223" s="97" t="e">
        <f>'Actual Value'!AA319+"AM:!.9J"</f>
        <v>#VALUE!</v>
      </c>
      <c r="CG223" s="97" t="e">
        <f>'Actual Value'!AB319+"AM:!.9K"</f>
        <v>#VALUE!</v>
      </c>
      <c r="CH223" s="97" t="e">
        <f>'Actual Value'!AC319+"AM:!.9L"</f>
        <v>#VALUE!</v>
      </c>
      <c r="CI223" s="97" t="e">
        <f>'Actual Value'!AD319+"AM:!.9M"</f>
        <v>#VALUE!</v>
      </c>
      <c r="CJ223" s="97" t="e">
        <f>'Actual Value'!AE319+"AM:!.9N"</f>
        <v>#VALUE!</v>
      </c>
      <c r="CK223" s="97" t="e">
        <f>'Actual Value'!AF319+"AM:!.9O"</f>
        <v>#VALUE!</v>
      </c>
      <c r="CL223" s="97" t="e">
        <f>'Actual Value'!AG319+"AM:!.9P"</f>
        <v>#VALUE!</v>
      </c>
      <c r="CM223" s="97" t="e">
        <f>'Actual Value'!AH319+"AM:!.9Q"</f>
        <v>#VALUE!</v>
      </c>
      <c r="CN223" s="97" t="e">
        <f>'Actual Value'!AI319+"AM:!.9R"</f>
        <v>#VALUE!</v>
      </c>
      <c r="CO223" s="97" t="e">
        <f>'Actual Value'!AJ319+"AM:!.9S"</f>
        <v>#VALUE!</v>
      </c>
      <c r="CP223" s="97" t="e">
        <f>'Actual Value'!AK319+"AM:!.9T"</f>
        <v>#VALUE!</v>
      </c>
      <c r="CQ223" s="97" t="e">
        <f>'Actual Value'!AL319+"AM:!.9U"</f>
        <v>#VALUE!</v>
      </c>
      <c r="CR223" s="97" t="e">
        <f>'Actual Value'!AM319+"AM:!.9V"</f>
        <v>#VALUE!</v>
      </c>
      <c r="CS223" s="97" t="e">
        <f>'Actual Value'!AN319+"AM:!.9W"</f>
        <v>#VALUE!</v>
      </c>
      <c r="CT223" s="97" t="e">
        <f>'Actual Value'!AO319+"AM:!.9X"</f>
        <v>#VALUE!</v>
      </c>
      <c r="CU223" t="e">
        <f>'Actual Value'!AP319+"AM:!.9Y"</f>
        <v>#VALUE!</v>
      </c>
      <c r="CV223" t="e">
        <f>'Actual Value'!AQ319+"AM:!.9Z"</f>
        <v>#VALUE!</v>
      </c>
      <c r="CW223" t="e">
        <f>'Actual Value'!AR319+"AM:!.9["</f>
        <v>#VALUE!</v>
      </c>
      <c r="CX223" t="e">
        <f>'Actual Value'!AS319+"AM:!.9\"</f>
        <v>#VALUE!</v>
      </c>
      <c r="CY223" t="e">
        <f>'Actual Value'!AT319+"AM:!.9]"</f>
        <v>#VALUE!</v>
      </c>
      <c r="CZ223" t="e">
        <f>'Actual Value'!AU319+"AM:!.9^"</f>
        <v>#VALUE!</v>
      </c>
      <c r="DA223" t="e">
        <f>'Actual Value'!AV319+"AM:!.9_"</f>
        <v>#VALUE!</v>
      </c>
      <c r="DB223" t="e">
        <f>'Actual Value'!AW319+"AM:!.9`"</f>
        <v>#VALUE!</v>
      </c>
      <c r="DC223" t="e">
        <f>'Actual Value'!AX319+"AM:!.9a"</f>
        <v>#VALUE!</v>
      </c>
      <c r="DD223" t="e">
        <f>'Actual Value'!A320+"AM:!.9b"</f>
        <v>#VALUE!</v>
      </c>
      <c r="DE223" t="e">
        <f>'Actual Value'!B320+"AM:!.9c"</f>
        <v>#VALUE!</v>
      </c>
      <c r="DF223" t="e">
        <f>'Actual Value'!C320+"AM:!.9d"</f>
        <v>#VALUE!</v>
      </c>
      <c r="DG223" s="97" t="e">
        <f>'Actual Value'!D320+"AM:!.9e"</f>
        <v>#VALUE!</v>
      </c>
      <c r="DH223" s="97" t="e">
        <f>'Actual Value'!E320+"AM:!.9f"</f>
        <v>#VALUE!</v>
      </c>
      <c r="DI223" s="97" t="e">
        <f>'Actual Value'!F320+"AM:!.9g"</f>
        <v>#VALUE!</v>
      </c>
      <c r="DJ223" s="97" t="e">
        <f>'Actual Value'!G320+"AM:!.9h"</f>
        <v>#VALUE!</v>
      </c>
      <c r="DK223" s="97" t="e">
        <f>'Actual Value'!H320+"AM:!.9i"</f>
        <v>#VALUE!</v>
      </c>
      <c r="DL223" s="97" t="e">
        <f>'Actual Value'!I320+"AM:!.9j"</f>
        <v>#VALUE!</v>
      </c>
      <c r="DM223" s="97" t="e">
        <f>'Actual Value'!J320+"AM:!.9k"</f>
        <v>#VALUE!</v>
      </c>
      <c r="DN223" s="97" t="e">
        <f>'Actual Value'!K320+"AM:!.9l"</f>
        <v>#VALUE!</v>
      </c>
      <c r="DO223" s="97" t="e">
        <f>'Actual Value'!L320+"AM:!.9m"</f>
        <v>#VALUE!</v>
      </c>
      <c r="DP223" s="97" t="e">
        <f>'Actual Value'!M320+"AM:!.9n"</f>
        <v>#VALUE!</v>
      </c>
      <c r="DQ223" s="97" t="e">
        <f>'Actual Value'!N320+"AM:!.9o"</f>
        <v>#VALUE!</v>
      </c>
      <c r="DR223" s="97" t="e">
        <f>'Actual Value'!O320+"AM:!.9p"</f>
        <v>#VALUE!</v>
      </c>
      <c r="DS223" s="97" t="e">
        <f>'Actual Value'!P320+"AM:!.9q"</f>
        <v>#VALUE!</v>
      </c>
      <c r="DT223" s="97" t="e">
        <f>'Actual Value'!Q320+"AM:!.9r"</f>
        <v>#VALUE!</v>
      </c>
      <c r="DU223" s="97" t="e">
        <f>'Actual Value'!R320+"AM:!.9s"</f>
        <v>#VALUE!</v>
      </c>
      <c r="DV223" s="97" t="e">
        <f>'Actual Value'!S320+"AM:!.9t"</f>
        <v>#VALUE!</v>
      </c>
      <c r="DW223" s="97" t="e">
        <f>'Actual Value'!T320+"AM:!.9u"</f>
        <v>#VALUE!</v>
      </c>
      <c r="DX223" s="97" t="e">
        <f>'Actual Value'!U320+"AM:!.9v"</f>
        <v>#VALUE!</v>
      </c>
      <c r="DY223" s="97" t="e">
        <f>'Actual Value'!V320+"AM:!.9w"</f>
        <v>#VALUE!</v>
      </c>
      <c r="DZ223" s="97" t="e">
        <f>'Actual Value'!W320+"AM:!.9x"</f>
        <v>#VALUE!</v>
      </c>
      <c r="EA223" s="97" t="e">
        <f>'Actual Value'!X320+"AM:!.9y"</f>
        <v>#VALUE!</v>
      </c>
      <c r="EB223" s="97" t="e">
        <f>'Actual Value'!Y320+"AM:!.9z"</f>
        <v>#VALUE!</v>
      </c>
      <c r="EC223" s="97" t="e">
        <f>'Actual Value'!Z320+"AM:!.9{"</f>
        <v>#VALUE!</v>
      </c>
      <c r="ED223" s="97" t="e">
        <f>'Actual Value'!AA320+"AM:!.9|"</f>
        <v>#VALUE!</v>
      </c>
      <c r="EE223" s="97" t="e">
        <f>'Actual Value'!AB320+"AM:!.9}"</f>
        <v>#VALUE!</v>
      </c>
      <c r="EF223" s="97" t="e">
        <f>'Actual Value'!AC320+"AM:!.9~"</f>
        <v>#VALUE!</v>
      </c>
      <c r="EG223" s="97" t="e">
        <f>'Actual Value'!AD320+"AM:!.:#"</f>
        <v>#VALUE!</v>
      </c>
      <c r="EH223" s="97" t="e">
        <f>'Actual Value'!AE320+"AM:!.:$"</f>
        <v>#VALUE!</v>
      </c>
      <c r="EI223" s="97" t="e">
        <f>'Actual Value'!AF320+"AM:!.:%"</f>
        <v>#VALUE!</v>
      </c>
      <c r="EJ223" s="97" t="e">
        <f>'Actual Value'!AG320+"AM:!.:&amp;"</f>
        <v>#VALUE!</v>
      </c>
      <c r="EK223" s="97" t="e">
        <f>'Actual Value'!AH320+"AM:!.:'"</f>
        <v>#VALUE!</v>
      </c>
      <c r="EL223" s="97" t="e">
        <f>'Actual Value'!AI320+"AM:!.:("</f>
        <v>#VALUE!</v>
      </c>
      <c r="EM223" s="97" t="e">
        <f>'Actual Value'!AJ320+"AM:!.:)"</f>
        <v>#VALUE!</v>
      </c>
      <c r="EN223" s="97" t="e">
        <f>'Actual Value'!AK320+"AM:!.:."</f>
        <v>#VALUE!</v>
      </c>
      <c r="EO223" s="97" t="e">
        <f>'Actual Value'!AL320+"AM:!.:/"</f>
        <v>#VALUE!</v>
      </c>
      <c r="EP223" s="97" t="e">
        <f>'Actual Value'!AM320+"AM:!.:0"</f>
        <v>#VALUE!</v>
      </c>
      <c r="EQ223" s="97" t="e">
        <f>'Actual Value'!AN320+"AM:!.:1"</f>
        <v>#VALUE!</v>
      </c>
      <c r="ER223" s="97" t="e">
        <f>'Actual Value'!AO320+"AM:!.:2"</f>
        <v>#VALUE!</v>
      </c>
      <c r="ES223" t="e">
        <f>'Actual Value'!AP320+"AM:!.:3"</f>
        <v>#VALUE!</v>
      </c>
      <c r="ET223" t="e">
        <f>'Actual Value'!AQ320+"AM:!.:4"</f>
        <v>#VALUE!</v>
      </c>
      <c r="EU223" t="e">
        <f>'Actual Value'!AR320+"AM:!.:5"</f>
        <v>#VALUE!</v>
      </c>
      <c r="EV223" t="e">
        <f>'Actual Value'!AS320+"AM:!.:6"</f>
        <v>#VALUE!</v>
      </c>
      <c r="EW223" t="e">
        <f>'Actual Value'!AT320+"AM:!.:7"</f>
        <v>#VALUE!</v>
      </c>
      <c r="EX223" t="e">
        <f>'Actual Value'!AU320+"AM:!.:8"</f>
        <v>#VALUE!</v>
      </c>
      <c r="EY223" t="e">
        <f>'Actual Value'!AV320+"AM:!.:9"</f>
        <v>#VALUE!</v>
      </c>
      <c r="EZ223" t="e">
        <f>'Actual Value'!AW320+"AM:!.::"</f>
        <v>#VALUE!</v>
      </c>
      <c r="FA223" t="e">
        <f>'Actual Value'!AX320+"AM:!.:;"</f>
        <v>#VALUE!</v>
      </c>
      <c r="FB223" t="e">
        <f>'Actual Value'!A321+"AM:!.:&lt;"</f>
        <v>#VALUE!</v>
      </c>
      <c r="FC223" t="e">
        <f>'Actual Value'!B321+"AM:!.:="</f>
        <v>#VALUE!</v>
      </c>
      <c r="FD223" t="e">
        <f>'Actual Value'!C321+"AM:!.:&gt;"</f>
        <v>#VALUE!</v>
      </c>
      <c r="FE223" s="97" t="e">
        <f>'Actual Value'!D321+"AM:!.:?"</f>
        <v>#VALUE!</v>
      </c>
      <c r="FF223" s="97" t="e">
        <f>'Actual Value'!E321+"AM:!.:@"</f>
        <v>#VALUE!</v>
      </c>
      <c r="FG223" s="97" t="e">
        <f>'Actual Value'!F321+"AM:!.:A"</f>
        <v>#VALUE!</v>
      </c>
      <c r="FH223" s="97" t="e">
        <f>'Actual Value'!G321+"AM:!.:B"</f>
        <v>#VALUE!</v>
      </c>
      <c r="FI223" s="97" t="e">
        <f>'Actual Value'!H321+"AM:!.:C"</f>
        <v>#VALUE!</v>
      </c>
      <c r="FJ223" s="97" t="e">
        <f>'Actual Value'!I321+"AM:!.:D"</f>
        <v>#VALUE!</v>
      </c>
      <c r="FK223" s="97" t="e">
        <f>'Actual Value'!J321+"AM:!.:E"</f>
        <v>#VALUE!</v>
      </c>
      <c r="FL223" s="97" t="e">
        <f>'Actual Value'!K321+"AM:!.:F"</f>
        <v>#VALUE!</v>
      </c>
      <c r="FM223" s="97" t="e">
        <f>'Actual Value'!L321+"AM:!.:G"</f>
        <v>#VALUE!</v>
      </c>
      <c r="FN223" s="97" t="e">
        <f>'Actual Value'!M321+"AM:!.:H"</f>
        <v>#VALUE!</v>
      </c>
      <c r="FO223" s="97" t="e">
        <f>'Actual Value'!N321+"AM:!.:I"</f>
        <v>#VALUE!</v>
      </c>
      <c r="FP223" s="97" t="e">
        <f>'Actual Value'!O321+"AM:!.:J"</f>
        <v>#VALUE!</v>
      </c>
      <c r="FQ223" s="97" t="e">
        <f>'Actual Value'!P321+"AM:!.:K"</f>
        <v>#VALUE!</v>
      </c>
      <c r="FR223" s="97" t="e">
        <f>'Actual Value'!Q321+"AM:!.:L"</f>
        <v>#VALUE!</v>
      </c>
      <c r="FS223" s="97" t="e">
        <f>'Actual Value'!R321+"AM:!.:M"</f>
        <v>#VALUE!</v>
      </c>
      <c r="FT223" s="97" t="e">
        <f>'Actual Value'!S321+"AM:!.:N"</f>
        <v>#VALUE!</v>
      </c>
      <c r="FU223" s="97" t="e">
        <f>'Actual Value'!T321+"AM:!.:O"</f>
        <v>#VALUE!</v>
      </c>
      <c r="FV223" s="97" t="e">
        <f>'Actual Value'!U321+"AM:!.:P"</f>
        <v>#VALUE!</v>
      </c>
      <c r="FW223" s="97" t="e">
        <f>'Actual Value'!V321+"AM:!.:Q"</f>
        <v>#VALUE!</v>
      </c>
      <c r="FX223" s="97" t="e">
        <f>'Actual Value'!W321+"AM:!.:R"</f>
        <v>#VALUE!</v>
      </c>
      <c r="FY223" s="97" t="e">
        <f>'Actual Value'!X321+"AM:!.:S"</f>
        <v>#VALUE!</v>
      </c>
      <c r="FZ223" s="97" t="e">
        <f>'Actual Value'!Y321+"AM:!.:T"</f>
        <v>#VALUE!</v>
      </c>
      <c r="GA223" s="97" t="e">
        <f>'Actual Value'!Z321+"AM:!.:U"</f>
        <v>#VALUE!</v>
      </c>
      <c r="GB223" s="97" t="e">
        <f>'Actual Value'!AA321+"AM:!.:V"</f>
        <v>#VALUE!</v>
      </c>
      <c r="GC223" s="97" t="e">
        <f>'Actual Value'!AB321+"AM:!.:W"</f>
        <v>#VALUE!</v>
      </c>
      <c r="GD223" s="97" t="e">
        <f>'Actual Value'!AC321+"AM:!.:X"</f>
        <v>#VALUE!</v>
      </c>
      <c r="GE223" s="97" t="e">
        <f>'Actual Value'!AD321+"AM:!.:Y"</f>
        <v>#VALUE!</v>
      </c>
      <c r="GF223" s="97" t="e">
        <f>'Actual Value'!AE321+"AM:!.:Z"</f>
        <v>#VALUE!</v>
      </c>
      <c r="GG223" s="97" t="e">
        <f>'Actual Value'!AF321+"AM:!.:["</f>
        <v>#VALUE!</v>
      </c>
      <c r="GH223" s="97" t="e">
        <f>'Actual Value'!AG321+"AM:!.:\"</f>
        <v>#VALUE!</v>
      </c>
      <c r="GI223" s="97" t="e">
        <f>'Actual Value'!AH321+"AM:!.:]"</f>
        <v>#VALUE!</v>
      </c>
      <c r="GJ223" s="97" t="e">
        <f>'Actual Value'!AI321+"AM:!.:^"</f>
        <v>#VALUE!</v>
      </c>
      <c r="GK223" s="97" t="e">
        <f>'Actual Value'!AJ321+"AM:!.:_"</f>
        <v>#VALUE!</v>
      </c>
      <c r="GL223" s="97" t="e">
        <f>'Actual Value'!AK321+"AM:!.:`"</f>
        <v>#VALUE!</v>
      </c>
      <c r="GM223" s="97" t="e">
        <f>'Actual Value'!AL321+"AM:!.:a"</f>
        <v>#VALUE!</v>
      </c>
      <c r="GN223" s="97" t="e">
        <f>'Actual Value'!AM321+"AM:!.:b"</f>
        <v>#VALUE!</v>
      </c>
      <c r="GO223" s="97" t="e">
        <f>'Actual Value'!AN321+"AM:!.:c"</f>
        <v>#VALUE!</v>
      </c>
      <c r="GP223" s="97" t="e">
        <f>'Actual Value'!AO321+"AM:!.:d"</f>
        <v>#VALUE!</v>
      </c>
      <c r="GQ223" t="e">
        <f>'Actual Value'!AP321+"AM:!.:e"</f>
        <v>#VALUE!</v>
      </c>
      <c r="GR223" t="e">
        <f>'Actual Value'!AQ321+"AM:!.:f"</f>
        <v>#VALUE!</v>
      </c>
      <c r="GS223" t="e">
        <f>'Actual Value'!AR321+"AM:!.:g"</f>
        <v>#VALUE!</v>
      </c>
      <c r="GT223" t="e">
        <f>'Actual Value'!AS321+"AM:!.:h"</f>
        <v>#VALUE!</v>
      </c>
      <c r="GU223" t="e">
        <f>'Actual Value'!AT321+"AM:!.:i"</f>
        <v>#VALUE!</v>
      </c>
      <c r="GV223" t="e">
        <f>'Actual Value'!AU321+"AM:!.:j"</f>
        <v>#VALUE!</v>
      </c>
      <c r="GW223" t="e">
        <f>'Actual Value'!AV321+"AM:!.:k"</f>
        <v>#VALUE!</v>
      </c>
      <c r="GX223" t="e">
        <f>'Actual Value'!AW321+"AM:!.:l"</f>
        <v>#VALUE!</v>
      </c>
      <c r="GY223" t="e">
        <f>'Actual Value'!AX321+"AM:!.:m"</f>
        <v>#VALUE!</v>
      </c>
      <c r="GZ223" t="e">
        <f>'Actual Value'!A322+"AM:!.:n"</f>
        <v>#VALUE!</v>
      </c>
      <c r="HA223" t="e">
        <f>'Actual Value'!B322+"AM:!.:o"</f>
        <v>#VALUE!</v>
      </c>
      <c r="HB223" t="e">
        <f>'Actual Value'!C322+"AM:!.:p"</f>
        <v>#VALUE!</v>
      </c>
      <c r="HC223" s="97" t="e">
        <f>'Actual Value'!D322+"AM:!.:q"</f>
        <v>#VALUE!</v>
      </c>
      <c r="HD223" s="97" t="e">
        <f>'Actual Value'!E322+"AM:!.:r"</f>
        <v>#VALUE!</v>
      </c>
      <c r="HE223" s="97" t="e">
        <f>'Actual Value'!F322+"AM:!.:s"</f>
        <v>#VALUE!</v>
      </c>
      <c r="HF223" s="97" t="e">
        <f>'Actual Value'!G322+"AM:!.:t"</f>
        <v>#VALUE!</v>
      </c>
      <c r="HG223" s="97" t="e">
        <f>'Actual Value'!H322+"AM:!.:u"</f>
        <v>#VALUE!</v>
      </c>
      <c r="HH223" s="97" t="e">
        <f>'Actual Value'!I322+"AM:!.:v"</f>
        <v>#VALUE!</v>
      </c>
      <c r="HI223" s="97" t="e">
        <f>'Actual Value'!J322+"AM:!.:w"</f>
        <v>#VALUE!</v>
      </c>
      <c r="HJ223" s="97" t="e">
        <f>'Actual Value'!K322+"AM:!.:x"</f>
        <v>#VALUE!</v>
      </c>
      <c r="HK223" s="97" t="e">
        <f>'Actual Value'!L322+"AM:!.:y"</f>
        <v>#VALUE!</v>
      </c>
      <c r="HL223" s="97" t="e">
        <f>'Actual Value'!M322+"AM:!.:z"</f>
        <v>#VALUE!</v>
      </c>
      <c r="HM223" s="97" t="e">
        <f>'Actual Value'!N322+"AM:!.:{"</f>
        <v>#VALUE!</v>
      </c>
      <c r="HN223" s="97" t="e">
        <f>'Actual Value'!O322+"AM:!.:|"</f>
        <v>#VALUE!</v>
      </c>
      <c r="HO223" s="97" t="e">
        <f>'Actual Value'!P322+"AM:!.:}"</f>
        <v>#VALUE!</v>
      </c>
      <c r="HP223" s="97" t="e">
        <f>'Actual Value'!Q322+"AM:!.:~"</f>
        <v>#VALUE!</v>
      </c>
      <c r="HQ223" s="97" t="e">
        <f>'Actual Value'!R322+"AM:!.;#"</f>
        <v>#VALUE!</v>
      </c>
      <c r="HR223" s="97" t="e">
        <f>'Actual Value'!S322+"AM:!.;$"</f>
        <v>#VALUE!</v>
      </c>
      <c r="HS223" s="97" t="e">
        <f>'Actual Value'!T322+"AM:!.;%"</f>
        <v>#VALUE!</v>
      </c>
      <c r="HT223" s="97" t="e">
        <f>'Actual Value'!U322+"AM:!.;&amp;"</f>
        <v>#VALUE!</v>
      </c>
      <c r="HU223" s="97" t="e">
        <f>'Actual Value'!V322+"AM:!.;'"</f>
        <v>#VALUE!</v>
      </c>
      <c r="HV223" s="97" t="e">
        <f>'Actual Value'!W322+"AM:!.;("</f>
        <v>#VALUE!</v>
      </c>
      <c r="HW223" s="97" t="e">
        <f>'Actual Value'!X322+"AM:!.;)"</f>
        <v>#VALUE!</v>
      </c>
      <c r="HX223" s="97" t="e">
        <f>'Actual Value'!Y322+"AM:!.;."</f>
        <v>#VALUE!</v>
      </c>
      <c r="HY223" s="97" t="e">
        <f>'Actual Value'!Z322+"AM:!.;/"</f>
        <v>#VALUE!</v>
      </c>
      <c r="HZ223" s="97" t="e">
        <f>'Actual Value'!AA322+"AM:!.;0"</f>
        <v>#VALUE!</v>
      </c>
      <c r="IA223" s="97" t="e">
        <f>'Actual Value'!AB322+"AM:!.;1"</f>
        <v>#VALUE!</v>
      </c>
      <c r="IB223" s="97" t="e">
        <f>'Actual Value'!AC322+"AM:!.;2"</f>
        <v>#VALUE!</v>
      </c>
      <c r="IC223" s="97" t="e">
        <f>'Actual Value'!AD322+"AM:!.;3"</f>
        <v>#VALUE!</v>
      </c>
      <c r="ID223" s="97" t="e">
        <f>'Actual Value'!AE322+"AM:!.;4"</f>
        <v>#VALUE!</v>
      </c>
      <c r="IE223" s="97" t="e">
        <f>'Actual Value'!AF322+"AM:!.;5"</f>
        <v>#VALUE!</v>
      </c>
      <c r="IF223" s="97" t="e">
        <f>'Actual Value'!AG322+"AM:!.;6"</f>
        <v>#VALUE!</v>
      </c>
      <c r="IG223" s="97" t="e">
        <f>'Actual Value'!AH322+"AM:!.;7"</f>
        <v>#VALUE!</v>
      </c>
      <c r="IH223" s="97" t="e">
        <f>'Actual Value'!AI322+"AM:!.;8"</f>
        <v>#VALUE!</v>
      </c>
      <c r="II223" s="97" t="e">
        <f>'Actual Value'!AJ322+"AM:!.;9"</f>
        <v>#VALUE!</v>
      </c>
      <c r="IJ223" s="97" t="e">
        <f>'Actual Value'!AK322+"AM:!.;:"</f>
        <v>#VALUE!</v>
      </c>
      <c r="IK223" s="97" t="e">
        <f>'Actual Value'!AL322+"AM:!.;;"</f>
        <v>#VALUE!</v>
      </c>
      <c r="IL223" s="97" t="e">
        <f>'Actual Value'!AM322+"AM:!.;&lt;"</f>
        <v>#VALUE!</v>
      </c>
      <c r="IM223" s="97" t="e">
        <f>'Actual Value'!AN322+"AM:!.;="</f>
        <v>#VALUE!</v>
      </c>
      <c r="IN223" s="97" t="e">
        <f>'Actual Value'!AO322+"AM:!.;&gt;"</f>
        <v>#VALUE!</v>
      </c>
      <c r="IO223" t="e">
        <f>'Actual Value'!AP322+"AM:!.;?"</f>
        <v>#VALUE!</v>
      </c>
      <c r="IP223" t="e">
        <f>'Actual Value'!AQ322+"AM:!.;@"</f>
        <v>#VALUE!</v>
      </c>
      <c r="IQ223" t="e">
        <f>'Actual Value'!AR322+"AM:!.;A"</f>
        <v>#VALUE!</v>
      </c>
      <c r="IR223" t="e">
        <f>'Actual Value'!AS322+"AM:!.;B"</f>
        <v>#VALUE!</v>
      </c>
      <c r="IS223" t="e">
        <f>'Actual Value'!AT322+"AM:!.;C"</f>
        <v>#VALUE!</v>
      </c>
      <c r="IT223" t="e">
        <f>'Actual Value'!AU322+"AM:!.;D"</f>
        <v>#VALUE!</v>
      </c>
      <c r="IU223" t="e">
        <f>'Actual Value'!AV322+"AM:!.;E"</f>
        <v>#VALUE!</v>
      </c>
      <c r="IV223" t="e">
        <f>'Actual Value'!AW322+"AM:!.;F"</f>
        <v>#VALUE!</v>
      </c>
    </row>
    <row r="224" spans="6:256">
      <c r="F224" t="e">
        <f>'Actual Value'!AX322+"AM:!.;G"</f>
        <v>#VALUE!</v>
      </c>
      <c r="G224" t="e">
        <f>'Actual Value'!A323+"AM:!.;H"</f>
        <v>#VALUE!</v>
      </c>
      <c r="H224" t="e">
        <f>'Actual Value'!B323+"AM:!.;I"</f>
        <v>#VALUE!</v>
      </c>
      <c r="I224" t="e">
        <f>'Actual Value'!C323+"AM:!.;J"</f>
        <v>#VALUE!</v>
      </c>
      <c r="J224" s="97" t="e">
        <f>'Actual Value'!D323+"AM:!.;K"</f>
        <v>#VALUE!</v>
      </c>
      <c r="K224" s="97" t="e">
        <f>'Actual Value'!E323+"AM:!.;L"</f>
        <v>#VALUE!</v>
      </c>
      <c r="L224" s="97" t="e">
        <f>'Actual Value'!F323+"AM:!.;M"</f>
        <v>#VALUE!</v>
      </c>
      <c r="M224" s="97" t="e">
        <f>'Actual Value'!G323+"AM:!.;N"</f>
        <v>#VALUE!</v>
      </c>
      <c r="N224" s="97" t="e">
        <f>'Actual Value'!H323+"AM:!.;O"</f>
        <v>#VALUE!</v>
      </c>
      <c r="O224" s="97" t="e">
        <f>'Actual Value'!I323+"AM:!.;P"</f>
        <v>#VALUE!</v>
      </c>
      <c r="P224" s="97" t="e">
        <f>'Actual Value'!J323+"AM:!.;Q"</f>
        <v>#VALUE!</v>
      </c>
      <c r="Q224" s="97" t="e">
        <f>'Actual Value'!K323+"AM:!.;R"</f>
        <v>#VALUE!</v>
      </c>
      <c r="R224" s="97" t="e">
        <f>'Actual Value'!L323+"AM:!.;S"</f>
        <v>#VALUE!</v>
      </c>
      <c r="S224" s="97" t="e">
        <f>'Actual Value'!M323+"AM:!.;T"</f>
        <v>#VALUE!</v>
      </c>
      <c r="T224" s="97" t="e">
        <f>'Actual Value'!N323+"AM:!.;U"</f>
        <v>#VALUE!</v>
      </c>
      <c r="U224" s="97" t="e">
        <f>'Actual Value'!O323+"AM:!.;V"</f>
        <v>#VALUE!</v>
      </c>
      <c r="V224" s="97" t="e">
        <f>'Actual Value'!P323+"AM:!.;W"</f>
        <v>#VALUE!</v>
      </c>
      <c r="W224" s="97" t="e">
        <f>'Actual Value'!Q323+"AM:!.;X"</f>
        <v>#VALUE!</v>
      </c>
      <c r="X224" s="97" t="e">
        <f>'Actual Value'!R323+"AM:!.;Y"</f>
        <v>#VALUE!</v>
      </c>
      <c r="Y224" s="97" t="e">
        <f>'Actual Value'!S323+"AM:!.;Z"</f>
        <v>#VALUE!</v>
      </c>
      <c r="Z224" s="97" t="e">
        <f>'Actual Value'!T323+"AM:!.;["</f>
        <v>#VALUE!</v>
      </c>
      <c r="AA224" s="97" t="e">
        <f>'Actual Value'!U323+"AM:!.;\"</f>
        <v>#VALUE!</v>
      </c>
      <c r="AB224" s="97" t="e">
        <f>'Actual Value'!V323+"AM:!.;]"</f>
        <v>#VALUE!</v>
      </c>
      <c r="AC224" s="97" t="e">
        <f>'Actual Value'!W323+"AM:!.;^"</f>
        <v>#VALUE!</v>
      </c>
      <c r="AD224" s="97" t="e">
        <f>'Actual Value'!X323+"AM:!.;_"</f>
        <v>#VALUE!</v>
      </c>
      <c r="AE224" s="97" t="e">
        <f>'Actual Value'!Y323+"AM:!.;`"</f>
        <v>#VALUE!</v>
      </c>
      <c r="AF224" s="97" t="e">
        <f>'Actual Value'!Z323+"AM:!.;a"</f>
        <v>#VALUE!</v>
      </c>
      <c r="AG224" s="97" t="e">
        <f>'Actual Value'!AA323+"AM:!.;b"</f>
        <v>#VALUE!</v>
      </c>
      <c r="AH224" s="97" t="e">
        <f>'Actual Value'!AB323+"AM:!.;c"</f>
        <v>#VALUE!</v>
      </c>
      <c r="AI224" s="97" t="e">
        <f>'Actual Value'!AC323+"AM:!.;d"</f>
        <v>#VALUE!</v>
      </c>
      <c r="AJ224" s="97" t="e">
        <f>'Actual Value'!AD323+"AM:!.;e"</f>
        <v>#VALUE!</v>
      </c>
      <c r="AK224" s="97" t="e">
        <f>'Actual Value'!AE323+"AM:!.;f"</f>
        <v>#VALUE!</v>
      </c>
      <c r="AL224" s="97" t="e">
        <f>'Actual Value'!AF323+"AM:!.;g"</f>
        <v>#VALUE!</v>
      </c>
      <c r="AM224" s="97" t="e">
        <f>'Actual Value'!AG323+"AM:!.;h"</f>
        <v>#VALUE!</v>
      </c>
      <c r="AN224" s="97" t="e">
        <f>'Actual Value'!AH323+"AM:!.;i"</f>
        <v>#VALUE!</v>
      </c>
      <c r="AO224" s="97" t="e">
        <f>'Actual Value'!AI323+"AM:!.;j"</f>
        <v>#VALUE!</v>
      </c>
      <c r="AP224" s="97" t="e">
        <f>'Actual Value'!AJ323+"AM:!.;k"</f>
        <v>#VALUE!</v>
      </c>
      <c r="AQ224" s="97" t="e">
        <f>'Actual Value'!AK323+"AM:!.;l"</f>
        <v>#VALUE!</v>
      </c>
      <c r="AR224" s="97" t="e">
        <f>'Actual Value'!AL323+"AM:!.;m"</f>
        <v>#VALUE!</v>
      </c>
      <c r="AS224" s="97" t="e">
        <f>'Actual Value'!AM323+"AM:!.;n"</f>
        <v>#VALUE!</v>
      </c>
      <c r="AT224" s="97" t="e">
        <f>'Actual Value'!AN323+"AM:!.;o"</f>
        <v>#VALUE!</v>
      </c>
      <c r="AU224" s="97" t="e">
        <f>'Actual Value'!AO323+"AM:!.;p"</f>
        <v>#VALUE!</v>
      </c>
      <c r="AV224" t="e">
        <f>'Actual Value'!AP323+"AM:!.;q"</f>
        <v>#VALUE!</v>
      </c>
      <c r="AW224" t="e">
        <f>'Actual Value'!AQ323+"AM:!.;r"</f>
        <v>#VALUE!</v>
      </c>
      <c r="AX224" t="e">
        <f>'Actual Value'!AR323+"AM:!.;s"</f>
        <v>#VALUE!</v>
      </c>
      <c r="AY224" t="e">
        <f>'Actual Value'!AS323+"AM:!.;t"</f>
        <v>#VALUE!</v>
      </c>
      <c r="AZ224" t="e">
        <f>'Actual Value'!AT323+"AM:!.;u"</f>
        <v>#VALUE!</v>
      </c>
      <c r="BA224" t="e">
        <f>'Actual Value'!AU323+"AM:!.;v"</f>
        <v>#VALUE!</v>
      </c>
      <c r="BB224" t="e">
        <f>'Actual Value'!AV323+"AM:!.;w"</f>
        <v>#VALUE!</v>
      </c>
      <c r="BC224" t="e">
        <f>'Actual Value'!AW323+"AM:!.;x"</f>
        <v>#VALUE!</v>
      </c>
      <c r="BD224" t="e">
        <f>'Actual Value'!AX323+"AM:!.;y"</f>
        <v>#VALUE!</v>
      </c>
      <c r="BE224" t="e">
        <f>'Actual Value'!A324+"AM:!.;z"</f>
        <v>#VALUE!</v>
      </c>
      <c r="BF224" t="e">
        <f>'Actual Value'!B324+"AM:!.;{"</f>
        <v>#VALUE!</v>
      </c>
      <c r="BG224" t="e">
        <f>'Actual Value'!C324+"AM:!.;|"</f>
        <v>#VALUE!</v>
      </c>
      <c r="BH224" t="e">
        <f>'Actual Value'!D324+"AM:!.;}"</f>
        <v>#VALUE!</v>
      </c>
      <c r="BI224" t="e">
        <f>'Actual Value'!E324+"AM:!.;~"</f>
        <v>#VALUE!</v>
      </c>
      <c r="BJ224" t="e">
        <f>'Actual Value'!F324+"AM:!.&lt;#"</f>
        <v>#VALUE!</v>
      </c>
      <c r="BK224" t="e">
        <f>'Actual Value'!G324+"AM:!.&lt;$"</f>
        <v>#VALUE!</v>
      </c>
      <c r="BL224" t="e">
        <f>'Actual Value'!H324+"AM:!.&lt;%"</f>
        <v>#VALUE!</v>
      </c>
      <c r="BM224" t="e">
        <f>'Actual Value'!I324+"AM:!.&lt;&amp;"</f>
        <v>#VALUE!</v>
      </c>
      <c r="BN224" t="e">
        <f>'Actual Value'!J324+"AM:!.&lt;'"</f>
        <v>#VALUE!</v>
      </c>
      <c r="BO224" t="e">
        <f>'Actual Value'!K324+"AM:!.&lt;("</f>
        <v>#VALUE!</v>
      </c>
      <c r="BP224" t="e">
        <f>'Actual Value'!L324+"AM:!.&lt;)"</f>
        <v>#VALUE!</v>
      </c>
      <c r="BQ224" t="e">
        <f>'Actual Value'!M324+"AM:!.&lt;."</f>
        <v>#VALUE!</v>
      </c>
      <c r="BR224" t="e">
        <f>'Actual Value'!N324+"AM:!.&lt;/"</f>
        <v>#VALUE!</v>
      </c>
      <c r="BS224" t="e">
        <f>'Actual Value'!O324+"AM:!.&lt;0"</f>
        <v>#VALUE!</v>
      </c>
      <c r="BT224" t="e">
        <f>'Actual Value'!P324+"AM:!.&lt;1"</f>
        <v>#VALUE!</v>
      </c>
      <c r="BU224" t="e">
        <f>'Actual Value'!Q324+"AM:!.&lt;2"</f>
        <v>#VALUE!</v>
      </c>
      <c r="BV224" t="e">
        <f>'Actual Value'!R324+"AM:!.&lt;3"</f>
        <v>#VALUE!</v>
      </c>
      <c r="BW224" t="e">
        <f>'Actual Value'!S324+"AM:!.&lt;4"</f>
        <v>#VALUE!</v>
      </c>
      <c r="BX224" t="e">
        <f>'Actual Value'!T324+"AM:!.&lt;5"</f>
        <v>#VALUE!</v>
      </c>
      <c r="BY224" t="e">
        <f>'Actual Value'!U324+"AM:!.&lt;6"</f>
        <v>#VALUE!</v>
      </c>
      <c r="BZ224" t="e">
        <f>'Actual Value'!V324+"AM:!.&lt;7"</f>
        <v>#VALUE!</v>
      </c>
      <c r="CA224" t="e">
        <f>'Actual Value'!W324+"AM:!.&lt;8"</f>
        <v>#VALUE!</v>
      </c>
      <c r="CB224" t="e">
        <f>'Actual Value'!X324+"AM:!.&lt;9"</f>
        <v>#VALUE!</v>
      </c>
      <c r="CC224" t="e">
        <f>'Actual Value'!Y324+"AM:!.&lt;:"</f>
        <v>#VALUE!</v>
      </c>
      <c r="CD224" t="e">
        <f>'Actual Value'!Z324+"AM:!.&lt;;"</f>
        <v>#VALUE!</v>
      </c>
      <c r="CE224" t="e">
        <f>'Actual Value'!AA324+"AM:!.&lt;&lt;"</f>
        <v>#VALUE!</v>
      </c>
      <c r="CF224" t="e">
        <f>'Actual Value'!AB324+"AM:!.&lt;="</f>
        <v>#VALUE!</v>
      </c>
      <c r="CG224" t="e">
        <f>'Actual Value'!AC324+"AM:!.&lt;&gt;"</f>
        <v>#VALUE!</v>
      </c>
      <c r="CH224" t="e">
        <f>'Actual Value'!AD324+"AM:!.&lt;?"</f>
        <v>#VALUE!</v>
      </c>
      <c r="CI224" t="e">
        <f>'Actual Value'!AE324+"AM:!.&lt;@"</f>
        <v>#VALUE!</v>
      </c>
      <c r="CJ224" t="e">
        <f>'Actual Value'!AF324+"AM:!.&lt;A"</f>
        <v>#VALUE!</v>
      </c>
      <c r="CK224" t="e">
        <f>'Actual Value'!AG324+"AM:!.&lt;B"</f>
        <v>#VALUE!</v>
      </c>
      <c r="CL224" t="e">
        <f>'Actual Value'!AH324+"AM:!.&lt;C"</f>
        <v>#VALUE!</v>
      </c>
      <c r="CM224" t="e">
        <f>'Actual Value'!AI324+"AM:!.&lt;D"</f>
        <v>#VALUE!</v>
      </c>
      <c r="CN224" t="e">
        <f>'Actual Value'!AJ324+"AM:!.&lt;E"</f>
        <v>#VALUE!</v>
      </c>
      <c r="CO224" t="e">
        <f>'Actual Value'!AK324+"AM:!.&lt;F"</f>
        <v>#VALUE!</v>
      </c>
      <c r="CP224" t="e">
        <f>'Actual Value'!AL324+"AM:!.&lt;G"</f>
        <v>#VALUE!</v>
      </c>
      <c r="CQ224" t="e">
        <f>'Actual Value'!AM324+"AM:!.&lt;H"</f>
        <v>#VALUE!</v>
      </c>
      <c r="CR224" t="e">
        <f>'Actual Value'!AN324+"AM:!.&lt;I"</f>
        <v>#VALUE!</v>
      </c>
      <c r="CS224" t="e">
        <f>'Actual Value'!AO324+"AM:!.&lt;J"</f>
        <v>#VALUE!</v>
      </c>
      <c r="CT224" t="e">
        <f>'Actual Value'!AP324+"AM:!.&lt;K"</f>
        <v>#VALUE!</v>
      </c>
      <c r="CU224" t="e">
        <f>'Actual Value'!AQ324+"AM:!.&lt;L"</f>
        <v>#VALUE!</v>
      </c>
      <c r="CV224" t="e">
        <f>'Actual Value'!AR324+"AM:!.&lt;M"</f>
        <v>#VALUE!</v>
      </c>
      <c r="CW224" t="e">
        <f>'Actual Value'!AS324+"AM:!.&lt;N"</f>
        <v>#VALUE!</v>
      </c>
      <c r="CX224" t="e">
        <f>'Actual Value'!AT324+"AM:!.&lt;O"</f>
        <v>#VALUE!</v>
      </c>
      <c r="CY224" t="e">
        <f>'Actual Value'!AU324+"AM:!.&lt;P"</f>
        <v>#VALUE!</v>
      </c>
      <c r="CZ224" t="e">
        <f>'Actual Value'!AV324+"AM:!.&lt;Q"</f>
        <v>#VALUE!</v>
      </c>
      <c r="DA224" t="e">
        <f>'Actual Value'!AW324+"AM:!.&lt;R"</f>
        <v>#VALUE!</v>
      </c>
      <c r="DB224" t="e">
        <f>'Actual Value'!A325+"AM:!.&lt;S"</f>
        <v>#VALUE!</v>
      </c>
      <c r="DC224" t="e">
        <f>'Actual Value'!B325+"AM:!.&lt;T"</f>
        <v>#VALUE!</v>
      </c>
      <c r="DD224" t="e">
        <f>'Actual Value'!C325+"AM:!.&lt;U"</f>
        <v>#VALUE!</v>
      </c>
      <c r="DE224" s="105" t="e">
        <f>'Actual Value'!D325+"AM:!.&lt;V"</f>
        <v>#VALUE!</v>
      </c>
      <c r="DF224" s="105" t="e">
        <f>'Actual Value'!E325+"AM:!.&lt;W"</f>
        <v>#VALUE!</v>
      </c>
      <c r="DG224" s="105" t="e">
        <f>'Actual Value'!F325+"AM:!.&lt;X"</f>
        <v>#VALUE!</v>
      </c>
      <c r="DH224" s="105" t="e">
        <f>'Actual Value'!G325+"AM:!.&lt;Y"</f>
        <v>#VALUE!</v>
      </c>
      <c r="DI224" s="105" t="e">
        <f>'Actual Value'!H325+"AM:!.&lt;Z"</f>
        <v>#VALUE!</v>
      </c>
      <c r="DJ224" s="105" t="e">
        <f>'Actual Value'!I325+"AM:!.&lt;["</f>
        <v>#VALUE!</v>
      </c>
      <c r="DK224" s="105" t="e">
        <f>'Actual Value'!J325+"AM:!.&lt;\"</f>
        <v>#VALUE!</v>
      </c>
      <c r="DL224" s="105" t="e">
        <f>'Actual Value'!K325+"AM:!.&lt;]"</f>
        <v>#VALUE!</v>
      </c>
      <c r="DM224" s="105" t="e">
        <f>'Actual Value'!L325+"AM:!.&lt;^"</f>
        <v>#VALUE!</v>
      </c>
      <c r="DN224" s="105" t="e">
        <f>'Actual Value'!M325+"AM:!.&lt;_"</f>
        <v>#VALUE!</v>
      </c>
      <c r="DO224" s="105" t="e">
        <f>'Actual Value'!N325+"AM:!.&lt;`"</f>
        <v>#VALUE!</v>
      </c>
      <c r="DP224" s="105" t="e">
        <f>'Actual Value'!O325+"AM:!.&lt;a"</f>
        <v>#VALUE!</v>
      </c>
      <c r="DQ224" s="105" t="e">
        <f>'Actual Value'!P325+"AM:!.&lt;b"</f>
        <v>#VALUE!</v>
      </c>
      <c r="DR224" s="105" t="e">
        <f>'Actual Value'!Q325+"AM:!.&lt;c"</f>
        <v>#VALUE!</v>
      </c>
      <c r="DS224" s="105" t="e">
        <f>'Actual Value'!R325+"AM:!.&lt;d"</f>
        <v>#VALUE!</v>
      </c>
      <c r="DT224" s="105" t="e">
        <f>'Actual Value'!S325+"AM:!.&lt;e"</f>
        <v>#VALUE!</v>
      </c>
      <c r="DU224" s="105" t="e">
        <f>'Actual Value'!T325+"AM:!.&lt;f"</f>
        <v>#VALUE!</v>
      </c>
      <c r="DV224" s="105" t="e">
        <f>'Actual Value'!U325+"AM:!.&lt;g"</f>
        <v>#VALUE!</v>
      </c>
      <c r="DW224" s="105" t="e">
        <f>'Actual Value'!V325+"AM:!.&lt;h"</f>
        <v>#VALUE!</v>
      </c>
      <c r="DX224" s="105" t="e">
        <f>'Actual Value'!W325+"AM:!.&lt;i"</f>
        <v>#VALUE!</v>
      </c>
      <c r="DY224" s="105" t="e">
        <f>'Actual Value'!X325+"AM:!.&lt;j"</f>
        <v>#VALUE!</v>
      </c>
      <c r="DZ224" s="105" t="e">
        <f>'Actual Value'!Y325+"AM:!.&lt;k"</f>
        <v>#VALUE!</v>
      </c>
      <c r="EA224" s="105" t="e">
        <f>'Actual Value'!Z325+"AM:!.&lt;l"</f>
        <v>#VALUE!</v>
      </c>
      <c r="EB224" s="105" t="e">
        <f>'Actual Value'!AA325+"AM:!.&lt;m"</f>
        <v>#VALUE!</v>
      </c>
      <c r="EC224" s="105" t="e">
        <f>'Actual Value'!AB325+"AM:!.&lt;n"</f>
        <v>#VALUE!</v>
      </c>
      <c r="ED224" s="105" t="e">
        <f>'Actual Value'!AC325+"AM:!.&lt;o"</f>
        <v>#VALUE!</v>
      </c>
      <c r="EE224" s="105" t="e">
        <f>'Actual Value'!AD325+"AM:!.&lt;p"</f>
        <v>#VALUE!</v>
      </c>
      <c r="EF224" s="105" t="e">
        <f>'Actual Value'!AE325+"AM:!.&lt;q"</f>
        <v>#VALUE!</v>
      </c>
      <c r="EG224" s="105" t="e">
        <f>'Actual Value'!AF325+"AM:!.&lt;r"</f>
        <v>#VALUE!</v>
      </c>
      <c r="EH224" s="105" t="e">
        <f>'Actual Value'!AG325+"AM:!.&lt;s"</f>
        <v>#VALUE!</v>
      </c>
      <c r="EI224" s="105" t="e">
        <f>'Actual Value'!AH325+"AM:!.&lt;t"</f>
        <v>#VALUE!</v>
      </c>
      <c r="EJ224" s="105" t="e">
        <f>'Actual Value'!AI325+"AM:!.&lt;u"</f>
        <v>#VALUE!</v>
      </c>
      <c r="EK224" s="105" t="e">
        <f>'Actual Value'!AJ325+"AM:!.&lt;v"</f>
        <v>#VALUE!</v>
      </c>
      <c r="EL224" s="105" t="e">
        <f>'Actual Value'!AK325+"AM:!.&lt;w"</f>
        <v>#VALUE!</v>
      </c>
      <c r="EM224" s="105" t="e">
        <f>'Actual Value'!AL325+"AM:!.&lt;x"</f>
        <v>#VALUE!</v>
      </c>
      <c r="EN224" s="105" t="e">
        <f>'Actual Value'!AM325+"AM:!.&lt;y"</f>
        <v>#VALUE!</v>
      </c>
      <c r="EO224" s="105" t="e">
        <f>'Actual Value'!AN325+"AM:!.&lt;z"</f>
        <v>#VALUE!</v>
      </c>
      <c r="EP224" s="105" t="e">
        <f>'Actual Value'!AO325+"AM:!.&lt;{"</f>
        <v>#VALUE!</v>
      </c>
      <c r="EQ224" t="e">
        <f>'Actual Value'!AP325+"AM:!.&lt;|"</f>
        <v>#VALUE!</v>
      </c>
      <c r="ER224" s="100" t="e">
        <f>'Actual Value'!AQ325+"AM:!.&lt;}"</f>
        <v>#VALUE!</v>
      </c>
      <c r="ES224" s="100" t="e">
        <f>'Actual Value'!AR325+"AM:!.&lt;~"</f>
        <v>#VALUE!</v>
      </c>
      <c r="ET224" s="100" t="e">
        <f>'Actual Value'!AS325+"AM:!.=#"</f>
        <v>#VALUE!</v>
      </c>
      <c r="EU224" s="100" t="e">
        <f>'Actual Value'!AT325+"AM:!.=$"</f>
        <v>#VALUE!</v>
      </c>
      <c r="EV224" s="100" t="e">
        <f>'Actual Value'!AU325+"AM:!.=%"</f>
        <v>#VALUE!</v>
      </c>
      <c r="EW224" t="e">
        <f>'Actual Value'!AV325+"AM:!.=&amp;"</f>
        <v>#VALUE!</v>
      </c>
      <c r="EX224" t="e">
        <f>'Actual Value'!AW325+"AM:!.='"</f>
        <v>#VALUE!</v>
      </c>
      <c r="EY224" t="e">
        <f>'Actual Value'!A326+"AM:!.=("</f>
        <v>#VALUE!</v>
      </c>
      <c r="EZ224" t="e">
        <f>'Actual Value'!B326+"AM:!.=)"</f>
        <v>#VALUE!</v>
      </c>
      <c r="FA224" t="e">
        <f>'Actual Value'!C326+"AM:!.=."</f>
        <v>#VALUE!</v>
      </c>
      <c r="FB224" s="97" t="e">
        <f>'Actual Value'!D326+"AM:!.=/"</f>
        <v>#VALUE!</v>
      </c>
      <c r="FC224" s="97" t="e">
        <f>'Actual Value'!E326+"AM:!.=0"</f>
        <v>#VALUE!</v>
      </c>
      <c r="FD224" s="97" t="e">
        <f>'Actual Value'!F326+"AM:!.=1"</f>
        <v>#VALUE!</v>
      </c>
      <c r="FE224" s="97" t="e">
        <f>'Actual Value'!G326+"AM:!.=2"</f>
        <v>#VALUE!</v>
      </c>
      <c r="FF224" s="97" t="e">
        <f>'Actual Value'!H326+"AM:!.=3"</f>
        <v>#VALUE!</v>
      </c>
      <c r="FG224" s="97" t="e">
        <f>'Actual Value'!I326+"AM:!.=4"</f>
        <v>#VALUE!</v>
      </c>
      <c r="FH224" s="97" t="e">
        <f>'Actual Value'!J326+"AM:!.=5"</f>
        <v>#VALUE!</v>
      </c>
      <c r="FI224" s="97" t="e">
        <f>'Actual Value'!K326+"AM:!.=6"</f>
        <v>#VALUE!</v>
      </c>
      <c r="FJ224" s="97" t="e">
        <f>'Actual Value'!L326+"AM:!.=7"</f>
        <v>#VALUE!</v>
      </c>
      <c r="FK224" s="97" t="e">
        <f>'Actual Value'!M326+"AM:!.=8"</f>
        <v>#VALUE!</v>
      </c>
      <c r="FL224" s="97" t="e">
        <f>'Actual Value'!N326+"AM:!.=9"</f>
        <v>#VALUE!</v>
      </c>
      <c r="FM224" s="97" t="e">
        <f>'Actual Value'!O326+"AM:!.=:"</f>
        <v>#VALUE!</v>
      </c>
      <c r="FN224" s="97" t="e">
        <f>'Actual Value'!P326+"AM:!.=;"</f>
        <v>#VALUE!</v>
      </c>
      <c r="FO224" s="97" t="e">
        <f>'Actual Value'!Q326+"AM:!.=&lt;"</f>
        <v>#VALUE!</v>
      </c>
      <c r="FP224" s="97" t="e">
        <f>'Actual Value'!R326+"AM:!.=="</f>
        <v>#VALUE!</v>
      </c>
      <c r="FQ224" s="97" t="e">
        <f>'Actual Value'!S326+"AM:!.=&gt;"</f>
        <v>#VALUE!</v>
      </c>
      <c r="FR224" s="97" t="e">
        <f>'Actual Value'!T326+"AM:!.=?"</f>
        <v>#VALUE!</v>
      </c>
      <c r="FS224" s="97" t="e">
        <f>'Actual Value'!U326+"AM:!.=@"</f>
        <v>#VALUE!</v>
      </c>
      <c r="FT224" s="97" t="e">
        <f>'Actual Value'!V326+"AM:!.=A"</f>
        <v>#VALUE!</v>
      </c>
      <c r="FU224" s="97" t="e">
        <f>'Actual Value'!W326+"AM:!.=B"</f>
        <v>#VALUE!</v>
      </c>
      <c r="FV224" s="97" t="e">
        <f>'Actual Value'!X326+"AM:!.=C"</f>
        <v>#VALUE!</v>
      </c>
      <c r="FW224" s="97" t="e">
        <f>'Actual Value'!Y326+"AM:!.=D"</f>
        <v>#VALUE!</v>
      </c>
      <c r="FX224" s="97" t="e">
        <f>'Actual Value'!Z326+"AM:!.=E"</f>
        <v>#VALUE!</v>
      </c>
      <c r="FY224" s="97" t="e">
        <f>'Actual Value'!AA326+"AM:!.=F"</f>
        <v>#VALUE!</v>
      </c>
      <c r="FZ224" s="97" t="e">
        <f>'Actual Value'!AB326+"AM:!.=G"</f>
        <v>#VALUE!</v>
      </c>
      <c r="GA224" s="97" t="e">
        <f>'Actual Value'!AC326+"AM:!.=H"</f>
        <v>#VALUE!</v>
      </c>
      <c r="GB224" s="97" t="e">
        <f>'Actual Value'!AD326+"AM:!.=I"</f>
        <v>#VALUE!</v>
      </c>
      <c r="GC224" s="97" t="e">
        <f>'Actual Value'!AE326+"AM:!.=J"</f>
        <v>#VALUE!</v>
      </c>
      <c r="GD224" s="97" t="e">
        <f>'Actual Value'!AF326+"AM:!.=K"</f>
        <v>#VALUE!</v>
      </c>
      <c r="GE224" s="97" t="e">
        <f>'Actual Value'!AG326+"AM:!.=L"</f>
        <v>#VALUE!</v>
      </c>
      <c r="GF224" s="97" t="e">
        <f>'Actual Value'!AH326+"AM:!.=M"</f>
        <v>#VALUE!</v>
      </c>
      <c r="GG224" s="97" t="e">
        <f>'Actual Value'!AI326+"AM:!.=N"</f>
        <v>#VALUE!</v>
      </c>
      <c r="GH224" s="97" t="e">
        <f>'Actual Value'!AJ326+"AM:!.=O"</f>
        <v>#VALUE!</v>
      </c>
      <c r="GI224" s="97" t="e">
        <f>'Actual Value'!AK326+"AM:!.=P"</f>
        <v>#VALUE!</v>
      </c>
      <c r="GJ224" s="97" t="e">
        <f>'Actual Value'!AL326+"AM:!.=Q"</f>
        <v>#VALUE!</v>
      </c>
      <c r="GK224" s="97" t="e">
        <f>'Actual Value'!AM326+"AM:!.=R"</f>
        <v>#VALUE!</v>
      </c>
      <c r="GL224" s="97" t="e">
        <f>'Actual Value'!AN326+"AM:!.=S"</f>
        <v>#VALUE!</v>
      </c>
      <c r="GM224" s="97" t="e">
        <f>'Actual Value'!AO326+"AM:!.=T"</f>
        <v>#VALUE!</v>
      </c>
      <c r="GN224" t="e">
        <f>'Actual Value'!AP326+"AM:!.=U"</f>
        <v>#VALUE!</v>
      </c>
      <c r="GO224" t="e">
        <f>'Actual Value'!AQ326+"AM:!.=V"</f>
        <v>#VALUE!</v>
      </c>
      <c r="GP224" t="e">
        <f>'Actual Value'!AR326+"AM:!.=W"</f>
        <v>#VALUE!</v>
      </c>
      <c r="GQ224" s="97" t="e">
        <f>'Actual Value'!AS326+"AM:!.=X"</f>
        <v>#VALUE!</v>
      </c>
      <c r="GR224" t="e">
        <f>'Actual Value'!AT326+"AM:!.=Y"</f>
        <v>#VALUE!</v>
      </c>
      <c r="GS224" t="e">
        <f>'Actual Value'!AU326+"AM:!.=Z"</f>
        <v>#VALUE!</v>
      </c>
      <c r="GT224" t="e">
        <f>'Actual Value'!AV326+"AM:!.=["</f>
        <v>#VALUE!</v>
      </c>
      <c r="GU224" t="e">
        <f>'Actual Value'!AW326+"AM:!.=\"</f>
        <v>#VALUE!</v>
      </c>
      <c r="GV224" t="e">
        <f>'Actual Value'!A327+"AM:!.=]"</f>
        <v>#VALUE!</v>
      </c>
      <c r="GW224" t="e">
        <f>'Actual Value'!B327+"AM:!.=^"</f>
        <v>#VALUE!</v>
      </c>
      <c r="GX224" t="e">
        <f>'Actual Value'!C327+"AM:!.=_"</f>
        <v>#VALUE!</v>
      </c>
      <c r="GY224" s="97" t="e">
        <f>'Actual Value'!D327+"AM:!.=`"</f>
        <v>#VALUE!</v>
      </c>
      <c r="GZ224" s="97" t="e">
        <f>'Actual Value'!E327+"AM:!.=a"</f>
        <v>#VALUE!</v>
      </c>
      <c r="HA224" s="97" t="e">
        <f>'Actual Value'!F327+"AM:!.=b"</f>
        <v>#VALUE!</v>
      </c>
      <c r="HB224" s="97" t="e">
        <f>'Actual Value'!G327+"AM:!.=c"</f>
        <v>#VALUE!</v>
      </c>
      <c r="HC224" s="97" t="e">
        <f>'Actual Value'!H327+"AM:!.=d"</f>
        <v>#VALUE!</v>
      </c>
      <c r="HD224" s="97" t="e">
        <f>'Actual Value'!I327+"AM:!.=e"</f>
        <v>#VALUE!</v>
      </c>
      <c r="HE224" s="97" t="e">
        <f>'Actual Value'!J327+"AM:!.=f"</f>
        <v>#VALUE!</v>
      </c>
      <c r="HF224" s="97" t="e">
        <f>'Actual Value'!K327+"AM:!.=g"</f>
        <v>#VALUE!</v>
      </c>
      <c r="HG224" s="97" t="e">
        <f>'Actual Value'!L327+"AM:!.=h"</f>
        <v>#VALUE!</v>
      </c>
      <c r="HH224" s="97" t="e">
        <f>'Actual Value'!M327+"AM:!.=i"</f>
        <v>#VALUE!</v>
      </c>
      <c r="HI224" s="97" t="e">
        <f>'Actual Value'!N327+"AM:!.=j"</f>
        <v>#VALUE!</v>
      </c>
      <c r="HJ224" s="97" t="e">
        <f>'Actual Value'!O327+"AM:!.=k"</f>
        <v>#VALUE!</v>
      </c>
      <c r="HK224" s="97" t="e">
        <f>'Actual Value'!P327+"AM:!.=l"</f>
        <v>#VALUE!</v>
      </c>
      <c r="HL224" s="97" t="e">
        <f>'Actual Value'!Q327+"AM:!.=m"</f>
        <v>#VALUE!</v>
      </c>
      <c r="HM224" s="97" t="e">
        <f>'Actual Value'!R327+"AM:!.=n"</f>
        <v>#VALUE!</v>
      </c>
      <c r="HN224" s="97" t="e">
        <f>'Actual Value'!S327+"AM:!.=o"</f>
        <v>#VALUE!</v>
      </c>
      <c r="HO224" s="97" t="e">
        <f>'Actual Value'!T327+"AM:!.=p"</f>
        <v>#VALUE!</v>
      </c>
      <c r="HP224" s="97" t="e">
        <f>'Actual Value'!U327+"AM:!.=q"</f>
        <v>#VALUE!</v>
      </c>
      <c r="HQ224" s="97" t="e">
        <f>'Actual Value'!V327+"AM:!.=r"</f>
        <v>#VALUE!</v>
      </c>
      <c r="HR224" s="97" t="e">
        <f>'Actual Value'!W327+"AM:!.=s"</f>
        <v>#VALUE!</v>
      </c>
      <c r="HS224" s="97" t="e">
        <f>'Actual Value'!X327+"AM:!.=t"</f>
        <v>#VALUE!</v>
      </c>
      <c r="HT224" s="97" t="e">
        <f>'Actual Value'!Y327+"AM:!.=u"</f>
        <v>#VALUE!</v>
      </c>
      <c r="HU224" s="97" t="e">
        <f>'Actual Value'!Z327+"AM:!.=v"</f>
        <v>#VALUE!</v>
      </c>
      <c r="HV224" s="97" t="e">
        <f>'Actual Value'!AA327+"AM:!.=w"</f>
        <v>#VALUE!</v>
      </c>
      <c r="HW224" s="97" t="e">
        <f>'Actual Value'!AB327+"AM:!.=x"</f>
        <v>#VALUE!</v>
      </c>
      <c r="HX224" s="97" t="e">
        <f>'Actual Value'!AC327+"AM:!.=y"</f>
        <v>#VALUE!</v>
      </c>
      <c r="HY224" s="97" t="e">
        <f>'Actual Value'!AD327+"AM:!.=z"</f>
        <v>#VALUE!</v>
      </c>
      <c r="HZ224" s="97" t="e">
        <f>'Actual Value'!AE327+"AM:!.={"</f>
        <v>#VALUE!</v>
      </c>
      <c r="IA224" s="97" t="e">
        <f>'Actual Value'!AF327+"AM:!.=|"</f>
        <v>#VALUE!</v>
      </c>
      <c r="IB224" s="97" t="e">
        <f>'Actual Value'!AG327+"AM:!.=}"</f>
        <v>#VALUE!</v>
      </c>
      <c r="IC224" s="97" t="e">
        <f>'Actual Value'!AH327+"AM:!.=~"</f>
        <v>#VALUE!</v>
      </c>
      <c r="ID224" s="97" t="e">
        <f>'Actual Value'!AI327+"AM:!.&gt;#"</f>
        <v>#VALUE!</v>
      </c>
      <c r="IE224" s="97" t="e">
        <f>'Actual Value'!AJ327+"AM:!.&gt;$"</f>
        <v>#VALUE!</v>
      </c>
      <c r="IF224" s="97" t="e">
        <f>'Actual Value'!AK327+"AM:!.&gt;%"</f>
        <v>#VALUE!</v>
      </c>
      <c r="IG224" s="97" t="e">
        <f>'Actual Value'!AL327+"AM:!.&gt;&amp;"</f>
        <v>#VALUE!</v>
      </c>
      <c r="IH224" s="97" t="e">
        <f>'Actual Value'!AM327+"AM:!.&gt;'"</f>
        <v>#VALUE!</v>
      </c>
      <c r="II224" s="97" t="e">
        <f>'Actual Value'!AN327+"AM:!.&gt;("</f>
        <v>#VALUE!</v>
      </c>
      <c r="IJ224" s="97" t="e">
        <f>'Actual Value'!AO327+"AM:!.&gt;)"</f>
        <v>#VALUE!</v>
      </c>
      <c r="IK224" t="e">
        <f>'Actual Value'!AP327+"AM:!.&gt;."</f>
        <v>#VALUE!</v>
      </c>
      <c r="IL224" t="e">
        <f>'Actual Value'!AQ327+"AM:!.&gt;/"</f>
        <v>#VALUE!</v>
      </c>
      <c r="IM224" t="e">
        <f>'Actual Value'!AR327+"AM:!.&gt;0"</f>
        <v>#VALUE!</v>
      </c>
      <c r="IN224" s="97" t="e">
        <f>'Actual Value'!AS327+"AM:!.&gt;1"</f>
        <v>#VALUE!</v>
      </c>
      <c r="IO224" t="e">
        <f>'Actual Value'!AT327+"AM:!.&gt;2"</f>
        <v>#VALUE!</v>
      </c>
      <c r="IP224" t="e">
        <f>'Actual Value'!AU327+"AM:!.&gt;3"</f>
        <v>#VALUE!</v>
      </c>
      <c r="IQ224" t="e">
        <f>'Actual Value'!AV327+"AM:!.&gt;4"</f>
        <v>#VALUE!</v>
      </c>
      <c r="IR224" t="e">
        <f>'Actual Value'!AW327+"AM:!.&gt;5"</f>
        <v>#VALUE!</v>
      </c>
      <c r="IS224" t="e">
        <f>'Actual Value'!A328+"AM:!.&gt;6"</f>
        <v>#VALUE!</v>
      </c>
      <c r="IT224" t="e">
        <f>'Actual Value'!B328+"AM:!.&gt;7"</f>
        <v>#VALUE!</v>
      </c>
      <c r="IU224" t="e">
        <f>'Actual Value'!C328+"AM:!.&gt;8"</f>
        <v>#VALUE!</v>
      </c>
      <c r="IV224" s="97" t="e">
        <f>'Actual Value'!D328+"AM:!.&gt;9"</f>
        <v>#VALUE!</v>
      </c>
    </row>
    <row r="225" spans="6:256">
      <c r="F225" s="97" t="e">
        <f>'Actual Value'!E328+"AM:!.&gt;:"</f>
        <v>#VALUE!</v>
      </c>
      <c r="G225" s="97" t="e">
        <f>'Actual Value'!F328+"AM:!.&gt;;"</f>
        <v>#VALUE!</v>
      </c>
      <c r="H225" s="97" t="e">
        <f>'Actual Value'!G328+"AM:!.&gt;&lt;"</f>
        <v>#VALUE!</v>
      </c>
      <c r="I225" s="97" t="e">
        <f>'Actual Value'!H328+"AM:!.&gt;="</f>
        <v>#VALUE!</v>
      </c>
      <c r="J225" s="97" t="e">
        <f>'Actual Value'!I328+"AM:!.&gt;&gt;"</f>
        <v>#VALUE!</v>
      </c>
      <c r="K225" s="97" t="e">
        <f>'Actual Value'!J328+"AM:!.&gt;?"</f>
        <v>#VALUE!</v>
      </c>
      <c r="L225" s="97" t="e">
        <f>'Actual Value'!K328+"AM:!.&gt;@"</f>
        <v>#VALUE!</v>
      </c>
      <c r="M225" s="97" t="e">
        <f>'Actual Value'!L328+"AM:!.&gt;A"</f>
        <v>#VALUE!</v>
      </c>
      <c r="N225" s="97" t="e">
        <f>'Actual Value'!M328+"AM:!.&gt;B"</f>
        <v>#VALUE!</v>
      </c>
      <c r="O225" s="97" t="e">
        <f>'Actual Value'!N328+"AM:!.&gt;C"</f>
        <v>#VALUE!</v>
      </c>
      <c r="P225" s="97" t="e">
        <f>'Actual Value'!O328+"AM:!.&gt;D"</f>
        <v>#VALUE!</v>
      </c>
      <c r="Q225" s="97" t="e">
        <f>'Actual Value'!P328+"AM:!.&gt;E"</f>
        <v>#VALUE!</v>
      </c>
      <c r="R225" s="97" t="e">
        <f>'Actual Value'!Q328+"AM:!.&gt;F"</f>
        <v>#VALUE!</v>
      </c>
      <c r="S225" s="97" t="e">
        <f>'Actual Value'!R328+"AM:!.&gt;G"</f>
        <v>#VALUE!</v>
      </c>
      <c r="T225" s="97" t="e">
        <f>'Actual Value'!S328+"AM:!.&gt;H"</f>
        <v>#VALUE!</v>
      </c>
      <c r="U225" s="97" t="e">
        <f>'Actual Value'!T328+"AM:!.&gt;I"</f>
        <v>#VALUE!</v>
      </c>
      <c r="V225" s="97" t="e">
        <f>'Actual Value'!U328+"AM:!.&gt;J"</f>
        <v>#VALUE!</v>
      </c>
      <c r="W225" s="97" t="e">
        <f>'Actual Value'!V328+"AM:!.&gt;K"</f>
        <v>#VALUE!</v>
      </c>
      <c r="X225" s="97" t="e">
        <f>'Actual Value'!W328+"AM:!.&gt;L"</f>
        <v>#VALUE!</v>
      </c>
      <c r="Y225" s="97" t="e">
        <f>'Actual Value'!X328+"AM:!.&gt;M"</f>
        <v>#VALUE!</v>
      </c>
      <c r="Z225" s="97" t="e">
        <f>'Actual Value'!Y328+"AM:!.&gt;N"</f>
        <v>#VALUE!</v>
      </c>
      <c r="AA225" s="97" t="e">
        <f>'Actual Value'!Z328+"AM:!.&gt;O"</f>
        <v>#VALUE!</v>
      </c>
      <c r="AB225" s="97" t="e">
        <f>'Actual Value'!AA328+"AM:!.&gt;P"</f>
        <v>#VALUE!</v>
      </c>
      <c r="AC225" s="97" t="e">
        <f>'Actual Value'!AB328+"AM:!.&gt;Q"</f>
        <v>#VALUE!</v>
      </c>
      <c r="AD225" s="97" t="e">
        <f>'Actual Value'!AC328+"AM:!.&gt;R"</f>
        <v>#VALUE!</v>
      </c>
      <c r="AE225" s="97" t="e">
        <f>'Actual Value'!AD328+"AM:!.&gt;S"</f>
        <v>#VALUE!</v>
      </c>
      <c r="AF225" s="97" t="e">
        <f>'Actual Value'!AE328+"AM:!.&gt;T"</f>
        <v>#VALUE!</v>
      </c>
      <c r="AG225" s="97" t="e">
        <f>'Actual Value'!AF328+"AM:!.&gt;U"</f>
        <v>#VALUE!</v>
      </c>
      <c r="AH225" s="97" t="e">
        <f>'Actual Value'!AG328+"AM:!.&gt;V"</f>
        <v>#VALUE!</v>
      </c>
      <c r="AI225" s="97" t="e">
        <f>'Actual Value'!AH328+"AM:!.&gt;W"</f>
        <v>#VALUE!</v>
      </c>
      <c r="AJ225" s="97" t="e">
        <f>'Actual Value'!AI328+"AM:!.&gt;X"</f>
        <v>#VALUE!</v>
      </c>
      <c r="AK225" s="97" t="e">
        <f>'Actual Value'!AJ328+"AM:!.&gt;Y"</f>
        <v>#VALUE!</v>
      </c>
      <c r="AL225" s="97" t="e">
        <f>'Actual Value'!AK328+"AM:!.&gt;Z"</f>
        <v>#VALUE!</v>
      </c>
      <c r="AM225" s="97" t="e">
        <f>'Actual Value'!AL328+"AM:!.&gt;["</f>
        <v>#VALUE!</v>
      </c>
      <c r="AN225" s="97" t="e">
        <f>'Actual Value'!AM328+"AM:!.&gt;\"</f>
        <v>#VALUE!</v>
      </c>
      <c r="AO225" s="97" t="e">
        <f>'Actual Value'!AN328+"AM:!.&gt;]"</f>
        <v>#VALUE!</v>
      </c>
      <c r="AP225" s="97" t="e">
        <f>'Actual Value'!AO328+"AM:!.&gt;^"</f>
        <v>#VALUE!</v>
      </c>
      <c r="AQ225" t="e">
        <f>'Actual Value'!AP328+"AM:!.&gt;_"</f>
        <v>#VALUE!</v>
      </c>
      <c r="AR225" t="e">
        <f>'Actual Value'!AQ328+"AM:!.&gt;`"</f>
        <v>#VALUE!</v>
      </c>
      <c r="AS225" t="e">
        <f>'Actual Value'!AR328+"AM:!.&gt;a"</f>
        <v>#VALUE!</v>
      </c>
      <c r="AT225" t="e">
        <f>'Actual Value'!AS328+"AM:!.&gt;b"</f>
        <v>#VALUE!</v>
      </c>
      <c r="AU225" t="e">
        <f>'Actual Value'!AT328+"AM:!.&gt;c"</f>
        <v>#VALUE!</v>
      </c>
      <c r="AV225" t="e">
        <f>'Actual Value'!AU328+"AM:!.&gt;d"</f>
        <v>#VALUE!</v>
      </c>
      <c r="AW225" t="e">
        <f>'Actual Value'!AV328+"AM:!.&gt;e"</f>
        <v>#VALUE!</v>
      </c>
      <c r="AX225" t="e">
        <f>'Actual Value'!AW328+"AM:!.&gt;f"</f>
        <v>#VALUE!</v>
      </c>
      <c r="AY225" t="e">
        <f>'Actual Value'!A329+"AM:!.&gt;g"</f>
        <v>#VALUE!</v>
      </c>
      <c r="AZ225" t="e">
        <f>'Actual Value'!B329+"AM:!.&gt;h"</f>
        <v>#VALUE!</v>
      </c>
      <c r="BA225" t="e">
        <f>'Actual Value'!C329+"AM:!.&gt;i"</f>
        <v>#VALUE!</v>
      </c>
      <c r="BB225" s="97" t="e">
        <f>'Actual Value'!D329+"AM:!.&gt;j"</f>
        <v>#VALUE!</v>
      </c>
      <c r="BC225" s="97" t="e">
        <f>'Actual Value'!E329+"AM:!.&gt;k"</f>
        <v>#VALUE!</v>
      </c>
      <c r="BD225" s="97" t="e">
        <f>'Actual Value'!F329+"AM:!.&gt;l"</f>
        <v>#VALUE!</v>
      </c>
      <c r="BE225" s="97" t="e">
        <f>'Actual Value'!G329+"AM:!.&gt;m"</f>
        <v>#VALUE!</v>
      </c>
      <c r="BF225" s="97" t="e">
        <f>'Actual Value'!H329+"AM:!.&gt;n"</f>
        <v>#VALUE!</v>
      </c>
      <c r="BG225" s="97" t="e">
        <f>'Actual Value'!I329+"AM:!.&gt;o"</f>
        <v>#VALUE!</v>
      </c>
      <c r="BH225" s="97" t="e">
        <f>'Actual Value'!J329+"AM:!.&gt;p"</f>
        <v>#VALUE!</v>
      </c>
      <c r="BI225" s="97" t="e">
        <f>'Actual Value'!K329+"AM:!.&gt;q"</f>
        <v>#VALUE!</v>
      </c>
      <c r="BJ225" s="97" t="e">
        <f>'Actual Value'!L329+"AM:!.&gt;r"</f>
        <v>#VALUE!</v>
      </c>
      <c r="BK225" s="97" t="e">
        <f>'Actual Value'!M329+"AM:!.&gt;s"</f>
        <v>#VALUE!</v>
      </c>
      <c r="BL225" s="97" t="e">
        <f>'Actual Value'!N329+"AM:!.&gt;t"</f>
        <v>#VALUE!</v>
      </c>
      <c r="BM225" s="97" t="e">
        <f>'Actual Value'!O329+"AM:!.&gt;u"</f>
        <v>#VALUE!</v>
      </c>
      <c r="BN225" s="97" t="e">
        <f>'Actual Value'!P329+"AM:!.&gt;v"</f>
        <v>#VALUE!</v>
      </c>
      <c r="BO225" s="97" t="e">
        <f>'Actual Value'!Q329+"AM:!.&gt;w"</f>
        <v>#VALUE!</v>
      </c>
      <c r="BP225" s="97" t="e">
        <f>'Actual Value'!R329+"AM:!.&gt;x"</f>
        <v>#VALUE!</v>
      </c>
      <c r="BQ225" s="97" t="e">
        <f>'Actual Value'!S329+"AM:!.&gt;y"</f>
        <v>#VALUE!</v>
      </c>
      <c r="BR225" s="97" t="e">
        <f>'Actual Value'!T329+"AM:!.&gt;z"</f>
        <v>#VALUE!</v>
      </c>
      <c r="BS225" s="97" t="e">
        <f>'Actual Value'!U329+"AM:!.&gt;{"</f>
        <v>#VALUE!</v>
      </c>
      <c r="BT225" s="97" t="e">
        <f>'Actual Value'!V329+"AM:!.&gt;|"</f>
        <v>#VALUE!</v>
      </c>
      <c r="BU225" s="97" t="e">
        <f>'Actual Value'!W329+"AM:!.&gt;}"</f>
        <v>#VALUE!</v>
      </c>
      <c r="BV225" s="97" t="e">
        <f>'Actual Value'!X329+"AM:!.&gt;~"</f>
        <v>#VALUE!</v>
      </c>
      <c r="BW225" s="97" t="e">
        <f>'Actual Value'!Y329+"AM:!.?#"</f>
        <v>#VALUE!</v>
      </c>
      <c r="BX225" s="97" t="e">
        <f>'Actual Value'!Z329+"AM:!.?$"</f>
        <v>#VALUE!</v>
      </c>
      <c r="BY225" s="97" t="e">
        <f>'Actual Value'!AA329+"AM:!.?%"</f>
        <v>#VALUE!</v>
      </c>
      <c r="BZ225" s="97" t="e">
        <f>'Actual Value'!AB329+"AM:!.?&amp;"</f>
        <v>#VALUE!</v>
      </c>
      <c r="CA225" s="97" t="e">
        <f>'Actual Value'!AC329+"AM:!.?'"</f>
        <v>#VALUE!</v>
      </c>
      <c r="CB225" s="97" t="e">
        <f>'Actual Value'!AD329+"AM:!.?("</f>
        <v>#VALUE!</v>
      </c>
      <c r="CC225" s="97" t="e">
        <f>'Actual Value'!AE329+"AM:!.?)"</f>
        <v>#VALUE!</v>
      </c>
      <c r="CD225" s="97" t="e">
        <f>'Actual Value'!AF329+"AM:!.?."</f>
        <v>#VALUE!</v>
      </c>
      <c r="CE225" s="97" t="e">
        <f>'Actual Value'!AG329+"AM:!.?/"</f>
        <v>#VALUE!</v>
      </c>
      <c r="CF225" s="97" t="e">
        <f>'Actual Value'!AH329+"AM:!.?0"</f>
        <v>#VALUE!</v>
      </c>
      <c r="CG225" s="97" t="e">
        <f>'Actual Value'!AI329+"AM:!.?1"</f>
        <v>#VALUE!</v>
      </c>
      <c r="CH225" s="97" t="e">
        <f>'Actual Value'!AJ329+"AM:!.?2"</f>
        <v>#VALUE!</v>
      </c>
      <c r="CI225" s="97" t="e">
        <f>'Actual Value'!AK329+"AM:!.?3"</f>
        <v>#VALUE!</v>
      </c>
      <c r="CJ225" s="97" t="e">
        <f>'Actual Value'!AL329+"AM:!.?4"</f>
        <v>#VALUE!</v>
      </c>
      <c r="CK225" s="97" t="e">
        <f>'Actual Value'!AM329+"AM:!.?5"</f>
        <v>#VALUE!</v>
      </c>
      <c r="CL225" s="97" t="e">
        <f>'Actual Value'!AN329+"AM:!.?6"</f>
        <v>#VALUE!</v>
      </c>
      <c r="CM225" s="97" t="e">
        <f>'Actual Value'!AO329+"AM:!.?7"</f>
        <v>#VALUE!</v>
      </c>
      <c r="CN225" t="e">
        <f>'Actual Value'!AP329+"AM:!.?8"</f>
        <v>#VALUE!</v>
      </c>
      <c r="CO225" t="e">
        <f>'Actual Value'!AQ329+"AM:!.?9"</f>
        <v>#VALUE!</v>
      </c>
      <c r="CP225" t="e">
        <f>'Actual Value'!AR329+"AM:!.?:"</f>
        <v>#VALUE!</v>
      </c>
      <c r="CQ225" t="e">
        <f>'Actual Value'!AS329+"AM:!.?;"</f>
        <v>#VALUE!</v>
      </c>
      <c r="CR225" t="e">
        <f>'Actual Value'!AT329+"AM:!.?&lt;"</f>
        <v>#VALUE!</v>
      </c>
      <c r="CS225" t="e">
        <f>'Actual Value'!AU329+"AM:!.?="</f>
        <v>#VALUE!</v>
      </c>
      <c r="CT225" t="e">
        <f>'Actual Value'!AV329+"AM:!.?&gt;"</f>
        <v>#VALUE!</v>
      </c>
      <c r="CU225" t="e">
        <f>'Actual Value'!AW329+"AM:!.??"</f>
        <v>#VALUE!</v>
      </c>
      <c r="CV225" t="e">
        <f>'Actual Value'!AX329+"AM:!.?@"</f>
        <v>#VALUE!</v>
      </c>
      <c r="CW225" t="e">
        <f>'Actual Value'!A330+"AM:!.?A"</f>
        <v>#VALUE!</v>
      </c>
      <c r="CX225" t="e">
        <f>'Actual Value'!B330+"AM:!.?B"</f>
        <v>#VALUE!</v>
      </c>
      <c r="CY225" t="e">
        <f>'Actual Value'!C330+"AM:!.?C"</f>
        <v>#VALUE!</v>
      </c>
      <c r="CZ225" s="97" t="e">
        <f>'Actual Value'!D330+"AM:!.?D"</f>
        <v>#VALUE!</v>
      </c>
      <c r="DA225" s="97" t="e">
        <f>'Actual Value'!E330+"AM:!.?E"</f>
        <v>#VALUE!</v>
      </c>
      <c r="DB225" s="97" t="e">
        <f>'Actual Value'!F330+"AM:!.?F"</f>
        <v>#VALUE!</v>
      </c>
      <c r="DC225" s="97" t="e">
        <f>'Actual Value'!G330+"AM:!.?G"</f>
        <v>#VALUE!</v>
      </c>
      <c r="DD225" s="97" t="e">
        <f>'Actual Value'!H330+"AM:!.?H"</f>
        <v>#VALUE!</v>
      </c>
      <c r="DE225" s="97" t="e">
        <f>'Actual Value'!I330+"AM:!.?I"</f>
        <v>#VALUE!</v>
      </c>
      <c r="DF225" s="97" t="e">
        <f>'Actual Value'!J330+"AM:!.?J"</f>
        <v>#VALUE!</v>
      </c>
      <c r="DG225" s="97" t="e">
        <f>'Actual Value'!K330+"AM:!.?K"</f>
        <v>#VALUE!</v>
      </c>
      <c r="DH225" s="97" t="e">
        <f>'Actual Value'!L330+"AM:!.?L"</f>
        <v>#VALUE!</v>
      </c>
      <c r="DI225" s="97" t="e">
        <f>'Actual Value'!M330+"AM:!.?M"</f>
        <v>#VALUE!</v>
      </c>
      <c r="DJ225" s="97" t="e">
        <f>'Actual Value'!N330+"AM:!.?N"</f>
        <v>#VALUE!</v>
      </c>
      <c r="DK225" s="97" t="e">
        <f>'Actual Value'!O330+"AM:!.?O"</f>
        <v>#VALUE!</v>
      </c>
      <c r="DL225" s="97" t="e">
        <f>'Actual Value'!P330+"AM:!.?P"</f>
        <v>#VALUE!</v>
      </c>
      <c r="DM225" s="97" t="e">
        <f>'Actual Value'!Q330+"AM:!.?Q"</f>
        <v>#VALUE!</v>
      </c>
      <c r="DN225" s="97" t="e">
        <f>'Actual Value'!R330+"AM:!.?R"</f>
        <v>#VALUE!</v>
      </c>
      <c r="DO225" s="97" t="e">
        <f>'Actual Value'!S330+"AM:!.?S"</f>
        <v>#VALUE!</v>
      </c>
      <c r="DP225" s="97" t="e">
        <f>'Actual Value'!T330+"AM:!.?T"</f>
        <v>#VALUE!</v>
      </c>
      <c r="DQ225" s="97" t="e">
        <f>'Actual Value'!U330+"AM:!.?U"</f>
        <v>#VALUE!</v>
      </c>
      <c r="DR225" s="97" t="e">
        <f>'Actual Value'!V330+"AM:!.?V"</f>
        <v>#VALUE!</v>
      </c>
      <c r="DS225" s="97" t="e">
        <f>'Actual Value'!W330+"AM:!.?W"</f>
        <v>#VALUE!</v>
      </c>
      <c r="DT225" s="97" t="e">
        <f>'Actual Value'!X330+"AM:!.?X"</f>
        <v>#VALUE!</v>
      </c>
      <c r="DU225" s="97" t="e">
        <f>'Actual Value'!Y330+"AM:!.?Y"</f>
        <v>#VALUE!</v>
      </c>
      <c r="DV225" s="97" t="e">
        <f>'Actual Value'!Z330+"AM:!.?Z"</f>
        <v>#VALUE!</v>
      </c>
      <c r="DW225" s="97" t="e">
        <f>'Actual Value'!AA330+"AM:!.?["</f>
        <v>#VALUE!</v>
      </c>
      <c r="DX225" s="97" t="e">
        <f>'Actual Value'!AB330+"AM:!.?\"</f>
        <v>#VALUE!</v>
      </c>
      <c r="DY225" s="97" t="e">
        <f>'Actual Value'!AC330+"AM:!.?]"</f>
        <v>#VALUE!</v>
      </c>
      <c r="DZ225" s="97" t="e">
        <f>'Actual Value'!AD330+"AM:!.?^"</f>
        <v>#VALUE!</v>
      </c>
      <c r="EA225" s="97" t="e">
        <f>'Actual Value'!AE330+"AM:!.?_"</f>
        <v>#VALUE!</v>
      </c>
      <c r="EB225" s="97" t="e">
        <f>'Actual Value'!AF330+"AM:!.?`"</f>
        <v>#VALUE!</v>
      </c>
      <c r="EC225" s="97" t="e">
        <f>'Actual Value'!AG330+"AM:!.?a"</f>
        <v>#VALUE!</v>
      </c>
      <c r="ED225" s="97" t="e">
        <f>'Actual Value'!AH330+"AM:!.?b"</f>
        <v>#VALUE!</v>
      </c>
      <c r="EE225" s="97" t="e">
        <f>'Actual Value'!AI330+"AM:!.?c"</f>
        <v>#VALUE!</v>
      </c>
      <c r="EF225" s="97" t="e">
        <f>'Actual Value'!AJ330+"AM:!.?d"</f>
        <v>#VALUE!</v>
      </c>
      <c r="EG225" s="97" t="e">
        <f>'Actual Value'!AK330+"AM:!.?e"</f>
        <v>#VALUE!</v>
      </c>
      <c r="EH225" s="97" t="e">
        <f>'Actual Value'!AL330+"AM:!.?f"</f>
        <v>#VALUE!</v>
      </c>
      <c r="EI225" s="97" t="e">
        <f>'Actual Value'!AM330+"AM:!.?g"</f>
        <v>#VALUE!</v>
      </c>
      <c r="EJ225" s="97" t="e">
        <f>'Actual Value'!AN330+"AM:!.?h"</f>
        <v>#VALUE!</v>
      </c>
      <c r="EK225" s="97" t="e">
        <f>'Actual Value'!AO330+"AM:!.?i"</f>
        <v>#VALUE!</v>
      </c>
      <c r="EL225" t="e">
        <f>'Actual Value'!AP330+"AM:!.?j"</f>
        <v>#VALUE!</v>
      </c>
      <c r="EM225" t="e">
        <f>'Actual Value'!AQ330+"AM:!.?k"</f>
        <v>#VALUE!</v>
      </c>
      <c r="EN225" t="e">
        <f>'Actual Value'!AR330+"AM:!.?l"</f>
        <v>#VALUE!</v>
      </c>
      <c r="EO225" t="e">
        <f>'Actual Value'!AS330+"AM:!.?m"</f>
        <v>#VALUE!</v>
      </c>
      <c r="EP225" t="e">
        <f>'Actual Value'!AT330+"AM:!.?n"</f>
        <v>#VALUE!</v>
      </c>
      <c r="EQ225" t="e">
        <f>'Actual Value'!AU330+"AM:!.?o"</f>
        <v>#VALUE!</v>
      </c>
      <c r="ER225" t="e">
        <f>'Actual Value'!AV330+"AM:!.?p"</f>
        <v>#VALUE!</v>
      </c>
      <c r="ES225" t="e">
        <f>'Actual Value'!AW330+"AM:!.?q"</f>
        <v>#VALUE!</v>
      </c>
      <c r="ET225" t="e">
        <f>'Actual Value'!AX330+"AM:!.?r"</f>
        <v>#VALUE!</v>
      </c>
      <c r="EU225" t="e">
        <f>'Actual Value'!A331+"AM:!.?s"</f>
        <v>#VALUE!</v>
      </c>
      <c r="EV225" t="e">
        <f>'Actual Value'!B331+"AM:!.?t"</f>
        <v>#VALUE!</v>
      </c>
      <c r="EW225" t="e">
        <f>'Actual Value'!C331+"AM:!.?u"</f>
        <v>#VALUE!</v>
      </c>
      <c r="EX225" s="97" t="e">
        <f>'Actual Value'!D331+"AM:!.?v"</f>
        <v>#VALUE!</v>
      </c>
      <c r="EY225" s="97" t="e">
        <f>'Actual Value'!E331+"AM:!.?w"</f>
        <v>#VALUE!</v>
      </c>
      <c r="EZ225" s="97" t="e">
        <f>'Actual Value'!F331+"AM:!.?x"</f>
        <v>#VALUE!</v>
      </c>
      <c r="FA225" s="97" t="e">
        <f>'Actual Value'!G331+"AM:!.?y"</f>
        <v>#VALUE!</v>
      </c>
      <c r="FB225" s="97" t="e">
        <f>'Actual Value'!H331+"AM:!.?z"</f>
        <v>#VALUE!</v>
      </c>
      <c r="FC225" s="97" t="e">
        <f>'Actual Value'!I331+"AM:!.?{"</f>
        <v>#VALUE!</v>
      </c>
      <c r="FD225" s="97" t="e">
        <f>'Actual Value'!J331+"AM:!.?|"</f>
        <v>#VALUE!</v>
      </c>
      <c r="FE225" s="97" t="e">
        <f>'Actual Value'!K331+"AM:!.?}"</f>
        <v>#VALUE!</v>
      </c>
      <c r="FF225" s="97" t="e">
        <f>'Actual Value'!L331+"AM:!.?~"</f>
        <v>#VALUE!</v>
      </c>
      <c r="FG225" s="97" t="e">
        <f>'Actual Value'!M331+"AM:!.@#"</f>
        <v>#VALUE!</v>
      </c>
      <c r="FH225" s="97" t="e">
        <f>'Actual Value'!N331+"AM:!.@$"</f>
        <v>#VALUE!</v>
      </c>
      <c r="FI225" s="97" t="e">
        <f>'Actual Value'!O331+"AM:!.@%"</f>
        <v>#VALUE!</v>
      </c>
      <c r="FJ225" s="97" t="e">
        <f>'Actual Value'!P331+"AM:!.@&amp;"</f>
        <v>#VALUE!</v>
      </c>
      <c r="FK225" s="97" t="e">
        <f>'Actual Value'!Q331+"AM:!.@'"</f>
        <v>#VALUE!</v>
      </c>
      <c r="FL225" s="97" t="e">
        <f>'Actual Value'!R331+"AM:!.@("</f>
        <v>#VALUE!</v>
      </c>
      <c r="FM225" s="97" t="e">
        <f>'Actual Value'!S331+"AM:!.@)"</f>
        <v>#VALUE!</v>
      </c>
      <c r="FN225" s="97" t="e">
        <f>'Actual Value'!T331+"AM:!.@."</f>
        <v>#VALUE!</v>
      </c>
      <c r="FO225" s="97" t="e">
        <f>'Actual Value'!U331+"AM:!.@/"</f>
        <v>#VALUE!</v>
      </c>
      <c r="FP225" s="97" t="e">
        <f>'Actual Value'!V331+"AM:!.@0"</f>
        <v>#VALUE!</v>
      </c>
      <c r="FQ225" s="97" t="e">
        <f>'Actual Value'!W331+"AM:!.@1"</f>
        <v>#VALUE!</v>
      </c>
      <c r="FR225" s="97" t="e">
        <f>'Actual Value'!X331+"AM:!.@2"</f>
        <v>#VALUE!</v>
      </c>
      <c r="FS225" s="97" t="e">
        <f>'Actual Value'!Y331+"AM:!.@3"</f>
        <v>#VALUE!</v>
      </c>
      <c r="FT225" s="97" t="e">
        <f>'Actual Value'!Z331+"AM:!.@4"</f>
        <v>#VALUE!</v>
      </c>
      <c r="FU225" s="97" t="e">
        <f>'Actual Value'!AA331+"AM:!.@5"</f>
        <v>#VALUE!</v>
      </c>
      <c r="FV225" s="97" t="e">
        <f>'Actual Value'!AB331+"AM:!.@6"</f>
        <v>#VALUE!</v>
      </c>
      <c r="FW225" s="97" t="e">
        <f>'Actual Value'!AC331+"AM:!.@7"</f>
        <v>#VALUE!</v>
      </c>
      <c r="FX225" s="97" t="e">
        <f>'Actual Value'!AD331+"AM:!.@8"</f>
        <v>#VALUE!</v>
      </c>
      <c r="FY225" s="97" t="e">
        <f>'Actual Value'!AE331+"AM:!.@9"</f>
        <v>#VALUE!</v>
      </c>
      <c r="FZ225" s="97" t="e">
        <f>'Actual Value'!AF331+"AM:!.@:"</f>
        <v>#VALUE!</v>
      </c>
      <c r="GA225" s="97" t="e">
        <f>'Actual Value'!AG331+"AM:!.@;"</f>
        <v>#VALUE!</v>
      </c>
      <c r="GB225" s="97" t="e">
        <f>'Actual Value'!AH331+"AM:!.@&lt;"</f>
        <v>#VALUE!</v>
      </c>
      <c r="GC225" s="97" t="e">
        <f>'Actual Value'!AI331+"AM:!.@="</f>
        <v>#VALUE!</v>
      </c>
      <c r="GD225" s="97" t="e">
        <f>'Actual Value'!AJ331+"AM:!.@&gt;"</f>
        <v>#VALUE!</v>
      </c>
      <c r="GE225" s="97" t="e">
        <f>'Actual Value'!AK331+"AM:!.@?"</f>
        <v>#VALUE!</v>
      </c>
      <c r="GF225" s="97" t="e">
        <f>'Actual Value'!AL331+"AM:!.@@"</f>
        <v>#VALUE!</v>
      </c>
      <c r="GG225" s="97" t="e">
        <f>'Actual Value'!AM331+"AM:!.@A"</f>
        <v>#VALUE!</v>
      </c>
      <c r="GH225" s="97" t="e">
        <f>'Actual Value'!AN331+"AM:!.@B"</f>
        <v>#VALUE!</v>
      </c>
      <c r="GI225" s="97" t="e">
        <f>'Actual Value'!AO331+"AM:!.@C"</f>
        <v>#VALUE!</v>
      </c>
      <c r="GJ225" t="e">
        <f>'Actual Value'!AP331+"AM:!.@D"</f>
        <v>#VALUE!</v>
      </c>
      <c r="GK225" t="e">
        <f>'Actual Value'!AQ331+"AM:!.@E"</f>
        <v>#VALUE!</v>
      </c>
      <c r="GL225" t="e">
        <f>'Actual Value'!AR331+"AM:!.@F"</f>
        <v>#VALUE!</v>
      </c>
      <c r="GM225" t="e">
        <f>'Actual Value'!AS331+"AM:!.@G"</f>
        <v>#VALUE!</v>
      </c>
      <c r="GN225" t="e">
        <f>'Actual Value'!AT331+"AM:!.@H"</f>
        <v>#VALUE!</v>
      </c>
      <c r="GO225" t="e">
        <f>'Actual Value'!AU331+"AM:!.@I"</f>
        <v>#VALUE!</v>
      </c>
      <c r="GP225" t="e">
        <f>'Actual Value'!AV331+"AM:!.@J"</f>
        <v>#VALUE!</v>
      </c>
      <c r="GQ225" t="e">
        <f>'Actual Value'!AW331+"AM:!.@K"</f>
        <v>#VALUE!</v>
      </c>
      <c r="GR225" t="e">
        <f>'Actual Value'!AX331+"AM:!.@L"</f>
        <v>#VALUE!</v>
      </c>
      <c r="GS225" t="e">
        <f>'Actual Value'!A332+"AM:!.@M"</f>
        <v>#VALUE!</v>
      </c>
      <c r="GT225" t="e">
        <f>'Actual Value'!B332+"AM:!.@N"</f>
        <v>#VALUE!</v>
      </c>
      <c r="GU225" t="e">
        <f>'Actual Value'!C332+"AM:!.@O"</f>
        <v>#VALUE!</v>
      </c>
      <c r="GV225" s="97" t="e">
        <f>'Actual Value'!D332+"AM:!.@P"</f>
        <v>#VALUE!</v>
      </c>
      <c r="GW225" s="97" t="e">
        <f>'Actual Value'!E332+"AM:!.@Q"</f>
        <v>#VALUE!</v>
      </c>
      <c r="GX225" s="97" t="e">
        <f>'Actual Value'!F332+"AM:!.@R"</f>
        <v>#VALUE!</v>
      </c>
      <c r="GY225" s="97" t="e">
        <f>'Actual Value'!G332+"AM:!.@S"</f>
        <v>#VALUE!</v>
      </c>
      <c r="GZ225" s="97" t="e">
        <f>'Actual Value'!H332+"AM:!.@T"</f>
        <v>#VALUE!</v>
      </c>
      <c r="HA225" s="97" t="e">
        <f>'Actual Value'!I332+"AM:!.@U"</f>
        <v>#VALUE!</v>
      </c>
      <c r="HB225" s="97" t="e">
        <f>'Actual Value'!J332+"AM:!.@V"</f>
        <v>#VALUE!</v>
      </c>
      <c r="HC225" s="97" t="e">
        <f>'Actual Value'!K332+"AM:!.@W"</f>
        <v>#VALUE!</v>
      </c>
      <c r="HD225" s="97" t="e">
        <f>'Actual Value'!L332+"AM:!.@X"</f>
        <v>#VALUE!</v>
      </c>
      <c r="HE225" s="97" t="e">
        <f>'Actual Value'!M332+"AM:!.@Y"</f>
        <v>#VALUE!</v>
      </c>
      <c r="HF225" s="97" t="e">
        <f>'Actual Value'!N332+"AM:!.@Z"</f>
        <v>#VALUE!</v>
      </c>
      <c r="HG225" s="97" t="e">
        <f>'Actual Value'!O332+"AM:!.@["</f>
        <v>#VALUE!</v>
      </c>
      <c r="HH225" s="97" t="e">
        <f>'Actual Value'!P332+"AM:!.@\"</f>
        <v>#VALUE!</v>
      </c>
      <c r="HI225" s="97" t="e">
        <f>'Actual Value'!Q332+"AM:!.@]"</f>
        <v>#VALUE!</v>
      </c>
      <c r="HJ225" s="97" t="e">
        <f>'Actual Value'!R332+"AM:!.@^"</f>
        <v>#VALUE!</v>
      </c>
      <c r="HK225" s="97" t="e">
        <f>'Actual Value'!S332+"AM:!.@_"</f>
        <v>#VALUE!</v>
      </c>
      <c r="HL225" s="97" t="e">
        <f>'Actual Value'!T332+"AM:!.@`"</f>
        <v>#VALUE!</v>
      </c>
      <c r="HM225" s="97" t="e">
        <f>'Actual Value'!U332+"AM:!.@a"</f>
        <v>#VALUE!</v>
      </c>
      <c r="HN225" s="97" t="e">
        <f>'Actual Value'!V332+"AM:!.@b"</f>
        <v>#VALUE!</v>
      </c>
      <c r="HO225" s="97" t="e">
        <f>'Actual Value'!W332+"AM:!.@c"</f>
        <v>#VALUE!</v>
      </c>
      <c r="HP225" s="97" t="e">
        <f>'Actual Value'!X332+"AM:!.@d"</f>
        <v>#VALUE!</v>
      </c>
      <c r="HQ225" s="97" t="e">
        <f>'Actual Value'!Y332+"AM:!.@e"</f>
        <v>#VALUE!</v>
      </c>
      <c r="HR225" s="97" t="e">
        <f>'Actual Value'!Z332+"AM:!.@f"</f>
        <v>#VALUE!</v>
      </c>
      <c r="HS225" s="97" t="e">
        <f>'Actual Value'!AA332+"AM:!.@g"</f>
        <v>#VALUE!</v>
      </c>
      <c r="HT225" s="97" t="e">
        <f>'Actual Value'!AB332+"AM:!.@h"</f>
        <v>#VALUE!</v>
      </c>
      <c r="HU225" s="97" t="e">
        <f>'Actual Value'!AC332+"AM:!.@i"</f>
        <v>#VALUE!</v>
      </c>
      <c r="HV225" s="97" t="e">
        <f>'Actual Value'!AD332+"AM:!.@j"</f>
        <v>#VALUE!</v>
      </c>
      <c r="HW225" s="97" t="e">
        <f>'Actual Value'!AE332+"AM:!.@k"</f>
        <v>#VALUE!</v>
      </c>
      <c r="HX225" s="97" t="e">
        <f>'Actual Value'!AF332+"AM:!.@l"</f>
        <v>#VALUE!</v>
      </c>
      <c r="HY225" s="97" t="e">
        <f>'Actual Value'!AG332+"AM:!.@m"</f>
        <v>#VALUE!</v>
      </c>
      <c r="HZ225" s="97" t="e">
        <f>'Actual Value'!AH332+"AM:!.@n"</f>
        <v>#VALUE!</v>
      </c>
      <c r="IA225" s="97" t="e">
        <f>'Actual Value'!AI332+"AM:!.@o"</f>
        <v>#VALUE!</v>
      </c>
      <c r="IB225" s="97" t="e">
        <f>'Actual Value'!AJ332+"AM:!.@p"</f>
        <v>#VALUE!</v>
      </c>
      <c r="IC225" s="97" t="e">
        <f>'Actual Value'!AK332+"AM:!.@q"</f>
        <v>#VALUE!</v>
      </c>
      <c r="ID225" s="97" t="e">
        <f>'Actual Value'!AL332+"AM:!.@r"</f>
        <v>#VALUE!</v>
      </c>
      <c r="IE225" s="97" t="e">
        <f>'Actual Value'!AM332+"AM:!.@s"</f>
        <v>#VALUE!</v>
      </c>
      <c r="IF225" s="97" t="e">
        <f>'Actual Value'!AN332+"AM:!.@t"</f>
        <v>#VALUE!</v>
      </c>
      <c r="IG225" s="97" t="e">
        <f>'Actual Value'!AO332+"AM:!.@u"</f>
        <v>#VALUE!</v>
      </c>
      <c r="IH225" t="e">
        <f>'Actual Value'!AP332+"AM:!.@v"</f>
        <v>#VALUE!</v>
      </c>
      <c r="II225" t="e">
        <f>'Actual Value'!AQ332+"AM:!.@w"</f>
        <v>#VALUE!</v>
      </c>
      <c r="IJ225" t="e">
        <f>'Actual Value'!AR332+"AM:!.@x"</f>
        <v>#VALUE!</v>
      </c>
      <c r="IK225" t="e">
        <f>'Actual Value'!AS332+"AM:!.@y"</f>
        <v>#VALUE!</v>
      </c>
      <c r="IL225" t="e">
        <f>'Actual Value'!AT332+"AM:!.@z"</f>
        <v>#VALUE!</v>
      </c>
      <c r="IM225" t="e">
        <f>'Actual Value'!AU332+"AM:!.@{"</f>
        <v>#VALUE!</v>
      </c>
      <c r="IN225" t="e">
        <f>'Actual Value'!AV332+"AM:!.@|"</f>
        <v>#VALUE!</v>
      </c>
      <c r="IO225" t="e">
        <f>'Actual Value'!AW332+"AM:!.@}"</f>
        <v>#VALUE!</v>
      </c>
      <c r="IP225" t="e">
        <f>'Actual Value'!AX332+"AM:!.@~"</f>
        <v>#VALUE!</v>
      </c>
      <c r="IQ225" t="e">
        <f>'Actual Value'!A333+"AM:!.A#"</f>
        <v>#VALUE!</v>
      </c>
      <c r="IR225" t="e">
        <f>'Actual Value'!B333+"AM:!.A$"</f>
        <v>#VALUE!</v>
      </c>
      <c r="IS225" t="e">
        <f>'Actual Value'!C333+"AM:!.A%"</f>
        <v>#VALUE!</v>
      </c>
      <c r="IT225" s="97" t="e">
        <f>'Actual Value'!D333+"AM:!.A&amp;"</f>
        <v>#VALUE!</v>
      </c>
      <c r="IU225" s="97" t="e">
        <f>'Actual Value'!E333+"AM:!.A'"</f>
        <v>#VALUE!</v>
      </c>
      <c r="IV225" s="97" t="e">
        <f>'Actual Value'!F333+"AM:!.A("</f>
        <v>#VALUE!</v>
      </c>
    </row>
    <row r="226" spans="6:256">
      <c r="F226" s="97" t="e">
        <f>'Actual Value'!G333+"AM:!.A)"</f>
        <v>#VALUE!</v>
      </c>
      <c r="G226" s="97" t="e">
        <f>'Actual Value'!H333+"AM:!.A."</f>
        <v>#VALUE!</v>
      </c>
      <c r="H226" s="97" t="e">
        <f>'Actual Value'!I333+"AM:!.A/"</f>
        <v>#VALUE!</v>
      </c>
      <c r="I226" s="97" t="e">
        <f>'Actual Value'!J333+"AM:!.A0"</f>
        <v>#VALUE!</v>
      </c>
      <c r="J226" s="97" t="e">
        <f>'Actual Value'!K333+"AM:!.A1"</f>
        <v>#VALUE!</v>
      </c>
      <c r="K226" s="97" t="e">
        <f>'Actual Value'!L333+"AM:!.A2"</f>
        <v>#VALUE!</v>
      </c>
      <c r="L226" s="97" t="e">
        <f>'Actual Value'!M333+"AM:!.A3"</f>
        <v>#VALUE!</v>
      </c>
      <c r="M226" s="97" t="e">
        <f>'Actual Value'!N333+"AM:!.A4"</f>
        <v>#VALUE!</v>
      </c>
      <c r="N226" s="97" t="e">
        <f>'Actual Value'!O333+"AM:!.A5"</f>
        <v>#VALUE!</v>
      </c>
      <c r="O226" s="97" t="e">
        <f>'Actual Value'!P333+"AM:!.A6"</f>
        <v>#VALUE!</v>
      </c>
      <c r="P226" s="97" t="e">
        <f>'Actual Value'!Q333+"AM:!.A7"</f>
        <v>#VALUE!</v>
      </c>
      <c r="Q226" s="97" t="e">
        <f>'Actual Value'!R333+"AM:!.A8"</f>
        <v>#VALUE!</v>
      </c>
      <c r="R226" s="97" t="e">
        <f>'Actual Value'!S333+"AM:!.A9"</f>
        <v>#VALUE!</v>
      </c>
      <c r="S226" s="97" t="e">
        <f>'Actual Value'!T333+"AM:!.A:"</f>
        <v>#VALUE!</v>
      </c>
      <c r="T226" s="97" t="e">
        <f>'Actual Value'!U333+"AM:!.A;"</f>
        <v>#VALUE!</v>
      </c>
      <c r="U226" s="97" t="e">
        <f>'Actual Value'!V333+"AM:!.A&lt;"</f>
        <v>#VALUE!</v>
      </c>
      <c r="V226" s="97" t="e">
        <f>'Actual Value'!W333+"AM:!.A="</f>
        <v>#VALUE!</v>
      </c>
      <c r="W226" s="97" t="e">
        <f>'Actual Value'!X333+"AM:!.A&gt;"</f>
        <v>#VALUE!</v>
      </c>
      <c r="X226" s="97" t="e">
        <f>'Actual Value'!Y333+"AM:!.A?"</f>
        <v>#VALUE!</v>
      </c>
      <c r="Y226" s="97" t="e">
        <f>'Actual Value'!Z333+"AM:!.A@"</f>
        <v>#VALUE!</v>
      </c>
      <c r="Z226" s="97" t="e">
        <f>'Actual Value'!AA333+"AM:!.AA"</f>
        <v>#VALUE!</v>
      </c>
      <c r="AA226" s="97" t="e">
        <f>'Actual Value'!AB333+"AM:!.AB"</f>
        <v>#VALUE!</v>
      </c>
      <c r="AB226" s="97" t="e">
        <f>'Actual Value'!AC333+"AM:!.AC"</f>
        <v>#VALUE!</v>
      </c>
      <c r="AC226" s="97" t="e">
        <f>'Actual Value'!AD333+"AM:!.AD"</f>
        <v>#VALUE!</v>
      </c>
      <c r="AD226" s="97" t="e">
        <f>'Actual Value'!AE333+"AM:!.AE"</f>
        <v>#VALUE!</v>
      </c>
      <c r="AE226" s="97" t="e">
        <f>'Actual Value'!AF333+"AM:!.AF"</f>
        <v>#VALUE!</v>
      </c>
      <c r="AF226" s="97" t="e">
        <f>'Actual Value'!AG333+"AM:!.AG"</f>
        <v>#VALUE!</v>
      </c>
      <c r="AG226" s="97" t="e">
        <f>'Actual Value'!AH333+"AM:!.AH"</f>
        <v>#VALUE!</v>
      </c>
      <c r="AH226" s="97" t="e">
        <f>'Actual Value'!AI333+"AM:!.AI"</f>
        <v>#VALUE!</v>
      </c>
      <c r="AI226" s="97" t="e">
        <f>'Actual Value'!AJ333+"AM:!.AJ"</f>
        <v>#VALUE!</v>
      </c>
      <c r="AJ226" s="97" t="e">
        <f>'Actual Value'!AK333+"AM:!.AK"</f>
        <v>#VALUE!</v>
      </c>
      <c r="AK226" s="97" t="e">
        <f>'Actual Value'!AL333+"AM:!.AL"</f>
        <v>#VALUE!</v>
      </c>
      <c r="AL226" s="97" t="e">
        <f>'Actual Value'!AM333+"AM:!.AM"</f>
        <v>#VALUE!</v>
      </c>
      <c r="AM226" s="97" t="e">
        <f>'Actual Value'!AN333+"AM:!.AN"</f>
        <v>#VALUE!</v>
      </c>
      <c r="AN226" s="97" t="e">
        <f>'Actual Value'!AO333+"AM:!.AO"</f>
        <v>#VALUE!</v>
      </c>
      <c r="AO226" t="e">
        <f>'Actual Value'!AP333+"AM:!.AP"</f>
        <v>#VALUE!</v>
      </c>
      <c r="AP226" t="e">
        <f>'Actual Value'!AQ333+"AM:!.AQ"</f>
        <v>#VALUE!</v>
      </c>
      <c r="AQ226" t="e">
        <f>'Actual Value'!AR333+"AM:!.AR"</f>
        <v>#VALUE!</v>
      </c>
      <c r="AR226" t="e">
        <f>'Actual Value'!AS333+"AM:!.AS"</f>
        <v>#VALUE!</v>
      </c>
      <c r="AS226" t="e">
        <f>'Actual Value'!AT333+"AM:!.AT"</f>
        <v>#VALUE!</v>
      </c>
      <c r="AT226" t="e">
        <f>'Actual Value'!AU333+"AM:!.AU"</f>
        <v>#VALUE!</v>
      </c>
      <c r="AU226" t="e">
        <f>'Actual Value'!AV333+"AM:!.AV"</f>
        <v>#VALUE!</v>
      </c>
      <c r="AV226" t="e">
        <f>'Actual Value'!AW333+"AM:!.AW"</f>
        <v>#VALUE!</v>
      </c>
      <c r="AW226" t="e">
        <f>'Actual Value'!AX333+"AM:!.AX"</f>
        <v>#VALUE!</v>
      </c>
      <c r="AX226" t="e">
        <f>'Actual Value'!A334+"AM:!.AY"</f>
        <v>#VALUE!</v>
      </c>
      <c r="AY226" t="e">
        <f>'Actual Value'!B334+"AM:!.AZ"</f>
        <v>#VALUE!</v>
      </c>
      <c r="AZ226" t="e">
        <f>'Actual Value'!C334+"AM:!.A["</f>
        <v>#VALUE!</v>
      </c>
      <c r="BA226" s="97" t="e">
        <f>'Actual Value'!D334+"AM:!.A\"</f>
        <v>#VALUE!</v>
      </c>
      <c r="BB226" s="97" t="e">
        <f>'Actual Value'!E334+"AM:!.A]"</f>
        <v>#VALUE!</v>
      </c>
      <c r="BC226" s="97" t="e">
        <f>'Actual Value'!F334+"AM:!.A^"</f>
        <v>#VALUE!</v>
      </c>
      <c r="BD226" s="97" t="e">
        <f>'Actual Value'!G334+"AM:!.A_"</f>
        <v>#VALUE!</v>
      </c>
      <c r="BE226" s="97" t="e">
        <f>'Actual Value'!H334+"AM:!.A`"</f>
        <v>#VALUE!</v>
      </c>
      <c r="BF226" s="97" t="e">
        <f>'Actual Value'!I334+"AM:!.Aa"</f>
        <v>#VALUE!</v>
      </c>
      <c r="BG226" s="97" t="e">
        <f>'Actual Value'!J334+"AM:!.Ab"</f>
        <v>#VALUE!</v>
      </c>
      <c r="BH226" s="97" t="e">
        <f>'Actual Value'!K334+"AM:!.Ac"</f>
        <v>#VALUE!</v>
      </c>
      <c r="BI226" s="97" t="e">
        <f>'Actual Value'!L334+"AM:!.Ad"</f>
        <v>#VALUE!</v>
      </c>
      <c r="BJ226" s="97" t="e">
        <f>'Actual Value'!M334+"AM:!.Ae"</f>
        <v>#VALUE!</v>
      </c>
      <c r="BK226" s="97" t="e">
        <f>'Actual Value'!N334+"AM:!.Af"</f>
        <v>#VALUE!</v>
      </c>
      <c r="BL226" s="97" t="e">
        <f>'Actual Value'!O334+"AM:!.Ag"</f>
        <v>#VALUE!</v>
      </c>
      <c r="BM226" s="97" t="e">
        <f>'Actual Value'!P334+"AM:!.Ah"</f>
        <v>#VALUE!</v>
      </c>
      <c r="BN226" s="97" t="e">
        <f>'Actual Value'!Q334+"AM:!.Ai"</f>
        <v>#VALUE!</v>
      </c>
      <c r="BO226" s="97" t="e">
        <f>'Actual Value'!R334+"AM:!.Aj"</f>
        <v>#VALUE!</v>
      </c>
      <c r="BP226" s="97" t="e">
        <f>'Actual Value'!S334+"AM:!.Ak"</f>
        <v>#VALUE!</v>
      </c>
      <c r="BQ226" s="97" t="e">
        <f>'Actual Value'!T334+"AM:!.Al"</f>
        <v>#VALUE!</v>
      </c>
      <c r="BR226" s="97" t="e">
        <f>'Actual Value'!U334+"AM:!.Am"</f>
        <v>#VALUE!</v>
      </c>
      <c r="BS226" s="97" t="e">
        <f>'Actual Value'!V334+"AM:!.An"</f>
        <v>#VALUE!</v>
      </c>
      <c r="BT226" s="97" t="e">
        <f>'Actual Value'!W334+"AM:!.Ao"</f>
        <v>#VALUE!</v>
      </c>
      <c r="BU226" s="97" t="e">
        <f>'Actual Value'!X334+"AM:!.Ap"</f>
        <v>#VALUE!</v>
      </c>
      <c r="BV226" s="97" t="e">
        <f>'Actual Value'!Y334+"AM:!.Aq"</f>
        <v>#VALUE!</v>
      </c>
      <c r="BW226" s="97" t="e">
        <f>'Actual Value'!Z334+"AM:!.Ar"</f>
        <v>#VALUE!</v>
      </c>
      <c r="BX226" s="97" t="e">
        <f>'Actual Value'!AA334+"AM:!.As"</f>
        <v>#VALUE!</v>
      </c>
      <c r="BY226" s="97" t="e">
        <f>'Actual Value'!AB334+"AM:!.At"</f>
        <v>#VALUE!</v>
      </c>
      <c r="BZ226" s="97" t="e">
        <f>'Actual Value'!AC334+"AM:!.Au"</f>
        <v>#VALUE!</v>
      </c>
      <c r="CA226" s="97" t="e">
        <f>'Actual Value'!AD334+"AM:!.Av"</f>
        <v>#VALUE!</v>
      </c>
      <c r="CB226" s="97" t="e">
        <f>'Actual Value'!AE334+"AM:!.Aw"</f>
        <v>#VALUE!</v>
      </c>
      <c r="CC226" s="97" t="e">
        <f>'Actual Value'!AF334+"AM:!.Ax"</f>
        <v>#VALUE!</v>
      </c>
      <c r="CD226" s="97" t="e">
        <f>'Actual Value'!AG334+"AM:!.Ay"</f>
        <v>#VALUE!</v>
      </c>
      <c r="CE226" s="97" t="e">
        <f>'Actual Value'!AH334+"AM:!.Az"</f>
        <v>#VALUE!</v>
      </c>
      <c r="CF226" s="97" t="e">
        <f>'Actual Value'!AI334+"AM:!.A{"</f>
        <v>#VALUE!</v>
      </c>
      <c r="CG226" s="97" t="e">
        <f>'Actual Value'!AJ334+"AM:!.A|"</f>
        <v>#VALUE!</v>
      </c>
      <c r="CH226" s="97" t="e">
        <f>'Actual Value'!AK334+"AM:!.A}"</f>
        <v>#VALUE!</v>
      </c>
      <c r="CI226" s="97" t="e">
        <f>'Actual Value'!AL334+"AM:!.A~"</f>
        <v>#VALUE!</v>
      </c>
      <c r="CJ226" s="97" t="e">
        <f>'Actual Value'!AM334+"AM:!.B#"</f>
        <v>#VALUE!</v>
      </c>
      <c r="CK226" s="97" t="e">
        <f>'Actual Value'!AN334+"AM:!.B$"</f>
        <v>#VALUE!</v>
      </c>
      <c r="CL226" s="97" t="e">
        <f>'Actual Value'!AO334+"AM:!.B%"</f>
        <v>#VALUE!</v>
      </c>
      <c r="CM226" t="e">
        <f>'Actual Value'!AP334+"AM:!.B&amp;"</f>
        <v>#VALUE!</v>
      </c>
      <c r="CN226" t="e">
        <f>'Actual Value'!AQ334+"AM:!.B'"</f>
        <v>#VALUE!</v>
      </c>
      <c r="CO226" t="e">
        <f>'Actual Value'!AR334+"AM:!.B("</f>
        <v>#VALUE!</v>
      </c>
      <c r="CP226" t="e">
        <f>'Actual Value'!AS334+"AM:!.B)"</f>
        <v>#VALUE!</v>
      </c>
      <c r="CQ226" t="e">
        <f>'Actual Value'!AT334+"AM:!.B."</f>
        <v>#VALUE!</v>
      </c>
      <c r="CR226" t="e">
        <f>'Actual Value'!AU334+"AM:!.B/"</f>
        <v>#VALUE!</v>
      </c>
      <c r="CS226" t="e">
        <f>'Actual Value'!AV334+"AM:!.B0"</f>
        <v>#VALUE!</v>
      </c>
      <c r="CT226" t="e">
        <f>'Actual Value'!AW334+"AM:!.B1"</f>
        <v>#VALUE!</v>
      </c>
      <c r="CU226" t="e">
        <f>'Actual Value'!AX334+"AM:!.B2"</f>
        <v>#VALUE!</v>
      </c>
      <c r="CV226" t="e">
        <f>'Actual Value'!A335+"AM:!.B3"</f>
        <v>#VALUE!</v>
      </c>
      <c r="CW226" t="e">
        <f>'Actual Value'!B335+"AM:!.B4"</f>
        <v>#VALUE!</v>
      </c>
      <c r="CX226" t="e">
        <f>'Actual Value'!C335+"AM:!.B5"</f>
        <v>#VALUE!</v>
      </c>
      <c r="CY226" t="e">
        <f>'Actual Value'!D335+"AM:!.B6"</f>
        <v>#VALUE!</v>
      </c>
      <c r="CZ226" t="e">
        <f>'Actual Value'!E335+"AM:!.B7"</f>
        <v>#VALUE!</v>
      </c>
      <c r="DA226" t="e">
        <f>'Actual Value'!F335+"AM:!.B8"</f>
        <v>#VALUE!</v>
      </c>
      <c r="DB226" t="e">
        <f>'Actual Value'!G335+"AM:!.B9"</f>
        <v>#VALUE!</v>
      </c>
      <c r="DC226" t="e">
        <f>'Actual Value'!H335+"AM:!.B:"</f>
        <v>#VALUE!</v>
      </c>
      <c r="DD226" t="e">
        <f>'Actual Value'!I335+"AM:!.B;"</f>
        <v>#VALUE!</v>
      </c>
      <c r="DE226" t="e">
        <f>'Actual Value'!J335+"AM:!.B&lt;"</f>
        <v>#VALUE!</v>
      </c>
      <c r="DF226" t="e">
        <f>'Actual Value'!K335+"AM:!.B="</f>
        <v>#VALUE!</v>
      </c>
      <c r="DG226" t="e">
        <f>'Actual Value'!L335+"AM:!.B&gt;"</f>
        <v>#VALUE!</v>
      </c>
      <c r="DH226" t="e">
        <f>'Actual Value'!M335+"AM:!.B?"</f>
        <v>#VALUE!</v>
      </c>
      <c r="DI226" t="e">
        <f>'Actual Value'!N335+"AM:!.B@"</f>
        <v>#VALUE!</v>
      </c>
      <c r="DJ226" t="e">
        <f>'Actual Value'!O335+"AM:!.BA"</f>
        <v>#VALUE!</v>
      </c>
      <c r="DK226" t="e">
        <f>'Actual Value'!P335+"AM:!.BB"</f>
        <v>#VALUE!</v>
      </c>
      <c r="DL226" t="e">
        <f>'Actual Value'!Q335+"AM:!.BC"</f>
        <v>#VALUE!</v>
      </c>
      <c r="DM226" t="e">
        <f>'Actual Value'!R335+"AM:!.BD"</f>
        <v>#VALUE!</v>
      </c>
      <c r="DN226" t="e">
        <f>'Actual Value'!S335+"AM:!.BE"</f>
        <v>#VALUE!</v>
      </c>
      <c r="DO226" t="e">
        <f>'Actual Value'!T335+"AM:!.BF"</f>
        <v>#VALUE!</v>
      </c>
      <c r="DP226" t="e">
        <f>'Actual Value'!U335+"AM:!.BG"</f>
        <v>#VALUE!</v>
      </c>
      <c r="DQ226" t="e">
        <f>'Actual Value'!V335+"AM:!.BH"</f>
        <v>#VALUE!</v>
      </c>
      <c r="DR226" t="e">
        <f>'Actual Value'!W335+"AM:!.BI"</f>
        <v>#VALUE!</v>
      </c>
      <c r="DS226" t="e">
        <f>'Actual Value'!X335+"AM:!.BJ"</f>
        <v>#VALUE!</v>
      </c>
      <c r="DT226" t="e">
        <f>'Actual Value'!Y335+"AM:!.BK"</f>
        <v>#VALUE!</v>
      </c>
      <c r="DU226" t="e">
        <f>'Actual Value'!Z335+"AM:!.BL"</f>
        <v>#VALUE!</v>
      </c>
      <c r="DV226" t="e">
        <f>'Actual Value'!AA335+"AM:!.BM"</f>
        <v>#VALUE!</v>
      </c>
      <c r="DW226" t="e">
        <f>'Actual Value'!AB335+"AM:!.BN"</f>
        <v>#VALUE!</v>
      </c>
      <c r="DX226" t="e">
        <f>'Actual Value'!AC335+"AM:!.BO"</f>
        <v>#VALUE!</v>
      </c>
      <c r="DY226" t="e">
        <f>'Actual Value'!AD335+"AM:!.BP"</f>
        <v>#VALUE!</v>
      </c>
      <c r="DZ226" t="e">
        <f>'Actual Value'!AE335+"AM:!.BQ"</f>
        <v>#VALUE!</v>
      </c>
      <c r="EA226" t="e">
        <f>'Actual Value'!AF335+"AM:!.BR"</f>
        <v>#VALUE!</v>
      </c>
      <c r="EB226" t="e">
        <f>'Actual Value'!AG335+"AM:!.BS"</f>
        <v>#VALUE!</v>
      </c>
      <c r="EC226" t="e">
        <f>'Actual Value'!AH335+"AM:!.BT"</f>
        <v>#VALUE!</v>
      </c>
      <c r="ED226" t="e">
        <f>'Actual Value'!AI335+"AM:!.BU"</f>
        <v>#VALUE!</v>
      </c>
      <c r="EE226" t="e">
        <f>'Actual Value'!AJ335+"AM:!.BV"</f>
        <v>#VALUE!</v>
      </c>
      <c r="EF226" t="e">
        <f>'Actual Value'!AK335+"AM:!.BW"</f>
        <v>#VALUE!</v>
      </c>
      <c r="EG226" t="e">
        <f>'Actual Value'!AL335+"AM:!.BX"</f>
        <v>#VALUE!</v>
      </c>
      <c r="EH226" t="e">
        <f>'Actual Value'!AM335+"AM:!.BY"</f>
        <v>#VALUE!</v>
      </c>
      <c r="EI226" t="e">
        <f>'Actual Value'!AN335+"AM:!.BZ"</f>
        <v>#VALUE!</v>
      </c>
      <c r="EJ226" t="e">
        <f>'Actual Value'!AO335+"AM:!.B["</f>
        <v>#VALUE!</v>
      </c>
      <c r="EK226" t="e">
        <f>'Actual Value'!AP335+"AM:!.B\"</f>
        <v>#VALUE!</v>
      </c>
      <c r="EL226" t="e">
        <f>'Actual Value'!AQ335+"AM:!.B]"</f>
        <v>#VALUE!</v>
      </c>
      <c r="EM226" t="e">
        <f>'Actual Value'!AR335+"AM:!.B^"</f>
        <v>#VALUE!</v>
      </c>
      <c r="EN226" t="e">
        <f>'Actual Value'!AS335+"AM:!.B_"</f>
        <v>#VALUE!</v>
      </c>
      <c r="EO226" t="e">
        <f>'Actual Value'!AT335+"AM:!.B`"</f>
        <v>#VALUE!</v>
      </c>
      <c r="EP226" t="e">
        <f>'Actual Value'!AU335+"AM:!.Ba"</f>
        <v>#VALUE!</v>
      </c>
      <c r="EQ226" t="e">
        <f>'Actual Value'!AV335+"AM:!.Bb"</f>
        <v>#VALUE!</v>
      </c>
      <c r="ER226" t="e">
        <f>'Actual Value'!AW335+"AM:!.Bc"</f>
        <v>#VALUE!</v>
      </c>
      <c r="ES226" t="e">
        <f>'Actual Value'!A336+"AM:!.Bd"</f>
        <v>#VALUE!</v>
      </c>
      <c r="ET226" t="e">
        <f>'Actual Value'!B336+"AM:!.Be"</f>
        <v>#VALUE!</v>
      </c>
      <c r="EU226" t="e">
        <f>'Actual Value'!C336+"AM:!.Bf"</f>
        <v>#VALUE!</v>
      </c>
      <c r="EV226" s="105" t="e">
        <f>'Actual Value'!D336+"AM:!.Bg"</f>
        <v>#VALUE!</v>
      </c>
      <c r="EW226" s="105" t="e">
        <f>'Actual Value'!E336+"AM:!.Bh"</f>
        <v>#VALUE!</v>
      </c>
      <c r="EX226" s="105" t="e">
        <f>'Actual Value'!F336+"AM:!.Bi"</f>
        <v>#VALUE!</v>
      </c>
      <c r="EY226" s="105" t="e">
        <f>'Actual Value'!G336+"AM:!.Bj"</f>
        <v>#VALUE!</v>
      </c>
      <c r="EZ226" s="105" t="e">
        <f>'Actual Value'!H336+"AM:!.Bk"</f>
        <v>#VALUE!</v>
      </c>
      <c r="FA226" s="105" t="e">
        <f>'Actual Value'!I336+"AM:!.Bl"</f>
        <v>#VALUE!</v>
      </c>
      <c r="FB226" s="105" t="e">
        <f>'Actual Value'!J336+"AM:!.Bm"</f>
        <v>#VALUE!</v>
      </c>
      <c r="FC226" s="105" t="e">
        <f>'Actual Value'!K336+"AM:!.Bn"</f>
        <v>#VALUE!</v>
      </c>
      <c r="FD226" s="105" t="e">
        <f>'Actual Value'!L336+"AM:!.Bo"</f>
        <v>#VALUE!</v>
      </c>
      <c r="FE226" s="105" t="e">
        <f>'Actual Value'!M336+"AM:!.Bp"</f>
        <v>#VALUE!</v>
      </c>
      <c r="FF226" s="105" t="e">
        <f>'Actual Value'!N336+"AM:!.Bq"</f>
        <v>#VALUE!</v>
      </c>
      <c r="FG226" s="105" t="e">
        <f>'Actual Value'!O336+"AM:!.Br"</f>
        <v>#VALUE!</v>
      </c>
      <c r="FH226" s="105" t="e">
        <f>'Actual Value'!P336+"AM:!.Bs"</f>
        <v>#VALUE!</v>
      </c>
      <c r="FI226" s="105" t="e">
        <f>'Actual Value'!Q336+"AM:!.Bt"</f>
        <v>#VALUE!</v>
      </c>
      <c r="FJ226" s="105" t="e">
        <f>'Actual Value'!R336+"AM:!.Bu"</f>
        <v>#VALUE!</v>
      </c>
      <c r="FK226" s="105" t="e">
        <f>'Actual Value'!S336+"AM:!.Bv"</f>
        <v>#VALUE!</v>
      </c>
      <c r="FL226" s="105" t="e">
        <f>'Actual Value'!T336+"AM:!.Bw"</f>
        <v>#VALUE!</v>
      </c>
      <c r="FM226" s="105" t="e">
        <f>'Actual Value'!U336+"AM:!.Bx"</f>
        <v>#VALUE!</v>
      </c>
      <c r="FN226" s="105" t="e">
        <f>'Actual Value'!V336+"AM:!.By"</f>
        <v>#VALUE!</v>
      </c>
      <c r="FO226" s="105" t="e">
        <f>'Actual Value'!W336+"AM:!.Bz"</f>
        <v>#VALUE!</v>
      </c>
      <c r="FP226" s="105" t="e">
        <f>'Actual Value'!X336+"AM:!.B{"</f>
        <v>#VALUE!</v>
      </c>
      <c r="FQ226" s="105" t="e">
        <f>'Actual Value'!Y336+"AM:!.B|"</f>
        <v>#VALUE!</v>
      </c>
      <c r="FR226" s="105" t="e">
        <f>'Actual Value'!Z336+"AM:!.B}"</f>
        <v>#VALUE!</v>
      </c>
      <c r="FS226" s="105" t="e">
        <f>'Actual Value'!AA336+"AM:!.B~"</f>
        <v>#VALUE!</v>
      </c>
      <c r="FT226" s="105" t="e">
        <f>'Actual Value'!AB336+"AM:!.C#"</f>
        <v>#VALUE!</v>
      </c>
      <c r="FU226" s="105" t="e">
        <f>'Actual Value'!AC336+"AM:!.C$"</f>
        <v>#VALUE!</v>
      </c>
      <c r="FV226" s="105" t="e">
        <f>'Actual Value'!AD336+"AM:!.C%"</f>
        <v>#VALUE!</v>
      </c>
      <c r="FW226" s="105" t="e">
        <f>'Actual Value'!AE336+"AM:!.C&amp;"</f>
        <v>#VALUE!</v>
      </c>
      <c r="FX226" s="105" t="e">
        <f>'Actual Value'!AF336+"AM:!.C'"</f>
        <v>#VALUE!</v>
      </c>
      <c r="FY226" s="105" t="e">
        <f>'Actual Value'!AG336+"AM:!.C("</f>
        <v>#VALUE!</v>
      </c>
      <c r="FZ226" s="105" t="e">
        <f>'Actual Value'!AH336+"AM:!.C)"</f>
        <v>#VALUE!</v>
      </c>
      <c r="GA226" s="105" t="e">
        <f>'Actual Value'!AI336+"AM:!.C."</f>
        <v>#VALUE!</v>
      </c>
      <c r="GB226" s="105" t="e">
        <f>'Actual Value'!AJ336+"AM:!.C/"</f>
        <v>#VALUE!</v>
      </c>
      <c r="GC226" s="105" t="e">
        <f>'Actual Value'!AK336+"AM:!.C0"</f>
        <v>#VALUE!</v>
      </c>
      <c r="GD226" s="105" t="e">
        <f>'Actual Value'!AL336+"AM:!.C1"</f>
        <v>#VALUE!</v>
      </c>
      <c r="GE226" s="105" t="e">
        <f>'Actual Value'!AM336+"AM:!.C2"</f>
        <v>#VALUE!</v>
      </c>
      <c r="GF226" s="105" t="e">
        <f>'Actual Value'!AN336+"AM:!.C3"</f>
        <v>#VALUE!</v>
      </c>
      <c r="GG226" s="105" t="e">
        <f>'Actual Value'!AO336+"AM:!.C4"</f>
        <v>#VALUE!</v>
      </c>
      <c r="GH226" t="e">
        <f>'Actual Value'!AP336+"AM:!.C5"</f>
        <v>#VALUE!</v>
      </c>
      <c r="GI226" s="100" t="e">
        <f>'Actual Value'!AQ336+"AM:!.C6"</f>
        <v>#VALUE!</v>
      </c>
      <c r="GJ226" s="100" t="e">
        <f>'Actual Value'!AR336+"AM:!.C7"</f>
        <v>#VALUE!</v>
      </c>
      <c r="GK226" s="100" t="e">
        <f>'Actual Value'!AS336+"AM:!.C8"</f>
        <v>#VALUE!</v>
      </c>
      <c r="GL226" s="100" t="e">
        <f>'Actual Value'!AT336+"AM:!.C9"</f>
        <v>#VALUE!</v>
      </c>
      <c r="GM226" s="100" t="e">
        <f>'Actual Value'!AU336+"AM:!.C:"</f>
        <v>#VALUE!</v>
      </c>
      <c r="GN226" t="e">
        <f>'Actual Value'!AV336+"AM:!.C;"</f>
        <v>#VALUE!</v>
      </c>
      <c r="GO226" t="e">
        <f>'Actual Value'!AW336+"AM:!.C&lt;"</f>
        <v>#VALUE!</v>
      </c>
      <c r="GP226" t="e">
        <f>'Actual Value'!A337+"AM:!.C="</f>
        <v>#VALUE!</v>
      </c>
      <c r="GQ226" t="e">
        <f>'Actual Value'!B337+"AM:!.C&gt;"</f>
        <v>#VALUE!</v>
      </c>
      <c r="GR226" t="e">
        <f>'Actual Value'!C337+"AM:!.C?"</f>
        <v>#VALUE!</v>
      </c>
      <c r="GS226" s="97" t="e">
        <f>'Actual Value'!D337+"AM:!.C@"</f>
        <v>#VALUE!</v>
      </c>
      <c r="GT226" s="97" t="e">
        <f>'Actual Value'!E337+"AM:!.CA"</f>
        <v>#VALUE!</v>
      </c>
      <c r="GU226" s="97" t="e">
        <f>'Actual Value'!F337+"AM:!.CB"</f>
        <v>#VALUE!</v>
      </c>
      <c r="GV226" s="97" t="e">
        <f>'Actual Value'!G337+"AM:!.CC"</f>
        <v>#VALUE!</v>
      </c>
      <c r="GW226" s="97" t="e">
        <f>'Actual Value'!H337+"AM:!.CD"</f>
        <v>#VALUE!</v>
      </c>
      <c r="GX226" s="97" t="e">
        <f>'Actual Value'!I337+"AM:!.CE"</f>
        <v>#VALUE!</v>
      </c>
      <c r="GY226" s="97" t="e">
        <f>'Actual Value'!J337+"AM:!.CF"</f>
        <v>#VALUE!</v>
      </c>
      <c r="GZ226" s="97" t="e">
        <f>'Actual Value'!K337+"AM:!.CG"</f>
        <v>#VALUE!</v>
      </c>
      <c r="HA226" s="97" t="e">
        <f>'Actual Value'!L337+"AM:!.CH"</f>
        <v>#VALUE!</v>
      </c>
      <c r="HB226" s="97" t="e">
        <f>'Actual Value'!M337+"AM:!.CI"</f>
        <v>#VALUE!</v>
      </c>
      <c r="HC226" s="97" t="e">
        <f>'Actual Value'!N337+"AM:!.CJ"</f>
        <v>#VALUE!</v>
      </c>
      <c r="HD226" s="97" t="e">
        <f>'Actual Value'!O337+"AM:!.CK"</f>
        <v>#VALUE!</v>
      </c>
      <c r="HE226" s="97" t="e">
        <f>'Actual Value'!P337+"AM:!.CL"</f>
        <v>#VALUE!</v>
      </c>
      <c r="HF226" s="97" t="e">
        <f>'Actual Value'!Q337+"AM:!.CM"</f>
        <v>#VALUE!</v>
      </c>
      <c r="HG226" s="97" t="e">
        <f>'Actual Value'!R337+"AM:!.CN"</f>
        <v>#VALUE!</v>
      </c>
      <c r="HH226" s="97" t="e">
        <f>'Actual Value'!S337+"AM:!.CO"</f>
        <v>#VALUE!</v>
      </c>
      <c r="HI226" s="97" t="e">
        <f>'Actual Value'!T337+"AM:!.CP"</f>
        <v>#VALUE!</v>
      </c>
      <c r="HJ226" s="97" t="e">
        <f>'Actual Value'!U337+"AM:!.CQ"</f>
        <v>#VALUE!</v>
      </c>
      <c r="HK226" s="97" t="e">
        <f>'Actual Value'!V337+"AM:!.CR"</f>
        <v>#VALUE!</v>
      </c>
      <c r="HL226" s="97" t="e">
        <f>'Actual Value'!W337+"AM:!.CS"</f>
        <v>#VALUE!</v>
      </c>
      <c r="HM226" s="97" t="e">
        <f>'Actual Value'!X337+"AM:!.CT"</f>
        <v>#VALUE!</v>
      </c>
      <c r="HN226" s="97" t="e">
        <f>'Actual Value'!Y337+"AM:!.CU"</f>
        <v>#VALUE!</v>
      </c>
      <c r="HO226" s="97" t="e">
        <f>'Actual Value'!Z337+"AM:!.CV"</f>
        <v>#VALUE!</v>
      </c>
      <c r="HP226" s="97" t="e">
        <f>'Actual Value'!AA337+"AM:!.CW"</f>
        <v>#VALUE!</v>
      </c>
      <c r="HQ226" s="97" t="e">
        <f>'Actual Value'!AB337+"AM:!.CX"</f>
        <v>#VALUE!</v>
      </c>
      <c r="HR226" s="97" t="e">
        <f>'Actual Value'!AC337+"AM:!.CY"</f>
        <v>#VALUE!</v>
      </c>
      <c r="HS226" s="97" t="e">
        <f>'Actual Value'!AD337+"AM:!.CZ"</f>
        <v>#VALUE!</v>
      </c>
      <c r="HT226" s="97" t="e">
        <f>'Actual Value'!AE337+"AM:!.C["</f>
        <v>#VALUE!</v>
      </c>
      <c r="HU226" s="97" t="e">
        <f>'Actual Value'!AF337+"AM:!.C\"</f>
        <v>#VALUE!</v>
      </c>
      <c r="HV226" s="97" t="e">
        <f>'Actual Value'!AG337+"AM:!.C]"</f>
        <v>#VALUE!</v>
      </c>
      <c r="HW226" s="97" t="e">
        <f>'Actual Value'!AH337+"AM:!.C^"</f>
        <v>#VALUE!</v>
      </c>
      <c r="HX226" s="97" t="e">
        <f>'Actual Value'!AI337+"AM:!.C_"</f>
        <v>#VALUE!</v>
      </c>
      <c r="HY226" s="97" t="e">
        <f>'Actual Value'!AJ337+"AM:!.C`"</f>
        <v>#VALUE!</v>
      </c>
      <c r="HZ226" s="97" t="e">
        <f>'Actual Value'!AK337+"AM:!.Ca"</f>
        <v>#VALUE!</v>
      </c>
      <c r="IA226" s="97" t="e">
        <f>'Actual Value'!AL337+"AM:!.Cb"</f>
        <v>#VALUE!</v>
      </c>
      <c r="IB226" s="97" t="e">
        <f>'Actual Value'!AM337+"AM:!.Cc"</f>
        <v>#VALUE!</v>
      </c>
      <c r="IC226" s="97" t="e">
        <f>'Actual Value'!AN337+"AM:!.Cd"</f>
        <v>#VALUE!</v>
      </c>
      <c r="ID226" s="97" t="e">
        <f>'Actual Value'!AO337+"AM:!.Ce"</f>
        <v>#VALUE!</v>
      </c>
      <c r="IE226" t="e">
        <f>'Actual Value'!AP337+"AM:!.Cf"</f>
        <v>#VALUE!</v>
      </c>
      <c r="IF226" t="e">
        <f>'Actual Value'!AQ337+"AM:!.Cg"</f>
        <v>#VALUE!</v>
      </c>
      <c r="IG226" t="e">
        <f>'Actual Value'!AR337+"AM:!.Ch"</f>
        <v>#VALUE!</v>
      </c>
      <c r="IH226" s="97" t="e">
        <f>'Actual Value'!AS337+"AM:!.Ci"</f>
        <v>#VALUE!</v>
      </c>
      <c r="II226" t="e">
        <f>'Actual Value'!AT337+"AM:!.Cj"</f>
        <v>#VALUE!</v>
      </c>
      <c r="IJ226" t="e">
        <f>'Actual Value'!AU337+"AM:!.Ck"</f>
        <v>#VALUE!</v>
      </c>
      <c r="IK226" t="e">
        <f>'Actual Value'!AV337+"AM:!.Cl"</f>
        <v>#VALUE!</v>
      </c>
      <c r="IL226" t="e">
        <f>'Actual Value'!AW337+"AM:!.Cm"</f>
        <v>#VALUE!</v>
      </c>
      <c r="IM226" t="e">
        <f>'Actual Value'!A338+"AM:!.Cn"</f>
        <v>#VALUE!</v>
      </c>
      <c r="IN226" t="e">
        <f>'Actual Value'!B338+"AM:!.Co"</f>
        <v>#VALUE!</v>
      </c>
      <c r="IO226" t="e">
        <f>'Actual Value'!C338+"AM:!.Cp"</f>
        <v>#VALUE!</v>
      </c>
      <c r="IP226" s="97" t="e">
        <f>'Actual Value'!D338+"AM:!.Cq"</f>
        <v>#VALUE!</v>
      </c>
      <c r="IQ226" s="97" t="e">
        <f>'Actual Value'!E338+"AM:!.Cr"</f>
        <v>#VALUE!</v>
      </c>
      <c r="IR226" s="97" t="e">
        <f>'Actual Value'!F338+"AM:!.Cs"</f>
        <v>#VALUE!</v>
      </c>
      <c r="IS226" s="97" t="e">
        <f>'Actual Value'!G338+"AM:!.Ct"</f>
        <v>#VALUE!</v>
      </c>
      <c r="IT226" s="97" t="e">
        <f>'Actual Value'!H338+"AM:!.Cu"</f>
        <v>#VALUE!</v>
      </c>
      <c r="IU226" s="97" t="e">
        <f>'Actual Value'!I338+"AM:!.Cv"</f>
        <v>#VALUE!</v>
      </c>
      <c r="IV226" s="97" t="e">
        <f>'Actual Value'!J338+"AM:!.Cw"</f>
        <v>#VALUE!</v>
      </c>
    </row>
    <row r="227" spans="6:256">
      <c r="F227" s="97" t="e">
        <f>'Actual Value'!K338+"AM:!.Cx"</f>
        <v>#VALUE!</v>
      </c>
      <c r="G227" s="97" t="e">
        <f>'Actual Value'!L338+"AM:!.Cy"</f>
        <v>#VALUE!</v>
      </c>
      <c r="H227" s="97" t="e">
        <f>'Actual Value'!M338+"AM:!.Cz"</f>
        <v>#VALUE!</v>
      </c>
      <c r="I227" s="97" t="e">
        <f>'Actual Value'!N338+"AM:!.C{"</f>
        <v>#VALUE!</v>
      </c>
      <c r="J227" s="97" t="e">
        <f>'Actual Value'!O338+"AM:!.C|"</f>
        <v>#VALUE!</v>
      </c>
      <c r="K227" s="97" t="e">
        <f>'Actual Value'!P338+"AM:!.C}"</f>
        <v>#VALUE!</v>
      </c>
      <c r="L227" s="97" t="e">
        <f>'Actual Value'!Q338+"AM:!.C~"</f>
        <v>#VALUE!</v>
      </c>
      <c r="M227" s="97" t="e">
        <f>'Actual Value'!R338+"AM:!.D#"</f>
        <v>#VALUE!</v>
      </c>
      <c r="N227" s="97" t="e">
        <f>'Actual Value'!S338+"AM:!.D$"</f>
        <v>#VALUE!</v>
      </c>
      <c r="O227" s="97" t="e">
        <f>'Actual Value'!T338+"AM:!.D%"</f>
        <v>#VALUE!</v>
      </c>
      <c r="P227" s="97" t="e">
        <f>'Actual Value'!U338+"AM:!.D&amp;"</f>
        <v>#VALUE!</v>
      </c>
      <c r="Q227" s="97" t="e">
        <f>'Actual Value'!V338+"AM:!.D'"</f>
        <v>#VALUE!</v>
      </c>
      <c r="R227" s="97" t="e">
        <f>'Actual Value'!W338+"AM:!.D("</f>
        <v>#VALUE!</v>
      </c>
      <c r="S227" s="97" t="e">
        <f>'Actual Value'!X338+"AM:!.D)"</f>
        <v>#VALUE!</v>
      </c>
      <c r="T227" s="97" t="e">
        <f>'Actual Value'!Y338+"AM:!.D."</f>
        <v>#VALUE!</v>
      </c>
      <c r="U227" s="97" t="e">
        <f>'Actual Value'!Z338+"AM:!.D/"</f>
        <v>#VALUE!</v>
      </c>
      <c r="V227" s="97" t="e">
        <f>'Actual Value'!AA338+"AM:!.D0"</f>
        <v>#VALUE!</v>
      </c>
      <c r="W227" s="97" t="e">
        <f>'Actual Value'!AB338+"AM:!.D1"</f>
        <v>#VALUE!</v>
      </c>
      <c r="X227" s="97" t="e">
        <f>'Actual Value'!AC338+"AM:!.D2"</f>
        <v>#VALUE!</v>
      </c>
      <c r="Y227" s="97" t="e">
        <f>'Actual Value'!AD338+"AM:!.D3"</f>
        <v>#VALUE!</v>
      </c>
      <c r="Z227" s="97" t="e">
        <f>'Actual Value'!AE338+"AM:!.D4"</f>
        <v>#VALUE!</v>
      </c>
      <c r="AA227" s="97" t="e">
        <f>'Actual Value'!AF338+"AM:!.D5"</f>
        <v>#VALUE!</v>
      </c>
      <c r="AB227" s="97" t="e">
        <f>'Actual Value'!AG338+"AM:!.D6"</f>
        <v>#VALUE!</v>
      </c>
      <c r="AC227" s="97" t="e">
        <f>'Actual Value'!AH338+"AM:!.D7"</f>
        <v>#VALUE!</v>
      </c>
      <c r="AD227" s="97" t="e">
        <f>'Actual Value'!AI338+"AM:!.D8"</f>
        <v>#VALUE!</v>
      </c>
      <c r="AE227" s="97" t="e">
        <f>'Actual Value'!AJ338+"AM:!.D9"</f>
        <v>#VALUE!</v>
      </c>
      <c r="AF227" s="97" t="e">
        <f>'Actual Value'!AK338+"AM:!.D:"</f>
        <v>#VALUE!</v>
      </c>
      <c r="AG227" s="97" t="e">
        <f>'Actual Value'!AL338+"AM:!.D;"</f>
        <v>#VALUE!</v>
      </c>
      <c r="AH227" s="97" t="e">
        <f>'Actual Value'!AM338+"AM:!.D&lt;"</f>
        <v>#VALUE!</v>
      </c>
      <c r="AI227" s="97" t="e">
        <f>'Actual Value'!AN338+"AM:!.D="</f>
        <v>#VALUE!</v>
      </c>
      <c r="AJ227" s="97" t="e">
        <f>'Actual Value'!AO338+"AM:!.D&gt;"</f>
        <v>#VALUE!</v>
      </c>
      <c r="AK227" t="e">
        <f>'Actual Value'!AP338+"AM:!.D?"</f>
        <v>#VALUE!</v>
      </c>
      <c r="AL227" t="e">
        <f>'Actual Value'!AQ338+"AM:!.D@"</f>
        <v>#VALUE!</v>
      </c>
      <c r="AM227" t="e">
        <f>'Actual Value'!AR338+"AM:!.DA"</f>
        <v>#VALUE!</v>
      </c>
      <c r="AN227" s="97" t="e">
        <f>'Actual Value'!AS338+"AM:!.DB"</f>
        <v>#VALUE!</v>
      </c>
      <c r="AO227" t="e">
        <f>'Actual Value'!AT338+"AM:!.DC"</f>
        <v>#VALUE!</v>
      </c>
      <c r="AP227" t="e">
        <f>'Actual Value'!AU338+"AM:!.DD"</f>
        <v>#VALUE!</v>
      </c>
      <c r="AQ227" t="e">
        <f>'Actual Value'!AV338+"AM:!.DE"</f>
        <v>#VALUE!</v>
      </c>
      <c r="AR227" t="e">
        <f>'Actual Value'!AW338+"AM:!.DF"</f>
        <v>#VALUE!</v>
      </c>
      <c r="AS227" t="e">
        <f>'Actual Value'!A339+"AM:!.DG"</f>
        <v>#VALUE!</v>
      </c>
      <c r="AT227" t="e">
        <f>'Actual Value'!B339+"AM:!.DH"</f>
        <v>#VALUE!</v>
      </c>
      <c r="AU227" t="e">
        <f>'Actual Value'!C339+"AM:!.DI"</f>
        <v>#VALUE!</v>
      </c>
      <c r="AV227" s="97" t="e">
        <f>'Actual Value'!D339+"AM:!.DJ"</f>
        <v>#VALUE!</v>
      </c>
      <c r="AW227" s="97" t="e">
        <f>'Actual Value'!E339+"AM:!.DK"</f>
        <v>#VALUE!</v>
      </c>
      <c r="AX227" s="97" t="e">
        <f>'Actual Value'!F339+"AM:!.DL"</f>
        <v>#VALUE!</v>
      </c>
      <c r="AY227" s="97" t="e">
        <f>'Actual Value'!G339+"AM:!.DM"</f>
        <v>#VALUE!</v>
      </c>
      <c r="AZ227" s="97" t="e">
        <f>'Actual Value'!H339+"AM:!.DN"</f>
        <v>#VALUE!</v>
      </c>
      <c r="BA227" s="97" t="e">
        <f>'Actual Value'!I339+"AM:!.DO"</f>
        <v>#VALUE!</v>
      </c>
      <c r="BB227" s="97" t="e">
        <f>'Actual Value'!J339+"AM:!.DP"</f>
        <v>#VALUE!</v>
      </c>
      <c r="BC227" s="97" t="e">
        <f>'Actual Value'!K339+"AM:!.DQ"</f>
        <v>#VALUE!</v>
      </c>
      <c r="BD227" s="97" t="e">
        <f>'Actual Value'!L339+"AM:!.DR"</f>
        <v>#VALUE!</v>
      </c>
      <c r="BE227" s="97" t="e">
        <f>'Actual Value'!M339+"AM:!.DS"</f>
        <v>#VALUE!</v>
      </c>
      <c r="BF227" s="97" t="e">
        <f>'Actual Value'!N339+"AM:!.DT"</f>
        <v>#VALUE!</v>
      </c>
      <c r="BG227" s="97" t="e">
        <f>'Actual Value'!O339+"AM:!.DU"</f>
        <v>#VALUE!</v>
      </c>
      <c r="BH227" s="97" t="e">
        <f>'Actual Value'!P339+"AM:!.DV"</f>
        <v>#VALUE!</v>
      </c>
      <c r="BI227" s="97" t="e">
        <f>'Actual Value'!Q339+"AM:!.DW"</f>
        <v>#VALUE!</v>
      </c>
      <c r="BJ227" s="97" t="e">
        <f>'Actual Value'!R339+"AM:!.DX"</f>
        <v>#VALUE!</v>
      </c>
      <c r="BK227" s="97" t="e">
        <f>'Actual Value'!S339+"AM:!.DY"</f>
        <v>#VALUE!</v>
      </c>
      <c r="BL227" s="97" t="e">
        <f>'Actual Value'!T339+"AM:!.DZ"</f>
        <v>#VALUE!</v>
      </c>
      <c r="BM227" s="97" t="e">
        <f>'Actual Value'!U339+"AM:!.D["</f>
        <v>#VALUE!</v>
      </c>
      <c r="BN227" s="97" t="e">
        <f>'Actual Value'!V339+"AM:!.D\"</f>
        <v>#VALUE!</v>
      </c>
      <c r="BO227" s="97" t="e">
        <f>'Actual Value'!W339+"AM:!.D]"</f>
        <v>#VALUE!</v>
      </c>
      <c r="BP227" s="97" t="e">
        <f>'Actual Value'!X339+"AM:!.D^"</f>
        <v>#VALUE!</v>
      </c>
      <c r="BQ227" s="97" t="e">
        <f>'Actual Value'!Y339+"AM:!.D_"</f>
        <v>#VALUE!</v>
      </c>
      <c r="BR227" s="97" t="e">
        <f>'Actual Value'!Z339+"AM:!.D`"</f>
        <v>#VALUE!</v>
      </c>
      <c r="BS227" s="97" t="e">
        <f>'Actual Value'!AA339+"AM:!.Da"</f>
        <v>#VALUE!</v>
      </c>
      <c r="BT227" s="97" t="e">
        <f>'Actual Value'!AB339+"AM:!.Db"</f>
        <v>#VALUE!</v>
      </c>
      <c r="BU227" s="97" t="e">
        <f>'Actual Value'!AC339+"AM:!.Dc"</f>
        <v>#VALUE!</v>
      </c>
      <c r="BV227" s="97" t="e">
        <f>'Actual Value'!AD339+"AM:!.Dd"</f>
        <v>#VALUE!</v>
      </c>
      <c r="BW227" s="97" t="e">
        <f>'Actual Value'!AE339+"AM:!.De"</f>
        <v>#VALUE!</v>
      </c>
      <c r="BX227" s="97" t="e">
        <f>'Actual Value'!AF339+"AM:!.Df"</f>
        <v>#VALUE!</v>
      </c>
      <c r="BY227" s="97" t="e">
        <f>'Actual Value'!AG339+"AM:!.Dg"</f>
        <v>#VALUE!</v>
      </c>
      <c r="BZ227" s="97" t="e">
        <f>'Actual Value'!AH339+"AM:!.Dh"</f>
        <v>#VALUE!</v>
      </c>
      <c r="CA227" s="97" t="e">
        <f>'Actual Value'!AI339+"AM:!.Di"</f>
        <v>#VALUE!</v>
      </c>
      <c r="CB227" s="97" t="e">
        <f>'Actual Value'!AJ339+"AM:!.Dj"</f>
        <v>#VALUE!</v>
      </c>
      <c r="CC227" s="97" t="e">
        <f>'Actual Value'!AK339+"AM:!.Dk"</f>
        <v>#VALUE!</v>
      </c>
      <c r="CD227" s="97" t="e">
        <f>'Actual Value'!AL339+"AM:!.Dl"</f>
        <v>#VALUE!</v>
      </c>
      <c r="CE227" s="97" t="e">
        <f>'Actual Value'!AM339+"AM:!.Dm"</f>
        <v>#VALUE!</v>
      </c>
      <c r="CF227" s="97" t="e">
        <f>'Actual Value'!AN339+"AM:!.Dn"</f>
        <v>#VALUE!</v>
      </c>
      <c r="CG227" s="97" t="e">
        <f>'Actual Value'!AO339+"AM:!.Do"</f>
        <v>#VALUE!</v>
      </c>
      <c r="CH227" t="e">
        <f>'Actual Value'!AP339+"AM:!.Dp"</f>
        <v>#VALUE!</v>
      </c>
      <c r="CI227" t="e">
        <f>'Actual Value'!AQ339+"AM:!.Dq"</f>
        <v>#VALUE!</v>
      </c>
      <c r="CJ227" t="e">
        <f>'Actual Value'!AR339+"AM:!.Dr"</f>
        <v>#VALUE!</v>
      </c>
      <c r="CK227" t="e">
        <f>'Actual Value'!AS339+"AM:!.Ds"</f>
        <v>#VALUE!</v>
      </c>
      <c r="CL227" t="e">
        <f>'Actual Value'!AT339+"AM:!.Dt"</f>
        <v>#VALUE!</v>
      </c>
      <c r="CM227" t="e">
        <f>'Actual Value'!AU339+"AM:!.Du"</f>
        <v>#VALUE!</v>
      </c>
      <c r="CN227" t="e">
        <f>'Actual Value'!AV339+"AM:!.Dv"</f>
        <v>#VALUE!</v>
      </c>
      <c r="CO227" t="e">
        <f>'Actual Value'!AW339+"AM:!.Dw"</f>
        <v>#VALUE!</v>
      </c>
      <c r="CP227" t="e">
        <f>'Actual Value'!A340+"AM:!.Dx"</f>
        <v>#VALUE!</v>
      </c>
      <c r="CQ227" t="e">
        <f>'Actual Value'!B340+"AM:!.Dy"</f>
        <v>#VALUE!</v>
      </c>
      <c r="CR227" t="e">
        <f>'Actual Value'!C340+"AM:!.Dz"</f>
        <v>#VALUE!</v>
      </c>
      <c r="CS227" s="97" t="e">
        <f>'Actual Value'!D340+"AM:!.D{"</f>
        <v>#VALUE!</v>
      </c>
      <c r="CT227" s="97" t="e">
        <f>'Actual Value'!E340+"AM:!.D|"</f>
        <v>#VALUE!</v>
      </c>
      <c r="CU227" s="97" t="e">
        <f>'Actual Value'!F340+"AM:!.D}"</f>
        <v>#VALUE!</v>
      </c>
      <c r="CV227" s="97" t="e">
        <f>'Actual Value'!G340+"AM:!.D~"</f>
        <v>#VALUE!</v>
      </c>
      <c r="CW227" s="97" t="e">
        <f>'Actual Value'!H340+"AM:!.E#"</f>
        <v>#VALUE!</v>
      </c>
      <c r="CX227" s="97" t="e">
        <f>'Actual Value'!I340+"AM:!.E$"</f>
        <v>#VALUE!</v>
      </c>
      <c r="CY227" s="97" t="e">
        <f>'Actual Value'!J340+"AM:!.E%"</f>
        <v>#VALUE!</v>
      </c>
      <c r="CZ227" s="97" t="e">
        <f>'Actual Value'!K340+"AM:!.E&amp;"</f>
        <v>#VALUE!</v>
      </c>
      <c r="DA227" s="97" t="e">
        <f>'Actual Value'!L340+"AM:!.E'"</f>
        <v>#VALUE!</v>
      </c>
      <c r="DB227" s="97" t="e">
        <f>'Actual Value'!M340+"AM:!.E("</f>
        <v>#VALUE!</v>
      </c>
      <c r="DC227" s="97" t="e">
        <f>'Actual Value'!N340+"AM:!.E)"</f>
        <v>#VALUE!</v>
      </c>
      <c r="DD227" s="97" t="e">
        <f>'Actual Value'!O340+"AM:!.E."</f>
        <v>#VALUE!</v>
      </c>
      <c r="DE227" s="97" t="e">
        <f>'Actual Value'!P340+"AM:!.E/"</f>
        <v>#VALUE!</v>
      </c>
      <c r="DF227" s="97" t="e">
        <f>'Actual Value'!Q340+"AM:!.E0"</f>
        <v>#VALUE!</v>
      </c>
      <c r="DG227" s="97" t="e">
        <f>'Actual Value'!R340+"AM:!.E1"</f>
        <v>#VALUE!</v>
      </c>
      <c r="DH227" s="97" t="e">
        <f>'Actual Value'!S340+"AM:!.E2"</f>
        <v>#VALUE!</v>
      </c>
      <c r="DI227" s="97" t="e">
        <f>'Actual Value'!T340+"AM:!.E3"</f>
        <v>#VALUE!</v>
      </c>
      <c r="DJ227" s="97" t="e">
        <f>'Actual Value'!U340+"AM:!.E4"</f>
        <v>#VALUE!</v>
      </c>
      <c r="DK227" s="97" t="e">
        <f>'Actual Value'!V340+"AM:!.E5"</f>
        <v>#VALUE!</v>
      </c>
      <c r="DL227" s="97" t="e">
        <f>'Actual Value'!W340+"AM:!.E6"</f>
        <v>#VALUE!</v>
      </c>
      <c r="DM227" s="97" t="e">
        <f>'Actual Value'!X340+"AM:!.E7"</f>
        <v>#VALUE!</v>
      </c>
      <c r="DN227" s="97" t="e">
        <f>'Actual Value'!Y340+"AM:!.E8"</f>
        <v>#VALUE!</v>
      </c>
      <c r="DO227" s="97" t="e">
        <f>'Actual Value'!Z340+"AM:!.E9"</f>
        <v>#VALUE!</v>
      </c>
      <c r="DP227" s="97" t="e">
        <f>'Actual Value'!AA340+"AM:!.E:"</f>
        <v>#VALUE!</v>
      </c>
      <c r="DQ227" s="97" t="e">
        <f>'Actual Value'!AB340+"AM:!.E;"</f>
        <v>#VALUE!</v>
      </c>
      <c r="DR227" s="97" t="e">
        <f>'Actual Value'!AC340+"AM:!.E&lt;"</f>
        <v>#VALUE!</v>
      </c>
      <c r="DS227" s="97" t="e">
        <f>'Actual Value'!AD340+"AM:!.E="</f>
        <v>#VALUE!</v>
      </c>
      <c r="DT227" s="97" t="e">
        <f>'Actual Value'!AE340+"AM:!.E&gt;"</f>
        <v>#VALUE!</v>
      </c>
      <c r="DU227" s="97" t="e">
        <f>'Actual Value'!AF340+"AM:!.E?"</f>
        <v>#VALUE!</v>
      </c>
      <c r="DV227" s="97" t="e">
        <f>'Actual Value'!AG340+"AM:!.E@"</f>
        <v>#VALUE!</v>
      </c>
      <c r="DW227" s="97" t="e">
        <f>'Actual Value'!AH340+"AM:!.EA"</f>
        <v>#VALUE!</v>
      </c>
      <c r="DX227" s="97" t="e">
        <f>'Actual Value'!AI340+"AM:!.EB"</f>
        <v>#VALUE!</v>
      </c>
      <c r="DY227" s="97" t="e">
        <f>'Actual Value'!AJ340+"AM:!.EC"</f>
        <v>#VALUE!</v>
      </c>
      <c r="DZ227" s="97" t="e">
        <f>'Actual Value'!AK340+"AM:!.ED"</f>
        <v>#VALUE!</v>
      </c>
      <c r="EA227" s="97" t="e">
        <f>'Actual Value'!AL340+"AM:!.EE"</f>
        <v>#VALUE!</v>
      </c>
      <c r="EB227" s="97" t="e">
        <f>'Actual Value'!AM340+"AM:!.EF"</f>
        <v>#VALUE!</v>
      </c>
      <c r="EC227" s="97" t="e">
        <f>'Actual Value'!AN340+"AM:!.EG"</f>
        <v>#VALUE!</v>
      </c>
      <c r="ED227" s="97" t="e">
        <f>'Actual Value'!AO340+"AM:!.EH"</f>
        <v>#VALUE!</v>
      </c>
      <c r="EE227" t="e">
        <f>'Actual Value'!AP340+"AM:!.EI"</f>
        <v>#VALUE!</v>
      </c>
      <c r="EF227" t="e">
        <f>'Actual Value'!AQ340+"AM:!.EJ"</f>
        <v>#VALUE!</v>
      </c>
      <c r="EG227" t="e">
        <f>'Actual Value'!AR340+"AM:!.EK"</f>
        <v>#VALUE!</v>
      </c>
      <c r="EH227" t="e">
        <f>'Actual Value'!AS340+"AM:!.EL"</f>
        <v>#VALUE!</v>
      </c>
      <c r="EI227" t="e">
        <f>'Actual Value'!AT340+"AM:!.EM"</f>
        <v>#VALUE!</v>
      </c>
      <c r="EJ227" t="e">
        <f>'Actual Value'!AU340+"AM:!.EN"</f>
        <v>#VALUE!</v>
      </c>
      <c r="EK227" t="e">
        <f>'Actual Value'!AV340+"AM:!.EO"</f>
        <v>#VALUE!</v>
      </c>
      <c r="EL227" t="e">
        <f>'Actual Value'!AW340+"AM:!.EP"</f>
        <v>#VALUE!</v>
      </c>
      <c r="EM227" t="e">
        <f>'Actual Value'!AX340+"AM:!.EQ"</f>
        <v>#VALUE!</v>
      </c>
      <c r="EN227" t="e">
        <f>'Actual Value'!A341+"AM:!.ER"</f>
        <v>#VALUE!</v>
      </c>
      <c r="EO227" t="e">
        <f>'Actual Value'!B341+"AM:!.ES"</f>
        <v>#VALUE!</v>
      </c>
      <c r="EP227" t="e">
        <f>'Actual Value'!C341+"AM:!.ET"</f>
        <v>#VALUE!</v>
      </c>
      <c r="EQ227" s="97" t="e">
        <f>'Actual Value'!D341+"AM:!.EU"</f>
        <v>#VALUE!</v>
      </c>
      <c r="ER227" s="97" t="e">
        <f>'Actual Value'!E341+"AM:!.EV"</f>
        <v>#VALUE!</v>
      </c>
      <c r="ES227" s="97" t="e">
        <f>'Actual Value'!F341+"AM:!.EW"</f>
        <v>#VALUE!</v>
      </c>
      <c r="ET227" s="97" t="e">
        <f>'Actual Value'!G341+"AM:!.EX"</f>
        <v>#VALUE!</v>
      </c>
      <c r="EU227" s="97" t="e">
        <f>'Actual Value'!H341+"AM:!.EY"</f>
        <v>#VALUE!</v>
      </c>
      <c r="EV227" s="97" t="e">
        <f>'Actual Value'!I341+"AM:!.EZ"</f>
        <v>#VALUE!</v>
      </c>
      <c r="EW227" s="97" t="e">
        <f>'Actual Value'!J341+"AM:!.E["</f>
        <v>#VALUE!</v>
      </c>
      <c r="EX227" s="97" t="e">
        <f>'Actual Value'!K341+"AM:!.E\"</f>
        <v>#VALUE!</v>
      </c>
      <c r="EY227" s="97" t="e">
        <f>'Actual Value'!L341+"AM:!.E]"</f>
        <v>#VALUE!</v>
      </c>
      <c r="EZ227" s="97" t="e">
        <f>'Actual Value'!M341+"AM:!.E^"</f>
        <v>#VALUE!</v>
      </c>
      <c r="FA227" s="97" t="e">
        <f>'Actual Value'!N341+"AM:!.E_"</f>
        <v>#VALUE!</v>
      </c>
      <c r="FB227" s="97" t="e">
        <f>'Actual Value'!O341+"AM:!.E`"</f>
        <v>#VALUE!</v>
      </c>
      <c r="FC227" s="97" t="e">
        <f>'Actual Value'!P341+"AM:!.Ea"</f>
        <v>#VALUE!</v>
      </c>
      <c r="FD227" s="97" t="e">
        <f>'Actual Value'!Q341+"AM:!.Eb"</f>
        <v>#VALUE!</v>
      </c>
      <c r="FE227" s="97" t="e">
        <f>'Actual Value'!R341+"AM:!.Ec"</f>
        <v>#VALUE!</v>
      </c>
      <c r="FF227" s="97" t="e">
        <f>'Actual Value'!S341+"AM:!.Ed"</f>
        <v>#VALUE!</v>
      </c>
      <c r="FG227" s="97" t="e">
        <f>'Actual Value'!T341+"AM:!.Ee"</f>
        <v>#VALUE!</v>
      </c>
      <c r="FH227" s="97" t="e">
        <f>'Actual Value'!U341+"AM:!.Ef"</f>
        <v>#VALUE!</v>
      </c>
      <c r="FI227" s="97" t="e">
        <f>'Actual Value'!V341+"AM:!.Eg"</f>
        <v>#VALUE!</v>
      </c>
      <c r="FJ227" s="97" t="e">
        <f>'Actual Value'!W341+"AM:!.Eh"</f>
        <v>#VALUE!</v>
      </c>
      <c r="FK227" s="97" t="e">
        <f>'Actual Value'!X341+"AM:!.Ei"</f>
        <v>#VALUE!</v>
      </c>
      <c r="FL227" s="97" t="e">
        <f>'Actual Value'!Y341+"AM:!.Ej"</f>
        <v>#VALUE!</v>
      </c>
      <c r="FM227" s="97" t="e">
        <f>'Actual Value'!Z341+"AM:!.Ek"</f>
        <v>#VALUE!</v>
      </c>
      <c r="FN227" s="97" t="e">
        <f>'Actual Value'!AA341+"AM:!.El"</f>
        <v>#VALUE!</v>
      </c>
      <c r="FO227" s="97" t="e">
        <f>'Actual Value'!AB341+"AM:!.Em"</f>
        <v>#VALUE!</v>
      </c>
      <c r="FP227" s="97" t="e">
        <f>'Actual Value'!AC341+"AM:!.En"</f>
        <v>#VALUE!</v>
      </c>
      <c r="FQ227" s="97" t="e">
        <f>'Actual Value'!AD341+"AM:!.Eo"</f>
        <v>#VALUE!</v>
      </c>
      <c r="FR227" s="97" t="e">
        <f>'Actual Value'!AE341+"AM:!.Ep"</f>
        <v>#VALUE!</v>
      </c>
      <c r="FS227" s="97" t="e">
        <f>'Actual Value'!AF341+"AM:!.Eq"</f>
        <v>#VALUE!</v>
      </c>
      <c r="FT227" s="97" t="e">
        <f>'Actual Value'!AG341+"AM:!.Er"</f>
        <v>#VALUE!</v>
      </c>
      <c r="FU227" s="97" t="e">
        <f>'Actual Value'!AH341+"AM:!.Es"</f>
        <v>#VALUE!</v>
      </c>
      <c r="FV227" s="97" t="e">
        <f>'Actual Value'!AI341+"AM:!.Et"</f>
        <v>#VALUE!</v>
      </c>
      <c r="FW227" s="97" t="e">
        <f>'Actual Value'!AJ341+"AM:!.Eu"</f>
        <v>#VALUE!</v>
      </c>
      <c r="FX227" s="97" t="e">
        <f>'Actual Value'!AK341+"AM:!.Ev"</f>
        <v>#VALUE!</v>
      </c>
      <c r="FY227" s="97" t="e">
        <f>'Actual Value'!AL341+"AM:!.Ew"</f>
        <v>#VALUE!</v>
      </c>
      <c r="FZ227" s="97" t="e">
        <f>'Actual Value'!AM341+"AM:!.Ex"</f>
        <v>#VALUE!</v>
      </c>
      <c r="GA227" s="97" t="e">
        <f>'Actual Value'!AN341+"AM:!.Ey"</f>
        <v>#VALUE!</v>
      </c>
      <c r="GB227" s="97" t="e">
        <f>'Actual Value'!AO341+"AM:!.Ez"</f>
        <v>#VALUE!</v>
      </c>
      <c r="GC227" t="e">
        <f>'Actual Value'!AP341+"AM:!.E{"</f>
        <v>#VALUE!</v>
      </c>
      <c r="GD227" t="e">
        <f>'Actual Value'!AQ341+"AM:!.E|"</f>
        <v>#VALUE!</v>
      </c>
      <c r="GE227" t="e">
        <f>'Actual Value'!AR341+"AM:!.E}"</f>
        <v>#VALUE!</v>
      </c>
      <c r="GF227" t="e">
        <f>'Actual Value'!AS341+"AM:!.E~"</f>
        <v>#VALUE!</v>
      </c>
      <c r="GG227" t="e">
        <f>'Actual Value'!AT341+"AM:!.F#"</f>
        <v>#VALUE!</v>
      </c>
      <c r="GH227" t="e">
        <f>'Actual Value'!AU341+"AM:!.F$"</f>
        <v>#VALUE!</v>
      </c>
      <c r="GI227" t="e">
        <f>'Actual Value'!AV341+"AM:!.F%"</f>
        <v>#VALUE!</v>
      </c>
      <c r="GJ227" t="e">
        <f>'Actual Value'!AW341+"AM:!.F&amp;"</f>
        <v>#VALUE!</v>
      </c>
      <c r="GK227" t="e">
        <f>'Actual Value'!AX341+"AM:!.F'"</f>
        <v>#VALUE!</v>
      </c>
      <c r="GL227" t="e">
        <f>'Actual Value'!A342+"AM:!.F("</f>
        <v>#VALUE!</v>
      </c>
      <c r="GM227" t="e">
        <f>'Actual Value'!B342+"AM:!.F)"</f>
        <v>#VALUE!</v>
      </c>
      <c r="GN227" t="e">
        <f>'Actual Value'!C342+"AM:!.F."</f>
        <v>#VALUE!</v>
      </c>
      <c r="GO227" s="97" t="e">
        <f>'Actual Value'!D342+"AM:!.F/"</f>
        <v>#VALUE!</v>
      </c>
      <c r="GP227" s="97" t="e">
        <f>'Actual Value'!E342+"AM:!.F0"</f>
        <v>#VALUE!</v>
      </c>
      <c r="GQ227" s="97" t="e">
        <f>'Actual Value'!F342+"AM:!.F1"</f>
        <v>#VALUE!</v>
      </c>
      <c r="GR227" s="97" t="e">
        <f>'Actual Value'!G342+"AM:!.F2"</f>
        <v>#VALUE!</v>
      </c>
      <c r="GS227" s="97" t="e">
        <f>'Actual Value'!H342+"AM:!.F3"</f>
        <v>#VALUE!</v>
      </c>
      <c r="GT227" s="97" t="e">
        <f>'Actual Value'!I342+"AM:!.F4"</f>
        <v>#VALUE!</v>
      </c>
      <c r="GU227" s="97" t="e">
        <f>'Actual Value'!J342+"AM:!.F5"</f>
        <v>#VALUE!</v>
      </c>
      <c r="GV227" s="97" t="e">
        <f>'Actual Value'!K342+"AM:!.F6"</f>
        <v>#VALUE!</v>
      </c>
      <c r="GW227" s="97" t="e">
        <f>'Actual Value'!L342+"AM:!.F7"</f>
        <v>#VALUE!</v>
      </c>
      <c r="GX227" s="97" t="e">
        <f>'Actual Value'!M342+"AM:!.F8"</f>
        <v>#VALUE!</v>
      </c>
      <c r="GY227" s="97" t="e">
        <f>'Actual Value'!N342+"AM:!.F9"</f>
        <v>#VALUE!</v>
      </c>
      <c r="GZ227" s="97" t="e">
        <f>'Actual Value'!O342+"AM:!.F:"</f>
        <v>#VALUE!</v>
      </c>
      <c r="HA227" s="97" t="e">
        <f>'Actual Value'!P342+"AM:!.F;"</f>
        <v>#VALUE!</v>
      </c>
      <c r="HB227" s="97" t="e">
        <f>'Actual Value'!Q342+"AM:!.F&lt;"</f>
        <v>#VALUE!</v>
      </c>
      <c r="HC227" s="97" t="e">
        <f>'Actual Value'!R342+"AM:!.F="</f>
        <v>#VALUE!</v>
      </c>
      <c r="HD227" s="97" t="e">
        <f>'Actual Value'!S342+"AM:!.F&gt;"</f>
        <v>#VALUE!</v>
      </c>
      <c r="HE227" s="97" t="e">
        <f>'Actual Value'!T342+"AM:!.F?"</f>
        <v>#VALUE!</v>
      </c>
      <c r="HF227" s="97" t="e">
        <f>'Actual Value'!U342+"AM:!.F@"</f>
        <v>#VALUE!</v>
      </c>
      <c r="HG227" s="97" t="e">
        <f>'Actual Value'!V342+"AM:!.FA"</f>
        <v>#VALUE!</v>
      </c>
      <c r="HH227" s="97" t="e">
        <f>'Actual Value'!W342+"AM:!.FB"</f>
        <v>#VALUE!</v>
      </c>
      <c r="HI227" s="97" t="e">
        <f>'Actual Value'!X342+"AM:!.FC"</f>
        <v>#VALUE!</v>
      </c>
      <c r="HJ227" s="97" t="e">
        <f>'Actual Value'!Y342+"AM:!.FD"</f>
        <v>#VALUE!</v>
      </c>
      <c r="HK227" s="97" t="e">
        <f>'Actual Value'!Z342+"AM:!.FE"</f>
        <v>#VALUE!</v>
      </c>
      <c r="HL227" s="97" t="e">
        <f>'Actual Value'!AA342+"AM:!.FF"</f>
        <v>#VALUE!</v>
      </c>
      <c r="HM227" s="97" t="e">
        <f>'Actual Value'!AB342+"AM:!.FG"</f>
        <v>#VALUE!</v>
      </c>
      <c r="HN227" s="97" t="e">
        <f>'Actual Value'!AC342+"AM:!.FH"</f>
        <v>#VALUE!</v>
      </c>
      <c r="HO227" s="97" t="e">
        <f>'Actual Value'!AD342+"AM:!.FI"</f>
        <v>#VALUE!</v>
      </c>
      <c r="HP227" s="97" t="e">
        <f>'Actual Value'!AE342+"AM:!.FJ"</f>
        <v>#VALUE!</v>
      </c>
      <c r="HQ227" s="97" t="e">
        <f>'Actual Value'!AF342+"AM:!.FK"</f>
        <v>#VALUE!</v>
      </c>
      <c r="HR227" s="97" t="e">
        <f>'Actual Value'!AG342+"AM:!.FL"</f>
        <v>#VALUE!</v>
      </c>
      <c r="HS227" s="97" t="e">
        <f>'Actual Value'!AH342+"AM:!.FM"</f>
        <v>#VALUE!</v>
      </c>
      <c r="HT227" s="97" t="e">
        <f>'Actual Value'!AI342+"AM:!.FN"</f>
        <v>#VALUE!</v>
      </c>
      <c r="HU227" s="97" t="e">
        <f>'Actual Value'!AJ342+"AM:!.FO"</f>
        <v>#VALUE!</v>
      </c>
      <c r="HV227" s="97" t="e">
        <f>'Actual Value'!AK342+"AM:!.FP"</f>
        <v>#VALUE!</v>
      </c>
      <c r="HW227" s="97" t="e">
        <f>'Actual Value'!AL342+"AM:!.FQ"</f>
        <v>#VALUE!</v>
      </c>
      <c r="HX227" s="97" t="e">
        <f>'Actual Value'!AM342+"AM:!.FR"</f>
        <v>#VALUE!</v>
      </c>
      <c r="HY227" s="97" t="e">
        <f>'Actual Value'!AN342+"AM:!.FS"</f>
        <v>#VALUE!</v>
      </c>
      <c r="HZ227" s="97" t="e">
        <f>'Actual Value'!AO342+"AM:!.FT"</f>
        <v>#VALUE!</v>
      </c>
      <c r="IA227" t="e">
        <f>'Actual Value'!AP342+"AM:!.FU"</f>
        <v>#VALUE!</v>
      </c>
      <c r="IB227" t="e">
        <f>'Actual Value'!AQ342+"AM:!.FV"</f>
        <v>#VALUE!</v>
      </c>
      <c r="IC227" t="e">
        <f>'Actual Value'!AR342+"AM:!.FW"</f>
        <v>#VALUE!</v>
      </c>
      <c r="ID227" t="e">
        <f>'Actual Value'!AS342+"AM:!.FX"</f>
        <v>#VALUE!</v>
      </c>
      <c r="IE227" t="e">
        <f>'Actual Value'!AT342+"AM:!.FY"</f>
        <v>#VALUE!</v>
      </c>
      <c r="IF227" t="e">
        <f>'Actual Value'!AU342+"AM:!.FZ"</f>
        <v>#VALUE!</v>
      </c>
      <c r="IG227" t="e">
        <f>'Actual Value'!AV342+"AM:!.F["</f>
        <v>#VALUE!</v>
      </c>
      <c r="IH227" t="e">
        <f>'Actual Value'!AW342+"AM:!.F\"</f>
        <v>#VALUE!</v>
      </c>
      <c r="II227" t="e">
        <f>'Actual Value'!AX342+"AM:!.F]"</f>
        <v>#VALUE!</v>
      </c>
      <c r="IJ227" t="e">
        <f>'Actual Value'!A343+"AM:!.F^"</f>
        <v>#VALUE!</v>
      </c>
      <c r="IK227" t="e">
        <f>'Actual Value'!B343+"AM:!.F_"</f>
        <v>#VALUE!</v>
      </c>
      <c r="IL227" t="e">
        <f>'Actual Value'!C343+"AM:!.F`"</f>
        <v>#VALUE!</v>
      </c>
      <c r="IM227" s="97" t="e">
        <f>'Actual Value'!D343+"AM:!.Fa"</f>
        <v>#VALUE!</v>
      </c>
      <c r="IN227" s="97" t="e">
        <f>'Actual Value'!E343+"AM:!.Fb"</f>
        <v>#VALUE!</v>
      </c>
      <c r="IO227" s="97" t="e">
        <f>'Actual Value'!F343+"AM:!.Fc"</f>
        <v>#VALUE!</v>
      </c>
      <c r="IP227" s="97" t="e">
        <f>'Actual Value'!G343+"AM:!.Fd"</f>
        <v>#VALUE!</v>
      </c>
      <c r="IQ227" s="97" t="e">
        <f>'Actual Value'!H343+"AM:!.Fe"</f>
        <v>#VALUE!</v>
      </c>
      <c r="IR227" s="97" t="e">
        <f>'Actual Value'!I343+"AM:!.Ff"</f>
        <v>#VALUE!</v>
      </c>
      <c r="IS227" s="97" t="e">
        <f>'Actual Value'!J343+"AM:!.Fg"</f>
        <v>#VALUE!</v>
      </c>
      <c r="IT227" s="97" t="e">
        <f>'Actual Value'!K343+"AM:!.Fh"</f>
        <v>#VALUE!</v>
      </c>
      <c r="IU227" s="97" t="e">
        <f>'Actual Value'!L343+"AM:!.Fi"</f>
        <v>#VALUE!</v>
      </c>
      <c r="IV227" s="97" t="e">
        <f>'Actual Value'!M343+"AM:!.Fj"</f>
        <v>#VALUE!</v>
      </c>
    </row>
    <row r="228" spans="6:256">
      <c r="F228" s="97" t="e">
        <f>'Actual Value'!N343+"AM:!.Fk"</f>
        <v>#VALUE!</v>
      </c>
      <c r="G228" s="97" t="e">
        <f>'Actual Value'!O343+"AM:!.Fl"</f>
        <v>#VALUE!</v>
      </c>
      <c r="H228" s="97" t="e">
        <f>'Actual Value'!P343+"AM:!.Fm"</f>
        <v>#VALUE!</v>
      </c>
      <c r="I228" s="97" t="e">
        <f>'Actual Value'!Q343+"AM:!.Fn"</f>
        <v>#VALUE!</v>
      </c>
      <c r="J228" s="97" t="e">
        <f>'Actual Value'!R343+"AM:!.Fo"</f>
        <v>#VALUE!</v>
      </c>
      <c r="K228" s="97" t="e">
        <f>'Actual Value'!S343+"AM:!.Fp"</f>
        <v>#VALUE!</v>
      </c>
      <c r="L228" s="97" t="e">
        <f>'Actual Value'!T343+"AM:!.Fq"</f>
        <v>#VALUE!</v>
      </c>
      <c r="M228" s="97" t="e">
        <f>'Actual Value'!U343+"AM:!.Fr"</f>
        <v>#VALUE!</v>
      </c>
      <c r="N228" s="97" t="e">
        <f>'Actual Value'!V343+"AM:!.Fs"</f>
        <v>#VALUE!</v>
      </c>
      <c r="O228" s="97" t="e">
        <f>'Actual Value'!W343+"AM:!.Ft"</f>
        <v>#VALUE!</v>
      </c>
      <c r="P228" s="97" t="e">
        <f>'Actual Value'!X343+"AM:!.Fu"</f>
        <v>#VALUE!</v>
      </c>
      <c r="Q228" s="97" t="e">
        <f>'Actual Value'!Y343+"AM:!.Fv"</f>
        <v>#VALUE!</v>
      </c>
      <c r="R228" s="97" t="e">
        <f>'Actual Value'!Z343+"AM:!.Fw"</f>
        <v>#VALUE!</v>
      </c>
      <c r="S228" s="97" t="e">
        <f>'Actual Value'!AA343+"AM:!.Fx"</f>
        <v>#VALUE!</v>
      </c>
      <c r="T228" s="97" t="e">
        <f>'Actual Value'!AB343+"AM:!.Fy"</f>
        <v>#VALUE!</v>
      </c>
      <c r="U228" s="97" t="e">
        <f>'Actual Value'!AC343+"AM:!.Fz"</f>
        <v>#VALUE!</v>
      </c>
      <c r="V228" s="97" t="e">
        <f>'Actual Value'!AD343+"AM:!.F{"</f>
        <v>#VALUE!</v>
      </c>
      <c r="W228" s="97" t="e">
        <f>'Actual Value'!AE343+"AM:!.F|"</f>
        <v>#VALUE!</v>
      </c>
      <c r="X228" s="97" t="e">
        <f>'Actual Value'!AF343+"AM:!.F}"</f>
        <v>#VALUE!</v>
      </c>
      <c r="Y228" s="97" t="e">
        <f>'Actual Value'!AG343+"AM:!.F~"</f>
        <v>#VALUE!</v>
      </c>
      <c r="Z228" s="97" t="e">
        <f>'Actual Value'!AH343+"AM:!.G#"</f>
        <v>#VALUE!</v>
      </c>
      <c r="AA228" s="97" t="e">
        <f>'Actual Value'!AI343+"AM:!.G$"</f>
        <v>#VALUE!</v>
      </c>
      <c r="AB228" s="97" t="e">
        <f>'Actual Value'!AJ343+"AM:!.G%"</f>
        <v>#VALUE!</v>
      </c>
      <c r="AC228" s="97" t="e">
        <f>'Actual Value'!AK343+"AM:!.G&amp;"</f>
        <v>#VALUE!</v>
      </c>
      <c r="AD228" s="97" t="e">
        <f>'Actual Value'!AL343+"AM:!.G'"</f>
        <v>#VALUE!</v>
      </c>
      <c r="AE228" s="97" t="e">
        <f>'Actual Value'!AM343+"AM:!.G("</f>
        <v>#VALUE!</v>
      </c>
      <c r="AF228" s="97" t="e">
        <f>'Actual Value'!AN343+"AM:!.G)"</f>
        <v>#VALUE!</v>
      </c>
      <c r="AG228" s="97" t="e">
        <f>'Actual Value'!AO343+"AM:!.G."</f>
        <v>#VALUE!</v>
      </c>
      <c r="AH228" t="e">
        <f>'Actual Value'!AP343+"AM:!.G/"</f>
        <v>#VALUE!</v>
      </c>
      <c r="AI228" t="e">
        <f>'Actual Value'!AQ343+"AM:!.G0"</f>
        <v>#VALUE!</v>
      </c>
      <c r="AJ228" t="e">
        <f>'Actual Value'!AR343+"AM:!.G1"</f>
        <v>#VALUE!</v>
      </c>
      <c r="AK228" t="e">
        <f>'Actual Value'!AS343+"AM:!.G2"</f>
        <v>#VALUE!</v>
      </c>
      <c r="AL228" t="e">
        <f>'Actual Value'!AT343+"AM:!.G3"</f>
        <v>#VALUE!</v>
      </c>
      <c r="AM228" t="e">
        <f>'Actual Value'!AU343+"AM:!.G4"</f>
        <v>#VALUE!</v>
      </c>
      <c r="AN228" t="e">
        <f>'Actual Value'!AV343+"AM:!.G5"</f>
        <v>#VALUE!</v>
      </c>
      <c r="AO228" t="e">
        <f>'Actual Value'!AW343+"AM:!.G6"</f>
        <v>#VALUE!</v>
      </c>
      <c r="AP228" t="e">
        <f>'Actual Value'!AX343+"AM:!.G7"</f>
        <v>#VALUE!</v>
      </c>
      <c r="AQ228" t="e">
        <f>'Actual Value'!A344+"AM:!.G8"</f>
        <v>#VALUE!</v>
      </c>
      <c r="AR228" t="e">
        <f>'Actual Value'!B344+"AM:!.G9"</f>
        <v>#VALUE!</v>
      </c>
      <c r="AS228" t="e">
        <f>'Actual Value'!C344+"AM:!.G:"</f>
        <v>#VALUE!</v>
      </c>
      <c r="AT228" s="97" t="e">
        <f>'Actual Value'!D344+"AM:!.G;"</f>
        <v>#VALUE!</v>
      </c>
      <c r="AU228" s="97" t="e">
        <f>'Actual Value'!E344+"AM:!.G&lt;"</f>
        <v>#VALUE!</v>
      </c>
      <c r="AV228" s="97" t="e">
        <f>'Actual Value'!F344+"AM:!.G="</f>
        <v>#VALUE!</v>
      </c>
      <c r="AW228" s="97" t="e">
        <f>'Actual Value'!G344+"AM:!.G&gt;"</f>
        <v>#VALUE!</v>
      </c>
      <c r="AX228" s="97" t="e">
        <f>'Actual Value'!H344+"AM:!.G?"</f>
        <v>#VALUE!</v>
      </c>
      <c r="AY228" s="97" t="e">
        <f>'Actual Value'!I344+"AM:!.G@"</f>
        <v>#VALUE!</v>
      </c>
      <c r="AZ228" s="97" t="e">
        <f>'Actual Value'!J344+"AM:!.GA"</f>
        <v>#VALUE!</v>
      </c>
      <c r="BA228" s="97" t="e">
        <f>'Actual Value'!K344+"AM:!.GB"</f>
        <v>#VALUE!</v>
      </c>
      <c r="BB228" s="97" t="e">
        <f>'Actual Value'!L344+"AM:!.GC"</f>
        <v>#VALUE!</v>
      </c>
      <c r="BC228" s="97" t="e">
        <f>'Actual Value'!M344+"AM:!.GD"</f>
        <v>#VALUE!</v>
      </c>
      <c r="BD228" s="97" t="e">
        <f>'Actual Value'!N344+"AM:!.GE"</f>
        <v>#VALUE!</v>
      </c>
      <c r="BE228" s="97" t="e">
        <f>'Actual Value'!O344+"AM:!.GF"</f>
        <v>#VALUE!</v>
      </c>
      <c r="BF228" s="97" t="e">
        <f>'Actual Value'!P344+"AM:!.GG"</f>
        <v>#VALUE!</v>
      </c>
      <c r="BG228" s="97" t="e">
        <f>'Actual Value'!Q344+"AM:!.GH"</f>
        <v>#VALUE!</v>
      </c>
      <c r="BH228" s="97" t="e">
        <f>'Actual Value'!R344+"AM:!.GI"</f>
        <v>#VALUE!</v>
      </c>
      <c r="BI228" s="97" t="e">
        <f>'Actual Value'!S344+"AM:!.GJ"</f>
        <v>#VALUE!</v>
      </c>
      <c r="BJ228" s="97" t="e">
        <f>'Actual Value'!T344+"AM:!.GK"</f>
        <v>#VALUE!</v>
      </c>
      <c r="BK228" s="97" t="e">
        <f>'Actual Value'!U344+"AM:!.GL"</f>
        <v>#VALUE!</v>
      </c>
      <c r="BL228" s="97" t="e">
        <f>'Actual Value'!V344+"AM:!.GM"</f>
        <v>#VALUE!</v>
      </c>
      <c r="BM228" s="97" t="e">
        <f>'Actual Value'!W344+"AM:!.GN"</f>
        <v>#VALUE!</v>
      </c>
      <c r="BN228" s="97" t="e">
        <f>'Actual Value'!X344+"AM:!.GO"</f>
        <v>#VALUE!</v>
      </c>
      <c r="BO228" s="97" t="e">
        <f>'Actual Value'!Y344+"AM:!.GP"</f>
        <v>#VALUE!</v>
      </c>
      <c r="BP228" s="97" t="e">
        <f>'Actual Value'!Z344+"AM:!.GQ"</f>
        <v>#VALUE!</v>
      </c>
      <c r="BQ228" s="97" t="e">
        <f>'Actual Value'!AA344+"AM:!.GR"</f>
        <v>#VALUE!</v>
      </c>
      <c r="BR228" s="97" t="e">
        <f>'Actual Value'!AB344+"AM:!.GS"</f>
        <v>#VALUE!</v>
      </c>
      <c r="BS228" s="97" t="e">
        <f>'Actual Value'!AC344+"AM:!.GT"</f>
        <v>#VALUE!</v>
      </c>
      <c r="BT228" s="97" t="e">
        <f>'Actual Value'!AD344+"AM:!.GU"</f>
        <v>#VALUE!</v>
      </c>
      <c r="BU228" s="97" t="e">
        <f>'Actual Value'!AE344+"AM:!.GV"</f>
        <v>#VALUE!</v>
      </c>
      <c r="BV228" s="97" t="e">
        <f>'Actual Value'!AF344+"AM:!.GW"</f>
        <v>#VALUE!</v>
      </c>
      <c r="BW228" s="97" t="e">
        <f>'Actual Value'!AG344+"AM:!.GX"</f>
        <v>#VALUE!</v>
      </c>
      <c r="BX228" s="97" t="e">
        <f>'Actual Value'!AH344+"AM:!.GY"</f>
        <v>#VALUE!</v>
      </c>
      <c r="BY228" s="97" t="e">
        <f>'Actual Value'!AI344+"AM:!.GZ"</f>
        <v>#VALUE!</v>
      </c>
      <c r="BZ228" s="97" t="e">
        <f>'Actual Value'!AJ344+"AM:!.G["</f>
        <v>#VALUE!</v>
      </c>
      <c r="CA228" s="97" t="e">
        <f>'Actual Value'!AK344+"AM:!.G\"</f>
        <v>#VALUE!</v>
      </c>
      <c r="CB228" s="97" t="e">
        <f>'Actual Value'!AL344+"AM:!.G]"</f>
        <v>#VALUE!</v>
      </c>
      <c r="CC228" s="97" t="e">
        <f>'Actual Value'!AM344+"AM:!.G^"</f>
        <v>#VALUE!</v>
      </c>
      <c r="CD228" s="97" t="e">
        <f>'Actual Value'!AN344+"AM:!.G_"</f>
        <v>#VALUE!</v>
      </c>
      <c r="CE228" s="97" t="e">
        <f>'Actual Value'!AO344+"AM:!.G`"</f>
        <v>#VALUE!</v>
      </c>
      <c r="CF228" t="e">
        <f>'Actual Value'!AP344+"AM:!.Ga"</f>
        <v>#VALUE!</v>
      </c>
      <c r="CG228" t="e">
        <f>'Actual Value'!AQ344+"AM:!.Gb"</f>
        <v>#VALUE!</v>
      </c>
      <c r="CH228" t="e">
        <f>'Actual Value'!AR344+"AM:!.Gc"</f>
        <v>#VALUE!</v>
      </c>
      <c r="CI228" t="e">
        <f>'Actual Value'!AS344+"AM:!.Gd"</f>
        <v>#VALUE!</v>
      </c>
      <c r="CJ228" t="e">
        <f>'Actual Value'!AT344+"AM:!.Ge"</f>
        <v>#VALUE!</v>
      </c>
      <c r="CK228" t="e">
        <f>'Actual Value'!AU344+"AM:!.Gf"</f>
        <v>#VALUE!</v>
      </c>
      <c r="CL228" t="e">
        <f>'Actual Value'!AV344+"AM:!.Gg"</f>
        <v>#VALUE!</v>
      </c>
      <c r="CM228" t="e">
        <f>'Actual Value'!AW344+"AM:!.Gh"</f>
        <v>#VALUE!</v>
      </c>
      <c r="CN228" t="e">
        <f>'Actual Value'!AX344+"AM:!.Gi"</f>
        <v>#VALUE!</v>
      </c>
      <c r="CO228" t="e">
        <f>'Actual Value'!A345+"AM:!.Gj"</f>
        <v>#VALUE!</v>
      </c>
      <c r="CP228" t="e">
        <f>'Actual Value'!B345+"AM:!.Gk"</f>
        <v>#VALUE!</v>
      </c>
      <c r="CQ228" t="e">
        <f>'Actual Value'!C345+"AM:!.Gl"</f>
        <v>#VALUE!</v>
      </c>
      <c r="CR228" s="97" t="e">
        <f>'Actual Value'!D345+"AM:!.Gm"</f>
        <v>#VALUE!</v>
      </c>
      <c r="CS228" s="97" t="e">
        <f>'Actual Value'!E345+"AM:!.Gn"</f>
        <v>#VALUE!</v>
      </c>
      <c r="CT228" s="97" t="e">
        <f>'Actual Value'!F345+"AM:!.Go"</f>
        <v>#VALUE!</v>
      </c>
      <c r="CU228" s="97" t="e">
        <f>'Actual Value'!G345+"AM:!.Gp"</f>
        <v>#VALUE!</v>
      </c>
      <c r="CV228" s="97" t="e">
        <f>'Actual Value'!H345+"AM:!.Gq"</f>
        <v>#VALUE!</v>
      </c>
      <c r="CW228" s="97" t="e">
        <f>'Actual Value'!I345+"AM:!.Gr"</f>
        <v>#VALUE!</v>
      </c>
      <c r="CX228" s="97" t="e">
        <f>'Actual Value'!J345+"AM:!.Gs"</f>
        <v>#VALUE!</v>
      </c>
      <c r="CY228" s="97" t="e">
        <f>'Actual Value'!K345+"AM:!.Gt"</f>
        <v>#VALUE!</v>
      </c>
      <c r="CZ228" s="97" t="e">
        <f>'Actual Value'!L345+"AM:!.Gu"</f>
        <v>#VALUE!</v>
      </c>
      <c r="DA228" s="97" t="e">
        <f>'Actual Value'!M345+"AM:!.Gv"</f>
        <v>#VALUE!</v>
      </c>
      <c r="DB228" s="97" t="e">
        <f>'Actual Value'!N345+"AM:!.Gw"</f>
        <v>#VALUE!</v>
      </c>
      <c r="DC228" s="97" t="e">
        <f>'Actual Value'!O345+"AM:!.Gx"</f>
        <v>#VALUE!</v>
      </c>
      <c r="DD228" s="97" t="e">
        <f>'Actual Value'!P345+"AM:!.Gy"</f>
        <v>#VALUE!</v>
      </c>
      <c r="DE228" s="97" t="e">
        <f>'Actual Value'!Q345+"AM:!.Gz"</f>
        <v>#VALUE!</v>
      </c>
      <c r="DF228" s="97" t="e">
        <f>'Actual Value'!R345+"AM:!.G{"</f>
        <v>#VALUE!</v>
      </c>
      <c r="DG228" s="97" t="e">
        <f>'Actual Value'!S345+"AM:!.G|"</f>
        <v>#VALUE!</v>
      </c>
      <c r="DH228" s="97" t="e">
        <f>'Actual Value'!T345+"AM:!.G}"</f>
        <v>#VALUE!</v>
      </c>
      <c r="DI228" s="97" t="e">
        <f>'Actual Value'!U345+"AM:!.G~"</f>
        <v>#VALUE!</v>
      </c>
      <c r="DJ228" s="97" t="e">
        <f>'Actual Value'!V345+"AM:!.H#"</f>
        <v>#VALUE!</v>
      </c>
      <c r="DK228" s="97" t="e">
        <f>'Actual Value'!W345+"AM:!.H$"</f>
        <v>#VALUE!</v>
      </c>
      <c r="DL228" s="97" t="e">
        <f>'Actual Value'!X345+"AM:!.H%"</f>
        <v>#VALUE!</v>
      </c>
      <c r="DM228" s="97" t="e">
        <f>'Actual Value'!Y345+"AM:!.H&amp;"</f>
        <v>#VALUE!</v>
      </c>
      <c r="DN228" s="97" t="e">
        <f>'Actual Value'!Z345+"AM:!.H'"</f>
        <v>#VALUE!</v>
      </c>
      <c r="DO228" s="97" t="e">
        <f>'Actual Value'!AA345+"AM:!.H("</f>
        <v>#VALUE!</v>
      </c>
      <c r="DP228" s="97" t="e">
        <f>'Actual Value'!AB345+"AM:!.H)"</f>
        <v>#VALUE!</v>
      </c>
      <c r="DQ228" s="97" t="e">
        <f>'Actual Value'!AC345+"AM:!.H."</f>
        <v>#VALUE!</v>
      </c>
      <c r="DR228" s="97" t="e">
        <f>'Actual Value'!AD345+"AM:!.H/"</f>
        <v>#VALUE!</v>
      </c>
      <c r="DS228" s="97" t="e">
        <f>'Actual Value'!AE345+"AM:!.H0"</f>
        <v>#VALUE!</v>
      </c>
      <c r="DT228" s="97" t="e">
        <f>'Actual Value'!AF345+"AM:!.H1"</f>
        <v>#VALUE!</v>
      </c>
      <c r="DU228" s="97" t="e">
        <f>'Actual Value'!AG345+"AM:!.H2"</f>
        <v>#VALUE!</v>
      </c>
      <c r="DV228" s="97" t="e">
        <f>'Actual Value'!AH345+"AM:!.H3"</f>
        <v>#VALUE!</v>
      </c>
      <c r="DW228" s="97" t="e">
        <f>'Actual Value'!AI345+"AM:!.H4"</f>
        <v>#VALUE!</v>
      </c>
      <c r="DX228" s="97" t="e">
        <f>'Actual Value'!AJ345+"AM:!.H5"</f>
        <v>#VALUE!</v>
      </c>
      <c r="DY228" s="97" t="e">
        <f>'Actual Value'!AK345+"AM:!.H6"</f>
        <v>#VALUE!</v>
      </c>
      <c r="DZ228" s="97" t="e">
        <f>'Actual Value'!AL345+"AM:!.H7"</f>
        <v>#VALUE!</v>
      </c>
      <c r="EA228" s="97" t="e">
        <f>'Actual Value'!AM345+"AM:!.H8"</f>
        <v>#VALUE!</v>
      </c>
      <c r="EB228" s="97" t="e">
        <f>'Actual Value'!AN345+"AM:!.H9"</f>
        <v>#VALUE!</v>
      </c>
      <c r="EC228" s="97" t="e">
        <f>'Actual Value'!AO345+"AM:!.H:"</f>
        <v>#VALUE!</v>
      </c>
      <c r="ED228" t="e">
        <f>'Actual Value'!AP345+"AM:!.H;"</f>
        <v>#VALUE!</v>
      </c>
      <c r="EE228" t="e">
        <f>'Actual Value'!AQ345+"AM:!.H&lt;"</f>
        <v>#VALUE!</v>
      </c>
      <c r="EF228" t="e">
        <f>'Actual Value'!AR345+"AM:!.H="</f>
        <v>#VALUE!</v>
      </c>
      <c r="EG228" t="e">
        <f>'Actual Value'!AS345+"AM:!.H&gt;"</f>
        <v>#VALUE!</v>
      </c>
      <c r="EH228" t="e">
        <f>'Actual Value'!AT345+"AM:!.H?"</f>
        <v>#VALUE!</v>
      </c>
      <c r="EI228" t="e">
        <f>'Actual Value'!AU345+"AM:!.H@"</f>
        <v>#VALUE!</v>
      </c>
      <c r="EJ228" t="e">
        <f>'Actual Value'!AV345+"AM:!.HA"</f>
        <v>#VALUE!</v>
      </c>
      <c r="EK228" t="e">
        <f>'Actual Value'!AW345+"AM:!.HB"</f>
        <v>#VALUE!</v>
      </c>
      <c r="EL228" t="e">
        <f>'Actual Value'!AX345+"AM:!.HC"</f>
        <v>#VALUE!</v>
      </c>
      <c r="EM228" t="e">
        <f>'Actual Value'!A346+"AM:!.HD"</f>
        <v>#VALUE!</v>
      </c>
      <c r="EN228" t="e">
        <f>'Actual Value'!B346+"AM:!.HE"</f>
        <v>#VALUE!</v>
      </c>
      <c r="EO228" t="e">
        <f>'Actual Value'!C346+"AM:!.HF"</f>
        <v>#VALUE!</v>
      </c>
      <c r="EP228" t="e">
        <f>'Actual Value'!D346+"AM:!.HG"</f>
        <v>#VALUE!</v>
      </c>
      <c r="EQ228" t="e">
        <f>'Actual Value'!E346+"AM:!.HH"</f>
        <v>#VALUE!</v>
      </c>
      <c r="ER228" t="e">
        <f>'Actual Value'!F346+"AM:!.HI"</f>
        <v>#VALUE!</v>
      </c>
      <c r="ES228" t="e">
        <f>'Actual Value'!G346+"AM:!.HJ"</f>
        <v>#VALUE!</v>
      </c>
      <c r="ET228" t="e">
        <f>'Actual Value'!H346+"AM:!.HK"</f>
        <v>#VALUE!</v>
      </c>
      <c r="EU228" t="e">
        <f>'Actual Value'!I346+"AM:!.HL"</f>
        <v>#VALUE!</v>
      </c>
      <c r="EV228" t="e">
        <f>'Actual Value'!J346+"AM:!.HM"</f>
        <v>#VALUE!</v>
      </c>
      <c r="EW228" t="e">
        <f>'Actual Value'!K346+"AM:!.HN"</f>
        <v>#VALUE!</v>
      </c>
      <c r="EX228" t="e">
        <f>'Actual Value'!L346+"AM:!.HO"</f>
        <v>#VALUE!</v>
      </c>
      <c r="EY228" t="e">
        <f>'Actual Value'!M346+"AM:!.HP"</f>
        <v>#VALUE!</v>
      </c>
      <c r="EZ228" t="e">
        <f>'Actual Value'!N346+"AM:!.HQ"</f>
        <v>#VALUE!</v>
      </c>
      <c r="FA228" t="e">
        <f>'Actual Value'!O346+"AM:!.HR"</f>
        <v>#VALUE!</v>
      </c>
      <c r="FB228" t="e">
        <f>'Actual Value'!P346+"AM:!.HS"</f>
        <v>#VALUE!</v>
      </c>
      <c r="FC228" t="e">
        <f>'Actual Value'!Q346+"AM:!.HT"</f>
        <v>#VALUE!</v>
      </c>
      <c r="FD228" t="e">
        <f>'Actual Value'!R346+"AM:!.HU"</f>
        <v>#VALUE!</v>
      </c>
      <c r="FE228" t="e">
        <f>'Actual Value'!S346+"AM:!.HV"</f>
        <v>#VALUE!</v>
      </c>
      <c r="FF228" t="e">
        <f>'Actual Value'!T346+"AM:!.HW"</f>
        <v>#VALUE!</v>
      </c>
      <c r="FG228" t="e">
        <f>'Actual Value'!U346+"AM:!.HX"</f>
        <v>#VALUE!</v>
      </c>
      <c r="FH228" t="e">
        <f>'Actual Value'!V346+"AM:!.HY"</f>
        <v>#VALUE!</v>
      </c>
      <c r="FI228" t="e">
        <f>'Actual Value'!W346+"AM:!.HZ"</f>
        <v>#VALUE!</v>
      </c>
      <c r="FJ228" t="e">
        <f>'Actual Value'!X346+"AM:!.H["</f>
        <v>#VALUE!</v>
      </c>
      <c r="FK228" t="e">
        <f>'Actual Value'!Y346+"AM:!.H\"</f>
        <v>#VALUE!</v>
      </c>
      <c r="FL228" t="e">
        <f>'Actual Value'!Z346+"AM:!.H]"</f>
        <v>#VALUE!</v>
      </c>
      <c r="FM228" t="e">
        <f>'Actual Value'!AA346+"AM:!.H^"</f>
        <v>#VALUE!</v>
      </c>
      <c r="FN228" t="e">
        <f>'Actual Value'!AB346+"AM:!.H_"</f>
        <v>#VALUE!</v>
      </c>
      <c r="FO228" t="e">
        <f>'Actual Value'!AC346+"AM:!.H`"</f>
        <v>#VALUE!</v>
      </c>
      <c r="FP228" t="e">
        <f>'Actual Value'!AD346+"AM:!.Ha"</f>
        <v>#VALUE!</v>
      </c>
      <c r="FQ228" t="e">
        <f>'Actual Value'!AE346+"AM:!.Hb"</f>
        <v>#VALUE!</v>
      </c>
      <c r="FR228" t="e">
        <f>'Actual Value'!AF346+"AM:!.Hc"</f>
        <v>#VALUE!</v>
      </c>
      <c r="FS228" t="e">
        <f>'Actual Value'!AG346+"AM:!.Hd"</f>
        <v>#VALUE!</v>
      </c>
      <c r="FT228" t="e">
        <f>'Actual Value'!AH346+"AM:!.He"</f>
        <v>#VALUE!</v>
      </c>
      <c r="FU228" t="e">
        <f>'Actual Value'!AI346+"AM:!.Hf"</f>
        <v>#VALUE!</v>
      </c>
      <c r="FV228" t="e">
        <f>'Actual Value'!AJ346+"AM:!.Hg"</f>
        <v>#VALUE!</v>
      </c>
      <c r="FW228" t="e">
        <f>'Actual Value'!AK346+"AM:!.Hh"</f>
        <v>#VALUE!</v>
      </c>
      <c r="FX228" t="e">
        <f>'Actual Value'!AL346+"AM:!.Hi"</f>
        <v>#VALUE!</v>
      </c>
      <c r="FY228" t="e">
        <f>'Actual Value'!AM346+"AM:!.Hj"</f>
        <v>#VALUE!</v>
      </c>
      <c r="FZ228" t="e">
        <f>'Actual Value'!AN346+"AM:!.Hk"</f>
        <v>#VALUE!</v>
      </c>
      <c r="GA228" t="e">
        <f>'Actual Value'!AO346+"AM:!.Hl"</f>
        <v>#VALUE!</v>
      </c>
      <c r="GB228" t="e">
        <f>'Actual Value'!AP346+"AM:!.Hm"</f>
        <v>#VALUE!</v>
      </c>
      <c r="GC228" t="e">
        <f>'Actual Value'!AQ346+"AM:!.Hn"</f>
        <v>#VALUE!</v>
      </c>
      <c r="GD228" t="e">
        <f>'Actual Value'!AR346+"AM:!.Ho"</f>
        <v>#VALUE!</v>
      </c>
      <c r="GE228" t="e">
        <f>'Actual Value'!AS346+"AM:!.Hp"</f>
        <v>#VALUE!</v>
      </c>
      <c r="GF228" t="e">
        <f>'Actual Value'!AT346+"AM:!.Hq"</f>
        <v>#VALUE!</v>
      </c>
      <c r="GG228" t="e">
        <f>'Actual Value'!AU346+"AM:!.Hr"</f>
        <v>#VALUE!</v>
      </c>
      <c r="GH228" t="e">
        <f>'Actual Value'!AV346+"AM:!.Hs"</f>
        <v>#VALUE!</v>
      </c>
      <c r="GI228" t="e">
        <f>'Actual Value'!AW346+"AM:!.Ht"</f>
        <v>#VALUE!</v>
      </c>
      <c r="GJ228" t="e">
        <f>'Actual Value'!A347+"AM:!.Hu"</f>
        <v>#VALUE!</v>
      </c>
      <c r="GK228" t="e">
        <f>'Actual Value'!B347+"AM:!.Hv"</f>
        <v>#VALUE!</v>
      </c>
      <c r="GL228" t="e">
        <f>'Actual Value'!C347+"AM:!.Hw"</f>
        <v>#VALUE!</v>
      </c>
      <c r="GM228" s="105" t="e">
        <f>'Actual Value'!D347+"AM:!.Hx"</f>
        <v>#VALUE!</v>
      </c>
      <c r="GN228" s="105" t="e">
        <f>'Actual Value'!E347+"AM:!.Hy"</f>
        <v>#VALUE!</v>
      </c>
      <c r="GO228" s="105" t="e">
        <f>'Actual Value'!F347+"AM:!.Hz"</f>
        <v>#VALUE!</v>
      </c>
      <c r="GP228" s="105" t="e">
        <f>'Actual Value'!G347+"AM:!.H{"</f>
        <v>#VALUE!</v>
      </c>
      <c r="GQ228" s="105" t="e">
        <f>'Actual Value'!H347+"AM:!.H|"</f>
        <v>#VALUE!</v>
      </c>
      <c r="GR228" s="105" t="e">
        <f>'Actual Value'!I347+"AM:!.H}"</f>
        <v>#VALUE!</v>
      </c>
      <c r="GS228" s="105" t="e">
        <f>'Actual Value'!J347+"AM:!.H~"</f>
        <v>#VALUE!</v>
      </c>
      <c r="GT228" s="105" t="e">
        <f>'Actual Value'!K347+"AM:!.I#"</f>
        <v>#VALUE!</v>
      </c>
      <c r="GU228" s="105" t="e">
        <f>'Actual Value'!L347+"AM:!.I$"</f>
        <v>#VALUE!</v>
      </c>
      <c r="GV228" s="105" t="e">
        <f>'Actual Value'!M347+"AM:!.I%"</f>
        <v>#VALUE!</v>
      </c>
      <c r="GW228" s="105" t="e">
        <f>'Actual Value'!N347+"AM:!.I&amp;"</f>
        <v>#VALUE!</v>
      </c>
      <c r="GX228" s="105" t="e">
        <f>'Actual Value'!O347+"AM:!.I'"</f>
        <v>#VALUE!</v>
      </c>
      <c r="GY228" s="105" t="e">
        <f>'Actual Value'!P347+"AM:!.I("</f>
        <v>#VALUE!</v>
      </c>
      <c r="GZ228" s="105" t="e">
        <f>'Actual Value'!Q347+"AM:!.I)"</f>
        <v>#VALUE!</v>
      </c>
      <c r="HA228" s="105" t="e">
        <f>'Actual Value'!R347+"AM:!.I."</f>
        <v>#VALUE!</v>
      </c>
      <c r="HB228" s="105" t="e">
        <f>'Actual Value'!S347+"AM:!.I/"</f>
        <v>#VALUE!</v>
      </c>
      <c r="HC228" s="105" t="e">
        <f>'Actual Value'!T347+"AM:!.I0"</f>
        <v>#VALUE!</v>
      </c>
      <c r="HD228" s="105" t="e">
        <f>'Actual Value'!U347+"AM:!.I1"</f>
        <v>#VALUE!</v>
      </c>
      <c r="HE228" s="105" t="e">
        <f>'Actual Value'!V347+"AM:!.I2"</f>
        <v>#VALUE!</v>
      </c>
      <c r="HF228" s="105" t="e">
        <f>'Actual Value'!W347+"AM:!.I3"</f>
        <v>#VALUE!</v>
      </c>
      <c r="HG228" s="105" t="e">
        <f>'Actual Value'!X347+"AM:!.I4"</f>
        <v>#VALUE!</v>
      </c>
      <c r="HH228" s="105" t="e">
        <f>'Actual Value'!Y347+"AM:!.I5"</f>
        <v>#VALUE!</v>
      </c>
      <c r="HI228" s="105" t="e">
        <f>'Actual Value'!Z347+"AM:!.I6"</f>
        <v>#VALUE!</v>
      </c>
      <c r="HJ228" s="105" t="e">
        <f>'Actual Value'!AA347+"AM:!.I7"</f>
        <v>#VALUE!</v>
      </c>
      <c r="HK228" s="105" t="e">
        <f>'Actual Value'!AB347+"AM:!.I8"</f>
        <v>#VALUE!</v>
      </c>
      <c r="HL228" s="105" t="e">
        <f>'Actual Value'!AC347+"AM:!.I9"</f>
        <v>#VALUE!</v>
      </c>
      <c r="HM228" s="105" t="e">
        <f>'Actual Value'!AD347+"AM:!.I:"</f>
        <v>#VALUE!</v>
      </c>
      <c r="HN228" s="105" t="e">
        <f>'Actual Value'!AE347+"AM:!.I;"</f>
        <v>#VALUE!</v>
      </c>
      <c r="HO228" s="105" t="e">
        <f>'Actual Value'!AF347+"AM:!.I&lt;"</f>
        <v>#VALUE!</v>
      </c>
      <c r="HP228" s="105" t="e">
        <f>'Actual Value'!AG347+"AM:!.I="</f>
        <v>#VALUE!</v>
      </c>
      <c r="HQ228" s="105" t="e">
        <f>'Actual Value'!AH347+"AM:!.I&gt;"</f>
        <v>#VALUE!</v>
      </c>
      <c r="HR228" s="105" t="e">
        <f>'Actual Value'!AI347+"AM:!.I?"</f>
        <v>#VALUE!</v>
      </c>
      <c r="HS228" s="105" t="e">
        <f>'Actual Value'!AJ347+"AM:!.I@"</f>
        <v>#VALUE!</v>
      </c>
      <c r="HT228" s="105" t="e">
        <f>'Actual Value'!AK347+"AM:!.IA"</f>
        <v>#VALUE!</v>
      </c>
      <c r="HU228" s="105" t="e">
        <f>'Actual Value'!AL347+"AM:!.IB"</f>
        <v>#VALUE!</v>
      </c>
      <c r="HV228" s="105" t="e">
        <f>'Actual Value'!AM347+"AM:!.IC"</f>
        <v>#VALUE!</v>
      </c>
      <c r="HW228" s="105" t="e">
        <f>'Actual Value'!AN347+"AM:!.ID"</f>
        <v>#VALUE!</v>
      </c>
      <c r="HX228" s="105" t="e">
        <f>'Actual Value'!AO347+"AM:!.IE"</f>
        <v>#VALUE!</v>
      </c>
      <c r="HY228" t="e">
        <f>'Actual Value'!AP347+"AM:!.IF"</f>
        <v>#VALUE!</v>
      </c>
      <c r="HZ228" s="100" t="e">
        <f>'Actual Value'!AQ347+"AM:!.IG"</f>
        <v>#VALUE!</v>
      </c>
      <c r="IA228" s="100" t="e">
        <f>'Actual Value'!AR347+"AM:!.IH"</f>
        <v>#VALUE!</v>
      </c>
      <c r="IB228" s="100" t="e">
        <f>'Actual Value'!AS347+"AM:!.II"</f>
        <v>#VALUE!</v>
      </c>
      <c r="IC228" s="100" t="e">
        <f>'Actual Value'!AT347+"AM:!.IJ"</f>
        <v>#VALUE!</v>
      </c>
      <c r="ID228" s="100" t="e">
        <f>'Actual Value'!AU347+"AM:!.IK"</f>
        <v>#VALUE!</v>
      </c>
      <c r="IE228" t="e">
        <f>'Actual Value'!AV347+"AM:!.IL"</f>
        <v>#VALUE!</v>
      </c>
      <c r="IF228" t="e">
        <f>'Actual Value'!AW347+"AM:!.IM"</f>
        <v>#VALUE!</v>
      </c>
      <c r="IG228" t="e">
        <f>'Actual Value'!A348+"AM:!.IN"</f>
        <v>#VALUE!</v>
      </c>
      <c r="IH228" t="e">
        <f>'Actual Value'!B348+"AM:!.IO"</f>
        <v>#VALUE!</v>
      </c>
      <c r="II228" t="e">
        <f>'Actual Value'!C348+"AM:!.IP"</f>
        <v>#VALUE!</v>
      </c>
      <c r="IJ228" s="97" t="e">
        <f>'Actual Value'!D348+"AM:!.IQ"</f>
        <v>#VALUE!</v>
      </c>
      <c r="IK228" s="97" t="e">
        <f>'Actual Value'!E348+"AM:!.IR"</f>
        <v>#VALUE!</v>
      </c>
      <c r="IL228" s="97" t="e">
        <f>'Actual Value'!F348+"AM:!.IS"</f>
        <v>#VALUE!</v>
      </c>
      <c r="IM228" s="97" t="e">
        <f>'Actual Value'!G348+"AM:!.IT"</f>
        <v>#VALUE!</v>
      </c>
      <c r="IN228" s="97" t="e">
        <f>'Actual Value'!H348+"AM:!.IU"</f>
        <v>#VALUE!</v>
      </c>
      <c r="IO228" s="97" t="e">
        <f>'Actual Value'!I348+"AM:!.IV"</f>
        <v>#VALUE!</v>
      </c>
      <c r="IP228" s="97" t="e">
        <f>'Actual Value'!J348+"AM:!.IW"</f>
        <v>#VALUE!</v>
      </c>
      <c r="IQ228" s="97" t="e">
        <f>'Actual Value'!K348+"AM:!.IX"</f>
        <v>#VALUE!</v>
      </c>
      <c r="IR228" s="97" t="e">
        <f>'Actual Value'!L348+"AM:!.IY"</f>
        <v>#VALUE!</v>
      </c>
      <c r="IS228" s="97" t="e">
        <f>'Actual Value'!M348+"AM:!.IZ"</f>
        <v>#VALUE!</v>
      </c>
      <c r="IT228" s="97" t="e">
        <f>'Actual Value'!N348+"AM:!.I["</f>
        <v>#VALUE!</v>
      </c>
      <c r="IU228" s="97" t="e">
        <f>'Actual Value'!O348+"AM:!.I\"</f>
        <v>#VALUE!</v>
      </c>
      <c r="IV228" s="97" t="e">
        <f>'Actual Value'!P348+"AM:!.I]"</f>
        <v>#VALUE!</v>
      </c>
    </row>
    <row r="229" spans="6:256">
      <c r="F229" s="97" t="e">
        <f>'Actual Value'!Q348+"AM:!.I^"</f>
        <v>#VALUE!</v>
      </c>
      <c r="G229" s="97" t="e">
        <f>'Actual Value'!R348+"AM:!.I_"</f>
        <v>#VALUE!</v>
      </c>
      <c r="H229" s="97" t="e">
        <f>'Actual Value'!S348+"AM:!.I`"</f>
        <v>#VALUE!</v>
      </c>
      <c r="I229" s="97" t="e">
        <f>'Actual Value'!T348+"AM:!.Ia"</f>
        <v>#VALUE!</v>
      </c>
      <c r="J229" s="97" t="e">
        <f>'Actual Value'!U348+"AM:!.Ib"</f>
        <v>#VALUE!</v>
      </c>
      <c r="K229" s="97" t="e">
        <f>'Actual Value'!V348+"AM:!.Ic"</f>
        <v>#VALUE!</v>
      </c>
      <c r="L229" s="97" t="e">
        <f>'Actual Value'!W348+"AM:!.Id"</f>
        <v>#VALUE!</v>
      </c>
      <c r="M229" s="97" t="e">
        <f>'Actual Value'!X348+"AM:!.Ie"</f>
        <v>#VALUE!</v>
      </c>
      <c r="N229" s="97" t="e">
        <f>'Actual Value'!Y348+"AM:!.If"</f>
        <v>#VALUE!</v>
      </c>
      <c r="O229" s="97" t="e">
        <f>'Actual Value'!Z348+"AM:!.Ig"</f>
        <v>#VALUE!</v>
      </c>
      <c r="P229" s="97" t="e">
        <f>'Actual Value'!AA348+"AM:!.Ih"</f>
        <v>#VALUE!</v>
      </c>
      <c r="Q229" s="97" t="e">
        <f>'Actual Value'!AB348+"AM:!.Ii"</f>
        <v>#VALUE!</v>
      </c>
      <c r="R229" s="97" t="e">
        <f>'Actual Value'!AC348+"AM:!.Ij"</f>
        <v>#VALUE!</v>
      </c>
      <c r="S229" s="97" t="e">
        <f>'Actual Value'!AD348+"AM:!.Ik"</f>
        <v>#VALUE!</v>
      </c>
      <c r="T229" s="97" t="e">
        <f>'Actual Value'!AE348+"AM:!.Il"</f>
        <v>#VALUE!</v>
      </c>
      <c r="U229" s="97" t="e">
        <f>'Actual Value'!AF348+"AM:!.Im"</f>
        <v>#VALUE!</v>
      </c>
      <c r="V229" s="97" t="e">
        <f>'Actual Value'!AG348+"AM:!.In"</f>
        <v>#VALUE!</v>
      </c>
      <c r="W229" s="97" t="e">
        <f>'Actual Value'!AH348+"AM:!.Io"</f>
        <v>#VALUE!</v>
      </c>
      <c r="X229" s="97" t="e">
        <f>'Actual Value'!AI348+"AM:!.Ip"</f>
        <v>#VALUE!</v>
      </c>
      <c r="Y229" s="97" t="e">
        <f>'Actual Value'!AJ348+"AM:!.Iq"</f>
        <v>#VALUE!</v>
      </c>
      <c r="Z229" s="97" t="e">
        <f>'Actual Value'!AK348+"AM:!.Ir"</f>
        <v>#VALUE!</v>
      </c>
      <c r="AA229" s="97" t="e">
        <f>'Actual Value'!AL348+"AM:!.Is"</f>
        <v>#VALUE!</v>
      </c>
      <c r="AB229" s="97" t="e">
        <f>'Actual Value'!AM348+"AM:!.It"</f>
        <v>#VALUE!</v>
      </c>
      <c r="AC229" s="97" t="e">
        <f>'Actual Value'!AN348+"AM:!.Iu"</f>
        <v>#VALUE!</v>
      </c>
      <c r="AD229" s="97" t="e">
        <f>'Actual Value'!AO348+"AM:!.Iv"</f>
        <v>#VALUE!</v>
      </c>
      <c r="AE229" t="e">
        <f>'Actual Value'!AP348+"AM:!.Iw"</f>
        <v>#VALUE!</v>
      </c>
      <c r="AF229" t="e">
        <f>'Actual Value'!AQ348+"AM:!.Ix"</f>
        <v>#VALUE!</v>
      </c>
      <c r="AG229" t="e">
        <f>'Actual Value'!AR348+"AM:!.Iy"</f>
        <v>#VALUE!</v>
      </c>
      <c r="AH229" s="97" t="e">
        <f>'Actual Value'!AS348+"AM:!.Iz"</f>
        <v>#VALUE!</v>
      </c>
      <c r="AI229" t="e">
        <f>'Actual Value'!AT348+"AM:!.I{"</f>
        <v>#VALUE!</v>
      </c>
      <c r="AJ229" t="e">
        <f>'Actual Value'!AU348+"AM:!.I|"</f>
        <v>#VALUE!</v>
      </c>
      <c r="AK229" t="e">
        <f>'Actual Value'!AV348+"AM:!.I}"</f>
        <v>#VALUE!</v>
      </c>
      <c r="AL229" t="e">
        <f>'Actual Value'!AW348+"AM:!.I~"</f>
        <v>#VALUE!</v>
      </c>
      <c r="AM229" t="e">
        <f>'Actual Value'!A349+"AM:!.J#"</f>
        <v>#VALUE!</v>
      </c>
      <c r="AN229" t="e">
        <f>'Actual Value'!B349+"AM:!.J$"</f>
        <v>#VALUE!</v>
      </c>
      <c r="AO229" t="e">
        <f>'Actual Value'!C349+"AM:!.J%"</f>
        <v>#VALUE!</v>
      </c>
      <c r="AP229" s="97" t="e">
        <f>'Actual Value'!D349+"AM:!.J&amp;"</f>
        <v>#VALUE!</v>
      </c>
      <c r="AQ229" s="97" t="e">
        <f>'Actual Value'!E349+"AM:!.J'"</f>
        <v>#VALUE!</v>
      </c>
      <c r="AR229" s="97" t="e">
        <f>'Actual Value'!F349+"AM:!.J("</f>
        <v>#VALUE!</v>
      </c>
      <c r="AS229" s="97" t="e">
        <f>'Actual Value'!G349+"AM:!.J)"</f>
        <v>#VALUE!</v>
      </c>
      <c r="AT229" s="97" t="e">
        <f>'Actual Value'!H349+"AM:!.J."</f>
        <v>#VALUE!</v>
      </c>
      <c r="AU229" s="97" t="e">
        <f>'Actual Value'!I349+"AM:!.J/"</f>
        <v>#VALUE!</v>
      </c>
      <c r="AV229" s="97" t="e">
        <f>'Actual Value'!J349+"AM:!.J0"</f>
        <v>#VALUE!</v>
      </c>
      <c r="AW229" s="97" t="e">
        <f>'Actual Value'!K349+"AM:!.J1"</f>
        <v>#VALUE!</v>
      </c>
      <c r="AX229" s="97" t="e">
        <f>'Actual Value'!L349+"AM:!.J2"</f>
        <v>#VALUE!</v>
      </c>
      <c r="AY229" s="97" t="e">
        <f>'Actual Value'!M349+"AM:!.J3"</f>
        <v>#VALUE!</v>
      </c>
      <c r="AZ229" s="97" t="e">
        <f>'Actual Value'!N349+"AM:!.J4"</f>
        <v>#VALUE!</v>
      </c>
      <c r="BA229" s="97" t="e">
        <f>'Actual Value'!O349+"AM:!.J5"</f>
        <v>#VALUE!</v>
      </c>
      <c r="BB229" s="97" t="e">
        <f>'Actual Value'!P349+"AM:!.J6"</f>
        <v>#VALUE!</v>
      </c>
      <c r="BC229" s="97" t="e">
        <f>'Actual Value'!Q349+"AM:!.J7"</f>
        <v>#VALUE!</v>
      </c>
      <c r="BD229" s="97" t="e">
        <f>'Actual Value'!R349+"AM:!.J8"</f>
        <v>#VALUE!</v>
      </c>
      <c r="BE229" s="97" t="e">
        <f>'Actual Value'!S349+"AM:!.J9"</f>
        <v>#VALUE!</v>
      </c>
      <c r="BF229" s="97" t="e">
        <f>'Actual Value'!T349+"AM:!.J:"</f>
        <v>#VALUE!</v>
      </c>
      <c r="BG229" s="97" t="e">
        <f>'Actual Value'!U349+"AM:!.J;"</f>
        <v>#VALUE!</v>
      </c>
      <c r="BH229" s="97" t="e">
        <f>'Actual Value'!V349+"AM:!.J&lt;"</f>
        <v>#VALUE!</v>
      </c>
      <c r="BI229" s="97" t="e">
        <f>'Actual Value'!W349+"AM:!.J="</f>
        <v>#VALUE!</v>
      </c>
      <c r="BJ229" s="97" t="e">
        <f>'Actual Value'!X349+"AM:!.J&gt;"</f>
        <v>#VALUE!</v>
      </c>
      <c r="BK229" s="97" t="e">
        <f>'Actual Value'!Y349+"AM:!.J?"</f>
        <v>#VALUE!</v>
      </c>
      <c r="BL229" s="97" t="e">
        <f>'Actual Value'!Z349+"AM:!.J@"</f>
        <v>#VALUE!</v>
      </c>
      <c r="BM229" s="97" t="e">
        <f>'Actual Value'!AA349+"AM:!.JA"</f>
        <v>#VALUE!</v>
      </c>
      <c r="BN229" s="97" t="e">
        <f>'Actual Value'!AB349+"AM:!.JB"</f>
        <v>#VALUE!</v>
      </c>
      <c r="BO229" s="97" t="e">
        <f>'Actual Value'!AC349+"AM:!.JC"</f>
        <v>#VALUE!</v>
      </c>
      <c r="BP229" s="97" t="e">
        <f>'Actual Value'!AD349+"AM:!.JD"</f>
        <v>#VALUE!</v>
      </c>
      <c r="BQ229" s="97" t="e">
        <f>'Actual Value'!AE349+"AM:!.JE"</f>
        <v>#VALUE!</v>
      </c>
      <c r="BR229" s="97" t="e">
        <f>'Actual Value'!AF349+"AM:!.JF"</f>
        <v>#VALUE!</v>
      </c>
      <c r="BS229" s="97" t="e">
        <f>'Actual Value'!AG349+"AM:!.JG"</f>
        <v>#VALUE!</v>
      </c>
      <c r="BT229" s="97" t="e">
        <f>'Actual Value'!AH349+"AM:!.JH"</f>
        <v>#VALUE!</v>
      </c>
      <c r="BU229" s="97" t="e">
        <f>'Actual Value'!AI349+"AM:!.JI"</f>
        <v>#VALUE!</v>
      </c>
      <c r="BV229" s="97" t="e">
        <f>'Actual Value'!AJ349+"AM:!.JJ"</f>
        <v>#VALUE!</v>
      </c>
      <c r="BW229" s="97" t="e">
        <f>'Actual Value'!AK349+"AM:!.JK"</f>
        <v>#VALUE!</v>
      </c>
      <c r="BX229" s="97" t="e">
        <f>'Actual Value'!AL349+"AM:!.JL"</f>
        <v>#VALUE!</v>
      </c>
      <c r="BY229" s="97" t="e">
        <f>'Actual Value'!AM349+"AM:!.JM"</f>
        <v>#VALUE!</v>
      </c>
      <c r="BZ229" s="97" t="e">
        <f>'Actual Value'!AN349+"AM:!.JN"</f>
        <v>#VALUE!</v>
      </c>
      <c r="CA229" s="97" t="e">
        <f>'Actual Value'!AO349+"AM:!.JO"</f>
        <v>#VALUE!</v>
      </c>
      <c r="CB229" t="e">
        <f>'Actual Value'!AP349+"AM:!.JP"</f>
        <v>#VALUE!</v>
      </c>
      <c r="CC229" t="e">
        <f>'Actual Value'!AQ349+"AM:!.JQ"</f>
        <v>#VALUE!</v>
      </c>
      <c r="CD229" t="e">
        <f>'Actual Value'!AR349+"AM:!.JR"</f>
        <v>#VALUE!</v>
      </c>
      <c r="CE229" s="97" t="e">
        <f>'Actual Value'!AS349+"AM:!.JS"</f>
        <v>#VALUE!</v>
      </c>
      <c r="CF229" t="e">
        <f>'Actual Value'!AT349+"AM:!.JT"</f>
        <v>#VALUE!</v>
      </c>
      <c r="CG229" t="e">
        <f>'Actual Value'!AU349+"AM:!.JU"</f>
        <v>#VALUE!</v>
      </c>
      <c r="CH229" t="e">
        <f>'Actual Value'!AV349+"AM:!.JV"</f>
        <v>#VALUE!</v>
      </c>
      <c r="CI229" t="e">
        <f>'Actual Value'!AW349+"AM:!.JW"</f>
        <v>#VALUE!</v>
      </c>
      <c r="CJ229" t="e">
        <f>'Actual Value'!A350+"AM:!.JX"</f>
        <v>#VALUE!</v>
      </c>
      <c r="CK229" t="e">
        <f>'Actual Value'!B350+"AM:!.JY"</f>
        <v>#VALUE!</v>
      </c>
      <c r="CL229" t="e">
        <f>'Actual Value'!C350+"AM:!.JZ"</f>
        <v>#VALUE!</v>
      </c>
      <c r="CM229" s="97" t="e">
        <f>'Actual Value'!D350+"AM:!.J["</f>
        <v>#VALUE!</v>
      </c>
      <c r="CN229" s="97" t="e">
        <f>'Actual Value'!E350+"AM:!.J\"</f>
        <v>#VALUE!</v>
      </c>
      <c r="CO229" s="97" t="e">
        <f>'Actual Value'!F350+"AM:!.J]"</f>
        <v>#VALUE!</v>
      </c>
      <c r="CP229" s="97" t="e">
        <f>'Actual Value'!G350+"AM:!.J^"</f>
        <v>#VALUE!</v>
      </c>
      <c r="CQ229" s="97" t="e">
        <f>'Actual Value'!H350+"AM:!.J_"</f>
        <v>#VALUE!</v>
      </c>
      <c r="CR229" s="97" t="e">
        <f>'Actual Value'!I350+"AM:!.J`"</f>
        <v>#VALUE!</v>
      </c>
      <c r="CS229" s="97" t="e">
        <f>'Actual Value'!J350+"AM:!.Ja"</f>
        <v>#VALUE!</v>
      </c>
      <c r="CT229" s="97" t="e">
        <f>'Actual Value'!K350+"AM:!.Jb"</f>
        <v>#VALUE!</v>
      </c>
      <c r="CU229" s="97" t="e">
        <f>'Actual Value'!L350+"AM:!.Jc"</f>
        <v>#VALUE!</v>
      </c>
      <c r="CV229" s="97" t="e">
        <f>'Actual Value'!M350+"AM:!.Jd"</f>
        <v>#VALUE!</v>
      </c>
      <c r="CW229" s="97" t="e">
        <f>'Actual Value'!N350+"AM:!.Je"</f>
        <v>#VALUE!</v>
      </c>
      <c r="CX229" s="97" t="e">
        <f>'Actual Value'!O350+"AM:!.Jf"</f>
        <v>#VALUE!</v>
      </c>
      <c r="CY229" s="97" t="e">
        <f>'Actual Value'!P350+"AM:!.Jg"</f>
        <v>#VALUE!</v>
      </c>
      <c r="CZ229" s="97" t="e">
        <f>'Actual Value'!Q350+"AM:!.Jh"</f>
        <v>#VALUE!</v>
      </c>
      <c r="DA229" s="97" t="e">
        <f>'Actual Value'!R350+"AM:!.Ji"</f>
        <v>#VALUE!</v>
      </c>
      <c r="DB229" s="97" t="e">
        <f>'Actual Value'!S350+"AM:!.Jj"</f>
        <v>#VALUE!</v>
      </c>
      <c r="DC229" s="97" t="e">
        <f>'Actual Value'!T350+"AM:!.Jk"</f>
        <v>#VALUE!</v>
      </c>
      <c r="DD229" s="97" t="e">
        <f>'Actual Value'!U350+"AM:!.Jl"</f>
        <v>#VALUE!</v>
      </c>
      <c r="DE229" s="97" t="e">
        <f>'Actual Value'!V350+"AM:!.Jm"</f>
        <v>#VALUE!</v>
      </c>
      <c r="DF229" s="97" t="e">
        <f>'Actual Value'!W350+"AM:!.Jn"</f>
        <v>#VALUE!</v>
      </c>
      <c r="DG229" s="97" t="e">
        <f>'Actual Value'!X350+"AM:!.Jo"</f>
        <v>#VALUE!</v>
      </c>
      <c r="DH229" s="97" t="e">
        <f>'Actual Value'!Y350+"AM:!.Jp"</f>
        <v>#VALUE!</v>
      </c>
      <c r="DI229" s="97" t="e">
        <f>'Actual Value'!Z350+"AM:!.Jq"</f>
        <v>#VALUE!</v>
      </c>
      <c r="DJ229" s="97" t="e">
        <f>'Actual Value'!AA350+"AM:!.Jr"</f>
        <v>#VALUE!</v>
      </c>
      <c r="DK229" s="97" t="e">
        <f>'Actual Value'!AB350+"AM:!.Js"</f>
        <v>#VALUE!</v>
      </c>
      <c r="DL229" s="97" t="e">
        <f>'Actual Value'!AC350+"AM:!.Jt"</f>
        <v>#VALUE!</v>
      </c>
      <c r="DM229" s="97" t="e">
        <f>'Actual Value'!AD350+"AM:!.Ju"</f>
        <v>#VALUE!</v>
      </c>
      <c r="DN229" s="97" t="e">
        <f>'Actual Value'!AE350+"AM:!.Jv"</f>
        <v>#VALUE!</v>
      </c>
      <c r="DO229" s="97" t="e">
        <f>'Actual Value'!AF350+"AM:!.Jw"</f>
        <v>#VALUE!</v>
      </c>
      <c r="DP229" s="97" t="e">
        <f>'Actual Value'!AG350+"AM:!.Jx"</f>
        <v>#VALUE!</v>
      </c>
      <c r="DQ229" s="97" t="e">
        <f>'Actual Value'!AH350+"AM:!.Jy"</f>
        <v>#VALUE!</v>
      </c>
      <c r="DR229" s="97" t="e">
        <f>'Actual Value'!AI350+"AM:!.Jz"</f>
        <v>#VALUE!</v>
      </c>
      <c r="DS229" s="97" t="e">
        <f>'Actual Value'!AJ350+"AM:!.J{"</f>
        <v>#VALUE!</v>
      </c>
      <c r="DT229" s="97" t="e">
        <f>'Actual Value'!AK350+"AM:!.J|"</f>
        <v>#VALUE!</v>
      </c>
      <c r="DU229" s="97" t="e">
        <f>'Actual Value'!AL350+"AM:!.J}"</f>
        <v>#VALUE!</v>
      </c>
      <c r="DV229" s="97" t="e">
        <f>'Actual Value'!AM350+"AM:!.J~"</f>
        <v>#VALUE!</v>
      </c>
      <c r="DW229" s="97" t="e">
        <f>'Actual Value'!AN350+"AM:!.K#"</f>
        <v>#VALUE!</v>
      </c>
      <c r="DX229" s="97" t="e">
        <f>'Actual Value'!AO350+"AM:!.K$"</f>
        <v>#VALUE!</v>
      </c>
      <c r="DY229" t="e">
        <f>'Actual Value'!AP350+"AM:!.K%"</f>
        <v>#VALUE!</v>
      </c>
      <c r="DZ229" t="e">
        <f>'Actual Value'!AQ350+"AM:!.K&amp;"</f>
        <v>#VALUE!</v>
      </c>
      <c r="EA229" t="e">
        <f>'Actual Value'!AR350+"AM:!.K'"</f>
        <v>#VALUE!</v>
      </c>
      <c r="EB229" t="e">
        <f>'Actual Value'!AS350+"AM:!.K("</f>
        <v>#VALUE!</v>
      </c>
      <c r="EC229" t="e">
        <f>'Actual Value'!AT350+"AM:!.K)"</f>
        <v>#VALUE!</v>
      </c>
      <c r="ED229" t="e">
        <f>'Actual Value'!AU350+"AM:!.K."</f>
        <v>#VALUE!</v>
      </c>
      <c r="EE229" t="e">
        <f>'Actual Value'!AV350+"AM:!.K/"</f>
        <v>#VALUE!</v>
      </c>
      <c r="EF229" t="e">
        <f>'Actual Value'!AW350+"AM:!.K0"</f>
        <v>#VALUE!</v>
      </c>
      <c r="EG229" s="98" t="e">
        <f>'Actual Value'!A351+"AM:!.K1"</f>
        <v>#VALUE!</v>
      </c>
      <c r="EH229" s="98" t="e">
        <f>'Actual Value'!B351+"AM:!.K2"</f>
        <v>#VALUE!</v>
      </c>
      <c r="EI229" s="98" t="e">
        <f>'Actual Value'!C351+"AM:!.K3"</f>
        <v>#VALUE!</v>
      </c>
      <c r="EJ229" t="e">
        <f>'Actual Value'!D351+"AM:!.K4"</f>
        <v>#VALUE!</v>
      </c>
      <c r="EK229" t="e">
        <f>'Actual Value'!E351+"AM:!.K5"</f>
        <v>#VALUE!</v>
      </c>
      <c r="EL229" t="e">
        <f>'Actual Value'!F351+"AM:!.K6"</f>
        <v>#VALUE!</v>
      </c>
      <c r="EM229" t="e">
        <f>'Actual Value'!G351+"AM:!.K7"</f>
        <v>#VALUE!</v>
      </c>
      <c r="EN229" t="e">
        <f>'Actual Value'!H351+"AM:!.K8"</f>
        <v>#VALUE!</v>
      </c>
      <c r="EO229" t="e">
        <f>'Actual Value'!I351+"AM:!.K9"</f>
        <v>#VALUE!</v>
      </c>
      <c r="EP229" t="e">
        <f>'Actual Value'!J351+"AM:!.K:"</f>
        <v>#VALUE!</v>
      </c>
      <c r="EQ229" t="e">
        <f>'Actual Value'!K351+"AM:!.K;"</f>
        <v>#VALUE!</v>
      </c>
      <c r="ER229" t="e">
        <f>'Actual Value'!L351+"AM:!.K&lt;"</f>
        <v>#VALUE!</v>
      </c>
      <c r="ES229" t="e">
        <f>'Actual Value'!M351+"AM:!.K="</f>
        <v>#VALUE!</v>
      </c>
      <c r="ET229" t="e">
        <f>'Actual Value'!N351+"AM:!.K&gt;"</f>
        <v>#VALUE!</v>
      </c>
      <c r="EU229" t="e">
        <f>'Actual Value'!O351+"AM:!.K?"</f>
        <v>#VALUE!</v>
      </c>
      <c r="EV229" t="e">
        <f>'Actual Value'!P351+"AM:!.K@"</f>
        <v>#VALUE!</v>
      </c>
      <c r="EW229" t="e">
        <f>'Actual Value'!Q351+"AM:!.KA"</f>
        <v>#VALUE!</v>
      </c>
      <c r="EX229" t="e">
        <f>'Actual Value'!R351+"AM:!.KB"</f>
        <v>#VALUE!</v>
      </c>
      <c r="EY229" t="e">
        <f>'Actual Value'!S351+"AM:!.KC"</f>
        <v>#VALUE!</v>
      </c>
      <c r="EZ229" t="e">
        <f>'Actual Value'!T351+"AM:!.KD"</f>
        <v>#VALUE!</v>
      </c>
      <c r="FA229" t="e">
        <f>'Actual Value'!U351+"AM:!.KE"</f>
        <v>#VALUE!</v>
      </c>
      <c r="FB229" t="e">
        <f>'Actual Value'!V351+"AM:!.KF"</f>
        <v>#VALUE!</v>
      </c>
      <c r="FC229" t="e">
        <f>'Actual Value'!W351+"AM:!.KG"</f>
        <v>#VALUE!</v>
      </c>
      <c r="FD229" t="e">
        <f>'Actual Value'!X351+"AM:!.KH"</f>
        <v>#VALUE!</v>
      </c>
      <c r="FE229" t="e">
        <f>'Actual Value'!Y351+"AM:!.KI"</f>
        <v>#VALUE!</v>
      </c>
      <c r="FF229" t="e">
        <f>'Actual Value'!Z351+"AM:!.KJ"</f>
        <v>#VALUE!</v>
      </c>
      <c r="FG229" t="e">
        <f>'Actual Value'!AA351+"AM:!.KK"</f>
        <v>#VALUE!</v>
      </c>
      <c r="FH229" t="e">
        <f>'Actual Value'!AB351+"AM:!.KL"</f>
        <v>#VALUE!</v>
      </c>
      <c r="FI229" t="e">
        <f>'Actual Value'!AC351+"AM:!.KM"</f>
        <v>#VALUE!</v>
      </c>
      <c r="FJ229" t="e">
        <f>'Actual Value'!AD351+"AM:!.KN"</f>
        <v>#VALUE!</v>
      </c>
      <c r="FK229" t="e">
        <f>'Actual Value'!AE351+"AM:!.KO"</f>
        <v>#VALUE!</v>
      </c>
      <c r="FL229" t="e">
        <f>'Actual Value'!AF351+"AM:!.KP"</f>
        <v>#VALUE!</v>
      </c>
      <c r="FM229" t="e">
        <f>'Actual Value'!AG351+"AM:!.KQ"</f>
        <v>#VALUE!</v>
      </c>
      <c r="FN229" t="e">
        <f>'Actual Value'!AH351+"AM:!.KR"</f>
        <v>#VALUE!</v>
      </c>
      <c r="FO229" t="e">
        <f>'Actual Value'!AI351+"AM:!.KS"</f>
        <v>#VALUE!</v>
      </c>
      <c r="FP229" t="e">
        <f>'Actual Value'!AJ351+"AM:!.KT"</f>
        <v>#VALUE!</v>
      </c>
      <c r="FQ229" t="e">
        <f>'Actual Value'!AK351+"AM:!.KU"</f>
        <v>#VALUE!</v>
      </c>
      <c r="FR229" t="e">
        <f>'Actual Value'!AL351+"AM:!.KV"</f>
        <v>#VALUE!</v>
      </c>
      <c r="FS229" t="e">
        <f>'Actual Value'!AM351+"AM:!.KW"</f>
        <v>#VALUE!</v>
      </c>
      <c r="FT229" t="e">
        <f>'Actual Value'!AN351+"AM:!.KX"</f>
        <v>#VALUE!</v>
      </c>
      <c r="FU229" t="e">
        <f>'Actual Value'!AO351+"AM:!.KY"</f>
        <v>#VALUE!</v>
      </c>
      <c r="FV229" t="e">
        <f>'Actual Value'!AP351+"AM:!.KZ"</f>
        <v>#VALUE!</v>
      </c>
      <c r="FW229" t="e">
        <f>'Actual Value'!AQ351+"AM:!.K["</f>
        <v>#VALUE!</v>
      </c>
      <c r="FX229" t="e">
        <f>'Actual Value'!AR351+"AM:!.K\"</f>
        <v>#VALUE!</v>
      </c>
      <c r="FY229" t="e">
        <f>'Actual Value'!AS351+"AM:!.K]"</f>
        <v>#VALUE!</v>
      </c>
      <c r="FZ229" t="e">
        <f>'Actual Value'!AT351+"AM:!.K^"</f>
        <v>#VALUE!</v>
      </c>
      <c r="GA229" t="e">
        <f>'Actual Value'!AU351+"AM:!.K_"</f>
        <v>#VALUE!</v>
      </c>
      <c r="GB229" t="e">
        <f>'Actual Value'!AV351+"AM:!.K`"</f>
        <v>#VALUE!</v>
      </c>
      <c r="GC229" t="e">
        <f>'Actual Value'!AW351+"AM:!.Ka"</f>
        <v>#VALUE!</v>
      </c>
      <c r="GD229" t="e">
        <f>'Actual Value'!AX351+"AM:!.Kb"</f>
        <v>#VALUE!</v>
      </c>
      <c r="GE229" s="98" t="e">
        <f>'Actual Value'!A352+"AM:!.Kc"</f>
        <v>#VALUE!</v>
      </c>
      <c r="GF229" s="98" t="e">
        <f>'Actual Value'!B352+"AM:!.Kd"</f>
        <v>#VALUE!</v>
      </c>
      <c r="GG229" s="98" t="e">
        <f>'Actual Value'!C352+"AM:!.Ke"</f>
        <v>#VALUE!</v>
      </c>
      <c r="GH229" t="e">
        <f>'Actual Value'!D352+"AM:!.Kf"</f>
        <v>#VALUE!</v>
      </c>
      <c r="GI229" t="e">
        <f>'Actual Value'!E352+"AM:!.Kg"</f>
        <v>#VALUE!</v>
      </c>
      <c r="GJ229" t="e">
        <f>'Actual Value'!F352+"AM:!.Kh"</f>
        <v>#VALUE!</v>
      </c>
      <c r="GK229" t="e">
        <f>'Actual Value'!G352+"AM:!.Ki"</f>
        <v>#VALUE!</v>
      </c>
      <c r="GL229" t="e">
        <f>'Actual Value'!H352+"AM:!.Kj"</f>
        <v>#VALUE!</v>
      </c>
      <c r="GM229" t="e">
        <f>'Actual Value'!I352+"AM:!.Kk"</f>
        <v>#VALUE!</v>
      </c>
      <c r="GN229" t="e">
        <f>'Actual Value'!J352+"AM:!.Kl"</f>
        <v>#VALUE!</v>
      </c>
      <c r="GO229" t="e">
        <f>'Actual Value'!K352+"AM:!.Km"</f>
        <v>#VALUE!</v>
      </c>
      <c r="GP229" t="e">
        <f>'Actual Value'!L352+"AM:!.Kn"</f>
        <v>#VALUE!</v>
      </c>
      <c r="GQ229" t="e">
        <f>'Actual Value'!M352+"AM:!.Ko"</f>
        <v>#VALUE!</v>
      </c>
      <c r="GR229" t="e">
        <f>'Actual Value'!N352+"AM:!.Kp"</f>
        <v>#VALUE!</v>
      </c>
      <c r="GS229" t="e">
        <f>'Actual Value'!O352+"AM:!.Kq"</f>
        <v>#VALUE!</v>
      </c>
      <c r="GT229" t="e">
        <f>'Actual Value'!P352+"AM:!.Kr"</f>
        <v>#VALUE!</v>
      </c>
      <c r="GU229" t="e">
        <f>'Actual Value'!Q352+"AM:!.Ks"</f>
        <v>#VALUE!</v>
      </c>
      <c r="GV229" t="e">
        <f>'Actual Value'!R352+"AM:!.Kt"</f>
        <v>#VALUE!</v>
      </c>
      <c r="GW229" t="e">
        <f>'Actual Value'!S352+"AM:!.Ku"</f>
        <v>#VALUE!</v>
      </c>
      <c r="GX229" t="e">
        <f>'Actual Value'!T352+"AM:!.Kv"</f>
        <v>#VALUE!</v>
      </c>
      <c r="GY229" t="e">
        <f>'Actual Value'!U352+"AM:!.Kw"</f>
        <v>#VALUE!</v>
      </c>
      <c r="GZ229" t="e">
        <f>'Actual Value'!V352+"AM:!.Kx"</f>
        <v>#VALUE!</v>
      </c>
      <c r="HA229" t="e">
        <f>'Actual Value'!W352+"AM:!.Ky"</f>
        <v>#VALUE!</v>
      </c>
      <c r="HB229" t="e">
        <f>'Actual Value'!X352+"AM:!.Kz"</f>
        <v>#VALUE!</v>
      </c>
      <c r="HC229" t="e">
        <f>'Actual Value'!Y352+"AM:!.K{"</f>
        <v>#VALUE!</v>
      </c>
      <c r="HD229" t="e">
        <f>'Actual Value'!Z352+"AM:!.K|"</f>
        <v>#VALUE!</v>
      </c>
      <c r="HE229" t="e">
        <f>'Actual Value'!AA352+"AM:!.K}"</f>
        <v>#VALUE!</v>
      </c>
      <c r="HF229" t="e">
        <f>'Actual Value'!AB352+"AM:!.K~"</f>
        <v>#VALUE!</v>
      </c>
      <c r="HG229" t="e">
        <f>'Actual Value'!AC352+"AM:!.L#"</f>
        <v>#VALUE!</v>
      </c>
      <c r="HH229" t="e">
        <f>'Actual Value'!AD352+"AM:!.L$"</f>
        <v>#VALUE!</v>
      </c>
      <c r="HI229" t="e">
        <f>'Actual Value'!AE352+"AM:!.L%"</f>
        <v>#VALUE!</v>
      </c>
      <c r="HJ229" t="e">
        <f>'Actual Value'!AF352+"AM:!.L&amp;"</f>
        <v>#VALUE!</v>
      </c>
      <c r="HK229" t="e">
        <f>'Actual Value'!AG352+"AM:!.L'"</f>
        <v>#VALUE!</v>
      </c>
      <c r="HL229" t="e">
        <f>'Actual Value'!AH352+"AM:!.L("</f>
        <v>#VALUE!</v>
      </c>
      <c r="HM229" t="e">
        <f>'Actual Value'!AI352+"AM:!.L)"</f>
        <v>#VALUE!</v>
      </c>
      <c r="HN229" t="e">
        <f>'Actual Value'!AJ352+"AM:!.L."</f>
        <v>#VALUE!</v>
      </c>
      <c r="HO229" t="e">
        <f>'Actual Value'!AK352+"AM:!.L/"</f>
        <v>#VALUE!</v>
      </c>
      <c r="HP229" t="e">
        <f>'Actual Value'!AL352+"AM:!.L0"</f>
        <v>#VALUE!</v>
      </c>
      <c r="HQ229" t="e">
        <f>'Actual Value'!AM352+"AM:!.L1"</f>
        <v>#VALUE!</v>
      </c>
      <c r="HR229" t="e">
        <f>'Actual Value'!AN352+"AM:!.L2"</f>
        <v>#VALUE!</v>
      </c>
      <c r="HS229" t="e">
        <f>'Actual Value'!AO352+"AM:!.L3"</f>
        <v>#VALUE!</v>
      </c>
      <c r="HT229" t="e">
        <f>'Actual Value'!AP352+"AM:!.L4"</f>
        <v>#VALUE!</v>
      </c>
      <c r="HU229" t="e">
        <f>'Actual Value'!AQ352+"AM:!.L5"</f>
        <v>#VALUE!</v>
      </c>
      <c r="HV229" t="e">
        <f>'Actual Value'!AR352+"AM:!.L6"</f>
        <v>#VALUE!</v>
      </c>
      <c r="HW229" t="e">
        <f>'Actual Value'!AS352+"AM:!.L7"</f>
        <v>#VALUE!</v>
      </c>
      <c r="HX229" t="e">
        <f>'Actual Value'!AT352+"AM:!.L8"</f>
        <v>#VALUE!</v>
      </c>
      <c r="HY229" t="e">
        <f>'Actual Value'!AU352+"AM:!.L9"</f>
        <v>#VALUE!</v>
      </c>
      <c r="HZ229" t="e">
        <f>'Actual Value'!AV352+"AM:!.L:"</f>
        <v>#VALUE!</v>
      </c>
      <c r="IA229" t="e">
        <f>'Actual Value'!AW352+"AM:!.L;"</f>
        <v>#VALUE!</v>
      </c>
      <c r="IB229" t="e">
        <f>'Actual Value'!AX352+"AM:!.L&lt;"</f>
        <v>#VALUE!</v>
      </c>
      <c r="IC229" s="98" t="e">
        <f>'Actual Value'!A353+"AM:!.L="</f>
        <v>#VALUE!</v>
      </c>
      <c r="ID229" t="e">
        <f>'Actual Value'!B353+"AM:!.L&gt;"</f>
        <v>#VALUE!</v>
      </c>
      <c r="IE229" t="e">
        <f>'Actual Value'!C353+"AM:!.L?"</f>
        <v>#VALUE!</v>
      </c>
      <c r="IF229" t="e">
        <f>'Actual Value'!D353+"AM:!.L@"</f>
        <v>#VALUE!</v>
      </c>
      <c r="IG229" t="e">
        <f>'Actual Value'!E353+"AM:!.LA"</f>
        <v>#VALUE!</v>
      </c>
      <c r="IH229" t="e">
        <f>'Actual Value'!F353+"AM:!.LB"</f>
        <v>#VALUE!</v>
      </c>
      <c r="II229" t="e">
        <f>'Actual Value'!G353+"AM:!.LC"</f>
        <v>#VALUE!</v>
      </c>
      <c r="IJ229" t="e">
        <f>'Actual Value'!H353+"AM:!.LD"</f>
        <v>#VALUE!</v>
      </c>
      <c r="IK229" t="e">
        <f>'Actual Value'!I353+"AM:!.LE"</f>
        <v>#VALUE!</v>
      </c>
      <c r="IL229" t="e">
        <f>'Actual Value'!J353+"AM:!.LF"</f>
        <v>#VALUE!</v>
      </c>
      <c r="IM229" t="e">
        <f>'Actual Value'!K353+"AM:!.LG"</f>
        <v>#VALUE!</v>
      </c>
      <c r="IN229" t="e">
        <f>'Actual Value'!L353+"AM:!.LH"</f>
        <v>#VALUE!</v>
      </c>
      <c r="IO229" t="e">
        <f>'Actual Value'!M353+"AM:!.LI"</f>
        <v>#VALUE!</v>
      </c>
      <c r="IP229" t="e">
        <f>'Actual Value'!N353+"AM:!.LJ"</f>
        <v>#VALUE!</v>
      </c>
      <c r="IQ229" t="e">
        <f>'Actual Value'!O353+"AM:!.LK"</f>
        <v>#VALUE!</v>
      </c>
      <c r="IR229" t="e">
        <f>'Actual Value'!P353+"AM:!.LL"</f>
        <v>#VALUE!</v>
      </c>
      <c r="IS229" t="e">
        <f>'Actual Value'!Q353+"AM:!.LM"</f>
        <v>#VALUE!</v>
      </c>
      <c r="IT229" t="e">
        <f>'Actual Value'!R353+"AM:!.LN"</f>
        <v>#VALUE!</v>
      </c>
      <c r="IU229" t="e">
        <f>'Actual Value'!S353+"AM:!.LO"</f>
        <v>#VALUE!</v>
      </c>
      <c r="IV229" t="e">
        <f>'Actual Value'!T353+"AM:!.LP"</f>
        <v>#VALUE!</v>
      </c>
    </row>
    <row r="230" spans="6:256">
      <c r="F230" t="e">
        <f>'Actual Value'!U353+"AM:!.LQ"</f>
        <v>#VALUE!</v>
      </c>
      <c r="G230" t="e">
        <f>'Actual Value'!V353+"AM:!.LR"</f>
        <v>#VALUE!</v>
      </c>
      <c r="H230" t="e">
        <f>'Actual Value'!W353+"AM:!.LS"</f>
        <v>#VALUE!</v>
      </c>
      <c r="I230" t="e">
        <f>'Actual Value'!X353+"AM:!.LT"</f>
        <v>#VALUE!</v>
      </c>
      <c r="J230" t="e">
        <f>'Actual Value'!Y353+"AM:!.LU"</f>
        <v>#VALUE!</v>
      </c>
      <c r="K230" t="e">
        <f>'Actual Value'!Z353+"AM:!.LV"</f>
        <v>#VALUE!</v>
      </c>
      <c r="L230" t="e">
        <f>'Actual Value'!AA353+"AM:!.LW"</f>
        <v>#VALUE!</v>
      </c>
      <c r="M230" t="e">
        <f>'Actual Value'!AB353+"AM:!.LX"</f>
        <v>#VALUE!</v>
      </c>
      <c r="N230" t="e">
        <f>'Actual Value'!AC353+"AM:!.LY"</f>
        <v>#VALUE!</v>
      </c>
      <c r="O230" t="e">
        <f>'Actual Value'!AD353+"AM:!.LZ"</f>
        <v>#VALUE!</v>
      </c>
      <c r="P230" t="e">
        <f>'Actual Value'!AE353+"AM:!.L["</f>
        <v>#VALUE!</v>
      </c>
      <c r="Q230" t="e">
        <f>'Actual Value'!AF353+"AM:!.L\"</f>
        <v>#VALUE!</v>
      </c>
      <c r="R230" t="e">
        <f>'Actual Value'!AG353+"AM:!.L]"</f>
        <v>#VALUE!</v>
      </c>
      <c r="S230" t="e">
        <f>'Actual Value'!AH353+"AM:!.L^"</f>
        <v>#VALUE!</v>
      </c>
      <c r="T230" t="e">
        <f>'Actual Value'!AI353+"AM:!.L_"</f>
        <v>#VALUE!</v>
      </c>
      <c r="U230" t="e">
        <f>'Actual Value'!AJ353+"AM:!.L`"</f>
        <v>#VALUE!</v>
      </c>
      <c r="V230" t="e">
        <f>'Actual Value'!AK353+"AM:!.La"</f>
        <v>#VALUE!</v>
      </c>
      <c r="W230" t="e">
        <f>'Actual Value'!AL353+"AM:!.Lb"</f>
        <v>#VALUE!</v>
      </c>
      <c r="X230" t="e">
        <f>'Actual Value'!AM353+"AM:!.Lc"</f>
        <v>#VALUE!</v>
      </c>
      <c r="Y230" t="e">
        <f>'Actual Value'!AN353+"AM:!.Ld"</f>
        <v>#VALUE!</v>
      </c>
      <c r="Z230" t="e">
        <f>'Actual Value'!AO353+"AM:!.Le"</f>
        <v>#VALUE!</v>
      </c>
      <c r="AA230" t="e">
        <f>'Actual Value'!AP353+"AM:!.Lf"</f>
        <v>#VALUE!</v>
      </c>
      <c r="AB230" t="e">
        <f>'Actual Value'!AQ353+"AM:!.Lg"</f>
        <v>#VALUE!</v>
      </c>
      <c r="AC230" t="e">
        <f>'Actual Value'!AR353+"AM:!.Lh"</f>
        <v>#VALUE!</v>
      </c>
      <c r="AD230" t="e">
        <f>'Actual Value'!AS353+"AM:!.Li"</f>
        <v>#VALUE!</v>
      </c>
      <c r="AE230" t="e">
        <f>'Actual Value'!AT353+"AM:!.Lj"</f>
        <v>#VALUE!</v>
      </c>
      <c r="AF230" t="e">
        <f>'Actual Value'!AU353+"AM:!.Lk"</f>
        <v>#VALUE!</v>
      </c>
      <c r="AG230" t="e">
        <f>'Actual Value'!AV353+"AM:!.Ll"</f>
        <v>#VALUE!</v>
      </c>
      <c r="AH230" t="e">
        <f>'Actual Value'!AW353+"AM:!.Lm"</f>
        <v>#VALUE!</v>
      </c>
      <c r="AI230" t="e">
        <f>'Actual Value'!AX353+"AM:!.Ln"</f>
        <v>#VALUE!</v>
      </c>
      <c r="AJ230" t="e">
        <f>'Actual Value'!A354+"AM:!.Lo"</f>
        <v>#VALUE!</v>
      </c>
      <c r="AK230" t="e">
        <f>'Actual Value'!B354+"AM:!.Lp"</f>
        <v>#VALUE!</v>
      </c>
      <c r="AL230" t="e">
        <f>'Actual Value'!C354+"AM:!.Lq"</f>
        <v>#VALUE!</v>
      </c>
      <c r="AM230" s="97" t="e">
        <f>'Actual Value'!D354+"AM:!.Lr"</f>
        <v>#VALUE!</v>
      </c>
      <c r="AN230" s="97" t="e">
        <f>'Actual Value'!E354+"AM:!.Ls"</f>
        <v>#VALUE!</v>
      </c>
      <c r="AO230" s="97" t="e">
        <f>'Actual Value'!F354+"AM:!.Lt"</f>
        <v>#VALUE!</v>
      </c>
      <c r="AP230" s="97" t="e">
        <f>'Actual Value'!G354+"AM:!.Lu"</f>
        <v>#VALUE!</v>
      </c>
      <c r="AQ230" s="97" t="e">
        <f>'Actual Value'!H354+"AM:!.Lv"</f>
        <v>#VALUE!</v>
      </c>
      <c r="AR230" s="97" t="e">
        <f>'Actual Value'!I354+"AM:!.Lw"</f>
        <v>#VALUE!</v>
      </c>
      <c r="AS230" s="97" t="e">
        <f>'Actual Value'!J354+"AM:!.Lx"</f>
        <v>#VALUE!</v>
      </c>
      <c r="AT230" s="97" t="e">
        <f>'Actual Value'!K354+"AM:!.Ly"</f>
        <v>#VALUE!</v>
      </c>
      <c r="AU230" s="97" t="e">
        <f>'Actual Value'!L354+"AM:!.Lz"</f>
        <v>#VALUE!</v>
      </c>
      <c r="AV230" s="97" t="e">
        <f>'Actual Value'!M354+"AM:!.L{"</f>
        <v>#VALUE!</v>
      </c>
      <c r="AW230" s="97" t="e">
        <f>'Actual Value'!N354+"AM:!.L|"</f>
        <v>#VALUE!</v>
      </c>
      <c r="AX230" s="97" t="e">
        <f>'Actual Value'!O354+"AM:!.L}"</f>
        <v>#VALUE!</v>
      </c>
      <c r="AY230" s="97" t="e">
        <f>'Actual Value'!P354+"AM:!.L~"</f>
        <v>#VALUE!</v>
      </c>
      <c r="AZ230" s="97" t="e">
        <f>'Actual Value'!Q354+"AM:!.M#"</f>
        <v>#VALUE!</v>
      </c>
      <c r="BA230" s="97" t="e">
        <f>'Actual Value'!R354+"AM:!.M$"</f>
        <v>#VALUE!</v>
      </c>
      <c r="BB230" s="97" t="e">
        <f>'Actual Value'!S354+"AM:!.M%"</f>
        <v>#VALUE!</v>
      </c>
      <c r="BC230" s="97" t="e">
        <f>'Actual Value'!T354+"AM:!.M&amp;"</f>
        <v>#VALUE!</v>
      </c>
      <c r="BD230" s="97" t="e">
        <f>'Actual Value'!U354+"AM:!.M'"</f>
        <v>#VALUE!</v>
      </c>
      <c r="BE230" s="97" t="e">
        <f>'Actual Value'!V354+"AM:!.M("</f>
        <v>#VALUE!</v>
      </c>
      <c r="BF230" s="97" t="e">
        <f>'Actual Value'!W354+"AM:!.M)"</f>
        <v>#VALUE!</v>
      </c>
      <c r="BG230" s="97" t="e">
        <f>'Actual Value'!X354+"AM:!.M."</f>
        <v>#VALUE!</v>
      </c>
      <c r="BH230" s="97" t="e">
        <f>'Actual Value'!Y354+"AM:!.M/"</f>
        <v>#VALUE!</v>
      </c>
      <c r="BI230" s="97" t="e">
        <f>'Actual Value'!Z354+"AM:!.M0"</f>
        <v>#VALUE!</v>
      </c>
      <c r="BJ230" s="97" t="e">
        <f>'Actual Value'!AA354+"AM:!.M1"</f>
        <v>#VALUE!</v>
      </c>
      <c r="BK230" s="97" t="e">
        <f>'Actual Value'!AB354+"AM:!.M2"</f>
        <v>#VALUE!</v>
      </c>
      <c r="BL230" s="97" t="e">
        <f>'Actual Value'!AC354+"AM:!.M3"</f>
        <v>#VALUE!</v>
      </c>
      <c r="BM230" s="97" t="e">
        <f>'Actual Value'!AD354+"AM:!.M4"</f>
        <v>#VALUE!</v>
      </c>
      <c r="BN230" s="97" t="e">
        <f>'Actual Value'!AE354+"AM:!.M5"</f>
        <v>#VALUE!</v>
      </c>
      <c r="BO230" s="97" t="e">
        <f>'Actual Value'!AF354+"AM:!.M6"</f>
        <v>#VALUE!</v>
      </c>
      <c r="BP230" s="97" t="e">
        <f>'Actual Value'!AG354+"AM:!.M7"</f>
        <v>#VALUE!</v>
      </c>
      <c r="BQ230" s="97" t="e">
        <f>'Actual Value'!AH354+"AM:!.M8"</f>
        <v>#VALUE!</v>
      </c>
      <c r="BR230" s="97" t="e">
        <f>'Actual Value'!AI354+"AM:!.M9"</f>
        <v>#VALUE!</v>
      </c>
      <c r="BS230" s="97" t="e">
        <f>'Actual Value'!AJ354+"AM:!.M:"</f>
        <v>#VALUE!</v>
      </c>
      <c r="BT230" s="97" t="e">
        <f>'Actual Value'!AK354+"AM:!.M;"</f>
        <v>#VALUE!</v>
      </c>
      <c r="BU230" s="97" t="e">
        <f>'Actual Value'!AL354+"AM:!.M&lt;"</f>
        <v>#VALUE!</v>
      </c>
      <c r="BV230" s="97" t="e">
        <f>'Actual Value'!AM354+"AM:!.M="</f>
        <v>#VALUE!</v>
      </c>
      <c r="BW230" s="97" t="e">
        <f>'Actual Value'!AN354+"AM:!.M&gt;"</f>
        <v>#VALUE!</v>
      </c>
      <c r="BX230" s="97" t="e">
        <f>'Actual Value'!AO354+"AM:!.M?"</f>
        <v>#VALUE!</v>
      </c>
      <c r="BY230" t="e">
        <f>'Actual Value'!AP354+"AM:!.M@"</f>
        <v>#VALUE!</v>
      </c>
      <c r="BZ230" s="97" t="e">
        <f>'Actual Value'!AQ354+"AM:!.MA"</f>
        <v>#VALUE!</v>
      </c>
      <c r="CA230" s="97" t="e">
        <f>'Actual Value'!AR354+"AM:!.MB"</f>
        <v>#VALUE!</v>
      </c>
      <c r="CB230" s="97" t="e">
        <f>'Actual Value'!AS354+"AM:!.MC"</f>
        <v>#VALUE!</v>
      </c>
      <c r="CC230" t="e">
        <f>'Actual Value'!AT354+"AM:!.MD"</f>
        <v>#VALUE!</v>
      </c>
      <c r="CD230" t="e">
        <f>'Actual Value'!AU354+"AM:!.ME"</f>
        <v>#VALUE!</v>
      </c>
      <c r="CE230" t="e">
        <f>'Actual Value'!AV354+"AM:!.MF"</f>
        <v>#VALUE!</v>
      </c>
      <c r="CF230" t="e">
        <f>'Actual Value'!AW354+"AM:!.MG"</f>
        <v>#VALUE!</v>
      </c>
      <c r="CG230" t="e">
        <f>'Actual Value'!AX354+"AM:!.MH"</f>
        <v>#VALUE!</v>
      </c>
      <c r="CH230" t="e">
        <f>'Actual Value'!A355+"AM:!.MI"</f>
        <v>#VALUE!</v>
      </c>
      <c r="CI230" t="e">
        <f>'Actual Value'!B355+"AM:!.MJ"</f>
        <v>#VALUE!</v>
      </c>
      <c r="CJ230" t="e">
        <f>'Actual Value'!C355+"AM:!.MK"</f>
        <v>#VALUE!</v>
      </c>
      <c r="CK230" s="97" t="e">
        <f>'Actual Value'!D355+"AM:!.ML"</f>
        <v>#VALUE!</v>
      </c>
      <c r="CL230" s="97" t="e">
        <f>'Actual Value'!E355+"AM:!.MM"</f>
        <v>#VALUE!</v>
      </c>
      <c r="CM230" s="97" t="e">
        <f>'Actual Value'!F355+"AM:!.MN"</f>
        <v>#VALUE!</v>
      </c>
      <c r="CN230" s="97" t="e">
        <f>'Actual Value'!G355+"AM:!.MO"</f>
        <v>#VALUE!</v>
      </c>
      <c r="CO230" s="97" t="e">
        <f>'Actual Value'!H355+"AM:!.MP"</f>
        <v>#VALUE!</v>
      </c>
      <c r="CP230" s="97" t="e">
        <f>'Actual Value'!I355+"AM:!.MQ"</f>
        <v>#VALUE!</v>
      </c>
      <c r="CQ230" s="97" t="e">
        <f>'Actual Value'!J355+"AM:!.MR"</f>
        <v>#VALUE!</v>
      </c>
      <c r="CR230" s="97" t="e">
        <f>'Actual Value'!K355+"AM:!.MS"</f>
        <v>#VALUE!</v>
      </c>
      <c r="CS230" s="97" t="e">
        <f>'Actual Value'!L355+"AM:!.MT"</f>
        <v>#VALUE!</v>
      </c>
      <c r="CT230" s="97" t="e">
        <f>'Actual Value'!M355+"AM:!.MU"</f>
        <v>#VALUE!</v>
      </c>
      <c r="CU230" s="97" t="e">
        <f>'Actual Value'!N355+"AM:!.MV"</f>
        <v>#VALUE!</v>
      </c>
      <c r="CV230" s="97" t="e">
        <f>'Actual Value'!O355+"AM:!.MW"</f>
        <v>#VALUE!</v>
      </c>
      <c r="CW230" s="97" t="e">
        <f>'Actual Value'!P355+"AM:!.MX"</f>
        <v>#VALUE!</v>
      </c>
      <c r="CX230" s="97" t="e">
        <f>'Actual Value'!Q355+"AM:!.MY"</f>
        <v>#VALUE!</v>
      </c>
      <c r="CY230" s="97" t="e">
        <f>'Actual Value'!R355+"AM:!.MZ"</f>
        <v>#VALUE!</v>
      </c>
      <c r="CZ230" s="97" t="e">
        <f>'Actual Value'!S355+"AM:!.M["</f>
        <v>#VALUE!</v>
      </c>
      <c r="DA230" s="97" t="e">
        <f>'Actual Value'!T355+"AM:!.M\"</f>
        <v>#VALUE!</v>
      </c>
      <c r="DB230" s="97" t="e">
        <f>'Actual Value'!U355+"AM:!.M]"</f>
        <v>#VALUE!</v>
      </c>
      <c r="DC230" s="97" t="e">
        <f>'Actual Value'!V355+"AM:!.M^"</f>
        <v>#VALUE!</v>
      </c>
      <c r="DD230" s="97" t="e">
        <f>'Actual Value'!W355+"AM:!.M_"</f>
        <v>#VALUE!</v>
      </c>
      <c r="DE230" s="97" t="e">
        <f>'Actual Value'!X355+"AM:!.M`"</f>
        <v>#VALUE!</v>
      </c>
      <c r="DF230" s="97" t="e">
        <f>'Actual Value'!Y355+"AM:!.Ma"</f>
        <v>#VALUE!</v>
      </c>
      <c r="DG230" s="97" t="e">
        <f>'Actual Value'!Z355+"AM:!.Mb"</f>
        <v>#VALUE!</v>
      </c>
      <c r="DH230" s="97" t="e">
        <f>'Actual Value'!AA355+"AM:!.Mc"</f>
        <v>#VALUE!</v>
      </c>
      <c r="DI230" s="97" t="e">
        <f>'Actual Value'!AB355+"AM:!.Md"</f>
        <v>#VALUE!</v>
      </c>
      <c r="DJ230" s="97" t="e">
        <f>'Actual Value'!AC355+"AM:!.Me"</f>
        <v>#VALUE!</v>
      </c>
      <c r="DK230" s="97" t="e">
        <f>'Actual Value'!AD355+"AM:!.Mf"</f>
        <v>#VALUE!</v>
      </c>
      <c r="DL230" s="97" t="e">
        <f>'Actual Value'!AE355+"AM:!.Mg"</f>
        <v>#VALUE!</v>
      </c>
      <c r="DM230" s="97" t="e">
        <f>'Actual Value'!AF355+"AM:!.Mh"</f>
        <v>#VALUE!</v>
      </c>
      <c r="DN230" s="97" t="e">
        <f>'Actual Value'!AG355+"AM:!.Mi"</f>
        <v>#VALUE!</v>
      </c>
      <c r="DO230" s="97" t="e">
        <f>'Actual Value'!AH355+"AM:!.Mj"</f>
        <v>#VALUE!</v>
      </c>
      <c r="DP230" s="97" t="e">
        <f>'Actual Value'!AI355+"AM:!.Mk"</f>
        <v>#VALUE!</v>
      </c>
      <c r="DQ230" s="97" t="e">
        <f>'Actual Value'!AJ355+"AM:!.Ml"</f>
        <v>#VALUE!</v>
      </c>
      <c r="DR230" s="97" t="e">
        <f>'Actual Value'!AK355+"AM:!.Mm"</f>
        <v>#VALUE!</v>
      </c>
      <c r="DS230" s="97" t="e">
        <f>'Actual Value'!AL355+"AM:!.Mn"</f>
        <v>#VALUE!</v>
      </c>
      <c r="DT230" s="97" t="e">
        <f>'Actual Value'!AM355+"AM:!.Mo"</f>
        <v>#VALUE!</v>
      </c>
      <c r="DU230" s="97" t="e">
        <f>'Actual Value'!AN355+"AM:!.Mp"</f>
        <v>#VALUE!</v>
      </c>
      <c r="DV230" s="97" t="e">
        <f>'Actual Value'!AO355+"AM:!.Mq"</f>
        <v>#VALUE!</v>
      </c>
      <c r="DW230" t="e">
        <f>'Actual Value'!AP355+"AM:!.Mr"</f>
        <v>#VALUE!</v>
      </c>
      <c r="DX230" s="97" t="e">
        <f>'Actual Value'!AQ355+"AM:!.Ms"</f>
        <v>#VALUE!</v>
      </c>
      <c r="DY230" s="97" t="e">
        <f ca="1">'Actual Value'!AR355+"AM:!.Mt"</f>
        <v>#VALUE!</v>
      </c>
      <c r="DZ230" s="97" t="e">
        <f>'Actual Value'!AS355+"AM:!.Mu"</f>
        <v>#VALUE!</v>
      </c>
      <c r="EA230" t="e">
        <f>'Actual Value'!AT355+"AM:!.Mv"</f>
        <v>#VALUE!</v>
      </c>
      <c r="EB230" t="e">
        <f>'Actual Value'!AU355+"AM:!.Mw"</f>
        <v>#VALUE!</v>
      </c>
      <c r="EC230" t="e">
        <f>'Actual Value'!AV355+"AM:!.Mx"</f>
        <v>#VALUE!</v>
      </c>
      <c r="ED230" t="e">
        <f>'Actual Value'!AW355+"AM:!.My"</f>
        <v>#VALUE!</v>
      </c>
      <c r="EE230" t="e">
        <f>'Actual Value'!A356+"AM:!.Mz"</f>
        <v>#VALUE!</v>
      </c>
      <c r="EF230" t="e">
        <f>'Actual Value'!B356+"AM:!.M{"</f>
        <v>#VALUE!</v>
      </c>
      <c r="EG230" t="e">
        <f>'Actual Value'!C356+"AM:!.M|"</f>
        <v>#VALUE!</v>
      </c>
      <c r="EH230" s="97" t="e">
        <f>'Actual Value'!D356+"AM:!.M}"</f>
        <v>#VALUE!</v>
      </c>
      <c r="EI230" s="97" t="e">
        <f>'Actual Value'!E356+"AM:!.M~"</f>
        <v>#VALUE!</v>
      </c>
      <c r="EJ230" s="97" t="e">
        <f>'Actual Value'!F356+"AM:!.N#"</f>
        <v>#VALUE!</v>
      </c>
      <c r="EK230" s="97" t="e">
        <f>'Actual Value'!G356+"AM:!.N$"</f>
        <v>#VALUE!</v>
      </c>
      <c r="EL230" s="97" t="e">
        <f>'Actual Value'!H356+"AM:!.N%"</f>
        <v>#VALUE!</v>
      </c>
      <c r="EM230" s="97" t="e">
        <f>'Actual Value'!I356+"AM:!.N&amp;"</f>
        <v>#VALUE!</v>
      </c>
      <c r="EN230" s="97" t="e">
        <f>'Actual Value'!J356+"AM:!.N'"</f>
        <v>#VALUE!</v>
      </c>
      <c r="EO230" s="97" t="e">
        <f>'Actual Value'!K356+"AM:!.N("</f>
        <v>#VALUE!</v>
      </c>
      <c r="EP230" s="97" t="e">
        <f>'Actual Value'!L356+"AM:!.N)"</f>
        <v>#VALUE!</v>
      </c>
      <c r="EQ230" s="97" t="e">
        <f>'Actual Value'!M356+"AM:!.N."</f>
        <v>#VALUE!</v>
      </c>
      <c r="ER230" s="97" t="e">
        <f>'Actual Value'!N356+"AM:!.N/"</f>
        <v>#VALUE!</v>
      </c>
      <c r="ES230" s="97" t="e">
        <f>'Actual Value'!O356+"AM:!.N0"</f>
        <v>#VALUE!</v>
      </c>
      <c r="ET230" s="97" t="e">
        <f>'Actual Value'!P356+"AM:!.N1"</f>
        <v>#VALUE!</v>
      </c>
      <c r="EU230" s="97" t="e">
        <f>'Actual Value'!Q356+"AM:!.N2"</f>
        <v>#VALUE!</v>
      </c>
      <c r="EV230" s="97" t="e">
        <f>'Actual Value'!R356+"AM:!.N3"</f>
        <v>#VALUE!</v>
      </c>
      <c r="EW230" s="97" t="e">
        <f>'Actual Value'!S356+"AM:!.N4"</f>
        <v>#VALUE!</v>
      </c>
      <c r="EX230" s="97" t="e">
        <f>'Actual Value'!T356+"AM:!.N5"</f>
        <v>#VALUE!</v>
      </c>
      <c r="EY230" s="97" t="e">
        <f>'Actual Value'!U356+"AM:!.N6"</f>
        <v>#VALUE!</v>
      </c>
      <c r="EZ230" s="97" t="e">
        <f>'Actual Value'!V356+"AM:!.N7"</f>
        <v>#VALUE!</v>
      </c>
      <c r="FA230" s="97" t="e">
        <f>'Actual Value'!W356+"AM:!.N8"</f>
        <v>#VALUE!</v>
      </c>
      <c r="FB230" s="97" t="e">
        <f>'Actual Value'!X356+"AM:!.N9"</f>
        <v>#VALUE!</v>
      </c>
      <c r="FC230" s="97" t="e">
        <f>'Actual Value'!Y356+"AM:!.N:"</f>
        <v>#VALUE!</v>
      </c>
      <c r="FD230" s="97" t="e">
        <f>'Actual Value'!Z356+"AM:!.N;"</f>
        <v>#VALUE!</v>
      </c>
      <c r="FE230" s="97" t="e">
        <f>'Actual Value'!AA356+"AM:!.N&lt;"</f>
        <v>#VALUE!</v>
      </c>
      <c r="FF230" s="97" t="e">
        <f>'Actual Value'!AB356+"AM:!.N="</f>
        <v>#VALUE!</v>
      </c>
      <c r="FG230" s="97" t="e">
        <f>'Actual Value'!AC356+"AM:!.N&gt;"</f>
        <v>#VALUE!</v>
      </c>
      <c r="FH230" s="97" t="e">
        <f>'Actual Value'!AD356+"AM:!.N?"</f>
        <v>#VALUE!</v>
      </c>
      <c r="FI230" s="97" t="e">
        <f>'Actual Value'!AE356+"AM:!.N@"</f>
        <v>#VALUE!</v>
      </c>
      <c r="FJ230" s="97" t="e">
        <f>'Actual Value'!AF356+"AM:!.NA"</f>
        <v>#VALUE!</v>
      </c>
      <c r="FK230" s="97" t="e">
        <f>'Actual Value'!AG356+"AM:!.NB"</f>
        <v>#VALUE!</v>
      </c>
      <c r="FL230" s="97" t="e">
        <f>'Actual Value'!AH356+"AM:!.NC"</f>
        <v>#VALUE!</v>
      </c>
      <c r="FM230" s="97" t="e">
        <f>'Actual Value'!AI356+"AM:!.ND"</f>
        <v>#VALUE!</v>
      </c>
      <c r="FN230" s="97" t="e">
        <f>'Actual Value'!AJ356+"AM:!.NE"</f>
        <v>#VALUE!</v>
      </c>
      <c r="FO230" s="97" t="e">
        <f>'Actual Value'!AK356+"AM:!.NF"</f>
        <v>#VALUE!</v>
      </c>
      <c r="FP230" s="97" t="e">
        <f>'Actual Value'!AL356+"AM:!.NG"</f>
        <v>#VALUE!</v>
      </c>
      <c r="FQ230" s="97" t="e">
        <f>'Actual Value'!AM356+"AM:!.NH"</f>
        <v>#VALUE!</v>
      </c>
      <c r="FR230" s="97" t="e">
        <f>'Actual Value'!AN356+"AM:!.NI"</f>
        <v>#VALUE!</v>
      </c>
      <c r="FS230" s="97" t="e">
        <f>'Actual Value'!AO356+"AM:!.NJ"</f>
        <v>#VALUE!</v>
      </c>
      <c r="FT230" t="e">
        <f>'Actual Value'!AP356+"AM:!.NK"</f>
        <v>#VALUE!</v>
      </c>
      <c r="FU230" s="97" t="e">
        <f>'Actual Value'!AQ356+"AM:!.NL"</f>
        <v>#VALUE!</v>
      </c>
      <c r="FV230" s="97" t="e">
        <f ca="1">'Actual Value'!AR356+"AM:!.NM"</f>
        <v>#VALUE!</v>
      </c>
      <c r="FW230" s="97" t="e">
        <f>'Actual Value'!AS356+"AM:!.NN"</f>
        <v>#VALUE!</v>
      </c>
      <c r="FX230" t="e">
        <f>'Actual Value'!AT356+"AM:!.NO"</f>
        <v>#VALUE!</v>
      </c>
      <c r="FY230" t="e">
        <f>'Actual Value'!AU356+"AM:!.NP"</f>
        <v>#VALUE!</v>
      </c>
      <c r="FZ230" t="e">
        <f>'Actual Value'!AV356+"AM:!.NQ"</f>
        <v>#VALUE!</v>
      </c>
      <c r="GA230" t="e">
        <f>'Actual Value'!AW356+"AM:!.NR"</f>
        <v>#VALUE!</v>
      </c>
      <c r="GB230" t="e">
        <f>'Actual Value'!AX356+"AM:!.NS"</f>
        <v>#VALUE!</v>
      </c>
      <c r="GC230" t="e">
        <f>'Actual Value'!A357+"AM:!.NT"</f>
        <v>#VALUE!</v>
      </c>
      <c r="GD230" t="e">
        <f>'Actual Value'!B357+"AM:!.NU"</f>
        <v>#VALUE!</v>
      </c>
      <c r="GE230" t="e">
        <f>'Actual Value'!C357+"AM:!.NV"</f>
        <v>#VALUE!</v>
      </c>
      <c r="GF230" t="e">
        <f>'Actual Value'!D357+"AM:!.NW"</f>
        <v>#VALUE!</v>
      </c>
      <c r="GG230" t="e">
        <f>'Actual Value'!E357+"AM:!.NX"</f>
        <v>#VALUE!</v>
      </c>
      <c r="GH230" t="e">
        <f>'Actual Value'!F357+"AM:!.NY"</f>
        <v>#VALUE!</v>
      </c>
      <c r="GI230" t="e">
        <f>'Actual Value'!G357+"AM:!.NZ"</f>
        <v>#VALUE!</v>
      </c>
      <c r="GJ230" t="e">
        <f>'Actual Value'!H357+"AM:!.N["</f>
        <v>#VALUE!</v>
      </c>
      <c r="GK230" t="e">
        <f>'Actual Value'!I357+"AM:!.N\"</f>
        <v>#VALUE!</v>
      </c>
      <c r="GL230" t="e">
        <f>'Actual Value'!J357+"AM:!.N]"</f>
        <v>#VALUE!</v>
      </c>
      <c r="GM230" t="e">
        <f>'Actual Value'!K357+"AM:!.N^"</f>
        <v>#VALUE!</v>
      </c>
      <c r="GN230" t="e">
        <f>'Actual Value'!L357+"AM:!.N_"</f>
        <v>#VALUE!</v>
      </c>
      <c r="GO230" t="e">
        <f>'Actual Value'!M357+"AM:!.N`"</f>
        <v>#VALUE!</v>
      </c>
      <c r="GP230" t="e">
        <f>'Actual Value'!N357+"AM:!.Na"</f>
        <v>#VALUE!</v>
      </c>
      <c r="GQ230" t="e">
        <f>'Actual Value'!O357+"AM:!.Nb"</f>
        <v>#VALUE!</v>
      </c>
      <c r="GR230" t="e">
        <f>'Actual Value'!P357+"AM:!.Nc"</f>
        <v>#VALUE!</v>
      </c>
      <c r="GS230" t="e">
        <f>'Actual Value'!Q357+"AM:!.Nd"</f>
        <v>#VALUE!</v>
      </c>
      <c r="GT230" t="e">
        <f>'Actual Value'!R357+"AM:!.Ne"</f>
        <v>#VALUE!</v>
      </c>
      <c r="GU230" t="e">
        <f>'Actual Value'!S357+"AM:!.Nf"</f>
        <v>#VALUE!</v>
      </c>
      <c r="GV230" t="e">
        <f>'Actual Value'!T357+"AM:!.Ng"</f>
        <v>#VALUE!</v>
      </c>
      <c r="GW230" t="e">
        <f>'Actual Value'!U357+"AM:!.Nh"</f>
        <v>#VALUE!</v>
      </c>
      <c r="GX230" t="e">
        <f>'Actual Value'!V357+"AM:!.Ni"</f>
        <v>#VALUE!</v>
      </c>
      <c r="GY230" t="e">
        <f>'Actual Value'!W357+"AM:!.Nj"</f>
        <v>#VALUE!</v>
      </c>
      <c r="GZ230" t="e">
        <f>'Actual Value'!X357+"AM:!.Nk"</f>
        <v>#VALUE!</v>
      </c>
      <c r="HA230" t="e">
        <f>'Actual Value'!Y357+"AM:!.Nl"</f>
        <v>#VALUE!</v>
      </c>
      <c r="HB230" t="e">
        <f>'Actual Value'!Z357+"AM:!.Nm"</f>
        <v>#VALUE!</v>
      </c>
      <c r="HC230" t="e">
        <f>'Actual Value'!AA357+"AM:!.Nn"</f>
        <v>#VALUE!</v>
      </c>
      <c r="HD230" t="e">
        <f>'Actual Value'!AB357+"AM:!.No"</f>
        <v>#VALUE!</v>
      </c>
      <c r="HE230" t="e">
        <f>'Actual Value'!AC357+"AM:!.Np"</f>
        <v>#VALUE!</v>
      </c>
      <c r="HF230" t="e">
        <f>'Actual Value'!AD357+"AM:!.Nq"</f>
        <v>#VALUE!</v>
      </c>
      <c r="HG230" t="e">
        <f>'Actual Value'!AE357+"AM:!.Nr"</f>
        <v>#VALUE!</v>
      </c>
      <c r="HH230" t="e">
        <f>'Actual Value'!AF357+"AM:!.Ns"</f>
        <v>#VALUE!</v>
      </c>
      <c r="HI230" t="e">
        <f>'Actual Value'!AG357+"AM:!.Nt"</f>
        <v>#VALUE!</v>
      </c>
      <c r="HJ230" t="e">
        <f>'Actual Value'!AH357+"AM:!.Nu"</f>
        <v>#VALUE!</v>
      </c>
      <c r="HK230" t="e">
        <f>'Actual Value'!AI357+"AM:!.Nv"</f>
        <v>#VALUE!</v>
      </c>
      <c r="HL230" t="e">
        <f>'Actual Value'!AJ357+"AM:!.Nw"</f>
        <v>#VALUE!</v>
      </c>
      <c r="HM230" t="e">
        <f>'Actual Value'!AK357+"AM:!.Nx"</f>
        <v>#VALUE!</v>
      </c>
      <c r="HN230" t="e">
        <f>'Actual Value'!AL357+"AM:!.Ny"</f>
        <v>#VALUE!</v>
      </c>
      <c r="HO230" t="e">
        <f>'Actual Value'!AM357+"AM:!.Nz"</f>
        <v>#VALUE!</v>
      </c>
      <c r="HP230" t="e">
        <f>'Actual Value'!AN357+"AM:!.N{"</f>
        <v>#VALUE!</v>
      </c>
      <c r="HQ230" t="e">
        <f>'Actual Value'!AO357+"AM:!.N|"</f>
        <v>#VALUE!</v>
      </c>
      <c r="HR230" t="e">
        <f>'Actual Value'!AP357+"AM:!.N}"</f>
        <v>#VALUE!</v>
      </c>
      <c r="HS230" t="e">
        <f>'Actual Value'!AQ357+"AM:!.N~"</f>
        <v>#VALUE!</v>
      </c>
      <c r="HT230" t="e">
        <f>'Actual Value'!AR357+"AM:!.O#"</f>
        <v>#VALUE!</v>
      </c>
      <c r="HU230" t="e">
        <f>'Actual Value'!AS357+"AM:!.O$"</f>
        <v>#VALUE!</v>
      </c>
      <c r="HV230" t="e">
        <f>'Actual Value'!AT357+"AM:!.O%"</f>
        <v>#VALUE!</v>
      </c>
      <c r="HW230" t="e">
        <f>'Actual Value'!AU357+"AM:!.O&amp;"</f>
        <v>#VALUE!</v>
      </c>
      <c r="HX230" t="e">
        <f>'Actual Value'!AV357+"AM:!.O'"</f>
        <v>#VALUE!</v>
      </c>
      <c r="HY230" t="e">
        <f>'Actual Value'!AW357+"AM:!.O("</f>
        <v>#VALUE!</v>
      </c>
      <c r="HZ230" t="e">
        <f>'Actual Value'!AX357+"AM:!.O)"</f>
        <v>#VALUE!</v>
      </c>
      <c r="IA230" t="e">
        <f>'Actual Value'!A358+"AM:!.O."</f>
        <v>#VALUE!</v>
      </c>
      <c r="IB230" t="e">
        <f>'Actual Value'!B358+"AM:!.O/"</f>
        <v>#VALUE!</v>
      </c>
      <c r="IC230" t="e">
        <f>'Actual Value'!C358+"AM:!.O0"</f>
        <v>#VALUE!</v>
      </c>
      <c r="ID230" s="97" t="e">
        <f>'Actual Value'!D358+"AM:!.O1"</f>
        <v>#VALUE!</v>
      </c>
      <c r="IE230" s="97" t="e">
        <f>'Actual Value'!E358+"AM:!.O2"</f>
        <v>#VALUE!</v>
      </c>
      <c r="IF230" s="97" t="e">
        <f>'Actual Value'!F358+"AM:!.O3"</f>
        <v>#VALUE!</v>
      </c>
      <c r="IG230" s="97" t="e">
        <f>'Actual Value'!G358+"AM:!.O4"</f>
        <v>#VALUE!</v>
      </c>
      <c r="IH230" s="97" t="e">
        <f>'Actual Value'!H358+"AM:!.O5"</f>
        <v>#VALUE!</v>
      </c>
      <c r="II230" s="97" t="e">
        <f>'Actual Value'!I358+"AM:!.O6"</f>
        <v>#VALUE!</v>
      </c>
      <c r="IJ230" s="97" t="e">
        <f>'Actual Value'!J358+"AM:!.O7"</f>
        <v>#VALUE!</v>
      </c>
      <c r="IK230" s="97" t="e">
        <f>'Actual Value'!K358+"AM:!.O8"</f>
        <v>#VALUE!</v>
      </c>
      <c r="IL230" s="97" t="e">
        <f>'Actual Value'!L358+"AM:!.O9"</f>
        <v>#VALUE!</v>
      </c>
      <c r="IM230" s="97" t="e">
        <f>'Actual Value'!M358+"AM:!.O:"</f>
        <v>#VALUE!</v>
      </c>
      <c r="IN230" s="97" t="e">
        <f>'Actual Value'!N358+"AM:!.O;"</f>
        <v>#VALUE!</v>
      </c>
      <c r="IO230" s="97" t="e">
        <f>'Actual Value'!O358+"AM:!.O&lt;"</f>
        <v>#VALUE!</v>
      </c>
      <c r="IP230" s="97" t="e">
        <f>'Actual Value'!P358+"AM:!.O="</f>
        <v>#VALUE!</v>
      </c>
      <c r="IQ230" s="97" t="e">
        <f>'Actual Value'!Q358+"AM:!.O&gt;"</f>
        <v>#VALUE!</v>
      </c>
      <c r="IR230" s="97" t="e">
        <f>'Actual Value'!R358+"AM:!.O?"</f>
        <v>#VALUE!</v>
      </c>
      <c r="IS230" s="97" t="e">
        <f>'Actual Value'!S358+"AM:!.O@"</f>
        <v>#VALUE!</v>
      </c>
      <c r="IT230" s="97" t="e">
        <f>'Actual Value'!T358+"AM:!.OA"</f>
        <v>#VALUE!</v>
      </c>
      <c r="IU230" s="97" t="e">
        <f>'Actual Value'!U358+"AM:!.OB"</f>
        <v>#VALUE!</v>
      </c>
      <c r="IV230" s="97" t="e">
        <f>'Actual Value'!V358+"AM:!.OC"</f>
        <v>#VALUE!</v>
      </c>
    </row>
    <row r="231" spans="6:256">
      <c r="F231" s="97" t="e">
        <f>'Actual Value'!W358+"AM:!.OD"</f>
        <v>#VALUE!</v>
      </c>
      <c r="G231" s="97" t="e">
        <f>'Actual Value'!X358+"AM:!.OE"</f>
        <v>#VALUE!</v>
      </c>
      <c r="H231" s="97" t="e">
        <f>'Actual Value'!Y358+"AM:!.OF"</f>
        <v>#VALUE!</v>
      </c>
      <c r="I231" s="97" t="e">
        <f>'Actual Value'!Z358+"AM:!.OG"</f>
        <v>#VALUE!</v>
      </c>
      <c r="J231" s="97" t="e">
        <f>'Actual Value'!AA358+"AM:!.OH"</f>
        <v>#VALUE!</v>
      </c>
      <c r="K231" s="97" t="e">
        <f>'Actual Value'!AB358+"AM:!.OI"</f>
        <v>#VALUE!</v>
      </c>
      <c r="L231" s="97" t="e">
        <f>'Actual Value'!AC358+"AM:!.OJ"</f>
        <v>#VALUE!</v>
      </c>
      <c r="M231" s="97" t="e">
        <f>'Actual Value'!AD358+"AM:!.OK"</f>
        <v>#VALUE!</v>
      </c>
      <c r="N231" s="97" t="e">
        <f>'Actual Value'!AE358+"AM:!.OL"</f>
        <v>#VALUE!</v>
      </c>
      <c r="O231" s="97" t="e">
        <f>'Actual Value'!AF358+"AM:!.OM"</f>
        <v>#VALUE!</v>
      </c>
      <c r="P231" s="97" t="e">
        <f>'Actual Value'!AG358+"AM:!.ON"</f>
        <v>#VALUE!</v>
      </c>
      <c r="Q231" s="97" t="e">
        <f>'Actual Value'!AH358+"AM:!.OO"</f>
        <v>#VALUE!</v>
      </c>
      <c r="R231" s="97" t="e">
        <f>'Actual Value'!AI358+"AM:!.OP"</f>
        <v>#VALUE!</v>
      </c>
      <c r="S231" s="97" t="e">
        <f>'Actual Value'!AJ358+"AM:!.OQ"</f>
        <v>#VALUE!</v>
      </c>
      <c r="T231" s="97" t="e">
        <f>'Actual Value'!AK358+"AM:!.OR"</f>
        <v>#VALUE!</v>
      </c>
      <c r="U231" s="97" t="e">
        <f>'Actual Value'!AL358+"AM:!.OS"</f>
        <v>#VALUE!</v>
      </c>
      <c r="V231" s="97" t="e">
        <f>'Actual Value'!AM358+"AM:!.OT"</f>
        <v>#VALUE!</v>
      </c>
      <c r="W231" s="97" t="e">
        <f>'Actual Value'!AN358+"AM:!.OU"</f>
        <v>#VALUE!</v>
      </c>
      <c r="X231" s="97" t="e">
        <f>'Actual Value'!AO358+"AM:!.OV"</f>
        <v>#VALUE!</v>
      </c>
      <c r="Y231" t="e">
        <f>'Actual Value'!AP358+"AM:!.OW"</f>
        <v>#VALUE!</v>
      </c>
      <c r="Z231" s="97" t="e">
        <f>'Actual Value'!AQ358+"AM:!.OX"</f>
        <v>#VALUE!</v>
      </c>
      <c r="AA231" s="97" t="e">
        <f>'Actual Value'!AR358+"AM:!.OY"</f>
        <v>#VALUE!</v>
      </c>
      <c r="AB231" s="97" t="e">
        <f>'Actual Value'!AS358+"AM:!.OZ"</f>
        <v>#VALUE!</v>
      </c>
      <c r="AC231" t="e">
        <f>'Actual Value'!AT358+"AM:!.O["</f>
        <v>#VALUE!</v>
      </c>
      <c r="AD231" t="e">
        <f>'Actual Value'!AU358+"AM:!.O\"</f>
        <v>#VALUE!</v>
      </c>
      <c r="AE231" t="e">
        <f>'Actual Value'!AV358+"AM:!.O]"</f>
        <v>#VALUE!</v>
      </c>
      <c r="AF231" t="e">
        <f>'Actual Value'!AW358+"AM:!.O^"</f>
        <v>#VALUE!</v>
      </c>
      <c r="AG231" t="e">
        <f>'Actual Value'!AX358+"AM:!.O_"</f>
        <v>#VALUE!</v>
      </c>
      <c r="AH231" t="e">
        <f>'Actual Value'!A359+"AM:!.O`"</f>
        <v>#VALUE!</v>
      </c>
      <c r="AI231" t="e">
        <f>'Actual Value'!B359+"AM:!.Oa"</f>
        <v>#VALUE!</v>
      </c>
      <c r="AJ231" t="e">
        <f>'Actual Value'!C359+"AM:!.Ob"</f>
        <v>#VALUE!</v>
      </c>
      <c r="AK231" s="97" t="e">
        <f>'Actual Value'!D359+"AM:!.Oc"</f>
        <v>#VALUE!</v>
      </c>
      <c r="AL231" s="97" t="e">
        <f>'Actual Value'!E359+"AM:!.Od"</f>
        <v>#VALUE!</v>
      </c>
      <c r="AM231" s="97" t="e">
        <f>'Actual Value'!F359+"AM:!.Oe"</f>
        <v>#VALUE!</v>
      </c>
      <c r="AN231" s="97" t="e">
        <f>'Actual Value'!G359+"AM:!.Of"</f>
        <v>#VALUE!</v>
      </c>
      <c r="AO231" s="97" t="e">
        <f>'Actual Value'!H359+"AM:!.Og"</f>
        <v>#VALUE!</v>
      </c>
      <c r="AP231" s="97" t="e">
        <f>'Actual Value'!I359+"AM:!.Oh"</f>
        <v>#VALUE!</v>
      </c>
      <c r="AQ231" s="97" t="e">
        <f>'Actual Value'!J359+"AM:!.Oi"</f>
        <v>#VALUE!</v>
      </c>
      <c r="AR231" s="97" t="e">
        <f>'Actual Value'!K359+"AM:!.Oj"</f>
        <v>#VALUE!</v>
      </c>
      <c r="AS231" s="97" t="e">
        <f>'Actual Value'!L359+"AM:!.Ok"</f>
        <v>#VALUE!</v>
      </c>
      <c r="AT231" s="97" t="e">
        <f>'Actual Value'!M359+"AM:!.Ol"</f>
        <v>#VALUE!</v>
      </c>
      <c r="AU231" s="97" t="e">
        <f>'Actual Value'!N359+"AM:!.Om"</f>
        <v>#VALUE!</v>
      </c>
      <c r="AV231" s="97" t="e">
        <f>'Actual Value'!O359+"AM:!.On"</f>
        <v>#VALUE!</v>
      </c>
      <c r="AW231" s="97" t="e">
        <f>'Actual Value'!P359+"AM:!.Oo"</f>
        <v>#VALUE!</v>
      </c>
      <c r="AX231" s="97" t="e">
        <f>'Actual Value'!Q359+"AM:!.Op"</f>
        <v>#VALUE!</v>
      </c>
      <c r="AY231" s="97" t="e">
        <f>'Actual Value'!R359+"AM:!.Oq"</f>
        <v>#VALUE!</v>
      </c>
      <c r="AZ231" s="97" t="e">
        <f>'Actual Value'!S359+"AM:!.Or"</f>
        <v>#VALUE!</v>
      </c>
      <c r="BA231" s="97" t="e">
        <f>'Actual Value'!T359+"AM:!.Os"</f>
        <v>#VALUE!</v>
      </c>
      <c r="BB231" s="97" t="e">
        <f>'Actual Value'!U359+"AM:!.Ot"</f>
        <v>#VALUE!</v>
      </c>
      <c r="BC231" s="97" t="e">
        <f>'Actual Value'!V359+"AM:!.Ou"</f>
        <v>#VALUE!</v>
      </c>
      <c r="BD231" s="97" t="e">
        <f>'Actual Value'!W359+"AM:!.Ov"</f>
        <v>#VALUE!</v>
      </c>
      <c r="BE231" s="97" t="e">
        <f>'Actual Value'!X359+"AM:!.Ow"</f>
        <v>#VALUE!</v>
      </c>
      <c r="BF231" s="97" t="e">
        <f>'Actual Value'!Y359+"AM:!.Ox"</f>
        <v>#VALUE!</v>
      </c>
      <c r="BG231" s="97" t="e">
        <f>'Actual Value'!Z359+"AM:!.Oy"</f>
        <v>#VALUE!</v>
      </c>
      <c r="BH231" s="97" t="e">
        <f>'Actual Value'!AA359+"AM:!.Oz"</f>
        <v>#VALUE!</v>
      </c>
      <c r="BI231" s="97" t="e">
        <f>'Actual Value'!AB359+"AM:!.O{"</f>
        <v>#VALUE!</v>
      </c>
      <c r="BJ231" s="97" t="e">
        <f>'Actual Value'!AC359+"AM:!.O|"</f>
        <v>#VALUE!</v>
      </c>
      <c r="BK231" s="97" t="e">
        <f>'Actual Value'!AD359+"AM:!.O}"</f>
        <v>#VALUE!</v>
      </c>
      <c r="BL231" s="97" t="e">
        <f>'Actual Value'!AE359+"AM:!.O~"</f>
        <v>#VALUE!</v>
      </c>
      <c r="BM231" s="97" t="e">
        <f>'Actual Value'!AF359+"AM:!.P#"</f>
        <v>#VALUE!</v>
      </c>
      <c r="BN231" s="97" t="e">
        <f>'Actual Value'!AG359+"AM:!.P$"</f>
        <v>#VALUE!</v>
      </c>
      <c r="BO231" s="97" t="e">
        <f>'Actual Value'!AH359+"AM:!.P%"</f>
        <v>#VALUE!</v>
      </c>
      <c r="BP231" s="97" t="e">
        <f>'Actual Value'!AI359+"AM:!.P&amp;"</f>
        <v>#VALUE!</v>
      </c>
      <c r="BQ231" s="97" t="e">
        <f>'Actual Value'!AJ359+"AM:!.P'"</f>
        <v>#VALUE!</v>
      </c>
      <c r="BR231" s="97" t="e">
        <f>'Actual Value'!AK359+"AM:!.P("</f>
        <v>#VALUE!</v>
      </c>
      <c r="BS231" s="97" t="e">
        <f>'Actual Value'!AL359+"AM:!.P)"</f>
        <v>#VALUE!</v>
      </c>
      <c r="BT231" s="97" t="e">
        <f>'Actual Value'!AM359+"AM:!.P."</f>
        <v>#VALUE!</v>
      </c>
      <c r="BU231" s="97" t="e">
        <f>'Actual Value'!AN359+"AM:!.P/"</f>
        <v>#VALUE!</v>
      </c>
      <c r="BV231" s="97" t="e">
        <f>'Actual Value'!AO359+"AM:!.P0"</f>
        <v>#VALUE!</v>
      </c>
      <c r="BW231" t="e">
        <f>'Actual Value'!AP359+"AM:!.P1"</f>
        <v>#VALUE!</v>
      </c>
      <c r="BX231" s="97" t="e">
        <f>'Actual Value'!AQ359+"AM:!.P2"</f>
        <v>#VALUE!</v>
      </c>
      <c r="BY231" s="97" t="e">
        <f>'Actual Value'!AR359+"AM:!.P3"</f>
        <v>#VALUE!</v>
      </c>
      <c r="BZ231" s="97" t="e">
        <f>'Actual Value'!AS359+"AM:!.P4"</f>
        <v>#VALUE!</v>
      </c>
      <c r="CA231" t="e">
        <f>'Actual Value'!AT359+"AM:!.P5"</f>
        <v>#VALUE!</v>
      </c>
      <c r="CB231" t="e">
        <f>'Actual Value'!AU359+"AM:!.P6"</f>
        <v>#VALUE!</v>
      </c>
      <c r="CC231" t="e">
        <f>'Actual Value'!AV359+"AM:!.P7"</f>
        <v>#VALUE!</v>
      </c>
      <c r="CD231" t="e">
        <f>'Actual Value'!AW359+"AM:!.P8"</f>
        <v>#VALUE!</v>
      </c>
      <c r="CE231" t="e">
        <f>'Actual Value'!AX359+"AM:!.P9"</f>
        <v>#VALUE!</v>
      </c>
      <c r="CF231" t="e">
        <f>'Actual Value'!A360+"AM:!.P:"</f>
        <v>#VALUE!</v>
      </c>
      <c r="CG231" t="e">
        <f>'Actual Value'!B360+"AM:!.P;"</f>
        <v>#VALUE!</v>
      </c>
      <c r="CH231" t="e">
        <f>'Actual Value'!C360+"AM:!.P&lt;"</f>
        <v>#VALUE!</v>
      </c>
      <c r="CI231" s="97" t="e">
        <f>'Actual Value'!D360+"AM:!.P="</f>
        <v>#VALUE!</v>
      </c>
      <c r="CJ231" s="97" t="e">
        <f>'Actual Value'!E360+"AM:!.P&gt;"</f>
        <v>#VALUE!</v>
      </c>
      <c r="CK231" s="97" t="e">
        <f>'Actual Value'!F360+"AM:!.P?"</f>
        <v>#VALUE!</v>
      </c>
      <c r="CL231" s="97" t="e">
        <f>'Actual Value'!G360+"AM:!.P@"</f>
        <v>#VALUE!</v>
      </c>
      <c r="CM231" s="97" t="e">
        <f>'Actual Value'!H360+"AM:!.PA"</f>
        <v>#VALUE!</v>
      </c>
      <c r="CN231" s="97" t="e">
        <f>'Actual Value'!I360+"AM:!.PB"</f>
        <v>#VALUE!</v>
      </c>
      <c r="CO231" s="97" t="e">
        <f>'Actual Value'!J360+"AM:!.PC"</f>
        <v>#VALUE!</v>
      </c>
      <c r="CP231" s="97" t="e">
        <f>'Actual Value'!K360+"AM:!.PD"</f>
        <v>#VALUE!</v>
      </c>
      <c r="CQ231" s="97" t="e">
        <f>'Actual Value'!L360+"AM:!.PE"</f>
        <v>#VALUE!</v>
      </c>
      <c r="CR231" s="97" t="e">
        <f>'Actual Value'!M360+"AM:!.PF"</f>
        <v>#VALUE!</v>
      </c>
      <c r="CS231" s="97" t="e">
        <f>'Actual Value'!N360+"AM:!.PG"</f>
        <v>#VALUE!</v>
      </c>
      <c r="CT231" s="97" t="e">
        <f>'Actual Value'!O360+"AM:!.PH"</f>
        <v>#VALUE!</v>
      </c>
      <c r="CU231" s="97" t="e">
        <f>'Actual Value'!P360+"AM:!.PI"</f>
        <v>#VALUE!</v>
      </c>
      <c r="CV231" s="97" t="e">
        <f>'Actual Value'!Q360+"AM:!.PJ"</f>
        <v>#VALUE!</v>
      </c>
      <c r="CW231" s="97" t="e">
        <f>'Actual Value'!R360+"AM:!.PK"</f>
        <v>#VALUE!</v>
      </c>
      <c r="CX231" s="97" t="e">
        <f>'Actual Value'!S360+"AM:!.PL"</f>
        <v>#VALUE!</v>
      </c>
      <c r="CY231" s="97" t="e">
        <f>'Actual Value'!T360+"AM:!.PM"</f>
        <v>#VALUE!</v>
      </c>
      <c r="CZ231" s="97" t="e">
        <f>'Actual Value'!U360+"AM:!.PN"</f>
        <v>#VALUE!</v>
      </c>
      <c r="DA231" s="97" t="e">
        <f>'Actual Value'!V360+"AM:!.PO"</f>
        <v>#VALUE!</v>
      </c>
      <c r="DB231" s="97" t="e">
        <f>'Actual Value'!W360+"AM:!.PP"</f>
        <v>#VALUE!</v>
      </c>
      <c r="DC231" s="97" t="e">
        <f>'Actual Value'!X360+"AM:!.PQ"</f>
        <v>#VALUE!</v>
      </c>
      <c r="DD231" s="97" t="e">
        <f>'Actual Value'!Y360+"AM:!.PR"</f>
        <v>#VALUE!</v>
      </c>
      <c r="DE231" s="97" t="e">
        <f>'Actual Value'!Z360+"AM:!.PS"</f>
        <v>#VALUE!</v>
      </c>
      <c r="DF231" s="97" t="e">
        <f>'Actual Value'!AA360+"AM:!.PT"</f>
        <v>#VALUE!</v>
      </c>
      <c r="DG231" s="97" t="e">
        <f>'Actual Value'!AB360+"AM:!.PU"</f>
        <v>#VALUE!</v>
      </c>
      <c r="DH231" s="97" t="e">
        <f>'Actual Value'!AC360+"AM:!.PV"</f>
        <v>#VALUE!</v>
      </c>
      <c r="DI231" s="97" t="e">
        <f>'Actual Value'!AD360+"AM:!.PW"</f>
        <v>#VALUE!</v>
      </c>
      <c r="DJ231" s="97" t="e">
        <f>'Actual Value'!AE360+"AM:!.PX"</f>
        <v>#VALUE!</v>
      </c>
      <c r="DK231" s="97" t="e">
        <f>'Actual Value'!AF360+"AM:!.PY"</f>
        <v>#VALUE!</v>
      </c>
      <c r="DL231" s="97" t="e">
        <f>'Actual Value'!AG360+"AM:!.PZ"</f>
        <v>#VALUE!</v>
      </c>
      <c r="DM231" s="97" t="e">
        <f>'Actual Value'!AH360+"AM:!.P["</f>
        <v>#VALUE!</v>
      </c>
      <c r="DN231" s="97" t="e">
        <f>'Actual Value'!AI360+"AM:!.P\"</f>
        <v>#VALUE!</v>
      </c>
      <c r="DO231" s="97" t="e">
        <f>'Actual Value'!AJ360+"AM:!.P]"</f>
        <v>#VALUE!</v>
      </c>
      <c r="DP231" s="97" t="e">
        <f>'Actual Value'!AK360+"AM:!.P^"</f>
        <v>#VALUE!</v>
      </c>
      <c r="DQ231" s="97" t="e">
        <f>'Actual Value'!AL360+"AM:!.P_"</f>
        <v>#VALUE!</v>
      </c>
      <c r="DR231" s="97" t="e">
        <f>'Actual Value'!AM360+"AM:!.P`"</f>
        <v>#VALUE!</v>
      </c>
      <c r="DS231" s="97" t="e">
        <f>'Actual Value'!AN360+"AM:!.Pa"</f>
        <v>#VALUE!</v>
      </c>
      <c r="DT231" s="97" t="e">
        <f>'Actual Value'!AO360+"AM:!.Pb"</f>
        <v>#VALUE!</v>
      </c>
      <c r="DU231" t="e">
        <f>'Actual Value'!AP360+"AM:!.Pc"</f>
        <v>#VALUE!</v>
      </c>
      <c r="DV231" s="97" t="e">
        <f>'Actual Value'!AQ360+"AM:!.Pd"</f>
        <v>#VALUE!</v>
      </c>
      <c r="DW231" s="97" t="e">
        <f>'Actual Value'!AR360+"AM:!.Pe"</f>
        <v>#VALUE!</v>
      </c>
      <c r="DX231" s="97" t="e">
        <f>'Actual Value'!AS360+"AM:!.Pf"</f>
        <v>#VALUE!</v>
      </c>
      <c r="DY231" t="e">
        <f>'Actual Value'!AT360+"AM:!.Pg"</f>
        <v>#VALUE!</v>
      </c>
      <c r="DZ231" t="e">
        <f>'Actual Value'!AU360+"AM:!.Ph"</f>
        <v>#VALUE!</v>
      </c>
      <c r="EA231" t="e">
        <f>'Actual Value'!AV360+"AM:!.Pi"</f>
        <v>#VALUE!</v>
      </c>
      <c r="EB231" t="e">
        <f>'Actual Value'!AW360+"AM:!.Pj"</f>
        <v>#VALUE!</v>
      </c>
      <c r="EC231" t="e">
        <f>'Actual Value'!AX360+"AM:!.Pk"</f>
        <v>#VALUE!</v>
      </c>
      <c r="ED231" t="e">
        <f>'Actual Value'!A361+"AM:!.Pl"</f>
        <v>#VALUE!</v>
      </c>
      <c r="EE231" t="e">
        <f>'Actual Value'!B361+"AM:!.Pm"</f>
        <v>#VALUE!</v>
      </c>
      <c r="EF231" t="e">
        <f>'Actual Value'!C361+"AM:!.Pn"</f>
        <v>#VALUE!</v>
      </c>
      <c r="EG231" t="e">
        <f>'Actual Value'!D361+"AM:!.Po"</f>
        <v>#VALUE!</v>
      </c>
      <c r="EH231" t="e">
        <f>'Actual Value'!E361+"AM:!.Pp"</f>
        <v>#VALUE!</v>
      </c>
      <c r="EI231" t="e">
        <f>'Actual Value'!F361+"AM:!.Pq"</f>
        <v>#VALUE!</v>
      </c>
      <c r="EJ231" t="e">
        <f>'Actual Value'!G361+"AM:!.Pr"</f>
        <v>#VALUE!</v>
      </c>
      <c r="EK231" t="e">
        <f>'Actual Value'!H361+"AM:!.Ps"</f>
        <v>#VALUE!</v>
      </c>
      <c r="EL231" t="e">
        <f>'Actual Value'!I361+"AM:!.Pt"</f>
        <v>#VALUE!</v>
      </c>
      <c r="EM231" t="e">
        <f>'Actual Value'!J361+"AM:!.Pu"</f>
        <v>#VALUE!</v>
      </c>
      <c r="EN231" t="e">
        <f>'Actual Value'!K361+"AM:!.Pv"</f>
        <v>#VALUE!</v>
      </c>
      <c r="EO231" t="e">
        <f>'Actual Value'!L361+"AM:!.Pw"</f>
        <v>#VALUE!</v>
      </c>
      <c r="EP231" t="e">
        <f>'Actual Value'!M361+"AM:!.Px"</f>
        <v>#VALUE!</v>
      </c>
      <c r="EQ231" t="e">
        <f>'Actual Value'!N361+"AM:!.Py"</f>
        <v>#VALUE!</v>
      </c>
      <c r="ER231" t="e">
        <f>'Actual Value'!O361+"AM:!.Pz"</f>
        <v>#VALUE!</v>
      </c>
      <c r="ES231" t="e">
        <f>'Actual Value'!P361+"AM:!.P{"</f>
        <v>#VALUE!</v>
      </c>
      <c r="ET231" t="e">
        <f>'Actual Value'!Q361+"AM:!.P|"</f>
        <v>#VALUE!</v>
      </c>
      <c r="EU231" t="e">
        <f>'Actual Value'!R361+"AM:!.P}"</f>
        <v>#VALUE!</v>
      </c>
      <c r="EV231" t="e">
        <f>'Actual Value'!S361+"AM:!.P~"</f>
        <v>#VALUE!</v>
      </c>
      <c r="EW231" t="e">
        <f>'Actual Value'!T361+"AM:!.Q#"</f>
        <v>#VALUE!</v>
      </c>
      <c r="EX231" t="e">
        <f>'Actual Value'!U361+"AM:!.Q$"</f>
        <v>#VALUE!</v>
      </c>
      <c r="EY231" t="e">
        <f>'Actual Value'!V361+"AM:!.Q%"</f>
        <v>#VALUE!</v>
      </c>
      <c r="EZ231" t="e">
        <f>'Actual Value'!W361+"AM:!.Q&amp;"</f>
        <v>#VALUE!</v>
      </c>
      <c r="FA231" t="e">
        <f>'Actual Value'!X361+"AM:!.Q'"</f>
        <v>#VALUE!</v>
      </c>
      <c r="FB231" t="e">
        <f>'Actual Value'!Y361+"AM:!.Q("</f>
        <v>#VALUE!</v>
      </c>
      <c r="FC231" t="e">
        <f>'Actual Value'!Z361+"AM:!.Q)"</f>
        <v>#VALUE!</v>
      </c>
      <c r="FD231" t="e">
        <f>'Actual Value'!AA361+"AM:!.Q."</f>
        <v>#VALUE!</v>
      </c>
      <c r="FE231" t="e">
        <f>'Actual Value'!AB361+"AM:!.Q/"</f>
        <v>#VALUE!</v>
      </c>
      <c r="FF231" t="e">
        <f>'Actual Value'!AC361+"AM:!.Q0"</f>
        <v>#VALUE!</v>
      </c>
      <c r="FG231" t="e">
        <f>'Actual Value'!AD361+"AM:!.Q1"</f>
        <v>#VALUE!</v>
      </c>
      <c r="FH231" t="e">
        <f>'Actual Value'!AE361+"AM:!.Q2"</f>
        <v>#VALUE!</v>
      </c>
      <c r="FI231" t="e">
        <f>'Actual Value'!AF361+"AM:!.Q3"</f>
        <v>#VALUE!</v>
      </c>
      <c r="FJ231" t="e">
        <f>'Actual Value'!AG361+"AM:!.Q4"</f>
        <v>#VALUE!</v>
      </c>
      <c r="FK231" t="e">
        <f>'Actual Value'!AH361+"AM:!.Q5"</f>
        <v>#VALUE!</v>
      </c>
      <c r="FL231" t="e">
        <f>'Actual Value'!AI361+"AM:!.Q6"</f>
        <v>#VALUE!</v>
      </c>
      <c r="FM231" t="e">
        <f>'Actual Value'!AJ361+"AM:!.Q7"</f>
        <v>#VALUE!</v>
      </c>
      <c r="FN231" t="e">
        <f>'Actual Value'!AK361+"AM:!.Q8"</f>
        <v>#VALUE!</v>
      </c>
      <c r="FO231" t="e">
        <f>'Actual Value'!AL361+"AM:!.Q9"</f>
        <v>#VALUE!</v>
      </c>
      <c r="FP231" t="e">
        <f>'Actual Value'!AM361+"AM:!.Q:"</f>
        <v>#VALUE!</v>
      </c>
      <c r="FQ231" t="e">
        <f>'Actual Value'!AN361+"AM:!.Q;"</f>
        <v>#VALUE!</v>
      </c>
      <c r="FR231" t="e">
        <f>'Actual Value'!AO361+"AM:!.Q&lt;"</f>
        <v>#VALUE!</v>
      </c>
      <c r="FS231" t="e">
        <f>'Actual Value'!AP361+"AM:!.Q="</f>
        <v>#VALUE!</v>
      </c>
      <c r="FT231" t="e">
        <f>'Actual Value'!AQ361+"AM:!.Q&gt;"</f>
        <v>#VALUE!</v>
      </c>
      <c r="FU231" t="e">
        <f>'Actual Value'!AR361+"AM:!.Q?"</f>
        <v>#VALUE!</v>
      </c>
      <c r="FV231" t="e">
        <f>'Actual Value'!AS361+"AM:!.Q@"</f>
        <v>#VALUE!</v>
      </c>
      <c r="FW231" t="e">
        <f>'Actual Value'!AT361+"AM:!.QA"</f>
        <v>#VALUE!</v>
      </c>
      <c r="FX231" t="e">
        <f>'Actual Value'!AU361+"AM:!.QB"</f>
        <v>#VALUE!</v>
      </c>
      <c r="FY231" t="e">
        <f>'Actual Value'!AV361+"AM:!.QC"</f>
        <v>#VALUE!</v>
      </c>
      <c r="FZ231" t="e">
        <f>'Actual Value'!AW361+"AM:!.QD"</f>
        <v>#VALUE!</v>
      </c>
      <c r="GA231" t="e">
        <f>'Actual Value'!AX361+"AM:!.QE"</f>
        <v>#VALUE!</v>
      </c>
      <c r="GB231" t="e">
        <f>'Actual Value'!A362+"AM:!.QF"</f>
        <v>#VALUE!</v>
      </c>
      <c r="GC231" t="e">
        <f>'Actual Value'!B362+"AM:!.QG"</f>
        <v>#VALUE!</v>
      </c>
      <c r="GD231" t="e">
        <f>'Actual Value'!C362+"AM:!.QH"</f>
        <v>#VALUE!</v>
      </c>
      <c r="GE231" s="97" t="e">
        <f>'Actual Value'!D362+"AM:!.QI"</f>
        <v>#VALUE!</v>
      </c>
      <c r="GF231" s="97" t="e">
        <f>'Actual Value'!E362+"AM:!.QJ"</f>
        <v>#VALUE!</v>
      </c>
      <c r="GG231" s="97" t="e">
        <f>'Actual Value'!F362+"AM:!.QK"</f>
        <v>#VALUE!</v>
      </c>
      <c r="GH231" s="97" t="e">
        <f>'Actual Value'!G362+"AM:!.QL"</f>
        <v>#VALUE!</v>
      </c>
      <c r="GI231" s="97" t="e">
        <f>'Actual Value'!H362+"AM:!.QM"</f>
        <v>#VALUE!</v>
      </c>
      <c r="GJ231" s="97" t="e">
        <f>'Actual Value'!I362+"AM:!.QN"</f>
        <v>#VALUE!</v>
      </c>
      <c r="GK231" s="97" t="e">
        <f>'Actual Value'!J362+"AM:!.QO"</f>
        <v>#VALUE!</v>
      </c>
      <c r="GL231" s="97" t="e">
        <f>'Actual Value'!K362+"AM:!.QP"</f>
        <v>#VALUE!</v>
      </c>
      <c r="GM231" s="97" t="e">
        <f>'Actual Value'!L362+"AM:!.QQ"</f>
        <v>#VALUE!</v>
      </c>
      <c r="GN231" s="97" t="e">
        <f>'Actual Value'!M362+"AM:!.QR"</f>
        <v>#VALUE!</v>
      </c>
      <c r="GO231" s="97" t="e">
        <f>'Actual Value'!N362+"AM:!.QS"</f>
        <v>#VALUE!</v>
      </c>
      <c r="GP231" s="97" t="e">
        <f>'Actual Value'!O362+"AM:!.QT"</f>
        <v>#VALUE!</v>
      </c>
      <c r="GQ231" s="97" t="e">
        <f>'Actual Value'!P362+"AM:!.QU"</f>
        <v>#VALUE!</v>
      </c>
      <c r="GR231" s="97" t="e">
        <f>'Actual Value'!Q362+"AM:!.QV"</f>
        <v>#VALUE!</v>
      </c>
      <c r="GS231" s="97" t="e">
        <f>'Actual Value'!R362+"AM:!.QW"</f>
        <v>#VALUE!</v>
      </c>
      <c r="GT231" s="97" t="e">
        <f>'Actual Value'!S362+"AM:!.QX"</f>
        <v>#VALUE!</v>
      </c>
      <c r="GU231" s="97" t="e">
        <f>'Actual Value'!T362+"AM:!.QY"</f>
        <v>#VALUE!</v>
      </c>
      <c r="GV231" s="97" t="e">
        <f>'Actual Value'!U362+"AM:!.QZ"</f>
        <v>#VALUE!</v>
      </c>
      <c r="GW231" s="97" t="e">
        <f>'Actual Value'!V362+"AM:!.Q["</f>
        <v>#VALUE!</v>
      </c>
      <c r="GX231" s="97" t="e">
        <f>'Actual Value'!W362+"AM:!.Q\"</f>
        <v>#VALUE!</v>
      </c>
      <c r="GY231" s="97" t="e">
        <f>'Actual Value'!X362+"AM:!.Q]"</f>
        <v>#VALUE!</v>
      </c>
      <c r="GZ231" s="97" t="e">
        <f>'Actual Value'!Y362+"AM:!.Q^"</f>
        <v>#VALUE!</v>
      </c>
      <c r="HA231" s="97" t="e">
        <f>'Actual Value'!Z362+"AM:!.Q_"</f>
        <v>#VALUE!</v>
      </c>
      <c r="HB231" s="97" t="e">
        <f>'Actual Value'!AA362+"AM:!.Q`"</f>
        <v>#VALUE!</v>
      </c>
      <c r="HC231" s="97" t="e">
        <f>'Actual Value'!AB362+"AM:!.Qa"</f>
        <v>#VALUE!</v>
      </c>
      <c r="HD231" s="97" t="e">
        <f>'Actual Value'!AC362+"AM:!.Qb"</f>
        <v>#VALUE!</v>
      </c>
      <c r="HE231" s="97" t="e">
        <f>'Actual Value'!AD362+"AM:!.Qc"</f>
        <v>#VALUE!</v>
      </c>
      <c r="HF231" s="97" t="e">
        <f>'Actual Value'!AE362+"AM:!.Qd"</f>
        <v>#VALUE!</v>
      </c>
      <c r="HG231" s="97" t="e">
        <f>'Actual Value'!AF362+"AM:!.Qe"</f>
        <v>#VALUE!</v>
      </c>
      <c r="HH231" s="97" t="e">
        <f>'Actual Value'!AG362+"AM:!.Qf"</f>
        <v>#VALUE!</v>
      </c>
      <c r="HI231" s="97" t="e">
        <f>'Actual Value'!AH362+"AM:!.Qg"</f>
        <v>#VALUE!</v>
      </c>
      <c r="HJ231" s="97" t="e">
        <f>'Actual Value'!AI362+"AM:!.Qh"</f>
        <v>#VALUE!</v>
      </c>
      <c r="HK231" s="97" t="e">
        <f>'Actual Value'!AJ362+"AM:!.Qi"</f>
        <v>#VALUE!</v>
      </c>
      <c r="HL231" s="97" t="e">
        <f>'Actual Value'!AK362+"AM:!.Qj"</f>
        <v>#VALUE!</v>
      </c>
      <c r="HM231" s="97" t="e">
        <f>'Actual Value'!AL362+"AM:!.Qk"</f>
        <v>#VALUE!</v>
      </c>
      <c r="HN231" s="97" t="e">
        <f>'Actual Value'!AM362+"AM:!.Ql"</f>
        <v>#VALUE!</v>
      </c>
      <c r="HO231" s="97" t="e">
        <f>'Actual Value'!AN362+"AM:!.Qm"</f>
        <v>#VALUE!</v>
      </c>
      <c r="HP231" s="97" t="e">
        <f>'Actual Value'!AO362+"AM:!.Qn"</f>
        <v>#VALUE!</v>
      </c>
      <c r="HQ231" t="e">
        <f>'Actual Value'!AP362+"AM:!.Qo"</f>
        <v>#VALUE!</v>
      </c>
      <c r="HR231" s="97" t="e">
        <f>'Actual Value'!AQ362+"AM:!.Qp"</f>
        <v>#VALUE!</v>
      </c>
      <c r="HS231" s="97" t="e">
        <f ca="1">'Actual Value'!AR362+"AM:!.Qq"</f>
        <v>#VALUE!</v>
      </c>
      <c r="HT231" t="e">
        <f>'Actual Value'!AS362+"AM:!.Qr"</f>
        <v>#VALUE!</v>
      </c>
      <c r="HU231" t="e">
        <f>'Actual Value'!AT362+"AM:!.Qs"</f>
        <v>#VALUE!</v>
      </c>
      <c r="HV231" t="e">
        <f>'Actual Value'!AU362+"AM:!.Qt"</f>
        <v>#VALUE!</v>
      </c>
      <c r="HW231" t="e">
        <f>'Actual Value'!AV362+"AM:!.Qu"</f>
        <v>#VALUE!</v>
      </c>
      <c r="HX231" t="e">
        <f>'Actual Value'!AW362+"AM:!.Qv"</f>
        <v>#VALUE!</v>
      </c>
      <c r="HY231" t="e">
        <f>'Actual Value'!AX362+"AM:!.Qw"</f>
        <v>#VALUE!</v>
      </c>
      <c r="HZ231" t="e">
        <f>'Actual Value'!A363+"AM:!.Qx"</f>
        <v>#VALUE!</v>
      </c>
      <c r="IA231" t="e">
        <f>'Actual Value'!B363+"AM:!.Qy"</f>
        <v>#VALUE!</v>
      </c>
      <c r="IB231" t="e">
        <f>'Actual Value'!C363+"AM:!.Qz"</f>
        <v>#VALUE!</v>
      </c>
      <c r="IC231" s="97" t="e">
        <f>'Actual Value'!D363+"AM:!.Q{"</f>
        <v>#VALUE!</v>
      </c>
      <c r="ID231" s="97" t="e">
        <f>'Actual Value'!E363+"AM:!.Q|"</f>
        <v>#VALUE!</v>
      </c>
      <c r="IE231" s="97" t="e">
        <f>'Actual Value'!F363+"AM:!.Q}"</f>
        <v>#VALUE!</v>
      </c>
      <c r="IF231" s="97" t="e">
        <f>'Actual Value'!G363+"AM:!.Q~"</f>
        <v>#VALUE!</v>
      </c>
      <c r="IG231" s="97" t="e">
        <f>'Actual Value'!H363+"AM:!.R#"</f>
        <v>#VALUE!</v>
      </c>
      <c r="IH231" s="97" t="e">
        <f>'Actual Value'!I363+"AM:!.R$"</f>
        <v>#VALUE!</v>
      </c>
      <c r="II231" s="97" t="e">
        <f>'Actual Value'!J363+"AM:!.R%"</f>
        <v>#VALUE!</v>
      </c>
      <c r="IJ231" s="97" t="e">
        <f>'Actual Value'!K363+"AM:!.R&amp;"</f>
        <v>#VALUE!</v>
      </c>
      <c r="IK231" s="97" t="e">
        <f>'Actual Value'!L363+"AM:!.R'"</f>
        <v>#VALUE!</v>
      </c>
      <c r="IL231" s="97" t="e">
        <f>'Actual Value'!M363+"AM:!.R("</f>
        <v>#VALUE!</v>
      </c>
      <c r="IM231" s="97" t="e">
        <f>'Actual Value'!N363+"AM:!.R)"</f>
        <v>#VALUE!</v>
      </c>
      <c r="IN231" s="97" t="e">
        <f>'Actual Value'!O363+"AM:!.R."</f>
        <v>#VALUE!</v>
      </c>
      <c r="IO231" s="97" t="e">
        <f>'Actual Value'!P363+"AM:!.R/"</f>
        <v>#VALUE!</v>
      </c>
      <c r="IP231" s="97" t="e">
        <f>'Actual Value'!Q363+"AM:!.R0"</f>
        <v>#VALUE!</v>
      </c>
      <c r="IQ231" s="97" t="e">
        <f>'Actual Value'!R363+"AM:!.R1"</f>
        <v>#VALUE!</v>
      </c>
      <c r="IR231" s="97" t="e">
        <f>'Actual Value'!S363+"AM:!.R2"</f>
        <v>#VALUE!</v>
      </c>
      <c r="IS231" s="97" t="e">
        <f>'Actual Value'!T363+"AM:!.R3"</f>
        <v>#VALUE!</v>
      </c>
      <c r="IT231" s="97" t="e">
        <f>'Actual Value'!U363+"AM:!.R4"</f>
        <v>#VALUE!</v>
      </c>
      <c r="IU231" s="97" t="e">
        <f>'Actual Value'!V363+"AM:!.R5"</f>
        <v>#VALUE!</v>
      </c>
      <c r="IV231" s="97" t="e">
        <f>'Actual Value'!W363+"AM:!.R6"</f>
        <v>#VALUE!</v>
      </c>
    </row>
    <row r="232" spans="6:256">
      <c r="F232" s="97" t="e">
        <f>'Actual Value'!X363+"AM:!.R7"</f>
        <v>#VALUE!</v>
      </c>
      <c r="G232" s="97" t="e">
        <f>'Actual Value'!Y363+"AM:!.R8"</f>
        <v>#VALUE!</v>
      </c>
      <c r="H232" s="97" t="e">
        <f>'Actual Value'!Z363+"AM:!.R9"</f>
        <v>#VALUE!</v>
      </c>
      <c r="I232" s="97" t="e">
        <f>'Actual Value'!AA363+"AM:!.R:"</f>
        <v>#VALUE!</v>
      </c>
      <c r="J232" s="97" t="e">
        <f>'Actual Value'!AB363+"AM:!.R;"</f>
        <v>#VALUE!</v>
      </c>
      <c r="K232" s="97" t="e">
        <f>'Actual Value'!AC363+"AM:!.R&lt;"</f>
        <v>#VALUE!</v>
      </c>
      <c r="L232" s="97" t="e">
        <f>'Actual Value'!AD363+"AM:!.R="</f>
        <v>#VALUE!</v>
      </c>
      <c r="M232" s="97" t="e">
        <f>'Actual Value'!AE363+"AM:!.R&gt;"</f>
        <v>#VALUE!</v>
      </c>
      <c r="N232" s="97" t="e">
        <f>'Actual Value'!AF363+"AM:!.R?"</f>
        <v>#VALUE!</v>
      </c>
      <c r="O232" s="97" t="e">
        <f>'Actual Value'!AG363+"AM:!.R@"</f>
        <v>#VALUE!</v>
      </c>
      <c r="P232" s="97" t="e">
        <f>'Actual Value'!AH363+"AM:!.RA"</f>
        <v>#VALUE!</v>
      </c>
      <c r="Q232" s="97" t="e">
        <f>'Actual Value'!AI363+"AM:!.RB"</f>
        <v>#VALUE!</v>
      </c>
      <c r="R232" s="97" t="e">
        <f>'Actual Value'!AJ363+"AM:!.RC"</f>
        <v>#VALUE!</v>
      </c>
      <c r="S232" s="97" t="e">
        <f>'Actual Value'!AK363+"AM:!.RD"</f>
        <v>#VALUE!</v>
      </c>
      <c r="T232" s="97" t="e">
        <f>'Actual Value'!AL363+"AM:!.RE"</f>
        <v>#VALUE!</v>
      </c>
      <c r="U232" s="97" t="e">
        <f>'Actual Value'!AM363+"AM:!.RF"</f>
        <v>#VALUE!</v>
      </c>
      <c r="V232" s="97" t="e">
        <f>'Actual Value'!AN363+"AM:!.RG"</f>
        <v>#VALUE!</v>
      </c>
      <c r="W232" s="97" t="e">
        <f>'Actual Value'!AO363+"AM:!.RH"</f>
        <v>#VALUE!</v>
      </c>
      <c r="X232" t="e">
        <f>'Actual Value'!AP363+"AM:!.RI"</f>
        <v>#VALUE!</v>
      </c>
      <c r="Y232" s="97" t="e">
        <f>'Actual Value'!AQ363+"AM:!.RJ"</f>
        <v>#VALUE!</v>
      </c>
      <c r="Z232" s="97" t="e">
        <f>'Actual Value'!AR363+"AM:!.RK"</f>
        <v>#VALUE!</v>
      </c>
      <c r="AA232" s="97" t="e">
        <f>'Actual Value'!AS363+"AM:!.RL"</f>
        <v>#VALUE!</v>
      </c>
      <c r="AB232" t="e">
        <f>'Actual Value'!AT363+"AM:!.RM"</f>
        <v>#VALUE!</v>
      </c>
      <c r="AC232" t="e">
        <f>'Actual Value'!AU363+"AM:!.RN"</f>
        <v>#VALUE!</v>
      </c>
      <c r="AD232" t="e">
        <f>'Actual Value'!AV363+"AM:!.RO"</f>
        <v>#VALUE!</v>
      </c>
      <c r="AE232" t="e">
        <f>'Actual Value'!AW363+"AM:!.RP"</f>
        <v>#VALUE!</v>
      </c>
      <c r="AF232" t="e">
        <f>'Actual Value'!AX363+"AM:!.RQ"</f>
        <v>#VALUE!</v>
      </c>
      <c r="AG232" t="e">
        <f>'Actual Value'!A364+"AM:!.RR"</f>
        <v>#VALUE!</v>
      </c>
      <c r="AH232" t="e">
        <f>'Actual Value'!B364+"AM:!.RS"</f>
        <v>#VALUE!</v>
      </c>
      <c r="AI232" t="e">
        <f>'Actual Value'!C364+"AM:!.RT"</f>
        <v>#VALUE!</v>
      </c>
      <c r="AJ232" s="100" t="e">
        <f>'Actual Value'!D364+"AM:!.RU"</f>
        <v>#VALUE!</v>
      </c>
      <c r="AK232" s="100" t="e">
        <f>'Actual Value'!E364+"AM:!.RV"</f>
        <v>#VALUE!</v>
      </c>
      <c r="AL232" s="100" t="e">
        <f>'Actual Value'!F364+"AM:!.RW"</f>
        <v>#VALUE!</v>
      </c>
      <c r="AM232" s="100" t="e">
        <f>'Actual Value'!G364+"AM:!.RX"</f>
        <v>#VALUE!</v>
      </c>
      <c r="AN232" s="100" t="e">
        <f>'Actual Value'!H364+"AM:!.RY"</f>
        <v>#VALUE!</v>
      </c>
      <c r="AO232" s="100" t="e">
        <f>'Actual Value'!I364+"AM:!.RZ"</f>
        <v>#VALUE!</v>
      </c>
      <c r="AP232" s="100" t="e">
        <f>'Actual Value'!J364+"AM:!.R["</f>
        <v>#VALUE!</v>
      </c>
      <c r="AQ232" s="100" t="e">
        <f>'Actual Value'!K364+"AM:!.R\"</f>
        <v>#VALUE!</v>
      </c>
      <c r="AR232" s="100" t="e">
        <f>'Actual Value'!L364+"AM:!.R]"</f>
        <v>#VALUE!</v>
      </c>
      <c r="AS232" s="100" t="e">
        <f>'Actual Value'!M364+"AM:!.R^"</f>
        <v>#VALUE!</v>
      </c>
      <c r="AT232" s="100" t="e">
        <f>'Actual Value'!N364+"AM:!.R_"</f>
        <v>#VALUE!</v>
      </c>
      <c r="AU232" s="100" t="e">
        <f>'Actual Value'!O364+"AM:!.R`"</f>
        <v>#VALUE!</v>
      </c>
      <c r="AV232" s="100" t="e">
        <f>'Actual Value'!P364+"AM:!.Ra"</f>
        <v>#VALUE!</v>
      </c>
      <c r="AW232" s="100" t="e">
        <f>'Actual Value'!Q364+"AM:!.Rb"</f>
        <v>#VALUE!</v>
      </c>
      <c r="AX232" s="100" t="e">
        <f>'Actual Value'!R364+"AM:!.Rc"</f>
        <v>#VALUE!</v>
      </c>
      <c r="AY232" s="100" t="e">
        <f>'Actual Value'!S364+"AM:!.Rd"</f>
        <v>#VALUE!</v>
      </c>
      <c r="AZ232" s="100" t="e">
        <f>'Actual Value'!T364+"AM:!.Re"</f>
        <v>#VALUE!</v>
      </c>
      <c r="BA232" s="100" t="e">
        <f>'Actual Value'!U364+"AM:!.Rf"</f>
        <v>#VALUE!</v>
      </c>
      <c r="BB232" s="100" t="e">
        <f>'Actual Value'!V364+"AM:!.Rg"</f>
        <v>#VALUE!</v>
      </c>
      <c r="BC232" s="100" t="e">
        <f>'Actual Value'!W364+"AM:!.Rh"</f>
        <v>#VALUE!</v>
      </c>
      <c r="BD232" s="100" t="e">
        <f>'Actual Value'!X364+"AM:!.Ri"</f>
        <v>#VALUE!</v>
      </c>
      <c r="BE232" s="100" t="e">
        <f>'Actual Value'!Y364+"AM:!.Rj"</f>
        <v>#VALUE!</v>
      </c>
      <c r="BF232" s="100" t="e">
        <f>'Actual Value'!Z364+"AM:!.Rk"</f>
        <v>#VALUE!</v>
      </c>
      <c r="BG232" s="100" t="e">
        <f>'Actual Value'!AA364+"AM:!.Rl"</f>
        <v>#VALUE!</v>
      </c>
      <c r="BH232" s="100" t="e">
        <f>'Actual Value'!AB364+"AM:!.Rm"</f>
        <v>#VALUE!</v>
      </c>
      <c r="BI232" s="100" t="e">
        <f>'Actual Value'!AC364+"AM:!.Rn"</f>
        <v>#VALUE!</v>
      </c>
      <c r="BJ232" s="100" t="e">
        <f>'Actual Value'!AD364+"AM:!.Ro"</f>
        <v>#VALUE!</v>
      </c>
      <c r="BK232" s="100" t="e">
        <f>'Actual Value'!AE364+"AM:!.Rp"</f>
        <v>#VALUE!</v>
      </c>
      <c r="BL232" s="100" t="e">
        <f>'Actual Value'!AF364+"AM:!.Rq"</f>
        <v>#VALUE!</v>
      </c>
      <c r="BM232" s="100" t="e">
        <f>'Actual Value'!AG364+"AM:!.Rr"</f>
        <v>#VALUE!</v>
      </c>
      <c r="BN232" s="100" t="e">
        <f>'Actual Value'!AH364+"AM:!.Rs"</f>
        <v>#VALUE!</v>
      </c>
      <c r="BO232" s="100" t="e">
        <f>'Actual Value'!AI364+"AM:!.Rt"</f>
        <v>#VALUE!</v>
      </c>
      <c r="BP232" s="100" t="e">
        <f>'Actual Value'!AJ364+"AM:!.Ru"</f>
        <v>#VALUE!</v>
      </c>
      <c r="BQ232" s="100" t="e">
        <f>'Actual Value'!AK364+"AM:!.Rv"</f>
        <v>#VALUE!</v>
      </c>
      <c r="BR232" s="100" t="e">
        <f>'Actual Value'!AL364+"AM:!.Rw"</f>
        <v>#VALUE!</v>
      </c>
      <c r="BS232" s="100" t="e">
        <f>'Actual Value'!AM364+"AM:!.Rx"</f>
        <v>#VALUE!</v>
      </c>
      <c r="BT232" s="100" t="e">
        <f>'Actual Value'!AN364+"AM:!.Ry"</f>
        <v>#VALUE!</v>
      </c>
      <c r="BU232" s="100" t="e">
        <f>'Actual Value'!AO364+"AM:!.Rz"</f>
        <v>#VALUE!</v>
      </c>
      <c r="BV232" t="e">
        <f>'Actual Value'!AP364+"AM:!.R{"</f>
        <v>#VALUE!</v>
      </c>
      <c r="BW232" s="100" t="e">
        <f>'Actual Value'!AQ364+"AM:!.R|"</f>
        <v>#VALUE!</v>
      </c>
      <c r="BX232" s="100" t="e">
        <f>'Actual Value'!AR364+"AM:!.R}"</f>
        <v>#VALUE!</v>
      </c>
      <c r="BY232" s="100" t="e">
        <f>'Actual Value'!AS364+"AM:!.R~"</f>
        <v>#VALUE!</v>
      </c>
      <c r="BZ232" t="e">
        <f>'Actual Value'!AT364+"AM:!.S#"</f>
        <v>#VALUE!</v>
      </c>
      <c r="CA232" t="e">
        <f>'Actual Value'!AU364+"AM:!.S$"</f>
        <v>#VALUE!</v>
      </c>
      <c r="CB232" t="e">
        <f>'Actual Value'!AV364+"AM:!.S%"</f>
        <v>#VALUE!</v>
      </c>
      <c r="CC232" t="e">
        <f>'Actual Value'!AW364+"AM:!.S&amp;"</f>
        <v>#VALUE!</v>
      </c>
      <c r="CD232" t="e">
        <f>'Actual Value'!AX364+"AM:!.S'"</f>
        <v>#VALUE!</v>
      </c>
      <c r="CE232" t="e">
        <f>'Actual Value'!A365+"AM:!.S("</f>
        <v>#VALUE!</v>
      </c>
      <c r="CF232" t="e">
        <f>'Actual Value'!B365+"AM:!.S)"</f>
        <v>#VALUE!</v>
      </c>
      <c r="CG232" t="e">
        <f>'Actual Value'!C365+"AM:!.S."</f>
        <v>#VALUE!</v>
      </c>
      <c r="CH232" s="97" t="e">
        <f>'Actual Value'!D365+"AM:!.S/"</f>
        <v>#VALUE!</v>
      </c>
      <c r="CI232" s="97" t="e">
        <f>'Actual Value'!E365+"AM:!.S0"</f>
        <v>#VALUE!</v>
      </c>
      <c r="CJ232" s="97" t="e">
        <f>'Actual Value'!F365+"AM:!.S1"</f>
        <v>#VALUE!</v>
      </c>
      <c r="CK232" s="97" t="e">
        <f>'Actual Value'!G365+"AM:!.S2"</f>
        <v>#VALUE!</v>
      </c>
      <c r="CL232" s="97" t="e">
        <f>'Actual Value'!H365+"AM:!.S3"</f>
        <v>#VALUE!</v>
      </c>
      <c r="CM232" s="97" t="e">
        <f>'Actual Value'!I365+"AM:!.S4"</f>
        <v>#VALUE!</v>
      </c>
      <c r="CN232" s="97" t="e">
        <f>'Actual Value'!J365+"AM:!.S5"</f>
        <v>#VALUE!</v>
      </c>
      <c r="CO232" s="97" t="e">
        <f>'Actual Value'!K365+"AM:!.S6"</f>
        <v>#VALUE!</v>
      </c>
      <c r="CP232" s="97" t="e">
        <f>'Actual Value'!L365+"AM:!.S7"</f>
        <v>#VALUE!</v>
      </c>
      <c r="CQ232" s="97" t="e">
        <f>'Actual Value'!M365+"AM:!.S8"</f>
        <v>#VALUE!</v>
      </c>
      <c r="CR232" s="97" t="e">
        <f>'Actual Value'!N365+"AM:!.S9"</f>
        <v>#VALUE!</v>
      </c>
      <c r="CS232" s="97" t="e">
        <f>'Actual Value'!O365+"AM:!.S:"</f>
        <v>#VALUE!</v>
      </c>
      <c r="CT232" s="97" t="e">
        <f>'Actual Value'!P365+"AM:!.S;"</f>
        <v>#VALUE!</v>
      </c>
      <c r="CU232" s="97" t="e">
        <f>'Actual Value'!Q365+"AM:!.S&lt;"</f>
        <v>#VALUE!</v>
      </c>
      <c r="CV232" s="97" t="e">
        <f>'Actual Value'!R365+"AM:!.S="</f>
        <v>#VALUE!</v>
      </c>
      <c r="CW232" s="97" t="e">
        <f>'Actual Value'!S365+"AM:!.S&gt;"</f>
        <v>#VALUE!</v>
      </c>
      <c r="CX232" s="97" t="e">
        <f>'Actual Value'!T365+"AM:!.S?"</f>
        <v>#VALUE!</v>
      </c>
      <c r="CY232" s="97" t="e">
        <f>'Actual Value'!U365+"AM:!.S@"</f>
        <v>#VALUE!</v>
      </c>
      <c r="CZ232" s="97" t="e">
        <f>'Actual Value'!V365+"AM:!.SA"</f>
        <v>#VALUE!</v>
      </c>
      <c r="DA232" s="97" t="e">
        <f>'Actual Value'!W365+"AM:!.SB"</f>
        <v>#VALUE!</v>
      </c>
      <c r="DB232" s="97" t="e">
        <f>'Actual Value'!X365+"AM:!.SC"</f>
        <v>#VALUE!</v>
      </c>
      <c r="DC232" s="97" t="e">
        <f>'Actual Value'!Y365+"AM:!.SD"</f>
        <v>#VALUE!</v>
      </c>
      <c r="DD232" s="97" t="e">
        <f>'Actual Value'!Z365+"AM:!.SE"</f>
        <v>#VALUE!</v>
      </c>
      <c r="DE232" s="97" t="e">
        <f>'Actual Value'!AA365+"AM:!.SF"</f>
        <v>#VALUE!</v>
      </c>
      <c r="DF232" s="97" t="e">
        <f>'Actual Value'!AB365+"AM:!.SG"</f>
        <v>#VALUE!</v>
      </c>
      <c r="DG232" s="97" t="e">
        <f>'Actual Value'!AC365+"AM:!.SH"</f>
        <v>#VALUE!</v>
      </c>
      <c r="DH232" s="97" t="e">
        <f>'Actual Value'!AD365+"AM:!.SI"</f>
        <v>#VALUE!</v>
      </c>
      <c r="DI232" s="97" t="e">
        <f>'Actual Value'!AE365+"AM:!.SJ"</f>
        <v>#VALUE!</v>
      </c>
      <c r="DJ232" s="97" t="e">
        <f>'Actual Value'!AF365+"AM:!.SK"</f>
        <v>#VALUE!</v>
      </c>
      <c r="DK232" s="97" t="e">
        <f>'Actual Value'!AG365+"AM:!.SL"</f>
        <v>#VALUE!</v>
      </c>
      <c r="DL232" s="97" t="e">
        <f>'Actual Value'!AH365+"AM:!.SM"</f>
        <v>#VALUE!</v>
      </c>
      <c r="DM232" s="97" t="e">
        <f>'Actual Value'!AI365+"AM:!.SN"</f>
        <v>#VALUE!</v>
      </c>
      <c r="DN232" s="97" t="e">
        <f>'Actual Value'!AJ365+"AM:!.SO"</f>
        <v>#VALUE!</v>
      </c>
      <c r="DO232" s="97" t="e">
        <f>'Actual Value'!AK365+"AM:!.SP"</f>
        <v>#VALUE!</v>
      </c>
      <c r="DP232" s="97" t="e">
        <f>'Actual Value'!AL365+"AM:!.SQ"</f>
        <v>#VALUE!</v>
      </c>
      <c r="DQ232" s="97" t="e">
        <f>'Actual Value'!AM365+"AM:!.SR"</f>
        <v>#VALUE!</v>
      </c>
      <c r="DR232" s="97" t="e">
        <f>'Actual Value'!AN365+"AM:!.SS"</f>
        <v>#VALUE!</v>
      </c>
      <c r="DS232" s="97" t="e">
        <f>'Actual Value'!AO365+"AM:!.ST"</f>
        <v>#VALUE!</v>
      </c>
      <c r="DT232" t="e">
        <f>'Actual Value'!AP365+"AM:!.SU"</f>
        <v>#VALUE!</v>
      </c>
      <c r="DU232" s="97" t="e">
        <f>'Actual Value'!AQ365+"AM:!.SV"</f>
        <v>#VALUE!</v>
      </c>
      <c r="DV232" s="97" t="e">
        <f>'Actual Value'!AR365+"AM:!.SW"</f>
        <v>#VALUE!</v>
      </c>
      <c r="DW232" t="e">
        <f>'Actual Value'!AS365+"AM:!.SX"</f>
        <v>#VALUE!</v>
      </c>
      <c r="DX232" t="e">
        <f>'Actual Value'!AT365+"AM:!.SY"</f>
        <v>#VALUE!</v>
      </c>
      <c r="DY232" t="e">
        <f>'Actual Value'!AU365+"AM:!.SZ"</f>
        <v>#VALUE!</v>
      </c>
      <c r="DZ232" t="e">
        <f>'Actual Value'!AV365+"AM:!.S["</f>
        <v>#VALUE!</v>
      </c>
      <c r="EA232" t="e">
        <f>'Actual Value'!AW365+"AM:!.S\"</f>
        <v>#VALUE!</v>
      </c>
      <c r="EB232" t="e">
        <f>'Actual Value'!AX365+"AM:!.S]"</f>
        <v>#VALUE!</v>
      </c>
      <c r="EC232" t="e">
        <f>'Actual Value'!A366+"AM:!.S^"</f>
        <v>#VALUE!</v>
      </c>
      <c r="ED232" t="e">
        <f>'Actual Value'!B366+"AM:!.S_"</f>
        <v>#VALUE!</v>
      </c>
      <c r="EE232" t="e">
        <f>'Actual Value'!C366+"AM:!.S`"</f>
        <v>#VALUE!</v>
      </c>
      <c r="EF232" t="e">
        <f>'Actual Value'!D366+"AM:!.Sa"</f>
        <v>#VALUE!</v>
      </c>
      <c r="EG232" t="e">
        <f>'Actual Value'!E366+"AM:!.Sb"</f>
        <v>#VALUE!</v>
      </c>
      <c r="EH232" t="e">
        <f>'Actual Value'!F366+"AM:!.Sc"</f>
        <v>#VALUE!</v>
      </c>
      <c r="EI232" t="e">
        <f>'Actual Value'!G366+"AM:!.Sd"</f>
        <v>#VALUE!</v>
      </c>
      <c r="EJ232" t="e">
        <f>'Actual Value'!H366+"AM:!.Se"</f>
        <v>#VALUE!</v>
      </c>
      <c r="EK232" t="e">
        <f>'Actual Value'!I366+"AM:!.Sf"</f>
        <v>#VALUE!</v>
      </c>
      <c r="EL232" t="e">
        <f>'Actual Value'!J366+"AM:!.Sg"</f>
        <v>#VALUE!</v>
      </c>
      <c r="EM232" t="e">
        <f>'Actual Value'!K366+"AM:!.Sh"</f>
        <v>#VALUE!</v>
      </c>
      <c r="EN232" t="e">
        <f>'Actual Value'!L366+"AM:!.Si"</f>
        <v>#VALUE!</v>
      </c>
      <c r="EO232" t="e">
        <f>'Actual Value'!M366+"AM:!.Sj"</f>
        <v>#VALUE!</v>
      </c>
      <c r="EP232" t="e">
        <f>'Actual Value'!N366+"AM:!.Sk"</f>
        <v>#VALUE!</v>
      </c>
      <c r="EQ232" t="e">
        <f>'Actual Value'!O366+"AM:!.Sl"</f>
        <v>#VALUE!</v>
      </c>
      <c r="ER232" t="e">
        <f>'Actual Value'!P366+"AM:!.Sm"</f>
        <v>#VALUE!</v>
      </c>
      <c r="ES232" t="e">
        <f>'Actual Value'!Q366+"AM:!.Sn"</f>
        <v>#VALUE!</v>
      </c>
      <c r="ET232" t="e">
        <f>'Actual Value'!R366+"AM:!.So"</f>
        <v>#VALUE!</v>
      </c>
      <c r="EU232" t="e">
        <f>'Actual Value'!S366+"AM:!.Sp"</f>
        <v>#VALUE!</v>
      </c>
      <c r="EV232" t="e">
        <f>'Actual Value'!T366+"AM:!.Sq"</f>
        <v>#VALUE!</v>
      </c>
      <c r="EW232" t="e">
        <f>'Actual Value'!U366+"AM:!.Sr"</f>
        <v>#VALUE!</v>
      </c>
      <c r="EX232" t="e">
        <f>'Actual Value'!V366+"AM:!.Ss"</f>
        <v>#VALUE!</v>
      </c>
      <c r="EY232" t="e">
        <f>'Actual Value'!W366+"AM:!.St"</f>
        <v>#VALUE!</v>
      </c>
      <c r="EZ232" t="e">
        <f>'Actual Value'!X366+"AM:!.Su"</f>
        <v>#VALUE!</v>
      </c>
      <c r="FA232" t="e">
        <f>'Actual Value'!Y366+"AM:!.Sv"</f>
        <v>#VALUE!</v>
      </c>
      <c r="FB232" t="e">
        <f>'Actual Value'!Z366+"AM:!.Sw"</f>
        <v>#VALUE!</v>
      </c>
      <c r="FC232" t="e">
        <f>'Actual Value'!AA366+"AM:!.Sx"</f>
        <v>#VALUE!</v>
      </c>
      <c r="FD232" t="e">
        <f>'Actual Value'!AB366+"AM:!.Sy"</f>
        <v>#VALUE!</v>
      </c>
      <c r="FE232" t="e">
        <f>'Actual Value'!AC366+"AM:!.Sz"</f>
        <v>#VALUE!</v>
      </c>
      <c r="FF232" t="e">
        <f>'Actual Value'!AD366+"AM:!.S{"</f>
        <v>#VALUE!</v>
      </c>
      <c r="FG232" t="e">
        <f>'Actual Value'!AE366+"AM:!.S|"</f>
        <v>#VALUE!</v>
      </c>
      <c r="FH232" t="e">
        <f>'Actual Value'!AF366+"AM:!.S}"</f>
        <v>#VALUE!</v>
      </c>
      <c r="FI232" t="e">
        <f>'Actual Value'!AG366+"AM:!.S~"</f>
        <v>#VALUE!</v>
      </c>
      <c r="FJ232" t="e">
        <f>'Actual Value'!AH366+"AM:!.T#"</f>
        <v>#VALUE!</v>
      </c>
      <c r="FK232" t="e">
        <f>'Actual Value'!AI366+"AM:!.T$"</f>
        <v>#VALUE!</v>
      </c>
      <c r="FL232" t="e">
        <f>'Actual Value'!AJ366+"AM:!.T%"</f>
        <v>#VALUE!</v>
      </c>
      <c r="FM232" t="e">
        <f>'Actual Value'!AK366+"AM:!.T&amp;"</f>
        <v>#VALUE!</v>
      </c>
      <c r="FN232" t="e">
        <f>'Actual Value'!AL366+"AM:!.T'"</f>
        <v>#VALUE!</v>
      </c>
      <c r="FO232" t="e">
        <f>'Actual Value'!AM366+"AM:!.T("</f>
        <v>#VALUE!</v>
      </c>
      <c r="FP232" t="e">
        <f>'Actual Value'!AN366+"AM:!.T)"</f>
        <v>#VALUE!</v>
      </c>
      <c r="FQ232" t="e">
        <f>'Actual Value'!AO366+"AM:!.T."</f>
        <v>#VALUE!</v>
      </c>
      <c r="FR232" t="e">
        <f>'Actual Value'!AP366+"AM:!.T/"</f>
        <v>#VALUE!</v>
      </c>
      <c r="FS232" t="e">
        <f>'Actual Value'!AQ366+"AM:!.T0"</f>
        <v>#VALUE!</v>
      </c>
      <c r="FT232" t="e">
        <f>'Actual Value'!AR366+"AM:!.T1"</f>
        <v>#VALUE!</v>
      </c>
      <c r="FU232" t="e">
        <f>'Actual Value'!AS366+"AM:!.T2"</f>
        <v>#VALUE!</v>
      </c>
      <c r="FV232" t="e">
        <f>'Actual Value'!AT366+"AM:!.T3"</f>
        <v>#VALUE!</v>
      </c>
      <c r="FW232" t="e">
        <f>'Actual Value'!AU366+"AM:!.T4"</f>
        <v>#VALUE!</v>
      </c>
      <c r="FX232" t="e">
        <f>'Actual Value'!AV366+"AM:!.T5"</f>
        <v>#VALUE!</v>
      </c>
      <c r="FY232" t="e">
        <f>'Actual Value'!AW366+"AM:!.T6"</f>
        <v>#VALUE!</v>
      </c>
      <c r="FZ232" t="e">
        <f>'Actual Value'!AX366+"AM:!.T7"</f>
        <v>#VALUE!</v>
      </c>
      <c r="GA232" t="e">
        <f>'Actual Value'!A367+"AM:!.T8"</f>
        <v>#VALUE!</v>
      </c>
      <c r="GB232" t="e">
        <f>'Actual Value'!B367+"AM:!.T9"</f>
        <v>#VALUE!</v>
      </c>
      <c r="GC232" t="e">
        <f>'Actual Value'!C367+"AM:!.T:"</f>
        <v>#VALUE!</v>
      </c>
      <c r="GD232" t="e">
        <f>'Actual Value'!D367+"AM:!.T;"</f>
        <v>#VALUE!</v>
      </c>
      <c r="GE232" t="e">
        <f>'Actual Value'!E367+"AM:!.T&lt;"</f>
        <v>#VALUE!</v>
      </c>
      <c r="GF232" t="e">
        <f>'Actual Value'!F367+"AM:!.T="</f>
        <v>#VALUE!</v>
      </c>
      <c r="GG232" t="e">
        <f>'Actual Value'!G367+"AM:!.T&gt;"</f>
        <v>#VALUE!</v>
      </c>
      <c r="GH232" t="e">
        <f>'Actual Value'!H367+"AM:!.T?"</f>
        <v>#VALUE!</v>
      </c>
      <c r="GI232" t="e">
        <f>'Actual Value'!I367+"AM:!.T@"</f>
        <v>#VALUE!</v>
      </c>
      <c r="GJ232" t="e">
        <f>'Actual Value'!J367+"AM:!.TA"</f>
        <v>#VALUE!</v>
      </c>
      <c r="GK232" t="e">
        <f>'Actual Value'!K367+"AM:!.TB"</f>
        <v>#VALUE!</v>
      </c>
      <c r="GL232" t="e">
        <f>'Actual Value'!L367+"AM:!.TC"</f>
        <v>#VALUE!</v>
      </c>
      <c r="GM232" t="e">
        <f>'Actual Value'!M367+"AM:!.TD"</f>
        <v>#VALUE!</v>
      </c>
      <c r="GN232" t="e">
        <f>'Actual Value'!N367+"AM:!.TE"</f>
        <v>#VALUE!</v>
      </c>
      <c r="GO232" t="e">
        <f>'Actual Value'!O367+"AM:!.TF"</f>
        <v>#VALUE!</v>
      </c>
      <c r="GP232" t="e">
        <f>'Actual Value'!P367+"AM:!.TG"</f>
        <v>#VALUE!</v>
      </c>
      <c r="GQ232" t="e">
        <f>'Actual Value'!Q367+"AM:!.TH"</f>
        <v>#VALUE!</v>
      </c>
      <c r="GR232" t="e">
        <f>'Actual Value'!R367+"AM:!.TI"</f>
        <v>#VALUE!</v>
      </c>
      <c r="GS232" t="e">
        <f>'Actual Value'!S367+"AM:!.TJ"</f>
        <v>#VALUE!</v>
      </c>
      <c r="GT232" t="e">
        <f>'Actual Value'!T367+"AM:!.TK"</f>
        <v>#VALUE!</v>
      </c>
      <c r="GU232" t="e">
        <f>'Actual Value'!U367+"AM:!.TL"</f>
        <v>#VALUE!</v>
      </c>
      <c r="GV232" t="e">
        <f>'Actual Value'!V367+"AM:!.TM"</f>
        <v>#VALUE!</v>
      </c>
      <c r="GW232" t="e">
        <f>'Actual Value'!W367+"AM:!.TN"</f>
        <v>#VALUE!</v>
      </c>
      <c r="GX232" t="e">
        <f>'Actual Value'!X367+"AM:!.TO"</f>
        <v>#VALUE!</v>
      </c>
      <c r="GY232" t="e">
        <f>'Actual Value'!Y367+"AM:!.TP"</f>
        <v>#VALUE!</v>
      </c>
      <c r="GZ232" t="e">
        <f>'Actual Value'!Z367+"AM:!.TQ"</f>
        <v>#VALUE!</v>
      </c>
      <c r="HA232" t="e">
        <f>'Actual Value'!AA367+"AM:!.TR"</f>
        <v>#VALUE!</v>
      </c>
      <c r="HB232" t="e">
        <f>'Actual Value'!AB367+"AM:!.TS"</f>
        <v>#VALUE!</v>
      </c>
      <c r="HC232" t="e">
        <f>'Actual Value'!AC367+"AM:!.TT"</f>
        <v>#VALUE!</v>
      </c>
      <c r="HD232" t="e">
        <f>'Actual Value'!AD367+"AM:!.TU"</f>
        <v>#VALUE!</v>
      </c>
      <c r="HE232" t="e">
        <f>'Actual Value'!AE367+"AM:!.TV"</f>
        <v>#VALUE!</v>
      </c>
      <c r="HF232" t="e">
        <f>'Actual Value'!AF367+"AM:!.TW"</f>
        <v>#VALUE!</v>
      </c>
      <c r="HG232" t="e">
        <f>'Actual Value'!AG367+"AM:!.TX"</f>
        <v>#VALUE!</v>
      </c>
      <c r="HH232" t="e">
        <f>'Actual Value'!AH367+"AM:!.TY"</f>
        <v>#VALUE!</v>
      </c>
      <c r="HI232" t="e">
        <f>'Actual Value'!AI367+"AM:!.TZ"</f>
        <v>#VALUE!</v>
      </c>
      <c r="HJ232" t="e">
        <f>'Actual Value'!AJ367+"AM:!.T["</f>
        <v>#VALUE!</v>
      </c>
      <c r="HK232" t="e">
        <f>'Actual Value'!AK367+"AM:!.T\"</f>
        <v>#VALUE!</v>
      </c>
      <c r="HL232" t="e">
        <f>'Actual Value'!AL367+"AM:!.T]"</f>
        <v>#VALUE!</v>
      </c>
      <c r="HM232" t="e">
        <f>'Actual Value'!AM367+"AM:!.T^"</f>
        <v>#VALUE!</v>
      </c>
      <c r="HN232" t="e">
        <f>'Actual Value'!AN367+"AM:!.T_"</f>
        <v>#VALUE!</v>
      </c>
      <c r="HO232" t="e">
        <f>'Actual Value'!AO367+"AM:!.T`"</f>
        <v>#VALUE!</v>
      </c>
      <c r="HP232" t="e">
        <f>'Actual Value'!AP367+"AM:!.Ta"</f>
        <v>#VALUE!</v>
      </c>
      <c r="HQ232" t="e">
        <f>'Actual Value'!AQ367+"AM:!.Tb"</f>
        <v>#VALUE!</v>
      </c>
      <c r="HR232" t="e">
        <f>'Actual Value'!AR367+"AM:!.Tc"</f>
        <v>#VALUE!</v>
      </c>
      <c r="HS232" t="e">
        <f>'Actual Value'!AS367+"AM:!.Td"</f>
        <v>#VALUE!</v>
      </c>
      <c r="HT232" t="e">
        <f>'Actual Value'!AT367+"AM:!.Te"</f>
        <v>#VALUE!</v>
      </c>
      <c r="HU232" t="e">
        <f>'Actual Value'!AU367+"AM:!.Tf"</f>
        <v>#VALUE!</v>
      </c>
      <c r="HV232" t="e">
        <f>'Actual Value'!AV367+"AM:!.Tg"</f>
        <v>#VALUE!</v>
      </c>
      <c r="HW232" t="e">
        <f>'Actual Value'!AW367+"AM:!.Th"</f>
        <v>#VALUE!</v>
      </c>
      <c r="HX232" t="e">
        <f>'Actual Value'!AX367+"AM:!.Ti"</f>
        <v>#VALUE!</v>
      </c>
      <c r="HY232" t="e">
        <f>'Actual Value'!A368+"AM:!.Tj"</f>
        <v>#VALUE!</v>
      </c>
      <c r="HZ232" t="e">
        <f>'Actual Value'!B368+"AM:!.Tk"</f>
        <v>#VALUE!</v>
      </c>
      <c r="IA232" t="e">
        <f>'Actual Value'!C368+"AM:!.Tl"</f>
        <v>#VALUE!</v>
      </c>
      <c r="IB232" t="e">
        <f>'Actual Value'!D368+"AM:!.Tm"</f>
        <v>#VALUE!</v>
      </c>
      <c r="IC232" t="e">
        <f>'Actual Value'!E368+"AM:!.Tn"</f>
        <v>#VALUE!</v>
      </c>
      <c r="ID232" t="e">
        <f>'Actual Value'!F368+"AM:!.To"</f>
        <v>#VALUE!</v>
      </c>
      <c r="IE232" t="e">
        <f>'Actual Value'!G368+"AM:!.Tp"</f>
        <v>#VALUE!</v>
      </c>
      <c r="IF232" t="e">
        <f>'Actual Value'!H368+"AM:!.Tq"</f>
        <v>#VALUE!</v>
      </c>
      <c r="IG232" t="e">
        <f>'Actual Value'!I368+"AM:!.Tr"</f>
        <v>#VALUE!</v>
      </c>
      <c r="IH232" t="e">
        <f>'Actual Value'!J368+"AM:!.Ts"</f>
        <v>#VALUE!</v>
      </c>
      <c r="II232" t="e">
        <f>'Actual Value'!K368+"AM:!.Tt"</f>
        <v>#VALUE!</v>
      </c>
      <c r="IJ232" t="e">
        <f>'Actual Value'!L368+"AM:!.Tu"</f>
        <v>#VALUE!</v>
      </c>
      <c r="IK232" t="e">
        <f>'Actual Value'!M368+"AM:!.Tv"</f>
        <v>#VALUE!</v>
      </c>
      <c r="IL232" t="e">
        <f>'Actual Value'!N368+"AM:!.Tw"</f>
        <v>#VALUE!</v>
      </c>
      <c r="IM232" t="e">
        <f>'Actual Value'!O368+"AM:!.Tx"</f>
        <v>#VALUE!</v>
      </c>
      <c r="IN232" t="e">
        <f>'Actual Value'!P368+"AM:!.Ty"</f>
        <v>#VALUE!</v>
      </c>
      <c r="IO232" t="e">
        <f>'Actual Value'!Q368+"AM:!.Tz"</f>
        <v>#VALUE!</v>
      </c>
      <c r="IP232" t="e">
        <f>'Actual Value'!R368+"AM:!.T{"</f>
        <v>#VALUE!</v>
      </c>
      <c r="IQ232" t="e">
        <f>'Actual Value'!S368+"AM:!.T|"</f>
        <v>#VALUE!</v>
      </c>
      <c r="IR232" t="e">
        <f>'Actual Value'!T368+"AM:!.T}"</f>
        <v>#VALUE!</v>
      </c>
      <c r="IS232" t="e">
        <f>'Actual Value'!U368+"AM:!.T~"</f>
        <v>#VALUE!</v>
      </c>
      <c r="IT232" t="e">
        <f>'Actual Value'!V368+"AM:!.U#"</f>
        <v>#VALUE!</v>
      </c>
      <c r="IU232" t="e">
        <f>'Actual Value'!W368+"AM:!.U$"</f>
        <v>#VALUE!</v>
      </c>
      <c r="IV232" t="e">
        <f>'Actual Value'!X368+"AM:!.U%"</f>
        <v>#VALUE!</v>
      </c>
    </row>
    <row r="233" spans="6:256">
      <c r="F233" t="e">
        <f>'Actual Value'!Y368+"AM:!.U&amp;"</f>
        <v>#VALUE!</v>
      </c>
      <c r="G233" t="e">
        <f>'Actual Value'!Z368+"AM:!.U'"</f>
        <v>#VALUE!</v>
      </c>
      <c r="H233" t="e">
        <f>'Actual Value'!AA368+"AM:!.U("</f>
        <v>#VALUE!</v>
      </c>
      <c r="I233" t="e">
        <f>'Actual Value'!AB368+"AM:!.U)"</f>
        <v>#VALUE!</v>
      </c>
      <c r="J233" t="e">
        <f>'Actual Value'!AC368+"AM:!.U."</f>
        <v>#VALUE!</v>
      </c>
      <c r="K233" t="e">
        <f>'Actual Value'!AD368+"AM:!.U/"</f>
        <v>#VALUE!</v>
      </c>
      <c r="L233" t="e">
        <f>'Actual Value'!AE368+"AM:!.U0"</f>
        <v>#VALUE!</v>
      </c>
      <c r="M233" t="e">
        <f>'Actual Value'!AF368+"AM:!.U1"</f>
        <v>#VALUE!</v>
      </c>
      <c r="N233" t="e">
        <f>'Actual Value'!AG368+"AM:!.U2"</f>
        <v>#VALUE!</v>
      </c>
      <c r="O233" t="e">
        <f>'Actual Value'!AH368+"AM:!.U3"</f>
        <v>#VALUE!</v>
      </c>
      <c r="P233" t="e">
        <f>'Actual Value'!AI368+"AM:!.U4"</f>
        <v>#VALUE!</v>
      </c>
      <c r="Q233" t="e">
        <f>'Actual Value'!AJ368+"AM:!.U5"</f>
        <v>#VALUE!</v>
      </c>
      <c r="R233" t="e">
        <f>'Actual Value'!AK368+"AM:!.U6"</f>
        <v>#VALUE!</v>
      </c>
      <c r="S233" t="e">
        <f>'Actual Value'!AL368+"AM:!.U7"</f>
        <v>#VALUE!</v>
      </c>
      <c r="T233" t="e">
        <f>'Actual Value'!AM368+"AM:!.U8"</f>
        <v>#VALUE!</v>
      </c>
      <c r="U233" t="e">
        <f>'Actual Value'!AN368+"AM:!.U9"</f>
        <v>#VALUE!</v>
      </c>
      <c r="V233" t="e">
        <f>'Actual Value'!AO368+"AM:!.U:"</f>
        <v>#VALUE!</v>
      </c>
      <c r="W233" t="e">
        <f>'Actual Value'!AP368+"AM:!.U;"</f>
        <v>#VALUE!</v>
      </c>
      <c r="X233" t="e">
        <f>'Actual Value'!AQ368+"AM:!.U&lt;"</f>
        <v>#VALUE!</v>
      </c>
      <c r="Y233" t="e">
        <f>'Actual Value'!AR368+"AM:!.U="</f>
        <v>#VALUE!</v>
      </c>
      <c r="Z233" t="e">
        <f>'Actual Value'!AS368+"AM:!.U&gt;"</f>
        <v>#VALUE!</v>
      </c>
      <c r="AA233" t="e">
        <f>'Actual Value'!AT368+"AM:!.U?"</f>
        <v>#VALUE!</v>
      </c>
      <c r="AB233" t="e">
        <f>'Actual Value'!AU368+"AM:!.U@"</f>
        <v>#VALUE!</v>
      </c>
      <c r="AC233" t="e">
        <f>'Actual Value'!AV368+"AM:!.UA"</f>
        <v>#VALUE!</v>
      </c>
      <c r="AD233" t="e">
        <f>'Actual Value'!AW368+"AM:!.UB"</f>
        <v>#VALUE!</v>
      </c>
      <c r="AE233" t="e">
        <f>'Actual Value'!AX368+"AM:!.UC"</f>
        <v>#VALUE!</v>
      </c>
      <c r="AF233" t="e">
        <f>'Actual Value'!A369+"AM:!.UD"</f>
        <v>#VALUE!</v>
      </c>
      <c r="AG233" t="e">
        <f>'Actual Value'!B369+"AM:!.UE"</f>
        <v>#VALUE!</v>
      </c>
      <c r="AH233" t="e">
        <f>'Actual Value'!C369+"AM:!.UF"</f>
        <v>#VALUE!</v>
      </c>
      <c r="AI233" s="97" t="e">
        <f>'Actual Value'!D369+"AM:!.UG"</f>
        <v>#VALUE!</v>
      </c>
      <c r="AJ233" s="97" t="e">
        <f>'Actual Value'!E369+"AM:!.UH"</f>
        <v>#VALUE!</v>
      </c>
      <c r="AK233" s="97" t="e">
        <f>'Actual Value'!F369+"AM:!.UI"</f>
        <v>#VALUE!</v>
      </c>
      <c r="AL233" s="97" t="e">
        <f>'Actual Value'!G369+"AM:!.UJ"</f>
        <v>#VALUE!</v>
      </c>
      <c r="AM233" s="97" t="e">
        <f>'Actual Value'!H369+"AM:!.UK"</f>
        <v>#VALUE!</v>
      </c>
      <c r="AN233" s="97" t="e">
        <f>'Actual Value'!I369+"AM:!.UL"</f>
        <v>#VALUE!</v>
      </c>
      <c r="AO233" s="97" t="e">
        <f>'Actual Value'!J369+"AM:!.UM"</f>
        <v>#VALUE!</v>
      </c>
      <c r="AP233" s="97" t="e">
        <f>'Actual Value'!K369+"AM:!.UN"</f>
        <v>#VALUE!</v>
      </c>
      <c r="AQ233" s="97" t="e">
        <f>'Actual Value'!L369+"AM:!.UO"</f>
        <v>#VALUE!</v>
      </c>
      <c r="AR233" s="97" t="e">
        <f>'Actual Value'!M369+"AM:!.UP"</f>
        <v>#VALUE!</v>
      </c>
      <c r="AS233" s="97" t="e">
        <f>'Actual Value'!N369+"AM:!.UQ"</f>
        <v>#VALUE!</v>
      </c>
      <c r="AT233" s="97" t="e">
        <f>'Actual Value'!O369+"AM:!.UR"</f>
        <v>#VALUE!</v>
      </c>
      <c r="AU233" s="97" t="e">
        <f>'Actual Value'!P369+"AM:!.US"</f>
        <v>#VALUE!</v>
      </c>
      <c r="AV233" s="97" t="e">
        <f>'Actual Value'!Q369+"AM:!.UT"</f>
        <v>#VALUE!</v>
      </c>
      <c r="AW233" s="97" t="e">
        <f>'Actual Value'!R369+"AM:!.UU"</f>
        <v>#VALUE!</v>
      </c>
      <c r="AX233" s="97" t="e">
        <f>'Actual Value'!S369+"AM:!.UV"</f>
        <v>#VALUE!</v>
      </c>
      <c r="AY233" s="97" t="e">
        <f>'Actual Value'!T369+"AM:!.UW"</f>
        <v>#VALUE!</v>
      </c>
      <c r="AZ233" s="97" t="e">
        <f>'Actual Value'!U369+"AM:!.UX"</f>
        <v>#VALUE!</v>
      </c>
      <c r="BA233" s="97" t="e">
        <f>'Actual Value'!V369+"AM:!.UY"</f>
        <v>#VALUE!</v>
      </c>
      <c r="BB233" s="97" t="e">
        <f>'Actual Value'!W369+"AM:!.UZ"</f>
        <v>#VALUE!</v>
      </c>
      <c r="BC233" s="97" t="e">
        <f>'Actual Value'!X369+"AM:!.U["</f>
        <v>#VALUE!</v>
      </c>
      <c r="BD233" s="97" t="e">
        <f>'Actual Value'!Y369+"AM:!.U\"</f>
        <v>#VALUE!</v>
      </c>
      <c r="BE233" s="97" t="e">
        <f>'Actual Value'!Z369+"AM:!.U]"</f>
        <v>#VALUE!</v>
      </c>
      <c r="BF233" s="97" t="e">
        <f>'Actual Value'!AA369+"AM:!.U^"</f>
        <v>#VALUE!</v>
      </c>
      <c r="BG233" s="97" t="e">
        <f>'Actual Value'!AB369+"AM:!.U_"</f>
        <v>#VALUE!</v>
      </c>
      <c r="BH233" s="97" t="e">
        <f>'Actual Value'!AC369+"AM:!.U`"</f>
        <v>#VALUE!</v>
      </c>
      <c r="BI233" s="97" t="e">
        <f>'Actual Value'!AD369+"AM:!.Ua"</f>
        <v>#VALUE!</v>
      </c>
      <c r="BJ233" s="97" t="e">
        <f>'Actual Value'!AE369+"AM:!.Ub"</f>
        <v>#VALUE!</v>
      </c>
      <c r="BK233" s="97" t="e">
        <f>'Actual Value'!AF369+"AM:!.Uc"</f>
        <v>#VALUE!</v>
      </c>
      <c r="BL233" s="97" t="e">
        <f>'Actual Value'!AG369+"AM:!.Ud"</f>
        <v>#VALUE!</v>
      </c>
      <c r="BM233" s="97" t="e">
        <f>'Actual Value'!AH369+"AM:!.Ue"</f>
        <v>#VALUE!</v>
      </c>
      <c r="BN233" s="97" t="e">
        <f>'Actual Value'!AI369+"AM:!.Uf"</f>
        <v>#VALUE!</v>
      </c>
      <c r="BO233" s="97" t="e">
        <f>'Actual Value'!AJ369+"AM:!.Ug"</f>
        <v>#VALUE!</v>
      </c>
      <c r="BP233" s="97" t="e">
        <f>'Actual Value'!AK369+"AM:!.Uh"</f>
        <v>#VALUE!</v>
      </c>
      <c r="BQ233" s="97" t="e">
        <f>'Actual Value'!AL369+"AM:!.Ui"</f>
        <v>#VALUE!</v>
      </c>
      <c r="BR233" s="97" t="e">
        <f>'Actual Value'!AM369+"AM:!.Uj"</f>
        <v>#VALUE!</v>
      </c>
      <c r="BS233" s="97" t="e">
        <f>'Actual Value'!AN369+"AM:!.Uk"</f>
        <v>#VALUE!</v>
      </c>
      <c r="BT233" s="97" t="e">
        <f>'Actual Value'!AO369+"AM:!.Ul"</f>
        <v>#VALUE!</v>
      </c>
      <c r="BU233" t="e">
        <f>'Actual Value'!AP369+"AM:!.Um"</f>
        <v>#VALUE!</v>
      </c>
      <c r="BV233" t="e">
        <f>'Actual Value'!AQ369+"AM:!.Un"</f>
        <v>#VALUE!</v>
      </c>
      <c r="BW233" t="e">
        <f>'Actual Value'!AR369+"AM:!.Uo"</f>
        <v>#VALUE!</v>
      </c>
      <c r="BX233" t="e">
        <f>'Actual Value'!AS369+"AM:!.Up"</f>
        <v>#VALUE!</v>
      </c>
      <c r="BY233" t="e">
        <f>'Actual Value'!AT369+"AM:!.Uq"</f>
        <v>#VALUE!</v>
      </c>
      <c r="BZ233" t="e">
        <f>'Actual Value'!AU369+"AM:!.Ur"</f>
        <v>#VALUE!</v>
      </c>
      <c r="CA233" t="e">
        <f>'Actual Value'!AV369+"AM:!.Us"</f>
        <v>#VALUE!</v>
      </c>
      <c r="CB233" t="e">
        <f>'Actual Value'!AW369+"AM:!.Ut"</f>
        <v>#VALUE!</v>
      </c>
      <c r="CC233" t="e">
        <f>'Actual Value'!AX369+"AM:!.Uu"</f>
        <v>#VALUE!</v>
      </c>
      <c r="CD233" t="e">
        <f>'Actual Value'!A370+"AM:!.Uv"</f>
        <v>#VALUE!</v>
      </c>
      <c r="CE233" t="e">
        <f>'Actual Value'!B370+"AM:!.Uw"</f>
        <v>#VALUE!</v>
      </c>
      <c r="CF233" t="e">
        <f>'Actual Value'!C370+"AM:!.Ux"</f>
        <v>#VALUE!</v>
      </c>
      <c r="CG233" s="97" t="e">
        <f ca="1">'Actual Value'!D370+"AM:!.Uy"</f>
        <v>#VALUE!</v>
      </c>
      <c r="CH233" s="97" t="e">
        <f ca="1">'Actual Value'!E370+"AM:!.Uz"</f>
        <v>#VALUE!</v>
      </c>
      <c r="CI233" s="97" t="e">
        <f ca="1">'Actual Value'!F370+"AM:!.U{"</f>
        <v>#VALUE!</v>
      </c>
      <c r="CJ233" s="97" t="e">
        <f ca="1">'Actual Value'!G370+"AM:!.U|"</f>
        <v>#VALUE!</v>
      </c>
      <c r="CK233" s="97" t="e">
        <f ca="1">'Actual Value'!H370+"AM:!.U}"</f>
        <v>#VALUE!</v>
      </c>
      <c r="CL233" s="97" t="e">
        <f ca="1">'Actual Value'!I370+"AM:!.U~"</f>
        <v>#VALUE!</v>
      </c>
      <c r="CM233" s="97" t="e">
        <f ca="1">'Actual Value'!J370+"AM:!.V#"</f>
        <v>#VALUE!</v>
      </c>
      <c r="CN233" s="97" t="e">
        <f ca="1">'Actual Value'!K370+"AM:!.V$"</f>
        <v>#VALUE!</v>
      </c>
      <c r="CO233" s="97" t="e">
        <f ca="1">'Actual Value'!L370+"AM:!.V%"</f>
        <v>#VALUE!</v>
      </c>
      <c r="CP233" s="97" t="e">
        <f ca="1">'Actual Value'!M370+"AM:!.V&amp;"</f>
        <v>#VALUE!</v>
      </c>
      <c r="CQ233" s="97" t="e">
        <f ca="1">'Actual Value'!N370+"AM:!.V'"</f>
        <v>#VALUE!</v>
      </c>
      <c r="CR233" s="97" t="e">
        <f ca="1">'Actual Value'!O370+"AM:!.V("</f>
        <v>#VALUE!</v>
      </c>
      <c r="CS233" s="97" t="e">
        <f ca="1">'Actual Value'!P370+"AM:!.V)"</f>
        <v>#VALUE!</v>
      </c>
      <c r="CT233" s="97" t="e">
        <f ca="1">'Actual Value'!Q370+"AM:!.V."</f>
        <v>#VALUE!</v>
      </c>
      <c r="CU233" s="97" t="e">
        <f ca="1">'Actual Value'!R370+"AM:!.V/"</f>
        <v>#VALUE!</v>
      </c>
      <c r="CV233" s="97" t="e">
        <f ca="1">'Actual Value'!S370+"AM:!.V0"</f>
        <v>#VALUE!</v>
      </c>
      <c r="CW233" s="97" t="e">
        <f ca="1">'Actual Value'!T370+"AM:!.V1"</f>
        <v>#VALUE!</v>
      </c>
      <c r="CX233" s="97" t="e">
        <f ca="1">'Actual Value'!U370+"AM:!.V2"</f>
        <v>#VALUE!</v>
      </c>
      <c r="CY233" s="97" t="e">
        <f ca="1">'Actual Value'!V370+"AM:!.V3"</f>
        <v>#VALUE!</v>
      </c>
      <c r="CZ233" s="97" t="e">
        <f ca="1">'Actual Value'!W370+"AM:!.V4"</f>
        <v>#VALUE!</v>
      </c>
      <c r="DA233" s="97" t="e">
        <f ca="1">'Actual Value'!X370+"AM:!.V5"</f>
        <v>#VALUE!</v>
      </c>
      <c r="DB233" s="97" t="e">
        <f ca="1">'Actual Value'!Y370+"AM:!.V6"</f>
        <v>#VALUE!</v>
      </c>
      <c r="DC233" s="97" t="e">
        <f ca="1">'Actual Value'!Z370+"AM:!.V7"</f>
        <v>#VALUE!</v>
      </c>
      <c r="DD233" s="97" t="e">
        <f ca="1">'Actual Value'!AA370+"AM:!.V8"</f>
        <v>#VALUE!</v>
      </c>
      <c r="DE233" s="97" t="e">
        <f ca="1">'Actual Value'!AB370+"AM:!.V9"</f>
        <v>#VALUE!</v>
      </c>
      <c r="DF233" s="97" t="e">
        <f ca="1">'Actual Value'!AC370+"AM:!.V:"</f>
        <v>#VALUE!</v>
      </c>
      <c r="DG233" s="97" t="e">
        <f ca="1">'Actual Value'!AD370+"AM:!.V;"</f>
        <v>#VALUE!</v>
      </c>
      <c r="DH233" s="97" t="e">
        <f ca="1">'Actual Value'!AE370+"AM:!.V&lt;"</f>
        <v>#VALUE!</v>
      </c>
      <c r="DI233" s="97" t="e">
        <f ca="1">'Actual Value'!AF370+"AM:!.V="</f>
        <v>#VALUE!</v>
      </c>
      <c r="DJ233" s="97" t="e">
        <f ca="1">'Actual Value'!AG370+"AM:!.V&gt;"</f>
        <v>#VALUE!</v>
      </c>
      <c r="DK233" s="97" t="e">
        <f ca="1">'Actual Value'!AH370+"AM:!.V?"</f>
        <v>#VALUE!</v>
      </c>
      <c r="DL233" s="97" t="e">
        <f ca="1">'Actual Value'!AI370+"AM:!.V@"</f>
        <v>#VALUE!</v>
      </c>
      <c r="DM233" s="97" t="e">
        <f ca="1">'Actual Value'!AJ370+"AM:!.VA"</f>
        <v>#VALUE!</v>
      </c>
      <c r="DN233" s="97" t="e">
        <f ca="1">'Actual Value'!AK370+"AM:!.VB"</f>
        <v>#VALUE!</v>
      </c>
      <c r="DO233" s="97" t="e">
        <f ca="1">'Actual Value'!AL370+"AM:!.VC"</f>
        <v>#VALUE!</v>
      </c>
      <c r="DP233" s="97" t="e">
        <f ca="1">'Actual Value'!AM370+"AM:!.VD"</f>
        <v>#VALUE!</v>
      </c>
      <c r="DQ233" s="97" t="e">
        <f ca="1">'Actual Value'!AN370+"AM:!.VE"</f>
        <v>#VALUE!</v>
      </c>
      <c r="DR233" s="97" t="e">
        <f ca="1">'Actual Value'!AO370+"AM:!.VF"</f>
        <v>#VALUE!</v>
      </c>
      <c r="DS233" t="e">
        <f>'Actual Value'!AP370+"AM:!.VG"</f>
        <v>#VALUE!</v>
      </c>
      <c r="DT233" t="e">
        <f>'Actual Value'!AQ370+"AM:!.VH"</f>
        <v>#VALUE!</v>
      </c>
      <c r="DU233" t="e">
        <f>'Actual Value'!AR370+"AM:!.VI"</f>
        <v>#VALUE!</v>
      </c>
      <c r="DV233" t="e">
        <f>'Actual Value'!AS370+"AM:!.VJ"</f>
        <v>#VALUE!</v>
      </c>
      <c r="DW233" t="e">
        <f>'Actual Value'!AT370+"AM:!.VK"</f>
        <v>#VALUE!</v>
      </c>
      <c r="DX233" t="e">
        <f>'Actual Value'!AU370+"AM:!.VL"</f>
        <v>#VALUE!</v>
      </c>
      <c r="DY233" t="e">
        <f>'Actual Value'!AV370+"AM:!.VM"</f>
        <v>#VALUE!</v>
      </c>
      <c r="DZ233" t="e">
        <f>'Actual Value'!AW370+"AM:!.VN"</f>
        <v>#VALUE!</v>
      </c>
      <c r="EA233" t="e">
        <f>'Actual Value'!AX370+"AM:!.VO"</f>
        <v>#VALUE!</v>
      </c>
      <c r="EB233" t="e">
        <f>'Actual Value'!A371+"AM:!.VP"</f>
        <v>#VALUE!</v>
      </c>
      <c r="EC233" t="e">
        <f>'Actual Value'!B371+"AM:!.VQ"</f>
        <v>#VALUE!</v>
      </c>
      <c r="ED233" t="e">
        <f>'Actual Value'!C371+"AM:!.VR"</f>
        <v>#VALUE!</v>
      </c>
      <c r="EE233" s="97" t="e">
        <f ca="1">'Actual Value'!D371+"AM:!.VS"</f>
        <v>#VALUE!</v>
      </c>
      <c r="EF233" s="97" t="e">
        <f ca="1">'Actual Value'!E371+"AM:!.VT"</f>
        <v>#VALUE!</v>
      </c>
      <c r="EG233" s="97" t="e">
        <f ca="1">'Actual Value'!F371+"AM:!.VU"</f>
        <v>#VALUE!</v>
      </c>
      <c r="EH233" s="97" t="e">
        <f ca="1">'Actual Value'!G371+"AM:!.VV"</f>
        <v>#VALUE!</v>
      </c>
      <c r="EI233" s="97" t="e">
        <f ca="1">'Actual Value'!H371+"AM:!.VW"</f>
        <v>#VALUE!</v>
      </c>
      <c r="EJ233" s="97" t="e">
        <f ca="1">'Actual Value'!I371+"AM:!.VX"</f>
        <v>#VALUE!</v>
      </c>
      <c r="EK233" s="97" t="e">
        <f ca="1">'Actual Value'!J371+"AM:!.VY"</f>
        <v>#VALUE!</v>
      </c>
      <c r="EL233" s="97" t="e">
        <f ca="1">'Actual Value'!K371+"AM:!.VZ"</f>
        <v>#VALUE!</v>
      </c>
      <c r="EM233" s="97" t="e">
        <f ca="1">'Actual Value'!L371+"AM:!.V["</f>
        <v>#VALUE!</v>
      </c>
      <c r="EN233" s="97" t="e">
        <f ca="1">'Actual Value'!M371+"AM:!.V\"</f>
        <v>#VALUE!</v>
      </c>
      <c r="EO233" s="97" t="e">
        <f ca="1">'Actual Value'!N371+"AM:!.V]"</f>
        <v>#VALUE!</v>
      </c>
      <c r="EP233" s="97" t="e">
        <f ca="1">'Actual Value'!O371+"AM:!.V^"</f>
        <v>#VALUE!</v>
      </c>
      <c r="EQ233" s="97" t="e">
        <f ca="1">'Actual Value'!P371+"AM:!.V_"</f>
        <v>#VALUE!</v>
      </c>
      <c r="ER233" s="97" t="e">
        <f ca="1">'Actual Value'!Q371+"AM:!.V`"</f>
        <v>#VALUE!</v>
      </c>
      <c r="ES233" s="97" t="e">
        <f ca="1">'Actual Value'!R371+"AM:!.Va"</f>
        <v>#VALUE!</v>
      </c>
      <c r="ET233" s="97" t="e">
        <f ca="1">'Actual Value'!S371+"AM:!.Vb"</f>
        <v>#VALUE!</v>
      </c>
      <c r="EU233" s="97" t="e">
        <f ca="1">'Actual Value'!T371+"AM:!.Vc"</f>
        <v>#VALUE!</v>
      </c>
      <c r="EV233" s="97" t="e">
        <f ca="1">'Actual Value'!U371+"AM:!.Vd"</f>
        <v>#VALUE!</v>
      </c>
      <c r="EW233" s="97" t="e">
        <f ca="1">'Actual Value'!V371+"AM:!.Ve"</f>
        <v>#VALUE!</v>
      </c>
      <c r="EX233" s="97" t="e">
        <f ca="1">'Actual Value'!W371+"AM:!.Vf"</f>
        <v>#VALUE!</v>
      </c>
      <c r="EY233" s="97" t="e">
        <f ca="1">'Actual Value'!X371+"AM:!.Vg"</f>
        <v>#VALUE!</v>
      </c>
      <c r="EZ233" s="97" t="e">
        <f ca="1">'Actual Value'!Y371+"AM:!.Vh"</f>
        <v>#VALUE!</v>
      </c>
      <c r="FA233" s="97" t="e">
        <f ca="1">'Actual Value'!Z371+"AM:!.Vi"</f>
        <v>#VALUE!</v>
      </c>
      <c r="FB233" s="97" t="e">
        <f ca="1">'Actual Value'!AA371+"AM:!.Vj"</f>
        <v>#VALUE!</v>
      </c>
      <c r="FC233" s="97" t="e">
        <f ca="1">'Actual Value'!AB371+"AM:!.Vk"</f>
        <v>#VALUE!</v>
      </c>
      <c r="FD233" s="97" t="e">
        <f ca="1">'Actual Value'!AC371+"AM:!.Vl"</f>
        <v>#VALUE!</v>
      </c>
      <c r="FE233" s="97" t="e">
        <f ca="1">'Actual Value'!AD371+"AM:!.Vm"</f>
        <v>#VALUE!</v>
      </c>
      <c r="FF233" s="97" t="e">
        <f ca="1">'Actual Value'!AE371+"AM:!.Vn"</f>
        <v>#VALUE!</v>
      </c>
      <c r="FG233" s="97" t="e">
        <f ca="1">'Actual Value'!AF371+"AM:!.Vo"</f>
        <v>#VALUE!</v>
      </c>
      <c r="FH233" s="97" t="e">
        <f ca="1">'Actual Value'!AG371+"AM:!.Vp"</f>
        <v>#VALUE!</v>
      </c>
      <c r="FI233" s="97" t="e">
        <f ca="1">'Actual Value'!AH371+"AM:!.Vq"</f>
        <v>#VALUE!</v>
      </c>
      <c r="FJ233" s="97" t="e">
        <f ca="1">'Actual Value'!AI371+"AM:!.Vr"</f>
        <v>#VALUE!</v>
      </c>
      <c r="FK233" s="97" t="e">
        <f ca="1">'Actual Value'!AJ371+"AM:!.Vs"</f>
        <v>#VALUE!</v>
      </c>
      <c r="FL233" s="97" t="e">
        <f ca="1">'Actual Value'!AK371+"AM:!.Vt"</f>
        <v>#VALUE!</v>
      </c>
      <c r="FM233" s="97" t="e">
        <f ca="1">'Actual Value'!AL371+"AM:!.Vu"</f>
        <v>#VALUE!</v>
      </c>
      <c r="FN233" s="97" t="e">
        <f ca="1">'Actual Value'!AM371+"AM:!.Vv"</f>
        <v>#VALUE!</v>
      </c>
      <c r="FO233" s="97" t="e">
        <f ca="1">'Actual Value'!AN371+"AM:!.Vw"</f>
        <v>#VALUE!</v>
      </c>
      <c r="FP233" s="97" t="e">
        <f ca="1">'Actual Value'!AO371+"AM:!.Vx"</f>
        <v>#VALUE!</v>
      </c>
      <c r="FQ233" t="e">
        <f>'Actual Value'!AP371+"AM:!.Vy"</f>
        <v>#VALUE!</v>
      </c>
      <c r="FR233" t="e">
        <f>'Actual Value'!AQ371+"AM:!.Vz"</f>
        <v>#VALUE!</v>
      </c>
      <c r="FS233" t="e">
        <f>'Actual Value'!AR371+"AM:!.V{"</f>
        <v>#VALUE!</v>
      </c>
      <c r="FT233" t="e">
        <f>'Actual Value'!AS371+"AM:!.V|"</f>
        <v>#VALUE!</v>
      </c>
      <c r="FU233" t="e">
        <f>'Actual Value'!AT371+"AM:!.V}"</f>
        <v>#VALUE!</v>
      </c>
      <c r="FV233" t="e">
        <f>'Actual Value'!AU371+"AM:!.V~"</f>
        <v>#VALUE!</v>
      </c>
      <c r="FW233" t="e">
        <f>'Actual Value'!AV371+"AM:!.W#"</f>
        <v>#VALUE!</v>
      </c>
      <c r="FX233" t="e">
        <f>'Actual Value'!AW371+"AM:!.W$"</f>
        <v>#VALUE!</v>
      </c>
      <c r="FY233" t="e">
        <f>'Actual Value'!AX371+"AM:!.W%"</f>
        <v>#VALUE!</v>
      </c>
      <c r="FZ233" t="e">
        <f>'Actual Value'!A372+"AM:!.W&amp;"</f>
        <v>#VALUE!</v>
      </c>
      <c r="GA233" t="e">
        <f>'Actual Value'!B372+"AM:!.W'"</f>
        <v>#VALUE!</v>
      </c>
      <c r="GB233" t="e">
        <f>'Actual Value'!C372+"AM:!.W("</f>
        <v>#VALUE!</v>
      </c>
      <c r="GC233" t="e">
        <f>'Actual Value'!D372+"AM:!.W)"</f>
        <v>#VALUE!</v>
      </c>
      <c r="GD233" t="e">
        <f>'Actual Value'!E372+"AM:!.W."</f>
        <v>#VALUE!</v>
      </c>
      <c r="GE233" t="e">
        <f>'Actual Value'!F372+"AM:!.W/"</f>
        <v>#VALUE!</v>
      </c>
      <c r="GF233" t="e">
        <f>'Actual Value'!G372+"AM:!.W0"</f>
        <v>#VALUE!</v>
      </c>
      <c r="GG233" t="e">
        <f>'Actual Value'!H372+"AM:!.W1"</f>
        <v>#VALUE!</v>
      </c>
      <c r="GH233" t="e">
        <f>'Actual Value'!I372+"AM:!.W2"</f>
        <v>#VALUE!</v>
      </c>
      <c r="GI233" t="e">
        <f>'Actual Value'!J372+"AM:!.W3"</f>
        <v>#VALUE!</v>
      </c>
      <c r="GJ233" t="e">
        <f>'Actual Value'!K372+"AM:!.W4"</f>
        <v>#VALUE!</v>
      </c>
      <c r="GK233" t="e">
        <f>'Actual Value'!L372+"AM:!.W5"</f>
        <v>#VALUE!</v>
      </c>
      <c r="GL233" t="e">
        <f>'Actual Value'!M372+"AM:!.W6"</f>
        <v>#VALUE!</v>
      </c>
      <c r="GM233" t="e">
        <f>'Actual Value'!N372+"AM:!.W7"</f>
        <v>#VALUE!</v>
      </c>
      <c r="GN233" t="e">
        <f>'Actual Value'!O372+"AM:!.W8"</f>
        <v>#VALUE!</v>
      </c>
      <c r="GO233" t="e">
        <f>'Actual Value'!P372+"AM:!.W9"</f>
        <v>#VALUE!</v>
      </c>
      <c r="GP233" t="e">
        <f>'Actual Value'!Q372+"AM:!.W:"</f>
        <v>#VALUE!</v>
      </c>
      <c r="GQ233" t="e">
        <f>'Actual Value'!R372+"AM:!.W;"</f>
        <v>#VALUE!</v>
      </c>
      <c r="GR233" t="e">
        <f>'Actual Value'!S372+"AM:!.W&lt;"</f>
        <v>#VALUE!</v>
      </c>
      <c r="GS233" t="e">
        <f>'Actual Value'!T372+"AM:!.W="</f>
        <v>#VALUE!</v>
      </c>
      <c r="GT233" t="e">
        <f>'Actual Value'!U372+"AM:!.W&gt;"</f>
        <v>#VALUE!</v>
      </c>
      <c r="GU233" t="e">
        <f>'Actual Value'!V372+"AM:!.W?"</f>
        <v>#VALUE!</v>
      </c>
      <c r="GV233" t="e">
        <f>'Actual Value'!W372+"AM:!.W@"</f>
        <v>#VALUE!</v>
      </c>
      <c r="GW233" t="e">
        <f>'Actual Value'!X372+"AM:!.WA"</f>
        <v>#VALUE!</v>
      </c>
      <c r="GX233" t="e">
        <f>'Actual Value'!Y372+"AM:!.WB"</f>
        <v>#VALUE!</v>
      </c>
      <c r="GY233" t="e">
        <f>'Actual Value'!Z372+"AM:!.WC"</f>
        <v>#VALUE!</v>
      </c>
      <c r="GZ233" t="e">
        <f>'Actual Value'!AA372+"AM:!.WD"</f>
        <v>#VALUE!</v>
      </c>
      <c r="HA233" t="e">
        <f>'Actual Value'!AB372+"AM:!.WE"</f>
        <v>#VALUE!</v>
      </c>
      <c r="HB233" t="e">
        <f>'Actual Value'!AC372+"AM:!.WF"</f>
        <v>#VALUE!</v>
      </c>
      <c r="HC233" t="e">
        <f>'Actual Value'!AD372+"AM:!.WG"</f>
        <v>#VALUE!</v>
      </c>
      <c r="HD233" t="e">
        <f>'Actual Value'!AE372+"AM:!.WH"</f>
        <v>#VALUE!</v>
      </c>
      <c r="HE233" t="e">
        <f>'Actual Value'!AF372+"AM:!.WI"</f>
        <v>#VALUE!</v>
      </c>
      <c r="HF233" t="e">
        <f>'Actual Value'!AG372+"AM:!.WJ"</f>
        <v>#VALUE!</v>
      </c>
      <c r="HG233" t="e">
        <f>'Actual Value'!AH372+"AM:!.WK"</f>
        <v>#VALUE!</v>
      </c>
      <c r="HH233" t="e">
        <f>'Actual Value'!AI372+"AM:!.WL"</f>
        <v>#VALUE!</v>
      </c>
      <c r="HI233" t="e">
        <f>'Actual Value'!AJ372+"AM:!.WM"</f>
        <v>#VALUE!</v>
      </c>
      <c r="HJ233" t="e">
        <f>'Actual Value'!AK372+"AM:!.WN"</f>
        <v>#VALUE!</v>
      </c>
      <c r="HK233" t="e">
        <f>'Actual Value'!AL372+"AM:!.WO"</f>
        <v>#VALUE!</v>
      </c>
      <c r="HL233" t="e">
        <f>'Actual Value'!AM372+"AM:!.WP"</f>
        <v>#VALUE!</v>
      </c>
      <c r="HM233" t="e">
        <f>'Actual Value'!AN372+"AM:!.WQ"</f>
        <v>#VALUE!</v>
      </c>
      <c r="HN233" t="e">
        <f>'Actual Value'!AO372+"AM:!.WR"</f>
        <v>#VALUE!</v>
      </c>
      <c r="HO233" t="e">
        <f>'Actual Value'!AP372+"AM:!.WS"</f>
        <v>#VALUE!</v>
      </c>
      <c r="HP233" t="e">
        <f>'Actual Value'!AQ372+"AM:!.WT"</f>
        <v>#VALUE!</v>
      </c>
      <c r="HQ233" t="e">
        <f>'Actual Value'!AR372+"AM:!.WU"</f>
        <v>#VALUE!</v>
      </c>
      <c r="HR233" t="e">
        <f>'Actual Value'!AS372+"AM:!.WV"</f>
        <v>#VALUE!</v>
      </c>
      <c r="HS233" t="e">
        <f>'Actual Value'!AT372+"AM:!.WW"</f>
        <v>#VALUE!</v>
      </c>
      <c r="HT233" t="e">
        <f>'Actual Value'!AU372+"AM:!.WX"</f>
        <v>#VALUE!</v>
      </c>
      <c r="HU233" t="e">
        <f>'Actual Value'!AV372+"AM:!.WY"</f>
        <v>#VALUE!</v>
      </c>
      <c r="HV233" t="e">
        <f>'Actual Value'!AW372+"AM:!.WZ"</f>
        <v>#VALUE!</v>
      </c>
      <c r="HW233" t="e">
        <f>'Actual Value'!AX372+"AM:!.W["</f>
        <v>#VALUE!</v>
      </c>
      <c r="HX233" t="e">
        <f>'Actual Value'!A373+"AM:!.W\"</f>
        <v>#VALUE!</v>
      </c>
      <c r="HY233" t="e">
        <f>'Actual Value'!B373+"AM:!.W]"</f>
        <v>#VALUE!</v>
      </c>
      <c r="HZ233" t="e">
        <f>'Actual Value'!C373+"AM:!.W^"</f>
        <v>#VALUE!</v>
      </c>
      <c r="IA233" s="97" t="e">
        <f>'Actual Value'!D373+"AM:!.W_"</f>
        <v>#VALUE!</v>
      </c>
      <c r="IB233" s="97" t="e">
        <f>'Actual Value'!E373+"AM:!.W`"</f>
        <v>#VALUE!</v>
      </c>
      <c r="IC233" s="97" t="e">
        <f>'Actual Value'!F373+"AM:!.Wa"</f>
        <v>#VALUE!</v>
      </c>
      <c r="ID233" s="97" t="e">
        <f>'Actual Value'!G373+"AM:!.Wb"</f>
        <v>#VALUE!</v>
      </c>
      <c r="IE233" s="97" t="e">
        <f>'Actual Value'!H373+"AM:!.Wc"</f>
        <v>#VALUE!</v>
      </c>
      <c r="IF233" s="97" t="e">
        <f>'Actual Value'!I373+"AM:!.Wd"</f>
        <v>#VALUE!</v>
      </c>
      <c r="IG233" s="97" t="e">
        <f>'Actual Value'!J373+"AM:!.We"</f>
        <v>#VALUE!</v>
      </c>
      <c r="IH233" s="97" t="e">
        <f>'Actual Value'!K373+"AM:!.Wf"</f>
        <v>#VALUE!</v>
      </c>
      <c r="II233" s="97" t="e">
        <f>'Actual Value'!L373+"AM:!.Wg"</f>
        <v>#VALUE!</v>
      </c>
      <c r="IJ233" s="97" t="e">
        <f>'Actual Value'!M373+"AM:!.Wh"</f>
        <v>#VALUE!</v>
      </c>
      <c r="IK233" s="97" t="e">
        <f>'Actual Value'!N373+"AM:!.Wi"</f>
        <v>#VALUE!</v>
      </c>
      <c r="IL233" s="97" t="e">
        <f>'Actual Value'!O373+"AM:!.Wj"</f>
        <v>#VALUE!</v>
      </c>
      <c r="IM233" s="97" t="e">
        <f>'Actual Value'!P373+"AM:!.Wk"</f>
        <v>#VALUE!</v>
      </c>
      <c r="IN233" s="97" t="e">
        <f>'Actual Value'!Q373+"AM:!.Wl"</f>
        <v>#VALUE!</v>
      </c>
      <c r="IO233" s="97" t="e">
        <f>'Actual Value'!R373+"AM:!.Wm"</f>
        <v>#VALUE!</v>
      </c>
      <c r="IP233" s="97" t="e">
        <f>'Actual Value'!S373+"AM:!.Wn"</f>
        <v>#VALUE!</v>
      </c>
      <c r="IQ233" s="97" t="e">
        <f>'Actual Value'!T373+"AM:!.Wo"</f>
        <v>#VALUE!</v>
      </c>
      <c r="IR233" s="97" t="e">
        <f>'Actual Value'!U373+"AM:!.Wp"</f>
        <v>#VALUE!</v>
      </c>
      <c r="IS233" s="97" t="e">
        <f>'Actual Value'!V373+"AM:!.Wq"</f>
        <v>#VALUE!</v>
      </c>
      <c r="IT233" s="97" t="e">
        <f>'Actual Value'!W373+"AM:!.Wr"</f>
        <v>#VALUE!</v>
      </c>
      <c r="IU233" s="97" t="e">
        <f>'Actual Value'!X373+"AM:!.Ws"</f>
        <v>#VALUE!</v>
      </c>
      <c r="IV233" s="97" t="e">
        <f>'Actual Value'!Y373+"AM:!.Wt"</f>
        <v>#VALUE!</v>
      </c>
    </row>
    <row r="234" spans="6:256">
      <c r="F234" s="97" t="e">
        <f>'Actual Value'!Z373+"AM:!.Wu"</f>
        <v>#VALUE!</v>
      </c>
      <c r="G234" s="97" t="e">
        <f>'Actual Value'!AA373+"AM:!.Wv"</f>
        <v>#VALUE!</v>
      </c>
      <c r="H234" s="97" t="e">
        <f>'Actual Value'!AB373+"AM:!.Ww"</f>
        <v>#VALUE!</v>
      </c>
      <c r="I234" s="97" t="e">
        <f>'Actual Value'!AC373+"AM:!.Wx"</f>
        <v>#VALUE!</v>
      </c>
      <c r="J234" s="97" t="e">
        <f>'Actual Value'!AD373+"AM:!.Wy"</f>
        <v>#VALUE!</v>
      </c>
      <c r="K234" s="97" t="e">
        <f>'Actual Value'!AE373+"AM:!.Wz"</f>
        <v>#VALUE!</v>
      </c>
      <c r="L234" s="97" t="e">
        <f>'Actual Value'!AF373+"AM:!.W{"</f>
        <v>#VALUE!</v>
      </c>
      <c r="M234" s="97" t="e">
        <f>'Actual Value'!AG373+"AM:!.W|"</f>
        <v>#VALUE!</v>
      </c>
      <c r="N234" s="97" t="e">
        <f>'Actual Value'!AH373+"AM:!.W}"</f>
        <v>#VALUE!</v>
      </c>
      <c r="O234" s="97" t="e">
        <f>'Actual Value'!AI373+"AM:!.W~"</f>
        <v>#VALUE!</v>
      </c>
      <c r="P234" s="97" t="e">
        <f>'Actual Value'!AJ373+"AM:!.X#"</f>
        <v>#VALUE!</v>
      </c>
      <c r="Q234" s="97" t="e">
        <f>'Actual Value'!AK373+"AM:!.X$"</f>
        <v>#VALUE!</v>
      </c>
      <c r="R234" s="97" t="e">
        <f>'Actual Value'!AL373+"AM:!.X%"</f>
        <v>#VALUE!</v>
      </c>
      <c r="S234" s="97" t="e">
        <f>'Actual Value'!AM373+"AM:!.X&amp;"</f>
        <v>#VALUE!</v>
      </c>
      <c r="T234" s="97" t="e">
        <f>'Actual Value'!AN373+"AM:!.X'"</f>
        <v>#VALUE!</v>
      </c>
      <c r="U234" s="97" t="e">
        <f>'Actual Value'!AO373+"AM:!.X("</f>
        <v>#VALUE!</v>
      </c>
      <c r="V234" t="e">
        <f>'Actual Value'!AP373+"AM:!.X)"</f>
        <v>#VALUE!</v>
      </c>
      <c r="W234" t="e">
        <f>'Actual Value'!AQ373+"AM:!.X."</f>
        <v>#VALUE!</v>
      </c>
      <c r="X234" t="e">
        <f>'Actual Value'!AR373+"AM:!.X/"</f>
        <v>#VALUE!</v>
      </c>
      <c r="Y234" t="e">
        <f>'Actual Value'!AS373+"AM:!.X0"</f>
        <v>#VALUE!</v>
      </c>
      <c r="Z234" t="e">
        <f>'Actual Value'!AT373+"AM:!.X1"</f>
        <v>#VALUE!</v>
      </c>
      <c r="AA234" t="e">
        <f>'Actual Value'!AU373+"AM:!.X2"</f>
        <v>#VALUE!</v>
      </c>
      <c r="AB234" t="e">
        <f>'Actual Value'!AV373+"AM:!.X3"</f>
        <v>#VALUE!</v>
      </c>
      <c r="AC234" t="e">
        <f>'Actual Value'!AW373+"AM:!.X4"</f>
        <v>#VALUE!</v>
      </c>
      <c r="AD234" t="e">
        <f>'Actual Value'!AX373+"AM:!.X5"</f>
        <v>#VALUE!</v>
      </c>
      <c r="AE234" t="e">
        <f>'Actual Value'!A374+"AM:!.X6"</f>
        <v>#VALUE!</v>
      </c>
      <c r="AF234" t="e">
        <f>'Actual Value'!B374+"AM:!.X7"</f>
        <v>#VALUE!</v>
      </c>
      <c r="AG234" t="e">
        <f>'Actual Value'!C374+"AM:!.X8"</f>
        <v>#VALUE!</v>
      </c>
      <c r="AH234" s="97" t="e">
        <f>'Actual Value'!D374+"AM:!.X9"</f>
        <v>#VALUE!</v>
      </c>
      <c r="AI234" s="97" t="e">
        <f>'Actual Value'!E374+"AM:!.X:"</f>
        <v>#VALUE!</v>
      </c>
      <c r="AJ234" s="97" t="e">
        <f>'Actual Value'!F374+"AM:!.X;"</f>
        <v>#VALUE!</v>
      </c>
      <c r="AK234" s="97" t="e">
        <f>'Actual Value'!G374+"AM:!.X&lt;"</f>
        <v>#VALUE!</v>
      </c>
      <c r="AL234" s="97" t="e">
        <f>'Actual Value'!H374+"AM:!.X="</f>
        <v>#VALUE!</v>
      </c>
      <c r="AM234" s="97" t="e">
        <f>'Actual Value'!I374+"AM:!.X&gt;"</f>
        <v>#VALUE!</v>
      </c>
      <c r="AN234" s="97" t="e">
        <f>'Actual Value'!J374+"AM:!.X?"</f>
        <v>#VALUE!</v>
      </c>
      <c r="AO234" s="97" t="e">
        <f>'Actual Value'!K374+"AM:!.X@"</f>
        <v>#VALUE!</v>
      </c>
      <c r="AP234" s="97" t="e">
        <f>'Actual Value'!L374+"AM:!.XA"</f>
        <v>#VALUE!</v>
      </c>
      <c r="AQ234" s="97" t="e">
        <f>'Actual Value'!M374+"AM:!.XB"</f>
        <v>#VALUE!</v>
      </c>
      <c r="AR234" s="97" t="e">
        <f>'Actual Value'!N374+"AM:!.XC"</f>
        <v>#VALUE!</v>
      </c>
      <c r="AS234" s="97" t="e">
        <f>'Actual Value'!O374+"AM:!.XD"</f>
        <v>#VALUE!</v>
      </c>
      <c r="AT234" s="97" t="e">
        <f>'Actual Value'!P374+"AM:!.XE"</f>
        <v>#VALUE!</v>
      </c>
      <c r="AU234" s="97" t="e">
        <f>'Actual Value'!Q374+"AM:!.XF"</f>
        <v>#VALUE!</v>
      </c>
      <c r="AV234" s="97" t="e">
        <f>'Actual Value'!R374+"AM:!.XG"</f>
        <v>#VALUE!</v>
      </c>
      <c r="AW234" s="97" t="e">
        <f>'Actual Value'!S374+"AM:!.XH"</f>
        <v>#VALUE!</v>
      </c>
      <c r="AX234" s="97" t="e">
        <f>'Actual Value'!T374+"AM:!.XI"</f>
        <v>#VALUE!</v>
      </c>
      <c r="AY234" s="97" t="e">
        <f>'Actual Value'!U374+"AM:!.XJ"</f>
        <v>#VALUE!</v>
      </c>
      <c r="AZ234" s="97" t="e">
        <f>'Actual Value'!V374+"AM:!.XK"</f>
        <v>#VALUE!</v>
      </c>
      <c r="BA234" s="97" t="e">
        <f>'Actual Value'!W374+"AM:!.XL"</f>
        <v>#VALUE!</v>
      </c>
      <c r="BB234" s="97" t="e">
        <f>'Actual Value'!X374+"AM:!.XM"</f>
        <v>#VALUE!</v>
      </c>
      <c r="BC234" s="97" t="e">
        <f>'Actual Value'!Y374+"AM:!.XN"</f>
        <v>#VALUE!</v>
      </c>
      <c r="BD234" s="97" t="e">
        <f>'Actual Value'!Z374+"AM:!.XO"</f>
        <v>#VALUE!</v>
      </c>
      <c r="BE234" s="97" t="e">
        <f>'Actual Value'!AA374+"AM:!.XP"</f>
        <v>#VALUE!</v>
      </c>
      <c r="BF234" s="97" t="e">
        <f>'Actual Value'!AB374+"AM:!.XQ"</f>
        <v>#VALUE!</v>
      </c>
      <c r="BG234" s="97" t="e">
        <f>'Actual Value'!AC374+"AM:!.XR"</f>
        <v>#VALUE!</v>
      </c>
      <c r="BH234" s="97" t="e">
        <f>'Actual Value'!AD374+"AM:!.XS"</f>
        <v>#VALUE!</v>
      </c>
      <c r="BI234" s="97" t="e">
        <f>'Actual Value'!AE374+"AM:!.XT"</f>
        <v>#VALUE!</v>
      </c>
      <c r="BJ234" s="97" t="e">
        <f>'Actual Value'!AF374+"AM:!.XU"</f>
        <v>#VALUE!</v>
      </c>
      <c r="BK234" s="97" t="e">
        <f>'Actual Value'!AG374+"AM:!.XV"</f>
        <v>#VALUE!</v>
      </c>
      <c r="BL234" s="97" t="e">
        <f>'Actual Value'!AH374+"AM:!.XW"</f>
        <v>#VALUE!</v>
      </c>
      <c r="BM234" s="97" t="e">
        <f>'Actual Value'!AI374+"AM:!.XX"</f>
        <v>#VALUE!</v>
      </c>
      <c r="BN234" s="97" t="e">
        <f>'Actual Value'!AJ374+"AM:!.XY"</f>
        <v>#VALUE!</v>
      </c>
      <c r="BO234" s="97" t="e">
        <f>'Actual Value'!AK374+"AM:!.XZ"</f>
        <v>#VALUE!</v>
      </c>
      <c r="BP234" s="97" t="e">
        <f>'Actual Value'!AL374+"AM:!.X["</f>
        <v>#VALUE!</v>
      </c>
      <c r="BQ234" s="97" t="e">
        <f>'Actual Value'!AM374+"AM:!.X\"</f>
        <v>#VALUE!</v>
      </c>
      <c r="BR234" s="97" t="e">
        <f>'Actual Value'!AN374+"AM:!.X]"</f>
        <v>#VALUE!</v>
      </c>
      <c r="BS234" s="97" t="e">
        <f>'Actual Value'!AO374+"AM:!.X^"</f>
        <v>#VALUE!</v>
      </c>
      <c r="BT234" t="e">
        <f>'Actual Value'!AP374+"AM:!.X_"</f>
        <v>#VALUE!</v>
      </c>
      <c r="BU234" t="e">
        <f>'Actual Value'!AQ374+"AM:!.X`"</f>
        <v>#VALUE!</v>
      </c>
      <c r="BV234" t="e">
        <f>'Actual Value'!AR374+"AM:!.Xa"</f>
        <v>#VALUE!</v>
      </c>
      <c r="BW234" t="e">
        <f>'Actual Value'!AS374+"AM:!.Xb"</f>
        <v>#VALUE!</v>
      </c>
      <c r="BX234" t="e">
        <f>'Actual Value'!AT374+"AM:!.Xc"</f>
        <v>#VALUE!</v>
      </c>
      <c r="BY234" t="e">
        <f>'Actual Value'!AU374+"AM:!.Xd"</f>
        <v>#VALUE!</v>
      </c>
      <c r="BZ234" t="e">
        <f>'Actual Value'!AV374+"AM:!.Xe"</f>
        <v>#VALUE!</v>
      </c>
      <c r="CA234" t="e">
        <f>'Actual Value'!AW374+"AM:!.Xf"</f>
        <v>#VALUE!</v>
      </c>
      <c r="CB234" t="e">
        <f>'Actual Value'!AX374+"AM:!.Xg"</f>
        <v>#VALUE!</v>
      </c>
      <c r="CC234" t="e">
        <f>'Actual Value'!A375+"AM:!.Xh"</f>
        <v>#VALUE!</v>
      </c>
      <c r="CD234" t="e">
        <f>'Actual Value'!B375+"AM:!.Xi"</f>
        <v>#VALUE!</v>
      </c>
      <c r="CE234" t="e">
        <f>'Actual Value'!C375+"AM:!.Xj"</f>
        <v>#VALUE!</v>
      </c>
      <c r="CF234" s="97" t="e">
        <f>'Actual Value'!D375+"AM:!.Xk"</f>
        <v>#VALUE!</v>
      </c>
      <c r="CG234" s="97" t="e">
        <f>'Actual Value'!E375+"AM:!.Xl"</f>
        <v>#VALUE!</v>
      </c>
      <c r="CH234" s="97" t="e">
        <f>'Actual Value'!F375+"AM:!.Xm"</f>
        <v>#VALUE!</v>
      </c>
      <c r="CI234" s="97" t="e">
        <f>'Actual Value'!G375+"AM:!.Xn"</f>
        <v>#VALUE!</v>
      </c>
      <c r="CJ234" s="97" t="e">
        <f>'Actual Value'!H375+"AM:!.Xo"</f>
        <v>#VALUE!</v>
      </c>
      <c r="CK234" s="97" t="e">
        <f>'Actual Value'!I375+"AM:!.Xp"</f>
        <v>#VALUE!</v>
      </c>
      <c r="CL234" s="97" t="e">
        <f>'Actual Value'!J375+"AM:!.Xq"</f>
        <v>#VALUE!</v>
      </c>
      <c r="CM234" s="97" t="e">
        <f>'Actual Value'!K375+"AM:!.Xr"</f>
        <v>#VALUE!</v>
      </c>
      <c r="CN234" s="97" t="e">
        <f>'Actual Value'!L375+"AM:!.Xs"</f>
        <v>#VALUE!</v>
      </c>
      <c r="CO234" s="97" t="e">
        <f>'Actual Value'!M375+"AM:!.Xt"</f>
        <v>#VALUE!</v>
      </c>
      <c r="CP234" s="97" t="e">
        <f>'Actual Value'!N375+"AM:!.Xu"</f>
        <v>#VALUE!</v>
      </c>
      <c r="CQ234" s="97" t="e">
        <f>'Actual Value'!O375+"AM:!.Xv"</f>
        <v>#VALUE!</v>
      </c>
      <c r="CR234" s="97" t="e">
        <f>'Actual Value'!P375+"AM:!.Xw"</f>
        <v>#VALUE!</v>
      </c>
      <c r="CS234" s="97" t="e">
        <f>'Actual Value'!Q375+"AM:!.Xx"</f>
        <v>#VALUE!</v>
      </c>
      <c r="CT234" s="97" t="e">
        <f>'Actual Value'!R375+"AM:!.Xy"</f>
        <v>#VALUE!</v>
      </c>
      <c r="CU234" s="97" t="e">
        <f>'Actual Value'!S375+"AM:!.Xz"</f>
        <v>#VALUE!</v>
      </c>
      <c r="CV234" s="97" t="e">
        <f>'Actual Value'!T375+"AM:!.X{"</f>
        <v>#VALUE!</v>
      </c>
      <c r="CW234" s="97" t="e">
        <f>'Actual Value'!U375+"AM:!.X|"</f>
        <v>#VALUE!</v>
      </c>
      <c r="CX234" s="97" t="e">
        <f>'Actual Value'!V375+"AM:!.X}"</f>
        <v>#VALUE!</v>
      </c>
      <c r="CY234" s="97" t="e">
        <f>'Actual Value'!W375+"AM:!.X~"</f>
        <v>#VALUE!</v>
      </c>
      <c r="CZ234" s="97" t="e">
        <f>'Actual Value'!X375+"AM:!.Y#"</f>
        <v>#VALUE!</v>
      </c>
      <c r="DA234" s="97" t="e">
        <f>'Actual Value'!Y375+"AM:!.Y$"</f>
        <v>#VALUE!</v>
      </c>
      <c r="DB234" s="97" t="e">
        <f>'Actual Value'!Z375+"AM:!.Y%"</f>
        <v>#VALUE!</v>
      </c>
      <c r="DC234" s="97" t="e">
        <f>'Actual Value'!AA375+"AM:!.Y&amp;"</f>
        <v>#VALUE!</v>
      </c>
      <c r="DD234" s="97" t="e">
        <f>'Actual Value'!AB375+"AM:!.Y'"</f>
        <v>#VALUE!</v>
      </c>
      <c r="DE234" s="97" t="e">
        <f>'Actual Value'!AC375+"AM:!.Y("</f>
        <v>#VALUE!</v>
      </c>
      <c r="DF234" s="97" t="e">
        <f>'Actual Value'!AD375+"AM:!.Y)"</f>
        <v>#VALUE!</v>
      </c>
      <c r="DG234" s="97" t="e">
        <f>'Actual Value'!AE375+"AM:!.Y."</f>
        <v>#VALUE!</v>
      </c>
      <c r="DH234" s="97" t="e">
        <f>'Actual Value'!AF375+"AM:!.Y/"</f>
        <v>#VALUE!</v>
      </c>
      <c r="DI234" s="97" t="e">
        <f>'Actual Value'!AG375+"AM:!.Y0"</f>
        <v>#VALUE!</v>
      </c>
      <c r="DJ234" s="97" t="e">
        <f>'Actual Value'!AH375+"AM:!.Y1"</f>
        <v>#VALUE!</v>
      </c>
      <c r="DK234" s="97" t="e">
        <f>'Actual Value'!AI375+"AM:!.Y2"</f>
        <v>#VALUE!</v>
      </c>
      <c r="DL234" s="97" t="e">
        <f>'Actual Value'!AJ375+"AM:!.Y3"</f>
        <v>#VALUE!</v>
      </c>
      <c r="DM234" s="97" t="e">
        <f>'Actual Value'!AK375+"AM:!.Y4"</f>
        <v>#VALUE!</v>
      </c>
      <c r="DN234" s="97" t="e">
        <f>'Actual Value'!AL375+"AM:!.Y5"</f>
        <v>#VALUE!</v>
      </c>
      <c r="DO234" s="97" t="e">
        <f>'Actual Value'!AM375+"AM:!.Y6"</f>
        <v>#VALUE!</v>
      </c>
      <c r="DP234" s="97" t="e">
        <f>'Actual Value'!AN375+"AM:!.Y7"</f>
        <v>#VALUE!</v>
      </c>
      <c r="DQ234" s="97" t="e">
        <f>'Actual Value'!AO375+"AM:!.Y8"</f>
        <v>#VALUE!</v>
      </c>
      <c r="DR234" t="e">
        <f>'Actual Value'!AP375+"AM:!.Y9"</f>
        <v>#VALUE!</v>
      </c>
      <c r="DS234" t="e">
        <f>'Actual Value'!AQ375+"AM:!.Y:"</f>
        <v>#VALUE!</v>
      </c>
      <c r="DT234" t="e">
        <f>'Actual Value'!AR375+"AM:!.Y;"</f>
        <v>#VALUE!</v>
      </c>
      <c r="DU234" t="e">
        <f>'Actual Value'!AS375+"AM:!.Y&lt;"</f>
        <v>#VALUE!</v>
      </c>
      <c r="DV234" t="e">
        <f>'Actual Value'!AT375+"AM:!.Y="</f>
        <v>#VALUE!</v>
      </c>
      <c r="DW234" t="e">
        <f>'Actual Value'!AU375+"AM:!.Y&gt;"</f>
        <v>#VALUE!</v>
      </c>
      <c r="DX234" t="e">
        <f>'Actual Value'!AV375+"AM:!.Y?"</f>
        <v>#VALUE!</v>
      </c>
      <c r="DY234" t="e">
        <f>'Actual Value'!AW375+"AM:!.Y@"</f>
        <v>#VALUE!</v>
      </c>
      <c r="DZ234" t="e">
        <f>'Actual Value'!AX375+"AM:!.YA"</f>
        <v>#VALUE!</v>
      </c>
      <c r="EA234" t="e">
        <f>'Actual Value'!A376+"AM:!.YB"</f>
        <v>#VALUE!</v>
      </c>
      <c r="EB234" t="e">
        <f>'Actual Value'!B376+"AM:!.YC"</f>
        <v>#VALUE!</v>
      </c>
      <c r="EC234" t="e">
        <f>'Actual Value'!C376+"AM:!.YD"</f>
        <v>#VALUE!</v>
      </c>
      <c r="ED234" t="e">
        <f>'Actual Value'!D376+"AM:!.YE"</f>
        <v>#VALUE!</v>
      </c>
      <c r="EE234" t="e">
        <f>'Actual Value'!E376+"AM:!.YF"</f>
        <v>#VALUE!</v>
      </c>
      <c r="EF234" t="e">
        <f>'Actual Value'!F376+"AM:!.YG"</f>
        <v>#VALUE!</v>
      </c>
      <c r="EG234" t="e">
        <f>'Actual Value'!G376+"AM:!.YH"</f>
        <v>#VALUE!</v>
      </c>
      <c r="EH234" t="e">
        <f>'Actual Value'!H376+"AM:!.YI"</f>
        <v>#VALUE!</v>
      </c>
      <c r="EI234" t="e">
        <f>'Actual Value'!I376+"AM:!.YJ"</f>
        <v>#VALUE!</v>
      </c>
      <c r="EJ234" t="e">
        <f>'Actual Value'!J376+"AM:!.YK"</f>
        <v>#VALUE!</v>
      </c>
      <c r="EK234" t="e">
        <f>'Actual Value'!K376+"AM:!.YL"</f>
        <v>#VALUE!</v>
      </c>
      <c r="EL234" t="e">
        <f>'Actual Value'!L376+"AM:!.YM"</f>
        <v>#VALUE!</v>
      </c>
      <c r="EM234" t="e">
        <f>'Actual Value'!M376+"AM:!.YN"</f>
        <v>#VALUE!</v>
      </c>
      <c r="EN234" t="e">
        <f>'Actual Value'!N376+"AM:!.YO"</f>
        <v>#VALUE!</v>
      </c>
      <c r="EO234" t="e">
        <f>'Actual Value'!O376+"AM:!.YP"</f>
        <v>#VALUE!</v>
      </c>
      <c r="EP234" t="e">
        <f>'Actual Value'!P376+"AM:!.YQ"</f>
        <v>#VALUE!</v>
      </c>
      <c r="EQ234" t="e">
        <f>'Actual Value'!Q376+"AM:!.YR"</f>
        <v>#VALUE!</v>
      </c>
      <c r="ER234" t="e">
        <f>'Actual Value'!R376+"AM:!.YS"</f>
        <v>#VALUE!</v>
      </c>
      <c r="ES234" t="e">
        <f>'Actual Value'!S376+"AM:!.YT"</f>
        <v>#VALUE!</v>
      </c>
      <c r="ET234" t="e">
        <f>'Actual Value'!T376+"AM:!.YU"</f>
        <v>#VALUE!</v>
      </c>
      <c r="EU234" t="e">
        <f>'Actual Value'!U376+"AM:!.YV"</f>
        <v>#VALUE!</v>
      </c>
      <c r="EV234" t="e">
        <f>'Actual Value'!V376+"AM:!.YW"</f>
        <v>#VALUE!</v>
      </c>
      <c r="EW234" t="e">
        <f>'Actual Value'!W376+"AM:!.YX"</f>
        <v>#VALUE!</v>
      </c>
      <c r="EX234" t="e">
        <f>'Actual Value'!X376+"AM:!.YY"</f>
        <v>#VALUE!</v>
      </c>
      <c r="EY234" t="e">
        <f>'Actual Value'!Y376+"AM:!.YZ"</f>
        <v>#VALUE!</v>
      </c>
      <c r="EZ234" t="e">
        <f>'Actual Value'!Z376+"AM:!.Y["</f>
        <v>#VALUE!</v>
      </c>
      <c r="FA234" t="e">
        <f>'Actual Value'!AA376+"AM:!.Y\"</f>
        <v>#VALUE!</v>
      </c>
      <c r="FB234" t="e">
        <f>'Actual Value'!AB376+"AM:!.Y]"</f>
        <v>#VALUE!</v>
      </c>
      <c r="FC234" t="e">
        <f>'Actual Value'!AC376+"AM:!.Y^"</f>
        <v>#VALUE!</v>
      </c>
      <c r="FD234" t="e">
        <f>'Actual Value'!AD376+"AM:!.Y_"</f>
        <v>#VALUE!</v>
      </c>
      <c r="FE234" t="e">
        <f>'Actual Value'!AE376+"AM:!.Y`"</f>
        <v>#VALUE!</v>
      </c>
      <c r="FF234" t="e">
        <f>'Actual Value'!AF376+"AM:!.Ya"</f>
        <v>#VALUE!</v>
      </c>
      <c r="FG234" t="e">
        <f>'Actual Value'!AG376+"AM:!.Yb"</f>
        <v>#VALUE!</v>
      </c>
      <c r="FH234" t="e">
        <f>'Actual Value'!AH376+"AM:!.Yc"</f>
        <v>#VALUE!</v>
      </c>
      <c r="FI234" t="e">
        <f>'Actual Value'!AI376+"AM:!.Yd"</f>
        <v>#VALUE!</v>
      </c>
      <c r="FJ234" t="e">
        <f>'Actual Value'!AJ376+"AM:!.Ye"</f>
        <v>#VALUE!</v>
      </c>
      <c r="FK234" t="e">
        <f>'Actual Value'!AK376+"AM:!.Yf"</f>
        <v>#VALUE!</v>
      </c>
      <c r="FL234" t="e">
        <f>'Actual Value'!AL376+"AM:!.Yg"</f>
        <v>#VALUE!</v>
      </c>
      <c r="FM234" t="e">
        <f>'Actual Value'!AM376+"AM:!.Yh"</f>
        <v>#VALUE!</v>
      </c>
      <c r="FN234" t="e">
        <f>'Actual Value'!AN376+"AM:!.Yi"</f>
        <v>#VALUE!</v>
      </c>
      <c r="FO234" t="e">
        <f>'Actual Value'!AO376+"AM:!.Yj"</f>
        <v>#VALUE!</v>
      </c>
      <c r="FP234" t="e">
        <f>'Actual Value'!AP376+"AM:!.Yk"</f>
        <v>#VALUE!</v>
      </c>
      <c r="FQ234" t="e">
        <f>'Actual Value'!AQ376+"AM:!.Yl"</f>
        <v>#VALUE!</v>
      </c>
      <c r="FR234" t="e">
        <f>'Actual Value'!AR376+"AM:!.Ym"</f>
        <v>#VALUE!</v>
      </c>
      <c r="FS234" t="e">
        <f>'Actual Value'!AS376+"AM:!.Yn"</f>
        <v>#VALUE!</v>
      </c>
      <c r="FT234" t="e">
        <f>'Actual Value'!AT376+"AM:!.Yo"</f>
        <v>#VALUE!</v>
      </c>
      <c r="FU234" t="e">
        <f>'Actual Value'!AU376+"AM:!.Yp"</f>
        <v>#VALUE!</v>
      </c>
      <c r="FV234" t="e">
        <f>'Actual Value'!AV376+"AM:!.Yq"</f>
        <v>#VALUE!</v>
      </c>
      <c r="FW234" t="e">
        <f>'Actual Value'!AW376+"AM:!.Yr"</f>
        <v>#VALUE!</v>
      </c>
      <c r="FX234" t="e">
        <f>'Actual Value'!AX376+"AM:!.Ys"</f>
        <v>#VALUE!</v>
      </c>
      <c r="FY234" t="e">
        <f>'Actual Value'!A377+"AM:!.Yt"</f>
        <v>#VALUE!</v>
      </c>
      <c r="FZ234" t="e">
        <f>'Actual Value'!B377+"AM:!.Yu"</f>
        <v>#VALUE!</v>
      </c>
      <c r="GA234" t="e">
        <f>'Actual Value'!C377+"AM:!.Yv"</f>
        <v>#VALUE!</v>
      </c>
      <c r="GB234" s="97" t="e">
        <f ca="1">'Actual Value'!D377+"AM:!.Yw"</f>
        <v>#VALUE!</v>
      </c>
      <c r="GC234" s="97" t="e">
        <f ca="1">'Actual Value'!E377+"AM:!.Yx"</f>
        <v>#VALUE!</v>
      </c>
      <c r="GD234" s="97" t="e">
        <f ca="1">'Actual Value'!F377+"AM:!.Yy"</f>
        <v>#VALUE!</v>
      </c>
      <c r="GE234" s="97" t="e">
        <f ca="1">'Actual Value'!G377+"AM:!.Yz"</f>
        <v>#VALUE!</v>
      </c>
      <c r="GF234" s="97" t="e">
        <f ca="1">'Actual Value'!H377+"AM:!.Y{"</f>
        <v>#VALUE!</v>
      </c>
      <c r="GG234" s="97" t="e">
        <f ca="1">'Actual Value'!I377+"AM:!.Y|"</f>
        <v>#VALUE!</v>
      </c>
      <c r="GH234" s="97" t="e">
        <f ca="1">'Actual Value'!J377+"AM:!.Y}"</f>
        <v>#VALUE!</v>
      </c>
      <c r="GI234" s="97" t="e">
        <f ca="1">'Actual Value'!K377+"AM:!.Y~"</f>
        <v>#VALUE!</v>
      </c>
      <c r="GJ234" s="97" t="e">
        <f ca="1">'Actual Value'!L377+"AM:!.Z#"</f>
        <v>#VALUE!</v>
      </c>
      <c r="GK234" s="97" t="e">
        <f ca="1">'Actual Value'!M377+"AM:!.Z$"</f>
        <v>#VALUE!</v>
      </c>
      <c r="GL234" s="97" t="e">
        <f ca="1">'Actual Value'!N377+"AM:!.Z%"</f>
        <v>#VALUE!</v>
      </c>
      <c r="GM234" s="97" t="e">
        <f ca="1">'Actual Value'!O377+"AM:!.Z&amp;"</f>
        <v>#VALUE!</v>
      </c>
      <c r="GN234" s="97" t="e">
        <f ca="1">'Actual Value'!P377+"AM:!.Z'"</f>
        <v>#VALUE!</v>
      </c>
      <c r="GO234" s="97" t="e">
        <f ca="1">'Actual Value'!Q377+"AM:!.Z("</f>
        <v>#VALUE!</v>
      </c>
      <c r="GP234" s="97" t="e">
        <f ca="1">'Actual Value'!R377+"AM:!.Z)"</f>
        <v>#VALUE!</v>
      </c>
      <c r="GQ234" s="97" t="e">
        <f ca="1">'Actual Value'!S377+"AM:!.Z."</f>
        <v>#VALUE!</v>
      </c>
      <c r="GR234" s="97" t="e">
        <f ca="1">'Actual Value'!T377+"AM:!.Z/"</f>
        <v>#VALUE!</v>
      </c>
      <c r="GS234" s="97" t="e">
        <f ca="1">'Actual Value'!U377+"AM:!.Z0"</f>
        <v>#VALUE!</v>
      </c>
      <c r="GT234" s="97" t="e">
        <f ca="1">'Actual Value'!V377+"AM:!.Z1"</f>
        <v>#VALUE!</v>
      </c>
      <c r="GU234" s="97" t="e">
        <f ca="1">'Actual Value'!W377+"AM:!.Z2"</f>
        <v>#VALUE!</v>
      </c>
      <c r="GV234" s="97" t="e">
        <f ca="1">'Actual Value'!X377+"AM:!.Z3"</f>
        <v>#VALUE!</v>
      </c>
      <c r="GW234" s="97" t="e">
        <f ca="1">'Actual Value'!Y377+"AM:!.Z4"</f>
        <v>#VALUE!</v>
      </c>
      <c r="GX234" s="97" t="e">
        <f ca="1">'Actual Value'!Z377+"AM:!.Z5"</f>
        <v>#VALUE!</v>
      </c>
      <c r="GY234" s="97" t="e">
        <f ca="1">'Actual Value'!AA377+"AM:!.Z6"</f>
        <v>#VALUE!</v>
      </c>
      <c r="GZ234" s="97" t="e">
        <f ca="1">'Actual Value'!AB377+"AM:!.Z7"</f>
        <v>#VALUE!</v>
      </c>
      <c r="HA234" s="97" t="e">
        <f ca="1">'Actual Value'!AC377+"AM:!.Z8"</f>
        <v>#VALUE!</v>
      </c>
      <c r="HB234" s="97" t="e">
        <f ca="1">'Actual Value'!AD377+"AM:!.Z9"</f>
        <v>#VALUE!</v>
      </c>
      <c r="HC234" s="97" t="e">
        <f ca="1">'Actual Value'!AE377+"AM:!.Z:"</f>
        <v>#VALUE!</v>
      </c>
      <c r="HD234" s="97" t="e">
        <f ca="1">'Actual Value'!AF377+"AM:!.Z;"</f>
        <v>#VALUE!</v>
      </c>
      <c r="HE234" s="97" t="e">
        <f ca="1">'Actual Value'!AG377+"AM:!.Z&lt;"</f>
        <v>#VALUE!</v>
      </c>
      <c r="HF234" s="97" t="e">
        <f ca="1">'Actual Value'!AH377+"AM:!.Z="</f>
        <v>#VALUE!</v>
      </c>
      <c r="HG234" s="97" t="e">
        <f ca="1">'Actual Value'!AI377+"AM:!.Z&gt;"</f>
        <v>#VALUE!</v>
      </c>
      <c r="HH234" s="97" t="e">
        <f ca="1">'Actual Value'!AJ377+"AM:!.Z?"</f>
        <v>#VALUE!</v>
      </c>
      <c r="HI234" s="97" t="e">
        <f ca="1">'Actual Value'!AK377+"AM:!.Z@"</f>
        <v>#VALUE!</v>
      </c>
      <c r="HJ234" s="97" t="e">
        <f ca="1">'Actual Value'!AL377+"AM:!.ZA"</f>
        <v>#VALUE!</v>
      </c>
      <c r="HK234" s="97" t="e">
        <f ca="1">'Actual Value'!AM377+"AM:!.ZB"</f>
        <v>#VALUE!</v>
      </c>
      <c r="HL234" s="97" t="e">
        <f ca="1">'Actual Value'!AN377+"AM:!.ZC"</f>
        <v>#VALUE!</v>
      </c>
      <c r="HM234" s="97" t="e">
        <f ca="1">'Actual Value'!AO377+"AM:!.ZD"</f>
        <v>#VALUE!</v>
      </c>
      <c r="HN234" t="e">
        <f>'Actual Value'!AP377+"AM:!.ZE"</f>
        <v>#VALUE!</v>
      </c>
      <c r="HO234" t="e">
        <f>'Actual Value'!AQ377+"AM:!.ZF"</f>
        <v>#VALUE!</v>
      </c>
      <c r="HP234" t="e">
        <f>'Actual Value'!AR377+"AM:!.ZG"</f>
        <v>#VALUE!</v>
      </c>
      <c r="HQ234" t="e">
        <f>'Actual Value'!AS377+"AM:!.ZH"</f>
        <v>#VALUE!</v>
      </c>
      <c r="HR234" t="e">
        <f>'Actual Value'!AT377+"AM:!.ZI"</f>
        <v>#VALUE!</v>
      </c>
      <c r="HS234" t="e">
        <f>'Actual Value'!AU377+"AM:!.ZJ"</f>
        <v>#VALUE!</v>
      </c>
      <c r="HT234" t="e">
        <f>'Actual Value'!AV377+"AM:!.ZK"</f>
        <v>#VALUE!</v>
      </c>
      <c r="HU234" t="e">
        <f>'Actual Value'!AW377+"AM:!.ZL"</f>
        <v>#VALUE!</v>
      </c>
      <c r="HV234" t="e">
        <f>'Actual Value'!AX377+"AM:!.ZM"</f>
        <v>#VALUE!</v>
      </c>
      <c r="HW234" t="e">
        <f>'Actual Value'!A378+"AM:!.ZN"</f>
        <v>#VALUE!</v>
      </c>
      <c r="HX234" t="e">
        <f>'Actual Value'!B378+"AM:!.ZO"</f>
        <v>#VALUE!</v>
      </c>
      <c r="HY234" t="e">
        <f>'Actual Value'!C378+"AM:!.ZP"</f>
        <v>#VALUE!</v>
      </c>
      <c r="HZ234" s="97" t="e">
        <f>'Actual Value'!D378+"AM:!.ZQ"</f>
        <v>#VALUE!</v>
      </c>
      <c r="IA234" s="97" t="e">
        <f>'Actual Value'!E378+"AM:!.ZR"</f>
        <v>#VALUE!</v>
      </c>
      <c r="IB234" s="97" t="e">
        <f>'Actual Value'!F378+"AM:!.ZS"</f>
        <v>#VALUE!</v>
      </c>
      <c r="IC234" s="97" t="e">
        <f>'Actual Value'!G378+"AM:!.ZT"</f>
        <v>#VALUE!</v>
      </c>
      <c r="ID234" s="97" t="e">
        <f>'Actual Value'!H378+"AM:!.ZU"</f>
        <v>#VALUE!</v>
      </c>
      <c r="IE234" s="97" t="e">
        <f>'Actual Value'!I378+"AM:!.ZV"</f>
        <v>#VALUE!</v>
      </c>
      <c r="IF234" s="97" t="e">
        <f>'Actual Value'!J378+"AM:!.ZW"</f>
        <v>#VALUE!</v>
      </c>
      <c r="IG234" s="97" t="e">
        <f>'Actual Value'!K378+"AM:!.ZX"</f>
        <v>#VALUE!</v>
      </c>
      <c r="IH234" s="97" t="e">
        <f>'Actual Value'!L378+"AM:!.ZY"</f>
        <v>#VALUE!</v>
      </c>
      <c r="II234" s="97" t="e">
        <f>'Actual Value'!M378+"AM:!.ZZ"</f>
        <v>#VALUE!</v>
      </c>
      <c r="IJ234" s="97" t="e">
        <f>'Actual Value'!N378+"AM:!.Z["</f>
        <v>#VALUE!</v>
      </c>
      <c r="IK234" s="97" t="e">
        <f>'Actual Value'!O378+"AM:!.Z\"</f>
        <v>#VALUE!</v>
      </c>
      <c r="IL234" s="97" t="e">
        <f>'Actual Value'!P378+"AM:!.Z]"</f>
        <v>#VALUE!</v>
      </c>
      <c r="IM234" s="97" t="e">
        <f>'Actual Value'!Q378+"AM:!.Z^"</f>
        <v>#VALUE!</v>
      </c>
      <c r="IN234" s="97" t="e">
        <f>'Actual Value'!R378+"AM:!.Z_"</f>
        <v>#VALUE!</v>
      </c>
      <c r="IO234" s="97" t="e">
        <f>'Actual Value'!S378+"AM:!.Z`"</f>
        <v>#VALUE!</v>
      </c>
      <c r="IP234" s="97" t="e">
        <f>'Actual Value'!T378+"AM:!.Za"</f>
        <v>#VALUE!</v>
      </c>
      <c r="IQ234" s="97" t="e">
        <f>'Actual Value'!U378+"AM:!.Zb"</f>
        <v>#VALUE!</v>
      </c>
      <c r="IR234" s="97" t="e">
        <f>'Actual Value'!V378+"AM:!.Zc"</f>
        <v>#VALUE!</v>
      </c>
      <c r="IS234" s="97" t="e">
        <f>'Actual Value'!W378+"AM:!.Zd"</f>
        <v>#VALUE!</v>
      </c>
      <c r="IT234" s="97" t="e">
        <f>'Actual Value'!X378+"AM:!.Ze"</f>
        <v>#VALUE!</v>
      </c>
      <c r="IU234" s="97" t="e">
        <f>'Actual Value'!Y378+"AM:!.Zf"</f>
        <v>#VALUE!</v>
      </c>
      <c r="IV234" s="97" t="e">
        <f>'Actual Value'!Z378+"AM:!.Zg"</f>
        <v>#VALUE!</v>
      </c>
    </row>
    <row r="235" spans="6:256">
      <c r="F235" s="97" t="e">
        <f>'Actual Value'!AA378+"AM:!.Zh"</f>
        <v>#VALUE!</v>
      </c>
      <c r="G235" s="97" t="e">
        <f>'Actual Value'!AB378+"AM:!.Zi"</f>
        <v>#VALUE!</v>
      </c>
      <c r="H235" s="97" t="e">
        <f>'Actual Value'!AC378+"AM:!.Zj"</f>
        <v>#VALUE!</v>
      </c>
      <c r="I235" s="97" t="e">
        <f>'Actual Value'!AD378+"AM:!.Zk"</f>
        <v>#VALUE!</v>
      </c>
      <c r="J235" s="97" t="e">
        <f>'Actual Value'!AE378+"AM:!.Zl"</f>
        <v>#VALUE!</v>
      </c>
      <c r="K235" s="97" t="e">
        <f>'Actual Value'!AF378+"AM:!.Zm"</f>
        <v>#VALUE!</v>
      </c>
      <c r="L235" s="97" t="e">
        <f>'Actual Value'!AG378+"AM:!.Zn"</f>
        <v>#VALUE!</v>
      </c>
      <c r="M235" s="97" t="e">
        <f>'Actual Value'!AH378+"AM:!.Zo"</f>
        <v>#VALUE!</v>
      </c>
      <c r="N235" s="97" t="e">
        <f>'Actual Value'!AI378+"AM:!.Zp"</f>
        <v>#VALUE!</v>
      </c>
      <c r="O235" s="97" t="e">
        <f>'Actual Value'!AJ378+"AM:!.Zq"</f>
        <v>#VALUE!</v>
      </c>
      <c r="P235" s="97" t="e">
        <f>'Actual Value'!AK378+"AM:!.Zr"</f>
        <v>#VALUE!</v>
      </c>
      <c r="Q235" s="97" t="e">
        <f>'Actual Value'!AL378+"AM:!.Zs"</f>
        <v>#VALUE!</v>
      </c>
      <c r="R235" s="97" t="e">
        <f>'Actual Value'!AM378+"AM:!.Zt"</f>
        <v>#VALUE!</v>
      </c>
      <c r="S235" s="97" t="e">
        <f>'Actual Value'!AN378+"AM:!.Zu"</f>
        <v>#VALUE!</v>
      </c>
      <c r="T235" s="97" t="e">
        <f>'Actual Value'!AO378+"AM:!.Zv"</f>
        <v>#VALUE!</v>
      </c>
      <c r="U235" t="e">
        <f>'Actual Value'!AP378+"AM:!.Zw"</f>
        <v>#VALUE!</v>
      </c>
      <c r="V235" t="e">
        <f>'Actual Value'!AQ378+"AM:!.Zx"</f>
        <v>#VALUE!</v>
      </c>
      <c r="W235" t="e">
        <f>'Actual Value'!AR378+"AM:!.Zy"</f>
        <v>#VALUE!</v>
      </c>
      <c r="X235" t="e">
        <f>'Actual Value'!AS378+"AM:!.Zz"</f>
        <v>#VALUE!</v>
      </c>
      <c r="Y235" t="e">
        <f>'Actual Value'!AT378+"AM:!.Z{"</f>
        <v>#VALUE!</v>
      </c>
      <c r="Z235" t="e">
        <f>'Actual Value'!AU378+"AM:!.Z|"</f>
        <v>#VALUE!</v>
      </c>
      <c r="AA235" t="e">
        <f>'Actual Value'!AV378+"AM:!.Z}"</f>
        <v>#VALUE!</v>
      </c>
      <c r="AB235" t="e">
        <f>'Actual Value'!AW378+"AM:!.Z~"</f>
        <v>#VALUE!</v>
      </c>
      <c r="AC235" t="e">
        <f>'Actual Value'!AX378+"AM:!.[#"</f>
        <v>#VALUE!</v>
      </c>
      <c r="AD235" t="e">
        <f>'Actual Value'!AZ378+"AM:!.[$"</f>
        <v>#VALUE!</v>
      </c>
      <c r="AE235" t="e">
        <f>'Actual Value'!BA378+"AM:!.[%"</f>
        <v>#VALUE!</v>
      </c>
      <c r="AF235" t="e">
        <f>'Actual Value'!A379+"AM:!.[&amp;"</f>
        <v>#VALUE!</v>
      </c>
      <c r="AG235" t="e">
        <f>'Actual Value'!B379+"AM:!.['"</f>
        <v>#VALUE!</v>
      </c>
      <c r="AH235" t="e">
        <f>'Actual Value'!C379+"AM:!.[("</f>
        <v>#VALUE!</v>
      </c>
      <c r="AI235" s="100" t="e">
        <f>'Actual Value'!D379+"AM:!.[)"</f>
        <v>#VALUE!</v>
      </c>
      <c r="AJ235" s="100" t="e">
        <f>'Actual Value'!E379+"AM:!.[."</f>
        <v>#VALUE!</v>
      </c>
      <c r="AK235" s="100" t="e">
        <f>'Actual Value'!F379+"AM:!.[/"</f>
        <v>#VALUE!</v>
      </c>
      <c r="AL235" s="100" t="e">
        <f>'Actual Value'!G379+"AM:!.[0"</f>
        <v>#VALUE!</v>
      </c>
      <c r="AM235" s="100" t="e">
        <f>'Actual Value'!H379+"AM:!.[1"</f>
        <v>#VALUE!</v>
      </c>
      <c r="AN235" s="100" t="e">
        <f>'Actual Value'!I379+"AM:!.[2"</f>
        <v>#VALUE!</v>
      </c>
      <c r="AO235" s="100" t="e">
        <f>'Actual Value'!J379+"AM:!.[3"</f>
        <v>#VALUE!</v>
      </c>
      <c r="AP235" s="100" t="e">
        <f>'Actual Value'!K379+"AM:!.[4"</f>
        <v>#VALUE!</v>
      </c>
      <c r="AQ235" s="100" t="e">
        <f>'Actual Value'!L379+"AM:!.[5"</f>
        <v>#VALUE!</v>
      </c>
      <c r="AR235" s="100" t="e">
        <f>'Actual Value'!M379+"AM:!.[6"</f>
        <v>#VALUE!</v>
      </c>
      <c r="AS235" s="100" t="e">
        <f>'Actual Value'!N379+"AM:!.[7"</f>
        <v>#VALUE!</v>
      </c>
      <c r="AT235" s="100" t="e">
        <f>'Actual Value'!O379+"AM:!.[8"</f>
        <v>#VALUE!</v>
      </c>
      <c r="AU235" s="100" t="e">
        <f>'Actual Value'!P379+"AM:!.[9"</f>
        <v>#VALUE!</v>
      </c>
      <c r="AV235" s="100" t="e">
        <f>'Actual Value'!Q379+"AM:!.[:"</f>
        <v>#VALUE!</v>
      </c>
      <c r="AW235" s="100" t="e">
        <f>'Actual Value'!R379+"AM:!.[;"</f>
        <v>#VALUE!</v>
      </c>
      <c r="AX235" s="100" t="e">
        <f>'Actual Value'!S379+"AM:!.[&lt;"</f>
        <v>#VALUE!</v>
      </c>
      <c r="AY235" s="100" t="e">
        <f>'Actual Value'!T379+"AM:!.[="</f>
        <v>#VALUE!</v>
      </c>
      <c r="AZ235" s="100" t="e">
        <f>'Actual Value'!U379+"AM:!.[&gt;"</f>
        <v>#VALUE!</v>
      </c>
      <c r="BA235" s="100" t="e">
        <f>'Actual Value'!V379+"AM:!.[?"</f>
        <v>#VALUE!</v>
      </c>
      <c r="BB235" s="100" t="e">
        <f>'Actual Value'!W379+"AM:!.[@"</f>
        <v>#VALUE!</v>
      </c>
      <c r="BC235" s="100" t="e">
        <f>'Actual Value'!X379+"AM:!.[A"</f>
        <v>#VALUE!</v>
      </c>
      <c r="BD235" s="100" t="e">
        <f>'Actual Value'!Y379+"AM:!.[B"</f>
        <v>#VALUE!</v>
      </c>
      <c r="BE235" s="100" t="e">
        <f>'Actual Value'!Z379+"AM:!.[C"</f>
        <v>#VALUE!</v>
      </c>
      <c r="BF235" s="100" t="e">
        <f>'Actual Value'!AA379+"AM:!.[D"</f>
        <v>#VALUE!</v>
      </c>
      <c r="BG235" s="100" t="e">
        <f>'Actual Value'!AB379+"AM:!.[E"</f>
        <v>#VALUE!</v>
      </c>
      <c r="BH235" s="100" t="e">
        <f>'Actual Value'!AC379+"AM:!.[F"</f>
        <v>#VALUE!</v>
      </c>
      <c r="BI235" s="100" t="e">
        <f>'Actual Value'!AD379+"AM:!.[G"</f>
        <v>#VALUE!</v>
      </c>
      <c r="BJ235" s="100" t="e">
        <f>'Actual Value'!AE379+"AM:!.[H"</f>
        <v>#VALUE!</v>
      </c>
      <c r="BK235" s="100" t="e">
        <f>'Actual Value'!AF379+"AM:!.[I"</f>
        <v>#VALUE!</v>
      </c>
      <c r="BL235" s="100" t="e">
        <f>'Actual Value'!AG379+"AM:!.[J"</f>
        <v>#VALUE!</v>
      </c>
      <c r="BM235" s="100" t="e">
        <f>'Actual Value'!AH379+"AM:!.[K"</f>
        <v>#VALUE!</v>
      </c>
      <c r="BN235" s="100" t="e">
        <f>'Actual Value'!AI379+"AM:!.[L"</f>
        <v>#VALUE!</v>
      </c>
      <c r="BO235" s="100" t="e">
        <f>'Actual Value'!AJ379+"AM:!.[M"</f>
        <v>#VALUE!</v>
      </c>
      <c r="BP235" s="100" t="e">
        <f>'Actual Value'!AK379+"AM:!.[N"</f>
        <v>#VALUE!</v>
      </c>
      <c r="BQ235" s="100" t="e">
        <f>'Actual Value'!AL379+"AM:!.[O"</f>
        <v>#VALUE!</v>
      </c>
      <c r="BR235" s="100" t="e">
        <f>'Actual Value'!AM379+"AM:!.[P"</f>
        <v>#VALUE!</v>
      </c>
      <c r="BS235" s="100" t="e">
        <f>'Actual Value'!AN379+"AM:!.[Q"</f>
        <v>#VALUE!</v>
      </c>
      <c r="BT235" s="100" t="e">
        <f>'Actual Value'!AO379+"AM:!.[R"</f>
        <v>#VALUE!</v>
      </c>
      <c r="BU235" s="100" t="e">
        <f>'Actual Value'!AP379+"AM:!.[S"</f>
        <v>#VALUE!</v>
      </c>
      <c r="BV235" t="e">
        <f>'Actual Value'!AQ379+"AM:!.[T"</f>
        <v>#VALUE!</v>
      </c>
      <c r="BW235" t="e">
        <f>'Actual Value'!AR379+"AM:!.[U"</f>
        <v>#VALUE!</v>
      </c>
      <c r="BX235" t="e">
        <f>'Actual Value'!AS379+"AM:!.[V"</f>
        <v>#VALUE!</v>
      </c>
      <c r="BY235" t="e">
        <f>'Actual Value'!AT379+"AM:!.[W"</f>
        <v>#VALUE!</v>
      </c>
      <c r="BZ235" t="e">
        <f>'Actual Value'!AU379+"AM:!.[X"</f>
        <v>#VALUE!</v>
      </c>
      <c r="CA235" t="e">
        <f>'Actual Value'!AV379+"AM:!.[Y"</f>
        <v>#VALUE!</v>
      </c>
      <c r="CB235" t="e">
        <f>'Actual Value'!AW379+"AM:!.[Z"</f>
        <v>#VALUE!</v>
      </c>
      <c r="CC235" t="e">
        <f>'Actual Value'!AX379+"AM:!.[["</f>
        <v>#VALUE!</v>
      </c>
      <c r="CD235" t="e">
        <f>'Actual Value'!AZ379+"AM:!.[\"</f>
        <v>#VALUE!</v>
      </c>
      <c r="CE235" t="e">
        <f>'Actual Value'!BA379+"AM:!.[]"</f>
        <v>#VALUE!</v>
      </c>
      <c r="CF235" t="e">
        <f>'Actual Value'!A380+"AM:!.[^"</f>
        <v>#VALUE!</v>
      </c>
      <c r="CG235" t="e">
        <f>'Actual Value'!B380+"AM:!.[_"</f>
        <v>#VALUE!</v>
      </c>
      <c r="CH235" t="e">
        <f>'Actual Value'!C380+"AM:!.[`"</f>
        <v>#VALUE!</v>
      </c>
      <c r="CI235" s="97" t="e">
        <f>'Actual Value'!D380+"AM:!.[a"</f>
        <v>#VALUE!</v>
      </c>
      <c r="CJ235" s="97" t="e">
        <f>'Actual Value'!E380+"AM:!.[b"</f>
        <v>#VALUE!</v>
      </c>
      <c r="CK235" s="97" t="e">
        <f>'Actual Value'!F380+"AM:!.[c"</f>
        <v>#VALUE!</v>
      </c>
      <c r="CL235" s="97" t="e">
        <f>'Actual Value'!G380+"AM:!.[d"</f>
        <v>#VALUE!</v>
      </c>
      <c r="CM235" s="97" t="e">
        <f>'Actual Value'!H380+"AM:!.[e"</f>
        <v>#VALUE!</v>
      </c>
      <c r="CN235" s="97" t="e">
        <f>'Actual Value'!I380+"AM:!.[f"</f>
        <v>#VALUE!</v>
      </c>
      <c r="CO235" s="97" t="e">
        <f>'Actual Value'!J380+"AM:!.[g"</f>
        <v>#VALUE!</v>
      </c>
      <c r="CP235" s="97" t="e">
        <f>'Actual Value'!K380+"AM:!.[h"</f>
        <v>#VALUE!</v>
      </c>
      <c r="CQ235" s="97" t="e">
        <f>'Actual Value'!L380+"AM:!.[i"</f>
        <v>#VALUE!</v>
      </c>
      <c r="CR235" s="97" t="e">
        <f>'Actual Value'!M380+"AM:!.[j"</f>
        <v>#VALUE!</v>
      </c>
      <c r="CS235" s="97" t="e">
        <f>'Actual Value'!N380+"AM:!.[k"</f>
        <v>#VALUE!</v>
      </c>
      <c r="CT235" s="97" t="e">
        <f>'Actual Value'!O380+"AM:!.[l"</f>
        <v>#VALUE!</v>
      </c>
      <c r="CU235" s="97" t="e">
        <f>'Actual Value'!P380+"AM:!.[m"</f>
        <v>#VALUE!</v>
      </c>
      <c r="CV235" s="97" t="e">
        <f>'Actual Value'!Q380+"AM:!.[n"</f>
        <v>#VALUE!</v>
      </c>
      <c r="CW235" s="97" t="e">
        <f>'Actual Value'!R380+"AM:!.[o"</f>
        <v>#VALUE!</v>
      </c>
      <c r="CX235" s="97" t="e">
        <f>'Actual Value'!S380+"AM:!.[p"</f>
        <v>#VALUE!</v>
      </c>
      <c r="CY235" s="97" t="e">
        <f>'Actual Value'!T380+"AM:!.[q"</f>
        <v>#VALUE!</v>
      </c>
      <c r="CZ235" s="97" t="e">
        <f>'Actual Value'!U380+"AM:!.[r"</f>
        <v>#VALUE!</v>
      </c>
      <c r="DA235" s="97" t="e">
        <f>'Actual Value'!V380+"AM:!.[s"</f>
        <v>#VALUE!</v>
      </c>
      <c r="DB235" s="97" t="e">
        <f>'Actual Value'!W380+"AM:!.[t"</f>
        <v>#VALUE!</v>
      </c>
      <c r="DC235" s="97" t="e">
        <f>'Actual Value'!X380+"AM:!.[u"</f>
        <v>#VALUE!</v>
      </c>
      <c r="DD235" s="97" t="e">
        <f>'Actual Value'!Y380+"AM:!.[v"</f>
        <v>#VALUE!</v>
      </c>
      <c r="DE235" s="97" t="e">
        <f>'Actual Value'!Z380+"AM:!.[w"</f>
        <v>#VALUE!</v>
      </c>
      <c r="DF235" s="97" t="e">
        <f>'Actual Value'!AA380+"AM:!.[x"</f>
        <v>#VALUE!</v>
      </c>
      <c r="DG235" s="97" t="e">
        <f>'Actual Value'!AB380+"AM:!.[y"</f>
        <v>#VALUE!</v>
      </c>
      <c r="DH235" s="97" t="e">
        <f>'Actual Value'!AC380+"AM:!.[z"</f>
        <v>#VALUE!</v>
      </c>
      <c r="DI235" s="97" t="e">
        <f>'Actual Value'!AD380+"AM:!.[{"</f>
        <v>#VALUE!</v>
      </c>
      <c r="DJ235" s="97" t="e">
        <f>'Actual Value'!AE380+"AM:!.[|"</f>
        <v>#VALUE!</v>
      </c>
      <c r="DK235" s="97" t="e">
        <f>'Actual Value'!AF380+"AM:!.[}"</f>
        <v>#VALUE!</v>
      </c>
      <c r="DL235" s="97" t="e">
        <f>'Actual Value'!AG380+"AM:!.[~"</f>
        <v>#VALUE!</v>
      </c>
      <c r="DM235" s="97" t="e">
        <f>'Actual Value'!AH380+"AM:!.\#"</f>
        <v>#VALUE!</v>
      </c>
      <c r="DN235" s="97" t="e">
        <f>'Actual Value'!AI380+"AM:!.\$"</f>
        <v>#VALUE!</v>
      </c>
      <c r="DO235" s="97" t="e">
        <f>'Actual Value'!AJ380+"AM:!.\%"</f>
        <v>#VALUE!</v>
      </c>
      <c r="DP235" s="97" t="e">
        <f>'Actual Value'!AK380+"AM:!.\&amp;"</f>
        <v>#VALUE!</v>
      </c>
      <c r="DQ235" s="97" t="e">
        <f>'Actual Value'!AL380+"AM:!.\'"</f>
        <v>#VALUE!</v>
      </c>
      <c r="DR235" s="97" t="e">
        <f>'Actual Value'!AM380+"AM:!.\("</f>
        <v>#VALUE!</v>
      </c>
      <c r="DS235" s="97" t="e">
        <f>'Actual Value'!AN380+"AM:!.\)"</f>
        <v>#VALUE!</v>
      </c>
      <c r="DT235" s="97" t="e">
        <f>'Actual Value'!AO380+"AM:!.\."</f>
        <v>#VALUE!</v>
      </c>
      <c r="DU235" t="e">
        <f>'Actual Value'!AP380+"AM:!.\/"</f>
        <v>#VALUE!</v>
      </c>
      <c r="DV235" s="100" t="e">
        <f>'Actual Value'!AQ380+"AM:!.\0"</f>
        <v>#VALUE!</v>
      </c>
      <c r="DW235" t="e">
        <f>'Actual Value'!AR380+"AM:!.\1"</f>
        <v>#VALUE!</v>
      </c>
      <c r="DX235" s="100" t="e">
        <f>'Actual Value'!AS380+"AM:!.\2"</f>
        <v>#VALUE!</v>
      </c>
      <c r="DY235" t="e">
        <f>'Actual Value'!AT380+"AM:!.\3"</f>
        <v>#VALUE!</v>
      </c>
      <c r="DZ235" t="e">
        <f>'Actual Value'!AU380+"AM:!.\4"</f>
        <v>#VALUE!</v>
      </c>
      <c r="EA235" t="e">
        <f>'Actual Value'!AV380+"AM:!.\5"</f>
        <v>#VALUE!</v>
      </c>
      <c r="EB235" t="e">
        <f>'Actual Value'!AW380+"AM:!.\6"</f>
        <v>#VALUE!</v>
      </c>
      <c r="EC235" t="e">
        <f>'Actual Value'!AX380+"AM:!.\7"</f>
        <v>#VALUE!</v>
      </c>
      <c r="ED235" t="e">
        <f>'Actual Value'!A381+"AM:!.\8"</f>
        <v>#VALUE!</v>
      </c>
      <c r="EE235" t="e">
        <f>'Actual Value'!B381+"AM:!.\9"</f>
        <v>#VALUE!</v>
      </c>
      <c r="EF235" t="e">
        <f>'Actual Value'!C381+"AM:!.\:"</f>
        <v>#VALUE!</v>
      </c>
      <c r="EG235" t="e">
        <f>'Actual Value'!D381+"AM:!.\;"</f>
        <v>#VALUE!</v>
      </c>
      <c r="EH235" t="e">
        <f>'Actual Value'!E381+"AM:!.\&lt;"</f>
        <v>#VALUE!</v>
      </c>
      <c r="EI235" t="e">
        <f>'Actual Value'!F381+"AM:!.\="</f>
        <v>#VALUE!</v>
      </c>
      <c r="EJ235" t="e">
        <f>'Actual Value'!G381+"AM:!.\&gt;"</f>
        <v>#VALUE!</v>
      </c>
      <c r="EK235" t="e">
        <f>'Actual Value'!H381+"AM:!.\?"</f>
        <v>#VALUE!</v>
      </c>
      <c r="EL235" t="e">
        <f>'Actual Value'!I381+"AM:!.\@"</f>
        <v>#VALUE!</v>
      </c>
      <c r="EM235" t="e">
        <f>'Actual Value'!J381+"AM:!.\A"</f>
        <v>#VALUE!</v>
      </c>
      <c r="EN235" t="e">
        <f>'Actual Value'!K381+"AM:!.\B"</f>
        <v>#VALUE!</v>
      </c>
      <c r="EO235" t="e">
        <f>'Actual Value'!L381+"AM:!.\C"</f>
        <v>#VALUE!</v>
      </c>
      <c r="EP235" t="e">
        <f>'Actual Value'!M381+"AM:!.\D"</f>
        <v>#VALUE!</v>
      </c>
      <c r="EQ235" t="e">
        <f>'Actual Value'!N381+"AM:!.\E"</f>
        <v>#VALUE!</v>
      </c>
      <c r="ER235" t="e">
        <f>'Actual Value'!O381+"AM:!.\F"</f>
        <v>#VALUE!</v>
      </c>
      <c r="ES235" t="e">
        <f>'Actual Value'!P381+"AM:!.\G"</f>
        <v>#VALUE!</v>
      </c>
      <c r="ET235" t="e">
        <f>'Actual Value'!Q381+"AM:!.\H"</f>
        <v>#VALUE!</v>
      </c>
      <c r="EU235" t="e">
        <f>'Actual Value'!R381+"AM:!.\I"</f>
        <v>#VALUE!</v>
      </c>
      <c r="EV235" t="e">
        <f>'Actual Value'!S381+"AM:!.\J"</f>
        <v>#VALUE!</v>
      </c>
      <c r="EW235" t="e">
        <f>'Actual Value'!T381+"AM:!.\K"</f>
        <v>#VALUE!</v>
      </c>
      <c r="EX235" t="e">
        <f>'Actual Value'!U381+"AM:!.\L"</f>
        <v>#VALUE!</v>
      </c>
      <c r="EY235" t="e">
        <f>'Actual Value'!V381+"AM:!.\M"</f>
        <v>#VALUE!</v>
      </c>
      <c r="EZ235" t="e">
        <f>'Actual Value'!W381+"AM:!.\N"</f>
        <v>#VALUE!</v>
      </c>
      <c r="FA235" t="e">
        <f>'Actual Value'!X381+"AM:!.\O"</f>
        <v>#VALUE!</v>
      </c>
      <c r="FB235" t="e">
        <f>'Actual Value'!Y381+"AM:!.\P"</f>
        <v>#VALUE!</v>
      </c>
      <c r="FC235" t="e">
        <f>'Actual Value'!Z381+"AM:!.\Q"</f>
        <v>#VALUE!</v>
      </c>
      <c r="FD235" t="e">
        <f>'Actual Value'!AA381+"AM:!.\R"</f>
        <v>#VALUE!</v>
      </c>
      <c r="FE235" t="e">
        <f>'Actual Value'!AB381+"AM:!.\S"</f>
        <v>#VALUE!</v>
      </c>
      <c r="FF235" t="e">
        <f>'Actual Value'!AC381+"AM:!.\T"</f>
        <v>#VALUE!</v>
      </c>
      <c r="FG235" t="e">
        <f>'Actual Value'!AD381+"AM:!.\U"</f>
        <v>#VALUE!</v>
      </c>
      <c r="FH235" t="e">
        <f>'Actual Value'!AE381+"AM:!.\V"</f>
        <v>#VALUE!</v>
      </c>
      <c r="FI235" t="e">
        <f>'Actual Value'!AF381+"AM:!.\W"</f>
        <v>#VALUE!</v>
      </c>
      <c r="FJ235" t="e">
        <f>'Actual Value'!AG381+"AM:!.\X"</f>
        <v>#VALUE!</v>
      </c>
      <c r="FK235" t="e">
        <f>'Actual Value'!AH381+"AM:!.\Y"</f>
        <v>#VALUE!</v>
      </c>
      <c r="FL235" t="e">
        <f>'Actual Value'!AI381+"AM:!.\Z"</f>
        <v>#VALUE!</v>
      </c>
      <c r="FM235" t="e">
        <f>'Actual Value'!AJ381+"AM:!.\["</f>
        <v>#VALUE!</v>
      </c>
      <c r="FN235" t="e">
        <f>'Actual Value'!AK381+"AM:!.\\"</f>
        <v>#VALUE!</v>
      </c>
      <c r="FO235" t="e">
        <f>'Actual Value'!AL381+"AM:!.\]"</f>
        <v>#VALUE!</v>
      </c>
      <c r="FP235" t="e">
        <f>'Actual Value'!AM381+"AM:!.\^"</f>
        <v>#VALUE!</v>
      </c>
      <c r="FQ235" t="e">
        <f>'Actual Value'!AN381+"AM:!.\_"</f>
        <v>#VALUE!</v>
      </c>
      <c r="FR235" t="e">
        <f>'Actual Value'!AO381+"AM:!.\`"</f>
        <v>#VALUE!</v>
      </c>
      <c r="FS235" t="e">
        <f>'Actual Value'!AP381+"AM:!.\a"</f>
        <v>#VALUE!</v>
      </c>
      <c r="FT235" t="e">
        <f>'Actual Value'!AQ381+"AM:!.\b"</f>
        <v>#VALUE!</v>
      </c>
      <c r="FU235" t="e">
        <f>'Actual Value'!AR381+"AM:!.\c"</f>
        <v>#VALUE!</v>
      </c>
      <c r="FV235" t="e">
        <f>'Actual Value'!AS381+"AM:!.\d"</f>
        <v>#VALUE!</v>
      </c>
      <c r="FW235" t="e">
        <f>'Actual Value'!AT381+"AM:!.\e"</f>
        <v>#VALUE!</v>
      </c>
      <c r="FX235" t="e">
        <f>'Actual Value'!AU381+"AM:!.\f"</f>
        <v>#VALUE!</v>
      </c>
      <c r="FY235" t="e">
        <f>'Actual Value'!AV381+"AM:!.\g"</f>
        <v>#VALUE!</v>
      </c>
      <c r="FZ235" t="e">
        <f>'Actual Value'!AW381+"AM:!.\h"</f>
        <v>#VALUE!</v>
      </c>
      <c r="GA235" t="e">
        <f>'Actual Value'!AX381+"AM:!.\i"</f>
        <v>#VALUE!</v>
      </c>
      <c r="GB235" t="e">
        <f>'Actual Value'!AZ381+"AM:!.\j"</f>
        <v>#VALUE!</v>
      </c>
      <c r="GC235" t="e">
        <f>'Actual Value'!BA381+"AM:!.\k"</f>
        <v>#VALUE!</v>
      </c>
      <c r="GD235" t="e">
        <f>'Actual Value'!A382+"AM:!.\l"</f>
        <v>#VALUE!</v>
      </c>
      <c r="GE235" t="e">
        <f>'Actual Value'!B382+"AM:!.\m"</f>
        <v>#VALUE!</v>
      </c>
      <c r="GF235" t="e">
        <f>'Actual Value'!C382+"AM:!.\n"</f>
        <v>#VALUE!</v>
      </c>
      <c r="GG235" t="e">
        <f>'Actual Value'!D382+"AM:!.\o"</f>
        <v>#VALUE!</v>
      </c>
      <c r="GH235" t="e">
        <f>'Actual Value'!E382+"AM:!.\p"</f>
        <v>#VALUE!</v>
      </c>
      <c r="GI235" t="e">
        <f>'Actual Value'!F382+"AM:!.\q"</f>
        <v>#VALUE!</v>
      </c>
      <c r="GJ235" t="e">
        <f>'Actual Value'!G382+"AM:!.\r"</f>
        <v>#VALUE!</v>
      </c>
      <c r="GK235" t="e">
        <f>'Actual Value'!H382+"AM:!.\s"</f>
        <v>#VALUE!</v>
      </c>
      <c r="GL235" t="e">
        <f>'Actual Value'!I382+"AM:!.\t"</f>
        <v>#VALUE!</v>
      </c>
      <c r="GM235" t="e">
        <f>'Actual Value'!J382+"AM:!.\u"</f>
        <v>#VALUE!</v>
      </c>
      <c r="GN235" t="e">
        <f>'Actual Value'!K382+"AM:!.\v"</f>
        <v>#VALUE!</v>
      </c>
      <c r="GO235" t="e">
        <f>'Actual Value'!L382+"AM:!.\w"</f>
        <v>#VALUE!</v>
      </c>
      <c r="GP235" t="e">
        <f>'Actual Value'!M382+"AM:!.\x"</f>
        <v>#VALUE!</v>
      </c>
      <c r="GQ235" t="e">
        <f>'Actual Value'!N382+"AM:!.\y"</f>
        <v>#VALUE!</v>
      </c>
      <c r="GR235" t="e">
        <f>'Actual Value'!O382+"AM:!.\z"</f>
        <v>#VALUE!</v>
      </c>
      <c r="GS235" t="e">
        <f>'Actual Value'!P382+"AM:!.\{"</f>
        <v>#VALUE!</v>
      </c>
      <c r="GT235" t="e">
        <f>'Actual Value'!Q382+"AM:!.\|"</f>
        <v>#VALUE!</v>
      </c>
      <c r="GU235" t="e">
        <f>'Actual Value'!R382+"AM:!.\}"</f>
        <v>#VALUE!</v>
      </c>
      <c r="GV235" t="e">
        <f>'Actual Value'!S382+"AM:!.\~"</f>
        <v>#VALUE!</v>
      </c>
      <c r="GW235" t="e">
        <f>'Actual Value'!T382+"AM:!.]#"</f>
        <v>#VALUE!</v>
      </c>
      <c r="GX235" t="e">
        <f>'Actual Value'!U382+"AM:!.]$"</f>
        <v>#VALUE!</v>
      </c>
      <c r="GY235" t="e">
        <f>'Actual Value'!V382+"AM:!.]%"</f>
        <v>#VALUE!</v>
      </c>
      <c r="GZ235" t="e">
        <f>'Actual Value'!W382+"AM:!.]&amp;"</f>
        <v>#VALUE!</v>
      </c>
      <c r="HA235" t="e">
        <f>'Actual Value'!X382+"AM:!.]'"</f>
        <v>#VALUE!</v>
      </c>
      <c r="HB235" t="e">
        <f>'Actual Value'!Y382+"AM:!.]("</f>
        <v>#VALUE!</v>
      </c>
      <c r="HC235" t="e">
        <f>'Actual Value'!Z382+"AM:!.])"</f>
        <v>#VALUE!</v>
      </c>
      <c r="HD235" t="e">
        <f>'Actual Value'!AA382+"AM:!.]."</f>
        <v>#VALUE!</v>
      </c>
      <c r="HE235" t="e">
        <f>'Actual Value'!AB382+"AM:!.]/"</f>
        <v>#VALUE!</v>
      </c>
      <c r="HF235" t="e">
        <f>'Actual Value'!AC382+"AM:!.]0"</f>
        <v>#VALUE!</v>
      </c>
      <c r="HG235" t="e">
        <f>'Actual Value'!AD382+"AM:!.]1"</f>
        <v>#VALUE!</v>
      </c>
      <c r="HH235" t="e">
        <f>'Actual Value'!AE382+"AM:!.]2"</f>
        <v>#VALUE!</v>
      </c>
      <c r="HI235" t="e">
        <f>'Actual Value'!AF382+"AM:!.]3"</f>
        <v>#VALUE!</v>
      </c>
      <c r="HJ235" t="e">
        <f>'Actual Value'!AG382+"AM:!.]4"</f>
        <v>#VALUE!</v>
      </c>
      <c r="HK235" t="e">
        <f>'Actual Value'!AH382+"AM:!.]5"</f>
        <v>#VALUE!</v>
      </c>
      <c r="HL235" t="e">
        <f>'Actual Value'!AI382+"AM:!.]6"</f>
        <v>#VALUE!</v>
      </c>
      <c r="HM235" t="e">
        <f>'Actual Value'!AJ382+"AM:!.]7"</f>
        <v>#VALUE!</v>
      </c>
      <c r="HN235" t="e">
        <f>'Actual Value'!AK382+"AM:!.]8"</f>
        <v>#VALUE!</v>
      </c>
      <c r="HO235" t="e">
        <f>'Actual Value'!AL382+"AM:!.]9"</f>
        <v>#VALUE!</v>
      </c>
      <c r="HP235" t="e">
        <f>'Actual Value'!AM382+"AM:!.]:"</f>
        <v>#VALUE!</v>
      </c>
      <c r="HQ235" t="e">
        <f>'Actual Value'!AN382+"AM:!.];"</f>
        <v>#VALUE!</v>
      </c>
      <c r="HR235" t="e">
        <f>'Actual Value'!AO382+"AM:!.]&lt;"</f>
        <v>#VALUE!</v>
      </c>
      <c r="HS235" t="e">
        <f>'Actual Value'!AP382+"AM:!.]="</f>
        <v>#VALUE!</v>
      </c>
      <c r="HT235" t="e">
        <f>'Actual Value'!AQ382+"AM:!.]&gt;"</f>
        <v>#VALUE!</v>
      </c>
      <c r="HU235" t="e">
        <f>'Actual Value'!AR382+"AM:!.]?"</f>
        <v>#VALUE!</v>
      </c>
      <c r="HV235" t="e">
        <f>'Actual Value'!AS382+"AM:!.]@"</f>
        <v>#VALUE!</v>
      </c>
      <c r="HW235" t="e">
        <f>'Actual Value'!AT382+"AM:!.]A"</f>
        <v>#VALUE!</v>
      </c>
      <c r="HX235" t="e">
        <f>'Actual Value'!AU382+"AM:!.]B"</f>
        <v>#VALUE!</v>
      </c>
      <c r="HY235" t="e">
        <f>'Actual Value'!AV382+"AM:!.]C"</f>
        <v>#VALUE!</v>
      </c>
      <c r="HZ235" t="e">
        <f>'Actual Value'!AW382+"AM:!.]D"</f>
        <v>#VALUE!</v>
      </c>
      <c r="IA235" t="e">
        <f>'Actual Value'!AX382+"AM:!.]E"</f>
        <v>#VALUE!</v>
      </c>
      <c r="IB235" t="e">
        <f>'Actual Value'!AZ382+"AM:!.]F"</f>
        <v>#VALUE!</v>
      </c>
      <c r="IC235" t="e">
        <f>'Actual Value'!BA382+"AM:!.]G"</f>
        <v>#VALUE!</v>
      </c>
      <c r="ID235" t="e">
        <f>'Actual Value'!A383+"AM:!.]H"</f>
        <v>#VALUE!</v>
      </c>
      <c r="IE235" t="e">
        <f>'Actual Value'!B383+"AM:!.]I"</f>
        <v>#VALUE!</v>
      </c>
      <c r="IF235" t="e">
        <f>'Actual Value'!C383+"AM:!.]J"</f>
        <v>#VALUE!</v>
      </c>
      <c r="IG235" t="e">
        <f>'Actual Value'!D383+"AM:!.]K"</f>
        <v>#VALUE!</v>
      </c>
      <c r="IH235" t="e">
        <f>'Actual Value'!E383+"AM:!.]L"</f>
        <v>#VALUE!</v>
      </c>
      <c r="II235" t="e">
        <f>'Actual Value'!F383+"AM:!.]M"</f>
        <v>#VALUE!</v>
      </c>
      <c r="IJ235" t="e">
        <f>'Actual Value'!G383+"AM:!.]N"</f>
        <v>#VALUE!</v>
      </c>
      <c r="IK235" t="e">
        <f>'Actual Value'!H383+"AM:!.]O"</f>
        <v>#VALUE!</v>
      </c>
      <c r="IL235" t="e">
        <f>'Actual Value'!I383+"AM:!.]P"</f>
        <v>#VALUE!</v>
      </c>
      <c r="IM235" t="e">
        <f>'Actual Value'!J383+"AM:!.]Q"</f>
        <v>#VALUE!</v>
      </c>
      <c r="IN235" t="e">
        <f>'Actual Value'!K383+"AM:!.]R"</f>
        <v>#VALUE!</v>
      </c>
      <c r="IO235" t="e">
        <f>'Actual Value'!L383+"AM:!.]S"</f>
        <v>#VALUE!</v>
      </c>
      <c r="IP235" t="e">
        <f>'Actual Value'!M383+"AM:!.]T"</f>
        <v>#VALUE!</v>
      </c>
      <c r="IQ235" t="e">
        <f>'Actual Value'!N383+"AM:!.]U"</f>
        <v>#VALUE!</v>
      </c>
      <c r="IR235" t="e">
        <f>'Actual Value'!O383+"AM:!.]V"</f>
        <v>#VALUE!</v>
      </c>
      <c r="IS235" t="e">
        <f>'Actual Value'!P383+"AM:!.]W"</f>
        <v>#VALUE!</v>
      </c>
      <c r="IT235" t="e">
        <f>'Actual Value'!Q383+"AM:!.]X"</f>
        <v>#VALUE!</v>
      </c>
      <c r="IU235" t="e">
        <f>'Actual Value'!R383+"AM:!.]Y"</f>
        <v>#VALUE!</v>
      </c>
      <c r="IV235" t="e">
        <f>'Actual Value'!S383+"AM:!.]Z"</f>
        <v>#VALUE!</v>
      </c>
    </row>
    <row r="236" spans="6:256">
      <c r="F236" t="e">
        <f>'Actual Value'!T383+"AM:!.]["</f>
        <v>#VALUE!</v>
      </c>
      <c r="G236" t="e">
        <f>'Actual Value'!U383+"AM:!.]\"</f>
        <v>#VALUE!</v>
      </c>
      <c r="H236" t="e">
        <f>'Actual Value'!V383+"AM:!.]]"</f>
        <v>#VALUE!</v>
      </c>
      <c r="I236" t="e">
        <f>'Actual Value'!W383+"AM:!.]^"</f>
        <v>#VALUE!</v>
      </c>
      <c r="J236" t="e">
        <f>'Actual Value'!X383+"AM:!.]_"</f>
        <v>#VALUE!</v>
      </c>
      <c r="K236" t="e">
        <f>'Actual Value'!Y383+"AM:!.]`"</f>
        <v>#VALUE!</v>
      </c>
      <c r="L236" t="e">
        <f>'Actual Value'!Z383+"AM:!.]a"</f>
        <v>#VALUE!</v>
      </c>
      <c r="M236" t="e">
        <f>'Actual Value'!AA383+"AM:!.]b"</f>
        <v>#VALUE!</v>
      </c>
      <c r="N236" t="e">
        <f>'Actual Value'!AB383+"AM:!.]c"</f>
        <v>#VALUE!</v>
      </c>
      <c r="O236" t="e">
        <f>'Actual Value'!AC383+"AM:!.]d"</f>
        <v>#VALUE!</v>
      </c>
      <c r="P236" t="e">
        <f>'Actual Value'!AD383+"AM:!.]e"</f>
        <v>#VALUE!</v>
      </c>
      <c r="Q236" t="e">
        <f>'Actual Value'!AE383+"AM:!.]f"</f>
        <v>#VALUE!</v>
      </c>
      <c r="R236" t="e">
        <f>'Actual Value'!AF383+"AM:!.]g"</f>
        <v>#VALUE!</v>
      </c>
      <c r="S236" t="e">
        <f>'Actual Value'!AG383+"AM:!.]h"</f>
        <v>#VALUE!</v>
      </c>
      <c r="T236" t="e">
        <f>'Actual Value'!AH383+"AM:!.]i"</f>
        <v>#VALUE!</v>
      </c>
      <c r="U236" t="e">
        <f>'Actual Value'!AI383+"AM:!.]j"</f>
        <v>#VALUE!</v>
      </c>
      <c r="V236" t="e">
        <f>'Actual Value'!AJ383+"AM:!.]k"</f>
        <v>#VALUE!</v>
      </c>
      <c r="W236" t="e">
        <f>'Actual Value'!AK383+"AM:!.]l"</f>
        <v>#VALUE!</v>
      </c>
      <c r="X236" t="e">
        <f>'Actual Value'!AL383+"AM:!.]m"</f>
        <v>#VALUE!</v>
      </c>
      <c r="Y236" t="e">
        <f>'Actual Value'!AM383+"AM:!.]n"</f>
        <v>#VALUE!</v>
      </c>
      <c r="Z236" t="e">
        <f>'Actual Value'!AN383+"AM:!.]o"</f>
        <v>#VALUE!</v>
      </c>
      <c r="AA236" t="e">
        <f>'Actual Value'!AO383+"AM:!.]p"</f>
        <v>#VALUE!</v>
      </c>
      <c r="AB236" t="e">
        <f>'Actual Value'!AP383+"AM:!.]q"</f>
        <v>#VALUE!</v>
      </c>
      <c r="AC236" t="e">
        <f>'Actual Value'!AQ383+"AM:!.]r"</f>
        <v>#VALUE!</v>
      </c>
      <c r="AD236" t="e">
        <f>'Actual Value'!AR383+"AM:!.]s"</f>
        <v>#VALUE!</v>
      </c>
      <c r="AE236" t="e">
        <f>'Actual Value'!AS383+"AM:!.]t"</f>
        <v>#VALUE!</v>
      </c>
      <c r="AF236" t="e">
        <f>'Actual Value'!AT383+"AM:!.]u"</f>
        <v>#VALUE!</v>
      </c>
      <c r="AG236" t="e">
        <f>'Actual Value'!AU383+"AM:!.]v"</f>
        <v>#VALUE!</v>
      </c>
      <c r="AH236" t="e">
        <f>'Actual Value'!AV383+"AM:!.]w"</f>
        <v>#VALUE!</v>
      </c>
      <c r="AI236" t="e">
        <f>'Actual Value'!AW383+"AM:!.]x"</f>
        <v>#VALUE!</v>
      </c>
      <c r="AJ236" t="e">
        <f>'Actual Value'!AX383+"AM:!.]y"</f>
        <v>#VALUE!</v>
      </c>
      <c r="AK236" t="e">
        <f>'Actual Value'!AZ383+"AM:!.]z"</f>
        <v>#VALUE!</v>
      </c>
      <c r="AL236" t="e">
        <f>'Actual Value'!BA383+"AM:!.]{"</f>
        <v>#VALUE!</v>
      </c>
      <c r="AM236" t="e">
        <f>'Actual Value'!A384+"AM:!.]|"</f>
        <v>#VALUE!</v>
      </c>
      <c r="AN236" t="e">
        <f>'Actual Value'!B384+"AM:!.]}"</f>
        <v>#VALUE!</v>
      </c>
      <c r="AO236" t="e">
        <f>'Actual Value'!C384+"AM:!.]~"</f>
        <v>#VALUE!</v>
      </c>
      <c r="AP236" s="97" t="e">
        <f>'Actual Value'!D384+"AM:!.^#"</f>
        <v>#VALUE!</v>
      </c>
      <c r="AQ236" s="97" t="e">
        <f>'Actual Value'!E384+"AM:!.^$"</f>
        <v>#VALUE!</v>
      </c>
      <c r="AR236" s="97" t="e">
        <f>'Actual Value'!F384+"AM:!.^%"</f>
        <v>#VALUE!</v>
      </c>
      <c r="AS236" s="97" t="e">
        <f>'Actual Value'!G384+"AM:!.^&amp;"</f>
        <v>#VALUE!</v>
      </c>
      <c r="AT236" s="97" t="e">
        <f>'Actual Value'!H384+"AM:!.^'"</f>
        <v>#VALUE!</v>
      </c>
      <c r="AU236" s="97" t="e">
        <f>'Actual Value'!I384+"AM:!.^("</f>
        <v>#VALUE!</v>
      </c>
      <c r="AV236" s="97" t="e">
        <f>'Actual Value'!J384+"AM:!.^)"</f>
        <v>#VALUE!</v>
      </c>
      <c r="AW236" s="97" t="e">
        <f>'Actual Value'!K384+"AM:!.^."</f>
        <v>#VALUE!</v>
      </c>
      <c r="AX236" s="97" t="e">
        <f>'Actual Value'!L384+"AM:!.^/"</f>
        <v>#VALUE!</v>
      </c>
      <c r="AY236" s="97" t="e">
        <f>'Actual Value'!M384+"AM:!.^0"</f>
        <v>#VALUE!</v>
      </c>
      <c r="AZ236" s="97" t="e">
        <f>'Actual Value'!N384+"AM:!.^1"</f>
        <v>#VALUE!</v>
      </c>
      <c r="BA236" s="97" t="e">
        <f>'Actual Value'!O384+"AM:!.^2"</f>
        <v>#VALUE!</v>
      </c>
      <c r="BB236" s="97" t="e">
        <f>'Actual Value'!P384+"AM:!.^3"</f>
        <v>#VALUE!</v>
      </c>
      <c r="BC236" s="97" t="e">
        <f>'Actual Value'!Q384+"AM:!.^4"</f>
        <v>#VALUE!</v>
      </c>
      <c r="BD236" s="97" t="e">
        <f>'Actual Value'!R384+"AM:!.^5"</f>
        <v>#VALUE!</v>
      </c>
      <c r="BE236" s="97" t="e">
        <f>'Actual Value'!S384+"AM:!.^6"</f>
        <v>#VALUE!</v>
      </c>
      <c r="BF236" s="97" t="e">
        <f>'Actual Value'!T384+"AM:!.^7"</f>
        <v>#VALUE!</v>
      </c>
      <c r="BG236" s="97" t="e">
        <f>'Actual Value'!U384+"AM:!.^8"</f>
        <v>#VALUE!</v>
      </c>
      <c r="BH236" s="97" t="e">
        <f>'Actual Value'!V384+"AM:!.^9"</f>
        <v>#VALUE!</v>
      </c>
      <c r="BI236" s="97" t="e">
        <f>'Actual Value'!W384+"AM:!.^:"</f>
        <v>#VALUE!</v>
      </c>
      <c r="BJ236" s="97" t="e">
        <f>'Actual Value'!X384+"AM:!.^;"</f>
        <v>#VALUE!</v>
      </c>
      <c r="BK236" s="97" t="e">
        <f>'Actual Value'!Y384+"AM:!.^&lt;"</f>
        <v>#VALUE!</v>
      </c>
      <c r="BL236" s="97" t="e">
        <f>'Actual Value'!Z384+"AM:!.^="</f>
        <v>#VALUE!</v>
      </c>
      <c r="BM236" s="97" t="e">
        <f>'Actual Value'!AA384+"AM:!.^&gt;"</f>
        <v>#VALUE!</v>
      </c>
      <c r="BN236" s="97" t="e">
        <f>'Actual Value'!AB384+"AM:!.^?"</f>
        <v>#VALUE!</v>
      </c>
      <c r="BO236" s="97" t="e">
        <f>'Actual Value'!AC384+"AM:!.^@"</f>
        <v>#VALUE!</v>
      </c>
      <c r="BP236" s="97" t="e">
        <f>'Actual Value'!AD384+"AM:!.^A"</f>
        <v>#VALUE!</v>
      </c>
      <c r="BQ236" s="97" t="e">
        <f>'Actual Value'!AE384+"AM:!.^B"</f>
        <v>#VALUE!</v>
      </c>
      <c r="BR236" s="97" t="e">
        <f>'Actual Value'!AF384+"AM:!.^C"</f>
        <v>#VALUE!</v>
      </c>
      <c r="BS236" s="97" t="e">
        <f>'Actual Value'!AG384+"AM:!.^D"</f>
        <v>#VALUE!</v>
      </c>
      <c r="BT236" s="97" t="e">
        <f>'Actual Value'!AH384+"AM:!.^E"</f>
        <v>#VALUE!</v>
      </c>
      <c r="BU236" s="97" t="e">
        <f>'Actual Value'!AI384+"AM:!.^F"</f>
        <v>#VALUE!</v>
      </c>
      <c r="BV236" s="97" t="e">
        <f>'Actual Value'!AJ384+"AM:!.^G"</f>
        <v>#VALUE!</v>
      </c>
      <c r="BW236" s="97" t="e">
        <f>'Actual Value'!AK384+"AM:!.^H"</f>
        <v>#VALUE!</v>
      </c>
      <c r="BX236" s="97" t="e">
        <f>'Actual Value'!AL384+"AM:!.^I"</f>
        <v>#VALUE!</v>
      </c>
      <c r="BY236" s="97" t="e">
        <f>'Actual Value'!AM384+"AM:!.^J"</f>
        <v>#VALUE!</v>
      </c>
      <c r="BZ236" s="97" t="e">
        <f>'Actual Value'!AN384+"AM:!.^K"</f>
        <v>#VALUE!</v>
      </c>
      <c r="CA236" s="97" t="e">
        <f>'Actual Value'!AO384+"AM:!.^L"</f>
        <v>#VALUE!</v>
      </c>
      <c r="CB236" t="e">
        <f>'Actual Value'!AP384+"AM:!.^M"</f>
        <v>#VALUE!</v>
      </c>
      <c r="CC236" t="e">
        <f>'Actual Value'!AQ384+"AM:!.^N"</f>
        <v>#VALUE!</v>
      </c>
      <c r="CD236" t="e">
        <f>'Actual Value'!AR384+"AM:!.^O"</f>
        <v>#VALUE!</v>
      </c>
      <c r="CE236" t="e">
        <f>'Actual Value'!AS384+"AM:!.^P"</f>
        <v>#VALUE!</v>
      </c>
      <c r="CF236" t="e">
        <f>'Actual Value'!AT384+"AM:!.^Q"</f>
        <v>#VALUE!</v>
      </c>
      <c r="CG236" t="e">
        <f>'Actual Value'!AU384+"AM:!.^R"</f>
        <v>#VALUE!</v>
      </c>
      <c r="CH236" t="e">
        <f>'Actual Value'!AV384+"AM:!.^S"</f>
        <v>#VALUE!</v>
      </c>
      <c r="CI236" t="e">
        <f>'Actual Value'!AW384+"AM:!.^T"</f>
        <v>#VALUE!</v>
      </c>
      <c r="CJ236" t="e">
        <f>'Actual Value'!AX384+"AM:!.^U"</f>
        <v>#VALUE!</v>
      </c>
      <c r="CK236" t="e">
        <f>'Actual Value'!AZ384+"AM:!.^V"</f>
        <v>#VALUE!</v>
      </c>
      <c r="CL236" t="e">
        <f>'Actual Value'!BA384+"AM:!.^W"</f>
        <v>#VALUE!</v>
      </c>
      <c r="CM236" t="e">
        <f>'Actual Value'!A385+"AM:!.^X"</f>
        <v>#VALUE!</v>
      </c>
      <c r="CN236" t="e">
        <f>'Actual Value'!B385+"AM:!.^Y"</f>
        <v>#VALUE!</v>
      </c>
      <c r="CO236" t="e">
        <f>'Actual Value'!C385+"AM:!.^Z"</f>
        <v>#VALUE!</v>
      </c>
      <c r="CP236" s="97" t="e">
        <f>'Actual Value'!D385+"AM:!.^["</f>
        <v>#VALUE!</v>
      </c>
      <c r="CQ236" s="97" t="e">
        <f>'Actual Value'!E385+"AM:!.^\"</f>
        <v>#VALUE!</v>
      </c>
      <c r="CR236" s="97" t="e">
        <f>'Actual Value'!F385+"AM:!.^]"</f>
        <v>#VALUE!</v>
      </c>
      <c r="CS236" s="97" t="e">
        <f>'Actual Value'!G385+"AM:!.^^"</f>
        <v>#VALUE!</v>
      </c>
      <c r="CT236" s="97" t="e">
        <f>'Actual Value'!H385+"AM:!.^_"</f>
        <v>#VALUE!</v>
      </c>
      <c r="CU236" s="97" t="e">
        <f>'Actual Value'!I385+"AM:!.^`"</f>
        <v>#VALUE!</v>
      </c>
      <c r="CV236" s="97" t="e">
        <f>'Actual Value'!J385+"AM:!.^a"</f>
        <v>#VALUE!</v>
      </c>
      <c r="CW236" s="97" t="e">
        <f>'Actual Value'!K385+"AM:!.^b"</f>
        <v>#VALUE!</v>
      </c>
      <c r="CX236" s="97" t="e">
        <f>'Actual Value'!L385+"AM:!.^c"</f>
        <v>#VALUE!</v>
      </c>
      <c r="CY236" s="97" t="e">
        <f>'Actual Value'!M385+"AM:!.^d"</f>
        <v>#VALUE!</v>
      </c>
      <c r="CZ236" s="97" t="e">
        <f>'Actual Value'!N385+"AM:!.^e"</f>
        <v>#VALUE!</v>
      </c>
      <c r="DA236" s="97" t="e">
        <f>'Actual Value'!O385+"AM:!.^f"</f>
        <v>#VALUE!</v>
      </c>
      <c r="DB236" s="97" t="e">
        <f>'Actual Value'!P385+"AM:!.^g"</f>
        <v>#VALUE!</v>
      </c>
      <c r="DC236" s="97" t="e">
        <f>'Actual Value'!Q385+"AM:!.^h"</f>
        <v>#VALUE!</v>
      </c>
      <c r="DD236" s="97" t="e">
        <f>'Actual Value'!R385+"AM:!.^i"</f>
        <v>#VALUE!</v>
      </c>
      <c r="DE236" s="97" t="e">
        <f>'Actual Value'!S385+"AM:!.^j"</f>
        <v>#VALUE!</v>
      </c>
      <c r="DF236" s="97" t="e">
        <f>'Actual Value'!T385+"AM:!.^k"</f>
        <v>#VALUE!</v>
      </c>
      <c r="DG236" s="97" t="e">
        <f>'Actual Value'!U385+"AM:!.^l"</f>
        <v>#VALUE!</v>
      </c>
      <c r="DH236" s="97" t="e">
        <f>'Actual Value'!V385+"AM:!.^m"</f>
        <v>#VALUE!</v>
      </c>
      <c r="DI236" s="97" t="e">
        <f>'Actual Value'!W385+"AM:!.^n"</f>
        <v>#VALUE!</v>
      </c>
      <c r="DJ236" s="97" t="e">
        <f>'Actual Value'!X385+"AM:!.^o"</f>
        <v>#VALUE!</v>
      </c>
      <c r="DK236" s="97" t="e">
        <f>'Actual Value'!Y385+"AM:!.^p"</f>
        <v>#VALUE!</v>
      </c>
      <c r="DL236" s="97" t="e">
        <f>'Actual Value'!Z385+"AM:!.^q"</f>
        <v>#VALUE!</v>
      </c>
      <c r="DM236" s="97" t="e">
        <f>'Actual Value'!AA385+"AM:!.^r"</f>
        <v>#VALUE!</v>
      </c>
      <c r="DN236" s="97" t="e">
        <f>'Actual Value'!AB385+"AM:!.^s"</f>
        <v>#VALUE!</v>
      </c>
      <c r="DO236" s="97" t="e">
        <f>'Actual Value'!AC385+"AM:!.^t"</f>
        <v>#VALUE!</v>
      </c>
      <c r="DP236" s="97" t="e">
        <f>'Actual Value'!AD385+"AM:!.^u"</f>
        <v>#VALUE!</v>
      </c>
      <c r="DQ236" s="97" t="e">
        <f>'Actual Value'!AE385+"AM:!.^v"</f>
        <v>#VALUE!</v>
      </c>
      <c r="DR236" s="97" t="e">
        <f>'Actual Value'!AF385+"AM:!.^w"</f>
        <v>#VALUE!</v>
      </c>
      <c r="DS236" s="97" t="e">
        <f>'Actual Value'!AG385+"AM:!.^x"</f>
        <v>#VALUE!</v>
      </c>
      <c r="DT236" s="97" t="e">
        <f>'Actual Value'!AH385+"AM:!.^y"</f>
        <v>#VALUE!</v>
      </c>
      <c r="DU236" s="97" t="e">
        <f>'Actual Value'!AI385+"AM:!.^z"</f>
        <v>#VALUE!</v>
      </c>
      <c r="DV236" s="97" t="e">
        <f>'Actual Value'!AJ385+"AM:!.^{"</f>
        <v>#VALUE!</v>
      </c>
      <c r="DW236" s="97" t="e">
        <f>'Actual Value'!AK385+"AM:!.^|"</f>
        <v>#VALUE!</v>
      </c>
      <c r="DX236" s="97" t="e">
        <f>'Actual Value'!AL385+"AM:!.^}"</f>
        <v>#VALUE!</v>
      </c>
      <c r="DY236" s="97" t="e">
        <f>'Actual Value'!AM385+"AM:!.^~"</f>
        <v>#VALUE!</v>
      </c>
      <c r="DZ236" s="97" t="e">
        <f>'Actual Value'!AN385+"AM:!._#"</f>
        <v>#VALUE!</v>
      </c>
      <c r="EA236" s="97" t="e">
        <f>'Actual Value'!AO385+"AM:!._$"</f>
        <v>#VALUE!</v>
      </c>
      <c r="EB236" t="e">
        <f>'Actual Value'!AP385+"AM:!._%"</f>
        <v>#VALUE!</v>
      </c>
      <c r="EC236" t="e">
        <f>'Actual Value'!AQ385+"AM:!._&amp;"</f>
        <v>#VALUE!</v>
      </c>
      <c r="ED236" t="e">
        <f>'Actual Value'!AR385+"AM:!._'"</f>
        <v>#VALUE!</v>
      </c>
      <c r="EE236" t="e">
        <f>'Actual Value'!AS385+"AM:!._("</f>
        <v>#VALUE!</v>
      </c>
      <c r="EF236" t="e">
        <f>'Actual Value'!AT385+"AM:!._)"</f>
        <v>#VALUE!</v>
      </c>
      <c r="EG236" t="e">
        <f>'Actual Value'!AU385+"AM:!._."</f>
        <v>#VALUE!</v>
      </c>
      <c r="EH236" t="e">
        <f>'Actual Value'!AV385+"AM:!._/"</f>
        <v>#VALUE!</v>
      </c>
      <c r="EI236" t="e">
        <f>'Actual Value'!AW385+"AM:!._0"</f>
        <v>#VALUE!</v>
      </c>
      <c r="EJ236" t="e">
        <f>'Actual Value'!AX385+"AM:!._1"</f>
        <v>#VALUE!</v>
      </c>
      <c r="EK236" t="e">
        <f>'Actual Value'!AZ385+"AM:!._2"</f>
        <v>#VALUE!</v>
      </c>
      <c r="EL236" t="e">
        <f>'Actual Value'!BA385+"AM:!._3"</f>
        <v>#VALUE!</v>
      </c>
      <c r="EM236" t="e">
        <f>'Actual Value'!A386+"AM:!._4"</f>
        <v>#VALUE!</v>
      </c>
      <c r="EN236" t="e">
        <f>'Actual Value'!B386+"AM:!._5"</f>
        <v>#VALUE!</v>
      </c>
      <c r="EO236" t="e">
        <f>'Actual Value'!C386+"AM:!._6"</f>
        <v>#VALUE!</v>
      </c>
      <c r="EP236" s="97" t="e">
        <f>'Actual Value'!D386+"AM:!._7"</f>
        <v>#VALUE!</v>
      </c>
      <c r="EQ236" s="97" t="e">
        <f>'Actual Value'!E386+"AM:!._8"</f>
        <v>#VALUE!</v>
      </c>
      <c r="ER236" s="97" t="e">
        <f>'Actual Value'!F386+"AM:!._9"</f>
        <v>#VALUE!</v>
      </c>
      <c r="ES236" s="97" t="e">
        <f>'Actual Value'!G386+"AM:!._:"</f>
        <v>#VALUE!</v>
      </c>
      <c r="ET236" s="97" t="e">
        <f>'Actual Value'!H386+"AM:!._;"</f>
        <v>#VALUE!</v>
      </c>
      <c r="EU236" s="97" t="e">
        <f>'Actual Value'!I386+"AM:!._&lt;"</f>
        <v>#VALUE!</v>
      </c>
      <c r="EV236" s="97" t="e">
        <f>'Actual Value'!J386+"AM:!._="</f>
        <v>#VALUE!</v>
      </c>
      <c r="EW236" s="97" t="e">
        <f>'Actual Value'!K386+"AM:!._&gt;"</f>
        <v>#VALUE!</v>
      </c>
      <c r="EX236" s="97" t="e">
        <f>'Actual Value'!L386+"AM:!._?"</f>
        <v>#VALUE!</v>
      </c>
      <c r="EY236" s="97" t="e">
        <f>'Actual Value'!M386+"AM:!._@"</f>
        <v>#VALUE!</v>
      </c>
      <c r="EZ236" s="97" t="e">
        <f>'Actual Value'!N386+"AM:!._A"</f>
        <v>#VALUE!</v>
      </c>
      <c r="FA236" s="97" t="e">
        <f>'Actual Value'!O386+"AM:!._B"</f>
        <v>#VALUE!</v>
      </c>
      <c r="FB236" s="97" t="e">
        <f>'Actual Value'!P386+"AM:!._C"</f>
        <v>#VALUE!</v>
      </c>
      <c r="FC236" s="97" t="e">
        <f>'Actual Value'!Q386+"AM:!._D"</f>
        <v>#VALUE!</v>
      </c>
      <c r="FD236" s="97" t="e">
        <f>'Actual Value'!R386+"AM:!._E"</f>
        <v>#VALUE!</v>
      </c>
      <c r="FE236" s="97" t="e">
        <f>'Actual Value'!S386+"AM:!._F"</f>
        <v>#VALUE!</v>
      </c>
      <c r="FF236" s="97" t="e">
        <f>'Actual Value'!T386+"AM:!._G"</f>
        <v>#VALUE!</v>
      </c>
      <c r="FG236" s="97" t="e">
        <f>'Actual Value'!U386+"AM:!._H"</f>
        <v>#VALUE!</v>
      </c>
      <c r="FH236" s="97" t="e">
        <f>'Actual Value'!V386+"AM:!._I"</f>
        <v>#VALUE!</v>
      </c>
      <c r="FI236" s="97" t="e">
        <f>'Actual Value'!W386+"AM:!._J"</f>
        <v>#VALUE!</v>
      </c>
      <c r="FJ236" s="97" t="e">
        <f>'Actual Value'!X386+"AM:!._K"</f>
        <v>#VALUE!</v>
      </c>
      <c r="FK236" s="97" t="e">
        <f>'Actual Value'!Y386+"AM:!._L"</f>
        <v>#VALUE!</v>
      </c>
      <c r="FL236" s="97" t="e">
        <f>'Actual Value'!Z386+"AM:!._M"</f>
        <v>#VALUE!</v>
      </c>
      <c r="FM236" s="97" t="e">
        <f>'Actual Value'!AA386+"AM:!._N"</f>
        <v>#VALUE!</v>
      </c>
      <c r="FN236" s="97" t="e">
        <f>'Actual Value'!AB386+"AM:!._O"</f>
        <v>#VALUE!</v>
      </c>
      <c r="FO236" s="97" t="e">
        <f>'Actual Value'!AC386+"AM:!._P"</f>
        <v>#VALUE!</v>
      </c>
      <c r="FP236" s="97" t="e">
        <f>'Actual Value'!AD386+"AM:!._Q"</f>
        <v>#VALUE!</v>
      </c>
      <c r="FQ236" s="97" t="e">
        <f>'Actual Value'!AE386+"AM:!._R"</f>
        <v>#VALUE!</v>
      </c>
      <c r="FR236" s="97" t="e">
        <f>'Actual Value'!AF386+"AM:!._S"</f>
        <v>#VALUE!</v>
      </c>
      <c r="FS236" s="97" t="e">
        <f>'Actual Value'!AG386+"AM:!._T"</f>
        <v>#VALUE!</v>
      </c>
      <c r="FT236" s="97" t="e">
        <f>'Actual Value'!AH386+"AM:!._U"</f>
        <v>#VALUE!</v>
      </c>
      <c r="FU236" s="97" t="e">
        <f>'Actual Value'!AI386+"AM:!._V"</f>
        <v>#VALUE!</v>
      </c>
      <c r="FV236" s="97" t="e">
        <f>'Actual Value'!AJ386+"AM:!._W"</f>
        <v>#VALUE!</v>
      </c>
      <c r="FW236" s="97" t="e">
        <f>'Actual Value'!AK386+"AM:!._X"</f>
        <v>#VALUE!</v>
      </c>
      <c r="FX236" s="97" t="e">
        <f>'Actual Value'!AL386+"AM:!._Y"</f>
        <v>#VALUE!</v>
      </c>
      <c r="FY236" s="97" t="e">
        <f>'Actual Value'!AM386+"AM:!._Z"</f>
        <v>#VALUE!</v>
      </c>
      <c r="FZ236" s="97" t="e">
        <f>'Actual Value'!AN386+"AM:!._["</f>
        <v>#VALUE!</v>
      </c>
      <c r="GA236" s="97" t="e">
        <f>'Actual Value'!AO386+"AM:!._\"</f>
        <v>#VALUE!</v>
      </c>
      <c r="GB236" t="e">
        <f>'Actual Value'!AP386+"AM:!._]"</f>
        <v>#VALUE!</v>
      </c>
      <c r="GC236" t="e">
        <f>'Actual Value'!AQ386+"AM:!._^"</f>
        <v>#VALUE!</v>
      </c>
      <c r="GD236" t="e">
        <f>'Actual Value'!AR386+"AM:!.__"</f>
        <v>#VALUE!</v>
      </c>
      <c r="GE236" t="e">
        <f>'Actual Value'!AS386+"AM:!._`"</f>
        <v>#VALUE!</v>
      </c>
      <c r="GF236" t="e">
        <f>'Actual Value'!AT386+"AM:!._a"</f>
        <v>#VALUE!</v>
      </c>
      <c r="GG236" t="e">
        <f>'Actual Value'!AU386+"AM:!._b"</f>
        <v>#VALUE!</v>
      </c>
      <c r="GH236" t="e">
        <f>'Actual Value'!AV386+"AM:!._c"</f>
        <v>#VALUE!</v>
      </c>
      <c r="GI236" t="e">
        <f>'Actual Value'!AW386+"AM:!._d"</f>
        <v>#VALUE!</v>
      </c>
      <c r="GJ236" t="e">
        <f>'Actual Value'!AX386+"AM:!._e"</f>
        <v>#VALUE!</v>
      </c>
      <c r="GK236" t="e">
        <f>'Actual Value'!AZ386+"AM:!._f"</f>
        <v>#VALUE!</v>
      </c>
      <c r="GL236" t="e">
        <f>'Actual Value'!BA386+"AM:!._g"</f>
        <v>#VALUE!</v>
      </c>
      <c r="GM236" t="e">
        <f>'Actual Value'!A387+"AM:!._h"</f>
        <v>#VALUE!</v>
      </c>
      <c r="GN236" t="e">
        <f>'Actual Value'!B387+"AM:!._i"</f>
        <v>#VALUE!</v>
      </c>
      <c r="GO236" t="e">
        <f>'Actual Value'!C387+"AM:!._j"</f>
        <v>#VALUE!</v>
      </c>
      <c r="GP236" s="100" t="e">
        <f>'Actual Value'!D387+"AM:!._k"</f>
        <v>#VALUE!</v>
      </c>
      <c r="GQ236" s="100" t="e">
        <f>'Actual Value'!E387+"AM:!._l"</f>
        <v>#VALUE!</v>
      </c>
      <c r="GR236" s="100" t="e">
        <f>'Actual Value'!F387+"AM:!._m"</f>
        <v>#VALUE!</v>
      </c>
      <c r="GS236" s="100" t="e">
        <f>'Actual Value'!G387+"AM:!._n"</f>
        <v>#VALUE!</v>
      </c>
      <c r="GT236" s="100" t="e">
        <f>'Actual Value'!H387+"AM:!._o"</f>
        <v>#VALUE!</v>
      </c>
      <c r="GU236" s="100" t="e">
        <f>'Actual Value'!I387+"AM:!._p"</f>
        <v>#VALUE!</v>
      </c>
      <c r="GV236" s="100" t="e">
        <f>'Actual Value'!J387+"AM:!._q"</f>
        <v>#VALUE!</v>
      </c>
      <c r="GW236" s="100" t="e">
        <f>'Actual Value'!K387+"AM:!._r"</f>
        <v>#VALUE!</v>
      </c>
      <c r="GX236" s="100" t="e">
        <f>'Actual Value'!L387+"AM:!._s"</f>
        <v>#VALUE!</v>
      </c>
      <c r="GY236" s="100" t="e">
        <f>'Actual Value'!M387+"AM:!._t"</f>
        <v>#VALUE!</v>
      </c>
      <c r="GZ236" s="100" t="e">
        <f>'Actual Value'!N387+"AM:!._u"</f>
        <v>#VALUE!</v>
      </c>
      <c r="HA236" s="100" t="e">
        <f>'Actual Value'!O387+"AM:!._v"</f>
        <v>#VALUE!</v>
      </c>
      <c r="HB236" s="100" t="e">
        <f>'Actual Value'!P387+"AM:!._w"</f>
        <v>#VALUE!</v>
      </c>
      <c r="HC236" s="100" t="e">
        <f>'Actual Value'!Q387+"AM:!._x"</f>
        <v>#VALUE!</v>
      </c>
      <c r="HD236" s="100" t="e">
        <f>'Actual Value'!R387+"AM:!._y"</f>
        <v>#VALUE!</v>
      </c>
      <c r="HE236" s="100" t="e">
        <f>'Actual Value'!S387+"AM:!._z"</f>
        <v>#VALUE!</v>
      </c>
      <c r="HF236" s="100" t="e">
        <f>'Actual Value'!T387+"AM:!._{"</f>
        <v>#VALUE!</v>
      </c>
      <c r="HG236" s="100" t="e">
        <f>'Actual Value'!U387+"AM:!._|"</f>
        <v>#VALUE!</v>
      </c>
      <c r="HH236" s="100" t="e">
        <f>'Actual Value'!V387+"AM:!._}"</f>
        <v>#VALUE!</v>
      </c>
      <c r="HI236" s="100" t="e">
        <f>'Actual Value'!W387+"AM:!._~"</f>
        <v>#VALUE!</v>
      </c>
      <c r="HJ236" s="100" t="e">
        <f>'Actual Value'!X387+"AM:!.`#"</f>
        <v>#VALUE!</v>
      </c>
      <c r="HK236" s="100" t="e">
        <f>'Actual Value'!Y387+"AM:!.`$"</f>
        <v>#VALUE!</v>
      </c>
      <c r="HL236" s="100" t="e">
        <f>'Actual Value'!Z387+"AM:!.`%"</f>
        <v>#VALUE!</v>
      </c>
      <c r="HM236" s="100" t="e">
        <f>'Actual Value'!AA387+"AM:!.`&amp;"</f>
        <v>#VALUE!</v>
      </c>
      <c r="HN236" s="100" t="e">
        <f>'Actual Value'!AB387+"AM:!.`'"</f>
        <v>#VALUE!</v>
      </c>
      <c r="HO236" s="100" t="e">
        <f>'Actual Value'!AC387+"AM:!.`("</f>
        <v>#VALUE!</v>
      </c>
      <c r="HP236" s="100" t="e">
        <f>'Actual Value'!AD387+"AM:!.`)"</f>
        <v>#VALUE!</v>
      </c>
      <c r="HQ236" s="100" t="e">
        <f>'Actual Value'!AE387+"AM:!.`."</f>
        <v>#VALUE!</v>
      </c>
      <c r="HR236" s="100" t="e">
        <f>'Actual Value'!AF387+"AM:!.`/"</f>
        <v>#VALUE!</v>
      </c>
      <c r="HS236" s="100" t="e">
        <f>'Actual Value'!AG387+"AM:!.`0"</f>
        <v>#VALUE!</v>
      </c>
      <c r="HT236" s="100" t="e">
        <f>'Actual Value'!AH387+"AM:!.`1"</f>
        <v>#VALUE!</v>
      </c>
      <c r="HU236" s="100" t="e">
        <f>'Actual Value'!AI387+"AM:!.`2"</f>
        <v>#VALUE!</v>
      </c>
      <c r="HV236" s="100" t="e">
        <f>'Actual Value'!AJ387+"AM:!.`3"</f>
        <v>#VALUE!</v>
      </c>
      <c r="HW236" s="100" t="e">
        <f>'Actual Value'!AK387+"AM:!.`4"</f>
        <v>#VALUE!</v>
      </c>
      <c r="HX236" s="100" t="e">
        <f>'Actual Value'!AL387+"AM:!.`5"</f>
        <v>#VALUE!</v>
      </c>
      <c r="HY236" s="100" t="e">
        <f>'Actual Value'!AM387+"AM:!.`6"</f>
        <v>#VALUE!</v>
      </c>
      <c r="HZ236" s="100" t="e">
        <f>'Actual Value'!AN387+"AM:!.`7"</f>
        <v>#VALUE!</v>
      </c>
      <c r="IA236" s="100" t="e">
        <f>'Actual Value'!AO387+"AM:!.`8"</f>
        <v>#VALUE!</v>
      </c>
      <c r="IB236" t="e">
        <f>'Actual Value'!AP387+"AM:!.`9"</f>
        <v>#VALUE!</v>
      </c>
      <c r="IC236" t="e">
        <f>'Actual Value'!AQ387+"AM:!.`:"</f>
        <v>#VALUE!</v>
      </c>
      <c r="ID236" t="e">
        <f>'Actual Value'!AR387+"AM:!.`;"</f>
        <v>#VALUE!</v>
      </c>
      <c r="IE236" t="e">
        <f>'Actual Value'!AS387+"AM:!.`&lt;"</f>
        <v>#VALUE!</v>
      </c>
      <c r="IF236" t="e">
        <f>'Actual Value'!AT387+"AM:!.`="</f>
        <v>#VALUE!</v>
      </c>
      <c r="IG236" t="e">
        <f>'Actual Value'!AU387+"AM:!.`&gt;"</f>
        <v>#VALUE!</v>
      </c>
      <c r="IH236" t="e">
        <f>'Actual Value'!AV387+"AM:!.`?"</f>
        <v>#VALUE!</v>
      </c>
      <c r="II236" t="e">
        <f>'Actual Value'!AW387+"AM:!.`@"</f>
        <v>#VALUE!</v>
      </c>
      <c r="IJ236" t="e">
        <f>'Actual Value'!AX387+"AM:!.`A"</f>
        <v>#VALUE!</v>
      </c>
      <c r="IK236" t="e">
        <f>'Actual Value'!AZ387+"AM:!.`B"</f>
        <v>#VALUE!</v>
      </c>
      <c r="IL236" t="e">
        <f>'Actual Value'!BA387+"AM:!.`C"</f>
        <v>#VALUE!</v>
      </c>
      <c r="IM236" t="e">
        <f>'Actual Value'!A388+"AM:!.`D"</f>
        <v>#VALUE!</v>
      </c>
      <c r="IN236" t="e">
        <f>'Actual Value'!B388+"AM:!.`E"</f>
        <v>#VALUE!</v>
      </c>
      <c r="IO236" t="e">
        <f>'Actual Value'!C388+"AM:!.`F"</f>
        <v>#VALUE!</v>
      </c>
      <c r="IP236" t="e">
        <f>'Actual Value'!D388+"AM:!.`G"</f>
        <v>#VALUE!</v>
      </c>
      <c r="IQ236" t="e">
        <f>'Actual Value'!E388+"AM:!.`H"</f>
        <v>#VALUE!</v>
      </c>
      <c r="IR236" t="e">
        <f>'Actual Value'!F388+"AM:!.`I"</f>
        <v>#VALUE!</v>
      </c>
      <c r="IS236" t="e">
        <f>'Actual Value'!G388+"AM:!.`J"</f>
        <v>#VALUE!</v>
      </c>
      <c r="IT236" t="e">
        <f>'Actual Value'!H388+"AM:!.`K"</f>
        <v>#VALUE!</v>
      </c>
      <c r="IU236" t="e">
        <f>'Actual Value'!I388+"AM:!.`L"</f>
        <v>#VALUE!</v>
      </c>
      <c r="IV236" t="e">
        <f>'Actual Value'!J388+"AM:!.`M"</f>
        <v>#VALUE!</v>
      </c>
    </row>
    <row r="237" spans="6:256">
      <c r="F237" t="e">
        <f>'Actual Value'!K388+"AM:!.`N"</f>
        <v>#VALUE!</v>
      </c>
      <c r="G237" t="e">
        <f>'Actual Value'!L388+"AM:!.`O"</f>
        <v>#VALUE!</v>
      </c>
      <c r="H237" t="e">
        <f>'Actual Value'!M388+"AM:!.`P"</f>
        <v>#VALUE!</v>
      </c>
      <c r="I237" t="e">
        <f>'Actual Value'!N388+"AM:!.`Q"</f>
        <v>#VALUE!</v>
      </c>
      <c r="J237" t="e">
        <f>'Actual Value'!O388+"AM:!.`R"</f>
        <v>#VALUE!</v>
      </c>
      <c r="K237" t="e">
        <f>'Actual Value'!P388+"AM:!.`S"</f>
        <v>#VALUE!</v>
      </c>
      <c r="L237" t="e">
        <f>'Actual Value'!Q388+"AM:!.`T"</f>
        <v>#VALUE!</v>
      </c>
      <c r="M237" t="e">
        <f>'Actual Value'!R388+"AM:!.`U"</f>
        <v>#VALUE!</v>
      </c>
      <c r="N237" t="e">
        <f>'Actual Value'!S388+"AM:!.`V"</f>
        <v>#VALUE!</v>
      </c>
      <c r="O237" t="e">
        <f>'Actual Value'!T388+"AM:!.`W"</f>
        <v>#VALUE!</v>
      </c>
      <c r="P237" t="e">
        <f>'Actual Value'!U388+"AM:!.`X"</f>
        <v>#VALUE!</v>
      </c>
      <c r="Q237" t="e">
        <f>'Actual Value'!V388+"AM:!.`Y"</f>
        <v>#VALUE!</v>
      </c>
      <c r="R237" t="e">
        <f>'Actual Value'!W388+"AM:!.`Z"</f>
        <v>#VALUE!</v>
      </c>
      <c r="S237" t="e">
        <f>'Actual Value'!X388+"AM:!.`["</f>
        <v>#VALUE!</v>
      </c>
      <c r="T237" t="e">
        <f>'Actual Value'!Y388+"AM:!.`\"</f>
        <v>#VALUE!</v>
      </c>
      <c r="U237" t="e">
        <f>'Actual Value'!Z388+"AM:!.`]"</f>
        <v>#VALUE!</v>
      </c>
      <c r="V237" t="e">
        <f>'Actual Value'!AA388+"AM:!.`^"</f>
        <v>#VALUE!</v>
      </c>
      <c r="W237" t="e">
        <f>'Actual Value'!AB388+"AM:!.`_"</f>
        <v>#VALUE!</v>
      </c>
      <c r="X237" t="e">
        <f>'Actual Value'!AC388+"AM:!.``"</f>
        <v>#VALUE!</v>
      </c>
      <c r="Y237" t="e">
        <f>'Actual Value'!AD388+"AM:!.`a"</f>
        <v>#VALUE!</v>
      </c>
      <c r="Z237" t="e">
        <f>'Actual Value'!AE388+"AM:!.`b"</f>
        <v>#VALUE!</v>
      </c>
      <c r="AA237" t="e">
        <f>'Actual Value'!AF388+"AM:!.`c"</f>
        <v>#VALUE!</v>
      </c>
      <c r="AB237" t="e">
        <f>'Actual Value'!AG388+"AM:!.`d"</f>
        <v>#VALUE!</v>
      </c>
      <c r="AC237" t="e">
        <f>'Actual Value'!AH388+"AM:!.`e"</f>
        <v>#VALUE!</v>
      </c>
      <c r="AD237" t="e">
        <f>'Actual Value'!AI388+"AM:!.`f"</f>
        <v>#VALUE!</v>
      </c>
      <c r="AE237" t="e">
        <f>'Actual Value'!AJ388+"AM:!.`g"</f>
        <v>#VALUE!</v>
      </c>
      <c r="AF237" t="e">
        <f>'Actual Value'!AK388+"AM:!.`h"</f>
        <v>#VALUE!</v>
      </c>
      <c r="AG237" t="e">
        <f>'Actual Value'!AL388+"AM:!.`i"</f>
        <v>#VALUE!</v>
      </c>
      <c r="AH237" t="e">
        <f>'Actual Value'!AM388+"AM:!.`j"</f>
        <v>#VALUE!</v>
      </c>
      <c r="AI237" t="e">
        <f>'Actual Value'!AN388+"AM:!.`k"</f>
        <v>#VALUE!</v>
      </c>
      <c r="AJ237" t="e">
        <f>'Actual Value'!AO388+"AM:!.`l"</f>
        <v>#VALUE!</v>
      </c>
      <c r="AK237" t="e">
        <f>'Actual Value'!AP388+"AM:!.`m"</f>
        <v>#VALUE!</v>
      </c>
      <c r="AL237" t="e">
        <f>'Actual Value'!AQ388+"AM:!.`n"</f>
        <v>#VALUE!</v>
      </c>
      <c r="AM237" t="e">
        <f>'Actual Value'!AR388+"AM:!.`o"</f>
        <v>#VALUE!</v>
      </c>
      <c r="AN237" t="e">
        <f>'Actual Value'!AS388+"AM:!.`p"</f>
        <v>#VALUE!</v>
      </c>
      <c r="AO237" t="e">
        <f>'Actual Value'!AT388+"AM:!.`q"</f>
        <v>#VALUE!</v>
      </c>
      <c r="AP237" t="e">
        <f>'Actual Value'!AU388+"AM:!.`r"</f>
        <v>#VALUE!</v>
      </c>
      <c r="AQ237" t="e">
        <f>'Actual Value'!AV388+"AM:!.`s"</f>
        <v>#VALUE!</v>
      </c>
      <c r="AR237" t="e">
        <f>'Actual Value'!AW388+"AM:!.`t"</f>
        <v>#VALUE!</v>
      </c>
      <c r="AS237" t="e">
        <f>'Actual Value'!AX388+"AM:!.`u"</f>
        <v>#VALUE!</v>
      </c>
      <c r="AT237" t="e">
        <f>'Actual Value'!AZ388+"AM:!.`v"</f>
        <v>#VALUE!</v>
      </c>
      <c r="AU237" t="e">
        <f>'Actual Value'!BA388+"AM:!.`w"</f>
        <v>#VALUE!</v>
      </c>
      <c r="AV237" t="e">
        <f>'Actual Value'!A389+"AM:!.`x"</f>
        <v>#VALUE!</v>
      </c>
      <c r="AW237" t="e">
        <f>'Actual Value'!B389+"AM:!.`y"</f>
        <v>#VALUE!</v>
      </c>
      <c r="AX237" t="e">
        <f>'Actual Value'!C389+"AM:!.`z"</f>
        <v>#VALUE!</v>
      </c>
      <c r="AY237" t="e">
        <f>'Actual Value'!D389+"AM:!.`{"</f>
        <v>#VALUE!</v>
      </c>
      <c r="AZ237" t="e">
        <f>'Actual Value'!E389+"AM:!.`|"</f>
        <v>#VALUE!</v>
      </c>
      <c r="BA237" t="e">
        <f>'Actual Value'!F389+"AM:!.`}"</f>
        <v>#VALUE!</v>
      </c>
      <c r="BB237" t="e">
        <f>'Actual Value'!G389+"AM:!.`~"</f>
        <v>#VALUE!</v>
      </c>
      <c r="BC237" t="e">
        <f>'Actual Value'!H389+"AM:!.a#"</f>
        <v>#VALUE!</v>
      </c>
      <c r="BD237" t="e">
        <f>'Actual Value'!I389+"AM:!.a$"</f>
        <v>#VALUE!</v>
      </c>
      <c r="BE237" t="e">
        <f>'Actual Value'!J389+"AM:!.a%"</f>
        <v>#VALUE!</v>
      </c>
      <c r="BF237" t="e">
        <f>'Actual Value'!K389+"AM:!.a&amp;"</f>
        <v>#VALUE!</v>
      </c>
      <c r="BG237" t="e">
        <f>'Actual Value'!L389+"AM:!.a'"</f>
        <v>#VALUE!</v>
      </c>
      <c r="BH237" t="e">
        <f>'Actual Value'!M389+"AM:!.a("</f>
        <v>#VALUE!</v>
      </c>
      <c r="BI237" t="e">
        <f>'Actual Value'!N389+"AM:!.a)"</f>
        <v>#VALUE!</v>
      </c>
      <c r="BJ237" t="e">
        <f>'Actual Value'!O389+"AM:!.a."</f>
        <v>#VALUE!</v>
      </c>
      <c r="BK237" t="e">
        <f>'Actual Value'!P389+"AM:!.a/"</f>
        <v>#VALUE!</v>
      </c>
      <c r="BL237" t="e">
        <f>'Actual Value'!Q389+"AM:!.a0"</f>
        <v>#VALUE!</v>
      </c>
      <c r="BM237" t="e">
        <f>'Actual Value'!R389+"AM:!.a1"</f>
        <v>#VALUE!</v>
      </c>
      <c r="BN237" t="e">
        <f>'Actual Value'!S389+"AM:!.a2"</f>
        <v>#VALUE!</v>
      </c>
      <c r="BO237" t="e">
        <f>'Actual Value'!T389+"AM:!.a3"</f>
        <v>#VALUE!</v>
      </c>
      <c r="BP237" t="e">
        <f>'Actual Value'!U389+"AM:!.a4"</f>
        <v>#VALUE!</v>
      </c>
      <c r="BQ237" t="e">
        <f>'Actual Value'!V389+"AM:!.a5"</f>
        <v>#VALUE!</v>
      </c>
      <c r="BR237" t="e">
        <f>'Actual Value'!W389+"AM:!.a6"</f>
        <v>#VALUE!</v>
      </c>
      <c r="BS237" t="e">
        <f>'Actual Value'!X389+"AM:!.a7"</f>
        <v>#VALUE!</v>
      </c>
      <c r="BT237" t="e">
        <f>'Actual Value'!Y389+"AM:!.a8"</f>
        <v>#VALUE!</v>
      </c>
      <c r="BU237" t="e">
        <f>'Actual Value'!Z389+"AM:!.a9"</f>
        <v>#VALUE!</v>
      </c>
      <c r="BV237" t="e">
        <f>'Actual Value'!AA389+"AM:!.a:"</f>
        <v>#VALUE!</v>
      </c>
      <c r="BW237" t="e">
        <f>'Actual Value'!AB389+"AM:!.a;"</f>
        <v>#VALUE!</v>
      </c>
      <c r="BX237" t="e">
        <f>'Actual Value'!AC389+"AM:!.a&lt;"</f>
        <v>#VALUE!</v>
      </c>
      <c r="BY237" t="e">
        <f>'Actual Value'!AD389+"AM:!.a="</f>
        <v>#VALUE!</v>
      </c>
      <c r="BZ237" t="e">
        <f>'Actual Value'!AE389+"AM:!.a&gt;"</f>
        <v>#VALUE!</v>
      </c>
      <c r="CA237" t="e">
        <f>'Actual Value'!AF389+"AM:!.a?"</f>
        <v>#VALUE!</v>
      </c>
      <c r="CB237" t="e">
        <f>'Actual Value'!AG389+"AM:!.a@"</f>
        <v>#VALUE!</v>
      </c>
      <c r="CC237" t="e">
        <f>'Actual Value'!AH389+"AM:!.aA"</f>
        <v>#VALUE!</v>
      </c>
      <c r="CD237" t="e">
        <f>'Actual Value'!AI389+"AM:!.aB"</f>
        <v>#VALUE!</v>
      </c>
      <c r="CE237" t="e">
        <f>'Actual Value'!AJ389+"AM:!.aC"</f>
        <v>#VALUE!</v>
      </c>
      <c r="CF237" t="e">
        <f>'Actual Value'!AK389+"AM:!.aD"</f>
        <v>#VALUE!</v>
      </c>
      <c r="CG237" t="e">
        <f>'Actual Value'!AL389+"AM:!.aE"</f>
        <v>#VALUE!</v>
      </c>
      <c r="CH237" t="e">
        <f>'Actual Value'!AM389+"AM:!.aF"</f>
        <v>#VALUE!</v>
      </c>
      <c r="CI237" t="e">
        <f>'Actual Value'!AN389+"AM:!.aG"</f>
        <v>#VALUE!</v>
      </c>
      <c r="CJ237" t="e">
        <f>'Actual Value'!AO389+"AM:!.aH"</f>
        <v>#VALUE!</v>
      </c>
      <c r="CK237" t="e">
        <f>'Actual Value'!AP389+"AM:!.aI"</f>
        <v>#VALUE!</v>
      </c>
      <c r="CL237" t="e">
        <f>'Actual Value'!AQ389+"AM:!.aJ"</f>
        <v>#VALUE!</v>
      </c>
      <c r="CM237" t="e">
        <f>'Actual Value'!AR389+"AM:!.aK"</f>
        <v>#VALUE!</v>
      </c>
      <c r="CN237" t="e">
        <f>'Actual Value'!AS389+"AM:!.aL"</f>
        <v>#VALUE!</v>
      </c>
      <c r="CO237" t="e">
        <f>'Actual Value'!AT389+"AM:!.aM"</f>
        <v>#VALUE!</v>
      </c>
      <c r="CP237" t="e">
        <f>'Actual Value'!AU389+"AM:!.aN"</f>
        <v>#VALUE!</v>
      </c>
      <c r="CQ237" t="e">
        <f>'Actual Value'!AV389+"AM:!.aO"</f>
        <v>#VALUE!</v>
      </c>
      <c r="CR237" t="e">
        <f>'Actual Value'!AW389+"AM:!.aP"</f>
        <v>#VALUE!</v>
      </c>
      <c r="CS237" t="e">
        <f>'Actual Value'!AX389+"AM:!.aQ"</f>
        <v>#VALUE!</v>
      </c>
      <c r="CT237" t="e">
        <f>'Actual Value'!AZ389+"AM:!.aR"</f>
        <v>#VALUE!</v>
      </c>
      <c r="CU237" t="e">
        <f>'Actual Value'!BA389+"AM:!.aS"</f>
        <v>#VALUE!</v>
      </c>
      <c r="CV237" t="e">
        <f>'Actual Value'!A390+"AM:!.aT"</f>
        <v>#VALUE!</v>
      </c>
      <c r="CW237" t="e">
        <f>'Actual Value'!B390+"AM:!.aU"</f>
        <v>#VALUE!</v>
      </c>
      <c r="CX237" t="e">
        <f>'Actual Value'!C390+"AM:!.aV"</f>
        <v>#VALUE!</v>
      </c>
      <c r="CY237" t="e">
        <f>'Actual Value'!D390+"AM:!.aW"</f>
        <v>#VALUE!</v>
      </c>
      <c r="CZ237" t="e">
        <f>'Actual Value'!E390+"AM:!.aX"</f>
        <v>#VALUE!</v>
      </c>
      <c r="DA237" t="e">
        <f>'Actual Value'!F390+"AM:!.aY"</f>
        <v>#VALUE!</v>
      </c>
      <c r="DB237" t="e">
        <f>'Actual Value'!G390+"AM:!.aZ"</f>
        <v>#VALUE!</v>
      </c>
      <c r="DC237" t="e">
        <f>'Actual Value'!H390+"AM:!.a["</f>
        <v>#VALUE!</v>
      </c>
      <c r="DD237" t="e">
        <f>'Actual Value'!I390+"AM:!.a\"</f>
        <v>#VALUE!</v>
      </c>
      <c r="DE237" t="e">
        <f>'Actual Value'!J390+"AM:!.a]"</f>
        <v>#VALUE!</v>
      </c>
      <c r="DF237" t="e">
        <f>'Actual Value'!K390+"AM:!.a^"</f>
        <v>#VALUE!</v>
      </c>
      <c r="DG237" t="e">
        <f>'Actual Value'!L390+"AM:!.a_"</f>
        <v>#VALUE!</v>
      </c>
      <c r="DH237" t="e">
        <f>'Actual Value'!M390+"AM:!.a`"</f>
        <v>#VALUE!</v>
      </c>
      <c r="DI237" t="e">
        <f>'Actual Value'!N390+"AM:!.aa"</f>
        <v>#VALUE!</v>
      </c>
      <c r="DJ237" t="e">
        <f>'Actual Value'!O390+"AM:!.ab"</f>
        <v>#VALUE!</v>
      </c>
      <c r="DK237" t="e">
        <f>'Actual Value'!P390+"AM:!.ac"</f>
        <v>#VALUE!</v>
      </c>
      <c r="DL237" t="e">
        <f>'Actual Value'!Q390+"AM:!.ad"</f>
        <v>#VALUE!</v>
      </c>
      <c r="DM237" t="e">
        <f>'Actual Value'!R390+"AM:!.ae"</f>
        <v>#VALUE!</v>
      </c>
      <c r="DN237" t="e">
        <f>'Actual Value'!S390+"AM:!.af"</f>
        <v>#VALUE!</v>
      </c>
      <c r="DO237" t="e">
        <f>'Actual Value'!T390+"AM:!.ag"</f>
        <v>#VALUE!</v>
      </c>
      <c r="DP237" t="e">
        <f>'Actual Value'!U390+"AM:!.ah"</f>
        <v>#VALUE!</v>
      </c>
      <c r="DQ237" t="e">
        <f>'Actual Value'!V390+"AM:!.ai"</f>
        <v>#VALUE!</v>
      </c>
      <c r="DR237" t="e">
        <f>'Actual Value'!W390+"AM:!.aj"</f>
        <v>#VALUE!</v>
      </c>
      <c r="DS237" t="e">
        <f>'Actual Value'!X390+"AM:!.ak"</f>
        <v>#VALUE!</v>
      </c>
      <c r="DT237" t="e">
        <f>'Actual Value'!Y390+"AM:!.al"</f>
        <v>#VALUE!</v>
      </c>
      <c r="DU237" t="e">
        <f>'Actual Value'!Z390+"AM:!.am"</f>
        <v>#VALUE!</v>
      </c>
      <c r="DV237" t="e">
        <f>'Actual Value'!AA390+"AM:!.an"</f>
        <v>#VALUE!</v>
      </c>
      <c r="DW237" t="e">
        <f>'Actual Value'!AB390+"AM:!.ao"</f>
        <v>#VALUE!</v>
      </c>
      <c r="DX237" t="e">
        <f>'Actual Value'!AC390+"AM:!.ap"</f>
        <v>#VALUE!</v>
      </c>
      <c r="DY237" t="e">
        <f>'Actual Value'!AD390+"AM:!.aq"</f>
        <v>#VALUE!</v>
      </c>
      <c r="DZ237" t="e">
        <f>'Actual Value'!AE390+"AM:!.ar"</f>
        <v>#VALUE!</v>
      </c>
      <c r="EA237" t="e">
        <f>'Actual Value'!AF390+"AM:!.as"</f>
        <v>#VALUE!</v>
      </c>
      <c r="EB237" t="e">
        <f>'Actual Value'!AG390+"AM:!.at"</f>
        <v>#VALUE!</v>
      </c>
      <c r="EC237" t="e">
        <f>'Actual Value'!AH390+"AM:!.au"</f>
        <v>#VALUE!</v>
      </c>
      <c r="ED237" t="e">
        <f>'Actual Value'!AI390+"AM:!.av"</f>
        <v>#VALUE!</v>
      </c>
      <c r="EE237" t="e">
        <f>'Actual Value'!AJ390+"AM:!.aw"</f>
        <v>#VALUE!</v>
      </c>
      <c r="EF237" t="e">
        <f>'Actual Value'!AK390+"AM:!.ax"</f>
        <v>#VALUE!</v>
      </c>
      <c r="EG237" t="e">
        <f>'Actual Value'!AL390+"AM:!.ay"</f>
        <v>#VALUE!</v>
      </c>
      <c r="EH237" t="e">
        <f>'Actual Value'!AM390+"AM:!.az"</f>
        <v>#VALUE!</v>
      </c>
      <c r="EI237" t="e">
        <f>'Actual Value'!AN390+"AM:!.a{"</f>
        <v>#VALUE!</v>
      </c>
      <c r="EJ237" t="e">
        <f>'Actual Value'!AO390+"AM:!.a|"</f>
        <v>#VALUE!</v>
      </c>
      <c r="EK237" t="e">
        <f>'Actual Value'!AP390+"AM:!.a}"</f>
        <v>#VALUE!</v>
      </c>
      <c r="EL237" t="e">
        <f>'Actual Value'!AQ390+"AM:!.a~"</f>
        <v>#VALUE!</v>
      </c>
      <c r="EM237" t="e">
        <f>'Actual Value'!AR390+"AM:!.b#"</f>
        <v>#VALUE!</v>
      </c>
      <c r="EN237" t="e">
        <f>'Actual Value'!AS390+"AM:!.b$"</f>
        <v>#VALUE!</v>
      </c>
      <c r="EO237" t="e">
        <f>'Actual Value'!AT390+"AM:!.b%"</f>
        <v>#VALUE!</v>
      </c>
      <c r="EP237" t="e">
        <f>'Actual Value'!AU390+"AM:!.b&amp;"</f>
        <v>#VALUE!</v>
      </c>
      <c r="EQ237" t="e">
        <f>'Actual Value'!AV390+"AM:!.b'"</f>
        <v>#VALUE!</v>
      </c>
      <c r="ER237" t="e">
        <f>'Actual Value'!AW390+"AM:!.b("</f>
        <v>#VALUE!</v>
      </c>
      <c r="ES237" t="e">
        <f>'Actual Value'!AX390+"AM:!.b)"</f>
        <v>#VALUE!</v>
      </c>
      <c r="ET237" t="e">
        <f>'Actual Value'!AZ390+"AM:!.b."</f>
        <v>#VALUE!</v>
      </c>
      <c r="EU237" t="e">
        <f>'Actual Value'!BA390+"AM:!.b/"</f>
        <v>#VALUE!</v>
      </c>
      <c r="EV237" t="e">
        <f>'Actual Value'!A391+"AM:!.b0"</f>
        <v>#VALUE!</v>
      </c>
      <c r="EW237" t="e">
        <f>'Actual Value'!B391+"AM:!.b1"</f>
        <v>#VALUE!</v>
      </c>
      <c r="EX237" t="e">
        <f>'Actual Value'!C391+"AM:!.b2"</f>
        <v>#VALUE!</v>
      </c>
      <c r="EY237" s="97" t="e">
        <f>'Actual Value'!D391+"AM:!.b3"</f>
        <v>#VALUE!</v>
      </c>
      <c r="EZ237" s="97" t="e">
        <f>'Actual Value'!E391+"AM:!.b4"</f>
        <v>#VALUE!</v>
      </c>
      <c r="FA237" s="97" t="e">
        <f>'Actual Value'!F391+"AM:!.b5"</f>
        <v>#VALUE!</v>
      </c>
      <c r="FB237" s="97" t="e">
        <f>'Actual Value'!G391+"AM:!.b6"</f>
        <v>#VALUE!</v>
      </c>
      <c r="FC237" s="97" t="e">
        <f>'Actual Value'!H391+"AM:!.b7"</f>
        <v>#VALUE!</v>
      </c>
      <c r="FD237" s="97" t="e">
        <f>'Actual Value'!I391+"AM:!.b8"</f>
        <v>#VALUE!</v>
      </c>
      <c r="FE237" s="97" t="e">
        <f>'Actual Value'!J391+"AM:!.b9"</f>
        <v>#VALUE!</v>
      </c>
      <c r="FF237" s="97" t="e">
        <f>'Actual Value'!K391+"AM:!.b:"</f>
        <v>#VALUE!</v>
      </c>
      <c r="FG237" s="97" t="e">
        <f>'Actual Value'!L391+"AM:!.b;"</f>
        <v>#VALUE!</v>
      </c>
      <c r="FH237" s="97" t="e">
        <f>'Actual Value'!M391+"AM:!.b&lt;"</f>
        <v>#VALUE!</v>
      </c>
      <c r="FI237" s="97" t="e">
        <f>'Actual Value'!N391+"AM:!.b="</f>
        <v>#VALUE!</v>
      </c>
      <c r="FJ237" s="97" t="e">
        <f>'Actual Value'!O391+"AM:!.b&gt;"</f>
        <v>#VALUE!</v>
      </c>
      <c r="FK237" s="97" t="e">
        <f>'Actual Value'!P391+"AM:!.b?"</f>
        <v>#VALUE!</v>
      </c>
      <c r="FL237" s="97" t="e">
        <f>'Actual Value'!Q391+"AM:!.b@"</f>
        <v>#VALUE!</v>
      </c>
      <c r="FM237" s="97" t="e">
        <f>'Actual Value'!R391+"AM:!.bA"</f>
        <v>#VALUE!</v>
      </c>
      <c r="FN237" s="97" t="e">
        <f>'Actual Value'!S391+"AM:!.bB"</f>
        <v>#VALUE!</v>
      </c>
      <c r="FO237" s="97" t="e">
        <f>'Actual Value'!T391+"AM:!.bC"</f>
        <v>#VALUE!</v>
      </c>
      <c r="FP237" s="97" t="e">
        <f>'Actual Value'!U391+"AM:!.bD"</f>
        <v>#VALUE!</v>
      </c>
      <c r="FQ237" s="97" t="e">
        <f>'Actual Value'!V391+"AM:!.bE"</f>
        <v>#VALUE!</v>
      </c>
      <c r="FR237" s="97" t="e">
        <f>'Actual Value'!W391+"AM:!.bF"</f>
        <v>#VALUE!</v>
      </c>
      <c r="FS237" s="97" t="e">
        <f>'Actual Value'!X391+"AM:!.bG"</f>
        <v>#VALUE!</v>
      </c>
      <c r="FT237" s="97" t="e">
        <f>'Actual Value'!Y391+"AM:!.bH"</f>
        <v>#VALUE!</v>
      </c>
      <c r="FU237" s="97" t="e">
        <f>'Actual Value'!Z391+"AM:!.bI"</f>
        <v>#VALUE!</v>
      </c>
      <c r="FV237" s="97" t="e">
        <f>'Actual Value'!AA391+"AM:!.bJ"</f>
        <v>#VALUE!</v>
      </c>
      <c r="FW237" s="97" t="e">
        <f>'Actual Value'!AB391+"AM:!.bK"</f>
        <v>#VALUE!</v>
      </c>
      <c r="FX237" s="97" t="e">
        <f>'Actual Value'!AC391+"AM:!.bL"</f>
        <v>#VALUE!</v>
      </c>
      <c r="FY237" s="97" t="e">
        <f>'Actual Value'!AD391+"AM:!.bM"</f>
        <v>#VALUE!</v>
      </c>
      <c r="FZ237" s="97" t="e">
        <f>'Actual Value'!AE391+"AM:!.bN"</f>
        <v>#VALUE!</v>
      </c>
      <c r="GA237" s="97" t="e">
        <f>'Actual Value'!AF391+"AM:!.bO"</f>
        <v>#VALUE!</v>
      </c>
      <c r="GB237" s="97" t="e">
        <f>'Actual Value'!AG391+"AM:!.bP"</f>
        <v>#VALUE!</v>
      </c>
      <c r="GC237" s="97" t="e">
        <f>'Actual Value'!AH391+"AM:!.bQ"</f>
        <v>#VALUE!</v>
      </c>
      <c r="GD237" s="97" t="e">
        <f>'Actual Value'!AI391+"AM:!.bR"</f>
        <v>#VALUE!</v>
      </c>
      <c r="GE237" s="97" t="e">
        <f>'Actual Value'!AJ391+"AM:!.bS"</f>
        <v>#VALUE!</v>
      </c>
      <c r="GF237" s="97" t="e">
        <f>'Actual Value'!AK391+"AM:!.bT"</f>
        <v>#VALUE!</v>
      </c>
      <c r="GG237" s="97" t="e">
        <f>'Actual Value'!AL391+"AM:!.bU"</f>
        <v>#VALUE!</v>
      </c>
      <c r="GH237" s="97" t="e">
        <f>'Actual Value'!AM391+"AM:!.bV"</f>
        <v>#VALUE!</v>
      </c>
      <c r="GI237" s="97" t="e">
        <f>'Actual Value'!AN391+"AM:!.bW"</f>
        <v>#VALUE!</v>
      </c>
      <c r="GJ237" s="97" t="e">
        <f>'Actual Value'!AO391+"AM:!.bX"</f>
        <v>#VALUE!</v>
      </c>
      <c r="GK237" t="e">
        <f>'Actual Value'!AP391+"AM:!.bY"</f>
        <v>#VALUE!</v>
      </c>
      <c r="GL237" t="e">
        <f>'Actual Value'!AQ391+"AM:!.bZ"</f>
        <v>#VALUE!</v>
      </c>
      <c r="GM237" t="e">
        <f>'Actual Value'!AR391+"AM:!.b["</f>
        <v>#VALUE!</v>
      </c>
      <c r="GN237" t="e">
        <f>'Actual Value'!AS391+"AM:!.b\"</f>
        <v>#VALUE!</v>
      </c>
      <c r="GO237" t="e">
        <f>'Actual Value'!AT391+"AM:!.b]"</f>
        <v>#VALUE!</v>
      </c>
      <c r="GP237" t="e">
        <f>'Actual Value'!AU391+"AM:!.b^"</f>
        <v>#VALUE!</v>
      </c>
      <c r="GQ237" t="e">
        <f>'Actual Value'!AV391+"AM:!.b_"</f>
        <v>#VALUE!</v>
      </c>
      <c r="GR237" t="e">
        <f>'Actual Value'!AW391+"AM:!.b`"</f>
        <v>#VALUE!</v>
      </c>
      <c r="GS237" t="e">
        <f>'Actual Value'!AX391+"AM:!.ba"</f>
        <v>#VALUE!</v>
      </c>
      <c r="GT237" t="e">
        <f>'Actual Value'!AZ391+"AM:!.bb"</f>
        <v>#VALUE!</v>
      </c>
      <c r="GU237" t="e">
        <f>'Actual Value'!BA391+"AM:!.bc"</f>
        <v>#VALUE!</v>
      </c>
      <c r="GV237" t="e">
        <f>'Actual Value'!A392+"AM:!.bd"</f>
        <v>#VALUE!</v>
      </c>
      <c r="GW237" t="e">
        <f>'Actual Value'!B392+"AM:!.be"</f>
        <v>#VALUE!</v>
      </c>
      <c r="GX237" t="e">
        <f>'Actual Value'!C392+"AM:!.bf"</f>
        <v>#VALUE!</v>
      </c>
      <c r="GY237" s="97" t="e">
        <f ca="1">'Actual Value'!D392+"AM:!.bg"</f>
        <v>#VALUE!</v>
      </c>
      <c r="GZ237" s="97" t="e">
        <f ca="1">'Actual Value'!E392+"AM:!.bh"</f>
        <v>#VALUE!</v>
      </c>
      <c r="HA237" s="97" t="e">
        <f ca="1">'Actual Value'!F392+"AM:!.bi"</f>
        <v>#VALUE!</v>
      </c>
      <c r="HB237" s="97" t="e">
        <f ca="1">'Actual Value'!G392+"AM:!.bj"</f>
        <v>#VALUE!</v>
      </c>
      <c r="HC237" s="97" t="e">
        <f ca="1">'Actual Value'!H392+"AM:!.bk"</f>
        <v>#VALUE!</v>
      </c>
      <c r="HD237" s="97" t="e">
        <f ca="1">'Actual Value'!I392+"AM:!.bl"</f>
        <v>#VALUE!</v>
      </c>
      <c r="HE237" s="97" t="e">
        <f ca="1">'Actual Value'!J392+"AM:!.bm"</f>
        <v>#VALUE!</v>
      </c>
      <c r="HF237" s="97" t="e">
        <f ca="1">'Actual Value'!K392+"AM:!.bn"</f>
        <v>#VALUE!</v>
      </c>
      <c r="HG237" s="97" t="e">
        <f ca="1">'Actual Value'!L392+"AM:!.bo"</f>
        <v>#VALUE!</v>
      </c>
      <c r="HH237" s="97" t="e">
        <f ca="1">'Actual Value'!M392+"AM:!.bp"</f>
        <v>#VALUE!</v>
      </c>
      <c r="HI237" s="97" t="e">
        <f ca="1">'Actual Value'!N392+"AM:!.bq"</f>
        <v>#VALUE!</v>
      </c>
      <c r="HJ237" s="97" t="e">
        <f ca="1">'Actual Value'!O392+"AM:!.br"</f>
        <v>#VALUE!</v>
      </c>
      <c r="HK237" s="97" t="e">
        <f ca="1">'Actual Value'!P392+"AM:!.bs"</f>
        <v>#VALUE!</v>
      </c>
      <c r="HL237" s="97" t="e">
        <f ca="1">'Actual Value'!Q392+"AM:!.bt"</f>
        <v>#VALUE!</v>
      </c>
      <c r="HM237" s="97" t="e">
        <f ca="1">'Actual Value'!R392+"AM:!.bu"</f>
        <v>#VALUE!</v>
      </c>
      <c r="HN237" s="97" t="e">
        <f ca="1">'Actual Value'!S392+"AM:!.bv"</f>
        <v>#VALUE!</v>
      </c>
      <c r="HO237" s="97" t="e">
        <f ca="1">'Actual Value'!T392+"AM:!.bw"</f>
        <v>#VALUE!</v>
      </c>
      <c r="HP237" s="97" t="e">
        <f ca="1">'Actual Value'!U392+"AM:!.bx"</f>
        <v>#VALUE!</v>
      </c>
      <c r="HQ237" s="97" t="e">
        <f ca="1">'Actual Value'!V392+"AM:!.by"</f>
        <v>#VALUE!</v>
      </c>
      <c r="HR237" s="97" t="e">
        <f ca="1">'Actual Value'!W392+"AM:!.bz"</f>
        <v>#VALUE!</v>
      </c>
      <c r="HS237" s="97" t="e">
        <f ca="1">'Actual Value'!X392+"AM:!.b{"</f>
        <v>#VALUE!</v>
      </c>
      <c r="HT237" s="97" t="e">
        <f ca="1">'Actual Value'!Y392+"AM:!.b|"</f>
        <v>#VALUE!</v>
      </c>
      <c r="HU237" s="97" t="e">
        <f ca="1">'Actual Value'!Z392+"AM:!.b}"</f>
        <v>#VALUE!</v>
      </c>
      <c r="HV237" s="97" t="e">
        <f ca="1">'Actual Value'!AA392+"AM:!.b~"</f>
        <v>#VALUE!</v>
      </c>
      <c r="HW237" s="97" t="e">
        <f ca="1">'Actual Value'!AB392+"AM:!.c#"</f>
        <v>#VALUE!</v>
      </c>
      <c r="HX237" s="97" t="e">
        <f ca="1">'Actual Value'!AC392+"AM:!.c$"</f>
        <v>#VALUE!</v>
      </c>
      <c r="HY237" s="97" t="e">
        <f ca="1">'Actual Value'!AD392+"AM:!.c%"</f>
        <v>#VALUE!</v>
      </c>
      <c r="HZ237" s="97" t="e">
        <f ca="1">'Actual Value'!AE392+"AM:!.c&amp;"</f>
        <v>#VALUE!</v>
      </c>
      <c r="IA237" s="97" t="e">
        <f ca="1">'Actual Value'!AF392+"AM:!.c'"</f>
        <v>#VALUE!</v>
      </c>
      <c r="IB237" s="97" t="e">
        <f ca="1">'Actual Value'!AG392+"AM:!.c("</f>
        <v>#VALUE!</v>
      </c>
      <c r="IC237" s="97" t="e">
        <f ca="1">'Actual Value'!AH392+"AM:!.c)"</f>
        <v>#VALUE!</v>
      </c>
      <c r="ID237" s="97" t="e">
        <f ca="1">'Actual Value'!AI392+"AM:!.c."</f>
        <v>#VALUE!</v>
      </c>
      <c r="IE237" s="97" t="e">
        <f ca="1">'Actual Value'!AJ392+"AM:!.c/"</f>
        <v>#VALUE!</v>
      </c>
      <c r="IF237" s="97" t="e">
        <f ca="1">'Actual Value'!AK392+"AM:!.c0"</f>
        <v>#VALUE!</v>
      </c>
      <c r="IG237" s="97" t="e">
        <f ca="1">'Actual Value'!AL392+"AM:!.c1"</f>
        <v>#VALUE!</v>
      </c>
      <c r="IH237" s="97" t="e">
        <f ca="1">'Actual Value'!AM392+"AM:!.c2"</f>
        <v>#VALUE!</v>
      </c>
      <c r="II237" s="97" t="e">
        <f ca="1">'Actual Value'!AN392+"AM:!.c3"</f>
        <v>#VALUE!</v>
      </c>
      <c r="IJ237" s="97" t="e">
        <f ca="1">'Actual Value'!AO392+"AM:!.c4"</f>
        <v>#VALUE!</v>
      </c>
      <c r="IK237" t="e">
        <f>'Actual Value'!AP392+"AM:!.c5"</f>
        <v>#VALUE!</v>
      </c>
      <c r="IL237" t="e">
        <f>'Actual Value'!AQ392+"AM:!.c6"</f>
        <v>#VALUE!</v>
      </c>
      <c r="IM237" t="e">
        <f>'Actual Value'!AR392+"AM:!.c7"</f>
        <v>#VALUE!</v>
      </c>
      <c r="IN237" t="e">
        <f>'Actual Value'!AS392+"AM:!.c8"</f>
        <v>#VALUE!</v>
      </c>
      <c r="IO237" t="e">
        <f>'Actual Value'!AT392+"AM:!.c9"</f>
        <v>#VALUE!</v>
      </c>
      <c r="IP237" t="e">
        <f>'Actual Value'!AU392+"AM:!.c:"</f>
        <v>#VALUE!</v>
      </c>
      <c r="IQ237" t="e">
        <f>'Actual Value'!AV392+"AM:!.c;"</f>
        <v>#VALUE!</v>
      </c>
      <c r="IR237" t="e">
        <f>'Actual Value'!AW392+"AM:!.c&lt;"</f>
        <v>#VALUE!</v>
      </c>
      <c r="IS237" t="e">
        <f>'Actual Value'!AX392+"AM:!.c="</f>
        <v>#VALUE!</v>
      </c>
      <c r="IT237" t="e">
        <f>'Actual Value'!AZ392+"AM:!.c&gt;"</f>
        <v>#VALUE!</v>
      </c>
      <c r="IU237" t="e">
        <f>'Actual Value'!BA392+"AM:!.c?"</f>
        <v>#VALUE!</v>
      </c>
      <c r="IV237" t="e">
        <f>'Actual Value'!A393+"AM:!.c@"</f>
        <v>#VALUE!</v>
      </c>
    </row>
    <row r="238" spans="6:256">
      <c r="F238" t="e">
        <f>'Actual Value'!B393+"AM:!.cA"</f>
        <v>#VALUE!</v>
      </c>
      <c r="G238" t="e">
        <f>'Actual Value'!C393+"AM:!.cB"</f>
        <v>#VALUE!</v>
      </c>
      <c r="H238" s="97" t="e">
        <f>'Actual Value'!D393+"AM:!.cC"</f>
        <v>#VALUE!</v>
      </c>
      <c r="I238" s="97" t="e">
        <f>'Actual Value'!E393+"AM:!.cD"</f>
        <v>#VALUE!</v>
      </c>
      <c r="J238" s="97" t="e">
        <f>'Actual Value'!F393+"AM:!.cE"</f>
        <v>#VALUE!</v>
      </c>
      <c r="K238" s="97" t="e">
        <f>'Actual Value'!G393+"AM:!.cF"</f>
        <v>#VALUE!</v>
      </c>
      <c r="L238" s="97" t="e">
        <f>'Actual Value'!H393+"AM:!.cG"</f>
        <v>#VALUE!</v>
      </c>
      <c r="M238" s="97" t="e">
        <f>'Actual Value'!I393+"AM:!.cH"</f>
        <v>#VALUE!</v>
      </c>
      <c r="N238" s="97" t="e">
        <f>'Actual Value'!J393+"AM:!.cI"</f>
        <v>#VALUE!</v>
      </c>
      <c r="O238" s="97" t="e">
        <f>'Actual Value'!K393+"AM:!.cJ"</f>
        <v>#VALUE!</v>
      </c>
      <c r="P238" s="97" t="e">
        <f>'Actual Value'!L393+"AM:!.cK"</f>
        <v>#VALUE!</v>
      </c>
      <c r="Q238" s="97" t="e">
        <f>'Actual Value'!M393+"AM:!.cL"</f>
        <v>#VALUE!</v>
      </c>
      <c r="R238" s="97" t="e">
        <f>'Actual Value'!N393+"AM:!.cM"</f>
        <v>#VALUE!</v>
      </c>
      <c r="S238" s="97" t="e">
        <f>'Actual Value'!O393+"AM:!.cN"</f>
        <v>#VALUE!</v>
      </c>
      <c r="T238" s="97" t="e">
        <f>'Actual Value'!P393+"AM:!.cO"</f>
        <v>#VALUE!</v>
      </c>
      <c r="U238" s="97" t="e">
        <f>'Actual Value'!Q393+"AM:!.cP"</f>
        <v>#VALUE!</v>
      </c>
      <c r="V238" s="97" t="e">
        <f>'Actual Value'!R393+"AM:!.cQ"</f>
        <v>#VALUE!</v>
      </c>
      <c r="W238" s="97" t="e">
        <f>'Actual Value'!S393+"AM:!.cR"</f>
        <v>#VALUE!</v>
      </c>
      <c r="X238" s="97" t="e">
        <f>'Actual Value'!T393+"AM:!.cS"</f>
        <v>#VALUE!</v>
      </c>
      <c r="Y238" s="97" t="e">
        <f>'Actual Value'!U393+"AM:!.cT"</f>
        <v>#VALUE!</v>
      </c>
      <c r="Z238" s="97" t="e">
        <f>'Actual Value'!V393+"AM:!.cU"</f>
        <v>#VALUE!</v>
      </c>
      <c r="AA238" s="97" t="e">
        <f>'Actual Value'!W393+"AM:!.cV"</f>
        <v>#VALUE!</v>
      </c>
      <c r="AB238" s="97" t="e">
        <f>'Actual Value'!X393+"AM:!.cW"</f>
        <v>#VALUE!</v>
      </c>
      <c r="AC238" s="97" t="e">
        <f>'Actual Value'!Y393+"AM:!.cX"</f>
        <v>#VALUE!</v>
      </c>
      <c r="AD238" s="97" t="e">
        <f>'Actual Value'!Z393+"AM:!.cY"</f>
        <v>#VALUE!</v>
      </c>
      <c r="AE238" s="97" t="e">
        <f>'Actual Value'!AA393+"AM:!.cZ"</f>
        <v>#VALUE!</v>
      </c>
      <c r="AF238" s="97" t="e">
        <f>'Actual Value'!AB393+"AM:!.c["</f>
        <v>#VALUE!</v>
      </c>
      <c r="AG238" s="97" t="e">
        <f>'Actual Value'!AC393+"AM:!.c\"</f>
        <v>#VALUE!</v>
      </c>
      <c r="AH238" s="97" t="e">
        <f>'Actual Value'!AD393+"AM:!.c]"</f>
        <v>#VALUE!</v>
      </c>
      <c r="AI238" s="97" t="e">
        <f>'Actual Value'!AE393+"AM:!.c^"</f>
        <v>#VALUE!</v>
      </c>
      <c r="AJ238" s="97" t="e">
        <f>'Actual Value'!AF393+"AM:!.c_"</f>
        <v>#VALUE!</v>
      </c>
      <c r="AK238" s="97" t="e">
        <f>'Actual Value'!AG393+"AM:!.c`"</f>
        <v>#VALUE!</v>
      </c>
      <c r="AL238" s="97" t="e">
        <f>'Actual Value'!AH393+"AM:!.ca"</f>
        <v>#VALUE!</v>
      </c>
      <c r="AM238" s="97" t="e">
        <f>'Actual Value'!AI393+"AM:!.cb"</f>
        <v>#VALUE!</v>
      </c>
      <c r="AN238" s="97" t="e">
        <f>'Actual Value'!AJ393+"AM:!.cc"</f>
        <v>#VALUE!</v>
      </c>
      <c r="AO238" s="97" t="e">
        <f>'Actual Value'!AK393+"AM:!.cd"</f>
        <v>#VALUE!</v>
      </c>
      <c r="AP238" s="97" t="e">
        <f>'Actual Value'!AL393+"AM:!.ce"</f>
        <v>#VALUE!</v>
      </c>
      <c r="AQ238" s="97" t="e">
        <f>'Actual Value'!AM393+"AM:!.cf"</f>
        <v>#VALUE!</v>
      </c>
      <c r="AR238" s="97" t="e">
        <f>'Actual Value'!AN393+"AM:!.cg"</f>
        <v>#VALUE!</v>
      </c>
      <c r="AS238" s="97" t="e">
        <f>'Actual Value'!AO393+"AM:!.ch"</f>
        <v>#VALUE!</v>
      </c>
      <c r="AT238" t="e">
        <f>'Actual Value'!AP393+"AM:!.ci"</f>
        <v>#VALUE!</v>
      </c>
      <c r="AU238" t="e">
        <f>'Actual Value'!AQ393+"AM:!.cj"</f>
        <v>#VALUE!</v>
      </c>
      <c r="AV238" t="e">
        <f>'Actual Value'!AR393+"AM:!.ck"</f>
        <v>#VALUE!</v>
      </c>
      <c r="AW238" t="e">
        <f>'Actual Value'!AS393+"AM:!.cl"</f>
        <v>#VALUE!</v>
      </c>
      <c r="AX238" t="e">
        <f>'Actual Value'!AT393+"AM:!.cm"</f>
        <v>#VALUE!</v>
      </c>
      <c r="AY238" t="e">
        <f>'Actual Value'!AU393+"AM:!.cn"</f>
        <v>#VALUE!</v>
      </c>
      <c r="AZ238" t="e">
        <f>'Actual Value'!AV393+"AM:!.co"</f>
        <v>#VALUE!</v>
      </c>
      <c r="BA238" t="e">
        <f>'Actual Value'!AW393+"AM:!.cp"</f>
        <v>#VALUE!</v>
      </c>
      <c r="BB238" t="e">
        <f>'Actual Value'!AX393+"AM:!.cq"</f>
        <v>#VALUE!</v>
      </c>
      <c r="BC238" t="e">
        <f>'Actual Value'!AZ393+"AM:!.cr"</f>
        <v>#VALUE!</v>
      </c>
      <c r="BD238" t="e">
        <f>'Actual Value'!BA393+"AM:!.cs"</f>
        <v>#VALUE!</v>
      </c>
      <c r="BE238" t="e">
        <f>'Actual Value'!A394+"AM:!.ct"</f>
        <v>#VALUE!</v>
      </c>
      <c r="BF238" t="e">
        <f>'Actual Value'!B394+"AM:!.cu"</f>
        <v>#VALUE!</v>
      </c>
      <c r="BG238" t="e">
        <f>'Actual Value'!C394+"AM:!.cv"</f>
        <v>#VALUE!</v>
      </c>
      <c r="BH238" s="100" t="e">
        <f>'Actual Value'!D394+"AM:!.cw"</f>
        <v>#VALUE!</v>
      </c>
      <c r="BI238" s="100" t="e">
        <f>'Actual Value'!E394+"AM:!.cx"</f>
        <v>#VALUE!</v>
      </c>
      <c r="BJ238" s="100" t="e">
        <f>'Actual Value'!F394+"AM:!.cy"</f>
        <v>#VALUE!</v>
      </c>
      <c r="BK238" s="100" t="e">
        <f>'Actual Value'!G394+"AM:!.cz"</f>
        <v>#VALUE!</v>
      </c>
      <c r="BL238" s="100" t="e">
        <f>'Actual Value'!H394+"AM:!.c{"</f>
        <v>#VALUE!</v>
      </c>
      <c r="BM238" s="100" t="e">
        <f>'Actual Value'!I394+"AM:!.c|"</f>
        <v>#VALUE!</v>
      </c>
      <c r="BN238" s="100" t="e">
        <f>'Actual Value'!J394+"AM:!.c}"</f>
        <v>#VALUE!</v>
      </c>
      <c r="BO238" s="100" t="e">
        <f>'Actual Value'!K394+"AM:!.c~"</f>
        <v>#VALUE!</v>
      </c>
      <c r="BP238" s="100" t="e">
        <f>'Actual Value'!L394+"AM:!.d#"</f>
        <v>#VALUE!</v>
      </c>
      <c r="BQ238" s="100" t="e">
        <f>'Actual Value'!M394+"AM:!.d$"</f>
        <v>#VALUE!</v>
      </c>
      <c r="BR238" s="100" t="e">
        <f>'Actual Value'!N394+"AM:!.d%"</f>
        <v>#VALUE!</v>
      </c>
      <c r="BS238" s="100" t="e">
        <f>'Actual Value'!O394+"AM:!.d&amp;"</f>
        <v>#VALUE!</v>
      </c>
      <c r="BT238" s="100" t="e">
        <f>'Actual Value'!P394+"AM:!.d'"</f>
        <v>#VALUE!</v>
      </c>
      <c r="BU238" s="100" t="e">
        <f>'Actual Value'!Q394+"AM:!.d("</f>
        <v>#VALUE!</v>
      </c>
      <c r="BV238" s="100" t="e">
        <f>'Actual Value'!R394+"AM:!.d)"</f>
        <v>#VALUE!</v>
      </c>
      <c r="BW238" s="100" t="e">
        <f>'Actual Value'!S394+"AM:!.d."</f>
        <v>#VALUE!</v>
      </c>
      <c r="BX238" s="100" t="e">
        <f>'Actual Value'!T394+"AM:!.d/"</f>
        <v>#VALUE!</v>
      </c>
      <c r="BY238" s="100" t="e">
        <f>'Actual Value'!U394+"AM:!.d0"</f>
        <v>#VALUE!</v>
      </c>
      <c r="BZ238" s="100" t="e">
        <f>'Actual Value'!V394+"AM:!.d1"</f>
        <v>#VALUE!</v>
      </c>
      <c r="CA238" s="100" t="e">
        <f>'Actual Value'!W394+"AM:!.d2"</f>
        <v>#VALUE!</v>
      </c>
      <c r="CB238" s="100" t="e">
        <f>'Actual Value'!X394+"AM:!.d3"</f>
        <v>#VALUE!</v>
      </c>
      <c r="CC238" s="100" t="e">
        <f>'Actual Value'!Y394+"AM:!.d4"</f>
        <v>#VALUE!</v>
      </c>
      <c r="CD238" s="100" t="e">
        <f>'Actual Value'!Z394+"AM:!.d5"</f>
        <v>#VALUE!</v>
      </c>
      <c r="CE238" s="100" t="e">
        <f>'Actual Value'!AA394+"AM:!.d6"</f>
        <v>#VALUE!</v>
      </c>
      <c r="CF238" s="100" t="e">
        <f>'Actual Value'!AB394+"AM:!.d7"</f>
        <v>#VALUE!</v>
      </c>
      <c r="CG238" s="100" t="e">
        <f>'Actual Value'!AC394+"AM:!.d8"</f>
        <v>#VALUE!</v>
      </c>
      <c r="CH238" s="100" t="e">
        <f>'Actual Value'!AD394+"AM:!.d9"</f>
        <v>#VALUE!</v>
      </c>
      <c r="CI238" s="100" t="e">
        <f>'Actual Value'!AE394+"AM:!.d:"</f>
        <v>#VALUE!</v>
      </c>
      <c r="CJ238" s="100" t="e">
        <f>'Actual Value'!AF394+"AM:!.d;"</f>
        <v>#VALUE!</v>
      </c>
      <c r="CK238" s="100" t="e">
        <f>'Actual Value'!AG394+"AM:!.d&lt;"</f>
        <v>#VALUE!</v>
      </c>
      <c r="CL238" s="100" t="e">
        <f>'Actual Value'!AH394+"AM:!.d="</f>
        <v>#VALUE!</v>
      </c>
      <c r="CM238" s="100" t="e">
        <f>'Actual Value'!AI394+"AM:!.d&gt;"</f>
        <v>#VALUE!</v>
      </c>
      <c r="CN238" s="100" t="e">
        <f>'Actual Value'!AJ394+"AM:!.d?"</f>
        <v>#VALUE!</v>
      </c>
      <c r="CO238" s="100" t="e">
        <f>'Actual Value'!AK394+"AM:!.d@"</f>
        <v>#VALUE!</v>
      </c>
      <c r="CP238" s="100" t="e">
        <f>'Actual Value'!AL394+"AM:!.dA"</f>
        <v>#VALUE!</v>
      </c>
      <c r="CQ238" s="100" t="e">
        <f>'Actual Value'!AM394+"AM:!.dB"</f>
        <v>#VALUE!</v>
      </c>
      <c r="CR238" s="100" t="e">
        <f>'Actual Value'!AN394+"AM:!.dC"</f>
        <v>#VALUE!</v>
      </c>
      <c r="CS238" s="100" t="e">
        <f>'Actual Value'!AO394+"AM:!.dD"</f>
        <v>#VALUE!</v>
      </c>
      <c r="CT238" t="e">
        <f>'Actual Value'!AP394+"AM:!.dE"</f>
        <v>#VALUE!</v>
      </c>
      <c r="CU238" t="e">
        <f>'Actual Value'!AQ394+"AM:!.dF"</f>
        <v>#VALUE!</v>
      </c>
      <c r="CV238" t="e">
        <f>'Actual Value'!AR394+"AM:!.dG"</f>
        <v>#VALUE!</v>
      </c>
      <c r="CW238" t="e">
        <f>'Actual Value'!AS394+"AM:!.dH"</f>
        <v>#VALUE!</v>
      </c>
      <c r="CX238" t="e">
        <f>'Actual Value'!AT394+"AM:!.dI"</f>
        <v>#VALUE!</v>
      </c>
      <c r="CY238" t="e">
        <f>'Actual Value'!AU394+"AM:!.dJ"</f>
        <v>#VALUE!</v>
      </c>
      <c r="CZ238" t="e">
        <f>'Actual Value'!AV394+"AM:!.dK"</f>
        <v>#VALUE!</v>
      </c>
      <c r="DA238" t="e">
        <f>'Actual Value'!AW394+"AM:!.dL"</f>
        <v>#VALUE!</v>
      </c>
      <c r="DB238" t="e">
        <f>'Actual Value'!AX394+"AM:!.dM"</f>
        <v>#VALUE!</v>
      </c>
      <c r="DC238" t="e">
        <f>'Actual Value'!AZ394+"AM:!.dN"</f>
        <v>#VALUE!</v>
      </c>
      <c r="DD238" t="e">
        <f>'Actual Value'!BA394+"AM:!.dO"</f>
        <v>#VALUE!</v>
      </c>
      <c r="DE238" t="e">
        <f>'Actual Value'!A395+"AM:!.dP"</f>
        <v>#VALUE!</v>
      </c>
      <c r="DF238" t="e">
        <f>'Actual Value'!B395+"AM:!.dQ"</f>
        <v>#VALUE!</v>
      </c>
      <c r="DG238" t="e">
        <f>'Actual Value'!C395+"AM:!.dR"</f>
        <v>#VALUE!</v>
      </c>
      <c r="DH238" t="e">
        <f>'Actual Value'!D395+"AM:!.dS"</f>
        <v>#VALUE!</v>
      </c>
      <c r="DI238" t="e">
        <f>'Actual Value'!E395+"AM:!.dT"</f>
        <v>#VALUE!</v>
      </c>
      <c r="DJ238" t="e">
        <f>'Actual Value'!F395+"AM:!.dU"</f>
        <v>#VALUE!</v>
      </c>
      <c r="DK238" t="e">
        <f>'Actual Value'!G395+"AM:!.dV"</f>
        <v>#VALUE!</v>
      </c>
      <c r="DL238" t="e">
        <f>'Actual Value'!H395+"AM:!.dW"</f>
        <v>#VALUE!</v>
      </c>
      <c r="DM238" t="e">
        <f>'Actual Value'!I395+"AM:!.dX"</f>
        <v>#VALUE!</v>
      </c>
      <c r="DN238" t="e">
        <f>'Actual Value'!J395+"AM:!.dY"</f>
        <v>#VALUE!</v>
      </c>
      <c r="DO238" t="e">
        <f>'Actual Value'!K395+"AM:!.dZ"</f>
        <v>#VALUE!</v>
      </c>
      <c r="DP238" t="e">
        <f>'Actual Value'!L395+"AM:!.d["</f>
        <v>#VALUE!</v>
      </c>
      <c r="DQ238" t="e">
        <f>'Actual Value'!M395+"AM:!.d\"</f>
        <v>#VALUE!</v>
      </c>
      <c r="DR238" t="e">
        <f>'Actual Value'!N395+"AM:!.d]"</f>
        <v>#VALUE!</v>
      </c>
      <c r="DS238" t="e">
        <f>'Actual Value'!O395+"AM:!.d^"</f>
        <v>#VALUE!</v>
      </c>
      <c r="DT238" t="e">
        <f>'Actual Value'!P395+"AM:!.d_"</f>
        <v>#VALUE!</v>
      </c>
      <c r="DU238" t="e">
        <f>'Actual Value'!Q395+"AM:!.d`"</f>
        <v>#VALUE!</v>
      </c>
      <c r="DV238" t="e">
        <f>'Actual Value'!R395+"AM:!.da"</f>
        <v>#VALUE!</v>
      </c>
      <c r="DW238" t="e">
        <f>'Actual Value'!S395+"AM:!.db"</f>
        <v>#VALUE!</v>
      </c>
      <c r="DX238" t="e">
        <f>'Actual Value'!T395+"AM:!.dc"</f>
        <v>#VALUE!</v>
      </c>
      <c r="DY238" t="e">
        <f>'Actual Value'!U395+"AM:!.dd"</f>
        <v>#VALUE!</v>
      </c>
      <c r="DZ238" t="e">
        <f>'Actual Value'!V395+"AM:!.de"</f>
        <v>#VALUE!</v>
      </c>
      <c r="EA238" t="e">
        <f>'Actual Value'!W395+"AM:!.df"</f>
        <v>#VALUE!</v>
      </c>
      <c r="EB238" t="e">
        <f>'Actual Value'!X395+"AM:!.dg"</f>
        <v>#VALUE!</v>
      </c>
      <c r="EC238" t="e">
        <f>'Actual Value'!Y395+"AM:!.dh"</f>
        <v>#VALUE!</v>
      </c>
      <c r="ED238" t="e">
        <f>'Actual Value'!Z395+"AM:!.di"</f>
        <v>#VALUE!</v>
      </c>
      <c r="EE238" t="e">
        <f>'Actual Value'!AA395+"AM:!.dj"</f>
        <v>#VALUE!</v>
      </c>
      <c r="EF238" t="e">
        <f>'Actual Value'!AB395+"AM:!.dk"</f>
        <v>#VALUE!</v>
      </c>
      <c r="EG238" t="e">
        <f>'Actual Value'!AC395+"AM:!.dl"</f>
        <v>#VALUE!</v>
      </c>
      <c r="EH238" t="e">
        <f>'Actual Value'!AD395+"AM:!.dm"</f>
        <v>#VALUE!</v>
      </c>
      <c r="EI238" t="e">
        <f>'Actual Value'!AE395+"AM:!.dn"</f>
        <v>#VALUE!</v>
      </c>
      <c r="EJ238" t="e">
        <f>'Actual Value'!AF395+"AM:!.do"</f>
        <v>#VALUE!</v>
      </c>
      <c r="EK238" t="e">
        <f>'Actual Value'!AG395+"AM:!.dp"</f>
        <v>#VALUE!</v>
      </c>
      <c r="EL238" t="e">
        <f>'Actual Value'!AH395+"AM:!.dq"</f>
        <v>#VALUE!</v>
      </c>
      <c r="EM238" t="e">
        <f>'Actual Value'!AI395+"AM:!.dr"</f>
        <v>#VALUE!</v>
      </c>
      <c r="EN238" t="e">
        <f>'Actual Value'!AJ395+"AM:!.ds"</f>
        <v>#VALUE!</v>
      </c>
      <c r="EO238" t="e">
        <f>'Actual Value'!AK395+"AM:!.dt"</f>
        <v>#VALUE!</v>
      </c>
      <c r="EP238" t="e">
        <f>'Actual Value'!AL395+"AM:!.du"</f>
        <v>#VALUE!</v>
      </c>
      <c r="EQ238" t="e">
        <f>'Actual Value'!AM395+"AM:!.dv"</f>
        <v>#VALUE!</v>
      </c>
      <c r="ER238" t="e">
        <f>'Actual Value'!AN395+"AM:!.dw"</f>
        <v>#VALUE!</v>
      </c>
      <c r="ES238" t="e">
        <f>'Actual Value'!AO395+"AM:!.dx"</f>
        <v>#VALUE!</v>
      </c>
      <c r="ET238" t="e">
        <f>'Actual Value'!AP395+"AM:!.dy"</f>
        <v>#VALUE!</v>
      </c>
      <c r="EU238" t="e">
        <f>'Actual Value'!AQ395+"AM:!.dz"</f>
        <v>#VALUE!</v>
      </c>
      <c r="EV238" t="e">
        <f>'Actual Value'!AR395+"AM:!.d{"</f>
        <v>#VALUE!</v>
      </c>
      <c r="EW238" t="e">
        <f>'Actual Value'!AS395+"AM:!.d|"</f>
        <v>#VALUE!</v>
      </c>
      <c r="EX238" t="e">
        <f>'Actual Value'!AT395+"AM:!.d}"</f>
        <v>#VALUE!</v>
      </c>
      <c r="EY238" t="e">
        <f>'Actual Value'!AU395+"AM:!.d~"</f>
        <v>#VALUE!</v>
      </c>
      <c r="EZ238" t="e">
        <f>'Actual Value'!AV395+"AM:!.e#"</f>
        <v>#VALUE!</v>
      </c>
      <c r="FA238" t="e">
        <f>'Actual Value'!AW395+"AM:!.e$"</f>
        <v>#VALUE!</v>
      </c>
      <c r="FB238" t="e">
        <f>'Actual Value'!AX395+"AM:!.e%"</f>
        <v>#VALUE!</v>
      </c>
      <c r="FC238" t="e">
        <f>'Actual Value'!AZ395+"AM:!.e&amp;"</f>
        <v>#VALUE!</v>
      </c>
      <c r="FD238" t="e">
        <f>'Actual Value'!BA395+"AM:!.e'"</f>
        <v>#VALUE!</v>
      </c>
      <c r="FE238" t="e">
        <f>'Actual Value'!A396+"AM:!.e("</f>
        <v>#VALUE!</v>
      </c>
      <c r="FF238" t="e">
        <f>'Actual Value'!B396+"AM:!.e)"</f>
        <v>#VALUE!</v>
      </c>
      <c r="FG238" t="e">
        <f>'Actual Value'!C396+"AM:!.e."</f>
        <v>#VALUE!</v>
      </c>
      <c r="FH238" t="e">
        <f>'Actual Value'!D396+"AM:!.e/"</f>
        <v>#VALUE!</v>
      </c>
      <c r="FI238" t="e">
        <f>'Actual Value'!E396+"AM:!.e0"</f>
        <v>#VALUE!</v>
      </c>
      <c r="FJ238" t="e">
        <f>'Actual Value'!F396+"AM:!.e1"</f>
        <v>#VALUE!</v>
      </c>
      <c r="FK238" t="e">
        <f>'Actual Value'!G396+"AM:!.e2"</f>
        <v>#VALUE!</v>
      </c>
      <c r="FL238" t="e">
        <f>'Actual Value'!H396+"AM:!.e3"</f>
        <v>#VALUE!</v>
      </c>
      <c r="FM238" t="e">
        <f>'Actual Value'!I396+"AM:!.e4"</f>
        <v>#VALUE!</v>
      </c>
      <c r="FN238" t="e">
        <f>'Actual Value'!J396+"AM:!.e5"</f>
        <v>#VALUE!</v>
      </c>
      <c r="FO238" t="e">
        <f>'Actual Value'!K396+"AM:!.e6"</f>
        <v>#VALUE!</v>
      </c>
      <c r="FP238" t="e">
        <f>'Actual Value'!L396+"AM:!.e7"</f>
        <v>#VALUE!</v>
      </c>
      <c r="FQ238" t="e">
        <f>'Actual Value'!M396+"AM:!.e8"</f>
        <v>#VALUE!</v>
      </c>
      <c r="FR238" t="e">
        <f>'Actual Value'!N396+"AM:!.e9"</f>
        <v>#VALUE!</v>
      </c>
      <c r="FS238" t="e">
        <f>'Actual Value'!O396+"AM:!.e:"</f>
        <v>#VALUE!</v>
      </c>
      <c r="FT238" t="e">
        <f>'Actual Value'!P396+"AM:!.e;"</f>
        <v>#VALUE!</v>
      </c>
      <c r="FU238" t="e">
        <f>'Actual Value'!Q396+"AM:!.e&lt;"</f>
        <v>#VALUE!</v>
      </c>
      <c r="FV238" t="e">
        <f>'Actual Value'!R396+"AM:!.e="</f>
        <v>#VALUE!</v>
      </c>
      <c r="FW238" t="e">
        <f>'Actual Value'!S396+"AM:!.e&gt;"</f>
        <v>#VALUE!</v>
      </c>
      <c r="FX238" t="e">
        <f>'Actual Value'!T396+"AM:!.e?"</f>
        <v>#VALUE!</v>
      </c>
      <c r="FY238" t="e">
        <f>'Actual Value'!U396+"AM:!.e@"</f>
        <v>#VALUE!</v>
      </c>
      <c r="FZ238" t="e">
        <f>'Actual Value'!V396+"AM:!.eA"</f>
        <v>#VALUE!</v>
      </c>
      <c r="GA238" t="e">
        <f>'Actual Value'!W396+"AM:!.eB"</f>
        <v>#VALUE!</v>
      </c>
      <c r="GB238" t="e">
        <f>'Actual Value'!X396+"AM:!.eC"</f>
        <v>#VALUE!</v>
      </c>
      <c r="GC238" t="e">
        <f>'Actual Value'!Y396+"AM:!.eD"</f>
        <v>#VALUE!</v>
      </c>
      <c r="GD238" t="e">
        <f>'Actual Value'!Z396+"AM:!.eE"</f>
        <v>#VALUE!</v>
      </c>
      <c r="GE238" t="e">
        <f>'Actual Value'!AA396+"AM:!.eF"</f>
        <v>#VALUE!</v>
      </c>
      <c r="GF238" t="e">
        <f>'Actual Value'!AB396+"AM:!.eG"</f>
        <v>#VALUE!</v>
      </c>
      <c r="GG238" t="e">
        <f>'Actual Value'!AC396+"AM:!.eH"</f>
        <v>#VALUE!</v>
      </c>
      <c r="GH238" t="e">
        <f>'Actual Value'!AD396+"AM:!.eI"</f>
        <v>#VALUE!</v>
      </c>
      <c r="GI238" t="e">
        <f>'Actual Value'!AE396+"AM:!.eJ"</f>
        <v>#VALUE!</v>
      </c>
      <c r="GJ238" t="e">
        <f>'Actual Value'!AF396+"AM:!.eK"</f>
        <v>#VALUE!</v>
      </c>
      <c r="GK238" t="e">
        <f>'Actual Value'!AG396+"AM:!.eL"</f>
        <v>#VALUE!</v>
      </c>
      <c r="GL238" t="e">
        <f>'Actual Value'!AH396+"AM:!.eM"</f>
        <v>#VALUE!</v>
      </c>
      <c r="GM238" t="e">
        <f>'Actual Value'!AI396+"AM:!.eN"</f>
        <v>#VALUE!</v>
      </c>
      <c r="GN238" t="e">
        <f>'Actual Value'!AJ396+"AM:!.eO"</f>
        <v>#VALUE!</v>
      </c>
      <c r="GO238" t="e">
        <f>'Actual Value'!AK396+"AM:!.eP"</f>
        <v>#VALUE!</v>
      </c>
      <c r="GP238" t="e">
        <f>'Actual Value'!AL396+"AM:!.eQ"</f>
        <v>#VALUE!</v>
      </c>
      <c r="GQ238" t="e">
        <f>'Actual Value'!AM396+"AM:!.eR"</f>
        <v>#VALUE!</v>
      </c>
      <c r="GR238" t="e">
        <f>'Actual Value'!AN396+"AM:!.eS"</f>
        <v>#VALUE!</v>
      </c>
      <c r="GS238" t="e">
        <f>'Actual Value'!AO396+"AM:!.eT"</f>
        <v>#VALUE!</v>
      </c>
      <c r="GT238" t="e">
        <f>'Actual Value'!AP396+"AM:!.eU"</f>
        <v>#VALUE!</v>
      </c>
      <c r="GU238" t="e">
        <f>'Actual Value'!AQ396+"AM:!.eV"</f>
        <v>#VALUE!</v>
      </c>
      <c r="GV238" t="e">
        <f>'Actual Value'!AR396+"AM:!.eW"</f>
        <v>#VALUE!</v>
      </c>
      <c r="GW238" t="e">
        <f>'Actual Value'!AS396+"AM:!.eX"</f>
        <v>#VALUE!</v>
      </c>
      <c r="GX238" t="e">
        <f>'Actual Value'!AT396+"AM:!.eY"</f>
        <v>#VALUE!</v>
      </c>
      <c r="GY238" t="e">
        <f>'Actual Value'!AU396+"AM:!.eZ"</f>
        <v>#VALUE!</v>
      </c>
      <c r="GZ238" t="e">
        <f>'Actual Value'!AV396+"AM:!.e["</f>
        <v>#VALUE!</v>
      </c>
      <c r="HA238" t="e">
        <f>'Actual Value'!AW396+"AM:!.e\"</f>
        <v>#VALUE!</v>
      </c>
      <c r="HB238" t="e">
        <f>'Actual Value'!AX396+"AM:!.e]"</f>
        <v>#VALUE!</v>
      </c>
      <c r="HC238" t="e">
        <f>'Actual Value'!AZ396+"AM:!.e^"</f>
        <v>#VALUE!</v>
      </c>
      <c r="HD238" t="e">
        <f>'Actual Value'!BA396+"AM:!.e_"</f>
        <v>#VALUE!</v>
      </c>
      <c r="HE238" t="e">
        <f>'Actual Value'!A397+"AM:!.e`"</f>
        <v>#VALUE!</v>
      </c>
      <c r="HF238" t="e">
        <f>'Actual Value'!B397+"AM:!.ea"</f>
        <v>#VALUE!</v>
      </c>
      <c r="HG238" t="e">
        <f>'Actual Value'!C397+"AM:!.eb"</f>
        <v>#VALUE!</v>
      </c>
      <c r="HH238" t="e">
        <f>'Actual Value'!D397+"AM:!.ec"</f>
        <v>#VALUE!</v>
      </c>
      <c r="HI238" t="e">
        <f>'Actual Value'!E397+"AM:!.ed"</f>
        <v>#VALUE!</v>
      </c>
      <c r="HJ238" t="e">
        <f>'Actual Value'!F397+"AM:!.ee"</f>
        <v>#VALUE!</v>
      </c>
      <c r="HK238" t="e">
        <f>'Actual Value'!G397+"AM:!.ef"</f>
        <v>#VALUE!</v>
      </c>
      <c r="HL238" t="e">
        <f>'Actual Value'!H397+"AM:!.eg"</f>
        <v>#VALUE!</v>
      </c>
      <c r="HM238" t="e">
        <f>'Actual Value'!I397+"AM:!.eh"</f>
        <v>#VALUE!</v>
      </c>
      <c r="HN238" t="e">
        <f>'Actual Value'!J397+"AM:!.ei"</f>
        <v>#VALUE!</v>
      </c>
      <c r="HO238" t="e">
        <f>'Actual Value'!K397+"AM:!.ej"</f>
        <v>#VALUE!</v>
      </c>
      <c r="HP238" t="e">
        <f>'Actual Value'!L397+"AM:!.ek"</f>
        <v>#VALUE!</v>
      </c>
      <c r="HQ238" t="e">
        <f>'Actual Value'!M397+"AM:!.el"</f>
        <v>#VALUE!</v>
      </c>
      <c r="HR238" t="e">
        <f>'Actual Value'!N397+"AM:!.em"</f>
        <v>#VALUE!</v>
      </c>
      <c r="HS238" t="e">
        <f>'Actual Value'!O397+"AM:!.en"</f>
        <v>#VALUE!</v>
      </c>
      <c r="HT238" t="e">
        <f>'Actual Value'!P397+"AM:!.eo"</f>
        <v>#VALUE!</v>
      </c>
      <c r="HU238" t="e">
        <f>'Actual Value'!Q397+"AM:!.ep"</f>
        <v>#VALUE!</v>
      </c>
      <c r="HV238" t="e">
        <f>'Actual Value'!R397+"AM:!.eq"</f>
        <v>#VALUE!</v>
      </c>
      <c r="HW238" t="e">
        <f>'Actual Value'!S397+"AM:!.er"</f>
        <v>#VALUE!</v>
      </c>
      <c r="HX238" t="e">
        <f>'Actual Value'!T397+"AM:!.es"</f>
        <v>#VALUE!</v>
      </c>
      <c r="HY238" t="e">
        <f>'Actual Value'!U397+"AM:!.et"</f>
        <v>#VALUE!</v>
      </c>
      <c r="HZ238" t="e">
        <f>'Actual Value'!V397+"AM:!.eu"</f>
        <v>#VALUE!</v>
      </c>
      <c r="IA238" t="e">
        <f>'Actual Value'!W397+"AM:!.ev"</f>
        <v>#VALUE!</v>
      </c>
      <c r="IB238" t="e">
        <f>'Actual Value'!X397+"AM:!.ew"</f>
        <v>#VALUE!</v>
      </c>
      <c r="IC238" t="e">
        <f>'Actual Value'!Y397+"AM:!.ex"</f>
        <v>#VALUE!</v>
      </c>
      <c r="ID238" t="e">
        <f>'Actual Value'!Z397+"AM:!.ey"</f>
        <v>#VALUE!</v>
      </c>
      <c r="IE238" t="e">
        <f>'Actual Value'!AA397+"AM:!.ez"</f>
        <v>#VALUE!</v>
      </c>
      <c r="IF238" t="e">
        <f>'Actual Value'!AB397+"AM:!.e{"</f>
        <v>#VALUE!</v>
      </c>
      <c r="IG238" t="e">
        <f>'Actual Value'!AC397+"AM:!.e|"</f>
        <v>#VALUE!</v>
      </c>
      <c r="IH238" t="e">
        <f>'Actual Value'!AD397+"AM:!.e}"</f>
        <v>#VALUE!</v>
      </c>
      <c r="II238" t="e">
        <f>'Actual Value'!AE397+"AM:!.e~"</f>
        <v>#VALUE!</v>
      </c>
      <c r="IJ238" t="e">
        <f>'Actual Value'!AF397+"AM:!.f#"</f>
        <v>#VALUE!</v>
      </c>
      <c r="IK238" t="e">
        <f>'Actual Value'!AG397+"AM:!.f$"</f>
        <v>#VALUE!</v>
      </c>
      <c r="IL238" t="e">
        <f>'Actual Value'!AH397+"AM:!.f%"</f>
        <v>#VALUE!</v>
      </c>
      <c r="IM238" t="e">
        <f>'Actual Value'!AI397+"AM:!.f&amp;"</f>
        <v>#VALUE!</v>
      </c>
      <c r="IN238" t="e">
        <f>'Actual Value'!AJ397+"AM:!.f'"</f>
        <v>#VALUE!</v>
      </c>
      <c r="IO238" t="e">
        <f>'Actual Value'!AK397+"AM:!.f("</f>
        <v>#VALUE!</v>
      </c>
      <c r="IP238" t="e">
        <f>'Actual Value'!AL397+"AM:!.f)"</f>
        <v>#VALUE!</v>
      </c>
      <c r="IQ238" t="e">
        <f>'Actual Value'!AM397+"AM:!.f."</f>
        <v>#VALUE!</v>
      </c>
      <c r="IR238" t="e">
        <f>'Actual Value'!AN397+"AM:!.f/"</f>
        <v>#VALUE!</v>
      </c>
      <c r="IS238" t="e">
        <f>'Actual Value'!AO397+"AM:!.f0"</f>
        <v>#VALUE!</v>
      </c>
      <c r="IT238" t="e">
        <f>'Actual Value'!AP397+"AM:!.f1"</f>
        <v>#VALUE!</v>
      </c>
      <c r="IU238" t="e">
        <f>'Actual Value'!AQ397+"AM:!.f2"</f>
        <v>#VALUE!</v>
      </c>
      <c r="IV238" t="e">
        <f>'Actual Value'!AR397+"AM:!.f3"</f>
        <v>#VALUE!</v>
      </c>
    </row>
    <row r="239" spans="6:256">
      <c r="F239" t="e">
        <f>'Actual Value'!AS397+"AM:!.f4"</f>
        <v>#VALUE!</v>
      </c>
      <c r="G239" t="e">
        <f>'Actual Value'!AT397+"AM:!.f5"</f>
        <v>#VALUE!</v>
      </c>
      <c r="H239" t="e">
        <f>'Actual Value'!AU397+"AM:!.f6"</f>
        <v>#VALUE!</v>
      </c>
      <c r="I239" t="e">
        <f>'Actual Value'!AV397+"AM:!.f7"</f>
        <v>#VALUE!</v>
      </c>
      <c r="J239" t="e">
        <f>'Actual Value'!AW397+"AM:!.f8"</f>
        <v>#VALUE!</v>
      </c>
      <c r="K239" t="e">
        <f>'Actual Value'!AX397+"AM:!.f9"</f>
        <v>#VALUE!</v>
      </c>
      <c r="L239" t="e">
        <f>'Actual Value'!AZ397+"AM:!.f:"</f>
        <v>#VALUE!</v>
      </c>
      <c r="M239" t="e">
        <f>'Actual Value'!BA397+"AM:!.f;"</f>
        <v>#VALUE!</v>
      </c>
      <c r="N239" t="e">
        <f>'Actual Value'!A398+"AM:!.f&lt;"</f>
        <v>#VALUE!</v>
      </c>
      <c r="O239" t="e">
        <f>'Actual Value'!B398+"AM:!.f="</f>
        <v>#VALUE!</v>
      </c>
      <c r="P239" t="e">
        <f>'Actual Value'!C398+"AM:!.f&gt;"</f>
        <v>#VALUE!</v>
      </c>
      <c r="Q239" t="e">
        <f>'Actual Value'!D398+"AM:!.f?"</f>
        <v>#VALUE!</v>
      </c>
      <c r="R239" t="e">
        <f>'Actual Value'!E398+"AM:!.f@"</f>
        <v>#VALUE!</v>
      </c>
      <c r="S239" t="e">
        <f>'Actual Value'!F398+"AM:!.fA"</f>
        <v>#VALUE!</v>
      </c>
      <c r="T239" t="e">
        <f>'Actual Value'!G398+"AM:!.fB"</f>
        <v>#VALUE!</v>
      </c>
      <c r="U239" t="e">
        <f>'Actual Value'!H398+"AM:!.fC"</f>
        <v>#VALUE!</v>
      </c>
      <c r="V239" t="e">
        <f>'Actual Value'!I398+"AM:!.fD"</f>
        <v>#VALUE!</v>
      </c>
      <c r="W239" t="e">
        <f>'Actual Value'!J398+"AM:!.fE"</f>
        <v>#VALUE!</v>
      </c>
      <c r="X239" t="e">
        <f>'Actual Value'!K398+"AM:!.fF"</f>
        <v>#VALUE!</v>
      </c>
      <c r="Y239" t="e">
        <f>'Actual Value'!L398+"AM:!.fG"</f>
        <v>#VALUE!</v>
      </c>
      <c r="Z239" t="e">
        <f>'Actual Value'!M398+"AM:!.fH"</f>
        <v>#VALUE!</v>
      </c>
      <c r="AA239" t="e">
        <f>'Actual Value'!N398+"AM:!.fI"</f>
        <v>#VALUE!</v>
      </c>
      <c r="AB239" t="e">
        <f>'Actual Value'!O398+"AM:!.fJ"</f>
        <v>#VALUE!</v>
      </c>
      <c r="AC239" t="e">
        <f>'Actual Value'!P398+"AM:!.fK"</f>
        <v>#VALUE!</v>
      </c>
      <c r="AD239" t="e">
        <f>'Actual Value'!Q398+"AM:!.fL"</f>
        <v>#VALUE!</v>
      </c>
      <c r="AE239" t="e">
        <f>'Actual Value'!R398+"AM:!.fM"</f>
        <v>#VALUE!</v>
      </c>
      <c r="AF239" t="e">
        <f>'Actual Value'!S398+"AM:!.fN"</f>
        <v>#VALUE!</v>
      </c>
      <c r="AG239" t="e">
        <f>'Actual Value'!T398+"AM:!.fO"</f>
        <v>#VALUE!</v>
      </c>
      <c r="AH239" t="e">
        <f>'Actual Value'!U398+"AM:!.fP"</f>
        <v>#VALUE!</v>
      </c>
      <c r="AI239" t="e">
        <f>'Actual Value'!V398+"AM:!.fQ"</f>
        <v>#VALUE!</v>
      </c>
      <c r="AJ239" t="e">
        <f>'Actual Value'!W398+"AM:!.fR"</f>
        <v>#VALUE!</v>
      </c>
      <c r="AK239" t="e">
        <f>'Actual Value'!X398+"AM:!.fS"</f>
        <v>#VALUE!</v>
      </c>
      <c r="AL239" t="e">
        <f>'Actual Value'!Y398+"AM:!.fT"</f>
        <v>#VALUE!</v>
      </c>
      <c r="AM239" t="e">
        <f>'Actual Value'!Z398+"AM:!.fU"</f>
        <v>#VALUE!</v>
      </c>
      <c r="AN239" t="e">
        <f>'Actual Value'!AA398+"AM:!.fV"</f>
        <v>#VALUE!</v>
      </c>
      <c r="AO239" t="e">
        <f>'Actual Value'!AB398+"AM:!.fW"</f>
        <v>#VALUE!</v>
      </c>
      <c r="AP239" t="e">
        <f>'Actual Value'!AC398+"AM:!.fX"</f>
        <v>#VALUE!</v>
      </c>
      <c r="AQ239" t="e">
        <f>'Actual Value'!AD398+"AM:!.fY"</f>
        <v>#VALUE!</v>
      </c>
      <c r="AR239" t="e">
        <f>'Actual Value'!AE398+"AM:!.fZ"</f>
        <v>#VALUE!</v>
      </c>
      <c r="AS239" t="e">
        <f>'Actual Value'!AF398+"AM:!.f["</f>
        <v>#VALUE!</v>
      </c>
      <c r="AT239" t="e">
        <f>'Actual Value'!AG398+"AM:!.f\"</f>
        <v>#VALUE!</v>
      </c>
      <c r="AU239" t="e">
        <f>'Actual Value'!AH398+"AM:!.f]"</f>
        <v>#VALUE!</v>
      </c>
      <c r="AV239" t="e">
        <f>'Actual Value'!AI398+"AM:!.f^"</f>
        <v>#VALUE!</v>
      </c>
      <c r="AW239" t="e">
        <f>'Actual Value'!AJ398+"AM:!.f_"</f>
        <v>#VALUE!</v>
      </c>
      <c r="AX239" t="e">
        <f>'Actual Value'!AK398+"AM:!.f`"</f>
        <v>#VALUE!</v>
      </c>
      <c r="AY239" t="e">
        <f>'Actual Value'!AL398+"AM:!.fa"</f>
        <v>#VALUE!</v>
      </c>
      <c r="AZ239" t="e">
        <f>'Actual Value'!AM398+"AM:!.fb"</f>
        <v>#VALUE!</v>
      </c>
      <c r="BA239" t="e">
        <f>'Actual Value'!AN398+"AM:!.fc"</f>
        <v>#VALUE!</v>
      </c>
      <c r="BB239" t="e">
        <f>'Actual Value'!AO398+"AM:!.fd"</f>
        <v>#VALUE!</v>
      </c>
      <c r="BC239" t="e">
        <f>'Actual Value'!AP398+"AM:!.fe"</f>
        <v>#VALUE!</v>
      </c>
      <c r="BD239" t="e">
        <f>'Actual Value'!AQ398+"AM:!.ff"</f>
        <v>#VALUE!</v>
      </c>
      <c r="BE239" t="e">
        <f>'Actual Value'!AR398+"AM:!.fg"</f>
        <v>#VALUE!</v>
      </c>
      <c r="BF239" t="e">
        <f>'Actual Value'!AS398+"AM:!.fh"</f>
        <v>#VALUE!</v>
      </c>
      <c r="BG239" t="e">
        <f>'Actual Value'!AT398+"AM:!.fi"</f>
        <v>#VALUE!</v>
      </c>
      <c r="BH239" t="e">
        <f>'Actual Value'!AU398+"AM:!.fj"</f>
        <v>#VALUE!</v>
      </c>
      <c r="BI239" t="e">
        <f>'Actual Value'!AV398+"AM:!.fk"</f>
        <v>#VALUE!</v>
      </c>
      <c r="BJ239" t="e">
        <f>'Actual Value'!AX398+"AM:!.fl"</f>
        <v>#VALUE!</v>
      </c>
      <c r="BK239" t="e">
        <f>'Actual Value'!AY398+"AM:!.fm"</f>
        <v>#VALUE!</v>
      </c>
      <c r="BL239" t="e">
        <f>'Actual Value'!AZ398+"AM:!.fn"</f>
        <v>#VALUE!</v>
      </c>
      <c r="BM239" t="e">
        <f>'Actual Value'!A399+"AM:!.fo"</f>
        <v>#VALUE!</v>
      </c>
      <c r="BN239" t="e">
        <f>'Actual Value'!B399+"AM:!.fp"</f>
        <v>#VALUE!</v>
      </c>
      <c r="BO239" t="e">
        <f>'Actual Value'!C399+"AM:!.fq"</f>
        <v>#VALUE!</v>
      </c>
      <c r="BP239" t="e">
        <f>'Actual Value'!D399+"AM:!.fr"</f>
        <v>#VALUE!</v>
      </c>
      <c r="BQ239" t="e">
        <f>'Actual Value'!E399+"AM:!.fs"</f>
        <v>#VALUE!</v>
      </c>
      <c r="BR239" t="e">
        <f>'Actual Value'!F399+"AM:!.ft"</f>
        <v>#VALUE!</v>
      </c>
      <c r="BS239" t="e">
        <f>'Actual Value'!G399+"AM:!.fu"</f>
        <v>#VALUE!</v>
      </c>
      <c r="BT239" t="e">
        <f>'Actual Value'!H399+"AM:!.fv"</f>
        <v>#VALUE!</v>
      </c>
      <c r="BU239" t="e">
        <f>'Actual Value'!I399+"AM:!.fw"</f>
        <v>#VALUE!</v>
      </c>
      <c r="BV239" t="e">
        <f>'Actual Value'!J399+"AM:!.fx"</f>
        <v>#VALUE!</v>
      </c>
      <c r="BW239" t="e">
        <f>'Actual Value'!K399+"AM:!.fy"</f>
        <v>#VALUE!</v>
      </c>
      <c r="BX239" t="e">
        <f>'Actual Value'!L399+"AM:!.fz"</f>
        <v>#VALUE!</v>
      </c>
      <c r="BY239" t="e">
        <f>'Actual Value'!M399+"AM:!.f{"</f>
        <v>#VALUE!</v>
      </c>
      <c r="BZ239" t="e">
        <f>'Actual Value'!N399+"AM:!.f|"</f>
        <v>#VALUE!</v>
      </c>
      <c r="CA239" t="e">
        <f>'Actual Value'!O399+"AM:!.f}"</f>
        <v>#VALUE!</v>
      </c>
      <c r="CB239" t="e">
        <f>'Actual Value'!P399+"AM:!.f~"</f>
        <v>#VALUE!</v>
      </c>
      <c r="CC239" t="e">
        <f>'Actual Value'!Q399+"AM:!.g#"</f>
        <v>#VALUE!</v>
      </c>
      <c r="CD239" t="e">
        <f>'Actual Value'!R399+"AM:!.g$"</f>
        <v>#VALUE!</v>
      </c>
      <c r="CE239" t="e">
        <f>'Actual Value'!S399+"AM:!.g%"</f>
        <v>#VALUE!</v>
      </c>
      <c r="CF239" t="e">
        <f>'Actual Value'!T399+"AM:!.g&amp;"</f>
        <v>#VALUE!</v>
      </c>
      <c r="CG239" t="e">
        <f>'Actual Value'!U399+"AM:!.g'"</f>
        <v>#VALUE!</v>
      </c>
      <c r="CH239" t="e">
        <f>'Actual Value'!V399+"AM:!.g("</f>
        <v>#VALUE!</v>
      </c>
      <c r="CI239" t="e">
        <f>'Actual Value'!W399+"AM:!.g)"</f>
        <v>#VALUE!</v>
      </c>
      <c r="CJ239" t="e">
        <f>'Actual Value'!X399+"AM:!.g."</f>
        <v>#VALUE!</v>
      </c>
      <c r="CK239" t="e">
        <f>'Actual Value'!Y399+"AM:!.g/"</f>
        <v>#VALUE!</v>
      </c>
      <c r="CL239" t="e">
        <f>'Actual Value'!Z399+"AM:!.g0"</f>
        <v>#VALUE!</v>
      </c>
      <c r="CM239" t="e">
        <f>'Actual Value'!AA399+"AM:!.g1"</f>
        <v>#VALUE!</v>
      </c>
      <c r="CN239" t="e">
        <f>'Actual Value'!AB399+"AM:!.g2"</f>
        <v>#VALUE!</v>
      </c>
      <c r="CO239" t="e">
        <f>'Actual Value'!AC399+"AM:!.g3"</f>
        <v>#VALUE!</v>
      </c>
      <c r="CP239" t="e">
        <f>'Actual Value'!AD399+"AM:!.g4"</f>
        <v>#VALUE!</v>
      </c>
      <c r="CQ239" t="e">
        <f>'Actual Value'!AE399+"AM:!.g5"</f>
        <v>#VALUE!</v>
      </c>
      <c r="CR239" t="e">
        <f>'Actual Value'!AF399+"AM:!.g6"</f>
        <v>#VALUE!</v>
      </c>
      <c r="CS239" t="e">
        <f>'Actual Value'!AG399+"AM:!.g7"</f>
        <v>#VALUE!</v>
      </c>
      <c r="CT239" t="e">
        <f>'Actual Value'!AH399+"AM:!.g8"</f>
        <v>#VALUE!</v>
      </c>
      <c r="CU239" t="e">
        <f>'Actual Value'!AI399+"AM:!.g9"</f>
        <v>#VALUE!</v>
      </c>
      <c r="CV239" t="e">
        <f>'Actual Value'!AJ399+"AM:!.g:"</f>
        <v>#VALUE!</v>
      </c>
      <c r="CW239" t="e">
        <f>'Actual Value'!AK399+"AM:!.g;"</f>
        <v>#VALUE!</v>
      </c>
      <c r="CX239" t="e">
        <f>'Actual Value'!AL399+"AM:!.g&lt;"</f>
        <v>#VALUE!</v>
      </c>
      <c r="CY239" t="e">
        <f>'Actual Value'!AM399+"AM:!.g="</f>
        <v>#VALUE!</v>
      </c>
      <c r="CZ239" t="e">
        <f>'Actual Value'!AN399+"AM:!.g&gt;"</f>
        <v>#VALUE!</v>
      </c>
      <c r="DA239" t="e">
        <f>'Actual Value'!AO399+"AM:!.g?"</f>
        <v>#VALUE!</v>
      </c>
      <c r="DB239" t="e">
        <f>'Actual Value'!AP399+"AM:!.g@"</f>
        <v>#VALUE!</v>
      </c>
      <c r="DC239" t="e">
        <f>'Actual Value'!AQ399+"AM:!.gA"</f>
        <v>#VALUE!</v>
      </c>
      <c r="DD239" t="e">
        <f>'Actual Value'!AR399+"AM:!.gB"</f>
        <v>#VALUE!</v>
      </c>
      <c r="DE239" t="e">
        <f>'Actual Value'!AS399+"AM:!.gC"</f>
        <v>#VALUE!</v>
      </c>
      <c r="DF239" t="e">
        <f>'Actual Value'!AT399+"AM:!.gD"</f>
        <v>#VALUE!</v>
      </c>
      <c r="DG239" t="e">
        <f>'Actual Value'!AU399+"AM:!.gE"</f>
        <v>#VALUE!</v>
      </c>
      <c r="DH239" t="e">
        <f>'Actual Value'!AV399+"AM:!.gF"</f>
        <v>#VALUE!</v>
      </c>
      <c r="DI239" t="e">
        <f>'Actual Value'!AX399+"AM:!.gG"</f>
        <v>#VALUE!</v>
      </c>
      <c r="DJ239" t="e">
        <f>'Actual Value'!AY399+"AM:!.gH"</f>
        <v>#VALUE!</v>
      </c>
      <c r="DK239" t="e">
        <f>'Actual Value'!AZ399+"AM:!.gI"</f>
        <v>#VALUE!</v>
      </c>
      <c r="DL239" t="e">
        <f>'Actual Value'!A400+"AM:!.gJ"</f>
        <v>#VALUE!</v>
      </c>
      <c r="DM239" t="e">
        <f>'Actual Value'!B400+"AM:!.gK"</f>
        <v>#VALUE!</v>
      </c>
      <c r="DN239" t="e">
        <f>'Actual Value'!C400+"AM:!.gL"</f>
        <v>#VALUE!</v>
      </c>
      <c r="DO239" t="e">
        <f>'Actual Value'!D400+"AM:!.gM"</f>
        <v>#VALUE!</v>
      </c>
      <c r="DP239" t="e">
        <f>'Actual Value'!E400+"AM:!.gN"</f>
        <v>#VALUE!</v>
      </c>
      <c r="DQ239" t="e">
        <f>'Actual Value'!F400+"AM:!.gO"</f>
        <v>#VALUE!</v>
      </c>
      <c r="DR239" t="e">
        <f>'Actual Value'!G400+"AM:!.gP"</f>
        <v>#VALUE!</v>
      </c>
      <c r="DS239" t="e">
        <f>'Actual Value'!H400+"AM:!.gQ"</f>
        <v>#VALUE!</v>
      </c>
      <c r="DT239" t="e">
        <f>'Actual Value'!I400+"AM:!.gR"</f>
        <v>#VALUE!</v>
      </c>
      <c r="DU239" t="e">
        <f>'Actual Value'!J400+"AM:!.gS"</f>
        <v>#VALUE!</v>
      </c>
      <c r="DV239" t="e">
        <f>'Actual Value'!K400+"AM:!.gT"</f>
        <v>#VALUE!</v>
      </c>
      <c r="DW239" t="e">
        <f>'Actual Value'!L400+"AM:!.gU"</f>
        <v>#VALUE!</v>
      </c>
      <c r="DX239" t="e">
        <f>'Actual Value'!M400+"AM:!.gV"</f>
        <v>#VALUE!</v>
      </c>
      <c r="DY239" t="e">
        <f>'Actual Value'!N400+"AM:!.gW"</f>
        <v>#VALUE!</v>
      </c>
      <c r="DZ239" t="e">
        <f>'Actual Value'!O400+"AM:!.gX"</f>
        <v>#VALUE!</v>
      </c>
      <c r="EA239" t="e">
        <f>'Actual Value'!P400+"AM:!.gY"</f>
        <v>#VALUE!</v>
      </c>
      <c r="EB239" t="e">
        <f>'Actual Value'!Q400+"AM:!.gZ"</f>
        <v>#VALUE!</v>
      </c>
      <c r="EC239" t="e">
        <f>'Actual Value'!R400+"AM:!.g["</f>
        <v>#VALUE!</v>
      </c>
      <c r="ED239" t="e">
        <f>'Actual Value'!S400+"AM:!.g\"</f>
        <v>#VALUE!</v>
      </c>
      <c r="EE239" t="e">
        <f>'Actual Value'!T400+"AM:!.g]"</f>
        <v>#VALUE!</v>
      </c>
      <c r="EF239" t="e">
        <f>'Actual Value'!U400+"AM:!.g^"</f>
        <v>#VALUE!</v>
      </c>
      <c r="EG239" t="e">
        <f>'Actual Value'!V400+"AM:!.g_"</f>
        <v>#VALUE!</v>
      </c>
      <c r="EH239" t="e">
        <f>'Actual Value'!W400+"AM:!.g`"</f>
        <v>#VALUE!</v>
      </c>
      <c r="EI239" t="e">
        <f>'Actual Value'!X400+"AM:!.ga"</f>
        <v>#VALUE!</v>
      </c>
      <c r="EJ239" t="e">
        <f>'Actual Value'!Y400+"AM:!.gb"</f>
        <v>#VALUE!</v>
      </c>
      <c r="EK239" t="e">
        <f>'Actual Value'!Z400+"AM:!.gc"</f>
        <v>#VALUE!</v>
      </c>
      <c r="EL239" t="e">
        <f>'Actual Value'!AA400+"AM:!.gd"</f>
        <v>#VALUE!</v>
      </c>
      <c r="EM239" t="e">
        <f>'Actual Value'!AB400+"AM:!.ge"</f>
        <v>#VALUE!</v>
      </c>
      <c r="EN239" t="e">
        <f>'Actual Value'!AC400+"AM:!.gf"</f>
        <v>#VALUE!</v>
      </c>
      <c r="EO239" t="e">
        <f>'Actual Value'!AD400+"AM:!.gg"</f>
        <v>#VALUE!</v>
      </c>
      <c r="EP239" t="e">
        <f>'Actual Value'!AE400+"AM:!.gh"</f>
        <v>#VALUE!</v>
      </c>
      <c r="EQ239" t="e">
        <f>'Actual Value'!AF400+"AM:!.gi"</f>
        <v>#VALUE!</v>
      </c>
      <c r="ER239" t="e">
        <f>'Actual Value'!AG400+"AM:!.gj"</f>
        <v>#VALUE!</v>
      </c>
      <c r="ES239" t="e">
        <f>'Actual Value'!AH400+"AM:!.gk"</f>
        <v>#VALUE!</v>
      </c>
      <c r="ET239" t="e">
        <f>'Actual Value'!AI400+"AM:!.gl"</f>
        <v>#VALUE!</v>
      </c>
      <c r="EU239" t="e">
        <f>'Actual Value'!AJ400+"AM:!.gm"</f>
        <v>#VALUE!</v>
      </c>
      <c r="EV239" t="e">
        <f>'Actual Value'!AK400+"AM:!.gn"</f>
        <v>#VALUE!</v>
      </c>
      <c r="EW239" t="e">
        <f>'Actual Value'!AL400+"AM:!.go"</f>
        <v>#VALUE!</v>
      </c>
      <c r="EX239" t="e">
        <f>'Actual Value'!AM400+"AM:!.gp"</f>
        <v>#VALUE!</v>
      </c>
      <c r="EY239" t="e">
        <f>'Actual Value'!AN400+"AM:!.gq"</f>
        <v>#VALUE!</v>
      </c>
      <c r="EZ239" t="e">
        <f>'Actual Value'!AO400+"AM:!.gr"</f>
        <v>#VALUE!</v>
      </c>
      <c r="FA239" t="e">
        <f>'Actual Value'!AP400+"AM:!.gs"</f>
        <v>#VALUE!</v>
      </c>
      <c r="FB239" t="e">
        <f>'Actual Value'!AQ400+"AM:!.gt"</f>
        <v>#VALUE!</v>
      </c>
      <c r="FC239" t="e">
        <f>'Actual Value'!AR400+"AM:!.gu"</f>
        <v>#VALUE!</v>
      </c>
      <c r="FD239" t="e">
        <f>'Actual Value'!AS400+"AM:!.gv"</f>
        <v>#VALUE!</v>
      </c>
      <c r="FE239" t="e">
        <f>'Actual Value'!AT400+"AM:!.gw"</f>
        <v>#VALUE!</v>
      </c>
      <c r="FF239" t="e">
        <f>'Actual Value'!AU400+"AM:!.gx"</f>
        <v>#VALUE!</v>
      </c>
      <c r="FG239" t="e">
        <f>'Actual Value'!AV400+"AM:!.gy"</f>
        <v>#VALUE!</v>
      </c>
      <c r="FH239" t="e">
        <f>'Actual Value'!AX400+"AM:!.gz"</f>
        <v>#VALUE!</v>
      </c>
      <c r="FI239" t="e">
        <f>'Actual Value'!AY400+"AM:!.g{"</f>
        <v>#VALUE!</v>
      </c>
      <c r="FJ239" t="e">
        <f>'Actual Value'!AZ400+"AM:!.g|"</f>
        <v>#VALUE!</v>
      </c>
      <c r="FK239" t="e">
        <f>'Actual Value'!A401+"AM:!.g}"</f>
        <v>#VALUE!</v>
      </c>
      <c r="FL239" t="e">
        <f>'Actual Value'!B401+"AM:!.g~"</f>
        <v>#VALUE!</v>
      </c>
      <c r="FM239" t="e">
        <f>'Actual Value'!C401+"AM:!.h#"</f>
        <v>#VALUE!</v>
      </c>
      <c r="FN239" t="e">
        <f>'Actual Value'!D401+"AM:!.h$"</f>
        <v>#VALUE!</v>
      </c>
      <c r="FO239" t="e">
        <f ca="1">'Actual Value'!E401+"AM:!.h%"</f>
        <v>#VALUE!</v>
      </c>
      <c r="FP239" t="e">
        <f>'Actual Value'!F401+"AM:!.h&amp;"</f>
        <v>#VALUE!</v>
      </c>
      <c r="FQ239" t="e">
        <f>'Actual Value'!G401+"AM:!.h'"</f>
        <v>#VALUE!</v>
      </c>
      <c r="FR239" t="e">
        <f>'Actual Value'!H401+"AM:!.h("</f>
        <v>#VALUE!</v>
      </c>
      <c r="FS239" t="e">
        <f>'Actual Value'!I401+"AM:!.h)"</f>
        <v>#VALUE!</v>
      </c>
      <c r="FT239" t="e">
        <f>'Actual Value'!J401+"AM:!.h."</f>
        <v>#VALUE!</v>
      </c>
      <c r="FU239" t="e">
        <f>'Actual Value'!K401+"AM:!.h/"</f>
        <v>#VALUE!</v>
      </c>
      <c r="FV239" t="e">
        <f>'Actual Value'!L401+"AM:!.h0"</f>
        <v>#VALUE!</v>
      </c>
      <c r="FW239" t="e">
        <f>'Actual Value'!M401+"AM:!.h1"</f>
        <v>#VALUE!</v>
      </c>
      <c r="FX239" t="e">
        <f>'Actual Value'!N401+"AM:!.h2"</f>
        <v>#VALUE!</v>
      </c>
      <c r="FY239" t="e">
        <f>'Actual Value'!O401+"AM:!.h3"</f>
        <v>#VALUE!</v>
      </c>
      <c r="FZ239" t="e">
        <f>'Actual Value'!P401+"AM:!.h4"</f>
        <v>#VALUE!</v>
      </c>
      <c r="GA239" t="e">
        <f>'Actual Value'!Q401+"AM:!.h5"</f>
        <v>#VALUE!</v>
      </c>
      <c r="GB239" t="e">
        <f>'Actual Value'!R401+"AM:!.h6"</f>
        <v>#VALUE!</v>
      </c>
      <c r="GC239" t="e">
        <f>'Actual Value'!S401+"AM:!.h7"</f>
        <v>#VALUE!</v>
      </c>
      <c r="GD239" t="e">
        <f>'Actual Value'!T401+"AM:!.h8"</f>
        <v>#VALUE!</v>
      </c>
      <c r="GE239" t="e">
        <f>'Actual Value'!U401+"AM:!.h9"</f>
        <v>#VALUE!</v>
      </c>
      <c r="GF239" t="e">
        <f>'Actual Value'!V401+"AM:!.h:"</f>
        <v>#VALUE!</v>
      </c>
      <c r="GG239" t="e">
        <f>'Actual Value'!W401+"AM:!.h;"</f>
        <v>#VALUE!</v>
      </c>
      <c r="GH239" t="e">
        <f>'Actual Value'!X401+"AM:!.h&lt;"</f>
        <v>#VALUE!</v>
      </c>
      <c r="GI239" t="e">
        <f>'Actual Value'!Y401+"AM:!.h="</f>
        <v>#VALUE!</v>
      </c>
      <c r="GJ239" t="e">
        <f>'Actual Value'!Z401+"AM:!.h&gt;"</f>
        <v>#VALUE!</v>
      </c>
      <c r="GK239" t="e">
        <f>'Actual Value'!AA401+"AM:!.h?"</f>
        <v>#VALUE!</v>
      </c>
      <c r="GL239" t="e">
        <f>'Actual Value'!AB401+"AM:!.h@"</f>
        <v>#VALUE!</v>
      </c>
      <c r="GM239" t="e">
        <f>'Actual Value'!AC401+"AM:!.hA"</f>
        <v>#VALUE!</v>
      </c>
      <c r="GN239" t="e">
        <f>'Actual Value'!AD401+"AM:!.hB"</f>
        <v>#VALUE!</v>
      </c>
      <c r="GO239" t="e">
        <f>'Actual Value'!AE401+"AM:!.hC"</f>
        <v>#VALUE!</v>
      </c>
      <c r="GP239" t="e">
        <f>'Actual Value'!AF401+"AM:!.hD"</f>
        <v>#VALUE!</v>
      </c>
      <c r="GQ239" t="e">
        <f>'Actual Value'!AG401+"AM:!.hE"</f>
        <v>#VALUE!</v>
      </c>
      <c r="GR239" t="e">
        <f>'Actual Value'!AH401+"AM:!.hF"</f>
        <v>#VALUE!</v>
      </c>
      <c r="GS239" t="e">
        <f>'Actual Value'!AI401+"AM:!.hG"</f>
        <v>#VALUE!</v>
      </c>
      <c r="GT239" t="e">
        <f>'Actual Value'!AJ401+"AM:!.hH"</f>
        <v>#VALUE!</v>
      </c>
      <c r="GU239" t="e">
        <f>'Actual Value'!AK401+"AM:!.hI"</f>
        <v>#VALUE!</v>
      </c>
      <c r="GV239" t="e">
        <f>'Actual Value'!AL401+"AM:!.hJ"</f>
        <v>#VALUE!</v>
      </c>
      <c r="GW239" t="e">
        <f>'Actual Value'!AM401+"AM:!.hK"</f>
        <v>#VALUE!</v>
      </c>
      <c r="GX239" t="e">
        <f>'Actual Value'!AN401+"AM:!.hL"</f>
        <v>#VALUE!</v>
      </c>
      <c r="GY239" t="e">
        <f>'Actual Value'!AO401+"AM:!.hM"</f>
        <v>#VALUE!</v>
      </c>
      <c r="GZ239" t="e">
        <f>'Actual Value'!AP401+"AM:!.hN"</f>
        <v>#VALUE!</v>
      </c>
      <c r="HA239" t="e">
        <f>'Actual Value'!AQ401+"AM:!.hO"</f>
        <v>#VALUE!</v>
      </c>
      <c r="HB239" t="e">
        <f>'Actual Value'!AR401+"AM:!.hP"</f>
        <v>#VALUE!</v>
      </c>
      <c r="HC239" t="e">
        <f>'Actual Value'!AS401+"AM:!.hQ"</f>
        <v>#VALUE!</v>
      </c>
      <c r="HD239" t="e">
        <f>'Actual Value'!AT401+"AM:!.hR"</f>
        <v>#VALUE!</v>
      </c>
      <c r="HE239" t="e">
        <f>'Actual Value'!AU401+"AM:!.hS"</f>
        <v>#VALUE!</v>
      </c>
      <c r="HF239" t="e">
        <f>'Actual Value'!AV401+"AM:!.hT"</f>
        <v>#VALUE!</v>
      </c>
      <c r="HG239" t="e">
        <f>'Actual Value'!AX401+"AM:!.hU"</f>
        <v>#VALUE!</v>
      </c>
      <c r="HH239" t="e">
        <f>'Actual Value'!AY401+"AM:!.hV"</f>
        <v>#VALUE!</v>
      </c>
      <c r="HI239" t="e">
        <f>'Actual Value'!AZ401+"AM:!.hW"</f>
        <v>#VALUE!</v>
      </c>
      <c r="HJ239" t="e">
        <f>'Actual Value'!A402+"AM:!.hX"</f>
        <v>#VALUE!</v>
      </c>
      <c r="HK239" t="e">
        <f>'Actual Value'!B402+"AM:!.hY"</f>
        <v>#VALUE!</v>
      </c>
      <c r="HL239" t="e">
        <f>'Actual Value'!C402+"AM:!.hZ"</f>
        <v>#VALUE!</v>
      </c>
      <c r="HM239" t="e">
        <f>'Actual Value'!D402+"AM:!.h["</f>
        <v>#VALUE!</v>
      </c>
      <c r="HN239" t="e">
        <f>'Actual Value'!E402+"AM:!.h\"</f>
        <v>#VALUE!</v>
      </c>
      <c r="HO239" t="e">
        <f>'Actual Value'!F402+"AM:!.h]"</f>
        <v>#VALUE!</v>
      </c>
      <c r="HP239" t="e">
        <f>'Actual Value'!G402+"AM:!.h^"</f>
        <v>#VALUE!</v>
      </c>
      <c r="HQ239" t="e">
        <f>'Actual Value'!H402+"AM:!.h_"</f>
        <v>#VALUE!</v>
      </c>
      <c r="HR239" t="e">
        <f>'Actual Value'!I402+"AM:!.h`"</f>
        <v>#VALUE!</v>
      </c>
      <c r="HS239" t="e">
        <f>'Actual Value'!J402+"AM:!.ha"</f>
        <v>#VALUE!</v>
      </c>
      <c r="HT239" t="e">
        <f>'Actual Value'!K402+"AM:!.hb"</f>
        <v>#VALUE!</v>
      </c>
      <c r="HU239" t="e">
        <f>'Actual Value'!L402+"AM:!.hc"</f>
        <v>#VALUE!</v>
      </c>
      <c r="HV239" t="e">
        <f>'Actual Value'!M402+"AM:!.hd"</f>
        <v>#VALUE!</v>
      </c>
      <c r="HW239" t="e">
        <f>'Actual Value'!N402+"AM:!.he"</f>
        <v>#VALUE!</v>
      </c>
      <c r="HX239" t="e">
        <f>'Actual Value'!O402+"AM:!.hf"</f>
        <v>#VALUE!</v>
      </c>
      <c r="HY239" t="e">
        <f>'Actual Value'!P402+"AM:!.hg"</f>
        <v>#VALUE!</v>
      </c>
      <c r="HZ239" t="e">
        <f>'Actual Value'!Q402+"AM:!.hh"</f>
        <v>#VALUE!</v>
      </c>
      <c r="IA239" t="e">
        <f>'Actual Value'!R402+"AM:!.hi"</f>
        <v>#VALUE!</v>
      </c>
      <c r="IB239" t="e">
        <f>'Actual Value'!S402+"AM:!.hj"</f>
        <v>#VALUE!</v>
      </c>
      <c r="IC239" t="e">
        <f>'Actual Value'!T402+"AM:!.hk"</f>
        <v>#VALUE!</v>
      </c>
      <c r="ID239" t="e">
        <f>'Actual Value'!U402+"AM:!.hl"</f>
        <v>#VALUE!</v>
      </c>
      <c r="IE239" t="e">
        <f>'Actual Value'!V402+"AM:!.hm"</f>
        <v>#VALUE!</v>
      </c>
      <c r="IF239" t="e">
        <f>'Actual Value'!W402+"AM:!.hn"</f>
        <v>#VALUE!</v>
      </c>
      <c r="IG239" t="e">
        <f>'Actual Value'!X402+"AM:!.ho"</f>
        <v>#VALUE!</v>
      </c>
      <c r="IH239" t="e">
        <f>'Actual Value'!Y402+"AM:!.hp"</f>
        <v>#VALUE!</v>
      </c>
      <c r="II239" t="e">
        <f>'Actual Value'!Z402+"AM:!.hq"</f>
        <v>#VALUE!</v>
      </c>
      <c r="IJ239" t="e">
        <f>'Actual Value'!AA402+"AM:!.hr"</f>
        <v>#VALUE!</v>
      </c>
      <c r="IK239" t="e">
        <f>'Actual Value'!AB402+"AM:!.hs"</f>
        <v>#VALUE!</v>
      </c>
      <c r="IL239" t="e">
        <f>'Actual Value'!AC402+"AM:!.ht"</f>
        <v>#VALUE!</v>
      </c>
      <c r="IM239" t="e">
        <f>'Actual Value'!AD402+"AM:!.hu"</f>
        <v>#VALUE!</v>
      </c>
      <c r="IN239" t="e">
        <f>'Actual Value'!AE402+"AM:!.hv"</f>
        <v>#VALUE!</v>
      </c>
      <c r="IO239" t="e">
        <f>'Actual Value'!AF402+"AM:!.hw"</f>
        <v>#VALUE!</v>
      </c>
      <c r="IP239" t="e">
        <f>'Actual Value'!AG402+"AM:!.hx"</f>
        <v>#VALUE!</v>
      </c>
      <c r="IQ239" t="e">
        <f>'Actual Value'!AH402+"AM:!.hy"</f>
        <v>#VALUE!</v>
      </c>
      <c r="IR239" t="e">
        <f>'Actual Value'!AI402+"AM:!.hz"</f>
        <v>#VALUE!</v>
      </c>
      <c r="IS239" t="e">
        <f>'Actual Value'!AJ402+"AM:!.h{"</f>
        <v>#VALUE!</v>
      </c>
      <c r="IT239" t="e">
        <f>'Actual Value'!AK402+"AM:!.h|"</f>
        <v>#VALUE!</v>
      </c>
      <c r="IU239" t="e">
        <f>'Actual Value'!AL402+"AM:!.h}"</f>
        <v>#VALUE!</v>
      </c>
      <c r="IV239" t="e">
        <f>'Actual Value'!AM402+"AM:!.h~"</f>
        <v>#VALUE!</v>
      </c>
    </row>
    <row r="240" spans="6:256">
      <c r="F240" t="e">
        <f>'Actual Value'!AN402+"AM:!.i#"</f>
        <v>#VALUE!</v>
      </c>
      <c r="G240" t="e">
        <f>'Actual Value'!AO402+"AM:!.i$"</f>
        <v>#VALUE!</v>
      </c>
      <c r="H240" t="e">
        <f>'Actual Value'!AP402+"AM:!.i%"</f>
        <v>#VALUE!</v>
      </c>
      <c r="I240" t="e">
        <f>'Actual Value'!AQ402+"AM:!.i&amp;"</f>
        <v>#VALUE!</v>
      </c>
      <c r="J240" t="e">
        <f>'Actual Value'!AR402+"AM:!.i'"</f>
        <v>#VALUE!</v>
      </c>
      <c r="K240" t="e">
        <f>'Actual Value'!AS402+"AM:!.i("</f>
        <v>#VALUE!</v>
      </c>
      <c r="L240" t="e">
        <f>'Actual Value'!AT402+"AM:!.i)"</f>
        <v>#VALUE!</v>
      </c>
      <c r="M240" t="e">
        <f>'Actual Value'!AU402+"AM:!.i."</f>
        <v>#VALUE!</v>
      </c>
      <c r="N240" t="e">
        <f>'Actual Value'!AV402+"AM:!.i/"</f>
        <v>#VALUE!</v>
      </c>
      <c r="O240" t="e">
        <f>'Actual Value'!AX402+"AM:!.i0"</f>
        <v>#VALUE!</v>
      </c>
      <c r="P240" t="e">
        <f>'Actual Value'!AY402+"AM:!.i1"</f>
        <v>#VALUE!</v>
      </c>
      <c r="Q240" t="e">
        <f>'Actual Value'!AZ402+"AM:!.i2"</f>
        <v>#VALUE!</v>
      </c>
      <c r="R240" t="e">
        <f>'Actual Value'!A403+"AM:!.i3"</f>
        <v>#VALUE!</v>
      </c>
      <c r="S240" t="e">
        <f>'Actual Value'!B403+"AM:!.i4"</f>
        <v>#VALUE!</v>
      </c>
      <c r="T240" t="e">
        <f>'Actual Value'!C403+"AM:!.i5"</f>
        <v>#VALUE!</v>
      </c>
      <c r="U240" t="e">
        <f ca="1">'Actual Value'!D403+"AM:!.i6"</f>
        <v>#VALUE!</v>
      </c>
      <c r="V240" t="e">
        <f>'Actual Value'!E403+"AM:!.i7"</f>
        <v>#VALUE!</v>
      </c>
      <c r="W240" t="e">
        <f>'Actual Value'!F403+"AM:!.i8"</f>
        <v>#VALUE!</v>
      </c>
      <c r="X240" t="e">
        <f>'Actual Value'!G403+"AM:!.i9"</f>
        <v>#VALUE!</v>
      </c>
      <c r="Y240" t="e">
        <f>'Actual Value'!H403+"AM:!.i:"</f>
        <v>#VALUE!</v>
      </c>
      <c r="Z240" t="e">
        <f>'Actual Value'!I403+"AM:!.i;"</f>
        <v>#VALUE!</v>
      </c>
      <c r="AA240" t="e">
        <f>'Actual Value'!J403+"AM:!.i&lt;"</f>
        <v>#VALUE!</v>
      </c>
      <c r="AB240" t="e">
        <f>'Actual Value'!K403+"AM:!.i="</f>
        <v>#VALUE!</v>
      </c>
      <c r="AC240" t="e">
        <f>'Actual Value'!L403+"AM:!.i&gt;"</f>
        <v>#VALUE!</v>
      </c>
      <c r="AD240" t="e">
        <f>'Actual Value'!M403+"AM:!.i?"</f>
        <v>#VALUE!</v>
      </c>
      <c r="AE240" t="e">
        <f>'Actual Value'!N403+"AM:!.i@"</f>
        <v>#VALUE!</v>
      </c>
      <c r="AF240" t="e">
        <f>'Actual Value'!O403+"AM:!.iA"</f>
        <v>#VALUE!</v>
      </c>
      <c r="AG240" t="e">
        <f>'Actual Value'!P403+"AM:!.iB"</f>
        <v>#VALUE!</v>
      </c>
      <c r="AH240" t="e">
        <f>'Actual Value'!Q403+"AM:!.iC"</f>
        <v>#VALUE!</v>
      </c>
      <c r="AI240" t="e">
        <f>'Actual Value'!R403+"AM:!.iD"</f>
        <v>#VALUE!</v>
      </c>
      <c r="AJ240" t="e">
        <f>'Actual Value'!S403+"AM:!.iE"</f>
        <v>#VALUE!</v>
      </c>
      <c r="AK240" t="e">
        <f>'Actual Value'!T403+"AM:!.iF"</f>
        <v>#VALUE!</v>
      </c>
      <c r="AL240" t="e">
        <f>'Actual Value'!U403+"AM:!.iG"</f>
        <v>#VALUE!</v>
      </c>
      <c r="AM240" t="e">
        <f>'Actual Value'!V403+"AM:!.iH"</f>
        <v>#VALUE!</v>
      </c>
      <c r="AN240" t="e">
        <f>'Actual Value'!W403+"AM:!.iI"</f>
        <v>#VALUE!</v>
      </c>
      <c r="AO240" t="e">
        <f>'Actual Value'!X403+"AM:!.iJ"</f>
        <v>#VALUE!</v>
      </c>
      <c r="AP240" t="e">
        <f>'Actual Value'!Y403+"AM:!.iK"</f>
        <v>#VALUE!</v>
      </c>
      <c r="AQ240" t="e">
        <f>'Actual Value'!Z403+"AM:!.iL"</f>
        <v>#VALUE!</v>
      </c>
      <c r="AR240" t="e">
        <f>'Actual Value'!AA403+"AM:!.iM"</f>
        <v>#VALUE!</v>
      </c>
      <c r="AS240" t="e">
        <f>'Actual Value'!AB403+"AM:!.iN"</f>
        <v>#VALUE!</v>
      </c>
      <c r="AT240" t="e">
        <f>'Actual Value'!AC403+"AM:!.iO"</f>
        <v>#VALUE!</v>
      </c>
      <c r="AU240" t="e">
        <f>'Actual Value'!AD403+"AM:!.iP"</f>
        <v>#VALUE!</v>
      </c>
      <c r="AV240" t="e">
        <f>'Actual Value'!AE403+"AM:!.iQ"</f>
        <v>#VALUE!</v>
      </c>
      <c r="AW240" t="e">
        <f>'Actual Value'!AF403+"AM:!.iR"</f>
        <v>#VALUE!</v>
      </c>
      <c r="AX240" t="e">
        <f>'Actual Value'!AG403+"AM:!.iS"</f>
        <v>#VALUE!</v>
      </c>
      <c r="AY240" t="e">
        <f>'Actual Value'!AH403+"AM:!.iT"</f>
        <v>#VALUE!</v>
      </c>
      <c r="AZ240" t="e">
        <f>'Actual Value'!AI403+"AM:!.iU"</f>
        <v>#VALUE!</v>
      </c>
      <c r="BA240" t="e">
        <f>'Actual Value'!AJ403+"AM:!.iV"</f>
        <v>#VALUE!</v>
      </c>
      <c r="BB240" t="e">
        <f>'Actual Value'!AK403+"AM:!.iW"</f>
        <v>#VALUE!</v>
      </c>
      <c r="BC240" t="e">
        <f>'Actual Value'!AL403+"AM:!.iX"</f>
        <v>#VALUE!</v>
      </c>
      <c r="BD240" t="e">
        <f>'Actual Value'!AM403+"AM:!.iY"</f>
        <v>#VALUE!</v>
      </c>
      <c r="BE240" t="e">
        <f>'Actual Value'!AN403+"AM:!.iZ"</f>
        <v>#VALUE!</v>
      </c>
      <c r="BF240" t="e">
        <f>'Actual Value'!AO403+"AM:!.i["</f>
        <v>#VALUE!</v>
      </c>
      <c r="BG240" t="e">
        <f>'Actual Value'!AP403+"AM:!.i\"</f>
        <v>#VALUE!</v>
      </c>
      <c r="BH240" t="e">
        <f>'Actual Value'!AQ403+"AM:!.i]"</f>
        <v>#VALUE!</v>
      </c>
      <c r="BI240" t="e">
        <f>'Actual Value'!AR403+"AM:!.i^"</f>
        <v>#VALUE!</v>
      </c>
      <c r="BJ240" t="e">
        <f>'Actual Value'!AS403+"AM:!.i_"</f>
        <v>#VALUE!</v>
      </c>
      <c r="BK240" t="e">
        <f>'Actual Value'!AT403+"AM:!.i`"</f>
        <v>#VALUE!</v>
      </c>
      <c r="BL240" t="e">
        <f>'Actual Value'!AU403+"AM:!.ia"</f>
        <v>#VALUE!</v>
      </c>
      <c r="BM240" t="e">
        <f>'Actual Value'!AV403+"AM:!.ib"</f>
        <v>#VALUE!</v>
      </c>
      <c r="BN240" t="e">
        <f>'Actual Value'!AX403+"AM:!.ic"</f>
        <v>#VALUE!</v>
      </c>
      <c r="BO240" t="e">
        <f>'Actual Value'!AY403+"AM:!.id"</f>
        <v>#VALUE!</v>
      </c>
      <c r="BP240" t="e">
        <f>'Actual Value'!AZ403+"AM:!.ie"</f>
        <v>#VALUE!</v>
      </c>
      <c r="BQ240" t="e">
        <f>'Actual Value'!A404+"AM:!.if"</f>
        <v>#VALUE!</v>
      </c>
      <c r="BR240" t="e">
        <f>'Actual Value'!B404+"AM:!.ig"</f>
        <v>#VALUE!</v>
      </c>
      <c r="BS240" t="e">
        <f>'Actual Value'!C404+"AM:!.ih"</f>
        <v>#VALUE!</v>
      </c>
      <c r="BT240" t="e">
        <f>'Actual Value'!D404+"AM:!.ii"</f>
        <v>#VALUE!</v>
      </c>
      <c r="BU240" t="e">
        <f>'Actual Value'!E404+"AM:!.ij"</f>
        <v>#VALUE!</v>
      </c>
      <c r="BV240" t="e">
        <f>'Actual Value'!F404+"AM:!.ik"</f>
        <v>#VALUE!</v>
      </c>
      <c r="BW240" t="e">
        <f>'Actual Value'!G404+"AM:!.il"</f>
        <v>#VALUE!</v>
      </c>
      <c r="BX240" t="e">
        <f>'Actual Value'!H404+"AM:!.im"</f>
        <v>#VALUE!</v>
      </c>
      <c r="BY240" t="e">
        <f>'Actual Value'!I404+"AM:!.in"</f>
        <v>#VALUE!</v>
      </c>
      <c r="BZ240" t="e">
        <f>'Actual Value'!J404+"AM:!.io"</f>
        <v>#VALUE!</v>
      </c>
      <c r="CA240" t="e">
        <f>'Actual Value'!K404+"AM:!.ip"</f>
        <v>#VALUE!</v>
      </c>
      <c r="CB240" t="e">
        <f>'Actual Value'!L404+"AM:!.iq"</f>
        <v>#VALUE!</v>
      </c>
      <c r="CC240" t="e">
        <f>'Actual Value'!M404+"AM:!.ir"</f>
        <v>#VALUE!</v>
      </c>
      <c r="CD240" t="e">
        <f>'Actual Value'!N404+"AM:!.is"</f>
        <v>#VALUE!</v>
      </c>
      <c r="CE240" t="e">
        <f>'Actual Value'!O404+"AM:!.it"</f>
        <v>#VALUE!</v>
      </c>
      <c r="CF240" t="e">
        <f>'Actual Value'!P404+"AM:!.iu"</f>
        <v>#VALUE!</v>
      </c>
      <c r="CG240" t="e">
        <f>'Actual Value'!Q404+"AM:!.iv"</f>
        <v>#VALUE!</v>
      </c>
      <c r="CH240" t="e">
        <f>'Actual Value'!R404+"AM:!.iw"</f>
        <v>#VALUE!</v>
      </c>
      <c r="CI240" t="e">
        <f>'Actual Value'!S404+"AM:!.ix"</f>
        <v>#VALUE!</v>
      </c>
      <c r="CJ240" t="e">
        <f>'Actual Value'!T404+"AM:!.iy"</f>
        <v>#VALUE!</v>
      </c>
      <c r="CK240" t="e">
        <f>'Actual Value'!U404+"AM:!.iz"</f>
        <v>#VALUE!</v>
      </c>
      <c r="CL240" t="e">
        <f>'Actual Value'!V404+"AM:!.i{"</f>
        <v>#VALUE!</v>
      </c>
      <c r="CM240" t="e">
        <f>'Actual Value'!W404+"AM:!.i|"</f>
        <v>#VALUE!</v>
      </c>
      <c r="CN240" t="e">
        <f>'Actual Value'!X404+"AM:!.i}"</f>
        <v>#VALUE!</v>
      </c>
      <c r="CO240" t="e">
        <f>'Actual Value'!Y404+"AM:!.i~"</f>
        <v>#VALUE!</v>
      </c>
      <c r="CP240" t="e">
        <f>'Actual Value'!Z404+"AM:!.j#"</f>
        <v>#VALUE!</v>
      </c>
      <c r="CQ240" t="e">
        <f>'Actual Value'!AA404+"AM:!.j$"</f>
        <v>#VALUE!</v>
      </c>
      <c r="CR240" t="e">
        <f>'Actual Value'!AB404+"AM:!.j%"</f>
        <v>#VALUE!</v>
      </c>
      <c r="CS240" t="e">
        <f>'Actual Value'!AC404+"AM:!.j&amp;"</f>
        <v>#VALUE!</v>
      </c>
      <c r="CT240" t="e">
        <f>'Actual Value'!AD404+"AM:!.j'"</f>
        <v>#VALUE!</v>
      </c>
      <c r="CU240" t="e">
        <f>'Actual Value'!AE404+"AM:!.j("</f>
        <v>#VALUE!</v>
      </c>
      <c r="CV240" t="e">
        <f>'Actual Value'!AF404+"AM:!.j)"</f>
        <v>#VALUE!</v>
      </c>
      <c r="CW240" t="e">
        <f>'Actual Value'!AG404+"AM:!.j."</f>
        <v>#VALUE!</v>
      </c>
      <c r="CX240" t="e">
        <f>'Actual Value'!AH404+"AM:!.j/"</f>
        <v>#VALUE!</v>
      </c>
      <c r="CY240" t="e">
        <f>'Actual Value'!AI404+"AM:!.j0"</f>
        <v>#VALUE!</v>
      </c>
      <c r="CZ240" t="e">
        <f>'Actual Value'!AJ404+"AM:!.j1"</f>
        <v>#VALUE!</v>
      </c>
      <c r="DA240" t="e">
        <f>'Actual Value'!AK404+"AM:!.j2"</f>
        <v>#VALUE!</v>
      </c>
      <c r="DB240" t="e">
        <f>'Actual Value'!AL404+"AM:!.j3"</f>
        <v>#VALUE!</v>
      </c>
      <c r="DC240" t="e">
        <f>'Actual Value'!AM404+"AM:!.j4"</f>
        <v>#VALUE!</v>
      </c>
      <c r="DD240" t="e">
        <f>'Actual Value'!AN404+"AM:!.j5"</f>
        <v>#VALUE!</v>
      </c>
      <c r="DE240" t="e">
        <f>'Actual Value'!AO404+"AM:!.j6"</f>
        <v>#VALUE!</v>
      </c>
      <c r="DF240" t="e">
        <f>'Actual Value'!AP404+"AM:!.j7"</f>
        <v>#VALUE!</v>
      </c>
      <c r="DG240" t="e">
        <f>'Actual Value'!AQ404+"AM:!.j8"</f>
        <v>#VALUE!</v>
      </c>
      <c r="DH240" t="e">
        <f>'Actual Value'!AR404+"AM:!.j9"</f>
        <v>#VALUE!</v>
      </c>
      <c r="DI240" t="e">
        <f>'Actual Value'!AS404+"AM:!.j:"</f>
        <v>#VALUE!</v>
      </c>
      <c r="DJ240" t="e">
        <f>'Actual Value'!AT404+"AM:!.j;"</f>
        <v>#VALUE!</v>
      </c>
      <c r="DK240" t="e">
        <f>'Actual Value'!AU404+"AM:!.j&lt;"</f>
        <v>#VALUE!</v>
      </c>
      <c r="DL240" t="e">
        <f>'Actual Value'!AV404+"AM:!.j="</f>
        <v>#VALUE!</v>
      </c>
      <c r="DM240" t="e">
        <f>'Actual Value'!AX404+"AM:!.j&gt;"</f>
        <v>#VALUE!</v>
      </c>
      <c r="DN240" t="e">
        <f>'Actual Value'!AY404+"AM:!.j?"</f>
        <v>#VALUE!</v>
      </c>
      <c r="DO240" t="e">
        <f>'Actual Value'!AZ404+"AM:!.j@"</f>
        <v>#VALUE!</v>
      </c>
      <c r="DP240" t="e">
        <f>'Actual Value'!A405+"AM:!.jA"</f>
        <v>#VALUE!</v>
      </c>
      <c r="DQ240" t="e">
        <f>'Actual Value'!B405+"AM:!.jB"</f>
        <v>#VALUE!</v>
      </c>
      <c r="DR240" t="e">
        <f>'Actual Value'!C405+"AM:!.jC"</f>
        <v>#VALUE!</v>
      </c>
      <c r="DS240" t="e">
        <f>'Actual Value'!D405+"AM:!.jD"</f>
        <v>#VALUE!</v>
      </c>
      <c r="DT240" t="e">
        <f>'Actual Value'!E405+"AM:!.jE"</f>
        <v>#VALUE!</v>
      </c>
      <c r="DU240" t="e">
        <f>'Actual Value'!F405+"AM:!.jF"</f>
        <v>#VALUE!</v>
      </c>
      <c r="DV240" t="e">
        <f>'Actual Value'!G405+"AM:!.jG"</f>
        <v>#VALUE!</v>
      </c>
      <c r="DW240" t="e">
        <f>'Actual Value'!H405+"AM:!.jH"</f>
        <v>#VALUE!</v>
      </c>
      <c r="DX240" t="e">
        <f>'Actual Value'!I405+"AM:!.jI"</f>
        <v>#VALUE!</v>
      </c>
      <c r="DY240" t="e">
        <f>'Actual Value'!J405+"AM:!.jJ"</f>
        <v>#VALUE!</v>
      </c>
      <c r="DZ240" t="e">
        <f>'Actual Value'!K405+"AM:!.jK"</f>
        <v>#VALUE!</v>
      </c>
      <c r="EA240" t="e">
        <f>'Actual Value'!L405+"AM:!.jL"</f>
        <v>#VALUE!</v>
      </c>
      <c r="EB240" t="e">
        <f>'Actual Value'!M405+"AM:!.jM"</f>
        <v>#VALUE!</v>
      </c>
      <c r="EC240" t="e">
        <f>'Actual Value'!N405+"AM:!.jN"</f>
        <v>#VALUE!</v>
      </c>
      <c r="ED240" t="e">
        <f>'Actual Value'!O405+"AM:!.jO"</f>
        <v>#VALUE!</v>
      </c>
      <c r="EE240" t="e">
        <f>'Actual Value'!P405+"AM:!.jP"</f>
        <v>#VALUE!</v>
      </c>
      <c r="EF240" t="e">
        <f>'Actual Value'!Q405+"AM:!.jQ"</f>
        <v>#VALUE!</v>
      </c>
      <c r="EG240" t="e">
        <f>'Actual Value'!R405+"AM:!.jR"</f>
        <v>#VALUE!</v>
      </c>
      <c r="EH240" t="e">
        <f>'Actual Value'!S405+"AM:!.jS"</f>
        <v>#VALUE!</v>
      </c>
      <c r="EI240" t="e">
        <f>'Actual Value'!T405+"AM:!.jT"</f>
        <v>#VALUE!</v>
      </c>
      <c r="EJ240" t="e">
        <f>'Actual Value'!U405+"AM:!.jU"</f>
        <v>#VALUE!</v>
      </c>
      <c r="EK240" t="e">
        <f>'Actual Value'!V405+"AM:!.jV"</f>
        <v>#VALUE!</v>
      </c>
      <c r="EL240" t="e">
        <f>'Actual Value'!W405+"AM:!.jW"</f>
        <v>#VALUE!</v>
      </c>
      <c r="EM240" t="e">
        <f>'Actual Value'!X405+"AM:!.jX"</f>
        <v>#VALUE!</v>
      </c>
      <c r="EN240" t="e">
        <f>'Actual Value'!Y405+"AM:!.jY"</f>
        <v>#VALUE!</v>
      </c>
      <c r="EO240" t="e">
        <f>'Actual Value'!Z405+"AM:!.jZ"</f>
        <v>#VALUE!</v>
      </c>
      <c r="EP240" t="e">
        <f>'Actual Value'!AA405+"AM:!.j["</f>
        <v>#VALUE!</v>
      </c>
      <c r="EQ240" t="e">
        <f>'Actual Value'!AB405+"AM:!.j\"</f>
        <v>#VALUE!</v>
      </c>
      <c r="ER240" t="e">
        <f>'Actual Value'!AC405+"AM:!.j]"</f>
        <v>#VALUE!</v>
      </c>
      <c r="ES240" t="e">
        <f>'Actual Value'!AD405+"AM:!.j^"</f>
        <v>#VALUE!</v>
      </c>
      <c r="ET240" t="e">
        <f>'Actual Value'!AE405+"AM:!.j_"</f>
        <v>#VALUE!</v>
      </c>
      <c r="EU240" t="e">
        <f>'Actual Value'!AF405+"AM:!.j`"</f>
        <v>#VALUE!</v>
      </c>
      <c r="EV240" t="e">
        <f>'Actual Value'!AG405+"AM:!.ja"</f>
        <v>#VALUE!</v>
      </c>
      <c r="EW240" t="e">
        <f>'Actual Value'!AH405+"AM:!.jb"</f>
        <v>#VALUE!</v>
      </c>
      <c r="EX240" t="e">
        <f>'Actual Value'!AI405+"AM:!.jc"</f>
        <v>#VALUE!</v>
      </c>
      <c r="EY240" t="e">
        <f>'Actual Value'!AJ405+"AM:!.jd"</f>
        <v>#VALUE!</v>
      </c>
      <c r="EZ240" t="e">
        <f>'Actual Value'!AK405+"AM:!.je"</f>
        <v>#VALUE!</v>
      </c>
      <c r="FA240" t="e">
        <f>'Actual Value'!AL405+"AM:!.jf"</f>
        <v>#VALUE!</v>
      </c>
      <c r="FB240" t="e">
        <f>'Actual Value'!AM405+"AM:!.jg"</f>
        <v>#VALUE!</v>
      </c>
      <c r="FC240" t="e">
        <f>'Actual Value'!AN405+"AM:!.jh"</f>
        <v>#VALUE!</v>
      </c>
      <c r="FD240" t="e">
        <f>'Actual Value'!AO405+"AM:!.ji"</f>
        <v>#VALUE!</v>
      </c>
      <c r="FE240" t="e">
        <f>'Actual Value'!AP405+"AM:!.jj"</f>
        <v>#VALUE!</v>
      </c>
      <c r="FF240" t="e">
        <f>'Actual Value'!AQ405+"AM:!.jk"</f>
        <v>#VALUE!</v>
      </c>
      <c r="FG240" t="e">
        <f>'Actual Value'!AR405+"AM:!.jl"</f>
        <v>#VALUE!</v>
      </c>
      <c r="FH240" t="e">
        <f>'Actual Value'!AS405+"AM:!.jm"</f>
        <v>#VALUE!</v>
      </c>
      <c r="FI240" t="e">
        <f>'Actual Value'!AT405+"AM:!.jn"</f>
        <v>#VALUE!</v>
      </c>
      <c r="FJ240" t="e">
        <f>'Actual Value'!AU405+"AM:!.jo"</f>
        <v>#VALUE!</v>
      </c>
      <c r="FK240" t="e">
        <f>'Actual Value'!AV405+"AM:!.jp"</f>
        <v>#VALUE!</v>
      </c>
      <c r="FL240" t="e">
        <f>'Actual Value'!AX405+"AM:!.jq"</f>
        <v>#VALUE!</v>
      </c>
      <c r="FM240" t="e">
        <f>'Actual Value'!AY405+"AM:!.jr"</f>
        <v>#VALUE!</v>
      </c>
      <c r="FN240" t="e">
        <f>'Actual Value'!AZ405+"AM:!.js"</f>
        <v>#VALUE!</v>
      </c>
      <c r="FO240" t="e">
        <f>'Actual Value'!A406+"AM:!.jt"</f>
        <v>#VALUE!</v>
      </c>
      <c r="FP240" t="e">
        <f>'Actual Value'!B406+"AM:!.ju"</f>
        <v>#VALUE!</v>
      </c>
      <c r="FQ240" t="e">
        <f>'Actual Value'!C406+"AM:!.jv"</f>
        <v>#VALUE!</v>
      </c>
      <c r="FR240" t="e">
        <f>'Actual Value'!D406+"AM:!.jw"</f>
        <v>#VALUE!</v>
      </c>
      <c r="FS240" t="e">
        <f>'Actual Value'!E406+"AM:!.jx"</f>
        <v>#VALUE!</v>
      </c>
      <c r="FT240" t="e">
        <f>'Actual Value'!F406+"AM:!.jy"</f>
        <v>#VALUE!</v>
      </c>
      <c r="FU240" t="e">
        <f>'Actual Value'!G406+"AM:!.jz"</f>
        <v>#VALUE!</v>
      </c>
      <c r="FV240" t="e">
        <f>'Actual Value'!H406+"AM:!.j{"</f>
        <v>#VALUE!</v>
      </c>
      <c r="FW240" t="e">
        <f>'Actual Value'!I406+"AM:!.j|"</f>
        <v>#VALUE!</v>
      </c>
      <c r="FX240" t="e">
        <f>'Actual Value'!J406+"AM:!.j}"</f>
        <v>#VALUE!</v>
      </c>
      <c r="FY240" t="e">
        <f>'Actual Value'!K406+"AM:!.j~"</f>
        <v>#VALUE!</v>
      </c>
      <c r="FZ240" t="e">
        <f>'Actual Value'!L406+"AM:!.k#"</f>
        <v>#VALUE!</v>
      </c>
      <c r="GA240" t="e">
        <f>'Actual Value'!M406+"AM:!.k$"</f>
        <v>#VALUE!</v>
      </c>
      <c r="GB240" t="e">
        <f>'Actual Value'!N406+"AM:!.k%"</f>
        <v>#VALUE!</v>
      </c>
      <c r="GC240" t="e">
        <f>'Actual Value'!O406+"AM:!.k&amp;"</f>
        <v>#VALUE!</v>
      </c>
      <c r="GD240" t="e">
        <f>'Actual Value'!P406+"AM:!.k'"</f>
        <v>#VALUE!</v>
      </c>
      <c r="GE240" t="e">
        <f>'Actual Value'!Q406+"AM:!.k("</f>
        <v>#VALUE!</v>
      </c>
      <c r="GF240" t="e">
        <f>'Actual Value'!R406+"AM:!.k)"</f>
        <v>#VALUE!</v>
      </c>
      <c r="GG240" t="e">
        <f>'Actual Value'!S406+"AM:!.k."</f>
        <v>#VALUE!</v>
      </c>
      <c r="GH240" t="e">
        <f>'Actual Value'!T406+"AM:!.k/"</f>
        <v>#VALUE!</v>
      </c>
      <c r="GI240" t="e">
        <f>'Actual Value'!U406+"AM:!.k0"</f>
        <v>#VALUE!</v>
      </c>
      <c r="GJ240" t="e">
        <f>'Actual Value'!V406+"AM:!.k1"</f>
        <v>#VALUE!</v>
      </c>
      <c r="GK240" t="e">
        <f>'Actual Value'!W406+"AM:!.k2"</f>
        <v>#VALUE!</v>
      </c>
      <c r="GL240" t="e">
        <f>'Actual Value'!X406+"AM:!.k3"</f>
        <v>#VALUE!</v>
      </c>
      <c r="GM240" t="e">
        <f>'Actual Value'!Y406+"AM:!.k4"</f>
        <v>#VALUE!</v>
      </c>
      <c r="GN240" t="e">
        <f>'Actual Value'!Z406+"AM:!.k5"</f>
        <v>#VALUE!</v>
      </c>
      <c r="GO240" t="e">
        <f>'Actual Value'!AA406+"AM:!.k6"</f>
        <v>#VALUE!</v>
      </c>
      <c r="GP240" t="e">
        <f>'Actual Value'!AB406+"AM:!.k7"</f>
        <v>#VALUE!</v>
      </c>
      <c r="GQ240" t="e">
        <f>'Actual Value'!AC406+"AM:!.k8"</f>
        <v>#VALUE!</v>
      </c>
      <c r="GR240" t="e">
        <f>'Actual Value'!AD406+"AM:!.k9"</f>
        <v>#VALUE!</v>
      </c>
      <c r="GS240" t="e">
        <f>'Actual Value'!AE406+"AM:!.k:"</f>
        <v>#VALUE!</v>
      </c>
      <c r="GT240" t="e">
        <f>'Actual Value'!AF406+"AM:!.k;"</f>
        <v>#VALUE!</v>
      </c>
      <c r="GU240" t="e">
        <f>'Actual Value'!AG406+"AM:!.k&lt;"</f>
        <v>#VALUE!</v>
      </c>
      <c r="GV240" t="e">
        <f>'Actual Value'!AH406+"AM:!.k="</f>
        <v>#VALUE!</v>
      </c>
      <c r="GW240" t="e">
        <f>'Actual Value'!AI406+"AM:!.k&gt;"</f>
        <v>#VALUE!</v>
      </c>
      <c r="GX240" t="e">
        <f>'Actual Value'!AJ406+"AM:!.k?"</f>
        <v>#VALUE!</v>
      </c>
      <c r="GY240" t="e">
        <f>'Actual Value'!AK406+"AM:!.k@"</f>
        <v>#VALUE!</v>
      </c>
      <c r="GZ240" t="e">
        <f>'Actual Value'!AL406+"AM:!.kA"</f>
        <v>#VALUE!</v>
      </c>
      <c r="HA240" t="e">
        <f>'Actual Value'!AM406+"AM:!.kB"</f>
        <v>#VALUE!</v>
      </c>
      <c r="HB240" t="e">
        <f>'Actual Value'!AN406+"AM:!.kC"</f>
        <v>#VALUE!</v>
      </c>
      <c r="HC240" t="e">
        <f>'Actual Value'!AO406+"AM:!.kD"</f>
        <v>#VALUE!</v>
      </c>
      <c r="HD240" t="e">
        <f>'Actual Value'!AP406+"AM:!.kE"</f>
        <v>#VALUE!</v>
      </c>
      <c r="HE240" t="e">
        <f>'Actual Value'!AQ406+"AM:!.kF"</f>
        <v>#VALUE!</v>
      </c>
      <c r="HF240" t="e">
        <f>'Actual Value'!AR406+"AM:!.kG"</f>
        <v>#VALUE!</v>
      </c>
      <c r="HG240" t="e">
        <f>'Actual Value'!AS406+"AM:!.kH"</f>
        <v>#VALUE!</v>
      </c>
      <c r="HH240" t="e">
        <f>'Actual Value'!AT406+"AM:!.kI"</f>
        <v>#VALUE!</v>
      </c>
      <c r="HI240" t="e">
        <f>'Actual Value'!AU406+"AM:!.kJ"</f>
        <v>#VALUE!</v>
      </c>
      <c r="HJ240" t="e">
        <f>'Actual Value'!AV406+"AM:!.kK"</f>
        <v>#VALUE!</v>
      </c>
      <c r="HK240" t="e">
        <f>'Actual Value'!AX406+"AM:!.kL"</f>
        <v>#VALUE!</v>
      </c>
      <c r="HL240" t="e">
        <f>'Actual Value'!AY406+"AM:!.kM"</f>
        <v>#VALUE!</v>
      </c>
      <c r="HM240" t="e">
        <f>'Actual Value'!AZ406+"AM:!.kN"</f>
        <v>#VALUE!</v>
      </c>
      <c r="HN240" t="e">
        <f>'Actual Value'!A407+"AM:!.kO"</f>
        <v>#VALUE!</v>
      </c>
      <c r="HO240" t="e">
        <f>'Actual Value'!B407+"AM:!.kP"</f>
        <v>#VALUE!</v>
      </c>
      <c r="HP240" t="e">
        <f>'Actual Value'!C407+"AM:!.kQ"</f>
        <v>#VALUE!</v>
      </c>
      <c r="HQ240" t="e">
        <f>'Actual Value'!D407+"AM:!.kR"</f>
        <v>#VALUE!</v>
      </c>
      <c r="HR240" t="e">
        <f>'Actual Value'!E407+"AM:!.kS"</f>
        <v>#VALUE!</v>
      </c>
      <c r="HS240" t="e">
        <f>'Actual Value'!F407+"AM:!.kT"</f>
        <v>#VALUE!</v>
      </c>
      <c r="HT240" t="e">
        <f>'Actual Value'!G407+"AM:!.kU"</f>
        <v>#VALUE!</v>
      </c>
      <c r="HU240" t="e">
        <f>'Actual Value'!H407+"AM:!.kV"</f>
        <v>#VALUE!</v>
      </c>
      <c r="HV240" t="e">
        <f>'Actual Value'!I407+"AM:!.kW"</f>
        <v>#VALUE!</v>
      </c>
      <c r="HW240" t="e">
        <f>'Actual Value'!J407+"AM:!.kX"</f>
        <v>#VALUE!</v>
      </c>
      <c r="HX240" t="e">
        <f>'Actual Value'!K407+"AM:!.kY"</f>
        <v>#VALUE!</v>
      </c>
      <c r="HY240" t="e">
        <f>'Actual Value'!L407+"AM:!.kZ"</f>
        <v>#VALUE!</v>
      </c>
      <c r="HZ240" t="e">
        <f>'Actual Value'!M407+"AM:!.k["</f>
        <v>#VALUE!</v>
      </c>
      <c r="IA240" t="e">
        <f>'Actual Value'!N407+"AM:!.k\"</f>
        <v>#VALUE!</v>
      </c>
      <c r="IB240" t="e">
        <f>'Actual Value'!O407+"AM:!.k]"</f>
        <v>#VALUE!</v>
      </c>
      <c r="IC240" t="e">
        <f>'Actual Value'!P407+"AM:!.k^"</f>
        <v>#VALUE!</v>
      </c>
      <c r="ID240" t="e">
        <f>'Actual Value'!Q407+"AM:!.k_"</f>
        <v>#VALUE!</v>
      </c>
      <c r="IE240" t="e">
        <f>'Actual Value'!R407+"AM:!.k`"</f>
        <v>#VALUE!</v>
      </c>
      <c r="IF240" t="e">
        <f>'Actual Value'!S407+"AM:!.ka"</f>
        <v>#VALUE!</v>
      </c>
      <c r="IG240" t="e">
        <f>'Actual Value'!T407+"AM:!.kb"</f>
        <v>#VALUE!</v>
      </c>
      <c r="IH240" t="e">
        <f>'Actual Value'!U407+"AM:!.kc"</f>
        <v>#VALUE!</v>
      </c>
      <c r="II240" t="e">
        <f>'Actual Value'!V407+"AM:!.kd"</f>
        <v>#VALUE!</v>
      </c>
      <c r="IJ240" t="e">
        <f>'Actual Value'!W407+"AM:!.ke"</f>
        <v>#VALUE!</v>
      </c>
      <c r="IK240" t="e">
        <f>'Actual Value'!X407+"AM:!.kf"</f>
        <v>#VALUE!</v>
      </c>
      <c r="IL240" t="e">
        <f>'Actual Value'!Y407+"AM:!.kg"</f>
        <v>#VALUE!</v>
      </c>
      <c r="IM240" t="e">
        <f>'Actual Value'!Z407+"AM:!.kh"</f>
        <v>#VALUE!</v>
      </c>
      <c r="IN240" t="e">
        <f>'Actual Value'!AA407+"AM:!.ki"</f>
        <v>#VALUE!</v>
      </c>
      <c r="IO240" t="e">
        <f>'Actual Value'!AB407+"AM:!.kj"</f>
        <v>#VALUE!</v>
      </c>
      <c r="IP240" t="e">
        <f>'Actual Value'!AC407+"AM:!.kk"</f>
        <v>#VALUE!</v>
      </c>
      <c r="IQ240" t="e">
        <f>'Actual Value'!AD407+"AM:!.kl"</f>
        <v>#VALUE!</v>
      </c>
      <c r="IR240" t="e">
        <f>'Actual Value'!AE407+"AM:!.km"</f>
        <v>#VALUE!</v>
      </c>
      <c r="IS240" t="e">
        <f>'Actual Value'!AF407+"AM:!.kn"</f>
        <v>#VALUE!</v>
      </c>
      <c r="IT240" t="e">
        <f>'Actual Value'!AG407+"AM:!.ko"</f>
        <v>#VALUE!</v>
      </c>
      <c r="IU240" t="e">
        <f>'Actual Value'!AH407+"AM:!.kp"</f>
        <v>#VALUE!</v>
      </c>
      <c r="IV240" t="e">
        <f>'Actual Value'!AI407+"AM:!.kq"</f>
        <v>#VALUE!</v>
      </c>
    </row>
    <row r="241" spans="6:256">
      <c r="F241" t="e">
        <f>'Actual Value'!AJ407+"AM:!.kr"</f>
        <v>#VALUE!</v>
      </c>
      <c r="G241" t="e">
        <f>'Actual Value'!AK407+"AM:!.ks"</f>
        <v>#VALUE!</v>
      </c>
      <c r="H241" t="e">
        <f>'Actual Value'!AL407+"AM:!.kt"</f>
        <v>#VALUE!</v>
      </c>
      <c r="I241" t="e">
        <f>'Actual Value'!AM407+"AM:!.ku"</f>
        <v>#VALUE!</v>
      </c>
      <c r="J241" t="e">
        <f>'Actual Value'!AN407+"AM:!.kv"</f>
        <v>#VALUE!</v>
      </c>
      <c r="K241" t="e">
        <f>'Actual Value'!AO407+"AM:!.kw"</f>
        <v>#VALUE!</v>
      </c>
      <c r="L241" t="e">
        <f>'Actual Value'!AP407+"AM:!.kx"</f>
        <v>#VALUE!</v>
      </c>
      <c r="M241" t="e">
        <f>'Actual Value'!AQ407+"AM:!.ky"</f>
        <v>#VALUE!</v>
      </c>
      <c r="N241" t="e">
        <f>'Actual Value'!AR407+"AM:!.kz"</f>
        <v>#VALUE!</v>
      </c>
      <c r="O241" t="e">
        <f>'Actual Value'!AS407+"AM:!.k{"</f>
        <v>#VALUE!</v>
      </c>
      <c r="P241" t="e">
        <f>'Actual Value'!AT407+"AM:!.k|"</f>
        <v>#VALUE!</v>
      </c>
      <c r="Q241" t="e">
        <f>'Actual Value'!AU407+"AM:!.k}"</f>
        <v>#VALUE!</v>
      </c>
      <c r="R241" t="e">
        <f>'Actual Value'!AV407+"AM:!.k~"</f>
        <v>#VALUE!</v>
      </c>
      <c r="S241" t="e">
        <f>'Actual Value'!AX407+"AM:!.l#"</f>
        <v>#VALUE!</v>
      </c>
      <c r="T241" t="e">
        <f>'Actual Value'!AY407+"AM:!.l$"</f>
        <v>#VALUE!</v>
      </c>
      <c r="U241" t="e">
        <f>'Actual Value'!AZ407+"AM:!.l%"</f>
        <v>#VALUE!</v>
      </c>
      <c r="V241" t="e">
        <f>'Actual Value'!A408+"AM:!.l&amp;"</f>
        <v>#VALUE!</v>
      </c>
      <c r="W241" t="e">
        <f>'Actual Value'!B408+"AM:!.l'"</f>
        <v>#VALUE!</v>
      </c>
      <c r="X241" t="e">
        <f>'Actual Value'!C408+"AM:!.l("</f>
        <v>#VALUE!</v>
      </c>
      <c r="Y241" t="e">
        <f>'Actual Value'!D408+"AM:!.l)"</f>
        <v>#VALUE!</v>
      </c>
      <c r="Z241" t="e">
        <f>'Actual Value'!E408+"AM:!.l."</f>
        <v>#VALUE!</v>
      </c>
      <c r="AA241" t="e">
        <f>'Actual Value'!F408+"AM:!.l/"</f>
        <v>#VALUE!</v>
      </c>
      <c r="AB241" t="e">
        <f>'Actual Value'!G408+"AM:!.l0"</f>
        <v>#VALUE!</v>
      </c>
      <c r="AC241" t="e">
        <f>'Actual Value'!H408+"AM:!.l1"</f>
        <v>#VALUE!</v>
      </c>
      <c r="AD241" t="e">
        <f>'Actual Value'!I408+"AM:!.l2"</f>
        <v>#VALUE!</v>
      </c>
      <c r="AE241" t="e">
        <f>'Actual Value'!J408+"AM:!.l3"</f>
        <v>#VALUE!</v>
      </c>
      <c r="AF241" t="e">
        <f>'Actual Value'!K408+"AM:!.l4"</f>
        <v>#VALUE!</v>
      </c>
      <c r="AG241" t="e">
        <f>'Actual Value'!L408+"AM:!.l5"</f>
        <v>#VALUE!</v>
      </c>
      <c r="AH241" t="e">
        <f>'Actual Value'!M408+"AM:!.l6"</f>
        <v>#VALUE!</v>
      </c>
      <c r="AI241" t="e">
        <f>'Actual Value'!N408+"AM:!.l7"</f>
        <v>#VALUE!</v>
      </c>
      <c r="AJ241" t="e">
        <f>'Actual Value'!O408+"AM:!.l8"</f>
        <v>#VALUE!</v>
      </c>
      <c r="AK241" t="e">
        <f>'Actual Value'!P408+"AM:!.l9"</f>
        <v>#VALUE!</v>
      </c>
      <c r="AL241" t="e">
        <f>'Actual Value'!Q408+"AM:!.l:"</f>
        <v>#VALUE!</v>
      </c>
      <c r="AM241" t="e">
        <f>'Actual Value'!R408+"AM:!.l;"</f>
        <v>#VALUE!</v>
      </c>
      <c r="AN241" t="e">
        <f>'Actual Value'!S408+"AM:!.l&lt;"</f>
        <v>#VALUE!</v>
      </c>
      <c r="AO241" t="e">
        <f>'Actual Value'!T408+"AM:!.l="</f>
        <v>#VALUE!</v>
      </c>
      <c r="AP241" t="e">
        <f>'Actual Value'!U408+"AM:!.l&gt;"</f>
        <v>#VALUE!</v>
      </c>
      <c r="AQ241" t="e">
        <f>'Actual Value'!V408+"AM:!.l?"</f>
        <v>#VALUE!</v>
      </c>
      <c r="AR241" t="e">
        <f>'Actual Value'!W408+"AM:!.l@"</f>
        <v>#VALUE!</v>
      </c>
      <c r="AS241" t="e">
        <f>'Actual Value'!X408+"AM:!.lA"</f>
        <v>#VALUE!</v>
      </c>
      <c r="AT241" t="e">
        <f>'Actual Value'!Y408+"AM:!.lB"</f>
        <v>#VALUE!</v>
      </c>
      <c r="AU241" t="e">
        <f>'Actual Value'!Z408+"AM:!.lC"</f>
        <v>#VALUE!</v>
      </c>
      <c r="AV241" t="e">
        <f>'Actual Value'!AA408+"AM:!.lD"</f>
        <v>#VALUE!</v>
      </c>
      <c r="AW241" t="e">
        <f>'Actual Value'!AB408+"AM:!.lE"</f>
        <v>#VALUE!</v>
      </c>
      <c r="AX241" t="e">
        <f>'Actual Value'!AC408+"AM:!.lF"</f>
        <v>#VALUE!</v>
      </c>
      <c r="AY241" t="e">
        <f>'Actual Value'!AD408+"AM:!.lG"</f>
        <v>#VALUE!</v>
      </c>
      <c r="AZ241" t="e">
        <f>'Actual Value'!AE408+"AM:!.lH"</f>
        <v>#VALUE!</v>
      </c>
      <c r="BA241" t="e">
        <f>'Actual Value'!AF408+"AM:!.lI"</f>
        <v>#VALUE!</v>
      </c>
      <c r="BB241" t="e">
        <f>'Actual Value'!AG408+"AM:!.lJ"</f>
        <v>#VALUE!</v>
      </c>
      <c r="BC241" t="e">
        <f>'Actual Value'!AH408+"AM:!.lK"</f>
        <v>#VALUE!</v>
      </c>
      <c r="BD241" t="e">
        <f>'Actual Value'!AI408+"AM:!.lL"</f>
        <v>#VALUE!</v>
      </c>
      <c r="BE241" t="e">
        <f>'Actual Value'!AJ408+"AM:!.lM"</f>
        <v>#VALUE!</v>
      </c>
      <c r="BF241" t="e">
        <f>'Actual Value'!AK408+"AM:!.lN"</f>
        <v>#VALUE!</v>
      </c>
      <c r="BG241" t="e">
        <f>'Actual Value'!AL408+"AM:!.lO"</f>
        <v>#VALUE!</v>
      </c>
      <c r="BH241" t="e">
        <f>'Actual Value'!AM408+"AM:!.lP"</f>
        <v>#VALUE!</v>
      </c>
      <c r="BI241" t="e">
        <f>'Actual Value'!AN408+"AM:!.lQ"</f>
        <v>#VALUE!</v>
      </c>
      <c r="BJ241" t="e">
        <f>'Actual Value'!AO408+"AM:!.lR"</f>
        <v>#VALUE!</v>
      </c>
      <c r="BK241" t="e">
        <f>'Actual Value'!AP408+"AM:!.lS"</f>
        <v>#VALUE!</v>
      </c>
      <c r="BL241" t="e">
        <f>'Actual Value'!AQ408+"AM:!.lT"</f>
        <v>#VALUE!</v>
      </c>
      <c r="BM241" t="e">
        <f>'Actual Value'!AR408+"AM:!.lU"</f>
        <v>#VALUE!</v>
      </c>
      <c r="BN241" t="e">
        <f>'Actual Value'!AS408+"AM:!.lV"</f>
        <v>#VALUE!</v>
      </c>
      <c r="BO241" t="e">
        <f>'Actual Value'!AT408+"AM:!.lW"</f>
        <v>#VALUE!</v>
      </c>
      <c r="BP241" t="e">
        <f>'Actual Value'!AU408+"AM:!.lX"</f>
        <v>#VALUE!</v>
      </c>
      <c r="BQ241" t="e">
        <f>'Actual Value'!AV408+"AM:!.lY"</f>
        <v>#VALUE!</v>
      </c>
      <c r="BR241" t="e">
        <f>'Actual Value'!AX408+"AM:!.lZ"</f>
        <v>#VALUE!</v>
      </c>
      <c r="BS241" t="e">
        <f>'Actual Value'!AY408+"AM:!.l["</f>
        <v>#VALUE!</v>
      </c>
      <c r="BT241" t="e">
        <f>'Actual Value'!AZ408+"AM:!.l\"</f>
        <v>#VALUE!</v>
      </c>
      <c r="BU241" t="e">
        <f>'Actual Value'!A409+"AM:!.l]"</f>
        <v>#VALUE!</v>
      </c>
      <c r="BV241" t="e">
        <f>'Actual Value'!B409+"AM:!.l^"</f>
        <v>#VALUE!</v>
      </c>
      <c r="BW241" t="e">
        <f>'Actual Value'!C409+"AM:!.l_"</f>
        <v>#VALUE!</v>
      </c>
      <c r="BX241" t="e">
        <f>'Actual Value'!D409+"AM:!.l`"</f>
        <v>#VALUE!</v>
      </c>
      <c r="BY241" t="e">
        <f>'Actual Value'!E409+"AM:!.la"</f>
        <v>#VALUE!</v>
      </c>
      <c r="BZ241" t="e">
        <f>'Actual Value'!F409+"AM:!.lb"</f>
        <v>#VALUE!</v>
      </c>
      <c r="CA241" t="e">
        <f>'Actual Value'!G409+"AM:!.lc"</f>
        <v>#VALUE!</v>
      </c>
      <c r="CB241" t="e">
        <f>'Actual Value'!H409+"AM:!.ld"</f>
        <v>#VALUE!</v>
      </c>
      <c r="CC241" t="e">
        <f>'Actual Value'!I409+"AM:!.le"</f>
        <v>#VALUE!</v>
      </c>
      <c r="CD241" t="e">
        <f>'Actual Value'!J409+"AM:!.lf"</f>
        <v>#VALUE!</v>
      </c>
      <c r="CE241" t="e">
        <f>'Actual Value'!K409+"AM:!.lg"</f>
        <v>#VALUE!</v>
      </c>
      <c r="CF241" t="e">
        <f>'Actual Value'!L409+"AM:!.lh"</f>
        <v>#VALUE!</v>
      </c>
      <c r="CG241" t="e">
        <f>'Actual Value'!M409+"AM:!.li"</f>
        <v>#VALUE!</v>
      </c>
      <c r="CH241" t="e">
        <f>'Actual Value'!N409+"AM:!.lj"</f>
        <v>#VALUE!</v>
      </c>
      <c r="CI241" t="e">
        <f>'Actual Value'!O409+"AM:!.lk"</f>
        <v>#VALUE!</v>
      </c>
      <c r="CJ241" t="e">
        <f>'Actual Value'!P409+"AM:!.ll"</f>
        <v>#VALUE!</v>
      </c>
      <c r="CK241" t="e">
        <f>'Actual Value'!Q409+"AM:!.lm"</f>
        <v>#VALUE!</v>
      </c>
      <c r="CL241" t="e">
        <f>'Actual Value'!R409+"AM:!.ln"</f>
        <v>#VALUE!</v>
      </c>
      <c r="CM241" t="e">
        <f>'Actual Value'!S409+"AM:!.lo"</f>
        <v>#VALUE!</v>
      </c>
      <c r="CN241" t="e">
        <f>'Actual Value'!T409+"AM:!.lp"</f>
        <v>#VALUE!</v>
      </c>
      <c r="CO241" t="e">
        <f>'Actual Value'!U409+"AM:!.lq"</f>
        <v>#VALUE!</v>
      </c>
      <c r="CP241" t="e">
        <f>'Actual Value'!V409+"AM:!.lr"</f>
        <v>#VALUE!</v>
      </c>
      <c r="CQ241" t="e">
        <f>'Actual Value'!W409+"AM:!.ls"</f>
        <v>#VALUE!</v>
      </c>
      <c r="CR241" t="e">
        <f>'Actual Value'!X409+"AM:!.lt"</f>
        <v>#VALUE!</v>
      </c>
      <c r="CS241" t="e">
        <f>'Actual Value'!Y409+"AM:!.lu"</f>
        <v>#VALUE!</v>
      </c>
      <c r="CT241" t="e">
        <f>'Actual Value'!Z409+"AM:!.lv"</f>
        <v>#VALUE!</v>
      </c>
      <c r="CU241" t="e">
        <f>'Actual Value'!AA409+"AM:!.lw"</f>
        <v>#VALUE!</v>
      </c>
      <c r="CV241" t="e">
        <f>'Actual Value'!AB409+"AM:!.lx"</f>
        <v>#VALUE!</v>
      </c>
      <c r="CW241" t="e">
        <f>'Actual Value'!AC409+"AM:!.ly"</f>
        <v>#VALUE!</v>
      </c>
      <c r="CX241" t="e">
        <f>'Actual Value'!AD409+"AM:!.lz"</f>
        <v>#VALUE!</v>
      </c>
      <c r="CY241" t="e">
        <f>'Actual Value'!AE409+"AM:!.l{"</f>
        <v>#VALUE!</v>
      </c>
      <c r="CZ241" t="e">
        <f>'Actual Value'!AF409+"AM:!.l|"</f>
        <v>#VALUE!</v>
      </c>
      <c r="DA241" t="e">
        <f>'Actual Value'!AG409+"AM:!.l}"</f>
        <v>#VALUE!</v>
      </c>
      <c r="DB241" t="e">
        <f>'Actual Value'!AH409+"AM:!.l~"</f>
        <v>#VALUE!</v>
      </c>
      <c r="DC241" t="e">
        <f>'Actual Value'!AI409+"AM:!.m#"</f>
        <v>#VALUE!</v>
      </c>
      <c r="DD241" t="e">
        <f>'Actual Value'!AJ409+"AM:!.m$"</f>
        <v>#VALUE!</v>
      </c>
      <c r="DE241" t="e">
        <f>'Actual Value'!AK409+"AM:!.m%"</f>
        <v>#VALUE!</v>
      </c>
      <c r="DF241" t="e">
        <f>'Actual Value'!AL409+"AM:!.m&amp;"</f>
        <v>#VALUE!</v>
      </c>
      <c r="DG241" t="e">
        <f>'Actual Value'!AM409+"AM:!.m'"</f>
        <v>#VALUE!</v>
      </c>
      <c r="DH241" t="e">
        <f>'Actual Value'!AN409+"AM:!.m("</f>
        <v>#VALUE!</v>
      </c>
      <c r="DI241" t="e">
        <f>'Actual Value'!AO409+"AM:!.m)"</f>
        <v>#VALUE!</v>
      </c>
      <c r="DJ241" t="e">
        <f>'Actual Value'!AP409+"AM:!.m."</f>
        <v>#VALUE!</v>
      </c>
      <c r="DK241" t="e">
        <f>'Actual Value'!AQ409+"AM:!.m/"</f>
        <v>#VALUE!</v>
      </c>
      <c r="DL241" t="e">
        <f>'Actual Value'!AR409+"AM:!.m0"</f>
        <v>#VALUE!</v>
      </c>
      <c r="DM241" t="e">
        <f>'Actual Value'!AS409+"AM:!.m1"</f>
        <v>#VALUE!</v>
      </c>
      <c r="DN241" t="e">
        <f>'Actual Value'!AT409+"AM:!.m2"</f>
        <v>#VALUE!</v>
      </c>
      <c r="DO241" t="e">
        <f>'Actual Value'!AU409+"AM:!.m3"</f>
        <v>#VALUE!</v>
      </c>
      <c r="DP241" t="e">
        <f>'Actual Value'!AV409+"AM:!.m4"</f>
        <v>#VALUE!</v>
      </c>
      <c r="DQ241" t="e">
        <f>'Actual Value'!AX409+"AM:!.m5"</f>
        <v>#VALUE!</v>
      </c>
      <c r="DR241" t="e">
        <f>'Actual Value'!AY409+"AM:!.m6"</f>
        <v>#VALUE!</v>
      </c>
      <c r="DS241" t="e">
        <f>'Actual Value'!AZ409+"AM:!.m7"</f>
        <v>#VALUE!</v>
      </c>
      <c r="DT241" t="e">
        <f>'Actual Value'!A410+"AM:!.m8"</f>
        <v>#VALUE!</v>
      </c>
      <c r="DU241" t="e">
        <f>'Actual Value'!B410+"AM:!.m9"</f>
        <v>#VALUE!</v>
      </c>
      <c r="DV241" t="e">
        <f>'Actual Value'!C410+"AM:!.m:"</f>
        <v>#VALUE!</v>
      </c>
      <c r="DW241" t="e">
        <f>'Actual Value'!D410+"AM:!.m;"</f>
        <v>#VALUE!</v>
      </c>
      <c r="DX241" t="e">
        <f>'Actual Value'!E410+"AM:!.m&lt;"</f>
        <v>#VALUE!</v>
      </c>
      <c r="DY241" t="e">
        <f>'Actual Value'!F410+"AM:!.m="</f>
        <v>#VALUE!</v>
      </c>
      <c r="DZ241" t="e">
        <f>'Actual Value'!G410+"AM:!.m&gt;"</f>
        <v>#VALUE!</v>
      </c>
      <c r="EA241" t="e">
        <f>'Actual Value'!H410+"AM:!.m?"</f>
        <v>#VALUE!</v>
      </c>
      <c r="EB241" t="e">
        <f>'Actual Value'!I410+"AM:!.m@"</f>
        <v>#VALUE!</v>
      </c>
      <c r="EC241" t="e">
        <f>'Actual Value'!J410+"AM:!.mA"</f>
        <v>#VALUE!</v>
      </c>
      <c r="ED241" t="e">
        <f>'Actual Value'!K410+"AM:!.mB"</f>
        <v>#VALUE!</v>
      </c>
      <c r="EE241" t="e">
        <f>'Actual Value'!L410+"AM:!.mC"</f>
        <v>#VALUE!</v>
      </c>
      <c r="EF241" t="e">
        <f>'Actual Value'!M410+"AM:!.mD"</f>
        <v>#VALUE!</v>
      </c>
      <c r="EG241" t="e">
        <f>'Actual Value'!N410+"AM:!.mE"</f>
        <v>#VALUE!</v>
      </c>
      <c r="EH241" t="e">
        <f>'Actual Value'!O410+"AM:!.mF"</f>
        <v>#VALUE!</v>
      </c>
      <c r="EI241" t="e">
        <f>'Actual Value'!P410+"AM:!.mG"</f>
        <v>#VALUE!</v>
      </c>
      <c r="EJ241" t="e">
        <f>'Actual Value'!Q410+"AM:!.mH"</f>
        <v>#VALUE!</v>
      </c>
      <c r="EK241" t="e">
        <f>'Actual Value'!R410+"AM:!.mI"</f>
        <v>#VALUE!</v>
      </c>
      <c r="EL241" t="e">
        <f>'Actual Value'!S410+"AM:!.mJ"</f>
        <v>#VALUE!</v>
      </c>
      <c r="EM241" t="e">
        <f>'Actual Value'!T410+"AM:!.mK"</f>
        <v>#VALUE!</v>
      </c>
      <c r="EN241" t="e">
        <f>'Actual Value'!U410+"AM:!.mL"</f>
        <v>#VALUE!</v>
      </c>
      <c r="EO241" t="e">
        <f>'Actual Value'!V410+"AM:!.mM"</f>
        <v>#VALUE!</v>
      </c>
      <c r="EP241" t="e">
        <f>'Actual Value'!W410+"AM:!.mN"</f>
        <v>#VALUE!</v>
      </c>
      <c r="EQ241" t="e">
        <f>'Actual Value'!X410+"AM:!.mO"</f>
        <v>#VALUE!</v>
      </c>
      <c r="ER241" t="e">
        <f>'Actual Value'!Y410+"AM:!.mP"</f>
        <v>#VALUE!</v>
      </c>
      <c r="ES241" t="e">
        <f>'Actual Value'!Z410+"AM:!.mQ"</f>
        <v>#VALUE!</v>
      </c>
      <c r="ET241" t="e">
        <f>'Actual Value'!AA410+"AM:!.mR"</f>
        <v>#VALUE!</v>
      </c>
      <c r="EU241" t="e">
        <f>'Actual Value'!AB410+"AM:!.mS"</f>
        <v>#VALUE!</v>
      </c>
      <c r="EV241" t="e">
        <f>'Actual Value'!AC410+"AM:!.mT"</f>
        <v>#VALUE!</v>
      </c>
      <c r="EW241" t="e">
        <f>'Actual Value'!AD410+"AM:!.mU"</f>
        <v>#VALUE!</v>
      </c>
      <c r="EX241" t="e">
        <f>'Actual Value'!AE410+"AM:!.mV"</f>
        <v>#VALUE!</v>
      </c>
      <c r="EY241" t="e">
        <f>'Actual Value'!AF410+"AM:!.mW"</f>
        <v>#VALUE!</v>
      </c>
      <c r="EZ241" t="e">
        <f>'Actual Value'!AG410+"AM:!.mX"</f>
        <v>#VALUE!</v>
      </c>
      <c r="FA241" t="e">
        <f>'Actual Value'!AH410+"AM:!.mY"</f>
        <v>#VALUE!</v>
      </c>
      <c r="FB241" t="e">
        <f>'Actual Value'!AI410+"AM:!.mZ"</f>
        <v>#VALUE!</v>
      </c>
      <c r="FC241" t="e">
        <f>'Actual Value'!AJ410+"AM:!.m["</f>
        <v>#VALUE!</v>
      </c>
      <c r="FD241" t="e">
        <f>'Actual Value'!AK410+"AM:!.m\"</f>
        <v>#VALUE!</v>
      </c>
      <c r="FE241" t="e">
        <f>'Actual Value'!AL410+"AM:!.m]"</f>
        <v>#VALUE!</v>
      </c>
      <c r="FF241" t="e">
        <f>'Actual Value'!AM410+"AM:!.m^"</f>
        <v>#VALUE!</v>
      </c>
      <c r="FG241" t="e">
        <f>'Actual Value'!AN410+"AM:!.m_"</f>
        <v>#VALUE!</v>
      </c>
      <c r="FH241" t="e">
        <f>'Actual Value'!AO410+"AM:!.m`"</f>
        <v>#VALUE!</v>
      </c>
      <c r="FI241" t="e">
        <f>'Actual Value'!AP410+"AM:!.ma"</f>
        <v>#VALUE!</v>
      </c>
      <c r="FJ241" t="e">
        <f>'Actual Value'!AQ410+"AM:!.mb"</f>
        <v>#VALUE!</v>
      </c>
      <c r="FK241" t="e">
        <f>'Actual Value'!AR410+"AM:!.mc"</f>
        <v>#VALUE!</v>
      </c>
      <c r="FL241" t="e">
        <f>'Actual Value'!AS410+"AM:!.md"</f>
        <v>#VALUE!</v>
      </c>
      <c r="FM241" t="e">
        <f>'Actual Value'!AT410+"AM:!.me"</f>
        <v>#VALUE!</v>
      </c>
      <c r="FN241" t="e">
        <f>'Actual Value'!AU410+"AM:!.mf"</f>
        <v>#VALUE!</v>
      </c>
      <c r="FO241" t="e">
        <f>'Actual Value'!AV410+"AM:!.mg"</f>
        <v>#VALUE!</v>
      </c>
      <c r="FP241" t="e">
        <f>'Actual Value'!AW410+"AM:!.mh"</f>
        <v>#VALUE!</v>
      </c>
      <c r="FQ241" t="e">
        <f>'Actual Value'!AX410+"AM:!.mi"</f>
        <v>#VALUE!</v>
      </c>
      <c r="FR241" t="e">
        <f>'Actual Value'!AZ410+"AM:!.mj"</f>
        <v>#VALUE!</v>
      </c>
      <c r="FS241" t="e">
        <f>'Actual Value'!BA410+"AM:!.mk"</f>
        <v>#VALUE!</v>
      </c>
      <c r="FT241" t="e">
        <f>'Actual Value'!AP411+"AM:!.ml"</f>
        <v>#VALUE!</v>
      </c>
      <c r="FU241" t="e">
        <f>'Actual Value'!AQ411+"AM:!.mm"</f>
        <v>#VALUE!</v>
      </c>
      <c r="FV241" t="e">
        <f>'Actual Value'!AR411+"AM:!.mn"</f>
        <v>#VALUE!</v>
      </c>
      <c r="FW241" t="e">
        <f>'Actual Value'!AS411+"AM:!.mo"</f>
        <v>#VALUE!</v>
      </c>
      <c r="FX241" t="e">
        <f>'Actual Value'!AT411+"AM:!.mp"</f>
        <v>#VALUE!</v>
      </c>
      <c r="FY241" t="e">
        <f>'Actual Value'!AU411+"AM:!.mq"</f>
        <v>#VALUE!</v>
      </c>
      <c r="FZ241" t="e">
        <f>'Actual Value'!AV411+"AM:!.mr"</f>
        <v>#VALUE!</v>
      </c>
      <c r="GA241" t="e">
        <f>'Actual Value'!AW411+"AM:!.ms"</f>
        <v>#VALUE!</v>
      </c>
      <c r="GB241" t="e">
        <f>'Actual Value'!AX411+"AM:!.mt"</f>
        <v>#VALUE!</v>
      </c>
      <c r="GC241" t="e">
        <f>'Actual Value'!AZ411+"AM:!.mu"</f>
        <v>#VALUE!</v>
      </c>
      <c r="GD241" t="e">
        <f>'Actual Value'!BA411+"AM:!.mv"</f>
        <v>#VALUE!</v>
      </c>
      <c r="GE241" t="e">
        <f>'Actual Value'!AP412+"AM:!.mw"</f>
        <v>#VALUE!</v>
      </c>
      <c r="GF241" t="e">
        <f>'Actual Value'!AQ412+"AM:!.mx"</f>
        <v>#VALUE!</v>
      </c>
      <c r="GG241" t="e">
        <f>'Actual Value'!AR412+"AM:!.my"</f>
        <v>#VALUE!</v>
      </c>
      <c r="GH241" t="e">
        <f>'Actual Value'!AS412+"AM:!.mz"</f>
        <v>#VALUE!</v>
      </c>
      <c r="GI241" t="e">
        <f>'Actual Value'!AT412+"AM:!.m{"</f>
        <v>#VALUE!</v>
      </c>
      <c r="GJ241" t="e">
        <f>'Actual Value'!AU412+"AM:!.m|"</f>
        <v>#VALUE!</v>
      </c>
      <c r="GK241" t="e">
        <f>'Actual Value'!AV412+"AM:!.m}"</f>
        <v>#VALUE!</v>
      </c>
      <c r="GL241" t="e">
        <f>'Actual Value'!AW412+"AM:!.m~"</f>
        <v>#VALUE!</v>
      </c>
      <c r="GM241" t="e">
        <f>'Actual Value'!AX412+"AM:!.n#"</f>
        <v>#VALUE!</v>
      </c>
      <c r="GN241" t="e">
        <f>'Actual Value'!AZ412+"AM:!.n$"</f>
        <v>#VALUE!</v>
      </c>
      <c r="GO241" t="e">
        <f>'Actual Value'!BA412+"AM:!.n%"</f>
        <v>#VALUE!</v>
      </c>
      <c r="GP241" t="e">
        <f>'Actual Value'!AP413+"AM:!.n&amp;"</f>
        <v>#VALUE!</v>
      </c>
      <c r="GQ241" t="e">
        <f>'Actual Value'!AQ413+"AM:!.n'"</f>
        <v>#VALUE!</v>
      </c>
      <c r="GR241" t="e">
        <f>'Actual Value'!AR413+"AM:!.n("</f>
        <v>#VALUE!</v>
      </c>
      <c r="GS241" t="e">
        <f>'Actual Value'!AS413+"AM:!.n)"</f>
        <v>#VALUE!</v>
      </c>
      <c r="GT241" t="e">
        <f>'Actual Value'!AT413+"AM:!.n."</f>
        <v>#VALUE!</v>
      </c>
      <c r="GU241" t="e">
        <f>'Actual Value'!AU413+"AM:!.n/"</f>
        <v>#VALUE!</v>
      </c>
      <c r="GV241" t="e">
        <f>'Actual Value'!AV413+"AM:!.n0"</f>
        <v>#VALUE!</v>
      </c>
      <c r="GW241" t="e">
        <f>'Actual Value'!AW413+"AM:!.n1"</f>
        <v>#VALUE!</v>
      </c>
      <c r="GX241" t="e">
        <f>'Actual Value'!AX413+"AM:!.n2"</f>
        <v>#VALUE!</v>
      </c>
      <c r="GY241" t="e">
        <f>'Actual Value'!AZ413+"AM:!.n3"</f>
        <v>#VALUE!</v>
      </c>
      <c r="GZ241" t="e">
        <f>'Actual Value'!BA413+"AM:!.n4"</f>
        <v>#VALUE!</v>
      </c>
      <c r="HA241" t="e">
        <f>'Actual Value'!AP414+"AM:!.n5"</f>
        <v>#VALUE!</v>
      </c>
      <c r="HB241" t="e">
        <f>'Actual Value'!AQ414+"AM:!.n6"</f>
        <v>#VALUE!</v>
      </c>
      <c r="HC241" t="e">
        <f>'Actual Value'!AR414+"AM:!.n7"</f>
        <v>#VALUE!</v>
      </c>
      <c r="HD241" t="e">
        <f>'Actual Value'!AS414+"AM:!.n8"</f>
        <v>#VALUE!</v>
      </c>
      <c r="HE241" t="e">
        <f>'Actual Value'!AT414+"AM:!.n9"</f>
        <v>#VALUE!</v>
      </c>
      <c r="HF241" t="e">
        <f>'Actual Value'!AU414+"AM:!.n:"</f>
        <v>#VALUE!</v>
      </c>
      <c r="HG241" t="e">
        <f>'Actual Value'!AV414+"AM:!.n;"</f>
        <v>#VALUE!</v>
      </c>
      <c r="HH241" t="e">
        <f>'Actual Value'!AW414+"AM:!.n&lt;"</f>
        <v>#VALUE!</v>
      </c>
      <c r="HI241" t="e">
        <f>'Actual Value'!AX414+"AM:!.n="</f>
        <v>#VALUE!</v>
      </c>
      <c r="HJ241" t="e">
        <f>'Actual Value'!AZ414+"AM:!.n&gt;"</f>
        <v>#VALUE!</v>
      </c>
      <c r="HK241" t="e">
        <f>'Actual Value'!BA414+"AM:!.n?"</f>
        <v>#VALUE!</v>
      </c>
      <c r="HL241" t="e">
        <f>'Actual Value'!A415+"AM:!.n@"</f>
        <v>#VALUE!</v>
      </c>
      <c r="HM241" t="e">
        <f>'Actual Value'!B415+"AM:!.nA"</f>
        <v>#VALUE!</v>
      </c>
      <c r="HN241" t="e">
        <f>'Actual Value'!C415+"AM:!.nB"</f>
        <v>#VALUE!</v>
      </c>
      <c r="HO241" t="e">
        <f>'Actual Value'!D415+"AM:!.nC"</f>
        <v>#VALUE!</v>
      </c>
      <c r="HP241" t="e">
        <f>'Actual Value'!E415+"AM:!.nD"</f>
        <v>#VALUE!</v>
      </c>
      <c r="HQ241" t="e">
        <f>'Actual Value'!F415+"AM:!.nE"</f>
        <v>#VALUE!</v>
      </c>
      <c r="HR241" t="e">
        <f>'Actual Value'!G415+"AM:!.nF"</f>
        <v>#VALUE!</v>
      </c>
      <c r="HS241" t="e">
        <f>'Actual Value'!H415+"AM:!.nG"</f>
        <v>#VALUE!</v>
      </c>
      <c r="HT241" t="e">
        <f>'Actual Value'!I415+"AM:!.nH"</f>
        <v>#VALUE!</v>
      </c>
      <c r="HU241" t="e">
        <f>'Actual Value'!J415+"AM:!.nI"</f>
        <v>#VALUE!</v>
      </c>
      <c r="HV241" t="e">
        <f>'Actual Value'!K415+"AM:!.nJ"</f>
        <v>#VALUE!</v>
      </c>
      <c r="HW241" t="e">
        <f>'Actual Value'!L415+"AM:!.nK"</f>
        <v>#VALUE!</v>
      </c>
      <c r="HX241" t="e">
        <f>'Actual Value'!M415+"AM:!.nL"</f>
        <v>#VALUE!</v>
      </c>
      <c r="HY241" t="e">
        <f>'Actual Value'!N415+"AM:!.nM"</f>
        <v>#VALUE!</v>
      </c>
      <c r="HZ241" t="e">
        <f>'Actual Value'!O415+"AM:!.nN"</f>
        <v>#VALUE!</v>
      </c>
      <c r="IA241" t="e">
        <f>'Actual Value'!P415+"AM:!.nO"</f>
        <v>#VALUE!</v>
      </c>
      <c r="IB241" t="e">
        <f>'Actual Value'!Q415+"AM:!.nP"</f>
        <v>#VALUE!</v>
      </c>
      <c r="IC241" t="e">
        <f>'Actual Value'!R415+"AM:!.nQ"</f>
        <v>#VALUE!</v>
      </c>
      <c r="ID241" t="e">
        <f>'Actual Value'!S415+"AM:!.nR"</f>
        <v>#VALUE!</v>
      </c>
      <c r="IE241" t="e">
        <f>'Actual Value'!T415+"AM:!.nS"</f>
        <v>#VALUE!</v>
      </c>
      <c r="IF241" t="e">
        <f>'Actual Value'!U415+"AM:!.nT"</f>
        <v>#VALUE!</v>
      </c>
      <c r="IG241" t="e">
        <f>'Actual Value'!V415+"AM:!.nU"</f>
        <v>#VALUE!</v>
      </c>
      <c r="IH241" t="e">
        <f>'Actual Value'!W415+"AM:!.nV"</f>
        <v>#VALUE!</v>
      </c>
      <c r="II241" t="e">
        <f>'Actual Value'!X415+"AM:!.nW"</f>
        <v>#VALUE!</v>
      </c>
      <c r="IJ241" t="e">
        <f>'Actual Value'!Y415+"AM:!.nX"</f>
        <v>#VALUE!</v>
      </c>
      <c r="IK241" t="e">
        <f>'Actual Value'!Z415+"AM:!.nY"</f>
        <v>#VALUE!</v>
      </c>
      <c r="IL241" t="e">
        <f>'Actual Value'!AA415+"AM:!.nZ"</f>
        <v>#VALUE!</v>
      </c>
      <c r="IM241" t="e">
        <f>'Actual Value'!AB415+"AM:!.n["</f>
        <v>#VALUE!</v>
      </c>
      <c r="IN241" t="e">
        <f>'Actual Value'!AC415+"AM:!.n\"</f>
        <v>#VALUE!</v>
      </c>
      <c r="IO241" t="e">
        <f>'Actual Value'!AD415+"AM:!.n]"</f>
        <v>#VALUE!</v>
      </c>
      <c r="IP241" t="e">
        <f>'Actual Value'!AE415+"AM:!.n^"</f>
        <v>#VALUE!</v>
      </c>
      <c r="IQ241" t="e">
        <f>'Actual Value'!AF415+"AM:!.n_"</f>
        <v>#VALUE!</v>
      </c>
      <c r="IR241" t="e">
        <f>'Actual Value'!AG415+"AM:!.n`"</f>
        <v>#VALUE!</v>
      </c>
      <c r="IS241" t="e">
        <f>'Actual Value'!AH415+"AM:!.na"</f>
        <v>#VALUE!</v>
      </c>
      <c r="IT241" t="e">
        <f>'Actual Value'!AI415+"AM:!.nb"</f>
        <v>#VALUE!</v>
      </c>
      <c r="IU241" t="e">
        <f>'Actual Value'!AJ415+"AM:!.nc"</f>
        <v>#VALUE!</v>
      </c>
      <c r="IV241" t="e">
        <f>'Actual Value'!AK415+"AM:!.nd"</f>
        <v>#VALUE!</v>
      </c>
    </row>
    <row r="242" spans="6:256">
      <c r="F242" t="e">
        <f>'Actual Value'!AL415+"AM:!.ne"</f>
        <v>#VALUE!</v>
      </c>
      <c r="G242" t="e">
        <f>'Actual Value'!AM415+"AM:!.nf"</f>
        <v>#VALUE!</v>
      </c>
      <c r="H242" t="e">
        <f>'Actual Value'!AN415+"AM:!.ng"</f>
        <v>#VALUE!</v>
      </c>
      <c r="I242" t="e">
        <f>'Actual Value'!AO415+"AM:!.nh"</f>
        <v>#VALUE!</v>
      </c>
      <c r="J242" t="e">
        <f>'Actual Value'!AY415+"AM:!.ni"</f>
        <v>#VALUE!</v>
      </c>
      <c r="K242" t="e">
        <f>'Actual Value'!AZ415+"AM:!.nj"</f>
        <v>#VALUE!</v>
      </c>
      <c r="L242" t="e">
        <f>'Actual Value'!BA415+"AM:!.nk"</f>
        <v>#VALUE!</v>
      </c>
      <c r="M242" t="e">
        <f>'Actual Value'!BB415+"AM:!.nl"</f>
        <v>#VALUE!</v>
      </c>
      <c r="N242" t="e">
        <f>'Actual Value'!BC415+"AM:!.nm"</f>
        <v>#VALUE!</v>
      </c>
      <c r="O242" t="e">
        <f>'Actual Value'!BD415+"AM:!.nn"</f>
        <v>#VALUE!</v>
      </c>
      <c r="P242" t="e">
        <f>'Actual Value'!BE415+"AM:!.no"</f>
        <v>#VALUE!</v>
      </c>
      <c r="Q242" t="e">
        <f>'Actual Value'!BF415+"AM:!.np"</f>
        <v>#VALUE!</v>
      </c>
      <c r="R242" t="e">
        <f>'Actual Value'!BG415+"AM:!.nq"</f>
        <v>#VALUE!</v>
      </c>
      <c r="S242" t="e">
        <f>'Actual Value'!A416+"AM:!.nr"</f>
        <v>#VALUE!</v>
      </c>
      <c r="T242" t="e">
        <f>'Actual Value'!B416+"AM:!.ns"</f>
        <v>#VALUE!</v>
      </c>
      <c r="U242" t="e">
        <f>'Actual Value'!C416+"AM:!.nt"</f>
        <v>#VALUE!</v>
      </c>
      <c r="V242" t="e">
        <f>'Actual Value'!D416+"AM:!.nu"</f>
        <v>#VALUE!</v>
      </c>
      <c r="W242" t="e">
        <f>'Actual Value'!E416+"AM:!.nv"</f>
        <v>#VALUE!</v>
      </c>
      <c r="X242" t="e">
        <f>'Actual Value'!F416+"AM:!.nw"</f>
        <v>#VALUE!</v>
      </c>
      <c r="Y242" t="e">
        <f>'Actual Value'!G416+"AM:!.nx"</f>
        <v>#VALUE!</v>
      </c>
      <c r="Z242" t="e">
        <f>'Actual Value'!H416+"AM:!.ny"</f>
        <v>#VALUE!</v>
      </c>
      <c r="AA242" t="e">
        <f>'Actual Value'!I416+"AM:!.nz"</f>
        <v>#VALUE!</v>
      </c>
      <c r="AB242" t="e">
        <f>'Actual Value'!J416+"AM:!.n{"</f>
        <v>#VALUE!</v>
      </c>
      <c r="AC242" t="e">
        <f>'Actual Value'!K416+"AM:!.n|"</f>
        <v>#VALUE!</v>
      </c>
      <c r="AD242" t="e">
        <f>'Actual Value'!L416+"AM:!.n}"</f>
        <v>#VALUE!</v>
      </c>
      <c r="AE242" t="e">
        <f>'Actual Value'!M416+"AM:!.n~"</f>
        <v>#VALUE!</v>
      </c>
      <c r="AF242" t="e">
        <f>'Actual Value'!N416+"AM:!.o#"</f>
        <v>#VALUE!</v>
      </c>
      <c r="AG242" t="e">
        <f>'Actual Value'!O416+"AM:!.o$"</f>
        <v>#VALUE!</v>
      </c>
      <c r="AH242" t="e">
        <f>'Actual Value'!P416+"AM:!.o%"</f>
        <v>#VALUE!</v>
      </c>
      <c r="AI242" t="e">
        <f>'Actual Value'!Q416+"AM:!.o&amp;"</f>
        <v>#VALUE!</v>
      </c>
      <c r="AJ242" t="e">
        <f>'Actual Value'!R416+"AM:!.o'"</f>
        <v>#VALUE!</v>
      </c>
      <c r="AK242" t="e">
        <f>'Actual Value'!S416+"AM:!.o("</f>
        <v>#VALUE!</v>
      </c>
      <c r="AL242" t="e">
        <f>'Actual Value'!T416+"AM:!.o)"</f>
        <v>#VALUE!</v>
      </c>
      <c r="AM242" t="e">
        <f>'Actual Value'!U416+"AM:!.o."</f>
        <v>#VALUE!</v>
      </c>
      <c r="AN242" t="e">
        <f>'Actual Value'!V416+"AM:!.o/"</f>
        <v>#VALUE!</v>
      </c>
      <c r="AO242" t="e">
        <f>'Actual Value'!W416+"AM:!.o0"</f>
        <v>#VALUE!</v>
      </c>
      <c r="AP242" t="e">
        <f>'Actual Value'!X416+"AM:!.o1"</f>
        <v>#VALUE!</v>
      </c>
      <c r="AQ242" t="e">
        <f>'Actual Value'!Y416+"AM:!.o2"</f>
        <v>#VALUE!</v>
      </c>
      <c r="AR242" t="e">
        <f>'Actual Value'!Z416+"AM:!.o3"</f>
        <v>#VALUE!</v>
      </c>
      <c r="AS242" t="e">
        <f>'Actual Value'!AA416+"AM:!.o4"</f>
        <v>#VALUE!</v>
      </c>
      <c r="AT242" t="e">
        <f>'Actual Value'!AB416+"AM:!.o5"</f>
        <v>#VALUE!</v>
      </c>
      <c r="AU242" t="e">
        <f>'Actual Value'!AC416+"AM:!.o6"</f>
        <v>#VALUE!</v>
      </c>
      <c r="AV242" t="e">
        <f>'Actual Value'!AD416+"AM:!.o7"</f>
        <v>#VALUE!</v>
      </c>
      <c r="AW242" t="e">
        <f>'Actual Value'!AE416+"AM:!.o8"</f>
        <v>#VALUE!</v>
      </c>
      <c r="AX242" t="e">
        <f>'Actual Value'!AF416+"AM:!.o9"</f>
        <v>#VALUE!</v>
      </c>
      <c r="AY242" t="e">
        <f>'Actual Value'!AG416+"AM:!.o:"</f>
        <v>#VALUE!</v>
      </c>
      <c r="AZ242" t="e">
        <f>'Actual Value'!AH416+"AM:!.o;"</f>
        <v>#VALUE!</v>
      </c>
      <c r="BA242" t="e">
        <f>'Actual Value'!AI416+"AM:!.o&lt;"</f>
        <v>#VALUE!</v>
      </c>
      <c r="BB242" t="e">
        <f>'Actual Value'!AJ416+"AM:!.o="</f>
        <v>#VALUE!</v>
      </c>
      <c r="BC242" t="e">
        <f>'Actual Value'!AK416+"AM:!.o&gt;"</f>
        <v>#VALUE!</v>
      </c>
      <c r="BD242" t="e">
        <f>'Actual Value'!AL416+"AM:!.o?"</f>
        <v>#VALUE!</v>
      </c>
      <c r="BE242" t="e">
        <f>'Actual Value'!AM416+"AM:!.o@"</f>
        <v>#VALUE!</v>
      </c>
      <c r="BF242" t="e">
        <f>'Actual Value'!AN416+"AM:!.oA"</f>
        <v>#VALUE!</v>
      </c>
      <c r="BG242" t="e">
        <f>'Actual Value'!AO416+"AM:!.oB"</f>
        <v>#VALUE!</v>
      </c>
      <c r="BH242" t="e">
        <f>'Actual Value'!AY416+"AM:!.oC"</f>
        <v>#VALUE!</v>
      </c>
      <c r="BI242" t="e">
        <f>'Actual Value'!AZ416+"AM:!.oD"</f>
        <v>#VALUE!</v>
      </c>
      <c r="BJ242" t="e">
        <f>'Actual Value'!BA416+"AM:!.oE"</f>
        <v>#VALUE!</v>
      </c>
      <c r="BK242" t="e">
        <f>'Actual Value'!BB416+"AM:!.oF"</f>
        <v>#VALUE!</v>
      </c>
      <c r="BL242" t="e">
        <f>'Actual Value'!BC416+"AM:!.oG"</f>
        <v>#VALUE!</v>
      </c>
      <c r="BM242" t="e">
        <f>'Actual Value'!BD416+"AM:!.oH"</f>
        <v>#VALUE!</v>
      </c>
      <c r="BN242" t="e">
        <f>'Actual Value'!BE416+"AM:!.oI"</f>
        <v>#VALUE!</v>
      </c>
      <c r="BO242" t="e">
        <f>'Actual Value'!BF416+"AM:!.oJ"</f>
        <v>#VALUE!</v>
      </c>
      <c r="BP242" t="e">
        <f>'Actual Value'!BG416+"AM:!.oK"</f>
        <v>#VALUE!</v>
      </c>
      <c r="BQ242" t="e">
        <f>'Actual Value'!A417+"AM:!.oL"</f>
        <v>#VALUE!</v>
      </c>
      <c r="BR242" t="e">
        <f>'Actual Value'!B417+"AM:!.oM"</f>
        <v>#VALUE!</v>
      </c>
      <c r="BS242" t="e">
        <f>'Actual Value'!C417+"AM:!.oN"</f>
        <v>#VALUE!</v>
      </c>
      <c r="BT242" t="e">
        <f>'Actual Value'!D417+"AM:!.oO"</f>
        <v>#VALUE!</v>
      </c>
      <c r="BU242" t="e">
        <f>'Actual Value'!E417+"AM:!.oP"</f>
        <v>#VALUE!</v>
      </c>
      <c r="BV242" t="e">
        <f>'Actual Value'!F417+"AM:!.oQ"</f>
        <v>#VALUE!</v>
      </c>
      <c r="BW242" t="e">
        <f>'Actual Value'!G417+"AM:!.oR"</f>
        <v>#VALUE!</v>
      </c>
      <c r="BX242" t="e">
        <f>'Actual Value'!H417+"AM:!.oS"</f>
        <v>#VALUE!</v>
      </c>
      <c r="BY242" t="e">
        <f>'Actual Value'!I417+"AM:!.oT"</f>
        <v>#VALUE!</v>
      </c>
      <c r="BZ242" t="e">
        <f>'Actual Value'!J417+"AM:!.oU"</f>
        <v>#VALUE!</v>
      </c>
      <c r="CA242" t="e">
        <f>'Actual Value'!K417+"AM:!.oV"</f>
        <v>#VALUE!</v>
      </c>
      <c r="CB242" t="e">
        <f>'Actual Value'!L417+"AM:!.oW"</f>
        <v>#VALUE!</v>
      </c>
      <c r="CC242" t="e">
        <f>'Actual Value'!M417+"AM:!.oX"</f>
        <v>#VALUE!</v>
      </c>
      <c r="CD242" t="e">
        <f>'Actual Value'!N417+"AM:!.oY"</f>
        <v>#VALUE!</v>
      </c>
      <c r="CE242" t="e">
        <f>'Actual Value'!O417+"AM:!.oZ"</f>
        <v>#VALUE!</v>
      </c>
      <c r="CF242" t="e">
        <f>'Actual Value'!P417+"AM:!.o["</f>
        <v>#VALUE!</v>
      </c>
      <c r="CG242" t="e">
        <f>'Actual Value'!Q417+"AM:!.o\"</f>
        <v>#VALUE!</v>
      </c>
      <c r="CH242" t="e">
        <f>'Actual Value'!R417+"AM:!.o]"</f>
        <v>#VALUE!</v>
      </c>
      <c r="CI242" t="e">
        <f>'Actual Value'!S417+"AM:!.o^"</f>
        <v>#VALUE!</v>
      </c>
      <c r="CJ242" t="e">
        <f>'Actual Value'!T417+"AM:!.o_"</f>
        <v>#VALUE!</v>
      </c>
      <c r="CK242" t="e">
        <f>'Actual Value'!U417+"AM:!.o`"</f>
        <v>#VALUE!</v>
      </c>
      <c r="CL242" t="e">
        <f>'Actual Value'!V417+"AM:!.oa"</f>
        <v>#VALUE!</v>
      </c>
      <c r="CM242" t="e">
        <f>'Actual Value'!W417+"AM:!.ob"</f>
        <v>#VALUE!</v>
      </c>
      <c r="CN242" t="e">
        <f>'Actual Value'!X417+"AM:!.oc"</f>
        <v>#VALUE!</v>
      </c>
      <c r="CO242" t="e">
        <f>'Actual Value'!Y417+"AM:!.od"</f>
        <v>#VALUE!</v>
      </c>
      <c r="CP242" t="e">
        <f>'Actual Value'!Z417+"AM:!.oe"</f>
        <v>#VALUE!</v>
      </c>
      <c r="CQ242" t="e">
        <f>'Actual Value'!AA417+"AM:!.of"</f>
        <v>#VALUE!</v>
      </c>
      <c r="CR242" t="e">
        <f>'Actual Value'!AB417+"AM:!.og"</f>
        <v>#VALUE!</v>
      </c>
      <c r="CS242" t="e">
        <f>'Actual Value'!AC417+"AM:!.oh"</f>
        <v>#VALUE!</v>
      </c>
      <c r="CT242" t="e">
        <f>'Actual Value'!AD417+"AM:!.oi"</f>
        <v>#VALUE!</v>
      </c>
      <c r="CU242" t="e">
        <f>'Actual Value'!AE417+"AM:!.oj"</f>
        <v>#VALUE!</v>
      </c>
      <c r="CV242" t="e">
        <f>'Actual Value'!AF417+"AM:!.ok"</f>
        <v>#VALUE!</v>
      </c>
      <c r="CW242" t="e">
        <f>'Actual Value'!AG417+"AM:!.ol"</f>
        <v>#VALUE!</v>
      </c>
      <c r="CX242" t="e">
        <f>'Actual Value'!AH417+"AM:!.om"</f>
        <v>#VALUE!</v>
      </c>
      <c r="CY242" t="e">
        <f>'Actual Value'!AI417+"AM:!.on"</f>
        <v>#VALUE!</v>
      </c>
      <c r="CZ242" t="e">
        <f>'Actual Value'!AJ417+"AM:!.oo"</f>
        <v>#VALUE!</v>
      </c>
      <c r="DA242" t="e">
        <f>'Actual Value'!AK417+"AM:!.op"</f>
        <v>#VALUE!</v>
      </c>
      <c r="DB242" t="e">
        <f>'Actual Value'!AL417+"AM:!.oq"</f>
        <v>#VALUE!</v>
      </c>
      <c r="DC242" t="e">
        <f>'Actual Value'!AM417+"AM:!.or"</f>
        <v>#VALUE!</v>
      </c>
      <c r="DD242" t="e">
        <f>'Actual Value'!AN417+"AM:!.os"</f>
        <v>#VALUE!</v>
      </c>
      <c r="DE242" t="e">
        <f>'Actual Value'!AO417+"AM:!.ot"</f>
        <v>#VALUE!</v>
      </c>
      <c r="DF242" t="e">
        <f>'Actual Value'!AY417+"AM:!.ou"</f>
        <v>#VALUE!</v>
      </c>
      <c r="DG242" t="e">
        <f>'Actual Value'!AZ417+"AM:!.ov"</f>
        <v>#VALUE!</v>
      </c>
      <c r="DH242" t="e">
        <f>'Actual Value'!BA417+"AM:!.ow"</f>
        <v>#VALUE!</v>
      </c>
      <c r="DI242" t="e">
        <f>'Actual Value'!BB417+"AM:!.ox"</f>
        <v>#VALUE!</v>
      </c>
      <c r="DJ242" t="e">
        <f>'Actual Value'!BC417+"AM:!.oy"</f>
        <v>#VALUE!</v>
      </c>
      <c r="DK242" t="e">
        <f>'Actual Value'!BD417+"AM:!.oz"</f>
        <v>#VALUE!</v>
      </c>
      <c r="DL242" t="e">
        <f>'Actual Value'!BE417+"AM:!.o{"</f>
        <v>#VALUE!</v>
      </c>
      <c r="DM242" t="e">
        <f>'Actual Value'!BF417+"AM:!.o|"</f>
        <v>#VALUE!</v>
      </c>
      <c r="DN242" t="e">
        <f>'Actual Value'!BG417+"AM:!.o}"</f>
        <v>#VALUE!</v>
      </c>
      <c r="DO242" t="e">
        <f>'Actual Value'!AZ418+"AM:!.o~"</f>
        <v>#VALUE!</v>
      </c>
      <c r="DP242" t="e">
        <f>'Actual Value'!BA418+"AM:!.p#"</f>
        <v>#VALUE!</v>
      </c>
      <c r="DQ242" t="e">
        <f>'Actual Value'!AZ419+"AM:!.p$"</f>
        <v>#VALUE!</v>
      </c>
      <c r="DR242" t="e">
        <f>'Actual Value'!BA419+"AM:!.p%"</f>
        <v>#VALUE!</v>
      </c>
      <c r="DS242" t="e">
        <f>'Actual Value'!AZ420+"AM:!.p&amp;"</f>
        <v>#VALUE!</v>
      </c>
      <c r="DT242" t="e">
        <f>'Actual Value'!BA420+"AM:!.p'"</f>
        <v>#VALUE!</v>
      </c>
      <c r="DU242" t="e">
        <f>'Actual Value'!AZ421+"AM:!.p("</f>
        <v>#VALUE!</v>
      </c>
      <c r="DV242" t="e">
        <f>'Actual Value'!BA421+"AM:!.p)"</f>
        <v>#VALUE!</v>
      </c>
      <c r="DW242" t="e">
        <f>'Actual Value'!AZ422+"AM:!.p."</f>
        <v>#VALUE!</v>
      </c>
      <c r="DX242" t="e">
        <f>'Actual Value'!BA422+"AM:!.p/"</f>
        <v>#VALUE!</v>
      </c>
      <c r="DY242" t="e">
        <f>'Actual Value'!AZ423+"AM:!.p0"</f>
        <v>#VALUE!</v>
      </c>
      <c r="DZ242" t="e">
        <f>'Actual Value'!BA423+"AM:!.p1"</f>
        <v>#VALUE!</v>
      </c>
      <c r="EA242" t="e">
        <f>'Actual Value'!AZ424+"AM:!.p2"</f>
        <v>#VALUE!</v>
      </c>
      <c r="EB242" t="e">
        <f>'Actual Value'!BA424+"AM:!.p3"</f>
        <v>#VALUE!</v>
      </c>
      <c r="EC242" t="e">
        <f>'Actual Value'!AZ425+"AM:!.p4"</f>
        <v>#VALUE!</v>
      </c>
      <c r="ED242" t="e">
        <f>'Actual Value'!BA425+"AM:!.p5"</f>
        <v>#VALUE!</v>
      </c>
      <c r="EE242" t="e">
        <f>'Actual Value'!AZ426+"AM:!.p6"</f>
        <v>#VALUE!</v>
      </c>
      <c r="EF242" t="e">
        <f>'Actual Value'!BA426+"AM:!.p7"</f>
        <v>#VALUE!</v>
      </c>
      <c r="EG242" t="e">
        <f>'Actual Value'!AZ427+"AM:!.p8"</f>
        <v>#VALUE!</v>
      </c>
      <c r="EH242" t="e">
        <f>'Actual Value'!BA427+"AM:!.p9"</f>
        <v>#VALUE!</v>
      </c>
      <c r="EI242" t="e">
        <f>'Ressource Plan'!A:A*"AM:!.p&lt;"</f>
        <v>#VALUE!</v>
      </c>
      <c r="EJ242" t="e">
        <f>'Ressource Plan'!B:B*"AM:!.p="</f>
        <v>#VALUE!</v>
      </c>
      <c r="EK242" t="e">
        <f>'Ressource Plan'!C:C*"AM:!.p&gt;"</f>
        <v>#VALUE!</v>
      </c>
      <c r="EL242" t="e">
        <f>'Ressource Plan'!D:D*"AM:!.p?"</f>
        <v>#VALUE!</v>
      </c>
      <c r="EM242" t="e">
        <f>'Ressource Plan'!E:E*"AM:!.p@"</f>
        <v>#VALUE!</v>
      </c>
      <c r="EN242" t="e">
        <f>'Ressource Plan'!F:F*"AM:!.pA"</f>
        <v>#VALUE!</v>
      </c>
      <c r="EO242" t="e">
        <f>'Ressource Plan'!G:G*"AM:!.pB"</f>
        <v>#VALUE!</v>
      </c>
      <c r="EP242" t="e">
        <f>'Ressource Plan'!H:H*"AM:!.pC"</f>
        <v>#VALUE!</v>
      </c>
      <c r="EQ242" t="e">
        <f>'Ressource Plan'!I:I*"AM:!.pD"</f>
        <v>#VALUE!</v>
      </c>
      <c r="ER242" t="e">
        <f>'Ressource Plan'!J:J*"AM:!.pE"</f>
        <v>#VALUE!</v>
      </c>
      <c r="ES242" t="e">
        <f>'Ressource Plan'!K:K*"AM:!.pF"</f>
        <v>#VALUE!</v>
      </c>
      <c r="ET242" t="e">
        <f>'Ressource Plan'!L:L*"AM:!.pG"</f>
        <v>#VALUE!</v>
      </c>
      <c r="EU242" t="e">
        <f>'Ressource Plan'!M:M*"AM:!.pH"</f>
        <v>#VALUE!</v>
      </c>
      <c r="EV242" t="e">
        <f>'Ressource Plan'!N:N*"AM:!.pI"</f>
        <v>#VALUE!</v>
      </c>
      <c r="EW242" t="e">
        <f>'Ressource Plan'!O:O*"AM:!.pJ"</f>
        <v>#VALUE!</v>
      </c>
      <c r="EX242" t="e">
        <f>'Ressource Plan'!P:P*"AM:!.pK"</f>
        <v>#VALUE!</v>
      </c>
      <c r="EY242" t="e">
        <f>'Ressource Plan'!Q:Q*"AM:!.pL"</f>
        <v>#VALUE!</v>
      </c>
      <c r="EZ242" t="e">
        <f>'Ressource Plan'!R:R*"AM:!.pM"</f>
        <v>#VALUE!</v>
      </c>
      <c r="FA242" t="e">
        <f>'Ressource Plan'!S:S*"AM:!.pN"</f>
        <v>#VALUE!</v>
      </c>
      <c r="FB242" t="e">
        <f>'Ressource Plan'!T:T*"AM:!.pO"</f>
        <v>#VALUE!</v>
      </c>
      <c r="FC242" t="e">
        <f>'Ressource Plan'!U:U*"AM:!.pP"</f>
        <v>#VALUE!</v>
      </c>
      <c r="FD242" t="e">
        <f>'Ressource Plan'!V:V*"AM:!.pQ"</f>
        <v>#VALUE!</v>
      </c>
      <c r="FE242" t="e">
        <f>'Ressource Plan'!W:W*"AM:!.pR"</f>
        <v>#VALUE!</v>
      </c>
      <c r="FF242" t="e">
        <f>'Ressource Plan'!X:X*"AM:!.pS"</f>
        <v>#VALUE!</v>
      </c>
      <c r="FG242" t="e">
        <f>'Ressource Plan'!Y:Y*"AM:!.pT"</f>
        <v>#VALUE!</v>
      </c>
      <c r="FH242" t="e">
        <f>'Ressource Plan'!Z:Z*"AM:!.pU"</f>
        <v>#VALUE!</v>
      </c>
      <c r="FI242" t="e">
        <f>'Ressource Plan'!AA:AA*"AM:!.pV"</f>
        <v>#VALUE!</v>
      </c>
      <c r="FJ242" t="e">
        <f>'Ressource Plan'!AB:AB*"AM:!.pW"</f>
        <v>#VALUE!</v>
      </c>
      <c r="FK242" t="e">
        <f>'Ressource Plan'!AC:AC*"AM:!.pX"</f>
        <v>#VALUE!</v>
      </c>
      <c r="FL242" t="e">
        <f>'Ressource Plan'!AD:AD*"AM:!.pY"</f>
        <v>#VALUE!</v>
      </c>
      <c r="FM242" t="e">
        <f>'Ressource Plan'!AE:AE*"AM:!.pZ"</f>
        <v>#VALUE!</v>
      </c>
      <c r="FN242" t="e">
        <f>'Ressource Plan'!AF:AF*"AM:!.p["</f>
        <v>#VALUE!</v>
      </c>
      <c r="FO242" t="e">
        <f>'Ressource Plan'!AG:AG*"AM:!.p\"</f>
        <v>#VALUE!</v>
      </c>
      <c r="FP242" t="e">
        <f>'Ressource Plan'!AH:AH*"AM:!.p]"</f>
        <v>#VALUE!</v>
      </c>
      <c r="FQ242" t="e">
        <f>'Ressource Plan'!AI:AI*"AM:!.p^"</f>
        <v>#VALUE!</v>
      </c>
      <c r="FR242" t="e">
        <f>'Ressource Plan'!AJ:AJ*"AM:!.p_"</f>
        <v>#VALUE!</v>
      </c>
      <c r="FS242" t="e">
        <f>'Ressource Plan'!AK:AK*"AM:!.p`"</f>
        <v>#VALUE!</v>
      </c>
      <c r="FT242" t="e">
        <f>'Ressource Plan'!AL:AL*"AM:!.pa"</f>
        <v>#VALUE!</v>
      </c>
      <c r="FU242" t="e">
        <f>'Ressource Plan'!AM:AM*"AM:!.pb"</f>
        <v>#VALUE!</v>
      </c>
      <c r="FV242" t="e">
        <f>'Ressource Plan'!AN:AN*"AM:!.pc"</f>
        <v>#VALUE!</v>
      </c>
      <c r="FW242" t="e">
        <f>'Ressource Plan'!AO:AO*"AM:!.pd"</f>
        <v>#VALUE!</v>
      </c>
      <c r="FX242" t="e">
        <f>'Ressource Plan'!AP:AP*"AM:!.pe"</f>
        <v>#VALUE!</v>
      </c>
      <c r="FY242" t="e">
        <f>'Ressource Plan'!AQ:AQ*"AM:!.pf"</f>
        <v>#VALUE!</v>
      </c>
      <c r="FZ242" t="e">
        <f>'Ressource Plan'!AR:AR*"AM:!.pg"</f>
        <v>#VALUE!</v>
      </c>
      <c r="GA242" t="e">
        <f>'Ressource Plan'!AS:AS*"AM:!.ph"</f>
        <v>#VALUE!</v>
      </c>
      <c r="GB242" t="e">
        <f>'Ressource Plan'!AT:AT*"AM:!.pi"</f>
        <v>#VALUE!</v>
      </c>
      <c r="GC242" t="e">
        <f>'Ressource Plan'!AU:AU*"AM:!.pj"</f>
        <v>#VALUE!</v>
      </c>
      <c r="GD242" t="e">
        <f>'Ressource Plan'!AV:AV*"AM:!.pk"</f>
        <v>#VALUE!</v>
      </c>
      <c r="GE242" t="e">
        <f>'Ressource Plan'!AW:AW*"AM:!.pl"</f>
        <v>#VALUE!</v>
      </c>
      <c r="GF242" t="e">
        <f>'Ressource Plan'!AX:AX*"AM:!.pm"</f>
        <v>#VALUE!</v>
      </c>
      <c r="GG242" t="e">
        <f>'Ressource Plan'!AY:AY*"AM:!.pn"</f>
        <v>#VALUE!</v>
      </c>
      <c r="GH242" t="e">
        <f>'Ressource Plan'!AZ:AZ*"AM:!.po"</f>
        <v>#VALUE!</v>
      </c>
      <c r="GI242" t="e">
        <f>'Ressource Plan'!BA:BA*"AM:!.pp"</f>
        <v>#VALUE!</v>
      </c>
      <c r="GJ242" t="e">
        <f>'Ressource Plan'!BB:BB*"AM:!.pq"</f>
        <v>#VALUE!</v>
      </c>
      <c r="GK242" t="e">
        <f>'Ressource Plan'!BC:BC*"AM:!.pr"</f>
        <v>#VALUE!</v>
      </c>
      <c r="GL242" t="e">
        <f>'Ressource Plan'!BD:BD*"AM:!.ps"</f>
        <v>#VALUE!</v>
      </c>
      <c r="GM242" t="e">
        <f>'Ressource Plan'!BE:BE*"AM:!.pt"</f>
        <v>#VALUE!</v>
      </c>
      <c r="GN242" t="e">
        <f>'Ressource Plan'!BF:BF*"AM:!.pu"</f>
        <v>#VALUE!</v>
      </c>
      <c r="GO242" t="e">
        <f>'Ressource Plan'!BG:BG*"AM:!.pv"</f>
        <v>#VALUE!</v>
      </c>
      <c r="GP242" t="e">
        <f>'Ressource Plan'!BH:BH*"AM:!.pw"</f>
        <v>#VALUE!</v>
      </c>
      <c r="GQ242" t="e">
        <f>'Ressource Plan'!BI:BI*"AM:!.px"</f>
        <v>#VALUE!</v>
      </c>
      <c r="GR242" t="e">
        <f>'Ressource Plan'!BJ:BJ*"AM:!.py"</f>
        <v>#VALUE!</v>
      </c>
      <c r="GS242" t="e">
        <f>'Ressource Plan'!BK:BK*"AM:!.pz"</f>
        <v>#VALUE!</v>
      </c>
      <c r="GT242" t="e">
        <f>'Ressource Plan'!BL:BL*"AM:!.p{"</f>
        <v>#VALUE!</v>
      </c>
      <c r="GU242" t="e">
        <f>'Ressource Plan'!BM:BM*"AM:!.p|"</f>
        <v>#VALUE!</v>
      </c>
      <c r="GV242" t="e">
        <f>'Ressource Plan'!BN:BN*"AM:!.p}"</f>
        <v>#VALUE!</v>
      </c>
      <c r="GW242" t="e">
        <f>'Ressource Plan'!BO:BO*"AM:!.p~"</f>
        <v>#VALUE!</v>
      </c>
      <c r="GX242" t="e">
        <f>'Ressource Plan'!BP:BP*"AM:!.q#"</f>
        <v>#VALUE!</v>
      </c>
      <c r="GY242" t="e">
        <f>'Ressource Plan'!BQ:BQ*"AM:!.q$"</f>
        <v>#VALUE!</v>
      </c>
      <c r="GZ242" t="e">
        <f>'Ressource Plan'!BR:BR*"AM:!.q%"</f>
        <v>#VALUE!</v>
      </c>
      <c r="HA242" t="e">
        <f>'Ressource Plan'!BS:BS*"AM:!.q&amp;"</f>
        <v>#VALUE!</v>
      </c>
      <c r="HB242" t="e">
        <f>'Ressource Plan'!BT:BT*"AM:!.q'"</f>
        <v>#VALUE!</v>
      </c>
      <c r="HC242" t="e">
        <f>'Ressource Plan'!BU:BU*"AM:!.q("</f>
        <v>#VALUE!</v>
      </c>
      <c r="HD242" t="e">
        <f>'Ressource Plan'!BV:BV*"AM:!.q)"</f>
        <v>#VALUE!</v>
      </c>
      <c r="HE242" t="e">
        <f>'Ressource Plan'!BW:BW*"AM:!.q."</f>
        <v>#VALUE!</v>
      </c>
      <c r="HF242" t="e">
        <f>'Ressource Plan'!BX:BX*"AM:!.q/"</f>
        <v>#VALUE!</v>
      </c>
      <c r="HG242" t="e">
        <f>'Ressource Plan'!BY:BY*"AM:!.q0"</f>
        <v>#VALUE!</v>
      </c>
      <c r="HH242" t="e">
        <f>'Ressource Plan'!BZ:BZ*"AM:!.q1"</f>
        <v>#VALUE!</v>
      </c>
      <c r="HI242" t="e">
        <f>'Ressource Plan'!CA:CA*"AM:!.q2"</f>
        <v>#VALUE!</v>
      </c>
      <c r="HJ242" t="e">
        <f>'Ressource Plan'!CB:CB*"AM:!.q3"</f>
        <v>#VALUE!</v>
      </c>
      <c r="HK242" t="e">
        <f>'Ressource Plan'!CC:CC*"AM:!.q4"</f>
        <v>#VALUE!</v>
      </c>
      <c r="HL242" t="e">
        <f>'Ressource Plan'!CD:CD*"AM:!.q5"</f>
        <v>#VALUE!</v>
      </c>
      <c r="HM242" t="e">
        <f>'Ressource Plan'!CE:CE*"AM:!.q6"</f>
        <v>#VALUE!</v>
      </c>
      <c r="HN242" t="e">
        <f>'Ressource Plan'!CF:CF*"AM:!.q7"</f>
        <v>#VALUE!</v>
      </c>
      <c r="HO242" t="e">
        <f>'Ressource Plan'!CG:CG*"AM:!.q8"</f>
        <v>#VALUE!</v>
      </c>
      <c r="HP242" t="e">
        <f>'Ressource Plan'!CH:CH*"AM:!.q9"</f>
        <v>#VALUE!</v>
      </c>
      <c r="HQ242" t="e">
        <f>'Ressource Plan'!CI:CI*"AM:!.q:"</f>
        <v>#VALUE!</v>
      </c>
      <c r="HR242" t="e">
        <f>'Ressource Plan'!CJ:CJ*"AM:!.q;"</f>
        <v>#VALUE!</v>
      </c>
      <c r="HS242" t="e">
        <f>'Ressource Plan'!CK:CK*"AM:!.q&lt;"</f>
        <v>#VALUE!</v>
      </c>
      <c r="HT242" t="e">
        <f>'Ressource Plan'!CL:CL*"AM:!.q="</f>
        <v>#VALUE!</v>
      </c>
      <c r="HU242" t="e">
        <f>'Ressource Plan'!CM:CM*"AM:!.q&gt;"</f>
        <v>#VALUE!</v>
      </c>
      <c r="HV242" t="e">
        <f>'Ressource Plan'!CN:CN*"AM:!.q?"</f>
        <v>#VALUE!</v>
      </c>
      <c r="HW242" t="e">
        <f>'Ressource Plan'!CO:CO*"AM:!.q@"</f>
        <v>#VALUE!</v>
      </c>
      <c r="HX242" t="e">
        <f>'Ressource Plan'!CP:CP*"AM:!.qA"</f>
        <v>#VALUE!</v>
      </c>
      <c r="HY242" t="e">
        <f>'Ressource Plan'!CQ:CQ*"AM:!.qB"</f>
        <v>#VALUE!</v>
      </c>
      <c r="HZ242" t="e">
        <f>'Ressource Plan'!CR:CR*"AM:!.qC"</f>
        <v>#VALUE!</v>
      </c>
      <c r="IA242" t="e">
        <f>'Ressource Plan'!CS:CS*"AM:!.qD"</f>
        <v>#VALUE!</v>
      </c>
      <c r="IB242" t="e">
        <f>'Ressource Plan'!CT:CT*"AM:!.qE"</f>
        <v>#VALUE!</v>
      </c>
      <c r="IC242" t="e">
        <f>'Ressource Plan'!CU:CU*"AM:!.qF"</f>
        <v>#VALUE!</v>
      </c>
      <c r="ID242" t="e">
        <f>'Ressource Plan'!CV:CV*"AM:!.qG"</f>
        <v>#VALUE!</v>
      </c>
      <c r="IE242" t="e">
        <f>'Ressource Plan'!CW:CW*"AM:!.qH"</f>
        <v>#VALUE!</v>
      </c>
      <c r="IF242" t="e">
        <f>'Ressource Plan'!CX:CX*"AM:!.qI"</f>
        <v>#VALUE!</v>
      </c>
      <c r="IG242" t="e">
        <f>'Ressource Plan'!CY:CY*"AM:!.qJ"</f>
        <v>#VALUE!</v>
      </c>
      <c r="IH242" t="e">
        <f>'Ressource Plan'!CZ:CZ*"AM:!.qK"</f>
        <v>#VALUE!</v>
      </c>
      <c r="II242" t="e">
        <f>'Ressource Plan'!DA:DA*"AM:!.qL"</f>
        <v>#VALUE!</v>
      </c>
      <c r="IJ242" t="e">
        <f>'Ressource Plan'!DB:DB*"AM:!.qM"</f>
        <v>#VALUE!</v>
      </c>
      <c r="IK242" t="e">
        <f>'Ressource Plan'!DC:DC*"AM:!.qN"</f>
        <v>#VALUE!</v>
      </c>
      <c r="IL242" t="e">
        <f>'Ressource Plan'!DD:DD*"AM:!.qO"</f>
        <v>#VALUE!</v>
      </c>
      <c r="IM242" t="e">
        <f>'Ressource Plan'!DE:DE*"AM:!.qP"</f>
        <v>#VALUE!</v>
      </c>
      <c r="IN242" t="e">
        <f>'Ressource Plan'!DF:DF*"AM:!.qQ"</f>
        <v>#VALUE!</v>
      </c>
      <c r="IO242" t="e">
        <f>'Ressource Plan'!DG:DG*"AM:!.qR"</f>
        <v>#VALUE!</v>
      </c>
      <c r="IP242" t="e">
        <f>'Ressource Plan'!DH:DH*"AM:!.qS"</f>
        <v>#VALUE!</v>
      </c>
      <c r="IQ242" t="e">
        <f>'Ressource Plan'!DI:DI*"AM:!.qT"</f>
        <v>#VALUE!</v>
      </c>
      <c r="IR242" t="e">
        <f>'Ressource Plan'!DJ:DJ*"AM:!.qU"</f>
        <v>#VALUE!</v>
      </c>
      <c r="IS242" t="e">
        <f>'Ressource Plan'!DK:DK*"AM:!.qV"</f>
        <v>#VALUE!</v>
      </c>
      <c r="IT242" t="e">
        <f>'Ressource Plan'!DL:DL*"AM:!.qW"</f>
        <v>#VALUE!</v>
      </c>
      <c r="IU242" t="e">
        <f>'Ressource Plan'!DM:DM*"AM:!.qX"</f>
        <v>#VALUE!</v>
      </c>
      <c r="IV242" t="e">
        <f>'Ressource Plan'!DN:DN*"AM:!.qY"</f>
        <v>#VALUE!</v>
      </c>
    </row>
    <row r="243" spans="6:256">
      <c r="F243" t="e">
        <f>'Ressource Plan'!DO:DO*"AM:!.qZ"</f>
        <v>#VALUE!</v>
      </c>
      <c r="G243" t="e">
        <f>'Ressource Plan'!DP:DP*"AM:!.q["</f>
        <v>#VALUE!</v>
      </c>
      <c r="H243" t="e">
        <f>'Ressource Plan'!DQ:DQ*"AM:!.q\"</f>
        <v>#VALUE!</v>
      </c>
      <c r="I243" t="e">
        <f>'Ressource Plan'!DR:DR*"AM:!.q]"</f>
        <v>#VALUE!</v>
      </c>
      <c r="J243" t="e">
        <f>'Ressource Plan'!DS:DS*"AM:!.q^"</f>
        <v>#VALUE!</v>
      </c>
      <c r="K243" t="e">
        <f>'Ressource Plan'!DT:DT*"AM:!.q_"</f>
        <v>#VALUE!</v>
      </c>
      <c r="L243" t="e">
        <f>'Ressource Plan'!DU:DU*"AM:!.q`"</f>
        <v>#VALUE!</v>
      </c>
      <c r="M243" t="e">
        <f>'Ressource Plan'!DV:DV*"AM:!.qa"</f>
        <v>#VALUE!</v>
      </c>
      <c r="N243" t="e">
        <f>'Ressource Plan'!DW:DW*"AM:!.qb"</f>
        <v>#VALUE!</v>
      </c>
      <c r="O243" t="e">
        <f>'Ressource Plan'!DX:DX*"AM:!.qc"</f>
        <v>#VALUE!</v>
      </c>
      <c r="P243" t="e">
        <f>'Ressource Plan'!DY:DY*"AM:!.qd"</f>
        <v>#VALUE!</v>
      </c>
      <c r="Q243" t="e">
        <f>'Ressource Plan'!DZ:DZ*"AM:!.qe"</f>
        <v>#VALUE!</v>
      </c>
      <c r="R243" t="e">
        <f>'Ressource Plan'!EA:EA*"AM:!.qf"</f>
        <v>#VALUE!</v>
      </c>
      <c r="S243" t="e">
        <f>'Ressource Plan'!1:1-"AM:!.qg"</f>
        <v>#VALUE!</v>
      </c>
      <c r="T243" t="e">
        <f>'Ressource Plan'!2:2-"AM:!.qh"</f>
        <v>#VALUE!</v>
      </c>
      <c r="U243" t="e">
        <f>'Ressource Plan'!3:3-"AM:!.qi"</f>
        <v>#VALUE!</v>
      </c>
      <c r="V243" t="e">
        <f>'Ressource Plan'!4:4-"AM:!.qj"</f>
        <v>#VALUE!</v>
      </c>
      <c r="W243" t="e">
        <f>'Ressource Plan'!5:5-"AM:!.qk"</f>
        <v>#VALUE!</v>
      </c>
      <c r="X243" t="e">
        <f>'Ressource Plan'!6:6-"AM:!.ql"</f>
        <v>#VALUE!</v>
      </c>
      <c r="Y243" t="e">
        <f>'Ressource Plan'!7:7-"AM:!.qm"</f>
        <v>#VALUE!</v>
      </c>
      <c r="Z243" t="e">
        <f>'Ressource Plan'!8:8-"AM:!.qn"</f>
        <v>#VALUE!</v>
      </c>
      <c r="AA243" t="e">
        <f>'Ressource Plan'!9:9-"AM:!.qo"</f>
        <v>#VALUE!</v>
      </c>
      <c r="AB243" t="e">
        <f>'Ressource Plan'!10:10-"AM:!.qp"</f>
        <v>#VALUE!</v>
      </c>
      <c r="AC243" t="e">
        <f>'Ressource Plan'!11:11-"AM:!.qq"</f>
        <v>#VALUE!</v>
      </c>
      <c r="AD243" t="e">
        <f>'Ressource Plan'!12:12-"AM:!.qr"</f>
        <v>#VALUE!</v>
      </c>
      <c r="AE243" t="e">
        <f>'Ressource Plan'!13:13-"AM:!.qs"</f>
        <v>#VALUE!</v>
      </c>
      <c r="AF243" t="e">
        <f>'Ressource Plan'!14:14-"AM:!.qt"</f>
        <v>#VALUE!</v>
      </c>
      <c r="AG243" t="e">
        <f>'Ressource Plan'!15:15-"AM:!.qu"</f>
        <v>#VALUE!</v>
      </c>
      <c r="AH243" t="e">
        <f>'Ressource Plan'!16:16-"AM:!.qv"</f>
        <v>#VALUE!</v>
      </c>
      <c r="AI243" t="e">
        <f>'Ressource Plan'!17:17-"AM:!.qw"</f>
        <v>#VALUE!</v>
      </c>
      <c r="AJ243" t="e">
        <f>'Ressource Plan'!18:18-"AM:!.qx"</f>
        <v>#VALUE!</v>
      </c>
      <c r="AK243" t="e">
        <f>'Ressource Plan'!19:19-"AM:!.qy"</f>
        <v>#VALUE!</v>
      </c>
      <c r="AL243" t="e">
        <f>'Ressource Plan'!20:20-"AM:!.qz"</f>
        <v>#VALUE!</v>
      </c>
      <c r="AM243" t="e">
        <f>'Ressource Plan'!21:21-"AM:!.q{"</f>
        <v>#VALUE!</v>
      </c>
      <c r="AN243" t="e">
        <f>'Ressource Plan'!22:22-"AM:!.q|"</f>
        <v>#VALUE!</v>
      </c>
      <c r="AO243" t="e">
        <f>'Ressource Plan'!23:23-"AM:!.q}"</f>
        <v>#VALUE!</v>
      </c>
      <c r="AP243" t="e">
        <f>'Ressource Plan'!26:26-"AM:!.q~"</f>
        <v>#VALUE!</v>
      </c>
      <c r="AQ243" t="e">
        <f>'Ressource Plan'!27:27-"AM:!.r#"</f>
        <v>#VALUE!</v>
      </c>
      <c r="AR243" t="e">
        <f>'Ressource Plan'!28:28-"AM:!.r$"</f>
        <v>#VALUE!</v>
      </c>
      <c r="AS243" t="e">
        <f>'Ressource Plan'!29:29-"AM:!.r%"</f>
        <v>#VALUE!</v>
      </c>
      <c r="AT243" t="e">
        <f>'Ressource Plan'!30:30-"AM:!.r&amp;"</f>
        <v>#VALUE!</v>
      </c>
      <c r="AU243" t="e">
        <f>'Ressource Plan'!31:31-"AM:!.r'"</f>
        <v>#VALUE!</v>
      </c>
      <c r="AV243" t="e">
        <f>'Ressource Plan'!32:32-"AM:!.r("</f>
        <v>#VALUE!</v>
      </c>
      <c r="AW243" t="e">
        <f>'Ressource Plan'!33:33-"AM:!.r)"</f>
        <v>#VALUE!</v>
      </c>
      <c r="AX243" t="e">
        <f>'Ressource Plan'!34:34-"AM:!.r."</f>
        <v>#VALUE!</v>
      </c>
      <c r="AY243" t="e">
        <f>'Ressource Plan'!35:35-"AM:!.r/"</f>
        <v>#VALUE!</v>
      </c>
      <c r="AZ243" t="e">
        <f>'Ressource Plan'!36:36-"AM:!.r0"</f>
        <v>#VALUE!</v>
      </c>
      <c r="BA243" t="e">
        <f>'Ressource Plan'!37:37-"AM:!.r1"</f>
        <v>#VALUE!</v>
      </c>
      <c r="BB243" t="e">
        <f>'Ressource Plan'!38:38-"AM:!.r2"</f>
        <v>#VALUE!</v>
      </c>
      <c r="BC243" t="e">
        <f>'Ressource Plan'!39:39-"AM:!.r3"</f>
        <v>#VALUE!</v>
      </c>
      <c r="BD243" t="e">
        <f>'Ressource Plan'!40:40-"AM:!.r4"</f>
        <v>#VALUE!</v>
      </c>
      <c r="BE243" t="e">
        <f>'Ressource Plan'!41:41-"AM:!.r5"</f>
        <v>#VALUE!</v>
      </c>
      <c r="BF243" t="e">
        <f>'Ressource Plan'!42:42-"AM:!.r6"</f>
        <v>#VALUE!</v>
      </c>
      <c r="BG243" t="e">
        <f>'Ressource Plan'!43:43-"AM:!.r7"</f>
        <v>#VALUE!</v>
      </c>
      <c r="BH243" t="e">
        <f>'Ressource Plan'!44:44-"AM:!.r8"</f>
        <v>#VALUE!</v>
      </c>
      <c r="BI243" t="e">
        <f>'Ressource Plan'!45:45-"AM:!.r9"</f>
        <v>#VALUE!</v>
      </c>
      <c r="BJ243" t="e">
        <f>'Ressource Plan'!46:46-"AM:!.r:"</f>
        <v>#VALUE!</v>
      </c>
      <c r="BK243" t="e">
        <f>'Ressource Plan'!47:47-"AM:!.r;"</f>
        <v>#VALUE!</v>
      </c>
      <c r="BL243" t="e">
        <f>'Ressource Plan'!48:48-"AM:!.r&lt;"</f>
        <v>#VALUE!</v>
      </c>
      <c r="BM243" t="e">
        <f>'Ressource Plan'!49:49-"AM:!.r="</f>
        <v>#VALUE!</v>
      </c>
      <c r="BN243" t="e">
        <f>'Ressource Plan'!50:50-"AM:!.r&gt;"</f>
        <v>#VALUE!</v>
      </c>
      <c r="BO243" t="e">
        <f>'Ressource Plan'!51:51-"AM:!.r?"</f>
        <v>#VALUE!</v>
      </c>
      <c r="BP243" t="e">
        <f>'Ressource Plan'!52:52-"AM:!.r@"</f>
        <v>#VALUE!</v>
      </c>
      <c r="BQ243" t="e">
        <f>'Ressource Plan'!53:53-"AM:!.rA"</f>
        <v>#VALUE!</v>
      </c>
      <c r="BR243" t="e">
        <f>'Ressource Plan'!54:54-"AM:!.rB"</f>
        <v>#VALUE!</v>
      </c>
      <c r="BS243" t="e">
        <f>'Ressource Plan'!55:55-"AM:!.rC"</f>
        <v>#VALUE!</v>
      </c>
      <c r="BT243" t="e">
        <f>'Ressource Plan'!56:56-"AM:!.rD"</f>
        <v>#VALUE!</v>
      </c>
      <c r="BU243" t="e">
        <f>'Ressource Plan'!57:57-"AM:!.rE"</f>
        <v>#VALUE!</v>
      </c>
      <c r="BV243" t="e">
        <f>'Ressource Plan'!58:58-"AM:!.rF"</f>
        <v>#VALUE!</v>
      </c>
      <c r="BW243" t="e">
        <f>'Ressource Plan'!59:59-"AM:!.rG"</f>
        <v>#VALUE!</v>
      </c>
      <c r="BX243" t="e">
        <f>'Ressource Plan'!60:60-"AM:!.rH"</f>
        <v>#VALUE!</v>
      </c>
      <c r="BY243" t="e">
        <f>'Ressource Plan'!61:61-"AM:!.rI"</f>
        <v>#VALUE!</v>
      </c>
      <c r="BZ243" t="e">
        <f>'Ressource Plan'!62:62-"AM:!.rJ"</f>
        <v>#VALUE!</v>
      </c>
      <c r="CA243" t="e">
        <f>'Ressource Plan'!63:63-"AM:!.rK"</f>
        <v>#VALUE!</v>
      </c>
      <c r="CB243" t="e">
        <f>'Ressource Plan'!64:64-"AM:!.rL"</f>
        <v>#VALUE!</v>
      </c>
      <c r="CC243" t="e">
        <f>'Ressource Plan'!65:65-"AM:!.rM"</f>
        <v>#VALUE!</v>
      </c>
      <c r="CD243" t="e">
        <f>'Ressource Plan'!66:66-"AM:!.rN"</f>
        <v>#VALUE!</v>
      </c>
      <c r="CE243" t="e">
        <f>'Ressource Plan'!67:67-"AM:!.rO"</f>
        <v>#VALUE!</v>
      </c>
      <c r="CF243" t="e">
        <f>'Ressource Plan'!68:68-"AM:!.rP"</f>
        <v>#VALUE!</v>
      </c>
      <c r="CG243" t="e">
        <f>'Ressource Plan'!69:69-"AM:!.rQ"</f>
        <v>#VALUE!</v>
      </c>
      <c r="CH243" t="e">
        <f>'Ressource Plan'!70:70-"AM:!.rR"</f>
        <v>#VALUE!</v>
      </c>
      <c r="CI243" t="e">
        <f>'Ressource Plan'!71:71-"AM:!.rS"</f>
        <v>#VALUE!</v>
      </c>
      <c r="CJ243" t="e">
        <f>'Ressource Plan'!72:72-"AM:!.rT"</f>
        <v>#VALUE!</v>
      </c>
      <c r="CK243" t="e">
        <f>'Ressource Plan'!73:73-"AM:!.rU"</f>
        <v>#VALUE!</v>
      </c>
      <c r="CL243" t="e">
        <f>'Ressource Plan'!74:74-"AM:!.rV"</f>
        <v>#VALUE!</v>
      </c>
      <c r="CM243" t="e">
        <f>'Ressource Plan'!75:75-"AM:!.rW"</f>
        <v>#VALUE!</v>
      </c>
      <c r="CN243" t="e">
        <f>'Ressource Plan'!76:76-"AM:!.rX"</f>
        <v>#VALUE!</v>
      </c>
      <c r="CO243" t="e">
        <f>'Ressource Plan'!77:77-"AM:!.rY"</f>
        <v>#VALUE!</v>
      </c>
      <c r="CP243" t="e">
        <f>'Ressource Plan'!78:78-"AM:!.rZ"</f>
        <v>#VALUE!</v>
      </c>
      <c r="CQ243" t="e">
        <f>'Ressource Plan'!79:79-"AM:!.r["</f>
        <v>#VALUE!</v>
      </c>
      <c r="CR243" t="e">
        <f>'Ressource Plan'!80:80-"AM:!.r\"</f>
        <v>#VALUE!</v>
      </c>
      <c r="CS243" t="e">
        <f>'Ressource Plan'!81:81-"AM:!.r]"</f>
        <v>#VALUE!</v>
      </c>
      <c r="CT243" t="e">
        <f>'Ressource Plan'!82:82-"AM:!.r^"</f>
        <v>#VALUE!</v>
      </c>
      <c r="CU243" t="e">
        <f>'Ressource Plan'!83:83-"AM:!.r_"</f>
        <v>#VALUE!</v>
      </c>
      <c r="CV243" t="e">
        <f>'Ressource Plan'!84:84-"AM:!.r`"</f>
        <v>#VALUE!</v>
      </c>
      <c r="CW243" t="e">
        <f>'Ressource Plan'!85:85-"AM:!.ra"</f>
        <v>#VALUE!</v>
      </c>
      <c r="CX243" t="e">
        <f>'Ressource Plan'!86:86-"AM:!.rb"</f>
        <v>#VALUE!</v>
      </c>
      <c r="CY243" t="e">
        <f>'Ressource Plan'!87:87-"AM:!.rc"</f>
        <v>#VALUE!</v>
      </c>
      <c r="CZ243" t="e">
        <f>'Ressource Plan'!88:88-"AM:!.rd"</f>
        <v>#VALUE!</v>
      </c>
      <c r="DA243" t="e">
        <f>'Ressource Plan'!89:89-"AM:!.re"</f>
        <v>#VALUE!</v>
      </c>
      <c r="DB243" t="e">
        <f>'Ressource Plan'!90:90-"AM:!.rf"</f>
        <v>#VALUE!</v>
      </c>
      <c r="DC243" t="e">
        <f>'Ressource Plan'!91:91-"AM:!.rg"</f>
        <v>#VALUE!</v>
      </c>
      <c r="DD243" t="e">
        <f>'Ressource Plan'!92:92-"AM:!.rh"</f>
        <v>#VALUE!</v>
      </c>
      <c r="DE243" t="e">
        <f>'Ressource Plan'!93:93-"AM:!.ri"</f>
        <v>#VALUE!</v>
      </c>
      <c r="DF243" t="e">
        <f>'Ressource Plan'!94:94-"AM:!.rj"</f>
        <v>#VALUE!</v>
      </c>
      <c r="DG243" t="e">
        <f>'Ressource Plan'!95:95-"AM:!.rk"</f>
        <v>#VALUE!</v>
      </c>
      <c r="DH243" t="e">
        <f>'Ressource Plan'!96:96-"AM:!.rl"</f>
        <v>#VALUE!</v>
      </c>
      <c r="DI243" t="e">
        <f>'Ressource Plan'!97:97-"AM:!.rm"</f>
        <v>#VALUE!</v>
      </c>
      <c r="DJ243" t="e">
        <f>'Ressource Plan'!98:98-"AM:!.rn"</f>
        <v>#VALUE!</v>
      </c>
      <c r="DK243" t="e">
        <f>'Ressource Plan'!99:99-"AM:!.ro"</f>
        <v>#VALUE!</v>
      </c>
      <c r="DL243" t="e">
        <f>'Ressource Plan'!100:100-"AM:!.rp"</f>
        <v>#VALUE!</v>
      </c>
      <c r="DM243" t="e">
        <f>'Ressource Plan'!101:101-"AM:!.rq"</f>
        <v>#VALUE!</v>
      </c>
      <c r="DN243" t="e">
        <f>'Ressource Plan'!102:102-"AM:!.rr"</f>
        <v>#VALUE!</v>
      </c>
      <c r="DO243" t="e">
        <f>'Ressource Plan'!103:103-"AM:!.rs"</f>
        <v>#VALUE!</v>
      </c>
      <c r="DP243" t="e">
        <f>'Ressource Plan'!104:104-"AM:!.rt"</f>
        <v>#VALUE!</v>
      </c>
      <c r="DQ243" t="e">
        <f>'Ressource Plan'!105:105-"AM:!.ru"</f>
        <v>#VALUE!</v>
      </c>
      <c r="DR243" t="e">
        <f>'Ressource Plan'!106:106-"AM:!.rv"</f>
        <v>#VALUE!</v>
      </c>
      <c r="DS243" t="e">
        <f>'Ressource Plan'!107:107-"AM:!.rw"</f>
        <v>#VALUE!</v>
      </c>
      <c r="DT243" t="e">
        <f>'Ressource Plan'!108:108-"AM:!.rx"</f>
        <v>#VALUE!</v>
      </c>
      <c r="DU243" t="e">
        <f>'Ressource Plan'!109:109-"AM:!.ry"</f>
        <v>#VALUE!</v>
      </c>
      <c r="DV243" t="e">
        <f>'Ressource Plan'!110:110-"AM:!.rz"</f>
        <v>#VALUE!</v>
      </c>
      <c r="DW243" t="e">
        <f>'Ressource Plan'!111:111-"AM:!.r{"</f>
        <v>#VALUE!</v>
      </c>
      <c r="DX243" t="e">
        <f>'Ressource Plan'!112:112-"AM:!.r|"</f>
        <v>#VALUE!</v>
      </c>
      <c r="DY243" t="e">
        <f>'Ressource Plan'!113:113-"AM:!.r}"</f>
        <v>#VALUE!</v>
      </c>
      <c r="DZ243" t="e">
        <f>'Ressource Plan'!114:114-"AM:!.r~"</f>
        <v>#VALUE!</v>
      </c>
      <c r="EA243" t="e">
        <f>'Ressource Plan'!115:115-"AM:!.s#"</f>
        <v>#VALUE!</v>
      </c>
      <c r="EB243" t="e">
        <f>'Ressource Plan'!116:116-"AM:!.s$"</f>
        <v>#VALUE!</v>
      </c>
      <c r="EC243" t="e">
        <f>'Ressource Plan'!117:117-"AM:!.s%"</f>
        <v>#VALUE!</v>
      </c>
      <c r="ED243" t="e">
        <f>'Ressource Plan'!118:118-"AM:!.s&amp;"</f>
        <v>#VALUE!</v>
      </c>
      <c r="EE243" t="e">
        <f>'Ressource Plan'!119:119-"AM:!.s'"</f>
        <v>#VALUE!</v>
      </c>
      <c r="EF243" t="e">
        <f>'Ressource Plan'!120:120-"AM:!.s("</f>
        <v>#VALUE!</v>
      </c>
      <c r="EG243" t="e">
        <f>'Ressource Plan'!121:121-"AM:!.s)"</f>
        <v>#VALUE!</v>
      </c>
      <c r="EH243" t="e">
        <f>'Ressource Plan'!122:122-"AM:!.s."</f>
        <v>#VALUE!</v>
      </c>
      <c r="EI243" t="e">
        <f>'Ressource Plan'!123:123-"AM:!.s/"</f>
        <v>#VALUE!</v>
      </c>
      <c r="EJ243" t="e">
        <f>'Ressource Plan'!124:124-"AM:!.s0"</f>
        <v>#VALUE!</v>
      </c>
      <c r="EK243" t="e">
        <f>'Ressource Plan'!125:125-"AM:!.s1"</f>
        <v>#VALUE!</v>
      </c>
      <c r="EL243" t="e">
        <f>'Ressource Plan'!126:126-"AM:!.s2"</f>
        <v>#VALUE!</v>
      </c>
      <c r="EM243" t="e">
        <f>'Ressource Plan'!127:127-"AM:!.s3"</f>
        <v>#VALUE!</v>
      </c>
      <c r="EN243" t="e">
        <f>'Ressource Plan'!128:128-"AM:!.s4"</f>
        <v>#VALUE!</v>
      </c>
      <c r="EO243" t="e">
        <f>'Ressource Plan'!129:129-"AM:!.s5"</f>
        <v>#VALUE!</v>
      </c>
      <c r="EP243" t="e">
        <f>'Ressource Plan'!130:130-"AM:!.s6"</f>
        <v>#VALUE!</v>
      </c>
      <c r="EQ243" t="e">
        <f>'Ressource Plan'!131:131-"AM:!.s7"</f>
        <v>#VALUE!</v>
      </c>
      <c r="ER243" t="e">
        <f>'Ressource Plan'!132:132-"AM:!.s8"</f>
        <v>#VALUE!</v>
      </c>
      <c r="ES243" t="e">
        <f>'Ressource Plan'!133:133-"AM:!.s9"</f>
        <v>#VALUE!</v>
      </c>
      <c r="ET243" t="e">
        <f>'Ressource Plan'!134:134-"AM:!.s:"</f>
        <v>#VALUE!</v>
      </c>
      <c r="EU243" t="e">
        <f>'Ressource Plan'!135:135-"AM:!.s;"</f>
        <v>#VALUE!</v>
      </c>
      <c r="EV243" t="e">
        <f>'Ressource Plan'!136:136-"AM:!.s&lt;"</f>
        <v>#VALUE!</v>
      </c>
      <c r="EW243" t="e">
        <f>'Ressource Plan'!137:137-"AM:!.s="</f>
        <v>#VALUE!</v>
      </c>
      <c r="EX243" t="e">
        <f>'Ressource Plan'!138:138-"AM:!.s&gt;"</f>
        <v>#VALUE!</v>
      </c>
      <c r="EY243" t="e">
        <f>'Ressource Plan'!139:139-"AM:!.s?"</f>
        <v>#VALUE!</v>
      </c>
      <c r="EZ243" t="e">
        <f>'Ressource Plan'!140:140-"AM:!.s@"</f>
        <v>#VALUE!</v>
      </c>
      <c r="FA243" t="e">
        <f>'Ressource Plan'!141:141-"AM:!.sA"</f>
        <v>#VALUE!</v>
      </c>
      <c r="FB243" t="e">
        <f>'Ressource Plan'!142:142-"AM:!.sB"</f>
        <v>#VALUE!</v>
      </c>
      <c r="FC243" t="e">
        <f>'Ressource Plan'!143:143-"AM:!.sC"</f>
        <v>#VALUE!</v>
      </c>
      <c r="FD243" t="e">
        <f>'Ressource Plan'!144:144-"AM:!.sD"</f>
        <v>#VALUE!</v>
      </c>
      <c r="FE243" t="e">
        <f>'Ressource Plan'!145:145-"AM:!.sE"</f>
        <v>#VALUE!</v>
      </c>
      <c r="FF243" t="e">
        <f>'Ressource Plan'!146:146-"AM:!.sF"</f>
        <v>#VALUE!</v>
      </c>
      <c r="FG243" t="e">
        <f>'Ressource Plan'!147:147-"AM:!.sG"</f>
        <v>#VALUE!</v>
      </c>
      <c r="FH243" t="e">
        <f>'Ressource Plan'!148:148-"AM:!.sH"</f>
        <v>#VALUE!</v>
      </c>
      <c r="FI243" t="e">
        <f>'Ressource Plan'!149:149-"AM:!.sI"</f>
        <v>#VALUE!</v>
      </c>
      <c r="FJ243" t="e">
        <f>'Ressource Plan'!150:150-"AM:!.sJ"</f>
        <v>#VALUE!</v>
      </c>
      <c r="FK243" t="e">
        <f>'Ressource Plan'!151:151-"AM:!.sK"</f>
        <v>#VALUE!</v>
      </c>
      <c r="FL243" t="e">
        <f>'Ressource Plan'!152:152-"AM:!.sL"</f>
        <v>#VALUE!</v>
      </c>
      <c r="FM243" t="e">
        <f>'Ressource Plan'!153:153-"AM:!.sM"</f>
        <v>#VALUE!</v>
      </c>
      <c r="FN243" t="e">
        <f>'Ressource Plan'!154:154-"AM:!.sN"</f>
        <v>#VALUE!</v>
      </c>
      <c r="FO243" t="e">
        <f>'Ressource Plan'!155:155-"AM:!.sO"</f>
        <v>#VALUE!</v>
      </c>
      <c r="FP243" t="e">
        <f>'Ressource Plan'!156:156-"AM:!.sP"</f>
        <v>#VALUE!</v>
      </c>
      <c r="FQ243" t="e">
        <f>'Ressource Plan'!157:157-"AM:!.sQ"</f>
        <v>#VALUE!</v>
      </c>
      <c r="FR243" t="e">
        <f>'Ressource Plan'!158:158-"AM:!.sR"</f>
        <v>#VALUE!</v>
      </c>
      <c r="FS243" t="e">
        <f>'Ressource Plan'!159:159-"AM:!.sS"</f>
        <v>#VALUE!</v>
      </c>
      <c r="FT243" t="e">
        <f>'Ressource Plan'!160:160-"AM:!.sT"</f>
        <v>#VALUE!</v>
      </c>
      <c r="FU243" t="e">
        <f>'Ressource Plan'!161:161-"AM:!.sU"</f>
        <v>#VALUE!</v>
      </c>
      <c r="FV243" t="e">
        <f>'Ressource Plan'!162:162-"AM:!.sV"</f>
        <v>#VALUE!</v>
      </c>
      <c r="FW243" t="e">
        <f>'Ressource Plan'!163:163-"AM:!.sW"</f>
        <v>#VALUE!</v>
      </c>
      <c r="FX243" t="e">
        <f>'Ressource Plan'!164:164-"AM:!.sX"</f>
        <v>#VALUE!</v>
      </c>
      <c r="FY243" t="e">
        <f>'Ressource Plan'!165:165-"AM:!.sY"</f>
        <v>#VALUE!</v>
      </c>
      <c r="FZ243" t="e">
        <f>'Ressource Plan'!166:166-"AM:!.sZ"</f>
        <v>#VALUE!</v>
      </c>
      <c r="GA243" t="e">
        <f>'Ressource Plan'!167:167-"AM:!.s["</f>
        <v>#VALUE!</v>
      </c>
      <c r="GB243" t="e">
        <f>'Ressource Plan'!168:168-"AM:!.s\"</f>
        <v>#VALUE!</v>
      </c>
      <c r="GC243" t="e">
        <f>'Ressource Plan'!169:169-"AM:!.s]"</f>
        <v>#VALUE!</v>
      </c>
      <c r="GD243" t="e">
        <f>'Ressource Plan'!170:170-"AM:!.s^"</f>
        <v>#VALUE!</v>
      </c>
      <c r="GE243" t="e">
        <f>'Ressource Plan'!171:171-"AM:!.s_"</f>
        <v>#VALUE!</v>
      </c>
      <c r="GF243" t="e">
        <f>'Ressource Plan'!172:172-"AM:!.s`"</f>
        <v>#VALUE!</v>
      </c>
      <c r="GG243" t="e">
        <f>'Ressource Plan'!173:173-"AM:!.sa"</f>
        <v>#VALUE!</v>
      </c>
      <c r="GH243" t="e">
        <f>'Ressource Plan'!174:174-"AM:!.sb"</f>
        <v>#VALUE!</v>
      </c>
      <c r="GI243" t="e">
        <f>'Ressource Plan'!175:175-"AM:!.sc"</f>
        <v>#VALUE!</v>
      </c>
      <c r="GJ243" t="e">
        <f>'Ressource Plan'!176:176-"AM:!.sd"</f>
        <v>#VALUE!</v>
      </c>
      <c r="GK243" t="e">
        <f>'Ressource Plan'!177:177-"AM:!.se"</f>
        <v>#VALUE!</v>
      </c>
      <c r="GL243" t="e">
        <f>'Ressource Plan'!178:178-"AM:!.sf"</f>
        <v>#VALUE!</v>
      </c>
      <c r="GM243" t="e">
        <f>'Ressource Plan'!179:179-"AM:!.sg"</f>
        <v>#VALUE!</v>
      </c>
      <c r="GN243" t="e">
        <f>'Ressource Plan'!180:180-"AM:!.sh"</f>
        <v>#VALUE!</v>
      </c>
      <c r="GO243" t="e">
        <f>'Ressource Plan'!181:181-"AM:!.si"</f>
        <v>#VALUE!</v>
      </c>
      <c r="GP243" t="e">
        <f>'Ressource Plan'!182:182-"AM:!.sj"</f>
        <v>#VALUE!</v>
      </c>
      <c r="GQ243" t="e">
        <f>'Ressource Plan'!183:183-"AM:!.sk"</f>
        <v>#VALUE!</v>
      </c>
      <c r="GR243" t="e">
        <f>'Ressource Plan'!184:184-"AM:!.sl"</f>
        <v>#VALUE!</v>
      </c>
      <c r="GS243" t="e">
        <f>'Ressource Plan'!185:185-"AM:!.sm"</f>
        <v>#VALUE!</v>
      </c>
      <c r="GT243" t="e">
        <f>'Ressource Plan'!186:186-"AM:!.sn"</f>
        <v>#VALUE!</v>
      </c>
      <c r="GU243" t="e">
        <f>'Ressource Plan'!187:187-"AM:!.so"</f>
        <v>#VALUE!</v>
      </c>
      <c r="GV243" t="e">
        <f>'Ressource Plan'!188:188-"AM:!.sp"</f>
        <v>#VALUE!</v>
      </c>
      <c r="GW243" t="e">
        <f>'Ressource Plan'!189:189-"AM:!.sq"</f>
        <v>#VALUE!</v>
      </c>
      <c r="GX243" t="e">
        <f>'Ressource Plan'!190:190-"AM:!.sr"</f>
        <v>#VALUE!</v>
      </c>
      <c r="GY243" t="e">
        <f>'Ressource Plan'!191:191-"AM:!.ss"</f>
        <v>#VALUE!</v>
      </c>
      <c r="GZ243" t="e">
        <f>'Ressource Plan'!192:192-"AM:!.st"</f>
        <v>#VALUE!</v>
      </c>
      <c r="HA243" t="e">
        <f>'Ressource Plan'!193:193-"AM:!.su"</f>
        <v>#VALUE!</v>
      </c>
      <c r="HB243" t="e">
        <f>'Ressource Plan'!194:194-"AM:!.sv"</f>
        <v>#VALUE!</v>
      </c>
      <c r="HC243" t="e">
        <f>'Ressource Plan'!195:195-"AM:!.sw"</f>
        <v>#VALUE!</v>
      </c>
      <c r="HD243" t="e">
        <f>'Ressource Plan'!196:196-"AM:!.sx"</f>
        <v>#VALUE!</v>
      </c>
      <c r="HE243" t="e">
        <f>'Ressource Plan'!197:197-"AM:!.sy"</f>
        <v>#VALUE!</v>
      </c>
      <c r="HF243" t="e">
        <f>'Ressource Plan'!198:198-"AM:!.sz"</f>
        <v>#VALUE!</v>
      </c>
      <c r="HG243" t="e">
        <f>'Ressource Plan'!199:199-"AM:!.s{"</f>
        <v>#VALUE!</v>
      </c>
      <c r="HH243" t="e">
        <f>'Ressource Plan'!200:200-"AM:!.s|"</f>
        <v>#VALUE!</v>
      </c>
      <c r="HI243" t="e">
        <f>'Ressource Plan'!201:201-"AM:!.s}"</f>
        <v>#VALUE!</v>
      </c>
      <c r="HJ243" t="e">
        <f>'Ressource Plan'!202:202-"AM:!.s~"</f>
        <v>#VALUE!</v>
      </c>
      <c r="HK243" t="e">
        <f>'Ressource Plan'!203:203-"AM:!.t#"</f>
        <v>#VALUE!</v>
      </c>
      <c r="HL243" t="e">
        <f>'Ressource Plan'!204:204-"AM:!.t$"</f>
        <v>#VALUE!</v>
      </c>
      <c r="HM243" t="e">
        <f>'Ressource Plan'!205:205-"AM:!.t%"</f>
        <v>#VALUE!</v>
      </c>
      <c r="HN243" t="e">
        <f>'Ressource Plan'!206:206-"AM:!.t&amp;"</f>
        <v>#VALUE!</v>
      </c>
      <c r="HO243" t="e">
        <f>'Ressource Plan'!207:207-"AM:!.t'"</f>
        <v>#VALUE!</v>
      </c>
      <c r="HP243" t="e">
        <f>'Ressource Plan'!208:208-"AM:!.t("</f>
        <v>#VALUE!</v>
      </c>
      <c r="HQ243" t="e">
        <f>'Ressource Plan'!209:209-"AM:!.t)"</f>
        <v>#VALUE!</v>
      </c>
      <c r="HR243" t="e">
        <f>'Ressource Plan'!210:210-"AM:!.t."</f>
        <v>#VALUE!</v>
      </c>
      <c r="HS243" t="e">
        <f>'Ressource Plan'!211:211-"AM:!.t/"</f>
        <v>#VALUE!</v>
      </c>
      <c r="HT243" t="e">
        <f>'Ressource Plan'!212:212-"AM:!.t0"</f>
        <v>#VALUE!</v>
      </c>
      <c r="HU243" t="e">
        <f>'Ressource Plan'!213:213-"AM:!.t1"</f>
        <v>#VALUE!</v>
      </c>
      <c r="HV243" t="e">
        <f>'Ressource Plan'!214:214-"AM:!.t2"</f>
        <v>#VALUE!</v>
      </c>
      <c r="HW243" t="e">
        <f>'Ressource Plan'!215:215-"AM:!.t3"</f>
        <v>#VALUE!</v>
      </c>
      <c r="HX243" t="e">
        <f>'Ressource Plan'!216:216-"AM:!.t4"</f>
        <v>#VALUE!</v>
      </c>
      <c r="HY243" t="e">
        <f>'Ressource Plan'!217:217-"AM:!.t5"</f>
        <v>#VALUE!</v>
      </c>
      <c r="HZ243" t="e">
        <f>'Ressource Plan'!218:218-"AM:!.t6"</f>
        <v>#VALUE!</v>
      </c>
      <c r="IA243" t="e">
        <f>'Ressource Plan'!219:219-"AM:!.t7"</f>
        <v>#VALUE!</v>
      </c>
      <c r="IB243" t="e">
        <f>'Ressource Plan'!220:220-"AM:!.t8"</f>
        <v>#VALUE!</v>
      </c>
      <c r="IC243" t="e">
        <f>'Ressource Plan'!221:221-"AM:!.t9"</f>
        <v>#VALUE!</v>
      </c>
      <c r="ID243" t="e">
        <f>'Ressource Plan'!222:222-"AM:!.t:"</f>
        <v>#VALUE!</v>
      </c>
      <c r="IE243" t="e">
        <f>'Ressource Plan'!223:223-"AM:!.t;"</f>
        <v>#VALUE!</v>
      </c>
      <c r="IF243" t="e">
        <f>'Ressource Plan'!224:224-"AM:!.t&lt;"</f>
        <v>#VALUE!</v>
      </c>
      <c r="IG243" t="e">
        <f>'Ressource Plan'!225:225-"AM:!.t="</f>
        <v>#VALUE!</v>
      </c>
      <c r="IH243" t="e">
        <f>'Ressource Plan'!226:226-"AM:!.t&gt;"</f>
        <v>#VALUE!</v>
      </c>
      <c r="II243" t="e">
        <f>'Ressource Plan'!227:227-"AM:!.t?"</f>
        <v>#VALUE!</v>
      </c>
      <c r="IJ243" t="e">
        <f>'Ressource Plan'!228:228-"AM:!.t@"</f>
        <v>#VALUE!</v>
      </c>
      <c r="IK243" t="e">
        <f>'Ressource Plan'!229:229-"AM:!.tA"</f>
        <v>#VALUE!</v>
      </c>
      <c r="IL243" t="e">
        <f>'Ressource Plan'!230:230-"AM:!.tB"</f>
        <v>#VALUE!</v>
      </c>
      <c r="IM243" t="e">
        <f>'Ressource Plan'!231:231-"AM:!.tC"</f>
        <v>#VALUE!</v>
      </c>
      <c r="IN243" t="e">
        <f>'Ressource Plan'!232:232-"AM:!.tD"</f>
        <v>#VALUE!</v>
      </c>
      <c r="IO243" t="e">
        <f>'Ressource Plan'!233:233-"AM:!.tE"</f>
        <v>#VALUE!</v>
      </c>
      <c r="IP243" t="e">
        <f>'Ressource Plan'!234:234-"AM:!.tF"</f>
        <v>#VALUE!</v>
      </c>
      <c r="IQ243" t="e">
        <f>'Ressource Plan'!235:235-"AM:!.tG"</f>
        <v>#VALUE!</v>
      </c>
      <c r="IR243" t="e">
        <f>'Ressource Plan'!236:236-"AM:!.tH"</f>
        <v>#VALUE!</v>
      </c>
      <c r="IS243" t="e">
        <f>'Ressource Plan'!237:237-"AM:!.tI"</f>
        <v>#VALUE!</v>
      </c>
      <c r="IT243" t="e">
        <f>'Ressource Plan'!238:238-"AM:!.tJ"</f>
        <v>#VALUE!</v>
      </c>
      <c r="IU243" t="e">
        <f>'Ressource Plan'!239:239-"AM:!.tK"</f>
        <v>#VALUE!</v>
      </c>
      <c r="IV243" t="e">
        <f>'Ressource Plan'!240:240-"AM:!.tL"</f>
        <v>#VALUE!</v>
      </c>
    </row>
    <row r="244" spans="6:256">
      <c r="F244" t="e">
        <f>'Ressource Plan'!241:241-"AM:!.tM"</f>
        <v>#VALUE!</v>
      </c>
      <c r="G244" t="e">
        <f>'Ressource Plan'!242:242-"AM:!.tN"</f>
        <v>#VALUE!</v>
      </c>
      <c r="H244" t="e">
        <f>'Ressource Plan'!243:243-"AM:!.tO"</f>
        <v>#VALUE!</v>
      </c>
      <c r="I244" t="e">
        <f>'Ressource Plan'!244:244-"AM:!.tP"</f>
        <v>#VALUE!</v>
      </c>
      <c r="J244" t="e">
        <f>'Ressource Plan'!245:245-"AM:!.tQ"</f>
        <v>#VALUE!</v>
      </c>
      <c r="K244" t="e">
        <f>'Ressource Plan'!246:246-"AM:!.tR"</f>
        <v>#VALUE!</v>
      </c>
      <c r="L244" t="e">
        <f>'Ressource Plan'!247:247-"AM:!.tS"</f>
        <v>#VALUE!</v>
      </c>
      <c r="M244" t="e">
        <f>'Ressource Plan'!248:248-"AM:!.tT"</f>
        <v>#VALUE!</v>
      </c>
      <c r="N244" t="e">
        <f>'Ressource Plan'!249:249-"AM:!.tU"</f>
        <v>#VALUE!</v>
      </c>
      <c r="O244" t="e">
        <f>'Ressource Plan'!A1+"AM:!.tV"</f>
        <v>#VALUE!</v>
      </c>
      <c r="P244" t="e">
        <f>'Ressource Plan'!B1+"AM:!.tW"</f>
        <v>#VALUE!</v>
      </c>
      <c r="Q244" t="e">
        <f>'Ressource Plan'!C1+"AM:!.tX"</f>
        <v>#VALUE!</v>
      </c>
      <c r="R244" t="e">
        <f>'Ressource Plan'!D1+"AM:!.tY"</f>
        <v>#VALUE!</v>
      </c>
      <c r="S244" t="e">
        <f>'Ressource Plan'!E1+"AM:!.tZ"</f>
        <v>#VALUE!</v>
      </c>
      <c r="T244" t="e">
        <f>'Ressource Plan'!F1+"AM:!.t["</f>
        <v>#VALUE!</v>
      </c>
      <c r="U244" t="e">
        <f>'Ressource Plan'!G1+"AM:!.t\"</f>
        <v>#VALUE!</v>
      </c>
      <c r="V244" t="e">
        <f>'Ressource Plan'!H1+"AM:!.t]"</f>
        <v>#VALUE!</v>
      </c>
      <c r="W244" t="e">
        <f>'Ressource Plan'!I1+"AM:!.t^"</f>
        <v>#VALUE!</v>
      </c>
      <c r="X244" t="e">
        <f>'Ressource Plan'!J1+"AM:!.t_"</f>
        <v>#VALUE!</v>
      </c>
      <c r="Y244" t="e">
        <f>'Ressource Plan'!K1+"AM:!.t`"</f>
        <v>#VALUE!</v>
      </c>
      <c r="Z244" t="e">
        <f>'Ressource Plan'!L1+"AM:!.ta"</f>
        <v>#VALUE!</v>
      </c>
      <c r="AA244" t="e">
        <f>'Ressource Plan'!M1+"AM:!.tb"</f>
        <v>#VALUE!</v>
      </c>
      <c r="AB244" t="e">
        <f>'Ressource Plan'!N1+"AM:!.tc"</f>
        <v>#VALUE!</v>
      </c>
      <c r="AC244" t="e">
        <f>'Ressource Plan'!O1+"AM:!.td"</f>
        <v>#VALUE!</v>
      </c>
      <c r="AD244" t="e">
        <f>'Ressource Plan'!P1+"AM:!.te"</f>
        <v>#VALUE!</v>
      </c>
      <c r="AE244" t="e">
        <f>'Ressource Plan'!Q1+"AM:!.tf"</f>
        <v>#VALUE!</v>
      </c>
      <c r="AF244" t="e">
        <f>'Ressource Plan'!R1+"AM:!.tg"</f>
        <v>#VALUE!</v>
      </c>
      <c r="AG244" t="e">
        <f>'Ressource Plan'!S1+"AM:!.th"</f>
        <v>#VALUE!</v>
      </c>
      <c r="AH244" t="e">
        <f>'Ressource Plan'!T1+"AM:!.ti"</f>
        <v>#VALUE!</v>
      </c>
      <c r="AI244" t="e">
        <f>'Ressource Plan'!A2+"AM:!.tj"</f>
        <v>#VALUE!</v>
      </c>
      <c r="AJ244" t="e">
        <f>'Ressource Plan'!B2+"AM:!.tk"</f>
        <v>#VALUE!</v>
      </c>
      <c r="AK244" t="e">
        <f>'Ressource Plan'!C2+"AM:!.tl"</f>
        <v>#VALUE!</v>
      </c>
      <c r="AL244" t="e">
        <f>'Ressource Plan'!D2+"AM:!.tm"</f>
        <v>#VALUE!</v>
      </c>
      <c r="AM244" t="e">
        <f>'Ressource Plan'!E2+"AM:!.tn"</f>
        <v>#VALUE!</v>
      </c>
      <c r="AN244" t="e">
        <f>'Ressource Plan'!F2+"AM:!.to"</f>
        <v>#VALUE!</v>
      </c>
      <c r="AO244" t="e">
        <f>'Ressource Plan'!H2+"AM:!.tp"</f>
        <v>#VALUE!</v>
      </c>
      <c r="AP244" t="e">
        <f>'Ressource Plan'!I2+"AM:!.tq"</f>
        <v>#VALUE!</v>
      </c>
      <c r="AQ244" t="e">
        <f>'Ressource Plan'!J2+"AM:!.tr"</f>
        <v>#VALUE!</v>
      </c>
      <c r="AR244" t="e">
        <f>'Ressource Plan'!K2+"AM:!.ts"</f>
        <v>#VALUE!</v>
      </c>
      <c r="AS244" t="e">
        <f>'Ressource Plan'!L2+"AM:!.tt"</f>
        <v>#VALUE!</v>
      </c>
      <c r="AT244" t="e">
        <f>'Ressource Plan'!M2+"AM:!.tu"</f>
        <v>#VALUE!</v>
      </c>
      <c r="AU244" t="e">
        <f>'Ressource Plan'!N2+"AM:!.tv"</f>
        <v>#VALUE!</v>
      </c>
      <c r="AV244" t="e">
        <f>'Ressource Plan'!O2+"AM:!.tw"</f>
        <v>#VALUE!</v>
      </c>
      <c r="AW244" t="e">
        <f>'Ressource Plan'!P2+"AM:!.tx"</f>
        <v>#VALUE!</v>
      </c>
      <c r="AX244" t="e">
        <f>'Ressource Plan'!Q2+"AM:!.ty"</f>
        <v>#VALUE!</v>
      </c>
      <c r="AY244" t="e">
        <f>'Ressource Plan'!R2+"AM:!.tz"</f>
        <v>#VALUE!</v>
      </c>
      <c r="AZ244" t="e">
        <f>'Ressource Plan'!S2+"AM:!.t{"</f>
        <v>#VALUE!</v>
      </c>
      <c r="BA244" t="e">
        <f>'Ressource Plan'!T2+"AM:!.t|"</f>
        <v>#VALUE!</v>
      </c>
      <c r="BB244" t="e">
        <f>'Ressource Plan'!A3+"AM:!.t}"</f>
        <v>#VALUE!</v>
      </c>
      <c r="BC244" t="e">
        <f>'Ressource Plan'!B3+"AM:!.t~"</f>
        <v>#VALUE!</v>
      </c>
      <c r="BD244" t="e">
        <f>'Ressource Plan'!C3+"AM:!.u#"</f>
        <v>#VALUE!</v>
      </c>
      <c r="BE244" t="e">
        <f>'Ressource Plan'!D3+"AM:!.u$"</f>
        <v>#VALUE!</v>
      </c>
      <c r="BF244" t="e">
        <f>'Ressource Plan'!E3+"AM:!.u%"</f>
        <v>#VALUE!</v>
      </c>
      <c r="BG244" t="e">
        <f>'Ressource Plan'!F3+"AM:!.u&amp;"</f>
        <v>#VALUE!</v>
      </c>
      <c r="BH244" t="e">
        <f>'Ressource Plan'!H3+"AM:!.u'"</f>
        <v>#VALUE!</v>
      </c>
      <c r="BI244" t="e">
        <f>'Ressource Plan'!I3+"AM:!.u("</f>
        <v>#VALUE!</v>
      </c>
      <c r="BJ244" t="e">
        <f>'Ressource Plan'!J3+"AM:!.u)"</f>
        <v>#VALUE!</v>
      </c>
      <c r="BK244" t="e">
        <f>'Ressource Plan'!K3+"AM:!.u."</f>
        <v>#VALUE!</v>
      </c>
      <c r="BL244" t="e">
        <f>'Ressource Plan'!L3+"AM:!.u/"</f>
        <v>#VALUE!</v>
      </c>
      <c r="BM244" t="e">
        <f>'Ressource Plan'!M3+"AM:!.u0"</f>
        <v>#VALUE!</v>
      </c>
      <c r="BN244" t="e">
        <f>'Ressource Plan'!N3+"AM:!.u1"</f>
        <v>#VALUE!</v>
      </c>
      <c r="BO244" t="e">
        <f>'Ressource Plan'!O3+"AM:!.u2"</f>
        <v>#VALUE!</v>
      </c>
      <c r="BP244" t="e">
        <f>'Ressource Plan'!P3+"AM:!.u3"</f>
        <v>#VALUE!</v>
      </c>
      <c r="BQ244" t="e">
        <f>'Ressource Plan'!Q3+"AM:!.u4"</f>
        <v>#VALUE!</v>
      </c>
      <c r="BR244" t="e">
        <f>'Ressource Plan'!R3+"AM:!.u5"</f>
        <v>#VALUE!</v>
      </c>
      <c r="BS244" t="e">
        <f>'Ressource Plan'!S3+"AM:!.u6"</f>
        <v>#VALUE!</v>
      </c>
      <c r="BT244" t="e">
        <f>'Ressource Plan'!T3+"AM:!.u7"</f>
        <v>#VALUE!</v>
      </c>
      <c r="BU244" t="e">
        <f>'Ressource Plan'!A4+"AM:!.u8"</f>
        <v>#VALUE!</v>
      </c>
      <c r="BV244" t="e">
        <f>'Ressource Plan'!B4+"AM:!.u9"</f>
        <v>#VALUE!</v>
      </c>
      <c r="BW244" t="e">
        <f>'Ressource Plan'!C4+"AM:!.u:"</f>
        <v>#VALUE!</v>
      </c>
      <c r="BX244" t="e">
        <f>'Ressource Plan'!D4+"AM:!.u;"</f>
        <v>#VALUE!</v>
      </c>
      <c r="BY244" t="e">
        <f>'Ressource Plan'!E4+"AM:!.u&lt;"</f>
        <v>#VALUE!</v>
      </c>
      <c r="BZ244" t="e">
        <f>'Ressource Plan'!F4+"AM:!.u="</f>
        <v>#VALUE!</v>
      </c>
      <c r="CA244" t="e">
        <f>'Ressource Plan'!G4+"AM:!.u&gt;"</f>
        <v>#VALUE!</v>
      </c>
      <c r="CB244" t="e">
        <f>'Ressource Plan'!H4+"AM:!.u?"</f>
        <v>#VALUE!</v>
      </c>
      <c r="CC244" t="e">
        <f>'Ressource Plan'!I4+"AM:!.u@"</f>
        <v>#VALUE!</v>
      </c>
      <c r="CD244" t="e">
        <f>'Ressource Plan'!J4+"AM:!.uA"</f>
        <v>#VALUE!</v>
      </c>
      <c r="CE244" t="e">
        <f>'Ressource Plan'!K4+"AM:!.uB"</f>
        <v>#VALUE!</v>
      </c>
      <c r="CF244" t="e">
        <f>'Ressource Plan'!L4+"AM:!.uC"</f>
        <v>#VALUE!</v>
      </c>
      <c r="CG244" t="e">
        <f>'Ressource Plan'!M4+"AM:!.uD"</f>
        <v>#VALUE!</v>
      </c>
      <c r="CH244" t="e">
        <f>'Ressource Plan'!N4+"AM:!.uE"</f>
        <v>#VALUE!</v>
      </c>
      <c r="CI244" t="e">
        <f>'Ressource Plan'!O4+"AM:!.uF"</f>
        <v>#VALUE!</v>
      </c>
      <c r="CJ244" t="e">
        <f>'Ressource Plan'!P4+"AM:!.uG"</f>
        <v>#VALUE!</v>
      </c>
      <c r="CK244" t="e">
        <f>'Ressource Plan'!Q4+"AM:!.uH"</f>
        <v>#VALUE!</v>
      </c>
      <c r="CL244" t="e">
        <f>'Ressource Plan'!R4+"AM:!.uI"</f>
        <v>#VALUE!</v>
      </c>
      <c r="CM244" t="e">
        <f>'Ressource Plan'!S4+"AM:!.uJ"</f>
        <v>#VALUE!</v>
      </c>
      <c r="CN244" t="e">
        <f>'Ressource Plan'!T4+"AM:!.uK"</f>
        <v>#VALUE!</v>
      </c>
      <c r="CO244" t="e">
        <f>'Ressource Plan'!A5+"AM:!.uL"</f>
        <v>#VALUE!</v>
      </c>
      <c r="CP244" t="e">
        <f>'Ressource Plan'!B5+"AM:!.uM"</f>
        <v>#VALUE!</v>
      </c>
      <c r="CQ244" t="e">
        <f>'Ressource Plan'!C5+"AM:!.uN"</f>
        <v>#VALUE!</v>
      </c>
      <c r="CR244" t="e">
        <f>'Ressource Plan'!D5+"AM:!.uO"</f>
        <v>#VALUE!</v>
      </c>
      <c r="CS244" t="e">
        <f>'Ressource Plan'!E5+"AM:!.uP"</f>
        <v>#VALUE!</v>
      </c>
      <c r="CT244" t="e">
        <f>'Ressource Plan'!F5+"AM:!.uQ"</f>
        <v>#VALUE!</v>
      </c>
      <c r="CU244" t="e">
        <f>'Ressource Plan'!G5+"AM:!.uR"</f>
        <v>#VALUE!</v>
      </c>
      <c r="CV244" t="e">
        <f>'Ressource Plan'!H5+"AM:!.uS"</f>
        <v>#VALUE!</v>
      </c>
      <c r="CW244" t="e">
        <f>'Ressource Plan'!I5+"AM:!.uT"</f>
        <v>#VALUE!</v>
      </c>
      <c r="CX244" t="e">
        <f>'Ressource Plan'!J5+"AM:!.uU"</f>
        <v>#VALUE!</v>
      </c>
      <c r="CY244" t="e">
        <f>'Ressource Plan'!K5+"AM:!.uV"</f>
        <v>#VALUE!</v>
      </c>
      <c r="CZ244" t="e">
        <f>'Ressource Plan'!L5+"AM:!.uW"</f>
        <v>#VALUE!</v>
      </c>
      <c r="DA244" t="e">
        <f>'Ressource Plan'!M5+"AM:!.uX"</f>
        <v>#VALUE!</v>
      </c>
      <c r="DB244" t="e">
        <f>'Ressource Plan'!N5+"AM:!.uY"</f>
        <v>#VALUE!</v>
      </c>
      <c r="DC244" t="e">
        <f>'Ressource Plan'!O5+"AM:!.uZ"</f>
        <v>#VALUE!</v>
      </c>
      <c r="DD244" t="e">
        <f>'Ressource Plan'!P5+"AM:!.u["</f>
        <v>#VALUE!</v>
      </c>
      <c r="DE244" t="e">
        <f>'Ressource Plan'!Q5+"AM:!.u\"</f>
        <v>#VALUE!</v>
      </c>
      <c r="DF244" t="e">
        <f>'Ressource Plan'!R5+"AM:!.u]"</f>
        <v>#VALUE!</v>
      </c>
      <c r="DG244" t="e">
        <f>'Ressource Plan'!S5+"AM:!.u^"</f>
        <v>#VALUE!</v>
      </c>
      <c r="DH244" t="e">
        <f>'Ressource Plan'!T5+"AM:!.u_"</f>
        <v>#VALUE!</v>
      </c>
      <c r="DI244" t="e">
        <f>'Ressource Plan'!U5+"AM:!.u`"</f>
        <v>#VALUE!</v>
      </c>
      <c r="DJ244" t="e">
        <f>'Ressource Plan'!V5+"AM:!.ua"</f>
        <v>#VALUE!</v>
      </c>
      <c r="DK244" t="e">
        <f>'Ressource Plan'!W5+"AM:!.ub"</f>
        <v>#VALUE!</v>
      </c>
      <c r="DL244" t="e">
        <f>'Ressource Plan'!X5+"AM:!.uc"</f>
        <v>#VALUE!</v>
      </c>
      <c r="DM244" t="e">
        <f>'Ressource Plan'!Y5+"AM:!.ud"</f>
        <v>#VALUE!</v>
      </c>
      <c r="DN244" t="e">
        <f>'Ressource Plan'!Z5+"AM:!.ue"</f>
        <v>#VALUE!</v>
      </c>
      <c r="DO244" t="e">
        <f>'Ressource Plan'!AA5+"AM:!.uf"</f>
        <v>#VALUE!</v>
      </c>
      <c r="DP244" t="e">
        <f>'Ressource Plan'!AB5+"AM:!.ug"</f>
        <v>#VALUE!</v>
      </c>
      <c r="DQ244" t="e">
        <f>'Ressource Plan'!AC5+"AM:!.uh"</f>
        <v>#VALUE!</v>
      </c>
      <c r="DR244" t="e">
        <f>'Ressource Plan'!AD5+"AM:!.ui"</f>
        <v>#VALUE!</v>
      </c>
      <c r="DS244" t="e">
        <f>'Ressource Plan'!AE5+"AM:!.uj"</f>
        <v>#VALUE!</v>
      </c>
      <c r="DT244" t="e">
        <f>'Ressource Plan'!AF5+"AM:!.uk"</f>
        <v>#VALUE!</v>
      </c>
      <c r="DU244" t="e">
        <f>'Ressource Plan'!AG5+"AM:!.ul"</f>
        <v>#VALUE!</v>
      </c>
      <c r="DV244" t="e">
        <f>'Ressource Plan'!AH5+"AM:!.um"</f>
        <v>#VALUE!</v>
      </c>
      <c r="DW244" t="e">
        <f>'Ressource Plan'!AI5+"AM:!.un"</f>
        <v>#VALUE!</v>
      </c>
      <c r="DX244" t="e">
        <f>'Ressource Plan'!AJ5+"AM:!.uo"</f>
        <v>#VALUE!</v>
      </c>
      <c r="DY244" t="e">
        <f>'Ressource Plan'!AK5+"AM:!.up"</f>
        <v>#VALUE!</v>
      </c>
      <c r="DZ244" t="e">
        <f>'Ressource Plan'!AL5+"AM:!.uq"</f>
        <v>#VALUE!</v>
      </c>
      <c r="EA244" t="e">
        <f>'Ressource Plan'!AM5+"AM:!.ur"</f>
        <v>#VALUE!</v>
      </c>
      <c r="EB244" t="e">
        <f>'Ressource Plan'!AN5+"AM:!.us"</f>
        <v>#VALUE!</v>
      </c>
      <c r="EC244" t="e">
        <f>'Ressource Plan'!AO5+"AM:!.ut"</f>
        <v>#VALUE!</v>
      </c>
      <c r="ED244" t="e">
        <f>'Ressource Plan'!AP5+"AM:!.uu"</f>
        <v>#VALUE!</v>
      </c>
      <c r="EE244" t="e">
        <f>'Ressource Plan'!AQ5+"AM:!.uv"</f>
        <v>#VALUE!</v>
      </c>
      <c r="EF244" t="e">
        <f>'Ressource Plan'!AR5+"AM:!.uw"</f>
        <v>#VALUE!</v>
      </c>
      <c r="EG244" t="e">
        <f>'Ressource Plan'!AS5+"AM:!.ux"</f>
        <v>#VALUE!</v>
      </c>
      <c r="EH244" t="e">
        <f>'Ressource Plan'!AT5+"AM:!.uy"</f>
        <v>#VALUE!</v>
      </c>
      <c r="EI244" t="e">
        <f>'Ressource Plan'!AU5+"AM:!.uz"</f>
        <v>#VALUE!</v>
      </c>
      <c r="EJ244" t="e">
        <f>'Ressource Plan'!AV5+"AM:!.u{"</f>
        <v>#VALUE!</v>
      </c>
      <c r="EK244" t="e">
        <f>'Ressource Plan'!AW5+"AM:!.u|"</f>
        <v>#VALUE!</v>
      </c>
      <c r="EL244" t="e">
        <f>'Ressource Plan'!AX5+"AM:!.u}"</f>
        <v>#VALUE!</v>
      </c>
      <c r="EM244" t="e">
        <f>'Ressource Plan'!AY5+"AM:!.u~"</f>
        <v>#VALUE!</v>
      </c>
      <c r="EN244" t="e">
        <f>'Ressource Plan'!AZ5+"AM:!.v#"</f>
        <v>#VALUE!</v>
      </c>
      <c r="EO244" t="e">
        <f>'Ressource Plan'!BA5+"AM:!.v$"</f>
        <v>#VALUE!</v>
      </c>
      <c r="EP244" t="e">
        <f>'Ressource Plan'!BB5+"AM:!.v%"</f>
        <v>#VALUE!</v>
      </c>
      <c r="EQ244" t="e">
        <f>'Ressource Plan'!BC5+"AM:!.v&amp;"</f>
        <v>#VALUE!</v>
      </c>
      <c r="ER244" t="e">
        <f>'Ressource Plan'!BD5+"AM:!.v'"</f>
        <v>#VALUE!</v>
      </c>
      <c r="ES244" t="e">
        <f>'Ressource Plan'!BE5+"AM:!.v("</f>
        <v>#VALUE!</v>
      </c>
      <c r="ET244" t="e">
        <f>'Ressource Plan'!BF5+"AM:!.v)"</f>
        <v>#VALUE!</v>
      </c>
      <c r="EU244" t="e">
        <f>'Ressource Plan'!BG5+"AM:!.v."</f>
        <v>#VALUE!</v>
      </c>
      <c r="EV244" t="e">
        <f>'Ressource Plan'!BH5+"AM:!.v/"</f>
        <v>#VALUE!</v>
      </c>
      <c r="EW244" t="e">
        <f>'Ressource Plan'!BI5+"AM:!.v0"</f>
        <v>#VALUE!</v>
      </c>
      <c r="EX244" t="e">
        <f>'Ressource Plan'!BJ5+"AM:!.v1"</f>
        <v>#VALUE!</v>
      </c>
      <c r="EY244" t="e">
        <f>'Ressource Plan'!BK5+"AM:!.v2"</f>
        <v>#VALUE!</v>
      </c>
      <c r="EZ244" t="e">
        <f>'Ressource Plan'!BL5+"AM:!.v3"</f>
        <v>#VALUE!</v>
      </c>
      <c r="FA244" t="e">
        <f>'Ressource Plan'!BM5+"AM:!.v4"</f>
        <v>#VALUE!</v>
      </c>
      <c r="FB244" t="e">
        <f>'Ressource Plan'!BN5+"AM:!.v5"</f>
        <v>#VALUE!</v>
      </c>
      <c r="FC244" t="e">
        <f>'Ressource Plan'!BO5+"AM:!.v6"</f>
        <v>#VALUE!</v>
      </c>
      <c r="FD244" t="e">
        <f>'Ressource Plan'!BP5+"AM:!.v7"</f>
        <v>#VALUE!</v>
      </c>
      <c r="FE244" t="e">
        <f>'Ressource Plan'!BQ5+"AM:!.v8"</f>
        <v>#VALUE!</v>
      </c>
      <c r="FF244" t="e">
        <f>'Ressource Plan'!BR5+"AM:!.v9"</f>
        <v>#VALUE!</v>
      </c>
      <c r="FG244" t="e">
        <f>'Ressource Plan'!BS5+"AM:!.v:"</f>
        <v>#VALUE!</v>
      </c>
      <c r="FH244" t="e">
        <f>'Ressource Plan'!BT5+"AM:!.v;"</f>
        <v>#VALUE!</v>
      </c>
      <c r="FI244" t="e">
        <f>'Ressource Plan'!BU5+"AM:!.v&lt;"</f>
        <v>#VALUE!</v>
      </c>
      <c r="FJ244" t="e">
        <f>'Ressource Plan'!BV5+"AM:!.v="</f>
        <v>#VALUE!</v>
      </c>
      <c r="FK244" t="e">
        <f>'Ressource Plan'!BW5+"AM:!.v&gt;"</f>
        <v>#VALUE!</v>
      </c>
      <c r="FL244" t="e">
        <f>'Ressource Plan'!BX5+"AM:!.v?"</f>
        <v>#VALUE!</v>
      </c>
      <c r="FM244" t="e">
        <f>'Ressource Plan'!BY5+"AM:!.v@"</f>
        <v>#VALUE!</v>
      </c>
      <c r="FN244" t="e">
        <f>'Ressource Plan'!BZ5+"AM:!.vA"</f>
        <v>#VALUE!</v>
      </c>
      <c r="FO244" t="e">
        <f>'Ressource Plan'!CA5+"AM:!.vB"</f>
        <v>#VALUE!</v>
      </c>
      <c r="FP244" t="e">
        <f>'Ressource Plan'!CB5+"AM:!.vC"</f>
        <v>#VALUE!</v>
      </c>
      <c r="FQ244" t="e">
        <f>'Ressource Plan'!CC5+"AM:!.vD"</f>
        <v>#VALUE!</v>
      </c>
      <c r="FR244" t="e">
        <f>'Ressource Plan'!A6+"AM:!.vE"</f>
        <v>#VALUE!</v>
      </c>
      <c r="FS244" t="e">
        <f>'Ressource Plan'!B6+"AM:!.vF"</f>
        <v>#VALUE!</v>
      </c>
      <c r="FT244" t="e">
        <f>'Ressource Plan'!C6+"AM:!.vG"</f>
        <v>#VALUE!</v>
      </c>
      <c r="FU244" t="e">
        <f>'Ressource Plan'!D6+"AM:!.vH"</f>
        <v>#VALUE!</v>
      </c>
      <c r="FV244" t="e">
        <f>'Ressource Plan'!E6+"AM:!.vI"</f>
        <v>#VALUE!</v>
      </c>
      <c r="FW244" s="98" t="e">
        <f>'Ressource Plan'!F6+"AM:!.vJ"</f>
        <v>#VALUE!</v>
      </c>
      <c r="FX244" t="e">
        <f>'Ressource Plan'!G6+"AM:!.vK"</f>
        <v>#VALUE!</v>
      </c>
      <c r="FY244" s="98" t="e">
        <f>'Ressource Plan'!H6+"AM:!.vL"</f>
        <v>#VALUE!</v>
      </c>
      <c r="FZ244" t="e">
        <f>'Ressource Plan'!I6+"AM:!.vM"</f>
        <v>#VALUE!</v>
      </c>
      <c r="GA244" s="98" t="e">
        <f>'Ressource Plan'!J6+"AM:!.vN"</f>
        <v>#VALUE!</v>
      </c>
      <c r="GB244" t="e">
        <f>'Ressource Plan'!K6+"AM:!.vO"</f>
        <v>#VALUE!</v>
      </c>
      <c r="GC244" s="98" t="e">
        <f>'Ressource Plan'!L6+"AM:!.vP"</f>
        <v>#VALUE!</v>
      </c>
      <c r="GD244" t="e">
        <f>'Ressource Plan'!M6+"AM:!.vQ"</f>
        <v>#VALUE!</v>
      </c>
      <c r="GE244" s="98" t="e">
        <f>'Ressource Plan'!N6+"AM:!.vR"</f>
        <v>#VALUE!</v>
      </c>
      <c r="GF244" t="e">
        <f>'Ressource Plan'!O6+"AM:!.vS"</f>
        <v>#VALUE!</v>
      </c>
      <c r="GG244" s="98" t="e">
        <f>'Ressource Plan'!P6+"AM:!.vT"</f>
        <v>#VALUE!</v>
      </c>
      <c r="GH244" t="e">
        <f>'Ressource Plan'!Q6+"AM:!.vU"</f>
        <v>#VALUE!</v>
      </c>
      <c r="GI244" s="98" t="e">
        <f>'Ressource Plan'!R6+"AM:!.vV"</f>
        <v>#VALUE!</v>
      </c>
      <c r="GJ244" t="e">
        <f>'Ressource Plan'!S6+"AM:!.vW"</f>
        <v>#VALUE!</v>
      </c>
      <c r="GK244" s="98" t="e">
        <f>'Ressource Plan'!T6+"AM:!.vX"</f>
        <v>#VALUE!</v>
      </c>
      <c r="GL244" t="e">
        <f>'Ressource Plan'!U6+"AM:!.vY"</f>
        <v>#VALUE!</v>
      </c>
      <c r="GM244" s="98" t="e">
        <f>'Ressource Plan'!V6+"AM:!.vZ"</f>
        <v>#VALUE!</v>
      </c>
      <c r="GN244" t="e">
        <f>'Ressource Plan'!W6+"AM:!.v["</f>
        <v>#VALUE!</v>
      </c>
      <c r="GO244" s="98" t="e">
        <f>'Ressource Plan'!X6+"AM:!.v\"</f>
        <v>#VALUE!</v>
      </c>
      <c r="GP244" t="e">
        <f>'Ressource Plan'!Y6+"AM:!.v]"</f>
        <v>#VALUE!</v>
      </c>
      <c r="GQ244" s="98" t="e">
        <f>'Ressource Plan'!Z6+"AM:!.v^"</f>
        <v>#VALUE!</v>
      </c>
      <c r="GR244" t="e">
        <f>'Ressource Plan'!AA6+"AM:!.v_"</f>
        <v>#VALUE!</v>
      </c>
      <c r="GS244" s="98" t="e">
        <f>'Ressource Plan'!AB6+"AM:!.v`"</f>
        <v>#VALUE!</v>
      </c>
      <c r="GT244" t="e">
        <f>'Ressource Plan'!AC6+"AM:!.va"</f>
        <v>#VALUE!</v>
      </c>
      <c r="GU244" s="98" t="e">
        <f>'Ressource Plan'!AD6+"AM:!.vb"</f>
        <v>#VALUE!</v>
      </c>
      <c r="GV244" t="e">
        <f>'Ressource Plan'!AE6+"AM:!.vc"</f>
        <v>#VALUE!</v>
      </c>
      <c r="GW244" s="98" t="e">
        <f>'Ressource Plan'!AF6+"AM:!.vd"</f>
        <v>#VALUE!</v>
      </c>
      <c r="GX244" t="e">
        <f>'Ressource Plan'!AG6+"AM:!.ve"</f>
        <v>#VALUE!</v>
      </c>
      <c r="GY244" s="98" t="e">
        <f>'Ressource Plan'!AH6+"AM:!.vf"</f>
        <v>#VALUE!</v>
      </c>
      <c r="GZ244" t="e">
        <f>'Ressource Plan'!AI6+"AM:!.vg"</f>
        <v>#VALUE!</v>
      </c>
      <c r="HA244" s="98" t="e">
        <f>'Ressource Plan'!AJ6+"AM:!.vh"</f>
        <v>#VALUE!</v>
      </c>
      <c r="HB244" t="e">
        <f>'Ressource Plan'!AK6+"AM:!.vi"</f>
        <v>#VALUE!</v>
      </c>
      <c r="HC244" s="98" t="e">
        <f>'Ressource Plan'!AL6+"AM:!.vj"</f>
        <v>#VALUE!</v>
      </c>
      <c r="HD244" t="e">
        <f>'Ressource Plan'!AM6+"AM:!.vk"</f>
        <v>#VALUE!</v>
      </c>
      <c r="HE244" s="98" t="e">
        <f>'Ressource Plan'!AN6+"AM:!.vl"</f>
        <v>#VALUE!</v>
      </c>
      <c r="HF244" t="e">
        <f>'Ressource Plan'!AO6+"AM:!.vm"</f>
        <v>#VALUE!</v>
      </c>
      <c r="HG244" s="98" t="e">
        <f>'Ressource Plan'!AP6+"AM:!.vn"</f>
        <v>#VALUE!</v>
      </c>
      <c r="HH244" t="e">
        <f>'Ressource Plan'!AQ6+"AM:!.vo"</f>
        <v>#VALUE!</v>
      </c>
      <c r="HI244" s="98" t="e">
        <f>'Ressource Plan'!AR6+"AM:!.vp"</f>
        <v>#VALUE!</v>
      </c>
      <c r="HJ244" t="e">
        <f>'Ressource Plan'!AS6+"AM:!.vq"</f>
        <v>#VALUE!</v>
      </c>
      <c r="HK244" s="98" t="e">
        <f>'Ressource Plan'!AT6+"AM:!.vr"</f>
        <v>#VALUE!</v>
      </c>
      <c r="HL244" t="e">
        <f>'Ressource Plan'!AU6+"AM:!.vs"</f>
        <v>#VALUE!</v>
      </c>
      <c r="HM244" s="98" t="e">
        <f>'Ressource Plan'!AV6+"AM:!.vt"</f>
        <v>#VALUE!</v>
      </c>
      <c r="HN244" t="e">
        <f>'Ressource Plan'!AW6+"AM:!.vu"</f>
        <v>#VALUE!</v>
      </c>
      <c r="HO244" s="98" t="e">
        <f>'Ressource Plan'!AX6+"AM:!.vv"</f>
        <v>#VALUE!</v>
      </c>
      <c r="HP244" t="e">
        <f>'Ressource Plan'!AY6+"AM:!.vw"</f>
        <v>#VALUE!</v>
      </c>
      <c r="HQ244" s="98" t="e">
        <f>'Ressource Plan'!AZ6+"AM:!.vx"</f>
        <v>#VALUE!</v>
      </c>
      <c r="HR244" t="e">
        <f>'Ressource Plan'!BA6+"AM:!.vy"</f>
        <v>#VALUE!</v>
      </c>
      <c r="HS244" s="98" t="e">
        <f>'Ressource Plan'!BB6+"AM:!.vz"</f>
        <v>#VALUE!</v>
      </c>
      <c r="HT244" t="e">
        <f>'Ressource Plan'!BC6+"AM:!.v{"</f>
        <v>#VALUE!</v>
      </c>
      <c r="HU244" s="98" t="e">
        <f>'Ressource Plan'!BD6+"AM:!.v|"</f>
        <v>#VALUE!</v>
      </c>
      <c r="HV244" t="e">
        <f>'Ressource Plan'!BE6+"AM:!.v}"</f>
        <v>#VALUE!</v>
      </c>
      <c r="HW244" s="98" t="e">
        <f>'Ressource Plan'!BF6+"AM:!.v~"</f>
        <v>#VALUE!</v>
      </c>
      <c r="HX244" t="e">
        <f>'Ressource Plan'!BG6+"AM:!.w#"</f>
        <v>#VALUE!</v>
      </c>
      <c r="HY244" s="98" t="e">
        <f>'Ressource Plan'!BH6+"AM:!.w$"</f>
        <v>#VALUE!</v>
      </c>
      <c r="HZ244" t="e">
        <f>'Ressource Plan'!BI6+"AM:!.w%"</f>
        <v>#VALUE!</v>
      </c>
      <c r="IA244" s="98" t="e">
        <f>'Ressource Plan'!BJ6+"AM:!.w&amp;"</f>
        <v>#VALUE!</v>
      </c>
      <c r="IB244" t="e">
        <f>'Ressource Plan'!BK6+"AM:!.w'"</f>
        <v>#VALUE!</v>
      </c>
      <c r="IC244" s="98" t="e">
        <f>'Ressource Plan'!BL6+"AM:!.w("</f>
        <v>#VALUE!</v>
      </c>
      <c r="ID244" t="e">
        <f>'Ressource Plan'!BM6+"AM:!.w)"</f>
        <v>#VALUE!</v>
      </c>
      <c r="IE244" s="98" t="e">
        <f>'Ressource Plan'!BN6+"AM:!.w."</f>
        <v>#VALUE!</v>
      </c>
      <c r="IF244" t="e">
        <f>'Ressource Plan'!BO6+"AM:!.w/"</f>
        <v>#VALUE!</v>
      </c>
      <c r="IG244" s="98" t="e">
        <f>'Ressource Plan'!BP6+"AM:!.w0"</f>
        <v>#VALUE!</v>
      </c>
      <c r="IH244" t="e">
        <f>'Ressource Plan'!BQ6+"AM:!.w1"</f>
        <v>#VALUE!</v>
      </c>
      <c r="II244" s="98" t="e">
        <f>'Ressource Plan'!BR6+"AM:!.w2"</f>
        <v>#VALUE!</v>
      </c>
      <c r="IJ244" t="e">
        <f>'Ressource Plan'!BS6+"AM:!.w3"</f>
        <v>#VALUE!</v>
      </c>
      <c r="IK244" s="98" t="e">
        <f>'Ressource Plan'!BT6+"AM:!.w4"</f>
        <v>#VALUE!</v>
      </c>
      <c r="IL244" t="e">
        <f>'Ressource Plan'!BU6+"AM:!.w5"</f>
        <v>#VALUE!</v>
      </c>
      <c r="IM244" s="98" t="e">
        <f>'Ressource Plan'!BV6+"AM:!.w6"</f>
        <v>#VALUE!</v>
      </c>
      <c r="IN244" t="e">
        <f>'Ressource Plan'!BW6+"AM:!.w7"</f>
        <v>#VALUE!</v>
      </c>
      <c r="IO244" s="98" t="e">
        <f>'Ressource Plan'!BX6+"AM:!.w8"</f>
        <v>#VALUE!</v>
      </c>
      <c r="IP244" t="e">
        <f>'Ressource Plan'!BY6+"AM:!.w9"</f>
        <v>#VALUE!</v>
      </c>
      <c r="IQ244" s="98" t="e">
        <f>'Ressource Plan'!BZ6+"AM:!.w:"</f>
        <v>#VALUE!</v>
      </c>
      <c r="IR244" t="e">
        <f>'Ressource Plan'!CA6+"AM:!.w;"</f>
        <v>#VALUE!</v>
      </c>
      <c r="IS244" s="98" t="e">
        <f>'Ressource Plan'!CB6+"AM:!.w&lt;"</f>
        <v>#VALUE!</v>
      </c>
      <c r="IT244" t="e">
        <f>'Ressource Plan'!CC6+"AM:!.w="</f>
        <v>#VALUE!</v>
      </c>
      <c r="IU244" t="e">
        <f>'Ressource Plan'!A7+"AM:!.w&gt;"</f>
        <v>#VALUE!</v>
      </c>
      <c r="IV244" t="e">
        <f>'Ressource Plan'!B7+"AM:!.w?"</f>
        <v>#VALUE!</v>
      </c>
    </row>
    <row r="245" spans="6:256">
      <c r="F245" t="e">
        <f>'Ressource Plan'!C7+"AM:!.w@"</f>
        <v>#VALUE!</v>
      </c>
      <c r="G245" t="e">
        <f>'Ressource Plan'!D7+"AM:!.wA"</f>
        <v>#VALUE!</v>
      </c>
      <c r="H245" t="e">
        <f>'Ressource Plan'!E7+"AM:!.wB"</f>
        <v>#VALUE!</v>
      </c>
      <c r="I245" t="e">
        <f>'Ressource Plan'!F7+"AM:!.wC"</f>
        <v>#VALUE!</v>
      </c>
      <c r="J245" t="e">
        <f>'Ressource Plan'!G7+"AM:!.wD"</f>
        <v>#VALUE!</v>
      </c>
      <c r="K245" t="e">
        <f>'Ressource Plan'!H7+"AM:!.wE"</f>
        <v>#VALUE!</v>
      </c>
      <c r="L245" t="e">
        <f>'Ressource Plan'!I7+"AM:!.wF"</f>
        <v>#VALUE!</v>
      </c>
      <c r="M245" t="e">
        <f>'Ressource Plan'!J7+"AM:!.wG"</f>
        <v>#VALUE!</v>
      </c>
      <c r="N245" t="e">
        <f>'Ressource Plan'!K7+"AM:!.wH"</f>
        <v>#VALUE!</v>
      </c>
      <c r="O245" t="e">
        <f>'Ressource Plan'!L7+"AM:!.wI"</f>
        <v>#VALUE!</v>
      </c>
      <c r="P245" t="e">
        <f>'Ressource Plan'!M7+"AM:!.wJ"</f>
        <v>#VALUE!</v>
      </c>
      <c r="Q245" t="e">
        <f>'Ressource Plan'!N7+"AM:!.wK"</f>
        <v>#VALUE!</v>
      </c>
      <c r="R245" t="e">
        <f>'Ressource Plan'!O7+"AM:!.wL"</f>
        <v>#VALUE!</v>
      </c>
      <c r="S245" t="e">
        <f>'Ressource Plan'!P7+"AM:!.wM"</f>
        <v>#VALUE!</v>
      </c>
      <c r="T245" t="e">
        <f>'Ressource Plan'!Q7+"AM:!.wN"</f>
        <v>#VALUE!</v>
      </c>
      <c r="U245" t="e">
        <f>'Ressource Plan'!R7+"AM:!.wO"</f>
        <v>#VALUE!</v>
      </c>
      <c r="V245" t="e">
        <f>'Ressource Plan'!S7+"AM:!.wP"</f>
        <v>#VALUE!</v>
      </c>
      <c r="W245" t="e">
        <f>'Ressource Plan'!T7+"AM:!.wQ"</f>
        <v>#VALUE!</v>
      </c>
      <c r="X245" t="e">
        <f>'Ressource Plan'!U7+"AM:!.wR"</f>
        <v>#VALUE!</v>
      </c>
      <c r="Y245" t="e">
        <f>'Ressource Plan'!V7+"AM:!.wS"</f>
        <v>#VALUE!</v>
      </c>
      <c r="Z245" t="e">
        <f>'Ressource Plan'!W7+"AM:!.wT"</f>
        <v>#VALUE!</v>
      </c>
      <c r="AA245" t="e">
        <f>'Ressource Plan'!X7+"AM:!.wU"</f>
        <v>#VALUE!</v>
      </c>
      <c r="AB245" t="e">
        <f>'Ressource Plan'!Y7+"AM:!.wV"</f>
        <v>#VALUE!</v>
      </c>
      <c r="AC245" t="e">
        <f>'Ressource Plan'!Z7+"AM:!.wW"</f>
        <v>#VALUE!</v>
      </c>
      <c r="AD245" t="e">
        <f>'Ressource Plan'!AA7+"AM:!.wX"</f>
        <v>#VALUE!</v>
      </c>
      <c r="AE245" t="e">
        <f>'Ressource Plan'!AB7+"AM:!.wY"</f>
        <v>#VALUE!</v>
      </c>
      <c r="AF245" t="e">
        <f>'Ressource Plan'!AC7+"AM:!.wZ"</f>
        <v>#VALUE!</v>
      </c>
      <c r="AG245" t="e">
        <f>'Ressource Plan'!AD7+"AM:!.w["</f>
        <v>#VALUE!</v>
      </c>
      <c r="AH245" t="e">
        <f>'Ressource Plan'!AE7+"AM:!.w\"</f>
        <v>#VALUE!</v>
      </c>
      <c r="AI245" t="e">
        <f>'Ressource Plan'!AF7+"AM:!.w]"</f>
        <v>#VALUE!</v>
      </c>
      <c r="AJ245" t="e">
        <f>'Ressource Plan'!AG7+"AM:!.w^"</f>
        <v>#VALUE!</v>
      </c>
      <c r="AK245" t="e">
        <f>'Ressource Plan'!AH7+"AM:!.w_"</f>
        <v>#VALUE!</v>
      </c>
      <c r="AL245" t="e">
        <f>'Ressource Plan'!AI7+"AM:!.w`"</f>
        <v>#VALUE!</v>
      </c>
      <c r="AM245" t="e">
        <f>'Ressource Plan'!AJ7+"AM:!.wa"</f>
        <v>#VALUE!</v>
      </c>
      <c r="AN245" t="e">
        <f>'Ressource Plan'!AK7+"AM:!.wb"</f>
        <v>#VALUE!</v>
      </c>
      <c r="AO245" t="e">
        <f>'Ressource Plan'!AL7+"AM:!.wc"</f>
        <v>#VALUE!</v>
      </c>
      <c r="AP245" t="e">
        <f>'Ressource Plan'!AM7+"AM:!.wd"</f>
        <v>#VALUE!</v>
      </c>
      <c r="AQ245" t="e">
        <f>'Ressource Plan'!AN7+"AM:!.we"</f>
        <v>#VALUE!</v>
      </c>
      <c r="AR245" t="e">
        <f>'Ressource Plan'!AO7+"AM:!.wf"</f>
        <v>#VALUE!</v>
      </c>
      <c r="AS245" t="e">
        <f>'Ressource Plan'!AP7+"AM:!.wg"</f>
        <v>#VALUE!</v>
      </c>
      <c r="AT245" t="e">
        <f>'Ressource Plan'!AQ7+"AM:!.wh"</f>
        <v>#VALUE!</v>
      </c>
      <c r="AU245" t="e">
        <f>'Ressource Plan'!AR7+"AM:!.wi"</f>
        <v>#VALUE!</v>
      </c>
      <c r="AV245" t="e">
        <f>'Ressource Plan'!AS7+"AM:!.wj"</f>
        <v>#VALUE!</v>
      </c>
      <c r="AW245" t="e">
        <f>'Ressource Plan'!AT7+"AM:!.wk"</f>
        <v>#VALUE!</v>
      </c>
      <c r="AX245" t="e">
        <f>'Ressource Plan'!AU7+"AM:!.wl"</f>
        <v>#VALUE!</v>
      </c>
      <c r="AY245" t="e">
        <f>'Ressource Plan'!AV7+"AM:!.wm"</f>
        <v>#VALUE!</v>
      </c>
      <c r="AZ245" t="e">
        <f>'Ressource Plan'!AW7+"AM:!.wn"</f>
        <v>#VALUE!</v>
      </c>
      <c r="BA245" t="e">
        <f>'Ressource Plan'!AX7+"AM:!.wo"</f>
        <v>#VALUE!</v>
      </c>
      <c r="BB245" t="e">
        <f>'Ressource Plan'!AY7+"AM:!.wp"</f>
        <v>#VALUE!</v>
      </c>
      <c r="BC245" t="e">
        <f>'Ressource Plan'!AZ7+"AM:!.wq"</f>
        <v>#VALUE!</v>
      </c>
      <c r="BD245" t="e">
        <f>'Ressource Plan'!BA7+"AM:!.wr"</f>
        <v>#VALUE!</v>
      </c>
      <c r="BE245" t="e">
        <f>'Ressource Plan'!BB7+"AM:!.ws"</f>
        <v>#VALUE!</v>
      </c>
      <c r="BF245" t="e">
        <f>'Ressource Plan'!BC7+"AM:!.wt"</f>
        <v>#VALUE!</v>
      </c>
      <c r="BG245" t="e">
        <f>'Ressource Plan'!BD7+"AM:!.wu"</f>
        <v>#VALUE!</v>
      </c>
      <c r="BH245" t="e">
        <f>'Ressource Plan'!BE7+"AM:!.wv"</f>
        <v>#VALUE!</v>
      </c>
      <c r="BI245" t="e">
        <f>'Ressource Plan'!BF7+"AM:!.ww"</f>
        <v>#VALUE!</v>
      </c>
      <c r="BJ245" t="e">
        <f>'Ressource Plan'!BG7+"AM:!.wx"</f>
        <v>#VALUE!</v>
      </c>
      <c r="BK245" t="e">
        <f>'Ressource Plan'!BH7+"AM:!.wy"</f>
        <v>#VALUE!</v>
      </c>
      <c r="BL245" t="e">
        <f>'Ressource Plan'!BI7+"AM:!.wz"</f>
        <v>#VALUE!</v>
      </c>
      <c r="BM245" t="e">
        <f>'Ressource Plan'!BJ7+"AM:!.w{"</f>
        <v>#VALUE!</v>
      </c>
      <c r="BN245" t="e">
        <f>'Ressource Plan'!BK7+"AM:!.w|"</f>
        <v>#VALUE!</v>
      </c>
      <c r="BO245" t="e">
        <f>'Ressource Plan'!BL7+"AM:!.w}"</f>
        <v>#VALUE!</v>
      </c>
      <c r="BP245" t="e">
        <f>'Ressource Plan'!BM7+"AM:!.w~"</f>
        <v>#VALUE!</v>
      </c>
      <c r="BQ245" t="e">
        <f>'Ressource Plan'!BN7+"AM:!.x#"</f>
        <v>#VALUE!</v>
      </c>
      <c r="BR245" t="e">
        <f>'Ressource Plan'!BO7+"AM:!.x$"</f>
        <v>#VALUE!</v>
      </c>
      <c r="BS245" t="e">
        <f>'Ressource Plan'!BP7+"AM:!.x%"</f>
        <v>#VALUE!</v>
      </c>
      <c r="BT245" t="e">
        <f>'Ressource Plan'!BQ7+"AM:!.x&amp;"</f>
        <v>#VALUE!</v>
      </c>
      <c r="BU245" t="e">
        <f>'Ressource Plan'!BR7+"AM:!.x'"</f>
        <v>#VALUE!</v>
      </c>
      <c r="BV245" t="e">
        <f>'Ressource Plan'!BS7+"AM:!.x("</f>
        <v>#VALUE!</v>
      </c>
      <c r="BW245" t="e">
        <f>'Ressource Plan'!BT7+"AM:!.x)"</f>
        <v>#VALUE!</v>
      </c>
      <c r="BX245" t="e">
        <f>'Ressource Plan'!BU7+"AM:!.x."</f>
        <v>#VALUE!</v>
      </c>
      <c r="BY245" t="e">
        <f>'Ressource Plan'!BV7+"AM:!.x/"</f>
        <v>#VALUE!</v>
      </c>
      <c r="BZ245" t="e">
        <f>'Ressource Plan'!BW7+"AM:!.x0"</f>
        <v>#VALUE!</v>
      </c>
      <c r="CA245" t="e">
        <f>'Ressource Plan'!BX7+"AM:!.x1"</f>
        <v>#VALUE!</v>
      </c>
      <c r="CB245" t="e">
        <f>'Ressource Plan'!BY7+"AM:!.x2"</f>
        <v>#VALUE!</v>
      </c>
      <c r="CC245" t="e">
        <f>'Ressource Plan'!BZ7+"AM:!.x3"</f>
        <v>#VALUE!</v>
      </c>
      <c r="CD245" t="e">
        <f>'Ressource Plan'!CA7+"AM:!.x4"</f>
        <v>#VALUE!</v>
      </c>
      <c r="CE245" t="e">
        <f>'Ressource Plan'!CB7+"AM:!.x5"</f>
        <v>#VALUE!</v>
      </c>
      <c r="CF245" t="e">
        <f>'Ressource Plan'!CC7+"AM:!.x6"</f>
        <v>#VALUE!</v>
      </c>
      <c r="CG245" t="e">
        <f>'Ressource Plan'!A8+"AM:!.x7"</f>
        <v>#VALUE!</v>
      </c>
      <c r="CH245" t="e">
        <f>'Ressource Plan'!B8+"AM:!.x8"</f>
        <v>#VALUE!</v>
      </c>
      <c r="CI245" t="e">
        <f>'Ressource Plan'!C8+"AM:!.x9"</f>
        <v>#VALUE!</v>
      </c>
      <c r="CJ245" t="e">
        <f>'Ressource Plan'!D8+"AM:!.x:"</f>
        <v>#VALUE!</v>
      </c>
      <c r="CK245" t="e">
        <f>'Ressource Plan'!E8+"AM:!.x;"</f>
        <v>#VALUE!</v>
      </c>
      <c r="CL245" t="e">
        <f>'Ressource Plan'!F8+"AM:!.x&lt;"</f>
        <v>#VALUE!</v>
      </c>
      <c r="CM245" s="105" t="e">
        <f>'Ressource Plan'!G8+"AM:!.x="</f>
        <v>#VALUE!</v>
      </c>
      <c r="CN245" t="e">
        <f>'Ressource Plan'!H8+"AM:!.x&gt;"</f>
        <v>#VALUE!</v>
      </c>
      <c r="CO245" s="105" t="e">
        <f>'Ressource Plan'!I8+"AM:!.x?"</f>
        <v>#VALUE!</v>
      </c>
      <c r="CP245" t="e">
        <f>'Ressource Plan'!J8+"AM:!.x@"</f>
        <v>#VALUE!</v>
      </c>
      <c r="CQ245" s="105" t="e">
        <f>'Ressource Plan'!K8+"AM:!.xA"</f>
        <v>#VALUE!</v>
      </c>
      <c r="CR245" t="e">
        <f>'Ressource Plan'!L8+"AM:!.xB"</f>
        <v>#VALUE!</v>
      </c>
      <c r="CS245" s="105" t="e">
        <f>'Ressource Plan'!M8+"AM:!.xC"</f>
        <v>#VALUE!</v>
      </c>
      <c r="CT245" t="e">
        <f>'Ressource Plan'!N8+"AM:!.xD"</f>
        <v>#VALUE!</v>
      </c>
      <c r="CU245" s="105" t="e">
        <f>'Ressource Plan'!O8+"AM:!.xE"</f>
        <v>#VALUE!</v>
      </c>
      <c r="CV245" t="e">
        <f>'Ressource Plan'!P8+"AM:!.xF"</f>
        <v>#VALUE!</v>
      </c>
      <c r="CW245" s="105" t="e">
        <f>'Ressource Plan'!Q8+"AM:!.xG"</f>
        <v>#VALUE!</v>
      </c>
      <c r="CX245" t="e">
        <f>'Ressource Plan'!R8+"AM:!.xH"</f>
        <v>#VALUE!</v>
      </c>
      <c r="CY245" s="105" t="e">
        <f>'Ressource Plan'!S8+"AM:!.xI"</f>
        <v>#VALUE!</v>
      </c>
      <c r="CZ245" t="e">
        <f>'Ressource Plan'!T8+"AM:!.xJ"</f>
        <v>#VALUE!</v>
      </c>
      <c r="DA245" s="105" t="e">
        <f>'Ressource Plan'!U8+"AM:!.xK"</f>
        <v>#VALUE!</v>
      </c>
      <c r="DB245" t="e">
        <f>'Ressource Plan'!V8+"AM:!.xL"</f>
        <v>#VALUE!</v>
      </c>
      <c r="DC245" s="105" t="e">
        <f>'Ressource Plan'!W8+"AM:!.xM"</f>
        <v>#VALUE!</v>
      </c>
      <c r="DD245" t="e">
        <f>'Ressource Plan'!X8+"AM:!.xN"</f>
        <v>#VALUE!</v>
      </c>
      <c r="DE245" s="105" t="e">
        <f>'Ressource Plan'!Y8+"AM:!.xO"</f>
        <v>#VALUE!</v>
      </c>
      <c r="DF245" t="e">
        <f>'Ressource Plan'!Z8+"AM:!.xP"</f>
        <v>#VALUE!</v>
      </c>
      <c r="DG245" s="105" t="e">
        <f>'Ressource Plan'!AA8+"AM:!.xQ"</f>
        <v>#VALUE!</v>
      </c>
      <c r="DH245" t="e">
        <f>'Ressource Plan'!AB8+"AM:!.xR"</f>
        <v>#VALUE!</v>
      </c>
      <c r="DI245" s="105" t="e">
        <f>'Ressource Plan'!AC8+"AM:!.xS"</f>
        <v>#VALUE!</v>
      </c>
      <c r="DJ245" t="e">
        <f>'Ressource Plan'!AD8+"AM:!.xT"</f>
        <v>#VALUE!</v>
      </c>
      <c r="DK245" s="105" t="e">
        <f>'Ressource Plan'!AE8+"AM:!.xU"</f>
        <v>#VALUE!</v>
      </c>
      <c r="DL245" t="e">
        <f>'Ressource Plan'!AF8+"AM:!.xV"</f>
        <v>#VALUE!</v>
      </c>
      <c r="DM245" s="105" t="e">
        <f>'Ressource Plan'!AG8+"AM:!.xW"</f>
        <v>#VALUE!</v>
      </c>
      <c r="DN245" t="e">
        <f>'Ressource Plan'!AH8+"AM:!.xX"</f>
        <v>#VALUE!</v>
      </c>
      <c r="DO245" s="105" t="e">
        <f>'Ressource Plan'!AI8+"AM:!.xY"</f>
        <v>#VALUE!</v>
      </c>
      <c r="DP245" t="e">
        <f>'Ressource Plan'!AJ8+"AM:!.xZ"</f>
        <v>#VALUE!</v>
      </c>
      <c r="DQ245" s="105" t="e">
        <f>'Ressource Plan'!AK8+"AM:!.x["</f>
        <v>#VALUE!</v>
      </c>
      <c r="DR245" t="e">
        <f>'Ressource Plan'!AL8+"AM:!.x\"</f>
        <v>#VALUE!</v>
      </c>
      <c r="DS245" s="105" t="e">
        <f>'Ressource Plan'!AM8+"AM:!.x]"</f>
        <v>#VALUE!</v>
      </c>
      <c r="DT245" t="e">
        <f>'Ressource Plan'!AN8+"AM:!.x^"</f>
        <v>#VALUE!</v>
      </c>
      <c r="DU245" s="105" t="e">
        <f>'Ressource Plan'!AO8+"AM:!.x_"</f>
        <v>#VALUE!</v>
      </c>
      <c r="DV245" t="e">
        <f>'Ressource Plan'!AP8+"AM:!.x`"</f>
        <v>#VALUE!</v>
      </c>
      <c r="DW245" s="105" t="e">
        <f>'Ressource Plan'!AQ8+"AM:!.xa"</f>
        <v>#VALUE!</v>
      </c>
      <c r="DX245" t="e">
        <f>'Ressource Plan'!AR8+"AM:!.xb"</f>
        <v>#VALUE!</v>
      </c>
      <c r="DY245" s="105" t="e">
        <f>'Ressource Plan'!AS8+"AM:!.xc"</f>
        <v>#VALUE!</v>
      </c>
      <c r="DZ245" t="e">
        <f>'Ressource Plan'!AT8+"AM:!.xd"</f>
        <v>#VALUE!</v>
      </c>
      <c r="EA245" s="105" t="e">
        <f>'Ressource Plan'!AU8+"AM:!.xe"</f>
        <v>#VALUE!</v>
      </c>
      <c r="EB245" t="e">
        <f>'Ressource Plan'!AV8+"AM:!.xf"</f>
        <v>#VALUE!</v>
      </c>
      <c r="EC245" s="105" t="e">
        <f>'Ressource Plan'!AW8+"AM:!.xg"</f>
        <v>#VALUE!</v>
      </c>
      <c r="ED245" t="e">
        <f>'Ressource Plan'!AX8+"AM:!.xh"</f>
        <v>#VALUE!</v>
      </c>
      <c r="EE245" s="105" t="e">
        <f>'Ressource Plan'!AY8+"AM:!.xi"</f>
        <v>#VALUE!</v>
      </c>
      <c r="EF245" t="e">
        <f>'Ressource Plan'!AZ8+"AM:!.xj"</f>
        <v>#VALUE!</v>
      </c>
      <c r="EG245" s="105" t="e">
        <f>'Ressource Plan'!BA8+"AM:!.xk"</f>
        <v>#VALUE!</v>
      </c>
      <c r="EH245" t="e">
        <f>'Ressource Plan'!BB8+"AM:!.xl"</f>
        <v>#VALUE!</v>
      </c>
      <c r="EI245" s="105" t="e">
        <f>'Ressource Plan'!BC8+"AM:!.xm"</f>
        <v>#VALUE!</v>
      </c>
      <c r="EJ245" t="e">
        <f>'Ressource Plan'!BD8+"AM:!.xn"</f>
        <v>#VALUE!</v>
      </c>
      <c r="EK245" s="105" t="e">
        <f>'Ressource Plan'!BE8+"AM:!.xo"</f>
        <v>#VALUE!</v>
      </c>
      <c r="EL245" t="e">
        <f>'Ressource Plan'!BF8+"AM:!.xp"</f>
        <v>#VALUE!</v>
      </c>
      <c r="EM245" s="105" t="e">
        <f>'Ressource Plan'!BG8+"AM:!.xq"</f>
        <v>#VALUE!</v>
      </c>
      <c r="EN245" t="e">
        <f>'Ressource Plan'!BH8+"AM:!.xr"</f>
        <v>#VALUE!</v>
      </c>
      <c r="EO245" s="105" t="e">
        <f>'Ressource Plan'!BI8+"AM:!.xs"</f>
        <v>#VALUE!</v>
      </c>
      <c r="EP245" t="e">
        <f>'Ressource Plan'!BJ8+"AM:!.xt"</f>
        <v>#VALUE!</v>
      </c>
      <c r="EQ245" s="105" t="e">
        <f>'Ressource Plan'!BK8+"AM:!.xu"</f>
        <v>#VALUE!</v>
      </c>
      <c r="ER245" t="e">
        <f>'Ressource Plan'!BL8+"AM:!.xv"</f>
        <v>#VALUE!</v>
      </c>
      <c r="ES245" s="105" t="e">
        <f>'Ressource Plan'!BM8+"AM:!.xw"</f>
        <v>#VALUE!</v>
      </c>
      <c r="ET245" t="e">
        <f>'Ressource Plan'!BN8+"AM:!.xx"</f>
        <v>#VALUE!</v>
      </c>
      <c r="EU245" s="105" t="e">
        <f>'Ressource Plan'!BO8+"AM:!.xy"</f>
        <v>#VALUE!</v>
      </c>
      <c r="EV245" t="e">
        <f>'Ressource Plan'!BP8+"AM:!.xz"</f>
        <v>#VALUE!</v>
      </c>
      <c r="EW245" s="105" t="e">
        <f>'Ressource Plan'!BQ8+"AM:!.x{"</f>
        <v>#VALUE!</v>
      </c>
      <c r="EX245" t="e">
        <f>'Ressource Plan'!BR8+"AM:!.x|"</f>
        <v>#VALUE!</v>
      </c>
      <c r="EY245" s="105" t="e">
        <f>'Ressource Plan'!BS8+"AM:!.x}"</f>
        <v>#VALUE!</v>
      </c>
      <c r="EZ245" t="e">
        <f>'Ressource Plan'!BT8+"AM:!.x~"</f>
        <v>#VALUE!</v>
      </c>
      <c r="FA245" s="105" t="e">
        <f>'Ressource Plan'!BU8+"AM:!.y#"</f>
        <v>#VALUE!</v>
      </c>
      <c r="FB245" t="e">
        <f>'Ressource Plan'!BV8+"AM:!.y$"</f>
        <v>#VALUE!</v>
      </c>
      <c r="FC245" s="105" t="e">
        <f>'Ressource Plan'!BW8+"AM:!.y%"</f>
        <v>#VALUE!</v>
      </c>
      <c r="FD245" t="e">
        <f>'Ressource Plan'!BX8+"AM:!.y&amp;"</f>
        <v>#VALUE!</v>
      </c>
      <c r="FE245" s="105" t="e">
        <f>'Ressource Plan'!BY8+"AM:!.y'"</f>
        <v>#VALUE!</v>
      </c>
      <c r="FF245" t="e">
        <f>'Ressource Plan'!BZ8+"AM:!.y("</f>
        <v>#VALUE!</v>
      </c>
      <c r="FG245" s="105" t="e">
        <f>'Ressource Plan'!CA8+"AM:!.y)"</f>
        <v>#VALUE!</v>
      </c>
      <c r="FH245" t="e">
        <f>'Ressource Plan'!CB8+"AM:!.y."</f>
        <v>#VALUE!</v>
      </c>
      <c r="FI245" s="105" t="e">
        <f>'Ressource Plan'!CC8+"AM:!.y/"</f>
        <v>#VALUE!</v>
      </c>
      <c r="FJ245" t="e">
        <f>'Ressource Plan'!A9+"AM:!.y0"</f>
        <v>#VALUE!</v>
      </c>
      <c r="FK245" t="e">
        <f>'Ressource Plan'!B9+"AM:!.y1"</f>
        <v>#VALUE!</v>
      </c>
      <c r="FL245" t="e">
        <f>'Ressource Plan'!C9+"AM:!.y2"</f>
        <v>#VALUE!</v>
      </c>
      <c r="FM245" t="e">
        <f>'Ressource Plan'!D9+"AM:!.y3"</f>
        <v>#VALUE!</v>
      </c>
      <c r="FN245" t="e">
        <f>'Ressource Plan'!E9+"AM:!.y4"</f>
        <v>#VALUE!</v>
      </c>
      <c r="FO245" t="e">
        <f>'Ressource Plan'!F9+"AM:!.y5"</f>
        <v>#VALUE!</v>
      </c>
      <c r="FP245" s="105" t="e">
        <f>'Ressource Plan'!G9+"AM:!.y6"</f>
        <v>#VALUE!</v>
      </c>
      <c r="FQ245" t="e">
        <f>'Ressource Plan'!H9+"AM:!.y7"</f>
        <v>#VALUE!</v>
      </c>
      <c r="FR245" s="105" t="e">
        <f>'Ressource Plan'!I9+"AM:!.y8"</f>
        <v>#VALUE!</v>
      </c>
      <c r="FS245" t="e">
        <f>'Ressource Plan'!J9+"AM:!.y9"</f>
        <v>#VALUE!</v>
      </c>
      <c r="FT245" s="105" t="e">
        <f>'Ressource Plan'!K9+"AM:!.y:"</f>
        <v>#VALUE!</v>
      </c>
      <c r="FU245" t="e">
        <f>'Ressource Plan'!L9+"AM:!.y;"</f>
        <v>#VALUE!</v>
      </c>
      <c r="FV245" s="105" t="e">
        <f>'Ressource Plan'!M9+"AM:!.y&lt;"</f>
        <v>#VALUE!</v>
      </c>
      <c r="FW245" t="e">
        <f>'Ressource Plan'!N9+"AM:!.y="</f>
        <v>#VALUE!</v>
      </c>
      <c r="FX245" s="105" t="e">
        <f>'Ressource Plan'!O9+"AM:!.y&gt;"</f>
        <v>#VALUE!</v>
      </c>
      <c r="FY245" t="e">
        <f>'Ressource Plan'!P9+"AM:!.y?"</f>
        <v>#VALUE!</v>
      </c>
      <c r="FZ245" s="105" t="e">
        <f>'Ressource Plan'!Q9+"AM:!.y@"</f>
        <v>#VALUE!</v>
      </c>
      <c r="GA245" t="e">
        <f>'Ressource Plan'!R9+"AM:!.yA"</f>
        <v>#VALUE!</v>
      </c>
      <c r="GB245" s="105" t="e">
        <f>'Ressource Plan'!S9+"AM:!.yB"</f>
        <v>#VALUE!</v>
      </c>
      <c r="GC245" t="e">
        <f>'Ressource Plan'!T9+"AM:!.yC"</f>
        <v>#VALUE!</v>
      </c>
      <c r="GD245" s="105" t="e">
        <f>'Ressource Plan'!U9+"AM:!.yD"</f>
        <v>#VALUE!</v>
      </c>
      <c r="GE245" t="e">
        <f>'Ressource Plan'!V9+"AM:!.yE"</f>
        <v>#VALUE!</v>
      </c>
      <c r="GF245" s="105" t="e">
        <f>'Ressource Plan'!W9+"AM:!.yF"</f>
        <v>#VALUE!</v>
      </c>
      <c r="GG245" t="e">
        <f>'Ressource Plan'!X9+"AM:!.yG"</f>
        <v>#VALUE!</v>
      </c>
      <c r="GH245" s="105" t="e">
        <f>'Ressource Plan'!Y9+"AM:!.yH"</f>
        <v>#VALUE!</v>
      </c>
      <c r="GI245" t="e">
        <f>'Ressource Plan'!Z9+"AM:!.yI"</f>
        <v>#VALUE!</v>
      </c>
      <c r="GJ245" s="105" t="e">
        <f>'Ressource Plan'!AA9+"AM:!.yJ"</f>
        <v>#VALUE!</v>
      </c>
      <c r="GK245" t="e">
        <f>'Ressource Plan'!AB9+"AM:!.yK"</f>
        <v>#VALUE!</v>
      </c>
      <c r="GL245" s="105" t="e">
        <f>'Ressource Plan'!AC9+"AM:!.yL"</f>
        <v>#VALUE!</v>
      </c>
      <c r="GM245" t="e">
        <f>'Ressource Plan'!AD9+"AM:!.yM"</f>
        <v>#VALUE!</v>
      </c>
      <c r="GN245" s="105" t="e">
        <f>'Ressource Plan'!AE9+"AM:!.yN"</f>
        <v>#VALUE!</v>
      </c>
      <c r="GO245" t="e">
        <f>'Ressource Plan'!AF9+"AM:!.yO"</f>
        <v>#VALUE!</v>
      </c>
      <c r="GP245" s="105" t="e">
        <f>'Ressource Plan'!AG9+"AM:!.yP"</f>
        <v>#VALUE!</v>
      </c>
      <c r="GQ245" t="e">
        <f>'Ressource Plan'!AH9+"AM:!.yQ"</f>
        <v>#VALUE!</v>
      </c>
      <c r="GR245" s="105" t="e">
        <f>'Ressource Plan'!AI9+"AM:!.yR"</f>
        <v>#VALUE!</v>
      </c>
      <c r="GS245" t="e">
        <f>'Ressource Plan'!AJ9+"AM:!.yS"</f>
        <v>#VALUE!</v>
      </c>
      <c r="GT245" s="105" t="e">
        <f>'Ressource Plan'!AK9+"AM:!.yT"</f>
        <v>#VALUE!</v>
      </c>
      <c r="GU245" t="e">
        <f>'Ressource Plan'!AL9+"AM:!.yU"</f>
        <v>#VALUE!</v>
      </c>
      <c r="GV245" s="105" t="e">
        <f>'Ressource Plan'!AM9+"AM:!.yV"</f>
        <v>#VALUE!</v>
      </c>
      <c r="GW245" t="e">
        <f>'Ressource Plan'!AN9+"AM:!.yW"</f>
        <v>#VALUE!</v>
      </c>
      <c r="GX245" s="105" t="e">
        <f>'Ressource Plan'!AO9+"AM:!.yX"</f>
        <v>#VALUE!</v>
      </c>
      <c r="GY245" t="e">
        <f>'Ressource Plan'!AP9+"AM:!.yY"</f>
        <v>#VALUE!</v>
      </c>
      <c r="GZ245" s="105" t="e">
        <f>'Ressource Plan'!AQ9+"AM:!.yZ"</f>
        <v>#VALUE!</v>
      </c>
      <c r="HA245" t="e">
        <f>'Ressource Plan'!AR9+"AM:!.y["</f>
        <v>#VALUE!</v>
      </c>
      <c r="HB245" s="105" t="e">
        <f>'Ressource Plan'!AS9+"AM:!.y\"</f>
        <v>#VALUE!</v>
      </c>
      <c r="HC245" t="e">
        <f>'Ressource Plan'!AT9+"AM:!.y]"</f>
        <v>#VALUE!</v>
      </c>
      <c r="HD245" s="105" t="e">
        <f>'Ressource Plan'!AU9+"AM:!.y^"</f>
        <v>#VALUE!</v>
      </c>
      <c r="HE245" t="e">
        <f>'Ressource Plan'!AV9+"AM:!.y_"</f>
        <v>#VALUE!</v>
      </c>
      <c r="HF245" s="105" t="e">
        <f>'Ressource Plan'!AW9+"AM:!.y`"</f>
        <v>#VALUE!</v>
      </c>
      <c r="HG245" t="e">
        <f>'Ressource Plan'!AX9+"AM:!.ya"</f>
        <v>#VALUE!</v>
      </c>
      <c r="HH245" s="105" t="e">
        <f>'Ressource Plan'!AY9+"AM:!.yb"</f>
        <v>#VALUE!</v>
      </c>
      <c r="HI245" t="e">
        <f>'Ressource Plan'!AZ9+"AM:!.yc"</f>
        <v>#VALUE!</v>
      </c>
      <c r="HJ245" s="105" t="e">
        <f>'Ressource Plan'!BA9+"AM:!.yd"</f>
        <v>#VALUE!</v>
      </c>
      <c r="HK245" t="e">
        <f>'Ressource Plan'!BB9+"AM:!.ye"</f>
        <v>#VALUE!</v>
      </c>
      <c r="HL245" s="105" t="e">
        <f>'Ressource Plan'!BC9+"AM:!.yf"</f>
        <v>#VALUE!</v>
      </c>
      <c r="HM245" t="e">
        <f>'Ressource Plan'!BD9+"AM:!.yg"</f>
        <v>#VALUE!</v>
      </c>
      <c r="HN245" s="105" t="e">
        <f>'Ressource Plan'!BE9+"AM:!.yh"</f>
        <v>#VALUE!</v>
      </c>
      <c r="HO245" t="e">
        <f>'Ressource Plan'!BF9+"AM:!.yi"</f>
        <v>#VALUE!</v>
      </c>
      <c r="HP245" s="105" t="e">
        <f>'Ressource Plan'!BG9+"AM:!.yj"</f>
        <v>#VALUE!</v>
      </c>
      <c r="HQ245" t="e">
        <f>'Ressource Plan'!BH9+"AM:!.yk"</f>
        <v>#VALUE!</v>
      </c>
      <c r="HR245" s="105" t="e">
        <f>'Ressource Plan'!BI9+"AM:!.yl"</f>
        <v>#VALUE!</v>
      </c>
      <c r="HS245" t="e">
        <f>'Ressource Plan'!BJ9+"AM:!.ym"</f>
        <v>#VALUE!</v>
      </c>
      <c r="HT245" s="105" t="e">
        <f>'Ressource Plan'!BK9+"AM:!.yn"</f>
        <v>#VALUE!</v>
      </c>
      <c r="HU245" t="e">
        <f>'Ressource Plan'!BL9+"AM:!.yo"</f>
        <v>#VALUE!</v>
      </c>
      <c r="HV245" s="105" t="e">
        <f>'Ressource Plan'!BM9+"AM:!.yp"</f>
        <v>#VALUE!</v>
      </c>
      <c r="HW245" t="e">
        <f>'Ressource Plan'!BN9+"AM:!.yq"</f>
        <v>#VALUE!</v>
      </c>
      <c r="HX245" s="105" t="e">
        <f>'Ressource Plan'!BO9+"AM:!.yr"</f>
        <v>#VALUE!</v>
      </c>
      <c r="HY245" t="e">
        <f>'Ressource Plan'!BP9+"AM:!.ys"</f>
        <v>#VALUE!</v>
      </c>
      <c r="HZ245" s="105" t="e">
        <f>'Ressource Plan'!BQ9+"AM:!.yt"</f>
        <v>#VALUE!</v>
      </c>
      <c r="IA245" t="e">
        <f>'Ressource Plan'!BR9+"AM:!.yu"</f>
        <v>#VALUE!</v>
      </c>
      <c r="IB245" s="105" t="e">
        <f>'Ressource Plan'!BS9+"AM:!.yv"</f>
        <v>#VALUE!</v>
      </c>
      <c r="IC245" t="e">
        <f>'Ressource Plan'!BT9+"AM:!.yw"</f>
        <v>#VALUE!</v>
      </c>
      <c r="ID245" s="105" t="e">
        <f>'Ressource Plan'!BU9+"AM:!.yx"</f>
        <v>#VALUE!</v>
      </c>
      <c r="IE245" t="e">
        <f>'Ressource Plan'!BV9+"AM:!.yy"</f>
        <v>#VALUE!</v>
      </c>
      <c r="IF245" s="105" t="e">
        <f>'Ressource Plan'!BW9+"AM:!.yz"</f>
        <v>#VALUE!</v>
      </c>
      <c r="IG245" t="e">
        <f>'Ressource Plan'!BX9+"AM:!.y{"</f>
        <v>#VALUE!</v>
      </c>
      <c r="IH245" s="105" t="e">
        <f>'Ressource Plan'!BY9+"AM:!.y|"</f>
        <v>#VALUE!</v>
      </c>
      <c r="II245" t="e">
        <f>'Ressource Plan'!BZ9+"AM:!.y}"</f>
        <v>#VALUE!</v>
      </c>
      <c r="IJ245" s="105" t="e">
        <f>'Ressource Plan'!CA9+"AM:!.y~"</f>
        <v>#VALUE!</v>
      </c>
      <c r="IK245" t="e">
        <f>'Ressource Plan'!CB9+"AM:!.z#"</f>
        <v>#VALUE!</v>
      </c>
      <c r="IL245" s="105" t="e">
        <f>'Ressource Plan'!CC9+"AM:!.z$"</f>
        <v>#VALUE!</v>
      </c>
      <c r="IM245" t="e">
        <f>'Ressource Plan'!A10+"AM:!.z%"</f>
        <v>#VALUE!</v>
      </c>
      <c r="IN245" t="e">
        <f>'Ressource Plan'!B10+"AM:!.z&amp;"</f>
        <v>#VALUE!</v>
      </c>
      <c r="IO245" t="e">
        <f>'Ressource Plan'!C10+"AM:!.z'"</f>
        <v>#VALUE!</v>
      </c>
      <c r="IP245" t="e">
        <f>'Ressource Plan'!D10+"AM:!.z("</f>
        <v>#VALUE!</v>
      </c>
      <c r="IQ245" t="e">
        <f>'Ressource Plan'!E10+"AM:!.z)"</f>
        <v>#VALUE!</v>
      </c>
      <c r="IR245" t="e">
        <f>'Ressource Plan'!F10+"AM:!.z."</f>
        <v>#VALUE!</v>
      </c>
      <c r="IS245" s="105" t="e">
        <f>'Ressource Plan'!G10+"AM:!.z/"</f>
        <v>#VALUE!</v>
      </c>
      <c r="IT245" t="e">
        <f>'Ressource Plan'!H10+"AM:!.z0"</f>
        <v>#VALUE!</v>
      </c>
      <c r="IU245" s="105" t="e">
        <f>'Ressource Plan'!I10+"AM:!.z1"</f>
        <v>#VALUE!</v>
      </c>
      <c r="IV245" t="e">
        <f>'Ressource Plan'!J10+"AM:!.z2"</f>
        <v>#VALUE!</v>
      </c>
    </row>
    <row r="246" spans="6:256">
      <c r="F246" s="105" t="e">
        <f>'Ressource Plan'!K10+"AM:!.z3"</f>
        <v>#VALUE!</v>
      </c>
      <c r="G246" t="e">
        <f>'Ressource Plan'!L10+"AM:!.z4"</f>
        <v>#VALUE!</v>
      </c>
      <c r="H246" s="105" t="e">
        <f>'Ressource Plan'!M10+"AM:!.z5"</f>
        <v>#VALUE!</v>
      </c>
      <c r="I246" t="e">
        <f>'Ressource Plan'!N10+"AM:!.z6"</f>
        <v>#VALUE!</v>
      </c>
      <c r="J246" s="105" t="e">
        <f>'Ressource Plan'!O10+"AM:!.z7"</f>
        <v>#VALUE!</v>
      </c>
      <c r="K246" t="e">
        <f>'Ressource Plan'!P10+"AM:!.z8"</f>
        <v>#VALUE!</v>
      </c>
      <c r="L246" s="105" t="e">
        <f>'Ressource Plan'!Q10+"AM:!.z9"</f>
        <v>#VALUE!</v>
      </c>
      <c r="M246" t="e">
        <f>'Ressource Plan'!R10+"AM:!.z:"</f>
        <v>#VALUE!</v>
      </c>
      <c r="N246" s="105" t="e">
        <f>'Ressource Plan'!S10+"AM:!.z;"</f>
        <v>#VALUE!</v>
      </c>
      <c r="O246" t="e">
        <f>'Ressource Plan'!T10+"AM:!.z&lt;"</f>
        <v>#VALUE!</v>
      </c>
      <c r="P246" s="105" t="e">
        <f>'Ressource Plan'!U10+"AM:!.z="</f>
        <v>#VALUE!</v>
      </c>
      <c r="Q246" t="e">
        <f>'Ressource Plan'!V10+"AM:!.z&gt;"</f>
        <v>#VALUE!</v>
      </c>
      <c r="R246" s="105" t="e">
        <f>'Ressource Plan'!W10+"AM:!.z?"</f>
        <v>#VALUE!</v>
      </c>
      <c r="S246" t="e">
        <f>'Ressource Plan'!X10+"AM:!.z@"</f>
        <v>#VALUE!</v>
      </c>
      <c r="T246" s="105" t="e">
        <f>'Ressource Plan'!Y10+"AM:!.zA"</f>
        <v>#VALUE!</v>
      </c>
      <c r="U246" t="e">
        <f>'Ressource Plan'!Z10+"AM:!.zB"</f>
        <v>#VALUE!</v>
      </c>
      <c r="V246" s="105" t="e">
        <f>'Ressource Plan'!AA10+"AM:!.zC"</f>
        <v>#VALUE!</v>
      </c>
      <c r="W246" t="e">
        <f>'Ressource Plan'!AB10+"AM:!.zD"</f>
        <v>#VALUE!</v>
      </c>
      <c r="X246" s="105" t="e">
        <f>'Ressource Plan'!AC10+"AM:!.zE"</f>
        <v>#VALUE!</v>
      </c>
      <c r="Y246" t="e">
        <f>'Ressource Plan'!AD10+"AM:!.zF"</f>
        <v>#VALUE!</v>
      </c>
      <c r="Z246" s="105" t="e">
        <f>'Ressource Plan'!AE10+"AM:!.zG"</f>
        <v>#VALUE!</v>
      </c>
      <c r="AA246" t="e">
        <f>'Ressource Plan'!AF10+"AM:!.zH"</f>
        <v>#VALUE!</v>
      </c>
      <c r="AB246" s="105" t="e">
        <f>'Ressource Plan'!AG10+"AM:!.zI"</f>
        <v>#VALUE!</v>
      </c>
      <c r="AC246" t="e">
        <f>'Ressource Plan'!AH10+"AM:!.zJ"</f>
        <v>#VALUE!</v>
      </c>
      <c r="AD246" s="105" t="e">
        <f>'Ressource Plan'!AI10+"AM:!.zK"</f>
        <v>#VALUE!</v>
      </c>
      <c r="AE246" t="e">
        <f>'Ressource Plan'!AJ10+"AM:!.zL"</f>
        <v>#VALUE!</v>
      </c>
      <c r="AF246" s="105" t="e">
        <f>'Ressource Plan'!AK10+"AM:!.zM"</f>
        <v>#VALUE!</v>
      </c>
      <c r="AG246" t="e">
        <f>'Ressource Plan'!AL10+"AM:!.zN"</f>
        <v>#VALUE!</v>
      </c>
      <c r="AH246" s="105" t="e">
        <f>'Ressource Plan'!AM10+"AM:!.zO"</f>
        <v>#VALUE!</v>
      </c>
      <c r="AI246" t="e">
        <f>'Ressource Plan'!AN10+"AM:!.zP"</f>
        <v>#VALUE!</v>
      </c>
      <c r="AJ246" s="105" t="e">
        <f>'Ressource Plan'!AO10+"AM:!.zQ"</f>
        <v>#VALUE!</v>
      </c>
      <c r="AK246" t="e">
        <f>'Ressource Plan'!AP10+"AM:!.zR"</f>
        <v>#VALUE!</v>
      </c>
      <c r="AL246" s="105" t="e">
        <f>'Ressource Plan'!AQ10+"AM:!.zS"</f>
        <v>#VALUE!</v>
      </c>
      <c r="AM246" t="e">
        <f>'Ressource Plan'!AR10+"AM:!.zT"</f>
        <v>#VALUE!</v>
      </c>
      <c r="AN246" s="105" t="e">
        <f>'Ressource Plan'!AS10+"AM:!.zU"</f>
        <v>#VALUE!</v>
      </c>
      <c r="AO246" t="e">
        <f>'Ressource Plan'!AT10+"AM:!.zV"</f>
        <v>#VALUE!</v>
      </c>
      <c r="AP246" s="105" t="e">
        <f>'Ressource Plan'!AU10+"AM:!.zW"</f>
        <v>#VALUE!</v>
      </c>
      <c r="AQ246" t="e">
        <f>'Ressource Plan'!AV10+"AM:!.zX"</f>
        <v>#VALUE!</v>
      </c>
      <c r="AR246" s="105" t="e">
        <f>'Ressource Plan'!AW10+"AM:!.zY"</f>
        <v>#VALUE!</v>
      </c>
      <c r="AS246" t="e">
        <f>'Ressource Plan'!AX10+"AM:!.zZ"</f>
        <v>#VALUE!</v>
      </c>
      <c r="AT246" s="105" t="e">
        <f>'Ressource Plan'!AY10+"AM:!.z["</f>
        <v>#VALUE!</v>
      </c>
      <c r="AU246" t="e">
        <f>'Ressource Plan'!AZ10+"AM:!.z\"</f>
        <v>#VALUE!</v>
      </c>
      <c r="AV246" s="105" t="e">
        <f>'Ressource Plan'!BA10+"AM:!.z]"</f>
        <v>#VALUE!</v>
      </c>
      <c r="AW246" t="e">
        <f>'Ressource Plan'!BB10+"AM:!.z^"</f>
        <v>#VALUE!</v>
      </c>
      <c r="AX246" s="105" t="e">
        <f>'Ressource Plan'!BC10+"AM:!.z_"</f>
        <v>#VALUE!</v>
      </c>
      <c r="AY246" t="e">
        <f>'Ressource Plan'!BD10+"AM:!.z`"</f>
        <v>#VALUE!</v>
      </c>
      <c r="AZ246" s="105" t="e">
        <f>'Ressource Plan'!BE10+"AM:!.za"</f>
        <v>#VALUE!</v>
      </c>
      <c r="BA246" t="e">
        <f>'Ressource Plan'!BF10+"AM:!.zb"</f>
        <v>#VALUE!</v>
      </c>
      <c r="BB246" s="105" t="e">
        <f>'Ressource Plan'!BG10+"AM:!.zc"</f>
        <v>#VALUE!</v>
      </c>
      <c r="BC246" t="e">
        <f>'Ressource Plan'!BH10+"AM:!.zd"</f>
        <v>#VALUE!</v>
      </c>
      <c r="BD246" s="105" t="e">
        <f>'Ressource Plan'!BI10+"AM:!.ze"</f>
        <v>#VALUE!</v>
      </c>
      <c r="BE246" t="e">
        <f>'Ressource Plan'!BJ10+"AM:!.zf"</f>
        <v>#VALUE!</v>
      </c>
      <c r="BF246" s="105" t="e">
        <f>'Ressource Plan'!BK10+"AM:!.zg"</f>
        <v>#VALUE!</v>
      </c>
      <c r="BG246" t="e">
        <f>'Ressource Plan'!BL10+"AM:!.zh"</f>
        <v>#VALUE!</v>
      </c>
      <c r="BH246" s="105" t="e">
        <f>'Ressource Plan'!BM10+"AM:!.zi"</f>
        <v>#VALUE!</v>
      </c>
      <c r="BI246" t="e">
        <f>'Ressource Plan'!BN10+"AM:!.zj"</f>
        <v>#VALUE!</v>
      </c>
      <c r="BJ246" s="105" t="e">
        <f>'Ressource Plan'!BO10+"AM:!.zk"</f>
        <v>#VALUE!</v>
      </c>
      <c r="BK246" t="e">
        <f>'Ressource Plan'!BP10+"AM:!.zl"</f>
        <v>#VALUE!</v>
      </c>
      <c r="BL246" s="105" t="e">
        <f>'Ressource Plan'!BQ10+"AM:!.zm"</f>
        <v>#VALUE!</v>
      </c>
      <c r="BM246" t="e">
        <f>'Ressource Plan'!BR10+"AM:!.zn"</f>
        <v>#VALUE!</v>
      </c>
      <c r="BN246" s="105" t="e">
        <f>'Ressource Plan'!BS10+"AM:!.zo"</f>
        <v>#VALUE!</v>
      </c>
      <c r="BO246" t="e">
        <f>'Ressource Plan'!BT10+"AM:!.zp"</f>
        <v>#VALUE!</v>
      </c>
      <c r="BP246" s="105" t="e">
        <f>'Ressource Plan'!BU10+"AM:!.zq"</f>
        <v>#VALUE!</v>
      </c>
      <c r="BQ246" t="e">
        <f>'Ressource Plan'!BV10+"AM:!.zr"</f>
        <v>#VALUE!</v>
      </c>
      <c r="BR246" s="105" t="e">
        <f>'Ressource Plan'!BW10+"AM:!.zs"</f>
        <v>#VALUE!</v>
      </c>
      <c r="BS246" t="e">
        <f>'Ressource Plan'!BX10+"AM:!.zt"</f>
        <v>#VALUE!</v>
      </c>
      <c r="BT246" s="105" t="e">
        <f>'Ressource Plan'!BY10+"AM:!.zu"</f>
        <v>#VALUE!</v>
      </c>
      <c r="BU246" t="e">
        <f>'Ressource Plan'!BZ10+"AM:!.zv"</f>
        <v>#VALUE!</v>
      </c>
      <c r="BV246" s="105" t="e">
        <f>'Ressource Plan'!CA10+"AM:!.zw"</f>
        <v>#VALUE!</v>
      </c>
      <c r="BW246" t="e">
        <f>'Ressource Plan'!CB10+"AM:!.zx"</f>
        <v>#VALUE!</v>
      </c>
      <c r="BX246" s="105" t="e">
        <f>'Ressource Plan'!CC10+"AM:!.zy"</f>
        <v>#VALUE!</v>
      </c>
      <c r="BY246" t="e">
        <f>'Ressource Plan'!A11+"AM:!.zz"</f>
        <v>#VALUE!</v>
      </c>
      <c r="BZ246" t="e">
        <f>'Ressource Plan'!B11+"AM:!.z{"</f>
        <v>#VALUE!</v>
      </c>
      <c r="CA246" t="e">
        <f>'Ressource Plan'!C11+"AM:!.z|"</f>
        <v>#VALUE!</v>
      </c>
      <c r="CB246" t="e">
        <f>'Ressource Plan'!D11+"AM:!.z}"</f>
        <v>#VALUE!</v>
      </c>
      <c r="CC246" t="e">
        <f>'Ressource Plan'!E11+"AM:!.z~"</f>
        <v>#VALUE!</v>
      </c>
      <c r="CD246" t="e">
        <f>'Ressource Plan'!F11+"AM:!.{#"</f>
        <v>#VALUE!</v>
      </c>
      <c r="CE246" s="105" t="e">
        <f>'Ressource Plan'!G11+"AM:!.{$"</f>
        <v>#VALUE!</v>
      </c>
      <c r="CF246" t="e">
        <f>'Ressource Plan'!H11+"AM:!.{%"</f>
        <v>#VALUE!</v>
      </c>
      <c r="CG246" s="105" t="e">
        <f>'Ressource Plan'!I11+"AM:!.{&amp;"</f>
        <v>#VALUE!</v>
      </c>
      <c r="CH246" t="e">
        <f>'Ressource Plan'!J11+"AM:!.{'"</f>
        <v>#VALUE!</v>
      </c>
      <c r="CI246" s="105" t="e">
        <f>'Ressource Plan'!K11+"AM:!.{("</f>
        <v>#VALUE!</v>
      </c>
      <c r="CJ246" t="e">
        <f>'Ressource Plan'!L11+"AM:!.{)"</f>
        <v>#VALUE!</v>
      </c>
      <c r="CK246" s="105" t="e">
        <f>'Ressource Plan'!M11+"AM:!.{."</f>
        <v>#VALUE!</v>
      </c>
      <c r="CL246" t="e">
        <f>'Ressource Plan'!N11+"AM:!.{/"</f>
        <v>#VALUE!</v>
      </c>
      <c r="CM246" s="105" t="e">
        <f>'Ressource Plan'!O11+"AM:!.{0"</f>
        <v>#VALUE!</v>
      </c>
      <c r="CN246" t="e">
        <f>'Ressource Plan'!P11+"AM:!.{1"</f>
        <v>#VALUE!</v>
      </c>
      <c r="CO246" s="105" t="e">
        <f>'Ressource Plan'!Q11+"AM:!.{2"</f>
        <v>#VALUE!</v>
      </c>
      <c r="CP246" t="e">
        <f>'Ressource Plan'!R11+"AM:!.{3"</f>
        <v>#VALUE!</v>
      </c>
      <c r="CQ246" s="105" t="e">
        <f>'Ressource Plan'!S11+"AM:!.{4"</f>
        <v>#VALUE!</v>
      </c>
      <c r="CR246" t="e">
        <f>'Ressource Plan'!T11+"AM:!.{5"</f>
        <v>#VALUE!</v>
      </c>
      <c r="CS246" s="105" t="e">
        <f>'Ressource Plan'!U11+"AM:!.{6"</f>
        <v>#VALUE!</v>
      </c>
      <c r="CT246" t="e">
        <f>'Ressource Plan'!V11+"AM:!.{7"</f>
        <v>#VALUE!</v>
      </c>
      <c r="CU246" s="105" t="e">
        <f>'Ressource Plan'!W11+"AM:!.{8"</f>
        <v>#VALUE!</v>
      </c>
      <c r="CV246" t="e">
        <f>'Ressource Plan'!X11+"AM:!.{9"</f>
        <v>#VALUE!</v>
      </c>
      <c r="CW246" s="105" t="e">
        <f>'Ressource Plan'!Y11+"AM:!.{:"</f>
        <v>#VALUE!</v>
      </c>
      <c r="CX246" t="e">
        <f>'Ressource Plan'!Z11+"AM:!.{;"</f>
        <v>#VALUE!</v>
      </c>
      <c r="CY246" s="105" t="e">
        <f>'Ressource Plan'!AA11+"AM:!.{&lt;"</f>
        <v>#VALUE!</v>
      </c>
      <c r="CZ246" t="e">
        <f>'Ressource Plan'!AB11+"AM:!.{="</f>
        <v>#VALUE!</v>
      </c>
      <c r="DA246" s="105" t="e">
        <f>'Ressource Plan'!AC11+"AM:!.{&gt;"</f>
        <v>#VALUE!</v>
      </c>
      <c r="DB246" t="e">
        <f>'Ressource Plan'!AD11+"AM:!.{?"</f>
        <v>#VALUE!</v>
      </c>
      <c r="DC246" s="105" t="e">
        <f>'Ressource Plan'!AE11+"AM:!.{@"</f>
        <v>#VALUE!</v>
      </c>
      <c r="DD246" t="e">
        <f>'Ressource Plan'!AF11+"AM:!.{A"</f>
        <v>#VALUE!</v>
      </c>
      <c r="DE246" s="105" t="e">
        <f>'Ressource Plan'!AG11+"AM:!.{B"</f>
        <v>#VALUE!</v>
      </c>
      <c r="DF246" t="e">
        <f>'Ressource Plan'!AH11+"AM:!.{C"</f>
        <v>#VALUE!</v>
      </c>
      <c r="DG246" s="105" t="e">
        <f>'Ressource Plan'!AI11+"AM:!.{D"</f>
        <v>#VALUE!</v>
      </c>
      <c r="DH246" t="e">
        <f>'Ressource Plan'!AJ11+"AM:!.{E"</f>
        <v>#VALUE!</v>
      </c>
      <c r="DI246" s="105" t="e">
        <f>'Ressource Plan'!AK11+"AM:!.{F"</f>
        <v>#VALUE!</v>
      </c>
      <c r="DJ246" t="e">
        <f>'Ressource Plan'!AL11+"AM:!.{G"</f>
        <v>#VALUE!</v>
      </c>
      <c r="DK246" s="105" t="e">
        <f>'Ressource Plan'!AM11+"AM:!.{H"</f>
        <v>#VALUE!</v>
      </c>
      <c r="DL246" t="e">
        <f>'Ressource Plan'!AN11+"AM:!.{I"</f>
        <v>#VALUE!</v>
      </c>
      <c r="DM246" s="105" t="e">
        <f>'Ressource Plan'!AO11+"AM:!.{J"</f>
        <v>#VALUE!</v>
      </c>
      <c r="DN246" t="e">
        <f>'Ressource Plan'!AP11+"AM:!.{K"</f>
        <v>#VALUE!</v>
      </c>
      <c r="DO246" s="105" t="e">
        <f>'Ressource Plan'!AQ11+"AM:!.{L"</f>
        <v>#VALUE!</v>
      </c>
      <c r="DP246" t="e">
        <f>'Ressource Plan'!AR11+"AM:!.{M"</f>
        <v>#VALUE!</v>
      </c>
      <c r="DQ246" s="105" t="e">
        <f>'Ressource Plan'!AS11+"AM:!.{N"</f>
        <v>#VALUE!</v>
      </c>
      <c r="DR246" t="e">
        <f>'Ressource Plan'!AT11+"AM:!.{O"</f>
        <v>#VALUE!</v>
      </c>
      <c r="DS246" s="105" t="e">
        <f>'Ressource Plan'!AU11+"AM:!.{P"</f>
        <v>#VALUE!</v>
      </c>
      <c r="DT246" t="e">
        <f>'Ressource Plan'!AV11+"AM:!.{Q"</f>
        <v>#VALUE!</v>
      </c>
      <c r="DU246" s="105" t="e">
        <f>'Ressource Plan'!AW11+"AM:!.{R"</f>
        <v>#VALUE!</v>
      </c>
      <c r="DV246" t="e">
        <f>'Ressource Plan'!AX11+"AM:!.{S"</f>
        <v>#VALUE!</v>
      </c>
      <c r="DW246" s="105" t="e">
        <f>'Ressource Plan'!AY11+"AM:!.{T"</f>
        <v>#VALUE!</v>
      </c>
      <c r="DX246" t="e">
        <f>'Ressource Plan'!AZ11+"AM:!.{U"</f>
        <v>#VALUE!</v>
      </c>
      <c r="DY246" s="105" t="e">
        <f>'Ressource Plan'!BA11+"AM:!.{V"</f>
        <v>#VALUE!</v>
      </c>
      <c r="DZ246" t="e">
        <f>'Ressource Plan'!BB11+"AM:!.{W"</f>
        <v>#VALUE!</v>
      </c>
      <c r="EA246" s="105" t="e">
        <f>'Ressource Plan'!BC11+"AM:!.{X"</f>
        <v>#VALUE!</v>
      </c>
      <c r="EB246" t="e">
        <f>'Ressource Plan'!BD11+"AM:!.{Y"</f>
        <v>#VALUE!</v>
      </c>
      <c r="EC246" s="105" t="e">
        <f>'Ressource Plan'!BE11+"AM:!.{Z"</f>
        <v>#VALUE!</v>
      </c>
      <c r="ED246" t="e">
        <f>'Ressource Plan'!BF11+"AM:!.{["</f>
        <v>#VALUE!</v>
      </c>
      <c r="EE246" s="105" t="e">
        <f>'Ressource Plan'!BG11+"AM:!.{\"</f>
        <v>#VALUE!</v>
      </c>
      <c r="EF246" t="e">
        <f>'Ressource Plan'!BH11+"AM:!.{]"</f>
        <v>#VALUE!</v>
      </c>
      <c r="EG246" s="105" t="e">
        <f>'Ressource Plan'!BI11+"AM:!.{^"</f>
        <v>#VALUE!</v>
      </c>
      <c r="EH246" t="e">
        <f>'Ressource Plan'!BJ11+"AM:!.{_"</f>
        <v>#VALUE!</v>
      </c>
      <c r="EI246" s="105" t="e">
        <f>'Ressource Plan'!BK11+"AM:!.{`"</f>
        <v>#VALUE!</v>
      </c>
      <c r="EJ246" t="e">
        <f>'Ressource Plan'!BL11+"AM:!.{a"</f>
        <v>#VALUE!</v>
      </c>
      <c r="EK246" s="105" t="e">
        <f>'Ressource Plan'!BM11+"AM:!.{b"</f>
        <v>#VALUE!</v>
      </c>
      <c r="EL246" t="e">
        <f>'Ressource Plan'!BN11+"AM:!.{c"</f>
        <v>#VALUE!</v>
      </c>
      <c r="EM246" s="105" t="e">
        <f>'Ressource Plan'!BO11+"AM:!.{d"</f>
        <v>#VALUE!</v>
      </c>
      <c r="EN246" t="e">
        <f>'Ressource Plan'!BP11+"AM:!.{e"</f>
        <v>#VALUE!</v>
      </c>
      <c r="EO246" s="105" t="e">
        <f>'Ressource Plan'!BQ11+"AM:!.{f"</f>
        <v>#VALUE!</v>
      </c>
      <c r="EP246" t="e">
        <f>'Ressource Plan'!BR11+"AM:!.{g"</f>
        <v>#VALUE!</v>
      </c>
      <c r="EQ246" s="105" t="e">
        <f>'Ressource Plan'!BS11+"AM:!.{h"</f>
        <v>#VALUE!</v>
      </c>
      <c r="ER246" t="e">
        <f>'Ressource Plan'!BT11+"AM:!.{i"</f>
        <v>#VALUE!</v>
      </c>
      <c r="ES246" s="105" t="e">
        <f>'Ressource Plan'!BU11+"AM:!.{j"</f>
        <v>#VALUE!</v>
      </c>
      <c r="ET246" t="e">
        <f>'Ressource Plan'!BV11+"AM:!.{k"</f>
        <v>#VALUE!</v>
      </c>
      <c r="EU246" s="105" t="e">
        <f>'Ressource Plan'!BW11+"AM:!.{l"</f>
        <v>#VALUE!</v>
      </c>
      <c r="EV246" t="e">
        <f>'Ressource Plan'!BX11+"AM:!.{m"</f>
        <v>#VALUE!</v>
      </c>
      <c r="EW246" s="105" t="e">
        <f>'Ressource Plan'!BY11+"AM:!.{n"</f>
        <v>#VALUE!</v>
      </c>
      <c r="EX246" t="e">
        <f>'Ressource Plan'!BZ11+"AM:!.{o"</f>
        <v>#VALUE!</v>
      </c>
      <c r="EY246" s="105" t="e">
        <f>'Ressource Plan'!CA11+"AM:!.{p"</f>
        <v>#VALUE!</v>
      </c>
      <c r="EZ246" t="e">
        <f>'Ressource Plan'!CB11+"AM:!.{q"</f>
        <v>#VALUE!</v>
      </c>
      <c r="FA246" s="105" t="e">
        <f>'Ressource Plan'!CC11+"AM:!.{r"</f>
        <v>#VALUE!</v>
      </c>
      <c r="FB246" t="e">
        <f>'Ressource Plan'!A12+"AM:!.{s"</f>
        <v>#VALUE!</v>
      </c>
      <c r="FC246" t="e">
        <f>'Ressource Plan'!B12+"AM:!.{t"</f>
        <v>#VALUE!</v>
      </c>
      <c r="FD246" t="e">
        <f>'Ressource Plan'!C12+"AM:!.{u"</f>
        <v>#VALUE!</v>
      </c>
      <c r="FE246" t="e">
        <f>'Ressource Plan'!D12+"AM:!.{v"</f>
        <v>#VALUE!</v>
      </c>
      <c r="FF246" t="e">
        <f>'Ressource Plan'!E12+"AM:!.{w"</f>
        <v>#VALUE!</v>
      </c>
      <c r="FG246" t="e">
        <f>'Ressource Plan'!F12+"AM:!.{x"</f>
        <v>#VALUE!</v>
      </c>
      <c r="FH246" s="105" t="e">
        <f>'Ressource Plan'!G12+"AM:!.{y"</f>
        <v>#VALUE!</v>
      </c>
      <c r="FI246" t="e">
        <f>'Ressource Plan'!H12+"AM:!.{z"</f>
        <v>#VALUE!</v>
      </c>
      <c r="FJ246" s="105" t="e">
        <f>'Ressource Plan'!I12+"AM:!.{{"</f>
        <v>#VALUE!</v>
      </c>
      <c r="FK246" t="e">
        <f>'Ressource Plan'!J12+"AM:!.{|"</f>
        <v>#VALUE!</v>
      </c>
      <c r="FL246" s="105" t="e">
        <f>'Ressource Plan'!K12+"AM:!.{}"</f>
        <v>#VALUE!</v>
      </c>
      <c r="FM246" t="e">
        <f>'Ressource Plan'!L12+"AM:!.{~"</f>
        <v>#VALUE!</v>
      </c>
      <c r="FN246" s="105" t="e">
        <f>'Ressource Plan'!M12+"AM:!.|#"</f>
        <v>#VALUE!</v>
      </c>
      <c r="FO246" t="e">
        <f>'Ressource Plan'!N12+"AM:!.|$"</f>
        <v>#VALUE!</v>
      </c>
      <c r="FP246" s="105" t="e">
        <f>'Ressource Plan'!O12+"AM:!.|%"</f>
        <v>#VALUE!</v>
      </c>
      <c r="FQ246" t="e">
        <f>'Ressource Plan'!P12+"AM:!.|&amp;"</f>
        <v>#VALUE!</v>
      </c>
      <c r="FR246" s="105" t="e">
        <f>'Ressource Plan'!Q12+"AM:!.|'"</f>
        <v>#VALUE!</v>
      </c>
      <c r="FS246" t="e">
        <f>'Ressource Plan'!R12+"AM:!.|("</f>
        <v>#VALUE!</v>
      </c>
      <c r="FT246" s="105" t="e">
        <f>'Ressource Plan'!S12+"AM:!.|)"</f>
        <v>#VALUE!</v>
      </c>
      <c r="FU246" t="e">
        <f>'Ressource Plan'!T12+"AM:!.|."</f>
        <v>#VALUE!</v>
      </c>
      <c r="FV246" s="105" t="e">
        <f>'Ressource Plan'!U12+"AM:!.|/"</f>
        <v>#VALUE!</v>
      </c>
      <c r="FW246" t="e">
        <f>'Ressource Plan'!V12+"AM:!.|0"</f>
        <v>#VALUE!</v>
      </c>
      <c r="FX246" s="105" t="e">
        <f>'Ressource Plan'!W12+"AM:!.|1"</f>
        <v>#VALUE!</v>
      </c>
      <c r="FY246" t="e">
        <f>'Ressource Plan'!X12+"AM:!.|2"</f>
        <v>#VALUE!</v>
      </c>
      <c r="FZ246" s="105" t="e">
        <f>'Ressource Plan'!Y12+"AM:!.|3"</f>
        <v>#VALUE!</v>
      </c>
      <c r="GA246" t="e">
        <f>'Ressource Plan'!Z12+"AM:!.|4"</f>
        <v>#VALUE!</v>
      </c>
      <c r="GB246" s="105" t="e">
        <f>'Ressource Plan'!AA12+"AM:!.|5"</f>
        <v>#VALUE!</v>
      </c>
      <c r="GC246" t="e">
        <f>'Ressource Plan'!AB12+"AM:!.|6"</f>
        <v>#VALUE!</v>
      </c>
      <c r="GD246" s="105" t="e">
        <f>'Ressource Plan'!AC12+"AM:!.|7"</f>
        <v>#VALUE!</v>
      </c>
      <c r="GE246" t="e">
        <f>'Ressource Plan'!AD12+"AM:!.|8"</f>
        <v>#VALUE!</v>
      </c>
      <c r="GF246" s="105" t="e">
        <f>'Ressource Plan'!AE12+"AM:!.|9"</f>
        <v>#VALUE!</v>
      </c>
      <c r="GG246" t="e">
        <f>'Ressource Plan'!AF12+"AM:!.|:"</f>
        <v>#VALUE!</v>
      </c>
      <c r="GH246" s="105" t="e">
        <f>'Ressource Plan'!AG12+"AM:!.|;"</f>
        <v>#VALUE!</v>
      </c>
      <c r="GI246" t="e">
        <f>'Ressource Plan'!AH12+"AM:!.|&lt;"</f>
        <v>#VALUE!</v>
      </c>
      <c r="GJ246" s="105" t="e">
        <f>'Ressource Plan'!AI12+"AM:!.|="</f>
        <v>#VALUE!</v>
      </c>
      <c r="GK246" t="e">
        <f>'Ressource Plan'!AJ12+"AM:!.|&gt;"</f>
        <v>#VALUE!</v>
      </c>
      <c r="GL246" s="105" t="e">
        <f>'Ressource Plan'!AK12+"AM:!.|?"</f>
        <v>#VALUE!</v>
      </c>
      <c r="GM246" t="e">
        <f>'Ressource Plan'!AL12+"AM:!.|@"</f>
        <v>#VALUE!</v>
      </c>
      <c r="GN246" s="105" t="e">
        <f>'Ressource Plan'!AM12+"AM:!.|A"</f>
        <v>#VALUE!</v>
      </c>
      <c r="GO246" t="e">
        <f>'Ressource Plan'!AN12+"AM:!.|B"</f>
        <v>#VALUE!</v>
      </c>
      <c r="GP246" s="105" t="e">
        <f>'Ressource Plan'!AO12+"AM:!.|C"</f>
        <v>#VALUE!</v>
      </c>
      <c r="GQ246" t="e">
        <f>'Ressource Plan'!AP12+"AM:!.|D"</f>
        <v>#VALUE!</v>
      </c>
      <c r="GR246" s="105" t="e">
        <f>'Ressource Plan'!AQ12+"AM:!.|E"</f>
        <v>#VALUE!</v>
      </c>
      <c r="GS246" t="e">
        <f>'Ressource Plan'!AR12+"AM:!.|F"</f>
        <v>#VALUE!</v>
      </c>
      <c r="GT246" s="105" t="e">
        <f>'Ressource Plan'!AS12+"AM:!.|G"</f>
        <v>#VALUE!</v>
      </c>
      <c r="GU246" t="e">
        <f>'Ressource Plan'!AT12+"AM:!.|H"</f>
        <v>#VALUE!</v>
      </c>
      <c r="GV246" s="105" t="e">
        <f>'Ressource Plan'!AU12+"AM:!.|I"</f>
        <v>#VALUE!</v>
      </c>
      <c r="GW246" t="e">
        <f>'Ressource Plan'!AV12+"AM:!.|J"</f>
        <v>#VALUE!</v>
      </c>
      <c r="GX246" s="105" t="e">
        <f>'Ressource Plan'!AW12+"AM:!.|K"</f>
        <v>#VALUE!</v>
      </c>
      <c r="GY246" t="e">
        <f>'Ressource Plan'!AX12+"AM:!.|L"</f>
        <v>#VALUE!</v>
      </c>
      <c r="GZ246" s="105" t="e">
        <f>'Ressource Plan'!AY12+"AM:!.|M"</f>
        <v>#VALUE!</v>
      </c>
      <c r="HA246" t="e">
        <f>'Ressource Plan'!AZ12+"AM:!.|N"</f>
        <v>#VALUE!</v>
      </c>
      <c r="HB246" s="105" t="e">
        <f>'Ressource Plan'!BA12+"AM:!.|O"</f>
        <v>#VALUE!</v>
      </c>
      <c r="HC246" t="e">
        <f>'Ressource Plan'!BB12+"AM:!.|P"</f>
        <v>#VALUE!</v>
      </c>
      <c r="HD246" s="105" t="e">
        <f>'Ressource Plan'!BC12+"AM:!.|Q"</f>
        <v>#VALUE!</v>
      </c>
      <c r="HE246" t="e">
        <f>'Ressource Plan'!BD12+"AM:!.|R"</f>
        <v>#VALUE!</v>
      </c>
      <c r="HF246" s="105" t="e">
        <f>'Ressource Plan'!BE12+"AM:!.|S"</f>
        <v>#VALUE!</v>
      </c>
      <c r="HG246" t="e">
        <f>'Ressource Plan'!BF12+"AM:!.|T"</f>
        <v>#VALUE!</v>
      </c>
      <c r="HH246" s="105" t="e">
        <f>'Ressource Plan'!BG12+"AM:!.|U"</f>
        <v>#VALUE!</v>
      </c>
      <c r="HI246" t="e">
        <f>'Ressource Plan'!BH12+"AM:!.|V"</f>
        <v>#VALUE!</v>
      </c>
      <c r="HJ246" s="105" t="e">
        <f>'Ressource Plan'!BI12+"AM:!.|W"</f>
        <v>#VALUE!</v>
      </c>
      <c r="HK246" t="e">
        <f>'Ressource Plan'!BJ12+"AM:!.|X"</f>
        <v>#VALUE!</v>
      </c>
      <c r="HL246" s="105" t="e">
        <f>'Ressource Plan'!BK12+"AM:!.|Y"</f>
        <v>#VALUE!</v>
      </c>
      <c r="HM246" t="e">
        <f>'Ressource Plan'!BL12+"AM:!.|Z"</f>
        <v>#VALUE!</v>
      </c>
      <c r="HN246" s="105" t="e">
        <f>'Ressource Plan'!BM12+"AM:!.|["</f>
        <v>#VALUE!</v>
      </c>
      <c r="HO246" t="e">
        <f>'Ressource Plan'!BN12+"AM:!.|\"</f>
        <v>#VALUE!</v>
      </c>
      <c r="HP246" s="105" t="e">
        <f>'Ressource Plan'!BO12+"AM:!.|]"</f>
        <v>#VALUE!</v>
      </c>
      <c r="HQ246" t="e">
        <f>'Ressource Plan'!BP12+"AM:!.|^"</f>
        <v>#VALUE!</v>
      </c>
      <c r="HR246" s="105" t="e">
        <f>'Ressource Plan'!BQ12+"AM:!.|_"</f>
        <v>#VALUE!</v>
      </c>
      <c r="HS246" t="e">
        <f>'Ressource Plan'!BR12+"AM:!.|`"</f>
        <v>#VALUE!</v>
      </c>
      <c r="HT246" s="105" t="e">
        <f>'Ressource Plan'!BS12+"AM:!.|a"</f>
        <v>#VALUE!</v>
      </c>
      <c r="HU246" t="e">
        <f>'Ressource Plan'!BT12+"AM:!.|b"</f>
        <v>#VALUE!</v>
      </c>
      <c r="HV246" s="105" t="e">
        <f>'Ressource Plan'!BU12+"AM:!.|c"</f>
        <v>#VALUE!</v>
      </c>
      <c r="HW246" t="e">
        <f>'Ressource Plan'!BV12+"AM:!.|d"</f>
        <v>#VALUE!</v>
      </c>
      <c r="HX246" s="105" t="e">
        <f>'Ressource Plan'!BW12+"AM:!.|e"</f>
        <v>#VALUE!</v>
      </c>
      <c r="HY246" t="e">
        <f>'Ressource Plan'!BX12+"AM:!.|f"</f>
        <v>#VALUE!</v>
      </c>
      <c r="HZ246" s="105" t="e">
        <f>'Ressource Plan'!BY12+"AM:!.|g"</f>
        <v>#VALUE!</v>
      </c>
      <c r="IA246" t="e">
        <f>'Ressource Plan'!BZ12+"AM:!.|h"</f>
        <v>#VALUE!</v>
      </c>
      <c r="IB246" s="105" t="e">
        <f>'Ressource Plan'!CA12+"AM:!.|i"</f>
        <v>#VALUE!</v>
      </c>
      <c r="IC246" t="e">
        <f>'Ressource Plan'!CB12+"AM:!.|j"</f>
        <v>#VALUE!</v>
      </c>
      <c r="ID246" s="105" t="e">
        <f>'Ressource Plan'!CC12+"AM:!.|k"</f>
        <v>#VALUE!</v>
      </c>
      <c r="IE246" t="e">
        <f>'Ressource Plan'!A13+"AM:!.|l"</f>
        <v>#VALUE!</v>
      </c>
      <c r="IF246" t="e">
        <f>'Ressource Plan'!B13+"AM:!.|m"</f>
        <v>#VALUE!</v>
      </c>
      <c r="IG246" t="e">
        <f>'Ressource Plan'!C13+"AM:!.|n"</f>
        <v>#VALUE!</v>
      </c>
      <c r="IH246" t="e">
        <f>'Ressource Plan'!D13+"AM:!.|o"</f>
        <v>#VALUE!</v>
      </c>
      <c r="II246" t="e">
        <f>'Ressource Plan'!E13+"AM:!.|p"</f>
        <v>#VALUE!</v>
      </c>
      <c r="IJ246" t="e">
        <f>'Ressource Plan'!F13+"AM:!.|q"</f>
        <v>#VALUE!</v>
      </c>
      <c r="IK246" s="105" t="e">
        <f>'Ressource Plan'!G13+"AM:!.|r"</f>
        <v>#VALUE!</v>
      </c>
      <c r="IL246" t="e">
        <f>'Ressource Plan'!H13+"AM:!.|s"</f>
        <v>#VALUE!</v>
      </c>
      <c r="IM246" s="105" t="e">
        <f>'Ressource Plan'!I13+"AM:!.|t"</f>
        <v>#VALUE!</v>
      </c>
      <c r="IN246" t="e">
        <f>'Ressource Plan'!J13+"AM:!.|u"</f>
        <v>#VALUE!</v>
      </c>
      <c r="IO246" s="105" t="e">
        <f>'Ressource Plan'!K13+"AM:!.|v"</f>
        <v>#VALUE!</v>
      </c>
      <c r="IP246" t="e">
        <f>'Ressource Plan'!L13+"AM:!.|w"</f>
        <v>#VALUE!</v>
      </c>
      <c r="IQ246" s="105" t="e">
        <f>'Ressource Plan'!M13+"AM:!.|x"</f>
        <v>#VALUE!</v>
      </c>
      <c r="IR246" t="e">
        <f>'Ressource Plan'!N13+"AM:!.|y"</f>
        <v>#VALUE!</v>
      </c>
      <c r="IS246" s="105" t="e">
        <f>'Ressource Plan'!O13+"AM:!.|z"</f>
        <v>#VALUE!</v>
      </c>
      <c r="IT246" t="e">
        <f>'Ressource Plan'!P13+"AM:!.|{"</f>
        <v>#VALUE!</v>
      </c>
      <c r="IU246" s="105" t="e">
        <f>'Ressource Plan'!Q13+"AM:!.||"</f>
        <v>#VALUE!</v>
      </c>
      <c r="IV246" t="e">
        <f>'Ressource Plan'!R13+"AM:!.|}"</f>
        <v>#VALUE!</v>
      </c>
    </row>
    <row r="247" spans="6:256">
      <c r="F247" s="105" t="e">
        <f>'Ressource Plan'!S13+"AM:!.|~"</f>
        <v>#VALUE!</v>
      </c>
      <c r="G247" t="e">
        <f>'Ressource Plan'!T13+"AM:!.}#"</f>
        <v>#VALUE!</v>
      </c>
      <c r="H247" s="105" t="e">
        <f>'Ressource Plan'!U13+"AM:!.}$"</f>
        <v>#VALUE!</v>
      </c>
      <c r="I247" t="e">
        <f>'Ressource Plan'!V13+"AM:!.}%"</f>
        <v>#VALUE!</v>
      </c>
      <c r="J247" s="105" t="e">
        <f>'Ressource Plan'!W13+"AM:!.}&amp;"</f>
        <v>#VALUE!</v>
      </c>
      <c r="K247" t="e">
        <f>'Ressource Plan'!X13+"AM:!.}'"</f>
        <v>#VALUE!</v>
      </c>
      <c r="L247" s="105" t="e">
        <f>'Ressource Plan'!Y13+"AM:!.}("</f>
        <v>#VALUE!</v>
      </c>
      <c r="M247" t="e">
        <f>'Ressource Plan'!Z13+"AM:!.})"</f>
        <v>#VALUE!</v>
      </c>
      <c r="N247" s="105" t="e">
        <f>'Ressource Plan'!AA13+"AM:!.}."</f>
        <v>#VALUE!</v>
      </c>
      <c r="O247" t="e">
        <f>'Ressource Plan'!AB13+"AM:!.}/"</f>
        <v>#VALUE!</v>
      </c>
      <c r="P247" s="105" t="e">
        <f>'Ressource Plan'!AC13+"AM:!.}0"</f>
        <v>#VALUE!</v>
      </c>
      <c r="Q247" t="e">
        <f>'Ressource Plan'!AD13+"AM:!.}1"</f>
        <v>#VALUE!</v>
      </c>
      <c r="R247" s="105" t="e">
        <f>'Ressource Plan'!AE13+"AM:!.}2"</f>
        <v>#VALUE!</v>
      </c>
      <c r="S247" t="e">
        <f>'Ressource Plan'!AF13+"AM:!.}3"</f>
        <v>#VALUE!</v>
      </c>
      <c r="T247" s="105" t="e">
        <f>'Ressource Plan'!AG13+"AM:!.}4"</f>
        <v>#VALUE!</v>
      </c>
      <c r="U247" t="e">
        <f>'Ressource Plan'!AH13+"AM:!.}5"</f>
        <v>#VALUE!</v>
      </c>
      <c r="V247" s="105" t="e">
        <f>'Ressource Plan'!AI13+"AM:!.}6"</f>
        <v>#VALUE!</v>
      </c>
      <c r="W247" t="e">
        <f>'Ressource Plan'!AJ13+"AM:!.}7"</f>
        <v>#VALUE!</v>
      </c>
      <c r="X247" s="105" t="e">
        <f>'Ressource Plan'!AK13+"AM:!.}8"</f>
        <v>#VALUE!</v>
      </c>
      <c r="Y247" t="e">
        <f>'Ressource Plan'!AL13+"AM:!.}9"</f>
        <v>#VALUE!</v>
      </c>
      <c r="Z247" s="105" t="e">
        <f>'Ressource Plan'!AM13+"AM:!.}:"</f>
        <v>#VALUE!</v>
      </c>
      <c r="AA247" t="e">
        <f>'Ressource Plan'!AN13+"AM:!.};"</f>
        <v>#VALUE!</v>
      </c>
      <c r="AB247" s="105" t="e">
        <f>'Ressource Plan'!AO13+"AM:!.}&lt;"</f>
        <v>#VALUE!</v>
      </c>
      <c r="AC247" t="e">
        <f>'Ressource Plan'!AP13+"AM:!.}="</f>
        <v>#VALUE!</v>
      </c>
      <c r="AD247" s="105" t="e">
        <f>'Ressource Plan'!AQ13+"AM:!.}&gt;"</f>
        <v>#VALUE!</v>
      </c>
      <c r="AE247" t="e">
        <f>'Ressource Plan'!AR13+"AM:!.}?"</f>
        <v>#VALUE!</v>
      </c>
      <c r="AF247" s="105" t="e">
        <f>'Ressource Plan'!AS13+"AM:!.}@"</f>
        <v>#VALUE!</v>
      </c>
      <c r="AG247" t="e">
        <f>'Ressource Plan'!AT13+"AM:!.}A"</f>
        <v>#VALUE!</v>
      </c>
      <c r="AH247" s="105" t="e">
        <f>'Ressource Plan'!AU13+"AM:!.}B"</f>
        <v>#VALUE!</v>
      </c>
      <c r="AI247" t="e">
        <f>'Ressource Plan'!AV13+"AM:!.}C"</f>
        <v>#VALUE!</v>
      </c>
      <c r="AJ247" s="105" t="e">
        <f>'Ressource Plan'!AW13+"AM:!.}D"</f>
        <v>#VALUE!</v>
      </c>
      <c r="AK247" t="e">
        <f>'Ressource Plan'!AX13+"AM:!.}E"</f>
        <v>#VALUE!</v>
      </c>
      <c r="AL247" s="105" t="e">
        <f>'Ressource Plan'!AY13+"AM:!.}F"</f>
        <v>#VALUE!</v>
      </c>
      <c r="AM247" t="e">
        <f>'Ressource Plan'!AZ13+"AM:!.}G"</f>
        <v>#VALUE!</v>
      </c>
      <c r="AN247" s="105" t="e">
        <f>'Ressource Plan'!BA13+"AM:!.}H"</f>
        <v>#VALUE!</v>
      </c>
      <c r="AO247" t="e">
        <f>'Ressource Plan'!BB13+"AM:!.}I"</f>
        <v>#VALUE!</v>
      </c>
      <c r="AP247" s="105" t="e">
        <f>'Ressource Plan'!BC13+"AM:!.}J"</f>
        <v>#VALUE!</v>
      </c>
      <c r="AQ247" t="e">
        <f>'Ressource Plan'!BD13+"AM:!.}K"</f>
        <v>#VALUE!</v>
      </c>
      <c r="AR247" s="105" t="e">
        <f>'Ressource Plan'!BE13+"AM:!.}L"</f>
        <v>#VALUE!</v>
      </c>
      <c r="AS247" t="e">
        <f>'Ressource Plan'!BF13+"AM:!.}M"</f>
        <v>#VALUE!</v>
      </c>
      <c r="AT247" s="105" t="e">
        <f>'Ressource Plan'!BG13+"AM:!.}N"</f>
        <v>#VALUE!</v>
      </c>
      <c r="AU247" t="e">
        <f>'Ressource Plan'!BH13+"AM:!.}O"</f>
        <v>#VALUE!</v>
      </c>
      <c r="AV247" s="105" t="e">
        <f>'Ressource Plan'!BI13+"AM:!.}P"</f>
        <v>#VALUE!</v>
      </c>
      <c r="AW247" t="e">
        <f>'Ressource Plan'!BJ13+"AM:!.}Q"</f>
        <v>#VALUE!</v>
      </c>
      <c r="AX247" s="105" t="e">
        <f>'Ressource Plan'!BK13+"AM:!.}R"</f>
        <v>#VALUE!</v>
      </c>
      <c r="AY247" t="e">
        <f>'Ressource Plan'!BL13+"AM:!.}S"</f>
        <v>#VALUE!</v>
      </c>
      <c r="AZ247" s="105" t="e">
        <f>'Ressource Plan'!BM13+"AM:!.}T"</f>
        <v>#VALUE!</v>
      </c>
      <c r="BA247" t="e">
        <f>'Ressource Plan'!BN13+"AM:!.}U"</f>
        <v>#VALUE!</v>
      </c>
      <c r="BB247" s="105" t="e">
        <f>'Ressource Plan'!BO13+"AM:!.}V"</f>
        <v>#VALUE!</v>
      </c>
      <c r="BC247" t="e">
        <f>'Ressource Plan'!BP13+"AM:!.}W"</f>
        <v>#VALUE!</v>
      </c>
      <c r="BD247" s="105" t="e">
        <f>'Ressource Plan'!BQ13+"AM:!.}X"</f>
        <v>#VALUE!</v>
      </c>
      <c r="BE247" t="e">
        <f>'Ressource Plan'!BR13+"AM:!.}Y"</f>
        <v>#VALUE!</v>
      </c>
      <c r="BF247" s="105" t="e">
        <f>'Ressource Plan'!BS13+"AM:!.}Z"</f>
        <v>#VALUE!</v>
      </c>
      <c r="BG247" t="e">
        <f>'Ressource Plan'!BT13+"AM:!.}["</f>
        <v>#VALUE!</v>
      </c>
      <c r="BH247" s="105" t="e">
        <f>'Ressource Plan'!BU13+"AM:!.}\"</f>
        <v>#VALUE!</v>
      </c>
      <c r="BI247" t="e">
        <f>'Ressource Plan'!BV13+"AM:!.}]"</f>
        <v>#VALUE!</v>
      </c>
      <c r="BJ247" s="105" t="e">
        <f>'Ressource Plan'!BW13+"AM:!.}^"</f>
        <v>#VALUE!</v>
      </c>
      <c r="BK247" t="e">
        <f>'Ressource Plan'!BX13+"AM:!.}_"</f>
        <v>#VALUE!</v>
      </c>
      <c r="BL247" s="105" t="e">
        <f>'Ressource Plan'!BY13+"AM:!.}`"</f>
        <v>#VALUE!</v>
      </c>
      <c r="BM247" t="e">
        <f>'Ressource Plan'!BZ13+"AM:!.}a"</f>
        <v>#VALUE!</v>
      </c>
      <c r="BN247" s="105" t="e">
        <f>'Ressource Plan'!CA13+"AM:!.}b"</f>
        <v>#VALUE!</v>
      </c>
      <c r="BO247" t="e">
        <f>'Ressource Plan'!CB13+"AM:!.}c"</f>
        <v>#VALUE!</v>
      </c>
      <c r="BP247" s="105" t="e">
        <f>'Ressource Plan'!CC13+"AM:!.}d"</f>
        <v>#VALUE!</v>
      </c>
      <c r="BQ247" t="e">
        <f>'Ressource Plan'!A14+"AM:!.}e"</f>
        <v>#VALUE!</v>
      </c>
      <c r="BR247" t="e">
        <f>'Ressource Plan'!B14+"AM:!.}f"</f>
        <v>#VALUE!</v>
      </c>
      <c r="BS247" t="e">
        <f>'Ressource Plan'!C14+"AM:!.}g"</f>
        <v>#VALUE!</v>
      </c>
      <c r="BT247" t="e">
        <f>'Ressource Plan'!D14+"AM:!.}h"</f>
        <v>#VALUE!</v>
      </c>
      <c r="BU247" t="e">
        <f>'Ressource Plan'!E14+"AM:!.}i"</f>
        <v>#VALUE!</v>
      </c>
      <c r="BV247" t="e">
        <f>'Ressource Plan'!F14+"AM:!.}j"</f>
        <v>#VALUE!</v>
      </c>
      <c r="BW247" s="105" t="e">
        <f>'Ressource Plan'!G14+"AM:!.}k"</f>
        <v>#VALUE!</v>
      </c>
      <c r="BX247" t="e">
        <f>'Ressource Plan'!H14+"AM:!.}l"</f>
        <v>#VALUE!</v>
      </c>
      <c r="BY247" s="105" t="e">
        <f>'Ressource Plan'!I14+"AM:!.}m"</f>
        <v>#VALUE!</v>
      </c>
      <c r="BZ247" t="e">
        <f>'Ressource Plan'!J14+"AM:!.}n"</f>
        <v>#VALUE!</v>
      </c>
      <c r="CA247" s="105" t="e">
        <f>'Ressource Plan'!K14+"AM:!.}o"</f>
        <v>#VALUE!</v>
      </c>
      <c r="CB247" t="e">
        <f>'Ressource Plan'!L14+"AM:!.}p"</f>
        <v>#VALUE!</v>
      </c>
      <c r="CC247" s="105" t="e">
        <f>'Ressource Plan'!M14+"AM:!.}q"</f>
        <v>#VALUE!</v>
      </c>
      <c r="CD247" t="e">
        <f>'Ressource Plan'!N14+"AM:!.}r"</f>
        <v>#VALUE!</v>
      </c>
      <c r="CE247" s="105" t="e">
        <f>'Ressource Plan'!O14+"AM:!.}s"</f>
        <v>#VALUE!</v>
      </c>
      <c r="CF247" t="e">
        <f>'Ressource Plan'!P14+"AM:!.}t"</f>
        <v>#VALUE!</v>
      </c>
      <c r="CG247" s="105" t="e">
        <f>'Ressource Plan'!Q14+"AM:!.}u"</f>
        <v>#VALUE!</v>
      </c>
      <c r="CH247" t="e">
        <f>'Ressource Plan'!R14+"AM:!.}v"</f>
        <v>#VALUE!</v>
      </c>
      <c r="CI247" s="105" t="e">
        <f>'Ressource Plan'!S14+"AM:!.}w"</f>
        <v>#VALUE!</v>
      </c>
      <c r="CJ247" t="e">
        <f>'Ressource Plan'!T14+"AM:!.}x"</f>
        <v>#VALUE!</v>
      </c>
      <c r="CK247" s="105" t="e">
        <f>'Ressource Plan'!U14+"AM:!.}y"</f>
        <v>#VALUE!</v>
      </c>
      <c r="CL247" t="e">
        <f>'Ressource Plan'!V14+"AM:!.}z"</f>
        <v>#VALUE!</v>
      </c>
      <c r="CM247" s="105" t="e">
        <f>'Ressource Plan'!W14+"AM:!.}{"</f>
        <v>#VALUE!</v>
      </c>
      <c r="CN247" t="e">
        <f>'Ressource Plan'!X14+"AM:!.}|"</f>
        <v>#VALUE!</v>
      </c>
      <c r="CO247" s="105" t="e">
        <f>'Ressource Plan'!Y14+"AM:!.}}"</f>
        <v>#VALUE!</v>
      </c>
      <c r="CP247" t="e">
        <f>'Ressource Plan'!Z14+"AM:!.}~"</f>
        <v>#VALUE!</v>
      </c>
      <c r="CQ247" s="105" t="e">
        <f>'Ressource Plan'!AA14+"AM:!.~#"</f>
        <v>#VALUE!</v>
      </c>
      <c r="CR247" t="e">
        <f>'Ressource Plan'!AB14+"AM:!.~$"</f>
        <v>#VALUE!</v>
      </c>
      <c r="CS247" s="105" t="e">
        <f>'Ressource Plan'!AC14+"AM:!.~%"</f>
        <v>#VALUE!</v>
      </c>
      <c r="CT247" t="e">
        <f>'Ressource Plan'!AD14+"AM:!.~&amp;"</f>
        <v>#VALUE!</v>
      </c>
      <c r="CU247" s="105" t="e">
        <f>'Ressource Plan'!AE14+"AM:!.~'"</f>
        <v>#VALUE!</v>
      </c>
      <c r="CV247" t="e">
        <f>'Ressource Plan'!AF14+"AM:!.~("</f>
        <v>#VALUE!</v>
      </c>
      <c r="CW247" s="105" t="e">
        <f>'Ressource Plan'!AG14+"AM:!.~)"</f>
        <v>#VALUE!</v>
      </c>
      <c r="CX247" t="e">
        <f>'Ressource Plan'!AH14+"AM:!.~."</f>
        <v>#VALUE!</v>
      </c>
      <c r="CY247" s="105" t="e">
        <f>'Ressource Plan'!AI14+"AM:!.~/"</f>
        <v>#VALUE!</v>
      </c>
      <c r="CZ247" t="e">
        <f>'Ressource Plan'!AJ14+"AM:!.~0"</f>
        <v>#VALUE!</v>
      </c>
      <c r="DA247" s="105" t="e">
        <f>'Ressource Plan'!AK14+"AM:!.~1"</f>
        <v>#VALUE!</v>
      </c>
      <c r="DB247" t="e">
        <f>'Ressource Plan'!AL14+"AM:!.~2"</f>
        <v>#VALUE!</v>
      </c>
      <c r="DC247" s="105" t="e">
        <f>'Ressource Plan'!AM14+"AM:!.~3"</f>
        <v>#VALUE!</v>
      </c>
      <c r="DD247" t="e">
        <f>'Ressource Plan'!AN14+"AM:!.~4"</f>
        <v>#VALUE!</v>
      </c>
      <c r="DE247" s="105" t="e">
        <f>'Ressource Plan'!AO14+"AM:!.~5"</f>
        <v>#VALUE!</v>
      </c>
      <c r="DF247" t="e">
        <f>'Ressource Plan'!AP14+"AM:!.~6"</f>
        <v>#VALUE!</v>
      </c>
      <c r="DG247" s="105" t="e">
        <f>'Ressource Plan'!AQ14+"AM:!.~7"</f>
        <v>#VALUE!</v>
      </c>
      <c r="DH247" t="e">
        <f>'Ressource Plan'!AR14+"AM:!.~8"</f>
        <v>#VALUE!</v>
      </c>
      <c r="DI247" s="105" t="e">
        <f>'Ressource Plan'!AS14+"AM:!.~9"</f>
        <v>#VALUE!</v>
      </c>
      <c r="DJ247" t="e">
        <f>'Ressource Plan'!AT14+"AM:!.~:"</f>
        <v>#VALUE!</v>
      </c>
      <c r="DK247" s="105" t="e">
        <f>'Ressource Plan'!AU14+"AM:!.~;"</f>
        <v>#VALUE!</v>
      </c>
      <c r="DL247" t="e">
        <f>'Ressource Plan'!AV14+"AM:!.~&lt;"</f>
        <v>#VALUE!</v>
      </c>
      <c r="DM247" s="105" t="e">
        <f>'Ressource Plan'!AW14+"AM:!.~="</f>
        <v>#VALUE!</v>
      </c>
      <c r="DN247" t="e">
        <f>'Ressource Plan'!AX14+"AM:!.~&gt;"</f>
        <v>#VALUE!</v>
      </c>
      <c r="DO247" s="105" t="e">
        <f>'Ressource Plan'!AY14+"AM:!.~?"</f>
        <v>#VALUE!</v>
      </c>
      <c r="DP247" t="e">
        <f>'Ressource Plan'!AZ14+"AM:!.~@"</f>
        <v>#VALUE!</v>
      </c>
      <c r="DQ247" s="105" t="e">
        <f>'Ressource Plan'!BA14+"AM:!.~A"</f>
        <v>#VALUE!</v>
      </c>
      <c r="DR247" t="e">
        <f>'Ressource Plan'!BB14+"AM:!.~B"</f>
        <v>#VALUE!</v>
      </c>
      <c r="DS247" s="105" t="e">
        <f>'Ressource Plan'!BC14+"AM:!.~C"</f>
        <v>#VALUE!</v>
      </c>
      <c r="DT247" t="e">
        <f>'Ressource Plan'!BD14+"AM:!.~D"</f>
        <v>#VALUE!</v>
      </c>
      <c r="DU247" s="105" t="e">
        <f>'Ressource Plan'!BE14+"AM:!.~E"</f>
        <v>#VALUE!</v>
      </c>
      <c r="DV247" t="e">
        <f>'Ressource Plan'!BF14+"AM:!.~F"</f>
        <v>#VALUE!</v>
      </c>
      <c r="DW247" s="105" t="e">
        <f>'Ressource Plan'!BG14+"AM:!.~G"</f>
        <v>#VALUE!</v>
      </c>
      <c r="DX247" t="e">
        <f>'Ressource Plan'!BH14+"AM:!.~H"</f>
        <v>#VALUE!</v>
      </c>
      <c r="DY247" s="105" t="e">
        <f>'Ressource Plan'!BI14+"AM:!.~I"</f>
        <v>#VALUE!</v>
      </c>
      <c r="DZ247" t="e">
        <f>'Ressource Plan'!BJ14+"AM:!.~J"</f>
        <v>#VALUE!</v>
      </c>
      <c r="EA247" s="105" t="e">
        <f>'Ressource Plan'!BK14+"AM:!.~K"</f>
        <v>#VALUE!</v>
      </c>
      <c r="EB247" t="e">
        <f>'Ressource Plan'!BL14+"AM:!.~L"</f>
        <v>#VALUE!</v>
      </c>
      <c r="EC247" s="105" t="e">
        <f>'Ressource Plan'!BM14+"AM:!.~M"</f>
        <v>#VALUE!</v>
      </c>
      <c r="ED247" t="e">
        <f>'Ressource Plan'!BN14+"AM:!.~N"</f>
        <v>#VALUE!</v>
      </c>
      <c r="EE247" s="105" t="e">
        <f>'Ressource Plan'!BO14+"AM:!.~O"</f>
        <v>#VALUE!</v>
      </c>
      <c r="EF247" t="e">
        <f>'Ressource Plan'!BP14+"AM:!.~P"</f>
        <v>#VALUE!</v>
      </c>
      <c r="EG247" s="105" t="e">
        <f>'Ressource Plan'!BQ14+"AM:!.~Q"</f>
        <v>#VALUE!</v>
      </c>
      <c r="EH247" t="e">
        <f>'Ressource Plan'!BR14+"AM:!.~R"</f>
        <v>#VALUE!</v>
      </c>
      <c r="EI247" s="105" t="e">
        <f>'Ressource Plan'!BS14+"AM:!.~S"</f>
        <v>#VALUE!</v>
      </c>
      <c r="EJ247" t="e">
        <f>'Ressource Plan'!BT14+"AM:!.~T"</f>
        <v>#VALUE!</v>
      </c>
      <c r="EK247" s="105" t="e">
        <f>'Ressource Plan'!BU14+"AM:!.~U"</f>
        <v>#VALUE!</v>
      </c>
      <c r="EL247" t="e">
        <f>'Ressource Plan'!BV14+"AM:!.~V"</f>
        <v>#VALUE!</v>
      </c>
      <c r="EM247" s="105" t="e">
        <f>'Ressource Plan'!BW14+"AM:!.~W"</f>
        <v>#VALUE!</v>
      </c>
      <c r="EN247" t="e">
        <f>'Ressource Plan'!BX14+"AM:!.~X"</f>
        <v>#VALUE!</v>
      </c>
      <c r="EO247" s="105" t="e">
        <f>'Ressource Plan'!BY14+"AM:!.~Y"</f>
        <v>#VALUE!</v>
      </c>
      <c r="EP247" t="e">
        <f>'Ressource Plan'!BZ14+"AM:!.~Z"</f>
        <v>#VALUE!</v>
      </c>
      <c r="EQ247" s="105" t="e">
        <f>'Ressource Plan'!CA14+"AM:!.~["</f>
        <v>#VALUE!</v>
      </c>
      <c r="ER247" t="e">
        <f>'Ressource Plan'!CB14+"AM:!.~\"</f>
        <v>#VALUE!</v>
      </c>
      <c r="ES247" s="105" t="e">
        <f>'Ressource Plan'!CC14+"AM:!.~]"</f>
        <v>#VALUE!</v>
      </c>
      <c r="ET247" t="e">
        <f>'Ressource Plan'!A15+"AM:!.~^"</f>
        <v>#VALUE!</v>
      </c>
      <c r="EU247" t="e">
        <f>'Ressource Plan'!B15+"AM:!.~_"</f>
        <v>#VALUE!</v>
      </c>
      <c r="EV247" t="e">
        <f>'Ressource Plan'!C15+"AM:!.~`"</f>
        <v>#VALUE!</v>
      </c>
      <c r="EW247" t="e">
        <f>'Ressource Plan'!D15+"AM:!.~a"</f>
        <v>#VALUE!</v>
      </c>
      <c r="EX247" t="e">
        <f>'Ressource Plan'!E15+"AM:!.~b"</f>
        <v>#VALUE!</v>
      </c>
      <c r="EY247" t="e">
        <f>'Ressource Plan'!F15+"AM:!.~c"</f>
        <v>#VALUE!</v>
      </c>
      <c r="EZ247" s="105" t="e">
        <f>'Ressource Plan'!G15+"AM:!.~d"</f>
        <v>#VALUE!</v>
      </c>
      <c r="FA247" t="e">
        <f>'Ressource Plan'!H15+"AM:!.~e"</f>
        <v>#VALUE!</v>
      </c>
      <c r="FB247" s="105" t="e">
        <f>'Ressource Plan'!I15+"AM:!.~f"</f>
        <v>#VALUE!</v>
      </c>
      <c r="FC247" t="e">
        <f>'Ressource Plan'!J15+"AM:!.~g"</f>
        <v>#VALUE!</v>
      </c>
      <c r="FD247" s="105" t="e">
        <f>'Ressource Plan'!K15+"AM:!.~h"</f>
        <v>#VALUE!</v>
      </c>
      <c r="FE247" t="e">
        <f>'Ressource Plan'!L15+"AM:!.~i"</f>
        <v>#VALUE!</v>
      </c>
      <c r="FF247" s="105" t="e">
        <f>'Ressource Plan'!M15+"AM:!.~j"</f>
        <v>#VALUE!</v>
      </c>
      <c r="FG247" t="e">
        <f>'Ressource Plan'!N15+"AM:!.~k"</f>
        <v>#VALUE!</v>
      </c>
      <c r="FH247" s="105" t="e">
        <f>'Ressource Plan'!O15+"AM:!.~l"</f>
        <v>#VALUE!</v>
      </c>
      <c r="FI247" t="e">
        <f>'Ressource Plan'!P15+"AM:!.~m"</f>
        <v>#VALUE!</v>
      </c>
      <c r="FJ247" s="105" t="e">
        <f>'Ressource Plan'!Q15+"AM:!.~n"</f>
        <v>#VALUE!</v>
      </c>
      <c r="FK247" t="e">
        <f>'Ressource Plan'!R15+"AM:!.~o"</f>
        <v>#VALUE!</v>
      </c>
      <c r="FL247" s="105" t="e">
        <f>'Ressource Plan'!S15+"AM:!.~p"</f>
        <v>#VALUE!</v>
      </c>
      <c r="FM247" t="e">
        <f>'Ressource Plan'!T15+"AM:!.~q"</f>
        <v>#VALUE!</v>
      </c>
      <c r="FN247" s="105" t="e">
        <f>'Ressource Plan'!U15+"AM:!.~r"</f>
        <v>#VALUE!</v>
      </c>
      <c r="FO247" t="e">
        <f>'Ressource Plan'!V15+"AM:!.~s"</f>
        <v>#VALUE!</v>
      </c>
      <c r="FP247" s="105" t="e">
        <f>'Ressource Plan'!W15+"AM:!.~t"</f>
        <v>#VALUE!</v>
      </c>
      <c r="FQ247" t="e">
        <f>'Ressource Plan'!X15+"AM:!.~u"</f>
        <v>#VALUE!</v>
      </c>
      <c r="FR247" s="105" t="e">
        <f>'Ressource Plan'!Y15+"AM:!.~v"</f>
        <v>#VALUE!</v>
      </c>
      <c r="FS247" t="e">
        <f>'Ressource Plan'!Z15+"AM:!.~w"</f>
        <v>#VALUE!</v>
      </c>
      <c r="FT247" s="105" t="e">
        <f>'Ressource Plan'!AA15+"AM:!.~x"</f>
        <v>#VALUE!</v>
      </c>
      <c r="FU247" t="e">
        <f>'Ressource Plan'!AB15+"AM:!.~y"</f>
        <v>#VALUE!</v>
      </c>
      <c r="FV247" s="105" t="e">
        <f>'Ressource Plan'!AC15+"AM:!.~z"</f>
        <v>#VALUE!</v>
      </c>
      <c r="FW247" t="e">
        <f>'Ressource Plan'!AD15+"AM:!.~{"</f>
        <v>#VALUE!</v>
      </c>
      <c r="FX247" s="105" t="e">
        <f>'Ressource Plan'!AE15+"AM:!.~|"</f>
        <v>#VALUE!</v>
      </c>
      <c r="FY247" t="e">
        <f>'Ressource Plan'!AF15+"AM:!.~}"</f>
        <v>#VALUE!</v>
      </c>
      <c r="FZ247" s="105" t="e">
        <f>'Ressource Plan'!AG15+"AM:!.~~"</f>
        <v>#VALUE!</v>
      </c>
      <c r="GA247" t="e">
        <f>'Ressource Plan'!AH15+"AM:!/##"</f>
        <v>#VALUE!</v>
      </c>
      <c r="GB247" s="105" t="e">
        <f>'Ressource Plan'!AI15+"AM:!/#$"</f>
        <v>#VALUE!</v>
      </c>
      <c r="GC247" t="e">
        <f>'Ressource Plan'!AJ15+"AM:!/#%"</f>
        <v>#VALUE!</v>
      </c>
      <c r="GD247" s="105" t="e">
        <f>'Ressource Plan'!AK15+"AM:!/#&amp;"</f>
        <v>#VALUE!</v>
      </c>
      <c r="GE247" t="e">
        <f>'Ressource Plan'!AL15+"AM:!/#'"</f>
        <v>#VALUE!</v>
      </c>
      <c r="GF247" s="105" t="e">
        <f>'Ressource Plan'!AM15+"AM:!/#("</f>
        <v>#VALUE!</v>
      </c>
      <c r="GG247" t="e">
        <f>'Ressource Plan'!AN15+"AM:!/#)"</f>
        <v>#VALUE!</v>
      </c>
      <c r="GH247" s="105" t="e">
        <f>'Ressource Plan'!AO15+"AM:!/#."</f>
        <v>#VALUE!</v>
      </c>
      <c r="GI247" t="e">
        <f>'Ressource Plan'!AP15+"AM:!/#/"</f>
        <v>#VALUE!</v>
      </c>
      <c r="GJ247" s="105" t="e">
        <f>'Ressource Plan'!AQ15+"AM:!/#0"</f>
        <v>#VALUE!</v>
      </c>
      <c r="GK247" t="e">
        <f>'Ressource Plan'!AR15+"AM:!/#1"</f>
        <v>#VALUE!</v>
      </c>
      <c r="GL247" s="105" t="e">
        <f>'Ressource Plan'!AS15+"AM:!/#2"</f>
        <v>#VALUE!</v>
      </c>
      <c r="GM247" t="e">
        <f>'Ressource Plan'!AT15+"AM:!/#3"</f>
        <v>#VALUE!</v>
      </c>
      <c r="GN247" s="105" t="e">
        <f>'Ressource Plan'!AU15+"AM:!/#4"</f>
        <v>#VALUE!</v>
      </c>
      <c r="GO247" t="e">
        <f>'Ressource Plan'!AV15+"AM:!/#5"</f>
        <v>#VALUE!</v>
      </c>
      <c r="GP247" s="105" t="e">
        <f>'Ressource Plan'!AW15+"AM:!/#6"</f>
        <v>#VALUE!</v>
      </c>
      <c r="GQ247" t="e">
        <f>'Ressource Plan'!AX15+"AM:!/#7"</f>
        <v>#VALUE!</v>
      </c>
      <c r="GR247" s="105" t="e">
        <f>'Ressource Plan'!AY15+"AM:!/#8"</f>
        <v>#VALUE!</v>
      </c>
      <c r="GS247" t="e">
        <f>'Ressource Plan'!AZ15+"AM:!/#9"</f>
        <v>#VALUE!</v>
      </c>
      <c r="GT247" s="105" t="e">
        <f>'Ressource Plan'!BA15+"AM:!/#:"</f>
        <v>#VALUE!</v>
      </c>
      <c r="GU247" t="e">
        <f>'Ressource Plan'!BB15+"AM:!/#;"</f>
        <v>#VALUE!</v>
      </c>
      <c r="GV247" s="105" t="e">
        <f>'Ressource Plan'!BC15+"AM:!/#&lt;"</f>
        <v>#VALUE!</v>
      </c>
      <c r="GW247" t="e">
        <f>'Ressource Plan'!BD15+"AM:!/#="</f>
        <v>#VALUE!</v>
      </c>
      <c r="GX247" s="105" t="e">
        <f>'Ressource Plan'!BE15+"AM:!/#&gt;"</f>
        <v>#VALUE!</v>
      </c>
      <c r="GY247" t="e">
        <f>'Ressource Plan'!BF15+"AM:!/#?"</f>
        <v>#VALUE!</v>
      </c>
      <c r="GZ247" s="105" t="e">
        <f>'Ressource Plan'!BG15+"AM:!/#@"</f>
        <v>#VALUE!</v>
      </c>
      <c r="HA247" t="e">
        <f>'Ressource Plan'!BH15+"AM:!/#A"</f>
        <v>#VALUE!</v>
      </c>
      <c r="HB247" s="105" t="e">
        <f>'Ressource Plan'!BI15+"AM:!/#B"</f>
        <v>#VALUE!</v>
      </c>
      <c r="HC247" t="e">
        <f>'Ressource Plan'!BJ15+"AM:!/#C"</f>
        <v>#VALUE!</v>
      </c>
      <c r="HD247" s="105" t="e">
        <f>'Ressource Plan'!BK15+"AM:!/#D"</f>
        <v>#VALUE!</v>
      </c>
      <c r="HE247" t="e">
        <f>'Ressource Plan'!BL15+"AM:!/#E"</f>
        <v>#VALUE!</v>
      </c>
      <c r="HF247" s="105" t="e">
        <f>'Ressource Plan'!BM15+"AM:!/#F"</f>
        <v>#VALUE!</v>
      </c>
      <c r="HG247" t="e">
        <f>'Ressource Plan'!BN15+"AM:!/#G"</f>
        <v>#VALUE!</v>
      </c>
      <c r="HH247" s="105" t="e">
        <f>'Ressource Plan'!BO15+"AM:!/#H"</f>
        <v>#VALUE!</v>
      </c>
      <c r="HI247" t="e">
        <f>'Ressource Plan'!BP15+"AM:!/#I"</f>
        <v>#VALUE!</v>
      </c>
      <c r="HJ247" s="105" t="e">
        <f>'Ressource Plan'!BQ15+"AM:!/#J"</f>
        <v>#VALUE!</v>
      </c>
      <c r="HK247" t="e">
        <f>'Ressource Plan'!BR15+"AM:!/#K"</f>
        <v>#VALUE!</v>
      </c>
      <c r="HL247" s="105" t="e">
        <f>'Ressource Plan'!BS15+"AM:!/#L"</f>
        <v>#VALUE!</v>
      </c>
      <c r="HM247" t="e">
        <f>'Ressource Plan'!BT15+"AM:!/#M"</f>
        <v>#VALUE!</v>
      </c>
      <c r="HN247" s="105" t="e">
        <f>'Ressource Plan'!BU15+"AM:!/#N"</f>
        <v>#VALUE!</v>
      </c>
      <c r="HO247" t="e">
        <f>'Ressource Plan'!BV15+"AM:!/#O"</f>
        <v>#VALUE!</v>
      </c>
      <c r="HP247" s="105" t="e">
        <f>'Ressource Plan'!BW15+"AM:!/#P"</f>
        <v>#VALUE!</v>
      </c>
      <c r="HQ247" t="e">
        <f>'Ressource Plan'!BX15+"AM:!/#Q"</f>
        <v>#VALUE!</v>
      </c>
      <c r="HR247" s="105" t="e">
        <f>'Ressource Plan'!BY15+"AM:!/#R"</f>
        <v>#VALUE!</v>
      </c>
      <c r="HS247" t="e">
        <f>'Ressource Plan'!BZ15+"AM:!/#S"</f>
        <v>#VALUE!</v>
      </c>
      <c r="HT247" s="105" t="e">
        <f>'Ressource Plan'!CA15+"AM:!/#T"</f>
        <v>#VALUE!</v>
      </c>
      <c r="HU247" t="e">
        <f>'Ressource Plan'!CB15+"AM:!/#U"</f>
        <v>#VALUE!</v>
      </c>
      <c r="HV247" s="105" t="e">
        <f>'Ressource Plan'!CC15+"AM:!/#V"</f>
        <v>#VALUE!</v>
      </c>
      <c r="HW247" t="e">
        <f>'Ressource Plan'!A16+"AM:!/#W"</f>
        <v>#VALUE!</v>
      </c>
      <c r="HX247" t="e">
        <f>'Ressource Plan'!B16+"AM:!/#X"</f>
        <v>#VALUE!</v>
      </c>
      <c r="HY247" t="e">
        <f>'Ressource Plan'!C16+"AM:!/#Y"</f>
        <v>#VALUE!</v>
      </c>
      <c r="HZ247" t="e">
        <f>'Ressource Plan'!D16+"AM:!/#Z"</f>
        <v>#VALUE!</v>
      </c>
      <c r="IA247" t="e">
        <f>'Ressource Plan'!E16+"AM:!/#["</f>
        <v>#VALUE!</v>
      </c>
      <c r="IB247" t="e">
        <f>'Ressource Plan'!F16+"AM:!/#\"</f>
        <v>#VALUE!</v>
      </c>
      <c r="IC247" s="105" t="e">
        <f>'Ressource Plan'!G16+"AM:!/#]"</f>
        <v>#VALUE!</v>
      </c>
      <c r="ID247" t="e">
        <f>'Ressource Plan'!H16+"AM:!/#^"</f>
        <v>#VALUE!</v>
      </c>
      <c r="IE247" s="105" t="e">
        <f>'Ressource Plan'!I16+"AM:!/#_"</f>
        <v>#VALUE!</v>
      </c>
      <c r="IF247" t="e">
        <f>'Ressource Plan'!J16+"AM:!/#`"</f>
        <v>#VALUE!</v>
      </c>
      <c r="IG247" s="105" t="e">
        <f>'Ressource Plan'!K16+"AM:!/#a"</f>
        <v>#VALUE!</v>
      </c>
      <c r="IH247" t="e">
        <f>'Ressource Plan'!L16+"AM:!/#b"</f>
        <v>#VALUE!</v>
      </c>
      <c r="II247" s="105" t="e">
        <f>'Ressource Plan'!M16+"AM:!/#c"</f>
        <v>#VALUE!</v>
      </c>
      <c r="IJ247" t="e">
        <f>'Ressource Plan'!N16+"AM:!/#d"</f>
        <v>#VALUE!</v>
      </c>
      <c r="IK247" s="105" t="e">
        <f>'Ressource Plan'!O16+"AM:!/#e"</f>
        <v>#VALUE!</v>
      </c>
      <c r="IL247" t="e">
        <f>'Ressource Plan'!P16+"AM:!/#f"</f>
        <v>#VALUE!</v>
      </c>
      <c r="IM247" s="105" t="e">
        <f>'Ressource Plan'!Q16+"AM:!/#g"</f>
        <v>#VALUE!</v>
      </c>
      <c r="IN247" t="e">
        <f>'Ressource Plan'!R16+"AM:!/#h"</f>
        <v>#VALUE!</v>
      </c>
      <c r="IO247" s="105" t="e">
        <f>'Ressource Plan'!S16+"AM:!/#i"</f>
        <v>#VALUE!</v>
      </c>
      <c r="IP247" t="e">
        <f>'Ressource Plan'!T16+"AM:!/#j"</f>
        <v>#VALUE!</v>
      </c>
      <c r="IQ247" s="105" t="e">
        <f>'Ressource Plan'!U16+"AM:!/#k"</f>
        <v>#VALUE!</v>
      </c>
      <c r="IR247" t="e">
        <f>'Ressource Plan'!V16+"AM:!/#l"</f>
        <v>#VALUE!</v>
      </c>
      <c r="IS247" s="105" t="e">
        <f>'Ressource Plan'!W16+"AM:!/#m"</f>
        <v>#VALUE!</v>
      </c>
      <c r="IT247" t="e">
        <f>'Ressource Plan'!X16+"AM:!/#n"</f>
        <v>#VALUE!</v>
      </c>
      <c r="IU247" s="105" t="e">
        <f>'Ressource Plan'!Y16+"AM:!/#o"</f>
        <v>#VALUE!</v>
      </c>
      <c r="IV247" t="e">
        <f>'Ressource Plan'!Z16+"AM:!/#p"</f>
        <v>#VALUE!</v>
      </c>
    </row>
    <row r="248" spans="6:256">
      <c r="F248" s="105" t="e">
        <f>'Ressource Plan'!AA16+"AM:!/#q"</f>
        <v>#VALUE!</v>
      </c>
      <c r="G248" t="e">
        <f>'Ressource Plan'!AB16+"AM:!/#r"</f>
        <v>#VALUE!</v>
      </c>
      <c r="H248" s="105" t="e">
        <f>'Ressource Plan'!AC16+"AM:!/#s"</f>
        <v>#VALUE!</v>
      </c>
      <c r="I248" t="e">
        <f>'Ressource Plan'!AD16+"AM:!/#t"</f>
        <v>#VALUE!</v>
      </c>
      <c r="J248" s="105" t="e">
        <f>'Ressource Plan'!AE16+"AM:!/#u"</f>
        <v>#VALUE!</v>
      </c>
      <c r="K248" t="e">
        <f>'Ressource Plan'!AF16+"AM:!/#v"</f>
        <v>#VALUE!</v>
      </c>
      <c r="L248" s="105" t="e">
        <f>'Ressource Plan'!AG16+"AM:!/#w"</f>
        <v>#VALUE!</v>
      </c>
      <c r="M248" t="e">
        <f>'Ressource Plan'!AH16+"AM:!/#x"</f>
        <v>#VALUE!</v>
      </c>
      <c r="N248" s="105" t="e">
        <f>'Ressource Plan'!AI16+"AM:!/#y"</f>
        <v>#VALUE!</v>
      </c>
      <c r="O248" t="e">
        <f>'Ressource Plan'!AJ16+"AM:!/#z"</f>
        <v>#VALUE!</v>
      </c>
      <c r="P248" s="105" t="e">
        <f>'Ressource Plan'!AK16+"AM:!/#{"</f>
        <v>#VALUE!</v>
      </c>
      <c r="Q248" t="e">
        <f>'Ressource Plan'!AL16+"AM:!/#|"</f>
        <v>#VALUE!</v>
      </c>
      <c r="R248" s="105" t="e">
        <f>'Ressource Plan'!AM16+"AM:!/#}"</f>
        <v>#VALUE!</v>
      </c>
      <c r="S248" t="e">
        <f>'Ressource Plan'!AN16+"AM:!/#~"</f>
        <v>#VALUE!</v>
      </c>
      <c r="T248" s="105" t="e">
        <f>'Ressource Plan'!AO16+"AM:!/$#"</f>
        <v>#VALUE!</v>
      </c>
      <c r="U248" t="e">
        <f>'Ressource Plan'!AP16+"AM:!/$$"</f>
        <v>#VALUE!</v>
      </c>
      <c r="V248" s="105" t="e">
        <f>'Ressource Plan'!AQ16+"AM:!/$%"</f>
        <v>#VALUE!</v>
      </c>
      <c r="W248" t="e">
        <f>'Ressource Plan'!AR16+"AM:!/$&amp;"</f>
        <v>#VALUE!</v>
      </c>
      <c r="X248" s="105" t="e">
        <f>'Ressource Plan'!AS16+"AM:!/$'"</f>
        <v>#VALUE!</v>
      </c>
      <c r="Y248" t="e">
        <f>'Ressource Plan'!AT16+"AM:!/$("</f>
        <v>#VALUE!</v>
      </c>
      <c r="Z248" s="105" t="e">
        <f>'Ressource Plan'!AU16+"AM:!/$)"</f>
        <v>#VALUE!</v>
      </c>
      <c r="AA248" t="e">
        <f>'Ressource Plan'!AV16+"AM:!/$."</f>
        <v>#VALUE!</v>
      </c>
      <c r="AB248" s="105" t="e">
        <f>'Ressource Plan'!AW16+"AM:!/$/"</f>
        <v>#VALUE!</v>
      </c>
      <c r="AC248" t="e">
        <f>'Ressource Plan'!AX16+"AM:!/$0"</f>
        <v>#VALUE!</v>
      </c>
      <c r="AD248" s="105" t="e">
        <f>'Ressource Plan'!AY16+"AM:!/$1"</f>
        <v>#VALUE!</v>
      </c>
      <c r="AE248" t="e">
        <f>'Ressource Plan'!AZ16+"AM:!/$2"</f>
        <v>#VALUE!</v>
      </c>
      <c r="AF248" s="105" t="e">
        <f>'Ressource Plan'!BA16+"AM:!/$3"</f>
        <v>#VALUE!</v>
      </c>
      <c r="AG248" t="e">
        <f>'Ressource Plan'!BB16+"AM:!/$4"</f>
        <v>#VALUE!</v>
      </c>
      <c r="AH248" s="105" t="e">
        <f>'Ressource Plan'!BC16+"AM:!/$5"</f>
        <v>#VALUE!</v>
      </c>
      <c r="AI248" t="e">
        <f>'Ressource Plan'!BD16+"AM:!/$6"</f>
        <v>#VALUE!</v>
      </c>
      <c r="AJ248" s="105" t="e">
        <f>'Ressource Plan'!BE16+"AM:!/$7"</f>
        <v>#VALUE!</v>
      </c>
      <c r="AK248" t="e">
        <f>'Ressource Plan'!BF16+"AM:!/$8"</f>
        <v>#VALUE!</v>
      </c>
      <c r="AL248" s="105" t="e">
        <f>'Ressource Plan'!BG16+"AM:!/$9"</f>
        <v>#VALUE!</v>
      </c>
      <c r="AM248" t="e">
        <f>'Ressource Plan'!BH16+"AM:!/$:"</f>
        <v>#VALUE!</v>
      </c>
      <c r="AN248" s="105" t="e">
        <f>'Ressource Plan'!BI16+"AM:!/$;"</f>
        <v>#VALUE!</v>
      </c>
      <c r="AO248" t="e">
        <f>'Ressource Plan'!BJ16+"AM:!/$&lt;"</f>
        <v>#VALUE!</v>
      </c>
      <c r="AP248" s="105" t="e">
        <f>'Ressource Plan'!BK16+"AM:!/$="</f>
        <v>#VALUE!</v>
      </c>
      <c r="AQ248" t="e">
        <f>'Ressource Plan'!BL16+"AM:!/$&gt;"</f>
        <v>#VALUE!</v>
      </c>
      <c r="AR248" s="105" t="e">
        <f>'Ressource Plan'!BM16+"AM:!/$?"</f>
        <v>#VALUE!</v>
      </c>
      <c r="AS248" t="e">
        <f>'Ressource Plan'!BN16+"AM:!/$@"</f>
        <v>#VALUE!</v>
      </c>
      <c r="AT248" s="105" t="e">
        <f>'Ressource Plan'!BO16+"AM:!/$A"</f>
        <v>#VALUE!</v>
      </c>
      <c r="AU248" t="e">
        <f>'Ressource Plan'!BP16+"AM:!/$B"</f>
        <v>#VALUE!</v>
      </c>
      <c r="AV248" s="105" t="e">
        <f>'Ressource Plan'!BQ16+"AM:!/$C"</f>
        <v>#VALUE!</v>
      </c>
      <c r="AW248" t="e">
        <f>'Ressource Plan'!BR16+"AM:!/$D"</f>
        <v>#VALUE!</v>
      </c>
      <c r="AX248" s="105" t="e">
        <f>'Ressource Plan'!BS16+"AM:!/$E"</f>
        <v>#VALUE!</v>
      </c>
      <c r="AY248" t="e">
        <f>'Ressource Plan'!BT16+"AM:!/$F"</f>
        <v>#VALUE!</v>
      </c>
      <c r="AZ248" s="105" t="e">
        <f>'Ressource Plan'!BU16+"AM:!/$G"</f>
        <v>#VALUE!</v>
      </c>
      <c r="BA248" t="e">
        <f>'Ressource Plan'!BV16+"AM:!/$H"</f>
        <v>#VALUE!</v>
      </c>
      <c r="BB248" s="105" t="e">
        <f>'Ressource Plan'!BW16+"AM:!/$I"</f>
        <v>#VALUE!</v>
      </c>
      <c r="BC248" t="e">
        <f>'Ressource Plan'!BX16+"AM:!/$J"</f>
        <v>#VALUE!</v>
      </c>
      <c r="BD248" s="105" t="e">
        <f>'Ressource Plan'!BY16+"AM:!/$K"</f>
        <v>#VALUE!</v>
      </c>
      <c r="BE248" t="e">
        <f>'Ressource Plan'!BZ16+"AM:!/$L"</f>
        <v>#VALUE!</v>
      </c>
      <c r="BF248" s="105" t="e">
        <f>'Ressource Plan'!CA16+"AM:!/$M"</f>
        <v>#VALUE!</v>
      </c>
      <c r="BG248" t="e">
        <f>'Ressource Plan'!CB16+"AM:!/$N"</f>
        <v>#VALUE!</v>
      </c>
      <c r="BH248" s="105" t="e">
        <f>'Ressource Plan'!CC16+"AM:!/$O"</f>
        <v>#VALUE!</v>
      </c>
      <c r="BI248" t="e">
        <f>'Ressource Plan'!A17+"AM:!/$P"</f>
        <v>#VALUE!</v>
      </c>
      <c r="BJ248" t="e">
        <f>'Ressource Plan'!B17+"AM:!/$Q"</f>
        <v>#VALUE!</v>
      </c>
      <c r="BK248" t="e">
        <f>'Ressource Plan'!C17+"AM:!/$R"</f>
        <v>#VALUE!</v>
      </c>
      <c r="BL248" t="e">
        <f>'Ressource Plan'!D17+"AM:!/$S"</f>
        <v>#VALUE!</v>
      </c>
      <c r="BM248" t="e">
        <f>'Ressource Plan'!E17+"AM:!/$T"</f>
        <v>#VALUE!</v>
      </c>
      <c r="BN248" t="e">
        <f>'Ressource Plan'!F17+"AM:!/$U"</f>
        <v>#VALUE!</v>
      </c>
      <c r="BO248" s="105" t="e">
        <f>'Ressource Plan'!G17+"AM:!/$V"</f>
        <v>#VALUE!</v>
      </c>
      <c r="BP248" t="e">
        <f>'Ressource Plan'!H17+"AM:!/$W"</f>
        <v>#VALUE!</v>
      </c>
      <c r="BQ248" s="105" t="e">
        <f>'Ressource Plan'!I17+"AM:!/$X"</f>
        <v>#VALUE!</v>
      </c>
      <c r="BR248" t="e">
        <f>'Ressource Plan'!J17+"AM:!/$Y"</f>
        <v>#VALUE!</v>
      </c>
      <c r="BS248" s="105" t="e">
        <f>'Ressource Plan'!K17+"AM:!/$Z"</f>
        <v>#VALUE!</v>
      </c>
      <c r="BT248" t="e">
        <f>'Ressource Plan'!L17+"AM:!/$["</f>
        <v>#VALUE!</v>
      </c>
      <c r="BU248" s="105" t="e">
        <f>'Ressource Plan'!M17+"AM:!/$\"</f>
        <v>#VALUE!</v>
      </c>
      <c r="BV248" t="e">
        <f>'Ressource Plan'!N17+"AM:!/$]"</f>
        <v>#VALUE!</v>
      </c>
      <c r="BW248" s="105" t="e">
        <f>'Ressource Plan'!O17+"AM:!/$^"</f>
        <v>#VALUE!</v>
      </c>
      <c r="BX248" t="e">
        <f>'Ressource Plan'!P17+"AM:!/$_"</f>
        <v>#VALUE!</v>
      </c>
      <c r="BY248" s="105" t="e">
        <f>'Ressource Plan'!Q17+"AM:!/$`"</f>
        <v>#VALUE!</v>
      </c>
      <c r="BZ248" t="e">
        <f>'Ressource Plan'!R17+"AM:!/$a"</f>
        <v>#VALUE!</v>
      </c>
      <c r="CA248" s="105" t="e">
        <f>'Ressource Plan'!S17+"AM:!/$b"</f>
        <v>#VALUE!</v>
      </c>
      <c r="CB248" t="e">
        <f>'Ressource Plan'!T17+"AM:!/$c"</f>
        <v>#VALUE!</v>
      </c>
      <c r="CC248" s="105" t="e">
        <f>'Ressource Plan'!U17+"AM:!/$d"</f>
        <v>#VALUE!</v>
      </c>
      <c r="CD248" t="e">
        <f>'Ressource Plan'!V17+"AM:!/$e"</f>
        <v>#VALUE!</v>
      </c>
      <c r="CE248" s="105" t="e">
        <f>'Ressource Plan'!W17+"AM:!/$f"</f>
        <v>#VALUE!</v>
      </c>
      <c r="CF248" t="e">
        <f>'Ressource Plan'!X17+"AM:!/$g"</f>
        <v>#VALUE!</v>
      </c>
      <c r="CG248" s="105" t="e">
        <f>'Ressource Plan'!Y17+"AM:!/$h"</f>
        <v>#VALUE!</v>
      </c>
      <c r="CH248" t="e">
        <f>'Ressource Plan'!Z17+"AM:!/$i"</f>
        <v>#VALUE!</v>
      </c>
      <c r="CI248" s="105" t="e">
        <f>'Ressource Plan'!AA17+"AM:!/$j"</f>
        <v>#VALUE!</v>
      </c>
      <c r="CJ248" t="e">
        <f>'Ressource Plan'!AB17+"AM:!/$k"</f>
        <v>#VALUE!</v>
      </c>
      <c r="CK248" s="105" t="e">
        <f>'Ressource Plan'!AC17+"AM:!/$l"</f>
        <v>#VALUE!</v>
      </c>
      <c r="CL248" t="e">
        <f>'Ressource Plan'!AD17+"AM:!/$m"</f>
        <v>#VALUE!</v>
      </c>
      <c r="CM248" s="105" t="e">
        <f>'Ressource Plan'!AE17+"AM:!/$n"</f>
        <v>#VALUE!</v>
      </c>
      <c r="CN248" t="e">
        <f>'Ressource Plan'!AF17+"AM:!/$o"</f>
        <v>#VALUE!</v>
      </c>
      <c r="CO248" s="105" t="e">
        <f>'Ressource Plan'!AG17+"AM:!/$p"</f>
        <v>#VALUE!</v>
      </c>
      <c r="CP248" t="e">
        <f>'Ressource Plan'!AH17+"AM:!/$q"</f>
        <v>#VALUE!</v>
      </c>
      <c r="CQ248" s="105" t="e">
        <f>'Ressource Plan'!AI17+"AM:!/$r"</f>
        <v>#VALUE!</v>
      </c>
      <c r="CR248" t="e">
        <f>'Ressource Plan'!AJ17+"AM:!/$s"</f>
        <v>#VALUE!</v>
      </c>
      <c r="CS248" s="105" t="e">
        <f>'Ressource Plan'!AK17+"AM:!/$t"</f>
        <v>#VALUE!</v>
      </c>
      <c r="CT248" t="e">
        <f>'Ressource Plan'!AL17+"AM:!/$u"</f>
        <v>#VALUE!</v>
      </c>
      <c r="CU248" s="105" t="e">
        <f>'Ressource Plan'!AM17+"AM:!/$v"</f>
        <v>#VALUE!</v>
      </c>
      <c r="CV248" t="e">
        <f>'Ressource Plan'!AN17+"AM:!/$w"</f>
        <v>#VALUE!</v>
      </c>
      <c r="CW248" s="105" t="e">
        <f>'Ressource Plan'!AO17+"AM:!/$x"</f>
        <v>#VALUE!</v>
      </c>
      <c r="CX248" t="e">
        <f>'Ressource Plan'!AP17+"AM:!/$y"</f>
        <v>#VALUE!</v>
      </c>
      <c r="CY248" s="105" t="e">
        <f>'Ressource Plan'!AQ17+"AM:!/$z"</f>
        <v>#VALUE!</v>
      </c>
      <c r="CZ248" t="e">
        <f>'Ressource Plan'!AR17+"AM:!/${"</f>
        <v>#VALUE!</v>
      </c>
      <c r="DA248" s="105" t="e">
        <f>'Ressource Plan'!AS17+"AM:!/$|"</f>
        <v>#VALUE!</v>
      </c>
      <c r="DB248" t="e">
        <f>'Ressource Plan'!AT17+"AM:!/$}"</f>
        <v>#VALUE!</v>
      </c>
      <c r="DC248" s="105" t="e">
        <f>'Ressource Plan'!AU17+"AM:!/$~"</f>
        <v>#VALUE!</v>
      </c>
      <c r="DD248" t="e">
        <f>'Ressource Plan'!AV17+"AM:!/%#"</f>
        <v>#VALUE!</v>
      </c>
      <c r="DE248" s="105" t="e">
        <f>'Ressource Plan'!AW17+"AM:!/%$"</f>
        <v>#VALUE!</v>
      </c>
      <c r="DF248" t="e">
        <f>'Ressource Plan'!AX17+"AM:!/%%"</f>
        <v>#VALUE!</v>
      </c>
      <c r="DG248" s="105" t="e">
        <f>'Ressource Plan'!AY17+"AM:!/%&amp;"</f>
        <v>#VALUE!</v>
      </c>
      <c r="DH248" t="e">
        <f>'Ressource Plan'!AZ17+"AM:!/%'"</f>
        <v>#VALUE!</v>
      </c>
      <c r="DI248" s="105" t="e">
        <f>'Ressource Plan'!BA17+"AM:!/%("</f>
        <v>#VALUE!</v>
      </c>
      <c r="DJ248" t="e">
        <f>'Ressource Plan'!BB17+"AM:!/%)"</f>
        <v>#VALUE!</v>
      </c>
      <c r="DK248" s="105" t="e">
        <f>'Ressource Plan'!BC17+"AM:!/%."</f>
        <v>#VALUE!</v>
      </c>
      <c r="DL248" t="e">
        <f>'Ressource Plan'!BD17+"AM:!/%/"</f>
        <v>#VALUE!</v>
      </c>
      <c r="DM248" s="105" t="e">
        <f>'Ressource Plan'!BE17+"AM:!/%0"</f>
        <v>#VALUE!</v>
      </c>
      <c r="DN248" t="e">
        <f>'Ressource Plan'!BF17+"AM:!/%1"</f>
        <v>#VALUE!</v>
      </c>
      <c r="DO248" s="105" t="e">
        <f>'Ressource Plan'!BG17+"AM:!/%2"</f>
        <v>#VALUE!</v>
      </c>
      <c r="DP248" t="e">
        <f>'Ressource Plan'!BH17+"AM:!/%3"</f>
        <v>#VALUE!</v>
      </c>
      <c r="DQ248" s="105" t="e">
        <f>'Ressource Plan'!BI17+"AM:!/%4"</f>
        <v>#VALUE!</v>
      </c>
      <c r="DR248" t="e">
        <f>'Ressource Plan'!BJ17+"AM:!/%5"</f>
        <v>#VALUE!</v>
      </c>
      <c r="DS248" s="105" t="e">
        <f>'Ressource Plan'!BK17+"AM:!/%6"</f>
        <v>#VALUE!</v>
      </c>
      <c r="DT248" t="e">
        <f>'Ressource Plan'!BL17+"AM:!/%7"</f>
        <v>#VALUE!</v>
      </c>
      <c r="DU248" s="105" t="e">
        <f>'Ressource Plan'!BM17+"AM:!/%8"</f>
        <v>#VALUE!</v>
      </c>
      <c r="DV248" t="e">
        <f>'Ressource Plan'!BN17+"AM:!/%9"</f>
        <v>#VALUE!</v>
      </c>
      <c r="DW248" s="105" t="e">
        <f>'Ressource Plan'!BO17+"AM:!/%:"</f>
        <v>#VALUE!</v>
      </c>
      <c r="DX248" t="e">
        <f>'Ressource Plan'!BP17+"AM:!/%;"</f>
        <v>#VALUE!</v>
      </c>
      <c r="DY248" s="105" t="e">
        <f>'Ressource Plan'!BQ17+"AM:!/%&lt;"</f>
        <v>#VALUE!</v>
      </c>
      <c r="DZ248" t="e">
        <f>'Ressource Plan'!BR17+"AM:!/%="</f>
        <v>#VALUE!</v>
      </c>
      <c r="EA248" s="105" t="e">
        <f>'Ressource Plan'!BS17+"AM:!/%&gt;"</f>
        <v>#VALUE!</v>
      </c>
      <c r="EB248" t="e">
        <f>'Ressource Plan'!BT17+"AM:!/%?"</f>
        <v>#VALUE!</v>
      </c>
      <c r="EC248" s="105" t="e">
        <f>'Ressource Plan'!BU17+"AM:!/%@"</f>
        <v>#VALUE!</v>
      </c>
      <c r="ED248" t="e">
        <f>'Ressource Plan'!BV17+"AM:!/%A"</f>
        <v>#VALUE!</v>
      </c>
      <c r="EE248" s="105" t="e">
        <f>'Ressource Plan'!BW17+"AM:!/%B"</f>
        <v>#VALUE!</v>
      </c>
      <c r="EF248" t="e">
        <f>'Ressource Plan'!BX17+"AM:!/%C"</f>
        <v>#VALUE!</v>
      </c>
      <c r="EG248" s="105" t="e">
        <f>'Ressource Plan'!BY17+"AM:!/%D"</f>
        <v>#VALUE!</v>
      </c>
      <c r="EH248" t="e">
        <f>'Ressource Plan'!BZ17+"AM:!/%E"</f>
        <v>#VALUE!</v>
      </c>
      <c r="EI248" s="105" t="e">
        <f>'Ressource Plan'!CA17+"AM:!/%F"</f>
        <v>#VALUE!</v>
      </c>
      <c r="EJ248" t="e">
        <f>'Ressource Plan'!CB17+"AM:!/%G"</f>
        <v>#VALUE!</v>
      </c>
      <c r="EK248" s="105" t="e">
        <f>'Ressource Plan'!CC17+"AM:!/%H"</f>
        <v>#VALUE!</v>
      </c>
      <c r="EL248" t="e">
        <f>'Ressource Plan'!A18+"AM:!/%I"</f>
        <v>#VALUE!</v>
      </c>
      <c r="EM248" t="e">
        <f>'Ressource Plan'!B18+"AM:!/%J"</f>
        <v>#VALUE!</v>
      </c>
      <c r="EN248" t="e">
        <f>'Ressource Plan'!C18+"AM:!/%K"</f>
        <v>#VALUE!</v>
      </c>
      <c r="EO248" t="e">
        <f>'Ressource Plan'!D18+"AM:!/%L"</f>
        <v>#VALUE!</v>
      </c>
      <c r="EP248" t="e">
        <f>'Ressource Plan'!E18+"AM:!/%M"</f>
        <v>#VALUE!</v>
      </c>
      <c r="EQ248" t="e">
        <f>'Ressource Plan'!F18+"AM:!/%N"</f>
        <v>#VALUE!</v>
      </c>
      <c r="ER248" s="105" t="e">
        <f>'Ressource Plan'!G18+"AM:!/%O"</f>
        <v>#VALUE!</v>
      </c>
      <c r="ES248" t="e">
        <f>'Ressource Plan'!H18+"AM:!/%P"</f>
        <v>#VALUE!</v>
      </c>
      <c r="ET248" s="105" t="e">
        <f>'Ressource Plan'!I18+"AM:!/%Q"</f>
        <v>#VALUE!</v>
      </c>
      <c r="EU248" t="e">
        <f>'Ressource Plan'!J18+"AM:!/%R"</f>
        <v>#VALUE!</v>
      </c>
      <c r="EV248" s="105" t="e">
        <f>'Ressource Plan'!K18+"AM:!/%S"</f>
        <v>#VALUE!</v>
      </c>
      <c r="EW248" t="e">
        <f>'Ressource Plan'!L18+"AM:!/%T"</f>
        <v>#VALUE!</v>
      </c>
      <c r="EX248" s="105" t="e">
        <f>'Ressource Plan'!M18+"AM:!/%U"</f>
        <v>#VALUE!</v>
      </c>
      <c r="EY248" t="e">
        <f>'Ressource Plan'!N18+"AM:!/%V"</f>
        <v>#VALUE!</v>
      </c>
      <c r="EZ248" s="105" t="e">
        <f>'Ressource Plan'!O18+"AM:!/%W"</f>
        <v>#VALUE!</v>
      </c>
      <c r="FA248" t="e">
        <f>'Ressource Plan'!P18+"AM:!/%X"</f>
        <v>#VALUE!</v>
      </c>
      <c r="FB248" s="105" t="e">
        <f>'Ressource Plan'!Q18+"AM:!/%Y"</f>
        <v>#VALUE!</v>
      </c>
      <c r="FC248" t="e">
        <f>'Ressource Plan'!R18+"AM:!/%Z"</f>
        <v>#VALUE!</v>
      </c>
      <c r="FD248" s="105" t="e">
        <f>'Ressource Plan'!S18+"AM:!/%["</f>
        <v>#VALUE!</v>
      </c>
      <c r="FE248" t="e">
        <f>'Ressource Plan'!T18+"AM:!/%\"</f>
        <v>#VALUE!</v>
      </c>
      <c r="FF248" s="105" t="e">
        <f>'Ressource Plan'!U18+"AM:!/%]"</f>
        <v>#VALUE!</v>
      </c>
      <c r="FG248" t="e">
        <f>'Ressource Plan'!V18+"AM:!/%^"</f>
        <v>#VALUE!</v>
      </c>
      <c r="FH248" s="105" t="e">
        <f>'Ressource Plan'!W18+"AM:!/%_"</f>
        <v>#VALUE!</v>
      </c>
      <c r="FI248" t="e">
        <f>'Ressource Plan'!X18+"AM:!/%`"</f>
        <v>#VALUE!</v>
      </c>
      <c r="FJ248" s="105" t="e">
        <f>'Ressource Plan'!Y18+"AM:!/%a"</f>
        <v>#VALUE!</v>
      </c>
      <c r="FK248" t="e">
        <f>'Ressource Plan'!Z18+"AM:!/%b"</f>
        <v>#VALUE!</v>
      </c>
      <c r="FL248" s="105" t="e">
        <f>'Ressource Plan'!AA18+"AM:!/%c"</f>
        <v>#VALUE!</v>
      </c>
      <c r="FM248" t="e">
        <f>'Ressource Plan'!AB18+"AM:!/%d"</f>
        <v>#VALUE!</v>
      </c>
      <c r="FN248" s="105" t="e">
        <f>'Ressource Plan'!AC18+"AM:!/%e"</f>
        <v>#VALUE!</v>
      </c>
      <c r="FO248" t="e">
        <f>'Ressource Plan'!AD18+"AM:!/%f"</f>
        <v>#VALUE!</v>
      </c>
      <c r="FP248" s="105" t="e">
        <f>'Ressource Plan'!AE18+"AM:!/%g"</f>
        <v>#VALUE!</v>
      </c>
      <c r="FQ248" t="e">
        <f>'Ressource Plan'!AF18+"AM:!/%h"</f>
        <v>#VALUE!</v>
      </c>
      <c r="FR248" s="105" t="e">
        <f>'Ressource Plan'!AG18+"AM:!/%i"</f>
        <v>#VALUE!</v>
      </c>
      <c r="FS248" t="e">
        <f>'Ressource Plan'!AH18+"AM:!/%j"</f>
        <v>#VALUE!</v>
      </c>
      <c r="FT248" s="105" t="e">
        <f>'Ressource Plan'!AI18+"AM:!/%k"</f>
        <v>#VALUE!</v>
      </c>
      <c r="FU248" t="e">
        <f>'Ressource Plan'!AJ18+"AM:!/%l"</f>
        <v>#VALUE!</v>
      </c>
      <c r="FV248" s="105" t="e">
        <f>'Ressource Plan'!AK18+"AM:!/%m"</f>
        <v>#VALUE!</v>
      </c>
      <c r="FW248" t="e">
        <f>'Ressource Plan'!AL18+"AM:!/%n"</f>
        <v>#VALUE!</v>
      </c>
      <c r="FX248" s="105" t="e">
        <f>'Ressource Plan'!AM18+"AM:!/%o"</f>
        <v>#VALUE!</v>
      </c>
      <c r="FY248" t="e">
        <f>'Ressource Plan'!AN18+"AM:!/%p"</f>
        <v>#VALUE!</v>
      </c>
      <c r="FZ248" s="105" t="e">
        <f>'Ressource Plan'!AO18+"AM:!/%q"</f>
        <v>#VALUE!</v>
      </c>
      <c r="GA248" t="e">
        <f>'Ressource Plan'!AP18+"AM:!/%r"</f>
        <v>#VALUE!</v>
      </c>
      <c r="GB248" s="105" t="e">
        <f>'Ressource Plan'!AQ18+"AM:!/%s"</f>
        <v>#VALUE!</v>
      </c>
      <c r="GC248" t="e">
        <f>'Ressource Plan'!AR18+"AM:!/%t"</f>
        <v>#VALUE!</v>
      </c>
      <c r="GD248" s="105" t="e">
        <f>'Ressource Plan'!AS18+"AM:!/%u"</f>
        <v>#VALUE!</v>
      </c>
      <c r="GE248" t="e">
        <f>'Ressource Plan'!AT18+"AM:!/%v"</f>
        <v>#VALUE!</v>
      </c>
      <c r="GF248" s="105" t="e">
        <f>'Ressource Plan'!AU18+"AM:!/%w"</f>
        <v>#VALUE!</v>
      </c>
      <c r="GG248" t="e">
        <f>'Ressource Plan'!AV18+"AM:!/%x"</f>
        <v>#VALUE!</v>
      </c>
      <c r="GH248" s="105" t="e">
        <f>'Ressource Plan'!AW18+"AM:!/%y"</f>
        <v>#VALUE!</v>
      </c>
      <c r="GI248" t="e">
        <f>'Ressource Plan'!AX18+"AM:!/%z"</f>
        <v>#VALUE!</v>
      </c>
      <c r="GJ248" s="105" t="e">
        <f>'Ressource Plan'!AY18+"AM:!/%{"</f>
        <v>#VALUE!</v>
      </c>
      <c r="GK248" t="e">
        <f>'Ressource Plan'!AZ18+"AM:!/%|"</f>
        <v>#VALUE!</v>
      </c>
      <c r="GL248" s="105" t="e">
        <f>'Ressource Plan'!BA18+"AM:!/%}"</f>
        <v>#VALUE!</v>
      </c>
      <c r="GM248" t="e">
        <f>'Ressource Plan'!BB18+"AM:!/%~"</f>
        <v>#VALUE!</v>
      </c>
      <c r="GN248" s="105" t="e">
        <f>'Ressource Plan'!BC18+"AM:!/&amp;#"</f>
        <v>#VALUE!</v>
      </c>
      <c r="GO248" t="e">
        <f>'Ressource Plan'!BD18+"AM:!/&amp;$"</f>
        <v>#VALUE!</v>
      </c>
      <c r="GP248" s="105" t="e">
        <f>'Ressource Plan'!BE18+"AM:!/&amp;%"</f>
        <v>#VALUE!</v>
      </c>
      <c r="GQ248" t="e">
        <f>'Ressource Plan'!BF18+"AM:!/&amp;&amp;"</f>
        <v>#VALUE!</v>
      </c>
      <c r="GR248" s="105" t="e">
        <f>'Ressource Plan'!BG18+"AM:!/&amp;'"</f>
        <v>#VALUE!</v>
      </c>
      <c r="GS248" t="e">
        <f>'Ressource Plan'!BH18+"AM:!/&amp;("</f>
        <v>#VALUE!</v>
      </c>
      <c r="GT248" s="105" t="e">
        <f>'Ressource Plan'!BI18+"AM:!/&amp;)"</f>
        <v>#VALUE!</v>
      </c>
      <c r="GU248" t="e">
        <f>'Ressource Plan'!BJ18+"AM:!/&amp;."</f>
        <v>#VALUE!</v>
      </c>
      <c r="GV248" s="105" t="e">
        <f>'Ressource Plan'!BK18+"AM:!/&amp;/"</f>
        <v>#VALUE!</v>
      </c>
      <c r="GW248" t="e">
        <f>'Ressource Plan'!BL18+"AM:!/&amp;0"</f>
        <v>#VALUE!</v>
      </c>
      <c r="GX248" s="105" t="e">
        <f>'Ressource Plan'!BM18+"AM:!/&amp;1"</f>
        <v>#VALUE!</v>
      </c>
      <c r="GY248" t="e">
        <f>'Ressource Plan'!BN18+"AM:!/&amp;2"</f>
        <v>#VALUE!</v>
      </c>
      <c r="GZ248" s="105" t="e">
        <f>'Ressource Plan'!BO18+"AM:!/&amp;3"</f>
        <v>#VALUE!</v>
      </c>
      <c r="HA248" t="e">
        <f>'Ressource Plan'!BP18+"AM:!/&amp;4"</f>
        <v>#VALUE!</v>
      </c>
      <c r="HB248" s="105" t="e">
        <f>'Ressource Plan'!BQ18+"AM:!/&amp;5"</f>
        <v>#VALUE!</v>
      </c>
      <c r="HC248" t="e">
        <f>'Ressource Plan'!BR18+"AM:!/&amp;6"</f>
        <v>#VALUE!</v>
      </c>
      <c r="HD248" s="105" t="e">
        <f>'Ressource Plan'!BS18+"AM:!/&amp;7"</f>
        <v>#VALUE!</v>
      </c>
      <c r="HE248" t="e">
        <f>'Ressource Plan'!BT18+"AM:!/&amp;8"</f>
        <v>#VALUE!</v>
      </c>
      <c r="HF248" s="105" t="e">
        <f>'Ressource Plan'!BU18+"AM:!/&amp;9"</f>
        <v>#VALUE!</v>
      </c>
      <c r="HG248" t="e">
        <f>'Ressource Plan'!BV18+"AM:!/&amp;:"</f>
        <v>#VALUE!</v>
      </c>
      <c r="HH248" s="105" t="e">
        <f>'Ressource Plan'!BW18+"AM:!/&amp;;"</f>
        <v>#VALUE!</v>
      </c>
      <c r="HI248" t="e">
        <f>'Ressource Plan'!BX18+"AM:!/&amp;&lt;"</f>
        <v>#VALUE!</v>
      </c>
      <c r="HJ248" s="105" t="e">
        <f>'Ressource Plan'!BY18+"AM:!/&amp;="</f>
        <v>#VALUE!</v>
      </c>
      <c r="HK248" t="e">
        <f>'Ressource Plan'!BZ18+"AM:!/&amp;&gt;"</f>
        <v>#VALUE!</v>
      </c>
      <c r="HL248" s="105" t="e">
        <f>'Ressource Plan'!CA18+"AM:!/&amp;?"</f>
        <v>#VALUE!</v>
      </c>
      <c r="HM248" t="e">
        <f>'Ressource Plan'!CB18+"AM:!/&amp;@"</f>
        <v>#VALUE!</v>
      </c>
      <c r="HN248" s="105" t="e">
        <f>'Ressource Plan'!CC18+"AM:!/&amp;A"</f>
        <v>#VALUE!</v>
      </c>
      <c r="HO248" t="e">
        <f>'Ressource Plan'!A19+"AM:!/&amp;B"</f>
        <v>#VALUE!</v>
      </c>
      <c r="HP248" t="e">
        <f>'Ressource Plan'!B19+"AM:!/&amp;C"</f>
        <v>#VALUE!</v>
      </c>
      <c r="HQ248" t="e">
        <f>'Ressource Plan'!C19+"AM:!/&amp;D"</f>
        <v>#VALUE!</v>
      </c>
      <c r="HR248" t="e">
        <f>'Ressource Plan'!D19+"AM:!/&amp;E"</f>
        <v>#VALUE!</v>
      </c>
      <c r="HS248" t="e">
        <f>'Ressource Plan'!E19+"AM:!/&amp;F"</f>
        <v>#VALUE!</v>
      </c>
      <c r="HT248" t="e">
        <f>'Ressource Plan'!F19+"AM:!/&amp;G"</f>
        <v>#VALUE!</v>
      </c>
      <c r="HU248" s="105" t="e">
        <f>'Ressource Plan'!G19+"AM:!/&amp;H"</f>
        <v>#VALUE!</v>
      </c>
      <c r="HV248" t="e">
        <f>'Ressource Plan'!H19+"AM:!/&amp;I"</f>
        <v>#VALUE!</v>
      </c>
      <c r="HW248" s="105" t="e">
        <f>'Ressource Plan'!I19+"AM:!/&amp;J"</f>
        <v>#VALUE!</v>
      </c>
      <c r="HX248" t="e">
        <f>'Ressource Plan'!J19+"AM:!/&amp;K"</f>
        <v>#VALUE!</v>
      </c>
      <c r="HY248" s="105" t="e">
        <f>'Ressource Plan'!K19+"AM:!/&amp;L"</f>
        <v>#VALUE!</v>
      </c>
      <c r="HZ248" t="e">
        <f>'Ressource Plan'!L19+"AM:!/&amp;M"</f>
        <v>#VALUE!</v>
      </c>
      <c r="IA248" s="105" t="e">
        <f>'Ressource Plan'!M19+"AM:!/&amp;N"</f>
        <v>#VALUE!</v>
      </c>
      <c r="IB248" t="e">
        <f>'Ressource Plan'!N19+"AM:!/&amp;O"</f>
        <v>#VALUE!</v>
      </c>
      <c r="IC248" s="105" t="e">
        <f>'Ressource Plan'!O19+"AM:!/&amp;P"</f>
        <v>#VALUE!</v>
      </c>
      <c r="ID248" t="e">
        <f>'Ressource Plan'!P19+"AM:!/&amp;Q"</f>
        <v>#VALUE!</v>
      </c>
      <c r="IE248" s="105" t="e">
        <f>'Ressource Plan'!Q19+"AM:!/&amp;R"</f>
        <v>#VALUE!</v>
      </c>
      <c r="IF248" t="e">
        <f>'Ressource Plan'!R19+"AM:!/&amp;S"</f>
        <v>#VALUE!</v>
      </c>
      <c r="IG248" s="105" t="e">
        <f>'Ressource Plan'!S19+"AM:!/&amp;T"</f>
        <v>#VALUE!</v>
      </c>
      <c r="IH248" t="e">
        <f>'Ressource Plan'!T19+"AM:!/&amp;U"</f>
        <v>#VALUE!</v>
      </c>
      <c r="II248" s="105" t="e">
        <f>'Ressource Plan'!U19+"AM:!/&amp;V"</f>
        <v>#VALUE!</v>
      </c>
      <c r="IJ248" t="e">
        <f>'Ressource Plan'!V19+"AM:!/&amp;W"</f>
        <v>#VALUE!</v>
      </c>
      <c r="IK248" s="105" t="e">
        <f>'Ressource Plan'!W19+"AM:!/&amp;X"</f>
        <v>#VALUE!</v>
      </c>
      <c r="IL248" t="e">
        <f>'Ressource Plan'!X19+"AM:!/&amp;Y"</f>
        <v>#VALUE!</v>
      </c>
      <c r="IM248" s="105" t="e">
        <f>'Ressource Plan'!Y19+"AM:!/&amp;Z"</f>
        <v>#VALUE!</v>
      </c>
      <c r="IN248" t="e">
        <f>'Ressource Plan'!Z19+"AM:!/&amp;["</f>
        <v>#VALUE!</v>
      </c>
      <c r="IO248" s="105" t="e">
        <f>'Ressource Plan'!AA19+"AM:!/&amp;\"</f>
        <v>#VALUE!</v>
      </c>
      <c r="IP248" t="e">
        <f>'Ressource Plan'!AB19+"AM:!/&amp;]"</f>
        <v>#VALUE!</v>
      </c>
      <c r="IQ248" s="105" t="e">
        <f>'Ressource Plan'!AC19+"AM:!/&amp;^"</f>
        <v>#VALUE!</v>
      </c>
      <c r="IR248" t="e">
        <f>'Ressource Plan'!AD19+"AM:!/&amp;_"</f>
        <v>#VALUE!</v>
      </c>
      <c r="IS248" s="105" t="e">
        <f>'Ressource Plan'!AE19+"AM:!/&amp;`"</f>
        <v>#VALUE!</v>
      </c>
      <c r="IT248" t="e">
        <f>'Ressource Plan'!AF19+"AM:!/&amp;a"</f>
        <v>#VALUE!</v>
      </c>
      <c r="IU248" s="105" t="e">
        <f>'Ressource Plan'!AG19+"AM:!/&amp;b"</f>
        <v>#VALUE!</v>
      </c>
      <c r="IV248" t="e">
        <f>'Ressource Plan'!AH19+"AM:!/&amp;c"</f>
        <v>#VALUE!</v>
      </c>
    </row>
    <row r="249" spans="6:256">
      <c r="F249" s="105" t="e">
        <f>'Ressource Plan'!AI19+"AM:!/&amp;d"</f>
        <v>#VALUE!</v>
      </c>
      <c r="G249" t="e">
        <f>'Ressource Plan'!AJ19+"AM:!/&amp;e"</f>
        <v>#VALUE!</v>
      </c>
      <c r="H249" s="105" t="e">
        <f>'Ressource Plan'!AK19+"AM:!/&amp;f"</f>
        <v>#VALUE!</v>
      </c>
      <c r="I249" t="e">
        <f>'Ressource Plan'!AL19+"AM:!/&amp;g"</f>
        <v>#VALUE!</v>
      </c>
      <c r="J249" s="105" t="e">
        <f>'Ressource Plan'!AM19+"AM:!/&amp;h"</f>
        <v>#VALUE!</v>
      </c>
      <c r="K249" t="e">
        <f>'Ressource Plan'!AN19+"AM:!/&amp;i"</f>
        <v>#VALUE!</v>
      </c>
      <c r="L249" s="105" t="e">
        <f>'Ressource Plan'!AO19+"AM:!/&amp;j"</f>
        <v>#VALUE!</v>
      </c>
      <c r="M249" t="e">
        <f>'Ressource Plan'!AP19+"AM:!/&amp;k"</f>
        <v>#VALUE!</v>
      </c>
      <c r="N249" s="105" t="e">
        <f>'Ressource Plan'!AQ19+"AM:!/&amp;l"</f>
        <v>#VALUE!</v>
      </c>
      <c r="O249" t="e">
        <f>'Ressource Plan'!AR19+"AM:!/&amp;m"</f>
        <v>#VALUE!</v>
      </c>
      <c r="P249" s="105" t="e">
        <f>'Ressource Plan'!AS19+"AM:!/&amp;n"</f>
        <v>#VALUE!</v>
      </c>
      <c r="Q249" t="e">
        <f>'Ressource Plan'!AT19+"AM:!/&amp;o"</f>
        <v>#VALUE!</v>
      </c>
      <c r="R249" s="105" t="e">
        <f>'Ressource Plan'!AU19+"AM:!/&amp;p"</f>
        <v>#VALUE!</v>
      </c>
      <c r="S249" t="e">
        <f>'Ressource Plan'!AV19+"AM:!/&amp;q"</f>
        <v>#VALUE!</v>
      </c>
      <c r="T249" s="105" t="e">
        <f>'Ressource Plan'!AW19+"AM:!/&amp;r"</f>
        <v>#VALUE!</v>
      </c>
      <c r="U249" t="e">
        <f>'Ressource Plan'!AX19+"AM:!/&amp;s"</f>
        <v>#VALUE!</v>
      </c>
      <c r="V249" s="105" t="e">
        <f>'Ressource Plan'!AY19+"AM:!/&amp;t"</f>
        <v>#VALUE!</v>
      </c>
      <c r="W249" t="e">
        <f>'Ressource Plan'!AZ19+"AM:!/&amp;u"</f>
        <v>#VALUE!</v>
      </c>
      <c r="X249" s="105" t="e">
        <f>'Ressource Plan'!BA19+"AM:!/&amp;v"</f>
        <v>#VALUE!</v>
      </c>
      <c r="Y249" t="e">
        <f>'Ressource Plan'!BB19+"AM:!/&amp;w"</f>
        <v>#VALUE!</v>
      </c>
      <c r="Z249" s="105" t="e">
        <f>'Ressource Plan'!BC19+"AM:!/&amp;x"</f>
        <v>#VALUE!</v>
      </c>
      <c r="AA249" t="e">
        <f>'Ressource Plan'!BD19+"AM:!/&amp;y"</f>
        <v>#VALUE!</v>
      </c>
      <c r="AB249" s="105" t="e">
        <f>'Ressource Plan'!BE19+"AM:!/&amp;z"</f>
        <v>#VALUE!</v>
      </c>
      <c r="AC249" t="e">
        <f>'Ressource Plan'!BF19+"AM:!/&amp;{"</f>
        <v>#VALUE!</v>
      </c>
      <c r="AD249" s="105" t="e">
        <f>'Ressource Plan'!BG19+"AM:!/&amp;|"</f>
        <v>#VALUE!</v>
      </c>
      <c r="AE249" t="e">
        <f>'Ressource Plan'!BH19+"AM:!/&amp;}"</f>
        <v>#VALUE!</v>
      </c>
      <c r="AF249" s="105" t="e">
        <f>'Ressource Plan'!BI19+"AM:!/&amp;~"</f>
        <v>#VALUE!</v>
      </c>
      <c r="AG249" t="e">
        <f>'Ressource Plan'!BJ19+"AM:!/'#"</f>
        <v>#VALUE!</v>
      </c>
      <c r="AH249" s="105" t="e">
        <f>'Ressource Plan'!BK19+"AM:!/'$"</f>
        <v>#VALUE!</v>
      </c>
      <c r="AI249" t="e">
        <f>'Ressource Plan'!BL19+"AM:!/'%"</f>
        <v>#VALUE!</v>
      </c>
      <c r="AJ249" s="105" t="e">
        <f>'Ressource Plan'!BM19+"AM:!/'&amp;"</f>
        <v>#VALUE!</v>
      </c>
      <c r="AK249" t="e">
        <f>'Ressource Plan'!BN19+"AM:!/''"</f>
        <v>#VALUE!</v>
      </c>
      <c r="AL249" s="105" t="e">
        <f>'Ressource Plan'!BO19+"AM:!/'("</f>
        <v>#VALUE!</v>
      </c>
      <c r="AM249" t="e">
        <f>'Ressource Plan'!BP19+"AM:!/')"</f>
        <v>#VALUE!</v>
      </c>
      <c r="AN249" s="105" t="e">
        <f>'Ressource Plan'!BQ19+"AM:!/'."</f>
        <v>#VALUE!</v>
      </c>
      <c r="AO249" t="e">
        <f>'Ressource Plan'!BR19+"AM:!/'/"</f>
        <v>#VALUE!</v>
      </c>
      <c r="AP249" s="105" t="e">
        <f>'Ressource Plan'!BS19+"AM:!/'0"</f>
        <v>#VALUE!</v>
      </c>
      <c r="AQ249" t="e">
        <f>'Ressource Plan'!BT19+"AM:!/'1"</f>
        <v>#VALUE!</v>
      </c>
      <c r="AR249" s="105" t="e">
        <f>'Ressource Plan'!BU19+"AM:!/'2"</f>
        <v>#VALUE!</v>
      </c>
      <c r="AS249" t="e">
        <f>'Ressource Plan'!BV19+"AM:!/'3"</f>
        <v>#VALUE!</v>
      </c>
      <c r="AT249" s="105" t="e">
        <f>'Ressource Plan'!BW19+"AM:!/'4"</f>
        <v>#VALUE!</v>
      </c>
      <c r="AU249" t="e">
        <f>'Ressource Plan'!BX19+"AM:!/'5"</f>
        <v>#VALUE!</v>
      </c>
      <c r="AV249" s="105" t="e">
        <f>'Ressource Plan'!BY19+"AM:!/'6"</f>
        <v>#VALUE!</v>
      </c>
      <c r="AW249" t="e">
        <f>'Ressource Plan'!BZ19+"AM:!/'7"</f>
        <v>#VALUE!</v>
      </c>
      <c r="AX249" s="105" t="e">
        <f>'Ressource Plan'!CA19+"AM:!/'8"</f>
        <v>#VALUE!</v>
      </c>
      <c r="AY249" t="e">
        <f>'Ressource Plan'!CB19+"AM:!/'9"</f>
        <v>#VALUE!</v>
      </c>
      <c r="AZ249" s="105" t="e">
        <f>'Ressource Plan'!CC19+"AM:!/':"</f>
        <v>#VALUE!</v>
      </c>
      <c r="BA249" t="e">
        <f>'Ressource Plan'!A20+"AM:!/';"</f>
        <v>#VALUE!</v>
      </c>
      <c r="BB249" t="e">
        <f>'Ressource Plan'!B20+"AM:!/'&lt;"</f>
        <v>#VALUE!</v>
      </c>
      <c r="BC249" t="e">
        <f>'Ressource Plan'!C20+"AM:!/'="</f>
        <v>#VALUE!</v>
      </c>
      <c r="BD249" t="e">
        <f>'Ressource Plan'!D20+"AM:!/'&gt;"</f>
        <v>#VALUE!</v>
      </c>
      <c r="BE249" t="e">
        <f>'Ressource Plan'!E20+"AM:!/'?"</f>
        <v>#VALUE!</v>
      </c>
      <c r="BF249" t="e">
        <f>'Ressource Plan'!F20+"AM:!/'@"</f>
        <v>#VALUE!</v>
      </c>
      <c r="BG249" s="105" t="e">
        <f>'Ressource Plan'!G20+"AM:!/'A"</f>
        <v>#VALUE!</v>
      </c>
      <c r="BH249" t="e">
        <f>'Ressource Plan'!H20+"AM:!/'B"</f>
        <v>#VALUE!</v>
      </c>
      <c r="BI249" s="105" t="e">
        <f>'Ressource Plan'!I20+"AM:!/'C"</f>
        <v>#VALUE!</v>
      </c>
      <c r="BJ249" t="e">
        <f>'Ressource Plan'!J20+"AM:!/'D"</f>
        <v>#VALUE!</v>
      </c>
      <c r="BK249" s="105" t="e">
        <f>'Ressource Plan'!K20+"AM:!/'E"</f>
        <v>#VALUE!</v>
      </c>
      <c r="BL249" t="e">
        <f>'Ressource Plan'!L20+"AM:!/'F"</f>
        <v>#VALUE!</v>
      </c>
      <c r="BM249" s="105" t="e">
        <f>'Ressource Plan'!M20+"AM:!/'G"</f>
        <v>#VALUE!</v>
      </c>
      <c r="BN249" t="e">
        <f>'Ressource Plan'!N20+"AM:!/'H"</f>
        <v>#VALUE!</v>
      </c>
      <c r="BO249" s="105" t="e">
        <f>'Ressource Plan'!O20+"AM:!/'I"</f>
        <v>#VALUE!</v>
      </c>
      <c r="BP249" t="e">
        <f>'Ressource Plan'!P20+"AM:!/'J"</f>
        <v>#VALUE!</v>
      </c>
      <c r="BQ249" s="105" t="e">
        <f>'Ressource Plan'!Q20+"AM:!/'K"</f>
        <v>#VALUE!</v>
      </c>
      <c r="BR249" t="e">
        <f>'Ressource Plan'!R20+"AM:!/'L"</f>
        <v>#VALUE!</v>
      </c>
      <c r="BS249" s="105" t="e">
        <f>'Ressource Plan'!S20+"AM:!/'M"</f>
        <v>#VALUE!</v>
      </c>
      <c r="BT249" t="e">
        <f>'Ressource Plan'!T20+"AM:!/'N"</f>
        <v>#VALUE!</v>
      </c>
      <c r="BU249" s="105" t="e">
        <f>'Ressource Plan'!U20+"AM:!/'O"</f>
        <v>#VALUE!</v>
      </c>
      <c r="BV249" t="e">
        <f>'Ressource Plan'!V20+"AM:!/'P"</f>
        <v>#VALUE!</v>
      </c>
      <c r="BW249" s="105" t="e">
        <f>'Ressource Plan'!W20+"AM:!/'Q"</f>
        <v>#VALUE!</v>
      </c>
      <c r="BX249" t="e">
        <f>'Ressource Plan'!X20+"AM:!/'R"</f>
        <v>#VALUE!</v>
      </c>
      <c r="BY249" s="105" t="e">
        <f>'Ressource Plan'!Y20+"AM:!/'S"</f>
        <v>#VALUE!</v>
      </c>
      <c r="BZ249" t="e">
        <f>'Ressource Plan'!Z20+"AM:!/'T"</f>
        <v>#VALUE!</v>
      </c>
      <c r="CA249" s="105" t="e">
        <f>'Ressource Plan'!AA20+"AM:!/'U"</f>
        <v>#VALUE!</v>
      </c>
      <c r="CB249" t="e">
        <f>'Ressource Plan'!AB20+"AM:!/'V"</f>
        <v>#VALUE!</v>
      </c>
      <c r="CC249" s="105" t="e">
        <f>'Ressource Plan'!AC20+"AM:!/'W"</f>
        <v>#VALUE!</v>
      </c>
      <c r="CD249" t="e">
        <f>'Ressource Plan'!AD20+"AM:!/'X"</f>
        <v>#VALUE!</v>
      </c>
      <c r="CE249" s="105" t="e">
        <f>'Ressource Plan'!AE20+"AM:!/'Y"</f>
        <v>#VALUE!</v>
      </c>
      <c r="CF249" t="e">
        <f>'Ressource Plan'!AF20+"AM:!/'Z"</f>
        <v>#VALUE!</v>
      </c>
      <c r="CG249" s="105" t="e">
        <f>'Ressource Plan'!AG20+"AM:!/'["</f>
        <v>#VALUE!</v>
      </c>
      <c r="CH249" t="e">
        <f>'Ressource Plan'!AH20+"AM:!/'\"</f>
        <v>#VALUE!</v>
      </c>
      <c r="CI249" s="105" t="e">
        <f>'Ressource Plan'!AI20+"AM:!/']"</f>
        <v>#VALUE!</v>
      </c>
      <c r="CJ249" t="e">
        <f>'Ressource Plan'!AJ20+"AM:!/'^"</f>
        <v>#VALUE!</v>
      </c>
      <c r="CK249" s="105" t="e">
        <f>'Ressource Plan'!AK20+"AM:!/'_"</f>
        <v>#VALUE!</v>
      </c>
      <c r="CL249" t="e">
        <f>'Ressource Plan'!AL20+"AM:!/'`"</f>
        <v>#VALUE!</v>
      </c>
      <c r="CM249" s="105" t="e">
        <f>'Ressource Plan'!AM20+"AM:!/'a"</f>
        <v>#VALUE!</v>
      </c>
      <c r="CN249" t="e">
        <f>'Ressource Plan'!AN20+"AM:!/'b"</f>
        <v>#VALUE!</v>
      </c>
      <c r="CO249" s="105" t="e">
        <f>'Ressource Plan'!AO20+"AM:!/'c"</f>
        <v>#VALUE!</v>
      </c>
      <c r="CP249" t="e">
        <f>'Ressource Plan'!AP20+"AM:!/'d"</f>
        <v>#VALUE!</v>
      </c>
      <c r="CQ249" s="105" t="e">
        <f>'Ressource Plan'!AQ20+"AM:!/'e"</f>
        <v>#VALUE!</v>
      </c>
      <c r="CR249" t="e">
        <f>'Ressource Plan'!AR20+"AM:!/'f"</f>
        <v>#VALUE!</v>
      </c>
      <c r="CS249" s="105" t="e">
        <f>'Ressource Plan'!AS20+"AM:!/'g"</f>
        <v>#VALUE!</v>
      </c>
      <c r="CT249" t="e">
        <f>'Ressource Plan'!AT20+"AM:!/'h"</f>
        <v>#VALUE!</v>
      </c>
      <c r="CU249" s="105" t="e">
        <f>'Ressource Plan'!AU20+"AM:!/'i"</f>
        <v>#VALUE!</v>
      </c>
      <c r="CV249" t="e">
        <f>'Ressource Plan'!AV20+"AM:!/'j"</f>
        <v>#VALUE!</v>
      </c>
      <c r="CW249" s="105" t="e">
        <f>'Ressource Plan'!AW20+"AM:!/'k"</f>
        <v>#VALUE!</v>
      </c>
      <c r="CX249" t="e">
        <f>'Ressource Plan'!AX20+"AM:!/'l"</f>
        <v>#VALUE!</v>
      </c>
      <c r="CY249" s="105" t="e">
        <f>'Ressource Plan'!AY20+"AM:!/'m"</f>
        <v>#VALUE!</v>
      </c>
      <c r="CZ249" t="e">
        <f>'Ressource Plan'!AZ20+"AM:!/'n"</f>
        <v>#VALUE!</v>
      </c>
      <c r="DA249" s="105" t="e">
        <f>'Ressource Plan'!BA20+"AM:!/'o"</f>
        <v>#VALUE!</v>
      </c>
      <c r="DB249" t="e">
        <f>'Ressource Plan'!BB20+"AM:!/'p"</f>
        <v>#VALUE!</v>
      </c>
      <c r="DC249" s="105" t="e">
        <f>'Ressource Plan'!BC20+"AM:!/'q"</f>
        <v>#VALUE!</v>
      </c>
      <c r="DD249" t="e">
        <f>'Ressource Plan'!BD20+"AM:!/'r"</f>
        <v>#VALUE!</v>
      </c>
      <c r="DE249" s="105" t="e">
        <f>'Ressource Plan'!BE20+"AM:!/'s"</f>
        <v>#VALUE!</v>
      </c>
      <c r="DF249" t="e">
        <f>'Ressource Plan'!BF20+"AM:!/'t"</f>
        <v>#VALUE!</v>
      </c>
      <c r="DG249" s="105" t="e">
        <f>'Ressource Plan'!BG20+"AM:!/'u"</f>
        <v>#VALUE!</v>
      </c>
      <c r="DH249" t="e">
        <f>'Ressource Plan'!BH20+"AM:!/'v"</f>
        <v>#VALUE!</v>
      </c>
      <c r="DI249" s="105" t="e">
        <f>'Ressource Plan'!BI20+"AM:!/'w"</f>
        <v>#VALUE!</v>
      </c>
      <c r="DJ249" t="e">
        <f>'Ressource Plan'!BJ20+"AM:!/'x"</f>
        <v>#VALUE!</v>
      </c>
      <c r="DK249" s="105" t="e">
        <f>'Ressource Plan'!BK20+"AM:!/'y"</f>
        <v>#VALUE!</v>
      </c>
      <c r="DL249" t="e">
        <f>'Ressource Plan'!BL20+"AM:!/'z"</f>
        <v>#VALUE!</v>
      </c>
      <c r="DM249" s="105" t="e">
        <f>'Ressource Plan'!BM20+"AM:!/'{"</f>
        <v>#VALUE!</v>
      </c>
      <c r="DN249" t="e">
        <f>'Ressource Plan'!BN20+"AM:!/'|"</f>
        <v>#VALUE!</v>
      </c>
      <c r="DO249" s="105" t="e">
        <f>'Ressource Plan'!BO20+"AM:!/'}"</f>
        <v>#VALUE!</v>
      </c>
      <c r="DP249" t="e">
        <f>'Ressource Plan'!BP20+"AM:!/'~"</f>
        <v>#VALUE!</v>
      </c>
      <c r="DQ249" s="105" t="e">
        <f>'Ressource Plan'!BQ20+"AM:!/(#"</f>
        <v>#VALUE!</v>
      </c>
      <c r="DR249" t="e">
        <f>'Ressource Plan'!BR20+"AM:!/($"</f>
        <v>#VALUE!</v>
      </c>
      <c r="DS249" s="105" t="e">
        <f>'Ressource Plan'!BS20+"AM:!/(%"</f>
        <v>#VALUE!</v>
      </c>
      <c r="DT249" t="e">
        <f>'Ressource Plan'!BT20+"AM:!/(&amp;"</f>
        <v>#VALUE!</v>
      </c>
      <c r="DU249" s="105" t="e">
        <f>'Ressource Plan'!BU20+"AM:!/('"</f>
        <v>#VALUE!</v>
      </c>
      <c r="DV249" t="e">
        <f>'Ressource Plan'!BV20+"AM:!/(("</f>
        <v>#VALUE!</v>
      </c>
      <c r="DW249" s="105" t="e">
        <f>'Ressource Plan'!BW20+"AM:!/()"</f>
        <v>#VALUE!</v>
      </c>
      <c r="DX249" t="e">
        <f>'Ressource Plan'!BX20+"AM:!/(."</f>
        <v>#VALUE!</v>
      </c>
      <c r="DY249" s="105" t="e">
        <f>'Ressource Plan'!BY20+"AM:!/(/"</f>
        <v>#VALUE!</v>
      </c>
      <c r="DZ249" t="e">
        <f>'Ressource Plan'!BZ20+"AM:!/(0"</f>
        <v>#VALUE!</v>
      </c>
      <c r="EA249" s="105" t="e">
        <f>'Ressource Plan'!CA20+"AM:!/(1"</f>
        <v>#VALUE!</v>
      </c>
      <c r="EB249" t="e">
        <f>'Ressource Plan'!CB20+"AM:!/(2"</f>
        <v>#VALUE!</v>
      </c>
      <c r="EC249" s="105" t="e">
        <f>'Ressource Plan'!CC20+"AM:!/(3"</f>
        <v>#VALUE!</v>
      </c>
      <c r="ED249" t="e">
        <f>'Ressource Plan'!A21+"AM:!/(4"</f>
        <v>#VALUE!</v>
      </c>
      <c r="EE249" t="e">
        <f>'Ressource Plan'!B21+"AM:!/(5"</f>
        <v>#VALUE!</v>
      </c>
      <c r="EF249" t="e">
        <f>'Ressource Plan'!C21+"AM:!/(6"</f>
        <v>#VALUE!</v>
      </c>
      <c r="EG249" t="e">
        <f>'Ressource Plan'!D21+"AM:!/(7"</f>
        <v>#VALUE!</v>
      </c>
      <c r="EH249" t="e">
        <f>'Ressource Plan'!E21+"AM:!/(8"</f>
        <v>#VALUE!</v>
      </c>
      <c r="EI249" t="e">
        <f>'Ressource Plan'!F21+"AM:!/(9"</f>
        <v>#VALUE!</v>
      </c>
      <c r="EJ249" s="105" t="e">
        <f>'Ressource Plan'!G21+"AM:!/(:"</f>
        <v>#VALUE!</v>
      </c>
      <c r="EK249" t="e">
        <f>'Ressource Plan'!H21+"AM:!/(;"</f>
        <v>#VALUE!</v>
      </c>
      <c r="EL249" s="105" t="e">
        <f>'Ressource Plan'!I21+"AM:!/(&lt;"</f>
        <v>#VALUE!</v>
      </c>
      <c r="EM249" t="e">
        <f>'Ressource Plan'!J21+"AM:!/(="</f>
        <v>#VALUE!</v>
      </c>
      <c r="EN249" s="105" t="e">
        <f>'Ressource Plan'!K21+"AM:!/(&gt;"</f>
        <v>#VALUE!</v>
      </c>
      <c r="EO249" t="e">
        <f>'Ressource Plan'!L21+"AM:!/(?"</f>
        <v>#VALUE!</v>
      </c>
      <c r="EP249" s="105" t="e">
        <f>'Ressource Plan'!M21+"AM:!/(@"</f>
        <v>#VALUE!</v>
      </c>
      <c r="EQ249" t="e">
        <f>'Ressource Plan'!N21+"AM:!/(A"</f>
        <v>#VALUE!</v>
      </c>
      <c r="ER249" s="105" t="e">
        <f>'Ressource Plan'!O21+"AM:!/(B"</f>
        <v>#VALUE!</v>
      </c>
      <c r="ES249" t="e">
        <f>'Ressource Plan'!P21+"AM:!/(C"</f>
        <v>#VALUE!</v>
      </c>
      <c r="ET249" s="105" t="e">
        <f>'Ressource Plan'!Q21+"AM:!/(D"</f>
        <v>#VALUE!</v>
      </c>
      <c r="EU249" t="e">
        <f>'Ressource Plan'!R21+"AM:!/(E"</f>
        <v>#VALUE!</v>
      </c>
      <c r="EV249" s="105" t="e">
        <f>'Ressource Plan'!S21+"AM:!/(F"</f>
        <v>#VALUE!</v>
      </c>
      <c r="EW249" t="e">
        <f>'Ressource Plan'!T21+"AM:!/(G"</f>
        <v>#VALUE!</v>
      </c>
      <c r="EX249" s="105" t="e">
        <f>'Ressource Plan'!U21+"AM:!/(H"</f>
        <v>#VALUE!</v>
      </c>
      <c r="EY249" t="e">
        <f>'Ressource Plan'!V21+"AM:!/(I"</f>
        <v>#VALUE!</v>
      </c>
      <c r="EZ249" s="105" t="e">
        <f>'Ressource Plan'!W21+"AM:!/(J"</f>
        <v>#VALUE!</v>
      </c>
      <c r="FA249" t="e">
        <f>'Ressource Plan'!X21+"AM:!/(K"</f>
        <v>#VALUE!</v>
      </c>
      <c r="FB249" s="105" t="e">
        <f>'Ressource Plan'!Y21+"AM:!/(L"</f>
        <v>#VALUE!</v>
      </c>
      <c r="FC249" t="e">
        <f>'Ressource Plan'!Z21+"AM:!/(M"</f>
        <v>#VALUE!</v>
      </c>
      <c r="FD249" s="105" t="e">
        <f>'Ressource Plan'!AA21+"AM:!/(N"</f>
        <v>#VALUE!</v>
      </c>
      <c r="FE249" t="e">
        <f>'Ressource Plan'!AB21+"AM:!/(O"</f>
        <v>#VALUE!</v>
      </c>
      <c r="FF249" s="105" t="e">
        <f>'Ressource Plan'!AC21+"AM:!/(P"</f>
        <v>#VALUE!</v>
      </c>
      <c r="FG249" t="e">
        <f>'Ressource Plan'!AD21+"AM:!/(Q"</f>
        <v>#VALUE!</v>
      </c>
      <c r="FH249" s="105" t="e">
        <f>'Ressource Plan'!AE21+"AM:!/(R"</f>
        <v>#VALUE!</v>
      </c>
      <c r="FI249" t="e">
        <f>'Ressource Plan'!AF21+"AM:!/(S"</f>
        <v>#VALUE!</v>
      </c>
      <c r="FJ249" s="105" t="e">
        <f>'Ressource Plan'!AG21+"AM:!/(T"</f>
        <v>#VALUE!</v>
      </c>
      <c r="FK249" t="e">
        <f>'Ressource Plan'!AH21+"AM:!/(U"</f>
        <v>#VALUE!</v>
      </c>
      <c r="FL249" s="105" t="e">
        <f>'Ressource Plan'!AI21+"AM:!/(V"</f>
        <v>#VALUE!</v>
      </c>
      <c r="FM249" t="e">
        <f>'Ressource Plan'!AJ21+"AM:!/(W"</f>
        <v>#VALUE!</v>
      </c>
      <c r="FN249" s="105" t="e">
        <f>'Ressource Plan'!AK21+"AM:!/(X"</f>
        <v>#VALUE!</v>
      </c>
      <c r="FO249" t="e">
        <f>'Ressource Plan'!AL21+"AM:!/(Y"</f>
        <v>#VALUE!</v>
      </c>
      <c r="FP249" s="105" t="e">
        <f>'Ressource Plan'!AM21+"AM:!/(Z"</f>
        <v>#VALUE!</v>
      </c>
      <c r="FQ249" t="e">
        <f>'Ressource Plan'!AN21+"AM:!/(["</f>
        <v>#VALUE!</v>
      </c>
      <c r="FR249" s="105" t="e">
        <f>'Ressource Plan'!AO21+"AM:!/(\"</f>
        <v>#VALUE!</v>
      </c>
      <c r="FS249" t="e">
        <f>'Ressource Plan'!AP21+"AM:!/(]"</f>
        <v>#VALUE!</v>
      </c>
      <c r="FT249" s="105" t="e">
        <f>'Ressource Plan'!AQ21+"AM:!/(^"</f>
        <v>#VALUE!</v>
      </c>
      <c r="FU249" t="e">
        <f>'Ressource Plan'!AR21+"AM:!/(_"</f>
        <v>#VALUE!</v>
      </c>
      <c r="FV249" s="105" t="e">
        <f>'Ressource Plan'!AS21+"AM:!/(`"</f>
        <v>#VALUE!</v>
      </c>
      <c r="FW249" t="e">
        <f>'Ressource Plan'!AT21+"AM:!/(a"</f>
        <v>#VALUE!</v>
      </c>
      <c r="FX249" s="105" t="e">
        <f>'Ressource Plan'!AU21+"AM:!/(b"</f>
        <v>#VALUE!</v>
      </c>
      <c r="FY249" t="e">
        <f>'Ressource Plan'!AV21+"AM:!/(c"</f>
        <v>#VALUE!</v>
      </c>
      <c r="FZ249" s="105" t="e">
        <f>'Ressource Plan'!AW21+"AM:!/(d"</f>
        <v>#VALUE!</v>
      </c>
      <c r="GA249" t="e">
        <f>'Ressource Plan'!AX21+"AM:!/(e"</f>
        <v>#VALUE!</v>
      </c>
      <c r="GB249" s="105" t="e">
        <f>'Ressource Plan'!AY21+"AM:!/(f"</f>
        <v>#VALUE!</v>
      </c>
      <c r="GC249" t="e">
        <f>'Ressource Plan'!AZ21+"AM:!/(g"</f>
        <v>#VALUE!</v>
      </c>
      <c r="GD249" s="105" t="e">
        <f>'Ressource Plan'!BA21+"AM:!/(h"</f>
        <v>#VALUE!</v>
      </c>
      <c r="GE249" t="e">
        <f>'Ressource Plan'!BB21+"AM:!/(i"</f>
        <v>#VALUE!</v>
      </c>
      <c r="GF249" s="105" t="e">
        <f>'Ressource Plan'!BC21+"AM:!/(j"</f>
        <v>#VALUE!</v>
      </c>
      <c r="GG249" t="e">
        <f>'Ressource Plan'!BD21+"AM:!/(k"</f>
        <v>#VALUE!</v>
      </c>
      <c r="GH249" s="105" t="e">
        <f>'Ressource Plan'!BE21+"AM:!/(l"</f>
        <v>#VALUE!</v>
      </c>
      <c r="GI249" t="e">
        <f>'Ressource Plan'!BF21+"AM:!/(m"</f>
        <v>#VALUE!</v>
      </c>
      <c r="GJ249" s="105" t="e">
        <f>'Ressource Plan'!BG21+"AM:!/(n"</f>
        <v>#VALUE!</v>
      </c>
      <c r="GK249" t="e">
        <f>'Ressource Plan'!BH21+"AM:!/(o"</f>
        <v>#VALUE!</v>
      </c>
      <c r="GL249" s="105" t="e">
        <f>'Ressource Plan'!BI21+"AM:!/(p"</f>
        <v>#VALUE!</v>
      </c>
      <c r="GM249" t="e">
        <f>'Ressource Plan'!BJ21+"AM:!/(q"</f>
        <v>#VALUE!</v>
      </c>
      <c r="GN249" s="105" t="e">
        <f>'Ressource Plan'!BK21+"AM:!/(r"</f>
        <v>#VALUE!</v>
      </c>
      <c r="GO249" t="e">
        <f>'Ressource Plan'!BL21+"AM:!/(s"</f>
        <v>#VALUE!</v>
      </c>
      <c r="GP249" s="105" t="e">
        <f>'Ressource Plan'!BM21+"AM:!/(t"</f>
        <v>#VALUE!</v>
      </c>
      <c r="GQ249" t="e">
        <f>'Ressource Plan'!BN21+"AM:!/(u"</f>
        <v>#VALUE!</v>
      </c>
      <c r="GR249" s="105" t="e">
        <f>'Ressource Plan'!BO21+"AM:!/(v"</f>
        <v>#VALUE!</v>
      </c>
      <c r="GS249" t="e">
        <f>'Ressource Plan'!BP21+"AM:!/(w"</f>
        <v>#VALUE!</v>
      </c>
      <c r="GT249" s="105" t="e">
        <f>'Ressource Plan'!BQ21+"AM:!/(x"</f>
        <v>#VALUE!</v>
      </c>
      <c r="GU249" t="e">
        <f>'Ressource Plan'!BR21+"AM:!/(y"</f>
        <v>#VALUE!</v>
      </c>
      <c r="GV249" s="105" t="e">
        <f>'Ressource Plan'!BS21+"AM:!/(z"</f>
        <v>#VALUE!</v>
      </c>
      <c r="GW249" t="e">
        <f>'Ressource Plan'!BT21+"AM:!/({"</f>
        <v>#VALUE!</v>
      </c>
      <c r="GX249" s="105" t="e">
        <f>'Ressource Plan'!BU21+"AM:!/(|"</f>
        <v>#VALUE!</v>
      </c>
      <c r="GY249" t="e">
        <f>'Ressource Plan'!BV21+"AM:!/(}"</f>
        <v>#VALUE!</v>
      </c>
      <c r="GZ249" s="105" t="e">
        <f>'Ressource Plan'!BW21+"AM:!/(~"</f>
        <v>#VALUE!</v>
      </c>
      <c r="HA249" t="e">
        <f>'Ressource Plan'!BX21+"AM:!/)#"</f>
        <v>#VALUE!</v>
      </c>
      <c r="HB249" s="105" t="e">
        <f>'Ressource Plan'!BY21+"AM:!/)$"</f>
        <v>#VALUE!</v>
      </c>
      <c r="HC249" t="e">
        <f>'Ressource Plan'!BZ21+"AM:!/)%"</f>
        <v>#VALUE!</v>
      </c>
      <c r="HD249" s="105" t="e">
        <f>'Ressource Plan'!CA21+"AM:!/)&amp;"</f>
        <v>#VALUE!</v>
      </c>
      <c r="HE249" t="e">
        <f>'Ressource Plan'!CB21+"AM:!/)'"</f>
        <v>#VALUE!</v>
      </c>
      <c r="HF249" s="105" t="e">
        <f>'Ressource Plan'!CC21+"AM:!/)("</f>
        <v>#VALUE!</v>
      </c>
      <c r="HG249" t="e">
        <f>'Ressource Plan'!A22+"AM:!/))"</f>
        <v>#VALUE!</v>
      </c>
      <c r="HH249" t="e">
        <f>'Ressource Plan'!B22+"AM:!/)."</f>
        <v>#VALUE!</v>
      </c>
      <c r="HI249" t="e">
        <f>'Ressource Plan'!C22+"AM:!/)/"</f>
        <v>#VALUE!</v>
      </c>
      <c r="HJ249" t="e">
        <f>'Ressource Plan'!D22+"AM:!/)0"</f>
        <v>#VALUE!</v>
      </c>
      <c r="HK249" t="e">
        <f>'Ressource Plan'!E22+"AM:!/)1"</f>
        <v>#VALUE!</v>
      </c>
      <c r="HL249" t="e">
        <f>'Ressource Plan'!F22+"AM:!/)2"</f>
        <v>#VALUE!</v>
      </c>
      <c r="HM249" s="105" t="e">
        <f>'Ressource Plan'!G22+"AM:!/)3"</f>
        <v>#VALUE!</v>
      </c>
      <c r="HN249" t="e">
        <f>'Ressource Plan'!H22+"AM:!/)4"</f>
        <v>#VALUE!</v>
      </c>
      <c r="HO249" s="105" t="e">
        <f>'Ressource Plan'!I22+"AM:!/)5"</f>
        <v>#VALUE!</v>
      </c>
      <c r="HP249" t="e">
        <f>'Ressource Plan'!J22+"AM:!/)6"</f>
        <v>#VALUE!</v>
      </c>
      <c r="HQ249" s="105" t="e">
        <f>'Ressource Plan'!K22+"AM:!/)7"</f>
        <v>#VALUE!</v>
      </c>
      <c r="HR249" t="e">
        <f>'Ressource Plan'!L22+"AM:!/)8"</f>
        <v>#VALUE!</v>
      </c>
      <c r="HS249" s="105" t="e">
        <f>'Ressource Plan'!M22+"AM:!/)9"</f>
        <v>#VALUE!</v>
      </c>
      <c r="HT249" t="e">
        <f>'Ressource Plan'!N22+"AM:!/):"</f>
        <v>#VALUE!</v>
      </c>
      <c r="HU249" s="105" t="e">
        <f>'Ressource Plan'!O22+"AM:!/);"</f>
        <v>#VALUE!</v>
      </c>
      <c r="HV249" t="e">
        <f>'Ressource Plan'!P22+"AM:!/)&lt;"</f>
        <v>#VALUE!</v>
      </c>
      <c r="HW249" s="105" t="e">
        <f>'Ressource Plan'!Q22+"AM:!/)="</f>
        <v>#VALUE!</v>
      </c>
      <c r="HX249" t="e">
        <f>'Ressource Plan'!R22+"AM:!/)&gt;"</f>
        <v>#VALUE!</v>
      </c>
      <c r="HY249" s="105" t="e">
        <f>'Ressource Plan'!S22+"AM:!/)?"</f>
        <v>#VALUE!</v>
      </c>
      <c r="HZ249" t="e">
        <f>'Ressource Plan'!T22+"AM:!/)@"</f>
        <v>#VALUE!</v>
      </c>
      <c r="IA249" s="105" t="e">
        <f>'Ressource Plan'!U22+"AM:!/)A"</f>
        <v>#VALUE!</v>
      </c>
      <c r="IB249" t="e">
        <f>'Ressource Plan'!V22+"AM:!/)B"</f>
        <v>#VALUE!</v>
      </c>
      <c r="IC249" s="105" t="e">
        <f>'Ressource Plan'!W22+"AM:!/)C"</f>
        <v>#VALUE!</v>
      </c>
      <c r="ID249" t="e">
        <f>'Ressource Plan'!X22+"AM:!/)D"</f>
        <v>#VALUE!</v>
      </c>
      <c r="IE249" s="105" t="e">
        <f>'Ressource Plan'!Y22+"AM:!/)E"</f>
        <v>#VALUE!</v>
      </c>
      <c r="IF249" t="e">
        <f>'Ressource Plan'!Z22+"AM:!/)F"</f>
        <v>#VALUE!</v>
      </c>
      <c r="IG249" s="105" t="e">
        <f>'Ressource Plan'!AA22+"AM:!/)G"</f>
        <v>#VALUE!</v>
      </c>
      <c r="IH249" t="e">
        <f>'Ressource Plan'!AB22+"AM:!/)H"</f>
        <v>#VALUE!</v>
      </c>
      <c r="II249" s="105" t="e">
        <f>'Ressource Plan'!AC22+"AM:!/)I"</f>
        <v>#VALUE!</v>
      </c>
      <c r="IJ249" t="e">
        <f>'Ressource Plan'!AD22+"AM:!/)J"</f>
        <v>#VALUE!</v>
      </c>
      <c r="IK249" s="105" t="e">
        <f>'Ressource Plan'!AE22+"AM:!/)K"</f>
        <v>#VALUE!</v>
      </c>
      <c r="IL249" t="e">
        <f>'Ressource Plan'!AF22+"AM:!/)L"</f>
        <v>#VALUE!</v>
      </c>
      <c r="IM249" s="105" t="e">
        <f>'Ressource Plan'!AG22+"AM:!/)M"</f>
        <v>#VALUE!</v>
      </c>
      <c r="IN249" t="e">
        <f>'Ressource Plan'!AH22+"AM:!/)N"</f>
        <v>#VALUE!</v>
      </c>
      <c r="IO249" s="105" t="e">
        <f>'Ressource Plan'!AI22+"AM:!/)O"</f>
        <v>#VALUE!</v>
      </c>
      <c r="IP249" t="e">
        <f>'Ressource Plan'!AJ22+"AM:!/)P"</f>
        <v>#VALUE!</v>
      </c>
      <c r="IQ249" s="105" t="e">
        <f>'Ressource Plan'!AK22+"AM:!/)Q"</f>
        <v>#VALUE!</v>
      </c>
      <c r="IR249" t="e">
        <f>'Ressource Plan'!AL22+"AM:!/)R"</f>
        <v>#VALUE!</v>
      </c>
      <c r="IS249" s="105" t="e">
        <f>'Ressource Plan'!AM22+"AM:!/)S"</f>
        <v>#VALUE!</v>
      </c>
      <c r="IT249" t="e">
        <f>'Ressource Plan'!AN22+"AM:!/)T"</f>
        <v>#VALUE!</v>
      </c>
      <c r="IU249" s="105" t="e">
        <f>'Ressource Plan'!AO22+"AM:!/)U"</f>
        <v>#VALUE!</v>
      </c>
      <c r="IV249" t="e">
        <f>'Ressource Plan'!AP22+"AM:!/)V"</f>
        <v>#VALUE!</v>
      </c>
    </row>
    <row r="250" spans="6:256">
      <c r="F250" s="105" t="e">
        <f>'Ressource Plan'!AQ22+"AM:!/)W"</f>
        <v>#VALUE!</v>
      </c>
      <c r="G250" t="e">
        <f>'Ressource Plan'!AR22+"AM:!/)X"</f>
        <v>#VALUE!</v>
      </c>
      <c r="H250" s="105" t="e">
        <f>'Ressource Plan'!AS22+"AM:!/)Y"</f>
        <v>#VALUE!</v>
      </c>
      <c r="I250" t="e">
        <f>'Ressource Plan'!AT22+"AM:!/)Z"</f>
        <v>#VALUE!</v>
      </c>
      <c r="J250" s="105" t="e">
        <f>'Ressource Plan'!AU22+"AM:!/)["</f>
        <v>#VALUE!</v>
      </c>
      <c r="K250" t="e">
        <f>'Ressource Plan'!AV22+"AM:!/)\"</f>
        <v>#VALUE!</v>
      </c>
      <c r="L250" s="105" t="e">
        <f>'Ressource Plan'!AW22+"AM:!/)]"</f>
        <v>#VALUE!</v>
      </c>
      <c r="M250" t="e">
        <f>'Ressource Plan'!AX22+"AM:!/)^"</f>
        <v>#VALUE!</v>
      </c>
      <c r="N250" s="105" t="e">
        <f>'Ressource Plan'!AY22+"AM:!/)_"</f>
        <v>#VALUE!</v>
      </c>
      <c r="O250" t="e">
        <f>'Ressource Plan'!AZ22+"AM:!/)`"</f>
        <v>#VALUE!</v>
      </c>
      <c r="P250" s="105" t="e">
        <f>'Ressource Plan'!BA22+"AM:!/)a"</f>
        <v>#VALUE!</v>
      </c>
      <c r="Q250" t="e">
        <f>'Ressource Plan'!BB22+"AM:!/)b"</f>
        <v>#VALUE!</v>
      </c>
      <c r="R250" s="105" t="e">
        <f>'Ressource Plan'!BC22+"AM:!/)c"</f>
        <v>#VALUE!</v>
      </c>
      <c r="S250" t="e">
        <f>'Ressource Plan'!BD22+"AM:!/)d"</f>
        <v>#VALUE!</v>
      </c>
      <c r="T250" s="105" t="e">
        <f>'Ressource Plan'!BE22+"AM:!/)e"</f>
        <v>#VALUE!</v>
      </c>
      <c r="U250" t="e">
        <f>'Ressource Plan'!BF22+"AM:!/)f"</f>
        <v>#VALUE!</v>
      </c>
      <c r="V250" s="105" t="e">
        <f>'Ressource Plan'!BG22+"AM:!/)g"</f>
        <v>#VALUE!</v>
      </c>
      <c r="W250" t="e">
        <f>'Ressource Plan'!BH22+"AM:!/)h"</f>
        <v>#VALUE!</v>
      </c>
      <c r="X250" s="105" t="e">
        <f>'Ressource Plan'!BI22+"AM:!/)i"</f>
        <v>#VALUE!</v>
      </c>
      <c r="Y250" t="e">
        <f>'Ressource Plan'!BJ22+"AM:!/)j"</f>
        <v>#VALUE!</v>
      </c>
      <c r="Z250" s="105" t="e">
        <f>'Ressource Plan'!BK22+"AM:!/)k"</f>
        <v>#VALUE!</v>
      </c>
      <c r="AA250" t="e">
        <f>'Ressource Plan'!BL22+"AM:!/)l"</f>
        <v>#VALUE!</v>
      </c>
      <c r="AB250" s="105" t="e">
        <f>'Ressource Plan'!BM22+"AM:!/)m"</f>
        <v>#VALUE!</v>
      </c>
      <c r="AC250" t="e">
        <f>'Ressource Plan'!BN22+"AM:!/)n"</f>
        <v>#VALUE!</v>
      </c>
      <c r="AD250" s="105" t="e">
        <f>'Ressource Plan'!BO22+"AM:!/)o"</f>
        <v>#VALUE!</v>
      </c>
      <c r="AE250" t="e">
        <f>'Ressource Plan'!BP22+"AM:!/)p"</f>
        <v>#VALUE!</v>
      </c>
      <c r="AF250" s="105" t="e">
        <f>'Ressource Plan'!BQ22+"AM:!/)q"</f>
        <v>#VALUE!</v>
      </c>
      <c r="AG250" t="e">
        <f>'Ressource Plan'!BR22+"AM:!/)r"</f>
        <v>#VALUE!</v>
      </c>
      <c r="AH250" s="105" t="e">
        <f>'Ressource Plan'!BS22+"AM:!/)s"</f>
        <v>#VALUE!</v>
      </c>
      <c r="AI250" t="e">
        <f>'Ressource Plan'!BT22+"AM:!/)t"</f>
        <v>#VALUE!</v>
      </c>
      <c r="AJ250" s="105" t="e">
        <f>'Ressource Plan'!BU22+"AM:!/)u"</f>
        <v>#VALUE!</v>
      </c>
      <c r="AK250" t="e">
        <f>'Ressource Plan'!BV22+"AM:!/)v"</f>
        <v>#VALUE!</v>
      </c>
      <c r="AL250" s="105" t="e">
        <f>'Ressource Plan'!BW22+"AM:!/)w"</f>
        <v>#VALUE!</v>
      </c>
      <c r="AM250" t="e">
        <f>'Ressource Plan'!BX22+"AM:!/)x"</f>
        <v>#VALUE!</v>
      </c>
      <c r="AN250" s="105" t="e">
        <f>'Ressource Plan'!BY22+"AM:!/)y"</f>
        <v>#VALUE!</v>
      </c>
      <c r="AO250" t="e">
        <f>'Ressource Plan'!BZ22+"AM:!/)z"</f>
        <v>#VALUE!</v>
      </c>
      <c r="AP250" s="105" t="e">
        <f>'Ressource Plan'!CA22+"AM:!/){"</f>
        <v>#VALUE!</v>
      </c>
      <c r="AQ250" t="e">
        <f>'Ressource Plan'!CB22+"AM:!/)|"</f>
        <v>#VALUE!</v>
      </c>
      <c r="AR250" s="105" t="e">
        <f>'Ressource Plan'!CC22+"AM:!/)}"</f>
        <v>#VALUE!</v>
      </c>
      <c r="AS250" t="e">
        <f>'Ressource Plan'!A23+"AM:!/)~"</f>
        <v>#VALUE!</v>
      </c>
      <c r="AT250" t="e">
        <f>'Ressource Plan'!B23+"AM:!/.#"</f>
        <v>#VALUE!</v>
      </c>
      <c r="AU250" t="e">
        <f>'Ressource Plan'!C23+"AM:!/.$"</f>
        <v>#VALUE!</v>
      </c>
      <c r="AV250" t="e">
        <f>'Ressource Plan'!D23+"AM:!/.%"</f>
        <v>#VALUE!</v>
      </c>
      <c r="AW250" t="e">
        <f>'Ressource Plan'!E23+"AM:!/.&amp;"</f>
        <v>#VALUE!</v>
      </c>
      <c r="AX250" t="e">
        <f>'Ressource Plan'!F23+"AM:!/.'"</f>
        <v>#VALUE!</v>
      </c>
      <c r="AY250" s="105" t="e">
        <f>'Ressource Plan'!G23+"AM:!/.("</f>
        <v>#VALUE!</v>
      </c>
      <c r="AZ250" t="e">
        <f>'Ressource Plan'!H23+"AM:!/.)"</f>
        <v>#VALUE!</v>
      </c>
      <c r="BA250" s="105" t="e">
        <f>'Ressource Plan'!I23+"AM:!/.."</f>
        <v>#VALUE!</v>
      </c>
      <c r="BB250" t="e">
        <f>'Ressource Plan'!J23+"AM:!/./"</f>
        <v>#VALUE!</v>
      </c>
      <c r="BC250" s="105" t="e">
        <f>'Ressource Plan'!K23+"AM:!/.0"</f>
        <v>#VALUE!</v>
      </c>
      <c r="BD250" t="e">
        <f>'Ressource Plan'!L23+"AM:!/.1"</f>
        <v>#VALUE!</v>
      </c>
      <c r="BE250" s="105" t="e">
        <f>'Ressource Plan'!M23+"AM:!/.2"</f>
        <v>#VALUE!</v>
      </c>
      <c r="BF250" t="e">
        <f>'Ressource Plan'!N23+"AM:!/.3"</f>
        <v>#VALUE!</v>
      </c>
      <c r="BG250" s="105" t="e">
        <f>'Ressource Plan'!O23+"AM:!/.4"</f>
        <v>#VALUE!</v>
      </c>
      <c r="BH250" t="e">
        <f>'Ressource Plan'!P23+"AM:!/.5"</f>
        <v>#VALUE!</v>
      </c>
      <c r="BI250" s="105" t="e">
        <f>'Ressource Plan'!Q23+"AM:!/.6"</f>
        <v>#VALUE!</v>
      </c>
      <c r="BJ250" t="e">
        <f>'Ressource Plan'!R23+"AM:!/.7"</f>
        <v>#VALUE!</v>
      </c>
      <c r="BK250" s="105" t="e">
        <f>'Ressource Plan'!S23+"AM:!/.8"</f>
        <v>#VALUE!</v>
      </c>
      <c r="BL250" t="e">
        <f>'Ressource Plan'!T23+"AM:!/.9"</f>
        <v>#VALUE!</v>
      </c>
      <c r="BM250" s="105" t="e">
        <f>'Ressource Plan'!U23+"AM:!/.:"</f>
        <v>#VALUE!</v>
      </c>
      <c r="BN250" t="e">
        <f>'Ressource Plan'!V23+"AM:!/.;"</f>
        <v>#VALUE!</v>
      </c>
      <c r="BO250" s="105" t="e">
        <f>'Ressource Plan'!W23+"AM:!/.&lt;"</f>
        <v>#VALUE!</v>
      </c>
      <c r="BP250" t="e">
        <f>'Ressource Plan'!X23+"AM:!/.="</f>
        <v>#VALUE!</v>
      </c>
      <c r="BQ250" s="105" t="e">
        <f>'Ressource Plan'!Y23+"AM:!/.&gt;"</f>
        <v>#VALUE!</v>
      </c>
      <c r="BR250" t="e">
        <f>'Ressource Plan'!Z23+"AM:!/.?"</f>
        <v>#VALUE!</v>
      </c>
      <c r="BS250" s="105" t="e">
        <f>'Ressource Plan'!AA23+"AM:!/.@"</f>
        <v>#VALUE!</v>
      </c>
      <c r="BT250" t="e">
        <f>'Ressource Plan'!AB23+"AM:!/.A"</f>
        <v>#VALUE!</v>
      </c>
      <c r="BU250" s="105" t="e">
        <f>'Ressource Plan'!AC23+"AM:!/.B"</f>
        <v>#VALUE!</v>
      </c>
      <c r="BV250" t="e">
        <f>'Ressource Plan'!AD23+"AM:!/.C"</f>
        <v>#VALUE!</v>
      </c>
      <c r="BW250" s="105" t="e">
        <f>'Ressource Plan'!AE23+"AM:!/.D"</f>
        <v>#VALUE!</v>
      </c>
      <c r="BX250" t="e">
        <f>'Ressource Plan'!AF23+"AM:!/.E"</f>
        <v>#VALUE!</v>
      </c>
      <c r="BY250" s="105" t="e">
        <f>'Ressource Plan'!AG23+"AM:!/.F"</f>
        <v>#VALUE!</v>
      </c>
      <c r="BZ250" t="e">
        <f>'Ressource Plan'!AH23+"AM:!/.G"</f>
        <v>#VALUE!</v>
      </c>
      <c r="CA250" s="105" t="e">
        <f>'Ressource Plan'!AI23+"AM:!/.H"</f>
        <v>#VALUE!</v>
      </c>
      <c r="CB250" t="e">
        <f>'Ressource Plan'!AJ23+"AM:!/.I"</f>
        <v>#VALUE!</v>
      </c>
      <c r="CC250" s="105" t="e">
        <f>'Ressource Plan'!AK23+"AM:!/.J"</f>
        <v>#VALUE!</v>
      </c>
      <c r="CD250" t="e">
        <f>'Ressource Plan'!AL23+"AM:!/.K"</f>
        <v>#VALUE!</v>
      </c>
      <c r="CE250" s="105" t="e">
        <f>'Ressource Plan'!AM23+"AM:!/.L"</f>
        <v>#VALUE!</v>
      </c>
      <c r="CF250" t="e">
        <f>'Ressource Plan'!AN23+"AM:!/.M"</f>
        <v>#VALUE!</v>
      </c>
      <c r="CG250" s="105" t="e">
        <f>'Ressource Plan'!AO23+"AM:!/.N"</f>
        <v>#VALUE!</v>
      </c>
      <c r="CH250" t="e">
        <f>'Ressource Plan'!AP23+"AM:!/.O"</f>
        <v>#VALUE!</v>
      </c>
      <c r="CI250" s="105" t="e">
        <f>'Ressource Plan'!AQ23+"AM:!/.P"</f>
        <v>#VALUE!</v>
      </c>
      <c r="CJ250" t="e">
        <f>'Ressource Plan'!AR23+"AM:!/.Q"</f>
        <v>#VALUE!</v>
      </c>
      <c r="CK250" s="105" t="e">
        <f>'Ressource Plan'!AS23+"AM:!/.R"</f>
        <v>#VALUE!</v>
      </c>
      <c r="CL250" t="e">
        <f>'Ressource Plan'!AT23+"AM:!/.S"</f>
        <v>#VALUE!</v>
      </c>
      <c r="CM250" s="105" t="e">
        <f>'Ressource Plan'!AU23+"AM:!/.T"</f>
        <v>#VALUE!</v>
      </c>
      <c r="CN250" t="e">
        <f>'Ressource Plan'!AV23+"AM:!/.U"</f>
        <v>#VALUE!</v>
      </c>
      <c r="CO250" s="105" t="e">
        <f>'Ressource Plan'!AW23+"AM:!/.V"</f>
        <v>#VALUE!</v>
      </c>
      <c r="CP250" t="e">
        <f>'Ressource Plan'!AX23+"AM:!/.W"</f>
        <v>#VALUE!</v>
      </c>
      <c r="CQ250" s="105" t="e">
        <f>'Ressource Plan'!AY23+"AM:!/.X"</f>
        <v>#VALUE!</v>
      </c>
      <c r="CR250" t="e">
        <f>'Ressource Plan'!AZ23+"AM:!/.Y"</f>
        <v>#VALUE!</v>
      </c>
      <c r="CS250" s="105" t="e">
        <f>'Ressource Plan'!BA23+"AM:!/.Z"</f>
        <v>#VALUE!</v>
      </c>
      <c r="CT250" t="e">
        <f>'Ressource Plan'!BB23+"AM:!/.["</f>
        <v>#VALUE!</v>
      </c>
      <c r="CU250" s="105" t="e">
        <f>'Ressource Plan'!BC23+"AM:!/.\"</f>
        <v>#VALUE!</v>
      </c>
      <c r="CV250" t="e">
        <f>'Ressource Plan'!BD23+"AM:!/.]"</f>
        <v>#VALUE!</v>
      </c>
      <c r="CW250" s="105" t="e">
        <f>'Ressource Plan'!BE23+"AM:!/.^"</f>
        <v>#VALUE!</v>
      </c>
      <c r="CX250" t="e">
        <f>'Ressource Plan'!BF23+"AM:!/._"</f>
        <v>#VALUE!</v>
      </c>
      <c r="CY250" s="105" t="e">
        <f>'Ressource Plan'!BG23+"AM:!/.`"</f>
        <v>#VALUE!</v>
      </c>
      <c r="CZ250" t="e">
        <f>'Ressource Plan'!BH23+"AM:!/.a"</f>
        <v>#VALUE!</v>
      </c>
      <c r="DA250" s="105" t="e">
        <f>'Ressource Plan'!BI23+"AM:!/.b"</f>
        <v>#VALUE!</v>
      </c>
      <c r="DB250" t="e">
        <f>'Ressource Plan'!BJ23+"AM:!/.c"</f>
        <v>#VALUE!</v>
      </c>
      <c r="DC250" s="105" t="e">
        <f>'Ressource Plan'!BK23+"AM:!/.d"</f>
        <v>#VALUE!</v>
      </c>
      <c r="DD250" t="e">
        <f>'Ressource Plan'!BL23+"AM:!/.e"</f>
        <v>#VALUE!</v>
      </c>
      <c r="DE250" s="105" t="e">
        <f>'Ressource Plan'!BM23+"AM:!/.f"</f>
        <v>#VALUE!</v>
      </c>
      <c r="DF250" t="e">
        <f>'Ressource Plan'!BN23+"AM:!/.g"</f>
        <v>#VALUE!</v>
      </c>
      <c r="DG250" s="105" t="e">
        <f>'Ressource Plan'!BO23+"AM:!/.h"</f>
        <v>#VALUE!</v>
      </c>
      <c r="DH250" t="e">
        <f>'Ressource Plan'!BP23+"AM:!/.i"</f>
        <v>#VALUE!</v>
      </c>
      <c r="DI250" s="105" t="e">
        <f>'Ressource Plan'!BQ23+"AM:!/.j"</f>
        <v>#VALUE!</v>
      </c>
      <c r="DJ250" t="e">
        <f>'Ressource Plan'!BR23+"AM:!/.k"</f>
        <v>#VALUE!</v>
      </c>
      <c r="DK250" s="105" t="e">
        <f>'Ressource Plan'!BS23+"AM:!/.l"</f>
        <v>#VALUE!</v>
      </c>
      <c r="DL250" t="e">
        <f>'Ressource Plan'!BT23+"AM:!/.m"</f>
        <v>#VALUE!</v>
      </c>
      <c r="DM250" s="105" t="e">
        <f>'Ressource Plan'!BU23+"AM:!/.n"</f>
        <v>#VALUE!</v>
      </c>
      <c r="DN250" t="e">
        <f>'Ressource Plan'!BV23+"AM:!/.o"</f>
        <v>#VALUE!</v>
      </c>
      <c r="DO250" s="105" t="e">
        <f>'Ressource Plan'!BW23+"AM:!/.p"</f>
        <v>#VALUE!</v>
      </c>
      <c r="DP250" t="e">
        <f>'Ressource Plan'!BX23+"AM:!/.q"</f>
        <v>#VALUE!</v>
      </c>
      <c r="DQ250" s="105" t="e">
        <f>'Ressource Plan'!BY23+"AM:!/.r"</f>
        <v>#VALUE!</v>
      </c>
      <c r="DR250" t="e">
        <f>'Ressource Plan'!BZ23+"AM:!/.s"</f>
        <v>#VALUE!</v>
      </c>
      <c r="DS250" s="105" t="e">
        <f>'Ressource Plan'!CA23+"AM:!/.t"</f>
        <v>#VALUE!</v>
      </c>
      <c r="DT250" t="e">
        <f>'Ressource Plan'!CB23+"AM:!/.u"</f>
        <v>#VALUE!</v>
      </c>
      <c r="DU250" s="105" t="e">
        <f>'Ressource Plan'!CC23+"AM:!/.v"</f>
        <v>#VALUE!</v>
      </c>
      <c r="DV250" t="e">
        <f>'Ressource Plan'!A26+"AM:!/.w"</f>
        <v>#VALUE!</v>
      </c>
      <c r="DW250" t="e">
        <f>'Ressource Plan'!B26+"AM:!/.x"</f>
        <v>#VALUE!</v>
      </c>
      <c r="DX250" t="e">
        <f>'Ressource Plan'!C26+"AM:!/.y"</f>
        <v>#VALUE!</v>
      </c>
      <c r="DY250" t="e">
        <f>'Ressource Plan'!D26+"AM:!/.z"</f>
        <v>#VALUE!</v>
      </c>
      <c r="DZ250" t="e">
        <f>'Ressource Plan'!E26+"AM:!/.{"</f>
        <v>#VALUE!</v>
      </c>
      <c r="EA250" t="e">
        <f>'Ressource Plan'!F26+"AM:!/.|"</f>
        <v>#VALUE!</v>
      </c>
      <c r="EB250" t="e">
        <f>'Ressource Plan'!G26+"AM:!/.}"</f>
        <v>#VALUE!</v>
      </c>
      <c r="EC250" t="e">
        <f>'Ressource Plan'!H26+"AM:!/.~"</f>
        <v>#VALUE!</v>
      </c>
      <c r="ED250" t="e">
        <f>'Ressource Plan'!I26+"AM:!//#"</f>
        <v>#VALUE!</v>
      </c>
      <c r="EE250" t="e">
        <f>'Ressource Plan'!J26+"AM:!//$"</f>
        <v>#VALUE!</v>
      </c>
      <c r="EF250" t="e">
        <f>'Ressource Plan'!K26+"AM:!//%"</f>
        <v>#VALUE!</v>
      </c>
      <c r="EG250" t="e">
        <f>'Ressource Plan'!L26+"AM:!//&amp;"</f>
        <v>#VALUE!</v>
      </c>
      <c r="EH250" t="e">
        <f>'Ressource Plan'!M26+"AM:!//'"</f>
        <v>#VALUE!</v>
      </c>
      <c r="EI250" t="e">
        <f>'Ressource Plan'!N26+"AM:!//("</f>
        <v>#VALUE!</v>
      </c>
      <c r="EJ250" t="e">
        <f>'Ressource Plan'!O26+"AM:!//)"</f>
        <v>#VALUE!</v>
      </c>
      <c r="EK250" t="e">
        <f>'Ressource Plan'!P26+"AM:!//."</f>
        <v>#VALUE!</v>
      </c>
      <c r="EL250" t="e">
        <f>'Ressource Plan'!Q26+"AM:!///"</f>
        <v>#VALUE!</v>
      </c>
      <c r="EM250" t="e">
        <f>'Ressource Plan'!R26+"AM:!//0"</f>
        <v>#VALUE!</v>
      </c>
      <c r="EN250" t="e">
        <f>'Ressource Plan'!S26+"AM:!//1"</f>
        <v>#VALUE!</v>
      </c>
      <c r="EO250" t="e">
        <f>'Ressource Plan'!T26+"AM:!//2"</f>
        <v>#VALUE!</v>
      </c>
      <c r="EP250" t="e">
        <f>'Ressource Plan'!U26+"AM:!//3"</f>
        <v>#VALUE!</v>
      </c>
      <c r="EQ250" t="e">
        <f>'Ressource Plan'!V26+"AM:!//4"</f>
        <v>#VALUE!</v>
      </c>
      <c r="ER250" t="e">
        <f>'Ressource Plan'!W26+"AM:!//5"</f>
        <v>#VALUE!</v>
      </c>
      <c r="ES250" t="e">
        <f>'Ressource Plan'!A27+"AM:!//6"</f>
        <v>#VALUE!</v>
      </c>
      <c r="ET250" t="e">
        <f>'Ressource Plan'!B27+"AM:!//7"</f>
        <v>#VALUE!</v>
      </c>
      <c r="EU250" t="e">
        <f>'Ressource Plan'!C27+"AM:!//8"</f>
        <v>#VALUE!</v>
      </c>
      <c r="EV250" t="e">
        <f>'Ressource Plan'!D27+"AM:!//9"</f>
        <v>#VALUE!</v>
      </c>
      <c r="EW250" t="e">
        <f>'Ressource Plan'!E27+"AM:!//:"</f>
        <v>#VALUE!</v>
      </c>
      <c r="EX250" t="e">
        <f>'Ressource Plan'!F27+"AM:!//;"</f>
        <v>#VALUE!</v>
      </c>
      <c r="EY250" t="e">
        <f>'Ressource Plan'!G27+"AM:!//&lt;"</f>
        <v>#VALUE!</v>
      </c>
      <c r="EZ250" t="e">
        <f>'Ressource Plan'!H27+"AM:!//="</f>
        <v>#VALUE!</v>
      </c>
      <c r="FA250" t="e">
        <f>'Ressource Plan'!I27+"AM:!//&gt;"</f>
        <v>#VALUE!</v>
      </c>
      <c r="FB250" t="e">
        <f>'Ressource Plan'!J27+"AM:!//?"</f>
        <v>#VALUE!</v>
      </c>
      <c r="FC250" t="e">
        <f>'Ressource Plan'!L27+"AM:!//@"</f>
        <v>#VALUE!</v>
      </c>
      <c r="FD250" t="e">
        <f>'Ressource Plan'!M27+"AM:!//A"</f>
        <v>#VALUE!</v>
      </c>
      <c r="FE250" t="e">
        <f>'Ressource Plan'!N27+"AM:!//B"</f>
        <v>#VALUE!</v>
      </c>
      <c r="FF250" t="e">
        <f>'Ressource Plan'!O27+"AM:!//C"</f>
        <v>#VALUE!</v>
      </c>
      <c r="FG250" t="e">
        <f>'Ressource Plan'!#REF!+"AM:!//D"</f>
        <v>#REF!</v>
      </c>
      <c r="FH250" t="e">
        <f>'Ressource Plan'!P27+"AM:!//E"</f>
        <v>#VALUE!</v>
      </c>
      <c r="FI250" t="e">
        <f>'Ressource Plan'!Q27+"AM:!//F"</f>
        <v>#VALUE!</v>
      </c>
      <c r="FJ250" t="e">
        <f>'Ressource Plan'!R27+"AM:!//G"</f>
        <v>#VALUE!</v>
      </c>
      <c r="FK250" t="e">
        <f>'Ressource Plan'!S27+"AM:!//H"</f>
        <v>#VALUE!</v>
      </c>
      <c r="FL250" t="e">
        <f>'Ressource Plan'!T27+"AM:!//I"</f>
        <v>#VALUE!</v>
      </c>
      <c r="FM250" t="e">
        <f>'Ressource Plan'!U27+"AM:!//J"</f>
        <v>#VALUE!</v>
      </c>
      <c r="FN250" t="e">
        <f>'Ressource Plan'!V27+"AM:!//K"</f>
        <v>#VALUE!</v>
      </c>
      <c r="FO250" t="e">
        <f>'Ressource Plan'!W27+"AM:!//L"</f>
        <v>#VALUE!</v>
      </c>
      <c r="FP250" t="e">
        <f>'Ressource Plan'!A28+"AM:!//M"</f>
        <v>#VALUE!</v>
      </c>
      <c r="FQ250" t="e">
        <f>'Ressource Plan'!B28+"AM:!//N"</f>
        <v>#VALUE!</v>
      </c>
      <c r="FR250" t="e">
        <f>'Ressource Plan'!C28+"AM:!//O"</f>
        <v>#VALUE!</v>
      </c>
      <c r="FS250" t="e">
        <f>'Ressource Plan'!D28+"AM:!//P"</f>
        <v>#VALUE!</v>
      </c>
      <c r="FT250" t="e">
        <f>'Ressource Plan'!E28+"AM:!//Q"</f>
        <v>#VALUE!</v>
      </c>
      <c r="FU250" t="e">
        <f>'Ressource Plan'!F28+"AM:!//R"</f>
        <v>#VALUE!</v>
      </c>
      <c r="FV250" t="e">
        <f>'Ressource Plan'!G28+"AM:!//S"</f>
        <v>#VALUE!</v>
      </c>
      <c r="FW250" t="e">
        <f>'Ressource Plan'!H28+"AM:!//T"</f>
        <v>#VALUE!</v>
      </c>
      <c r="FX250" t="e">
        <f>'Ressource Plan'!I28+"AM:!//U"</f>
        <v>#VALUE!</v>
      </c>
      <c r="FY250" t="e">
        <f>'Ressource Plan'!J28+"AM:!//V"</f>
        <v>#VALUE!</v>
      </c>
      <c r="FZ250" t="e">
        <f>'Ressource Plan'!L28+"AM:!//W"</f>
        <v>#VALUE!</v>
      </c>
      <c r="GA250" t="e">
        <f>'Ressource Plan'!M28+"AM:!//X"</f>
        <v>#VALUE!</v>
      </c>
      <c r="GB250" t="e">
        <f>'Ressource Plan'!N28+"AM:!//Y"</f>
        <v>#VALUE!</v>
      </c>
      <c r="GC250" t="e">
        <f>'Ressource Plan'!O28+"AM:!//Z"</f>
        <v>#VALUE!</v>
      </c>
      <c r="GD250" t="e">
        <f>'Ressource Plan'!#REF!+"AM:!//["</f>
        <v>#REF!</v>
      </c>
      <c r="GE250" t="e">
        <f>'Ressource Plan'!P28+"AM:!//\"</f>
        <v>#VALUE!</v>
      </c>
      <c r="GF250" t="e">
        <f>'Ressource Plan'!Q28+"AM:!//]"</f>
        <v>#VALUE!</v>
      </c>
      <c r="GG250" t="e">
        <f>'Ressource Plan'!R28+"AM:!//^"</f>
        <v>#VALUE!</v>
      </c>
      <c r="GH250" t="e">
        <f>'Ressource Plan'!S28+"AM:!//_"</f>
        <v>#VALUE!</v>
      </c>
      <c r="GI250" t="e">
        <f>'Ressource Plan'!T28+"AM:!//`"</f>
        <v>#VALUE!</v>
      </c>
      <c r="GJ250" t="e">
        <f>'Ressource Plan'!U28+"AM:!//a"</f>
        <v>#VALUE!</v>
      </c>
      <c r="GK250" t="e">
        <f>'Ressource Plan'!V28+"AM:!//b"</f>
        <v>#VALUE!</v>
      </c>
      <c r="GL250" t="e">
        <f>'Ressource Plan'!W28+"AM:!//c"</f>
        <v>#VALUE!</v>
      </c>
      <c r="GM250" t="e">
        <f>'Ressource Plan'!A29+"AM:!//d"</f>
        <v>#VALUE!</v>
      </c>
      <c r="GN250" t="e">
        <f>'Ressource Plan'!B29+"AM:!//e"</f>
        <v>#VALUE!</v>
      </c>
      <c r="GO250" t="e">
        <f>'Ressource Plan'!C29+"AM:!//f"</f>
        <v>#VALUE!</v>
      </c>
      <c r="GP250" t="e">
        <f>'Ressource Plan'!D29+"AM:!//g"</f>
        <v>#VALUE!</v>
      </c>
      <c r="GQ250" t="e">
        <f>'Ressource Plan'!E29+"AM:!//h"</f>
        <v>#VALUE!</v>
      </c>
      <c r="GR250" t="e">
        <f>'Ressource Plan'!F29+"AM:!//i"</f>
        <v>#VALUE!</v>
      </c>
      <c r="GS250" t="e">
        <f>'Ressource Plan'!G29+"AM:!//j"</f>
        <v>#VALUE!</v>
      </c>
      <c r="GT250" t="e">
        <f>'Ressource Plan'!H29+"AM:!//k"</f>
        <v>#VALUE!</v>
      </c>
      <c r="GU250" t="e">
        <f>'Ressource Plan'!I29+"AM:!//l"</f>
        <v>#VALUE!</v>
      </c>
      <c r="GV250" t="e">
        <f>'Ressource Plan'!J29+"AM:!//m"</f>
        <v>#VALUE!</v>
      </c>
      <c r="GW250" t="e">
        <f>'Ressource Plan'!L29+"AM:!//n"</f>
        <v>#VALUE!</v>
      </c>
      <c r="GX250" s="105" t="e">
        <f>'Ressource Plan'!M29+"AM:!//o"</f>
        <v>#VALUE!</v>
      </c>
      <c r="GY250" t="e">
        <f>'Ressource Plan'!N29+"AM:!//p"</f>
        <v>#VALUE!</v>
      </c>
      <c r="GZ250" t="e">
        <f>'Ressource Plan'!O29+"AM:!//q"</f>
        <v>#VALUE!</v>
      </c>
      <c r="HA250" t="e">
        <f>'Ressource Plan'!#REF!+"AM:!//r"</f>
        <v>#REF!</v>
      </c>
      <c r="HB250" t="e">
        <f>'Ressource Plan'!P29+"AM:!//s"</f>
        <v>#VALUE!</v>
      </c>
      <c r="HC250" t="e">
        <f>'Ressource Plan'!Q29+"AM:!//t"</f>
        <v>#VALUE!</v>
      </c>
      <c r="HD250" t="e">
        <f>'Ressource Plan'!R29+"AM:!//u"</f>
        <v>#VALUE!</v>
      </c>
      <c r="HE250" t="e">
        <f>'Ressource Plan'!S29+"AM:!//v"</f>
        <v>#VALUE!</v>
      </c>
      <c r="HF250" t="e">
        <f>'Ressource Plan'!T29+"AM:!//w"</f>
        <v>#VALUE!</v>
      </c>
      <c r="HG250" t="e">
        <f>'Ressource Plan'!U29+"AM:!//x"</f>
        <v>#VALUE!</v>
      </c>
      <c r="HH250" t="e">
        <f>'Ressource Plan'!V29+"AM:!//y"</f>
        <v>#VALUE!</v>
      </c>
      <c r="HI250" t="e">
        <f>'Ressource Plan'!W29+"AM:!//z"</f>
        <v>#VALUE!</v>
      </c>
      <c r="HJ250" t="e">
        <f>'Ressource Plan'!A30+"AM:!//{"</f>
        <v>#VALUE!</v>
      </c>
      <c r="HK250" t="e">
        <f>'Ressource Plan'!B30+"AM:!//|"</f>
        <v>#VALUE!</v>
      </c>
      <c r="HL250" t="e">
        <f>'Ressource Plan'!C30+"AM:!//}"</f>
        <v>#VALUE!</v>
      </c>
      <c r="HM250" t="e">
        <f>'Ressource Plan'!D30+"AM:!//~"</f>
        <v>#VALUE!</v>
      </c>
      <c r="HN250" t="e">
        <f>'Ressource Plan'!E30+"AM:!/0#"</f>
        <v>#VALUE!</v>
      </c>
      <c r="HO250" t="e">
        <f>'Ressource Plan'!F30+"AM:!/0$"</f>
        <v>#VALUE!</v>
      </c>
      <c r="HP250" t="e">
        <f>'Ressource Plan'!G30+"AM:!/0%"</f>
        <v>#VALUE!</v>
      </c>
      <c r="HQ250" t="e">
        <f>'Ressource Plan'!H30+"AM:!/0&amp;"</f>
        <v>#VALUE!</v>
      </c>
      <c r="HR250" t="e">
        <f>'Ressource Plan'!I30+"AM:!/0'"</f>
        <v>#VALUE!</v>
      </c>
      <c r="HS250" t="e">
        <f>'Ressource Plan'!J30+"AM:!/0("</f>
        <v>#VALUE!</v>
      </c>
      <c r="HT250" t="e">
        <f>'Ressource Plan'!L30+"AM:!/0)"</f>
        <v>#VALUE!</v>
      </c>
      <c r="HU250" s="105" t="e">
        <f>'Ressource Plan'!M30+"AM:!/0."</f>
        <v>#VALUE!</v>
      </c>
      <c r="HV250" t="e">
        <f>'Ressource Plan'!N30+"AM:!/0/"</f>
        <v>#VALUE!</v>
      </c>
      <c r="HW250" t="e">
        <f>'Ressource Plan'!O30+"AM:!/00"</f>
        <v>#VALUE!</v>
      </c>
      <c r="HX250" t="e">
        <f>'Ressource Plan'!#REF!+"AM:!/01"</f>
        <v>#REF!</v>
      </c>
      <c r="HY250" t="e">
        <f>'Ressource Plan'!P30+"AM:!/02"</f>
        <v>#VALUE!</v>
      </c>
      <c r="HZ250" t="e">
        <f>'Ressource Plan'!Q30+"AM:!/03"</f>
        <v>#VALUE!</v>
      </c>
      <c r="IA250" t="e">
        <f>'Ressource Plan'!R30+"AM:!/04"</f>
        <v>#VALUE!</v>
      </c>
      <c r="IB250" t="e">
        <f>'Ressource Plan'!S30+"AM:!/05"</f>
        <v>#VALUE!</v>
      </c>
      <c r="IC250" t="e">
        <f>'Ressource Plan'!T30+"AM:!/06"</f>
        <v>#VALUE!</v>
      </c>
      <c r="ID250" t="e">
        <f>'Ressource Plan'!U30+"AM:!/07"</f>
        <v>#VALUE!</v>
      </c>
      <c r="IE250" t="e">
        <f>'Ressource Plan'!V30+"AM:!/08"</f>
        <v>#VALUE!</v>
      </c>
      <c r="IF250" t="e">
        <f>'Ressource Plan'!W30+"AM:!/09"</f>
        <v>#VALUE!</v>
      </c>
      <c r="IG250" t="e">
        <f>'Ressource Plan'!A31+"AM:!/0:"</f>
        <v>#VALUE!</v>
      </c>
      <c r="IH250" t="e">
        <f>'Ressource Plan'!B31+"AM:!/0;"</f>
        <v>#VALUE!</v>
      </c>
      <c r="II250" t="e">
        <f>'Ressource Plan'!C31+"AM:!/0&lt;"</f>
        <v>#VALUE!</v>
      </c>
      <c r="IJ250" t="e">
        <f>'Ressource Plan'!D31+"AM:!/0="</f>
        <v>#VALUE!</v>
      </c>
      <c r="IK250" t="e">
        <f>'Ressource Plan'!E31+"AM:!/0&gt;"</f>
        <v>#VALUE!</v>
      </c>
      <c r="IL250" t="e">
        <f>'Ressource Plan'!F31+"AM:!/0?"</f>
        <v>#VALUE!</v>
      </c>
      <c r="IM250" t="e">
        <f>'Ressource Plan'!G31+"AM:!/0@"</f>
        <v>#VALUE!</v>
      </c>
      <c r="IN250" t="e">
        <f>'Ressource Plan'!H31+"AM:!/0A"</f>
        <v>#VALUE!</v>
      </c>
      <c r="IO250" t="e">
        <f>'Ressource Plan'!I31+"AM:!/0B"</f>
        <v>#VALUE!</v>
      </c>
      <c r="IP250" t="e">
        <f>'Ressource Plan'!K28+"AM:!/0C"</f>
        <v>#VALUE!</v>
      </c>
      <c r="IQ250" t="e">
        <f>'Ressource Plan'!L31+"AM:!/0D"</f>
        <v>#VALUE!</v>
      </c>
      <c r="IR250" s="105" t="e">
        <f>'Ressource Plan'!M31+"AM:!/0E"</f>
        <v>#VALUE!</v>
      </c>
      <c r="IS250" t="e">
        <f>'Ressource Plan'!N31+"AM:!/0F"</f>
        <v>#VALUE!</v>
      </c>
      <c r="IT250" t="e">
        <f>'Ressource Plan'!O31+"AM:!/0G"</f>
        <v>#VALUE!</v>
      </c>
      <c r="IU250" t="e">
        <f>'Ressource Plan'!#REF!+"AM:!/0H"</f>
        <v>#REF!</v>
      </c>
      <c r="IV250" t="e">
        <f>'Ressource Plan'!P31+"AM:!/0I"</f>
        <v>#VALUE!</v>
      </c>
    </row>
    <row r="251" spans="6:256">
      <c r="F251" t="e">
        <f>'Ressource Plan'!Q31+"AM:!/0J"</f>
        <v>#VALUE!</v>
      </c>
      <c r="G251" t="e">
        <f>'Ressource Plan'!R31+"AM:!/0K"</f>
        <v>#VALUE!</v>
      </c>
      <c r="H251" t="e">
        <f>'Ressource Plan'!S31+"AM:!/0L"</f>
        <v>#VALUE!</v>
      </c>
      <c r="I251" t="e">
        <f>'Ressource Plan'!T31+"AM:!/0M"</f>
        <v>#VALUE!</v>
      </c>
      <c r="J251" t="e">
        <f>'Ressource Plan'!U31+"AM:!/0N"</f>
        <v>#VALUE!</v>
      </c>
      <c r="K251" t="e">
        <f>'Ressource Plan'!V31+"AM:!/0O"</f>
        <v>#VALUE!</v>
      </c>
      <c r="L251" t="e">
        <f>'Ressource Plan'!W31+"AM:!/0P"</f>
        <v>#VALUE!</v>
      </c>
      <c r="M251" t="e">
        <f>'Ressource Plan'!A32+"AM:!/0Q"</f>
        <v>#VALUE!</v>
      </c>
      <c r="N251" t="e">
        <f>'Ressource Plan'!B32+"AM:!/0R"</f>
        <v>#VALUE!</v>
      </c>
      <c r="O251" t="e">
        <f>'Ressource Plan'!C32+"AM:!/0S"</f>
        <v>#VALUE!</v>
      </c>
      <c r="P251" t="e">
        <f>'Ressource Plan'!D32+"AM:!/0T"</f>
        <v>#VALUE!</v>
      </c>
      <c r="Q251" t="e">
        <f>'Ressource Plan'!E32+"AM:!/0U"</f>
        <v>#VALUE!</v>
      </c>
      <c r="R251" t="e">
        <f>'Ressource Plan'!F32+"AM:!/0V"</f>
        <v>#VALUE!</v>
      </c>
      <c r="S251" t="e">
        <f>'Ressource Plan'!G32+"AM:!/0W"</f>
        <v>#VALUE!</v>
      </c>
      <c r="T251" t="e">
        <f>'Ressource Plan'!H32+"AM:!/0X"</f>
        <v>#VALUE!</v>
      </c>
      <c r="U251" t="e">
        <f>'Ressource Plan'!I32+"AM:!/0Y"</f>
        <v>#VALUE!</v>
      </c>
      <c r="V251" t="e">
        <f>'Ressource Plan'!J32+"AM:!/0Z"</f>
        <v>#VALUE!</v>
      </c>
      <c r="W251" t="e">
        <f>'Ressource Plan'!L32+"AM:!/0["</f>
        <v>#VALUE!</v>
      </c>
      <c r="X251" s="105" t="e">
        <f>'Ressource Plan'!M32+"AM:!/0\"</f>
        <v>#VALUE!</v>
      </c>
      <c r="Y251" t="e">
        <f>'Ressource Plan'!N32+"AM:!/0]"</f>
        <v>#VALUE!</v>
      </c>
      <c r="Z251" t="e">
        <f>'Ressource Plan'!O32+"AM:!/0^"</f>
        <v>#VALUE!</v>
      </c>
      <c r="AA251" t="e">
        <f>'Ressource Plan'!#REF!+"AM:!/0_"</f>
        <v>#REF!</v>
      </c>
      <c r="AB251" t="e">
        <f>'Ressource Plan'!P32+"AM:!/0`"</f>
        <v>#VALUE!</v>
      </c>
      <c r="AC251" t="e">
        <f>'Ressource Plan'!Q32+"AM:!/0a"</f>
        <v>#VALUE!</v>
      </c>
      <c r="AD251" t="e">
        <f>'Ressource Plan'!R32+"AM:!/0b"</f>
        <v>#VALUE!</v>
      </c>
      <c r="AE251" t="e">
        <f>'Ressource Plan'!S32+"AM:!/0c"</f>
        <v>#VALUE!</v>
      </c>
      <c r="AF251" t="e">
        <f>'Ressource Plan'!T32+"AM:!/0d"</f>
        <v>#VALUE!</v>
      </c>
      <c r="AG251" t="e">
        <f>'Ressource Plan'!U32+"AM:!/0e"</f>
        <v>#VALUE!</v>
      </c>
      <c r="AH251" t="e">
        <f>'Ressource Plan'!V32+"AM:!/0f"</f>
        <v>#VALUE!</v>
      </c>
      <c r="AI251" t="e">
        <f>'Ressource Plan'!W32+"AM:!/0g"</f>
        <v>#VALUE!</v>
      </c>
      <c r="AJ251" t="e">
        <f>'Ressource Plan'!A33+"AM:!/0h"</f>
        <v>#VALUE!</v>
      </c>
      <c r="AK251" t="e">
        <f>'Ressource Plan'!B33+"AM:!/0i"</f>
        <v>#VALUE!</v>
      </c>
      <c r="AL251" t="e">
        <f>'Ressource Plan'!C33+"AM:!/0j"</f>
        <v>#VALUE!</v>
      </c>
      <c r="AM251" t="e">
        <f>'Ressource Plan'!D33+"AM:!/0k"</f>
        <v>#VALUE!</v>
      </c>
      <c r="AN251" t="e">
        <f>'Ressource Plan'!E33+"AM:!/0l"</f>
        <v>#VALUE!</v>
      </c>
      <c r="AO251" t="e">
        <f>'Ressource Plan'!F33+"AM:!/0m"</f>
        <v>#VALUE!</v>
      </c>
      <c r="AP251" t="e">
        <f>'Ressource Plan'!G33+"AM:!/0n"</f>
        <v>#VALUE!</v>
      </c>
      <c r="AQ251" t="e">
        <f>'Ressource Plan'!H33+"AM:!/0o"</f>
        <v>#VALUE!</v>
      </c>
      <c r="AR251" t="e">
        <f>'Ressource Plan'!I33+"AM:!/0p"</f>
        <v>#VALUE!</v>
      </c>
      <c r="AS251" t="e">
        <f>'Ressource Plan'!J33+"AM:!/0q"</f>
        <v>#VALUE!</v>
      </c>
      <c r="AT251" t="e">
        <f>'Ressource Plan'!L33+"AM:!/0r"</f>
        <v>#VALUE!</v>
      </c>
      <c r="AU251" s="105" t="e">
        <f>'Ressource Plan'!M33+"AM:!/0s"</f>
        <v>#VALUE!</v>
      </c>
      <c r="AV251" t="e">
        <f>'Ressource Plan'!N33+"AM:!/0t"</f>
        <v>#VALUE!</v>
      </c>
      <c r="AW251" t="e">
        <f>'Ressource Plan'!O33+"AM:!/0u"</f>
        <v>#VALUE!</v>
      </c>
      <c r="AX251" t="e">
        <f>'Ressource Plan'!#REF!+"AM:!/0v"</f>
        <v>#REF!</v>
      </c>
      <c r="AY251" t="e">
        <f>'Ressource Plan'!P33+"AM:!/0w"</f>
        <v>#VALUE!</v>
      </c>
      <c r="AZ251" t="e">
        <f>'Ressource Plan'!Q33+"AM:!/0x"</f>
        <v>#VALUE!</v>
      </c>
      <c r="BA251" t="e">
        <f>'Ressource Plan'!R33+"AM:!/0y"</f>
        <v>#VALUE!</v>
      </c>
      <c r="BB251" t="e">
        <f>'Ressource Plan'!S33+"AM:!/0z"</f>
        <v>#VALUE!</v>
      </c>
      <c r="BC251" t="e">
        <f>'Ressource Plan'!T33+"AM:!/0{"</f>
        <v>#VALUE!</v>
      </c>
      <c r="BD251" t="e">
        <f>'Ressource Plan'!U33+"AM:!/0|"</f>
        <v>#VALUE!</v>
      </c>
      <c r="BE251" t="e">
        <f>'Ressource Plan'!V33+"AM:!/0}"</f>
        <v>#VALUE!</v>
      </c>
      <c r="BF251" t="e">
        <f>'Ressource Plan'!W33+"AM:!/0~"</f>
        <v>#VALUE!</v>
      </c>
      <c r="BG251" t="e">
        <f>'Ressource Plan'!A34+"AM:!/1#"</f>
        <v>#VALUE!</v>
      </c>
      <c r="BH251" t="e">
        <f>'Ressource Plan'!B34+"AM:!/1$"</f>
        <v>#VALUE!</v>
      </c>
      <c r="BI251" t="e">
        <f>'Ressource Plan'!C34+"AM:!/1%"</f>
        <v>#VALUE!</v>
      </c>
      <c r="BJ251" t="e">
        <f>'Ressource Plan'!D34+"AM:!/1&amp;"</f>
        <v>#VALUE!</v>
      </c>
      <c r="BK251" t="e">
        <f>'Ressource Plan'!E34+"AM:!/1'"</f>
        <v>#VALUE!</v>
      </c>
      <c r="BL251" t="e">
        <f>'Ressource Plan'!F34+"AM:!/1("</f>
        <v>#VALUE!</v>
      </c>
      <c r="BM251" t="e">
        <f>'Ressource Plan'!G34+"AM:!/1)"</f>
        <v>#VALUE!</v>
      </c>
      <c r="BN251" t="e">
        <f>'Ressource Plan'!H34+"AM:!/1."</f>
        <v>#VALUE!</v>
      </c>
      <c r="BO251" t="e">
        <f>'Ressource Plan'!I34+"AM:!/1/"</f>
        <v>#VALUE!</v>
      </c>
      <c r="BP251" t="e">
        <f>'Ressource Plan'!J34+"AM:!/10"</f>
        <v>#VALUE!</v>
      </c>
      <c r="BQ251" t="e">
        <f>'Ressource Plan'!L34+"AM:!/11"</f>
        <v>#VALUE!</v>
      </c>
      <c r="BR251" s="105" t="e">
        <f>'Ressource Plan'!M34+"AM:!/12"</f>
        <v>#VALUE!</v>
      </c>
      <c r="BS251" t="e">
        <f>'Ressource Plan'!N34+"AM:!/13"</f>
        <v>#VALUE!</v>
      </c>
      <c r="BT251" t="e">
        <f>'Ressource Plan'!O34+"AM:!/14"</f>
        <v>#VALUE!</v>
      </c>
      <c r="BU251" t="e">
        <f>'Ressource Plan'!#REF!+"AM:!/15"</f>
        <v>#REF!</v>
      </c>
      <c r="BV251" t="e">
        <f>'Ressource Plan'!P34+"AM:!/16"</f>
        <v>#VALUE!</v>
      </c>
      <c r="BW251" t="e">
        <f>'Ressource Plan'!Q34+"AM:!/17"</f>
        <v>#VALUE!</v>
      </c>
      <c r="BX251" t="e">
        <f>'Ressource Plan'!R34+"AM:!/18"</f>
        <v>#VALUE!</v>
      </c>
      <c r="BY251" t="e">
        <f>'Ressource Plan'!S34+"AM:!/19"</f>
        <v>#VALUE!</v>
      </c>
      <c r="BZ251" t="e">
        <f>'Ressource Plan'!T34+"AM:!/1:"</f>
        <v>#VALUE!</v>
      </c>
      <c r="CA251" t="e">
        <f>'Ressource Plan'!U34+"AM:!/1;"</f>
        <v>#VALUE!</v>
      </c>
      <c r="CB251" t="e">
        <f>'Ressource Plan'!V34+"AM:!/1&lt;"</f>
        <v>#VALUE!</v>
      </c>
      <c r="CC251" t="e">
        <f>'Ressource Plan'!W34+"AM:!/1="</f>
        <v>#VALUE!</v>
      </c>
      <c r="CD251" t="e">
        <f>'Ressource Plan'!A35+"AM:!/1&gt;"</f>
        <v>#VALUE!</v>
      </c>
      <c r="CE251" t="e">
        <f>'Ressource Plan'!B35+"AM:!/1?"</f>
        <v>#VALUE!</v>
      </c>
      <c r="CF251" t="e">
        <f>'Ressource Plan'!C35+"AM:!/1@"</f>
        <v>#VALUE!</v>
      </c>
      <c r="CG251" t="e">
        <f>'Ressource Plan'!D35+"AM:!/1A"</f>
        <v>#VALUE!</v>
      </c>
      <c r="CH251" t="e">
        <f>'Ressource Plan'!E35+"AM:!/1B"</f>
        <v>#VALUE!</v>
      </c>
      <c r="CI251" t="e">
        <f>'Ressource Plan'!F35+"AM:!/1C"</f>
        <v>#VALUE!</v>
      </c>
      <c r="CJ251" t="e">
        <f>'Ressource Plan'!G35+"AM:!/1D"</f>
        <v>#VALUE!</v>
      </c>
      <c r="CK251" t="e">
        <f>'Ressource Plan'!H35+"AM:!/1E"</f>
        <v>#VALUE!</v>
      </c>
      <c r="CL251" t="e">
        <f>'Ressource Plan'!I35+"AM:!/1F"</f>
        <v>#VALUE!</v>
      </c>
      <c r="CM251" t="e">
        <f>'Ressource Plan'!J35+"AM:!/1G"</f>
        <v>#VALUE!</v>
      </c>
      <c r="CN251" t="e">
        <f>'Ressource Plan'!L35+"AM:!/1H"</f>
        <v>#VALUE!</v>
      </c>
      <c r="CO251" s="105" t="e">
        <f>'Ressource Plan'!M35+"AM:!/1I"</f>
        <v>#VALUE!</v>
      </c>
      <c r="CP251" t="e">
        <f>'Ressource Plan'!N35+"AM:!/1J"</f>
        <v>#VALUE!</v>
      </c>
      <c r="CQ251" t="e">
        <f>'Ressource Plan'!O35+"AM:!/1K"</f>
        <v>#VALUE!</v>
      </c>
      <c r="CR251" t="e">
        <f>'Ressource Plan'!#REF!+"AM:!/1L"</f>
        <v>#REF!</v>
      </c>
      <c r="CS251" t="e">
        <f>'Ressource Plan'!P35+"AM:!/1M"</f>
        <v>#VALUE!</v>
      </c>
      <c r="CT251" t="e">
        <f>'Ressource Plan'!Q35+"AM:!/1N"</f>
        <v>#VALUE!</v>
      </c>
      <c r="CU251" t="e">
        <f>'Ressource Plan'!R35+"AM:!/1O"</f>
        <v>#VALUE!</v>
      </c>
      <c r="CV251" t="e">
        <f>'Ressource Plan'!S35+"AM:!/1P"</f>
        <v>#VALUE!</v>
      </c>
      <c r="CW251" t="e">
        <f>'Ressource Plan'!T35+"AM:!/1Q"</f>
        <v>#VALUE!</v>
      </c>
      <c r="CX251" t="e">
        <f>'Ressource Plan'!U35+"AM:!/1R"</f>
        <v>#VALUE!</v>
      </c>
      <c r="CY251" t="e">
        <f>'Ressource Plan'!V35+"AM:!/1S"</f>
        <v>#VALUE!</v>
      </c>
      <c r="CZ251" t="e">
        <f>'Ressource Plan'!W35+"AM:!/1T"</f>
        <v>#VALUE!</v>
      </c>
      <c r="DA251" t="e">
        <f>'Ressource Plan'!A36+"AM:!/1U"</f>
        <v>#VALUE!</v>
      </c>
      <c r="DB251" t="e">
        <f>'Ressource Plan'!B36+"AM:!/1V"</f>
        <v>#VALUE!</v>
      </c>
      <c r="DC251" t="e">
        <f>'Ressource Plan'!C36+"AM:!/1W"</f>
        <v>#VALUE!</v>
      </c>
      <c r="DD251" t="e">
        <f>'Ressource Plan'!D36+"AM:!/1X"</f>
        <v>#VALUE!</v>
      </c>
      <c r="DE251" t="e">
        <f>'Ressource Plan'!E36+"AM:!/1Y"</f>
        <v>#VALUE!</v>
      </c>
      <c r="DF251" t="e">
        <f>'Ressource Plan'!F36+"AM:!/1Z"</f>
        <v>#VALUE!</v>
      </c>
      <c r="DG251" t="e">
        <f>'Ressource Plan'!G36+"AM:!/1["</f>
        <v>#VALUE!</v>
      </c>
      <c r="DH251" t="e">
        <f>'Ressource Plan'!H36+"AM:!/1\"</f>
        <v>#VALUE!</v>
      </c>
      <c r="DI251" t="e">
        <f>'Ressource Plan'!I36+"AM:!/1]"</f>
        <v>#VALUE!</v>
      </c>
      <c r="DJ251" t="e">
        <f>'Ressource Plan'!J36+"AM:!/1^"</f>
        <v>#VALUE!</v>
      </c>
      <c r="DK251" t="e">
        <f>'Ressource Plan'!L36+"AM:!/1_"</f>
        <v>#VALUE!</v>
      </c>
      <c r="DL251" s="105" t="e">
        <f>'Ressource Plan'!M36+"AM:!/1`"</f>
        <v>#VALUE!</v>
      </c>
      <c r="DM251" t="e">
        <f>'Ressource Plan'!N36+"AM:!/1a"</f>
        <v>#VALUE!</v>
      </c>
      <c r="DN251" t="e">
        <f>'Ressource Plan'!O36+"AM:!/1b"</f>
        <v>#VALUE!</v>
      </c>
      <c r="DO251" t="e">
        <f>'Ressource Plan'!#REF!+"AM:!/1c"</f>
        <v>#REF!</v>
      </c>
      <c r="DP251" t="e">
        <f>'Ressource Plan'!P36+"AM:!/1d"</f>
        <v>#VALUE!</v>
      </c>
      <c r="DQ251" t="e">
        <f>'Ressource Plan'!Q36+"AM:!/1e"</f>
        <v>#VALUE!</v>
      </c>
      <c r="DR251" t="e">
        <f>'Ressource Plan'!R36+"AM:!/1f"</f>
        <v>#VALUE!</v>
      </c>
      <c r="DS251" t="e">
        <f>'Ressource Plan'!S36+"AM:!/1g"</f>
        <v>#VALUE!</v>
      </c>
      <c r="DT251" t="e">
        <f>'Ressource Plan'!T36+"AM:!/1h"</f>
        <v>#VALUE!</v>
      </c>
      <c r="DU251" t="e">
        <f>'Ressource Plan'!U36+"AM:!/1i"</f>
        <v>#VALUE!</v>
      </c>
      <c r="DV251" t="e">
        <f>'Ressource Plan'!V36+"AM:!/1j"</f>
        <v>#VALUE!</v>
      </c>
      <c r="DW251" t="e">
        <f>'Ressource Plan'!W36+"AM:!/1k"</f>
        <v>#VALUE!</v>
      </c>
      <c r="DX251" t="e">
        <f>'Ressource Plan'!X36+"AM:!/1l"</f>
        <v>#VALUE!</v>
      </c>
      <c r="DY251" t="e">
        <f>'Ressource Plan'!Y36+"AM:!/1m"</f>
        <v>#VALUE!</v>
      </c>
      <c r="DZ251" t="e">
        <f>'Ressource Plan'!L37+"AM:!/1n"</f>
        <v>#VALUE!</v>
      </c>
      <c r="EA251" s="105" t="e">
        <f>'Ressource Plan'!M37+"AM:!/1o"</f>
        <v>#VALUE!</v>
      </c>
      <c r="EB251" t="e">
        <f>'Ressource Plan'!L38+"AM:!/1p"</f>
        <v>#VALUE!</v>
      </c>
      <c r="EC251" s="105" t="e">
        <f>'Ressource Plan'!M38+"AM:!/1q"</f>
        <v>#VALUE!</v>
      </c>
      <c r="ED251" t="e">
        <f>'Ressource Plan'!L39+"AM:!/1r"</f>
        <v>#VALUE!</v>
      </c>
      <c r="EE251" s="105" t="e">
        <f>'Ressource Plan'!M39+"AM:!/1s"</f>
        <v>#VALUE!</v>
      </c>
      <c r="EF251" t="e">
        <f>'Ressource Plan'!L40+"AM:!/1t"</f>
        <v>#VALUE!</v>
      </c>
      <c r="EG251" s="105" t="e">
        <f>'Ressource Plan'!M40+"AM:!/1u"</f>
        <v>#VALUE!</v>
      </c>
      <c r="EH251" t="e">
        <f>'Ressource Plan'!L41+"AM:!/1v"</f>
        <v>#VALUE!</v>
      </c>
      <c r="EI251" s="105" t="e">
        <f>'Ressource Plan'!M41+"AM:!/1w"</f>
        <v>#VALUE!</v>
      </c>
      <c r="EJ251" t="e">
        <f>'Ressource Plan'!L42+"AM:!/1x"</f>
        <v>#VALUE!</v>
      </c>
      <c r="EK251" s="105" t="e">
        <f>'Ressource Plan'!M42+"AM:!/1y"</f>
        <v>#VALUE!</v>
      </c>
      <c r="EL251" t="e">
        <f>'Ressource Plan'!L43+"AM:!/1z"</f>
        <v>#VALUE!</v>
      </c>
      <c r="EM251" s="105" t="e">
        <f>'Ressource Plan'!M43+"AM:!/1{"</f>
        <v>#VALUE!</v>
      </c>
      <c r="EN251" t="e">
        <f>'Ressource Plan'!L44+"AM:!/1|"</f>
        <v>#VALUE!</v>
      </c>
      <c r="EO251" s="105" t="e">
        <f>'Ressource Plan'!M44+"AM:!/1}"</f>
        <v>#VALUE!</v>
      </c>
      <c r="EP251" t="e">
        <f>'Ressource Plan'!M45+"AM:!/1~"</f>
        <v>#VALUE!</v>
      </c>
      <c r="EQ251" s="98" t="e">
        <f>'Ressource Plan'!F47+"AM:!/2#"</f>
        <v>#VALUE!</v>
      </c>
      <c r="ER251" s="98" t="e">
        <f>'Ressource Plan'!G47+"AM:!/2$"</f>
        <v>#VALUE!</v>
      </c>
      <c r="ES251" s="98" t="e">
        <f>'Ressource Plan'!F48+"AM:!/2%"</f>
        <v>#VALUE!</v>
      </c>
      <c r="ET251" s="98" t="e">
        <f>'Ressource Plan'!G48+"AM:!/2&amp;"</f>
        <v>#VALUE!</v>
      </c>
      <c r="EU251" s="98" t="e">
        <f>'Ressource Plan'!F49+"AM:!/2'"</f>
        <v>#VALUE!</v>
      </c>
      <c r="EV251" s="98" t="e">
        <f>'Ressource Plan'!G49+"AM:!/2("</f>
        <v>#VALUE!</v>
      </c>
      <c r="EW251" s="98" t="e">
        <f>'Ressource Plan'!H49+"AM:!/2)"</f>
        <v>#VALUE!</v>
      </c>
      <c r="EX251" s="98" t="e">
        <f>'Ressource Plan'!I49+"AM:!/2."</f>
        <v>#VALUE!</v>
      </c>
      <c r="EY251" s="98" t="e">
        <f>'Ressource Plan'!J49+"AM:!/2/"</f>
        <v>#VALUE!</v>
      </c>
      <c r="EZ251" s="98" t="e">
        <f>'Ressource Plan'!K49+"AM:!/20"</f>
        <v>#VALUE!</v>
      </c>
      <c r="FA251" s="98" t="e">
        <f>'Ressource Plan'!L49+"AM:!/21"</f>
        <v>#VALUE!</v>
      </c>
      <c r="FB251" s="98" t="e">
        <f>'Ressource Plan'!M49+"AM:!/22"</f>
        <v>#VALUE!</v>
      </c>
      <c r="FC251" s="98" t="e">
        <f>'Ressource Plan'!N49+"AM:!/23"</f>
        <v>#VALUE!</v>
      </c>
      <c r="FD251" s="98" t="e">
        <f>'Ressource Plan'!O49+"AM:!/24"</f>
        <v>#VALUE!</v>
      </c>
      <c r="FE251" s="98" t="e">
        <f>'Ressource Plan'!P49+"AM:!/25"</f>
        <v>#VALUE!</v>
      </c>
      <c r="FF251" s="98" t="e">
        <f>'Ressource Plan'!Q49+"AM:!/26"</f>
        <v>#VALUE!</v>
      </c>
      <c r="FG251" s="98" t="e">
        <f>'Ressource Plan'!R49+"AM:!/27"</f>
        <v>#VALUE!</v>
      </c>
      <c r="FH251" s="98" t="e">
        <f>'Ressource Plan'!S49+"AM:!/28"</f>
        <v>#VALUE!</v>
      </c>
      <c r="FI251" s="98" t="e">
        <f>'Ressource Plan'!T49+"AM:!/29"</f>
        <v>#VALUE!</v>
      </c>
      <c r="FJ251" s="98" t="e">
        <f>'Ressource Plan'!U49+"AM:!/2:"</f>
        <v>#VALUE!</v>
      </c>
      <c r="FK251" s="98" t="e">
        <f>'Ressource Plan'!V49+"AM:!/2;"</f>
        <v>#VALUE!</v>
      </c>
      <c r="FL251" s="98" t="e">
        <f>'Ressource Plan'!W49+"AM:!/2&lt;"</f>
        <v>#VALUE!</v>
      </c>
      <c r="FM251" s="98" t="e">
        <f>'Ressource Plan'!X49+"AM:!/2="</f>
        <v>#VALUE!</v>
      </c>
      <c r="FN251" s="98" t="e">
        <f>'Ressource Plan'!Y49+"AM:!/2&gt;"</f>
        <v>#VALUE!</v>
      </c>
      <c r="FO251" s="98" t="e">
        <f>'Ressource Plan'!Z49+"AM:!/2?"</f>
        <v>#VALUE!</v>
      </c>
      <c r="FP251" s="98" t="e">
        <f>'Ressource Plan'!AA49+"AM:!/2@"</f>
        <v>#VALUE!</v>
      </c>
      <c r="FQ251" s="98" t="e">
        <f>'Ressource Plan'!AB49+"AM:!/2A"</f>
        <v>#VALUE!</v>
      </c>
      <c r="FR251" s="98" t="e">
        <f>'Ressource Plan'!AC49+"AM:!/2B"</f>
        <v>#VALUE!</v>
      </c>
      <c r="FS251" s="98" t="e">
        <f>'Ressource Plan'!AD49+"AM:!/2C"</f>
        <v>#VALUE!</v>
      </c>
      <c r="FT251" s="98" t="e">
        <f>'Ressource Plan'!AE49+"AM:!/2D"</f>
        <v>#VALUE!</v>
      </c>
      <c r="FU251" s="98" t="e">
        <f>'Ressource Plan'!AF49+"AM:!/2E"</f>
        <v>#VALUE!</v>
      </c>
      <c r="FV251" s="98" t="e">
        <f>'Ressource Plan'!AG49+"AM:!/2F"</f>
        <v>#VALUE!</v>
      </c>
      <c r="FW251" s="98" t="e">
        <f>'Ressource Plan'!AH49+"AM:!/2G"</f>
        <v>#VALUE!</v>
      </c>
      <c r="FX251" s="98" t="e">
        <f>'Ressource Plan'!AI49+"AM:!/2H"</f>
        <v>#VALUE!</v>
      </c>
      <c r="FY251" s="98" t="e">
        <f>'Ressource Plan'!AJ49+"AM:!/2I"</f>
        <v>#VALUE!</v>
      </c>
      <c r="FZ251" s="98" t="e">
        <f>'Ressource Plan'!AK49+"AM:!/2J"</f>
        <v>#VALUE!</v>
      </c>
      <c r="GA251" s="98" t="e">
        <f>'Ressource Plan'!AL49+"AM:!/2K"</f>
        <v>#VALUE!</v>
      </c>
      <c r="GB251" s="98" t="e">
        <f>'Ressource Plan'!AM49+"AM:!/2L"</f>
        <v>#VALUE!</v>
      </c>
      <c r="GC251" s="98" t="e">
        <f>'Ressource Plan'!AN49+"AM:!/2M"</f>
        <v>#VALUE!</v>
      </c>
      <c r="GD251" s="98" t="e">
        <f>'Ressource Plan'!AO49+"AM:!/2N"</f>
        <v>#VALUE!</v>
      </c>
      <c r="GE251" s="98" t="e">
        <f>'Ressource Plan'!AP49+"AM:!/2O"</f>
        <v>#VALUE!</v>
      </c>
      <c r="GF251" s="98" t="e">
        <f>'Ressource Plan'!AQ49+"AM:!/2P"</f>
        <v>#VALUE!</v>
      </c>
      <c r="GG251" s="98" t="e">
        <f>'Ressource Plan'!AR49+"AM:!/2Q"</f>
        <v>#VALUE!</v>
      </c>
      <c r="GH251" s="98" t="e">
        <f>'Ressource Plan'!AS49+"AM:!/2R"</f>
        <v>#VALUE!</v>
      </c>
      <c r="GI251" s="98" t="e">
        <f>'Ressource Plan'!AT49+"AM:!/2S"</f>
        <v>#VALUE!</v>
      </c>
      <c r="GJ251" s="98" t="e">
        <f>'Ressource Plan'!AU49+"AM:!/2T"</f>
        <v>#VALUE!</v>
      </c>
      <c r="GK251" s="98" t="e">
        <f>'Ressource Plan'!AV49+"AM:!/2U"</f>
        <v>#VALUE!</v>
      </c>
      <c r="GL251" s="98" t="e">
        <f>'Ressource Plan'!AW49+"AM:!/2V"</f>
        <v>#VALUE!</v>
      </c>
      <c r="GM251" s="98" t="e">
        <f>'Ressource Plan'!AX49+"AM:!/2W"</f>
        <v>#VALUE!</v>
      </c>
      <c r="GN251" s="98" t="e">
        <f>'Ressource Plan'!AY49+"AM:!/2X"</f>
        <v>#VALUE!</v>
      </c>
      <c r="GO251" s="98" t="e">
        <f>'Ressource Plan'!AZ49+"AM:!/2Y"</f>
        <v>#VALUE!</v>
      </c>
      <c r="GP251" s="98" t="e">
        <f>'Ressource Plan'!BA49+"AM:!/2Z"</f>
        <v>#VALUE!</v>
      </c>
      <c r="GQ251" s="98" t="e">
        <f>'Ressource Plan'!BB49+"AM:!/2["</f>
        <v>#VALUE!</v>
      </c>
      <c r="GR251" s="98" t="e">
        <f>'Ressource Plan'!BC49+"AM:!/2\"</f>
        <v>#VALUE!</v>
      </c>
      <c r="GS251" s="98" t="e">
        <f>'Ressource Plan'!BD49+"AM:!/2]"</f>
        <v>#VALUE!</v>
      </c>
      <c r="GT251" s="98" t="e">
        <f>'Ressource Plan'!BE49+"AM:!/2^"</f>
        <v>#VALUE!</v>
      </c>
      <c r="GU251" s="98" t="e">
        <f>'Ressource Plan'!BF49+"AM:!/2_"</f>
        <v>#VALUE!</v>
      </c>
      <c r="GV251" s="98" t="e">
        <f>'Ressource Plan'!BG49+"AM:!/2`"</f>
        <v>#VALUE!</v>
      </c>
      <c r="GW251" s="98" t="e">
        <f>'Ressource Plan'!BH49+"AM:!/2a"</f>
        <v>#VALUE!</v>
      </c>
      <c r="GX251" s="98" t="e">
        <f>'Ressource Plan'!BI49+"AM:!/2b"</f>
        <v>#VALUE!</v>
      </c>
      <c r="GY251" s="98" t="e">
        <f>'Ressource Plan'!BJ49+"AM:!/2c"</f>
        <v>#VALUE!</v>
      </c>
      <c r="GZ251" s="98" t="e">
        <f>'Ressource Plan'!BK49+"AM:!/2d"</f>
        <v>#VALUE!</v>
      </c>
      <c r="HA251" s="98" t="e">
        <f>'Ressource Plan'!BL49+"AM:!/2e"</f>
        <v>#VALUE!</v>
      </c>
      <c r="HB251" s="98" t="e">
        <f>'Ressource Plan'!BM49+"AM:!/2f"</f>
        <v>#VALUE!</v>
      </c>
      <c r="HC251" s="98" t="e">
        <f>'Ressource Plan'!BN49+"AM:!/2g"</f>
        <v>#VALUE!</v>
      </c>
      <c r="HD251" s="98" t="e">
        <f>'Ressource Plan'!BO49+"AM:!/2h"</f>
        <v>#VALUE!</v>
      </c>
      <c r="HE251" s="98" t="e">
        <f>'Ressource Plan'!BP49+"AM:!/2i"</f>
        <v>#VALUE!</v>
      </c>
      <c r="HF251" s="98" t="e">
        <f>'Ressource Plan'!BQ49+"AM:!/2j"</f>
        <v>#VALUE!</v>
      </c>
      <c r="HG251" s="98" t="e">
        <f>'Ressource Plan'!BR49+"AM:!/2k"</f>
        <v>#VALUE!</v>
      </c>
      <c r="HH251" s="98" t="e">
        <f>'Ressource Plan'!BS49+"AM:!/2l"</f>
        <v>#VALUE!</v>
      </c>
      <c r="HI251" s="98" t="e">
        <f>'Ressource Plan'!BT49+"AM:!/2m"</f>
        <v>#VALUE!</v>
      </c>
      <c r="HJ251" s="98" t="e">
        <f>'Ressource Plan'!BU49+"AM:!/2n"</f>
        <v>#VALUE!</v>
      </c>
      <c r="HK251" s="98" t="e">
        <f>'Ressource Plan'!BV49+"AM:!/2o"</f>
        <v>#VALUE!</v>
      </c>
      <c r="HL251" s="98" t="e">
        <f>'Ressource Plan'!BW49+"AM:!/2p"</f>
        <v>#VALUE!</v>
      </c>
      <c r="HM251" s="98" t="e">
        <f>'Ressource Plan'!BX49+"AM:!/2q"</f>
        <v>#VALUE!</v>
      </c>
      <c r="HN251" s="98" t="e">
        <f>'Ressource Plan'!BY49+"AM:!/2r"</f>
        <v>#VALUE!</v>
      </c>
      <c r="HO251" s="98" t="e">
        <f>'Ressource Plan'!BZ49+"AM:!/2s"</f>
        <v>#VALUE!</v>
      </c>
      <c r="HP251" s="98" t="e">
        <f>'Ressource Plan'!CA49+"AM:!/2t"</f>
        <v>#VALUE!</v>
      </c>
      <c r="HQ251" s="98" t="e">
        <f>'Ressource Plan'!CB49+"AM:!/2u"</f>
        <v>#VALUE!</v>
      </c>
      <c r="HR251" s="98" t="e">
        <f>'Ressource Plan'!CC49+"AM:!/2v"</f>
        <v>#VALUE!</v>
      </c>
      <c r="HS251" t="e">
        <f>Milestones!A:A*"AM:!/2y"</f>
        <v>#VALUE!</v>
      </c>
      <c r="HT251" t="e">
        <f>Milestones!B:B*"AM:!/2z"</f>
        <v>#VALUE!</v>
      </c>
      <c r="HU251" t="e">
        <f>Milestones!C:C*"AM:!/2{"</f>
        <v>#VALUE!</v>
      </c>
      <c r="HV251" t="e">
        <f>Milestones!D:D*"AM:!/2|"</f>
        <v>#VALUE!</v>
      </c>
      <c r="HW251" t="e">
        <f>Milestones!E:E*"AM:!/2}"</f>
        <v>#VALUE!</v>
      </c>
      <c r="HX251" t="e">
        <f>Milestones!F:F*"AM:!/2~"</f>
        <v>#VALUE!</v>
      </c>
      <c r="HY251" t="e">
        <f>Milestones!G:G*"AM:!/3#"</f>
        <v>#VALUE!</v>
      </c>
      <c r="HZ251" t="e">
        <f>Milestones!H:H*"AM:!/3$"</f>
        <v>#VALUE!</v>
      </c>
      <c r="IA251" t="e">
        <f>Milestones!I:I*"AM:!/3%"</f>
        <v>#VALUE!</v>
      </c>
      <c r="IB251" t="e">
        <f>Milestones!J:J*"AM:!/3&amp;"</f>
        <v>#VALUE!</v>
      </c>
      <c r="IC251" t="e">
        <f>Milestones!K:K*"AM:!/3'"</f>
        <v>#VALUE!</v>
      </c>
      <c r="ID251" t="e">
        <f>Milestones!L:L*"AM:!/3("</f>
        <v>#VALUE!</v>
      </c>
      <c r="IE251" t="e">
        <f>Milestones!M:M*"AM:!/3)"</f>
        <v>#VALUE!</v>
      </c>
      <c r="IF251" t="e">
        <f>Milestones!N:N*"AM:!/3."</f>
        <v>#VALUE!</v>
      </c>
      <c r="IG251" t="e">
        <f>Milestones!O:O*"AM:!/3/"</f>
        <v>#VALUE!</v>
      </c>
      <c r="IH251" t="e">
        <f>Milestones!P:P*"AM:!/30"</f>
        <v>#VALUE!</v>
      </c>
      <c r="II251" t="e">
        <f>Milestones!Q:Q*"AM:!/31"</f>
        <v>#VALUE!</v>
      </c>
      <c r="IJ251" t="e">
        <f>Milestones!R:R*"AM:!/32"</f>
        <v>#VALUE!</v>
      </c>
      <c r="IK251" t="e">
        <f>Milestones!S:S*"AM:!/33"</f>
        <v>#VALUE!</v>
      </c>
      <c r="IL251" t="e">
        <f>Milestones!T:T*"AM:!/34"</f>
        <v>#VALUE!</v>
      </c>
      <c r="IM251" t="e">
        <f>Milestones!U:U*"AM:!/35"</f>
        <v>#VALUE!</v>
      </c>
      <c r="IN251" t="e">
        <f>Milestones!V:V*"AM:!/36"</f>
        <v>#VALUE!</v>
      </c>
      <c r="IO251" t="e">
        <f>Milestones!W:W*"AM:!/37"</f>
        <v>#VALUE!</v>
      </c>
      <c r="IP251" t="e">
        <f>Milestones!X:X*"AM:!/38"</f>
        <v>#VALUE!</v>
      </c>
      <c r="IQ251" t="e">
        <f>Milestones!Y:Y*"AM:!/39"</f>
        <v>#VALUE!</v>
      </c>
      <c r="IR251" t="e">
        <f>Milestones!Z:Z*"AM:!/3:"</f>
        <v>#VALUE!</v>
      </c>
      <c r="IS251" t="e">
        <f>Milestones!AA:AA*"AM:!/3;"</f>
        <v>#VALUE!</v>
      </c>
      <c r="IT251" t="e">
        <f>Milestones!AB:AB*"AM:!/3&lt;"</f>
        <v>#VALUE!</v>
      </c>
      <c r="IU251" t="e">
        <f>Milestones!AC:AC*"AM:!/3="</f>
        <v>#VALUE!</v>
      </c>
      <c r="IV251" t="e">
        <f>Milestones!AD:AD*"AM:!/3&gt;"</f>
        <v>#VALUE!</v>
      </c>
    </row>
    <row r="252" spans="6:256">
      <c r="F252" t="e">
        <f>Milestones!AE:AE*"AM:!/3?"</f>
        <v>#VALUE!</v>
      </c>
      <c r="G252" t="e">
        <f>Milestones!AF:AF*"AM:!/3@"</f>
        <v>#VALUE!</v>
      </c>
      <c r="H252" t="e">
        <f>Milestones!AG:AG*"AM:!/3A"</f>
        <v>#VALUE!</v>
      </c>
      <c r="I252" t="e">
        <f>Milestones!AH:AH*"AM:!/3B"</f>
        <v>#VALUE!</v>
      </c>
      <c r="J252" t="e">
        <f>Milestones!AI:AI*"AM:!/3C"</f>
        <v>#VALUE!</v>
      </c>
      <c r="K252" t="e">
        <f>Milestones!AJ:AJ*"AM:!/3D"</f>
        <v>#VALUE!</v>
      </c>
      <c r="L252" t="e">
        <f>Milestones!AK:AK*"AM:!/3E"</f>
        <v>#VALUE!</v>
      </c>
      <c r="M252" t="e">
        <f>Milestones!AL:AL*"AM:!/3F"</f>
        <v>#VALUE!</v>
      </c>
      <c r="N252" t="e">
        <f>Milestones!AM:AM*"AM:!/3G"</f>
        <v>#VALUE!</v>
      </c>
      <c r="O252" t="e">
        <f>Milestones!AN:AN*"AM:!/3H"</f>
        <v>#VALUE!</v>
      </c>
      <c r="P252" t="e">
        <f>Milestones!AO:AO*"AM:!/3I"</f>
        <v>#VALUE!</v>
      </c>
      <c r="Q252" t="e">
        <f>Milestones!AP:AP*"AM:!/3J"</f>
        <v>#VALUE!</v>
      </c>
      <c r="R252" t="e">
        <f>Milestones!AQ:AQ*"AM:!/3K"</f>
        <v>#VALUE!</v>
      </c>
      <c r="S252" t="e">
        <f>Milestones!AR:AR*"AM:!/3L"</f>
        <v>#VALUE!</v>
      </c>
      <c r="T252" t="e">
        <f>Milestones!AS:AS*"AM:!/3M"</f>
        <v>#VALUE!</v>
      </c>
      <c r="U252" t="e">
        <f>Milestones!AT:AT*"AM:!/3N"</f>
        <v>#VALUE!</v>
      </c>
      <c r="V252" t="e">
        <f>Milestones!AU:AU*"AM:!/3O"</f>
        <v>#VALUE!</v>
      </c>
      <c r="W252" t="e">
        <f>Milestones!AV:AV*"AM:!/3P"</f>
        <v>#VALUE!</v>
      </c>
      <c r="X252" t="e">
        <f>Milestones!AW:AW*"AM:!/3Q"</f>
        <v>#VALUE!</v>
      </c>
      <c r="Y252" t="e">
        <f>Milestones!AX:AX*"AM:!/3R"</f>
        <v>#VALUE!</v>
      </c>
      <c r="Z252" t="e">
        <f>Milestones!AY:AY*"AM:!/3S"</f>
        <v>#VALUE!</v>
      </c>
      <c r="AA252" t="e">
        <f>Milestones!AZ:AZ*"AM:!/3T"</f>
        <v>#VALUE!</v>
      </c>
      <c r="AB252" t="e">
        <f>Milestones!BA:BA*"AM:!/3U"</f>
        <v>#VALUE!</v>
      </c>
      <c r="AC252" t="e">
        <f>Milestones!BB:BB*"AM:!/3V"</f>
        <v>#VALUE!</v>
      </c>
      <c r="AD252" t="e">
        <f>Milestones!BC:BC*"AM:!/3W"</f>
        <v>#VALUE!</v>
      </c>
      <c r="AE252" t="e">
        <f>Milestones!BD:BD*"AM:!/3X"</f>
        <v>#VALUE!</v>
      </c>
      <c r="AF252" t="e">
        <f>Milestones!BE:BE*"AM:!/3Y"</f>
        <v>#VALUE!</v>
      </c>
      <c r="AG252" t="e">
        <f>Milestones!BF:BF*"AM:!/3Z"</f>
        <v>#VALUE!</v>
      </c>
      <c r="AH252" t="e">
        <f>Milestones!BG:BG*"AM:!/3["</f>
        <v>#VALUE!</v>
      </c>
      <c r="AI252" t="e">
        <f>Milestones!BH:BH*"AM:!/3\"</f>
        <v>#VALUE!</v>
      </c>
      <c r="AJ252" t="e">
        <f>Milestones!BI:BI*"AM:!/3]"</f>
        <v>#VALUE!</v>
      </c>
      <c r="AK252" t="e">
        <f>Milestones!BJ:BJ*"AM:!/3^"</f>
        <v>#VALUE!</v>
      </c>
      <c r="AL252" t="e">
        <f>Milestones!BK:BK*"AM:!/3_"</f>
        <v>#VALUE!</v>
      </c>
      <c r="AM252" t="e">
        <f>Milestones!BL:BL*"AM:!/3`"</f>
        <v>#VALUE!</v>
      </c>
      <c r="AN252" t="e">
        <f>Milestones!BM:BM*"AM:!/3a"</f>
        <v>#VALUE!</v>
      </c>
      <c r="AO252" t="e">
        <f>Milestones!BN:BN*"AM:!/3b"</f>
        <v>#VALUE!</v>
      </c>
      <c r="AP252" t="e">
        <f>Milestones!BO:BO*"AM:!/3c"</f>
        <v>#VALUE!</v>
      </c>
      <c r="AQ252" t="e">
        <f>Milestones!BP:BP*"AM:!/3d"</f>
        <v>#VALUE!</v>
      </c>
      <c r="AR252" t="e">
        <f>Milestones!BQ:BQ*"AM:!/3e"</f>
        <v>#VALUE!</v>
      </c>
      <c r="AS252" t="e">
        <f>Milestones!BR:BR*"AM:!/3f"</f>
        <v>#VALUE!</v>
      </c>
      <c r="AT252" t="e">
        <f>Milestones!BS:BS*"AM:!/3g"</f>
        <v>#VALUE!</v>
      </c>
      <c r="AU252" t="e">
        <f>Milestones!BT:BT*"AM:!/3h"</f>
        <v>#VALUE!</v>
      </c>
      <c r="AV252" t="e">
        <f>Milestones!BU:BU*"AM:!/3i"</f>
        <v>#VALUE!</v>
      </c>
      <c r="AW252" t="e">
        <f>Milestones!BV:BV*"AM:!/3j"</f>
        <v>#VALUE!</v>
      </c>
      <c r="AX252" t="e">
        <f>Milestones!BW:BW*"AM:!/3k"</f>
        <v>#VALUE!</v>
      </c>
      <c r="AY252" t="e">
        <f>Milestones!BX:BX*"AM:!/3l"</f>
        <v>#VALUE!</v>
      </c>
      <c r="AZ252" t="e">
        <f>Milestones!BY:BY*"AM:!/3m"</f>
        <v>#VALUE!</v>
      </c>
      <c r="BA252" t="e">
        <f>Milestones!BZ:BZ*"AM:!/3n"</f>
        <v>#VALUE!</v>
      </c>
      <c r="BB252" t="e">
        <f>Milestones!CA:CA*"AM:!/3o"</f>
        <v>#VALUE!</v>
      </c>
      <c r="BC252" t="e">
        <f>Milestones!CB:CB*"AM:!/3p"</f>
        <v>#VALUE!</v>
      </c>
      <c r="BD252" t="e">
        <f>Milestones!CC:CC*"AM:!/3q"</f>
        <v>#VALUE!</v>
      </c>
      <c r="BE252" t="e">
        <f>Milestones!CD:CD*"AM:!/3r"</f>
        <v>#VALUE!</v>
      </c>
      <c r="BF252" t="e">
        <f>Milestones!CE:CE*"AM:!/3s"</f>
        <v>#VALUE!</v>
      </c>
      <c r="BG252" t="e">
        <f>Milestones!CF:CF*"AM:!/3t"</f>
        <v>#VALUE!</v>
      </c>
      <c r="BH252" t="e">
        <f>Milestones!CG:CG*"AM:!/3u"</f>
        <v>#VALUE!</v>
      </c>
      <c r="BI252" t="e">
        <f>Milestones!CH:CH*"AM:!/3v"</f>
        <v>#VALUE!</v>
      </c>
      <c r="BJ252" t="e">
        <f>Milestones!CI:CI*"AM:!/3w"</f>
        <v>#VALUE!</v>
      </c>
      <c r="BK252" t="e">
        <f>Milestones!CJ:CJ*"AM:!/3x"</f>
        <v>#VALUE!</v>
      </c>
      <c r="BL252" t="e">
        <f>Milestones!CK:CK*"AM:!/3y"</f>
        <v>#VALUE!</v>
      </c>
      <c r="BM252" t="e">
        <f>Milestones!CL:CL*"AM:!/3z"</f>
        <v>#VALUE!</v>
      </c>
      <c r="BN252" t="e">
        <f>Milestones!CM:CM*"AM:!/3{"</f>
        <v>#VALUE!</v>
      </c>
      <c r="BO252" t="e">
        <f>Milestones!CN:CN*"AM:!/3|"</f>
        <v>#VALUE!</v>
      </c>
      <c r="BP252" t="e">
        <f>Milestones!CO:CO*"AM:!/3}"</f>
        <v>#VALUE!</v>
      </c>
      <c r="BQ252" t="e">
        <f>Milestones!CP:CP*"AM:!/3~"</f>
        <v>#VALUE!</v>
      </c>
      <c r="BR252" t="e">
        <f>Milestones!CQ:CQ*"AM:!/4#"</f>
        <v>#VALUE!</v>
      </c>
      <c r="BS252" t="e">
        <f>Milestones!CR:CR*"AM:!/4$"</f>
        <v>#VALUE!</v>
      </c>
      <c r="BT252" t="e">
        <f>Milestones!1:1-"AM:!/4%"</f>
        <v>#VALUE!</v>
      </c>
      <c r="BU252" t="e">
        <f>Milestones!2:2-"AM:!/4&amp;"</f>
        <v>#VALUE!</v>
      </c>
      <c r="BV252" t="e">
        <f>Milestones!3:3-"AM:!/4'"</f>
        <v>#VALUE!</v>
      </c>
      <c r="BW252" t="e">
        <f>Milestones!4:4-"AM:!/4("</f>
        <v>#VALUE!</v>
      </c>
      <c r="BX252" t="e">
        <f>Milestones!5:5-"AM:!/4)"</f>
        <v>#VALUE!</v>
      </c>
      <c r="BY252" t="e">
        <f>Milestones!6:6-"AM:!/4."</f>
        <v>#VALUE!</v>
      </c>
      <c r="BZ252" t="e">
        <f>Milestones!7:7-"AM:!/4/"</f>
        <v>#VALUE!</v>
      </c>
      <c r="CA252" t="e">
        <f>Milestones!8:8-"AM:!/40"</f>
        <v>#VALUE!</v>
      </c>
      <c r="CB252" t="e">
        <f>Milestones!9:9-"AM:!/41"</f>
        <v>#VALUE!</v>
      </c>
      <c r="CC252" t="e">
        <f>Milestones!10:10-"AM:!/42"</f>
        <v>#VALUE!</v>
      </c>
      <c r="CD252" t="e">
        <f>Milestones!11:11-"AM:!/43"</f>
        <v>#VALUE!</v>
      </c>
      <c r="CE252" t="e">
        <f>Milestones!12:12-"AM:!/44"</f>
        <v>#VALUE!</v>
      </c>
      <c r="CF252" t="e">
        <f>Milestones!13:13-"AM:!/45"</f>
        <v>#VALUE!</v>
      </c>
      <c r="CG252" t="e">
        <f>Milestones!14:14-"AM:!/46"</f>
        <v>#VALUE!</v>
      </c>
      <c r="CH252" t="e">
        <f>Milestones!15:15-"AM:!/47"</f>
        <v>#VALUE!</v>
      </c>
      <c r="CI252" t="e">
        <f>Milestones!16:16-"AM:!/48"</f>
        <v>#VALUE!</v>
      </c>
      <c r="CJ252" t="e">
        <f>Milestones!17:17-"AM:!/49"</f>
        <v>#VALUE!</v>
      </c>
      <c r="CK252" t="e">
        <f>Milestones!18:18-"AM:!/4:"</f>
        <v>#VALUE!</v>
      </c>
      <c r="CL252" t="e">
        <f>Milestones!19:19-"AM:!/4;"</f>
        <v>#VALUE!</v>
      </c>
      <c r="CM252" t="e">
        <f>Milestones!20:20-"AM:!/4&lt;"</f>
        <v>#VALUE!</v>
      </c>
      <c r="CN252" t="e">
        <f>Milestones!21:21-"AM:!/4="</f>
        <v>#VALUE!</v>
      </c>
      <c r="CO252" t="e">
        <f>Milestones!22:22-"AM:!/4&gt;"</f>
        <v>#VALUE!</v>
      </c>
      <c r="CP252" t="e">
        <f>Milestones!23:23-"AM:!/4?"</f>
        <v>#VALUE!</v>
      </c>
      <c r="CQ252" t="e">
        <f>Milestones!24:24-"AM:!/4@"</f>
        <v>#VALUE!</v>
      </c>
      <c r="CR252" t="e">
        <f>Milestones!25:25-"AM:!/4A"</f>
        <v>#VALUE!</v>
      </c>
      <c r="CS252" t="e">
        <f>Milestones!26:26-"AM:!/4B"</f>
        <v>#VALUE!</v>
      </c>
      <c r="CT252" t="e">
        <f>Milestones!27:27-"AM:!/4C"</f>
        <v>#VALUE!</v>
      </c>
      <c r="CU252" t="e">
        <f>Milestones!28:28-"AM:!/4D"</f>
        <v>#VALUE!</v>
      </c>
      <c r="CV252" t="e">
        <f>Milestones!29:29-"AM:!/4E"</f>
        <v>#VALUE!</v>
      </c>
      <c r="CW252" t="e">
        <f>Milestones!30:30-"AM:!/4F"</f>
        <v>#VALUE!</v>
      </c>
      <c r="CX252" t="e">
        <f>Milestones!31:31-"AM:!/4G"</f>
        <v>#VALUE!</v>
      </c>
      <c r="CY252" t="e">
        <f>Milestones!32:32-"AM:!/4H"</f>
        <v>#VALUE!</v>
      </c>
      <c r="CZ252" t="e">
        <f>Milestones!33:33-"AM:!/4I"</f>
        <v>#VALUE!</v>
      </c>
      <c r="DA252" t="e">
        <f>Milestones!34:34-"AM:!/4J"</f>
        <v>#VALUE!</v>
      </c>
      <c r="DB252" t="e">
        <f>Milestones!35:35-"AM:!/4K"</f>
        <v>#VALUE!</v>
      </c>
      <c r="DC252" t="e">
        <f>Milestones!36:36-"AM:!/4L"</f>
        <v>#VALUE!</v>
      </c>
      <c r="DD252" t="e">
        <f>Milestones!37:37-"AM:!/4M"</f>
        <v>#VALUE!</v>
      </c>
      <c r="DE252" t="e">
        <f>Milestones!38:38-"AM:!/4N"</f>
        <v>#VALUE!</v>
      </c>
      <c r="DF252" t="e">
        <f>Milestones!39:39-"AM:!/4O"</f>
        <v>#VALUE!</v>
      </c>
      <c r="DG252" t="e">
        <f>Milestones!40:40-"AM:!/4P"</f>
        <v>#VALUE!</v>
      </c>
      <c r="DH252" t="e">
        <f>Milestones!41:41-"AM:!/4Q"</f>
        <v>#VALUE!</v>
      </c>
      <c r="DI252" t="e">
        <f>Milestones!42:42-"AM:!/4R"</f>
        <v>#VALUE!</v>
      </c>
      <c r="DJ252" t="e">
        <f>Milestones!43:43-"AM:!/4S"</f>
        <v>#VALUE!</v>
      </c>
      <c r="DK252" t="e">
        <f>Milestones!44:44-"AM:!/4T"</f>
        <v>#VALUE!</v>
      </c>
      <c r="DL252" t="e">
        <f>Milestones!45:45-"AM:!/4U"</f>
        <v>#VALUE!</v>
      </c>
      <c r="DM252" t="e">
        <f>Milestones!46:46-"AM:!/4V"</f>
        <v>#VALUE!</v>
      </c>
      <c r="DN252" t="e">
        <f>Milestones!47:47-"AM:!/4W"</f>
        <v>#VALUE!</v>
      </c>
      <c r="DO252" t="e">
        <f>Milestones!48:48-"AM:!/4X"</f>
        <v>#VALUE!</v>
      </c>
      <c r="DP252" t="e">
        <f>Milestones!49:49-"AM:!/4Y"</f>
        <v>#VALUE!</v>
      </c>
      <c r="DQ252" t="e">
        <f>Milestones!50:50-"AM:!/4Z"</f>
        <v>#VALUE!</v>
      </c>
      <c r="DR252" t="e">
        <f>Milestones!51:51-"AM:!/4["</f>
        <v>#VALUE!</v>
      </c>
      <c r="DS252" t="e">
        <f>Milestones!52:52-"AM:!/4\"</f>
        <v>#VALUE!</v>
      </c>
      <c r="DT252" t="e">
        <f>Milestones!53:53-"AM:!/4]"</f>
        <v>#VALUE!</v>
      </c>
      <c r="DU252" t="e">
        <f>Milestones!54:54-"AM:!/4^"</f>
        <v>#VALUE!</v>
      </c>
      <c r="DV252" t="e">
        <f>Milestones!55:55-"AM:!/4_"</f>
        <v>#VALUE!</v>
      </c>
      <c r="DW252" t="e">
        <f>Milestones!56:56-"AM:!/4`"</f>
        <v>#VALUE!</v>
      </c>
      <c r="DX252" t="e">
        <f>Milestones!57:57-"AM:!/4a"</f>
        <v>#VALUE!</v>
      </c>
      <c r="DY252" t="e">
        <f>Milestones!58:58-"AM:!/4b"</f>
        <v>#VALUE!</v>
      </c>
      <c r="DZ252" t="e">
        <f>Milestones!59:59-"AM:!/4c"</f>
        <v>#VALUE!</v>
      </c>
      <c r="EA252" t="e">
        <f>Milestones!60:60-"AM:!/4d"</f>
        <v>#VALUE!</v>
      </c>
      <c r="EB252" t="e">
        <f>Milestones!61:61-"AM:!/4e"</f>
        <v>#VALUE!</v>
      </c>
      <c r="EC252" t="e">
        <f>Milestones!62:62-"AM:!/4f"</f>
        <v>#VALUE!</v>
      </c>
      <c r="ED252" t="e">
        <f>Milestones!63:63-"AM:!/4g"</f>
        <v>#VALUE!</v>
      </c>
      <c r="EE252" t="e">
        <f>Milestones!64:64-"AM:!/4h"</f>
        <v>#VALUE!</v>
      </c>
      <c r="EF252" t="e">
        <f>Milestones!65:65-"AM:!/4i"</f>
        <v>#VALUE!</v>
      </c>
      <c r="EG252" t="e">
        <f>Milestones!66:66-"AM:!/4j"</f>
        <v>#VALUE!</v>
      </c>
      <c r="EH252" t="e">
        <f>Milestones!67:67-"AM:!/4k"</f>
        <v>#VALUE!</v>
      </c>
      <c r="EI252" t="e">
        <f>Milestones!68:68-"AM:!/4l"</f>
        <v>#VALUE!</v>
      </c>
      <c r="EJ252" t="e">
        <f>Milestones!69:69-"AM:!/4m"</f>
        <v>#VALUE!</v>
      </c>
      <c r="EK252" t="e">
        <f>Milestones!70:70-"AM:!/4n"</f>
        <v>#VALUE!</v>
      </c>
      <c r="EL252" t="e">
        <f>Milestones!71:71-"AM:!/4o"</f>
        <v>#VALUE!</v>
      </c>
      <c r="EM252" t="e">
        <f>Milestones!72:72-"AM:!/4p"</f>
        <v>#VALUE!</v>
      </c>
      <c r="EN252" t="e">
        <f>Milestones!73:73-"AM:!/4q"</f>
        <v>#VALUE!</v>
      </c>
      <c r="EO252" t="e">
        <f>Milestones!74:74-"AM:!/4r"</f>
        <v>#VALUE!</v>
      </c>
      <c r="EP252" t="e">
        <f>Milestones!75:75-"AM:!/4s"</f>
        <v>#VALUE!</v>
      </c>
      <c r="EQ252" t="e">
        <f>Milestones!76:76-"AM:!/4t"</f>
        <v>#VALUE!</v>
      </c>
      <c r="ER252" t="e">
        <f>Milestones!77:77-"AM:!/4u"</f>
        <v>#VALUE!</v>
      </c>
      <c r="ES252" t="e">
        <f>Milestones!78:78-"AM:!/4v"</f>
        <v>#VALUE!</v>
      </c>
      <c r="ET252" t="e">
        <f>Milestones!79:79-"AM:!/4w"</f>
        <v>#VALUE!</v>
      </c>
      <c r="EU252" t="e">
        <f>Milestones!80:80-"AM:!/4x"</f>
        <v>#VALUE!</v>
      </c>
      <c r="EV252" t="e">
        <f>Milestones!81:81-"AM:!/4y"</f>
        <v>#VALUE!</v>
      </c>
      <c r="EW252" t="e">
        <f>Milestones!82:82-"AM:!/4z"</f>
        <v>#VALUE!</v>
      </c>
      <c r="EX252" t="e">
        <f>Milestones!83:83-"AM:!/4{"</f>
        <v>#VALUE!</v>
      </c>
      <c r="EY252" t="e">
        <f>Milestones!84:84-"AM:!/4|"</f>
        <v>#VALUE!</v>
      </c>
      <c r="EZ252" t="e">
        <f>Milestones!85:85-"AM:!/4}"</f>
        <v>#VALUE!</v>
      </c>
      <c r="FA252" t="e">
        <f>Milestones!86:86-"AM:!/4~"</f>
        <v>#VALUE!</v>
      </c>
      <c r="FB252" t="e">
        <f>Milestones!87:87-"AM:!/5#"</f>
        <v>#VALUE!</v>
      </c>
      <c r="FC252" t="e">
        <f>Milestones!88:88-"AM:!/5$"</f>
        <v>#VALUE!</v>
      </c>
      <c r="FD252" t="e">
        <f>Milestones!89:89-"AM:!/5%"</f>
        <v>#VALUE!</v>
      </c>
      <c r="FE252" t="e">
        <f>Milestones!90:90-"AM:!/5&amp;"</f>
        <v>#VALUE!</v>
      </c>
      <c r="FF252" t="e">
        <f>Milestones!91:91-"AM:!/5'"</f>
        <v>#VALUE!</v>
      </c>
      <c r="FG252" t="e">
        <f>Milestones!92:92-"AM:!/5("</f>
        <v>#VALUE!</v>
      </c>
      <c r="FH252" t="e">
        <f>Milestones!93:93-"AM:!/5)"</f>
        <v>#VALUE!</v>
      </c>
      <c r="FI252" t="e">
        <f>Milestones!94:94-"AM:!/5."</f>
        <v>#VALUE!</v>
      </c>
      <c r="FJ252" t="e">
        <f>Milestones!95:95-"AM:!/5/"</f>
        <v>#VALUE!</v>
      </c>
      <c r="FK252" t="e">
        <f>Milestones!96:96-"AM:!/50"</f>
        <v>#VALUE!</v>
      </c>
      <c r="FL252" t="e">
        <f>Milestones!97:97-"AM:!/51"</f>
        <v>#VALUE!</v>
      </c>
      <c r="FM252" t="e">
        <f>Milestones!98:98-"AM:!/52"</f>
        <v>#VALUE!</v>
      </c>
      <c r="FN252" t="e">
        <f>Milestones!99:99-"AM:!/53"</f>
        <v>#VALUE!</v>
      </c>
      <c r="FO252" t="e">
        <f>Milestones!100:100-"AM:!/54"</f>
        <v>#VALUE!</v>
      </c>
      <c r="FP252" t="e">
        <f>Milestones!101:101-"AM:!/55"</f>
        <v>#VALUE!</v>
      </c>
      <c r="FQ252" t="e">
        <f>Milestones!102:102-"AM:!/56"</f>
        <v>#VALUE!</v>
      </c>
      <c r="FR252" t="e">
        <f>Milestones!103:103-"AM:!/57"</f>
        <v>#VALUE!</v>
      </c>
      <c r="FS252" t="e">
        <f>Milestones!104:104-"AM:!/58"</f>
        <v>#VALUE!</v>
      </c>
      <c r="FT252" t="e">
        <f>Milestones!105:105-"AM:!/59"</f>
        <v>#VALUE!</v>
      </c>
      <c r="FU252" t="e">
        <f>Milestones!106:106-"AM:!/5:"</f>
        <v>#VALUE!</v>
      </c>
      <c r="FV252" t="e">
        <f>Milestones!107:107-"AM:!/5;"</f>
        <v>#VALUE!</v>
      </c>
      <c r="FW252" t="e">
        <f>Milestones!108:108-"AM:!/5&lt;"</f>
        <v>#VALUE!</v>
      </c>
      <c r="FX252" t="e">
        <f>Milestones!109:109-"AM:!/5="</f>
        <v>#VALUE!</v>
      </c>
      <c r="FY252" t="e">
        <f>Milestones!110:110-"AM:!/5&gt;"</f>
        <v>#VALUE!</v>
      </c>
      <c r="FZ252" t="e">
        <f>Milestones!111:111-"AM:!/5?"</f>
        <v>#VALUE!</v>
      </c>
      <c r="GA252" t="e">
        <f>Milestones!112:112-"AM:!/5@"</f>
        <v>#VALUE!</v>
      </c>
      <c r="GB252" t="e">
        <f>Milestones!113:113-"AM:!/5A"</f>
        <v>#VALUE!</v>
      </c>
      <c r="GC252" t="e">
        <f>Milestones!114:114-"AM:!/5B"</f>
        <v>#VALUE!</v>
      </c>
      <c r="GD252" t="e">
        <f>Milestones!115:115-"AM:!/5C"</f>
        <v>#VALUE!</v>
      </c>
      <c r="GE252" t="e">
        <f>Milestones!116:116-"AM:!/5D"</f>
        <v>#VALUE!</v>
      </c>
      <c r="GF252" t="e">
        <f>Milestones!117:117-"AM:!/5E"</f>
        <v>#VALUE!</v>
      </c>
      <c r="GG252" t="e">
        <f>Milestones!118:118-"AM:!/5F"</f>
        <v>#VALUE!</v>
      </c>
      <c r="GH252" t="e">
        <f>Milestones!119:119-"AM:!/5G"</f>
        <v>#VALUE!</v>
      </c>
      <c r="GI252" t="e">
        <f>Milestones!120:120-"AM:!/5H"</f>
        <v>#VALUE!</v>
      </c>
      <c r="GJ252" t="e">
        <f>Milestones!121:121-"AM:!/5I"</f>
        <v>#VALUE!</v>
      </c>
      <c r="GK252" t="e">
        <f>Milestones!122:122-"AM:!/5J"</f>
        <v>#VALUE!</v>
      </c>
      <c r="GL252" t="e">
        <f>Milestones!123:123-"AM:!/5K"</f>
        <v>#VALUE!</v>
      </c>
      <c r="GM252" t="e">
        <f>Milestones!124:124-"AM:!/5L"</f>
        <v>#VALUE!</v>
      </c>
      <c r="GN252" t="e">
        <f>Milestones!125:125-"AM:!/5M"</f>
        <v>#VALUE!</v>
      </c>
      <c r="GO252" t="e">
        <f>Milestones!126:126-"AM:!/5N"</f>
        <v>#VALUE!</v>
      </c>
      <c r="GP252" t="e">
        <f>Milestones!127:127-"AM:!/5O"</f>
        <v>#VALUE!</v>
      </c>
      <c r="GQ252" t="e">
        <f>Milestones!128:128-"AM:!/5P"</f>
        <v>#VALUE!</v>
      </c>
      <c r="GR252" t="e">
        <f>Milestones!129:129-"AM:!/5Q"</f>
        <v>#VALUE!</v>
      </c>
      <c r="GS252" t="e">
        <f>Milestones!130:130-"AM:!/5R"</f>
        <v>#VALUE!</v>
      </c>
      <c r="GT252" t="e">
        <f>Milestones!131:131-"AM:!/5S"</f>
        <v>#VALUE!</v>
      </c>
      <c r="GU252" t="e">
        <f>Milestones!132:132-"AM:!/5T"</f>
        <v>#VALUE!</v>
      </c>
      <c r="GV252" t="e">
        <f>Milestones!133:133-"AM:!/5U"</f>
        <v>#VALUE!</v>
      </c>
      <c r="GW252" t="e">
        <f>Milestones!134:134-"AM:!/5V"</f>
        <v>#VALUE!</v>
      </c>
      <c r="GX252" t="e">
        <f>Milestones!135:135-"AM:!/5W"</f>
        <v>#VALUE!</v>
      </c>
      <c r="GY252" t="e">
        <f>Milestones!136:136-"AM:!/5X"</f>
        <v>#VALUE!</v>
      </c>
      <c r="GZ252" t="e">
        <f>Milestones!137:137-"AM:!/5Y"</f>
        <v>#VALUE!</v>
      </c>
      <c r="HA252" t="e">
        <f>Milestones!138:138-"AM:!/5Z"</f>
        <v>#VALUE!</v>
      </c>
      <c r="HB252" t="e">
        <f>Milestones!139:139-"AM:!/5["</f>
        <v>#VALUE!</v>
      </c>
      <c r="HC252" t="e">
        <f>Milestones!140:140-"AM:!/5\"</f>
        <v>#VALUE!</v>
      </c>
      <c r="HD252" t="e">
        <f>Milestones!141:141-"AM:!/5]"</f>
        <v>#VALUE!</v>
      </c>
      <c r="HE252" t="e">
        <f>Milestones!142:142-"AM:!/5^"</f>
        <v>#VALUE!</v>
      </c>
      <c r="HF252" t="e">
        <f>Milestones!143:143-"AM:!/5_"</f>
        <v>#VALUE!</v>
      </c>
      <c r="HG252" t="e">
        <f>Milestones!144:144-"AM:!/5`"</f>
        <v>#VALUE!</v>
      </c>
      <c r="HH252" t="e">
        <f>Milestones!145:145-"AM:!/5a"</f>
        <v>#VALUE!</v>
      </c>
      <c r="HI252" t="e">
        <f>Milestones!146:146-"AM:!/5b"</f>
        <v>#VALUE!</v>
      </c>
      <c r="HJ252" t="e">
        <f>Milestones!147:147-"AM:!/5c"</f>
        <v>#VALUE!</v>
      </c>
      <c r="HK252" t="e">
        <f>Milestones!148:148-"AM:!/5d"</f>
        <v>#VALUE!</v>
      </c>
      <c r="HL252" t="e">
        <f>Milestones!149:149-"AM:!/5e"</f>
        <v>#VALUE!</v>
      </c>
      <c r="HM252" t="e">
        <f>Milestones!150:150-"AM:!/5f"</f>
        <v>#VALUE!</v>
      </c>
      <c r="HN252" t="e">
        <f>Milestones!151:151-"AM:!/5g"</f>
        <v>#VALUE!</v>
      </c>
      <c r="HO252" t="e">
        <f>Milestones!152:152-"AM:!/5h"</f>
        <v>#VALUE!</v>
      </c>
      <c r="HP252" t="e">
        <f>Milestones!153:153-"AM:!/5i"</f>
        <v>#VALUE!</v>
      </c>
      <c r="HQ252" t="e">
        <f>Milestones!154:154-"AM:!/5j"</f>
        <v>#VALUE!</v>
      </c>
      <c r="HR252" t="e">
        <f>Milestones!155:155-"AM:!/5k"</f>
        <v>#VALUE!</v>
      </c>
      <c r="HS252" t="e">
        <f>Milestones!156:156-"AM:!/5l"</f>
        <v>#VALUE!</v>
      </c>
      <c r="HT252" t="e">
        <f>Milestones!157:157-"AM:!/5m"</f>
        <v>#VALUE!</v>
      </c>
      <c r="HU252" t="e">
        <f>Milestones!158:158-"AM:!/5n"</f>
        <v>#VALUE!</v>
      </c>
      <c r="HV252" t="e">
        <f>Milestones!159:159-"AM:!/5o"</f>
        <v>#VALUE!</v>
      </c>
      <c r="HW252" t="e">
        <f>Milestones!160:160-"AM:!/5p"</f>
        <v>#VALUE!</v>
      </c>
      <c r="HX252" t="e">
        <f>Milestones!161:161-"AM:!/5q"</f>
        <v>#VALUE!</v>
      </c>
      <c r="HY252" t="e">
        <f>Milestones!162:162-"AM:!/5r"</f>
        <v>#VALUE!</v>
      </c>
      <c r="HZ252" t="e">
        <f>Milestones!163:163-"AM:!/5s"</f>
        <v>#VALUE!</v>
      </c>
      <c r="IA252" t="e">
        <f>Milestones!164:164-"AM:!/5t"</f>
        <v>#VALUE!</v>
      </c>
      <c r="IB252" t="e">
        <f>Milestones!165:165-"AM:!/5u"</f>
        <v>#VALUE!</v>
      </c>
      <c r="IC252" t="e">
        <f>Milestones!166:166-"AM:!/5v"</f>
        <v>#VALUE!</v>
      </c>
      <c r="ID252" t="e">
        <f>Milestones!167:167-"AM:!/5w"</f>
        <v>#VALUE!</v>
      </c>
      <c r="IE252" t="e">
        <f>Milestones!168:168-"AM:!/5x"</f>
        <v>#VALUE!</v>
      </c>
      <c r="IF252" t="e">
        <f>Milestones!169:169-"AM:!/5y"</f>
        <v>#VALUE!</v>
      </c>
      <c r="IG252" t="e">
        <f>Milestones!170:170-"AM:!/5z"</f>
        <v>#VALUE!</v>
      </c>
      <c r="IH252" t="e">
        <f>Milestones!171:171-"AM:!/5{"</f>
        <v>#VALUE!</v>
      </c>
      <c r="II252" t="e">
        <f>Milestones!172:172-"AM:!/5|"</f>
        <v>#VALUE!</v>
      </c>
      <c r="IJ252" t="e">
        <f>Milestones!173:173-"AM:!/5}"</f>
        <v>#VALUE!</v>
      </c>
      <c r="IK252" t="e">
        <f>Milestones!174:174-"AM:!/5~"</f>
        <v>#VALUE!</v>
      </c>
      <c r="IL252" t="e">
        <f>Milestones!175:175-"AM:!/6#"</f>
        <v>#VALUE!</v>
      </c>
      <c r="IM252" t="e">
        <f>Milestones!176:176-"AM:!/6$"</f>
        <v>#VALUE!</v>
      </c>
      <c r="IN252" t="e">
        <f>Milestones!177:177-"AM:!/6%"</f>
        <v>#VALUE!</v>
      </c>
      <c r="IO252" t="e">
        <f>Milestones!178:178-"AM:!/6&amp;"</f>
        <v>#VALUE!</v>
      </c>
      <c r="IP252" t="e">
        <f>Milestones!179:179-"AM:!/6'"</f>
        <v>#VALUE!</v>
      </c>
      <c r="IQ252" t="e">
        <f>Milestones!180:180-"AM:!/6("</f>
        <v>#VALUE!</v>
      </c>
      <c r="IR252" t="e">
        <f>Milestones!181:181-"AM:!/6)"</f>
        <v>#VALUE!</v>
      </c>
      <c r="IS252" t="e">
        <f>Milestones!182:182-"AM:!/6."</f>
        <v>#VALUE!</v>
      </c>
      <c r="IT252" t="e">
        <f>Milestones!183:183-"AM:!/6/"</f>
        <v>#VALUE!</v>
      </c>
      <c r="IU252" t="e">
        <f>Milestones!184:184-"AM:!/60"</f>
        <v>#VALUE!</v>
      </c>
      <c r="IV252" t="e">
        <f>Milestones!185:185-"AM:!/61"</f>
        <v>#VALUE!</v>
      </c>
    </row>
    <row r="253" spans="6:256">
      <c r="F253" t="e">
        <f>Milestones!186:186-"AM:!/62"</f>
        <v>#VALUE!</v>
      </c>
      <c r="G253" t="e">
        <f>Milestones!187:187-"AM:!/63"</f>
        <v>#VALUE!</v>
      </c>
      <c r="H253" t="e">
        <f>Milestones!188:188-"AM:!/64"</f>
        <v>#VALUE!</v>
      </c>
      <c r="I253" t="e">
        <f>Milestones!189:189-"AM:!/65"</f>
        <v>#VALUE!</v>
      </c>
      <c r="J253" t="e">
        <f>Milestones!190:190-"AM:!/66"</f>
        <v>#VALUE!</v>
      </c>
      <c r="K253" t="e">
        <f>Milestones!191:191-"AM:!/67"</f>
        <v>#VALUE!</v>
      </c>
      <c r="L253" t="e">
        <f>Milestones!192:192-"AM:!/68"</f>
        <v>#VALUE!</v>
      </c>
      <c r="M253" t="e">
        <f>Milestones!193:193-"AM:!/69"</f>
        <v>#VALUE!</v>
      </c>
      <c r="N253" t="e">
        <f>Milestones!194:194-"AM:!/6:"</f>
        <v>#VALUE!</v>
      </c>
      <c r="O253" t="e">
        <f>Milestones!195:195-"AM:!/6;"</f>
        <v>#VALUE!</v>
      </c>
      <c r="P253" t="e">
        <f>Milestones!196:196-"AM:!/6&lt;"</f>
        <v>#VALUE!</v>
      </c>
      <c r="Q253" t="e">
        <f>Milestones!197:197-"AM:!/6="</f>
        <v>#VALUE!</v>
      </c>
      <c r="R253" t="e">
        <f>Milestones!198:198-"AM:!/6&gt;"</f>
        <v>#VALUE!</v>
      </c>
      <c r="S253" t="e">
        <f>Milestones!199:199-"AM:!/6?"</f>
        <v>#VALUE!</v>
      </c>
      <c r="T253" t="e">
        <f>Milestones!200:200-"AM:!/6@"</f>
        <v>#VALUE!</v>
      </c>
      <c r="U253" t="e">
        <f>Milestones!201:201-"AM:!/6A"</f>
        <v>#VALUE!</v>
      </c>
      <c r="V253" t="e">
        <f>Milestones!202:202-"AM:!/6B"</f>
        <v>#VALUE!</v>
      </c>
      <c r="W253" t="e">
        <f>Milestones!203:203-"AM:!/6C"</f>
        <v>#VALUE!</v>
      </c>
      <c r="X253" t="e">
        <f>Milestones!204:204-"AM:!/6D"</f>
        <v>#VALUE!</v>
      </c>
      <c r="Y253" t="e">
        <f>Milestones!205:205-"AM:!/6E"</f>
        <v>#VALUE!</v>
      </c>
      <c r="Z253" t="e">
        <f>Milestones!206:206-"AM:!/6F"</f>
        <v>#VALUE!</v>
      </c>
      <c r="AA253" t="e">
        <f>Milestones!207:207-"AM:!/6G"</f>
        <v>#VALUE!</v>
      </c>
      <c r="AB253" t="e">
        <f>Milestones!208:208-"AM:!/6H"</f>
        <v>#VALUE!</v>
      </c>
      <c r="AC253" t="e">
        <f>Milestones!209:209-"AM:!/6I"</f>
        <v>#VALUE!</v>
      </c>
      <c r="AD253" t="e">
        <f>Milestones!210:210-"AM:!/6J"</f>
        <v>#VALUE!</v>
      </c>
      <c r="AE253" t="e">
        <f>Milestones!211:211-"AM:!/6K"</f>
        <v>#VALUE!</v>
      </c>
      <c r="AF253" t="e">
        <f>Milestones!212:212-"AM:!/6L"</f>
        <v>#VALUE!</v>
      </c>
      <c r="AG253" t="e">
        <f>Milestones!213:213-"AM:!/6M"</f>
        <v>#VALUE!</v>
      </c>
      <c r="AH253" t="e">
        <f>Milestones!214:214-"AM:!/6N"</f>
        <v>#VALUE!</v>
      </c>
      <c r="AI253" t="e">
        <f>Milestones!215:215-"AM:!/6O"</f>
        <v>#VALUE!</v>
      </c>
      <c r="AJ253" t="e">
        <f>Milestones!216:216-"AM:!/6P"</f>
        <v>#VALUE!</v>
      </c>
      <c r="AK253" t="e">
        <f>Milestones!217:217-"AM:!/6Q"</f>
        <v>#VALUE!</v>
      </c>
      <c r="AL253" t="e">
        <f>Milestones!218:218-"AM:!/6R"</f>
        <v>#VALUE!</v>
      </c>
      <c r="AM253" t="e">
        <f>Milestones!219:219-"AM:!/6S"</f>
        <v>#VALUE!</v>
      </c>
      <c r="AN253" t="e">
        <f>Milestones!220:220-"AM:!/6T"</f>
        <v>#VALUE!</v>
      </c>
      <c r="AO253" t="e">
        <f>Milestones!221:221-"AM:!/6U"</f>
        <v>#VALUE!</v>
      </c>
      <c r="AP253" t="e">
        <f>Milestones!222:222-"AM:!/6V"</f>
        <v>#VALUE!</v>
      </c>
      <c r="AQ253" t="e">
        <f>Milestones!223:223-"AM:!/6W"</f>
        <v>#VALUE!</v>
      </c>
      <c r="AR253" t="e">
        <f>Milestones!224:224-"AM:!/6X"</f>
        <v>#VALUE!</v>
      </c>
      <c r="AS253" t="e">
        <f>Milestones!225:225-"AM:!/6Y"</f>
        <v>#VALUE!</v>
      </c>
      <c r="AT253" t="e">
        <f>Milestones!226:226-"AM:!/6Z"</f>
        <v>#VALUE!</v>
      </c>
      <c r="AU253" t="e">
        <f>Milestones!227:227-"AM:!/6["</f>
        <v>#VALUE!</v>
      </c>
      <c r="AV253" t="e">
        <f>Milestones!228:228-"AM:!/6\"</f>
        <v>#VALUE!</v>
      </c>
      <c r="AW253" t="e">
        <f>Milestones!229:229-"AM:!/6]"</f>
        <v>#VALUE!</v>
      </c>
      <c r="AX253" t="e">
        <f>Milestones!230:230-"AM:!/6^"</f>
        <v>#VALUE!</v>
      </c>
      <c r="AY253" t="e">
        <f>Milestones!231:231-"AM:!/6_"</f>
        <v>#VALUE!</v>
      </c>
      <c r="AZ253" t="e">
        <f>Milestones!232:232-"AM:!/6`"</f>
        <v>#VALUE!</v>
      </c>
      <c r="BA253" t="e">
        <f>Milestones!233:233-"AM:!/6a"</f>
        <v>#VALUE!</v>
      </c>
      <c r="BB253" t="e">
        <f>Milestones!234:234-"AM:!/6b"</f>
        <v>#VALUE!</v>
      </c>
      <c r="BC253" t="e">
        <f>Milestones!235:235-"AM:!/6c"</f>
        <v>#VALUE!</v>
      </c>
      <c r="BD253" t="e">
        <f>Milestones!236:236-"AM:!/6d"</f>
        <v>#VALUE!</v>
      </c>
      <c r="BE253" t="e">
        <f>Milestones!237:237-"AM:!/6e"</f>
        <v>#VALUE!</v>
      </c>
      <c r="BF253" t="e">
        <f>Milestones!238:238-"AM:!/6f"</f>
        <v>#VALUE!</v>
      </c>
      <c r="BG253" t="e">
        <f>Milestones!239:239-"AM:!/6g"</f>
        <v>#VALUE!</v>
      </c>
      <c r="BH253" t="e">
        <f>Milestones!240:240-"AM:!/6h"</f>
        <v>#VALUE!</v>
      </c>
      <c r="BI253" t="e">
        <f>Milestones!241:241-"AM:!/6i"</f>
        <v>#VALUE!</v>
      </c>
      <c r="BJ253" t="e">
        <f>Milestones!242:242-"AM:!/6j"</f>
        <v>#VALUE!</v>
      </c>
      <c r="BK253" t="e">
        <f>Milestones!243:243-"AM:!/6k"</f>
        <v>#VALUE!</v>
      </c>
      <c r="BL253" t="e">
        <f>Milestones!244:244-"AM:!/6l"</f>
        <v>#VALUE!</v>
      </c>
      <c r="BM253" t="e">
        <f>Milestones!245:245-"AM:!/6m"</f>
        <v>#VALUE!</v>
      </c>
      <c r="BN253" t="e">
        <f>Milestones!246:246-"AM:!/6n"</f>
        <v>#VALUE!</v>
      </c>
      <c r="BO253" t="e">
        <f>Milestones!A1+"AM:!/6o"</f>
        <v>#VALUE!</v>
      </c>
      <c r="BP253" t="e">
        <f>Milestones!B1+"AM:!/6p"</f>
        <v>#VALUE!</v>
      </c>
      <c r="BQ253" t="e">
        <f>Milestones!C1+"AM:!/6q"</f>
        <v>#VALUE!</v>
      </c>
      <c r="BR253" t="e">
        <f>Milestones!D1+"AM:!/6r"</f>
        <v>#VALUE!</v>
      </c>
      <c r="BS253" t="e">
        <f>Milestones!E1+"AM:!/6s"</f>
        <v>#VALUE!</v>
      </c>
      <c r="BT253" t="e">
        <f>Milestones!F1+"AM:!/6t"</f>
        <v>#VALUE!</v>
      </c>
      <c r="BU253" t="e">
        <f>Milestones!G1+"AM:!/6u"</f>
        <v>#VALUE!</v>
      </c>
      <c r="BV253" t="e">
        <f>Milestones!H1+"AM:!/6v"</f>
        <v>#VALUE!</v>
      </c>
      <c r="BW253" t="e">
        <f>Milestones!I1+"AM:!/6w"</f>
        <v>#VALUE!</v>
      </c>
      <c r="BX253" t="e">
        <f>Milestones!J1+"AM:!/6x"</f>
        <v>#VALUE!</v>
      </c>
      <c r="BY253" t="e">
        <f>Milestones!K1+"AM:!/6y"</f>
        <v>#VALUE!</v>
      </c>
      <c r="BZ253" t="e">
        <f>Milestones!L1+"AM:!/6z"</f>
        <v>#VALUE!</v>
      </c>
      <c r="CA253" t="e">
        <f>Milestones!M1+"AM:!/6{"</f>
        <v>#VALUE!</v>
      </c>
      <c r="CB253" t="e">
        <f>Milestones!N1+"AM:!/6|"</f>
        <v>#VALUE!</v>
      </c>
      <c r="CC253" t="e">
        <f>Milestones!O1+"AM:!/6}"</f>
        <v>#VALUE!</v>
      </c>
      <c r="CD253" t="e">
        <f>Milestones!P1+"AM:!/6~"</f>
        <v>#VALUE!</v>
      </c>
      <c r="CE253" t="e">
        <f>Milestones!Q1+"AM:!/7#"</f>
        <v>#VALUE!</v>
      </c>
      <c r="CF253" t="e">
        <f>Milestones!R1+"AM:!/7$"</f>
        <v>#VALUE!</v>
      </c>
      <c r="CG253" t="e">
        <f>Milestones!S1+"AM:!/7%"</f>
        <v>#VALUE!</v>
      </c>
      <c r="CH253" t="e">
        <f>Milestones!T1+"AM:!/7&amp;"</f>
        <v>#VALUE!</v>
      </c>
      <c r="CI253" t="e">
        <f>Milestones!A2+"AM:!/7'"</f>
        <v>#VALUE!</v>
      </c>
      <c r="CJ253" t="e">
        <f>Milestones!B2+"AM:!/7("</f>
        <v>#VALUE!</v>
      </c>
      <c r="CK253" t="e">
        <f>Milestones!C2+"AM:!/7)"</f>
        <v>#VALUE!</v>
      </c>
      <c r="CL253" t="e">
        <f>Milestones!D2+"AM:!/7."</f>
        <v>#VALUE!</v>
      </c>
      <c r="CM253" t="e">
        <f>Milestones!E2+"AM:!/7/"</f>
        <v>#VALUE!</v>
      </c>
      <c r="CN253" t="e">
        <f>Milestones!F2+"AM:!/70"</f>
        <v>#VALUE!</v>
      </c>
      <c r="CO253" t="e">
        <f>Milestones!H2+"AM:!/71"</f>
        <v>#VALUE!</v>
      </c>
      <c r="CP253" t="e">
        <f>Milestones!I2+"AM:!/72"</f>
        <v>#VALUE!</v>
      </c>
      <c r="CQ253" t="e">
        <f>Milestones!J2+"AM:!/73"</f>
        <v>#VALUE!</v>
      </c>
      <c r="CR253" t="e">
        <f>Milestones!K2+"AM:!/74"</f>
        <v>#VALUE!</v>
      </c>
      <c r="CS253" t="e">
        <f>Milestones!L2+"AM:!/75"</f>
        <v>#VALUE!</v>
      </c>
      <c r="CT253" t="e">
        <f>Milestones!M2+"AM:!/76"</f>
        <v>#VALUE!</v>
      </c>
      <c r="CU253" t="e">
        <f>Milestones!N2+"AM:!/77"</f>
        <v>#VALUE!</v>
      </c>
      <c r="CV253" t="e">
        <f>Milestones!O2+"AM:!/78"</f>
        <v>#VALUE!</v>
      </c>
      <c r="CW253" t="e">
        <f>Milestones!P2+"AM:!/79"</f>
        <v>#VALUE!</v>
      </c>
      <c r="CX253" t="e">
        <f>Milestones!Q2+"AM:!/7:"</f>
        <v>#VALUE!</v>
      </c>
      <c r="CY253" t="e">
        <f>Milestones!R2+"AM:!/7;"</f>
        <v>#VALUE!</v>
      </c>
      <c r="CZ253" t="e">
        <f>Milestones!S2+"AM:!/7&lt;"</f>
        <v>#VALUE!</v>
      </c>
      <c r="DA253" t="e">
        <f>Milestones!T2+"AM:!/7="</f>
        <v>#VALUE!</v>
      </c>
      <c r="DB253" t="e">
        <f>Milestones!A3+"AM:!/7&gt;"</f>
        <v>#VALUE!</v>
      </c>
      <c r="DC253" t="e">
        <f>Milestones!B3+"AM:!/7?"</f>
        <v>#VALUE!</v>
      </c>
      <c r="DD253" t="e">
        <f>Milestones!C3+"AM:!/7@"</f>
        <v>#VALUE!</v>
      </c>
      <c r="DE253" t="e">
        <f>Milestones!D3+"AM:!/7A"</f>
        <v>#VALUE!</v>
      </c>
      <c r="DF253" t="e">
        <f>Milestones!E3+"AM:!/7B"</f>
        <v>#VALUE!</v>
      </c>
      <c r="DG253" t="e">
        <f>Milestones!F3+"AM:!/7C"</f>
        <v>#VALUE!</v>
      </c>
      <c r="DH253" t="e">
        <f>Milestones!H3+"AM:!/7D"</f>
        <v>#VALUE!</v>
      </c>
      <c r="DI253" t="e">
        <f>Milestones!I3+"AM:!/7E"</f>
        <v>#VALUE!</v>
      </c>
      <c r="DJ253" t="e">
        <f>Milestones!J3+"AM:!/7F"</f>
        <v>#VALUE!</v>
      </c>
      <c r="DK253" t="e">
        <f>Milestones!K3+"AM:!/7G"</f>
        <v>#VALUE!</v>
      </c>
      <c r="DL253" t="e">
        <f>Milestones!L3+"AM:!/7H"</f>
        <v>#VALUE!</v>
      </c>
      <c r="DM253" t="e">
        <f>Milestones!M3+"AM:!/7I"</f>
        <v>#VALUE!</v>
      </c>
      <c r="DN253" t="e">
        <f>Milestones!N3+"AM:!/7J"</f>
        <v>#VALUE!</v>
      </c>
      <c r="DO253" t="e">
        <f>Milestones!O3+"AM:!/7K"</f>
        <v>#VALUE!</v>
      </c>
      <c r="DP253" t="e">
        <f>Milestones!P3+"AM:!/7L"</f>
        <v>#VALUE!</v>
      </c>
      <c r="DQ253" t="e">
        <f>Milestones!Q3+"AM:!/7M"</f>
        <v>#VALUE!</v>
      </c>
      <c r="DR253" t="e">
        <f>Milestones!R3+"AM:!/7N"</f>
        <v>#VALUE!</v>
      </c>
      <c r="DS253" t="e">
        <f>Milestones!S3+"AM:!/7O"</f>
        <v>#VALUE!</v>
      </c>
      <c r="DT253" t="e">
        <f>Milestones!T3+"AM:!/7P"</f>
        <v>#VALUE!</v>
      </c>
      <c r="DU253" t="e">
        <f>Milestones!A4+"AM:!/7Q"</f>
        <v>#VALUE!</v>
      </c>
      <c r="DV253" t="e">
        <f>Milestones!B4+"AM:!/7R"</f>
        <v>#VALUE!</v>
      </c>
      <c r="DW253" t="e">
        <f>Milestones!C4+"AM:!/7S"</f>
        <v>#VALUE!</v>
      </c>
      <c r="DX253" t="e">
        <f>Milestones!D4+"AM:!/7T"</f>
        <v>#VALUE!</v>
      </c>
      <c r="DY253" t="e">
        <f>Milestones!E4+"AM:!/7U"</f>
        <v>#VALUE!</v>
      </c>
      <c r="DZ253" t="e">
        <f>Milestones!F4+"AM:!/7V"</f>
        <v>#VALUE!</v>
      </c>
      <c r="EA253" t="e">
        <f>Milestones!G4+"AM:!/7W"</f>
        <v>#VALUE!</v>
      </c>
      <c r="EB253" t="e">
        <f>Milestones!H4+"AM:!/7X"</f>
        <v>#VALUE!</v>
      </c>
      <c r="EC253" t="e">
        <f>Milestones!I4+"AM:!/7Y"</f>
        <v>#VALUE!</v>
      </c>
      <c r="ED253" t="e">
        <f>Milestones!J4+"AM:!/7Z"</f>
        <v>#VALUE!</v>
      </c>
      <c r="EE253" t="e">
        <f>Milestones!K4+"AM:!/7["</f>
        <v>#VALUE!</v>
      </c>
      <c r="EF253" t="e">
        <f>Milestones!L4+"AM:!/7\"</f>
        <v>#VALUE!</v>
      </c>
      <c r="EG253" t="e">
        <f>Milestones!M4+"AM:!/7]"</f>
        <v>#VALUE!</v>
      </c>
      <c r="EH253" t="e">
        <f>Milestones!N4+"AM:!/7^"</f>
        <v>#VALUE!</v>
      </c>
      <c r="EI253" t="e">
        <f>Milestones!O4+"AM:!/7_"</f>
        <v>#VALUE!</v>
      </c>
      <c r="EJ253" t="e">
        <f>Milestones!P4+"AM:!/7`"</f>
        <v>#VALUE!</v>
      </c>
      <c r="EK253" t="e">
        <f>Milestones!Q4+"AM:!/7a"</f>
        <v>#VALUE!</v>
      </c>
      <c r="EL253" t="e">
        <f>Milestones!R4+"AM:!/7b"</f>
        <v>#VALUE!</v>
      </c>
      <c r="EM253" t="e">
        <f>Milestones!S4+"AM:!/7c"</f>
        <v>#VALUE!</v>
      </c>
      <c r="EN253" t="e">
        <f>Milestones!T4+"AM:!/7d"</f>
        <v>#VALUE!</v>
      </c>
      <c r="EO253" t="e">
        <f>Milestones!A5+"AM:!/7e"</f>
        <v>#VALUE!</v>
      </c>
      <c r="EP253" t="e">
        <f>Milestones!B5+"AM:!/7f"</f>
        <v>#VALUE!</v>
      </c>
      <c r="EQ253" t="e">
        <f>Milestones!C5+"AM:!/7g"</f>
        <v>#VALUE!</v>
      </c>
      <c r="ER253" t="e">
        <f>Milestones!D5+"AM:!/7h"</f>
        <v>#VALUE!</v>
      </c>
      <c r="ES253" t="e">
        <f>Milestones!E5+"AM:!/7i"</f>
        <v>#VALUE!</v>
      </c>
      <c r="ET253" t="e">
        <f>Milestones!F5+"AM:!/7j"</f>
        <v>#VALUE!</v>
      </c>
      <c r="EU253" t="e">
        <f>Milestones!G5+"AM:!/7k"</f>
        <v>#VALUE!</v>
      </c>
      <c r="EV253" t="e">
        <f>Milestones!H5+"AM:!/7l"</f>
        <v>#VALUE!</v>
      </c>
      <c r="EW253" t="e">
        <f>Milestones!I5+"AM:!/7m"</f>
        <v>#VALUE!</v>
      </c>
      <c r="EX253" t="e">
        <f>Milestones!J5+"AM:!/7n"</f>
        <v>#VALUE!</v>
      </c>
      <c r="EY253" t="e">
        <f>Milestones!K5+"AM:!/7o"</f>
        <v>#VALUE!</v>
      </c>
      <c r="EZ253" t="e">
        <f>Milestones!L5+"AM:!/7p"</f>
        <v>#VALUE!</v>
      </c>
      <c r="FA253" t="e">
        <f>Milestones!M5+"AM:!/7q"</f>
        <v>#VALUE!</v>
      </c>
      <c r="FB253" t="e">
        <f>Milestones!N5+"AM:!/7r"</f>
        <v>#VALUE!</v>
      </c>
      <c r="FC253" t="e">
        <f>Milestones!O5+"AM:!/7s"</f>
        <v>#VALUE!</v>
      </c>
      <c r="FD253" t="e">
        <f>Milestones!P5+"AM:!/7t"</f>
        <v>#VALUE!</v>
      </c>
      <c r="FE253" t="e">
        <f>Milestones!Q5+"AM:!/7u"</f>
        <v>#VALUE!</v>
      </c>
      <c r="FF253" t="e">
        <f>Milestones!R5+"AM:!/7v"</f>
        <v>#VALUE!</v>
      </c>
      <c r="FG253" t="e">
        <f>Milestones!S5+"AM:!/7w"</f>
        <v>#VALUE!</v>
      </c>
      <c r="FH253" t="e">
        <f>Milestones!T5+"AM:!/7x"</f>
        <v>#VALUE!</v>
      </c>
      <c r="FI253" t="e">
        <f>Milestones!U5+"AM:!/7y"</f>
        <v>#VALUE!</v>
      </c>
      <c r="FJ253" t="e">
        <f>Milestones!V5+"AM:!/7z"</f>
        <v>#VALUE!</v>
      </c>
      <c r="FK253" t="e">
        <f>Milestones!W5+"AM:!/7{"</f>
        <v>#VALUE!</v>
      </c>
      <c r="FL253" t="e">
        <f>Milestones!X5+"AM:!/7|"</f>
        <v>#VALUE!</v>
      </c>
      <c r="FM253" t="e">
        <f>Milestones!Y5+"AM:!/7}"</f>
        <v>#VALUE!</v>
      </c>
      <c r="FN253" t="e">
        <f>Milestones!Z5+"AM:!/7~"</f>
        <v>#VALUE!</v>
      </c>
      <c r="FO253" t="e">
        <f>Milestones!AA5+"AM:!/8#"</f>
        <v>#VALUE!</v>
      </c>
      <c r="FP253" t="e">
        <f>Milestones!AB5+"AM:!/8$"</f>
        <v>#VALUE!</v>
      </c>
      <c r="FQ253" t="e">
        <f>Milestones!AC5+"AM:!/8%"</f>
        <v>#VALUE!</v>
      </c>
      <c r="FR253" t="e">
        <f>Milestones!AD5+"AM:!/8&amp;"</f>
        <v>#VALUE!</v>
      </c>
      <c r="FS253" t="e">
        <f>Milestones!AE5+"AM:!/8'"</f>
        <v>#VALUE!</v>
      </c>
      <c r="FT253" t="e">
        <f>Milestones!AF5+"AM:!/8("</f>
        <v>#VALUE!</v>
      </c>
      <c r="FU253" t="e">
        <f>Milestones!AG5+"AM:!/8)"</f>
        <v>#VALUE!</v>
      </c>
      <c r="FV253" t="e">
        <f>Milestones!AH5+"AM:!/8."</f>
        <v>#VALUE!</v>
      </c>
      <c r="FW253" t="e">
        <f>Milestones!AI5+"AM:!/8/"</f>
        <v>#VALUE!</v>
      </c>
      <c r="FX253" t="e">
        <f>Milestones!AJ5+"AM:!/80"</f>
        <v>#VALUE!</v>
      </c>
      <c r="FY253" t="e">
        <f>Milestones!AK5+"AM:!/81"</f>
        <v>#VALUE!</v>
      </c>
      <c r="FZ253" t="e">
        <f>Milestones!AL5+"AM:!/82"</f>
        <v>#VALUE!</v>
      </c>
      <c r="GA253" t="e">
        <f>Milestones!AM5+"AM:!/83"</f>
        <v>#VALUE!</v>
      </c>
      <c r="GB253" t="e">
        <f>Milestones!AN5+"AM:!/84"</f>
        <v>#VALUE!</v>
      </c>
      <c r="GC253" t="e">
        <f>Milestones!AO5+"AM:!/85"</f>
        <v>#VALUE!</v>
      </c>
      <c r="GD253" t="e">
        <f>Milestones!AP5+"AM:!/86"</f>
        <v>#VALUE!</v>
      </c>
      <c r="GE253" t="e">
        <f>Milestones!AQ5+"AM:!/87"</f>
        <v>#VALUE!</v>
      </c>
      <c r="GF253" t="e">
        <f>Milestones!AR5+"AM:!/88"</f>
        <v>#VALUE!</v>
      </c>
      <c r="GG253" t="e">
        <f>Milestones!AS5+"AM:!/89"</f>
        <v>#VALUE!</v>
      </c>
      <c r="GH253" t="e">
        <f>Milestones!AT5+"AM:!/8:"</f>
        <v>#VALUE!</v>
      </c>
      <c r="GI253" t="e">
        <f>Milestones!A6+"AM:!/8;"</f>
        <v>#VALUE!</v>
      </c>
      <c r="GJ253" t="e">
        <f>Milestones!B6+"AM:!/8&lt;"</f>
        <v>#VALUE!</v>
      </c>
      <c r="GK253" t="e">
        <f>Milestones!C6+"AM:!/8="</f>
        <v>#VALUE!</v>
      </c>
      <c r="GL253" t="e">
        <f>Milestones!D6+"AM:!/8&gt;"</f>
        <v>#VALUE!</v>
      </c>
      <c r="GM253" t="e">
        <f>Milestones!E6+"AM:!/8?"</f>
        <v>#VALUE!</v>
      </c>
      <c r="GN253" t="e">
        <f>Milestones!F6+"AM:!/8@"</f>
        <v>#VALUE!</v>
      </c>
      <c r="GO253" t="e">
        <f>Milestones!G6+"AM:!/8A"</f>
        <v>#VALUE!</v>
      </c>
      <c r="GP253" t="e">
        <f>Milestones!H6+"AM:!/8B"</f>
        <v>#VALUE!</v>
      </c>
      <c r="GQ253" t="e">
        <f>Milestones!I6+"AM:!/8C"</f>
        <v>#VALUE!</v>
      </c>
      <c r="GR253" t="e">
        <f>Milestones!J6+"AM:!/8D"</f>
        <v>#VALUE!</v>
      </c>
      <c r="GS253" t="e">
        <f>Milestones!K6+"AM:!/8E"</f>
        <v>#VALUE!</v>
      </c>
      <c r="GT253" t="e">
        <f>Milestones!L6+"AM:!/8F"</f>
        <v>#VALUE!</v>
      </c>
      <c r="GU253" t="e">
        <f>Milestones!M6+"AM:!/8G"</f>
        <v>#VALUE!</v>
      </c>
      <c r="GV253" t="e">
        <f>Milestones!N6+"AM:!/8H"</f>
        <v>#VALUE!</v>
      </c>
      <c r="GW253" t="e">
        <f>Milestones!O6+"AM:!/8I"</f>
        <v>#VALUE!</v>
      </c>
      <c r="GX253" t="e">
        <f>Milestones!P6+"AM:!/8J"</f>
        <v>#VALUE!</v>
      </c>
      <c r="GY253" t="e">
        <f>Milestones!Q6+"AM:!/8K"</f>
        <v>#VALUE!</v>
      </c>
      <c r="GZ253" t="e">
        <f>Milestones!R6+"AM:!/8L"</f>
        <v>#VALUE!</v>
      </c>
      <c r="HA253" t="e">
        <f>Milestones!S6+"AM:!/8M"</f>
        <v>#VALUE!</v>
      </c>
      <c r="HB253" t="e">
        <f>Milestones!T6+"AM:!/8N"</f>
        <v>#VALUE!</v>
      </c>
      <c r="HC253" t="e">
        <f>Milestones!U6+"AM:!/8O"</f>
        <v>#VALUE!</v>
      </c>
      <c r="HD253" t="e">
        <f>Milestones!V6+"AM:!/8P"</f>
        <v>#VALUE!</v>
      </c>
      <c r="HE253" t="e">
        <f>Milestones!W6+"AM:!/8Q"</f>
        <v>#VALUE!</v>
      </c>
      <c r="HF253" t="e">
        <f>Milestones!X6+"AM:!/8R"</f>
        <v>#VALUE!</v>
      </c>
      <c r="HG253" t="e">
        <f>Milestones!Y6+"AM:!/8S"</f>
        <v>#VALUE!</v>
      </c>
      <c r="HH253" t="e">
        <f>Milestones!Z6+"AM:!/8T"</f>
        <v>#VALUE!</v>
      </c>
      <c r="HI253" t="e">
        <f>Milestones!AA6+"AM:!/8U"</f>
        <v>#VALUE!</v>
      </c>
      <c r="HJ253" t="e">
        <f>Milestones!AB6+"AM:!/8V"</f>
        <v>#VALUE!</v>
      </c>
      <c r="HK253" t="e">
        <f>Milestones!AC6+"AM:!/8W"</f>
        <v>#VALUE!</v>
      </c>
      <c r="HL253" t="e">
        <f>Milestones!AD6+"AM:!/8X"</f>
        <v>#VALUE!</v>
      </c>
      <c r="HM253" t="e">
        <f>Milestones!AE6+"AM:!/8Y"</f>
        <v>#VALUE!</v>
      </c>
      <c r="HN253" t="e">
        <f>Milestones!AF6+"AM:!/8Z"</f>
        <v>#VALUE!</v>
      </c>
      <c r="HO253" t="e">
        <f>Milestones!AG6+"AM:!/8["</f>
        <v>#VALUE!</v>
      </c>
      <c r="HP253" t="e">
        <f>Milestones!AH6+"AM:!/8\"</f>
        <v>#VALUE!</v>
      </c>
      <c r="HQ253" t="e">
        <f>Milestones!AI6+"AM:!/8]"</f>
        <v>#VALUE!</v>
      </c>
      <c r="HR253" t="e">
        <f>Milestones!AJ6+"AM:!/8^"</f>
        <v>#VALUE!</v>
      </c>
      <c r="HS253" t="e">
        <f>Milestones!AK6+"AM:!/8_"</f>
        <v>#VALUE!</v>
      </c>
      <c r="HT253" t="e">
        <f>Milestones!AL6+"AM:!/8`"</f>
        <v>#VALUE!</v>
      </c>
      <c r="HU253" t="e">
        <f>Milestones!AM6+"AM:!/8a"</f>
        <v>#VALUE!</v>
      </c>
      <c r="HV253" t="e">
        <f>Milestones!AN6+"AM:!/8b"</f>
        <v>#VALUE!</v>
      </c>
      <c r="HW253" t="e">
        <f>Milestones!AO6+"AM:!/8c"</f>
        <v>#VALUE!</v>
      </c>
      <c r="HX253" t="e">
        <f>Milestones!AP6+"AM:!/8d"</f>
        <v>#VALUE!</v>
      </c>
      <c r="HY253" t="e">
        <f>Milestones!AQ6+"AM:!/8e"</f>
        <v>#VALUE!</v>
      </c>
      <c r="HZ253" t="e">
        <f>Milestones!AR6+"AM:!/8f"</f>
        <v>#VALUE!</v>
      </c>
      <c r="IA253" t="e">
        <f>Milestones!AS6+"AM:!/8g"</f>
        <v>#VALUE!</v>
      </c>
      <c r="IB253" t="e">
        <f>Milestones!AT6+"AM:!/8h"</f>
        <v>#VALUE!</v>
      </c>
      <c r="IC253" t="e">
        <f>Milestones!A7+"AM:!/8i"</f>
        <v>#VALUE!</v>
      </c>
      <c r="ID253" t="e">
        <f>Milestones!B7+"AM:!/8j"</f>
        <v>#VALUE!</v>
      </c>
      <c r="IE253" t="e">
        <f>Milestones!C7+"AM:!/8k"</f>
        <v>#VALUE!</v>
      </c>
      <c r="IF253" t="e">
        <f>Milestones!D7+"AM:!/8l"</f>
        <v>#VALUE!</v>
      </c>
      <c r="IG253" t="e">
        <f>Milestones!E7+"AM:!/8m"</f>
        <v>#VALUE!</v>
      </c>
      <c r="IH253" t="e">
        <f>Milestones!F7+"AM:!/8n"</f>
        <v>#VALUE!</v>
      </c>
      <c r="II253" t="e">
        <f>Milestones!G7+"AM:!/8o"</f>
        <v>#VALUE!</v>
      </c>
      <c r="IJ253" t="e">
        <f>Milestones!H7+"AM:!/8p"</f>
        <v>#VALUE!</v>
      </c>
      <c r="IK253" t="e">
        <f>Milestones!I7+"AM:!/8q"</f>
        <v>#VALUE!</v>
      </c>
      <c r="IL253" t="e">
        <f>Milestones!J7+"AM:!/8r"</f>
        <v>#VALUE!</v>
      </c>
      <c r="IM253" t="e">
        <f>Milestones!K7+"AM:!/8s"</f>
        <v>#VALUE!</v>
      </c>
      <c r="IN253" t="e">
        <f>Milestones!L7+"AM:!/8t"</f>
        <v>#VALUE!</v>
      </c>
      <c r="IO253" t="e">
        <f>Milestones!M7+"AM:!/8u"</f>
        <v>#VALUE!</v>
      </c>
      <c r="IP253" t="e">
        <f>Milestones!N7+"AM:!/8v"</f>
        <v>#VALUE!</v>
      </c>
      <c r="IQ253" t="e">
        <f>Milestones!O7+"AM:!/8w"</f>
        <v>#VALUE!</v>
      </c>
      <c r="IR253" t="e">
        <f>Milestones!P7+"AM:!/8x"</f>
        <v>#VALUE!</v>
      </c>
      <c r="IS253" t="e">
        <f>Milestones!Q7+"AM:!/8y"</f>
        <v>#VALUE!</v>
      </c>
      <c r="IT253" t="e">
        <f>Milestones!R7+"AM:!/8z"</f>
        <v>#VALUE!</v>
      </c>
      <c r="IU253" t="e">
        <f>Milestones!S7+"AM:!/8{"</f>
        <v>#VALUE!</v>
      </c>
      <c r="IV253" t="e">
        <f>Milestones!T7+"AM:!/8|"</f>
        <v>#VALUE!</v>
      </c>
    </row>
    <row r="254" spans="6:256">
      <c r="F254" t="e">
        <f>Milestones!U7+"AM:!/8}"</f>
        <v>#VALUE!</v>
      </c>
      <c r="G254" t="e">
        <f>Milestones!V7+"AM:!/8~"</f>
        <v>#VALUE!</v>
      </c>
      <c r="H254" t="e">
        <f>Milestones!W7+"AM:!/9#"</f>
        <v>#VALUE!</v>
      </c>
      <c r="I254" t="e">
        <f>Milestones!X7+"AM:!/9$"</f>
        <v>#VALUE!</v>
      </c>
      <c r="J254" t="e">
        <f>Milestones!Y7+"AM:!/9%"</f>
        <v>#VALUE!</v>
      </c>
      <c r="K254" t="e">
        <f>Milestones!Z7+"AM:!/9&amp;"</f>
        <v>#VALUE!</v>
      </c>
      <c r="L254" t="e">
        <f>Milestones!AA7+"AM:!/9'"</f>
        <v>#VALUE!</v>
      </c>
      <c r="M254" t="e">
        <f>Milestones!AB7+"AM:!/9("</f>
        <v>#VALUE!</v>
      </c>
      <c r="N254" t="e">
        <f>Milestones!AC7+"AM:!/9)"</f>
        <v>#VALUE!</v>
      </c>
      <c r="O254" t="e">
        <f>Milestones!AD7+"AM:!/9."</f>
        <v>#VALUE!</v>
      </c>
      <c r="P254" t="e">
        <f>Milestones!AE7+"AM:!/9/"</f>
        <v>#VALUE!</v>
      </c>
      <c r="Q254" t="e">
        <f>Milestones!AF7+"AM:!/90"</f>
        <v>#VALUE!</v>
      </c>
      <c r="R254" t="e">
        <f>Milestones!AG7+"AM:!/91"</f>
        <v>#VALUE!</v>
      </c>
      <c r="S254" t="e">
        <f>Milestones!AH7+"AM:!/92"</f>
        <v>#VALUE!</v>
      </c>
      <c r="T254" t="e">
        <f>Milestones!AI7+"AM:!/93"</f>
        <v>#VALUE!</v>
      </c>
      <c r="U254" t="e">
        <f>Milestones!AJ7+"AM:!/94"</f>
        <v>#VALUE!</v>
      </c>
      <c r="V254" t="e">
        <f>Milestones!AK7+"AM:!/95"</f>
        <v>#VALUE!</v>
      </c>
      <c r="W254" t="e">
        <f>Milestones!AL7+"AM:!/96"</f>
        <v>#VALUE!</v>
      </c>
      <c r="X254" t="e">
        <f>Milestones!AM7+"AM:!/97"</f>
        <v>#VALUE!</v>
      </c>
      <c r="Y254" t="e">
        <f>Milestones!AN7+"AM:!/98"</f>
        <v>#VALUE!</v>
      </c>
      <c r="Z254" t="e">
        <f>Milestones!AO7+"AM:!/99"</f>
        <v>#VALUE!</v>
      </c>
      <c r="AA254" t="e">
        <f>Milestones!AP7+"AM:!/9:"</f>
        <v>#VALUE!</v>
      </c>
      <c r="AB254" t="e">
        <f>Milestones!AQ7+"AM:!/9;"</f>
        <v>#VALUE!</v>
      </c>
      <c r="AC254" t="e">
        <f>Milestones!AR7+"AM:!/9&lt;"</f>
        <v>#VALUE!</v>
      </c>
      <c r="AD254" t="e">
        <f>Milestones!AS7+"AM:!/9="</f>
        <v>#VALUE!</v>
      </c>
      <c r="AE254" t="e">
        <f>Milestones!AT7+"AM:!/9&gt;"</f>
        <v>#VALUE!</v>
      </c>
      <c r="AF254" t="e">
        <f>Milestones!A8+"AM:!/9?"</f>
        <v>#VALUE!</v>
      </c>
      <c r="AG254" t="e">
        <f>Milestones!B8+"AM:!/9@"</f>
        <v>#VALUE!</v>
      </c>
      <c r="AH254" t="e">
        <f>Milestones!C8+"AM:!/9A"</f>
        <v>#VALUE!</v>
      </c>
      <c r="AI254" t="e">
        <f>Milestones!D8+"AM:!/9B"</f>
        <v>#VALUE!</v>
      </c>
      <c r="AJ254" t="e">
        <f>Milestones!E8+"AM:!/9C"</f>
        <v>#VALUE!</v>
      </c>
      <c r="AK254" t="e">
        <f>Milestones!F8+"AM:!/9D"</f>
        <v>#VALUE!</v>
      </c>
      <c r="AL254" t="e">
        <f>Milestones!G8+"AM:!/9E"</f>
        <v>#VALUE!</v>
      </c>
      <c r="AM254" t="e">
        <f>Milestones!H8+"AM:!/9F"</f>
        <v>#VALUE!</v>
      </c>
      <c r="AN254" t="e">
        <f>Milestones!I8+"AM:!/9G"</f>
        <v>#VALUE!</v>
      </c>
      <c r="AO254" t="e">
        <f>Milestones!J8+"AM:!/9H"</f>
        <v>#VALUE!</v>
      </c>
      <c r="AP254" t="e">
        <f>Milestones!K8+"AM:!/9I"</f>
        <v>#VALUE!</v>
      </c>
      <c r="AQ254" t="e">
        <f>Milestones!L8+"AM:!/9J"</f>
        <v>#VALUE!</v>
      </c>
      <c r="AR254" t="e">
        <f>Milestones!M8+"AM:!/9K"</f>
        <v>#VALUE!</v>
      </c>
      <c r="AS254" t="e">
        <f>Milestones!N8+"AM:!/9L"</f>
        <v>#VALUE!</v>
      </c>
      <c r="AT254" t="e">
        <f>Milestones!O8+"AM:!/9M"</f>
        <v>#VALUE!</v>
      </c>
      <c r="AU254" t="e">
        <f>Milestones!P8+"AM:!/9N"</f>
        <v>#VALUE!</v>
      </c>
      <c r="AV254" t="e">
        <f>Milestones!Q8+"AM:!/9O"</f>
        <v>#VALUE!</v>
      </c>
      <c r="AW254" t="e">
        <f>Milestones!R8+"AM:!/9P"</f>
        <v>#VALUE!</v>
      </c>
      <c r="AX254" t="e">
        <f>Milestones!S8+"AM:!/9Q"</f>
        <v>#VALUE!</v>
      </c>
      <c r="AY254" t="e">
        <f>Milestones!T8+"AM:!/9R"</f>
        <v>#VALUE!</v>
      </c>
      <c r="AZ254" t="e">
        <f>Milestones!U8+"AM:!/9S"</f>
        <v>#VALUE!</v>
      </c>
      <c r="BA254" t="e">
        <f>Milestones!V8+"AM:!/9T"</f>
        <v>#VALUE!</v>
      </c>
      <c r="BB254" t="e">
        <f>Milestones!W8+"AM:!/9U"</f>
        <v>#VALUE!</v>
      </c>
      <c r="BC254" t="e">
        <f>Milestones!X8+"AM:!/9V"</f>
        <v>#VALUE!</v>
      </c>
      <c r="BD254" t="e">
        <f>Milestones!Y8+"AM:!/9W"</f>
        <v>#VALUE!</v>
      </c>
      <c r="BE254" t="e">
        <f>Milestones!Z8+"AM:!/9X"</f>
        <v>#VALUE!</v>
      </c>
      <c r="BF254" t="e">
        <f>Milestones!AA8+"AM:!/9Y"</f>
        <v>#VALUE!</v>
      </c>
      <c r="BG254" t="e">
        <f>Milestones!AB8+"AM:!/9Z"</f>
        <v>#VALUE!</v>
      </c>
      <c r="BH254" t="e">
        <f>Milestones!AC8+"AM:!/9["</f>
        <v>#VALUE!</v>
      </c>
      <c r="BI254" t="e">
        <f>Milestones!AD8+"AM:!/9\"</f>
        <v>#VALUE!</v>
      </c>
      <c r="BJ254" t="e">
        <f>Milestones!AE8+"AM:!/9]"</f>
        <v>#VALUE!</v>
      </c>
      <c r="BK254" t="e">
        <f>Milestones!AF8+"AM:!/9^"</f>
        <v>#VALUE!</v>
      </c>
      <c r="BL254" t="e">
        <f>Milestones!AG8+"AM:!/9_"</f>
        <v>#VALUE!</v>
      </c>
      <c r="BM254" t="e">
        <f>Milestones!AH8+"AM:!/9`"</f>
        <v>#VALUE!</v>
      </c>
      <c r="BN254" t="e">
        <f>Milestones!AI8+"AM:!/9a"</f>
        <v>#VALUE!</v>
      </c>
      <c r="BO254" t="e">
        <f>Milestones!AJ8+"AM:!/9b"</f>
        <v>#VALUE!</v>
      </c>
      <c r="BP254" t="e">
        <f>Milestones!AK8+"AM:!/9c"</f>
        <v>#VALUE!</v>
      </c>
      <c r="BQ254" t="e">
        <f>Milestones!AL8+"AM:!/9d"</f>
        <v>#VALUE!</v>
      </c>
      <c r="BR254" t="e">
        <f>Milestones!AM8+"AM:!/9e"</f>
        <v>#VALUE!</v>
      </c>
      <c r="BS254" t="e">
        <f>Milestones!AN8+"AM:!/9f"</f>
        <v>#VALUE!</v>
      </c>
      <c r="BT254" t="e">
        <f>Milestones!AO8+"AM:!/9g"</f>
        <v>#VALUE!</v>
      </c>
      <c r="BU254" t="e">
        <f>Milestones!AP8+"AM:!/9h"</f>
        <v>#VALUE!</v>
      </c>
      <c r="BV254" t="e">
        <f>Milestones!AQ8+"AM:!/9i"</f>
        <v>#VALUE!</v>
      </c>
      <c r="BW254" t="e">
        <f>Milestones!AR8+"AM:!/9j"</f>
        <v>#VALUE!</v>
      </c>
      <c r="BX254" t="e">
        <f>Milestones!AS8+"AM:!/9k"</f>
        <v>#VALUE!</v>
      </c>
      <c r="BY254" t="e">
        <f>Milestones!AT8+"AM:!/9l"</f>
        <v>#VALUE!</v>
      </c>
      <c r="BZ254" t="e">
        <f>Milestones!A9+"AM:!/9m"</f>
        <v>#VALUE!</v>
      </c>
      <c r="CA254" t="e">
        <f>Milestones!B9+"AM:!/9n"</f>
        <v>#VALUE!</v>
      </c>
      <c r="CB254" t="e">
        <f>Milestones!C9+"AM:!/9o"</f>
        <v>#VALUE!</v>
      </c>
      <c r="CC254" t="e">
        <f>Milestones!D9+"AM:!/9p"</f>
        <v>#VALUE!</v>
      </c>
      <c r="CD254" t="e">
        <f>Milestones!E9+"AM:!/9q"</f>
        <v>#VALUE!</v>
      </c>
      <c r="CE254" t="e">
        <f>Milestones!F9+"AM:!/9r"</f>
        <v>#VALUE!</v>
      </c>
      <c r="CF254" t="e">
        <f>Milestones!G9+"AM:!/9s"</f>
        <v>#VALUE!</v>
      </c>
      <c r="CG254" t="e">
        <f>Milestones!H9+"AM:!/9t"</f>
        <v>#VALUE!</v>
      </c>
      <c r="CH254" t="e">
        <f>Milestones!I9+"AM:!/9u"</f>
        <v>#VALUE!</v>
      </c>
      <c r="CI254" t="e">
        <f>Milestones!J9+"AM:!/9v"</f>
        <v>#VALUE!</v>
      </c>
      <c r="CJ254" t="e">
        <f>Milestones!K9+"AM:!/9w"</f>
        <v>#VALUE!</v>
      </c>
      <c r="CK254" t="e">
        <f>Milestones!L9+"AM:!/9x"</f>
        <v>#VALUE!</v>
      </c>
      <c r="CL254" t="e">
        <f>Milestones!M9+"AM:!/9y"</f>
        <v>#VALUE!</v>
      </c>
      <c r="CM254" t="e">
        <f>Milestones!N9+"AM:!/9z"</f>
        <v>#VALUE!</v>
      </c>
      <c r="CN254" t="e">
        <f>Milestones!O9+"AM:!/9{"</f>
        <v>#VALUE!</v>
      </c>
      <c r="CO254" t="e">
        <f>Milestones!P9+"AM:!/9|"</f>
        <v>#VALUE!</v>
      </c>
      <c r="CP254" t="e">
        <f>Milestones!Q9+"AM:!/9}"</f>
        <v>#VALUE!</v>
      </c>
      <c r="CQ254" t="e">
        <f>Milestones!R9+"AM:!/9~"</f>
        <v>#VALUE!</v>
      </c>
      <c r="CR254" t="e">
        <f>Milestones!S9+"AM:!/:#"</f>
        <v>#VALUE!</v>
      </c>
      <c r="CS254" t="e">
        <f>Milestones!T9+"AM:!/:$"</f>
        <v>#VALUE!</v>
      </c>
      <c r="CT254" t="e">
        <f>Milestones!U9+"AM:!/:%"</f>
        <v>#VALUE!</v>
      </c>
      <c r="CU254" t="e">
        <f>Milestones!V9+"AM:!/:&amp;"</f>
        <v>#VALUE!</v>
      </c>
      <c r="CV254" t="e">
        <f>Milestones!W9+"AM:!/:'"</f>
        <v>#VALUE!</v>
      </c>
      <c r="CW254" t="e">
        <f>Milestones!X9+"AM:!/:("</f>
        <v>#VALUE!</v>
      </c>
      <c r="CX254" t="e">
        <f>Milestones!Y9+"AM:!/:)"</f>
        <v>#VALUE!</v>
      </c>
      <c r="CY254" t="e">
        <f>Milestones!Z9+"AM:!/:."</f>
        <v>#VALUE!</v>
      </c>
      <c r="CZ254" t="e">
        <f>Milestones!AA9+"AM:!/:/"</f>
        <v>#VALUE!</v>
      </c>
      <c r="DA254" t="e">
        <f>Milestones!AB9+"AM:!/:0"</f>
        <v>#VALUE!</v>
      </c>
      <c r="DB254" t="e">
        <f>Milestones!AC9+"AM:!/:1"</f>
        <v>#VALUE!</v>
      </c>
      <c r="DC254" t="e">
        <f>Milestones!AD9+"AM:!/:2"</f>
        <v>#VALUE!</v>
      </c>
      <c r="DD254" t="e">
        <f>Milestones!AE9+"AM:!/:3"</f>
        <v>#VALUE!</v>
      </c>
      <c r="DE254" t="e">
        <f>Milestones!AF9+"AM:!/:4"</f>
        <v>#VALUE!</v>
      </c>
      <c r="DF254" t="e">
        <f>Milestones!AG9+"AM:!/:5"</f>
        <v>#VALUE!</v>
      </c>
      <c r="DG254" t="e">
        <f>Milestones!AH9+"AM:!/:6"</f>
        <v>#VALUE!</v>
      </c>
      <c r="DH254" t="e">
        <f>Milestones!AI9+"AM:!/:7"</f>
        <v>#VALUE!</v>
      </c>
      <c r="DI254" t="e">
        <f>Milestones!AJ9+"AM:!/:8"</f>
        <v>#VALUE!</v>
      </c>
      <c r="DJ254" t="e">
        <f>Milestones!AK9+"AM:!/:9"</f>
        <v>#VALUE!</v>
      </c>
      <c r="DK254" t="e">
        <f>Milestones!AL9+"AM:!/::"</f>
        <v>#VALUE!</v>
      </c>
      <c r="DL254" t="e">
        <f>Milestones!AM9+"AM:!/:;"</f>
        <v>#VALUE!</v>
      </c>
      <c r="DM254" t="e">
        <f>Milestones!AN9+"AM:!/:&lt;"</f>
        <v>#VALUE!</v>
      </c>
      <c r="DN254" t="e">
        <f>Milestones!AO9+"AM:!/:="</f>
        <v>#VALUE!</v>
      </c>
      <c r="DO254" t="e">
        <f>Milestones!AP9+"AM:!/:&gt;"</f>
        <v>#VALUE!</v>
      </c>
      <c r="DP254" t="e">
        <f>Milestones!AQ9+"AM:!/:?"</f>
        <v>#VALUE!</v>
      </c>
      <c r="DQ254" t="e">
        <f>Milestones!AR9+"AM:!/:@"</f>
        <v>#VALUE!</v>
      </c>
      <c r="DR254" t="e">
        <f>Milestones!AS9+"AM:!/:A"</f>
        <v>#VALUE!</v>
      </c>
      <c r="DS254" t="e">
        <f>Milestones!AT9+"AM:!/:B"</f>
        <v>#VALUE!</v>
      </c>
      <c r="DT254" t="e">
        <f>Milestones!A10+"AM:!/:C"</f>
        <v>#VALUE!</v>
      </c>
      <c r="DU254" t="e">
        <f>Milestones!B10+"AM:!/:D"</f>
        <v>#VALUE!</v>
      </c>
      <c r="DV254" t="e">
        <f>Milestones!C10+"AM:!/:E"</f>
        <v>#VALUE!</v>
      </c>
      <c r="DW254" t="e">
        <f>Milestones!D10+"AM:!/:F"</f>
        <v>#VALUE!</v>
      </c>
      <c r="DX254" t="e">
        <f>Milestones!E10+"AM:!/:G"</f>
        <v>#VALUE!</v>
      </c>
      <c r="DY254" t="e">
        <f>Milestones!F10+"AM:!/:H"</f>
        <v>#VALUE!</v>
      </c>
      <c r="DZ254" t="e">
        <f>Milestones!G10+"AM:!/:I"</f>
        <v>#VALUE!</v>
      </c>
      <c r="EA254" t="e">
        <f>Milestones!H10+"AM:!/:J"</f>
        <v>#VALUE!</v>
      </c>
      <c r="EB254" t="e">
        <f>Milestones!I10+"AM:!/:K"</f>
        <v>#VALUE!</v>
      </c>
      <c r="EC254" t="e">
        <f>Milestones!J10+"AM:!/:L"</f>
        <v>#VALUE!</v>
      </c>
      <c r="ED254" t="e">
        <f>Milestones!K10+"AM:!/:M"</f>
        <v>#VALUE!</v>
      </c>
      <c r="EE254" t="e">
        <f>Milestones!L10+"AM:!/:N"</f>
        <v>#VALUE!</v>
      </c>
      <c r="EF254" t="e">
        <f>Milestones!M10+"AM:!/:O"</f>
        <v>#VALUE!</v>
      </c>
      <c r="EG254" t="e">
        <f>Milestones!N10+"AM:!/:P"</f>
        <v>#VALUE!</v>
      </c>
      <c r="EH254" t="e">
        <f>Milestones!O10+"AM:!/:Q"</f>
        <v>#VALUE!</v>
      </c>
      <c r="EI254" t="e">
        <f>Milestones!P10+"AM:!/:R"</f>
        <v>#VALUE!</v>
      </c>
      <c r="EJ254" t="e">
        <f>Milestones!Q10+"AM:!/:S"</f>
        <v>#VALUE!</v>
      </c>
      <c r="EK254" t="e">
        <f>Milestones!R10+"AM:!/:T"</f>
        <v>#VALUE!</v>
      </c>
      <c r="EL254" t="e">
        <f>Milestones!S10+"AM:!/:U"</f>
        <v>#VALUE!</v>
      </c>
      <c r="EM254" t="e">
        <f>Milestones!T10+"AM:!/:V"</f>
        <v>#VALUE!</v>
      </c>
      <c r="EN254" t="e">
        <f>Milestones!U10+"AM:!/:W"</f>
        <v>#VALUE!</v>
      </c>
      <c r="EO254" t="e">
        <f>Milestones!V10+"AM:!/:X"</f>
        <v>#VALUE!</v>
      </c>
      <c r="EP254" t="e">
        <f>Milestones!W10+"AM:!/:Y"</f>
        <v>#VALUE!</v>
      </c>
      <c r="EQ254" t="e">
        <f>Milestones!X10+"AM:!/:Z"</f>
        <v>#VALUE!</v>
      </c>
      <c r="ER254" t="e">
        <f>Milestones!Y10+"AM:!/:["</f>
        <v>#VALUE!</v>
      </c>
      <c r="ES254" t="e">
        <f>Milestones!Z10+"AM:!/:\"</f>
        <v>#VALUE!</v>
      </c>
      <c r="ET254" t="e">
        <f>Milestones!AA10+"AM:!/:]"</f>
        <v>#VALUE!</v>
      </c>
      <c r="EU254" t="e">
        <f>Milestones!AB10+"AM:!/:^"</f>
        <v>#VALUE!</v>
      </c>
      <c r="EV254" t="e">
        <f>Milestones!AC10+"AM:!/:_"</f>
        <v>#VALUE!</v>
      </c>
      <c r="EW254" t="e">
        <f>Milestones!AD10+"AM:!/:`"</f>
        <v>#VALUE!</v>
      </c>
      <c r="EX254" t="e">
        <f>Milestones!AE10+"AM:!/:a"</f>
        <v>#VALUE!</v>
      </c>
      <c r="EY254" t="e">
        <f>Milestones!AF10+"AM:!/:b"</f>
        <v>#VALUE!</v>
      </c>
      <c r="EZ254" t="e">
        <f>Milestones!AG10+"AM:!/:c"</f>
        <v>#VALUE!</v>
      </c>
      <c r="FA254" t="e">
        <f>Milestones!AH10+"AM:!/:d"</f>
        <v>#VALUE!</v>
      </c>
      <c r="FB254" t="e">
        <f>Milestones!AI10+"AM:!/:e"</f>
        <v>#VALUE!</v>
      </c>
      <c r="FC254" t="e">
        <f>Milestones!AJ10+"AM:!/:f"</f>
        <v>#VALUE!</v>
      </c>
      <c r="FD254" t="e">
        <f>Milestones!AK10+"AM:!/:g"</f>
        <v>#VALUE!</v>
      </c>
      <c r="FE254" t="e">
        <f>Milestones!AL10+"AM:!/:h"</f>
        <v>#VALUE!</v>
      </c>
      <c r="FF254" t="e">
        <f>Milestones!AM10+"AM:!/:i"</f>
        <v>#VALUE!</v>
      </c>
      <c r="FG254" t="e">
        <f>Milestones!AN10+"AM:!/:j"</f>
        <v>#VALUE!</v>
      </c>
      <c r="FH254" t="e">
        <f>Milestones!AO10+"AM:!/:k"</f>
        <v>#VALUE!</v>
      </c>
      <c r="FI254" t="e">
        <f>Milestones!AP10+"AM:!/:l"</f>
        <v>#VALUE!</v>
      </c>
      <c r="FJ254" t="e">
        <f>Milestones!AQ10+"AM:!/:m"</f>
        <v>#VALUE!</v>
      </c>
      <c r="FK254" t="e">
        <f>Milestones!AR10+"AM:!/:n"</f>
        <v>#VALUE!</v>
      </c>
      <c r="FL254" t="e">
        <f>Milestones!AS10+"AM:!/:o"</f>
        <v>#VALUE!</v>
      </c>
      <c r="FM254" t="e">
        <f>Milestones!AT10+"AM:!/:p"</f>
        <v>#VALUE!</v>
      </c>
      <c r="FN254" t="e">
        <f>Milestones!A11+"AM:!/:q"</f>
        <v>#VALUE!</v>
      </c>
      <c r="FO254" t="e">
        <f>Milestones!B11+"AM:!/:r"</f>
        <v>#VALUE!</v>
      </c>
      <c r="FP254" t="e">
        <f>Milestones!C11+"AM:!/:s"</f>
        <v>#VALUE!</v>
      </c>
      <c r="FQ254" t="e">
        <f>Milestones!D11+"AM:!/:t"</f>
        <v>#VALUE!</v>
      </c>
      <c r="FR254" t="e">
        <f>Milestones!E11+"AM:!/:u"</f>
        <v>#VALUE!</v>
      </c>
      <c r="FS254" t="e">
        <f>Milestones!F11+"AM:!/:v"</f>
        <v>#VALUE!</v>
      </c>
      <c r="FT254" t="e">
        <f>Milestones!G11+"AM:!/:w"</f>
        <v>#VALUE!</v>
      </c>
      <c r="FU254" t="e">
        <f>Milestones!H11+"AM:!/:x"</f>
        <v>#VALUE!</v>
      </c>
      <c r="FV254" t="e">
        <f>Milestones!I11+"AM:!/:y"</f>
        <v>#VALUE!</v>
      </c>
      <c r="FW254" t="e">
        <f>Milestones!J11+"AM:!/:z"</f>
        <v>#VALUE!</v>
      </c>
      <c r="FX254" t="e">
        <f>Milestones!K11+"AM:!/:{"</f>
        <v>#VALUE!</v>
      </c>
      <c r="FY254" t="e">
        <f>Milestones!L11+"AM:!/:|"</f>
        <v>#VALUE!</v>
      </c>
      <c r="FZ254" t="e">
        <f>Milestones!M11+"AM:!/:}"</f>
        <v>#VALUE!</v>
      </c>
      <c r="GA254" t="e">
        <f>Milestones!N11+"AM:!/:~"</f>
        <v>#VALUE!</v>
      </c>
      <c r="GB254" t="e">
        <f>Milestones!O11+"AM:!/;#"</f>
        <v>#VALUE!</v>
      </c>
      <c r="GC254" t="e">
        <f>Milestones!P11+"AM:!/;$"</f>
        <v>#VALUE!</v>
      </c>
      <c r="GD254" t="e">
        <f>Milestones!Q11+"AM:!/;%"</f>
        <v>#VALUE!</v>
      </c>
      <c r="GE254" t="e">
        <f>Milestones!R11+"AM:!/;&amp;"</f>
        <v>#VALUE!</v>
      </c>
      <c r="GF254" t="e">
        <f>Milestones!S11+"AM:!/;'"</f>
        <v>#VALUE!</v>
      </c>
      <c r="GG254" t="e">
        <f>Milestones!T11+"AM:!/;("</f>
        <v>#VALUE!</v>
      </c>
      <c r="GH254" t="e">
        <f>Milestones!U11+"AM:!/;)"</f>
        <v>#VALUE!</v>
      </c>
      <c r="GI254" t="e">
        <f>Milestones!V11+"AM:!/;."</f>
        <v>#VALUE!</v>
      </c>
      <c r="GJ254" t="e">
        <f>Milestones!W11+"AM:!/;/"</f>
        <v>#VALUE!</v>
      </c>
      <c r="GK254" t="e">
        <f>Milestones!X11+"AM:!/;0"</f>
        <v>#VALUE!</v>
      </c>
      <c r="GL254" t="e">
        <f>Milestones!Y11+"AM:!/;1"</f>
        <v>#VALUE!</v>
      </c>
      <c r="GM254" t="e">
        <f>Milestones!Z11+"AM:!/;2"</f>
        <v>#VALUE!</v>
      </c>
      <c r="GN254" t="e">
        <f>Milestones!AA11+"AM:!/;3"</f>
        <v>#VALUE!</v>
      </c>
      <c r="GO254" t="e">
        <f>Milestones!AB11+"AM:!/;4"</f>
        <v>#VALUE!</v>
      </c>
      <c r="GP254" t="e">
        <f>Milestones!AC11+"AM:!/;5"</f>
        <v>#VALUE!</v>
      </c>
      <c r="GQ254" t="e">
        <f>Milestones!AD11+"AM:!/;6"</f>
        <v>#VALUE!</v>
      </c>
      <c r="GR254" t="e">
        <f>Milestones!AE11+"AM:!/;7"</f>
        <v>#VALUE!</v>
      </c>
      <c r="GS254" t="e">
        <f>Milestones!AF11+"AM:!/;8"</f>
        <v>#VALUE!</v>
      </c>
      <c r="GT254" t="e">
        <f>Milestones!AG11+"AM:!/;9"</f>
        <v>#VALUE!</v>
      </c>
      <c r="GU254" t="e">
        <f>Milestones!AH11+"AM:!/;:"</f>
        <v>#VALUE!</v>
      </c>
      <c r="GV254" t="e">
        <f>Milestones!AI11+"AM:!/;;"</f>
        <v>#VALUE!</v>
      </c>
      <c r="GW254" t="e">
        <f>Milestones!AJ11+"AM:!/;&lt;"</f>
        <v>#VALUE!</v>
      </c>
      <c r="GX254" t="e">
        <f>Milestones!AK11+"AM:!/;="</f>
        <v>#VALUE!</v>
      </c>
      <c r="GY254" t="e">
        <f>Milestones!AL11+"AM:!/;&gt;"</f>
        <v>#VALUE!</v>
      </c>
      <c r="GZ254" t="e">
        <f>Milestones!AM11+"AM:!/;?"</f>
        <v>#VALUE!</v>
      </c>
      <c r="HA254" t="e">
        <f>Milestones!AN11+"AM:!/;@"</f>
        <v>#VALUE!</v>
      </c>
      <c r="HB254" t="e">
        <f>Milestones!AO11+"AM:!/;A"</f>
        <v>#VALUE!</v>
      </c>
      <c r="HC254" t="e">
        <f>Milestones!AP11+"AM:!/;B"</f>
        <v>#VALUE!</v>
      </c>
      <c r="HD254" t="e">
        <f>Milestones!AQ11+"AM:!/;C"</f>
        <v>#VALUE!</v>
      </c>
      <c r="HE254" t="e">
        <f>Milestones!AR11+"AM:!/;D"</f>
        <v>#VALUE!</v>
      </c>
      <c r="HF254" t="e">
        <f>Milestones!AS11+"AM:!/;E"</f>
        <v>#VALUE!</v>
      </c>
      <c r="HG254" t="e">
        <f>Milestones!AT11+"AM:!/;F"</f>
        <v>#VALUE!</v>
      </c>
      <c r="HH254" t="e">
        <f>Milestones!A12+"AM:!/;G"</f>
        <v>#VALUE!</v>
      </c>
      <c r="HI254" t="e">
        <f>Milestones!B12+"AM:!/;H"</f>
        <v>#VALUE!</v>
      </c>
      <c r="HJ254" t="e">
        <f>Milestones!C12+"AM:!/;I"</f>
        <v>#VALUE!</v>
      </c>
      <c r="HK254" t="e">
        <f>Milestones!D12+"AM:!/;J"</f>
        <v>#VALUE!</v>
      </c>
      <c r="HL254" t="e">
        <f>Milestones!E12+"AM:!/;K"</f>
        <v>#VALUE!</v>
      </c>
      <c r="HM254" t="e">
        <f>Milestones!F12+"AM:!/;L"</f>
        <v>#VALUE!</v>
      </c>
      <c r="HN254" t="e">
        <f>Milestones!G12+"AM:!/;M"</f>
        <v>#VALUE!</v>
      </c>
      <c r="HO254" t="e">
        <f>Milestones!H12+"AM:!/;N"</f>
        <v>#VALUE!</v>
      </c>
      <c r="HP254" t="e">
        <f>Milestones!I12+"AM:!/;O"</f>
        <v>#VALUE!</v>
      </c>
      <c r="HQ254" t="e">
        <f>Milestones!J12+"AM:!/;P"</f>
        <v>#VALUE!</v>
      </c>
      <c r="HR254" t="e">
        <f>Milestones!K12+"AM:!/;Q"</f>
        <v>#VALUE!</v>
      </c>
      <c r="HS254" t="e">
        <f>Milestones!L12+"AM:!/;R"</f>
        <v>#VALUE!</v>
      </c>
      <c r="HT254" t="e">
        <f>Milestones!M12+"AM:!/;S"</f>
        <v>#VALUE!</v>
      </c>
      <c r="HU254" t="e">
        <f>Milestones!N12+"AM:!/;T"</f>
        <v>#VALUE!</v>
      </c>
      <c r="HV254" t="e">
        <f>Milestones!O12+"AM:!/;U"</f>
        <v>#VALUE!</v>
      </c>
      <c r="HW254" t="e">
        <f>Milestones!P12+"AM:!/;V"</f>
        <v>#VALUE!</v>
      </c>
      <c r="HX254" t="e">
        <f>Milestones!Q12+"AM:!/;W"</f>
        <v>#VALUE!</v>
      </c>
      <c r="HY254" t="e">
        <f>Milestones!R12+"AM:!/;X"</f>
        <v>#VALUE!</v>
      </c>
      <c r="HZ254" t="e">
        <f>Milestones!S12+"AM:!/;Y"</f>
        <v>#VALUE!</v>
      </c>
      <c r="IA254" t="e">
        <f>Milestones!T12+"AM:!/;Z"</f>
        <v>#VALUE!</v>
      </c>
      <c r="IB254" t="e">
        <f>Milestones!U12+"AM:!/;["</f>
        <v>#VALUE!</v>
      </c>
      <c r="IC254" t="e">
        <f>Milestones!V12+"AM:!/;\"</f>
        <v>#VALUE!</v>
      </c>
      <c r="ID254" t="e">
        <f>Milestones!W12+"AM:!/;]"</f>
        <v>#VALUE!</v>
      </c>
      <c r="IE254" t="e">
        <f>Milestones!X12+"AM:!/;^"</f>
        <v>#VALUE!</v>
      </c>
      <c r="IF254" t="e">
        <f>Milestones!Y12+"AM:!/;_"</f>
        <v>#VALUE!</v>
      </c>
      <c r="IG254" t="e">
        <f>Milestones!Z12+"AM:!/;`"</f>
        <v>#VALUE!</v>
      </c>
      <c r="IH254" t="e">
        <f>Milestones!AA12+"AM:!/;a"</f>
        <v>#VALUE!</v>
      </c>
      <c r="II254" t="e">
        <f>Milestones!AB12+"AM:!/;b"</f>
        <v>#VALUE!</v>
      </c>
      <c r="IJ254" t="e">
        <f>Milestones!AC12+"AM:!/;c"</f>
        <v>#VALUE!</v>
      </c>
      <c r="IK254" t="e">
        <f>Milestones!AD12+"AM:!/;d"</f>
        <v>#VALUE!</v>
      </c>
      <c r="IL254" t="e">
        <f>Milestones!AE12+"AM:!/;e"</f>
        <v>#VALUE!</v>
      </c>
      <c r="IM254" t="e">
        <f>Milestones!AF12+"AM:!/;f"</f>
        <v>#VALUE!</v>
      </c>
      <c r="IN254" t="e">
        <f>Milestones!AG12+"AM:!/;g"</f>
        <v>#VALUE!</v>
      </c>
      <c r="IO254" t="e">
        <f>Milestones!AH12+"AM:!/;h"</f>
        <v>#VALUE!</v>
      </c>
      <c r="IP254" t="e">
        <f>Milestones!AI12+"AM:!/;i"</f>
        <v>#VALUE!</v>
      </c>
      <c r="IQ254" t="e">
        <f>Milestones!AJ12+"AM:!/;j"</f>
        <v>#VALUE!</v>
      </c>
      <c r="IR254" t="e">
        <f>Milestones!AK12+"AM:!/;k"</f>
        <v>#VALUE!</v>
      </c>
      <c r="IS254" t="e">
        <f>Milestones!AL12+"AM:!/;l"</f>
        <v>#VALUE!</v>
      </c>
      <c r="IT254" t="e">
        <f>Milestones!AM12+"AM:!/;m"</f>
        <v>#VALUE!</v>
      </c>
      <c r="IU254" t="e">
        <f>Milestones!AN12+"AM:!/;n"</f>
        <v>#VALUE!</v>
      </c>
      <c r="IV254" t="e">
        <f>Milestones!AO12+"AM:!/;o"</f>
        <v>#VALUE!</v>
      </c>
    </row>
    <row r="255" spans="6:256">
      <c r="F255" t="e">
        <f>Milestones!AP12+"AM:!/;p"</f>
        <v>#VALUE!</v>
      </c>
      <c r="G255" t="e">
        <f>Milestones!AQ12+"AM:!/;q"</f>
        <v>#VALUE!</v>
      </c>
      <c r="H255" t="e">
        <f>Milestones!AR12+"AM:!/;r"</f>
        <v>#VALUE!</v>
      </c>
      <c r="I255" t="e">
        <f>Milestones!AS12+"AM:!/;s"</f>
        <v>#VALUE!</v>
      </c>
      <c r="J255" t="e">
        <f>Milestones!AT12+"AM:!/;t"</f>
        <v>#VALUE!</v>
      </c>
      <c r="K255" t="e">
        <f>Milestones!A13+"AM:!/;u"</f>
        <v>#VALUE!</v>
      </c>
      <c r="L255" t="e">
        <f>Milestones!B13+"AM:!/;v"</f>
        <v>#VALUE!</v>
      </c>
      <c r="M255" t="e">
        <f>Milestones!C13+"AM:!/;w"</f>
        <v>#VALUE!</v>
      </c>
      <c r="N255" t="e">
        <f>Milestones!D13+"AM:!/;x"</f>
        <v>#VALUE!</v>
      </c>
      <c r="O255" t="e">
        <f>Milestones!E13+"AM:!/;y"</f>
        <v>#VALUE!</v>
      </c>
      <c r="P255" t="e">
        <f>Milestones!F13+"AM:!/;z"</f>
        <v>#VALUE!</v>
      </c>
      <c r="Q255" t="e">
        <f>Milestones!G13+"AM:!/;{"</f>
        <v>#VALUE!</v>
      </c>
      <c r="R255" t="e">
        <f>Milestones!H13+"AM:!/;|"</f>
        <v>#VALUE!</v>
      </c>
      <c r="S255" t="e">
        <f>Milestones!I13+"AM:!/;}"</f>
        <v>#VALUE!</v>
      </c>
      <c r="T255" t="e">
        <f>Milestones!J13+"AM:!/;~"</f>
        <v>#VALUE!</v>
      </c>
      <c r="U255" t="e">
        <f>Milestones!K13+"AM:!/&lt;#"</f>
        <v>#VALUE!</v>
      </c>
      <c r="V255" t="e">
        <f>Milestones!L13+"AM:!/&lt;$"</f>
        <v>#VALUE!</v>
      </c>
      <c r="W255" t="e">
        <f>Milestones!M13+"AM:!/&lt;%"</f>
        <v>#VALUE!</v>
      </c>
      <c r="X255" t="e">
        <f>Milestones!N13+"AM:!/&lt;&amp;"</f>
        <v>#VALUE!</v>
      </c>
      <c r="Y255" t="e">
        <f>Milestones!O13+"AM:!/&lt;'"</f>
        <v>#VALUE!</v>
      </c>
      <c r="Z255" t="e">
        <f>Milestones!P13+"AM:!/&lt;("</f>
        <v>#VALUE!</v>
      </c>
      <c r="AA255" t="e">
        <f>Milestones!Q13+"AM:!/&lt;)"</f>
        <v>#VALUE!</v>
      </c>
      <c r="AB255" t="e">
        <f>Milestones!R13+"AM:!/&lt;."</f>
        <v>#VALUE!</v>
      </c>
      <c r="AC255" t="e">
        <f>Milestones!S13+"AM:!/&lt;/"</f>
        <v>#VALUE!</v>
      </c>
      <c r="AD255" t="e">
        <f>Milestones!T13+"AM:!/&lt;0"</f>
        <v>#VALUE!</v>
      </c>
      <c r="AE255" t="e">
        <f>Milestones!U13+"AM:!/&lt;1"</f>
        <v>#VALUE!</v>
      </c>
      <c r="AF255" t="e">
        <f>Milestones!V13+"AM:!/&lt;2"</f>
        <v>#VALUE!</v>
      </c>
      <c r="AG255" t="e">
        <f>Milestones!W13+"AM:!/&lt;3"</f>
        <v>#VALUE!</v>
      </c>
      <c r="AH255" t="e">
        <f>Milestones!X13+"AM:!/&lt;4"</f>
        <v>#VALUE!</v>
      </c>
      <c r="AI255" t="e">
        <f>Milestones!Y13+"AM:!/&lt;5"</f>
        <v>#VALUE!</v>
      </c>
      <c r="AJ255" t="e">
        <f>Milestones!Z13+"AM:!/&lt;6"</f>
        <v>#VALUE!</v>
      </c>
      <c r="AK255" t="e">
        <f>Milestones!AA13+"AM:!/&lt;7"</f>
        <v>#VALUE!</v>
      </c>
      <c r="AL255" t="e">
        <f>Milestones!AB13+"AM:!/&lt;8"</f>
        <v>#VALUE!</v>
      </c>
      <c r="AM255" t="e">
        <f>Milestones!AC13+"AM:!/&lt;9"</f>
        <v>#VALUE!</v>
      </c>
      <c r="AN255" t="e">
        <f>Milestones!AD13+"AM:!/&lt;:"</f>
        <v>#VALUE!</v>
      </c>
      <c r="AO255" t="e">
        <f>Milestones!AE13+"AM:!/&lt;;"</f>
        <v>#VALUE!</v>
      </c>
      <c r="AP255" t="e">
        <f>Milestones!AF13+"AM:!/&lt;&lt;"</f>
        <v>#VALUE!</v>
      </c>
      <c r="AQ255" t="e">
        <f>Milestones!AG13+"AM:!/&lt;="</f>
        <v>#VALUE!</v>
      </c>
      <c r="AR255" t="e">
        <f>Milestones!AH13+"AM:!/&lt;&gt;"</f>
        <v>#VALUE!</v>
      </c>
      <c r="AS255" t="e">
        <f>Milestones!AI13+"AM:!/&lt;?"</f>
        <v>#VALUE!</v>
      </c>
      <c r="AT255" t="e">
        <f>Milestones!AJ13+"AM:!/&lt;@"</f>
        <v>#VALUE!</v>
      </c>
      <c r="AU255" t="e">
        <f>Milestones!AK13+"AM:!/&lt;A"</f>
        <v>#VALUE!</v>
      </c>
      <c r="AV255" t="e">
        <f>Milestones!AL13+"AM:!/&lt;B"</f>
        <v>#VALUE!</v>
      </c>
      <c r="AW255" t="e">
        <f>Milestones!AM13+"AM:!/&lt;C"</f>
        <v>#VALUE!</v>
      </c>
      <c r="AX255" t="e">
        <f>Milestones!AN13+"AM:!/&lt;D"</f>
        <v>#VALUE!</v>
      </c>
      <c r="AY255" t="e">
        <f>Milestones!AO13+"AM:!/&lt;E"</f>
        <v>#VALUE!</v>
      </c>
      <c r="AZ255" t="e">
        <f>Milestones!AP13+"AM:!/&lt;F"</f>
        <v>#VALUE!</v>
      </c>
      <c r="BA255" t="e">
        <f>Milestones!AQ13+"AM:!/&lt;G"</f>
        <v>#VALUE!</v>
      </c>
      <c r="BB255" t="e">
        <f>Milestones!AR13+"AM:!/&lt;H"</f>
        <v>#VALUE!</v>
      </c>
      <c r="BC255" t="e">
        <f>Milestones!AS13+"AM:!/&lt;I"</f>
        <v>#VALUE!</v>
      </c>
      <c r="BD255" t="e">
        <f>Milestones!AT13+"AM:!/&lt;J"</f>
        <v>#VALUE!</v>
      </c>
      <c r="BE255" t="e">
        <f>Milestones!A14+"AM:!/&lt;K"</f>
        <v>#VALUE!</v>
      </c>
      <c r="BF255" t="e">
        <f>Milestones!B14+"AM:!/&lt;L"</f>
        <v>#VALUE!</v>
      </c>
      <c r="BG255" t="e">
        <f>Milestones!C14+"AM:!/&lt;M"</f>
        <v>#VALUE!</v>
      </c>
      <c r="BH255" t="e">
        <f>Milestones!D14+"AM:!/&lt;N"</f>
        <v>#VALUE!</v>
      </c>
      <c r="BI255" t="e">
        <f>Milestones!E14+"AM:!/&lt;O"</f>
        <v>#VALUE!</v>
      </c>
      <c r="BJ255" t="e">
        <f>Milestones!F14+"AM:!/&lt;P"</f>
        <v>#VALUE!</v>
      </c>
      <c r="BK255" t="e">
        <f>Milestones!G14+"AM:!/&lt;Q"</f>
        <v>#VALUE!</v>
      </c>
      <c r="BL255" t="e">
        <f>Milestones!H14+"AM:!/&lt;R"</f>
        <v>#VALUE!</v>
      </c>
      <c r="BM255" t="e">
        <f>Milestones!I14+"AM:!/&lt;S"</f>
        <v>#VALUE!</v>
      </c>
      <c r="BN255" t="e">
        <f>Milestones!J14+"AM:!/&lt;T"</f>
        <v>#VALUE!</v>
      </c>
      <c r="BO255" t="e">
        <f>Milestones!K14+"AM:!/&lt;U"</f>
        <v>#VALUE!</v>
      </c>
      <c r="BP255" t="e">
        <f>Milestones!L14+"AM:!/&lt;V"</f>
        <v>#VALUE!</v>
      </c>
      <c r="BQ255" t="e">
        <f>Milestones!M14+"AM:!/&lt;W"</f>
        <v>#VALUE!</v>
      </c>
      <c r="BR255" t="e">
        <f>Milestones!N14+"AM:!/&lt;X"</f>
        <v>#VALUE!</v>
      </c>
      <c r="BS255" t="e">
        <f>Milestones!O14+"AM:!/&lt;Y"</f>
        <v>#VALUE!</v>
      </c>
      <c r="BT255" t="e">
        <f>Milestones!P14+"AM:!/&lt;Z"</f>
        <v>#VALUE!</v>
      </c>
      <c r="BU255" t="e">
        <f>Milestones!Q14+"AM:!/&lt;["</f>
        <v>#VALUE!</v>
      </c>
      <c r="BV255" t="e">
        <f>Milestones!R14+"AM:!/&lt;\"</f>
        <v>#VALUE!</v>
      </c>
      <c r="BW255" t="e">
        <f>Milestones!S14+"AM:!/&lt;]"</f>
        <v>#VALUE!</v>
      </c>
      <c r="BX255" t="e">
        <f>Milestones!T14+"AM:!/&lt;^"</f>
        <v>#VALUE!</v>
      </c>
      <c r="BY255" t="e">
        <f>Milestones!U14+"AM:!/&lt;_"</f>
        <v>#VALUE!</v>
      </c>
      <c r="BZ255" t="e">
        <f>Milestones!V14+"AM:!/&lt;`"</f>
        <v>#VALUE!</v>
      </c>
      <c r="CA255" t="e">
        <f>Milestones!W14+"AM:!/&lt;a"</f>
        <v>#VALUE!</v>
      </c>
      <c r="CB255" t="e">
        <f>Milestones!X14+"AM:!/&lt;b"</f>
        <v>#VALUE!</v>
      </c>
      <c r="CC255" t="e">
        <f>Milestones!Y14+"AM:!/&lt;c"</f>
        <v>#VALUE!</v>
      </c>
      <c r="CD255" t="e">
        <f>Milestones!Z14+"AM:!/&lt;d"</f>
        <v>#VALUE!</v>
      </c>
      <c r="CE255" t="e">
        <f>Milestones!AA14+"AM:!/&lt;e"</f>
        <v>#VALUE!</v>
      </c>
      <c r="CF255" t="e">
        <f>Milestones!AB14+"AM:!/&lt;f"</f>
        <v>#VALUE!</v>
      </c>
      <c r="CG255" t="e">
        <f>Milestones!AC14+"AM:!/&lt;g"</f>
        <v>#VALUE!</v>
      </c>
      <c r="CH255" t="e">
        <f>Milestones!AD14+"AM:!/&lt;h"</f>
        <v>#VALUE!</v>
      </c>
      <c r="CI255" t="e">
        <f>Milestones!AE14+"AM:!/&lt;i"</f>
        <v>#VALUE!</v>
      </c>
      <c r="CJ255" t="e">
        <f>Milestones!AF14+"AM:!/&lt;j"</f>
        <v>#VALUE!</v>
      </c>
      <c r="CK255" t="e">
        <f>Milestones!AG14+"AM:!/&lt;k"</f>
        <v>#VALUE!</v>
      </c>
      <c r="CL255" t="e">
        <f>Milestones!AH14+"AM:!/&lt;l"</f>
        <v>#VALUE!</v>
      </c>
      <c r="CM255" t="e">
        <f>Milestones!AI14+"AM:!/&lt;m"</f>
        <v>#VALUE!</v>
      </c>
      <c r="CN255" t="e">
        <f>Milestones!AJ14+"AM:!/&lt;n"</f>
        <v>#VALUE!</v>
      </c>
      <c r="CO255" t="e">
        <f>Milestones!AK14+"AM:!/&lt;o"</f>
        <v>#VALUE!</v>
      </c>
      <c r="CP255" t="e">
        <f>Milestones!AL14+"AM:!/&lt;p"</f>
        <v>#VALUE!</v>
      </c>
      <c r="CQ255" t="e">
        <f>Milestones!AM14+"AM:!/&lt;q"</f>
        <v>#VALUE!</v>
      </c>
      <c r="CR255" t="e">
        <f>Milestones!AN14+"AM:!/&lt;r"</f>
        <v>#VALUE!</v>
      </c>
      <c r="CS255" t="e">
        <f>Milestones!AO14+"AM:!/&lt;s"</f>
        <v>#VALUE!</v>
      </c>
      <c r="CT255" t="e">
        <f>Milestones!AP14+"AM:!/&lt;t"</f>
        <v>#VALUE!</v>
      </c>
      <c r="CU255" t="e">
        <f>Milestones!AQ14+"AM:!/&lt;u"</f>
        <v>#VALUE!</v>
      </c>
      <c r="CV255" t="e">
        <f>Milestones!AR14+"AM:!/&lt;v"</f>
        <v>#VALUE!</v>
      </c>
      <c r="CW255" t="e">
        <f>Milestones!AS14+"AM:!/&lt;w"</f>
        <v>#VALUE!</v>
      </c>
      <c r="CX255" t="e">
        <f>Milestones!AT14+"AM:!/&lt;x"</f>
        <v>#VALUE!</v>
      </c>
      <c r="CY255" t="e">
        <f>Milestones!A15+"AM:!/&lt;y"</f>
        <v>#VALUE!</v>
      </c>
      <c r="CZ255" t="e">
        <f>Milestones!B15+"AM:!/&lt;z"</f>
        <v>#VALUE!</v>
      </c>
      <c r="DA255" t="e">
        <f>Milestones!C15+"AM:!/&lt;{"</f>
        <v>#VALUE!</v>
      </c>
      <c r="DB255" t="e">
        <f>Milestones!D15+"AM:!/&lt;|"</f>
        <v>#VALUE!</v>
      </c>
      <c r="DC255" t="e">
        <f>Milestones!E15+"AM:!/&lt;}"</f>
        <v>#VALUE!</v>
      </c>
      <c r="DD255" t="e">
        <f>Milestones!F15+"AM:!/&lt;~"</f>
        <v>#VALUE!</v>
      </c>
      <c r="DE255" t="e">
        <f>Milestones!G15+"AM:!/=#"</f>
        <v>#VALUE!</v>
      </c>
      <c r="DF255" t="e">
        <f>Milestones!H15+"AM:!/=$"</f>
        <v>#VALUE!</v>
      </c>
      <c r="DG255" t="e">
        <f>Milestones!I15+"AM:!/=%"</f>
        <v>#VALUE!</v>
      </c>
      <c r="DH255" t="e">
        <f>Milestones!J15+"AM:!/=&amp;"</f>
        <v>#VALUE!</v>
      </c>
      <c r="DI255" t="e">
        <f>Milestones!K15+"AM:!/='"</f>
        <v>#VALUE!</v>
      </c>
      <c r="DJ255" t="e">
        <f>Milestones!L15+"AM:!/=("</f>
        <v>#VALUE!</v>
      </c>
      <c r="DK255" t="e">
        <f>Milestones!M15+"AM:!/=)"</f>
        <v>#VALUE!</v>
      </c>
      <c r="DL255" t="e">
        <f>Milestones!N15+"AM:!/=."</f>
        <v>#VALUE!</v>
      </c>
      <c r="DM255" t="e">
        <f>Milestones!O15+"AM:!/=/"</f>
        <v>#VALUE!</v>
      </c>
      <c r="DN255" t="e">
        <f>Milestones!P15+"AM:!/=0"</f>
        <v>#VALUE!</v>
      </c>
      <c r="DO255" t="e">
        <f>Milestones!Q15+"AM:!/=1"</f>
        <v>#VALUE!</v>
      </c>
      <c r="DP255" t="e">
        <f>Milestones!R15+"AM:!/=2"</f>
        <v>#VALUE!</v>
      </c>
      <c r="DQ255" t="e">
        <f>Milestones!S15+"AM:!/=3"</f>
        <v>#VALUE!</v>
      </c>
      <c r="DR255" t="e">
        <f>Milestones!T15+"AM:!/=4"</f>
        <v>#VALUE!</v>
      </c>
      <c r="DS255" t="e">
        <f>Milestones!U15+"AM:!/=5"</f>
        <v>#VALUE!</v>
      </c>
      <c r="DT255" t="e">
        <f>Milestones!V15+"AM:!/=6"</f>
        <v>#VALUE!</v>
      </c>
      <c r="DU255" t="e">
        <f>Milestones!W15+"AM:!/=7"</f>
        <v>#VALUE!</v>
      </c>
      <c r="DV255" t="e">
        <f>Milestones!X15+"AM:!/=8"</f>
        <v>#VALUE!</v>
      </c>
      <c r="DW255" t="e">
        <f>Milestones!Y15+"AM:!/=9"</f>
        <v>#VALUE!</v>
      </c>
      <c r="DX255" t="e">
        <f>Milestones!Z15+"AM:!/=:"</f>
        <v>#VALUE!</v>
      </c>
      <c r="DY255" t="e">
        <f>Milestones!AA15+"AM:!/=;"</f>
        <v>#VALUE!</v>
      </c>
      <c r="DZ255" t="e">
        <f>Milestones!AB15+"AM:!/=&lt;"</f>
        <v>#VALUE!</v>
      </c>
      <c r="EA255" t="e">
        <f>Milestones!AC15+"AM:!/=="</f>
        <v>#VALUE!</v>
      </c>
      <c r="EB255" t="e">
        <f>Milestones!AD15+"AM:!/=&gt;"</f>
        <v>#VALUE!</v>
      </c>
      <c r="EC255" t="e">
        <f>Milestones!AE15+"AM:!/=?"</f>
        <v>#VALUE!</v>
      </c>
      <c r="ED255" t="e">
        <f>Milestones!AF15+"AM:!/=@"</f>
        <v>#VALUE!</v>
      </c>
      <c r="EE255" t="e">
        <f>Milestones!AG15+"AM:!/=A"</f>
        <v>#VALUE!</v>
      </c>
      <c r="EF255" t="e">
        <f>Milestones!AH15+"AM:!/=B"</f>
        <v>#VALUE!</v>
      </c>
      <c r="EG255" t="e">
        <f>Milestones!AI15+"AM:!/=C"</f>
        <v>#VALUE!</v>
      </c>
      <c r="EH255" t="e">
        <f>Milestones!AJ15+"AM:!/=D"</f>
        <v>#VALUE!</v>
      </c>
      <c r="EI255" t="e">
        <f>Milestones!AK15+"AM:!/=E"</f>
        <v>#VALUE!</v>
      </c>
      <c r="EJ255" t="e">
        <f>Milestones!AL15+"AM:!/=F"</f>
        <v>#VALUE!</v>
      </c>
      <c r="EK255" t="e">
        <f>Milestones!AM15+"AM:!/=G"</f>
        <v>#VALUE!</v>
      </c>
      <c r="EL255" t="e">
        <f>Milestones!AN15+"AM:!/=H"</f>
        <v>#VALUE!</v>
      </c>
      <c r="EM255" t="e">
        <f>Milestones!AO15+"AM:!/=I"</f>
        <v>#VALUE!</v>
      </c>
      <c r="EN255" t="e">
        <f>Milestones!AP15+"AM:!/=J"</f>
        <v>#VALUE!</v>
      </c>
      <c r="EO255" t="e">
        <f>Milestones!AQ15+"AM:!/=K"</f>
        <v>#VALUE!</v>
      </c>
      <c r="EP255" t="e">
        <f>Milestones!AR15+"AM:!/=L"</f>
        <v>#VALUE!</v>
      </c>
      <c r="EQ255" t="e">
        <f>Milestones!AS15+"AM:!/=M"</f>
        <v>#VALUE!</v>
      </c>
      <c r="ER255" t="e">
        <f>Milestones!AT15+"AM:!/=N"</f>
        <v>#VALUE!</v>
      </c>
      <c r="ES255" t="e">
        <f>Milestones!A16+"AM:!/=O"</f>
        <v>#VALUE!</v>
      </c>
      <c r="ET255" t="e">
        <f>Milestones!B16+"AM:!/=P"</f>
        <v>#VALUE!</v>
      </c>
      <c r="EU255" t="e">
        <f>Milestones!C16+"AM:!/=Q"</f>
        <v>#VALUE!</v>
      </c>
      <c r="EV255" t="e">
        <f>Milestones!D16+"AM:!/=R"</f>
        <v>#VALUE!</v>
      </c>
      <c r="EW255" t="e">
        <f>Milestones!E16+"AM:!/=S"</f>
        <v>#VALUE!</v>
      </c>
      <c r="EX255" t="e">
        <f>Milestones!F16+"AM:!/=T"</f>
        <v>#VALUE!</v>
      </c>
      <c r="EY255" t="e">
        <f>Milestones!G16+"AM:!/=U"</f>
        <v>#VALUE!</v>
      </c>
      <c r="EZ255" t="e">
        <f>Milestones!H16+"AM:!/=V"</f>
        <v>#VALUE!</v>
      </c>
      <c r="FA255" t="e">
        <f>Milestones!I16+"AM:!/=W"</f>
        <v>#VALUE!</v>
      </c>
      <c r="FB255" t="e">
        <f>Milestones!J16+"AM:!/=X"</f>
        <v>#VALUE!</v>
      </c>
      <c r="FC255" t="e">
        <f>Milestones!K16+"AM:!/=Y"</f>
        <v>#VALUE!</v>
      </c>
      <c r="FD255" t="e">
        <f>Milestones!L16+"AM:!/=Z"</f>
        <v>#VALUE!</v>
      </c>
      <c r="FE255" t="e">
        <f>Milestones!M16+"AM:!/=["</f>
        <v>#VALUE!</v>
      </c>
      <c r="FF255" t="e">
        <f>Milestones!N16+"AM:!/=\"</f>
        <v>#VALUE!</v>
      </c>
      <c r="FG255" t="e">
        <f>Milestones!O16+"AM:!/=]"</f>
        <v>#VALUE!</v>
      </c>
      <c r="FH255" t="e">
        <f>Milestones!P16+"AM:!/=^"</f>
        <v>#VALUE!</v>
      </c>
      <c r="FI255" t="e">
        <f>Milestones!Q16+"AM:!/=_"</f>
        <v>#VALUE!</v>
      </c>
      <c r="FJ255" t="e">
        <f>Milestones!R16+"AM:!/=`"</f>
        <v>#VALUE!</v>
      </c>
      <c r="FK255" t="e">
        <f>Milestones!S16+"AM:!/=a"</f>
        <v>#VALUE!</v>
      </c>
      <c r="FL255" t="e">
        <f>Milestones!T16+"AM:!/=b"</f>
        <v>#VALUE!</v>
      </c>
      <c r="FM255" t="e">
        <f>Milestones!U16+"AM:!/=c"</f>
        <v>#VALUE!</v>
      </c>
      <c r="FN255" t="e">
        <f>Milestones!V16+"AM:!/=d"</f>
        <v>#VALUE!</v>
      </c>
      <c r="FO255" t="e">
        <f>Milestones!W16+"AM:!/=e"</f>
        <v>#VALUE!</v>
      </c>
      <c r="FP255" t="e">
        <f>Milestones!X16+"AM:!/=f"</f>
        <v>#VALUE!</v>
      </c>
      <c r="FQ255" t="e">
        <f>Milestones!Y16+"AM:!/=g"</f>
        <v>#VALUE!</v>
      </c>
      <c r="FR255" t="e">
        <f>Milestones!Z16+"AM:!/=h"</f>
        <v>#VALUE!</v>
      </c>
      <c r="FS255" t="e">
        <f>Milestones!AA16+"AM:!/=i"</f>
        <v>#VALUE!</v>
      </c>
      <c r="FT255" t="e">
        <f>Milestones!AB16+"AM:!/=j"</f>
        <v>#VALUE!</v>
      </c>
      <c r="FU255" t="e">
        <f>Milestones!AC16+"AM:!/=k"</f>
        <v>#VALUE!</v>
      </c>
      <c r="FV255" t="e">
        <f>Milestones!AD16+"AM:!/=l"</f>
        <v>#VALUE!</v>
      </c>
      <c r="FW255" t="e">
        <f>Milestones!AE16+"AM:!/=m"</f>
        <v>#VALUE!</v>
      </c>
      <c r="FX255" t="e">
        <f>Milestones!AF16+"AM:!/=n"</f>
        <v>#VALUE!</v>
      </c>
      <c r="FY255" t="e">
        <f>Milestones!AG16+"AM:!/=o"</f>
        <v>#VALUE!</v>
      </c>
      <c r="FZ255" t="e">
        <f>Milestones!AH16+"AM:!/=p"</f>
        <v>#VALUE!</v>
      </c>
      <c r="GA255" t="e">
        <f>Milestones!AI16+"AM:!/=q"</f>
        <v>#VALUE!</v>
      </c>
      <c r="GB255" t="e">
        <f>Milestones!AJ16+"AM:!/=r"</f>
        <v>#VALUE!</v>
      </c>
      <c r="GC255" t="e">
        <f>Milestones!AK16+"AM:!/=s"</f>
        <v>#VALUE!</v>
      </c>
      <c r="GD255" t="e">
        <f>Milestones!AL16+"AM:!/=t"</f>
        <v>#VALUE!</v>
      </c>
      <c r="GE255" t="e">
        <f>Milestones!AM16+"AM:!/=u"</f>
        <v>#VALUE!</v>
      </c>
      <c r="GF255" t="e">
        <f>Milestones!AN16+"AM:!/=v"</f>
        <v>#VALUE!</v>
      </c>
      <c r="GG255" t="e">
        <f>Milestones!AO16+"AM:!/=w"</f>
        <v>#VALUE!</v>
      </c>
      <c r="GH255" t="e">
        <f>Milestones!AP16+"AM:!/=x"</f>
        <v>#VALUE!</v>
      </c>
      <c r="GI255" t="e">
        <f>Milestones!AQ16+"AM:!/=y"</f>
        <v>#VALUE!</v>
      </c>
      <c r="GJ255" t="e">
        <f>Milestones!AR16+"AM:!/=z"</f>
        <v>#VALUE!</v>
      </c>
      <c r="GK255" t="e">
        <f>Milestones!AS16+"AM:!/={"</f>
        <v>#VALUE!</v>
      </c>
      <c r="GL255" t="e">
        <f>Milestones!AT16+"AM:!/=|"</f>
        <v>#VALUE!</v>
      </c>
      <c r="GM255" t="e">
        <f>Milestones!A17+"AM:!/=}"</f>
        <v>#VALUE!</v>
      </c>
      <c r="GN255" t="e">
        <f>Milestones!B17+"AM:!/=~"</f>
        <v>#VALUE!</v>
      </c>
      <c r="GO255" t="e">
        <f>Milestones!C17+"AM:!/&gt;#"</f>
        <v>#VALUE!</v>
      </c>
      <c r="GP255" t="e">
        <f>Milestones!D17+"AM:!/&gt;$"</f>
        <v>#VALUE!</v>
      </c>
      <c r="GQ255" t="e">
        <f>Milestones!E17+"AM:!/&gt;%"</f>
        <v>#VALUE!</v>
      </c>
      <c r="GR255" t="e">
        <f>Milestones!F17+"AM:!/&gt;&amp;"</f>
        <v>#VALUE!</v>
      </c>
      <c r="GS255" t="e">
        <f>Milestones!G17+"AM:!/&gt;'"</f>
        <v>#VALUE!</v>
      </c>
      <c r="GT255" t="e">
        <f>Milestones!H17+"AM:!/&gt;("</f>
        <v>#VALUE!</v>
      </c>
      <c r="GU255" t="e">
        <f>Milestones!I17+"AM:!/&gt;)"</f>
        <v>#VALUE!</v>
      </c>
      <c r="GV255" t="e">
        <f>Milestones!J17+"AM:!/&gt;."</f>
        <v>#VALUE!</v>
      </c>
      <c r="GW255" t="e">
        <f>Milestones!K17+"AM:!/&gt;/"</f>
        <v>#VALUE!</v>
      </c>
      <c r="GX255" t="e">
        <f>Milestones!L17+"AM:!/&gt;0"</f>
        <v>#VALUE!</v>
      </c>
      <c r="GY255" t="e">
        <f>Milestones!M17+"AM:!/&gt;1"</f>
        <v>#VALUE!</v>
      </c>
      <c r="GZ255" t="e">
        <f>Milestones!N17+"AM:!/&gt;2"</f>
        <v>#VALUE!</v>
      </c>
      <c r="HA255" t="e">
        <f>Milestones!O17+"AM:!/&gt;3"</f>
        <v>#VALUE!</v>
      </c>
      <c r="HB255" t="e">
        <f>Milestones!P17+"AM:!/&gt;4"</f>
        <v>#VALUE!</v>
      </c>
      <c r="HC255" t="e">
        <f>Milestones!Q17+"AM:!/&gt;5"</f>
        <v>#VALUE!</v>
      </c>
      <c r="HD255" t="e">
        <f>Milestones!R17+"AM:!/&gt;6"</f>
        <v>#VALUE!</v>
      </c>
      <c r="HE255" t="e">
        <f>Milestones!S17+"AM:!/&gt;7"</f>
        <v>#VALUE!</v>
      </c>
      <c r="HF255" t="e">
        <f>Milestones!T17+"AM:!/&gt;8"</f>
        <v>#VALUE!</v>
      </c>
      <c r="HG255" t="e">
        <f>Milestones!U17+"AM:!/&gt;9"</f>
        <v>#VALUE!</v>
      </c>
      <c r="HH255" t="e">
        <f>Milestones!V17+"AM:!/&gt;:"</f>
        <v>#VALUE!</v>
      </c>
      <c r="HI255" t="e">
        <f>Milestones!W17+"AM:!/&gt;;"</f>
        <v>#VALUE!</v>
      </c>
      <c r="HJ255" t="e">
        <f>Milestones!X17+"AM:!/&gt;&lt;"</f>
        <v>#VALUE!</v>
      </c>
      <c r="HK255" t="e">
        <f>Milestones!Y17+"AM:!/&gt;="</f>
        <v>#VALUE!</v>
      </c>
      <c r="HL255" t="e">
        <f>Milestones!Z17+"AM:!/&gt;&gt;"</f>
        <v>#VALUE!</v>
      </c>
      <c r="HM255" t="e">
        <f>Milestones!AA17+"AM:!/&gt;?"</f>
        <v>#VALUE!</v>
      </c>
      <c r="HN255" t="e">
        <f>Milestones!AB17+"AM:!/&gt;@"</f>
        <v>#VALUE!</v>
      </c>
      <c r="HO255" t="e">
        <f>Milestones!AC17+"AM:!/&gt;A"</f>
        <v>#VALUE!</v>
      </c>
      <c r="HP255" t="e">
        <f>Milestones!AD17+"AM:!/&gt;B"</f>
        <v>#VALUE!</v>
      </c>
      <c r="HQ255" t="e">
        <f>Milestones!AE17+"AM:!/&gt;C"</f>
        <v>#VALUE!</v>
      </c>
      <c r="HR255" t="e">
        <f>Milestones!AF17+"AM:!/&gt;D"</f>
        <v>#VALUE!</v>
      </c>
      <c r="HS255" t="e">
        <f>Milestones!AG17+"AM:!/&gt;E"</f>
        <v>#VALUE!</v>
      </c>
      <c r="HT255" t="e">
        <f>Milestones!AH17+"AM:!/&gt;F"</f>
        <v>#VALUE!</v>
      </c>
      <c r="HU255" t="e">
        <f>Milestones!AI17+"AM:!/&gt;G"</f>
        <v>#VALUE!</v>
      </c>
      <c r="HV255" t="e">
        <f>Milestones!AJ17+"AM:!/&gt;H"</f>
        <v>#VALUE!</v>
      </c>
      <c r="HW255" t="e">
        <f>Milestones!AK17+"AM:!/&gt;I"</f>
        <v>#VALUE!</v>
      </c>
      <c r="HX255" t="e">
        <f>Milestones!AL17+"AM:!/&gt;J"</f>
        <v>#VALUE!</v>
      </c>
      <c r="HY255" t="e">
        <f>Milestones!AM17+"AM:!/&gt;K"</f>
        <v>#VALUE!</v>
      </c>
      <c r="HZ255" t="e">
        <f>Milestones!AN17+"AM:!/&gt;L"</f>
        <v>#VALUE!</v>
      </c>
      <c r="IA255" t="e">
        <f>Milestones!AO17+"AM:!/&gt;M"</f>
        <v>#VALUE!</v>
      </c>
      <c r="IB255" t="e">
        <f>Milestones!AP17+"AM:!/&gt;N"</f>
        <v>#VALUE!</v>
      </c>
      <c r="IC255" t="e">
        <f>Milestones!AQ17+"AM:!/&gt;O"</f>
        <v>#VALUE!</v>
      </c>
      <c r="ID255" t="e">
        <f>Milestones!AR17+"AM:!/&gt;P"</f>
        <v>#VALUE!</v>
      </c>
      <c r="IE255" t="e">
        <f>Milestones!AS17+"AM:!/&gt;Q"</f>
        <v>#VALUE!</v>
      </c>
      <c r="IF255" t="e">
        <f>Milestones!AT17+"AM:!/&gt;R"</f>
        <v>#VALUE!</v>
      </c>
      <c r="IG255" t="e">
        <f>Milestones!A18+"AM:!/&gt;S"</f>
        <v>#VALUE!</v>
      </c>
      <c r="IH255" t="e">
        <f>Milestones!B18+"AM:!/&gt;T"</f>
        <v>#VALUE!</v>
      </c>
      <c r="II255" t="e">
        <f>Milestones!C18+"AM:!/&gt;U"</f>
        <v>#VALUE!</v>
      </c>
      <c r="IJ255" t="e">
        <f>Milestones!D18+"AM:!/&gt;V"</f>
        <v>#VALUE!</v>
      </c>
      <c r="IK255" t="e">
        <f>Milestones!E18+"AM:!/&gt;W"</f>
        <v>#VALUE!</v>
      </c>
      <c r="IL255" t="e">
        <f>Milestones!F18+"AM:!/&gt;X"</f>
        <v>#VALUE!</v>
      </c>
      <c r="IM255" t="e">
        <f>Milestones!G18+"AM:!/&gt;Y"</f>
        <v>#VALUE!</v>
      </c>
      <c r="IN255" t="e">
        <f>Milestones!H18+"AM:!/&gt;Z"</f>
        <v>#VALUE!</v>
      </c>
      <c r="IO255" t="e">
        <f>Milestones!I18+"AM:!/&gt;["</f>
        <v>#VALUE!</v>
      </c>
      <c r="IP255" t="e">
        <f>Milestones!J18+"AM:!/&gt;\"</f>
        <v>#VALUE!</v>
      </c>
      <c r="IQ255" t="e">
        <f>Milestones!K18+"AM:!/&gt;]"</f>
        <v>#VALUE!</v>
      </c>
      <c r="IR255" t="e">
        <f>Milestones!L18+"AM:!/&gt;^"</f>
        <v>#VALUE!</v>
      </c>
      <c r="IS255" t="e">
        <f>Milestones!M18+"AM:!/&gt;_"</f>
        <v>#VALUE!</v>
      </c>
      <c r="IT255" t="e">
        <f>Milestones!N18+"AM:!/&gt;`"</f>
        <v>#VALUE!</v>
      </c>
      <c r="IU255" t="e">
        <f>Milestones!O18+"AM:!/&gt;a"</f>
        <v>#VALUE!</v>
      </c>
      <c r="IV255" t="e">
        <f>Milestones!P18+"AM:!/&gt;b"</f>
        <v>#VALUE!</v>
      </c>
    </row>
    <row r="256" spans="6:256">
      <c r="F256" t="e">
        <f>Milestones!Q18+"AM:!/&gt;c"</f>
        <v>#VALUE!</v>
      </c>
      <c r="G256" t="e">
        <f>Milestones!R18+"AM:!/&gt;d"</f>
        <v>#VALUE!</v>
      </c>
      <c r="H256" t="e">
        <f>Milestones!S18+"AM:!/&gt;e"</f>
        <v>#VALUE!</v>
      </c>
      <c r="I256" t="e">
        <f>Milestones!T18+"AM:!/&gt;f"</f>
        <v>#VALUE!</v>
      </c>
      <c r="J256" t="e">
        <f>Milestones!U18+"AM:!/&gt;g"</f>
        <v>#VALUE!</v>
      </c>
      <c r="K256" t="e">
        <f>Milestones!V18+"AM:!/&gt;h"</f>
        <v>#VALUE!</v>
      </c>
      <c r="L256" t="e">
        <f>Milestones!W18+"AM:!/&gt;i"</f>
        <v>#VALUE!</v>
      </c>
      <c r="M256" t="e">
        <f>Milestones!X18+"AM:!/&gt;j"</f>
        <v>#VALUE!</v>
      </c>
      <c r="N256" t="e">
        <f>Milestones!Y18+"AM:!/&gt;k"</f>
        <v>#VALUE!</v>
      </c>
      <c r="O256" t="e">
        <f>Milestones!Z18+"AM:!/&gt;l"</f>
        <v>#VALUE!</v>
      </c>
      <c r="P256" t="e">
        <f>Milestones!AA18+"AM:!/&gt;m"</f>
        <v>#VALUE!</v>
      </c>
      <c r="Q256" t="e">
        <f>Milestones!AB18+"AM:!/&gt;n"</f>
        <v>#VALUE!</v>
      </c>
      <c r="R256" t="e">
        <f>Milestones!AC18+"AM:!/&gt;o"</f>
        <v>#VALUE!</v>
      </c>
      <c r="S256" t="e">
        <f>Milestones!AD18+"AM:!/&gt;p"</f>
        <v>#VALUE!</v>
      </c>
      <c r="T256" t="e">
        <f>Milestones!AE18+"AM:!/&gt;q"</f>
        <v>#VALUE!</v>
      </c>
      <c r="U256" t="e">
        <f>Milestones!AF18+"AM:!/&gt;r"</f>
        <v>#VALUE!</v>
      </c>
      <c r="V256" t="e">
        <f>Milestones!AG18+"AM:!/&gt;s"</f>
        <v>#VALUE!</v>
      </c>
      <c r="W256" t="e">
        <f>Milestones!AH18+"AM:!/&gt;t"</f>
        <v>#VALUE!</v>
      </c>
      <c r="X256" t="e">
        <f>Milestones!AI18+"AM:!/&gt;u"</f>
        <v>#VALUE!</v>
      </c>
      <c r="Y256" t="e">
        <f>Milestones!AJ18+"AM:!/&gt;v"</f>
        <v>#VALUE!</v>
      </c>
      <c r="Z256" t="e">
        <f>Milestones!AK18+"AM:!/&gt;w"</f>
        <v>#VALUE!</v>
      </c>
      <c r="AA256" t="e">
        <f>Milestones!AL18+"AM:!/&gt;x"</f>
        <v>#VALUE!</v>
      </c>
      <c r="AB256" t="e">
        <f>Milestones!AM18+"AM:!/&gt;y"</f>
        <v>#VALUE!</v>
      </c>
      <c r="AC256" t="e">
        <f>Milestones!AN18+"AM:!/&gt;z"</f>
        <v>#VALUE!</v>
      </c>
      <c r="AD256" t="e">
        <f>Milestones!AO18+"AM:!/&gt;{"</f>
        <v>#VALUE!</v>
      </c>
      <c r="AE256" t="e">
        <f>Milestones!AP18+"AM:!/&gt;|"</f>
        <v>#VALUE!</v>
      </c>
      <c r="AF256" t="e">
        <f>Milestones!AQ18+"AM:!/&gt;}"</f>
        <v>#VALUE!</v>
      </c>
      <c r="AG256" t="e">
        <f>Milestones!AR18+"AM:!/&gt;~"</f>
        <v>#VALUE!</v>
      </c>
      <c r="AH256" t="e">
        <f>Milestones!AS18+"AM:!/?#"</f>
        <v>#VALUE!</v>
      </c>
      <c r="AI256" t="e">
        <f>Milestones!AT18+"AM:!/?$"</f>
        <v>#VALUE!</v>
      </c>
      <c r="AJ256" t="e">
        <f>Milestones!A19+"AM:!/?%"</f>
        <v>#VALUE!</v>
      </c>
      <c r="AK256" t="e">
        <f>Milestones!B19+"AM:!/?&amp;"</f>
        <v>#VALUE!</v>
      </c>
      <c r="AL256" t="e">
        <f>Milestones!C19+"AM:!/?'"</f>
        <v>#VALUE!</v>
      </c>
      <c r="AM256" t="e">
        <f>Milestones!D19+"AM:!/?("</f>
        <v>#VALUE!</v>
      </c>
      <c r="AN256" t="e">
        <f>Milestones!E19+"AM:!/?)"</f>
        <v>#VALUE!</v>
      </c>
      <c r="AO256" t="e">
        <f>Milestones!F19+"AM:!/?."</f>
        <v>#VALUE!</v>
      </c>
      <c r="AP256" t="e">
        <f>Milestones!G19+"AM:!/?/"</f>
        <v>#VALUE!</v>
      </c>
      <c r="AQ256" t="e">
        <f>Milestones!H19+"AM:!/?0"</f>
        <v>#VALUE!</v>
      </c>
      <c r="AR256" t="e">
        <f>Milestones!I19+"AM:!/?1"</f>
        <v>#VALUE!</v>
      </c>
      <c r="AS256" t="e">
        <f>Milestones!J19+"AM:!/?2"</f>
        <v>#VALUE!</v>
      </c>
      <c r="AT256" t="e">
        <f>Milestones!K19+"AM:!/?3"</f>
        <v>#VALUE!</v>
      </c>
      <c r="AU256" t="e">
        <f>Milestones!L19+"AM:!/?4"</f>
        <v>#VALUE!</v>
      </c>
      <c r="AV256" t="e">
        <f>Milestones!M19+"AM:!/?5"</f>
        <v>#VALUE!</v>
      </c>
      <c r="AW256" t="e">
        <f>Milestones!N19+"AM:!/?6"</f>
        <v>#VALUE!</v>
      </c>
      <c r="AX256" t="e">
        <f>Milestones!O19+"AM:!/?7"</f>
        <v>#VALUE!</v>
      </c>
      <c r="AY256" t="e">
        <f>Milestones!P19+"AM:!/?8"</f>
        <v>#VALUE!</v>
      </c>
      <c r="AZ256" t="e">
        <f>Milestones!Q19+"AM:!/?9"</f>
        <v>#VALUE!</v>
      </c>
      <c r="BA256" t="e">
        <f>Milestones!R19+"AM:!/?:"</f>
        <v>#VALUE!</v>
      </c>
      <c r="BB256" t="e">
        <f>Milestones!S19+"AM:!/?;"</f>
        <v>#VALUE!</v>
      </c>
      <c r="BC256" t="e">
        <f>Milestones!T19+"AM:!/?&lt;"</f>
        <v>#VALUE!</v>
      </c>
      <c r="BD256" t="e">
        <f>Milestones!U19+"AM:!/?="</f>
        <v>#VALUE!</v>
      </c>
      <c r="BE256" t="e">
        <f>Milestones!V19+"AM:!/?&gt;"</f>
        <v>#VALUE!</v>
      </c>
      <c r="BF256" t="e">
        <f>Milestones!W19+"AM:!/??"</f>
        <v>#VALUE!</v>
      </c>
      <c r="BG256" t="e">
        <f>Milestones!X19+"AM:!/?@"</f>
        <v>#VALUE!</v>
      </c>
      <c r="BH256" t="e">
        <f>Milestones!Y19+"AM:!/?A"</f>
        <v>#VALUE!</v>
      </c>
      <c r="BI256" t="e">
        <f>Milestones!Z19+"AM:!/?B"</f>
        <v>#VALUE!</v>
      </c>
      <c r="BJ256" t="e">
        <f>Milestones!AA19+"AM:!/?C"</f>
        <v>#VALUE!</v>
      </c>
      <c r="BK256" t="e">
        <f>Milestones!AB19+"AM:!/?D"</f>
        <v>#VALUE!</v>
      </c>
      <c r="BL256" t="e">
        <f>Milestones!AC19+"AM:!/?E"</f>
        <v>#VALUE!</v>
      </c>
      <c r="BM256" t="e">
        <f>Milestones!AD19+"AM:!/?F"</f>
        <v>#VALUE!</v>
      </c>
      <c r="BN256" t="e">
        <f>Milestones!AE19+"AM:!/?G"</f>
        <v>#VALUE!</v>
      </c>
      <c r="BO256" t="e">
        <f>Milestones!AF19+"AM:!/?H"</f>
        <v>#VALUE!</v>
      </c>
      <c r="BP256" t="e">
        <f>Milestones!AG19+"AM:!/?I"</f>
        <v>#VALUE!</v>
      </c>
      <c r="BQ256" t="e">
        <f>Milestones!AH19+"AM:!/?J"</f>
        <v>#VALUE!</v>
      </c>
      <c r="BR256" t="e">
        <f>Milestones!AI19+"AM:!/?K"</f>
        <v>#VALUE!</v>
      </c>
      <c r="BS256" t="e">
        <f>Milestones!AJ19+"AM:!/?L"</f>
        <v>#VALUE!</v>
      </c>
      <c r="BT256" t="e">
        <f>Milestones!AK19+"AM:!/?M"</f>
        <v>#VALUE!</v>
      </c>
      <c r="BU256" t="e">
        <f>Milestones!AL19+"AM:!/?N"</f>
        <v>#VALUE!</v>
      </c>
      <c r="BV256" t="e">
        <f>Milestones!AM19+"AM:!/?O"</f>
        <v>#VALUE!</v>
      </c>
      <c r="BW256" t="e">
        <f>Milestones!AN19+"AM:!/?P"</f>
        <v>#VALUE!</v>
      </c>
      <c r="BX256" t="e">
        <f>Milestones!AO19+"AM:!/?Q"</f>
        <v>#VALUE!</v>
      </c>
      <c r="BY256" t="e">
        <f>Milestones!AP19+"AM:!/?R"</f>
        <v>#VALUE!</v>
      </c>
      <c r="BZ256" t="e">
        <f>Milestones!AQ19+"AM:!/?S"</f>
        <v>#VALUE!</v>
      </c>
      <c r="CA256" t="e">
        <f>Milestones!AR19+"AM:!/?T"</f>
        <v>#VALUE!</v>
      </c>
      <c r="CB256" t="e">
        <f>Milestones!AS19+"AM:!/?U"</f>
        <v>#VALUE!</v>
      </c>
      <c r="CC256" t="e">
        <f>Milestones!AT19+"AM:!/?V"</f>
        <v>#VALUE!</v>
      </c>
      <c r="CD256" t="e">
        <f>Milestones!A20+"AM:!/?W"</f>
        <v>#VALUE!</v>
      </c>
      <c r="CE256" t="e">
        <f>Milestones!B20+"AM:!/?X"</f>
        <v>#VALUE!</v>
      </c>
      <c r="CF256" t="e">
        <f>Milestones!C20+"AM:!/?Y"</f>
        <v>#VALUE!</v>
      </c>
      <c r="CG256" t="e">
        <f>Milestones!D20+"AM:!/?Z"</f>
        <v>#VALUE!</v>
      </c>
      <c r="CH256" t="e">
        <f>Milestones!E20+"AM:!/?["</f>
        <v>#VALUE!</v>
      </c>
      <c r="CI256" t="e">
        <f>Milestones!F20+"AM:!/?\"</f>
        <v>#VALUE!</v>
      </c>
      <c r="CJ256" s="99" t="e">
        <f>Milestones!G20+"AM:!/?]"</f>
        <v>#VALUE!</v>
      </c>
      <c r="CK256" s="99" t="e">
        <f>Milestones!H20+"AM:!/?^"</f>
        <v>#VALUE!</v>
      </c>
      <c r="CL256" s="99" t="e">
        <f>Milestones!I20+"AM:!/?_"</f>
        <v>#VALUE!</v>
      </c>
      <c r="CM256" s="99" t="e">
        <f>Milestones!J20+"AM:!/?`"</f>
        <v>#VALUE!</v>
      </c>
      <c r="CN256" s="99" t="e">
        <f>Milestones!K20+"AM:!/?a"</f>
        <v>#VALUE!</v>
      </c>
      <c r="CO256" s="99" t="e">
        <f>Milestones!L20+"AM:!/?b"</f>
        <v>#VALUE!</v>
      </c>
      <c r="CP256" s="99" t="e">
        <f>Milestones!M20+"AM:!/?c"</f>
        <v>#VALUE!</v>
      </c>
      <c r="CQ256" s="99" t="e">
        <f>Milestones!N20+"AM:!/?d"</f>
        <v>#VALUE!</v>
      </c>
      <c r="CR256" s="99" t="e">
        <f>Milestones!O20+"AM:!/?e"</f>
        <v>#VALUE!</v>
      </c>
      <c r="CS256" s="99" t="e">
        <f>Milestones!P20+"AM:!/?f"</f>
        <v>#VALUE!</v>
      </c>
      <c r="CT256" s="99" t="e">
        <f>Milestones!Q20+"AM:!/?g"</f>
        <v>#VALUE!</v>
      </c>
      <c r="CU256" s="99" t="e">
        <f>Milestones!R20+"AM:!/?h"</f>
        <v>#VALUE!</v>
      </c>
      <c r="CV256" s="99" t="e">
        <f>Milestones!S20+"AM:!/?i"</f>
        <v>#VALUE!</v>
      </c>
      <c r="CW256" s="99" t="e">
        <f>Milestones!T20+"AM:!/?j"</f>
        <v>#VALUE!</v>
      </c>
      <c r="CX256" s="99" t="e">
        <f>Milestones!U20+"AM:!/?k"</f>
        <v>#VALUE!</v>
      </c>
      <c r="CY256" s="99" t="e">
        <f>Milestones!V20+"AM:!/?l"</f>
        <v>#VALUE!</v>
      </c>
      <c r="CZ256" s="99" t="e">
        <f>Milestones!W20+"AM:!/?m"</f>
        <v>#VALUE!</v>
      </c>
      <c r="DA256" s="99" t="e">
        <f>Milestones!X20+"AM:!/?n"</f>
        <v>#VALUE!</v>
      </c>
      <c r="DB256" s="99" t="e">
        <f>Milestones!Y20+"AM:!/?o"</f>
        <v>#VALUE!</v>
      </c>
      <c r="DC256" s="99" t="e">
        <f>Milestones!Z20+"AM:!/?p"</f>
        <v>#VALUE!</v>
      </c>
      <c r="DD256" s="99" t="e">
        <f>Milestones!AA20+"AM:!/?q"</f>
        <v>#VALUE!</v>
      </c>
      <c r="DE256" s="99" t="e">
        <f>Milestones!AB20+"AM:!/?r"</f>
        <v>#VALUE!</v>
      </c>
      <c r="DF256" s="99" t="e">
        <f>Milestones!AC20+"AM:!/?s"</f>
        <v>#VALUE!</v>
      </c>
      <c r="DG256" s="99" t="e">
        <f>Milestones!AD20+"AM:!/?t"</f>
        <v>#VALUE!</v>
      </c>
      <c r="DH256" s="99" t="e">
        <f>Milestones!AE20+"AM:!/?u"</f>
        <v>#VALUE!</v>
      </c>
      <c r="DI256" s="99" t="e">
        <f>Milestones!AF20+"AM:!/?v"</f>
        <v>#VALUE!</v>
      </c>
      <c r="DJ256" s="99" t="e">
        <f>Milestones!AG20+"AM:!/?w"</f>
        <v>#VALUE!</v>
      </c>
      <c r="DK256" s="99" t="e">
        <f>Milestones!AH20+"AM:!/?x"</f>
        <v>#VALUE!</v>
      </c>
      <c r="DL256" s="99" t="e">
        <f>Milestones!AI20+"AM:!/?y"</f>
        <v>#VALUE!</v>
      </c>
      <c r="DM256" s="99" t="e">
        <f>Milestones!AJ20+"AM:!/?z"</f>
        <v>#VALUE!</v>
      </c>
      <c r="DN256" s="99" t="e">
        <f>Milestones!AK20+"AM:!/?{"</f>
        <v>#VALUE!</v>
      </c>
      <c r="DO256" s="99" t="e">
        <f>Milestones!AL20+"AM:!/?|"</f>
        <v>#VALUE!</v>
      </c>
      <c r="DP256" s="99" t="e">
        <f>Milestones!AM20+"AM:!/?}"</f>
        <v>#VALUE!</v>
      </c>
      <c r="DQ256" s="99" t="e">
        <f>Milestones!AN20+"AM:!/?~"</f>
        <v>#VALUE!</v>
      </c>
      <c r="DR256" s="99" t="e">
        <f>Milestones!AO20+"AM:!/@#"</f>
        <v>#VALUE!</v>
      </c>
      <c r="DS256" s="99" t="e">
        <f>Milestones!AP20+"AM:!/@$"</f>
        <v>#VALUE!</v>
      </c>
      <c r="DT256" s="99" t="e">
        <f>Milestones!AQ20+"AM:!/@%"</f>
        <v>#VALUE!</v>
      </c>
      <c r="DU256" s="99" t="e">
        <f>Milestones!AR20+"AM:!/@&amp;"</f>
        <v>#VALUE!</v>
      </c>
      <c r="DV256" t="e">
        <f>Milestones!AS20+"AM:!/@'"</f>
        <v>#VALUE!</v>
      </c>
      <c r="DW256" t="e">
        <f>Milestones!AT20+"AM:!/@("</f>
        <v>#VALUE!</v>
      </c>
      <c r="DX256" t="e">
        <f>Milestones!A21+"AM:!/@)"</f>
        <v>#VALUE!</v>
      </c>
      <c r="DY256" t="e">
        <f>Milestones!B21+"AM:!/@."</f>
        <v>#VALUE!</v>
      </c>
      <c r="DZ256" t="e">
        <f>Milestones!C21+"AM:!/@/"</f>
        <v>#VALUE!</v>
      </c>
      <c r="EA256" t="e">
        <f>Milestones!D21+"AM:!/@0"</f>
        <v>#VALUE!</v>
      </c>
      <c r="EB256" t="e">
        <f>Milestones!E21+"AM:!/@1"</f>
        <v>#VALUE!</v>
      </c>
      <c r="EC256" t="e">
        <f>Milestones!F21+"AM:!/@2"</f>
        <v>#VALUE!</v>
      </c>
      <c r="ED256" s="99" t="e">
        <f>Milestones!G21+"AM:!/@3"</f>
        <v>#VALUE!</v>
      </c>
      <c r="EE256" s="99" t="e">
        <f>Milestones!H21+"AM:!/@4"</f>
        <v>#VALUE!</v>
      </c>
      <c r="EF256" s="99" t="e">
        <f>Milestones!I21+"AM:!/@5"</f>
        <v>#VALUE!</v>
      </c>
      <c r="EG256" s="99" t="e">
        <f>Milestones!J21+"AM:!/@6"</f>
        <v>#VALUE!</v>
      </c>
      <c r="EH256" s="99" t="e">
        <f>Milestones!K21+"AM:!/@7"</f>
        <v>#VALUE!</v>
      </c>
      <c r="EI256" s="99" t="e">
        <f>Milestones!L21+"AM:!/@8"</f>
        <v>#VALUE!</v>
      </c>
      <c r="EJ256" s="99" t="e">
        <f>Milestones!M21+"AM:!/@9"</f>
        <v>#VALUE!</v>
      </c>
      <c r="EK256" s="99" t="e">
        <f>Milestones!N21+"AM:!/@:"</f>
        <v>#VALUE!</v>
      </c>
      <c r="EL256" s="99" t="e">
        <f>Milestones!O21+"AM:!/@;"</f>
        <v>#VALUE!</v>
      </c>
      <c r="EM256" s="99" t="e">
        <f>Milestones!P21+"AM:!/@&lt;"</f>
        <v>#VALUE!</v>
      </c>
      <c r="EN256" s="99" t="e">
        <f>Milestones!Q21+"AM:!/@="</f>
        <v>#VALUE!</v>
      </c>
      <c r="EO256" s="99" t="e">
        <f>Milestones!R21+"AM:!/@&gt;"</f>
        <v>#VALUE!</v>
      </c>
      <c r="EP256" s="99" t="e">
        <f>Milestones!S21+"AM:!/@?"</f>
        <v>#VALUE!</v>
      </c>
      <c r="EQ256" s="99" t="e">
        <f>Milestones!T21+"AM:!/@@"</f>
        <v>#VALUE!</v>
      </c>
      <c r="ER256" s="99" t="e">
        <f>Milestones!U21+"AM:!/@A"</f>
        <v>#VALUE!</v>
      </c>
      <c r="ES256" s="99" t="e">
        <f>Milestones!V21+"AM:!/@B"</f>
        <v>#VALUE!</v>
      </c>
      <c r="ET256" s="99" t="e">
        <f>Milestones!W21+"AM:!/@C"</f>
        <v>#VALUE!</v>
      </c>
      <c r="EU256" s="99" t="e">
        <f>Milestones!X21+"AM:!/@D"</f>
        <v>#VALUE!</v>
      </c>
      <c r="EV256" s="99" t="e">
        <f>Milestones!Y21+"AM:!/@E"</f>
        <v>#VALUE!</v>
      </c>
      <c r="EW256" s="99" t="e">
        <f>Milestones!Z21+"AM:!/@F"</f>
        <v>#VALUE!</v>
      </c>
      <c r="EX256" s="99" t="e">
        <f>Milestones!AA21+"AM:!/@G"</f>
        <v>#VALUE!</v>
      </c>
      <c r="EY256" s="99" t="e">
        <f>Milestones!AB21+"AM:!/@H"</f>
        <v>#VALUE!</v>
      </c>
      <c r="EZ256" s="99" t="e">
        <f>Milestones!AC21+"AM:!/@I"</f>
        <v>#VALUE!</v>
      </c>
      <c r="FA256" s="99" t="e">
        <f>Milestones!AD21+"AM:!/@J"</f>
        <v>#VALUE!</v>
      </c>
      <c r="FB256" s="99" t="e">
        <f>Milestones!AE21+"AM:!/@K"</f>
        <v>#VALUE!</v>
      </c>
      <c r="FC256" s="99" t="e">
        <f>Milestones!AF21+"AM:!/@L"</f>
        <v>#VALUE!</v>
      </c>
      <c r="FD256" s="99" t="e">
        <f>Milestones!AG21+"AM:!/@M"</f>
        <v>#VALUE!</v>
      </c>
      <c r="FE256" s="99" t="e">
        <f>Milestones!AH21+"AM:!/@N"</f>
        <v>#VALUE!</v>
      </c>
      <c r="FF256" s="99" t="e">
        <f>Milestones!AI21+"AM:!/@O"</f>
        <v>#VALUE!</v>
      </c>
      <c r="FG256" s="99" t="e">
        <f>Milestones!AJ21+"AM:!/@P"</f>
        <v>#VALUE!</v>
      </c>
      <c r="FH256" s="99" t="e">
        <f>Milestones!AK21+"AM:!/@Q"</f>
        <v>#VALUE!</v>
      </c>
      <c r="FI256" s="99" t="e">
        <f>Milestones!AL21+"AM:!/@R"</f>
        <v>#VALUE!</v>
      </c>
      <c r="FJ256" s="99" t="e">
        <f>Milestones!AM21+"AM:!/@S"</f>
        <v>#VALUE!</v>
      </c>
      <c r="FK256" s="99" t="e">
        <f>Milestones!AN21+"AM:!/@T"</f>
        <v>#VALUE!</v>
      </c>
      <c r="FL256" s="99" t="e">
        <f>Milestones!AO21+"AM:!/@U"</f>
        <v>#VALUE!</v>
      </c>
      <c r="FM256" s="99" t="e">
        <f>Milestones!AP21+"AM:!/@V"</f>
        <v>#VALUE!</v>
      </c>
      <c r="FN256" s="99" t="e">
        <f>Milestones!AQ21+"AM:!/@W"</f>
        <v>#VALUE!</v>
      </c>
      <c r="FO256" s="99" t="e">
        <f>Milestones!AR21+"AM:!/@X"</f>
        <v>#VALUE!</v>
      </c>
      <c r="FP256" t="e">
        <f>Milestones!AS21+"AM:!/@Y"</f>
        <v>#VALUE!</v>
      </c>
      <c r="FQ256" t="e">
        <f>Milestones!AT21+"AM:!/@Z"</f>
        <v>#VALUE!</v>
      </c>
      <c r="FR256" t="e">
        <f>Milestones!A22+"AM:!/@["</f>
        <v>#VALUE!</v>
      </c>
      <c r="FS256" t="e">
        <f>Milestones!B22+"AM:!/@\"</f>
        <v>#VALUE!</v>
      </c>
      <c r="FT256" t="e">
        <f>Milestones!C22+"AM:!/@]"</f>
        <v>#VALUE!</v>
      </c>
      <c r="FU256" t="e">
        <f>Milestones!D22+"AM:!/@^"</f>
        <v>#VALUE!</v>
      </c>
      <c r="FV256" t="e">
        <f>Milestones!E22+"AM:!/@_"</f>
        <v>#VALUE!</v>
      </c>
      <c r="FW256" s="105" t="e">
        <f>Milestones!F22+"AM:!/@`"</f>
        <v>#VALUE!</v>
      </c>
      <c r="FX256" s="99" t="e">
        <f>Milestones!G22+"AM:!/@a"</f>
        <v>#VALUE!</v>
      </c>
      <c r="FY256" s="99" t="e">
        <f>Milestones!H22+"AM:!/@b"</f>
        <v>#VALUE!</v>
      </c>
      <c r="FZ256" s="99" t="e">
        <f>Milestones!I22+"AM:!/@c"</f>
        <v>#VALUE!</v>
      </c>
      <c r="GA256" s="99" t="e">
        <f>Milestones!J22+"AM:!/@d"</f>
        <v>#VALUE!</v>
      </c>
      <c r="GB256" s="99" t="e">
        <f>Milestones!K22+"AM:!/@e"</f>
        <v>#VALUE!</v>
      </c>
      <c r="GC256" s="99" t="e">
        <f>Milestones!L22+"AM:!/@f"</f>
        <v>#VALUE!</v>
      </c>
      <c r="GD256" s="99" t="e">
        <f>Milestones!M22+"AM:!/@g"</f>
        <v>#VALUE!</v>
      </c>
      <c r="GE256" s="99" t="e">
        <f>Milestones!N22+"AM:!/@h"</f>
        <v>#VALUE!</v>
      </c>
      <c r="GF256" s="99" t="e">
        <f>Milestones!O22+"AM:!/@i"</f>
        <v>#VALUE!</v>
      </c>
      <c r="GG256" s="99" t="e">
        <f>Milestones!P22+"AM:!/@j"</f>
        <v>#VALUE!</v>
      </c>
      <c r="GH256" s="99" t="e">
        <f>Milestones!Q22+"AM:!/@k"</f>
        <v>#VALUE!</v>
      </c>
      <c r="GI256" s="99" t="e">
        <f>Milestones!R22+"AM:!/@l"</f>
        <v>#VALUE!</v>
      </c>
      <c r="GJ256" s="99" t="e">
        <f>Milestones!S22+"AM:!/@m"</f>
        <v>#VALUE!</v>
      </c>
      <c r="GK256" s="99" t="e">
        <f>Milestones!T22+"AM:!/@n"</f>
        <v>#VALUE!</v>
      </c>
      <c r="GL256" s="99" t="e">
        <f>Milestones!U22+"AM:!/@o"</f>
        <v>#VALUE!</v>
      </c>
      <c r="GM256" s="99" t="e">
        <f>Milestones!V22+"AM:!/@p"</f>
        <v>#VALUE!</v>
      </c>
      <c r="GN256" s="99" t="e">
        <f>Milestones!W22+"AM:!/@q"</f>
        <v>#VALUE!</v>
      </c>
      <c r="GO256" s="99" t="e">
        <f>Milestones!X22+"AM:!/@r"</f>
        <v>#VALUE!</v>
      </c>
      <c r="GP256" s="99" t="e">
        <f>Milestones!Y22+"AM:!/@s"</f>
        <v>#VALUE!</v>
      </c>
      <c r="GQ256" s="99" t="e">
        <f>Milestones!Z22+"AM:!/@t"</f>
        <v>#VALUE!</v>
      </c>
      <c r="GR256" s="99" t="e">
        <f>Milestones!AA22+"AM:!/@u"</f>
        <v>#VALUE!</v>
      </c>
      <c r="GS256" s="99" t="e">
        <f>Milestones!AB22+"AM:!/@v"</f>
        <v>#VALUE!</v>
      </c>
      <c r="GT256" s="99" t="e">
        <f>Milestones!AC22+"AM:!/@w"</f>
        <v>#VALUE!</v>
      </c>
      <c r="GU256" s="99" t="e">
        <f>Milestones!AD22+"AM:!/@x"</f>
        <v>#VALUE!</v>
      </c>
      <c r="GV256" s="99" t="e">
        <f>Milestones!AE22+"AM:!/@y"</f>
        <v>#VALUE!</v>
      </c>
      <c r="GW256" s="99" t="e">
        <f>Milestones!AF22+"AM:!/@z"</f>
        <v>#VALUE!</v>
      </c>
      <c r="GX256" s="99" t="e">
        <f>Milestones!AG22+"AM:!/@{"</f>
        <v>#VALUE!</v>
      </c>
      <c r="GY256" s="99" t="e">
        <f>Milestones!AH22+"AM:!/@|"</f>
        <v>#VALUE!</v>
      </c>
      <c r="GZ256" s="99" t="e">
        <f>Milestones!AI22+"AM:!/@}"</f>
        <v>#VALUE!</v>
      </c>
      <c r="HA256" s="99" t="e">
        <f>Milestones!AJ22+"AM:!/@~"</f>
        <v>#VALUE!</v>
      </c>
      <c r="HB256" s="99" t="e">
        <f>Milestones!AK22+"AM:!/A#"</f>
        <v>#VALUE!</v>
      </c>
      <c r="HC256" s="99" t="e">
        <f>Milestones!AL22+"AM:!/A$"</f>
        <v>#VALUE!</v>
      </c>
      <c r="HD256" s="99" t="e">
        <f>Milestones!AM22+"AM:!/A%"</f>
        <v>#VALUE!</v>
      </c>
      <c r="HE256" s="99" t="e">
        <f>Milestones!AN22+"AM:!/A&amp;"</f>
        <v>#VALUE!</v>
      </c>
      <c r="HF256" s="99" t="e">
        <f>Milestones!AO22+"AM:!/A'"</f>
        <v>#VALUE!</v>
      </c>
      <c r="HG256" s="99" t="e">
        <f>Milestones!AP22+"AM:!/A("</f>
        <v>#VALUE!</v>
      </c>
      <c r="HH256" s="99" t="e">
        <f>Milestones!AQ22+"AM:!/A)"</f>
        <v>#VALUE!</v>
      </c>
      <c r="HI256" s="99" t="e">
        <f>Milestones!AR22+"AM:!/A."</f>
        <v>#VALUE!</v>
      </c>
      <c r="HJ256" t="e">
        <f>Milestones!AS22+"AM:!/A/"</f>
        <v>#VALUE!</v>
      </c>
      <c r="HK256" t="e">
        <f>Milestones!AT22+"AM:!/A0"</f>
        <v>#VALUE!</v>
      </c>
      <c r="HL256" t="e">
        <f>Milestones!A23+"AM:!/A1"</f>
        <v>#VALUE!</v>
      </c>
      <c r="HM256" t="e">
        <f>Milestones!B23+"AM:!/A2"</f>
        <v>#VALUE!</v>
      </c>
      <c r="HN256" t="e">
        <f>Milestones!C23+"AM:!/A3"</f>
        <v>#VALUE!</v>
      </c>
      <c r="HO256" t="e">
        <f>Milestones!D23+"AM:!/A4"</f>
        <v>#VALUE!</v>
      </c>
      <c r="HP256" t="e">
        <f>Milestones!E23+"AM:!/A5"</f>
        <v>#VALUE!</v>
      </c>
      <c r="HQ256" s="105" t="e">
        <f>Milestones!F23+"AM:!/A6"</f>
        <v>#VALUE!</v>
      </c>
      <c r="HR256" s="99" t="e">
        <f>Milestones!G23+"AM:!/A7"</f>
        <v>#VALUE!</v>
      </c>
      <c r="HS256" s="99" t="e">
        <f>Milestones!H23+"AM:!/A8"</f>
        <v>#VALUE!</v>
      </c>
      <c r="HT256" s="99" t="e">
        <f>Milestones!I23+"AM:!/A9"</f>
        <v>#VALUE!</v>
      </c>
      <c r="HU256" s="99" t="e">
        <f>Milestones!J23+"AM:!/A:"</f>
        <v>#VALUE!</v>
      </c>
      <c r="HV256" s="99" t="e">
        <f>Milestones!K23+"AM:!/A;"</f>
        <v>#VALUE!</v>
      </c>
      <c r="HW256" s="99" t="e">
        <f>Milestones!L23+"AM:!/A&lt;"</f>
        <v>#VALUE!</v>
      </c>
      <c r="HX256" s="99" t="e">
        <f>Milestones!M23+"AM:!/A="</f>
        <v>#VALUE!</v>
      </c>
      <c r="HY256" s="99" t="e">
        <f>Milestones!N23+"AM:!/A&gt;"</f>
        <v>#VALUE!</v>
      </c>
      <c r="HZ256" s="99" t="e">
        <f>Milestones!O23+"AM:!/A?"</f>
        <v>#VALUE!</v>
      </c>
      <c r="IA256" s="99" t="e">
        <f>Milestones!P23+"AM:!/A@"</f>
        <v>#VALUE!</v>
      </c>
      <c r="IB256" s="99" t="e">
        <f>Milestones!Q23+"AM:!/AA"</f>
        <v>#VALUE!</v>
      </c>
      <c r="IC256" s="99" t="e">
        <f>Milestones!R23+"AM:!/AB"</f>
        <v>#VALUE!</v>
      </c>
      <c r="ID256" s="99" t="e">
        <f>Milestones!S23+"AM:!/AC"</f>
        <v>#VALUE!</v>
      </c>
      <c r="IE256" s="99" t="e">
        <f>Milestones!T23+"AM:!/AD"</f>
        <v>#VALUE!</v>
      </c>
      <c r="IF256" s="99" t="e">
        <f>Milestones!U23+"AM:!/AE"</f>
        <v>#VALUE!</v>
      </c>
      <c r="IG256" s="99" t="e">
        <f>Milestones!V23+"AM:!/AF"</f>
        <v>#VALUE!</v>
      </c>
      <c r="IH256" s="99" t="e">
        <f>Milestones!W23+"AM:!/AG"</f>
        <v>#VALUE!</v>
      </c>
      <c r="II256" s="99" t="e">
        <f>Milestones!X23+"AM:!/AH"</f>
        <v>#VALUE!</v>
      </c>
      <c r="IJ256" s="99" t="e">
        <f>Milestones!Y23+"AM:!/AI"</f>
        <v>#VALUE!</v>
      </c>
      <c r="IK256" s="99" t="e">
        <f>Milestones!Z23+"AM:!/AJ"</f>
        <v>#VALUE!</v>
      </c>
      <c r="IL256" s="99" t="e">
        <f>Milestones!AA23+"AM:!/AK"</f>
        <v>#VALUE!</v>
      </c>
      <c r="IM256" s="99" t="e">
        <f>Milestones!AB23+"AM:!/AL"</f>
        <v>#VALUE!</v>
      </c>
      <c r="IN256" s="99" t="e">
        <f>Milestones!AC23+"AM:!/AM"</f>
        <v>#VALUE!</v>
      </c>
      <c r="IO256" s="99" t="e">
        <f>Milestones!AD23+"AM:!/AN"</f>
        <v>#VALUE!</v>
      </c>
      <c r="IP256" s="99" t="e">
        <f>Milestones!AE23+"AM:!/AO"</f>
        <v>#VALUE!</v>
      </c>
      <c r="IQ256" s="99" t="e">
        <f>Milestones!AF23+"AM:!/AP"</f>
        <v>#VALUE!</v>
      </c>
      <c r="IR256" s="99" t="e">
        <f>Milestones!AG23+"AM:!/AQ"</f>
        <v>#VALUE!</v>
      </c>
      <c r="IS256" s="99" t="e">
        <f>Milestones!AH23+"AM:!/AR"</f>
        <v>#VALUE!</v>
      </c>
      <c r="IT256" s="99" t="e">
        <f>Milestones!AI23+"AM:!/AS"</f>
        <v>#VALUE!</v>
      </c>
      <c r="IU256" s="99" t="e">
        <f>Milestones!AJ23+"AM:!/AT"</f>
        <v>#VALUE!</v>
      </c>
      <c r="IV256" s="99" t="e">
        <f>Milestones!AK23+"AM:!/AU"</f>
        <v>#VALUE!</v>
      </c>
    </row>
    <row r="257" spans="6:256">
      <c r="F257" s="99" t="e">
        <f>Milestones!AL23+"AM:!/AV"</f>
        <v>#VALUE!</v>
      </c>
      <c r="G257" s="99" t="e">
        <f>Milestones!AM23+"AM:!/AW"</f>
        <v>#VALUE!</v>
      </c>
      <c r="H257" s="99" t="e">
        <f>Milestones!AN23+"AM:!/AX"</f>
        <v>#VALUE!</v>
      </c>
      <c r="I257" s="99" t="e">
        <f>Milestones!AO23+"AM:!/AY"</f>
        <v>#VALUE!</v>
      </c>
      <c r="J257" s="99" t="e">
        <f>Milestones!AP23+"AM:!/AZ"</f>
        <v>#VALUE!</v>
      </c>
      <c r="K257" s="99" t="e">
        <f>Milestones!AQ23+"AM:!/A["</f>
        <v>#VALUE!</v>
      </c>
      <c r="L257" s="99" t="e">
        <f>Milestones!AR23+"AM:!/A\"</f>
        <v>#VALUE!</v>
      </c>
      <c r="M257" t="e">
        <f>Milestones!AS23+"AM:!/A]"</f>
        <v>#VALUE!</v>
      </c>
      <c r="N257" t="e">
        <f>Milestones!AT23+"AM:!/A^"</f>
        <v>#VALUE!</v>
      </c>
      <c r="O257" t="e">
        <f>Milestones!A24+"AM:!/A_"</f>
        <v>#VALUE!</v>
      </c>
      <c r="P257" t="e">
        <f>Milestones!B24+"AM:!/A`"</f>
        <v>#VALUE!</v>
      </c>
      <c r="Q257" t="e">
        <f>Milestones!C24+"AM:!/Aa"</f>
        <v>#VALUE!</v>
      </c>
      <c r="R257" t="e">
        <f>Milestones!D24+"AM:!/Ab"</f>
        <v>#VALUE!</v>
      </c>
      <c r="S257" t="e">
        <f>Milestones!E24+"AM:!/Ac"</f>
        <v>#VALUE!</v>
      </c>
      <c r="T257" s="105" t="e">
        <f>Milestones!F24+"AM:!/Ad"</f>
        <v>#VALUE!</v>
      </c>
      <c r="U257" s="99" t="e">
        <f>Milestones!G24+"AM:!/Ae"</f>
        <v>#VALUE!</v>
      </c>
      <c r="V257" s="99" t="e">
        <f>Milestones!H24+"AM:!/Af"</f>
        <v>#VALUE!</v>
      </c>
      <c r="W257" s="99" t="e">
        <f>Milestones!I24+"AM:!/Ag"</f>
        <v>#VALUE!</v>
      </c>
      <c r="X257" s="99" t="e">
        <f>Milestones!J24+"AM:!/Ah"</f>
        <v>#VALUE!</v>
      </c>
      <c r="Y257" s="99" t="e">
        <f>Milestones!K24+"AM:!/Ai"</f>
        <v>#VALUE!</v>
      </c>
      <c r="Z257" s="99" t="e">
        <f>Milestones!L24+"AM:!/Aj"</f>
        <v>#VALUE!</v>
      </c>
      <c r="AA257" s="99" t="e">
        <f>Milestones!M24+"AM:!/Ak"</f>
        <v>#VALUE!</v>
      </c>
      <c r="AB257" s="99" t="e">
        <f>Milestones!N24+"AM:!/Al"</f>
        <v>#VALUE!</v>
      </c>
      <c r="AC257" s="99" t="e">
        <f>Milestones!O24+"AM:!/Am"</f>
        <v>#VALUE!</v>
      </c>
      <c r="AD257" s="99" t="e">
        <f>Milestones!P24+"AM:!/An"</f>
        <v>#VALUE!</v>
      </c>
      <c r="AE257" s="99" t="e">
        <f>Milestones!Q24+"AM:!/Ao"</f>
        <v>#VALUE!</v>
      </c>
      <c r="AF257" s="99" t="e">
        <f>Milestones!R24+"AM:!/Ap"</f>
        <v>#VALUE!</v>
      </c>
      <c r="AG257" s="99" t="e">
        <f>Milestones!S24+"AM:!/Aq"</f>
        <v>#VALUE!</v>
      </c>
      <c r="AH257" s="99" t="e">
        <f>Milestones!T24+"AM:!/Ar"</f>
        <v>#VALUE!</v>
      </c>
      <c r="AI257" s="99" t="e">
        <f>Milestones!U24+"AM:!/As"</f>
        <v>#VALUE!</v>
      </c>
      <c r="AJ257" s="99" t="e">
        <f>Milestones!V24+"AM:!/At"</f>
        <v>#VALUE!</v>
      </c>
      <c r="AK257" s="99" t="e">
        <f>Milestones!W24+"AM:!/Au"</f>
        <v>#VALUE!</v>
      </c>
      <c r="AL257" s="99" t="e">
        <f>Milestones!X24+"AM:!/Av"</f>
        <v>#VALUE!</v>
      </c>
      <c r="AM257" s="99" t="e">
        <f>Milestones!Y24+"AM:!/Aw"</f>
        <v>#VALUE!</v>
      </c>
      <c r="AN257" s="99" t="e">
        <f>Milestones!Z24+"AM:!/Ax"</f>
        <v>#VALUE!</v>
      </c>
      <c r="AO257" s="99" t="e">
        <f>Milestones!AA24+"AM:!/Ay"</f>
        <v>#VALUE!</v>
      </c>
      <c r="AP257" s="99" t="e">
        <f>Milestones!AB24+"AM:!/Az"</f>
        <v>#VALUE!</v>
      </c>
      <c r="AQ257" s="99" t="e">
        <f>Milestones!AC24+"AM:!/A{"</f>
        <v>#VALUE!</v>
      </c>
      <c r="AR257" s="99" t="e">
        <f>Milestones!AD24+"AM:!/A|"</f>
        <v>#VALUE!</v>
      </c>
      <c r="AS257" s="99" t="e">
        <f>Milestones!AE24+"AM:!/A}"</f>
        <v>#VALUE!</v>
      </c>
      <c r="AT257" s="99" t="e">
        <f>Milestones!AF24+"AM:!/A~"</f>
        <v>#VALUE!</v>
      </c>
      <c r="AU257" s="99" t="e">
        <f>Milestones!AG24+"AM:!/B#"</f>
        <v>#VALUE!</v>
      </c>
      <c r="AV257" s="99" t="e">
        <f>Milestones!AH24+"AM:!/B$"</f>
        <v>#VALUE!</v>
      </c>
      <c r="AW257" s="99" t="e">
        <f>Milestones!AI24+"AM:!/B%"</f>
        <v>#VALUE!</v>
      </c>
      <c r="AX257" s="99" t="e">
        <f>Milestones!AJ24+"AM:!/B&amp;"</f>
        <v>#VALUE!</v>
      </c>
      <c r="AY257" s="99" t="e">
        <f>Milestones!AK24+"AM:!/B'"</f>
        <v>#VALUE!</v>
      </c>
      <c r="AZ257" s="99" t="e">
        <f>Milestones!AL24+"AM:!/B("</f>
        <v>#VALUE!</v>
      </c>
      <c r="BA257" s="99" t="e">
        <f>Milestones!AM24+"AM:!/B)"</f>
        <v>#VALUE!</v>
      </c>
      <c r="BB257" s="99" t="e">
        <f>Milestones!AN24+"AM:!/B."</f>
        <v>#VALUE!</v>
      </c>
      <c r="BC257" s="99" t="e">
        <f>Milestones!AO24+"AM:!/B/"</f>
        <v>#VALUE!</v>
      </c>
      <c r="BD257" s="99" t="e">
        <f>Milestones!AP24+"AM:!/B0"</f>
        <v>#VALUE!</v>
      </c>
      <c r="BE257" s="99" t="e">
        <f>Milestones!AQ24+"AM:!/B1"</f>
        <v>#VALUE!</v>
      </c>
      <c r="BF257" s="99" t="e">
        <f>Milestones!AR24+"AM:!/B2"</f>
        <v>#VALUE!</v>
      </c>
      <c r="BG257" t="e">
        <f>Milestones!AS24+"AM:!/B3"</f>
        <v>#VALUE!</v>
      </c>
      <c r="BH257" t="e">
        <f>Milestones!AT24+"AM:!/B4"</f>
        <v>#VALUE!</v>
      </c>
      <c r="BI257" t="e">
        <f>Milestones!A25+"AM:!/B5"</f>
        <v>#VALUE!</v>
      </c>
      <c r="BJ257" t="e">
        <f>Milestones!B25+"AM:!/B6"</f>
        <v>#VALUE!</v>
      </c>
      <c r="BK257" t="e">
        <f>Milestones!C25+"AM:!/B7"</f>
        <v>#VALUE!</v>
      </c>
      <c r="BL257" t="e">
        <f>Milestones!D25+"AM:!/B8"</f>
        <v>#VALUE!</v>
      </c>
      <c r="BM257" t="e">
        <f>Milestones!E25+"AM:!/B9"</f>
        <v>#VALUE!</v>
      </c>
      <c r="BN257" s="105" t="e">
        <f>Milestones!F25+"AM:!/B:"</f>
        <v>#VALUE!</v>
      </c>
      <c r="BO257" s="99" t="e">
        <f>Milestones!G25+"AM:!/B;"</f>
        <v>#VALUE!</v>
      </c>
      <c r="BP257" s="99" t="e">
        <f>Milestones!H25+"AM:!/B&lt;"</f>
        <v>#VALUE!</v>
      </c>
      <c r="BQ257" s="99" t="e">
        <f>Milestones!I25+"AM:!/B="</f>
        <v>#VALUE!</v>
      </c>
      <c r="BR257" s="99" t="e">
        <f>Milestones!J25+"AM:!/B&gt;"</f>
        <v>#VALUE!</v>
      </c>
      <c r="BS257" s="99" t="e">
        <f>Milestones!K25+"AM:!/B?"</f>
        <v>#VALUE!</v>
      </c>
      <c r="BT257" s="99" t="e">
        <f>Milestones!L25+"AM:!/B@"</f>
        <v>#VALUE!</v>
      </c>
      <c r="BU257" s="99" t="e">
        <f>Milestones!M25+"AM:!/BA"</f>
        <v>#VALUE!</v>
      </c>
      <c r="BV257" s="99" t="e">
        <f>Milestones!N25+"AM:!/BB"</f>
        <v>#VALUE!</v>
      </c>
      <c r="BW257" s="99" t="e">
        <f>Milestones!O25+"AM:!/BC"</f>
        <v>#VALUE!</v>
      </c>
      <c r="BX257" s="99" t="e">
        <f>Milestones!P25+"AM:!/BD"</f>
        <v>#VALUE!</v>
      </c>
      <c r="BY257" s="99" t="e">
        <f>Milestones!Q25+"AM:!/BE"</f>
        <v>#VALUE!</v>
      </c>
      <c r="BZ257" s="99" t="e">
        <f>Milestones!R25+"AM:!/BF"</f>
        <v>#VALUE!</v>
      </c>
      <c r="CA257" s="99" t="e">
        <f>Milestones!S25+"AM:!/BG"</f>
        <v>#VALUE!</v>
      </c>
      <c r="CB257" s="99" t="e">
        <f>Milestones!T25+"AM:!/BH"</f>
        <v>#VALUE!</v>
      </c>
      <c r="CC257" s="99" t="e">
        <f>Milestones!U25+"AM:!/BI"</f>
        <v>#VALUE!</v>
      </c>
      <c r="CD257" s="99" t="e">
        <f>Milestones!V25+"AM:!/BJ"</f>
        <v>#VALUE!</v>
      </c>
      <c r="CE257" s="99" t="e">
        <f>Milestones!W25+"AM:!/BK"</f>
        <v>#VALUE!</v>
      </c>
      <c r="CF257" s="99" t="e">
        <f>Milestones!X25+"AM:!/BL"</f>
        <v>#VALUE!</v>
      </c>
      <c r="CG257" s="99" t="e">
        <f>Milestones!Y25+"AM:!/BM"</f>
        <v>#VALUE!</v>
      </c>
      <c r="CH257" s="99" t="e">
        <f>Milestones!Z25+"AM:!/BN"</f>
        <v>#VALUE!</v>
      </c>
      <c r="CI257" s="99" t="e">
        <f>Milestones!AA25+"AM:!/BO"</f>
        <v>#VALUE!</v>
      </c>
      <c r="CJ257" s="99" t="e">
        <f>Milestones!AB25+"AM:!/BP"</f>
        <v>#VALUE!</v>
      </c>
      <c r="CK257" s="99" t="e">
        <f>Milestones!AC25+"AM:!/BQ"</f>
        <v>#VALUE!</v>
      </c>
      <c r="CL257" s="99" t="e">
        <f>Milestones!AD25+"AM:!/BR"</f>
        <v>#VALUE!</v>
      </c>
      <c r="CM257" s="99" t="e">
        <f>Milestones!AE25+"AM:!/BS"</f>
        <v>#VALUE!</v>
      </c>
      <c r="CN257" s="99" t="e">
        <f>Milestones!AF25+"AM:!/BT"</f>
        <v>#VALUE!</v>
      </c>
      <c r="CO257" s="99" t="e">
        <f>Milestones!AG25+"AM:!/BU"</f>
        <v>#VALUE!</v>
      </c>
      <c r="CP257" s="99" t="e">
        <f>Milestones!AH25+"AM:!/BV"</f>
        <v>#VALUE!</v>
      </c>
      <c r="CQ257" s="99" t="e">
        <f>Milestones!AI25+"AM:!/BW"</f>
        <v>#VALUE!</v>
      </c>
      <c r="CR257" s="99" t="e">
        <f>Milestones!AJ25+"AM:!/BX"</f>
        <v>#VALUE!</v>
      </c>
      <c r="CS257" s="99" t="e">
        <f>Milestones!AK25+"AM:!/BY"</f>
        <v>#VALUE!</v>
      </c>
      <c r="CT257" s="99" t="e">
        <f>Milestones!AL25+"AM:!/BZ"</f>
        <v>#VALUE!</v>
      </c>
      <c r="CU257" s="99" t="e">
        <f>Milestones!AM25+"AM:!/B["</f>
        <v>#VALUE!</v>
      </c>
      <c r="CV257" s="99" t="e">
        <f>Milestones!AN25+"AM:!/B\"</f>
        <v>#VALUE!</v>
      </c>
      <c r="CW257" s="99" t="e">
        <f>Milestones!AO25+"AM:!/B]"</f>
        <v>#VALUE!</v>
      </c>
      <c r="CX257" s="99" t="e">
        <f>Milestones!AP25+"AM:!/B^"</f>
        <v>#VALUE!</v>
      </c>
      <c r="CY257" s="99" t="e">
        <f>Milestones!AQ25+"AM:!/B_"</f>
        <v>#VALUE!</v>
      </c>
      <c r="CZ257" s="99" t="e">
        <f>Milestones!AR25+"AM:!/B`"</f>
        <v>#VALUE!</v>
      </c>
      <c r="DA257" t="e">
        <f>Milestones!AS25+"AM:!/Ba"</f>
        <v>#VALUE!</v>
      </c>
      <c r="DB257" t="e">
        <f>Milestones!AT25+"AM:!/Bb"</f>
        <v>#VALUE!</v>
      </c>
      <c r="DC257" t="e">
        <f>Milestones!A26+"AM:!/Bc"</f>
        <v>#VALUE!</v>
      </c>
      <c r="DD257" t="e">
        <f>Milestones!B26+"AM:!/Bd"</f>
        <v>#VALUE!</v>
      </c>
      <c r="DE257" t="e">
        <f>Milestones!C26+"AM:!/Be"</f>
        <v>#VALUE!</v>
      </c>
      <c r="DF257" t="e">
        <f>Milestones!D26+"AM:!/Bf"</f>
        <v>#VALUE!</v>
      </c>
      <c r="DG257" t="e">
        <f>Milestones!E26+"AM:!/Bg"</f>
        <v>#VALUE!</v>
      </c>
      <c r="DH257" s="105" t="e">
        <f>Milestones!F26+"AM:!/Bh"</f>
        <v>#VALUE!</v>
      </c>
      <c r="DI257" s="99" t="e">
        <f>Milestones!G26+"AM:!/Bi"</f>
        <v>#VALUE!</v>
      </c>
      <c r="DJ257" s="99" t="e">
        <f>Milestones!H26+"AM:!/Bj"</f>
        <v>#VALUE!</v>
      </c>
      <c r="DK257" s="99" t="e">
        <f>Milestones!I26+"AM:!/Bk"</f>
        <v>#VALUE!</v>
      </c>
      <c r="DL257" s="99" t="e">
        <f>Milestones!J26+"AM:!/Bl"</f>
        <v>#VALUE!</v>
      </c>
      <c r="DM257" s="99" t="e">
        <f>Milestones!K26+"AM:!/Bm"</f>
        <v>#VALUE!</v>
      </c>
      <c r="DN257" s="99" t="e">
        <f>Milestones!L26+"AM:!/Bn"</f>
        <v>#VALUE!</v>
      </c>
      <c r="DO257" s="99" t="e">
        <f>Milestones!M26+"AM:!/Bo"</f>
        <v>#VALUE!</v>
      </c>
      <c r="DP257" s="99" t="e">
        <f>Milestones!N26+"AM:!/Bp"</f>
        <v>#VALUE!</v>
      </c>
      <c r="DQ257" s="99" t="e">
        <f>Milestones!O26+"AM:!/Bq"</f>
        <v>#VALUE!</v>
      </c>
      <c r="DR257" s="99" t="e">
        <f>Milestones!P26+"AM:!/Br"</f>
        <v>#VALUE!</v>
      </c>
      <c r="DS257" s="99" t="e">
        <f>Milestones!Q26+"AM:!/Bs"</f>
        <v>#VALUE!</v>
      </c>
      <c r="DT257" s="99" t="e">
        <f>Milestones!R26+"AM:!/Bt"</f>
        <v>#VALUE!</v>
      </c>
      <c r="DU257" s="99" t="e">
        <f>Milestones!S26+"AM:!/Bu"</f>
        <v>#VALUE!</v>
      </c>
      <c r="DV257" s="99" t="e">
        <f>Milestones!T26+"AM:!/Bv"</f>
        <v>#VALUE!</v>
      </c>
      <c r="DW257" s="99" t="e">
        <f>Milestones!U26+"AM:!/Bw"</f>
        <v>#VALUE!</v>
      </c>
      <c r="DX257" s="99" t="e">
        <f>Milestones!V26+"AM:!/Bx"</f>
        <v>#VALUE!</v>
      </c>
      <c r="DY257" s="99" t="e">
        <f>Milestones!W26+"AM:!/By"</f>
        <v>#VALUE!</v>
      </c>
      <c r="DZ257" s="99" t="e">
        <f>Milestones!X26+"AM:!/Bz"</f>
        <v>#VALUE!</v>
      </c>
      <c r="EA257" s="99" t="e">
        <f>Milestones!Y26+"AM:!/B{"</f>
        <v>#VALUE!</v>
      </c>
      <c r="EB257" s="99" t="e">
        <f>Milestones!Z26+"AM:!/B|"</f>
        <v>#VALUE!</v>
      </c>
      <c r="EC257" s="99" t="e">
        <f>Milestones!AA26+"AM:!/B}"</f>
        <v>#VALUE!</v>
      </c>
      <c r="ED257" s="99" t="e">
        <f>Milestones!AB26+"AM:!/B~"</f>
        <v>#VALUE!</v>
      </c>
      <c r="EE257" s="99" t="e">
        <f>Milestones!AC26+"AM:!/C#"</f>
        <v>#VALUE!</v>
      </c>
      <c r="EF257" s="99" t="e">
        <f>Milestones!AD26+"AM:!/C$"</f>
        <v>#VALUE!</v>
      </c>
      <c r="EG257" s="99" t="e">
        <f>Milestones!AE26+"AM:!/C%"</f>
        <v>#VALUE!</v>
      </c>
      <c r="EH257" s="99" t="e">
        <f>Milestones!AF26+"AM:!/C&amp;"</f>
        <v>#VALUE!</v>
      </c>
      <c r="EI257" s="99" t="e">
        <f>Milestones!AG26+"AM:!/C'"</f>
        <v>#VALUE!</v>
      </c>
      <c r="EJ257" s="99" t="e">
        <f>Milestones!AH26+"AM:!/C("</f>
        <v>#VALUE!</v>
      </c>
      <c r="EK257" s="99" t="e">
        <f>Milestones!AI26+"AM:!/C)"</f>
        <v>#VALUE!</v>
      </c>
      <c r="EL257" s="99" t="e">
        <f>Milestones!AJ26+"AM:!/C."</f>
        <v>#VALUE!</v>
      </c>
      <c r="EM257" s="99" t="e">
        <f>Milestones!AK26+"AM:!/C/"</f>
        <v>#VALUE!</v>
      </c>
      <c r="EN257" s="99" t="e">
        <f>Milestones!AL26+"AM:!/C0"</f>
        <v>#VALUE!</v>
      </c>
      <c r="EO257" s="99" t="e">
        <f>Milestones!AM26+"AM:!/C1"</f>
        <v>#VALUE!</v>
      </c>
      <c r="EP257" s="99" t="e">
        <f>Milestones!AN26+"AM:!/C2"</f>
        <v>#VALUE!</v>
      </c>
      <c r="EQ257" s="99" t="e">
        <f>Milestones!AO26+"AM:!/C3"</f>
        <v>#VALUE!</v>
      </c>
      <c r="ER257" s="99" t="e">
        <f>Milestones!AP26+"AM:!/C4"</f>
        <v>#VALUE!</v>
      </c>
      <c r="ES257" s="99" t="e">
        <f>Milestones!AQ26+"AM:!/C5"</f>
        <v>#VALUE!</v>
      </c>
      <c r="ET257" s="99" t="e">
        <f>Milestones!AR26+"AM:!/C6"</f>
        <v>#VALUE!</v>
      </c>
      <c r="EU257" t="e">
        <f>Milestones!AS26+"AM:!/C7"</f>
        <v>#VALUE!</v>
      </c>
      <c r="EV257" t="e">
        <f>Milestones!AT26+"AM:!/C8"</f>
        <v>#VALUE!</v>
      </c>
      <c r="EW257" t="e">
        <f>Milestones!A27+"AM:!/C9"</f>
        <v>#VALUE!</v>
      </c>
      <c r="EX257" t="e">
        <f>Milestones!B27+"AM:!/C:"</f>
        <v>#VALUE!</v>
      </c>
      <c r="EY257" t="e">
        <f>Milestones!C27+"AM:!/C;"</f>
        <v>#VALUE!</v>
      </c>
      <c r="EZ257" t="e">
        <f>Milestones!D27+"AM:!/C&lt;"</f>
        <v>#VALUE!</v>
      </c>
      <c r="FA257" t="e">
        <f>Milestones!E27+"AM:!/C="</f>
        <v>#VALUE!</v>
      </c>
      <c r="FB257" s="105" t="e">
        <f>Milestones!F27+"AM:!/C&gt;"</f>
        <v>#VALUE!</v>
      </c>
      <c r="FC257" s="99" t="e">
        <f>Milestones!G27+"AM:!/C?"</f>
        <v>#VALUE!</v>
      </c>
      <c r="FD257" s="99" t="e">
        <f>Milestones!H27+"AM:!/C@"</f>
        <v>#VALUE!</v>
      </c>
      <c r="FE257" s="99" t="e">
        <f>Milestones!I27+"AM:!/CA"</f>
        <v>#VALUE!</v>
      </c>
      <c r="FF257" s="99" t="e">
        <f>Milestones!J27+"AM:!/CB"</f>
        <v>#VALUE!</v>
      </c>
      <c r="FG257" s="99" t="e">
        <f>Milestones!K27+"AM:!/CC"</f>
        <v>#VALUE!</v>
      </c>
      <c r="FH257" s="99" t="e">
        <f>Milestones!L27+"AM:!/CD"</f>
        <v>#VALUE!</v>
      </c>
      <c r="FI257" s="99" t="e">
        <f>Milestones!M27+"AM:!/CE"</f>
        <v>#VALUE!</v>
      </c>
      <c r="FJ257" s="99" t="e">
        <f>Milestones!N27+"AM:!/CF"</f>
        <v>#VALUE!</v>
      </c>
      <c r="FK257" s="99" t="e">
        <f>Milestones!O27+"AM:!/CG"</f>
        <v>#VALUE!</v>
      </c>
      <c r="FL257" s="99" t="e">
        <f>Milestones!P27+"AM:!/CH"</f>
        <v>#VALUE!</v>
      </c>
      <c r="FM257" s="99" t="e">
        <f>Milestones!Q27+"AM:!/CI"</f>
        <v>#VALUE!</v>
      </c>
      <c r="FN257" s="99" t="e">
        <f>Milestones!R27+"AM:!/CJ"</f>
        <v>#VALUE!</v>
      </c>
      <c r="FO257" s="99" t="e">
        <f>Milestones!S27+"AM:!/CK"</f>
        <v>#VALUE!</v>
      </c>
      <c r="FP257" s="99" t="e">
        <f>Milestones!T27+"AM:!/CL"</f>
        <v>#VALUE!</v>
      </c>
      <c r="FQ257" s="99" t="e">
        <f>Milestones!U27+"AM:!/CM"</f>
        <v>#VALUE!</v>
      </c>
      <c r="FR257" s="99" t="e">
        <f>Milestones!V27+"AM:!/CN"</f>
        <v>#VALUE!</v>
      </c>
      <c r="FS257" s="99" t="e">
        <f>Milestones!W27+"AM:!/CO"</f>
        <v>#VALUE!</v>
      </c>
      <c r="FT257" s="99" t="e">
        <f>Milestones!X27+"AM:!/CP"</f>
        <v>#VALUE!</v>
      </c>
      <c r="FU257" s="99" t="e">
        <f>Milestones!Y27+"AM:!/CQ"</f>
        <v>#VALUE!</v>
      </c>
      <c r="FV257" s="99" t="e">
        <f>Milestones!Z27+"AM:!/CR"</f>
        <v>#VALUE!</v>
      </c>
      <c r="FW257" s="99" t="e">
        <f>Milestones!AA27+"AM:!/CS"</f>
        <v>#VALUE!</v>
      </c>
      <c r="FX257" s="99" t="e">
        <f>Milestones!AB27+"AM:!/CT"</f>
        <v>#VALUE!</v>
      </c>
      <c r="FY257" s="99" t="e">
        <f>Milestones!AC27+"AM:!/CU"</f>
        <v>#VALUE!</v>
      </c>
      <c r="FZ257" s="99" t="e">
        <f>Milestones!AD27+"AM:!/CV"</f>
        <v>#VALUE!</v>
      </c>
      <c r="GA257" s="99" t="e">
        <f>Milestones!AE27+"AM:!/CW"</f>
        <v>#VALUE!</v>
      </c>
      <c r="GB257" s="99" t="e">
        <f>Milestones!AF27+"AM:!/CX"</f>
        <v>#VALUE!</v>
      </c>
      <c r="GC257" s="99" t="e">
        <f>Milestones!AG27+"AM:!/CY"</f>
        <v>#VALUE!</v>
      </c>
      <c r="GD257" s="99" t="e">
        <f>Milestones!AH27+"AM:!/CZ"</f>
        <v>#VALUE!</v>
      </c>
      <c r="GE257" s="99" t="e">
        <f>Milestones!AI27+"AM:!/C["</f>
        <v>#VALUE!</v>
      </c>
      <c r="GF257" s="99" t="e">
        <f>Milestones!AJ27+"AM:!/C\"</f>
        <v>#VALUE!</v>
      </c>
      <c r="GG257" s="99" t="e">
        <f>Milestones!AK27+"AM:!/C]"</f>
        <v>#VALUE!</v>
      </c>
      <c r="GH257" s="99" t="e">
        <f>Milestones!AL27+"AM:!/C^"</f>
        <v>#VALUE!</v>
      </c>
      <c r="GI257" s="99" t="e">
        <f>Milestones!AM27+"AM:!/C_"</f>
        <v>#VALUE!</v>
      </c>
      <c r="GJ257" s="99" t="e">
        <f>Milestones!AN27+"AM:!/C`"</f>
        <v>#VALUE!</v>
      </c>
      <c r="GK257" s="99" t="e">
        <f>Milestones!AO27+"AM:!/Ca"</f>
        <v>#VALUE!</v>
      </c>
      <c r="GL257" s="99" t="e">
        <f>Milestones!AP27+"AM:!/Cb"</f>
        <v>#VALUE!</v>
      </c>
      <c r="GM257" s="99" t="e">
        <f>Milestones!AQ27+"AM:!/Cc"</f>
        <v>#VALUE!</v>
      </c>
      <c r="GN257" s="99" t="e">
        <f>Milestones!AR27+"AM:!/Cd"</f>
        <v>#VALUE!</v>
      </c>
      <c r="GO257" t="e">
        <f>Milestones!AS27+"AM:!/Ce"</f>
        <v>#VALUE!</v>
      </c>
      <c r="GP257" t="e">
        <f>Milestones!AT27+"AM:!/Cf"</f>
        <v>#VALUE!</v>
      </c>
      <c r="GQ257" t="e">
        <f>Milestones!A28+"AM:!/Cg"</f>
        <v>#VALUE!</v>
      </c>
      <c r="GR257" t="e">
        <f>Milestones!B28+"AM:!/Ch"</f>
        <v>#VALUE!</v>
      </c>
      <c r="GS257" t="e">
        <f>Milestones!C28+"AM:!/Ci"</f>
        <v>#VALUE!</v>
      </c>
      <c r="GT257" t="e">
        <f>Milestones!D28+"AM:!/Cj"</f>
        <v>#VALUE!</v>
      </c>
      <c r="GU257" t="e">
        <f>Milestones!E28+"AM:!/Ck"</f>
        <v>#VALUE!</v>
      </c>
      <c r="GV257" s="105" t="e">
        <f>Milestones!F28+"AM:!/Cl"</f>
        <v>#VALUE!</v>
      </c>
      <c r="GW257" s="99" t="e">
        <f>Milestones!G28+"AM:!/Cm"</f>
        <v>#VALUE!</v>
      </c>
      <c r="GX257" s="99" t="e">
        <f>Milestones!H28+"AM:!/Cn"</f>
        <v>#VALUE!</v>
      </c>
      <c r="GY257" s="99" t="e">
        <f>Milestones!I28+"AM:!/Co"</f>
        <v>#VALUE!</v>
      </c>
      <c r="GZ257" s="99" t="e">
        <f>Milestones!J28+"AM:!/Cp"</f>
        <v>#VALUE!</v>
      </c>
      <c r="HA257" s="99" t="e">
        <f>Milestones!K28+"AM:!/Cq"</f>
        <v>#VALUE!</v>
      </c>
      <c r="HB257" s="99" t="e">
        <f>Milestones!L28+"AM:!/Cr"</f>
        <v>#VALUE!</v>
      </c>
      <c r="HC257" s="99" t="e">
        <f>Milestones!M28+"AM:!/Cs"</f>
        <v>#VALUE!</v>
      </c>
      <c r="HD257" s="99" t="e">
        <f>Milestones!N28+"AM:!/Ct"</f>
        <v>#VALUE!</v>
      </c>
      <c r="HE257" s="99" t="e">
        <f>Milestones!O28+"AM:!/Cu"</f>
        <v>#VALUE!</v>
      </c>
      <c r="HF257" s="99" t="e">
        <f>Milestones!P28+"AM:!/Cv"</f>
        <v>#VALUE!</v>
      </c>
      <c r="HG257" s="99" t="e">
        <f>Milestones!Q28+"AM:!/Cw"</f>
        <v>#VALUE!</v>
      </c>
      <c r="HH257" s="99" t="e">
        <f>Milestones!R28+"AM:!/Cx"</f>
        <v>#VALUE!</v>
      </c>
      <c r="HI257" s="99" t="e">
        <f>Milestones!S28+"AM:!/Cy"</f>
        <v>#VALUE!</v>
      </c>
      <c r="HJ257" s="99" t="e">
        <f>Milestones!T28+"AM:!/Cz"</f>
        <v>#VALUE!</v>
      </c>
      <c r="HK257" s="99" t="e">
        <f>Milestones!U28+"AM:!/C{"</f>
        <v>#VALUE!</v>
      </c>
      <c r="HL257" s="99" t="e">
        <f>Milestones!V28+"AM:!/C|"</f>
        <v>#VALUE!</v>
      </c>
      <c r="HM257" s="99" t="e">
        <f>Milestones!W28+"AM:!/C}"</f>
        <v>#VALUE!</v>
      </c>
      <c r="HN257" s="99" t="e">
        <f>Milestones!X28+"AM:!/C~"</f>
        <v>#VALUE!</v>
      </c>
      <c r="HO257" s="99" t="e">
        <f>Milestones!Y28+"AM:!/D#"</f>
        <v>#VALUE!</v>
      </c>
      <c r="HP257" s="99" t="e">
        <f>Milestones!Z28+"AM:!/D$"</f>
        <v>#VALUE!</v>
      </c>
      <c r="HQ257" s="99" t="e">
        <f>Milestones!AA28+"AM:!/D%"</f>
        <v>#VALUE!</v>
      </c>
      <c r="HR257" s="99" t="e">
        <f>Milestones!AB28+"AM:!/D&amp;"</f>
        <v>#VALUE!</v>
      </c>
      <c r="HS257" s="99" t="e">
        <f>Milestones!AC28+"AM:!/D'"</f>
        <v>#VALUE!</v>
      </c>
      <c r="HT257" s="99" t="e">
        <f>Milestones!AD28+"AM:!/D("</f>
        <v>#VALUE!</v>
      </c>
      <c r="HU257" s="99" t="e">
        <f>Milestones!AE28+"AM:!/D)"</f>
        <v>#VALUE!</v>
      </c>
      <c r="HV257" s="99" t="e">
        <f>Milestones!AF28+"AM:!/D."</f>
        <v>#VALUE!</v>
      </c>
      <c r="HW257" s="99" t="e">
        <f>Milestones!AG28+"AM:!/D/"</f>
        <v>#VALUE!</v>
      </c>
      <c r="HX257" s="99" t="e">
        <f>Milestones!AH28+"AM:!/D0"</f>
        <v>#VALUE!</v>
      </c>
      <c r="HY257" s="99" t="e">
        <f>Milestones!AI28+"AM:!/D1"</f>
        <v>#VALUE!</v>
      </c>
      <c r="HZ257" s="99" t="e">
        <f>Milestones!AJ28+"AM:!/D2"</f>
        <v>#VALUE!</v>
      </c>
      <c r="IA257" s="99" t="e">
        <f>Milestones!AK28+"AM:!/D3"</f>
        <v>#VALUE!</v>
      </c>
      <c r="IB257" s="99" t="e">
        <f>Milestones!AL28+"AM:!/D4"</f>
        <v>#VALUE!</v>
      </c>
      <c r="IC257" s="99" t="e">
        <f>Milestones!AM28+"AM:!/D5"</f>
        <v>#VALUE!</v>
      </c>
      <c r="ID257" s="99" t="e">
        <f>Milestones!AN28+"AM:!/D6"</f>
        <v>#VALUE!</v>
      </c>
      <c r="IE257" s="99" t="e">
        <f>Milestones!AO28+"AM:!/D7"</f>
        <v>#VALUE!</v>
      </c>
      <c r="IF257" s="99" t="e">
        <f>Milestones!AP28+"AM:!/D8"</f>
        <v>#VALUE!</v>
      </c>
      <c r="IG257" s="99" t="e">
        <f>Milestones!AQ28+"AM:!/D9"</f>
        <v>#VALUE!</v>
      </c>
      <c r="IH257" s="99" t="e">
        <f>Milestones!AR28+"AM:!/D:"</f>
        <v>#VALUE!</v>
      </c>
      <c r="II257" t="e">
        <f>Milestones!AS28+"AM:!/D;"</f>
        <v>#VALUE!</v>
      </c>
      <c r="IJ257" t="e">
        <f>Milestones!AT28+"AM:!/D&lt;"</f>
        <v>#VALUE!</v>
      </c>
      <c r="IK257" t="e">
        <f>Milestones!A29+"AM:!/D="</f>
        <v>#VALUE!</v>
      </c>
      <c r="IL257" t="e">
        <f>Milestones!B29+"AM:!/D&gt;"</f>
        <v>#VALUE!</v>
      </c>
      <c r="IM257" t="e">
        <f>Milestones!C29+"AM:!/D?"</f>
        <v>#VALUE!</v>
      </c>
      <c r="IN257" t="e">
        <f>Milestones!D29+"AM:!/D@"</f>
        <v>#VALUE!</v>
      </c>
      <c r="IO257" t="e">
        <f>Milestones!E29+"AM:!/DA"</f>
        <v>#VALUE!</v>
      </c>
      <c r="IP257" s="105" t="e">
        <f>Milestones!F29+"AM:!/DB"</f>
        <v>#VALUE!</v>
      </c>
      <c r="IQ257" s="99" t="e">
        <f>Milestones!G29+"AM:!/DC"</f>
        <v>#VALUE!</v>
      </c>
      <c r="IR257" s="99" t="e">
        <f>Milestones!H29+"AM:!/DD"</f>
        <v>#VALUE!</v>
      </c>
      <c r="IS257" s="99" t="e">
        <f>Milestones!I29+"AM:!/DE"</f>
        <v>#VALUE!</v>
      </c>
      <c r="IT257" s="99" t="e">
        <f>Milestones!J29+"AM:!/DF"</f>
        <v>#VALUE!</v>
      </c>
      <c r="IU257" s="99" t="e">
        <f>Milestones!K29+"AM:!/DG"</f>
        <v>#VALUE!</v>
      </c>
      <c r="IV257" s="99" t="e">
        <f>Milestones!L29+"AM:!/DH"</f>
        <v>#VALUE!</v>
      </c>
    </row>
    <row r="258" spans="6:256">
      <c r="F258" s="99" t="e">
        <f>Milestones!M29+"AM:!/DI"</f>
        <v>#VALUE!</v>
      </c>
      <c r="G258" s="99" t="e">
        <f>Milestones!N29+"AM:!/DJ"</f>
        <v>#VALUE!</v>
      </c>
      <c r="H258" s="99" t="e">
        <f>Milestones!O29+"AM:!/DK"</f>
        <v>#VALUE!</v>
      </c>
      <c r="I258" s="99" t="e">
        <f>Milestones!P29+"AM:!/DL"</f>
        <v>#VALUE!</v>
      </c>
      <c r="J258" s="99" t="e">
        <f>Milestones!Q29+"AM:!/DM"</f>
        <v>#VALUE!</v>
      </c>
      <c r="K258" s="99" t="e">
        <f>Milestones!R29+"AM:!/DN"</f>
        <v>#VALUE!</v>
      </c>
      <c r="L258" s="99" t="e">
        <f>Milestones!S29+"AM:!/DO"</f>
        <v>#VALUE!</v>
      </c>
      <c r="M258" s="99" t="e">
        <f>Milestones!T29+"AM:!/DP"</f>
        <v>#VALUE!</v>
      </c>
      <c r="N258" s="99" t="e">
        <f>Milestones!U29+"AM:!/DQ"</f>
        <v>#VALUE!</v>
      </c>
      <c r="O258" s="99" t="e">
        <f>Milestones!V29+"AM:!/DR"</f>
        <v>#VALUE!</v>
      </c>
      <c r="P258" s="99" t="e">
        <f>Milestones!W29+"AM:!/DS"</f>
        <v>#VALUE!</v>
      </c>
      <c r="Q258" s="99" t="e">
        <f>Milestones!X29+"AM:!/DT"</f>
        <v>#VALUE!</v>
      </c>
      <c r="R258" s="99" t="e">
        <f>Milestones!Y29+"AM:!/DU"</f>
        <v>#VALUE!</v>
      </c>
      <c r="S258" s="99" t="e">
        <f>Milestones!Z29+"AM:!/DV"</f>
        <v>#VALUE!</v>
      </c>
      <c r="T258" s="99" t="e">
        <f>Milestones!AA29+"AM:!/DW"</f>
        <v>#VALUE!</v>
      </c>
      <c r="U258" s="99" t="e">
        <f>Milestones!AB29+"AM:!/DX"</f>
        <v>#VALUE!</v>
      </c>
      <c r="V258" s="99" t="e">
        <f>Milestones!AC29+"AM:!/DY"</f>
        <v>#VALUE!</v>
      </c>
      <c r="W258" s="99" t="e">
        <f>Milestones!AD29+"AM:!/DZ"</f>
        <v>#VALUE!</v>
      </c>
      <c r="X258" s="99" t="e">
        <f>Milestones!AE29+"AM:!/D["</f>
        <v>#VALUE!</v>
      </c>
      <c r="Y258" s="99" t="e">
        <f>Milestones!AF29+"AM:!/D\"</f>
        <v>#VALUE!</v>
      </c>
      <c r="Z258" s="99" t="e">
        <f>Milestones!AG29+"AM:!/D]"</f>
        <v>#VALUE!</v>
      </c>
      <c r="AA258" s="99" t="e">
        <f>Milestones!AH29+"AM:!/D^"</f>
        <v>#VALUE!</v>
      </c>
      <c r="AB258" s="99" t="e">
        <f>Milestones!AI29+"AM:!/D_"</f>
        <v>#VALUE!</v>
      </c>
      <c r="AC258" s="99" t="e">
        <f>Milestones!AJ29+"AM:!/D`"</f>
        <v>#VALUE!</v>
      </c>
      <c r="AD258" s="99" t="e">
        <f>Milestones!AK29+"AM:!/Da"</f>
        <v>#VALUE!</v>
      </c>
      <c r="AE258" s="99" t="e">
        <f>Milestones!AL29+"AM:!/Db"</f>
        <v>#VALUE!</v>
      </c>
      <c r="AF258" s="99" t="e">
        <f>Milestones!AM29+"AM:!/Dc"</f>
        <v>#VALUE!</v>
      </c>
      <c r="AG258" s="99" t="e">
        <f>Milestones!AN29+"AM:!/Dd"</f>
        <v>#VALUE!</v>
      </c>
      <c r="AH258" s="99" t="e">
        <f>Milestones!AO29+"AM:!/De"</f>
        <v>#VALUE!</v>
      </c>
      <c r="AI258" s="99" t="e">
        <f>Milestones!AP29+"AM:!/Df"</f>
        <v>#VALUE!</v>
      </c>
      <c r="AJ258" s="99" t="e">
        <f>Milestones!AQ29+"AM:!/Dg"</f>
        <v>#VALUE!</v>
      </c>
      <c r="AK258" s="99" t="e">
        <f>Milestones!AR29+"AM:!/Dh"</f>
        <v>#VALUE!</v>
      </c>
      <c r="AL258" t="e">
        <f>Milestones!AS29+"AM:!/Di"</f>
        <v>#VALUE!</v>
      </c>
      <c r="AM258" t="e">
        <f>Milestones!AT29+"AM:!/Dj"</f>
        <v>#VALUE!</v>
      </c>
      <c r="AN258" t="e">
        <f>Milestones!A30+"AM:!/Dk"</f>
        <v>#VALUE!</v>
      </c>
      <c r="AO258" t="e">
        <f>Milestones!B30+"AM:!/Dl"</f>
        <v>#VALUE!</v>
      </c>
      <c r="AP258" t="e">
        <f>Milestones!C30+"AM:!/Dm"</f>
        <v>#VALUE!</v>
      </c>
      <c r="AQ258" t="e">
        <f>Milestones!D30+"AM:!/Dn"</f>
        <v>#VALUE!</v>
      </c>
      <c r="AR258" t="e">
        <f>Milestones!E30+"AM:!/Do"</f>
        <v>#VALUE!</v>
      </c>
      <c r="AS258" s="105" t="e">
        <f>Milestones!F30+"AM:!/Dp"</f>
        <v>#VALUE!</v>
      </c>
      <c r="AT258" s="99" t="e">
        <f>Milestones!G30+"AM:!/Dq"</f>
        <v>#VALUE!</v>
      </c>
      <c r="AU258" s="99" t="e">
        <f>Milestones!H30+"AM:!/Dr"</f>
        <v>#VALUE!</v>
      </c>
      <c r="AV258" s="99" t="e">
        <f>Milestones!I30+"AM:!/Ds"</f>
        <v>#VALUE!</v>
      </c>
      <c r="AW258" s="99" t="e">
        <f>Milestones!J30+"AM:!/Dt"</f>
        <v>#VALUE!</v>
      </c>
      <c r="AX258" s="99" t="e">
        <f>Milestones!K30+"AM:!/Du"</f>
        <v>#VALUE!</v>
      </c>
      <c r="AY258" s="99" t="e">
        <f>Milestones!L30+"AM:!/Dv"</f>
        <v>#VALUE!</v>
      </c>
      <c r="AZ258" s="99" t="e">
        <f>Milestones!M30+"AM:!/Dw"</f>
        <v>#VALUE!</v>
      </c>
      <c r="BA258" s="99" t="e">
        <f>Milestones!N30+"AM:!/Dx"</f>
        <v>#VALUE!</v>
      </c>
      <c r="BB258" s="99" t="e">
        <f>Milestones!O30+"AM:!/Dy"</f>
        <v>#VALUE!</v>
      </c>
      <c r="BC258" s="99" t="e">
        <f>Milestones!P30+"AM:!/Dz"</f>
        <v>#VALUE!</v>
      </c>
      <c r="BD258" s="99" t="e">
        <f>Milestones!Q30+"AM:!/D{"</f>
        <v>#VALUE!</v>
      </c>
      <c r="BE258" s="99" t="e">
        <f>Milestones!R30+"AM:!/D|"</f>
        <v>#VALUE!</v>
      </c>
      <c r="BF258" s="99" t="e">
        <f>Milestones!S30+"AM:!/D}"</f>
        <v>#VALUE!</v>
      </c>
      <c r="BG258" s="99" t="e">
        <f>Milestones!T30+"AM:!/D~"</f>
        <v>#VALUE!</v>
      </c>
      <c r="BH258" s="99" t="e">
        <f>Milestones!U30+"AM:!/E#"</f>
        <v>#VALUE!</v>
      </c>
      <c r="BI258" s="99" t="e">
        <f>Milestones!V30+"AM:!/E$"</f>
        <v>#VALUE!</v>
      </c>
      <c r="BJ258" s="99" t="e">
        <f>Milestones!W30+"AM:!/E%"</f>
        <v>#VALUE!</v>
      </c>
      <c r="BK258" s="99" t="e">
        <f>Milestones!X30+"AM:!/E&amp;"</f>
        <v>#VALUE!</v>
      </c>
      <c r="BL258" s="99" t="e">
        <f>Milestones!Y30+"AM:!/E'"</f>
        <v>#VALUE!</v>
      </c>
      <c r="BM258" s="99" t="e">
        <f>Milestones!Z30+"AM:!/E("</f>
        <v>#VALUE!</v>
      </c>
      <c r="BN258" s="99" t="e">
        <f>Milestones!AA30+"AM:!/E)"</f>
        <v>#VALUE!</v>
      </c>
      <c r="BO258" s="99" t="e">
        <f>Milestones!AB30+"AM:!/E."</f>
        <v>#VALUE!</v>
      </c>
      <c r="BP258" s="99" t="e">
        <f>Milestones!AC30+"AM:!/E/"</f>
        <v>#VALUE!</v>
      </c>
      <c r="BQ258" s="99" t="e">
        <f>Milestones!AD30+"AM:!/E0"</f>
        <v>#VALUE!</v>
      </c>
      <c r="BR258" s="99" t="e">
        <f>Milestones!AE30+"AM:!/E1"</f>
        <v>#VALUE!</v>
      </c>
      <c r="BS258" s="99" t="e">
        <f>Milestones!AF30+"AM:!/E2"</f>
        <v>#VALUE!</v>
      </c>
      <c r="BT258" s="99" t="e">
        <f>Milestones!AG30+"AM:!/E3"</f>
        <v>#VALUE!</v>
      </c>
      <c r="BU258" s="99" t="e">
        <f>Milestones!AH30+"AM:!/E4"</f>
        <v>#VALUE!</v>
      </c>
      <c r="BV258" s="99" t="e">
        <f>Milestones!AI30+"AM:!/E5"</f>
        <v>#VALUE!</v>
      </c>
      <c r="BW258" s="99" t="e">
        <f>Milestones!AJ30+"AM:!/E6"</f>
        <v>#VALUE!</v>
      </c>
      <c r="BX258" s="99" t="e">
        <f>Milestones!AK30+"AM:!/E7"</f>
        <v>#VALUE!</v>
      </c>
      <c r="BY258" s="99" t="e">
        <f>Milestones!AL30+"AM:!/E8"</f>
        <v>#VALUE!</v>
      </c>
      <c r="BZ258" s="99" t="e">
        <f>Milestones!AM30+"AM:!/E9"</f>
        <v>#VALUE!</v>
      </c>
      <c r="CA258" s="99" t="e">
        <f>Milestones!AN30+"AM:!/E:"</f>
        <v>#VALUE!</v>
      </c>
      <c r="CB258" s="99" t="e">
        <f>Milestones!AO30+"AM:!/E;"</f>
        <v>#VALUE!</v>
      </c>
      <c r="CC258" s="99" t="e">
        <f>Milestones!AP30+"AM:!/E&lt;"</f>
        <v>#VALUE!</v>
      </c>
      <c r="CD258" s="99" t="e">
        <f>Milestones!AQ30+"AM:!/E="</f>
        <v>#VALUE!</v>
      </c>
      <c r="CE258" s="99" t="e">
        <f>Milestones!AR30+"AM:!/E&gt;"</f>
        <v>#VALUE!</v>
      </c>
      <c r="CF258" t="e">
        <f>Milestones!AS30+"AM:!/E?"</f>
        <v>#VALUE!</v>
      </c>
      <c r="CG258" t="e">
        <f>Milestones!AT30+"AM:!/E@"</f>
        <v>#VALUE!</v>
      </c>
      <c r="CH258" t="e">
        <f>Milestones!A31+"AM:!/EA"</f>
        <v>#VALUE!</v>
      </c>
      <c r="CI258" t="e">
        <f>Milestones!B31+"AM:!/EB"</f>
        <v>#VALUE!</v>
      </c>
      <c r="CJ258" t="e">
        <f>Milestones!C31+"AM:!/EC"</f>
        <v>#VALUE!</v>
      </c>
      <c r="CK258" t="e">
        <f>Milestones!D31+"AM:!/ED"</f>
        <v>#VALUE!</v>
      </c>
      <c r="CL258" t="e">
        <f>Milestones!E31+"AM:!/EE"</f>
        <v>#VALUE!</v>
      </c>
      <c r="CM258" s="105" t="e">
        <f>Milestones!F31+"AM:!/EF"</f>
        <v>#VALUE!</v>
      </c>
      <c r="CN258" s="99" t="e">
        <f>Milestones!G31+"AM:!/EG"</f>
        <v>#VALUE!</v>
      </c>
      <c r="CO258" s="99" t="e">
        <f>Milestones!H31+"AM:!/EH"</f>
        <v>#VALUE!</v>
      </c>
      <c r="CP258" s="99" t="e">
        <f>Milestones!I31+"AM:!/EI"</f>
        <v>#VALUE!</v>
      </c>
      <c r="CQ258" s="99" t="e">
        <f>Milestones!J31+"AM:!/EJ"</f>
        <v>#VALUE!</v>
      </c>
      <c r="CR258" s="99" t="e">
        <f>Milestones!K31+"AM:!/EK"</f>
        <v>#VALUE!</v>
      </c>
      <c r="CS258" s="99" t="e">
        <f>Milestones!L31+"AM:!/EL"</f>
        <v>#VALUE!</v>
      </c>
      <c r="CT258" s="99" t="e">
        <f>Milestones!M31+"AM:!/EM"</f>
        <v>#VALUE!</v>
      </c>
      <c r="CU258" s="99" t="e">
        <f>Milestones!N31+"AM:!/EN"</f>
        <v>#VALUE!</v>
      </c>
      <c r="CV258" s="99" t="e">
        <f>Milestones!O31+"AM:!/EO"</f>
        <v>#VALUE!</v>
      </c>
      <c r="CW258" s="99" t="e">
        <f>Milestones!P31+"AM:!/EP"</f>
        <v>#VALUE!</v>
      </c>
      <c r="CX258" s="99" t="e">
        <f>Milestones!Q31+"AM:!/EQ"</f>
        <v>#VALUE!</v>
      </c>
      <c r="CY258" s="99" t="e">
        <f>Milestones!R31+"AM:!/ER"</f>
        <v>#VALUE!</v>
      </c>
      <c r="CZ258" s="99" t="e">
        <f>Milestones!S31+"AM:!/ES"</f>
        <v>#VALUE!</v>
      </c>
      <c r="DA258" s="99" t="e">
        <f>Milestones!T31+"AM:!/ET"</f>
        <v>#VALUE!</v>
      </c>
      <c r="DB258" s="99" t="e">
        <f>Milestones!U31+"AM:!/EU"</f>
        <v>#VALUE!</v>
      </c>
      <c r="DC258" s="99" t="e">
        <f>Milestones!V31+"AM:!/EV"</f>
        <v>#VALUE!</v>
      </c>
      <c r="DD258" s="99" t="e">
        <f>Milestones!W31+"AM:!/EW"</f>
        <v>#VALUE!</v>
      </c>
      <c r="DE258" s="99" t="e">
        <f>Milestones!X31+"AM:!/EX"</f>
        <v>#VALUE!</v>
      </c>
      <c r="DF258" s="99" t="e">
        <f>Milestones!Y31+"AM:!/EY"</f>
        <v>#VALUE!</v>
      </c>
      <c r="DG258" s="99" t="e">
        <f>Milestones!Z31+"AM:!/EZ"</f>
        <v>#VALUE!</v>
      </c>
      <c r="DH258" s="99" t="e">
        <f>Milestones!AA31+"AM:!/E["</f>
        <v>#VALUE!</v>
      </c>
      <c r="DI258" s="99" t="e">
        <f>Milestones!AB31+"AM:!/E\"</f>
        <v>#VALUE!</v>
      </c>
      <c r="DJ258" s="99" t="e">
        <f>Milestones!AC31+"AM:!/E]"</f>
        <v>#VALUE!</v>
      </c>
      <c r="DK258" s="99" t="e">
        <f>Milestones!AD31+"AM:!/E^"</f>
        <v>#VALUE!</v>
      </c>
      <c r="DL258" s="99" t="e">
        <f>Milestones!AE31+"AM:!/E_"</f>
        <v>#VALUE!</v>
      </c>
      <c r="DM258" s="99" t="e">
        <f>Milestones!AF31+"AM:!/E`"</f>
        <v>#VALUE!</v>
      </c>
      <c r="DN258" s="99" t="e">
        <f>Milestones!AG31+"AM:!/Ea"</f>
        <v>#VALUE!</v>
      </c>
      <c r="DO258" s="99" t="e">
        <f>Milestones!AH31+"AM:!/Eb"</f>
        <v>#VALUE!</v>
      </c>
      <c r="DP258" s="99" t="e">
        <f>Milestones!AI31+"AM:!/Ec"</f>
        <v>#VALUE!</v>
      </c>
      <c r="DQ258" s="99" t="e">
        <f>Milestones!AJ31+"AM:!/Ed"</f>
        <v>#VALUE!</v>
      </c>
      <c r="DR258" s="99" t="e">
        <f>Milestones!AK31+"AM:!/Ee"</f>
        <v>#VALUE!</v>
      </c>
      <c r="DS258" s="99" t="e">
        <f>Milestones!AL31+"AM:!/Ef"</f>
        <v>#VALUE!</v>
      </c>
      <c r="DT258" s="99" t="e">
        <f>Milestones!AM31+"AM:!/Eg"</f>
        <v>#VALUE!</v>
      </c>
      <c r="DU258" s="99" t="e">
        <f>Milestones!AN31+"AM:!/Eh"</f>
        <v>#VALUE!</v>
      </c>
      <c r="DV258" s="99" t="e">
        <f>Milestones!AO31+"AM:!/Ei"</f>
        <v>#VALUE!</v>
      </c>
      <c r="DW258" s="99" t="e">
        <f>Milestones!AP31+"AM:!/Ej"</f>
        <v>#VALUE!</v>
      </c>
      <c r="DX258" s="99" t="e">
        <f>Milestones!AQ31+"AM:!/Ek"</f>
        <v>#VALUE!</v>
      </c>
      <c r="DY258" s="99" t="e">
        <f>Milestones!AR31+"AM:!/El"</f>
        <v>#VALUE!</v>
      </c>
      <c r="DZ258" t="e">
        <f>Milestones!AS31+"AM:!/Em"</f>
        <v>#VALUE!</v>
      </c>
      <c r="EA258" t="e">
        <f>Milestones!AT31+"AM:!/En"</f>
        <v>#VALUE!</v>
      </c>
      <c r="EB258" t="e">
        <f>Milestones!A32+"AM:!/Eo"</f>
        <v>#VALUE!</v>
      </c>
      <c r="EC258" t="e">
        <f>Milestones!B32+"AM:!/Ep"</f>
        <v>#VALUE!</v>
      </c>
      <c r="ED258" t="e">
        <f>Milestones!C32+"AM:!/Eq"</f>
        <v>#VALUE!</v>
      </c>
      <c r="EE258" t="e">
        <f>Milestones!D32+"AM:!/Er"</f>
        <v>#VALUE!</v>
      </c>
      <c r="EF258" t="e">
        <f>Milestones!E32+"AM:!/Es"</f>
        <v>#VALUE!</v>
      </c>
      <c r="EG258" s="105" t="e">
        <f>Milestones!F32+"AM:!/Et"</f>
        <v>#VALUE!</v>
      </c>
      <c r="EH258" s="99" t="e">
        <f>Milestones!G32+"AM:!/Eu"</f>
        <v>#VALUE!</v>
      </c>
      <c r="EI258" s="99" t="e">
        <f>Milestones!H32+"AM:!/Ev"</f>
        <v>#VALUE!</v>
      </c>
      <c r="EJ258" s="99" t="e">
        <f>Milestones!I32+"AM:!/Ew"</f>
        <v>#VALUE!</v>
      </c>
      <c r="EK258" s="99" t="e">
        <f>Milestones!J32+"AM:!/Ex"</f>
        <v>#VALUE!</v>
      </c>
      <c r="EL258" s="99" t="e">
        <f>Milestones!K32+"AM:!/Ey"</f>
        <v>#VALUE!</v>
      </c>
      <c r="EM258" s="99" t="e">
        <f>Milestones!L32+"AM:!/Ez"</f>
        <v>#VALUE!</v>
      </c>
      <c r="EN258" s="99" t="e">
        <f>Milestones!M32+"AM:!/E{"</f>
        <v>#VALUE!</v>
      </c>
      <c r="EO258" s="99" t="e">
        <f>Milestones!N32+"AM:!/E|"</f>
        <v>#VALUE!</v>
      </c>
      <c r="EP258" s="99" t="e">
        <f>Milestones!O32+"AM:!/E}"</f>
        <v>#VALUE!</v>
      </c>
      <c r="EQ258" s="99" t="e">
        <f>Milestones!P32+"AM:!/E~"</f>
        <v>#VALUE!</v>
      </c>
      <c r="ER258" s="99" t="e">
        <f>Milestones!Q32+"AM:!/F#"</f>
        <v>#VALUE!</v>
      </c>
      <c r="ES258" s="99" t="e">
        <f>Milestones!R32+"AM:!/F$"</f>
        <v>#VALUE!</v>
      </c>
      <c r="ET258" s="99" t="e">
        <f>Milestones!S32+"AM:!/F%"</f>
        <v>#VALUE!</v>
      </c>
      <c r="EU258" s="99" t="e">
        <f>Milestones!T32+"AM:!/F&amp;"</f>
        <v>#VALUE!</v>
      </c>
      <c r="EV258" s="99" t="e">
        <f>Milestones!U32+"AM:!/F'"</f>
        <v>#VALUE!</v>
      </c>
      <c r="EW258" s="99" t="e">
        <f>Milestones!V32+"AM:!/F("</f>
        <v>#VALUE!</v>
      </c>
      <c r="EX258" s="99" t="e">
        <f>Milestones!W32+"AM:!/F)"</f>
        <v>#VALUE!</v>
      </c>
      <c r="EY258" s="99" t="e">
        <f>Milestones!X32+"AM:!/F."</f>
        <v>#VALUE!</v>
      </c>
      <c r="EZ258" s="99" t="e">
        <f>Milestones!Y32+"AM:!/F/"</f>
        <v>#VALUE!</v>
      </c>
      <c r="FA258" s="99" t="e">
        <f>Milestones!Z32+"AM:!/F0"</f>
        <v>#VALUE!</v>
      </c>
      <c r="FB258" s="99" t="e">
        <f>Milestones!AA32+"AM:!/F1"</f>
        <v>#VALUE!</v>
      </c>
      <c r="FC258" s="99" t="e">
        <f>Milestones!AB32+"AM:!/F2"</f>
        <v>#VALUE!</v>
      </c>
      <c r="FD258" s="99" t="e">
        <f>Milestones!AC32+"AM:!/F3"</f>
        <v>#VALUE!</v>
      </c>
      <c r="FE258" s="99" t="e">
        <f>Milestones!AD32+"AM:!/F4"</f>
        <v>#VALUE!</v>
      </c>
      <c r="FF258" s="99" t="e">
        <f>Milestones!AE32+"AM:!/F5"</f>
        <v>#VALUE!</v>
      </c>
      <c r="FG258" s="99" t="e">
        <f>Milestones!AF32+"AM:!/F6"</f>
        <v>#VALUE!</v>
      </c>
      <c r="FH258" s="99" t="e">
        <f>Milestones!AG32+"AM:!/F7"</f>
        <v>#VALUE!</v>
      </c>
      <c r="FI258" s="99" t="e">
        <f>Milestones!AH32+"AM:!/F8"</f>
        <v>#VALUE!</v>
      </c>
      <c r="FJ258" s="99" t="e">
        <f>Milestones!AI32+"AM:!/F9"</f>
        <v>#VALUE!</v>
      </c>
      <c r="FK258" s="99" t="e">
        <f>Milestones!AJ32+"AM:!/F:"</f>
        <v>#VALUE!</v>
      </c>
      <c r="FL258" s="99" t="e">
        <f>Milestones!AK32+"AM:!/F;"</f>
        <v>#VALUE!</v>
      </c>
      <c r="FM258" s="99" t="e">
        <f>Milestones!AL32+"AM:!/F&lt;"</f>
        <v>#VALUE!</v>
      </c>
      <c r="FN258" s="99" t="e">
        <f>Milestones!AM32+"AM:!/F="</f>
        <v>#VALUE!</v>
      </c>
      <c r="FO258" s="99" t="e">
        <f>Milestones!AN32+"AM:!/F&gt;"</f>
        <v>#VALUE!</v>
      </c>
      <c r="FP258" s="99" t="e">
        <f>Milestones!AO32+"AM:!/F?"</f>
        <v>#VALUE!</v>
      </c>
      <c r="FQ258" s="99" t="e">
        <f>Milestones!AP32+"AM:!/F@"</f>
        <v>#VALUE!</v>
      </c>
      <c r="FR258" s="99" t="e">
        <f>Milestones!AQ32+"AM:!/FA"</f>
        <v>#VALUE!</v>
      </c>
      <c r="FS258" s="99" t="e">
        <f>Milestones!AR32+"AM:!/FB"</f>
        <v>#VALUE!</v>
      </c>
      <c r="FT258" t="e">
        <f>Milestones!AS32+"AM:!/FC"</f>
        <v>#VALUE!</v>
      </c>
      <c r="FU258" t="e">
        <f>Milestones!AT32+"AM:!/FD"</f>
        <v>#VALUE!</v>
      </c>
      <c r="FV258" t="e">
        <f>Milestones!A33+"AM:!/FE"</f>
        <v>#VALUE!</v>
      </c>
      <c r="FW258" t="e">
        <f>Milestones!B33+"AM:!/FF"</f>
        <v>#VALUE!</v>
      </c>
      <c r="FX258" t="e">
        <f>Milestones!C33+"AM:!/FG"</f>
        <v>#VALUE!</v>
      </c>
      <c r="FY258" t="e">
        <f>Milestones!D33+"AM:!/FH"</f>
        <v>#VALUE!</v>
      </c>
      <c r="FZ258" t="e">
        <f>Milestones!E33+"AM:!/FI"</f>
        <v>#VALUE!</v>
      </c>
      <c r="GA258" t="e">
        <f>Milestones!F33+"AM:!/FJ"</f>
        <v>#VALUE!</v>
      </c>
      <c r="GB258" s="99" t="e">
        <f>Milestones!G33+"AM:!/FK"</f>
        <v>#VALUE!</v>
      </c>
      <c r="GC258" s="99" t="e">
        <f>Milestones!H33+"AM:!/FL"</f>
        <v>#VALUE!</v>
      </c>
      <c r="GD258" s="99" t="e">
        <f>Milestones!I33+"AM:!/FM"</f>
        <v>#VALUE!</v>
      </c>
      <c r="GE258" s="99" t="e">
        <f>Milestones!J33+"AM:!/FN"</f>
        <v>#VALUE!</v>
      </c>
      <c r="GF258" s="99" t="e">
        <f>Milestones!K33+"AM:!/FO"</f>
        <v>#VALUE!</v>
      </c>
      <c r="GG258" s="99" t="e">
        <f>Milestones!L33+"AM:!/FP"</f>
        <v>#VALUE!</v>
      </c>
      <c r="GH258" s="99" t="e">
        <f>Milestones!M33+"AM:!/FQ"</f>
        <v>#VALUE!</v>
      </c>
      <c r="GI258" s="99" t="e">
        <f>Milestones!N33+"AM:!/FR"</f>
        <v>#VALUE!</v>
      </c>
      <c r="GJ258" s="99" t="e">
        <f>Milestones!O33+"AM:!/FS"</f>
        <v>#VALUE!</v>
      </c>
      <c r="GK258" s="99" t="e">
        <f>Milestones!P33+"AM:!/FT"</f>
        <v>#VALUE!</v>
      </c>
      <c r="GL258" s="99" t="e">
        <f>Milestones!Q33+"AM:!/FU"</f>
        <v>#VALUE!</v>
      </c>
      <c r="GM258" s="99" t="e">
        <f>Milestones!R33+"AM:!/FV"</f>
        <v>#VALUE!</v>
      </c>
      <c r="GN258" s="99" t="e">
        <f>Milestones!S33+"AM:!/FW"</f>
        <v>#VALUE!</v>
      </c>
      <c r="GO258" s="99" t="e">
        <f>Milestones!T33+"AM:!/FX"</f>
        <v>#VALUE!</v>
      </c>
      <c r="GP258" s="99" t="e">
        <f>Milestones!U33+"AM:!/FY"</f>
        <v>#VALUE!</v>
      </c>
      <c r="GQ258" s="99" t="e">
        <f>Milestones!V33+"AM:!/FZ"</f>
        <v>#VALUE!</v>
      </c>
      <c r="GR258" s="99" t="e">
        <f>Milestones!W33+"AM:!/F["</f>
        <v>#VALUE!</v>
      </c>
      <c r="GS258" s="99" t="e">
        <f>Milestones!X33+"AM:!/F\"</f>
        <v>#VALUE!</v>
      </c>
      <c r="GT258" s="99" t="e">
        <f>Milestones!Y33+"AM:!/F]"</f>
        <v>#VALUE!</v>
      </c>
      <c r="GU258" s="99" t="e">
        <f>Milestones!Z33+"AM:!/F^"</f>
        <v>#VALUE!</v>
      </c>
      <c r="GV258" s="99" t="e">
        <f>Milestones!AA33+"AM:!/F_"</f>
        <v>#VALUE!</v>
      </c>
      <c r="GW258" s="99" t="e">
        <f>Milestones!AB33+"AM:!/F`"</f>
        <v>#VALUE!</v>
      </c>
      <c r="GX258" s="99" t="e">
        <f>Milestones!AC33+"AM:!/Fa"</f>
        <v>#VALUE!</v>
      </c>
      <c r="GY258" s="99" t="e">
        <f>Milestones!AD33+"AM:!/Fb"</f>
        <v>#VALUE!</v>
      </c>
      <c r="GZ258" s="99" t="e">
        <f>Milestones!AE33+"AM:!/Fc"</f>
        <v>#VALUE!</v>
      </c>
      <c r="HA258" s="99" t="e">
        <f>Milestones!AF33+"AM:!/Fd"</f>
        <v>#VALUE!</v>
      </c>
      <c r="HB258" s="99" t="e">
        <f>Milestones!AG33+"AM:!/Fe"</f>
        <v>#VALUE!</v>
      </c>
      <c r="HC258" s="99" t="e">
        <f>Milestones!AH33+"AM:!/Ff"</f>
        <v>#VALUE!</v>
      </c>
      <c r="HD258" s="99" t="e">
        <f>Milestones!AI33+"AM:!/Fg"</f>
        <v>#VALUE!</v>
      </c>
      <c r="HE258" s="99" t="e">
        <f>Milestones!AJ33+"AM:!/Fh"</f>
        <v>#VALUE!</v>
      </c>
      <c r="HF258" s="99" t="e">
        <f>Milestones!AK33+"AM:!/Fi"</f>
        <v>#VALUE!</v>
      </c>
      <c r="HG258" s="99" t="e">
        <f>Milestones!AL33+"AM:!/Fj"</f>
        <v>#VALUE!</v>
      </c>
      <c r="HH258" s="99" t="e">
        <f>Milestones!AM33+"AM:!/Fk"</f>
        <v>#VALUE!</v>
      </c>
      <c r="HI258" s="99" t="e">
        <f>Milestones!AN33+"AM:!/Fl"</f>
        <v>#VALUE!</v>
      </c>
      <c r="HJ258" s="99" t="e">
        <f>Milestones!AO33+"AM:!/Fm"</f>
        <v>#VALUE!</v>
      </c>
      <c r="HK258" s="99" t="e">
        <f>Milestones!AP33+"AM:!/Fn"</f>
        <v>#VALUE!</v>
      </c>
      <c r="HL258" s="99" t="e">
        <f>Milestones!AQ33+"AM:!/Fo"</f>
        <v>#VALUE!</v>
      </c>
      <c r="HM258" s="99" t="e">
        <f>Milestones!AR33+"AM:!/Fp"</f>
        <v>#VALUE!</v>
      </c>
      <c r="HN258" t="e">
        <f>Milestones!AS33+"AM:!/Fq"</f>
        <v>#VALUE!</v>
      </c>
      <c r="HO258" t="e">
        <f>Milestones!AT33+"AM:!/Fr"</f>
        <v>#VALUE!</v>
      </c>
      <c r="HP258" t="e">
        <f>Milestones!A34+"AM:!/Fs"</f>
        <v>#VALUE!</v>
      </c>
      <c r="HQ258" t="e">
        <f>Milestones!B34+"AM:!/Ft"</f>
        <v>#VALUE!</v>
      </c>
      <c r="HR258" t="e">
        <f>Milestones!C34+"AM:!/Fu"</f>
        <v>#VALUE!</v>
      </c>
      <c r="HS258" t="e">
        <f>Milestones!D34+"AM:!/Fv"</f>
        <v>#VALUE!</v>
      </c>
      <c r="HT258" t="e">
        <f>Milestones!E34+"AM:!/Fw"</f>
        <v>#VALUE!</v>
      </c>
      <c r="HU258" t="e">
        <f>Milestones!F34+"AM:!/Fx"</f>
        <v>#VALUE!</v>
      </c>
      <c r="HV258" s="99" t="e">
        <f>Milestones!G34+"AM:!/Fy"</f>
        <v>#VALUE!</v>
      </c>
      <c r="HW258" s="99" t="e">
        <f>Milestones!H34+"AM:!/Fz"</f>
        <v>#VALUE!</v>
      </c>
      <c r="HX258" s="99" t="e">
        <f>Milestones!I34+"AM:!/F{"</f>
        <v>#VALUE!</v>
      </c>
      <c r="HY258" s="99" t="e">
        <f>Milestones!J34+"AM:!/F|"</f>
        <v>#VALUE!</v>
      </c>
      <c r="HZ258" s="99" t="e">
        <f>Milestones!K34+"AM:!/F}"</f>
        <v>#VALUE!</v>
      </c>
      <c r="IA258" s="99" t="e">
        <f>Milestones!L34+"AM:!/F~"</f>
        <v>#VALUE!</v>
      </c>
      <c r="IB258" s="99" t="e">
        <f>Milestones!M34+"AM:!/G#"</f>
        <v>#VALUE!</v>
      </c>
      <c r="IC258" s="99" t="e">
        <f>Milestones!N34+"AM:!/G$"</f>
        <v>#VALUE!</v>
      </c>
      <c r="ID258" s="99" t="e">
        <f>Milestones!O34+"AM:!/G%"</f>
        <v>#VALUE!</v>
      </c>
      <c r="IE258" s="99" t="e">
        <f>Milestones!P34+"AM:!/G&amp;"</f>
        <v>#VALUE!</v>
      </c>
      <c r="IF258" s="99" t="e">
        <f>Milestones!Q34+"AM:!/G'"</f>
        <v>#VALUE!</v>
      </c>
      <c r="IG258" s="99" t="e">
        <f>Milestones!R34+"AM:!/G("</f>
        <v>#VALUE!</v>
      </c>
      <c r="IH258" s="99" t="e">
        <f>Milestones!S34+"AM:!/G)"</f>
        <v>#VALUE!</v>
      </c>
      <c r="II258" s="99" t="e">
        <f>Milestones!T34+"AM:!/G."</f>
        <v>#VALUE!</v>
      </c>
      <c r="IJ258" s="99" t="e">
        <f>Milestones!U34+"AM:!/G/"</f>
        <v>#VALUE!</v>
      </c>
      <c r="IK258" s="99" t="e">
        <f>Milestones!V34+"AM:!/G0"</f>
        <v>#VALUE!</v>
      </c>
      <c r="IL258" s="99" t="e">
        <f>Milestones!W34+"AM:!/G1"</f>
        <v>#VALUE!</v>
      </c>
      <c r="IM258" s="99" t="e">
        <f>Milestones!X34+"AM:!/G2"</f>
        <v>#VALUE!</v>
      </c>
      <c r="IN258" s="99" t="e">
        <f>Milestones!Y34+"AM:!/G3"</f>
        <v>#VALUE!</v>
      </c>
      <c r="IO258" s="99" t="e">
        <f>Milestones!Z34+"AM:!/G4"</f>
        <v>#VALUE!</v>
      </c>
      <c r="IP258" s="99" t="e">
        <f>Milestones!AA34+"AM:!/G5"</f>
        <v>#VALUE!</v>
      </c>
      <c r="IQ258" s="99" t="e">
        <f>Milestones!AB34+"AM:!/G6"</f>
        <v>#VALUE!</v>
      </c>
      <c r="IR258" s="99" t="e">
        <f>Milestones!AC34+"AM:!/G7"</f>
        <v>#VALUE!</v>
      </c>
      <c r="IS258" s="99" t="e">
        <f>Milestones!AD34+"AM:!/G8"</f>
        <v>#VALUE!</v>
      </c>
      <c r="IT258" s="99" t="e">
        <f>Milestones!AE34+"AM:!/G9"</f>
        <v>#VALUE!</v>
      </c>
      <c r="IU258" s="99" t="e">
        <f>Milestones!AF34+"AM:!/G:"</f>
        <v>#VALUE!</v>
      </c>
      <c r="IV258" s="99" t="e">
        <f>Milestones!AG34+"AM:!/G;"</f>
        <v>#VALUE!</v>
      </c>
    </row>
    <row r="259" spans="6:256">
      <c r="F259" s="99" t="e">
        <f>Milestones!AH34+"AM:!/G&lt;"</f>
        <v>#VALUE!</v>
      </c>
      <c r="G259" s="99" t="e">
        <f>Milestones!AI34+"AM:!/G="</f>
        <v>#VALUE!</v>
      </c>
      <c r="H259" s="99" t="e">
        <f>Milestones!AJ34+"AM:!/G&gt;"</f>
        <v>#VALUE!</v>
      </c>
      <c r="I259" s="99" t="e">
        <f>Milestones!AK34+"AM:!/G?"</f>
        <v>#VALUE!</v>
      </c>
      <c r="J259" s="99" t="e">
        <f>Milestones!AL34+"AM:!/G@"</f>
        <v>#VALUE!</v>
      </c>
      <c r="K259" s="99" t="e">
        <f>Milestones!AM34+"AM:!/GA"</f>
        <v>#VALUE!</v>
      </c>
      <c r="L259" s="99" t="e">
        <f>Milestones!AN34+"AM:!/GB"</f>
        <v>#VALUE!</v>
      </c>
      <c r="M259" s="99" t="e">
        <f>Milestones!AO34+"AM:!/GC"</f>
        <v>#VALUE!</v>
      </c>
      <c r="N259" s="99" t="e">
        <f>Milestones!AP34+"AM:!/GD"</f>
        <v>#VALUE!</v>
      </c>
      <c r="O259" s="99" t="e">
        <f>Milestones!AQ34+"AM:!/GE"</f>
        <v>#VALUE!</v>
      </c>
      <c r="P259" s="99" t="e">
        <f>Milestones!AR34+"AM:!/GF"</f>
        <v>#VALUE!</v>
      </c>
      <c r="Q259" t="e">
        <f>Milestones!AS34+"AM:!/GG"</f>
        <v>#VALUE!</v>
      </c>
      <c r="R259" t="e">
        <f>Milestones!AT34+"AM:!/GH"</f>
        <v>#VALUE!</v>
      </c>
      <c r="S259" t="e">
        <f>Milestones!A35+"AM:!/GI"</f>
        <v>#VALUE!</v>
      </c>
      <c r="T259" t="e">
        <f>Milestones!B35+"AM:!/GJ"</f>
        <v>#VALUE!</v>
      </c>
      <c r="U259" t="e">
        <f>Milestones!C35+"AM:!/GK"</f>
        <v>#VALUE!</v>
      </c>
      <c r="V259" t="e">
        <f>Milestones!D35+"AM:!/GL"</f>
        <v>#VALUE!</v>
      </c>
      <c r="W259" t="e">
        <f>Milestones!E35+"AM:!/GM"</f>
        <v>#VALUE!</v>
      </c>
      <c r="X259" t="e">
        <f>Milestones!F35+"AM:!/GN"</f>
        <v>#VALUE!</v>
      </c>
      <c r="Y259" s="99" t="e">
        <f>Milestones!G35+"AM:!/GO"</f>
        <v>#VALUE!</v>
      </c>
      <c r="Z259" s="99" t="e">
        <f>Milestones!H35+"AM:!/GP"</f>
        <v>#VALUE!</v>
      </c>
      <c r="AA259" s="99" t="e">
        <f>Milestones!I35+"AM:!/GQ"</f>
        <v>#VALUE!</v>
      </c>
      <c r="AB259" s="99" t="e">
        <f>Milestones!J35+"AM:!/GR"</f>
        <v>#VALUE!</v>
      </c>
      <c r="AC259" s="99" t="e">
        <f>Milestones!K35+"AM:!/GS"</f>
        <v>#VALUE!</v>
      </c>
      <c r="AD259" s="99" t="e">
        <f>Milestones!L35+"AM:!/GT"</f>
        <v>#VALUE!</v>
      </c>
      <c r="AE259" s="99" t="e">
        <f>Milestones!M35+"AM:!/GU"</f>
        <v>#VALUE!</v>
      </c>
      <c r="AF259" s="99" t="e">
        <f>Milestones!N35+"AM:!/GV"</f>
        <v>#VALUE!</v>
      </c>
      <c r="AG259" s="99" t="e">
        <f>Milestones!O35+"AM:!/GW"</f>
        <v>#VALUE!</v>
      </c>
      <c r="AH259" s="99" t="e">
        <f>Milestones!P35+"AM:!/GX"</f>
        <v>#VALUE!</v>
      </c>
      <c r="AI259" s="99" t="e">
        <f>Milestones!Q35+"AM:!/GY"</f>
        <v>#VALUE!</v>
      </c>
      <c r="AJ259" s="99" t="e">
        <f>Milestones!R35+"AM:!/GZ"</f>
        <v>#VALUE!</v>
      </c>
      <c r="AK259" s="99" t="e">
        <f>Milestones!S35+"AM:!/G["</f>
        <v>#VALUE!</v>
      </c>
      <c r="AL259" s="99" t="e">
        <f>Milestones!T35+"AM:!/G\"</f>
        <v>#VALUE!</v>
      </c>
      <c r="AM259" s="99" t="e">
        <f>Milestones!U35+"AM:!/G]"</f>
        <v>#VALUE!</v>
      </c>
      <c r="AN259" s="99" t="e">
        <f>Milestones!V35+"AM:!/G^"</f>
        <v>#VALUE!</v>
      </c>
      <c r="AO259" s="99" t="e">
        <f>Milestones!W35+"AM:!/G_"</f>
        <v>#VALUE!</v>
      </c>
      <c r="AP259" s="99" t="e">
        <f>Milestones!X35+"AM:!/G`"</f>
        <v>#VALUE!</v>
      </c>
      <c r="AQ259" s="99" t="e">
        <f>Milestones!Y35+"AM:!/Ga"</f>
        <v>#VALUE!</v>
      </c>
      <c r="AR259" s="99" t="e">
        <f>Milestones!Z35+"AM:!/Gb"</f>
        <v>#VALUE!</v>
      </c>
      <c r="AS259" s="99" t="e">
        <f>Milestones!AA35+"AM:!/Gc"</f>
        <v>#VALUE!</v>
      </c>
      <c r="AT259" s="99" t="e">
        <f>Milestones!AB35+"AM:!/Gd"</f>
        <v>#VALUE!</v>
      </c>
      <c r="AU259" s="99" t="e">
        <f>Milestones!AC35+"AM:!/Ge"</f>
        <v>#VALUE!</v>
      </c>
      <c r="AV259" s="99" t="e">
        <f>Milestones!AD35+"AM:!/Gf"</f>
        <v>#VALUE!</v>
      </c>
      <c r="AW259" s="99" t="e">
        <f>Milestones!AE35+"AM:!/Gg"</f>
        <v>#VALUE!</v>
      </c>
      <c r="AX259" s="99" t="e">
        <f>Milestones!AF35+"AM:!/Gh"</f>
        <v>#VALUE!</v>
      </c>
      <c r="AY259" s="99" t="e">
        <f>Milestones!AG35+"AM:!/Gi"</f>
        <v>#VALUE!</v>
      </c>
      <c r="AZ259" s="99" t="e">
        <f>Milestones!AH35+"AM:!/Gj"</f>
        <v>#VALUE!</v>
      </c>
      <c r="BA259" s="99" t="e">
        <f>Milestones!AI35+"AM:!/Gk"</f>
        <v>#VALUE!</v>
      </c>
      <c r="BB259" s="99" t="e">
        <f>Milestones!AJ35+"AM:!/Gl"</f>
        <v>#VALUE!</v>
      </c>
      <c r="BC259" s="99" t="e">
        <f>Milestones!AK35+"AM:!/Gm"</f>
        <v>#VALUE!</v>
      </c>
      <c r="BD259" s="99" t="e">
        <f>Milestones!AL35+"AM:!/Gn"</f>
        <v>#VALUE!</v>
      </c>
      <c r="BE259" s="99" t="e">
        <f>Milestones!AM35+"AM:!/Go"</f>
        <v>#VALUE!</v>
      </c>
      <c r="BF259" s="99" t="e">
        <f>Milestones!AN35+"AM:!/Gp"</f>
        <v>#VALUE!</v>
      </c>
      <c r="BG259" s="99" t="e">
        <f>Milestones!AO35+"AM:!/Gq"</f>
        <v>#VALUE!</v>
      </c>
      <c r="BH259" s="99" t="e">
        <f>Milestones!AP35+"AM:!/Gr"</f>
        <v>#VALUE!</v>
      </c>
      <c r="BI259" s="99" t="e">
        <f>Milestones!AQ35+"AM:!/Gs"</f>
        <v>#VALUE!</v>
      </c>
      <c r="BJ259" s="99" t="e">
        <f>Milestones!AR35+"AM:!/Gt"</f>
        <v>#VALUE!</v>
      </c>
      <c r="BK259" t="e">
        <f>Milestones!AS35+"AM:!/Gu"</f>
        <v>#VALUE!</v>
      </c>
      <c r="BL259" t="e">
        <f>Milestones!AT35+"AM:!/Gv"</f>
        <v>#VALUE!</v>
      </c>
      <c r="BM259" s="99" t="e">
        <f>Milestones!G36+"AM:!/Gw"</f>
        <v>#VALUE!</v>
      </c>
      <c r="BN259" s="99" t="e">
        <f>Milestones!H36+"AM:!/Gx"</f>
        <v>#VALUE!</v>
      </c>
      <c r="BO259" s="99" t="e">
        <f>Milestones!I36+"AM:!/Gy"</f>
        <v>#VALUE!</v>
      </c>
      <c r="BP259" s="99" t="e">
        <f>Milestones!J36+"AM:!/Gz"</f>
        <v>#VALUE!</v>
      </c>
      <c r="BQ259" s="99" t="e">
        <f>Milestones!K36+"AM:!/G{"</f>
        <v>#VALUE!</v>
      </c>
      <c r="BR259" s="99" t="e">
        <f>Milestones!L36+"AM:!/G|"</f>
        <v>#VALUE!</v>
      </c>
      <c r="BS259" s="99" t="e">
        <f>Milestones!M36+"AM:!/G}"</f>
        <v>#VALUE!</v>
      </c>
      <c r="BT259" s="99" t="e">
        <f>Milestones!N36+"AM:!/G~"</f>
        <v>#VALUE!</v>
      </c>
      <c r="BU259" s="99" t="e">
        <f>Milestones!O36+"AM:!/H#"</f>
        <v>#VALUE!</v>
      </c>
      <c r="BV259" s="99" t="e">
        <f>Milestones!P36+"AM:!/H$"</f>
        <v>#VALUE!</v>
      </c>
      <c r="BW259" s="99" t="e">
        <f>Milestones!Q36+"AM:!/H%"</f>
        <v>#VALUE!</v>
      </c>
      <c r="BX259" s="99" t="e">
        <f>Milestones!R36+"AM:!/H&amp;"</f>
        <v>#VALUE!</v>
      </c>
      <c r="BY259" s="99" t="e">
        <f>Milestones!S36+"AM:!/H'"</f>
        <v>#VALUE!</v>
      </c>
      <c r="BZ259" s="99" t="e">
        <f>Milestones!T36+"AM:!/H("</f>
        <v>#VALUE!</v>
      </c>
      <c r="CA259" s="99" t="e">
        <f>Milestones!U36+"AM:!/H)"</f>
        <v>#VALUE!</v>
      </c>
      <c r="CB259" s="99" t="e">
        <f>Milestones!V36+"AM:!/H."</f>
        <v>#VALUE!</v>
      </c>
      <c r="CC259" s="99" t="e">
        <f>Milestones!W36+"AM:!/H/"</f>
        <v>#VALUE!</v>
      </c>
      <c r="CD259" s="99" t="e">
        <f>Milestones!X36+"AM:!/H0"</f>
        <v>#VALUE!</v>
      </c>
      <c r="CE259" s="99" t="e">
        <f>Milestones!Y36+"AM:!/H1"</f>
        <v>#VALUE!</v>
      </c>
      <c r="CF259" s="99" t="e">
        <f>Milestones!Z36+"AM:!/H2"</f>
        <v>#VALUE!</v>
      </c>
      <c r="CG259" s="99" t="e">
        <f>Milestones!AA36+"AM:!/H3"</f>
        <v>#VALUE!</v>
      </c>
      <c r="CH259" s="99" t="e">
        <f>Milestones!AB36+"AM:!/H4"</f>
        <v>#VALUE!</v>
      </c>
      <c r="CI259" s="99" t="e">
        <f>Milestones!AC36+"AM:!/H5"</f>
        <v>#VALUE!</v>
      </c>
      <c r="CJ259" s="99" t="e">
        <f>Milestones!AD36+"AM:!/H6"</f>
        <v>#VALUE!</v>
      </c>
      <c r="CK259" s="99" t="e">
        <f>Milestones!AE36+"AM:!/H7"</f>
        <v>#VALUE!</v>
      </c>
      <c r="CL259" s="99" t="e">
        <f>Milestones!AF36+"AM:!/H8"</f>
        <v>#VALUE!</v>
      </c>
      <c r="CM259" s="99" t="e">
        <f>Milestones!AG36+"AM:!/H9"</f>
        <v>#VALUE!</v>
      </c>
      <c r="CN259" s="99" t="e">
        <f>Milestones!AH36+"AM:!/H:"</f>
        <v>#VALUE!</v>
      </c>
      <c r="CO259" s="99" t="e">
        <f>Milestones!AI36+"AM:!/H;"</f>
        <v>#VALUE!</v>
      </c>
      <c r="CP259" s="99" t="e">
        <f>Milestones!AJ36+"AM:!/H&lt;"</f>
        <v>#VALUE!</v>
      </c>
      <c r="CQ259" s="99" t="e">
        <f>Milestones!AK36+"AM:!/H="</f>
        <v>#VALUE!</v>
      </c>
      <c r="CR259" s="99" t="e">
        <f>Milestones!AL36+"AM:!/H&gt;"</f>
        <v>#VALUE!</v>
      </c>
      <c r="CS259" s="99" t="e">
        <f>Milestones!AM36+"AM:!/H?"</f>
        <v>#VALUE!</v>
      </c>
      <c r="CT259" s="99" t="e">
        <f>Milestones!AN36+"AM:!/H@"</f>
        <v>#VALUE!</v>
      </c>
      <c r="CU259" s="99" t="e">
        <f>Milestones!AO36+"AM:!/HA"</f>
        <v>#VALUE!</v>
      </c>
      <c r="CV259" s="99" t="e">
        <f>Milestones!AP36+"AM:!/HB"</f>
        <v>#VALUE!</v>
      </c>
      <c r="CW259" s="99" t="e">
        <f>Milestones!AQ36+"AM:!/HC"</f>
        <v>#VALUE!</v>
      </c>
      <c r="CX259" s="99" t="e">
        <f>Milestones!AR36+"AM:!/HD"</f>
        <v>#VALUE!</v>
      </c>
      <c r="CY259" s="99" t="e">
        <f>Milestones!G37+"AM:!/HE"</f>
        <v>#VALUE!</v>
      </c>
      <c r="CZ259" s="99" t="e">
        <f>Milestones!H37+"AM:!/HF"</f>
        <v>#VALUE!</v>
      </c>
      <c r="DA259" s="99" t="e">
        <f>Milestones!I37+"AM:!/HG"</f>
        <v>#VALUE!</v>
      </c>
      <c r="DB259" s="99" t="e">
        <f>Milestones!J37+"AM:!/HH"</f>
        <v>#VALUE!</v>
      </c>
      <c r="DC259" s="99" t="e">
        <f>Milestones!K37+"AM:!/HI"</f>
        <v>#VALUE!</v>
      </c>
      <c r="DD259" s="99" t="e">
        <f>Milestones!L37+"AM:!/HJ"</f>
        <v>#VALUE!</v>
      </c>
      <c r="DE259" s="99" t="e">
        <f>Milestones!M37+"AM:!/HK"</f>
        <v>#VALUE!</v>
      </c>
      <c r="DF259" s="99" t="e">
        <f>Milestones!N37+"AM:!/HL"</f>
        <v>#VALUE!</v>
      </c>
      <c r="DG259" s="99" t="e">
        <f>Milestones!O37+"AM:!/HM"</f>
        <v>#VALUE!</v>
      </c>
      <c r="DH259" s="99" t="e">
        <f>Milestones!P37+"AM:!/HN"</f>
        <v>#VALUE!</v>
      </c>
      <c r="DI259" s="99" t="e">
        <f>Milestones!Q37+"AM:!/HO"</f>
        <v>#VALUE!</v>
      </c>
      <c r="DJ259" s="99" t="e">
        <f>Milestones!R37+"AM:!/HP"</f>
        <v>#VALUE!</v>
      </c>
      <c r="DK259" s="99" t="e">
        <f>Milestones!S37+"AM:!/HQ"</f>
        <v>#VALUE!</v>
      </c>
      <c r="DL259" s="99" t="e">
        <f>Milestones!T37+"AM:!/HR"</f>
        <v>#VALUE!</v>
      </c>
      <c r="DM259" s="99" t="e">
        <f>Milestones!U37+"AM:!/HS"</f>
        <v>#VALUE!</v>
      </c>
      <c r="DN259" s="99" t="e">
        <f>Milestones!V37+"AM:!/HT"</f>
        <v>#VALUE!</v>
      </c>
      <c r="DO259" s="99" t="e">
        <f>Milestones!W37+"AM:!/HU"</f>
        <v>#VALUE!</v>
      </c>
      <c r="DP259" s="99" t="e">
        <f>Milestones!X37+"AM:!/HV"</f>
        <v>#VALUE!</v>
      </c>
      <c r="DQ259" s="99" t="e">
        <f>Milestones!Y37+"AM:!/HW"</f>
        <v>#VALUE!</v>
      </c>
      <c r="DR259" s="99" t="e">
        <f>Milestones!Z37+"AM:!/HX"</f>
        <v>#VALUE!</v>
      </c>
      <c r="DS259" s="99" t="e">
        <f>Milestones!AA37+"AM:!/HY"</f>
        <v>#VALUE!</v>
      </c>
      <c r="DT259" s="99" t="e">
        <f>Milestones!AB37+"AM:!/HZ"</f>
        <v>#VALUE!</v>
      </c>
      <c r="DU259" s="99" t="e">
        <f>Milestones!AC37+"AM:!/H["</f>
        <v>#VALUE!</v>
      </c>
      <c r="DV259" s="99" t="e">
        <f>Milestones!AD37+"AM:!/H\"</f>
        <v>#VALUE!</v>
      </c>
      <c r="DW259" s="99" t="e">
        <f>Milestones!AE37+"AM:!/H]"</f>
        <v>#VALUE!</v>
      </c>
      <c r="DX259" s="99" t="e">
        <f>Milestones!AF37+"AM:!/H^"</f>
        <v>#VALUE!</v>
      </c>
      <c r="DY259" s="99" t="e">
        <f>Milestones!AG37+"AM:!/H_"</f>
        <v>#VALUE!</v>
      </c>
      <c r="DZ259" s="99" t="e">
        <f>Milestones!AH37+"AM:!/H`"</f>
        <v>#VALUE!</v>
      </c>
      <c r="EA259" s="99" t="e">
        <f>Milestones!AI37+"AM:!/Ha"</f>
        <v>#VALUE!</v>
      </c>
      <c r="EB259" s="99" t="e">
        <f>Milestones!AJ37+"AM:!/Hb"</f>
        <v>#VALUE!</v>
      </c>
      <c r="EC259" s="99" t="e">
        <f>Milestones!AK37+"AM:!/Hc"</f>
        <v>#VALUE!</v>
      </c>
      <c r="ED259" s="99" t="e">
        <f>Milestones!AL37+"AM:!/Hd"</f>
        <v>#VALUE!</v>
      </c>
      <c r="EE259" s="99" t="e">
        <f>Milestones!AM37+"AM:!/He"</f>
        <v>#VALUE!</v>
      </c>
      <c r="EF259" s="99" t="e">
        <f>Milestones!AN37+"AM:!/Hf"</f>
        <v>#VALUE!</v>
      </c>
      <c r="EG259" s="99" t="e">
        <f>Milestones!AO37+"AM:!/Hg"</f>
        <v>#VALUE!</v>
      </c>
      <c r="EH259" s="99" t="e">
        <f>Milestones!AP37+"AM:!/Hh"</f>
        <v>#VALUE!</v>
      </c>
      <c r="EI259" s="99" t="e">
        <f>Milestones!AQ37+"AM:!/Hi"</f>
        <v>#VALUE!</v>
      </c>
      <c r="EJ259" s="99" t="e">
        <f>Milestones!AR37+"AM:!/Hj"</f>
        <v>#VALUE!</v>
      </c>
      <c r="EK259" s="99" t="e">
        <f>Milestones!G38+"AM:!/Hk"</f>
        <v>#VALUE!</v>
      </c>
      <c r="EL259" s="99" t="e">
        <f>Milestones!H38+"AM:!/Hl"</f>
        <v>#VALUE!</v>
      </c>
      <c r="EM259" s="99" t="e">
        <f>Milestones!I38+"AM:!/Hm"</f>
        <v>#VALUE!</v>
      </c>
      <c r="EN259" s="99" t="e">
        <f>Milestones!J38+"AM:!/Hn"</f>
        <v>#VALUE!</v>
      </c>
      <c r="EO259" s="99" t="e">
        <f>Milestones!K38+"AM:!/Ho"</f>
        <v>#VALUE!</v>
      </c>
      <c r="EP259" s="99" t="e">
        <f>Milestones!L38+"AM:!/Hp"</f>
        <v>#VALUE!</v>
      </c>
      <c r="EQ259" s="99" t="e">
        <f>Milestones!M38+"AM:!/Hq"</f>
        <v>#VALUE!</v>
      </c>
      <c r="ER259" s="99" t="e">
        <f>Milestones!N38+"AM:!/Hr"</f>
        <v>#VALUE!</v>
      </c>
      <c r="ES259" s="99" t="e">
        <f>Milestones!O38+"AM:!/Hs"</f>
        <v>#VALUE!</v>
      </c>
      <c r="ET259" s="99" t="e">
        <f>Milestones!P38+"AM:!/Ht"</f>
        <v>#VALUE!</v>
      </c>
      <c r="EU259" s="99" t="e">
        <f>Milestones!Q38+"AM:!/Hu"</f>
        <v>#VALUE!</v>
      </c>
      <c r="EV259" s="99" t="e">
        <f>Milestones!R38+"AM:!/Hv"</f>
        <v>#VALUE!</v>
      </c>
      <c r="EW259" s="99" t="e">
        <f>Milestones!S38+"AM:!/Hw"</f>
        <v>#VALUE!</v>
      </c>
      <c r="EX259" s="99" t="e">
        <f>Milestones!T38+"AM:!/Hx"</f>
        <v>#VALUE!</v>
      </c>
      <c r="EY259" s="99" t="e">
        <f>Milestones!U38+"AM:!/Hy"</f>
        <v>#VALUE!</v>
      </c>
      <c r="EZ259" s="99" t="e">
        <f>Milestones!V38+"AM:!/Hz"</f>
        <v>#VALUE!</v>
      </c>
      <c r="FA259" s="99" t="e">
        <f>Milestones!W38+"AM:!/H{"</f>
        <v>#VALUE!</v>
      </c>
      <c r="FB259" s="99" t="e">
        <f>Milestones!X38+"AM:!/H|"</f>
        <v>#VALUE!</v>
      </c>
      <c r="FC259" s="99" t="e">
        <f>Milestones!Y38+"AM:!/H}"</f>
        <v>#VALUE!</v>
      </c>
      <c r="FD259" s="99" t="e">
        <f>Milestones!Z38+"AM:!/H~"</f>
        <v>#VALUE!</v>
      </c>
      <c r="FE259" s="99" t="e">
        <f>Milestones!AA38+"AM:!/I#"</f>
        <v>#VALUE!</v>
      </c>
      <c r="FF259" s="99" t="e">
        <f>Milestones!AB38+"AM:!/I$"</f>
        <v>#VALUE!</v>
      </c>
      <c r="FG259" s="99" t="e">
        <f>Milestones!AC38+"AM:!/I%"</f>
        <v>#VALUE!</v>
      </c>
      <c r="FH259" s="99" t="e">
        <f>Milestones!AD38+"AM:!/I&amp;"</f>
        <v>#VALUE!</v>
      </c>
      <c r="FI259" s="99" t="e">
        <f>Milestones!AE38+"AM:!/I'"</f>
        <v>#VALUE!</v>
      </c>
      <c r="FJ259" s="99" t="e">
        <f>Milestones!AF38+"AM:!/I("</f>
        <v>#VALUE!</v>
      </c>
      <c r="FK259" s="99" t="e">
        <f>Milestones!AG38+"AM:!/I)"</f>
        <v>#VALUE!</v>
      </c>
      <c r="FL259" s="99" t="e">
        <f>Milestones!AH38+"AM:!/I."</f>
        <v>#VALUE!</v>
      </c>
      <c r="FM259" s="99" t="e">
        <f>Milestones!AI38+"AM:!/I/"</f>
        <v>#VALUE!</v>
      </c>
      <c r="FN259" s="99" t="e">
        <f>Milestones!AJ38+"AM:!/I0"</f>
        <v>#VALUE!</v>
      </c>
      <c r="FO259" s="99" t="e">
        <f>Milestones!AK38+"AM:!/I1"</f>
        <v>#VALUE!</v>
      </c>
      <c r="FP259" s="99" t="e">
        <f>Milestones!AL38+"AM:!/I2"</f>
        <v>#VALUE!</v>
      </c>
      <c r="FQ259" s="99" t="e">
        <f>Milestones!AM38+"AM:!/I3"</f>
        <v>#VALUE!</v>
      </c>
      <c r="FR259" s="99" t="e">
        <f>Milestones!AN38+"AM:!/I4"</f>
        <v>#VALUE!</v>
      </c>
      <c r="FS259" s="99" t="e">
        <f>Milestones!AO38+"AM:!/I5"</f>
        <v>#VALUE!</v>
      </c>
      <c r="FT259" s="99" t="e">
        <f>Milestones!AP38+"AM:!/I6"</f>
        <v>#VALUE!</v>
      </c>
      <c r="FU259" s="99" t="e">
        <f>Milestones!AQ38+"AM:!/I7"</f>
        <v>#VALUE!</v>
      </c>
      <c r="FV259" s="99" t="e">
        <f>Milestones!AR38+"AM:!/I8"</f>
        <v>#VALUE!</v>
      </c>
      <c r="FW259" s="99" t="e">
        <f>Milestones!G39+"AM:!/I9"</f>
        <v>#VALUE!</v>
      </c>
      <c r="FX259" s="99" t="e">
        <f>Milestones!H39+"AM:!/I:"</f>
        <v>#VALUE!</v>
      </c>
      <c r="FY259" s="99" t="e">
        <f>Milestones!I39+"AM:!/I;"</f>
        <v>#VALUE!</v>
      </c>
      <c r="FZ259" s="99" t="e">
        <f>Milestones!J39+"AM:!/I&lt;"</f>
        <v>#VALUE!</v>
      </c>
      <c r="GA259" s="99" t="e">
        <f>Milestones!K39+"AM:!/I="</f>
        <v>#VALUE!</v>
      </c>
      <c r="GB259" s="99" t="e">
        <f>Milestones!L39+"AM:!/I&gt;"</f>
        <v>#VALUE!</v>
      </c>
      <c r="GC259" s="99" t="e">
        <f>Milestones!M39+"AM:!/I?"</f>
        <v>#VALUE!</v>
      </c>
      <c r="GD259" s="99" t="e">
        <f>Milestones!N39+"AM:!/I@"</f>
        <v>#VALUE!</v>
      </c>
      <c r="GE259" s="99" t="e">
        <f>Milestones!O39+"AM:!/IA"</f>
        <v>#VALUE!</v>
      </c>
      <c r="GF259" s="99" t="e">
        <f>Milestones!P39+"AM:!/IB"</f>
        <v>#VALUE!</v>
      </c>
      <c r="GG259" s="99" t="e">
        <f>Milestones!Q39+"AM:!/IC"</f>
        <v>#VALUE!</v>
      </c>
      <c r="GH259" s="99" t="e">
        <f>Milestones!R39+"AM:!/ID"</f>
        <v>#VALUE!</v>
      </c>
      <c r="GI259" s="99" t="e">
        <f>Milestones!S39+"AM:!/IE"</f>
        <v>#VALUE!</v>
      </c>
      <c r="GJ259" s="99" t="e">
        <f>Milestones!T39+"AM:!/IF"</f>
        <v>#VALUE!</v>
      </c>
      <c r="GK259" s="99" t="e">
        <f>Milestones!U39+"AM:!/IG"</f>
        <v>#VALUE!</v>
      </c>
      <c r="GL259" s="99" t="e">
        <f>Milestones!V39+"AM:!/IH"</f>
        <v>#VALUE!</v>
      </c>
      <c r="GM259" s="99" t="e">
        <f>Milestones!W39+"AM:!/II"</f>
        <v>#VALUE!</v>
      </c>
      <c r="GN259" s="99" t="e">
        <f>Milestones!X39+"AM:!/IJ"</f>
        <v>#VALUE!</v>
      </c>
      <c r="GO259" s="99" t="e">
        <f>Milestones!Y39+"AM:!/IK"</f>
        <v>#VALUE!</v>
      </c>
      <c r="GP259" s="99" t="e">
        <f>Milestones!Z39+"AM:!/IL"</f>
        <v>#VALUE!</v>
      </c>
      <c r="GQ259" s="99" t="e">
        <f>Milestones!AA39+"AM:!/IM"</f>
        <v>#VALUE!</v>
      </c>
      <c r="GR259" s="99" t="e">
        <f>Milestones!AB39+"AM:!/IN"</f>
        <v>#VALUE!</v>
      </c>
      <c r="GS259" s="99" t="e">
        <f>Milestones!AC39+"AM:!/IO"</f>
        <v>#VALUE!</v>
      </c>
      <c r="GT259" s="99" t="e">
        <f>Milestones!AD39+"AM:!/IP"</f>
        <v>#VALUE!</v>
      </c>
      <c r="GU259" s="99" t="e">
        <f>Milestones!AE39+"AM:!/IQ"</f>
        <v>#VALUE!</v>
      </c>
      <c r="GV259" s="99" t="e">
        <f>Milestones!AF39+"AM:!/IR"</f>
        <v>#VALUE!</v>
      </c>
      <c r="GW259" s="99" t="e">
        <f>Milestones!AG39+"AM:!/IS"</f>
        <v>#VALUE!</v>
      </c>
      <c r="GX259" s="99" t="e">
        <f>Milestones!AH39+"AM:!/IT"</f>
        <v>#VALUE!</v>
      </c>
      <c r="GY259" s="99" t="e">
        <f>Milestones!AI39+"AM:!/IU"</f>
        <v>#VALUE!</v>
      </c>
      <c r="GZ259" s="99" t="e">
        <f>Milestones!AJ39+"AM:!/IV"</f>
        <v>#VALUE!</v>
      </c>
      <c r="HA259" s="99" t="e">
        <f>Milestones!AK39+"AM:!/IW"</f>
        <v>#VALUE!</v>
      </c>
      <c r="HB259" s="99" t="e">
        <f>Milestones!AL39+"AM:!/IX"</f>
        <v>#VALUE!</v>
      </c>
      <c r="HC259" s="99" t="e">
        <f>Milestones!AM39+"AM:!/IY"</f>
        <v>#VALUE!</v>
      </c>
      <c r="HD259" s="99" t="e">
        <f>Milestones!AN39+"AM:!/IZ"</f>
        <v>#VALUE!</v>
      </c>
      <c r="HE259" s="99" t="e">
        <f>Milestones!AO39+"AM:!/I["</f>
        <v>#VALUE!</v>
      </c>
      <c r="HF259" s="99" t="e">
        <f>Milestones!AP39+"AM:!/I\"</f>
        <v>#VALUE!</v>
      </c>
      <c r="HG259" s="99" t="e">
        <f>Milestones!AQ39+"AM:!/I]"</f>
        <v>#VALUE!</v>
      </c>
      <c r="HH259" s="99" t="e">
        <f>Milestones!AR39+"AM:!/I^"</f>
        <v>#VALUE!</v>
      </c>
      <c r="HI259" s="99" t="e">
        <f>Milestones!G40+"AM:!/I_"</f>
        <v>#VALUE!</v>
      </c>
      <c r="HJ259" s="99" t="e">
        <f>Milestones!H40+"AM:!/I`"</f>
        <v>#VALUE!</v>
      </c>
      <c r="HK259" s="99" t="e">
        <f>Milestones!I40+"AM:!/Ia"</f>
        <v>#VALUE!</v>
      </c>
      <c r="HL259" s="99" t="e">
        <f>Milestones!J40+"AM:!/Ib"</f>
        <v>#VALUE!</v>
      </c>
      <c r="HM259" s="99" t="e">
        <f>Milestones!K40+"AM:!/Ic"</f>
        <v>#VALUE!</v>
      </c>
      <c r="HN259" s="99" t="e">
        <f>Milestones!L40+"AM:!/Id"</f>
        <v>#VALUE!</v>
      </c>
      <c r="HO259" s="99" t="e">
        <f>Milestones!M40+"AM:!/Ie"</f>
        <v>#VALUE!</v>
      </c>
      <c r="HP259" s="99" t="e">
        <f>Milestones!N40+"AM:!/If"</f>
        <v>#VALUE!</v>
      </c>
      <c r="HQ259" s="99" t="e">
        <f>Milestones!O40+"AM:!/Ig"</f>
        <v>#VALUE!</v>
      </c>
      <c r="HR259" s="99" t="e">
        <f>Milestones!P40+"AM:!/Ih"</f>
        <v>#VALUE!</v>
      </c>
      <c r="HS259" s="99" t="e">
        <f>Milestones!Q40+"AM:!/Ii"</f>
        <v>#VALUE!</v>
      </c>
      <c r="HT259" s="99" t="e">
        <f>Milestones!R40+"AM:!/Ij"</f>
        <v>#VALUE!</v>
      </c>
      <c r="HU259" s="99" t="e">
        <f>Milestones!S40+"AM:!/Ik"</f>
        <v>#VALUE!</v>
      </c>
      <c r="HV259" s="99" t="e">
        <f>Milestones!T40+"AM:!/Il"</f>
        <v>#VALUE!</v>
      </c>
      <c r="HW259" s="99" t="e">
        <f>Milestones!U40+"AM:!/Im"</f>
        <v>#VALUE!</v>
      </c>
      <c r="HX259" s="99" t="e">
        <f>Milestones!V40+"AM:!/In"</f>
        <v>#VALUE!</v>
      </c>
      <c r="HY259" s="99" t="e">
        <f>Milestones!W40+"AM:!/Io"</f>
        <v>#VALUE!</v>
      </c>
      <c r="HZ259" s="99" t="e">
        <f>Milestones!X40+"AM:!/Ip"</f>
        <v>#VALUE!</v>
      </c>
      <c r="IA259" s="99" t="e">
        <f>Milestones!Y40+"AM:!/Iq"</f>
        <v>#VALUE!</v>
      </c>
      <c r="IB259" s="99" t="e">
        <f>Milestones!Z40+"AM:!/Ir"</f>
        <v>#VALUE!</v>
      </c>
      <c r="IC259" s="99" t="e">
        <f>Milestones!AA40+"AM:!/Is"</f>
        <v>#VALUE!</v>
      </c>
      <c r="ID259" s="99" t="e">
        <f>Milestones!AB40+"AM:!/It"</f>
        <v>#VALUE!</v>
      </c>
      <c r="IE259" s="99" t="e">
        <f>Milestones!AC40+"AM:!/Iu"</f>
        <v>#VALUE!</v>
      </c>
      <c r="IF259" s="99" t="e">
        <f>Milestones!AD40+"AM:!/Iv"</f>
        <v>#VALUE!</v>
      </c>
      <c r="IG259" s="99" t="e">
        <f>Milestones!AE40+"AM:!/Iw"</f>
        <v>#VALUE!</v>
      </c>
      <c r="IH259" s="99" t="e">
        <f>Milestones!AF40+"AM:!/Ix"</f>
        <v>#VALUE!</v>
      </c>
      <c r="II259" s="99" t="e">
        <f>Milestones!AG40+"AM:!/Iy"</f>
        <v>#VALUE!</v>
      </c>
      <c r="IJ259" s="99" t="e">
        <f>Milestones!AH40+"AM:!/Iz"</f>
        <v>#VALUE!</v>
      </c>
      <c r="IK259" s="99" t="e">
        <f>Milestones!AI40+"AM:!/I{"</f>
        <v>#VALUE!</v>
      </c>
      <c r="IL259" s="99" t="e">
        <f>Milestones!AJ40+"AM:!/I|"</f>
        <v>#VALUE!</v>
      </c>
      <c r="IM259" s="99" t="e">
        <f>Milestones!AK40+"AM:!/I}"</f>
        <v>#VALUE!</v>
      </c>
      <c r="IN259" s="99" t="e">
        <f>Milestones!AL40+"AM:!/I~"</f>
        <v>#VALUE!</v>
      </c>
      <c r="IO259" s="99" t="e">
        <f>Milestones!AM40+"AM:!/J#"</f>
        <v>#VALUE!</v>
      </c>
      <c r="IP259" s="99" t="e">
        <f>Milestones!AN40+"AM:!/J$"</f>
        <v>#VALUE!</v>
      </c>
      <c r="IQ259" s="99" t="e">
        <f>Milestones!AO40+"AM:!/J%"</f>
        <v>#VALUE!</v>
      </c>
      <c r="IR259" s="99" t="e">
        <f>Milestones!AP40+"AM:!/J&amp;"</f>
        <v>#VALUE!</v>
      </c>
      <c r="IS259" s="99" t="e">
        <f>Milestones!AQ40+"AM:!/J'"</f>
        <v>#VALUE!</v>
      </c>
      <c r="IT259" s="99" t="e">
        <f>Milestones!AR40+"AM:!/J("</f>
        <v>#VALUE!</v>
      </c>
      <c r="IU259" s="99" t="e">
        <f>Milestones!G41+"AM:!/J)"</f>
        <v>#VALUE!</v>
      </c>
      <c r="IV259" s="99" t="e">
        <f>Milestones!H41+"AM:!/J."</f>
        <v>#VALUE!</v>
      </c>
    </row>
    <row r="260" spans="6:256">
      <c r="F260" s="99" t="e">
        <f>Milestones!I41+"AM:!/J/"</f>
        <v>#VALUE!</v>
      </c>
      <c r="G260" s="99" t="e">
        <f>Milestones!J41+"AM:!/J0"</f>
        <v>#VALUE!</v>
      </c>
      <c r="H260" s="99" t="e">
        <f>Milestones!K41+"AM:!/J1"</f>
        <v>#VALUE!</v>
      </c>
      <c r="I260" s="99" t="e">
        <f>Milestones!L41+"AM:!/J2"</f>
        <v>#VALUE!</v>
      </c>
      <c r="J260" s="99" t="e">
        <f>Milestones!M41+"AM:!/J3"</f>
        <v>#VALUE!</v>
      </c>
      <c r="K260" s="99" t="e">
        <f>Milestones!N41+"AM:!/J4"</f>
        <v>#VALUE!</v>
      </c>
      <c r="L260" s="99" t="e">
        <f>Milestones!O41+"AM:!/J5"</f>
        <v>#VALUE!</v>
      </c>
      <c r="M260" s="99" t="e">
        <f>Milestones!P41+"AM:!/J6"</f>
        <v>#VALUE!</v>
      </c>
      <c r="N260" s="99" t="e">
        <f>Milestones!Q41+"AM:!/J7"</f>
        <v>#VALUE!</v>
      </c>
      <c r="O260" s="99" t="e">
        <f>Milestones!R41+"AM:!/J8"</f>
        <v>#VALUE!</v>
      </c>
      <c r="P260" s="99" t="e">
        <f>Milestones!S41+"AM:!/J9"</f>
        <v>#VALUE!</v>
      </c>
      <c r="Q260" s="99" t="e">
        <f>Milestones!T41+"AM:!/J:"</f>
        <v>#VALUE!</v>
      </c>
      <c r="R260" s="99" t="e">
        <f>Milestones!U41+"AM:!/J;"</f>
        <v>#VALUE!</v>
      </c>
      <c r="S260" s="99" t="e">
        <f>Milestones!V41+"AM:!/J&lt;"</f>
        <v>#VALUE!</v>
      </c>
      <c r="T260" s="99" t="e">
        <f>Milestones!W41+"AM:!/J="</f>
        <v>#VALUE!</v>
      </c>
      <c r="U260" s="99" t="e">
        <f>Milestones!X41+"AM:!/J&gt;"</f>
        <v>#VALUE!</v>
      </c>
      <c r="V260" s="99" t="e">
        <f>Milestones!Y41+"AM:!/J?"</f>
        <v>#VALUE!</v>
      </c>
      <c r="W260" s="99" t="e">
        <f>Milestones!Z41+"AM:!/J@"</f>
        <v>#VALUE!</v>
      </c>
      <c r="X260" s="99" t="e">
        <f>Milestones!AA41+"AM:!/JA"</f>
        <v>#VALUE!</v>
      </c>
      <c r="Y260" s="99" t="e">
        <f>Milestones!AB41+"AM:!/JB"</f>
        <v>#VALUE!</v>
      </c>
      <c r="Z260" s="99" t="e">
        <f>Milestones!AC41+"AM:!/JC"</f>
        <v>#VALUE!</v>
      </c>
      <c r="AA260" s="99" t="e">
        <f>Milestones!AD41+"AM:!/JD"</f>
        <v>#VALUE!</v>
      </c>
      <c r="AB260" s="99" t="e">
        <f>Milestones!AE41+"AM:!/JE"</f>
        <v>#VALUE!</v>
      </c>
      <c r="AC260" s="99" t="e">
        <f>Milestones!AF41+"AM:!/JF"</f>
        <v>#VALUE!</v>
      </c>
      <c r="AD260" s="99" t="e">
        <f>Milestones!AG41+"AM:!/JG"</f>
        <v>#VALUE!</v>
      </c>
      <c r="AE260" s="99" t="e">
        <f>Milestones!AH41+"AM:!/JH"</f>
        <v>#VALUE!</v>
      </c>
      <c r="AF260" s="99" t="e">
        <f>Milestones!AI41+"AM:!/JI"</f>
        <v>#VALUE!</v>
      </c>
      <c r="AG260" s="99" t="e">
        <f>Milestones!AJ41+"AM:!/JJ"</f>
        <v>#VALUE!</v>
      </c>
      <c r="AH260" s="99" t="e">
        <f>Milestones!AK41+"AM:!/JK"</f>
        <v>#VALUE!</v>
      </c>
      <c r="AI260" s="99" t="e">
        <f>Milestones!AL41+"AM:!/JL"</f>
        <v>#VALUE!</v>
      </c>
      <c r="AJ260" s="99" t="e">
        <f>Milestones!AM41+"AM:!/JM"</f>
        <v>#VALUE!</v>
      </c>
      <c r="AK260" s="99" t="e">
        <f>Milestones!AN41+"AM:!/JN"</f>
        <v>#VALUE!</v>
      </c>
      <c r="AL260" s="99" t="e">
        <f>Milestones!AO41+"AM:!/JO"</f>
        <v>#VALUE!</v>
      </c>
      <c r="AM260" s="99" t="e">
        <f>Milestones!AP41+"AM:!/JP"</f>
        <v>#VALUE!</v>
      </c>
      <c r="AN260" s="99" t="e">
        <f>Milestones!AQ41+"AM:!/JQ"</f>
        <v>#VALUE!</v>
      </c>
      <c r="AO260" s="99" t="e">
        <f>Milestones!AR41+"AM:!/JR"</f>
        <v>#VALUE!</v>
      </c>
      <c r="AP260" t="e">
        <f>Milestones!G42+"AM:!/JS"</f>
        <v>#VALUE!</v>
      </c>
      <c r="AQ260" s="99" t="e">
        <f>Milestones!H42+"AM:!/JT"</f>
        <v>#VALUE!</v>
      </c>
      <c r="AR260" t="e">
        <f>Milestones!I42+"AM:!/JU"</f>
        <v>#VALUE!</v>
      </c>
      <c r="AS260" t="e">
        <f>Milestones!J42+"AM:!/JV"</f>
        <v>#VALUE!</v>
      </c>
      <c r="AT260" t="e">
        <f>Milestones!K42+"AM:!/JW"</f>
        <v>#VALUE!</v>
      </c>
      <c r="AU260" t="e">
        <f>Milestones!L42+"AM:!/JX"</f>
        <v>#VALUE!</v>
      </c>
      <c r="AV260" t="e">
        <f>Milestones!M42+"AM:!/JY"</f>
        <v>#VALUE!</v>
      </c>
      <c r="AW260" t="e">
        <f>Milestones!N42+"AM:!/JZ"</f>
        <v>#VALUE!</v>
      </c>
      <c r="AX260" t="e">
        <f>Milestones!O42+"AM:!/J["</f>
        <v>#VALUE!</v>
      </c>
      <c r="AY260" t="e">
        <f>Milestones!P42+"AM:!/J\"</f>
        <v>#VALUE!</v>
      </c>
      <c r="AZ260" t="e">
        <f>Milestones!Q42+"AM:!/J]"</f>
        <v>#VALUE!</v>
      </c>
      <c r="BA260" t="e">
        <f>Milestones!R42+"AM:!/J^"</f>
        <v>#VALUE!</v>
      </c>
      <c r="BB260" t="e">
        <f>Milestones!S42+"AM:!/J_"</f>
        <v>#VALUE!</v>
      </c>
      <c r="BC260" t="e">
        <f>Milestones!T42+"AM:!/J`"</f>
        <v>#VALUE!</v>
      </c>
      <c r="BD260" t="e">
        <f>Milestones!U42+"AM:!/Ja"</f>
        <v>#VALUE!</v>
      </c>
      <c r="BE260" t="e">
        <f>Milestones!V42+"AM:!/Jb"</f>
        <v>#VALUE!</v>
      </c>
      <c r="BF260" t="e">
        <f>Milestones!W42+"AM:!/Jc"</f>
        <v>#VALUE!</v>
      </c>
      <c r="BG260" t="e">
        <f>Milestones!X42+"AM:!/Jd"</f>
        <v>#VALUE!</v>
      </c>
      <c r="BH260" t="e">
        <f>Milestones!Y42+"AM:!/Je"</f>
        <v>#VALUE!</v>
      </c>
      <c r="BI260" t="e">
        <f>Milestones!Z42+"AM:!/Jf"</f>
        <v>#VALUE!</v>
      </c>
      <c r="BJ260" t="e">
        <f>Milestones!AA42+"AM:!/Jg"</f>
        <v>#VALUE!</v>
      </c>
      <c r="BK260" t="e">
        <f>Milestones!AB42+"AM:!/Jh"</f>
        <v>#VALUE!</v>
      </c>
      <c r="BL260" t="e">
        <f>Milestones!AC42+"AM:!/Ji"</f>
        <v>#VALUE!</v>
      </c>
      <c r="BM260" t="e">
        <f>Milestones!AD42+"AM:!/Jj"</f>
        <v>#VALUE!</v>
      </c>
      <c r="BN260" t="e">
        <f>Milestones!AE42+"AM:!/Jk"</f>
        <v>#VALUE!</v>
      </c>
      <c r="BO260" t="e">
        <f>Milestones!AF42+"AM:!/Jl"</f>
        <v>#VALUE!</v>
      </c>
      <c r="BP260" t="e">
        <f>Milestones!AG42+"AM:!/Jm"</f>
        <v>#VALUE!</v>
      </c>
      <c r="BQ260" t="e">
        <f>Milestones!AH42+"AM:!/Jn"</f>
        <v>#VALUE!</v>
      </c>
      <c r="BR260" t="e">
        <f>Milestones!AI42+"AM:!/Jo"</f>
        <v>#VALUE!</v>
      </c>
      <c r="BS260" t="e">
        <f>Milestones!AJ42+"AM:!/Jp"</f>
        <v>#VALUE!</v>
      </c>
      <c r="BT260" t="e">
        <f>Milestones!AK42+"AM:!/Jq"</f>
        <v>#VALUE!</v>
      </c>
      <c r="BU260" t="e">
        <f>Milestones!AL42+"AM:!/Jr"</f>
        <v>#VALUE!</v>
      </c>
      <c r="BV260" t="e">
        <f>Milestones!AM42+"AM:!/Js"</f>
        <v>#VALUE!</v>
      </c>
      <c r="BW260" t="e">
        <f>Milestones!AN42+"AM:!/Jt"</f>
        <v>#VALUE!</v>
      </c>
      <c r="BX260" t="e">
        <f>Milestones!AO42+"AM:!/Ju"</f>
        <v>#VALUE!</v>
      </c>
      <c r="BY260" t="e">
        <f>Milestones!AP42+"AM:!/Jv"</f>
        <v>#VALUE!</v>
      </c>
      <c r="BZ260" t="e">
        <f>Milestones!AQ42+"AM:!/Jw"</f>
        <v>#VALUE!</v>
      </c>
      <c r="CA260" t="e">
        <f>Milestones!AR42+"AM:!/Jx"</f>
        <v>#VALUE!</v>
      </c>
      <c r="CB260" t="e">
        <f>Milestones!G43+"AM:!/Jy"</f>
        <v>#VALUE!</v>
      </c>
      <c r="CC260" s="99" t="e">
        <f>Milestones!H43+"AM:!/Jz"</f>
        <v>#VALUE!</v>
      </c>
      <c r="CD260" t="e">
        <f>Milestones!I43+"AM:!/J{"</f>
        <v>#VALUE!</v>
      </c>
      <c r="CE260" t="e">
        <f>Milestones!J43+"AM:!/J|"</f>
        <v>#VALUE!</v>
      </c>
      <c r="CF260" t="e">
        <f>Milestones!K43+"AM:!/J}"</f>
        <v>#VALUE!</v>
      </c>
      <c r="CG260" t="e">
        <f>Milestones!L43+"AM:!/J~"</f>
        <v>#VALUE!</v>
      </c>
      <c r="CH260" t="e">
        <f>Milestones!M43+"AM:!/K#"</f>
        <v>#VALUE!</v>
      </c>
      <c r="CI260" t="e">
        <f>Milestones!N43+"AM:!/K$"</f>
        <v>#VALUE!</v>
      </c>
      <c r="CJ260" t="e">
        <f>Milestones!O43+"AM:!/K%"</f>
        <v>#VALUE!</v>
      </c>
      <c r="CK260" t="e">
        <f>Milestones!P43+"AM:!/K&amp;"</f>
        <v>#VALUE!</v>
      </c>
      <c r="CL260" t="e">
        <f>Milestones!Q43+"AM:!/K'"</f>
        <v>#VALUE!</v>
      </c>
      <c r="CM260" t="e">
        <f>Milestones!R43+"AM:!/K("</f>
        <v>#VALUE!</v>
      </c>
      <c r="CN260" t="e">
        <f>Milestones!S43+"AM:!/K)"</f>
        <v>#VALUE!</v>
      </c>
      <c r="CO260" t="e">
        <f>Milestones!T43+"AM:!/K."</f>
        <v>#VALUE!</v>
      </c>
      <c r="CP260" t="e">
        <f>Milestones!U43+"AM:!/K/"</f>
        <v>#VALUE!</v>
      </c>
      <c r="CQ260" t="e">
        <f>Milestones!V43+"AM:!/K0"</f>
        <v>#VALUE!</v>
      </c>
      <c r="CR260" t="e">
        <f>Milestones!W43+"AM:!/K1"</f>
        <v>#VALUE!</v>
      </c>
      <c r="CS260" t="e">
        <f>Milestones!X43+"AM:!/K2"</f>
        <v>#VALUE!</v>
      </c>
      <c r="CT260" t="e">
        <f>Milestones!Y43+"AM:!/K3"</f>
        <v>#VALUE!</v>
      </c>
      <c r="CU260" t="e">
        <f>Milestones!Z43+"AM:!/K4"</f>
        <v>#VALUE!</v>
      </c>
      <c r="CV260" t="e">
        <f>Milestones!AA43+"AM:!/K5"</f>
        <v>#VALUE!</v>
      </c>
      <c r="CW260" t="e">
        <f>Milestones!AB43+"AM:!/K6"</f>
        <v>#VALUE!</v>
      </c>
      <c r="CX260" t="e">
        <f>Milestones!AC43+"AM:!/K7"</f>
        <v>#VALUE!</v>
      </c>
      <c r="CY260" t="e">
        <f>Milestones!AD43+"AM:!/K8"</f>
        <v>#VALUE!</v>
      </c>
      <c r="CZ260" t="e">
        <f>Milestones!AE43+"AM:!/K9"</f>
        <v>#VALUE!</v>
      </c>
      <c r="DA260" t="e">
        <f>Milestones!AF43+"AM:!/K:"</f>
        <v>#VALUE!</v>
      </c>
      <c r="DB260" t="e">
        <f>Milestones!AG43+"AM:!/K;"</f>
        <v>#VALUE!</v>
      </c>
      <c r="DC260" t="e">
        <f>Milestones!AH43+"AM:!/K&lt;"</f>
        <v>#VALUE!</v>
      </c>
      <c r="DD260" t="e">
        <f>Milestones!AI43+"AM:!/K="</f>
        <v>#VALUE!</v>
      </c>
      <c r="DE260" t="e">
        <f>Milestones!AJ43+"AM:!/K&gt;"</f>
        <v>#VALUE!</v>
      </c>
      <c r="DF260" t="e">
        <f>Milestones!AK43+"AM:!/K?"</f>
        <v>#VALUE!</v>
      </c>
      <c r="DG260" t="e">
        <f>Milestones!AL43+"AM:!/K@"</f>
        <v>#VALUE!</v>
      </c>
      <c r="DH260" t="e">
        <f>Milestones!AM43+"AM:!/KA"</f>
        <v>#VALUE!</v>
      </c>
      <c r="DI260" t="e">
        <f>Milestones!AN43+"AM:!/KB"</f>
        <v>#VALUE!</v>
      </c>
      <c r="DJ260" t="e">
        <f>Milestones!AO43+"AM:!/KC"</f>
        <v>#VALUE!</v>
      </c>
      <c r="DK260" t="e">
        <f>Milestones!AP43+"AM:!/KD"</f>
        <v>#VALUE!</v>
      </c>
      <c r="DL260" t="e">
        <f>Milestones!AQ43+"AM:!/KE"</f>
        <v>#VALUE!</v>
      </c>
      <c r="DM260" t="e">
        <f>Milestones!AR43+"AM:!/KF"</f>
        <v>#VALUE!</v>
      </c>
      <c r="DN260" t="e">
        <f>Milestones!G44+"AM:!/KG"</f>
        <v>#VALUE!</v>
      </c>
      <c r="DO260" t="e">
        <f>Milestones!H44+"AM:!/KH"</f>
        <v>#VALUE!</v>
      </c>
      <c r="DP260" t="e">
        <f>Milestones!I44+"AM:!/KI"</f>
        <v>#VALUE!</v>
      </c>
      <c r="DQ260" t="e">
        <f>Milestones!J44+"AM:!/KJ"</f>
        <v>#VALUE!</v>
      </c>
      <c r="DR260" t="e">
        <f>Milestones!K44+"AM:!/KK"</f>
        <v>#VALUE!</v>
      </c>
      <c r="DS260" t="e">
        <f>Milestones!L44+"AM:!/KL"</f>
        <v>#VALUE!</v>
      </c>
      <c r="DT260" t="e">
        <f>Milestones!M44+"AM:!/KM"</f>
        <v>#VALUE!</v>
      </c>
      <c r="DU260" t="e">
        <f>Milestones!N44+"AM:!/KN"</f>
        <v>#VALUE!</v>
      </c>
      <c r="DV260" t="e">
        <f>Milestones!O44+"AM:!/KO"</f>
        <v>#VALUE!</v>
      </c>
      <c r="DW260" t="e">
        <f>Milestones!P44+"AM:!/KP"</f>
        <v>#VALUE!</v>
      </c>
      <c r="DX260" t="e">
        <f>Milestones!Q44+"AM:!/KQ"</f>
        <v>#VALUE!</v>
      </c>
      <c r="DY260" t="e">
        <f>Milestones!R44+"AM:!/KR"</f>
        <v>#VALUE!</v>
      </c>
      <c r="DZ260" t="e">
        <f>Milestones!S44+"AM:!/KS"</f>
        <v>#VALUE!</v>
      </c>
      <c r="EA260" t="e">
        <f>Milestones!T44+"AM:!/KT"</f>
        <v>#VALUE!</v>
      </c>
      <c r="EB260" t="e">
        <f>Milestones!U44+"AM:!/KU"</f>
        <v>#VALUE!</v>
      </c>
      <c r="EC260" t="e">
        <f>Milestones!V44+"AM:!/KV"</f>
        <v>#VALUE!</v>
      </c>
      <c r="ED260" t="e">
        <f>Milestones!W44+"AM:!/KW"</f>
        <v>#VALUE!</v>
      </c>
      <c r="EE260" t="e">
        <f>Milestones!X44+"AM:!/KX"</f>
        <v>#VALUE!</v>
      </c>
      <c r="EF260" t="e">
        <f>Milestones!Y44+"AM:!/KY"</f>
        <v>#VALUE!</v>
      </c>
      <c r="EG260" t="e">
        <f>Milestones!Z44+"AM:!/KZ"</f>
        <v>#VALUE!</v>
      </c>
      <c r="EH260" t="e">
        <f>Milestones!AA44+"AM:!/K["</f>
        <v>#VALUE!</v>
      </c>
      <c r="EI260" t="e">
        <f>Milestones!AB44+"AM:!/K\"</f>
        <v>#VALUE!</v>
      </c>
      <c r="EJ260" t="e">
        <f>Milestones!AC44+"AM:!/K]"</f>
        <v>#VALUE!</v>
      </c>
      <c r="EK260" t="e">
        <f>Milestones!AD44+"AM:!/K^"</f>
        <v>#VALUE!</v>
      </c>
      <c r="EL260" t="e">
        <f>Milestones!AE44+"AM:!/K_"</f>
        <v>#VALUE!</v>
      </c>
      <c r="EM260" t="e">
        <f>Milestones!AF44+"AM:!/K`"</f>
        <v>#VALUE!</v>
      </c>
      <c r="EN260" t="e">
        <f>Milestones!AG44+"AM:!/Ka"</f>
        <v>#VALUE!</v>
      </c>
      <c r="EO260" t="e">
        <f>Milestones!AH44+"AM:!/Kb"</f>
        <v>#VALUE!</v>
      </c>
      <c r="EP260" t="e">
        <f>Milestones!AI44+"AM:!/Kc"</f>
        <v>#VALUE!</v>
      </c>
      <c r="EQ260" t="e">
        <f>Milestones!AJ44+"AM:!/Kd"</f>
        <v>#VALUE!</v>
      </c>
      <c r="ER260" t="e">
        <f>Milestones!AK44+"AM:!/Ke"</f>
        <v>#VALUE!</v>
      </c>
      <c r="ES260" t="e">
        <f>Milestones!AL44+"AM:!/Kf"</f>
        <v>#VALUE!</v>
      </c>
      <c r="ET260" t="e">
        <f>Milestones!AM44+"AM:!/Kg"</f>
        <v>#VALUE!</v>
      </c>
      <c r="EU260" t="e">
        <f>Milestones!AN44+"AM:!/Kh"</f>
        <v>#VALUE!</v>
      </c>
      <c r="EV260" t="e">
        <f>Milestones!AO44+"AM:!/Ki"</f>
        <v>#VALUE!</v>
      </c>
      <c r="EW260" t="e">
        <f>Milestones!AP44+"AM:!/Kj"</f>
        <v>#VALUE!</v>
      </c>
      <c r="EX260" t="e">
        <f>Milestones!AQ44+"AM:!/Kk"</f>
        <v>#VALUE!</v>
      </c>
      <c r="EY260" t="e">
        <f>Milestones!AR44+"AM:!/Kl"</f>
        <v>#VALUE!</v>
      </c>
      <c r="EZ260" t="e">
        <f>Milestones!G45+"AM:!/Km"</f>
        <v>#VALUE!</v>
      </c>
      <c r="FA260" t="e">
        <f>Milestones!H45+"AM:!/Kn"</f>
        <v>#VALUE!</v>
      </c>
      <c r="FB260" t="e">
        <f>Milestones!I45+"AM:!/Ko"</f>
        <v>#VALUE!</v>
      </c>
      <c r="FC260" t="e">
        <f>Milestones!J45+"AM:!/Kp"</f>
        <v>#VALUE!</v>
      </c>
      <c r="FD260" t="e">
        <f>Milestones!K45+"AM:!/Kq"</f>
        <v>#VALUE!</v>
      </c>
      <c r="FE260" t="e">
        <f>Milestones!L45+"AM:!/Kr"</f>
        <v>#VALUE!</v>
      </c>
      <c r="FF260" t="e">
        <f>Milestones!M45+"AM:!/Ks"</f>
        <v>#VALUE!</v>
      </c>
      <c r="FG260" t="e">
        <f>Milestones!N45+"AM:!/Kt"</f>
        <v>#VALUE!</v>
      </c>
      <c r="FH260" t="e">
        <f>Milestones!O45+"AM:!/Ku"</f>
        <v>#VALUE!</v>
      </c>
      <c r="FI260" t="e">
        <f>Milestones!P45+"AM:!/Kv"</f>
        <v>#VALUE!</v>
      </c>
      <c r="FJ260" t="e">
        <f>Milestones!Q45+"AM:!/Kw"</f>
        <v>#VALUE!</v>
      </c>
      <c r="FK260" t="e">
        <f>Milestones!R45+"AM:!/Kx"</f>
        <v>#VALUE!</v>
      </c>
      <c r="FL260" t="e">
        <f>Milestones!S45+"AM:!/Ky"</f>
        <v>#VALUE!</v>
      </c>
      <c r="FM260" t="e">
        <f>Milestones!T45+"AM:!/Kz"</f>
        <v>#VALUE!</v>
      </c>
      <c r="FN260" t="e">
        <f>Milestones!U45+"AM:!/K{"</f>
        <v>#VALUE!</v>
      </c>
      <c r="FO260" t="e">
        <f>Milestones!V45+"AM:!/K|"</f>
        <v>#VALUE!</v>
      </c>
      <c r="FP260" t="e">
        <f>Milestones!W45+"AM:!/K}"</f>
        <v>#VALUE!</v>
      </c>
      <c r="FQ260" t="e">
        <f>Milestones!X45+"AM:!/K~"</f>
        <v>#VALUE!</v>
      </c>
      <c r="FR260" t="e">
        <f>Milestones!Y45+"AM:!/L#"</f>
        <v>#VALUE!</v>
      </c>
      <c r="FS260" t="e">
        <f>Milestones!Z45+"AM:!/L$"</f>
        <v>#VALUE!</v>
      </c>
      <c r="FT260" t="e">
        <f>Milestones!AA45+"AM:!/L%"</f>
        <v>#VALUE!</v>
      </c>
      <c r="FU260" t="e">
        <f>Milestones!AB45+"AM:!/L&amp;"</f>
        <v>#VALUE!</v>
      </c>
      <c r="FV260" t="e">
        <f>Milestones!AC45+"AM:!/L'"</f>
        <v>#VALUE!</v>
      </c>
      <c r="FW260" t="e">
        <f>Milestones!AD45+"AM:!/L("</f>
        <v>#VALUE!</v>
      </c>
      <c r="FX260" t="e">
        <f>Milestones!AE45+"AM:!/L)"</f>
        <v>#VALUE!</v>
      </c>
      <c r="FY260" t="e">
        <f>Milestones!AF45+"AM:!/L."</f>
        <v>#VALUE!</v>
      </c>
      <c r="FZ260" t="e">
        <f>Milestones!AG45+"AM:!/L/"</f>
        <v>#VALUE!</v>
      </c>
      <c r="GA260" t="e">
        <f>Milestones!AH45+"AM:!/L0"</f>
        <v>#VALUE!</v>
      </c>
      <c r="GB260" t="e">
        <f>Milestones!AI45+"AM:!/L1"</f>
        <v>#VALUE!</v>
      </c>
      <c r="GC260" t="e">
        <f>Milestones!AJ45+"AM:!/L2"</f>
        <v>#VALUE!</v>
      </c>
      <c r="GD260" t="e">
        <f>Milestones!AK45+"AM:!/L3"</f>
        <v>#VALUE!</v>
      </c>
      <c r="GE260" t="e">
        <f>Milestones!AL45+"AM:!/L4"</f>
        <v>#VALUE!</v>
      </c>
      <c r="GF260" t="e">
        <f>Milestones!AM45+"AM:!/L5"</f>
        <v>#VALUE!</v>
      </c>
      <c r="GG260" t="e">
        <f>Milestones!AN45+"AM:!/L6"</f>
        <v>#VALUE!</v>
      </c>
      <c r="GH260" t="e">
        <f>Milestones!AO45+"AM:!/L7"</f>
        <v>#VALUE!</v>
      </c>
      <c r="GI260" t="e">
        <f>Milestones!AP45+"AM:!/L8"</f>
        <v>#VALUE!</v>
      </c>
      <c r="GJ260" t="e">
        <f>Milestones!AQ45+"AM:!/L9"</f>
        <v>#VALUE!</v>
      </c>
      <c r="GK260" t="e">
        <f>Milestones!AR45+"AM:!/L:"</f>
        <v>#VALUE!</v>
      </c>
      <c r="GL260" t="e">
        <f>Milestones!G46+"AM:!/L;"</f>
        <v>#VALUE!</v>
      </c>
      <c r="GM260" t="e">
        <f>Milestones!H46+"AM:!/L&lt;"</f>
        <v>#VALUE!</v>
      </c>
      <c r="GN260" t="e">
        <f>Milestones!I46+"AM:!/L="</f>
        <v>#VALUE!</v>
      </c>
      <c r="GO260" t="e">
        <f>Milestones!J46+"AM:!/L&gt;"</f>
        <v>#VALUE!</v>
      </c>
      <c r="GP260" t="e">
        <f>Milestones!K46+"AM:!/L?"</f>
        <v>#VALUE!</v>
      </c>
      <c r="GQ260" t="e">
        <f>Milestones!L46+"AM:!/L@"</f>
        <v>#VALUE!</v>
      </c>
      <c r="GR260" t="e">
        <f>Milestones!M46+"AM:!/LA"</f>
        <v>#VALUE!</v>
      </c>
      <c r="GS260" t="e">
        <f>Milestones!N46+"AM:!/LB"</f>
        <v>#VALUE!</v>
      </c>
      <c r="GT260" t="e">
        <f>Milestones!O46+"AM:!/LC"</f>
        <v>#VALUE!</v>
      </c>
      <c r="GU260" t="e">
        <f>Milestones!P46+"AM:!/LD"</f>
        <v>#VALUE!</v>
      </c>
      <c r="GV260" t="e">
        <f>Milestones!Q46+"AM:!/LE"</f>
        <v>#VALUE!</v>
      </c>
      <c r="GW260" t="e">
        <f>Milestones!R46+"AM:!/LF"</f>
        <v>#VALUE!</v>
      </c>
      <c r="GX260" t="e">
        <f>Milestones!S46+"AM:!/LG"</f>
        <v>#VALUE!</v>
      </c>
      <c r="GY260" t="e">
        <f>Milestones!T46+"AM:!/LH"</f>
        <v>#VALUE!</v>
      </c>
      <c r="GZ260" t="e">
        <f>Milestones!U46+"AM:!/LI"</f>
        <v>#VALUE!</v>
      </c>
      <c r="HA260" t="e">
        <f>Milestones!V46+"AM:!/LJ"</f>
        <v>#VALUE!</v>
      </c>
      <c r="HB260" t="e">
        <f>Milestones!W46+"AM:!/LK"</f>
        <v>#VALUE!</v>
      </c>
      <c r="HC260" t="e">
        <f>Milestones!X46+"AM:!/LL"</f>
        <v>#VALUE!</v>
      </c>
      <c r="HD260" t="e">
        <f>Milestones!Y46+"AM:!/LM"</f>
        <v>#VALUE!</v>
      </c>
      <c r="HE260" t="e">
        <f>Milestones!Z46+"AM:!/LN"</f>
        <v>#VALUE!</v>
      </c>
      <c r="HF260" t="e">
        <f>Milestones!AA46+"AM:!/LO"</f>
        <v>#VALUE!</v>
      </c>
      <c r="HG260" t="e">
        <f>Milestones!AB46+"AM:!/LP"</f>
        <v>#VALUE!</v>
      </c>
      <c r="HH260" t="e">
        <f>Milestones!AC46+"AM:!/LQ"</f>
        <v>#VALUE!</v>
      </c>
      <c r="HI260" t="e">
        <f>Milestones!AD46+"AM:!/LR"</f>
        <v>#VALUE!</v>
      </c>
      <c r="HJ260" t="e">
        <f>Milestones!AE46+"AM:!/LS"</f>
        <v>#VALUE!</v>
      </c>
      <c r="HK260" t="e">
        <f>Milestones!AF46+"AM:!/LT"</f>
        <v>#VALUE!</v>
      </c>
      <c r="HL260" t="e">
        <f>Milestones!AG46+"AM:!/LU"</f>
        <v>#VALUE!</v>
      </c>
      <c r="HM260" t="e">
        <f>Milestones!AH46+"AM:!/LV"</f>
        <v>#VALUE!</v>
      </c>
      <c r="HN260" t="e">
        <f>Milestones!AI46+"AM:!/LW"</f>
        <v>#VALUE!</v>
      </c>
      <c r="HO260" t="e">
        <f>Milestones!AJ46+"AM:!/LX"</f>
        <v>#VALUE!</v>
      </c>
      <c r="HP260" t="e">
        <f>Milestones!AK46+"AM:!/LY"</f>
        <v>#VALUE!</v>
      </c>
      <c r="HQ260" t="e">
        <f>Milestones!AL46+"AM:!/LZ"</f>
        <v>#VALUE!</v>
      </c>
      <c r="HR260" t="e">
        <f>Milestones!AM46+"AM:!/L["</f>
        <v>#VALUE!</v>
      </c>
      <c r="HS260" t="e">
        <f>Milestones!AN46+"AM:!/L\"</f>
        <v>#VALUE!</v>
      </c>
      <c r="HT260" t="e">
        <f>Milestones!AO46+"AM:!/L]"</f>
        <v>#VALUE!</v>
      </c>
      <c r="HU260" t="e">
        <f>Milestones!AP46+"AM:!/L^"</f>
        <v>#VALUE!</v>
      </c>
      <c r="HV260" t="e">
        <f>Milestones!AQ46+"AM:!/L_"</f>
        <v>#VALUE!</v>
      </c>
      <c r="HW260" t="e">
        <f>Milestones!AR46+"AM:!/L`"</f>
        <v>#VALUE!</v>
      </c>
      <c r="HX260" t="e">
        <f>Risklog!A:A*"AM:!/Lc"</f>
        <v>#VALUE!</v>
      </c>
      <c r="HY260" t="e">
        <f>Risklog!B:B*"AM:!/Ld"</f>
        <v>#VALUE!</v>
      </c>
      <c r="HZ260" t="e">
        <f>Risklog!C:C*"AM:!/Le"</f>
        <v>#VALUE!</v>
      </c>
      <c r="IA260" t="e">
        <f>Risklog!D:D*"AM:!/Lf"</f>
        <v>#VALUE!</v>
      </c>
      <c r="IB260" t="e">
        <f>Risklog!E:E*"AM:!/Lg"</f>
        <v>#VALUE!</v>
      </c>
      <c r="IC260" t="e">
        <f>Risklog!F:F*"AM:!/Lh"</f>
        <v>#VALUE!</v>
      </c>
      <c r="ID260" t="e">
        <f>Risklog!G:G*"AM:!/Li"</f>
        <v>#VALUE!</v>
      </c>
      <c r="IE260" t="e">
        <f>Risklog!H:H*"AM:!/Lj"</f>
        <v>#VALUE!</v>
      </c>
      <c r="IF260" t="e">
        <f>Risklog!I:I*"AM:!/Lk"</f>
        <v>#VALUE!</v>
      </c>
      <c r="IG260" t="e">
        <f>Risklog!J:J*"AM:!/Ll"</f>
        <v>#VALUE!</v>
      </c>
      <c r="IH260" t="e">
        <f>Risklog!K:K*"AM:!/Lm"</f>
        <v>#VALUE!</v>
      </c>
      <c r="II260" t="e">
        <f>Risklog!L:L*"AM:!/Ln"</f>
        <v>#VALUE!</v>
      </c>
      <c r="IJ260" t="e">
        <f>Risklog!M:M*"AM:!/Lo"</f>
        <v>#VALUE!</v>
      </c>
      <c r="IK260" t="e">
        <f>Risklog!N:N*"AM:!/Lp"</f>
        <v>#VALUE!</v>
      </c>
      <c r="IL260" t="e">
        <f>Risklog!O:O*"AM:!/Lq"</f>
        <v>#VALUE!</v>
      </c>
      <c r="IM260" t="e">
        <f>Risklog!P:P*"AM:!/Lr"</f>
        <v>#VALUE!</v>
      </c>
      <c r="IN260" t="e">
        <f>Risklog!Q:Q*"AM:!/Ls"</f>
        <v>#VALUE!</v>
      </c>
      <c r="IO260" t="e">
        <f>Risklog!R:R*"AM:!/Lt"</f>
        <v>#VALUE!</v>
      </c>
      <c r="IP260" t="e">
        <f>Risklog!S:S*"AM:!/Lu"</f>
        <v>#VALUE!</v>
      </c>
      <c r="IQ260" t="e">
        <f>Risklog!T:T*"AM:!/Lv"</f>
        <v>#VALUE!</v>
      </c>
      <c r="IR260" t="e">
        <f>Risklog!U:U*"AM:!/Lw"</f>
        <v>#VALUE!</v>
      </c>
      <c r="IS260" t="e">
        <f>Risklog!V:V*"AM:!/Lx"</f>
        <v>#VALUE!</v>
      </c>
      <c r="IT260" t="e">
        <f>Risklog!W:W*"AM:!/Ly"</f>
        <v>#VALUE!</v>
      </c>
      <c r="IU260" t="e">
        <f>Risklog!X:X*"AM:!/Lz"</f>
        <v>#VALUE!</v>
      </c>
      <c r="IV260" t="e">
        <f>Risklog!Y:Y*"AM:!/L{"</f>
        <v>#VALUE!</v>
      </c>
    </row>
    <row r="261" spans="6:256">
      <c r="F261" t="e">
        <f>Risklog!Z:Z*"AM:!/L|"</f>
        <v>#VALUE!</v>
      </c>
      <c r="G261" t="e">
        <f>Risklog!AA:AA*"AM:!/L}"</f>
        <v>#VALUE!</v>
      </c>
      <c r="H261" t="e">
        <f>Risklog!AB:AB*"AM:!/L~"</f>
        <v>#VALUE!</v>
      </c>
      <c r="I261" t="e">
        <f>Risklog!AC:AC*"AM:!/M#"</f>
        <v>#VALUE!</v>
      </c>
      <c r="J261" t="e">
        <f>Risklog!AD:AD*"AM:!/M$"</f>
        <v>#VALUE!</v>
      </c>
      <c r="K261" t="e">
        <f>Risklog!AE:AE*"AM:!/M%"</f>
        <v>#VALUE!</v>
      </c>
      <c r="L261" t="e">
        <f>Risklog!AF:AF*"AM:!/M&amp;"</f>
        <v>#VALUE!</v>
      </c>
      <c r="M261" t="e">
        <f>Risklog!AG:AG*"AM:!/M'"</f>
        <v>#VALUE!</v>
      </c>
      <c r="N261" t="e">
        <f>Risklog!AH:AH*"AM:!/M("</f>
        <v>#VALUE!</v>
      </c>
      <c r="O261" t="e">
        <f>Risklog!AI:AI*"AM:!/M)"</f>
        <v>#VALUE!</v>
      </c>
      <c r="P261" t="e">
        <f>Risklog!AJ:AJ*"AM:!/M."</f>
        <v>#VALUE!</v>
      </c>
      <c r="Q261" t="e">
        <f>Risklog!AK:AK*"AM:!/M/"</f>
        <v>#VALUE!</v>
      </c>
      <c r="R261" t="e">
        <f>Risklog!AL:AL*"AM:!/M0"</f>
        <v>#VALUE!</v>
      </c>
      <c r="S261" t="e">
        <f>Risklog!AM:AM*"AM:!/M1"</f>
        <v>#VALUE!</v>
      </c>
      <c r="T261" t="e">
        <f>Risklog!AN:AN*"AM:!/M2"</f>
        <v>#VALUE!</v>
      </c>
      <c r="U261" t="e">
        <f>Risklog!AO:AO*"AM:!/M3"</f>
        <v>#VALUE!</v>
      </c>
      <c r="V261" t="e">
        <f>Risklog!AP:AP*"AM:!/M4"</f>
        <v>#VALUE!</v>
      </c>
      <c r="W261" t="e">
        <f>Risklog!AQ:AQ*"AM:!/M5"</f>
        <v>#VALUE!</v>
      </c>
      <c r="X261" t="e">
        <f>Risklog!AR:AR*"AM:!/M6"</f>
        <v>#VALUE!</v>
      </c>
      <c r="Y261" t="e">
        <f>Risklog!AS:AS*"AM:!/M7"</f>
        <v>#VALUE!</v>
      </c>
      <c r="Z261" t="e">
        <f>Risklog!AT:AT*"AM:!/M8"</f>
        <v>#VALUE!</v>
      </c>
      <c r="AA261" t="e">
        <f>Risklog!AU:AU*"AM:!/M9"</f>
        <v>#VALUE!</v>
      </c>
      <c r="AB261" t="e">
        <f>Risklog!AV:AV*"AM:!/M:"</f>
        <v>#VALUE!</v>
      </c>
      <c r="AC261" t="e">
        <f>Risklog!AW:AW*"AM:!/M;"</f>
        <v>#VALUE!</v>
      </c>
      <c r="AD261" t="e">
        <f>Risklog!AX:AX*"AM:!/M&lt;"</f>
        <v>#VALUE!</v>
      </c>
      <c r="AE261" t="e">
        <f>Risklog!AY:AY*"AM:!/M="</f>
        <v>#VALUE!</v>
      </c>
      <c r="AF261" t="e">
        <f>Risklog!AZ:AZ*"AM:!/M&gt;"</f>
        <v>#VALUE!</v>
      </c>
      <c r="AG261" t="e">
        <f>Risklog!BA:BA*"AM:!/M?"</f>
        <v>#VALUE!</v>
      </c>
      <c r="AH261" t="e">
        <f>Risklog!BB:BB*"AM:!/M@"</f>
        <v>#VALUE!</v>
      </c>
      <c r="AI261" t="e">
        <f>Risklog!BC:BC*"AM:!/MA"</f>
        <v>#VALUE!</v>
      </c>
      <c r="AJ261" t="e">
        <f>Risklog!BD:BD*"AM:!/MB"</f>
        <v>#VALUE!</v>
      </c>
      <c r="AK261" t="e">
        <f>Risklog!BE:BE*"AM:!/MC"</f>
        <v>#VALUE!</v>
      </c>
      <c r="AL261" t="e">
        <f>Risklog!BF:BF*"AM:!/MD"</f>
        <v>#VALUE!</v>
      </c>
      <c r="AM261" t="e">
        <f>Risklog!BG:BG*"AM:!/ME"</f>
        <v>#VALUE!</v>
      </c>
      <c r="AN261" t="e">
        <f>Risklog!BH:BH*"AM:!/MF"</f>
        <v>#VALUE!</v>
      </c>
      <c r="AO261" t="e">
        <f>Risklog!BI:BI*"AM:!/MG"</f>
        <v>#VALUE!</v>
      </c>
      <c r="AP261" t="e">
        <f>Risklog!BJ:BJ*"AM:!/MH"</f>
        <v>#VALUE!</v>
      </c>
      <c r="AQ261" t="e">
        <f>Risklog!BK:BK*"AM:!/MI"</f>
        <v>#VALUE!</v>
      </c>
      <c r="AR261" t="e">
        <f>Risklog!BL:BL*"AM:!/MJ"</f>
        <v>#VALUE!</v>
      </c>
      <c r="AS261" t="e">
        <f>Risklog!BM:BM*"AM:!/MK"</f>
        <v>#VALUE!</v>
      </c>
      <c r="AT261" t="e">
        <f>Risklog!BN:BN*"AM:!/ML"</f>
        <v>#VALUE!</v>
      </c>
      <c r="AU261" t="e">
        <f>Risklog!BO:BO*"AM:!/MM"</f>
        <v>#VALUE!</v>
      </c>
      <c r="AV261" t="e">
        <f>Risklog!BP:BP*"AM:!/MN"</f>
        <v>#VALUE!</v>
      </c>
      <c r="AW261" t="e">
        <f>Risklog!BQ:BQ*"AM:!/MO"</f>
        <v>#VALUE!</v>
      </c>
      <c r="AX261" t="e">
        <f>Risklog!BR:BR*"AM:!/MP"</f>
        <v>#VALUE!</v>
      </c>
      <c r="AY261" t="e">
        <f>Risklog!BS:BS*"AM:!/MQ"</f>
        <v>#VALUE!</v>
      </c>
      <c r="AZ261" t="e">
        <f>Risklog!BT:BT*"AM:!/MR"</f>
        <v>#VALUE!</v>
      </c>
      <c r="BA261" t="e">
        <f>Risklog!BU:BU*"AM:!/MS"</f>
        <v>#VALUE!</v>
      </c>
      <c r="BB261" t="e">
        <f>Risklog!BV:BV*"AM:!/MT"</f>
        <v>#VALUE!</v>
      </c>
      <c r="BC261" t="e">
        <f>Risklog!BW:BW*"AM:!/MU"</f>
        <v>#VALUE!</v>
      </c>
      <c r="BD261" t="e">
        <f>Risklog!BX:BX*"AM:!/MV"</f>
        <v>#VALUE!</v>
      </c>
      <c r="BE261" t="e">
        <f>Risklog!BY:BY*"AM:!/MW"</f>
        <v>#VALUE!</v>
      </c>
      <c r="BF261" t="e">
        <f>Risklog!1:1-"AM:!/MX"</f>
        <v>#VALUE!</v>
      </c>
      <c r="BG261" t="e">
        <f>Risklog!2:2-"AM:!/MY"</f>
        <v>#VALUE!</v>
      </c>
      <c r="BH261" t="e">
        <f>Risklog!3:3-"AM:!/MZ"</f>
        <v>#VALUE!</v>
      </c>
      <c r="BI261" t="e">
        <f>Risklog!4:4-"AM:!/M["</f>
        <v>#VALUE!</v>
      </c>
      <c r="BJ261" t="e">
        <f>Risklog!6:6-"AM:!/M\"</f>
        <v>#VALUE!</v>
      </c>
      <c r="BK261" t="e">
        <f>Risklog!7:7-"AM:!/M]"</f>
        <v>#VALUE!</v>
      </c>
      <c r="BL261" t="e">
        <f>Risklog!8:8-"AM:!/M^"</f>
        <v>#VALUE!</v>
      </c>
      <c r="BM261" t="e">
        <f>Risklog!9:9-"AM:!/M_"</f>
        <v>#VALUE!</v>
      </c>
      <c r="BN261" t="e">
        <f>Risklog!10:10-"AM:!/M`"</f>
        <v>#VALUE!</v>
      </c>
      <c r="BO261" t="e">
        <f>Risklog!11:11-"AM:!/Ma"</f>
        <v>#VALUE!</v>
      </c>
      <c r="BP261" t="e">
        <f>Risklog!12:12-"AM:!/Mb"</f>
        <v>#VALUE!</v>
      </c>
      <c r="BQ261" t="e">
        <f>Risklog!13:13-"AM:!/Mc"</f>
        <v>#VALUE!</v>
      </c>
      <c r="BR261" t="e">
        <f>Risklog!14:14-"AM:!/Md"</f>
        <v>#VALUE!</v>
      </c>
      <c r="BS261" t="e">
        <f>Risklog!15:15-"AM:!/Me"</f>
        <v>#VALUE!</v>
      </c>
      <c r="BT261" t="e">
        <f>Risklog!16:16-"AM:!/Mf"</f>
        <v>#VALUE!</v>
      </c>
      <c r="BU261" t="e">
        <f>Risklog!17:17-"AM:!/Mg"</f>
        <v>#VALUE!</v>
      </c>
      <c r="BV261" t="e">
        <f>Risklog!18:18-"AM:!/Mh"</f>
        <v>#VALUE!</v>
      </c>
      <c r="BW261" t="e">
        <f>Risklog!19:19-"AM:!/Mi"</f>
        <v>#VALUE!</v>
      </c>
      <c r="BX261" t="e">
        <f>Risklog!20:20-"AM:!/Mj"</f>
        <v>#VALUE!</v>
      </c>
      <c r="BY261" t="e">
        <f>Risklog!21:21-"AM:!/Mk"</f>
        <v>#VALUE!</v>
      </c>
      <c r="BZ261" t="e">
        <f>Risklog!22:22-"AM:!/Ml"</f>
        <v>#VALUE!</v>
      </c>
      <c r="CA261" t="e">
        <f>Risklog!23:23-"AM:!/Mm"</f>
        <v>#VALUE!</v>
      </c>
      <c r="CB261" t="e">
        <f>Risklog!24:24-"AM:!/Mn"</f>
        <v>#VALUE!</v>
      </c>
      <c r="CC261" t="e">
        <f>Risklog!25:25-"AM:!/Mo"</f>
        <v>#VALUE!</v>
      </c>
      <c r="CD261" t="e">
        <f>Risklog!26:26-"AM:!/Mp"</f>
        <v>#VALUE!</v>
      </c>
      <c r="CE261" t="e">
        <f>Risklog!27:27-"AM:!/Mq"</f>
        <v>#VALUE!</v>
      </c>
      <c r="CF261" t="e">
        <f>Risklog!28:28-"AM:!/Mr"</f>
        <v>#VALUE!</v>
      </c>
      <c r="CG261" t="e">
        <f>Risklog!29:29-"AM:!/Ms"</f>
        <v>#VALUE!</v>
      </c>
      <c r="CH261" t="e">
        <f>Risklog!30:30-"AM:!/Mt"</f>
        <v>#VALUE!</v>
      </c>
      <c r="CI261" t="e">
        <f>Risklog!31:31-"AM:!/Mu"</f>
        <v>#VALUE!</v>
      </c>
      <c r="CJ261" t="e">
        <f>Risklog!32:32-"AM:!/Mv"</f>
        <v>#VALUE!</v>
      </c>
      <c r="CK261" t="e">
        <f>Risklog!33:33-"AM:!/Mw"</f>
        <v>#VALUE!</v>
      </c>
      <c r="CL261" t="e">
        <f>Risklog!34:34-"AM:!/Mx"</f>
        <v>#VALUE!</v>
      </c>
      <c r="CM261" t="e">
        <f>Risklog!35:35-"AM:!/My"</f>
        <v>#VALUE!</v>
      </c>
      <c r="CN261" t="e">
        <f>Risklog!36:36-"AM:!/Mz"</f>
        <v>#VALUE!</v>
      </c>
      <c r="CO261" t="e">
        <f>Risklog!37:37-"AM:!/M{"</f>
        <v>#VALUE!</v>
      </c>
      <c r="CP261" t="e">
        <f>Risklog!38:38-"AM:!/M|"</f>
        <v>#VALUE!</v>
      </c>
      <c r="CQ261" t="e">
        <f>Risklog!39:39-"AM:!/M}"</f>
        <v>#VALUE!</v>
      </c>
      <c r="CR261" t="e">
        <f>Risklog!40:40-"AM:!/M~"</f>
        <v>#VALUE!</v>
      </c>
      <c r="CS261" t="e">
        <f>Risklog!41:41-"AM:!/N#"</f>
        <v>#VALUE!</v>
      </c>
      <c r="CT261" t="e">
        <f>Risklog!42:42-"AM:!/N$"</f>
        <v>#VALUE!</v>
      </c>
      <c r="CU261" t="e">
        <f>Risklog!43:43-"AM:!/N%"</f>
        <v>#VALUE!</v>
      </c>
      <c r="CV261" t="e">
        <f>Risklog!44:44-"AM:!/N&amp;"</f>
        <v>#VALUE!</v>
      </c>
      <c r="CW261" t="e">
        <f>Risklog!45:45-"AM:!/N'"</f>
        <v>#VALUE!</v>
      </c>
      <c r="CX261" t="e">
        <f>Risklog!46:46-"AM:!/N("</f>
        <v>#VALUE!</v>
      </c>
      <c r="CY261" t="e">
        <f>Risklog!47:47-"AM:!/N)"</f>
        <v>#VALUE!</v>
      </c>
      <c r="CZ261" t="e">
        <f>Risklog!48:48-"AM:!/N."</f>
        <v>#VALUE!</v>
      </c>
      <c r="DA261" t="e">
        <f>Risklog!49:49-"AM:!/N/"</f>
        <v>#VALUE!</v>
      </c>
      <c r="DB261" t="e">
        <f>Risklog!50:50-"AM:!/N0"</f>
        <v>#VALUE!</v>
      </c>
      <c r="DC261" t="e">
        <f>Risklog!51:51-"AM:!/N1"</f>
        <v>#VALUE!</v>
      </c>
      <c r="DD261" t="e">
        <f>Risklog!52:52-"AM:!/N2"</f>
        <v>#VALUE!</v>
      </c>
      <c r="DE261" t="e">
        <f>Risklog!53:53-"AM:!/N3"</f>
        <v>#VALUE!</v>
      </c>
      <c r="DF261" t="e">
        <f>Risklog!54:54-"AM:!/N4"</f>
        <v>#VALUE!</v>
      </c>
      <c r="DG261" t="e">
        <f>Risklog!55:55-"AM:!/N5"</f>
        <v>#VALUE!</v>
      </c>
      <c r="DH261" t="e">
        <f>Risklog!56:56-"AM:!/N6"</f>
        <v>#VALUE!</v>
      </c>
      <c r="DI261" t="e">
        <f>Risklog!57:57-"AM:!/N7"</f>
        <v>#VALUE!</v>
      </c>
      <c r="DJ261" t="e">
        <f>Risklog!58:58-"AM:!/N8"</f>
        <v>#VALUE!</v>
      </c>
      <c r="DK261" t="e">
        <f>Risklog!59:59-"AM:!/N9"</f>
        <v>#VALUE!</v>
      </c>
      <c r="DL261" t="e">
        <f>Risklog!60:60-"AM:!/N:"</f>
        <v>#VALUE!</v>
      </c>
      <c r="DM261" t="e">
        <f>Risklog!61:61-"AM:!/N;"</f>
        <v>#VALUE!</v>
      </c>
      <c r="DN261" t="e">
        <f>Risklog!62:62-"AM:!/N&lt;"</f>
        <v>#VALUE!</v>
      </c>
      <c r="DO261" t="e">
        <f>Risklog!63:63-"AM:!/N="</f>
        <v>#VALUE!</v>
      </c>
      <c r="DP261" t="e">
        <f>Risklog!64:64-"AM:!/N&gt;"</f>
        <v>#VALUE!</v>
      </c>
      <c r="DQ261" t="e">
        <f>Risklog!65:65-"AM:!/N?"</f>
        <v>#VALUE!</v>
      </c>
      <c r="DR261" t="e">
        <f>Risklog!66:66-"AM:!/N@"</f>
        <v>#VALUE!</v>
      </c>
      <c r="DS261" t="e">
        <f>Risklog!67:67-"AM:!/NA"</f>
        <v>#VALUE!</v>
      </c>
      <c r="DT261" t="e">
        <f>Risklog!68:68-"AM:!/NB"</f>
        <v>#VALUE!</v>
      </c>
      <c r="DU261" t="e">
        <f>Risklog!69:69-"AM:!/NC"</f>
        <v>#VALUE!</v>
      </c>
      <c r="DV261" t="e">
        <f>Risklog!70:70-"AM:!/ND"</f>
        <v>#VALUE!</v>
      </c>
      <c r="DW261" t="e">
        <f>Risklog!71:71-"AM:!/NE"</f>
        <v>#VALUE!</v>
      </c>
      <c r="DX261" t="e">
        <f>Risklog!72:72-"AM:!/NF"</f>
        <v>#VALUE!</v>
      </c>
      <c r="DY261" t="e">
        <f>Risklog!73:73-"AM:!/NG"</f>
        <v>#VALUE!</v>
      </c>
      <c r="DZ261" t="e">
        <f>Risklog!74:74-"AM:!/NH"</f>
        <v>#VALUE!</v>
      </c>
      <c r="EA261" t="e">
        <f>Risklog!75:75-"AM:!/NI"</f>
        <v>#VALUE!</v>
      </c>
      <c r="EB261" t="e">
        <f>Risklog!76:76-"AM:!/NJ"</f>
        <v>#VALUE!</v>
      </c>
      <c r="EC261" t="e">
        <f>Risklog!77:77-"AM:!/NK"</f>
        <v>#VALUE!</v>
      </c>
      <c r="ED261" t="e">
        <f>Risklog!78:78-"AM:!/NL"</f>
        <v>#VALUE!</v>
      </c>
      <c r="EE261" t="e">
        <f>Risklog!79:79-"AM:!/NM"</f>
        <v>#VALUE!</v>
      </c>
      <c r="EF261" t="e">
        <f>Risklog!80:80-"AM:!/NN"</f>
        <v>#VALUE!</v>
      </c>
      <c r="EG261" t="e">
        <f>Risklog!81:81-"AM:!/NO"</f>
        <v>#VALUE!</v>
      </c>
      <c r="EH261" t="e">
        <f>Risklog!82:82-"AM:!/NP"</f>
        <v>#VALUE!</v>
      </c>
      <c r="EI261" t="e">
        <f>Risklog!83:83-"AM:!/NQ"</f>
        <v>#VALUE!</v>
      </c>
      <c r="EJ261" t="e">
        <f>Risklog!84:84-"AM:!/NR"</f>
        <v>#VALUE!</v>
      </c>
      <c r="EK261" t="e">
        <f>Risklog!85:85-"AM:!/NS"</f>
        <v>#VALUE!</v>
      </c>
      <c r="EL261" t="e">
        <f>Risklog!86:86-"AM:!/NT"</f>
        <v>#VALUE!</v>
      </c>
      <c r="EM261" t="e">
        <f>Risklog!87:87-"AM:!/NU"</f>
        <v>#VALUE!</v>
      </c>
      <c r="EN261" t="e">
        <f>Risklog!88:88-"AM:!/NV"</f>
        <v>#VALUE!</v>
      </c>
      <c r="EO261" t="e">
        <f>Risklog!89:89-"AM:!/NW"</f>
        <v>#VALUE!</v>
      </c>
      <c r="EP261" t="e">
        <f>Risklog!90:90-"AM:!/NX"</f>
        <v>#VALUE!</v>
      </c>
      <c r="EQ261" t="e">
        <f>Risklog!91:91-"AM:!/NY"</f>
        <v>#VALUE!</v>
      </c>
      <c r="ER261" t="e">
        <f>Risklog!92:92-"AM:!/NZ"</f>
        <v>#VALUE!</v>
      </c>
      <c r="ES261" t="e">
        <f>Risklog!93:93-"AM:!/N["</f>
        <v>#VALUE!</v>
      </c>
      <c r="ET261" t="e">
        <f>Risklog!94:94-"AM:!/N\"</f>
        <v>#VALUE!</v>
      </c>
      <c r="EU261" t="e">
        <f>Risklog!95:95-"AM:!/N]"</f>
        <v>#VALUE!</v>
      </c>
      <c r="EV261" t="e">
        <f>Risklog!96:96-"AM:!/N^"</f>
        <v>#VALUE!</v>
      </c>
      <c r="EW261" t="e">
        <f>Risklog!97:97-"AM:!/N_"</f>
        <v>#VALUE!</v>
      </c>
      <c r="EX261" t="e">
        <f>Risklog!98:98-"AM:!/N`"</f>
        <v>#VALUE!</v>
      </c>
      <c r="EY261" t="e">
        <f>Risklog!99:99-"AM:!/Na"</f>
        <v>#VALUE!</v>
      </c>
      <c r="EZ261" t="e">
        <f>Risklog!100:100-"AM:!/Nb"</f>
        <v>#VALUE!</v>
      </c>
      <c r="FA261" t="e">
        <f>Risklog!101:101-"AM:!/Nc"</f>
        <v>#VALUE!</v>
      </c>
      <c r="FB261" t="e">
        <f>Risklog!102:102-"AM:!/Nd"</f>
        <v>#VALUE!</v>
      </c>
      <c r="FC261" t="e">
        <f>Risklog!103:103-"AM:!/Ne"</f>
        <v>#VALUE!</v>
      </c>
      <c r="FD261" t="e">
        <f>Risklog!104:104-"AM:!/Nf"</f>
        <v>#VALUE!</v>
      </c>
      <c r="FE261" t="e">
        <f>Risklog!105:105-"AM:!/Ng"</f>
        <v>#VALUE!</v>
      </c>
      <c r="FF261" t="e">
        <f>Risklog!106:106-"AM:!/Nh"</f>
        <v>#VALUE!</v>
      </c>
      <c r="FG261" t="e">
        <f>Risklog!107:107-"AM:!/Ni"</f>
        <v>#VALUE!</v>
      </c>
      <c r="FH261" t="e">
        <f>Risklog!108:108-"AM:!/Nj"</f>
        <v>#VALUE!</v>
      </c>
      <c r="FI261" t="e">
        <f>Risklog!109:109-"AM:!/Nk"</f>
        <v>#VALUE!</v>
      </c>
      <c r="FJ261" t="e">
        <f>Risklog!110:110-"AM:!/Nl"</f>
        <v>#VALUE!</v>
      </c>
      <c r="FK261" t="e">
        <f>Risklog!111:111-"AM:!/Nm"</f>
        <v>#VALUE!</v>
      </c>
      <c r="FL261" t="e">
        <f>Risklog!112:112-"AM:!/Nn"</f>
        <v>#VALUE!</v>
      </c>
      <c r="FM261" t="e">
        <f>Risklog!113:113-"AM:!/No"</f>
        <v>#VALUE!</v>
      </c>
      <c r="FN261" t="e">
        <f>Risklog!114:114-"AM:!/Np"</f>
        <v>#VALUE!</v>
      </c>
      <c r="FO261" t="e">
        <f>Risklog!115:115-"AM:!/Nq"</f>
        <v>#VALUE!</v>
      </c>
      <c r="FP261" t="e">
        <f>Risklog!116:116-"AM:!/Nr"</f>
        <v>#VALUE!</v>
      </c>
      <c r="FQ261" t="e">
        <f>Risklog!117:117-"AM:!/Ns"</f>
        <v>#VALUE!</v>
      </c>
      <c r="FR261" t="e">
        <f>Risklog!118:118-"AM:!/Nt"</f>
        <v>#VALUE!</v>
      </c>
      <c r="FS261" t="e">
        <f>Risklog!119:119-"AM:!/Nu"</f>
        <v>#VALUE!</v>
      </c>
      <c r="FT261" t="e">
        <f>Risklog!120:120-"AM:!/Nv"</f>
        <v>#VALUE!</v>
      </c>
      <c r="FU261" t="e">
        <f>Risklog!121:121-"AM:!/Nw"</f>
        <v>#VALUE!</v>
      </c>
      <c r="FV261" t="e">
        <f>Risklog!122:122-"AM:!/Nx"</f>
        <v>#VALUE!</v>
      </c>
      <c r="FW261" t="e">
        <f>Risklog!123:123-"AM:!/Ny"</f>
        <v>#VALUE!</v>
      </c>
      <c r="FX261" t="e">
        <f>Risklog!124:124-"AM:!/Nz"</f>
        <v>#VALUE!</v>
      </c>
      <c r="FY261" t="e">
        <f>Risklog!125:125-"AM:!/N{"</f>
        <v>#VALUE!</v>
      </c>
      <c r="FZ261" t="e">
        <f>Risklog!126:126-"AM:!/N|"</f>
        <v>#VALUE!</v>
      </c>
      <c r="GA261" t="e">
        <f>Risklog!127:127-"AM:!/N}"</f>
        <v>#VALUE!</v>
      </c>
      <c r="GB261" t="e">
        <f>Risklog!128:128-"AM:!/N~"</f>
        <v>#VALUE!</v>
      </c>
      <c r="GC261" t="e">
        <f>Risklog!129:129-"AM:!/O#"</f>
        <v>#VALUE!</v>
      </c>
      <c r="GD261" t="e">
        <f>Risklog!130:130-"AM:!/O$"</f>
        <v>#VALUE!</v>
      </c>
      <c r="GE261" t="e">
        <f>Risklog!131:131-"AM:!/O%"</f>
        <v>#VALUE!</v>
      </c>
      <c r="GF261" t="e">
        <f>Risklog!132:132-"AM:!/O&amp;"</f>
        <v>#VALUE!</v>
      </c>
      <c r="GG261" t="e">
        <f>Risklog!133:133-"AM:!/O'"</f>
        <v>#VALUE!</v>
      </c>
      <c r="GH261" t="e">
        <f>Risklog!134:134-"AM:!/O("</f>
        <v>#VALUE!</v>
      </c>
      <c r="GI261" t="e">
        <f>Risklog!135:135-"AM:!/O)"</f>
        <v>#VALUE!</v>
      </c>
      <c r="GJ261" t="e">
        <f>Risklog!136:136-"AM:!/O."</f>
        <v>#VALUE!</v>
      </c>
      <c r="GK261" t="e">
        <f>Risklog!137:137-"AM:!/O/"</f>
        <v>#VALUE!</v>
      </c>
      <c r="GL261" t="e">
        <f>Risklog!138:138-"AM:!/O0"</f>
        <v>#VALUE!</v>
      </c>
      <c r="GM261" t="e">
        <f>Risklog!139:139-"AM:!/O1"</f>
        <v>#VALUE!</v>
      </c>
      <c r="GN261" t="e">
        <f>Risklog!140:140-"AM:!/O2"</f>
        <v>#VALUE!</v>
      </c>
      <c r="GO261" t="e">
        <f>Risklog!141:141-"AM:!/O3"</f>
        <v>#VALUE!</v>
      </c>
      <c r="GP261" t="e">
        <f>Risklog!142:142-"AM:!/O4"</f>
        <v>#VALUE!</v>
      </c>
      <c r="GQ261" t="e">
        <f>Risklog!143:143-"AM:!/O5"</f>
        <v>#VALUE!</v>
      </c>
      <c r="GR261" t="e">
        <f>Risklog!144:144-"AM:!/O6"</f>
        <v>#VALUE!</v>
      </c>
      <c r="GS261" t="e">
        <f>Risklog!145:145-"AM:!/O7"</f>
        <v>#VALUE!</v>
      </c>
      <c r="GT261" t="e">
        <f>Risklog!146:146-"AM:!/O8"</f>
        <v>#VALUE!</v>
      </c>
      <c r="GU261" t="e">
        <f>Risklog!147:147-"AM:!/O9"</f>
        <v>#VALUE!</v>
      </c>
      <c r="GV261" t="e">
        <f>Risklog!148:148-"AM:!/O:"</f>
        <v>#VALUE!</v>
      </c>
      <c r="GW261" t="e">
        <f>Risklog!149:149-"AM:!/O;"</f>
        <v>#VALUE!</v>
      </c>
      <c r="GX261" t="e">
        <f>Risklog!150:150-"AM:!/O&lt;"</f>
        <v>#VALUE!</v>
      </c>
      <c r="GY261" t="e">
        <f>Risklog!151:151-"AM:!/O="</f>
        <v>#VALUE!</v>
      </c>
      <c r="GZ261" t="e">
        <f>Risklog!152:152-"AM:!/O&gt;"</f>
        <v>#VALUE!</v>
      </c>
      <c r="HA261" t="e">
        <f>Risklog!153:153-"AM:!/O?"</f>
        <v>#VALUE!</v>
      </c>
      <c r="HB261" t="e">
        <f>Risklog!154:154-"AM:!/O@"</f>
        <v>#VALUE!</v>
      </c>
      <c r="HC261" t="e">
        <f>Risklog!155:155-"AM:!/OA"</f>
        <v>#VALUE!</v>
      </c>
      <c r="HD261" t="e">
        <f>Risklog!156:156-"AM:!/OB"</f>
        <v>#VALUE!</v>
      </c>
      <c r="HE261" t="e">
        <f>Risklog!157:157-"AM:!/OC"</f>
        <v>#VALUE!</v>
      </c>
      <c r="HF261" t="e">
        <f>Risklog!158:158-"AM:!/OD"</f>
        <v>#VALUE!</v>
      </c>
      <c r="HG261" t="e">
        <f>Risklog!159:159-"AM:!/OE"</f>
        <v>#VALUE!</v>
      </c>
      <c r="HH261" t="e">
        <f>Risklog!160:160-"AM:!/OF"</f>
        <v>#VALUE!</v>
      </c>
      <c r="HI261" t="e">
        <f>Risklog!161:161-"AM:!/OG"</f>
        <v>#VALUE!</v>
      </c>
      <c r="HJ261" t="e">
        <f>Risklog!162:162-"AM:!/OH"</f>
        <v>#VALUE!</v>
      </c>
      <c r="HK261" t="e">
        <f>Risklog!163:163-"AM:!/OI"</f>
        <v>#VALUE!</v>
      </c>
      <c r="HL261" t="e">
        <f>Risklog!164:164-"AM:!/OJ"</f>
        <v>#VALUE!</v>
      </c>
      <c r="HM261" t="e">
        <f>Risklog!165:165-"AM:!/OK"</f>
        <v>#VALUE!</v>
      </c>
      <c r="HN261" t="e">
        <f>Risklog!166:166-"AM:!/OL"</f>
        <v>#VALUE!</v>
      </c>
      <c r="HO261" t="e">
        <f>Risklog!167:167-"AM:!/OM"</f>
        <v>#VALUE!</v>
      </c>
      <c r="HP261" t="e">
        <f>Risklog!168:168-"AM:!/ON"</f>
        <v>#VALUE!</v>
      </c>
      <c r="HQ261" t="e">
        <f>Risklog!169:169-"AM:!/OO"</f>
        <v>#VALUE!</v>
      </c>
      <c r="HR261" t="e">
        <f>Risklog!170:170-"AM:!/OP"</f>
        <v>#VALUE!</v>
      </c>
      <c r="HS261" t="e">
        <f>Risklog!171:171-"AM:!/OQ"</f>
        <v>#VALUE!</v>
      </c>
      <c r="HT261" t="e">
        <f>Risklog!172:172-"AM:!/OR"</f>
        <v>#VALUE!</v>
      </c>
      <c r="HU261" t="e">
        <f>Risklog!173:173-"AM:!/OS"</f>
        <v>#VALUE!</v>
      </c>
      <c r="HV261" t="e">
        <f>Risklog!174:174-"AM:!/OT"</f>
        <v>#VALUE!</v>
      </c>
      <c r="HW261" t="e">
        <f>Risklog!175:175-"AM:!/OU"</f>
        <v>#VALUE!</v>
      </c>
      <c r="HX261" t="e">
        <f>Risklog!176:176-"AM:!/OV"</f>
        <v>#VALUE!</v>
      </c>
      <c r="HY261" t="e">
        <f>Risklog!177:177-"AM:!/OW"</f>
        <v>#VALUE!</v>
      </c>
      <c r="HZ261" t="e">
        <f>Risklog!178:178-"AM:!/OX"</f>
        <v>#VALUE!</v>
      </c>
      <c r="IA261" t="e">
        <f>Risklog!179:179-"AM:!/OY"</f>
        <v>#VALUE!</v>
      </c>
      <c r="IB261" t="e">
        <f>Risklog!180:180-"AM:!/OZ"</f>
        <v>#VALUE!</v>
      </c>
      <c r="IC261" t="e">
        <f>Risklog!181:181-"AM:!/O["</f>
        <v>#VALUE!</v>
      </c>
      <c r="ID261" t="e">
        <f>Risklog!182:182-"AM:!/O\"</f>
        <v>#VALUE!</v>
      </c>
      <c r="IE261" t="e">
        <f>Risklog!183:183-"AM:!/O]"</f>
        <v>#VALUE!</v>
      </c>
      <c r="IF261" t="e">
        <f>Risklog!184:184-"AM:!/O^"</f>
        <v>#VALUE!</v>
      </c>
      <c r="IG261" t="e">
        <f>Risklog!185:185-"AM:!/O_"</f>
        <v>#VALUE!</v>
      </c>
      <c r="IH261" t="e">
        <f>Risklog!186:186-"AM:!/O`"</f>
        <v>#VALUE!</v>
      </c>
      <c r="II261" t="e">
        <f>Risklog!187:187-"AM:!/Oa"</f>
        <v>#VALUE!</v>
      </c>
      <c r="IJ261" t="e">
        <f>Risklog!188:188-"AM:!/Ob"</f>
        <v>#VALUE!</v>
      </c>
      <c r="IK261" t="e">
        <f>Risklog!189:189-"AM:!/Oc"</f>
        <v>#VALUE!</v>
      </c>
      <c r="IL261" t="e">
        <f>Risklog!190:190-"AM:!/Od"</f>
        <v>#VALUE!</v>
      </c>
      <c r="IM261" t="e">
        <f>Risklog!191:191-"AM:!/Oe"</f>
        <v>#VALUE!</v>
      </c>
      <c r="IN261" t="e">
        <f>Risklog!192:192-"AM:!/Of"</f>
        <v>#VALUE!</v>
      </c>
      <c r="IO261" t="e">
        <f>Risklog!193:193-"AM:!/Og"</f>
        <v>#VALUE!</v>
      </c>
      <c r="IP261" t="e">
        <f>Risklog!194:194-"AM:!/Oh"</f>
        <v>#VALUE!</v>
      </c>
      <c r="IQ261" t="e">
        <f>Risklog!195:195-"AM:!/Oi"</f>
        <v>#VALUE!</v>
      </c>
      <c r="IR261" t="e">
        <f>Risklog!196:196-"AM:!/Oj"</f>
        <v>#VALUE!</v>
      </c>
      <c r="IS261" t="e">
        <f>Risklog!197:197-"AM:!/Ok"</f>
        <v>#VALUE!</v>
      </c>
      <c r="IT261" t="e">
        <f>Risklog!198:198-"AM:!/Ol"</f>
        <v>#VALUE!</v>
      </c>
      <c r="IU261" t="e">
        <f>Risklog!199:199-"AM:!/Om"</f>
        <v>#VALUE!</v>
      </c>
      <c r="IV261" t="e">
        <f>Risklog!200:200-"AM:!/On"</f>
        <v>#VALUE!</v>
      </c>
    </row>
    <row r="262" spans="6:256">
      <c r="F262" t="e">
        <f>Risklog!201:201-"AM:!/Oo"</f>
        <v>#VALUE!</v>
      </c>
      <c r="G262" t="e">
        <f>Risklog!202:202-"AM:!/Op"</f>
        <v>#VALUE!</v>
      </c>
      <c r="H262" t="e">
        <f>Risklog!203:203-"AM:!/Oq"</f>
        <v>#VALUE!</v>
      </c>
      <c r="I262" t="e">
        <f>Risklog!204:204-"AM:!/Or"</f>
        <v>#VALUE!</v>
      </c>
      <c r="J262" t="e">
        <f>Risklog!205:205-"AM:!/Os"</f>
        <v>#VALUE!</v>
      </c>
      <c r="K262" t="e">
        <f>Risklog!206:206-"AM:!/Ot"</f>
        <v>#VALUE!</v>
      </c>
      <c r="L262" t="e">
        <f>Risklog!207:207-"AM:!/Ou"</f>
        <v>#VALUE!</v>
      </c>
      <c r="M262" t="e">
        <f>Risklog!208:208-"AM:!/Ov"</f>
        <v>#VALUE!</v>
      </c>
      <c r="N262" t="e">
        <f>Risklog!209:209-"AM:!/Ow"</f>
        <v>#VALUE!</v>
      </c>
      <c r="O262" t="e">
        <f>Risklog!210:210-"AM:!/Ox"</f>
        <v>#VALUE!</v>
      </c>
      <c r="P262" t="e">
        <f>Risklog!211:211-"AM:!/Oy"</f>
        <v>#VALUE!</v>
      </c>
      <c r="Q262" t="e">
        <f>Risklog!212:212-"AM:!/Oz"</f>
        <v>#VALUE!</v>
      </c>
      <c r="R262" t="e">
        <f>Risklog!213:213-"AM:!/O{"</f>
        <v>#VALUE!</v>
      </c>
      <c r="S262" t="e">
        <f>Risklog!214:214-"AM:!/O|"</f>
        <v>#VALUE!</v>
      </c>
      <c r="T262" t="e">
        <f>Risklog!215:215-"AM:!/O}"</f>
        <v>#VALUE!</v>
      </c>
      <c r="U262" t="e">
        <f>Risklog!216:216-"AM:!/O~"</f>
        <v>#VALUE!</v>
      </c>
      <c r="V262" t="e">
        <f>Risklog!217:217-"AM:!/P#"</f>
        <v>#VALUE!</v>
      </c>
      <c r="W262" t="e">
        <f>Risklog!218:218-"AM:!/P$"</f>
        <v>#VALUE!</v>
      </c>
      <c r="X262" t="e">
        <f>Risklog!219:219-"AM:!/P%"</f>
        <v>#VALUE!</v>
      </c>
      <c r="Y262" t="e">
        <f>Risklog!220:220-"AM:!/P&amp;"</f>
        <v>#VALUE!</v>
      </c>
      <c r="Z262" t="e">
        <f>Risklog!221:221-"AM:!/P'"</f>
        <v>#VALUE!</v>
      </c>
      <c r="AA262" t="e">
        <f>Risklog!222:222-"AM:!/P("</f>
        <v>#VALUE!</v>
      </c>
      <c r="AB262" t="e">
        <f>Risklog!223:223-"AM:!/P)"</f>
        <v>#VALUE!</v>
      </c>
      <c r="AC262" t="e">
        <f>Risklog!224:224-"AM:!/P."</f>
        <v>#VALUE!</v>
      </c>
      <c r="AD262" t="e">
        <f>Risklog!225:225-"AM:!/P/"</f>
        <v>#VALUE!</v>
      </c>
      <c r="AE262" t="e">
        <f>Risklog!226:226-"AM:!/P0"</f>
        <v>#VALUE!</v>
      </c>
      <c r="AF262" t="e">
        <f>Risklog!227:227-"AM:!/P1"</f>
        <v>#VALUE!</v>
      </c>
      <c r="AG262" t="e">
        <f>Risklog!228:228-"AM:!/P2"</f>
        <v>#VALUE!</v>
      </c>
      <c r="AH262" t="e">
        <f>Risklog!229:229-"AM:!/P3"</f>
        <v>#VALUE!</v>
      </c>
      <c r="AI262" t="e">
        <f>Risklog!230:230-"AM:!/P4"</f>
        <v>#VALUE!</v>
      </c>
      <c r="AJ262" t="e">
        <f>Risklog!231:231-"AM:!/P5"</f>
        <v>#VALUE!</v>
      </c>
      <c r="AK262" t="e">
        <f>Risklog!232:232-"AM:!/P6"</f>
        <v>#VALUE!</v>
      </c>
      <c r="AL262" t="e">
        <f>Risklog!233:233-"AM:!/P7"</f>
        <v>#VALUE!</v>
      </c>
      <c r="AM262" t="e">
        <f>Risklog!234:234-"AM:!/P8"</f>
        <v>#VALUE!</v>
      </c>
      <c r="AN262" t="e">
        <f>Risklog!235:235-"AM:!/P9"</f>
        <v>#VALUE!</v>
      </c>
      <c r="AO262" t="e">
        <f>Risklog!236:236-"AM:!/P:"</f>
        <v>#VALUE!</v>
      </c>
      <c r="AP262" t="e">
        <f>Risklog!237:237-"AM:!/P;"</f>
        <v>#VALUE!</v>
      </c>
      <c r="AQ262" t="e">
        <f>Risklog!238:238-"AM:!/P&lt;"</f>
        <v>#VALUE!</v>
      </c>
      <c r="AR262" t="e">
        <f>Risklog!239:239-"AM:!/P="</f>
        <v>#VALUE!</v>
      </c>
      <c r="AS262" t="e">
        <f>Risklog!240:240-"AM:!/P&gt;"</f>
        <v>#VALUE!</v>
      </c>
      <c r="AT262" t="e">
        <f>Risklog!241:241-"AM:!/P?"</f>
        <v>#VALUE!</v>
      </c>
      <c r="AU262" t="e">
        <f>Risklog!242:242-"AM:!/P@"</f>
        <v>#VALUE!</v>
      </c>
      <c r="AV262" t="e">
        <f>Risklog!243:243-"AM:!/PA"</f>
        <v>#VALUE!</v>
      </c>
      <c r="AW262" t="e">
        <f>Risklog!244:244-"AM:!/PB"</f>
        <v>#VALUE!</v>
      </c>
      <c r="AX262" t="e">
        <f>Risklog!245:245-"AM:!/PC"</f>
        <v>#VALUE!</v>
      </c>
      <c r="AY262" t="e">
        <f>Risklog!246:246-"AM:!/PD"</f>
        <v>#VALUE!</v>
      </c>
      <c r="AZ262" t="e">
        <f>Risklog!247:247-"AM:!/PE"</f>
        <v>#VALUE!</v>
      </c>
      <c r="BA262" t="e">
        <f>Risklog!248:248-"AM:!/PF"</f>
        <v>#VALUE!</v>
      </c>
      <c r="BB262" t="e">
        <f>Risklog!249:249-"AM:!/PG"</f>
        <v>#VALUE!</v>
      </c>
      <c r="BC262" t="e">
        <f>Risklog!250:250-"AM:!/PH"</f>
        <v>#VALUE!</v>
      </c>
      <c r="BD262" t="e">
        <f>Risklog!251:251-"AM:!/PI"</f>
        <v>#VALUE!</v>
      </c>
      <c r="BE262" t="e">
        <f>Risklog!252:252-"AM:!/PJ"</f>
        <v>#VALUE!</v>
      </c>
      <c r="BF262" t="e">
        <f>Risklog!253:253-"AM:!/PK"</f>
        <v>#VALUE!</v>
      </c>
      <c r="BG262" t="e">
        <f>Risklog!254:254-"AM:!/PL"</f>
        <v>#VALUE!</v>
      </c>
      <c r="BH262" t="e">
        <f>Risklog!255:255-"AM:!/PM"</f>
        <v>#VALUE!</v>
      </c>
      <c r="BI262" t="e">
        <f>Risklog!256:256-"AM:!/PN"</f>
        <v>#VALUE!</v>
      </c>
      <c r="BJ262" t="e">
        <f>Risklog!257:257-"AM:!/PO"</f>
        <v>#VALUE!</v>
      </c>
      <c r="BK262" t="e">
        <f>Risklog!258:258-"AM:!/PP"</f>
        <v>#VALUE!</v>
      </c>
      <c r="BL262" t="e">
        <f>Risklog!259:259-"AM:!/PQ"</f>
        <v>#VALUE!</v>
      </c>
      <c r="BM262" t="e">
        <f>Risklog!260:260-"AM:!/PR"</f>
        <v>#VALUE!</v>
      </c>
      <c r="BN262" t="e">
        <f>Risklog!261:261-"AM:!/PS"</f>
        <v>#VALUE!</v>
      </c>
      <c r="BO262" t="e">
        <f>Risklog!262:262-"AM:!/PT"</f>
        <v>#VALUE!</v>
      </c>
      <c r="BP262" t="e">
        <f>Risklog!263:263-"AM:!/PU"</f>
        <v>#VALUE!</v>
      </c>
      <c r="BQ262" t="e">
        <f>Risklog!264:264-"AM:!/PV"</f>
        <v>#VALUE!</v>
      </c>
      <c r="BR262" t="e">
        <f>Risklog!265:265-"AM:!/PW"</f>
        <v>#VALUE!</v>
      </c>
      <c r="BS262" t="e">
        <f>Risklog!266:266-"AM:!/PX"</f>
        <v>#VALUE!</v>
      </c>
      <c r="BT262" t="e">
        <f>Risklog!267:267-"AM:!/PY"</f>
        <v>#VALUE!</v>
      </c>
      <c r="BU262" t="e">
        <f>Risklog!268:268-"AM:!/PZ"</f>
        <v>#VALUE!</v>
      </c>
      <c r="BV262" t="e">
        <f>Risklog!269:269-"AM:!/P["</f>
        <v>#VALUE!</v>
      </c>
      <c r="BW262" t="e">
        <f>Risklog!270:270-"AM:!/P\"</f>
        <v>#VALUE!</v>
      </c>
      <c r="BX262" t="e">
        <f>Risklog!271:271-"AM:!/P]"</f>
        <v>#VALUE!</v>
      </c>
      <c r="BY262" t="e">
        <f>Risklog!272:272-"AM:!/P^"</f>
        <v>#VALUE!</v>
      </c>
      <c r="BZ262" t="e">
        <f>Risklog!273:273-"AM:!/P_"</f>
        <v>#VALUE!</v>
      </c>
      <c r="CA262" t="e">
        <f>Risklog!274:274-"AM:!/P`"</f>
        <v>#VALUE!</v>
      </c>
      <c r="CB262" t="e">
        <f>Risklog!275:275-"AM:!/Pa"</f>
        <v>#VALUE!</v>
      </c>
      <c r="CC262" t="e">
        <f>Risklog!276:276-"AM:!/Pb"</f>
        <v>#VALUE!</v>
      </c>
      <c r="CD262" t="e">
        <f>Risklog!277:277-"AM:!/Pc"</f>
        <v>#VALUE!</v>
      </c>
      <c r="CE262" t="e">
        <f>Risklog!278:278-"AM:!/Pd"</f>
        <v>#VALUE!</v>
      </c>
      <c r="CF262" t="e">
        <f>Risklog!279:279-"AM:!/Pe"</f>
        <v>#VALUE!</v>
      </c>
      <c r="CG262" t="e">
        <f>Risklog!280:280-"AM:!/Pf"</f>
        <v>#VALUE!</v>
      </c>
      <c r="CH262" t="e">
        <f>Risklog!281:281-"AM:!/Pg"</f>
        <v>#VALUE!</v>
      </c>
      <c r="CI262" t="e">
        <f>Risklog!282:282-"AM:!/Ph"</f>
        <v>#VALUE!</v>
      </c>
      <c r="CJ262" t="e">
        <f>Risklog!283:283-"AM:!/Pi"</f>
        <v>#VALUE!</v>
      </c>
      <c r="CK262" t="e">
        <f>Risklog!284:284-"AM:!/Pj"</f>
        <v>#VALUE!</v>
      </c>
      <c r="CL262" t="e">
        <f>Risklog!285:285-"AM:!/Pk"</f>
        <v>#VALUE!</v>
      </c>
      <c r="CM262" t="e">
        <f>Risklog!286:286-"AM:!/Pl"</f>
        <v>#VALUE!</v>
      </c>
      <c r="CN262" t="e">
        <f>Risklog!287:287-"AM:!/Pm"</f>
        <v>#VALUE!</v>
      </c>
      <c r="CO262" t="e">
        <f>Risklog!288:288-"AM:!/Pn"</f>
        <v>#VALUE!</v>
      </c>
      <c r="CP262" t="e">
        <f>Risklog!289:289-"AM:!/Po"</f>
        <v>#VALUE!</v>
      </c>
      <c r="CQ262" t="e">
        <f>Risklog!290:290-"AM:!/Pp"</f>
        <v>#VALUE!</v>
      </c>
      <c r="CR262" t="e">
        <f>Risklog!291:291-"AM:!/Pq"</f>
        <v>#VALUE!</v>
      </c>
      <c r="CS262" t="e">
        <f>Risklog!292:292-"AM:!/Pr"</f>
        <v>#VALUE!</v>
      </c>
      <c r="CT262" t="e">
        <f>Risklog!293:293-"AM:!/Ps"</f>
        <v>#VALUE!</v>
      </c>
      <c r="CU262" t="e">
        <f>Risklog!294:294-"AM:!/Pt"</f>
        <v>#VALUE!</v>
      </c>
      <c r="CV262" t="e">
        <f>Risklog!295:295-"AM:!/Pu"</f>
        <v>#VALUE!</v>
      </c>
      <c r="CW262" t="e">
        <f>Risklog!296:296-"AM:!/Pv"</f>
        <v>#VALUE!</v>
      </c>
      <c r="CX262" t="e">
        <f>Risklog!297:297-"AM:!/Pw"</f>
        <v>#VALUE!</v>
      </c>
      <c r="CY262" t="e">
        <f>Risklog!298:298-"AM:!/Px"</f>
        <v>#VALUE!</v>
      </c>
      <c r="CZ262" t="e">
        <f>Risklog!299:299-"AM:!/Py"</f>
        <v>#VALUE!</v>
      </c>
      <c r="DA262" t="e">
        <f>Risklog!300:300-"AM:!/Pz"</f>
        <v>#VALUE!</v>
      </c>
      <c r="DB262" t="e">
        <f>Risklog!301:301-"AM:!/P{"</f>
        <v>#VALUE!</v>
      </c>
      <c r="DC262" t="e">
        <f>Risklog!302:302-"AM:!/P|"</f>
        <v>#VALUE!</v>
      </c>
      <c r="DD262" t="e">
        <f>Risklog!303:303-"AM:!/P}"</f>
        <v>#VALUE!</v>
      </c>
      <c r="DE262" t="e">
        <f>Risklog!304:304-"AM:!/P~"</f>
        <v>#VALUE!</v>
      </c>
      <c r="DF262" t="e">
        <f>Risklog!305:305-"AM:!/Q#"</f>
        <v>#VALUE!</v>
      </c>
      <c r="DG262" t="e">
        <f>Risklog!306:306-"AM:!/Q$"</f>
        <v>#VALUE!</v>
      </c>
      <c r="DH262" t="e">
        <f>Risklog!307:307-"AM:!/Q%"</f>
        <v>#VALUE!</v>
      </c>
      <c r="DI262" t="e">
        <f>Risklog!308:308-"AM:!/Q&amp;"</f>
        <v>#VALUE!</v>
      </c>
      <c r="DJ262" t="e">
        <f>Risklog!309:309-"AM:!/Q'"</f>
        <v>#VALUE!</v>
      </c>
      <c r="DK262" t="e">
        <f>Risklog!310:310-"AM:!/Q("</f>
        <v>#VALUE!</v>
      </c>
      <c r="DL262" t="e">
        <f>Risklog!311:311-"AM:!/Q)"</f>
        <v>#VALUE!</v>
      </c>
      <c r="DM262" t="e">
        <f>Risklog!312:312-"AM:!/Q."</f>
        <v>#VALUE!</v>
      </c>
      <c r="DN262" t="e">
        <f>Risklog!313:313-"AM:!/Q/"</f>
        <v>#VALUE!</v>
      </c>
      <c r="DO262" t="e">
        <f>Risklog!314:314-"AM:!/Q0"</f>
        <v>#VALUE!</v>
      </c>
      <c r="DP262" t="e">
        <f>Risklog!315:315-"AM:!/Q1"</f>
        <v>#VALUE!</v>
      </c>
      <c r="DQ262" t="e">
        <f>Risklog!316:316-"AM:!/Q2"</f>
        <v>#VALUE!</v>
      </c>
      <c r="DR262" t="e">
        <f>Risklog!317:317-"AM:!/Q3"</f>
        <v>#VALUE!</v>
      </c>
      <c r="DS262" t="e">
        <f>Risklog!318:318-"AM:!/Q4"</f>
        <v>#VALUE!</v>
      </c>
      <c r="DT262" t="e">
        <f>Risklog!319:319-"AM:!/Q5"</f>
        <v>#VALUE!</v>
      </c>
      <c r="DU262" t="e">
        <f>Risklog!320:320-"AM:!/Q6"</f>
        <v>#VALUE!</v>
      </c>
      <c r="DV262" t="e">
        <f>Risklog!321:321-"AM:!/Q7"</f>
        <v>#VALUE!</v>
      </c>
      <c r="DW262" t="e">
        <f>Risklog!322:322-"AM:!/Q8"</f>
        <v>#VALUE!</v>
      </c>
      <c r="DX262" t="e">
        <f>Risklog!323:323-"AM:!/Q9"</f>
        <v>#VALUE!</v>
      </c>
      <c r="DY262" t="e">
        <f>Risklog!324:324-"AM:!/Q:"</f>
        <v>#VALUE!</v>
      </c>
      <c r="DZ262" t="e">
        <f>Risklog!325:325-"AM:!/Q;"</f>
        <v>#VALUE!</v>
      </c>
      <c r="EA262" t="e">
        <f>Risklog!326:326-"AM:!/Q&lt;"</f>
        <v>#VALUE!</v>
      </c>
      <c r="EB262" t="e">
        <f>Risklog!327:327-"AM:!/Q="</f>
        <v>#VALUE!</v>
      </c>
      <c r="EC262" t="e">
        <f>Risklog!328:328-"AM:!/Q&gt;"</f>
        <v>#VALUE!</v>
      </c>
      <c r="ED262" t="e">
        <f>Risklog!329:329-"AM:!/Q?"</f>
        <v>#VALUE!</v>
      </c>
      <c r="EE262" t="e">
        <f>Risklog!330:330-"AM:!/Q@"</f>
        <v>#VALUE!</v>
      </c>
      <c r="EF262" t="e">
        <f>Risklog!331:331-"AM:!/QA"</f>
        <v>#VALUE!</v>
      </c>
      <c r="EG262" t="e">
        <f>Risklog!332:332-"AM:!/QB"</f>
        <v>#VALUE!</v>
      </c>
      <c r="EH262" t="e">
        <f>Risklog!333:333-"AM:!/QC"</f>
        <v>#VALUE!</v>
      </c>
      <c r="EI262" t="e">
        <f>Risklog!334:334-"AM:!/QD"</f>
        <v>#VALUE!</v>
      </c>
      <c r="EJ262" t="e">
        <f>Risklog!335:335-"AM:!/QE"</f>
        <v>#VALUE!</v>
      </c>
      <c r="EK262" t="e">
        <f>Risklog!336:336-"AM:!/QF"</f>
        <v>#VALUE!</v>
      </c>
      <c r="EL262" t="e">
        <f>Risklog!A1+"AM:!/QG"</f>
        <v>#VALUE!</v>
      </c>
      <c r="EM262" t="e">
        <f>Risklog!B1+"AM:!/QH"</f>
        <v>#VALUE!</v>
      </c>
      <c r="EN262" t="e">
        <f>Risklog!C1+"AM:!/QI"</f>
        <v>#VALUE!</v>
      </c>
      <c r="EO262" t="e">
        <f>Risklog!D1+"AM:!/QJ"</f>
        <v>#VALUE!</v>
      </c>
      <c r="EP262" t="e">
        <f>Risklog!E1+"AM:!/QK"</f>
        <v>#VALUE!</v>
      </c>
      <c r="EQ262" t="e">
        <f>Risklog!F1+"AM:!/QL"</f>
        <v>#VALUE!</v>
      </c>
      <c r="ER262" t="e">
        <f>Risklog!G1+"AM:!/QM"</f>
        <v>#VALUE!</v>
      </c>
      <c r="ES262" t="e">
        <f>Risklog!H1+"AM:!/QN"</f>
        <v>#VALUE!</v>
      </c>
      <c r="ET262" t="e">
        <f>Risklog!I1+"AM:!/QO"</f>
        <v>#VALUE!</v>
      </c>
      <c r="EU262" t="e">
        <f>Risklog!J1+"AM:!/QP"</f>
        <v>#VALUE!</v>
      </c>
      <c r="EV262" t="e">
        <f>Risklog!K1+"AM:!/QQ"</f>
        <v>#VALUE!</v>
      </c>
      <c r="EW262" t="e">
        <f>Risklog!L1+"AM:!/QR"</f>
        <v>#VALUE!</v>
      </c>
      <c r="EX262" t="e">
        <f>Risklog!M1+"AM:!/QS"</f>
        <v>#VALUE!</v>
      </c>
      <c r="EY262" t="e">
        <f>Risklog!N1+"AM:!/QT"</f>
        <v>#VALUE!</v>
      </c>
      <c r="EZ262" t="e">
        <f>Risklog!O1+"AM:!/QU"</f>
        <v>#VALUE!</v>
      </c>
      <c r="FA262" t="e">
        <f>Risklog!P1+"AM:!/QV"</f>
        <v>#VALUE!</v>
      </c>
      <c r="FB262" t="e">
        <f>Risklog!Q1+"AM:!/QW"</f>
        <v>#VALUE!</v>
      </c>
      <c r="FC262" t="e">
        <f>Risklog!R1+"AM:!/QX"</f>
        <v>#VALUE!</v>
      </c>
      <c r="FD262" t="e">
        <f>Risklog!S1+"AM:!/QY"</f>
        <v>#VALUE!</v>
      </c>
      <c r="FE262" t="e">
        <f>Risklog!T1+"AM:!/QZ"</f>
        <v>#VALUE!</v>
      </c>
      <c r="FF262" t="e">
        <f>Risklog!A2+"AM:!/Q["</f>
        <v>#VALUE!</v>
      </c>
      <c r="FG262" t="e">
        <f>Risklog!B2+"AM:!/Q\"</f>
        <v>#VALUE!</v>
      </c>
      <c r="FH262" t="e">
        <f>Risklog!C2+"AM:!/Q]"</f>
        <v>#VALUE!</v>
      </c>
      <c r="FI262" t="e">
        <f>Risklog!D2+"AM:!/Q^"</f>
        <v>#VALUE!</v>
      </c>
      <c r="FJ262" t="e">
        <f>Risklog!E2+"AM:!/Q_"</f>
        <v>#VALUE!</v>
      </c>
      <c r="FK262" t="e">
        <f>Risklog!F2+"AM:!/Q`"</f>
        <v>#VALUE!</v>
      </c>
      <c r="FL262" t="e">
        <f>Risklog!H2+"AM:!/Qa"</f>
        <v>#VALUE!</v>
      </c>
      <c r="FM262" t="e">
        <f>Risklog!I2+"AM:!/Qb"</f>
        <v>#VALUE!</v>
      </c>
      <c r="FN262" t="e">
        <f>Risklog!J2+"AM:!/Qc"</f>
        <v>#VALUE!</v>
      </c>
      <c r="FO262" t="e">
        <f>Risklog!K2+"AM:!/Qd"</f>
        <v>#VALUE!</v>
      </c>
      <c r="FP262" t="e">
        <f>Risklog!L2+"AM:!/Qe"</f>
        <v>#VALUE!</v>
      </c>
      <c r="FQ262" t="e">
        <f>Risklog!M2+"AM:!/Qf"</f>
        <v>#VALUE!</v>
      </c>
      <c r="FR262" t="e">
        <f>Risklog!N2+"AM:!/Qg"</f>
        <v>#VALUE!</v>
      </c>
      <c r="FS262" t="e">
        <f>Risklog!O2+"AM:!/Qh"</f>
        <v>#VALUE!</v>
      </c>
      <c r="FT262" t="e">
        <f>Risklog!P2+"AM:!/Qi"</f>
        <v>#VALUE!</v>
      </c>
      <c r="FU262" t="e">
        <f>Risklog!Q2+"AM:!/Qj"</f>
        <v>#VALUE!</v>
      </c>
      <c r="FV262" t="e">
        <f>Risklog!R2+"AM:!/Qk"</f>
        <v>#VALUE!</v>
      </c>
      <c r="FW262" t="e">
        <f>Risklog!S2+"AM:!/Ql"</f>
        <v>#VALUE!</v>
      </c>
      <c r="FX262" t="e">
        <f>Risklog!T2+"AM:!/Qm"</f>
        <v>#VALUE!</v>
      </c>
      <c r="FY262" t="e">
        <f>Risklog!A3+"AM:!/Qn"</f>
        <v>#VALUE!</v>
      </c>
      <c r="FZ262" t="e">
        <f>Risklog!B3+"AM:!/Qo"</f>
        <v>#VALUE!</v>
      </c>
      <c r="GA262" t="e">
        <f>Risklog!C3+"AM:!/Qp"</f>
        <v>#VALUE!</v>
      </c>
      <c r="GB262" t="e">
        <f>Risklog!D3+"AM:!/Qq"</f>
        <v>#VALUE!</v>
      </c>
      <c r="GC262" t="e">
        <f>Risklog!E3+"AM:!/Qr"</f>
        <v>#VALUE!</v>
      </c>
      <c r="GD262" t="e">
        <f>Risklog!F3+"AM:!/Qs"</f>
        <v>#VALUE!</v>
      </c>
      <c r="GE262" t="e">
        <f>Risklog!H3+"AM:!/Qt"</f>
        <v>#VALUE!</v>
      </c>
      <c r="GF262" t="e">
        <f>Risklog!I3+"AM:!/Qu"</f>
        <v>#VALUE!</v>
      </c>
      <c r="GG262" t="e">
        <f>Risklog!J3+"AM:!/Qv"</f>
        <v>#VALUE!</v>
      </c>
      <c r="GH262" t="e">
        <f>Risklog!K3+"AM:!/Qw"</f>
        <v>#VALUE!</v>
      </c>
      <c r="GI262" t="e">
        <f>Risklog!L3+"AM:!/Qx"</f>
        <v>#VALUE!</v>
      </c>
      <c r="GJ262" t="e">
        <f>Risklog!M3+"AM:!/Qy"</f>
        <v>#VALUE!</v>
      </c>
      <c r="GK262" t="e">
        <f>Risklog!N3+"AM:!/Qz"</f>
        <v>#VALUE!</v>
      </c>
      <c r="GL262" t="e">
        <f>Risklog!O3+"AM:!/Q{"</f>
        <v>#VALUE!</v>
      </c>
      <c r="GM262" t="e">
        <f>Risklog!P3+"AM:!/Q|"</f>
        <v>#VALUE!</v>
      </c>
      <c r="GN262" t="e">
        <f>Risklog!Q3+"AM:!/Q}"</f>
        <v>#VALUE!</v>
      </c>
      <c r="GO262" t="e">
        <f>Risklog!R3+"AM:!/Q~"</f>
        <v>#VALUE!</v>
      </c>
      <c r="GP262" t="e">
        <f>Risklog!S3+"AM:!/R#"</f>
        <v>#VALUE!</v>
      </c>
      <c r="GQ262" t="e">
        <f>Risklog!T3+"AM:!/R$"</f>
        <v>#VALUE!</v>
      </c>
      <c r="GR262" t="e">
        <f>Risklog!#REF!+"AM:!/R%"</f>
        <v>#REF!</v>
      </c>
      <c r="GS262" t="e">
        <f>Risklog!#REF!+"AM:!/R&amp;"</f>
        <v>#REF!</v>
      </c>
      <c r="GT262" t="e">
        <f>Risklog!#REF!+"AM:!/R'"</f>
        <v>#REF!</v>
      </c>
      <c r="GU262" t="e">
        <f>Risklog!#REF!+"AM:!/R("</f>
        <v>#REF!</v>
      </c>
      <c r="GV262" t="e">
        <f>Risklog!#REF!+"AM:!/R)"</f>
        <v>#REF!</v>
      </c>
      <c r="GW262" t="e">
        <f>Risklog!#REF!+"AM:!/R."</f>
        <v>#REF!</v>
      </c>
      <c r="GX262" t="e">
        <f>Risklog!#REF!+"AM:!/R/"</f>
        <v>#REF!</v>
      </c>
      <c r="GY262" t="e">
        <f>Risklog!#REF!+"AM:!/R0"</f>
        <v>#REF!</v>
      </c>
      <c r="GZ262" t="e">
        <f>Risklog!#REF!+"AM:!/R1"</f>
        <v>#REF!</v>
      </c>
      <c r="HA262" t="e">
        <f>Risklog!#REF!+"AM:!/R2"</f>
        <v>#REF!</v>
      </c>
      <c r="HB262" t="e">
        <f>Risklog!#REF!+"AM:!/R3"</f>
        <v>#REF!</v>
      </c>
      <c r="HC262" t="e">
        <f>Risklog!#REF!+"AM:!/R4"</f>
        <v>#REF!</v>
      </c>
      <c r="HD262" t="e">
        <f>Risklog!#REF!+"AM:!/R5"</f>
        <v>#REF!</v>
      </c>
      <c r="HE262" t="e">
        <f>Risklog!#REF!+"AM:!/R6"</f>
        <v>#REF!</v>
      </c>
      <c r="HF262" t="e">
        <f>Risklog!#REF!+"AM:!/R7"</f>
        <v>#REF!</v>
      </c>
      <c r="HG262" t="e">
        <f>Risklog!#REF!+"AM:!/R8"</f>
        <v>#REF!</v>
      </c>
      <c r="HH262" t="e">
        <f>Risklog!#REF!+"AM:!/R9"</f>
        <v>#REF!</v>
      </c>
      <c r="HI262" t="e">
        <f>Risklog!#REF!+"AM:!/R:"</f>
        <v>#REF!</v>
      </c>
      <c r="HJ262" t="e">
        <f>Risklog!S4+"AM:!/R;"</f>
        <v>#VALUE!</v>
      </c>
      <c r="HK262" t="e">
        <f>Risklog!T4+"AM:!/R&lt;"</f>
        <v>#VALUE!</v>
      </c>
      <c r="HL262" t="e">
        <f>Risklog!A6+"AM:!/R="</f>
        <v>#VALUE!</v>
      </c>
      <c r="HM262" t="e">
        <f>Risklog!B6+"AM:!/R&gt;"</f>
        <v>#VALUE!</v>
      </c>
      <c r="HN262" t="e">
        <f>Risklog!C6+"AM:!/R?"</f>
        <v>#VALUE!</v>
      </c>
      <c r="HO262" t="e">
        <f>Risklog!D6+"AM:!/R@"</f>
        <v>#VALUE!</v>
      </c>
      <c r="HP262" t="e">
        <f>Risklog!E6+"AM:!/RA"</f>
        <v>#VALUE!</v>
      </c>
      <c r="HQ262" t="e">
        <f>Risklog!F6+"AM:!/RB"</f>
        <v>#VALUE!</v>
      </c>
      <c r="HR262" t="e">
        <f>Risklog!G6+"AM:!/RC"</f>
        <v>#VALUE!</v>
      </c>
      <c r="HS262" t="e">
        <f>Risklog!H6+"AM:!/RD"</f>
        <v>#VALUE!</v>
      </c>
      <c r="HT262" t="e">
        <f>Risklog!I6+"AM:!/RE"</f>
        <v>#VALUE!</v>
      </c>
      <c r="HU262" t="e">
        <f>Risklog!J6+"AM:!/RF"</f>
        <v>#VALUE!</v>
      </c>
      <c r="HV262" t="e">
        <f>Risklog!K6+"AM:!/RG"</f>
        <v>#VALUE!</v>
      </c>
      <c r="HW262" t="e">
        <f>Risklog!L6+"AM:!/RH"</f>
        <v>#VALUE!</v>
      </c>
      <c r="HX262" t="e">
        <f>Risklog!M6+"AM:!/RI"</f>
        <v>#VALUE!</v>
      </c>
      <c r="HY262" t="e">
        <f>Risklog!N6+"AM:!/RJ"</f>
        <v>#VALUE!</v>
      </c>
      <c r="HZ262" t="e">
        <f>Risklog!O6+"AM:!/RK"</f>
        <v>#VALUE!</v>
      </c>
      <c r="IA262" t="e">
        <f>Risklog!P6+"AM:!/RL"</f>
        <v>#VALUE!</v>
      </c>
      <c r="IB262" t="e">
        <f>Risklog!Q6+"AM:!/RM"</f>
        <v>#VALUE!</v>
      </c>
      <c r="IC262" t="e">
        <f>Risklog!R6+"AM:!/RN"</f>
        <v>#VALUE!</v>
      </c>
      <c r="ID262" t="e">
        <f>Risklog!S6+"AM:!/RO"</f>
        <v>#VALUE!</v>
      </c>
      <c r="IE262" t="e">
        <f>Risklog!T6+"AM:!/RP"</f>
        <v>#VALUE!</v>
      </c>
      <c r="IF262" t="e">
        <f>Risklog!U6+"AM:!/RQ"</f>
        <v>#VALUE!</v>
      </c>
      <c r="IG262" t="e">
        <f>Risklog!V6+"AM:!/RR"</f>
        <v>#VALUE!</v>
      </c>
      <c r="IH262" t="e">
        <f>Risklog!W6+"AM:!/RS"</f>
        <v>#VALUE!</v>
      </c>
      <c r="II262" t="e">
        <f>Risklog!X6+"AM:!/RT"</f>
        <v>#VALUE!</v>
      </c>
      <c r="IJ262" t="e">
        <f>Risklog!Y6+"AM:!/RU"</f>
        <v>#VALUE!</v>
      </c>
      <c r="IK262" t="e">
        <f>Risklog!Z6+"AM:!/RV"</f>
        <v>#VALUE!</v>
      </c>
      <c r="IL262" t="e">
        <f>Risklog!AA6+"AM:!/RW"</f>
        <v>#VALUE!</v>
      </c>
      <c r="IM262" t="e">
        <f>Risklog!A7+"AM:!/RX"</f>
        <v>#VALUE!</v>
      </c>
      <c r="IN262" t="e">
        <f>Risklog!B7+"AM:!/RY"</f>
        <v>#VALUE!</v>
      </c>
      <c r="IO262" t="e">
        <f>Risklog!C7+"AM:!/RZ"</f>
        <v>#VALUE!</v>
      </c>
      <c r="IP262" t="e">
        <f>Risklog!D7+"AM:!/R["</f>
        <v>#VALUE!</v>
      </c>
      <c r="IQ262" t="e">
        <f>Risklog!E7+"AM:!/R\"</f>
        <v>#VALUE!</v>
      </c>
      <c r="IR262" t="e">
        <f>Risklog!F7+"AM:!/R]"</f>
        <v>#VALUE!</v>
      </c>
      <c r="IS262" t="e">
        <f>Risklog!G7+"AM:!/R^"</f>
        <v>#VALUE!</v>
      </c>
      <c r="IT262" t="e">
        <f>Risklog!H7+"AM:!/R_"</f>
        <v>#VALUE!</v>
      </c>
      <c r="IU262" t="e">
        <f>Risklog!I7+"AM:!/R`"</f>
        <v>#VALUE!</v>
      </c>
      <c r="IV262" t="e">
        <f>Risklog!J7+"AM:!/Ra"</f>
        <v>#VALUE!</v>
      </c>
    </row>
    <row r="263" spans="6:256">
      <c r="F263" t="e">
        <f>Risklog!K7+"AM:!/Rb"</f>
        <v>#VALUE!</v>
      </c>
      <c r="G263" t="e">
        <f>Risklog!L7+"AM:!/Rc"</f>
        <v>#VALUE!</v>
      </c>
      <c r="H263" t="e">
        <f>Risklog!M7+"AM:!/Rd"</f>
        <v>#VALUE!</v>
      </c>
      <c r="I263" t="e">
        <f>Risklog!N7+"AM:!/Re"</f>
        <v>#VALUE!</v>
      </c>
      <c r="J263" t="e">
        <f>Risklog!O7+"AM:!/Rf"</f>
        <v>#VALUE!</v>
      </c>
      <c r="K263" s="105" t="e">
        <f>Risklog!P7+"AM:!/Rg"</f>
        <v>#VALUE!</v>
      </c>
      <c r="L263" s="97" t="e">
        <f>Risklog!Q7+"AM:!/Rh"</f>
        <v>#VALUE!</v>
      </c>
      <c r="M263" s="97" t="e">
        <f>Risklog!R7+"AM:!/Ri"</f>
        <v>#VALUE!</v>
      </c>
      <c r="N263" s="98" t="e">
        <f>Risklog!S7+"AM:!/Rj"</f>
        <v>#VALUE!</v>
      </c>
      <c r="O263" t="e">
        <f>Risklog!T7+"AM:!/Rk"</f>
        <v>#VALUE!</v>
      </c>
      <c r="P263" t="e">
        <f>Risklog!U7+"AM:!/Rl"</f>
        <v>#VALUE!</v>
      </c>
      <c r="Q263" t="e">
        <f>Risklog!V7+"AM:!/Rm"</f>
        <v>#VALUE!</v>
      </c>
      <c r="R263" t="e">
        <f>Risklog!W7+"AM:!/Rn"</f>
        <v>#VALUE!</v>
      </c>
      <c r="S263" s="98" t="e">
        <f>Risklog!X7+"AM:!/Ro"</f>
        <v>#VALUE!</v>
      </c>
      <c r="T263" t="e">
        <f>Risklog!Y7+"AM:!/Rp"</f>
        <v>#VALUE!</v>
      </c>
      <c r="U263" t="e">
        <f>Risklog!Z7+"AM:!/Rq"</f>
        <v>#VALUE!</v>
      </c>
      <c r="V263" t="e">
        <f>Risklog!AA7+"AM:!/Rr"</f>
        <v>#VALUE!</v>
      </c>
      <c r="W263" t="e">
        <f>Risklog!A8+"AM:!/Rs"</f>
        <v>#VALUE!</v>
      </c>
      <c r="X263" t="e">
        <f>Risklog!B8+"AM:!/Rt"</f>
        <v>#VALUE!</v>
      </c>
      <c r="Y263" t="e">
        <f>Risklog!C8+"AM:!/Ru"</f>
        <v>#VALUE!</v>
      </c>
      <c r="Z263" t="e">
        <f>Risklog!D8+"AM:!/Rv"</f>
        <v>#VALUE!</v>
      </c>
      <c r="AA263" t="e">
        <f>Risklog!E8+"AM:!/Rw"</f>
        <v>#VALUE!</v>
      </c>
      <c r="AB263" t="e">
        <f>Risklog!F8+"AM:!/Rx"</f>
        <v>#VALUE!</v>
      </c>
      <c r="AC263" t="e">
        <f>Risklog!G8+"AM:!/Ry"</f>
        <v>#VALUE!</v>
      </c>
      <c r="AD263" t="e">
        <f>Risklog!H8+"AM:!/Rz"</f>
        <v>#VALUE!</v>
      </c>
      <c r="AE263" t="e">
        <f>Risklog!I8+"AM:!/R{"</f>
        <v>#VALUE!</v>
      </c>
      <c r="AF263" t="e">
        <f>Risklog!J8+"AM:!/R|"</f>
        <v>#VALUE!</v>
      </c>
      <c r="AG263" t="e">
        <f>Risklog!K8+"AM:!/R}"</f>
        <v>#VALUE!</v>
      </c>
      <c r="AH263" t="e">
        <f>Risklog!L8+"AM:!/R~"</f>
        <v>#VALUE!</v>
      </c>
      <c r="AI263" t="e">
        <f>Risklog!M8+"AM:!/S#"</f>
        <v>#VALUE!</v>
      </c>
      <c r="AJ263" t="e">
        <f>Risklog!N8+"AM:!/S$"</f>
        <v>#VALUE!</v>
      </c>
      <c r="AK263" t="e">
        <f>Risklog!O8+"AM:!/S%"</f>
        <v>#VALUE!</v>
      </c>
      <c r="AL263" s="105" t="e">
        <f>Risklog!P8+"AM:!/S&amp;"</f>
        <v>#VALUE!</v>
      </c>
      <c r="AM263" s="97" t="e">
        <f>Risklog!Q8+"AM:!/S'"</f>
        <v>#VALUE!</v>
      </c>
      <c r="AN263" s="97" t="e">
        <f>Risklog!R8+"AM:!/S("</f>
        <v>#VALUE!</v>
      </c>
      <c r="AO263" s="98" t="e">
        <f>Risklog!S8+"AM:!/S)"</f>
        <v>#VALUE!</v>
      </c>
      <c r="AP263" t="e">
        <f>Risklog!T8+"AM:!/S."</f>
        <v>#VALUE!</v>
      </c>
      <c r="AQ263" t="e">
        <f>Risklog!U8+"AM:!/S/"</f>
        <v>#VALUE!</v>
      </c>
      <c r="AR263" t="e">
        <f>Risklog!V8+"AM:!/S0"</f>
        <v>#VALUE!</v>
      </c>
      <c r="AS263" t="e">
        <f>Risklog!W8+"AM:!/S1"</f>
        <v>#VALUE!</v>
      </c>
      <c r="AT263" s="98" t="e">
        <f>Risklog!X8+"AM:!/S2"</f>
        <v>#VALUE!</v>
      </c>
      <c r="AU263" t="e">
        <f>Risklog!Y8+"AM:!/S3"</f>
        <v>#VALUE!</v>
      </c>
      <c r="AV263" t="e">
        <f>Risklog!Z8+"AM:!/S4"</f>
        <v>#VALUE!</v>
      </c>
      <c r="AW263" t="e">
        <f>Risklog!AA8+"AM:!/S5"</f>
        <v>#VALUE!</v>
      </c>
      <c r="AX263" t="e">
        <f>Risklog!A9+"AM:!/S6"</f>
        <v>#VALUE!</v>
      </c>
      <c r="AY263" t="e">
        <f>Risklog!B9+"AM:!/S7"</f>
        <v>#VALUE!</v>
      </c>
      <c r="AZ263" t="e">
        <f>Risklog!C9+"AM:!/S8"</f>
        <v>#VALUE!</v>
      </c>
      <c r="BA263" t="e">
        <f>Risklog!D9+"AM:!/S9"</f>
        <v>#VALUE!</v>
      </c>
      <c r="BB263" t="e">
        <f>Risklog!E9+"AM:!/S:"</f>
        <v>#VALUE!</v>
      </c>
      <c r="BC263" t="e">
        <f>Risklog!F9+"AM:!/S;"</f>
        <v>#VALUE!</v>
      </c>
      <c r="BD263" t="e">
        <f>Risklog!G9+"AM:!/S&lt;"</f>
        <v>#VALUE!</v>
      </c>
      <c r="BE263" t="e">
        <f>Risklog!H9+"AM:!/S="</f>
        <v>#VALUE!</v>
      </c>
      <c r="BF263" t="e">
        <f>Risklog!I9+"AM:!/S&gt;"</f>
        <v>#VALUE!</v>
      </c>
      <c r="BG263" t="e">
        <f>Risklog!J9+"AM:!/S?"</f>
        <v>#VALUE!</v>
      </c>
      <c r="BH263" t="e">
        <f>Risklog!K9+"AM:!/S@"</f>
        <v>#VALUE!</v>
      </c>
      <c r="BI263" t="e">
        <f>Risklog!L9+"AM:!/SA"</f>
        <v>#VALUE!</v>
      </c>
      <c r="BJ263" t="e">
        <f>Risklog!M9+"AM:!/SB"</f>
        <v>#VALUE!</v>
      </c>
      <c r="BK263" t="e">
        <f>Risklog!N9+"AM:!/SC"</f>
        <v>#VALUE!</v>
      </c>
      <c r="BL263" t="e">
        <f>Risklog!O9+"AM:!/SD"</f>
        <v>#VALUE!</v>
      </c>
      <c r="BM263" s="105" t="e">
        <f>Risklog!P9+"AM:!/SE"</f>
        <v>#VALUE!</v>
      </c>
      <c r="BN263" s="97" t="e">
        <f>Risklog!Q9+"AM:!/SF"</f>
        <v>#VALUE!</v>
      </c>
      <c r="BO263" s="97" t="e">
        <f>Risklog!R9+"AM:!/SG"</f>
        <v>#VALUE!</v>
      </c>
      <c r="BP263" s="98" t="e">
        <f>Risklog!S9+"AM:!/SH"</f>
        <v>#VALUE!</v>
      </c>
      <c r="BQ263" t="e">
        <f>Risklog!T9+"AM:!/SI"</f>
        <v>#VALUE!</v>
      </c>
      <c r="BR263" t="e">
        <f>Risklog!U9+"AM:!/SJ"</f>
        <v>#VALUE!</v>
      </c>
      <c r="BS263" t="e">
        <f>Risklog!V9+"AM:!/SK"</f>
        <v>#VALUE!</v>
      </c>
      <c r="BT263" t="e">
        <f>Risklog!W9+"AM:!/SL"</f>
        <v>#VALUE!</v>
      </c>
      <c r="BU263" s="98" t="e">
        <f>Risklog!X9+"AM:!/SM"</f>
        <v>#VALUE!</v>
      </c>
      <c r="BV263" t="e">
        <f>Risklog!Y9+"AM:!/SN"</f>
        <v>#VALUE!</v>
      </c>
      <c r="BW263" t="e">
        <f>Risklog!Z9+"AM:!/SO"</f>
        <v>#VALUE!</v>
      </c>
      <c r="BX263" t="e">
        <f>Risklog!AA9+"AM:!/SP"</f>
        <v>#VALUE!</v>
      </c>
      <c r="BY263" t="e">
        <f>Risklog!A10+"AM:!/SQ"</f>
        <v>#VALUE!</v>
      </c>
      <c r="BZ263" t="e">
        <f>Risklog!B10+"AM:!/SR"</f>
        <v>#VALUE!</v>
      </c>
      <c r="CA263" t="e">
        <f>Risklog!C10+"AM:!/SS"</f>
        <v>#VALUE!</v>
      </c>
      <c r="CB263" t="e">
        <f>Risklog!D10+"AM:!/ST"</f>
        <v>#VALUE!</v>
      </c>
      <c r="CC263" t="e">
        <f>Risklog!E10+"AM:!/SU"</f>
        <v>#VALUE!</v>
      </c>
      <c r="CD263" t="e">
        <f>Risklog!F10+"AM:!/SV"</f>
        <v>#VALUE!</v>
      </c>
      <c r="CE263" t="e">
        <f>Risklog!G10+"AM:!/SW"</f>
        <v>#VALUE!</v>
      </c>
      <c r="CF263" t="e">
        <f>Risklog!H10+"AM:!/SX"</f>
        <v>#VALUE!</v>
      </c>
      <c r="CG263" t="e">
        <f>Risklog!I10+"AM:!/SY"</f>
        <v>#VALUE!</v>
      </c>
      <c r="CH263" t="e">
        <f>Risklog!J10+"AM:!/SZ"</f>
        <v>#VALUE!</v>
      </c>
      <c r="CI263" t="e">
        <f>Risklog!K10+"AM:!/S["</f>
        <v>#VALUE!</v>
      </c>
      <c r="CJ263" t="e">
        <f>Risklog!L10+"AM:!/S\"</f>
        <v>#VALUE!</v>
      </c>
      <c r="CK263" t="e">
        <f>Risklog!M10+"AM:!/S]"</f>
        <v>#VALUE!</v>
      </c>
      <c r="CL263" t="e">
        <f>Risklog!N10+"AM:!/S^"</f>
        <v>#VALUE!</v>
      </c>
      <c r="CM263" t="e">
        <f>Risklog!O10+"AM:!/S_"</f>
        <v>#VALUE!</v>
      </c>
      <c r="CN263" s="105" t="e">
        <f>Risklog!P10+"AM:!/S`"</f>
        <v>#VALUE!</v>
      </c>
      <c r="CO263" s="97" t="e">
        <f>Risklog!Q10+"AM:!/Sa"</f>
        <v>#VALUE!</v>
      </c>
      <c r="CP263" s="97" t="e">
        <f>Risklog!R10+"AM:!/Sb"</f>
        <v>#VALUE!</v>
      </c>
      <c r="CQ263" s="98" t="e">
        <f>Risklog!S10+"AM:!/Sc"</f>
        <v>#VALUE!</v>
      </c>
      <c r="CR263" t="e">
        <f>Risklog!T10+"AM:!/Sd"</f>
        <v>#VALUE!</v>
      </c>
      <c r="CS263" t="e">
        <f>Risklog!U10+"AM:!/Se"</f>
        <v>#VALUE!</v>
      </c>
      <c r="CT263" t="e">
        <f>Risklog!V10+"AM:!/Sf"</f>
        <v>#VALUE!</v>
      </c>
      <c r="CU263" t="e">
        <f>Risklog!W10+"AM:!/Sg"</f>
        <v>#VALUE!</v>
      </c>
      <c r="CV263" s="98" t="e">
        <f>Risklog!X10+"AM:!/Sh"</f>
        <v>#VALUE!</v>
      </c>
      <c r="CW263" t="e">
        <f>Risklog!Y10+"AM:!/Si"</f>
        <v>#VALUE!</v>
      </c>
      <c r="CX263" t="e">
        <f>Risklog!Z10+"AM:!/Sj"</f>
        <v>#VALUE!</v>
      </c>
      <c r="CY263" t="e">
        <f>Risklog!AA10+"AM:!/Sk"</f>
        <v>#VALUE!</v>
      </c>
      <c r="CZ263" t="e">
        <f>Risklog!A11+"AM:!/Sl"</f>
        <v>#VALUE!</v>
      </c>
      <c r="DA263" t="e">
        <f>Risklog!B11+"AM:!/Sm"</f>
        <v>#VALUE!</v>
      </c>
      <c r="DB263" t="e">
        <f>Risklog!C11+"AM:!/Sn"</f>
        <v>#VALUE!</v>
      </c>
      <c r="DC263" t="e">
        <f>Risklog!D11+"AM:!/So"</f>
        <v>#VALUE!</v>
      </c>
      <c r="DD263" t="e">
        <f>Risklog!E11+"AM:!/Sp"</f>
        <v>#VALUE!</v>
      </c>
      <c r="DE263" t="e">
        <f>Risklog!F11+"AM:!/Sq"</f>
        <v>#VALUE!</v>
      </c>
      <c r="DF263" t="e">
        <f>Risklog!G11+"AM:!/Sr"</f>
        <v>#VALUE!</v>
      </c>
      <c r="DG263" t="e">
        <f>Risklog!H11+"AM:!/Ss"</f>
        <v>#VALUE!</v>
      </c>
      <c r="DH263" t="e">
        <f>Risklog!I11+"AM:!/St"</f>
        <v>#VALUE!</v>
      </c>
      <c r="DI263" t="e">
        <f>Risklog!J11+"AM:!/Su"</f>
        <v>#VALUE!</v>
      </c>
      <c r="DJ263" t="e">
        <f>Risklog!K11+"AM:!/Sv"</f>
        <v>#VALUE!</v>
      </c>
      <c r="DK263" t="e">
        <f>Risklog!L11+"AM:!/Sw"</f>
        <v>#VALUE!</v>
      </c>
      <c r="DL263" t="e">
        <f>Risklog!M11+"AM:!/Sx"</f>
        <v>#VALUE!</v>
      </c>
      <c r="DM263" t="e">
        <f>Risklog!N11+"AM:!/Sy"</f>
        <v>#VALUE!</v>
      </c>
      <c r="DN263" t="e">
        <f>Risklog!O11+"AM:!/Sz"</f>
        <v>#VALUE!</v>
      </c>
      <c r="DO263" s="105" t="e">
        <f>Risklog!P11+"AM:!/S{"</f>
        <v>#VALUE!</v>
      </c>
      <c r="DP263" s="97" t="e">
        <f>Risklog!Q11+"AM:!/S|"</f>
        <v>#VALUE!</v>
      </c>
      <c r="DQ263" s="97" t="e">
        <f>Risklog!R11+"AM:!/S}"</f>
        <v>#VALUE!</v>
      </c>
      <c r="DR263" s="98" t="e">
        <f>Risklog!S11+"AM:!/S~"</f>
        <v>#VALUE!</v>
      </c>
      <c r="DS263" t="e">
        <f>Risklog!T11+"AM:!/T#"</f>
        <v>#VALUE!</v>
      </c>
      <c r="DT263" t="e">
        <f>Risklog!U11+"AM:!/T$"</f>
        <v>#VALUE!</v>
      </c>
      <c r="DU263" t="e">
        <f>Risklog!V11+"AM:!/T%"</f>
        <v>#VALUE!</v>
      </c>
      <c r="DV263" t="e">
        <f>Risklog!W11+"AM:!/T&amp;"</f>
        <v>#VALUE!</v>
      </c>
      <c r="DW263" s="98" t="e">
        <f>Risklog!X11+"AM:!/T'"</f>
        <v>#VALUE!</v>
      </c>
      <c r="DX263" t="e">
        <f>Risklog!Y11+"AM:!/T("</f>
        <v>#VALUE!</v>
      </c>
      <c r="DY263" t="e">
        <f>Risklog!Z11+"AM:!/T)"</f>
        <v>#VALUE!</v>
      </c>
      <c r="DZ263" t="e">
        <f>Risklog!AA11+"AM:!/T."</f>
        <v>#VALUE!</v>
      </c>
      <c r="EA263" t="e">
        <f>Risklog!A12+"AM:!/T/"</f>
        <v>#VALUE!</v>
      </c>
      <c r="EB263" t="e">
        <f>Risklog!B12+"AM:!/T0"</f>
        <v>#VALUE!</v>
      </c>
      <c r="EC263" t="e">
        <f>Risklog!C12+"AM:!/T1"</f>
        <v>#VALUE!</v>
      </c>
      <c r="ED263" t="e">
        <f>Risklog!D12+"AM:!/T2"</f>
        <v>#VALUE!</v>
      </c>
      <c r="EE263" t="e">
        <f>Risklog!E12+"AM:!/T3"</f>
        <v>#VALUE!</v>
      </c>
      <c r="EF263" t="e">
        <f>Risklog!F12+"AM:!/T4"</f>
        <v>#VALUE!</v>
      </c>
      <c r="EG263" t="e">
        <f>Risklog!G12+"AM:!/T5"</f>
        <v>#VALUE!</v>
      </c>
      <c r="EH263" t="e">
        <f>Risklog!H12+"AM:!/T6"</f>
        <v>#VALUE!</v>
      </c>
      <c r="EI263" t="e">
        <f>Risklog!I12+"AM:!/T7"</f>
        <v>#VALUE!</v>
      </c>
      <c r="EJ263" t="e">
        <f>Risklog!J12+"AM:!/T8"</f>
        <v>#VALUE!</v>
      </c>
      <c r="EK263" t="e">
        <f>Risklog!K12+"AM:!/T9"</f>
        <v>#VALUE!</v>
      </c>
      <c r="EL263" t="e">
        <f>Risklog!L12+"AM:!/T:"</f>
        <v>#VALUE!</v>
      </c>
      <c r="EM263" t="e">
        <f>Risklog!M12+"AM:!/T;"</f>
        <v>#VALUE!</v>
      </c>
      <c r="EN263" t="e">
        <f>Risklog!N12+"AM:!/T&lt;"</f>
        <v>#VALUE!</v>
      </c>
      <c r="EO263" t="e">
        <f>Risklog!O12+"AM:!/T="</f>
        <v>#VALUE!</v>
      </c>
      <c r="EP263" s="105" t="e">
        <f>Risklog!P12+"AM:!/T&gt;"</f>
        <v>#VALUE!</v>
      </c>
      <c r="EQ263" s="97" t="e">
        <f>Risklog!Q12+"AM:!/T?"</f>
        <v>#VALUE!</v>
      </c>
      <c r="ER263" s="97" t="e">
        <f>Risklog!R12+"AM:!/T@"</f>
        <v>#VALUE!</v>
      </c>
      <c r="ES263" s="98" t="e">
        <f>Risklog!S12+"AM:!/TA"</f>
        <v>#VALUE!</v>
      </c>
      <c r="ET263" t="e">
        <f>Risklog!T12+"AM:!/TB"</f>
        <v>#VALUE!</v>
      </c>
      <c r="EU263" t="e">
        <f>Risklog!U12+"AM:!/TC"</f>
        <v>#VALUE!</v>
      </c>
      <c r="EV263" t="e">
        <f>Risklog!V12+"AM:!/TD"</f>
        <v>#VALUE!</v>
      </c>
      <c r="EW263" t="e">
        <f>Risklog!W12+"AM:!/TE"</f>
        <v>#VALUE!</v>
      </c>
      <c r="EX263" s="98" t="e">
        <f>Risklog!X12+"AM:!/TF"</f>
        <v>#VALUE!</v>
      </c>
      <c r="EY263" t="e">
        <f>Risklog!Y12+"AM:!/TG"</f>
        <v>#VALUE!</v>
      </c>
      <c r="EZ263" t="e">
        <f>Risklog!Z12+"AM:!/TH"</f>
        <v>#VALUE!</v>
      </c>
      <c r="FA263" t="e">
        <f>Risklog!AA12+"AM:!/TI"</f>
        <v>#VALUE!</v>
      </c>
      <c r="FB263" t="e">
        <f>Risklog!A13+"AM:!/TJ"</f>
        <v>#VALUE!</v>
      </c>
      <c r="FC263" t="e">
        <f>Risklog!B13+"AM:!/TK"</f>
        <v>#VALUE!</v>
      </c>
      <c r="FD263" t="e">
        <f>Risklog!C13+"AM:!/TL"</f>
        <v>#VALUE!</v>
      </c>
      <c r="FE263" t="e">
        <f>Risklog!D13+"AM:!/TM"</f>
        <v>#VALUE!</v>
      </c>
      <c r="FF263" t="e">
        <f>Risklog!E13+"AM:!/TN"</f>
        <v>#VALUE!</v>
      </c>
      <c r="FG263" t="e">
        <f>Risklog!F13+"AM:!/TO"</f>
        <v>#VALUE!</v>
      </c>
      <c r="FH263" t="e">
        <f>Risklog!G13+"AM:!/TP"</f>
        <v>#VALUE!</v>
      </c>
      <c r="FI263" t="e">
        <f>Risklog!H13+"AM:!/TQ"</f>
        <v>#VALUE!</v>
      </c>
      <c r="FJ263" t="e">
        <f>Risklog!I13+"AM:!/TR"</f>
        <v>#VALUE!</v>
      </c>
      <c r="FK263" t="e">
        <f>Risklog!J13+"AM:!/TS"</f>
        <v>#VALUE!</v>
      </c>
      <c r="FL263" t="e">
        <f>Risklog!K13+"AM:!/TT"</f>
        <v>#VALUE!</v>
      </c>
      <c r="FM263" t="e">
        <f>Risklog!L13+"AM:!/TU"</f>
        <v>#VALUE!</v>
      </c>
      <c r="FN263" t="e">
        <f>Risklog!M13+"AM:!/TV"</f>
        <v>#VALUE!</v>
      </c>
      <c r="FO263" t="e">
        <f>Risklog!N13+"AM:!/TW"</f>
        <v>#VALUE!</v>
      </c>
      <c r="FP263" t="e">
        <f>Risklog!O13+"AM:!/TX"</f>
        <v>#VALUE!</v>
      </c>
      <c r="FQ263" s="105" t="e">
        <f>Risklog!P13+"AM:!/TY"</f>
        <v>#VALUE!</v>
      </c>
      <c r="FR263" s="97" t="e">
        <f>Risklog!Q13+"AM:!/TZ"</f>
        <v>#VALUE!</v>
      </c>
      <c r="FS263" s="97" t="e">
        <f>Risklog!R13+"AM:!/T["</f>
        <v>#VALUE!</v>
      </c>
      <c r="FT263" s="98" t="e">
        <f>Risklog!S13+"AM:!/T\"</f>
        <v>#VALUE!</v>
      </c>
      <c r="FU263" t="e">
        <f>Risklog!T13+"AM:!/T]"</f>
        <v>#VALUE!</v>
      </c>
      <c r="FV263" t="e">
        <f>Risklog!U13+"AM:!/T^"</f>
        <v>#VALUE!</v>
      </c>
      <c r="FW263" t="e">
        <f>Risklog!V13+"AM:!/T_"</f>
        <v>#VALUE!</v>
      </c>
      <c r="FX263" t="e">
        <f>Risklog!W13+"AM:!/T`"</f>
        <v>#VALUE!</v>
      </c>
      <c r="FY263" s="98" t="e">
        <f>Risklog!X13+"AM:!/Ta"</f>
        <v>#VALUE!</v>
      </c>
      <c r="FZ263" t="e">
        <f>Risklog!Y13+"AM:!/Tb"</f>
        <v>#VALUE!</v>
      </c>
      <c r="GA263" t="e">
        <f>Risklog!Z13+"AM:!/Tc"</f>
        <v>#VALUE!</v>
      </c>
      <c r="GB263" t="e">
        <f>Risklog!AA13+"AM:!/Td"</f>
        <v>#VALUE!</v>
      </c>
      <c r="GC263" t="e">
        <f>Risklog!A14+"AM:!/Te"</f>
        <v>#VALUE!</v>
      </c>
      <c r="GD263" t="e">
        <f>Risklog!B14+"AM:!/Tf"</f>
        <v>#VALUE!</v>
      </c>
      <c r="GE263" t="e">
        <f>Risklog!C14+"AM:!/Tg"</f>
        <v>#VALUE!</v>
      </c>
      <c r="GF263" t="e">
        <f>Risklog!D14+"AM:!/Th"</f>
        <v>#VALUE!</v>
      </c>
      <c r="GG263" t="e">
        <f>Risklog!E14+"AM:!/Ti"</f>
        <v>#VALUE!</v>
      </c>
      <c r="GH263" t="e">
        <f>Risklog!F14+"AM:!/Tj"</f>
        <v>#VALUE!</v>
      </c>
      <c r="GI263" t="e">
        <f>Risklog!G14+"AM:!/Tk"</f>
        <v>#VALUE!</v>
      </c>
      <c r="GJ263" t="e">
        <f>Risklog!H14+"AM:!/Tl"</f>
        <v>#VALUE!</v>
      </c>
      <c r="GK263" t="e">
        <f>Risklog!I14+"AM:!/Tm"</f>
        <v>#VALUE!</v>
      </c>
      <c r="GL263" t="e">
        <f>Risklog!J14+"AM:!/Tn"</f>
        <v>#VALUE!</v>
      </c>
      <c r="GM263" t="e">
        <f>Risklog!K14+"AM:!/To"</f>
        <v>#VALUE!</v>
      </c>
      <c r="GN263" t="e">
        <f>Risklog!L14+"AM:!/Tp"</f>
        <v>#VALUE!</v>
      </c>
      <c r="GO263" t="e">
        <f>Risklog!M14+"AM:!/Tq"</f>
        <v>#VALUE!</v>
      </c>
      <c r="GP263" t="e">
        <f>Risklog!N14+"AM:!/Tr"</f>
        <v>#VALUE!</v>
      </c>
      <c r="GQ263" t="e">
        <f>Risklog!O14+"AM:!/Ts"</f>
        <v>#VALUE!</v>
      </c>
      <c r="GR263" s="105" t="e">
        <f>Risklog!P14+"AM:!/Tt"</f>
        <v>#VALUE!</v>
      </c>
      <c r="GS263" s="97" t="e">
        <f>Risklog!Q14+"AM:!/Tu"</f>
        <v>#VALUE!</v>
      </c>
      <c r="GT263" s="97" t="e">
        <f>Risklog!R14+"AM:!/Tv"</f>
        <v>#VALUE!</v>
      </c>
      <c r="GU263" s="98" t="e">
        <f>Risklog!S14+"AM:!/Tw"</f>
        <v>#VALUE!</v>
      </c>
      <c r="GV263" t="e">
        <f>Risklog!T14+"AM:!/Tx"</f>
        <v>#VALUE!</v>
      </c>
      <c r="GW263" t="e">
        <f>Risklog!U14+"AM:!/Ty"</f>
        <v>#VALUE!</v>
      </c>
      <c r="GX263" t="e">
        <f>Risklog!V14+"AM:!/Tz"</f>
        <v>#VALUE!</v>
      </c>
      <c r="GY263" t="e">
        <f>Risklog!W14+"AM:!/T{"</f>
        <v>#VALUE!</v>
      </c>
      <c r="GZ263" s="98" t="e">
        <f>Risklog!X14+"AM:!/T|"</f>
        <v>#VALUE!</v>
      </c>
      <c r="HA263" t="e">
        <f>Risklog!Y14+"AM:!/T}"</f>
        <v>#VALUE!</v>
      </c>
      <c r="HB263" t="e">
        <f>Risklog!Z14+"AM:!/T~"</f>
        <v>#VALUE!</v>
      </c>
      <c r="HC263" t="e">
        <f>Risklog!AA14+"AM:!/U#"</f>
        <v>#VALUE!</v>
      </c>
      <c r="HD263" t="e">
        <f>Risklog!A15+"AM:!/U$"</f>
        <v>#VALUE!</v>
      </c>
      <c r="HE263" t="e">
        <f>Risklog!B15+"AM:!/U%"</f>
        <v>#VALUE!</v>
      </c>
      <c r="HF263" t="e">
        <f>Risklog!C15+"AM:!/U&amp;"</f>
        <v>#VALUE!</v>
      </c>
      <c r="HG263" t="e">
        <f>Risklog!D15+"AM:!/U'"</f>
        <v>#VALUE!</v>
      </c>
      <c r="HH263" t="e">
        <f>Risklog!E15+"AM:!/U("</f>
        <v>#VALUE!</v>
      </c>
      <c r="HI263" t="e">
        <f>Risklog!F15+"AM:!/U)"</f>
        <v>#VALUE!</v>
      </c>
      <c r="HJ263" t="e">
        <f>Risklog!G15+"AM:!/U."</f>
        <v>#VALUE!</v>
      </c>
      <c r="HK263" t="e">
        <f>Risklog!H15+"AM:!/U/"</f>
        <v>#VALUE!</v>
      </c>
      <c r="HL263" t="e">
        <f>Risklog!I15+"AM:!/U0"</f>
        <v>#VALUE!</v>
      </c>
      <c r="HM263" t="e">
        <f>Risklog!J15+"AM:!/U1"</f>
        <v>#VALUE!</v>
      </c>
      <c r="HN263" t="e">
        <f>Risklog!K15+"AM:!/U2"</f>
        <v>#VALUE!</v>
      </c>
      <c r="HO263" t="e">
        <f>Risklog!L15+"AM:!/U3"</f>
        <v>#VALUE!</v>
      </c>
      <c r="HP263" t="e">
        <f>Risklog!M15+"AM:!/U4"</f>
        <v>#VALUE!</v>
      </c>
      <c r="HQ263" t="e">
        <f>Risklog!N15+"AM:!/U5"</f>
        <v>#VALUE!</v>
      </c>
      <c r="HR263" t="e">
        <f>Risklog!O15+"AM:!/U6"</f>
        <v>#VALUE!</v>
      </c>
      <c r="HS263" s="105" t="e">
        <f>Risklog!P15+"AM:!/U7"</f>
        <v>#VALUE!</v>
      </c>
      <c r="HT263" s="97" t="e">
        <f>Risklog!Q15+"AM:!/U8"</f>
        <v>#VALUE!</v>
      </c>
      <c r="HU263" s="97" t="e">
        <f>Risklog!R15+"AM:!/U9"</f>
        <v>#VALUE!</v>
      </c>
      <c r="HV263" s="98" t="e">
        <f>Risklog!S15+"AM:!/U:"</f>
        <v>#VALUE!</v>
      </c>
      <c r="HW263" t="e">
        <f>Risklog!T15+"AM:!/U;"</f>
        <v>#VALUE!</v>
      </c>
      <c r="HX263" t="e">
        <f>Risklog!U15+"AM:!/U&lt;"</f>
        <v>#VALUE!</v>
      </c>
      <c r="HY263" t="e">
        <f>Risklog!V15+"AM:!/U="</f>
        <v>#VALUE!</v>
      </c>
      <c r="HZ263" t="e">
        <f>Risklog!W15+"AM:!/U&gt;"</f>
        <v>#VALUE!</v>
      </c>
      <c r="IA263" s="98" t="e">
        <f>Risklog!X15+"AM:!/U?"</f>
        <v>#VALUE!</v>
      </c>
      <c r="IB263" t="e">
        <f>Risklog!Y15+"AM:!/U@"</f>
        <v>#VALUE!</v>
      </c>
      <c r="IC263" t="e">
        <f>Risklog!Z15+"AM:!/UA"</f>
        <v>#VALUE!</v>
      </c>
      <c r="ID263" t="e">
        <f>Risklog!AA15+"AM:!/UB"</f>
        <v>#VALUE!</v>
      </c>
      <c r="IE263" t="e">
        <f>Risklog!A16+"AM:!/UC"</f>
        <v>#VALUE!</v>
      </c>
      <c r="IF263" t="e">
        <f>Risklog!B16+"AM:!/UD"</f>
        <v>#VALUE!</v>
      </c>
      <c r="IG263" t="e">
        <f>Risklog!C16+"AM:!/UE"</f>
        <v>#VALUE!</v>
      </c>
      <c r="IH263" t="e">
        <f>Risklog!D16+"AM:!/UF"</f>
        <v>#VALUE!</v>
      </c>
      <c r="II263" t="e">
        <f>Risklog!E16+"AM:!/UG"</f>
        <v>#VALUE!</v>
      </c>
      <c r="IJ263" t="e">
        <f>Risklog!F16+"AM:!/UH"</f>
        <v>#VALUE!</v>
      </c>
      <c r="IK263" t="e">
        <f>Risklog!G16+"AM:!/UI"</f>
        <v>#VALUE!</v>
      </c>
      <c r="IL263" t="e">
        <f>Risklog!H16+"AM:!/UJ"</f>
        <v>#VALUE!</v>
      </c>
      <c r="IM263" t="e">
        <f>Risklog!I16+"AM:!/UK"</f>
        <v>#VALUE!</v>
      </c>
      <c r="IN263" t="e">
        <f>Risklog!J16+"AM:!/UL"</f>
        <v>#VALUE!</v>
      </c>
      <c r="IO263" t="e">
        <f>Risklog!K16+"AM:!/UM"</f>
        <v>#VALUE!</v>
      </c>
      <c r="IP263" t="e">
        <f>Risklog!L16+"AM:!/UN"</f>
        <v>#VALUE!</v>
      </c>
      <c r="IQ263" t="e">
        <f>Risklog!M16+"AM:!/UO"</f>
        <v>#VALUE!</v>
      </c>
      <c r="IR263" t="e">
        <f>Risklog!N16+"AM:!/UP"</f>
        <v>#VALUE!</v>
      </c>
      <c r="IS263" t="e">
        <f>Risklog!O16+"AM:!/UQ"</f>
        <v>#VALUE!</v>
      </c>
      <c r="IT263" s="105" t="e">
        <f>Risklog!P16+"AM:!/UR"</f>
        <v>#VALUE!</v>
      </c>
      <c r="IU263" s="97" t="e">
        <f>Risklog!Q16+"AM:!/US"</f>
        <v>#VALUE!</v>
      </c>
      <c r="IV263" s="97" t="e">
        <f>Risklog!R16+"AM:!/UT"</f>
        <v>#VALUE!</v>
      </c>
    </row>
    <row r="264" spans="6:256">
      <c r="F264" s="98" t="e">
        <f>Risklog!S16+"AM:!/UU"</f>
        <v>#VALUE!</v>
      </c>
      <c r="G264" t="e">
        <f>Risklog!T16+"AM:!/UV"</f>
        <v>#VALUE!</v>
      </c>
      <c r="H264" t="e">
        <f>Risklog!U16+"AM:!/UW"</f>
        <v>#VALUE!</v>
      </c>
      <c r="I264" t="e">
        <f>Risklog!V16+"AM:!/UX"</f>
        <v>#VALUE!</v>
      </c>
      <c r="J264" t="e">
        <f>Risklog!W16+"AM:!/UY"</f>
        <v>#VALUE!</v>
      </c>
      <c r="K264" s="98" t="e">
        <f>Risklog!X16+"AM:!/UZ"</f>
        <v>#VALUE!</v>
      </c>
      <c r="L264" t="e">
        <f>Risklog!Y16+"AM:!/U["</f>
        <v>#VALUE!</v>
      </c>
      <c r="M264" t="e">
        <f>Risklog!Z16+"AM:!/U\"</f>
        <v>#VALUE!</v>
      </c>
      <c r="N264" t="e">
        <f>Risklog!AA16+"AM:!/U]"</f>
        <v>#VALUE!</v>
      </c>
      <c r="O264" t="e">
        <f>Risklog!A17+"AM:!/U^"</f>
        <v>#VALUE!</v>
      </c>
      <c r="P264" t="e">
        <f>Risklog!B17+"AM:!/U_"</f>
        <v>#VALUE!</v>
      </c>
      <c r="Q264" t="e">
        <f>Risklog!C17+"AM:!/U`"</f>
        <v>#VALUE!</v>
      </c>
      <c r="R264" t="e">
        <f>Risklog!D17+"AM:!/Ua"</f>
        <v>#VALUE!</v>
      </c>
      <c r="S264" t="e">
        <f>Risklog!E17+"AM:!/Ub"</f>
        <v>#VALUE!</v>
      </c>
      <c r="T264" t="e">
        <f>Risklog!F17+"AM:!/Uc"</f>
        <v>#VALUE!</v>
      </c>
      <c r="U264" t="e">
        <f>Risklog!G17+"AM:!/Ud"</f>
        <v>#VALUE!</v>
      </c>
      <c r="V264" t="e">
        <f>Risklog!H17+"AM:!/Ue"</f>
        <v>#VALUE!</v>
      </c>
      <c r="W264" t="e">
        <f>Risklog!I17+"AM:!/Uf"</f>
        <v>#VALUE!</v>
      </c>
      <c r="X264" t="e">
        <f>Risklog!J17+"AM:!/Ug"</f>
        <v>#VALUE!</v>
      </c>
      <c r="Y264" t="e">
        <f>Risklog!K17+"AM:!/Uh"</f>
        <v>#VALUE!</v>
      </c>
      <c r="Z264" t="e">
        <f>Risklog!L17+"AM:!/Ui"</f>
        <v>#VALUE!</v>
      </c>
      <c r="AA264" t="e">
        <f>Risklog!M17+"AM:!/Uj"</f>
        <v>#VALUE!</v>
      </c>
      <c r="AB264" t="e">
        <f>Risklog!N17+"AM:!/Uk"</f>
        <v>#VALUE!</v>
      </c>
      <c r="AC264" t="e">
        <f>Risklog!O17+"AM:!/Ul"</f>
        <v>#VALUE!</v>
      </c>
      <c r="AD264" s="105" t="e">
        <f>Risklog!P17+"AM:!/Um"</f>
        <v>#VALUE!</v>
      </c>
      <c r="AE264" s="97" t="e">
        <f>Risklog!Q17+"AM:!/Un"</f>
        <v>#VALUE!</v>
      </c>
      <c r="AF264" s="97" t="e">
        <f>Risklog!R17+"AM:!/Uo"</f>
        <v>#VALUE!</v>
      </c>
      <c r="AG264" s="98" t="e">
        <f>Risklog!S17+"AM:!/Up"</f>
        <v>#VALUE!</v>
      </c>
      <c r="AH264" t="e">
        <f>Risklog!T17+"AM:!/Uq"</f>
        <v>#VALUE!</v>
      </c>
      <c r="AI264" t="e">
        <f>Risklog!U17+"AM:!/Ur"</f>
        <v>#VALUE!</v>
      </c>
      <c r="AJ264" t="e">
        <f>Risklog!V17+"AM:!/Us"</f>
        <v>#VALUE!</v>
      </c>
      <c r="AK264" t="e">
        <f>Risklog!W17+"AM:!/Ut"</f>
        <v>#VALUE!</v>
      </c>
      <c r="AL264" s="98" t="e">
        <f>Risklog!X17+"AM:!/Uu"</f>
        <v>#VALUE!</v>
      </c>
      <c r="AM264" t="e">
        <f>Risklog!Y17+"AM:!/Uv"</f>
        <v>#VALUE!</v>
      </c>
      <c r="AN264" t="e">
        <f>Risklog!Z17+"AM:!/Uw"</f>
        <v>#VALUE!</v>
      </c>
      <c r="AO264" t="e">
        <f>Risklog!AA17+"AM:!/Ux"</f>
        <v>#VALUE!</v>
      </c>
      <c r="AP264" t="e">
        <f>Risklog!A18+"AM:!/Uy"</f>
        <v>#VALUE!</v>
      </c>
      <c r="AQ264" t="e">
        <f>Risklog!B18+"AM:!/Uz"</f>
        <v>#VALUE!</v>
      </c>
      <c r="AR264" t="e">
        <f>Risklog!C18+"AM:!/U{"</f>
        <v>#VALUE!</v>
      </c>
      <c r="AS264" t="e">
        <f>Risklog!D18+"AM:!/U|"</f>
        <v>#VALUE!</v>
      </c>
      <c r="AT264" t="e">
        <f>Risklog!E18+"AM:!/U}"</f>
        <v>#VALUE!</v>
      </c>
      <c r="AU264" t="e">
        <f>Risklog!F18+"AM:!/U~"</f>
        <v>#VALUE!</v>
      </c>
      <c r="AV264" t="e">
        <f>Risklog!G18+"AM:!/V#"</f>
        <v>#VALUE!</v>
      </c>
      <c r="AW264" t="e">
        <f>Risklog!H18+"AM:!/V$"</f>
        <v>#VALUE!</v>
      </c>
      <c r="AX264" t="e">
        <f>Risklog!I18+"AM:!/V%"</f>
        <v>#VALUE!</v>
      </c>
      <c r="AY264" t="e">
        <f>Risklog!J18+"AM:!/V&amp;"</f>
        <v>#VALUE!</v>
      </c>
      <c r="AZ264" t="e">
        <f>Risklog!K18+"AM:!/V'"</f>
        <v>#VALUE!</v>
      </c>
      <c r="BA264" t="e">
        <f>Risklog!L18+"AM:!/V("</f>
        <v>#VALUE!</v>
      </c>
      <c r="BB264" t="e">
        <f>Risklog!M18+"AM:!/V)"</f>
        <v>#VALUE!</v>
      </c>
      <c r="BC264" t="e">
        <f>Risklog!N18+"AM:!/V."</f>
        <v>#VALUE!</v>
      </c>
      <c r="BD264" t="e">
        <f>Risklog!O18+"AM:!/V/"</f>
        <v>#VALUE!</v>
      </c>
      <c r="BE264" s="105" t="e">
        <f>Risklog!P18+"AM:!/V0"</f>
        <v>#VALUE!</v>
      </c>
      <c r="BF264" s="97" t="e">
        <f>Risklog!Q18+"AM:!/V1"</f>
        <v>#VALUE!</v>
      </c>
      <c r="BG264" s="97" t="e">
        <f>Risklog!R18+"AM:!/V2"</f>
        <v>#VALUE!</v>
      </c>
      <c r="BH264" s="98" t="e">
        <f>Risklog!S18+"AM:!/V3"</f>
        <v>#VALUE!</v>
      </c>
      <c r="BI264" t="e">
        <f>Risklog!T18+"AM:!/V4"</f>
        <v>#VALUE!</v>
      </c>
      <c r="BJ264" t="e">
        <f>Risklog!U18+"AM:!/V5"</f>
        <v>#VALUE!</v>
      </c>
      <c r="BK264" t="e">
        <f>Risklog!V18+"AM:!/V6"</f>
        <v>#VALUE!</v>
      </c>
      <c r="BL264" t="e">
        <f>Risklog!W18+"AM:!/V7"</f>
        <v>#VALUE!</v>
      </c>
      <c r="BM264" s="98" t="e">
        <f>Risklog!X18+"AM:!/V8"</f>
        <v>#VALUE!</v>
      </c>
      <c r="BN264" t="e">
        <f>Risklog!Y18+"AM:!/V9"</f>
        <v>#VALUE!</v>
      </c>
      <c r="BO264" t="e">
        <f>Risklog!Z18+"AM:!/V:"</f>
        <v>#VALUE!</v>
      </c>
      <c r="BP264" t="e">
        <f>Risklog!AA18+"AM:!/V;"</f>
        <v>#VALUE!</v>
      </c>
      <c r="BQ264" t="e">
        <f>Risklog!A19+"AM:!/V&lt;"</f>
        <v>#VALUE!</v>
      </c>
      <c r="BR264" t="e">
        <f>Risklog!B19+"AM:!/V="</f>
        <v>#VALUE!</v>
      </c>
      <c r="BS264" t="e">
        <f>Risklog!C19+"AM:!/V&gt;"</f>
        <v>#VALUE!</v>
      </c>
      <c r="BT264" t="e">
        <f>Risklog!D19+"AM:!/V?"</f>
        <v>#VALUE!</v>
      </c>
      <c r="BU264" t="e">
        <f>Risklog!E19+"AM:!/V@"</f>
        <v>#VALUE!</v>
      </c>
      <c r="BV264" t="e">
        <f>Risklog!F19+"AM:!/VA"</f>
        <v>#VALUE!</v>
      </c>
      <c r="BW264" t="e">
        <f>Risklog!G19+"AM:!/VB"</f>
        <v>#VALUE!</v>
      </c>
      <c r="BX264" t="e">
        <f>Risklog!H19+"AM:!/VC"</f>
        <v>#VALUE!</v>
      </c>
      <c r="BY264" t="e">
        <f>Risklog!I19+"AM:!/VD"</f>
        <v>#VALUE!</v>
      </c>
      <c r="BZ264" t="e">
        <f>Risklog!J19+"AM:!/VE"</f>
        <v>#VALUE!</v>
      </c>
      <c r="CA264" t="e">
        <f>Risklog!K19+"AM:!/VF"</f>
        <v>#VALUE!</v>
      </c>
      <c r="CB264" t="e">
        <f>Risklog!L19+"AM:!/VG"</f>
        <v>#VALUE!</v>
      </c>
      <c r="CC264" t="e">
        <f>Risklog!M19+"AM:!/VH"</f>
        <v>#VALUE!</v>
      </c>
      <c r="CD264" t="e">
        <f>Risklog!N19+"AM:!/VI"</f>
        <v>#VALUE!</v>
      </c>
      <c r="CE264" t="e">
        <f>Risklog!O19+"AM:!/VJ"</f>
        <v>#VALUE!</v>
      </c>
      <c r="CF264" s="105" t="e">
        <f>Risklog!P19+"AM:!/VK"</f>
        <v>#VALUE!</v>
      </c>
      <c r="CG264" s="97" t="e">
        <f>Risklog!Q19+"AM:!/VL"</f>
        <v>#VALUE!</v>
      </c>
      <c r="CH264" s="97" t="e">
        <f>Risklog!R19+"AM:!/VM"</f>
        <v>#VALUE!</v>
      </c>
      <c r="CI264" t="e">
        <f>Risklog!S19+"AM:!/VN"</f>
        <v>#VALUE!</v>
      </c>
      <c r="CJ264" t="e">
        <f>Risklog!T19+"AM:!/VO"</f>
        <v>#VALUE!</v>
      </c>
      <c r="CK264" t="e">
        <f>Risklog!U19+"AM:!/VP"</f>
        <v>#VALUE!</v>
      </c>
      <c r="CL264" t="e">
        <f>Risklog!V19+"AM:!/VQ"</f>
        <v>#VALUE!</v>
      </c>
      <c r="CM264" t="e">
        <f>Risklog!W19+"AM:!/VR"</f>
        <v>#VALUE!</v>
      </c>
      <c r="CN264" s="98" t="e">
        <f>Risklog!X19+"AM:!/VS"</f>
        <v>#VALUE!</v>
      </c>
      <c r="CO264" t="e">
        <f>Risklog!Y19+"AM:!/VT"</f>
        <v>#VALUE!</v>
      </c>
      <c r="CP264" t="e">
        <f>Risklog!Z19+"AM:!/VU"</f>
        <v>#VALUE!</v>
      </c>
      <c r="CQ264" t="e">
        <f>Risklog!AA19+"AM:!/VV"</f>
        <v>#VALUE!</v>
      </c>
      <c r="CR264" t="e">
        <f>Risklog!A20+"AM:!/VW"</f>
        <v>#VALUE!</v>
      </c>
      <c r="CS264" t="e">
        <f>Risklog!B20+"AM:!/VX"</f>
        <v>#VALUE!</v>
      </c>
      <c r="CT264" t="e">
        <f>Risklog!C20+"AM:!/VY"</f>
        <v>#VALUE!</v>
      </c>
      <c r="CU264" t="e">
        <f>Risklog!D20+"AM:!/VZ"</f>
        <v>#VALUE!</v>
      </c>
      <c r="CV264" t="e">
        <f>Risklog!E20+"AM:!/V["</f>
        <v>#VALUE!</v>
      </c>
      <c r="CW264" t="e">
        <f>Risklog!F20+"AM:!/V\"</f>
        <v>#VALUE!</v>
      </c>
      <c r="CX264" t="e">
        <f>Risklog!G20+"AM:!/V]"</f>
        <v>#VALUE!</v>
      </c>
      <c r="CY264" t="e">
        <f>Risklog!H20+"AM:!/V^"</f>
        <v>#VALUE!</v>
      </c>
      <c r="CZ264" t="e">
        <f>Risklog!I20+"AM:!/V_"</f>
        <v>#VALUE!</v>
      </c>
      <c r="DA264" t="e">
        <f>Risklog!J20+"AM:!/V`"</f>
        <v>#VALUE!</v>
      </c>
      <c r="DB264" t="e">
        <f>Risklog!K20+"AM:!/Va"</f>
        <v>#VALUE!</v>
      </c>
      <c r="DC264" t="e">
        <f>Risklog!L20+"AM:!/Vb"</f>
        <v>#VALUE!</v>
      </c>
      <c r="DD264" t="e">
        <f>Risklog!M20+"AM:!/Vc"</f>
        <v>#VALUE!</v>
      </c>
      <c r="DE264" t="e">
        <f>Risklog!N20+"AM:!/Vd"</f>
        <v>#VALUE!</v>
      </c>
      <c r="DF264" t="e">
        <f>Risklog!O20+"AM:!/Ve"</f>
        <v>#VALUE!</v>
      </c>
      <c r="DG264" s="105" t="e">
        <f>Risklog!P20+"AM:!/Vf"</f>
        <v>#VALUE!</v>
      </c>
      <c r="DH264" s="97" t="e">
        <f>Risklog!Q20+"AM:!/Vg"</f>
        <v>#VALUE!</v>
      </c>
      <c r="DI264" s="97" t="e">
        <f>Risklog!R20+"AM:!/Vh"</f>
        <v>#VALUE!</v>
      </c>
      <c r="DJ264" t="e">
        <f>Risklog!S20+"AM:!/Vi"</f>
        <v>#VALUE!</v>
      </c>
      <c r="DK264" t="e">
        <f>Risklog!T20+"AM:!/Vj"</f>
        <v>#VALUE!</v>
      </c>
      <c r="DL264" t="e">
        <f>Risklog!U20+"AM:!/Vk"</f>
        <v>#VALUE!</v>
      </c>
      <c r="DM264" t="e">
        <f>Risklog!V20+"AM:!/Vl"</f>
        <v>#VALUE!</v>
      </c>
      <c r="DN264" t="e">
        <f>Risklog!W20+"AM:!/Vm"</f>
        <v>#VALUE!</v>
      </c>
      <c r="DO264" s="98" t="e">
        <f>Risklog!X20+"AM:!/Vn"</f>
        <v>#VALUE!</v>
      </c>
      <c r="DP264" t="e">
        <f>Risklog!Y20+"AM:!/Vo"</f>
        <v>#VALUE!</v>
      </c>
      <c r="DQ264" t="e">
        <f>Risklog!Z20+"AM:!/Vp"</f>
        <v>#VALUE!</v>
      </c>
      <c r="DR264" t="e">
        <f>Risklog!AA20+"AM:!/Vq"</f>
        <v>#VALUE!</v>
      </c>
      <c r="DS264" t="e">
        <f>Risklog!A21+"AM:!/Vr"</f>
        <v>#VALUE!</v>
      </c>
      <c r="DT264" t="e">
        <f>Risklog!B21+"AM:!/Vs"</f>
        <v>#VALUE!</v>
      </c>
      <c r="DU264" t="e">
        <f>Risklog!C21+"AM:!/Vt"</f>
        <v>#VALUE!</v>
      </c>
      <c r="DV264" t="e">
        <f>Risklog!D21+"AM:!/Vu"</f>
        <v>#VALUE!</v>
      </c>
      <c r="DW264" t="e">
        <f>Risklog!E21+"AM:!/Vv"</f>
        <v>#VALUE!</v>
      </c>
      <c r="DX264" t="e">
        <f>Risklog!F21+"AM:!/Vw"</f>
        <v>#VALUE!</v>
      </c>
      <c r="DY264" t="e">
        <f>Risklog!G21+"AM:!/Vx"</f>
        <v>#VALUE!</v>
      </c>
      <c r="DZ264" t="e">
        <f>Risklog!H21+"AM:!/Vy"</f>
        <v>#VALUE!</v>
      </c>
      <c r="EA264" t="e">
        <f>Risklog!I21+"AM:!/Vz"</f>
        <v>#VALUE!</v>
      </c>
      <c r="EB264" t="e">
        <f>Risklog!J21+"AM:!/V{"</f>
        <v>#VALUE!</v>
      </c>
      <c r="EC264" t="e">
        <f>Risklog!K21+"AM:!/V|"</f>
        <v>#VALUE!</v>
      </c>
      <c r="ED264" t="e">
        <f>Risklog!L21+"AM:!/V}"</f>
        <v>#VALUE!</v>
      </c>
      <c r="EE264" t="e">
        <f>Risklog!M21+"AM:!/V~"</f>
        <v>#VALUE!</v>
      </c>
      <c r="EF264" t="e">
        <f>Risklog!N21+"AM:!/W#"</f>
        <v>#VALUE!</v>
      </c>
      <c r="EG264" t="e">
        <f>Risklog!O21+"AM:!/W$"</f>
        <v>#VALUE!</v>
      </c>
      <c r="EH264" s="105" t="e">
        <f>Risklog!P21+"AM:!/W%"</f>
        <v>#VALUE!</v>
      </c>
      <c r="EI264" s="97" t="e">
        <f>Risklog!Q21+"AM:!/W&amp;"</f>
        <v>#VALUE!</v>
      </c>
      <c r="EJ264" s="97" t="e">
        <f>Risklog!R21+"AM:!/W'"</f>
        <v>#VALUE!</v>
      </c>
      <c r="EK264" t="e">
        <f>Risklog!S21+"AM:!/W("</f>
        <v>#VALUE!</v>
      </c>
      <c r="EL264" t="e">
        <f>Risklog!T21+"AM:!/W)"</f>
        <v>#VALUE!</v>
      </c>
      <c r="EM264" t="e">
        <f>Risklog!U21+"AM:!/W."</f>
        <v>#VALUE!</v>
      </c>
      <c r="EN264" t="e">
        <f>Risklog!V21+"AM:!/W/"</f>
        <v>#VALUE!</v>
      </c>
      <c r="EO264" t="e">
        <f>Risklog!W21+"AM:!/W0"</f>
        <v>#VALUE!</v>
      </c>
      <c r="EP264" s="98" t="e">
        <f>Risklog!X21+"AM:!/W1"</f>
        <v>#VALUE!</v>
      </c>
      <c r="EQ264" t="e">
        <f>Risklog!Y21+"AM:!/W2"</f>
        <v>#VALUE!</v>
      </c>
      <c r="ER264" t="e">
        <f>Risklog!Z21+"AM:!/W3"</f>
        <v>#VALUE!</v>
      </c>
      <c r="ES264" t="e">
        <f>Risklog!AA21+"AM:!/W4"</f>
        <v>#VALUE!</v>
      </c>
      <c r="ET264" t="e">
        <f>Risklog!A22+"AM:!/W5"</f>
        <v>#VALUE!</v>
      </c>
      <c r="EU264" t="e">
        <f>Risklog!B22+"AM:!/W6"</f>
        <v>#VALUE!</v>
      </c>
      <c r="EV264" t="e">
        <f>Risklog!C22+"AM:!/W7"</f>
        <v>#VALUE!</v>
      </c>
      <c r="EW264" t="e">
        <f>Risklog!D22+"AM:!/W8"</f>
        <v>#VALUE!</v>
      </c>
      <c r="EX264" t="e">
        <f>Risklog!E22+"AM:!/W9"</f>
        <v>#VALUE!</v>
      </c>
      <c r="EY264" t="e">
        <f>Risklog!F22+"AM:!/W:"</f>
        <v>#VALUE!</v>
      </c>
      <c r="EZ264" t="e">
        <f>Risklog!G22+"AM:!/W;"</f>
        <v>#VALUE!</v>
      </c>
      <c r="FA264" t="e">
        <f>Risklog!H22+"AM:!/W&lt;"</f>
        <v>#VALUE!</v>
      </c>
      <c r="FB264" t="e">
        <f>Risklog!I22+"AM:!/W="</f>
        <v>#VALUE!</v>
      </c>
      <c r="FC264" t="e">
        <f>Risklog!J22+"AM:!/W&gt;"</f>
        <v>#VALUE!</v>
      </c>
      <c r="FD264" t="e">
        <f>Risklog!K22+"AM:!/W?"</f>
        <v>#VALUE!</v>
      </c>
      <c r="FE264" t="e">
        <f>Risklog!L22+"AM:!/W@"</f>
        <v>#VALUE!</v>
      </c>
      <c r="FF264" t="e">
        <f>Risklog!M22+"AM:!/WA"</f>
        <v>#VALUE!</v>
      </c>
      <c r="FG264" t="e">
        <f>Risklog!N22+"AM:!/WB"</f>
        <v>#VALUE!</v>
      </c>
      <c r="FH264" t="e">
        <f>Risklog!O22+"AM:!/WC"</f>
        <v>#VALUE!</v>
      </c>
      <c r="FI264" s="105" t="e">
        <f>Risklog!P22+"AM:!/WD"</f>
        <v>#VALUE!</v>
      </c>
      <c r="FJ264" s="97" t="e">
        <f>Risklog!Q22+"AM:!/WE"</f>
        <v>#VALUE!</v>
      </c>
      <c r="FK264" s="97" t="e">
        <f>Risklog!R22+"AM:!/WF"</f>
        <v>#VALUE!</v>
      </c>
      <c r="FL264" t="e">
        <f>Risklog!S22+"AM:!/WG"</f>
        <v>#VALUE!</v>
      </c>
      <c r="FM264" t="e">
        <f>Risklog!T22+"AM:!/WH"</f>
        <v>#VALUE!</v>
      </c>
      <c r="FN264" t="e">
        <f>Risklog!U22+"AM:!/WI"</f>
        <v>#VALUE!</v>
      </c>
      <c r="FO264" t="e">
        <f>Risklog!V22+"AM:!/WJ"</f>
        <v>#VALUE!</v>
      </c>
      <c r="FP264" t="e">
        <f>Risklog!W22+"AM:!/WK"</f>
        <v>#VALUE!</v>
      </c>
      <c r="FQ264" s="98" t="e">
        <f>Risklog!X22+"AM:!/WL"</f>
        <v>#VALUE!</v>
      </c>
      <c r="FR264" t="e">
        <f>Risklog!Y22+"AM:!/WM"</f>
        <v>#VALUE!</v>
      </c>
      <c r="FS264" t="e">
        <f>Risklog!Z22+"AM:!/WN"</f>
        <v>#VALUE!</v>
      </c>
      <c r="FT264" t="e">
        <f>Risklog!AA22+"AM:!/WO"</f>
        <v>#VALUE!</v>
      </c>
      <c r="FU264" t="e">
        <f>Risklog!A23+"AM:!/WP"</f>
        <v>#VALUE!</v>
      </c>
      <c r="FV264" t="e">
        <f>Risklog!B23+"AM:!/WQ"</f>
        <v>#VALUE!</v>
      </c>
      <c r="FW264" t="e">
        <f>Risklog!C23+"AM:!/WR"</f>
        <v>#VALUE!</v>
      </c>
      <c r="FX264" t="e">
        <f>Risklog!D23+"AM:!/WS"</f>
        <v>#VALUE!</v>
      </c>
      <c r="FY264" t="e">
        <f>Risklog!E23+"AM:!/WT"</f>
        <v>#VALUE!</v>
      </c>
      <c r="FZ264" t="e">
        <f>Risklog!F23+"AM:!/WU"</f>
        <v>#VALUE!</v>
      </c>
      <c r="GA264" t="e">
        <f>Risklog!G23+"AM:!/WV"</f>
        <v>#VALUE!</v>
      </c>
      <c r="GB264" t="e">
        <f>Risklog!H23+"AM:!/WW"</f>
        <v>#VALUE!</v>
      </c>
      <c r="GC264" t="e">
        <f>Risklog!I23+"AM:!/WX"</f>
        <v>#VALUE!</v>
      </c>
      <c r="GD264" t="e">
        <f>Risklog!J23+"AM:!/WY"</f>
        <v>#VALUE!</v>
      </c>
      <c r="GE264" t="e">
        <f>Risklog!K23+"AM:!/WZ"</f>
        <v>#VALUE!</v>
      </c>
      <c r="GF264" t="e">
        <f>Risklog!L23+"AM:!/W["</f>
        <v>#VALUE!</v>
      </c>
      <c r="GG264" t="e">
        <f>Risklog!M23+"AM:!/W\"</f>
        <v>#VALUE!</v>
      </c>
      <c r="GH264" t="e">
        <f>Risklog!N23+"AM:!/W]"</f>
        <v>#VALUE!</v>
      </c>
      <c r="GI264" t="e">
        <f>Risklog!O23+"AM:!/W^"</f>
        <v>#VALUE!</v>
      </c>
      <c r="GJ264" s="105" t="e">
        <f>Risklog!P23+"AM:!/W_"</f>
        <v>#VALUE!</v>
      </c>
      <c r="GK264" s="97" t="e">
        <f>Risklog!Q23+"AM:!/W`"</f>
        <v>#VALUE!</v>
      </c>
      <c r="GL264" s="97" t="e">
        <f>Risklog!R23+"AM:!/Wa"</f>
        <v>#VALUE!</v>
      </c>
      <c r="GM264" t="e">
        <f>Risklog!S23+"AM:!/Wb"</f>
        <v>#VALUE!</v>
      </c>
      <c r="GN264" t="e">
        <f>Risklog!T23+"AM:!/Wc"</f>
        <v>#VALUE!</v>
      </c>
      <c r="GO264" t="e">
        <f>Risklog!U23+"AM:!/Wd"</f>
        <v>#VALUE!</v>
      </c>
      <c r="GP264" t="e">
        <f>Risklog!V23+"AM:!/We"</f>
        <v>#VALUE!</v>
      </c>
      <c r="GQ264" t="e">
        <f>Risklog!W23+"AM:!/Wf"</f>
        <v>#VALUE!</v>
      </c>
      <c r="GR264" s="98" t="e">
        <f>Risklog!X23+"AM:!/Wg"</f>
        <v>#VALUE!</v>
      </c>
      <c r="GS264" t="e">
        <f>Risklog!Y23+"AM:!/Wh"</f>
        <v>#VALUE!</v>
      </c>
      <c r="GT264" t="e">
        <f>Risklog!Z23+"AM:!/Wi"</f>
        <v>#VALUE!</v>
      </c>
      <c r="GU264" t="e">
        <f>Risklog!AA23+"AM:!/Wj"</f>
        <v>#VALUE!</v>
      </c>
      <c r="GV264" t="e">
        <f>Risklog!A24+"AM:!/Wk"</f>
        <v>#VALUE!</v>
      </c>
      <c r="GW264" t="e">
        <f>Risklog!B24+"AM:!/Wl"</f>
        <v>#VALUE!</v>
      </c>
      <c r="GX264" t="e">
        <f>Risklog!C24+"AM:!/Wm"</f>
        <v>#VALUE!</v>
      </c>
      <c r="GY264" t="e">
        <f>Risklog!D24+"AM:!/Wn"</f>
        <v>#VALUE!</v>
      </c>
      <c r="GZ264" t="e">
        <f>Risklog!E24+"AM:!/Wo"</f>
        <v>#VALUE!</v>
      </c>
      <c r="HA264" t="e">
        <f>Risklog!F24+"AM:!/Wp"</f>
        <v>#VALUE!</v>
      </c>
      <c r="HB264" t="e">
        <f>Risklog!G24+"AM:!/Wq"</f>
        <v>#VALUE!</v>
      </c>
      <c r="HC264" t="e">
        <f>Risklog!H24+"AM:!/Wr"</f>
        <v>#VALUE!</v>
      </c>
      <c r="HD264" t="e">
        <f>Risklog!I24+"AM:!/Ws"</f>
        <v>#VALUE!</v>
      </c>
      <c r="HE264" t="e">
        <f>Risklog!J24+"AM:!/Wt"</f>
        <v>#VALUE!</v>
      </c>
      <c r="HF264" t="e">
        <f>Risklog!K24+"AM:!/Wu"</f>
        <v>#VALUE!</v>
      </c>
      <c r="HG264" t="e">
        <f>Risklog!L24+"AM:!/Wv"</f>
        <v>#VALUE!</v>
      </c>
      <c r="HH264" t="e">
        <f>Risklog!M24+"AM:!/Ww"</f>
        <v>#VALUE!</v>
      </c>
      <c r="HI264" t="e">
        <f>Risklog!N24+"AM:!/Wx"</f>
        <v>#VALUE!</v>
      </c>
      <c r="HJ264" t="e">
        <f>Risklog!O24+"AM:!/Wy"</f>
        <v>#VALUE!</v>
      </c>
      <c r="HK264" s="105" t="e">
        <f>Risklog!P24+"AM:!/Wz"</f>
        <v>#VALUE!</v>
      </c>
      <c r="HL264" s="97" t="e">
        <f>Risklog!Q24+"AM:!/W{"</f>
        <v>#VALUE!</v>
      </c>
      <c r="HM264" s="97" t="e">
        <f>Risklog!R24+"AM:!/W|"</f>
        <v>#VALUE!</v>
      </c>
      <c r="HN264" t="e">
        <f>Risklog!S24+"AM:!/W}"</f>
        <v>#VALUE!</v>
      </c>
      <c r="HO264" t="e">
        <f>Risklog!T24+"AM:!/W~"</f>
        <v>#VALUE!</v>
      </c>
      <c r="HP264" t="e">
        <f>Risklog!U24+"AM:!/X#"</f>
        <v>#VALUE!</v>
      </c>
      <c r="HQ264" t="e">
        <f>Risklog!V24+"AM:!/X$"</f>
        <v>#VALUE!</v>
      </c>
      <c r="HR264" t="e">
        <f>Risklog!W24+"AM:!/X%"</f>
        <v>#VALUE!</v>
      </c>
      <c r="HS264" s="98" t="e">
        <f>Risklog!X24+"AM:!/X&amp;"</f>
        <v>#VALUE!</v>
      </c>
      <c r="HT264" t="e">
        <f>Risklog!Y24+"AM:!/X'"</f>
        <v>#VALUE!</v>
      </c>
      <c r="HU264" t="e">
        <f>Risklog!Z24+"AM:!/X("</f>
        <v>#VALUE!</v>
      </c>
      <c r="HV264" t="e">
        <f>Risklog!AA24+"AM:!/X)"</f>
        <v>#VALUE!</v>
      </c>
      <c r="HW264" t="e">
        <f>Risklog!A25+"AM:!/X."</f>
        <v>#VALUE!</v>
      </c>
      <c r="HX264" t="e">
        <f>Risklog!B25+"AM:!/X/"</f>
        <v>#VALUE!</v>
      </c>
      <c r="HY264" t="e">
        <f>Risklog!C25+"AM:!/X0"</f>
        <v>#VALUE!</v>
      </c>
      <c r="HZ264" t="e">
        <f>Risklog!D25+"AM:!/X1"</f>
        <v>#VALUE!</v>
      </c>
      <c r="IA264" t="e">
        <f>Risklog!E25+"AM:!/X2"</f>
        <v>#VALUE!</v>
      </c>
      <c r="IB264" t="e">
        <f>Risklog!F25+"AM:!/X3"</f>
        <v>#VALUE!</v>
      </c>
      <c r="IC264" t="e">
        <f>Risklog!G25+"AM:!/X4"</f>
        <v>#VALUE!</v>
      </c>
      <c r="ID264" t="e">
        <f>Risklog!H25+"AM:!/X5"</f>
        <v>#VALUE!</v>
      </c>
      <c r="IE264" t="e">
        <f>Risklog!I25+"AM:!/X6"</f>
        <v>#VALUE!</v>
      </c>
      <c r="IF264" t="e">
        <f>Risklog!J25+"AM:!/X7"</f>
        <v>#VALUE!</v>
      </c>
      <c r="IG264" t="e">
        <f>Risklog!K25+"AM:!/X8"</f>
        <v>#VALUE!</v>
      </c>
      <c r="IH264" t="e">
        <f>Risklog!L25+"AM:!/X9"</f>
        <v>#VALUE!</v>
      </c>
      <c r="II264" t="e">
        <f>Risklog!M25+"AM:!/X:"</f>
        <v>#VALUE!</v>
      </c>
      <c r="IJ264" t="e">
        <f>Risklog!N25+"AM:!/X;"</f>
        <v>#VALUE!</v>
      </c>
      <c r="IK264" t="e">
        <f>Risklog!O25+"AM:!/X&lt;"</f>
        <v>#VALUE!</v>
      </c>
      <c r="IL264" s="105" t="e">
        <f>Risklog!P25+"AM:!/X="</f>
        <v>#VALUE!</v>
      </c>
      <c r="IM264" s="97" t="e">
        <f>Risklog!Q25+"AM:!/X&gt;"</f>
        <v>#VALUE!</v>
      </c>
      <c r="IN264" s="97" t="e">
        <f>Risklog!R25+"AM:!/X?"</f>
        <v>#VALUE!</v>
      </c>
      <c r="IO264" t="e">
        <f>Risklog!S25+"AM:!/X@"</f>
        <v>#VALUE!</v>
      </c>
      <c r="IP264" t="e">
        <f>Risklog!T25+"AM:!/XA"</f>
        <v>#VALUE!</v>
      </c>
      <c r="IQ264" t="e">
        <f>Risklog!U25+"AM:!/XB"</f>
        <v>#VALUE!</v>
      </c>
      <c r="IR264" t="e">
        <f>Risklog!V25+"AM:!/XC"</f>
        <v>#VALUE!</v>
      </c>
      <c r="IS264" t="e">
        <f>Risklog!W25+"AM:!/XD"</f>
        <v>#VALUE!</v>
      </c>
      <c r="IT264" s="98" t="e">
        <f>Risklog!X25+"AM:!/XE"</f>
        <v>#VALUE!</v>
      </c>
      <c r="IU264" t="e">
        <f>Risklog!Y25+"AM:!/XF"</f>
        <v>#VALUE!</v>
      </c>
      <c r="IV264" t="e">
        <f>Risklog!Z25+"AM:!/XG"</f>
        <v>#VALUE!</v>
      </c>
    </row>
    <row r="265" spans="6:256">
      <c r="F265" t="e">
        <f>Risklog!AA25+"AM:!/XH"</f>
        <v>#VALUE!</v>
      </c>
      <c r="G265" t="e">
        <f>Risklog!A26+"AM:!/XI"</f>
        <v>#VALUE!</v>
      </c>
      <c r="H265" t="e">
        <f>Risklog!B26+"AM:!/XJ"</f>
        <v>#VALUE!</v>
      </c>
      <c r="I265" t="e">
        <f>Risklog!C26+"AM:!/XK"</f>
        <v>#VALUE!</v>
      </c>
      <c r="J265" t="e">
        <f>Risklog!D26+"AM:!/XL"</f>
        <v>#VALUE!</v>
      </c>
      <c r="K265" t="e">
        <f>Risklog!E26+"AM:!/XM"</f>
        <v>#VALUE!</v>
      </c>
      <c r="L265" t="e">
        <f>Risklog!F26+"AM:!/XN"</f>
        <v>#VALUE!</v>
      </c>
      <c r="M265" t="e">
        <f>Risklog!G26+"AM:!/XO"</f>
        <v>#VALUE!</v>
      </c>
      <c r="N265" t="e">
        <f>Risklog!H26+"AM:!/XP"</f>
        <v>#VALUE!</v>
      </c>
      <c r="O265" t="e">
        <f>Risklog!I26+"AM:!/XQ"</f>
        <v>#VALUE!</v>
      </c>
      <c r="P265" t="e">
        <f>Risklog!J26+"AM:!/XR"</f>
        <v>#VALUE!</v>
      </c>
      <c r="Q265" t="e">
        <f>Risklog!K26+"AM:!/XS"</f>
        <v>#VALUE!</v>
      </c>
      <c r="R265" t="e">
        <f>Risklog!L26+"AM:!/XT"</f>
        <v>#VALUE!</v>
      </c>
      <c r="S265" t="e">
        <f>Risklog!M26+"AM:!/XU"</f>
        <v>#VALUE!</v>
      </c>
      <c r="T265" t="e">
        <f>Risklog!N26+"AM:!/XV"</f>
        <v>#VALUE!</v>
      </c>
      <c r="U265" t="e">
        <f>Risklog!O26+"AM:!/XW"</f>
        <v>#VALUE!</v>
      </c>
      <c r="V265" s="105" t="e">
        <f>Risklog!P26+"AM:!/XX"</f>
        <v>#VALUE!</v>
      </c>
      <c r="W265" s="97" t="e">
        <f>Risklog!Q26+"AM:!/XY"</f>
        <v>#VALUE!</v>
      </c>
      <c r="X265" s="97" t="e">
        <f>Risklog!R26+"AM:!/XZ"</f>
        <v>#VALUE!</v>
      </c>
      <c r="Y265" t="e">
        <f>Risklog!S26+"AM:!/X["</f>
        <v>#VALUE!</v>
      </c>
      <c r="Z265" t="e">
        <f>Risklog!T26+"AM:!/X\"</f>
        <v>#VALUE!</v>
      </c>
      <c r="AA265" t="e">
        <f>Risklog!U26+"AM:!/X]"</f>
        <v>#VALUE!</v>
      </c>
      <c r="AB265" t="e">
        <f>Risklog!V26+"AM:!/X^"</f>
        <v>#VALUE!</v>
      </c>
      <c r="AC265" t="e">
        <f>Risklog!W26+"AM:!/X_"</f>
        <v>#VALUE!</v>
      </c>
      <c r="AD265" s="98" t="e">
        <f>Risklog!X26+"AM:!/X`"</f>
        <v>#VALUE!</v>
      </c>
      <c r="AE265" t="e">
        <f>Risklog!Y26+"AM:!/Xa"</f>
        <v>#VALUE!</v>
      </c>
      <c r="AF265" t="e">
        <f>Risklog!Z26+"AM:!/Xb"</f>
        <v>#VALUE!</v>
      </c>
      <c r="AG265" t="e">
        <f>Risklog!AA26+"AM:!/Xc"</f>
        <v>#VALUE!</v>
      </c>
      <c r="AH265" t="e">
        <f>Risklog!A27+"AM:!/Xd"</f>
        <v>#VALUE!</v>
      </c>
      <c r="AI265" t="e">
        <f>Risklog!B27+"AM:!/Xe"</f>
        <v>#VALUE!</v>
      </c>
      <c r="AJ265" t="e">
        <f>Risklog!C27+"AM:!/Xf"</f>
        <v>#VALUE!</v>
      </c>
      <c r="AK265" t="e">
        <f>Risklog!D27+"AM:!/Xg"</f>
        <v>#VALUE!</v>
      </c>
      <c r="AL265" t="e">
        <f>Risklog!E27+"AM:!/Xh"</f>
        <v>#VALUE!</v>
      </c>
      <c r="AM265" t="e">
        <f>Risklog!F27+"AM:!/Xi"</f>
        <v>#VALUE!</v>
      </c>
      <c r="AN265" t="e">
        <f>Risklog!G27+"AM:!/Xj"</f>
        <v>#VALUE!</v>
      </c>
      <c r="AO265" t="e">
        <f>Risklog!H27+"AM:!/Xk"</f>
        <v>#VALUE!</v>
      </c>
      <c r="AP265" t="e">
        <f>Risklog!I27+"AM:!/Xl"</f>
        <v>#VALUE!</v>
      </c>
      <c r="AQ265" t="e">
        <f>Risklog!J27+"AM:!/Xm"</f>
        <v>#VALUE!</v>
      </c>
      <c r="AR265" t="e">
        <f>Risklog!K27+"AM:!/Xn"</f>
        <v>#VALUE!</v>
      </c>
      <c r="AS265" t="e">
        <f>Risklog!L27+"AM:!/Xo"</f>
        <v>#VALUE!</v>
      </c>
      <c r="AT265" t="e">
        <f>Risklog!M27+"AM:!/Xp"</f>
        <v>#VALUE!</v>
      </c>
      <c r="AU265" t="e">
        <f>Risklog!N27+"AM:!/Xq"</f>
        <v>#VALUE!</v>
      </c>
      <c r="AV265" t="e">
        <f>Risklog!O27+"AM:!/Xr"</f>
        <v>#VALUE!</v>
      </c>
      <c r="AW265" s="105" t="e">
        <f>Risklog!P27+"AM:!/Xs"</f>
        <v>#VALUE!</v>
      </c>
      <c r="AX265" s="97" t="e">
        <f>Risklog!Q27+"AM:!/Xt"</f>
        <v>#VALUE!</v>
      </c>
      <c r="AY265" s="97" t="e">
        <f>Risklog!R27+"AM:!/Xu"</f>
        <v>#VALUE!</v>
      </c>
      <c r="AZ265" s="98" t="e">
        <f>Risklog!S27+"AM:!/Xv"</f>
        <v>#VALUE!</v>
      </c>
      <c r="BA265" t="e">
        <f>Risklog!T27+"AM:!/Xw"</f>
        <v>#VALUE!</v>
      </c>
      <c r="BB265" t="e">
        <f>Risklog!U27+"AM:!/Xx"</f>
        <v>#VALUE!</v>
      </c>
      <c r="BC265" t="e">
        <f>Risklog!V27+"AM:!/Xy"</f>
        <v>#VALUE!</v>
      </c>
      <c r="BD265" t="e">
        <f>Risklog!W27+"AM:!/Xz"</f>
        <v>#VALUE!</v>
      </c>
      <c r="BE265" s="98" t="e">
        <f>Risklog!X27+"AM:!/X{"</f>
        <v>#VALUE!</v>
      </c>
      <c r="BF265" t="e">
        <f>Risklog!Y27+"AM:!/X|"</f>
        <v>#VALUE!</v>
      </c>
      <c r="BG265" t="e">
        <f>Risklog!Z27+"AM:!/X}"</f>
        <v>#VALUE!</v>
      </c>
      <c r="BH265" t="e">
        <f>Risklog!AA27+"AM:!/X~"</f>
        <v>#VALUE!</v>
      </c>
      <c r="BI265" t="e">
        <f>Risklog!A28+"AM:!/Y#"</f>
        <v>#VALUE!</v>
      </c>
      <c r="BJ265" t="e">
        <f>Risklog!B28+"AM:!/Y$"</f>
        <v>#VALUE!</v>
      </c>
      <c r="BK265" t="e">
        <f>Risklog!C28+"AM:!/Y%"</f>
        <v>#VALUE!</v>
      </c>
      <c r="BL265" t="e">
        <f>Risklog!D28+"AM:!/Y&amp;"</f>
        <v>#VALUE!</v>
      </c>
      <c r="BM265" t="e">
        <f>Risklog!E28+"AM:!/Y'"</f>
        <v>#VALUE!</v>
      </c>
      <c r="BN265" t="e">
        <f>Risklog!F28+"AM:!/Y("</f>
        <v>#VALUE!</v>
      </c>
      <c r="BO265" t="e">
        <f>Risklog!G28+"AM:!/Y)"</f>
        <v>#VALUE!</v>
      </c>
      <c r="BP265" t="e">
        <f>Risklog!H28+"AM:!/Y."</f>
        <v>#VALUE!</v>
      </c>
      <c r="BQ265" t="e">
        <f>Risklog!I28+"AM:!/Y/"</f>
        <v>#VALUE!</v>
      </c>
      <c r="BR265" t="e">
        <f>Risklog!J28+"AM:!/Y0"</f>
        <v>#VALUE!</v>
      </c>
      <c r="BS265" t="e">
        <f>Risklog!K28+"AM:!/Y1"</f>
        <v>#VALUE!</v>
      </c>
      <c r="BT265" t="e">
        <f>Risklog!L28+"AM:!/Y2"</f>
        <v>#VALUE!</v>
      </c>
      <c r="BU265" t="e">
        <f>Risklog!M28+"AM:!/Y3"</f>
        <v>#VALUE!</v>
      </c>
      <c r="BV265" t="e">
        <f>Risklog!N28+"AM:!/Y4"</f>
        <v>#VALUE!</v>
      </c>
      <c r="BW265" t="e">
        <f>Risklog!O28+"AM:!/Y5"</f>
        <v>#VALUE!</v>
      </c>
      <c r="BX265" s="105" t="e">
        <f>Risklog!P28+"AM:!/Y6"</f>
        <v>#VALUE!</v>
      </c>
      <c r="BY265" s="97" t="e">
        <f>Risklog!Q28+"AM:!/Y7"</f>
        <v>#VALUE!</v>
      </c>
      <c r="BZ265" s="97" t="e">
        <f>Risklog!R28+"AM:!/Y8"</f>
        <v>#VALUE!</v>
      </c>
      <c r="CA265" s="98" t="e">
        <f>Risklog!S28+"AM:!/Y9"</f>
        <v>#VALUE!</v>
      </c>
      <c r="CB265" t="e">
        <f>Risklog!T28+"AM:!/Y:"</f>
        <v>#VALUE!</v>
      </c>
      <c r="CC265" t="e">
        <f>Risklog!U28+"AM:!/Y;"</f>
        <v>#VALUE!</v>
      </c>
      <c r="CD265" t="e">
        <f>Risklog!V28+"AM:!/Y&lt;"</f>
        <v>#VALUE!</v>
      </c>
      <c r="CE265" t="e">
        <f>Risklog!W28+"AM:!/Y="</f>
        <v>#VALUE!</v>
      </c>
      <c r="CF265" s="98" t="e">
        <f>Risklog!X28+"AM:!/Y&gt;"</f>
        <v>#VALUE!</v>
      </c>
      <c r="CG265" t="e">
        <f>Risklog!Y28+"AM:!/Y?"</f>
        <v>#VALUE!</v>
      </c>
      <c r="CH265" t="e">
        <f>Risklog!Z28+"AM:!/Y@"</f>
        <v>#VALUE!</v>
      </c>
      <c r="CI265" t="e">
        <f>Risklog!AA28+"AM:!/YA"</f>
        <v>#VALUE!</v>
      </c>
      <c r="CJ265" t="e">
        <f>Risklog!A29+"AM:!/YB"</f>
        <v>#VALUE!</v>
      </c>
      <c r="CK265" t="e">
        <f>Risklog!B29+"AM:!/YC"</f>
        <v>#VALUE!</v>
      </c>
      <c r="CL265" t="e">
        <f>Risklog!C29+"AM:!/YD"</f>
        <v>#VALUE!</v>
      </c>
      <c r="CM265" t="e">
        <f>Risklog!D29+"AM:!/YE"</f>
        <v>#VALUE!</v>
      </c>
      <c r="CN265" t="e">
        <f>Risklog!E29+"AM:!/YF"</f>
        <v>#VALUE!</v>
      </c>
      <c r="CO265" t="e">
        <f>Risklog!F29+"AM:!/YG"</f>
        <v>#VALUE!</v>
      </c>
      <c r="CP265" t="e">
        <f>Risklog!G29+"AM:!/YH"</f>
        <v>#VALUE!</v>
      </c>
      <c r="CQ265" t="e">
        <f>Risklog!H29+"AM:!/YI"</f>
        <v>#VALUE!</v>
      </c>
      <c r="CR265" t="e">
        <f>Risklog!I29+"AM:!/YJ"</f>
        <v>#VALUE!</v>
      </c>
      <c r="CS265" t="e">
        <f>Risklog!J29+"AM:!/YK"</f>
        <v>#VALUE!</v>
      </c>
      <c r="CT265" t="e">
        <f>Risklog!K29+"AM:!/YL"</f>
        <v>#VALUE!</v>
      </c>
      <c r="CU265" t="e">
        <f>Risklog!L29+"AM:!/YM"</f>
        <v>#VALUE!</v>
      </c>
      <c r="CV265" t="e">
        <f>Risklog!M29+"AM:!/YN"</f>
        <v>#VALUE!</v>
      </c>
      <c r="CW265" t="e">
        <f>Risklog!N29+"AM:!/YO"</f>
        <v>#VALUE!</v>
      </c>
      <c r="CX265" t="e">
        <f>Risklog!O29+"AM:!/YP"</f>
        <v>#VALUE!</v>
      </c>
      <c r="CY265" s="105" t="e">
        <f>Risklog!P29+"AM:!/YQ"</f>
        <v>#VALUE!</v>
      </c>
      <c r="CZ265" s="97" t="e">
        <f>Risklog!Q29+"AM:!/YR"</f>
        <v>#VALUE!</v>
      </c>
      <c r="DA265" s="97" t="e">
        <f>Risklog!R29+"AM:!/YS"</f>
        <v>#VALUE!</v>
      </c>
      <c r="DB265" s="98" t="e">
        <f>Risklog!S29+"AM:!/YT"</f>
        <v>#VALUE!</v>
      </c>
      <c r="DC265" t="e">
        <f>Risklog!T29+"AM:!/YU"</f>
        <v>#VALUE!</v>
      </c>
      <c r="DD265" t="e">
        <f>Risklog!U29+"AM:!/YV"</f>
        <v>#VALUE!</v>
      </c>
      <c r="DE265" t="e">
        <f>Risklog!V29+"AM:!/YW"</f>
        <v>#VALUE!</v>
      </c>
      <c r="DF265" t="e">
        <f>Risklog!W29+"AM:!/YX"</f>
        <v>#VALUE!</v>
      </c>
      <c r="DG265" s="98" t="e">
        <f>Risklog!X29+"AM:!/YY"</f>
        <v>#VALUE!</v>
      </c>
      <c r="DH265" t="e">
        <f>Risklog!Y29+"AM:!/YZ"</f>
        <v>#VALUE!</v>
      </c>
      <c r="DI265" t="e">
        <f>Risklog!Z29+"AM:!/Y["</f>
        <v>#VALUE!</v>
      </c>
      <c r="DJ265" t="e">
        <f>Risklog!AA29+"AM:!/Y\"</f>
        <v>#VALUE!</v>
      </c>
      <c r="DK265" t="e">
        <f>Risklog!A30+"AM:!/Y]"</f>
        <v>#VALUE!</v>
      </c>
      <c r="DL265" t="e">
        <f>Risklog!B30+"AM:!/Y^"</f>
        <v>#VALUE!</v>
      </c>
      <c r="DM265" t="e">
        <f>Risklog!C30+"AM:!/Y_"</f>
        <v>#VALUE!</v>
      </c>
      <c r="DN265" t="e">
        <f>Risklog!D30+"AM:!/Y`"</f>
        <v>#VALUE!</v>
      </c>
      <c r="DO265" t="e">
        <f>Risklog!E30+"AM:!/Ya"</f>
        <v>#VALUE!</v>
      </c>
      <c r="DP265" t="e">
        <f>Risklog!F30+"AM:!/Yb"</f>
        <v>#VALUE!</v>
      </c>
      <c r="DQ265" t="e">
        <f>Risklog!G30+"AM:!/Yc"</f>
        <v>#VALUE!</v>
      </c>
      <c r="DR265" t="e">
        <f>Risklog!H30+"AM:!/Yd"</f>
        <v>#VALUE!</v>
      </c>
      <c r="DS265" t="e">
        <f>Risklog!I30+"AM:!/Ye"</f>
        <v>#VALUE!</v>
      </c>
      <c r="DT265" t="e">
        <f>Risklog!J30+"AM:!/Yf"</f>
        <v>#VALUE!</v>
      </c>
      <c r="DU265" t="e">
        <f>Risklog!K30+"AM:!/Yg"</f>
        <v>#VALUE!</v>
      </c>
      <c r="DV265" t="e">
        <f>Risklog!L30+"AM:!/Yh"</f>
        <v>#VALUE!</v>
      </c>
      <c r="DW265" t="e">
        <f>Risklog!M30+"AM:!/Yi"</f>
        <v>#VALUE!</v>
      </c>
      <c r="DX265" t="e">
        <f>Risklog!N30+"AM:!/Yj"</f>
        <v>#VALUE!</v>
      </c>
      <c r="DY265" t="e">
        <f>Risklog!O30+"AM:!/Yk"</f>
        <v>#VALUE!</v>
      </c>
      <c r="DZ265" s="105" t="e">
        <f>Risklog!P30+"AM:!/Yl"</f>
        <v>#VALUE!</v>
      </c>
      <c r="EA265" s="97" t="e">
        <f>Risklog!Q30+"AM:!/Ym"</f>
        <v>#VALUE!</v>
      </c>
      <c r="EB265" s="97" t="e">
        <f>Risklog!R30+"AM:!/Yn"</f>
        <v>#VALUE!</v>
      </c>
      <c r="EC265" s="98" t="e">
        <f>Risklog!S30+"AM:!/Yo"</f>
        <v>#VALUE!</v>
      </c>
      <c r="ED265" t="e">
        <f>Risklog!T30+"AM:!/Yp"</f>
        <v>#VALUE!</v>
      </c>
      <c r="EE265" t="e">
        <f>Risklog!U30+"AM:!/Yq"</f>
        <v>#VALUE!</v>
      </c>
      <c r="EF265" t="e">
        <f>Risklog!V30+"AM:!/Yr"</f>
        <v>#VALUE!</v>
      </c>
      <c r="EG265" t="e">
        <f>Risklog!W30+"AM:!/Ys"</f>
        <v>#VALUE!</v>
      </c>
      <c r="EH265" s="98" t="e">
        <f>Risklog!X30+"AM:!/Yt"</f>
        <v>#VALUE!</v>
      </c>
      <c r="EI265" t="e">
        <f>Risklog!Y30+"AM:!/Yu"</f>
        <v>#VALUE!</v>
      </c>
      <c r="EJ265" t="e">
        <f>Risklog!Z30+"AM:!/Yv"</f>
        <v>#VALUE!</v>
      </c>
      <c r="EK265" t="e">
        <f>Risklog!AA30+"AM:!/Yw"</f>
        <v>#VALUE!</v>
      </c>
      <c r="EL265" t="e">
        <f>Risklog!A31+"AM:!/Yx"</f>
        <v>#VALUE!</v>
      </c>
      <c r="EM265" t="e">
        <f>Risklog!B31+"AM:!/Yy"</f>
        <v>#VALUE!</v>
      </c>
      <c r="EN265" t="e">
        <f>Risklog!C31+"AM:!/Yz"</f>
        <v>#VALUE!</v>
      </c>
      <c r="EO265" t="e">
        <f>Risklog!D31+"AM:!/Y{"</f>
        <v>#VALUE!</v>
      </c>
      <c r="EP265" t="e">
        <f>Risklog!E31+"AM:!/Y|"</f>
        <v>#VALUE!</v>
      </c>
      <c r="EQ265" t="e">
        <f>Risklog!F31+"AM:!/Y}"</f>
        <v>#VALUE!</v>
      </c>
      <c r="ER265" t="e">
        <f>Risklog!G31+"AM:!/Y~"</f>
        <v>#VALUE!</v>
      </c>
      <c r="ES265" t="e">
        <f>Risklog!H31+"AM:!/Z#"</f>
        <v>#VALUE!</v>
      </c>
      <c r="ET265" t="e">
        <f>Risklog!I31+"AM:!/Z$"</f>
        <v>#VALUE!</v>
      </c>
      <c r="EU265" t="e">
        <f>Risklog!J31+"AM:!/Z%"</f>
        <v>#VALUE!</v>
      </c>
      <c r="EV265" t="e">
        <f>Risklog!K31+"AM:!/Z&amp;"</f>
        <v>#VALUE!</v>
      </c>
      <c r="EW265" t="e">
        <f>Risklog!L31+"AM:!/Z'"</f>
        <v>#VALUE!</v>
      </c>
      <c r="EX265" t="e">
        <f>Risklog!M31+"AM:!/Z("</f>
        <v>#VALUE!</v>
      </c>
      <c r="EY265" t="e">
        <f>Risklog!N31+"AM:!/Z)"</f>
        <v>#VALUE!</v>
      </c>
      <c r="EZ265" t="e">
        <f>Risklog!O31+"AM:!/Z."</f>
        <v>#VALUE!</v>
      </c>
      <c r="FA265" s="105" t="e">
        <f>Risklog!P31+"AM:!/Z/"</f>
        <v>#VALUE!</v>
      </c>
      <c r="FB265" s="97" t="e">
        <f>Risklog!Q31+"AM:!/Z0"</f>
        <v>#VALUE!</v>
      </c>
      <c r="FC265" s="97" t="e">
        <f>Risklog!R31+"AM:!/Z1"</f>
        <v>#VALUE!</v>
      </c>
      <c r="FD265" s="98" t="e">
        <f>Risklog!S31+"AM:!/Z2"</f>
        <v>#VALUE!</v>
      </c>
      <c r="FE265" t="e">
        <f>Risklog!T31+"AM:!/Z3"</f>
        <v>#VALUE!</v>
      </c>
      <c r="FF265" t="e">
        <f>Risklog!U31+"AM:!/Z4"</f>
        <v>#VALUE!</v>
      </c>
      <c r="FG265" t="e">
        <f>Risklog!V31+"AM:!/Z5"</f>
        <v>#VALUE!</v>
      </c>
      <c r="FH265" t="e">
        <f>Risklog!W31+"AM:!/Z6"</f>
        <v>#VALUE!</v>
      </c>
      <c r="FI265" s="98" t="e">
        <f>Risklog!X31+"AM:!/Z7"</f>
        <v>#VALUE!</v>
      </c>
      <c r="FJ265" t="e">
        <f>Risklog!Y31+"AM:!/Z8"</f>
        <v>#VALUE!</v>
      </c>
      <c r="FK265" t="e">
        <f>Risklog!Z31+"AM:!/Z9"</f>
        <v>#VALUE!</v>
      </c>
      <c r="FL265" t="e">
        <f>Risklog!AA31+"AM:!/Z:"</f>
        <v>#VALUE!</v>
      </c>
      <c r="FM265" t="e">
        <f>Risklog!A32+"AM:!/Z;"</f>
        <v>#VALUE!</v>
      </c>
      <c r="FN265" t="e">
        <f>Risklog!B32+"AM:!/Z&lt;"</f>
        <v>#VALUE!</v>
      </c>
      <c r="FO265" t="e">
        <f>Risklog!C32+"AM:!/Z="</f>
        <v>#VALUE!</v>
      </c>
      <c r="FP265" t="e">
        <f>Risklog!D32+"AM:!/Z&gt;"</f>
        <v>#VALUE!</v>
      </c>
      <c r="FQ265" t="e">
        <f>Risklog!E32+"AM:!/Z?"</f>
        <v>#VALUE!</v>
      </c>
      <c r="FR265" t="e">
        <f>Risklog!F32+"AM:!/Z@"</f>
        <v>#VALUE!</v>
      </c>
      <c r="FS265" t="e">
        <f>Risklog!G32+"AM:!/ZA"</f>
        <v>#VALUE!</v>
      </c>
      <c r="FT265" t="e">
        <f>Risklog!H32+"AM:!/ZB"</f>
        <v>#VALUE!</v>
      </c>
      <c r="FU265" t="e">
        <f>Risklog!I32+"AM:!/ZC"</f>
        <v>#VALUE!</v>
      </c>
      <c r="FV265" t="e">
        <f>Risklog!J32+"AM:!/ZD"</f>
        <v>#VALUE!</v>
      </c>
      <c r="FW265" t="e">
        <f>Risklog!K32+"AM:!/ZE"</f>
        <v>#VALUE!</v>
      </c>
      <c r="FX265" t="e">
        <f>Risklog!L32+"AM:!/ZF"</f>
        <v>#VALUE!</v>
      </c>
      <c r="FY265" t="e">
        <f>Risklog!M32+"AM:!/ZG"</f>
        <v>#VALUE!</v>
      </c>
      <c r="FZ265" t="e">
        <f>Risklog!N32+"AM:!/ZH"</f>
        <v>#VALUE!</v>
      </c>
      <c r="GA265" t="e">
        <f>Risklog!O32+"AM:!/ZI"</f>
        <v>#VALUE!</v>
      </c>
      <c r="GB265" s="105" t="e">
        <f>Risklog!P32+"AM:!/ZJ"</f>
        <v>#VALUE!</v>
      </c>
      <c r="GC265" s="97" t="e">
        <f>Risklog!Q32+"AM:!/ZK"</f>
        <v>#VALUE!</v>
      </c>
      <c r="GD265" s="97" t="e">
        <f>Risklog!R32+"AM:!/ZL"</f>
        <v>#VALUE!</v>
      </c>
      <c r="GE265" s="98" t="e">
        <f>Risklog!S32+"AM:!/ZM"</f>
        <v>#VALUE!</v>
      </c>
      <c r="GF265" t="e">
        <f>Risklog!T32+"AM:!/ZN"</f>
        <v>#VALUE!</v>
      </c>
      <c r="GG265" t="e">
        <f>Risklog!U32+"AM:!/ZO"</f>
        <v>#VALUE!</v>
      </c>
      <c r="GH265" t="e">
        <f>Risklog!V32+"AM:!/ZP"</f>
        <v>#VALUE!</v>
      </c>
      <c r="GI265" t="e">
        <f>Risklog!W32+"AM:!/ZQ"</f>
        <v>#VALUE!</v>
      </c>
      <c r="GJ265" s="98" t="e">
        <f>Risklog!X32+"AM:!/ZR"</f>
        <v>#VALUE!</v>
      </c>
      <c r="GK265" t="e">
        <f>Risklog!Y32+"AM:!/ZS"</f>
        <v>#VALUE!</v>
      </c>
      <c r="GL265" t="e">
        <f>Risklog!Z32+"AM:!/ZT"</f>
        <v>#VALUE!</v>
      </c>
      <c r="GM265" t="e">
        <f>Risklog!AA32+"AM:!/ZU"</f>
        <v>#VALUE!</v>
      </c>
      <c r="GN265" t="e">
        <f>Risklog!A33+"AM:!/ZV"</f>
        <v>#VALUE!</v>
      </c>
      <c r="GO265" t="e">
        <f>Risklog!B33+"AM:!/ZW"</f>
        <v>#VALUE!</v>
      </c>
      <c r="GP265" t="e">
        <f>Risklog!C33+"AM:!/ZX"</f>
        <v>#VALUE!</v>
      </c>
      <c r="GQ265" t="e">
        <f>Risklog!D33+"AM:!/ZY"</f>
        <v>#VALUE!</v>
      </c>
      <c r="GR265" t="e">
        <f>Risklog!E33+"AM:!/ZZ"</f>
        <v>#VALUE!</v>
      </c>
      <c r="GS265" t="e">
        <f>Risklog!F33+"AM:!/Z["</f>
        <v>#VALUE!</v>
      </c>
      <c r="GT265" t="e">
        <f>Risklog!G33+"AM:!/Z\"</f>
        <v>#VALUE!</v>
      </c>
      <c r="GU265" t="e">
        <f>Risklog!H33+"AM:!/Z]"</f>
        <v>#VALUE!</v>
      </c>
      <c r="GV265" t="e">
        <f>Risklog!I33+"AM:!/Z^"</f>
        <v>#VALUE!</v>
      </c>
      <c r="GW265" t="e">
        <f>Risklog!J33+"AM:!/Z_"</f>
        <v>#VALUE!</v>
      </c>
      <c r="GX265" t="e">
        <f>Risklog!K33+"AM:!/Z`"</f>
        <v>#VALUE!</v>
      </c>
      <c r="GY265" t="e">
        <f>Risklog!L33+"AM:!/Za"</f>
        <v>#VALUE!</v>
      </c>
      <c r="GZ265" t="e">
        <f>Risklog!M33+"AM:!/Zb"</f>
        <v>#VALUE!</v>
      </c>
      <c r="HA265" t="e">
        <f>Risklog!N33+"AM:!/Zc"</f>
        <v>#VALUE!</v>
      </c>
      <c r="HB265" t="e">
        <f>Risklog!O33+"AM:!/Zd"</f>
        <v>#VALUE!</v>
      </c>
      <c r="HC265" s="105" t="e">
        <f>Risklog!P33+"AM:!/Ze"</f>
        <v>#VALUE!</v>
      </c>
      <c r="HD265" s="97" t="e">
        <f>Risklog!Q33+"AM:!/Zf"</f>
        <v>#VALUE!</v>
      </c>
      <c r="HE265" s="97" t="e">
        <f>Risklog!R33+"AM:!/Zg"</f>
        <v>#VALUE!</v>
      </c>
      <c r="HF265" s="98" t="e">
        <f>Risklog!S33+"AM:!/Zh"</f>
        <v>#VALUE!</v>
      </c>
      <c r="HG265" t="e">
        <f>Risklog!T33+"AM:!/Zi"</f>
        <v>#VALUE!</v>
      </c>
      <c r="HH265" t="e">
        <f>Risklog!U33+"AM:!/Zj"</f>
        <v>#VALUE!</v>
      </c>
      <c r="HI265" t="e">
        <f>Risklog!V33+"AM:!/Zk"</f>
        <v>#VALUE!</v>
      </c>
      <c r="HJ265" t="e">
        <f>Risklog!W33+"AM:!/Zl"</f>
        <v>#VALUE!</v>
      </c>
      <c r="HK265" s="98" t="e">
        <f>Risklog!X33+"AM:!/Zm"</f>
        <v>#VALUE!</v>
      </c>
      <c r="HL265" t="e">
        <f>Risklog!Y33+"AM:!/Zn"</f>
        <v>#VALUE!</v>
      </c>
      <c r="HM265" t="e">
        <f>Risklog!Z33+"AM:!/Zo"</f>
        <v>#VALUE!</v>
      </c>
      <c r="HN265" t="e">
        <f>Risklog!AA33+"AM:!/Zp"</f>
        <v>#VALUE!</v>
      </c>
      <c r="HO265" t="e">
        <f>Risklog!A34+"AM:!/Zq"</f>
        <v>#VALUE!</v>
      </c>
      <c r="HP265" t="e">
        <f>Risklog!B34+"AM:!/Zr"</f>
        <v>#VALUE!</v>
      </c>
      <c r="HQ265" t="e">
        <f>Risklog!C34+"AM:!/Zs"</f>
        <v>#VALUE!</v>
      </c>
      <c r="HR265" t="e">
        <f>Risklog!D34+"AM:!/Zt"</f>
        <v>#VALUE!</v>
      </c>
      <c r="HS265" t="e">
        <f>Risklog!E34+"AM:!/Zu"</f>
        <v>#VALUE!</v>
      </c>
      <c r="HT265" t="e">
        <f>Risklog!F34+"AM:!/Zv"</f>
        <v>#VALUE!</v>
      </c>
      <c r="HU265" t="e">
        <f>Risklog!G34+"AM:!/Zw"</f>
        <v>#VALUE!</v>
      </c>
      <c r="HV265" t="e">
        <f>Risklog!H34+"AM:!/Zx"</f>
        <v>#VALUE!</v>
      </c>
      <c r="HW265" t="e">
        <f>Risklog!I34+"AM:!/Zy"</f>
        <v>#VALUE!</v>
      </c>
      <c r="HX265" t="e">
        <f>Risklog!J34+"AM:!/Zz"</f>
        <v>#VALUE!</v>
      </c>
      <c r="HY265" t="e">
        <f>Risklog!K34+"AM:!/Z{"</f>
        <v>#VALUE!</v>
      </c>
      <c r="HZ265" t="e">
        <f>Risklog!L34+"AM:!/Z|"</f>
        <v>#VALUE!</v>
      </c>
      <c r="IA265" t="e">
        <f>Risklog!M34+"AM:!/Z}"</f>
        <v>#VALUE!</v>
      </c>
      <c r="IB265" t="e">
        <f>Risklog!N34+"AM:!/Z~"</f>
        <v>#VALUE!</v>
      </c>
      <c r="IC265" t="e">
        <f>Risklog!O34+"AM:!/[#"</f>
        <v>#VALUE!</v>
      </c>
      <c r="ID265" s="105" t="e">
        <f>Risklog!P34+"AM:!/[$"</f>
        <v>#VALUE!</v>
      </c>
      <c r="IE265" s="97" t="e">
        <f>Risklog!Q34+"AM:!/[%"</f>
        <v>#VALUE!</v>
      </c>
      <c r="IF265" s="97" t="e">
        <f>Risklog!R34+"AM:!/[&amp;"</f>
        <v>#VALUE!</v>
      </c>
      <c r="IG265" s="98" t="e">
        <f>Risklog!S34+"AM:!/['"</f>
        <v>#VALUE!</v>
      </c>
      <c r="IH265" t="e">
        <f>Risklog!T34+"AM:!/[("</f>
        <v>#VALUE!</v>
      </c>
      <c r="II265" t="e">
        <f>Risklog!U34+"AM:!/[)"</f>
        <v>#VALUE!</v>
      </c>
      <c r="IJ265" t="e">
        <f>Risklog!V34+"AM:!/[."</f>
        <v>#VALUE!</v>
      </c>
      <c r="IK265" t="e">
        <f>Risklog!W34+"AM:!/[/"</f>
        <v>#VALUE!</v>
      </c>
      <c r="IL265" s="98" t="e">
        <f>Risklog!X34+"AM:!/[0"</f>
        <v>#VALUE!</v>
      </c>
      <c r="IM265" t="e">
        <f>Risklog!Y34+"AM:!/[1"</f>
        <v>#VALUE!</v>
      </c>
      <c r="IN265" t="e">
        <f>Risklog!Z34+"AM:!/[2"</f>
        <v>#VALUE!</v>
      </c>
      <c r="IO265" t="e">
        <f>Risklog!AA34+"AM:!/[3"</f>
        <v>#VALUE!</v>
      </c>
      <c r="IP265" t="e">
        <f>Risklog!A35+"AM:!/[4"</f>
        <v>#VALUE!</v>
      </c>
      <c r="IQ265" t="e">
        <f>Risklog!B35+"AM:!/[5"</f>
        <v>#VALUE!</v>
      </c>
      <c r="IR265" t="e">
        <f>Risklog!C35+"AM:!/[6"</f>
        <v>#VALUE!</v>
      </c>
      <c r="IS265" t="e">
        <f>Risklog!D35+"AM:!/[7"</f>
        <v>#VALUE!</v>
      </c>
      <c r="IT265" t="e">
        <f>Risklog!E35+"AM:!/[8"</f>
        <v>#VALUE!</v>
      </c>
      <c r="IU265" t="e">
        <f>Risklog!F35+"AM:!/[9"</f>
        <v>#VALUE!</v>
      </c>
      <c r="IV265" t="e">
        <f>Risklog!G35+"AM:!/[:"</f>
        <v>#VALUE!</v>
      </c>
    </row>
    <row r="266" spans="6:256">
      <c r="F266" t="e">
        <f>Risklog!H35+"AM:!/[;"</f>
        <v>#VALUE!</v>
      </c>
      <c r="G266" t="e">
        <f>Risklog!I35+"AM:!/[&lt;"</f>
        <v>#VALUE!</v>
      </c>
      <c r="H266" t="e">
        <f>Risklog!J35+"AM:!/[="</f>
        <v>#VALUE!</v>
      </c>
      <c r="I266" t="e">
        <f>Risklog!K35+"AM:!/[&gt;"</f>
        <v>#VALUE!</v>
      </c>
      <c r="J266" t="e">
        <f>Risklog!L35+"AM:!/[?"</f>
        <v>#VALUE!</v>
      </c>
      <c r="K266" t="e">
        <f>Risklog!M35+"AM:!/[@"</f>
        <v>#VALUE!</v>
      </c>
      <c r="L266" t="e">
        <f>Risklog!N35+"AM:!/[A"</f>
        <v>#VALUE!</v>
      </c>
      <c r="M266" t="e">
        <f>Risklog!O35+"AM:!/[B"</f>
        <v>#VALUE!</v>
      </c>
      <c r="N266" s="105" t="e">
        <f>Risklog!P35+"AM:!/[C"</f>
        <v>#VALUE!</v>
      </c>
      <c r="O266" s="97" t="e">
        <f>Risklog!Q35+"AM:!/[D"</f>
        <v>#VALUE!</v>
      </c>
      <c r="P266" s="97" t="e">
        <f>Risklog!R35+"AM:!/[E"</f>
        <v>#VALUE!</v>
      </c>
      <c r="Q266" s="98" t="e">
        <f>Risklog!S35+"AM:!/[F"</f>
        <v>#VALUE!</v>
      </c>
      <c r="R266" t="e">
        <f>Risklog!T35+"AM:!/[G"</f>
        <v>#VALUE!</v>
      </c>
      <c r="S266" t="e">
        <f>Risklog!U35+"AM:!/[H"</f>
        <v>#VALUE!</v>
      </c>
      <c r="T266" t="e">
        <f>Risklog!V35+"AM:!/[I"</f>
        <v>#VALUE!</v>
      </c>
      <c r="U266" t="e">
        <f>Risklog!W35+"AM:!/[J"</f>
        <v>#VALUE!</v>
      </c>
      <c r="V266" s="98" t="e">
        <f>Risklog!X35+"AM:!/[K"</f>
        <v>#VALUE!</v>
      </c>
      <c r="W266" t="e">
        <f>Risklog!Y35+"AM:!/[L"</f>
        <v>#VALUE!</v>
      </c>
      <c r="X266" t="e">
        <f>Risklog!Z35+"AM:!/[M"</f>
        <v>#VALUE!</v>
      </c>
      <c r="Y266" t="e">
        <f>Risklog!AA35+"AM:!/[N"</f>
        <v>#VALUE!</v>
      </c>
      <c r="Z266" t="e">
        <f>Risklog!A36+"AM:!/[O"</f>
        <v>#VALUE!</v>
      </c>
      <c r="AA266" t="e">
        <f>Risklog!B36+"AM:!/[P"</f>
        <v>#VALUE!</v>
      </c>
      <c r="AB266" t="e">
        <f>Risklog!C36+"AM:!/[Q"</f>
        <v>#VALUE!</v>
      </c>
      <c r="AC266" t="e">
        <f>Risklog!D36+"AM:!/[R"</f>
        <v>#VALUE!</v>
      </c>
      <c r="AD266" t="e">
        <f>Risklog!E36+"AM:!/[S"</f>
        <v>#VALUE!</v>
      </c>
      <c r="AE266" t="e">
        <f>Risklog!F36+"AM:!/[T"</f>
        <v>#VALUE!</v>
      </c>
      <c r="AF266" t="e">
        <f>Risklog!G36+"AM:!/[U"</f>
        <v>#VALUE!</v>
      </c>
      <c r="AG266" t="e">
        <f>Risklog!H36+"AM:!/[V"</f>
        <v>#VALUE!</v>
      </c>
      <c r="AH266" t="e">
        <f>Risklog!I36+"AM:!/[W"</f>
        <v>#VALUE!</v>
      </c>
      <c r="AI266" t="e">
        <f>Risklog!J36+"AM:!/[X"</f>
        <v>#VALUE!</v>
      </c>
      <c r="AJ266" t="e">
        <f>Risklog!K36+"AM:!/[Y"</f>
        <v>#VALUE!</v>
      </c>
      <c r="AK266" t="e">
        <f>Risklog!L36+"AM:!/[Z"</f>
        <v>#VALUE!</v>
      </c>
      <c r="AL266" t="e">
        <f>Risklog!M36+"AM:!/[["</f>
        <v>#VALUE!</v>
      </c>
      <c r="AM266" t="e">
        <f>Risklog!N36+"AM:!/[\"</f>
        <v>#VALUE!</v>
      </c>
      <c r="AN266" t="e">
        <f>Risklog!O36+"AM:!/[]"</f>
        <v>#VALUE!</v>
      </c>
      <c r="AO266" s="105" t="e">
        <f>Risklog!P36+"AM:!/[^"</f>
        <v>#VALUE!</v>
      </c>
      <c r="AP266" s="97" t="e">
        <f>Risklog!Q36+"AM:!/[_"</f>
        <v>#VALUE!</v>
      </c>
      <c r="AQ266" s="97" t="e">
        <f>Risklog!R36+"AM:!/[`"</f>
        <v>#VALUE!</v>
      </c>
      <c r="AR266" s="98" t="e">
        <f>Risklog!S36+"AM:!/[a"</f>
        <v>#VALUE!</v>
      </c>
      <c r="AS266" t="e">
        <f>Risklog!T36+"AM:!/[b"</f>
        <v>#VALUE!</v>
      </c>
      <c r="AT266" t="e">
        <f>Risklog!U36+"AM:!/[c"</f>
        <v>#VALUE!</v>
      </c>
      <c r="AU266" t="e">
        <f>Risklog!V36+"AM:!/[d"</f>
        <v>#VALUE!</v>
      </c>
      <c r="AV266" t="e">
        <f>Risklog!W36+"AM:!/[e"</f>
        <v>#VALUE!</v>
      </c>
      <c r="AW266" s="98" t="e">
        <f>Risklog!X36+"AM:!/[f"</f>
        <v>#VALUE!</v>
      </c>
      <c r="AX266" t="e">
        <f>Risklog!Y36+"AM:!/[g"</f>
        <v>#VALUE!</v>
      </c>
      <c r="AY266" t="e">
        <f>Risklog!Z36+"AM:!/[h"</f>
        <v>#VALUE!</v>
      </c>
      <c r="AZ266" t="e">
        <f>Risklog!AA36+"AM:!/[i"</f>
        <v>#VALUE!</v>
      </c>
      <c r="BA266" t="e">
        <f>Risklog!A37+"AM:!/[j"</f>
        <v>#VALUE!</v>
      </c>
      <c r="BB266" t="e">
        <f>Risklog!B37+"AM:!/[k"</f>
        <v>#VALUE!</v>
      </c>
      <c r="BC266" t="e">
        <f>Risklog!C37+"AM:!/[l"</f>
        <v>#VALUE!</v>
      </c>
      <c r="BD266" t="e">
        <f>Risklog!D37+"AM:!/[m"</f>
        <v>#VALUE!</v>
      </c>
      <c r="BE266" t="e">
        <f>Risklog!E37+"AM:!/[n"</f>
        <v>#VALUE!</v>
      </c>
      <c r="BF266" t="e">
        <f>Risklog!F37+"AM:!/[o"</f>
        <v>#VALUE!</v>
      </c>
      <c r="BG266" t="e">
        <f>Risklog!G37+"AM:!/[p"</f>
        <v>#VALUE!</v>
      </c>
      <c r="BH266" t="e">
        <f>Risklog!H37+"AM:!/[q"</f>
        <v>#VALUE!</v>
      </c>
      <c r="BI266" t="e">
        <f>Risklog!I37+"AM:!/[r"</f>
        <v>#VALUE!</v>
      </c>
      <c r="BJ266" t="e">
        <f>Risklog!J37+"AM:!/[s"</f>
        <v>#VALUE!</v>
      </c>
      <c r="BK266" t="e">
        <f>Risklog!K37+"AM:!/[t"</f>
        <v>#VALUE!</v>
      </c>
      <c r="BL266" t="e">
        <f>Risklog!L37+"AM:!/[u"</f>
        <v>#VALUE!</v>
      </c>
      <c r="BM266" t="e">
        <f>Risklog!M37+"AM:!/[v"</f>
        <v>#VALUE!</v>
      </c>
      <c r="BN266" t="e">
        <f>Risklog!N37+"AM:!/[w"</f>
        <v>#VALUE!</v>
      </c>
      <c r="BO266" t="e">
        <f>Risklog!O37+"AM:!/[x"</f>
        <v>#VALUE!</v>
      </c>
      <c r="BP266" s="105" t="e">
        <f>Risklog!P37+"AM:!/[y"</f>
        <v>#VALUE!</v>
      </c>
      <c r="BQ266" s="97" t="e">
        <f>Risklog!Q37+"AM:!/[z"</f>
        <v>#VALUE!</v>
      </c>
      <c r="BR266" s="97" t="e">
        <f>Risklog!R37+"AM:!/[{"</f>
        <v>#VALUE!</v>
      </c>
      <c r="BS266" s="98" t="e">
        <f>Risklog!S37+"AM:!/[|"</f>
        <v>#VALUE!</v>
      </c>
      <c r="BT266" t="e">
        <f>Risklog!T37+"AM:!/[}"</f>
        <v>#VALUE!</v>
      </c>
      <c r="BU266" t="e">
        <f>Risklog!U37+"AM:!/[~"</f>
        <v>#VALUE!</v>
      </c>
      <c r="BV266" t="e">
        <f>Risklog!V37+"AM:!/\#"</f>
        <v>#VALUE!</v>
      </c>
      <c r="BW266" t="e">
        <f>Risklog!W37+"AM:!/\$"</f>
        <v>#VALUE!</v>
      </c>
      <c r="BX266" s="98" t="e">
        <f>Risklog!X37+"AM:!/\%"</f>
        <v>#VALUE!</v>
      </c>
      <c r="BY266" t="e">
        <f>Risklog!Y37+"AM:!/\&amp;"</f>
        <v>#VALUE!</v>
      </c>
      <c r="BZ266" t="e">
        <f>Risklog!Z37+"AM:!/\'"</f>
        <v>#VALUE!</v>
      </c>
      <c r="CA266" t="e">
        <f>Risklog!AA37+"AM:!/\("</f>
        <v>#VALUE!</v>
      </c>
      <c r="CB266" t="e">
        <f>Risklog!A38+"AM:!/\)"</f>
        <v>#VALUE!</v>
      </c>
      <c r="CC266" t="e">
        <f>Risklog!B38+"AM:!/\."</f>
        <v>#VALUE!</v>
      </c>
      <c r="CD266" t="e">
        <f>Risklog!C38+"AM:!/\/"</f>
        <v>#VALUE!</v>
      </c>
      <c r="CE266" t="e">
        <f>Risklog!D38+"AM:!/\0"</f>
        <v>#VALUE!</v>
      </c>
      <c r="CF266" t="e">
        <f>Risklog!E38+"AM:!/\1"</f>
        <v>#VALUE!</v>
      </c>
      <c r="CG266" t="e">
        <f>Risklog!F38+"AM:!/\2"</f>
        <v>#VALUE!</v>
      </c>
      <c r="CH266" t="e">
        <f>Risklog!G38+"AM:!/\3"</f>
        <v>#VALUE!</v>
      </c>
      <c r="CI266" t="e">
        <f>Risklog!H38+"AM:!/\4"</f>
        <v>#VALUE!</v>
      </c>
      <c r="CJ266" t="e">
        <f>Risklog!I38+"AM:!/\5"</f>
        <v>#VALUE!</v>
      </c>
      <c r="CK266" t="e">
        <f>Risklog!J38+"AM:!/\6"</f>
        <v>#VALUE!</v>
      </c>
      <c r="CL266" t="e">
        <f>Risklog!K38+"AM:!/\7"</f>
        <v>#VALUE!</v>
      </c>
      <c r="CM266" t="e">
        <f>Risklog!L38+"AM:!/\8"</f>
        <v>#VALUE!</v>
      </c>
      <c r="CN266" t="e">
        <f>Risklog!M38+"AM:!/\9"</f>
        <v>#VALUE!</v>
      </c>
      <c r="CO266" t="e">
        <f>Risklog!N38+"AM:!/\:"</f>
        <v>#VALUE!</v>
      </c>
      <c r="CP266" t="e">
        <f>Risklog!O38+"AM:!/\;"</f>
        <v>#VALUE!</v>
      </c>
      <c r="CQ266" s="105" t="e">
        <f>Risklog!P38+"AM:!/\&lt;"</f>
        <v>#VALUE!</v>
      </c>
      <c r="CR266" s="97" t="e">
        <f>Risklog!Q38+"AM:!/\="</f>
        <v>#VALUE!</v>
      </c>
      <c r="CS266" s="97" t="e">
        <f>Risklog!R38+"AM:!/\&gt;"</f>
        <v>#VALUE!</v>
      </c>
      <c r="CT266" s="98" t="e">
        <f>Risklog!S38+"AM:!/\?"</f>
        <v>#VALUE!</v>
      </c>
      <c r="CU266" t="e">
        <f>Risklog!T38+"AM:!/\@"</f>
        <v>#VALUE!</v>
      </c>
      <c r="CV266" t="e">
        <f>Risklog!U38+"AM:!/\A"</f>
        <v>#VALUE!</v>
      </c>
      <c r="CW266" t="e">
        <f>Risklog!V38+"AM:!/\B"</f>
        <v>#VALUE!</v>
      </c>
      <c r="CX266" t="e">
        <f>Risklog!W38+"AM:!/\C"</f>
        <v>#VALUE!</v>
      </c>
      <c r="CY266" s="98" t="e">
        <f>Risklog!X38+"AM:!/\D"</f>
        <v>#VALUE!</v>
      </c>
      <c r="CZ266" t="e">
        <f>Risklog!Y38+"AM:!/\E"</f>
        <v>#VALUE!</v>
      </c>
      <c r="DA266" t="e">
        <f>Risklog!Z38+"AM:!/\F"</f>
        <v>#VALUE!</v>
      </c>
      <c r="DB266" t="e">
        <f>Risklog!AA38+"AM:!/\G"</f>
        <v>#VALUE!</v>
      </c>
      <c r="DC266" t="e">
        <f>Risklog!A39+"AM:!/\H"</f>
        <v>#VALUE!</v>
      </c>
      <c r="DD266" t="e">
        <f>Risklog!B39+"AM:!/\I"</f>
        <v>#VALUE!</v>
      </c>
      <c r="DE266" t="e">
        <f>Risklog!C39+"AM:!/\J"</f>
        <v>#VALUE!</v>
      </c>
      <c r="DF266" t="e">
        <f>Risklog!D39+"AM:!/\K"</f>
        <v>#VALUE!</v>
      </c>
      <c r="DG266" t="e">
        <f>Risklog!E39+"AM:!/\L"</f>
        <v>#VALUE!</v>
      </c>
      <c r="DH266" t="e">
        <f>Risklog!F39+"AM:!/\M"</f>
        <v>#VALUE!</v>
      </c>
      <c r="DI266" t="e">
        <f>Risklog!G39+"AM:!/\N"</f>
        <v>#VALUE!</v>
      </c>
      <c r="DJ266" t="e">
        <f>Risklog!H39+"AM:!/\O"</f>
        <v>#VALUE!</v>
      </c>
      <c r="DK266" t="e">
        <f>Risklog!I39+"AM:!/\P"</f>
        <v>#VALUE!</v>
      </c>
      <c r="DL266" t="e">
        <f>Risklog!J39+"AM:!/\Q"</f>
        <v>#VALUE!</v>
      </c>
      <c r="DM266" t="e">
        <f>Risklog!K39+"AM:!/\R"</f>
        <v>#VALUE!</v>
      </c>
      <c r="DN266" t="e">
        <f>Risklog!L39+"AM:!/\S"</f>
        <v>#VALUE!</v>
      </c>
      <c r="DO266" t="e">
        <f>Risklog!M39+"AM:!/\T"</f>
        <v>#VALUE!</v>
      </c>
      <c r="DP266" t="e">
        <f>Risklog!N39+"AM:!/\U"</f>
        <v>#VALUE!</v>
      </c>
      <c r="DQ266" t="e">
        <f>Risklog!O39+"AM:!/\V"</f>
        <v>#VALUE!</v>
      </c>
      <c r="DR266" s="105" t="e">
        <f>Risklog!P39+"AM:!/\W"</f>
        <v>#VALUE!</v>
      </c>
      <c r="DS266" s="97" t="e">
        <f>Risklog!Q39+"AM:!/\X"</f>
        <v>#VALUE!</v>
      </c>
      <c r="DT266" s="97" t="e">
        <f>Risklog!R39+"AM:!/\Y"</f>
        <v>#VALUE!</v>
      </c>
      <c r="DU266" t="e">
        <f>Risklog!S39+"AM:!/\Z"</f>
        <v>#VALUE!</v>
      </c>
      <c r="DV266" t="e">
        <f>Risklog!T39+"AM:!/\["</f>
        <v>#VALUE!</v>
      </c>
      <c r="DW266" t="e">
        <f>Risklog!U39+"AM:!/\\"</f>
        <v>#VALUE!</v>
      </c>
      <c r="DX266" t="e">
        <f>Risklog!V39+"AM:!/\]"</f>
        <v>#VALUE!</v>
      </c>
      <c r="DY266" t="e">
        <f>Risklog!W39+"AM:!/\^"</f>
        <v>#VALUE!</v>
      </c>
      <c r="DZ266" s="98" t="e">
        <f>Risklog!X39+"AM:!/\_"</f>
        <v>#VALUE!</v>
      </c>
      <c r="EA266" t="e">
        <f>Risklog!Y39+"AM:!/\`"</f>
        <v>#VALUE!</v>
      </c>
      <c r="EB266" t="e">
        <f>Risklog!Z39+"AM:!/\a"</f>
        <v>#VALUE!</v>
      </c>
      <c r="EC266" t="e">
        <f>Risklog!AA39+"AM:!/\b"</f>
        <v>#VALUE!</v>
      </c>
      <c r="ED266" t="e">
        <f>Risklog!A40+"AM:!/\c"</f>
        <v>#VALUE!</v>
      </c>
      <c r="EE266" t="e">
        <f>Risklog!B40+"AM:!/\d"</f>
        <v>#VALUE!</v>
      </c>
      <c r="EF266" t="e">
        <f>Risklog!C40+"AM:!/\e"</f>
        <v>#VALUE!</v>
      </c>
      <c r="EG266" t="e">
        <f>Risklog!D40+"AM:!/\f"</f>
        <v>#VALUE!</v>
      </c>
      <c r="EH266" t="e">
        <f>Risklog!E40+"AM:!/\g"</f>
        <v>#VALUE!</v>
      </c>
      <c r="EI266" t="e">
        <f>Risklog!F40+"AM:!/\h"</f>
        <v>#VALUE!</v>
      </c>
      <c r="EJ266" t="e">
        <f>Risklog!G40+"AM:!/\i"</f>
        <v>#VALUE!</v>
      </c>
      <c r="EK266" t="e">
        <f>Risklog!H40+"AM:!/\j"</f>
        <v>#VALUE!</v>
      </c>
      <c r="EL266" t="e">
        <f>Risklog!I40+"AM:!/\k"</f>
        <v>#VALUE!</v>
      </c>
      <c r="EM266" t="e">
        <f>Risklog!J40+"AM:!/\l"</f>
        <v>#VALUE!</v>
      </c>
      <c r="EN266" t="e">
        <f>Risklog!K40+"AM:!/\m"</f>
        <v>#VALUE!</v>
      </c>
      <c r="EO266" t="e">
        <f>Risklog!L40+"AM:!/\n"</f>
        <v>#VALUE!</v>
      </c>
      <c r="EP266" t="e">
        <f>Risklog!M40+"AM:!/\o"</f>
        <v>#VALUE!</v>
      </c>
      <c r="EQ266" t="e">
        <f>Risklog!N40+"AM:!/\p"</f>
        <v>#VALUE!</v>
      </c>
      <c r="ER266" t="e">
        <f>Risklog!O40+"AM:!/\q"</f>
        <v>#VALUE!</v>
      </c>
      <c r="ES266" s="105" t="e">
        <f>Risklog!P40+"AM:!/\r"</f>
        <v>#VALUE!</v>
      </c>
      <c r="ET266" s="97" t="e">
        <f>Risklog!Q40+"AM:!/\s"</f>
        <v>#VALUE!</v>
      </c>
      <c r="EU266" s="97" t="e">
        <f>Risklog!R40+"AM:!/\t"</f>
        <v>#VALUE!</v>
      </c>
      <c r="EV266" t="e">
        <f>Risklog!S40+"AM:!/\u"</f>
        <v>#VALUE!</v>
      </c>
      <c r="EW266" t="e">
        <f>Risklog!T40+"AM:!/\v"</f>
        <v>#VALUE!</v>
      </c>
      <c r="EX266" t="e">
        <f>Risklog!U40+"AM:!/\w"</f>
        <v>#VALUE!</v>
      </c>
      <c r="EY266" t="e">
        <f>Risklog!V40+"AM:!/\x"</f>
        <v>#VALUE!</v>
      </c>
      <c r="EZ266" t="e">
        <f>Risklog!W40+"AM:!/\y"</f>
        <v>#VALUE!</v>
      </c>
      <c r="FA266" s="98" t="e">
        <f>Risklog!X40+"AM:!/\z"</f>
        <v>#VALUE!</v>
      </c>
      <c r="FB266" t="e">
        <f>Risklog!Y40+"AM:!/\{"</f>
        <v>#VALUE!</v>
      </c>
      <c r="FC266" t="e">
        <f>Risklog!Z40+"AM:!/\|"</f>
        <v>#VALUE!</v>
      </c>
      <c r="FD266" t="e">
        <f>Risklog!AA40+"AM:!/\}"</f>
        <v>#VALUE!</v>
      </c>
      <c r="FE266" t="e">
        <f>Risklog!A41+"AM:!/\~"</f>
        <v>#VALUE!</v>
      </c>
      <c r="FF266" t="e">
        <f>Risklog!B41+"AM:!/]#"</f>
        <v>#VALUE!</v>
      </c>
      <c r="FG266" t="e">
        <f>Risklog!C41+"AM:!/]$"</f>
        <v>#VALUE!</v>
      </c>
      <c r="FH266" t="e">
        <f>Risklog!D41+"AM:!/]%"</f>
        <v>#VALUE!</v>
      </c>
      <c r="FI266" t="e">
        <f>Risklog!E41+"AM:!/]&amp;"</f>
        <v>#VALUE!</v>
      </c>
      <c r="FJ266" t="e">
        <f>Risklog!F41+"AM:!/]'"</f>
        <v>#VALUE!</v>
      </c>
      <c r="FK266" t="e">
        <f>Risklog!G41+"AM:!/]("</f>
        <v>#VALUE!</v>
      </c>
      <c r="FL266" t="e">
        <f>Risklog!H41+"AM:!/])"</f>
        <v>#VALUE!</v>
      </c>
      <c r="FM266" t="e">
        <f>Risklog!I41+"AM:!/]."</f>
        <v>#VALUE!</v>
      </c>
      <c r="FN266" t="e">
        <f>Risklog!J41+"AM:!/]/"</f>
        <v>#VALUE!</v>
      </c>
      <c r="FO266" t="e">
        <f>Risklog!K41+"AM:!/]0"</f>
        <v>#VALUE!</v>
      </c>
      <c r="FP266" t="e">
        <f>Risklog!L41+"AM:!/]1"</f>
        <v>#VALUE!</v>
      </c>
      <c r="FQ266" t="e">
        <f>Risklog!M41+"AM:!/]2"</f>
        <v>#VALUE!</v>
      </c>
      <c r="FR266" t="e">
        <f>Risklog!N41+"AM:!/]3"</f>
        <v>#VALUE!</v>
      </c>
      <c r="FS266" t="e">
        <f>Risklog!O41+"AM:!/]4"</f>
        <v>#VALUE!</v>
      </c>
      <c r="FT266" s="105" t="e">
        <f>Risklog!P41+"AM:!/]5"</f>
        <v>#VALUE!</v>
      </c>
      <c r="FU266" s="97" t="e">
        <f>Risklog!Q41+"AM:!/]6"</f>
        <v>#VALUE!</v>
      </c>
      <c r="FV266" s="97" t="e">
        <f>Risklog!R41+"AM:!/]7"</f>
        <v>#VALUE!</v>
      </c>
      <c r="FW266" t="e">
        <f>Risklog!S41+"AM:!/]8"</f>
        <v>#VALUE!</v>
      </c>
      <c r="FX266" t="e">
        <f>Risklog!T41+"AM:!/]9"</f>
        <v>#VALUE!</v>
      </c>
      <c r="FY266" t="e">
        <f>Risklog!U41+"AM:!/]:"</f>
        <v>#VALUE!</v>
      </c>
      <c r="FZ266" t="e">
        <f>Risklog!V41+"AM:!/];"</f>
        <v>#VALUE!</v>
      </c>
      <c r="GA266" t="e">
        <f>Risklog!W41+"AM:!/]&lt;"</f>
        <v>#VALUE!</v>
      </c>
      <c r="GB266" s="98" t="e">
        <f>Risklog!X41+"AM:!/]="</f>
        <v>#VALUE!</v>
      </c>
      <c r="GC266" t="e">
        <f>Risklog!Y41+"AM:!/]&gt;"</f>
        <v>#VALUE!</v>
      </c>
      <c r="GD266" t="e">
        <f>Risklog!Z41+"AM:!/]?"</f>
        <v>#VALUE!</v>
      </c>
      <c r="GE266" t="e">
        <f>Risklog!AA41+"AM:!/]@"</f>
        <v>#VALUE!</v>
      </c>
      <c r="GF266" t="e">
        <f>Risklog!A42+"AM:!/]A"</f>
        <v>#VALUE!</v>
      </c>
      <c r="GG266" t="e">
        <f>Risklog!B42+"AM:!/]B"</f>
        <v>#VALUE!</v>
      </c>
      <c r="GH266" t="e">
        <f>Risklog!C42+"AM:!/]C"</f>
        <v>#VALUE!</v>
      </c>
      <c r="GI266" t="e">
        <f>Risklog!D42+"AM:!/]D"</f>
        <v>#VALUE!</v>
      </c>
      <c r="GJ266" t="e">
        <f>Risklog!E42+"AM:!/]E"</f>
        <v>#VALUE!</v>
      </c>
      <c r="GK266" t="e">
        <f>Risklog!F42+"AM:!/]F"</f>
        <v>#VALUE!</v>
      </c>
      <c r="GL266" t="e">
        <f>Risklog!G42+"AM:!/]G"</f>
        <v>#VALUE!</v>
      </c>
      <c r="GM266" t="e">
        <f>Risklog!H42+"AM:!/]H"</f>
        <v>#VALUE!</v>
      </c>
      <c r="GN266" t="e">
        <f>Risklog!I42+"AM:!/]I"</f>
        <v>#VALUE!</v>
      </c>
      <c r="GO266" t="e">
        <f>Risklog!J42+"AM:!/]J"</f>
        <v>#VALUE!</v>
      </c>
      <c r="GP266" t="e">
        <f>Risklog!K42+"AM:!/]K"</f>
        <v>#VALUE!</v>
      </c>
      <c r="GQ266" t="e">
        <f>Risklog!L42+"AM:!/]L"</f>
        <v>#VALUE!</v>
      </c>
      <c r="GR266" t="e">
        <f>Risklog!M42+"AM:!/]M"</f>
        <v>#VALUE!</v>
      </c>
      <c r="GS266" t="e">
        <f>Risklog!N42+"AM:!/]N"</f>
        <v>#VALUE!</v>
      </c>
      <c r="GT266" t="e">
        <f>Risklog!O42+"AM:!/]O"</f>
        <v>#VALUE!</v>
      </c>
      <c r="GU266" s="105" t="e">
        <f>Risklog!P42+"AM:!/]P"</f>
        <v>#VALUE!</v>
      </c>
      <c r="GV266" s="97" t="e">
        <f>Risklog!Q42+"AM:!/]Q"</f>
        <v>#VALUE!</v>
      </c>
      <c r="GW266" s="97" t="e">
        <f>Risklog!R42+"AM:!/]R"</f>
        <v>#VALUE!</v>
      </c>
      <c r="GX266" t="e">
        <f>Risklog!S42+"AM:!/]S"</f>
        <v>#VALUE!</v>
      </c>
      <c r="GY266" t="e">
        <f>Risklog!T42+"AM:!/]T"</f>
        <v>#VALUE!</v>
      </c>
      <c r="GZ266" t="e">
        <f>Risklog!U42+"AM:!/]U"</f>
        <v>#VALUE!</v>
      </c>
      <c r="HA266" t="e">
        <f>Risklog!V42+"AM:!/]V"</f>
        <v>#VALUE!</v>
      </c>
      <c r="HB266" t="e">
        <f>Risklog!W42+"AM:!/]W"</f>
        <v>#VALUE!</v>
      </c>
      <c r="HC266" s="98" t="e">
        <f>Risklog!X42+"AM:!/]X"</f>
        <v>#VALUE!</v>
      </c>
      <c r="HD266" t="e">
        <f>Risklog!Y42+"AM:!/]Y"</f>
        <v>#VALUE!</v>
      </c>
      <c r="HE266" t="e">
        <f>Risklog!Z42+"AM:!/]Z"</f>
        <v>#VALUE!</v>
      </c>
      <c r="HF266" t="e">
        <f>Risklog!AA42+"AM:!/]["</f>
        <v>#VALUE!</v>
      </c>
      <c r="HG266" t="e">
        <f>Risklog!A43+"AM:!/]\"</f>
        <v>#VALUE!</v>
      </c>
      <c r="HH266" t="e">
        <f>Risklog!B43+"AM:!/]]"</f>
        <v>#VALUE!</v>
      </c>
      <c r="HI266" t="e">
        <f>Risklog!C43+"AM:!/]^"</f>
        <v>#VALUE!</v>
      </c>
      <c r="HJ266" t="e">
        <f>Risklog!D43+"AM:!/]_"</f>
        <v>#VALUE!</v>
      </c>
      <c r="HK266" t="e">
        <f>Risklog!E43+"AM:!/]`"</f>
        <v>#VALUE!</v>
      </c>
      <c r="HL266" t="e">
        <f>Risklog!F43+"AM:!/]a"</f>
        <v>#VALUE!</v>
      </c>
      <c r="HM266" t="e">
        <f>Risklog!G43+"AM:!/]b"</f>
        <v>#VALUE!</v>
      </c>
      <c r="HN266" t="e">
        <f>Risklog!H43+"AM:!/]c"</f>
        <v>#VALUE!</v>
      </c>
      <c r="HO266" t="e">
        <f>Risklog!I43+"AM:!/]d"</f>
        <v>#VALUE!</v>
      </c>
      <c r="HP266" t="e">
        <f>Risklog!J43+"AM:!/]e"</f>
        <v>#VALUE!</v>
      </c>
      <c r="HQ266" t="e">
        <f>Risklog!K43+"AM:!/]f"</f>
        <v>#VALUE!</v>
      </c>
      <c r="HR266" t="e">
        <f>Risklog!L43+"AM:!/]g"</f>
        <v>#VALUE!</v>
      </c>
      <c r="HS266" t="e">
        <f>Risklog!M43+"AM:!/]h"</f>
        <v>#VALUE!</v>
      </c>
      <c r="HT266" t="e">
        <f>Risklog!N43+"AM:!/]i"</f>
        <v>#VALUE!</v>
      </c>
      <c r="HU266" t="e">
        <f>Risklog!O43+"AM:!/]j"</f>
        <v>#VALUE!</v>
      </c>
      <c r="HV266" s="105" t="e">
        <f>Risklog!P43+"AM:!/]k"</f>
        <v>#VALUE!</v>
      </c>
      <c r="HW266" s="97" t="e">
        <f>Risklog!Q43+"AM:!/]l"</f>
        <v>#VALUE!</v>
      </c>
      <c r="HX266" s="97" t="e">
        <f>Risklog!R43+"AM:!/]m"</f>
        <v>#VALUE!</v>
      </c>
      <c r="HY266" t="e">
        <f>Risklog!S43+"AM:!/]n"</f>
        <v>#VALUE!</v>
      </c>
      <c r="HZ266" t="e">
        <f>Risklog!T43+"AM:!/]o"</f>
        <v>#VALUE!</v>
      </c>
      <c r="IA266" t="e">
        <f>Risklog!U43+"AM:!/]p"</f>
        <v>#VALUE!</v>
      </c>
      <c r="IB266" t="e">
        <f>Risklog!V43+"AM:!/]q"</f>
        <v>#VALUE!</v>
      </c>
      <c r="IC266" t="e">
        <f>Risklog!W43+"AM:!/]r"</f>
        <v>#VALUE!</v>
      </c>
      <c r="ID266" s="98" t="e">
        <f>Risklog!X43+"AM:!/]s"</f>
        <v>#VALUE!</v>
      </c>
      <c r="IE266" t="e">
        <f>Risklog!Y43+"AM:!/]t"</f>
        <v>#VALUE!</v>
      </c>
      <c r="IF266" t="e">
        <f>Risklog!Z43+"AM:!/]u"</f>
        <v>#VALUE!</v>
      </c>
      <c r="IG266" t="e">
        <f>Risklog!AA43+"AM:!/]v"</f>
        <v>#VALUE!</v>
      </c>
      <c r="IH266" t="e">
        <f>Risklog!A44+"AM:!/]w"</f>
        <v>#VALUE!</v>
      </c>
      <c r="II266" t="e">
        <f>Risklog!B44+"AM:!/]x"</f>
        <v>#VALUE!</v>
      </c>
      <c r="IJ266" t="e">
        <f>Risklog!C44+"AM:!/]y"</f>
        <v>#VALUE!</v>
      </c>
      <c r="IK266" t="e">
        <f>Risklog!D44+"AM:!/]z"</f>
        <v>#VALUE!</v>
      </c>
      <c r="IL266" t="e">
        <f>Risklog!E44+"AM:!/]{"</f>
        <v>#VALUE!</v>
      </c>
      <c r="IM266" t="e">
        <f>Risklog!F44+"AM:!/]|"</f>
        <v>#VALUE!</v>
      </c>
      <c r="IN266" t="e">
        <f>Risklog!G44+"AM:!/]}"</f>
        <v>#VALUE!</v>
      </c>
      <c r="IO266" t="e">
        <f>Risklog!H44+"AM:!/]~"</f>
        <v>#VALUE!</v>
      </c>
      <c r="IP266" t="e">
        <f>Risklog!I44+"AM:!/^#"</f>
        <v>#VALUE!</v>
      </c>
      <c r="IQ266" t="e">
        <f>Risklog!J44+"AM:!/^$"</f>
        <v>#VALUE!</v>
      </c>
      <c r="IR266" t="e">
        <f>Risklog!K44+"AM:!/^%"</f>
        <v>#VALUE!</v>
      </c>
      <c r="IS266" t="e">
        <f>Risklog!L44+"AM:!/^&amp;"</f>
        <v>#VALUE!</v>
      </c>
      <c r="IT266" t="e">
        <f>Risklog!M44+"AM:!/^'"</f>
        <v>#VALUE!</v>
      </c>
      <c r="IU266" t="e">
        <f>Risklog!N44+"AM:!/^("</f>
        <v>#VALUE!</v>
      </c>
      <c r="IV266" t="e">
        <f>Risklog!O44+"AM:!/^)"</f>
        <v>#VALUE!</v>
      </c>
    </row>
    <row r="267" spans="6:256">
      <c r="F267" s="105" t="e">
        <f>Risklog!P44+"AM:!/^."</f>
        <v>#VALUE!</v>
      </c>
      <c r="G267" s="97" t="e">
        <f>Risklog!Q44+"AM:!/^/"</f>
        <v>#VALUE!</v>
      </c>
      <c r="H267" s="97" t="e">
        <f>Risklog!R44+"AM:!/^0"</f>
        <v>#VALUE!</v>
      </c>
      <c r="I267" t="e">
        <f>Risklog!S44+"AM:!/^1"</f>
        <v>#VALUE!</v>
      </c>
      <c r="J267" t="e">
        <f>Risklog!T44+"AM:!/^2"</f>
        <v>#VALUE!</v>
      </c>
      <c r="K267" t="e">
        <f>Risklog!U44+"AM:!/^3"</f>
        <v>#VALUE!</v>
      </c>
      <c r="L267" t="e">
        <f>Risklog!V44+"AM:!/^4"</f>
        <v>#VALUE!</v>
      </c>
      <c r="M267" t="e">
        <f>Risklog!W44+"AM:!/^5"</f>
        <v>#VALUE!</v>
      </c>
      <c r="N267" s="98" t="e">
        <f>Risklog!X44+"AM:!/^6"</f>
        <v>#VALUE!</v>
      </c>
      <c r="O267" t="e">
        <f>Risklog!Y44+"AM:!/^7"</f>
        <v>#VALUE!</v>
      </c>
      <c r="P267" t="e">
        <f>Risklog!Z44+"AM:!/^8"</f>
        <v>#VALUE!</v>
      </c>
      <c r="Q267" t="e">
        <f>Risklog!AA44+"AM:!/^9"</f>
        <v>#VALUE!</v>
      </c>
      <c r="R267" t="e">
        <f>Risklog!A45+"AM:!/^:"</f>
        <v>#VALUE!</v>
      </c>
      <c r="S267" t="e">
        <f>Risklog!B45+"AM:!/^;"</f>
        <v>#VALUE!</v>
      </c>
      <c r="T267" t="e">
        <f>Risklog!C45+"AM:!/^&lt;"</f>
        <v>#VALUE!</v>
      </c>
      <c r="U267" t="e">
        <f>Risklog!D45+"AM:!/^="</f>
        <v>#VALUE!</v>
      </c>
      <c r="V267" t="e">
        <f>Risklog!E45+"AM:!/^&gt;"</f>
        <v>#VALUE!</v>
      </c>
      <c r="W267" t="e">
        <f>Risklog!F45+"AM:!/^?"</f>
        <v>#VALUE!</v>
      </c>
      <c r="X267" t="e">
        <f>Risklog!G45+"AM:!/^@"</f>
        <v>#VALUE!</v>
      </c>
      <c r="Y267" t="e">
        <f>Risklog!H45+"AM:!/^A"</f>
        <v>#VALUE!</v>
      </c>
      <c r="Z267" t="e">
        <f>Risklog!I45+"AM:!/^B"</f>
        <v>#VALUE!</v>
      </c>
      <c r="AA267" t="e">
        <f>Risklog!J45+"AM:!/^C"</f>
        <v>#VALUE!</v>
      </c>
      <c r="AB267" t="e">
        <f>Risklog!K45+"AM:!/^D"</f>
        <v>#VALUE!</v>
      </c>
      <c r="AC267" t="e">
        <f>Risklog!L45+"AM:!/^E"</f>
        <v>#VALUE!</v>
      </c>
      <c r="AD267" t="e">
        <f>Risklog!M45+"AM:!/^F"</f>
        <v>#VALUE!</v>
      </c>
      <c r="AE267" t="e">
        <f>Risklog!N45+"AM:!/^G"</f>
        <v>#VALUE!</v>
      </c>
      <c r="AF267" t="e">
        <f>Risklog!O45+"AM:!/^H"</f>
        <v>#VALUE!</v>
      </c>
      <c r="AG267" s="105" t="e">
        <f>Risklog!P45+"AM:!/^I"</f>
        <v>#VALUE!</v>
      </c>
      <c r="AH267" s="97" t="e">
        <f>Risklog!Q45+"AM:!/^J"</f>
        <v>#VALUE!</v>
      </c>
      <c r="AI267" s="97" t="e">
        <f>Risklog!R45+"AM:!/^K"</f>
        <v>#VALUE!</v>
      </c>
      <c r="AJ267" t="e">
        <f>Risklog!S45+"AM:!/^L"</f>
        <v>#VALUE!</v>
      </c>
      <c r="AK267" t="e">
        <f>Risklog!T45+"AM:!/^M"</f>
        <v>#VALUE!</v>
      </c>
      <c r="AL267" t="e">
        <f>Risklog!U45+"AM:!/^N"</f>
        <v>#VALUE!</v>
      </c>
      <c r="AM267" t="e">
        <f>Risklog!V45+"AM:!/^O"</f>
        <v>#VALUE!</v>
      </c>
      <c r="AN267" t="e">
        <f>Risklog!W45+"AM:!/^P"</f>
        <v>#VALUE!</v>
      </c>
      <c r="AO267" s="98" t="e">
        <f>Risklog!X45+"AM:!/^Q"</f>
        <v>#VALUE!</v>
      </c>
      <c r="AP267" t="e">
        <f>Risklog!Y45+"AM:!/^R"</f>
        <v>#VALUE!</v>
      </c>
      <c r="AQ267" t="e">
        <f>Risklog!Z45+"AM:!/^S"</f>
        <v>#VALUE!</v>
      </c>
      <c r="AR267" t="e">
        <f>Risklog!AA45+"AM:!/^T"</f>
        <v>#VALUE!</v>
      </c>
      <c r="AS267" t="e">
        <f>Risklog!A46+"AM:!/^U"</f>
        <v>#VALUE!</v>
      </c>
      <c r="AT267" t="e">
        <f>Risklog!B46+"AM:!/^V"</f>
        <v>#VALUE!</v>
      </c>
      <c r="AU267" t="e">
        <f>Risklog!C46+"AM:!/^W"</f>
        <v>#VALUE!</v>
      </c>
      <c r="AV267" t="e">
        <f>Risklog!D46+"AM:!/^X"</f>
        <v>#VALUE!</v>
      </c>
      <c r="AW267" t="e">
        <f>Risklog!E46+"AM:!/^Y"</f>
        <v>#VALUE!</v>
      </c>
      <c r="AX267" t="e">
        <f>Risklog!F46+"AM:!/^Z"</f>
        <v>#VALUE!</v>
      </c>
      <c r="AY267" t="e">
        <f>Risklog!G46+"AM:!/^["</f>
        <v>#VALUE!</v>
      </c>
      <c r="AZ267" t="e">
        <f>Risklog!H46+"AM:!/^\"</f>
        <v>#VALUE!</v>
      </c>
      <c r="BA267" t="e">
        <f>Risklog!I46+"AM:!/^]"</f>
        <v>#VALUE!</v>
      </c>
      <c r="BB267" t="e">
        <f>Risklog!J46+"AM:!/^^"</f>
        <v>#VALUE!</v>
      </c>
      <c r="BC267" t="e">
        <f>Risklog!K46+"AM:!/^_"</f>
        <v>#VALUE!</v>
      </c>
      <c r="BD267" t="e">
        <f>Risklog!L46+"AM:!/^`"</f>
        <v>#VALUE!</v>
      </c>
      <c r="BE267" t="e">
        <f>Risklog!M46+"AM:!/^a"</f>
        <v>#VALUE!</v>
      </c>
      <c r="BF267" t="e">
        <f>Risklog!N46+"AM:!/^b"</f>
        <v>#VALUE!</v>
      </c>
      <c r="BG267" t="e">
        <f>Risklog!O46+"AM:!/^c"</f>
        <v>#VALUE!</v>
      </c>
      <c r="BH267" s="105" t="e">
        <f>Risklog!P46+"AM:!/^d"</f>
        <v>#VALUE!</v>
      </c>
      <c r="BI267" s="97" t="e">
        <f>Risklog!Q46+"AM:!/^e"</f>
        <v>#VALUE!</v>
      </c>
      <c r="BJ267" s="97" t="e">
        <f>Risklog!R46+"AM:!/^f"</f>
        <v>#VALUE!</v>
      </c>
      <c r="BK267" t="e">
        <f>Risklog!S46+"AM:!/^g"</f>
        <v>#VALUE!</v>
      </c>
      <c r="BL267" t="e">
        <f>Risklog!T46+"AM:!/^h"</f>
        <v>#VALUE!</v>
      </c>
      <c r="BM267" t="e">
        <f>Risklog!U46+"AM:!/^i"</f>
        <v>#VALUE!</v>
      </c>
      <c r="BN267" t="e">
        <f>Risklog!V46+"AM:!/^j"</f>
        <v>#VALUE!</v>
      </c>
      <c r="BO267" t="e">
        <f>Risklog!W46+"AM:!/^k"</f>
        <v>#VALUE!</v>
      </c>
      <c r="BP267" s="98" t="e">
        <f>Risklog!X46+"AM:!/^l"</f>
        <v>#VALUE!</v>
      </c>
      <c r="BQ267" t="e">
        <f>Risklog!Y46+"AM:!/^m"</f>
        <v>#VALUE!</v>
      </c>
      <c r="BR267" t="e">
        <f>Risklog!Z46+"AM:!/^n"</f>
        <v>#VALUE!</v>
      </c>
      <c r="BS267" t="e">
        <f>Risklog!AA46+"AM:!/^o"</f>
        <v>#VALUE!</v>
      </c>
      <c r="BT267" t="e">
        <f>Risklog!A5+"AM:!/^p"</f>
        <v>#VALUE!</v>
      </c>
      <c r="BU267" t="e">
        <f>Risklog!B5+"AM:!/^q"</f>
        <v>#VALUE!</v>
      </c>
      <c r="BV267" t="e">
        <f>Risklog!C5+"AM:!/^r"</f>
        <v>#VALUE!</v>
      </c>
      <c r="BW267" t="e">
        <f>Risklog!D5+"AM:!/^s"</f>
        <v>#VALUE!</v>
      </c>
      <c r="BX267" t="e">
        <f>Risklog!E5+"AM:!/^t"</f>
        <v>#VALUE!</v>
      </c>
      <c r="BY267" t="e">
        <f>Risklog!F5+"AM:!/^u"</f>
        <v>#VALUE!</v>
      </c>
      <c r="BZ267" t="e">
        <f>Risklog!G5+"AM:!/^v"</f>
        <v>#VALUE!</v>
      </c>
      <c r="CA267" t="e">
        <f>Risklog!H5+"AM:!/^w"</f>
        <v>#VALUE!</v>
      </c>
      <c r="CB267" t="e">
        <f>Risklog!I5+"AM:!/^x"</f>
        <v>#VALUE!</v>
      </c>
      <c r="CC267" t="e">
        <f>Risklog!J5+"AM:!/^y"</f>
        <v>#VALUE!</v>
      </c>
      <c r="CD267" t="e">
        <f>Risklog!K5+"AM:!/^z"</f>
        <v>#VALUE!</v>
      </c>
      <c r="CE267" t="e">
        <f>Risklog!L5+"AM:!/^{"</f>
        <v>#VALUE!</v>
      </c>
      <c r="CF267" t="e">
        <f>Risklog!M5+"AM:!/^|"</f>
        <v>#VALUE!</v>
      </c>
      <c r="CG267" t="e">
        <f>Risklog!N5+"AM:!/^}"</f>
        <v>#VALUE!</v>
      </c>
      <c r="CH267" t="e">
        <f>Risklog!O5+"AM:!/^~"</f>
        <v>#VALUE!</v>
      </c>
      <c r="CI267" t="e">
        <f>Risklog!P5+"AM:!/_#"</f>
        <v>#VALUE!</v>
      </c>
      <c r="CJ267" s="97" t="e">
        <f>Risklog!Q5+"AM:!/_$"</f>
        <v>#VALUE!</v>
      </c>
      <c r="CK267" s="97" t="e">
        <f>Risklog!R5+"AM:!/_%"</f>
        <v>#VALUE!</v>
      </c>
      <c r="CL267" t="e">
        <f>Risklog!S47+"AM:!/_&amp;"</f>
        <v>#VALUE!</v>
      </c>
      <c r="CM267" t="e">
        <f>Risklog!T47+"AM:!/_'"</f>
        <v>#VALUE!</v>
      </c>
      <c r="CN267" t="e">
        <f>Risklog!U47+"AM:!/_("</f>
        <v>#VALUE!</v>
      </c>
      <c r="CO267" t="e">
        <f>Risklog!V47+"AM:!/_)"</f>
        <v>#VALUE!</v>
      </c>
      <c r="CP267" t="e">
        <f>Risklog!W47+"AM:!/_."</f>
        <v>#VALUE!</v>
      </c>
      <c r="CQ267" t="e">
        <f>Risklog!X47+"AM:!/_/"</f>
        <v>#VALUE!</v>
      </c>
      <c r="CR267" t="e">
        <f>Risklog!Y47+"AM:!/_0"</f>
        <v>#VALUE!</v>
      </c>
      <c r="CS267" t="e">
        <f>Risklog!Z47+"AM:!/_1"</f>
        <v>#VALUE!</v>
      </c>
      <c r="CT267" t="e">
        <f>Risklog!AA47+"AM:!/_2"</f>
        <v>#VALUE!</v>
      </c>
      <c r="CU267" t="e">
        <f>Risklog!A48+"AM:!/_3"</f>
        <v>#VALUE!</v>
      </c>
      <c r="CV267" t="e">
        <f>Risklog!B48+"AM:!/_4"</f>
        <v>#VALUE!</v>
      </c>
      <c r="CW267" t="e">
        <f>Risklog!C48+"AM:!/_5"</f>
        <v>#VALUE!</v>
      </c>
      <c r="CX267" t="e">
        <f>Risklog!D48+"AM:!/_6"</f>
        <v>#VALUE!</v>
      </c>
      <c r="CY267" t="e">
        <f>Risklog!E48+"AM:!/_7"</f>
        <v>#VALUE!</v>
      </c>
      <c r="CZ267" t="e">
        <f>Risklog!F48+"AM:!/_8"</f>
        <v>#VALUE!</v>
      </c>
      <c r="DA267" t="e">
        <f>Risklog!G48+"AM:!/_9"</f>
        <v>#VALUE!</v>
      </c>
      <c r="DB267" t="e">
        <f>Risklog!H48+"AM:!/_:"</f>
        <v>#VALUE!</v>
      </c>
      <c r="DC267" t="e">
        <f>Risklog!I48+"AM:!/_;"</f>
        <v>#VALUE!</v>
      </c>
      <c r="DD267" t="e">
        <f>Risklog!J48+"AM:!/_&lt;"</f>
        <v>#VALUE!</v>
      </c>
      <c r="DE267" t="e">
        <f>Risklog!K48+"AM:!/_="</f>
        <v>#VALUE!</v>
      </c>
      <c r="DF267" t="e">
        <f>Risklog!L48+"AM:!/_&gt;"</f>
        <v>#VALUE!</v>
      </c>
      <c r="DG267" t="e">
        <f>Risklog!M48+"AM:!/_?"</f>
        <v>#VALUE!</v>
      </c>
      <c r="DH267" t="e">
        <f>Risklog!N48+"AM:!/_@"</f>
        <v>#VALUE!</v>
      </c>
      <c r="DI267" t="e">
        <f>Risklog!O48+"AM:!/_A"</f>
        <v>#VALUE!</v>
      </c>
      <c r="DJ267" t="e">
        <f>Risklog!P48+"AM:!/_B"</f>
        <v>#VALUE!</v>
      </c>
      <c r="DK267" t="e">
        <f>Risklog!Q48+"AM:!/_C"</f>
        <v>#VALUE!</v>
      </c>
      <c r="DL267" t="e">
        <f>Risklog!R48+"AM:!/_D"</f>
        <v>#VALUE!</v>
      </c>
      <c r="DM267" t="e">
        <f>Risklog!S48+"AM:!/_E"</f>
        <v>#VALUE!</v>
      </c>
      <c r="DN267" t="e">
        <f>Risklog!T48+"AM:!/_F"</f>
        <v>#VALUE!</v>
      </c>
      <c r="DO267" t="e">
        <f>Risklog!U48+"AM:!/_G"</f>
        <v>#VALUE!</v>
      </c>
      <c r="DP267" t="e">
        <f>Risklog!V48+"AM:!/_H"</f>
        <v>#VALUE!</v>
      </c>
      <c r="DQ267" t="e">
        <f>Risklog!W48+"AM:!/_I"</f>
        <v>#VALUE!</v>
      </c>
      <c r="DR267" t="e">
        <f>Risklog!X48+"AM:!/_J"</f>
        <v>#VALUE!</v>
      </c>
      <c r="DS267" t="e">
        <f>Risklog!Y48+"AM:!/_K"</f>
        <v>#VALUE!</v>
      </c>
      <c r="DT267" t="e">
        <f>Risklog!Z48+"AM:!/_L"</f>
        <v>#VALUE!</v>
      </c>
      <c r="DU267" t="e">
        <f>Risklog!AA48+"AM:!/_M"</f>
        <v>#VALUE!</v>
      </c>
      <c r="DV267" t="e">
        <f>Risklog!A49+"AM:!/_N"</f>
        <v>#VALUE!</v>
      </c>
      <c r="DW267" t="e">
        <f>Risklog!B49+"AM:!/_O"</f>
        <v>#VALUE!</v>
      </c>
      <c r="DX267" t="e">
        <f>Risklog!C49+"AM:!/_P"</f>
        <v>#VALUE!</v>
      </c>
      <c r="DY267" t="e">
        <f>Risklog!D49+"AM:!/_Q"</f>
        <v>#VALUE!</v>
      </c>
      <c r="DZ267" t="e">
        <f>Risklog!E49+"AM:!/_R"</f>
        <v>#VALUE!</v>
      </c>
      <c r="EA267" t="e">
        <f>Risklog!F49+"AM:!/_S"</f>
        <v>#VALUE!</v>
      </c>
      <c r="EB267" t="e">
        <f>Risklog!G49+"AM:!/_T"</f>
        <v>#VALUE!</v>
      </c>
      <c r="EC267" t="e">
        <f>Risklog!H49+"AM:!/_U"</f>
        <v>#VALUE!</v>
      </c>
      <c r="ED267" t="e">
        <f>Risklog!I49+"AM:!/_V"</f>
        <v>#VALUE!</v>
      </c>
      <c r="EE267" t="e">
        <f>Risklog!J49+"AM:!/_W"</f>
        <v>#VALUE!</v>
      </c>
      <c r="EF267" t="e">
        <f>Risklog!K49+"AM:!/_X"</f>
        <v>#VALUE!</v>
      </c>
      <c r="EG267" t="e">
        <f>Risklog!L49+"AM:!/_Y"</f>
        <v>#VALUE!</v>
      </c>
      <c r="EH267" t="e">
        <f>Risklog!M49+"AM:!/_Z"</f>
        <v>#VALUE!</v>
      </c>
      <c r="EI267" t="e">
        <f>Risklog!N49+"AM:!/_["</f>
        <v>#VALUE!</v>
      </c>
      <c r="EJ267" t="e">
        <f>Risklog!O49+"AM:!/_\"</f>
        <v>#VALUE!</v>
      </c>
      <c r="EK267" t="e">
        <f>Risklog!P49+"AM:!/_]"</f>
        <v>#VALUE!</v>
      </c>
      <c r="EL267" t="e">
        <f>Risklog!Q49+"AM:!/_^"</f>
        <v>#VALUE!</v>
      </c>
      <c r="EM267" t="e">
        <f>Risklog!R49+"AM:!/__"</f>
        <v>#VALUE!</v>
      </c>
      <c r="EN267" t="e">
        <f>Risklog!S49+"AM:!/_`"</f>
        <v>#VALUE!</v>
      </c>
      <c r="EO267" t="e">
        <f>Risklog!T49+"AM:!/_a"</f>
        <v>#VALUE!</v>
      </c>
      <c r="EP267" t="e">
        <f>Risklog!U49+"AM:!/_b"</f>
        <v>#VALUE!</v>
      </c>
      <c r="EQ267" t="e">
        <f>Risklog!V49+"AM:!/_c"</f>
        <v>#VALUE!</v>
      </c>
      <c r="ER267" t="e">
        <f>Risklog!W49+"AM:!/_d"</f>
        <v>#VALUE!</v>
      </c>
      <c r="ES267" t="e">
        <f>Risklog!X49+"AM:!/_e"</f>
        <v>#VALUE!</v>
      </c>
      <c r="ET267" t="e">
        <f>Risklog!Y49+"AM:!/_f"</f>
        <v>#VALUE!</v>
      </c>
      <c r="EU267" t="e">
        <f>Risklog!Z49+"AM:!/_g"</f>
        <v>#VALUE!</v>
      </c>
      <c r="EV267" t="e">
        <f>Risklog!AA49+"AM:!/_h"</f>
        <v>#VALUE!</v>
      </c>
      <c r="EW267" t="e">
        <f>Risklog!A50+"AM:!/_i"</f>
        <v>#VALUE!</v>
      </c>
      <c r="EX267" t="e">
        <f>Risklog!B50+"AM:!/_j"</f>
        <v>#VALUE!</v>
      </c>
      <c r="EY267" t="e">
        <f>Risklog!C50+"AM:!/_k"</f>
        <v>#VALUE!</v>
      </c>
      <c r="EZ267" t="e">
        <f>Risklog!D50+"AM:!/_l"</f>
        <v>#VALUE!</v>
      </c>
      <c r="FA267" t="e">
        <f>Risklog!E50+"AM:!/_m"</f>
        <v>#VALUE!</v>
      </c>
      <c r="FB267" t="e">
        <f>Risklog!F50+"AM:!/_n"</f>
        <v>#VALUE!</v>
      </c>
      <c r="FC267" t="e">
        <f>Risklog!G50+"AM:!/_o"</f>
        <v>#VALUE!</v>
      </c>
      <c r="FD267" t="e">
        <f>Risklog!H50+"AM:!/_p"</f>
        <v>#VALUE!</v>
      </c>
      <c r="FE267" t="e">
        <f>Risklog!I50+"AM:!/_q"</f>
        <v>#VALUE!</v>
      </c>
      <c r="FF267" t="e">
        <f>Risklog!J50+"AM:!/_r"</f>
        <v>#VALUE!</v>
      </c>
      <c r="FG267" t="e">
        <f>Risklog!K50+"AM:!/_s"</f>
        <v>#VALUE!</v>
      </c>
      <c r="FH267" t="e">
        <f>Risklog!L50+"AM:!/_t"</f>
        <v>#VALUE!</v>
      </c>
      <c r="FI267" t="e">
        <f>Risklog!M50+"AM:!/_u"</f>
        <v>#VALUE!</v>
      </c>
      <c r="FJ267" t="e">
        <f>Risklog!N50+"AM:!/_v"</f>
        <v>#VALUE!</v>
      </c>
      <c r="FK267" t="e">
        <f>Risklog!O50+"AM:!/_w"</f>
        <v>#VALUE!</v>
      </c>
      <c r="FL267" t="e">
        <f>Risklog!P50+"AM:!/_x"</f>
        <v>#VALUE!</v>
      </c>
      <c r="FM267" t="e">
        <f>Risklog!Q50+"AM:!/_y"</f>
        <v>#VALUE!</v>
      </c>
      <c r="FN267" t="e">
        <f>Risklog!R50+"AM:!/_z"</f>
        <v>#VALUE!</v>
      </c>
      <c r="FO267" t="e">
        <f>Risklog!S50+"AM:!/_{"</f>
        <v>#VALUE!</v>
      </c>
      <c r="FP267" t="e">
        <f>Risklog!T50+"AM:!/_|"</f>
        <v>#VALUE!</v>
      </c>
      <c r="FQ267" t="e">
        <f>Risklog!U50+"AM:!/_}"</f>
        <v>#VALUE!</v>
      </c>
      <c r="FR267" t="e">
        <f>Risklog!V50+"AM:!/_~"</f>
        <v>#VALUE!</v>
      </c>
      <c r="FS267" t="e">
        <f>Risklog!W50+"AM:!/`#"</f>
        <v>#VALUE!</v>
      </c>
      <c r="FT267" t="e">
        <f>Risklog!X50+"AM:!/`$"</f>
        <v>#VALUE!</v>
      </c>
      <c r="FU267" t="e">
        <f>Risklog!Y50+"AM:!/`%"</f>
        <v>#VALUE!</v>
      </c>
      <c r="FV267" t="e">
        <f>Risklog!Z50+"AM:!/`&amp;"</f>
        <v>#VALUE!</v>
      </c>
      <c r="FW267" t="e">
        <f>Risklog!AA50+"AM:!/`'"</f>
        <v>#VALUE!</v>
      </c>
      <c r="FX267" t="e">
        <f>Risklog!A51+"AM:!/`("</f>
        <v>#VALUE!</v>
      </c>
      <c r="FY267" t="e">
        <f>Risklog!B51+"AM:!/`)"</f>
        <v>#VALUE!</v>
      </c>
      <c r="FZ267" t="e">
        <f>Risklog!C51+"AM:!/`."</f>
        <v>#VALUE!</v>
      </c>
      <c r="GA267" t="e">
        <f>Risklog!D51+"AM:!/`/"</f>
        <v>#VALUE!</v>
      </c>
      <c r="GB267" t="e">
        <f>Risklog!E51+"AM:!/`0"</f>
        <v>#VALUE!</v>
      </c>
      <c r="GC267" t="e">
        <f>Risklog!F51+"AM:!/`1"</f>
        <v>#VALUE!</v>
      </c>
      <c r="GD267" t="e">
        <f>Risklog!G51+"AM:!/`2"</f>
        <v>#VALUE!</v>
      </c>
      <c r="GE267" t="e">
        <f>Risklog!H51+"AM:!/`3"</f>
        <v>#VALUE!</v>
      </c>
      <c r="GF267" t="e">
        <f>Risklog!I51+"AM:!/`4"</f>
        <v>#VALUE!</v>
      </c>
      <c r="GG267" t="e">
        <f>Risklog!J51+"AM:!/`5"</f>
        <v>#VALUE!</v>
      </c>
      <c r="GH267" t="e">
        <f>Risklog!K51+"AM:!/`6"</f>
        <v>#VALUE!</v>
      </c>
      <c r="GI267" t="e">
        <f>Risklog!L51+"AM:!/`7"</f>
        <v>#VALUE!</v>
      </c>
      <c r="GJ267" t="e">
        <f>Risklog!M51+"AM:!/`8"</f>
        <v>#VALUE!</v>
      </c>
      <c r="GK267" t="e">
        <f>Risklog!N51+"AM:!/`9"</f>
        <v>#VALUE!</v>
      </c>
      <c r="GL267" t="e">
        <f>Risklog!O51+"AM:!/`:"</f>
        <v>#VALUE!</v>
      </c>
      <c r="GM267" t="e">
        <f>Risklog!P51+"AM:!/`;"</f>
        <v>#VALUE!</v>
      </c>
      <c r="GN267" t="e">
        <f>Risklog!Q51+"AM:!/`&lt;"</f>
        <v>#VALUE!</v>
      </c>
      <c r="GO267" t="e">
        <f>Risklog!R51+"AM:!/`="</f>
        <v>#VALUE!</v>
      </c>
      <c r="GP267" t="e">
        <f>Risklog!S51+"AM:!/`&gt;"</f>
        <v>#VALUE!</v>
      </c>
      <c r="GQ267" t="e">
        <f>Risklog!T51+"AM:!/`?"</f>
        <v>#VALUE!</v>
      </c>
      <c r="GR267" t="e">
        <f>Risklog!U51+"AM:!/`@"</f>
        <v>#VALUE!</v>
      </c>
      <c r="GS267" t="e">
        <f>Risklog!V51+"AM:!/`A"</f>
        <v>#VALUE!</v>
      </c>
      <c r="GT267" t="e">
        <f>Risklog!W51+"AM:!/`B"</f>
        <v>#VALUE!</v>
      </c>
      <c r="GU267" t="e">
        <f>Risklog!X51+"AM:!/`C"</f>
        <v>#VALUE!</v>
      </c>
      <c r="GV267" t="e">
        <f>Risklog!Y51+"AM:!/`D"</f>
        <v>#VALUE!</v>
      </c>
      <c r="GW267" t="e">
        <f>Risklog!Z51+"AM:!/`E"</f>
        <v>#VALUE!</v>
      </c>
      <c r="GX267" t="e">
        <f>Risklog!AA51+"AM:!/`F"</f>
        <v>#VALUE!</v>
      </c>
      <c r="GY267" t="e">
        <f>Risklog!A52+"AM:!/`G"</f>
        <v>#VALUE!</v>
      </c>
      <c r="GZ267" t="e">
        <f>Risklog!B52+"AM:!/`H"</f>
        <v>#VALUE!</v>
      </c>
      <c r="HA267" t="e">
        <f>Risklog!C52+"AM:!/`I"</f>
        <v>#VALUE!</v>
      </c>
      <c r="HB267" t="e">
        <f>Risklog!D52+"AM:!/`J"</f>
        <v>#VALUE!</v>
      </c>
      <c r="HC267" t="e">
        <f>Risklog!E52+"AM:!/`K"</f>
        <v>#VALUE!</v>
      </c>
      <c r="HD267" t="e">
        <f>Risklog!F52+"AM:!/`L"</f>
        <v>#VALUE!</v>
      </c>
      <c r="HE267" t="e">
        <f>Risklog!G52+"AM:!/`M"</f>
        <v>#VALUE!</v>
      </c>
      <c r="HF267" t="e">
        <f>Risklog!H52+"AM:!/`N"</f>
        <v>#VALUE!</v>
      </c>
      <c r="HG267" t="e">
        <f>Risklog!I52+"AM:!/`O"</f>
        <v>#VALUE!</v>
      </c>
      <c r="HH267" t="e">
        <f>Risklog!J52+"AM:!/`P"</f>
        <v>#VALUE!</v>
      </c>
      <c r="HI267" s="97" t="e">
        <f>Risklog!K52+"AM:!/`Q"</f>
        <v>#VALUE!</v>
      </c>
      <c r="HJ267" t="e">
        <f>Risklog!L52+"AM:!/`R"</f>
        <v>#VALUE!</v>
      </c>
      <c r="HK267" t="e">
        <f>Risklog!M52+"AM:!/`S"</f>
        <v>#VALUE!</v>
      </c>
      <c r="HL267" s="105" t="e">
        <f>Risklog!N52+"AM:!/`T"</f>
        <v>#VALUE!</v>
      </c>
      <c r="HM267" t="e">
        <f>Risklog!O52+"AM:!/`U"</f>
        <v>#VALUE!</v>
      </c>
      <c r="HN267" t="e">
        <f>Risklog!P52+"AM:!/`V"</f>
        <v>#VALUE!</v>
      </c>
      <c r="HO267" t="e">
        <f>Risklog!Q52+"AM:!/`W"</f>
        <v>#VALUE!</v>
      </c>
      <c r="HP267" t="e">
        <f>Risklog!R52+"AM:!/`X"</f>
        <v>#VALUE!</v>
      </c>
      <c r="HQ267" t="e">
        <f>Risklog!S52+"AM:!/`Y"</f>
        <v>#VALUE!</v>
      </c>
      <c r="HR267" t="e">
        <f>Risklog!T52+"AM:!/`Z"</f>
        <v>#VALUE!</v>
      </c>
      <c r="HS267" t="e">
        <f>Risklog!U52+"AM:!/`["</f>
        <v>#VALUE!</v>
      </c>
      <c r="HT267" t="e">
        <f>Risklog!V52+"AM:!/`\"</f>
        <v>#VALUE!</v>
      </c>
      <c r="HU267" s="97" t="e">
        <f>Risklog!W52+"AM:!/`]"</f>
        <v>#VALUE!</v>
      </c>
      <c r="HV267" t="e">
        <f>Risklog!X52+"AM:!/`^"</f>
        <v>#VALUE!</v>
      </c>
      <c r="HW267" t="e">
        <f>Risklog!Y52+"AM:!/`_"</f>
        <v>#VALUE!</v>
      </c>
      <c r="HX267" t="e">
        <f>Risklog!Z52+"AM:!/``"</f>
        <v>#VALUE!</v>
      </c>
      <c r="HY267" t="e">
        <f>Risklog!AA52+"AM:!/`a"</f>
        <v>#VALUE!</v>
      </c>
      <c r="HZ267" t="e">
        <f>Risklog!A53+"AM:!/`b"</f>
        <v>#VALUE!</v>
      </c>
      <c r="IA267" t="e">
        <f>Risklog!B53+"AM:!/`c"</f>
        <v>#VALUE!</v>
      </c>
      <c r="IB267" t="e">
        <f ca="1">Risklog!C53+"AM:!/`d"</f>
        <v>#VALUE!</v>
      </c>
      <c r="IC267" t="e">
        <f>Risklog!D53+"AM:!/`e"</f>
        <v>#VALUE!</v>
      </c>
      <c r="ID267" t="e">
        <f ca="1">Risklog!E53+"AM:!/`f"</f>
        <v>#VALUE!</v>
      </c>
      <c r="IE267" t="e">
        <f ca="1">Risklog!F53+"AM:!/`g"</f>
        <v>#VALUE!</v>
      </c>
      <c r="IF267" t="e">
        <f ca="1">Risklog!G53+"AM:!/`h"</f>
        <v>#VALUE!</v>
      </c>
      <c r="IG267" t="e">
        <f ca="1">Risklog!H53+"AM:!/`i"</f>
        <v>#VALUE!</v>
      </c>
      <c r="IH267" t="e">
        <f ca="1">Risklog!I53+"AM:!/`j"</f>
        <v>#VALUE!</v>
      </c>
      <c r="II267" t="e">
        <f ca="1">Risklog!J53+"AM:!/`k"</f>
        <v>#VALUE!</v>
      </c>
      <c r="IJ267" s="97" t="e">
        <f ca="1">Risklog!K53+"AM:!/`l"</f>
        <v>#VALUE!</v>
      </c>
      <c r="IK267" t="e">
        <f ca="1">Risklog!L53+"AM:!/`m"</f>
        <v>#VALUE!</v>
      </c>
      <c r="IL267" t="e">
        <f ca="1">Risklog!M53+"AM:!/`n"</f>
        <v>#VALUE!</v>
      </c>
      <c r="IM267" s="105" t="e">
        <f ca="1">Risklog!N53+"AM:!/`o"</f>
        <v>#VALUE!</v>
      </c>
      <c r="IN267" t="e">
        <f ca="1">Risklog!O53+"AM:!/`p"</f>
        <v>#VALUE!</v>
      </c>
      <c r="IO267" t="e">
        <f ca="1">Risklog!P53+"AM:!/`q"</f>
        <v>#VALUE!</v>
      </c>
      <c r="IP267" t="e">
        <f ca="1">Risklog!Q53+"AM:!/`r"</f>
        <v>#VALUE!</v>
      </c>
      <c r="IQ267" t="e">
        <f ca="1">Risklog!R53+"AM:!/`s"</f>
        <v>#VALUE!</v>
      </c>
      <c r="IR267" t="e">
        <f>Risklog!S53+"AM:!/`t"</f>
        <v>#VALUE!</v>
      </c>
      <c r="IS267" t="e">
        <f ca="1">Risklog!T53+"AM:!/`u"</f>
        <v>#VALUE!</v>
      </c>
      <c r="IT267" t="e">
        <f ca="1">Risklog!U53+"AM:!/`v"</f>
        <v>#VALUE!</v>
      </c>
      <c r="IU267" t="e">
        <f ca="1">Risklog!V53+"AM:!/`w"</f>
        <v>#VALUE!</v>
      </c>
      <c r="IV267" s="97" t="e">
        <f ca="1">Risklog!W53+"AM:!/`x"</f>
        <v>#VALUE!</v>
      </c>
    </row>
    <row r="268" spans="6:256">
      <c r="F268" t="e">
        <f>Risklog!X53+"AM:!/`y"</f>
        <v>#VALUE!</v>
      </c>
      <c r="G268" t="e">
        <f>Risklog!Y53+"AM:!/`z"</f>
        <v>#VALUE!</v>
      </c>
      <c r="H268" t="e">
        <f>Risklog!Z53+"AM:!/`{"</f>
        <v>#VALUE!</v>
      </c>
      <c r="I268" t="e">
        <f>Risklog!AA53+"AM:!/`|"</f>
        <v>#VALUE!</v>
      </c>
      <c r="J268" t="e">
        <f>Risklog!A54+"AM:!/`}"</f>
        <v>#VALUE!</v>
      </c>
      <c r="K268" t="e">
        <f ca="1">Risklog!B54+"AM:!/`~"</f>
        <v>#VALUE!</v>
      </c>
      <c r="L268" t="e">
        <f ca="1">Risklog!C54+"AM:!/a#"</f>
        <v>#VALUE!</v>
      </c>
      <c r="M268" t="e">
        <f>Risklog!D54+"AM:!/a$"</f>
        <v>#VALUE!</v>
      </c>
      <c r="N268" t="e">
        <f ca="1">Risklog!E54+"AM:!/a%"</f>
        <v>#VALUE!</v>
      </c>
      <c r="O268" t="e">
        <f ca="1">Risklog!F54+"AM:!/a&amp;"</f>
        <v>#VALUE!</v>
      </c>
      <c r="P268" t="e">
        <f ca="1">Risklog!G54+"AM:!/a'"</f>
        <v>#VALUE!</v>
      </c>
      <c r="Q268" t="e">
        <f ca="1">Risklog!H54+"AM:!/a("</f>
        <v>#VALUE!</v>
      </c>
      <c r="R268" t="e">
        <f ca="1">Risklog!I54+"AM:!/a)"</f>
        <v>#VALUE!</v>
      </c>
      <c r="S268" t="e">
        <f ca="1">Risklog!J54+"AM:!/a."</f>
        <v>#VALUE!</v>
      </c>
      <c r="T268" s="97" t="e">
        <f ca="1">Risklog!K54+"AM:!/a/"</f>
        <v>#VALUE!</v>
      </c>
      <c r="U268" t="e">
        <f ca="1">Risklog!L54+"AM:!/a0"</f>
        <v>#VALUE!</v>
      </c>
      <c r="V268" t="e">
        <f ca="1">Risklog!M54+"AM:!/a1"</f>
        <v>#VALUE!</v>
      </c>
      <c r="W268" s="105" t="e">
        <f ca="1">Risklog!N54+"AM:!/a2"</f>
        <v>#VALUE!</v>
      </c>
      <c r="X268" t="e">
        <f ca="1">Risklog!O54+"AM:!/a3"</f>
        <v>#VALUE!</v>
      </c>
      <c r="Y268" t="e">
        <f ca="1">Risklog!P54+"AM:!/a4"</f>
        <v>#VALUE!</v>
      </c>
      <c r="Z268" t="e">
        <f ca="1">Risklog!Q54+"AM:!/a5"</f>
        <v>#VALUE!</v>
      </c>
      <c r="AA268" t="e">
        <f ca="1">Risklog!R54+"AM:!/a6"</f>
        <v>#VALUE!</v>
      </c>
      <c r="AB268" t="e">
        <f>Risklog!S54+"AM:!/a7"</f>
        <v>#VALUE!</v>
      </c>
      <c r="AC268" t="e">
        <f ca="1">Risklog!T54+"AM:!/a8"</f>
        <v>#VALUE!</v>
      </c>
      <c r="AD268" t="e">
        <f ca="1">Risklog!U54+"AM:!/a9"</f>
        <v>#VALUE!</v>
      </c>
      <c r="AE268" t="e">
        <f ca="1">Risklog!V54+"AM:!/a:"</f>
        <v>#VALUE!</v>
      </c>
      <c r="AF268" s="97" t="e">
        <f ca="1">Risklog!W54+"AM:!/a;"</f>
        <v>#VALUE!</v>
      </c>
      <c r="AG268" t="e">
        <f>Risklog!X54+"AM:!/a&lt;"</f>
        <v>#VALUE!</v>
      </c>
      <c r="AH268" t="e">
        <f>Risklog!Y54+"AM:!/a="</f>
        <v>#VALUE!</v>
      </c>
      <c r="AI268" t="e">
        <f>Risklog!Z54+"AM:!/a&gt;"</f>
        <v>#VALUE!</v>
      </c>
      <c r="AJ268" t="e">
        <f>Risklog!AA54+"AM:!/a?"</f>
        <v>#VALUE!</v>
      </c>
      <c r="AK268" t="e">
        <f>Risklog!A55+"AM:!/a@"</f>
        <v>#VALUE!</v>
      </c>
      <c r="AL268" t="e">
        <f ca="1">Risklog!B55+"AM:!/aA"</f>
        <v>#VALUE!</v>
      </c>
      <c r="AM268" t="e">
        <f ca="1">Risklog!C55+"AM:!/aB"</f>
        <v>#VALUE!</v>
      </c>
      <c r="AN268" t="e">
        <f>Risklog!D55+"AM:!/aC"</f>
        <v>#VALUE!</v>
      </c>
      <c r="AO268" t="e">
        <f ca="1">Risklog!E55+"AM:!/aD"</f>
        <v>#VALUE!</v>
      </c>
      <c r="AP268" t="e">
        <f ca="1">Risklog!F55+"AM:!/aE"</f>
        <v>#VALUE!</v>
      </c>
      <c r="AQ268" t="e">
        <f ca="1">Risklog!G55+"AM:!/aF"</f>
        <v>#VALUE!</v>
      </c>
      <c r="AR268" t="e">
        <f ca="1">Risklog!H55+"AM:!/aG"</f>
        <v>#VALUE!</v>
      </c>
      <c r="AS268" t="e">
        <f ca="1">Risklog!I55+"AM:!/aH"</f>
        <v>#VALUE!</v>
      </c>
      <c r="AT268" t="e">
        <f ca="1">Risklog!J55+"AM:!/aI"</f>
        <v>#VALUE!</v>
      </c>
      <c r="AU268" s="97" t="e">
        <f ca="1">Risklog!K55+"AM:!/aJ"</f>
        <v>#VALUE!</v>
      </c>
      <c r="AV268" t="e">
        <f ca="1">Risklog!L55+"AM:!/aK"</f>
        <v>#VALUE!</v>
      </c>
      <c r="AW268" t="e">
        <f ca="1">Risklog!M55+"AM:!/aL"</f>
        <v>#VALUE!</v>
      </c>
      <c r="AX268" s="105" t="e">
        <f ca="1">Risklog!N55+"AM:!/aM"</f>
        <v>#VALUE!</v>
      </c>
      <c r="AY268" t="e">
        <f ca="1">Risklog!O55+"AM:!/aN"</f>
        <v>#VALUE!</v>
      </c>
      <c r="AZ268" t="e">
        <f ca="1">Risklog!P55+"AM:!/aO"</f>
        <v>#VALUE!</v>
      </c>
      <c r="BA268" t="e">
        <f ca="1">Risklog!Q55+"AM:!/aP"</f>
        <v>#VALUE!</v>
      </c>
      <c r="BB268" t="e">
        <f ca="1">Risklog!R55+"AM:!/aQ"</f>
        <v>#VALUE!</v>
      </c>
      <c r="BC268" t="e">
        <f>Risklog!S55+"AM:!/aR"</f>
        <v>#VALUE!</v>
      </c>
      <c r="BD268" t="e">
        <f ca="1">Risklog!T55+"AM:!/aS"</f>
        <v>#VALUE!</v>
      </c>
      <c r="BE268" t="e">
        <f ca="1">Risklog!U55+"AM:!/aT"</f>
        <v>#VALUE!</v>
      </c>
      <c r="BF268" t="e">
        <f ca="1">Risklog!V55+"AM:!/aU"</f>
        <v>#VALUE!</v>
      </c>
      <c r="BG268" s="97" t="e">
        <f ca="1">Risklog!W55+"AM:!/aV"</f>
        <v>#VALUE!</v>
      </c>
      <c r="BH268" t="e">
        <f>Risklog!X55+"AM:!/aW"</f>
        <v>#VALUE!</v>
      </c>
      <c r="BI268" t="e">
        <f>Risklog!Y55+"AM:!/aX"</f>
        <v>#VALUE!</v>
      </c>
      <c r="BJ268" t="e">
        <f>Risklog!Z55+"AM:!/aY"</f>
        <v>#VALUE!</v>
      </c>
      <c r="BK268" t="e">
        <f>Risklog!AA55+"AM:!/aZ"</f>
        <v>#VALUE!</v>
      </c>
      <c r="BL268" t="e">
        <f>Risklog!A56+"AM:!/a["</f>
        <v>#VALUE!</v>
      </c>
      <c r="BM268" t="e">
        <f ca="1">Risklog!B56+"AM:!/a\"</f>
        <v>#VALUE!</v>
      </c>
      <c r="BN268" t="e">
        <f ca="1">Risklog!C56+"AM:!/a]"</f>
        <v>#VALUE!</v>
      </c>
      <c r="BO268" t="e">
        <f>Risklog!D56+"AM:!/a^"</f>
        <v>#VALUE!</v>
      </c>
      <c r="BP268" t="e">
        <f ca="1">Risklog!E56+"AM:!/a_"</f>
        <v>#VALUE!</v>
      </c>
      <c r="BQ268" t="e">
        <f ca="1">Risklog!F56+"AM:!/a`"</f>
        <v>#VALUE!</v>
      </c>
      <c r="BR268" t="e">
        <f ca="1">Risklog!G56+"AM:!/aa"</f>
        <v>#VALUE!</v>
      </c>
      <c r="BS268" t="e">
        <f ca="1">Risklog!H56+"AM:!/ab"</f>
        <v>#VALUE!</v>
      </c>
      <c r="BT268" t="e">
        <f ca="1">Risklog!I56+"AM:!/ac"</f>
        <v>#VALUE!</v>
      </c>
      <c r="BU268" t="e">
        <f ca="1">Risklog!J56+"AM:!/ad"</f>
        <v>#VALUE!</v>
      </c>
      <c r="BV268" s="97" t="e">
        <f ca="1">Risklog!K56+"AM:!/ae"</f>
        <v>#VALUE!</v>
      </c>
      <c r="BW268" t="e">
        <f ca="1">Risklog!L56+"AM:!/af"</f>
        <v>#VALUE!</v>
      </c>
      <c r="BX268" t="e">
        <f ca="1">Risklog!M56+"AM:!/ag"</f>
        <v>#VALUE!</v>
      </c>
      <c r="BY268" s="105" t="e">
        <f ca="1">Risklog!N56+"AM:!/ah"</f>
        <v>#VALUE!</v>
      </c>
      <c r="BZ268" t="e">
        <f ca="1">Risklog!O56+"AM:!/ai"</f>
        <v>#VALUE!</v>
      </c>
      <c r="CA268" t="e">
        <f ca="1">Risklog!P56+"AM:!/aj"</f>
        <v>#VALUE!</v>
      </c>
      <c r="CB268" t="e">
        <f ca="1">Risklog!Q56+"AM:!/ak"</f>
        <v>#VALUE!</v>
      </c>
      <c r="CC268" t="e">
        <f ca="1">Risklog!R56+"AM:!/al"</f>
        <v>#VALUE!</v>
      </c>
      <c r="CD268" t="e">
        <f>Risklog!S56+"AM:!/am"</f>
        <v>#VALUE!</v>
      </c>
      <c r="CE268" t="e">
        <f ca="1">Risklog!T56+"AM:!/an"</f>
        <v>#VALUE!</v>
      </c>
      <c r="CF268" t="e">
        <f ca="1">Risklog!U56+"AM:!/ao"</f>
        <v>#VALUE!</v>
      </c>
      <c r="CG268" t="e">
        <f ca="1">Risklog!V56+"AM:!/ap"</f>
        <v>#VALUE!</v>
      </c>
      <c r="CH268" s="97" t="e">
        <f ca="1">Risklog!W56+"AM:!/aq"</f>
        <v>#VALUE!</v>
      </c>
      <c r="CI268" t="e">
        <f>Risklog!X56+"AM:!/ar"</f>
        <v>#VALUE!</v>
      </c>
      <c r="CJ268" t="e">
        <f>Risklog!Y56+"AM:!/as"</f>
        <v>#VALUE!</v>
      </c>
      <c r="CK268" t="e">
        <f>Risklog!Z56+"AM:!/at"</f>
        <v>#VALUE!</v>
      </c>
      <c r="CL268" t="e">
        <f>Risklog!AA56+"AM:!/au"</f>
        <v>#VALUE!</v>
      </c>
      <c r="CM268" t="e">
        <f>Risklog!A57+"AM:!/av"</f>
        <v>#VALUE!</v>
      </c>
      <c r="CN268" t="e">
        <f>Risklog!B57+"AM:!/aw"</f>
        <v>#VALUE!</v>
      </c>
      <c r="CO268" t="e">
        <f>Risklog!C57+"AM:!/ax"</f>
        <v>#VALUE!</v>
      </c>
      <c r="CP268" t="e">
        <f>Risklog!D57+"AM:!/ay"</f>
        <v>#VALUE!</v>
      </c>
      <c r="CQ268" t="e">
        <f>Risklog!E57+"AM:!/az"</f>
        <v>#VALUE!</v>
      </c>
      <c r="CR268" t="e">
        <f>Risklog!F57+"AM:!/a{"</f>
        <v>#VALUE!</v>
      </c>
      <c r="CS268" t="e">
        <f>Risklog!G57+"AM:!/a|"</f>
        <v>#VALUE!</v>
      </c>
      <c r="CT268" t="e">
        <f>Risklog!H57+"AM:!/a}"</f>
        <v>#VALUE!</v>
      </c>
      <c r="CU268" t="e">
        <f>Risklog!I57+"AM:!/a~"</f>
        <v>#VALUE!</v>
      </c>
      <c r="CV268" t="e">
        <f>Risklog!J57+"AM:!/b#"</f>
        <v>#VALUE!</v>
      </c>
      <c r="CW268" t="e">
        <f>Risklog!K57+"AM:!/b$"</f>
        <v>#VALUE!</v>
      </c>
      <c r="CX268" t="e">
        <f>Risklog!L57+"AM:!/b%"</f>
        <v>#VALUE!</v>
      </c>
      <c r="CY268" t="e">
        <f>Risklog!M57+"AM:!/b&amp;"</f>
        <v>#VALUE!</v>
      </c>
      <c r="CZ268" t="e">
        <f>Risklog!N57+"AM:!/b'"</f>
        <v>#VALUE!</v>
      </c>
      <c r="DA268" t="e">
        <f>Risklog!O57+"AM:!/b("</f>
        <v>#VALUE!</v>
      </c>
      <c r="DB268" t="e">
        <f>Risklog!P57+"AM:!/b)"</f>
        <v>#VALUE!</v>
      </c>
      <c r="DC268" t="e">
        <f>Risklog!Q57+"AM:!/b."</f>
        <v>#VALUE!</v>
      </c>
      <c r="DD268" t="e">
        <f>Risklog!R57+"AM:!/b/"</f>
        <v>#VALUE!</v>
      </c>
      <c r="DE268" t="e">
        <f>Risklog!S57+"AM:!/b0"</f>
        <v>#VALUE!</v>
      </c>
      <c r="DF268" t="e">
        <f>Risklog!T57+"AM:!/b1"</f>
        <v>#VALUE!</v>
      </c>
      <c r="DG268" t="e">
        <f>Risklog!U57+"AM:!/b2"</f>
        <v>#VALUE!</v>
      </c>
      <c r="DH268" t="e">
        <f>Risklog!V57+"AM:!/b3"</f>
        <v>#VALUE!</v>
      </c>
      <c r="DI268" t="e">
        <f>Risklog!W57+"AM:!/b4"</f>
        <v>#VALUE!</v>
      </c>
      <c r="DJ268" t="e">
        <f>Risklog!X57+"AM:!/b5"</f>
        <v>#VALUE!</v>
      </c>
      <c r="DK268" t="e">
        <f>Risklog!Y57+"AM:!/b6"</f>
        <v>#VALUE!</v>
      </c>
      <c r="DL268" t="e">
        <f>Risklog!Z57+"AM:!/b7"</f>
        <v>#VALUE!</v>
      </c>
      <c r="DM268" t="e">
        <f>Risklog!AA57+"AM:!/b8"</f>
        <v>#VALUE!</v>
      </c>
      <c r="DN268" t="e">
        <f>Risklog!A58+"AM:!/b9"</f>
        <v>#VALUE!</v>
      </c>
      <c r="DO268" t="e">
        <f>Risklog!B58+"AM:!/b:"</f>
        <v>#VALUE!</v>
      </c>
      <c r="DP268" t="e">
        <f>Risklog!C58+"AM:!/b;"</f>
        <v>#VALUE!</v>
      </c>
      <c r="DQ268" t="e">
        <f>Risklog!D58+"AM:!/b&lt;"</f>
        <v>#VALUE!</v>
      </c>
      <c r="DR268" t="e">
        <f>Risklog!E58+"AM:!/b="</f>
        <v>#VALUE!</v>
      </c>
      <c r="DS268" t="e">
        <f>Risklog!F58+"AM:!/b&gt;"</f>
        <v>#VALUE!</v>
      </c>
      <c r="DT268" t="e">
        <f>Risklog!G58+"AM:!/b?"</f>
        <v>#VALUE!</v>
      </c>
      <c r="DU268" t="e">
        <f>Risklog!H58+"AM:!/b@"</f>
        <v>#VALUE!</v>
      </c>
      <c r="DV268" t="e">
        <f>Risklog!I58+"AM:!/bA"</f>
        <v>#VALUE!</v>
      </c>
      <c r="DW268" t="e">
        <f>Risklog!J58+"AM:!/bB"</f>
        <v>#VALUE!</v>
      </c>
      <c r="DX268" t="e">
        <f>Risklog!K58+"AM:!/bC"</f>
        <v>#VALUE!</v>
      </c>
      <c r="DY268" t="e">
        <f>Risklog!L58+"AM:!/bD"</f>
        <v>#VALUE!</v>
      </c>
      <c r="DZ268" t="e">
        <f>Risklog!M58+"AM:!/bE"</f>
        <v>#VALUE!</v>
      </c>
      <c r="EA268" t="e">
        <f>Risklog!N58+"AM:!/bF"</f>
        <v>#VALUE!</v>
      </c>
      <c r="EB268" t="e">
        <f>Risklog!O58+"AM:!/bG"</f>
        <v>#VALUE!</v>
      </c>
      <c r="EC268" t="e">
        <f>Risklog!P58+"AM:!/bH"</f>
        <v>#VALUE!</v>
      </c>
      <c r="ED268" t="e">
        <f>Risklog!Q58+"AM:!/bI"</f>
        <v>#VALUE!</v>
      </c>
      <c r="EE268" t="e">
        <f>Risklog!R58+"AM:!/bJ"</f>
        <v>#VALUE!</v>
      </c>
      <c r="EF268" t="e">
        <f>Risklog!S58+"AM:!/bK"</f>
        <v>#VALUE!</v>
      </c>
      <c r="EG268" t="e">
        <f>Risklog!T58+"AM:!/bL"</f>
        <v>#VALUE!</v>
      </c>
      <c r="EH268" t="e">
        <f>Risklog!U58+"AM:!/bM"</f>
        <v>#VALUE!</v>
      </c>
      <c r="EI268" t="e">
        <f>Risklog!V58+"AM:!/bN"</f>
        <v>#VALUE!</v>
      </c>
      <c r="EJ268" t="e">
        <f>Risklog!W58+"AM:!/bO"</f>
        <v>#VALUE!</v>
      </c>
      <c r="EK268" t="e">
        <f>Risklog!X58+"AM:!/bP"</f>
        <v>#VALUE!</v>
      </c>
      <c r="EL268" t="e">
        <f>Risklog!Y58+"AM:!/bQ"</f>
        <v>#VALUE!</v>
      </c>
      <c r="EM268" t="e">
        <f>Risklog!Z58+"AM:!/bR"</f>
        <v>#VALUE!</v>
      </c>
      <c r="EN268" t="e">
        <f>Risklog!AA58+"AM:!/bS"</f>
        <v>#VALUE!</v>
      </c>
      <c r="EO268" t="e">
        <f>Risklog!A59+"AM:!/bT"</f>
        <v>#VALUE!</v>
      </c>
      <c r="EP268" t="e">
        <f>Risklog!B59+"AM:!/bU"</f>
        <v>#VALUE!</v>
      </c>
      <c r="EQ268" t="e">
        <f>Risklog!C59+"AM:!/bV"</f>
        <v>#VALUE!</v>
      </c>
      <c r="ER268" t="e">
        <f>Risklog!D59+"AM:!/bW"</f>
        <v>#VALUE!</v>
      </c>
      <c r="ES268" t="e">
        <f>Risklog!E59+"AM:!/bX"</f>
        <v>#VALUE!</v>
      </c>
      <c r="ET268" t="e">
        <f>Risklog!F59+"AM:!/bY"</f>
        <v>#VALUE!</v>
      </c>
      <c r="EU268" t="e">
        <f>Risklog!G59+"AM:!/bZ"</f>
        <v>#VALUE!</v>
      </c>
      <c r="EV268" t="e">
        <f>Risklog!H59+"AM:!/b["</f>
        <v>#VALUE!</v>
      </c>
      <c r="EW268" t="e">
        <f>Risklog!I59+"AM:!/b\"</f>
        <v>#VALUE!</v>
      </c>
      <c r="EX268" t="e">
        <f>Risklog!J59+"AM:!/b]"</f>
        <v>#VALUE!</v>
      </c>
      <c r="EY268" t="e">
        <f>Risklog!K59+"AM:!/b^"</f>
        <v>#VALUE!</v>
      </c>
      <c r="EZ268" t="e">
        <f>Risklog!L59+"AM:!/b_"</f>
        <v>#VALUE!</v>
      </c>
      <c r="FA268" t="e">
        <f>Risklog!M59+"AM:!/b`"</f>
        <v>#VALUE!</v>
      </c>
      <c r="FB268" t="e">
        <f>Risklog!N59+"AM:!/ba"</f>
        <v>#VALUE!</v>
      </c>
      <c r="FC268" t="e">
        <f>Risklog!O59+"AM:!/bb"</f>
        <v>#VALUE!</v>
      </c>
      <c r="FD268" t="e">
        <f>Risklog!P59+"AM:!/bc"</f>
        <v>#VALUE!</v>
      </c>
      <c r="FE268" t="e">
        <f>Risklog!Q59+"AM:!/bd"</f>
        <v>#VALUE!</v>
      </c>
      <c r="FF268" t="e">
        <f>Risklog!R59+"AM:!/be"</f>
        <v>#VALUE!</v>
      </c>
      <c r="FG268" t="e">
        <f>Risklog!S59+"AM:!/bf"</f>
        <v>#VALUE!</v>
      </c>
      <c r="FH268" t="e">
        <f>Risklog!T59+"AM:!/bg"</f>
        <v>#VALUE!</v>
      </c>
      <c r="FI268" t="e">
        <f>Risklog!U59+"AM:!/bh"</f>
        <v>#VALUE!</v>
      </c>
      <c r="FJ268" t="e">
        <f>Risklog!V59+"AM:!/bi"</f>
        <v>#VALUE!</v>
      </c>
      <c r="FK268" t="e">
        <f>Risklog!W59+"AM:!/bj"</f>
        <v>#VALUE!</v>
      </c>
      <c r="FL268" t="e">
        <f>Risklog!X59+"AM:!/bk"</f>
        <v>#VALUE!</v>
      </c>
      <c r="FM268" t="e">
        <f>Risklog!Y59+"AM:!/bl"</f>
        <v>#VALUE!</v>
      </c>
      <c r="FN268" t="e">
        <f>Risklog!Z59+"AM:!/bm"</f>
        <v>#VALUE!</v>
      </c>
      <c r="FO268" t="e">
        <f>Risklog!AA59+"AM:!/bn"</f>
        <v>#VALUE!</v>
      </c>
      <c r="FP268" t="e">
        <f>Risklog!A60+"AM:!/bo"</f>
        <v>#VALUE!</v>
      </c>
      <c r="FQ268" t="e">
        <f>Risklog!B60+"AM:!/bp"</f>
        <v>#VALUE!</v>
      </c>
      <c r="FR268" t="e">
        <f>Risklog!C60+"AM:!/bq"</f>
        <v>#VALUE!</v>
      </c>
      <c r="FS268" t="e">
        <f>Risklog!D60+"AM:!/br"</f>
        <v>#VALUE!</v>
      </c>
      <c r="FT268" t="e">
        <f>Risklog!E60+"AM:!/bs"</f>
        <v>#VALUE!</v>
      </c>
      <c r="FU268" t="e">
        <f>Risklog!F60+"AM:!/bt"</f>
        <v>#VALUE!</v>
      </c>
      <c r="FV268" t="e">
        <f>Risklog!G60+"AM:!/bu"</f>
        <v>#VALUE!</v>
      </c>
      <c r="FW268" t="e">
        <f>Risklog!H60+"AM:!/bv"</f>
        <v>#VALUE!</v>
      </c>
      <c r="FX268" t="e">
        <f>Risklog!I60+"AM:!/bw"</f>
        <v>#VALUE!</v>
      </c>
      <c r="FY268" t="e">
        <f>Risklog!J60+"AM:!/bx"</f>
        <v>#VALUE!</v>
      </c>
      <c r="FZ268" t="e">
        <f>Risklog!K60+"AM:!/by"</f>
        <v>#VALUE!</v>
      </c>
      <c r="GA268" t="e">
        <f>Risklog!L60+"AM:!/bz"</f>
        <v>#VALUE!</v>
      </c>
      <c r="GB268" t="e">
        <f>Risklog!M60+"AM:!/b{"</f>
        <v>#VALUE!</v>
      </c>
      <c r="GC268" t="e">
        <f>Risklog!N60+"AM:!/b|"</f>
        <v>#VALUE!</v>
      </c>
      <c r="GD268" t="e">
        <f>Risklog!O60+"AM:!/b}"</f>
        <v>#VALUE!</v>
      </c>
      <c r="GE268" t="e">
        <f>Risklog!P60+"AM:!/b~"</f>
        <v>#VALUE!</v>
      </c>
      <c r="GF268" t="e">
        <f>Risklog!Q60+"AM:!/c#"</f>
        <v>#VALUE!</v>
      </c>
      <c r="GG268" t="e">
        <f>Risklog!R60+"AM:!/c$"</f>
        <v>#VALUE!</v>
      </c>
      <c r="GH268" t="e">
        <f>Risklog!S60+"AM:!/c%"</f>
        <v>#VALUE!</v>
      </c>
      <c r="GI268" t="e">
        <f>Risklog!T60+"AM:!/c&amp;"</f>
        <v>#VALUE!</v>
      </c>
      <c r="GJ268" t="e">
        <f>Risklog!U60+"AM:!/c'"</f>
        <v>#VALUE!</v>
      </c>
      <c r="GK268" t="e">
        <f>Risklog!V60+"AM:!/c("</f>
        <v>#VALUE!</v>
      </c>
      <c r="GL268" t="e">
        <f>Risklog!W60+"AM:!/c)"</f>
        <v>#VALUE!</v>
      </c>
      <c r="GM268" t="e">
        <f>Risklog!X60+"AM:!/c."</f>
        <v>#VALUE!</v>
      </c>
      <c r="GN268" t="e">
        <f>Risklog!Y60+"AM:!/c/"</f>
        <v>#VALUE!</v>
      </c>
      <c r="GO268" t="e">
        <f>Risklog!Z60+"AM:!/c0"</f>
        <v>#VALUE!</v>
      </c>
      <c r="GP268" t="e">
        <f>Risklog!AA60+"AM:!/c1"</f>
        <v>#VALUE!</v>
      </c>
      <c r="GQ268" t="e">
        <f>Risklog!A61+"AM:!/c2"</f>
        <v>#VALUE!</v>
      </c>
      <c r="GR268" t="e">
        <f>Risklog!B61+"AM:!/c3"</f>
        <v>#VALUE!</v>
      </c>
      <c r="GS268" t="e">
        <f>Risklog!C61+"AM:!/c4"</f>
        <v>#VALUE!</v>
      </c>
      <c r="GT268" t="e">
        <f>Risklog!D61+"AM:!/c5"</f>
        <v>#VALUE!</v>
      </c>
      <c r="GU268" t="e">
        <f>Risklog!E61+"AM:!/c6"</f>
        <v>#VALUE!</v>
      </c>
      <c r="GV268" t="e">
        <f>Risklog!F61+"AM:!/c7"</f>
        <v>#VALUE!</v>
      </c>
      <c r="GW268" t="e">
        <f>Risklog!G61+"AM:!/c8"</f>
        <v>#VALUE!</v>
      </c>
      <c r="GX268" t="e">
        <f>Risklog!H61+"AM:!/c9"</f>
        <v>#VALUE!</v>
      </c>
      <c r="GY268" t="e">
        <f>Risklog!I61+"AM:!/c:"</f>
        <v>#VALUE!</v>
      </c>
      <c r="GZ268" t="e">
        <f>Risklog!J61+"AM:!/c;"</f>
        <v>#VALUE!</v>
      </c>
      <c r="HA268" t="e">
        <f>Risklog!K61+"AM:!/c&lt;"</f>
        <v>#VALUE!</v>
      </c>
      <c r="HB268" t="e">
        <f>Risklog!L61+"AM:!/c="</f>
        <v>#VALUE!</v>
      </c>
      <c r="HC268" t="e">
        <f>Risklog!M61+"AM:!/c&gt;"</f>
        <v>#VALUE!</v>
      </c>
      <c r="HD268" t="e">
        <f>Risklog!N61+"AM:!/c?"</f>
        <v>#VALUE!</v>
      </c>
      <c r="HE268" t="e">
        <f>Risklog!O61+"AM:!/c@"</f>
        <v>#VALUE!</v>
      </c>
      <c r="HF268" t="e">
        <f>Risklog!P61+"AM:!/cA"</f>
        <v>#VALUE!</v>
      </c>
      <c r="HG268" t="e">
        <f>Risklog!Q61+"AM:!/cB"</f>
        <v>#VALUE!</v>
      </c>
      <c r="HH268" t="e">
        <f>Risklog!R61+"AM:!/cC"</f>
        <v>#VALUE!</v>
      </c>
      <c r="HI268" t="e">
        <f>Risklog!S61+"AM:!/cD"</f>
        <v>#VALUE!</v>
      </c>
      <c r="HJ268" t="e">
        <f>Risklog!T61+"AM:!/cE"</f>
        <v>#VALUE!</v>
      </c>
      <c r="HK268" t="e">
        <f>Risklog!U61+"AM:!/cF"</f>
        <v>#VALUE!</v>
      </c>
      <c r="HL268" t="e">
        <f>Risklog!V61+"AM:!/cG"</f>
        <v>#VALUE!</v>
      </c>
      <c r="HM268" t="e">
        <f>Risklog!W61+"AM:!/cH"</f>
        <v>#VALUE!</v>
      </c>
      <c r="HN268" t="e">
        <f>Risklog!X61+"AM:!/cI"</f>
        <v>#VALUE!</v>
      </c>
      <c r="HO268" t="e">
        <f>Risklog!Y61+"AM:!/cJ"</f>
        <v>#VALUE!</v>
      </c>
      <c r="HP268" t="e">
        <f>Risklog!Z61+"AM:!/cK"</f>
        <v>#VALUE!</v>
      </c>
      <c r="HQ268" t="e">
        <f>Risklog!AA61+"AM:!/cL"</f>
        <v>#VALUE!</v>
      </c>
      <c r="HR268" t="e">
        <f>Risklog!A62+"AM:!/cM"</f>
        <v>#VALUE!</v>
      </c>
      <c r="HS268" t="e">
        <f>Risklog!B62+"AM:!/cN"</f>
        <v>#VALUE!</v>
      </c>
      <c r="HT268" t="e">
        <f>Risklog!C62+"AM:!/cO"</f>
        <v>#VALUE!</v>
      </c>
      <c r="HU268" t="e">
        <f>Risklog!D62+"AM:!/cP"</f>
        <v>#VALUE!</v>
      </c>
      <c r="HV268" t="e">
        <f>Risklog!E62+"AM:!/cQ"</f>
        <v>#VALUE!</v>
      </c>
      <c r="HW268" t="e">
        <f>Risklog!F62+"AM:!/cR"</f>
        <v>#VALUE!</v>
      </c>
      <c r="HX268" t="e">
        <f>Risklog!G62+"AM:!/cS"</f>
        <v>#VALUE!</v>
      </c>
      <c r="HY268" t="e">
        <f>Risklog!H62+"AM:!/cT"</f>
        <v>#VALUE!</v>
      </c>
      <c r="HZ268" t="e">
        <f>Risklog!I62+"AM:!/cU"</f>
        <v>#VALUE!</v>
      </c>
      <c r="IA268" t="e">
        <f>Risklog!J62+"AM:!/cV"</f>
        <v>#VALUE!</v>
      </c>
      <c r="IB268" s="97" t="e">
        <f>Risklog!K62+"AM:!/cW"</f>
        <v>#VALUE!</v>
      </c>
      <c r="IC268" t="e">
        <f>Risklog!L62+"AM:!/cX"</f>
        <v>#VALUE!</v>
      </c>
      <c r="ID268" t="e">
        <f>Risklog!M62+"AM:!/cY"</f>
        <v>#VALUE!</v>
      </c>
      <c r="IE268" s="105" t="e">
        <f>Risklog!N62+"AM:!/cZ"</f>
        <v>#VALUE!</v>
      </c>
      <c r="IF268" t="e">
        <f>Risklog!O62+"AM:!/c["</f>
        <v>#VALUE!</v>
      </c>
      <c r="IG268" t="e">
        <f>Risklog!P62+"AM:!/c\"</f>
        <v>#VALUE!</v>
      </c>
      <c r="IH268" t="e">
        <f>Risklog!Q62+"AM:!/c]"</f>
        <v>#VALUE!</v>
      </c>
      <c r="II268" t="e">
        <f>Risklog!R62+"AM:!/c^"</f>
        <v>#VALUE!</v>
      </c>
      <c r="IJ268" t="e">
        <f>Risklog!S62+"AM:!/c_"</f>
        <v>#VALUE!</v>
      </c>
      <c r="IK268" t="e">
        <f>Risklog!T62+"AM:!/c`"</f>
        <v>#VALUE!</v>
      </c>
      <c r="IL268" t="e">
        <f>Risklog!U62+"AM:!/ca"</f>
        <v>#VALUE!</v>
      </c>
      <c r="IM268" t="e">
        <f>Risklog!V62+"AM:!/cb"</f>
        <v>#VALUE!</v>
      </c>
      <c r="IN268" s="97" t="e">
        <f>Risklog!W62+"AM:!/cc"</f>
        <v>#VALUE!</v>
      </c>
      <c r="IO268" t="e">
        <f>Risklog!X62+"AM:!/cd"</f>
        <v>#VALUE!</v>
      </c>
      <c r="IP268" t="e">
        <f>Risklog!Y62+"AM:!/ce"</f>
        <v>#VALUE!</v>
      </c>
      <c r="IQ268" t="e">
        <f>Risklog!Z62+"AM:!/cf"</f>
        <v>#VALUE!</v>
      </c>
      <c r="IR268" t="e">
        <f>Risklog!AA62+"AM:!/cg"</f>
        <v>#VALUE!</v>
      </c>
      <c r="IS268" t="e">
        <f>Risklog!A63+"AM:!/ch"</f>
        <v>#VALUE!</v>
      </c>
      <c r="IT268" t="e">
        <f>Risklog!B63+"AM:!/ci"</f>
        <v>#VALUE!</v>
      </c>
      <c r="IU268" t="e">
        <f ca="1">Risklog!C63+"AM:!/cj"</f>
        <v>#VALUE!</v>
      </c>
      <c r="IV268" t="e">
        <f>Risklog!D63+"AM:!/ck"</f>
        <v>#VALUE!</v>
      </c>
    </row>
    <row r="269" spans="6:256">
      <c r="F269" t="e">
        <f ca="1">Risklog!E63+"AM:!/cl"</f>
        <v>#VALUE!</v>
      </c>
      <c r="G269" t="e">
        <f ca="1">Risklog!F63+"AM:!/cm"</f>
        <v>#VALUE!</v>
      </c>
      <c r="H269" t="e">
        <f ca="1">Risklog!G63+"AM:!/cn"</f>
        <v>#VALUE!</v>
      </c>
      <c r="I269" t="e">
        <f ca="1">Risklog!H63+"AM:!/co"</f>
        <v>#VALUE!</v>
      </c>
      <c r="J269" t="e">
        <f ca="1">Risklog!I63+"AM:!/cp"</f>
        <v>#VALUE!</v>
      </c>
      <c r="K269" t="e">
        <f ca="1">Risklog!J63+"AM:!/cq"</f>
        <v>#VALUE!</v>
      </c>
      <c r="L269" s="97" t="e">
        <f ca="1">Risklog!K63+"AM:!/cr"</f>
        <v>#VALUE!</v>
      </c>
      <c r="M269" t="e">
        <f ca="1">Risklog!L63+"AM:!/cs"</f>
        <v>#VALUE!</v>
      </c>
      <c r="N269" t="e">
        <f ca="1">Risklog!M63+"AM:!/ct"</f>
        <v>#VALUE!</v>
      </c>
      <c r="O269" s="105" t="e">
        <f ca="1">Risklog!N63+"AM:!/cu"</f>
        <v>#VALUE!</v>
      </c>
      <c r="P269" t="e">
        <f ca="1">Risklog!O63+"AM:!/cv"</f>
        <v>#VALUE!</v>
      </c>
      <c r="Q269" t="e">
        <f ca="1">Risklog!P63+"AM:!/cw"</f>
        <v>#VALUE!</v>
      </c>
      <c r="R269" t="e">
        <f ca="1">Risklog!Q63+"AM:!/cx"</f>
        <v>#VALUE!</v>
      </c>
      <c r="S269" t="e">
        <f ca="1">Risklog!R63+"AM:!/cy"</f>
        <v>#VALUE!</v>
      </c>
      <c r="T269" t="e">
        <f>Risklog!S63+"AM:!/cz"</f>
        <v>#VALUE!</v>
      </c>
      <c r="U269" t="e">
        <f ca="1">Risklog!T63+"AM:!/c{"</f>
        <v>#VALUE!</v>
      </c>
      <c r="V269" t="e">
        <f ca="1">Risklog!U63+"AM:!/c|"</f>
        <v>#VALUE!</v>
      </c>
      <c r="W269" t="e">
        <f ca="1">Risklog!V63+"AM:!/c}"</f>
        <v>#VALUE!</v>
      </c>
      <c r="X269" s="97" t="e">
        <f ca="1">Risklog!W63+"AM:!/c~"</f>
        <v>#VALUE!</v>
      </c>
      <c r="Y269" t="e">
        <f>Risklog!X63+"AM:!/d#"</f>
        <v>#VALUE!</v>
      </c>
      <c r="Z269" t="e">
        <f>Risklog!Y63+"AM:!/d$"</f>
        <v>#VALUE!</v>
      </c>
      <c r="AA269" t="e">
        <f>Risklog!Z63+"AM:!/d%"</f>
        <v>#VALUE!</v>
      </c>
      <c r="AB269" t="e">
        <f>Risklog!AA63+"AM:!/d&amp;"</f>
        <v>#VALUE!</v>
      </c>
      <c r="AC269" t="e">
        <f>Risklog!A64+"AM:!/d'"</f>
        <v>#VALUE!</v>
      </c>
      <c r="AD269" t="e">
        <f ca="1">Risklog!B64+"AM:!/d("</f>
        <v>#VALUE!</v>
      </c>
      <c r="AE269" t="e">
        <f ca="1">Risklog!C64+"AM:!/d)"</f>
        <v>#VALUE!</v>
      </c>
      <c r="AF269" t="e">
        <f>Risklog!D64+"AM:!/d."</f>
        <v>#VALUE!</v>
      </c>
      <c r="AG269" t="e">
        <f ca="1">Risklog!E64+"AM:!/d/"</f>
        <v>#VALUE!</v>
      </c>
      <c r="AH269" t="e">
        <f ca="1">Risklog!F64+"AM:!/d0"</f>
        <v>#VALUE!</v>
      </c>
      <c r="AI269" t="e">
        <f ca="1">Risklog!G64+"AM:!/d1"</f>
        <v>#VALUE!</v>
      </c>
      <c r="AJ269" t="e">
        <f ca="1">Risklog!H64+"AM:!/d2"</f>
        <v>#VALUE!</v>
      </c>
      <c r="AK269" t="e">
        <f ca="1">Risklog!I64+"AM:!/d3"</f>
        <v>#VALUE!</v>
      </c>
      <c r="AL269" t="e">
        <f ca="1">Risklog!J64+"AM:!/d4"</f>
        <v>#VALUE!</v>
      </c>
      <c r="AM269" s="97" t="e">
        <f ca="1">Risklog!K64+"AM:!/d5"</f>
        <v>#VALUE!</v>
      </c>
      <c r="AN269" t="e">
        <f ca="1">Risklog!L64+"AM:!/d6"</f>
        <v>#VALUE!</v>
      </c>
      <c r="AO269" t="e">
        <f ca="1">Risklog!M64+"AM:!/d7"</f>
        <v>#VALUE!</v>
      </c>
      <c r="AP269" s="105" t="e">
        <f ca="1">Risklog!N64+"AM:!/d8"</f>
        <v>#VALUE!</v>
      </c>
      <c r="AQ269" t="e">
        <f ca="1">Risklog!O64+"AM:!/d9"</f>
        <v>#VALUE!</v>
      </c>
      <c r="AR269" t="e">
        <f ca="1">Risklog!P64+"AM:!/d:"</f>
        <v>#VALUE!</v>
      </c>
      <c r="AS269" t="e">
        <f ca="1">Risklog!Q64+"AM:!/d;"</f>
        <v>#VALUE!</v>
      </c>
      <c r="AT269" t="e">
        <f ca="1">Risklog!R64+"AM:!/d&lt;"</f>
        <v>#VALUE!</v>
      </c>
      <c r="AU269" t="e">
        <f>Risklog!S64+"AM:!/d="</f>
        <v>#VALUE!</v>
      </c>
      <c r="AV269" t="e">
        <f ca="1">Risklog!T64+"AM:!/d&gt;"</f>
        <v>#VALUE!</v>
      </c>
      <c r="AW269" t="e">
        <f ca="1">Risklog!U64+"AM:!/d?"</f>
        <v>#VALUE!</v>
      </c>
      <c r="AX269" t="e">
        <f ca="1">Risklog!V64+"AM:!/d@"</f>
        <v>#VALUE!</v>
      </c>
      <c r="AY269" s="97" t="e">
        <f ca="1">Risklog!W64+"AM:!/dA"</f>
        <v>#VALUE!</v>
      </c>
      <c r="AZ269" t="e">
        <f>Risklog!X64+"AM:!/dB"</f>
        <v>#VALUE!</v>
      </c>
      <c r="BA269" t="e">
        <f>Risklog!Y64+"AM:!/dC"</f>
        <v>#VALUE!</v>
      </c>
      <c r="BB269" t="e">
        <f>Risklog!Z64+"AM:!/dD"</f>
        <v>#VALUE!</v>
      </c>
      <c r="BC269" t="e">
        <f>Risklog!AA64+"AM:!/dE"</f>
        <v>#VALUE!</v>
      </c>
      <c r="BD269" t="e">
        <f>Risklog!A65+"AM:!/dF"</f>
        <v>#VALUE!</v>
      </c>
      <c r="BE269" t="e">
        <f ca="1">Risklog!B65+"AM:!/dG"</f>
        <v>#VALUE!</v>
      </c>
      <c r="BF269" t="e">
        <f ca="1">Risklog!C65+"AM:!/dH"</f>
        <v>#VALUE!</v>
      </c>
      <c r="BG269" t="e">
        <f>Risklog!D65+"AM:!/dI"</f>
        <v>#VALUE!</v>
      </c>
      <c r="BH269" t="e">
        <f ca="1">Risklog!E65+"AM:!/dJ"</f>
        <v>#VALUE!</v>
      </c>
      <c r="BI269" t="e">
        <f ca="1">Risklog!F65+"AM:!/dK"</f>
        <v>#VALUE!</v>
      </c>
      <c r="BJ269" t="e">
        <f ca="1">Risklog!G65+"AM:!/dL"</f>
        <v>#VALUE!</v>
      </c>
      <c r="BK269" t="e">
        <f ca="1">Risklog!H65+"AM:!/dM"</f>
        <v>#VALUE!</v>
      </c>
      <c r="BL269" t="e">
        <f ca="1">Risklog!I65+"AM:!/dN"</f>
        <v>#VALUE!</v>
      </c>
      <c r="BM269" t="e">
        <f ca="1">Risklog!J65+"AM:!/dO"</f>
        <v>#VALUE!</v>
      </c>
      <c r="BN269" s="97" t="e">
        <f ca="1">Risklog!K65+"AM:!/dP"</f>
        <v>#VALUE!</v>
      </c>
      <c r="BO269" t="e">
        <f ca="1">Risklog!L65+"AM:!/dQ"</f>
        <v>#VALUE!</v>
      </c>
      <c r="BP269" t="e">
        <f ca="1">Risklog!M65+"AM:!/dR"</f>
        <v>#VALUE!</v>
      </c>
      <c r="BQ269" s="105" t="e">
        <f ca="1">Risklog!N65+"AM:!/dS"</f>
        <v>#VALUE!</v>
      </c>
      <c r="BR269" t="e">
        <f ca="1">Risklog!O65+"AM:!/dT"</f>
        <v>#VALUE!</v>
      </c>
      <c r="BS269" t="e">
        <f ca="1">Risklog!P65+"AM:!/dU"</f>
        <v>#VALUE!</v>
      </c>
      <c r="BT269" t="e">
        <f ca="1">Risklog!Q65+"AM:!/dV"</f>
        <v>#VALUE!</v>
      </c>
      <c r="BU269" t="e">
        <f ca="1">Risklog!R65+"AM:!/dW"</f>
        <v>#VALUE!</v>
      </c>
      <c r="BV269" t="e">
        <f>Risklog!S65+"AM:!/dX"</f>
        <v>#VALUE!</v>
      </c>
      <c r="BW269" t="e">
        <f ca="1">Risklog!T65+"AM:!/dY"</f>
        <v>#VALUE!</v>
      </c>
      <c r="BX269" t="e">
        <f ca="1">Risklog!U65+"AM:!/dZ"</f>
        <v>#VALUE!</v>
      </c>
      <c r="BY269" t="e">
        <f ca="1">Risklog!V65+"AM:!/d["</f>
        <v>#VALUE!</v>
      </c>
      <c r="BZ269" s="97" t="e">
        <f ca="1">Risklog!W65+"AM:!/d\"</f>
        <v>#VALUE!</v>
      </c>
      <c r="CA269" t="e">
        <f>Risklog!X65+"AM:!/d]"</f>
        <v>#VALUE!</v>
      </c>
      <c r="CB269" t="e">
        <f>Risklog!Y65+"AM:!/d^"</f>
        <v>#VALUE!</v>
      </c>
      <c r="CC269" t="e">
        <f>Risklog!Z65+"AM:!/d_"</f>
        <v>#VALUE!</v>
      </c>
      <c r="CD269" t="e">
        <f>Risklog!AA65+"AM:!/d`"</f>
        <v>#VALUE!</v>
      </c>
      <c r="CE269" t="e">
        <f>Risklog!A66+"AM:!/da"</f>
        <v>#VALUE!</v>
      </c>
      <c r="CF269" t="e">
        <f ca="1">Risklog!B66+"AM:!/db"</f>
        <v>#VALUE!</v>
      </c>
      <c r="CG269" t="e">
        <f ca="1">Risklog!C66+"AM:!/dc"</f>
        <v>#VALUE!</v>
      </c>
      <c r="CH269" t="e">
        <f>Risklog!D66+"AM:!/dd"</f>
        <v>#VALUE!</v>
      </c>
      <c r="CI269" t="e">
        <f ca="1">Risklog!E66+"AM:!/de"</f>
        <v>#VALUE!</v>
      </c>
      <c r="CJ269" t="e">
        <f ca="1">Risklog!F66+"AM:!/df"</f>
        <v>#VALUE!</v>
      </c>
      <c r="CK269" t="e">
        <f ca="1">Risklog!G66+"AM:!/dg"</f>
        <v>#VALUE!</v>
      </c>
      <c r="CL269" t="e">
        <f ca="1">Risklog!H66+"AM:!/dh"</f>
        <v>#VALUE!</v>
      </c>
      <c r="CM269" t="e">
        <f ca="1">Risklog!I66+"AM:!/di"</f>
        <v>#VALUE!</v>
      </c>
      <c r="CN269" t="e">
        <f ca="1">Risklog!J66+"AM:!/dj"</f>
        <v>#VALUE!</v>
      </c>
      <c r="CO269" s="97" t="e">
        <f ca="1">Risklog!K66+"AM:!/dk"</f>
        <v>#VALUE!</v>
      </c>
      <c r="CP269" t="e">
        <f ca="1">Risklog!L66+"AM:!/dl"</f>
        <v>#VALUE!</v>
      </c>
      <c r="CQ269" t="e">
        <f ca="1">Risklog!M66+"AM:!/dm"</f>
        <v>#VALUE!</v>
      </c>
      <c r="CR269" s="105" t="e">
        <f ca="1">Risklog!N66+"AM:!/dn"</f>
        <v>#VALUE!</v>
      </c>
      <c r="CS269" t="e">
        <f ca="1">Risklog!O66+"AM:!/do"</f>
        <v>#VALUE!</v>
      </c>
      <c r="CT269" t="e">
        <f ca="1">Risklog!P66+"AM:!/dp"</f>
        <v>#VALUE!</v>
      </c>
      <c r="CU269" t="e">
        <f ca="1">Risklog!Q66+"AM:!/dq"</f>
        <v>#VALUE!</v>
      </c>
      <c r="CV269" t="e">
        <f ca="1">Risklog!R66+"AM:!/dr"</f>
        <v>#VALUE!</v>
      </c>
      <c r="CW269" t="e">
        <f>Risklog!S66+"AM:!/ds"</f>
        <v>#VALUE!</v>
      </c>
      <c r="CX269" t="e">
        <f ca="1">Risklog!T66+"AM:!/dt"</f>
        <v>#VALUE!</v>
      </c>
      <c r="CY269" t="e">
        <f ca="1">Risklog!U66+"AM:!/du"</f>
        <v>#VALUE!</v>
      </c>
      <c r="CZ269" t="e">
        <f ca="1">Risklog!V66+"AM:!/dv"</f>
        <v>#VALUE!</v>
      </c>
      <c r="DA269" s="97" t="e">
        <f ca="1">Risklog!W66+"AM:!/dw"</f>
        <v>#VALUE!</v>
      </c>
      <c r="DB269" t="e">
        <f>Risklog!X66+"AM:!/dx"</f>
        <v>#VALUE!</v>
      </c>
      <c r="DC269" t="e">
        <f>Risklog!Y66+"AM:!/dy"</f>
        <v>#VALUE!</v>
      </c>
      <c r="DD269" t="e">
        <f>Risklog!Z66+"AM:!/dz"</f>
        <v>#VALUE!</v>
      </c>
      <c r="DE269" t="e">
        <f>Risklog!AA66+"AM:!/d{"</f>
        <v>#VALUE!</v>
      </c>
      <c r="DF269" t="e">
        <f>Risklog!A67+"AM:!/d|"</f>
        <v>#VALUE!</v>
      </c>
      <c r="DG269" t="e">
        <f>Risklog!B67+"AM:!/d}"</f>
        <v>#VALUE!</v>
      </c>
      <c r="DH269" t="e">
        <f>Risklog!C67+"AM:!/d~"</f>
        <v>#VALUE!</v>
      </c>
      <c r="DI269" t="e">
        <f>Risklog!D67+"AM:!/e#"</f>
        <v>#VALUE!</v>
      </c>
      <c r="DJ269" t="e">
        <f>Risklog!E67+"AM:!/e$"</f>
        <v>#VALUE!</v>
      </c>
      <c r="DK269" t="e">
        <f>Risklog!F67+"AM:!/e%"</f>
        <v>#VALUE!</v>
      </c>
      <c r="DL269" t="e">
        <f>Risklog!G67+"AM:!/e&amp;"</f>
        <v>#VALUE!</v>
      </c>
      <c r="DM269" t="e">
        <f>Risklog!H67+"AM:!/e'"</f>
        <v>#VALUE!</v>
      </c>
      <c r="DN269" t="e">
        <f>Risklog!I67+"AM:!/e("</f>
        <v>#VALUE!</v>
      </c>
      <c r="DO269" t="e">
        <f>Risklog!J67+"AM:!/e)"</f>
        <v>#VALUE!</v>
      </c>
      <c r="DP269" t="e">
        <f>Risklog!K67+"AM:!/e."</f>
        <v>#VALUE!</v>
      </c>
      <c r="DQ269" t="e">
        <f>Risklog!L67+"AM:!/e/"</f>
        <v>#VALUE!</v>
      </c>
      <c r="DR269" t="e">
        <f>Risklog!M67+"AM:!/e0"</f>
        <v>#VALUE!</v>
      </c>
      <c r="DS269" t="e">
        <f>Risklog!N67+"AM:!/e1"</f>
        <v>#VALUE!</v>
      </c>
      <c r="DT269" t="e">
        <f>Risklog!O67+"AM:!/e2"</f>
        <v>#VALUE!</v>
      </c>
      <c r="DU269" t="e">
        <f>Risklog!P67+"AM:!/e3"</f>
        <v>#VALUE!</v>
      </c>
      <c r="DV269" t="e">
        <f>Risklog!Q67+"AM:!/e4"</f>
        <v>#VALUE!</v>
      </c>
      <c r="DW269" t="e">
        <f>Risklog!R67+"AM:!/e5"</f>
        <v>#VALUE!</v>
      </c>
      <c r="DX269" t="e">
        <f>Risklog!S67+"AM:!/e6"</f>
        <v>#VALUE!</v>
      </c>
      <c r="DY269" t="e">
        <f>Risklog!T67+"AM:!/e7"</f>
        <v>#VALUE!</v>
      </c>
      <c r="DZ269" t="e">
        <f>Risklog!U67+"AM:!/e8"</f>
        <v>#VALUE!</v>
      </c>
      <c r="EA269" t="e">
        <f>Risklog!V67+"AM:!/e9"</f>
        <v>#VALUE!</v>
      </c>
      <c r="EB269" t="e">
        <f>Risklog!W67+"AM:!/e:"</f>
        <v>#VALUE!</v>
      </c>
      <c r="EC269" t="e">
        <f>Risklog!X67+"AM:!/e;"</f>
        <v>#VALUE!</v>
      </c>
      <c r="ED269" t="e">
        <f>Risklog!Y67+"AM:!/e&lt;"</f>
        <v>#VALUE!</v>
      </c>
      <c r="EE269" t="e">
        <f>Risklog!Z67+"AM:!/e="</f>
        <v>#VALUE!</v>
      </c>
      <c r="EF269" t="e">
        <f>Risklog!AA67+"AM:!/e&gt;"</f>
        <v>#VALUE!</v>
      </c>
      <c r="EG269" t="e">
        <f>Risklog!A68+"AM:!/e?"</f>
        <v>#VALUE!</v>
      </c>
      <c r="EH269" t="e">
        <f>Risklog!B68+"AM:!/e@"</f>
        <v>#VALUE!</v>
      </c>
      <c r="EI269" t="e">
        <f>Risklog!C68+"AM:!/eA"</f>
        <v>#VALUE!</v>
      </c>
      <c r="EJ269" t="e">
        <f>Risklog!D68+"AM:!/eB"</f>
        <v>#VALUE!</v>
      </c>
      <c r="EK269" t="e">
        <f>Risklog!E68+"AM:!/eC"</f>
        <v>#VALUE!</v>
      </c>
      <c r="EL269" t="e">
        <f>Risklog!F68+"AM:!/eD"</f>
        <v>#VALUE!</v>
      </c>
      <c r="EM269" t="e">
        <f>Risklog!G68+"AM:!/eE"</f>
        <v>#VALUE!</v>
      </c>
      <c r="EN269" t="e">
        <f>Risklog!H68+"AM:!/eF"</f>
        <v>#VALUE!</v>
      </c>
      <c r="EO269" t="e">
        <f>Risklog!I68+"AM:!/eG"</f>
        <v>#VALUE!</v>
      </c>
      <c r="EP269" t="e">
        <f>Risklog!J68+"AM:!/eH"</f>
        <v>#VALUE!</v>
      </c>
      <c r="EQ269" t="e">
        <f>Risklog!K68+"AM:!/eI"</f>
        <v>#VALUE!</v>
      </c>
      <c r="ER269" t="e">
        <f>Risklog!L68+"AM:!/eJ"</f>
        <v>#VALUE!</v>
      </c>
      <c r="ES269" t="e">
        <f>Risklog!M68+"AM:!/eK"</f>
        <v>#VALUE!</v>
      </c>
      <c r="ET269" t="e">
        <f>Risklog!N68+"AM:!/eL"</f>
        <v>#VALUE!</v>
      </c>
      <c r="EU269" t="e">
        <f>Risklog!O68+"AM:!/eM"</f>
        <v>#VALUE!</v>
      </c>
      <c r="EV269" t="e">
        <f>Risklog!P68+"AM:!/eN"</f>
        <v>#VALUE!</v>
      </c>
      <c r="EW269" t="e">
        <f>Risklog!Q68+"AM:!/eO"</f>
        <v>#VALUE!</v>
      </c>
      <c r="EX269" t="e">
        <f>Risklog!R68+"AM:!/eP"</f>
        <v>#VALUE!</v>
      </c>
      <c r="EY269" t="e">
        <f>Risklog!S68+"AM:!/eQ"</f>
        <v>#VALUE!</v>
      </c>
      <c r="EZ269" t="e">
        <f>Risklog!T68+"AM:!/eR"</f>
        <v>#VALUE!</v>
      </c>
      <c r="FA269" t="e">
        <f>Risklog!U68+"AM:!/eS"</f>
        <v>#VALUE!</v>
      </c>
      <c r="FB269" t="e">
        <f>Risklog!V68+"AM:!/eT"</f>
        <v>#VALUE!</v>
      </c>
      <c r="FC269" t="e">
        <f>Risklog!W68+"AM:!/eU"</f>
        <v>#VALUE!</v>
      </c>
      <c r="FD269" t="e">
        <f>Risklog!X68+"AM:!/eV"</f>
        <v>#VALUE!</v>
      </c>
      <c r="FE269" t="e">
        <f>Risklog!Y68+"AM:!/eW"</f>
        <v>#VALUE!</v>
      </c>
      <c r="FF269" t="e">
        <f>Risklog!Z68+"AM:!/eX"</f>
        <v>#VALUE!</v>
      </c>
      <c r="FG269" t="e">
        <f>Risklog!AA68+"AM:!/eY"</f>
        <v>#VALUE!</v>
      </c>
      <c r="FH269" t="e">
        <f>Risklog!A69+"AM:!/eZ"</f>
        <v>#VALUE!</v>
      </c>
      <c r="FI269" t="e">
        <f>Risklog!B69+"AM:!/e["</f>
        <v>#VALUE!</v>
      </c>
      <c r="FJ269" t="e">
        <f>Risklog!C69+"AM:!/e\"</f>
        <v>#VALUE!</v>
      </c>
      <c r="FK269" t="e">
        <f>Risklog!D69+"AM:!/e]"</f>
        <v>#VALUE!</v>
      </c>
      <c r="FL269" t="e">
        <f>Risklog!E69+"AM:!/e^"</f>
        <v>#VALUE!</v>
      </c>
      <c r="FM269" t="e">
        <f>Risklog!F69+"AM:!/e_"</f>
        <v>#VALUE!</v>
      </c>
      <c r="FN269" t="e">
        <f>Risklog!G69+"AM:!/e`"</f>
        <v>#VALUE!</v>
      </c>
      <c r="FO269" t="e">
        <f>Risklog!H69+"AM:!/ea"</f>
        <v>#VALUE!</v>
      </c>
      <c r="FP269" t="e">
        <f>Risklog!I69+"AM:!/eb"</f>
        <v>#VALUE!</v>
      </c>
      <c r="FQ269" t="e">
        <f>Risklog!J69+"AM:!/ec"</f>
        <v>#VALUE!</v>
      </c>
      <c r="FR269" t="e">
        <f>Risklog!K69+"AM:!/ed"</f>
        <v>#VALUE!</v>
      </c>
      <c r="FS269" t="e">
        <f>Risklog!L69+"AM:!/ee"</f>
        <v>#VALUE!</v>
      </c>
      <c r="FT269" t="e">
        <f>Risklog!M69+"AM:!/ef"</f>
        <v>#VALUE!</v>
      </c>
      <c r="FU269" t="e">
        <f>Risklog!N69+"AM:!/eg"</f>
        <v>#VALUE!</v>
      </c>
      <c r="FV269" t="e">
        <f>Risklog!O69+"AM:!/eh"</f>
        <v>#VALUE!</v>
      </c>
      <c r="FW269" t="e">
        <f>Risklog!P69+"AM:!/ei"</f>
        <v>#VALUE!</v>
      </c>
      <c r="FX269" t="e">
        <f>Risklog!Q69+"AM:!/ej"</f>
        <v>#VALUE!</v>
      </c>
      <c r="FY269" t="e">
        <f>Risklog!R69+"AM:!/ek"</f>
        <v>#VALUE!</v>
      </c>
      <c r="FZ269" t="e">
        <f>Risklog!S69+"AM:!/el"</f>
        <v>#VALUE!</v>
      </c>
      <c r="GA269" t="e">
        <f>Risklog!T69+"AM:!/em"</f>
        <v>#VALUE!</v>
      </c>
      <c r="GB269" t="e">
        <f>Risklog!U69+"AM:!/en"</f>
        <v>#VALUE!</v>
      </c>
      <c r="GC269" t="e">
        <f>Risklog!V69+"AM:!/eo"</f>
        <v>#VALUE!</v>
      </c>
      <c r="GD269" t="e">
        <f>Risklog!W69+"AM:!/ep"</f>
        <v>#VALUE!</v>
      </c>
      <c r="GE269" t="e">
        <f>Risklog!X69+"AM:!/eq"</f>
        <v>#VALUE!</v>
      </c>
      <c r="GF269" t="e">
        <f>Risklog!Y69+"AM:!/er"</f>
        <v>#VALUE!</v>
      </c>
      <c r="GG269" t="e">
        <f>Risklog!Z69+"AM:!/es"</f>
        <v>#VALUE!</v>
      </c>
      <c r="GH269" t="e">
        <f>Risklog!AA69+"AM:!/et"</f>
        <v>#VALUE!</v>
      </c>
      <c r="GI269" t="e">
        <f>Risklog!A70+"AM:!/eu"</f>
        <v>#VALUE!</v>
      </c>
      <c r="GJ269" t="e">
        <f>Risklog!B70+"AM:!/ev"</f>
        <v>#VALUE!</v>
      </c>
      <c r="GK269" t="e">
        <f>Risklog!C70+"AM:!/ew"</f>
        <v>#VALUE!</v>
      </c>
      <c r="GL269" t="e">
        <f>Risklog!D70+"AM:!/ex"</f>
        <v>#VALUE!</v>
      </c>
      <c r="GM269" t="e">
        <f>Risklog!E70+"AM:!/ey"</f>
        <v>#VALUE!</v>
      </c>
      <c r="GN269" t="e">
        <f>Risklog!F70+"AM:!/ez"</f>
        <v>#VALUE!</v>
      </c>
      <c r="GO269" t="e">
        <f>Risklog!G70+"AM:!/e{"</f>
        <v>#VALUE!</v>
      </c>
      <c r="GP269" t="e">
        <f>Risklog!H70+"AM:!/e|"</f>
        <v>#VALUE!</v>
      </c>
      <c r="GQ269" t="e">
        <f>Risklog!I70+"AM:!/e}"</f>
        <v>#VALUE!</v>
      </c>
      <c r="GR269" t="e">
        <f>Risklog!J70+"AM:!/e~"</f>
        <v>#VALUE!</v>
      </c>
      <c r="GS269" t="e">
        <f>Risklog!K70+"AM:!/f#"</f>
        <v>#VALUE!</v>
      </c>
      <c r="GT269" t="e">
        <f>Risklog!L70+"AM:!/f$"</f>
        <v>#VALUE!</v>
      </c>
      <c r="GU269" t="e">
        <f>Risklog!M70+"AM:!/f%"</f>
        <v>#VALUE!</v>
      </c>
      <c r="GV269" t="e">
        <f>Risklog!N70+"AM:!/f&amp;"</f>
        <v>#VALUE!</v>
      </c>
      <c r="GW269" t="e">
        <f>Risklog!O70+"AM:!/f'"</f>
        <v>#VALUE!</v>
      </c>
      <c r="GX269" t="e">
        <f>Risklog!P70+"AM:!/f("</f>
        <v>#VALUE!</v>
      </c>
      <c r="GY269" t="e">
        <f>Risklog!Q70+"AM:!/f)"</f>
        <v>#VALUE!</v>
      </c>
      <c r="GZ269" t="e">
        <f>Risklog!R70+"AM:!/f."</f>
        <v>#VALUE!</v>
      </c>
      <c r="HA269" t="e">
        <f>Risklog!S70+"AM:!/f/"</f>
        <v>#VALUE!</v>
      </c>
      <c r="HB269" t="e">
        <f>Risklog!T70+"AM:!/f0"</f>
        <v>#VALUE!</v>
      </c>
      <c r="HC269" t="e">
        <f>Risklog!U70+"AM:!/f1"</f>
        <v>#VALUE!</v>
      </c>
      <c r="HD269" t="e">
        <f>Risklog!V70+"AM:!/f2"</f>
        <v>#VALUE!</v>
      </c>
      <c r="HE269" t="e">
        <f>Risklog!W70+"AM:!/f3"</f>
        <v>#VALUE!</v>
      </c>
      <c r="HF269" t="e">
        <f>Risklog!X70+"AM:!/f4"</f>
        <v>#VALUE!</v>
      </c>
      <c r="HG269" t="e">
        <f>Risklog!Y70+"AM:!/f5"</f>
        <v>#VALUE!</v>
      </c>
      <c r="HH269" t="e">
        <f>Risklog!A71+"AM:!/f6"</f>
        <v>#VALUE!</v>
      </c>
      <c r="HI269" t="e">
        <f>Risklog!B71+"AM:!/f7"</f>
        <v>#VALUE!</v>
      </c>
      <c r="HJ269" t="e">
        <f>Risklog!C71+"AM:!/f8"</f>
        <v>#VALUE!</v>
      </c>
      <c r="HK269" t="e">
        <f>Risklog!D71+"AM:!/f9"</f>
        <v>#VALUE!</v>
      </c>
      <c r="HL269" t="e">
        <f>Risklog!E71+"AM:!/f:"</f>
        <v>#VALUE!</v>
      </c>
      <c r="HM269" t="e">
        <f>Risklog!F71+"AM:!/f;"</f>
        <v>#VALUE!</v>
      </c>
      <c r="HN269" t="e">
        <f>Risklog!G71+"AM:!/f&lt;"</f>
        <v>#VALUE!</v>
      </c>
      <c r="HO269" t="e">
        <f>Risklog!H71+"AM:!/f="</f>
        <v>#VALUE!</v>
      </c>
      <c r="HP269" t="e">
        <f>Risklog!I71+"AM:!/f&gt;"</f>
        <v>#VALUE!</v>
      </c>
      <c r="HQ269" t="e">
        <f>Risklog!J71+"AM:!/f?"</f>
        <v>#VALUE!</v>
      </c>
      <c r="HR269" t="e">
        <f>Risklog!K71+"AM:!/f@"</f>
        <v>#VALUE!</v>
      </c>
      <c r="HS269" t="e">
        <f>Risklog!L71+"AM:!/fA"</f>
        <v>#VALUE!</v>
      </c>
      <c r="HT269" t="e">
        <f>Risklog!M71+"AM:!/fB"</f>
        <v>#VALUE!</v>
      </c>
      <c r="HU269" t="e">
        <f>Risklog!N71+"AM:!/fC"</f>
        <v>#VALUE!</v>
      </c>
      <c r="HV269" t="e">
        <f>Risklog!O71+"AM:!/fD"</f>
        <v>#VALUE!</v>
      </c>
      <c r="HW269" t="e">
        <f>Risklog!P71+"AM:!/fE"</f>
        <v>#VALUE!</v>
      </c>
      <c r="HX269" t="e">
        <f>Risklog!Q71+"AM:!/fF"</f>
        <v>#VALUE!</v>
      </c>
      <c r="HY269" t="e">
        <f>Risklog!R71+"AM:!/fG"</f>
        <v>#VALUE!</v>
      </c>
      <c r="HZ269" t="e">
        <f>Risklog!S71+"AM:!/fH"</f>
        <v>#VALUE!</v>
      </c>
      <c r="IA269" t="e">
        <f>Risklog!T71+"AM:!/fI"</f>
        <v>#VALUE!</v>
      </c>
      <c r="IB269" t="e">
        <f>Risklog!U71+"AM:!/fJ"</f>
        <v>#VALUE!</v>
      </c>
      <c r="IC269" t="e">
        <f>Risklog!V71+"AM:!/fK"</f>
        <v>#VALUE!</v>
      </c>
      <c r="ID269" t="e">
        <f>Risklog!W71+"AM:!/fL"</f>
        <v>#VALUE!</v>
      </c>
      <c r="IE269" t="e">
        <f>Risklog!X71+"AM:!/fM"</f>
        <v>#VALUE!</v>
      </c>
      <c r="IF269" t="e">
        <f>Risklog!Y71+"AM:!/fN"</f>
        <v>#VALUE!</v>
      </c>
      <c r="IG269" t="e">
        <f>Risklog!A72+"AM:!/fO"</f>
        <v>#VALUE!</v>
      </c>
      <c r="IH269" t="e">
        <f>Risklog!B72+"AM:!/fP"</f>
        <v>#VALUE!</v>
      </c>
      <c r="II269" t="e">
        <f>Risklog!C72+"AM:!/fQ"</f>
        <v>#VALUE!</v>
      </c>
      <c r="IJ269" t="e">
        <f>Risklog!D72+"AM:!/fR"</f>
        <v>#VALUE!</v>
      </c>
      <c r="IK269" t="e">
        <f>Risklog!E72+"AM:!/fS"</f>
        <v>#VALUE!</v>
      </c>
      <c r="IL269" t="e">
        <f>Risklog!F72+"AM:!/fT"</f>
        <v>#VALUE!</v>
      </c>
      <c r="IM269" t="e">
        <f>Risklog!G72+"AM:!/fU"</f>
        <v>#VALUE!</v>
      </c>
      <c r="IN269" t="e">
        <f>Risklog!H72+"AM:!/fV"</f>
        <v>#VALUE!</v>
      </c>
      <c r="IO269" t="e">
        <f>Risklog!I72+"AM:!/fW"</f>
        <v>#VALUE!</v>
      </c>
      <c r="IP269" t="e">
        <f>Risklog!J72+"AM:!/fX"</f>
        <v>#VALUE!</v>
      </c>
      <c r="IQ269" t="e">
        <f>Risklog!K72+"AM:!/fY"</f>
        <v>#VALUE!</v>
      </c>
      <c r="IR269" t="e">
        <f>Risklog!L72+"AM:!/fZ"</f>
        <v>#VALUE!</v>
      </c>
      <c r="IS269" t="e">
        <f>Risklog!M72+"AM:!/f["</f>
        <v>#VALUE!</v>
      </c>
      <c r="IT269" t="e">
        <f>Risklog!N72+"AM:!/f\"</f>
        <v>#VALUE!</v>
      </c>
      <c r="IU269" t="e">
        <f>Risklog!O72+"AM:!/f]"</f>
        <v>#VALUE!</v>
      </c>
      <c r="IV269" t="e">
        <f>Risklog!P72+"AM:!/f^"</f>
        <v>#VALUE!</v>
      </c>
    </row>
    <row r="270" spans="6:256">
      <c r="F270" t="e">
        <f>Risklog!Q72+"AM:!/f_"</f>
        <v>#VALUE!</v>
      </c>
      <c r="G270" t="e">
        <f>Risklog!R72+"AM:!/f`"</f>
        <v>#VALUE!</v>
      </c>
      <c r="H270" t="e">
        <f>Risklog!S72+"AM:!/fa"</f>
        <v>#VALUE!</v>
      </c>
      <c r="I270" t="e">
        <f>Risklog!T72+"AM:!/fb"</f>
        <v>#VALUE!</v>
      </c>
      <c r="J270" t="e">
        <f>Risklog!U72+"AM:!/fc"</f>
        <v>#VALUE!</v>
      </c>
      <c r="K270" t="e">
        <f>Risklog!V72+"AM:!/fd"</f>
        <v>#VALUE!</v>
      </c>
      <c r="L270" t="e">
        <f>Risklog!W72+"AM:!/fe"</f>
        <v>#VALUE!</v>
      </c>
      <c r="M270" t="e">
        <f>Risklog!X72+"AM:!/ff"</f>
        <v>#VALUE!</v>
      </c>
      <c r="N270" t="e">
        <f>Risklog!Y72+"AM:!/fg"</f>
        <v>#VALUE!</v>
      </c>
      <c r="O270" t="e">
        <f>Risklog!A73+"AM:!/fh"</f>
        <v>#VALUE!</v>
      </c>
      <c r="P270" t="e">
        <f>Risklog!B73+"AM:!/fi"</f>
        <v>#VALUE!</v>
      </c>
      <c r="Q270" t="e">
        <f>Risklog!C73+"AM:!/fj"</f>
        <v>#VALUE!</v>
      </c>
      <c r="R270" t="e">
        <f>Risklog!D73+"AM:!/fk"</f>
        <v>#VALUE!</v>
      </c>
      <c r="S270" t="e">
        <f>Risklog!E73+"AM:!/fl"</f>
        <v>#VALUE!</v>
      </c>
      <c r="T270" t="e">
        <f>Risklog!F73+"AM:!/fm"</f>
        <v>#VALUE!</v>
      </c>
      <c r="U270" t="e">
        <f>Risklog!G73+"AM:!/fn"</f>
        <v>#VALUE!</v>
      </c>
      <c r="V270" t="e">
        <f>Risklog!H73+"AM:!/fo"</f>
        <v>#VALUE!</v>
      </c>
      <c r="W270" t="e">
        <f>Risklog!I73+"AM:!/fp"</f>
        <v>#VALUE!</v>
      </c>
      <c r="X270" t="e">
        <f>Risklog!J73+"AM:!/fq"</f>
        <v>#VALUE!</v>
      </c>
      <c r="Y270" t="e">
        <f>Risklog!K73+"AM:!/fr"</f>
        <v>#VALUE!</v>
      </c>
      <c r="Z270" t="e">
        <f>Risklog!L73+"AM:!/fs"</f>
        <v>#VALUE!</v>
      </c>
      <c r="AA270" t="e">
        <f>Risklog!M73+"AM:!/ft"</f>
        <v>#VALUE!</v>
      </c>
      <c r="AB270" t="e">
        <f>Risklog!N73+"AM:!/fu"</f>
        <v>#VALUE!</v>
      </c>
      <c r="AC270" t="e">
        <f>Risklog!O73+"AM:!/fv"</f>
        <v>#VALUE!</v>
      </c>
      <c r="AD270" t="e">
        <f>Risklog!P73+"AM:!/fw"</f>
        <v>#VALUE!</v>
      </c>
      <c r="AE270" t="e">
        <f>Risklog!Q73+"AM:!/fx"</f>
        <v>#VALUE!</v>
      </c>
      <c r="AF270" t="e">
        <f>Risklog!R73+"AM:!/fy"</f>
        <v>#VALUE!</v>
      </c>
      <c r="AG270" t="e">
        <f>Risklog!S73+"AM:!/fz"</f>
        <v>#VALUE!</v>
      </c>
      <c r="AH270" t="e">
        <f>Risklog!T73+"AM:!/f{"</f>
        <v>#VALUE!</v>
      </c>
      <c r="AI270" t="e">
        <f>Risklog!U73+"AM:!/f|"</f>
        <v>#VALUE!</v>
      </c>
      <c r="AJ270" t="e">
        <f>Risklog!V73+"AM:!/f}"</f>
        <v>#VALUE!</v>
      </c>
      <c r="AK270" t="e">
        <f>Risklog!W73+"AM:!/f~"</f>
        <v>#VALUE!</v>
      </c>
      <c r="AL270" t="e">
        <f>Risklog!X73+"AM:!/g#"</f>
        <v>#VALUE!</v>
      </c>
      <c r="AM270" t="e">
        <f>Risklog!Y73+"AM:!/g$"</f>
        <v>#VALUE!</v>
      </c>
      <c r="AN270" t="e">
        <f>Risklog!A74+"AM:!/g%"</f>
        <v>#VALUE!</v>
      </c>
      <c r="AO270" t="e">
        <f>Risklog!B74+"AM:!/g&amp;"</f>
        <v>#VALUE!</v>
      </c>
      <c r="AP270" t="e">
        <f>Risklog!C74+"AM:!/g'"</f>
        <v>#VALUE!</v>
      </c>
      <c r="AQ270" t="e">
        <f>Risklog!D74+"AM:!/g("</f>
        <v>#VALUE!</v>
      </c>
      <c r="AR270" t="e">
        <f>Risklog!E74+"AM:!/g)"</f>
        <v>#VALUE!</v>
      </c>
      <c r="AS270" t="e">
        <f>Risklog!F74+"AM:!/g."</f>
        <v>#VALUE!</v>
      </c>
      <c r="AT270" t="e">
        <f>Risklog!G74+"AM:!/g/"</f>
        <v>#VALUE!</v>
      </c>
      <c r="AU270" t="e">
        <f>Risklog!H74+"AM:!/g0"</f>
        <v>#VALUE!</v>
      </c>
      <c r="AV270" t="e">
        <f>Risklog!I74+"AM:!/g1"</f>
        <v>#VALUE!</v>
      </c>
      <c r="AW270" t="e">
        <f>Risklog!J74+"AM:!/g2"</f>
        <v>#VALUE!</v>
      </c>
      <c r="AX270" t="e">
        <f>Risklog!K74+"AM:!/g3"</f>
        <v>#VALUE!</v>
      </c>
      <c r="AY270" t="e">
        <f>Risklog!L74+"AM:!/g4"</f>
        <v>#VALUE!</v>
      </c>
      <c r="AZ270" t="e">
        <f>Risklog!M74+"AM:!/g5"</f>
        <v>#VALUE!</v>
      </c>
      <c r="BA270" t="e">
        <f>Risklog!N74+"AM:!/g6"</f>
        <v>#VALUE!</v>
      </c>
      <c r="BB270" t="e">
        <f>Risklog!O74+"AM:!/g7"</f>
        <v>#VALUE!</v>
      </c>
      <c r="BC270" t="e">
        <f>Risklog!P74+"AM:!/g8"</f>
        <v>#VALUE!</v>
      </c>
      <c r="BD270" t="e">
        <f>Risklog!Q74+"AM:!/g9"</f>
        <v>#VALUE!</v>
      </c>
      <c r="BE270" t="e">
        <f>Risklog!R74+"AM:!/g:"</f>
        <v>#VALUE!</v>
      </c>
      <c r="BF270" t="e">
        <f>Risklog!S74+"AM:!/g;"</f>
        <v>#VALUE!</v>
      </c>
      <c r="BG270" t="e">
        <f>Risklog!T74+"AM:!/g&lt;"</f>
        <v>#VALUE!</v>
      </c>
      <c r="BH270" t="e">
        <f>Risklog!U74+"AM:!/g="</f>
        <v>#VALUE!</v>
      </c>
      <c r="BI270" t="e">
        <f>Risklog!V74+"AM:!/g&gt;"</f>
        <v>#VALUE!</v>
      </c>
      <c r="BJ270" t="e">
        <f>Risklog!W74+"AM:!/g?"</f>
        <v>#VALUE!</v>
      </c>
      <c r="BK270" t="e">
        <f>Risklog!X74+"AM:!/g@"</f>
        <v>#VALUE!</v>
      </c>
      <c r="BL270" t="e">
        <f>Risklog!Y74+"AM:!/gA"</f>
        <v>#VALUE!</v>
      </c>
      <c r="BM270" t="e">
        <f>Risklog!A75+"AM:!/gB"</f>
        <v>#VALUE!</v>
      </c>
      <c r="BN270" t="e">
        <f>Risklog!B75+"AM:!/gC"</f>
        <v>#VALUE!</v>
      </c>
      <c r="BO270" t="e">
        <f>Risklog!C75+"AM:!/gD"</f>
        <v>#VALUE!</v>
      </c>
      <c r="BP270" t="e">
        <f>Risklog!D75+"AM:!/gE"</f>
        <v>#VALUE!</v>
      </c>
      <c r="BQ270" t="e">
        <f>Risklog!E75+"AM:!/gF"</f>
        <v>#VALUE!</v>
      </c>
      <c r="BR270" t="e">
        <f>Risklog!F75+"AM:!/gG"</f>
        <v>#VALUE!</v>
      </c>
      <c r="BS270" t="e">
        <f>Risklog!G75+"AM:!/gH"</f>
        <v>#VALUE!</v>
      </c>
      <c r="BT270" t="e">
        <f>Risklog!H75+"AM:!/gI"</f>
        <v>#VALUE!</v>
      </c>
      <c r="BU270" t="e">
        <f>Risklog!I75+"AM:!/gJ"</f>
        <v>#VALUE!</v>
      </c>
      <c r="BV270" t="e">
        <f>Risklog!J75+"AM:!/gK"</f>
        <v>#VALUE!</v>
      </c>
      <c r="BW270" t="e">
        <f>Risklog!K75+"AM:!/gL"</f>
        <v>#VALUE!</v>
      </c>
      <c r="BX270" t="e">
        <f>Risklog!L75+"AM:!/gM"</f>
        <v>#VALUE!</v>
      </c>
      <c r="BY270" t="e">
        <f>Risklog!M75+"AM:!/gN"</f>
        <v>#VALUE!</v>
      </c>
      <c r="BZ270" t="e">
        <f>Risklog!N75+"AM:!/gO"</f>
        <v>#VALUE!</v>
      </c>
      <c r="CA270" t="e">
        <f>Risklog!O75+"AM:!/gP"</f>
        <v>#VALUE!</v>
      </c>
      <c r="CB270" t="e">
        <f>Risklog!P75+"AM:!/gQ"</f>
        <v>#VALUE!</v>
      </c>
      <c r="CC270" t="e">
        <f>Risklog!Q75+"AM:!/gR"</f>
        <v>#VALUE!</v>
      </c>
      <c r="CD270" t="e">
        <f>Risklog!R75+"AM:!/gS"</f>
        <v>#VALUE!</v>
      </c>
      <c r="CE270" t="e">
        <f>Risklog!S75+"AM:!/gT"</f>
        <v>#VALUE!</v>
      </c>
      <c r="CF270" t="e">
        <f>Risklog!T75+"AM:!/gU"</f>
        <v>#VALUE!</v>
      </c>
      <c r="CG270" t="e">
        <f>Risklog!U75+"AM:!/gV"</f>
        <v>#VALUE!</v>
      </c>
      <c r="CH270" t="e">
        <f>Risklog!V75+"AM:!/gW"</f>
        <v>#VALUE!</v>
      </c>
      <c r="CI270" t="e">
        <f>Risklog!W75+"AM:!/gX"</f>
        <v>#VALUE!</v>
      </c>
      <c r="CJ270" t="e">
        <f>Risklog!X75+"AM:!/gY"</f>
        <v>#VALUE!</v>
      </c>
      <c r="CK270" t="e">
        <f>Risklog!Y75+"AM:!/gZ"</f>
        <v>#VALUE!</v>
      </c>
      <c r="CL270" t="e">
        <f>Risklog!A76+"AM:!/g["</f>
        <v>#VALUE!</v>
      </c>
      <c r="CM270" t="e">
        <f>Risklog!B76+"AM:!/g\"</f>
        <v>#VALUE!</v>
      </c>
      <c r="CN270" t="e">
        <f>Risklog!C76+"AM:!/g]"</f>
        <v>#VALUE!</v>
      </c>
      <c r="CO270" t="e">
        <f>Risklog!D76+"AM:!/g^"</f>
        <v>#VALUE!</v>
      </c>
      <c r="CP270" t="e">
        <f>Risklog!E76+"AM:!/g_"</f>
        <v>#VALUE!</v>
      </c>
      <c r="CQ270" t="e">
        <f>Risklog!F76+"AM:!/g`"</f>
        <v>#VALUE!</v>
      </c>
      <c r="CR270" t="e">
        <f>Risklog!G76+"AM:!/ga"</f>
        <v>#VALUE!</v>
      </c>
      <c r="CS270" t="e">
        <f>Risklog!H76+"AM:!/gb"</f>
        <v>#VALUE!</v>
      </c>
      <c r="CT270" t="e">
        <f>Risklog!I76+"AM:!/gc"</f>
        <v>#VALUE!</v>
      </c>
      <c r="CU270" t="e">
        <f>Risklog!J76+"AM:!/gd"</f>
        <v>#VALUE!</v>
      </c>
      <c r="CV270" t="e">
        <f>Risklog!K76+"AM:!/ge"</f>
        <v>#VALUE!</v>
      </c>
      <c r="CW270" t="e">
        <f>Risklog!L76+"AM:!/gf"</f>
        <v>#VALUE!</v>
      </c>
      <c r="CX270" t="e">
        <f>Risklog!M76+"AM:!/gg"</f>
        <v>#VALUE!</v>
      </c>
      <c r="CY270" t="e">
        <f>Risklog!N76+"AM:!/gh"</f>
        <v>#VALUE!</v>
      </c>
      <c r="CZ270" t="e">
        <f>Risklog!O76+"AM:!/gi"</f>
        <v>#VALUE!</v>
      </c>
      <c r="DA270" t="e">
        <f>Risklog!P76+"AM:!/gj"</f>
        <v>#VALUE!</v>
      </c>
      <c r="DB270" t="e">
        <f>Risklog!Q76+"AM:!/gk"</f>
        <v>#VALUE!</v>
      </c>
      <c r="DC270" t="e">
        <f>Risklog!R76+"AM:!/gl"</f>
        <v>#VALUE!</v>
      </c>
      <c r="DD270" t="e">
        <f>Risklog!S76+"AM:!/gm"</f>
        <v>#VALUE!</v>
      </c>
      <c r="DE270" t="e">
        <f>Risklog!T76+"AM:!/gn"</f>
        <v>#VALUE!</v>
      </c>
      <c r="DF270" t="e">
        <f>Risklog!U76+"AM:!/go"</f>
        <v>#VALUE!</v>
      </c>
      <c r="DG270" t="e">
        <f>Risklog!V76+"AM:!/gp"</f>
        <v>#VALUE!</v>
      </c>
      <c r="DH270" t="e">
        <f>Risklog!W76+"AM:!/gq"</f>
        <v>#VALUE!</v>
      </c>
      <c r="DI270" t="e">
        <f>Risklog!X76+"AM:!/gr"</f>
        <v>#VALUE!</v>
      </c>
      <c r="DJ270" t="e">
        <f>Risklog!Y76+"AM:!/gs"</f>
        <v>#VALUE!</v>
      </c>
      <c r="DK270" t="e">
        <f>Risklog!A77+"AM:!/gt"</f>
        <v>#VALUE!</v>
      </c>
      <c r="DL270" t="e">
        <f>Risklog!B77+"AM:!/gu"</f>
        <v>#VALUE!</v>
      </c>
      <c r="DM270" t="e">
        <f>Risklog!C77+"AM:!/gv"</f>
        <v>#VALUE!</v>
      </c>
      <c r="DN270" t="e">
        <f>Risklog!D77+"AM:!/gw"</f>
        <v>#VALUE!</v>
      </c>
      <c r="DO270" t="e">
        <f>Risklog!E77+"AM:!/gx"</f>
        <v>#VALUE!</v>
      </c>
      <c r="DP270" t="e">
        <f>Risklog!F77+"AM:!/gy"</f>
        <v>#VALUE!</v>
      </c>
      <c r="DQ270" t="e">
        <f>Risklog!G77+"AM:!/gz"</f>
        <v>#VALUE!</v>
      </c>
      <c r="DR270" t="e">
        <f>Risklog!H77+"AM:!/g{"</f>
        <v>#VALUE!</v>
      </c>
      <c r="DS270" t="e">
        <f>Risklog!I77+"AM:!/g|"</f>
        <v>#VALUE!</v>
      </c>
      <c r="DT270" t="e">
        <f>Risklog!J77+"AM:!/g}"</f>
        <v>#VALUE!</v>
      </c>
      <c r="DU270" t="e">
        <f>Risklog!K77+"AM:!/g~"</f>
        <v>#VALUE!</v>
      </c>
      <c r="DV270" t="e">
        <f>Risklog!L77+"AM:!/h#"</f>
        <v>#VALUE!</v>
      </c>
      <c r="DW270" t="e">
        <f>Risklog!M77+"AM:!/h$"</f>
        <v>#VALUE!</v>
      </c>
      <c r="DX270" t="e">
        <f>Risklog!N77+"AM:!/h%"</f>
        <v>#VALUE!</v>
      </c>
      <c r="DY270" t="e">
        <f>Risklog!O77+"AM:!/h&amp;"</f>
        <v>#VALUE!</v>
      </c>
      <c r="DZ270" t="e">
        <f>Risklog!P77+"AM:!/h'"</f>
        <v>#VALUE!</v>
      </c>
      <c r="EA270" t="e">
        <f>Risklog!Q77+"AM:!/h("</f>
        <v>#VALUE!</v>
      </c>
      <c r="EB270" t="e">
        <f>Risklog!R77+"AM:!/h)"</f>
        <v>#VALUE!</v>
      </c>
      <c r="EC270" t="e">
        <f>Risklog!S77+"AM:!/h."</f>
        <v>#VALUE!</v>
      </c>
      <c r="ED270" t="e">
        <f>Risklog!T77+"AM:!/h/"</f>
        <v>#VALUE!</v>
      </c>
      <c r="EE270" t="e">
        <f>Risklog!U77+"AM:!/h0"</f>
        <v>#VALUE!</v>
      </c>
      <c r="EF270" t="e">
        <f>Risklog!V77+"AM:!/h1"</f>
        <v>#VALUE!</v>
      </c>
      <c r="EG270" t="e">
        <f>Risklog!W77+"AM:!/h2"</f>
        <v>#VALUE!</v>
      </c>
      <c r="EH270" t="e">
        <f>Risklog!X77+"AM:!/h3"</f>
        <v>#VALUE!</v>
      </c>
      <c r="EI270" t="e">
        <f>Risklog!Y77+"AM:!/h4"</f>
        <v>#VALUE!</v>
      </c>
      <c r="EJ270" t="e">
        <f>Risklog!A78+"AM:!/h5"</f>
        <v>#VALUE!</v>
      </c>
      <c r="EK270" t="e">
        <f>Risklog!B78+"AM:!/h6"</f>
        <v>#VALUE!</v>
      </c>
      <c r="EL270" t="e">
        <f>Risklog!C78+"AM:!/h7"</f>
        <v>#VALUE!</v>
      </c>
      <c r="EM270" t="e">
        <f>Risklog!D78+"AM:!/h8"</f>
        <v>#VALUE!</v>
      </c>
      <c r="EN270" t="e">
        <f>Risklog!E78+"AM:!/h9"</f>
        <v>#VALUE!</v>
      </c>
      <c r="EO270" t="e">
        <f>Risklog!F78+"AM:!/h:"</f>
        <v>#VALUE!</v>
      </c>
      <c r="EP270" t="e">
        <f>Risklog!G78+"AM:!/h;"</f>
        <v>#VALUE!</v>
      </c>
      <c r="EQ270" t="e">
        <f>Risklog!H78+"AM:!/h&lt;"</f>
        <v>#VALUE!</v>
      </c>
      <c r="ER270" t="e">
        <f>Risklog!I78+"AM:!/h="</f>
        <v>#VALUE!</v>
      </c>
      <c r="ES270" t="e">
        <f>Risklog!J78+"AM:!/h&gt;"</f>
        <v>#VALUE!</v>
      </c>
      <c r="ET270" t="e">
        <f>Risklog!K78+"AM:!/h?"</f>
        <v>#VALUE!</v>
      </c>
      <c r="EU270" t="e">
        <f>Risklog!L78+"AM:!/h@"</f>
        <v>#VALUE!</v>
      </c>
      <c r="EV270" t="e">
        <f>Risklog!M78+"AM:!/hA"</f>
        <v>#VALUE!</v>
      </c>
      <c r="EW270" t="e">
        <f>Risklog!N78+"AM:!/hB"</f>
        <v>#VALUE!</v>
      </c>
      <c r="EX270" t="e">
        <f>Risklog!O78+"AM:!/hC"</f>
        <v>#VALUE!</v>
      </c>
      <c r="EY270" t="e">
        <f>Risklog!P78+"AM:!/hD"</f>
        <v>#VALUE!</v>
      </c>
      <c r="EZ270" t="e">
        <f>Risklog!Q78+"AM:!/hE"</f>
        <v>#VALUE!</v>
      </c>
      <c r="FA270" t="e">
        <f>Risklog!R78+"AM:!/hF"</f>
        <v>#VALUE!</v>
      </c>
      <c r="FB270" t="e">
        <f>Risklog!S78+"AM:!/hG"</f>
        <v>#VALUE!</v>
      </c>
      <c r="FC270" t="e">
        <f>Risklog!T78+"AM:!/hH"</f>
        <v>#VALUE!</v>
      </c>
      <c r="FD270" t="e">
        <f>Risklog!U78+"AM:!/hI"</f>
        <v>#VALUE!</v>
      </c>
      <c r="FE270" t="e">
        <f>Risklog!V78+"AM:!/hJ"</f>
        <v>#VALUE!</v>
      </c>
      <c r="FF270" t="e">
        <f>Risklog!W78+"AM:!/hK"</f>
        <v>#VALUE!</v>
      </c>
      <c r="FG270" t="e">
        <f>Risklog!X78+"AM:!/hL"</f>
        <v>#VALUE!</v>
      </c>
      <c r="FH270" t="e">
        <f>Risklog!Y78+"AM:!/hM"</f>
        <v>#VALUE!</v>
      </c>
      <c r="FI270" t="e">
        <f>Risklog!A79+"AM:!/hN"</f>
        <v>#VALUE!</v>
      </c>
      <c r="FJ270" t="e">
        <f>Risklog!B79+"AM:!/hO"</f>
        <v>#VALUE!</v>
      </c>
      <c r="FK270" t="e">
        <f>Risklog!C79+"AM:!/hP"</f>
        <v>#VALUE!</v>
      </c>
      <c r="FL270" t="e">
        <f>Risklog!D79+"AM:!/hQ"</f>
        <v>#VALUE!</v>
      </c>
      <c r="FM270" t="e">
        <f>Risklog!E79+"AM:!/hR"</f>
        <v>#VALUE!</v>
      </c>
      <c r="FN270" t="e">
        <f>Risklog!F79+"AM:!/hS"</f>
        <v>#VALUE!</v>
      </c>
      <c r="FO270" t="e">
        <f>Risklog!G79+"AM:!/hT"</f>
        <v>#VALUE!</v>
      </c>
      <c r="FP270" t="e">
        <f>Risklog!H79+"AM:!/hU"</f>
        <v>#VALUE!</v>
      </c>
      <c r="FQ270" t="e">
        <f>Risklog!I79+"AM:!/hV"</f>
        <v>#VALUE!</v>
      </c>
      <c r="FR270" t="e">
        <f>Risklog!J79+"AM:!/hW"</f>
        <v>#VALUE!</v>
      </c>
      <c r="FS270" t="e">
        <f>Risklog!K79+"AM:!/hX"</f>
        <v>#VALUE!</v>
      </c>
      <c r="FT270" t="e">
        <f>Risklog!L79+"AM:!/hY"</f>
        <v>#VALUE!</v>
      </c>
      <c r="FU270" t="e">
        <f>Risklog!M79+"AM:!/hZ"</f>
        <v>#VALUE!</v>
      </c>
      <c r="FV270" t="e">
        <f>Risklog!N79+"AM:!/h["</f>
        <v>#VALUE!</v>
      </c>
      <c r="FW270" t="e">
        <f>Risklog!O79+"AM:!/h\"</f>
        <v>#VALUE!</v>
      </c>
      <c r="FX270" t="e">
        <f>Risklog!P79+"AM:!/h]"</f>
        <v>#VALUE!</v>
      </c>
      <c r="FY270" t="e">
        <f>Risklog!Q79+"AM:!/h^"</f>
        <v>#VALUE!</v>
      </c>
      <c r="FZ270" t="e">
        <f>Risklog!R79+"AM:!/h_"</f>
        <v>#VALUE!</v>
      </c>
      <c r="GA270" t="e">
        <f>Risklog!S79+"AM:!/h`"</f>
        <v>#VALUE!</v>
      </c>
      <c r="GB270" t="e">
        <f>Risklog!T79+"AM:!/ha"</f>
        <v>#VALUE!</v>
      </c>
      <c r="GC270" t="e">
        <f>Risklog!U79+"AM:!/hb"</f>
        <v>#VALUE!</v>
      </c>
      <c r="GD270" t="e">
        <f>Risklog!V79+"AM:!/hc"</f>
        <v>#VALUE!</v>
      </c>
      <c r="GE270" t="e">
        <f>Risklog!W79+"AM:!/hd"</f>
        <v>#VALUE!</v>
      </c>
      <c r="GF270" t="e">
        <f>Risklog!X79+"AM:!/he"</f>
        <v>#VALUE!</v>
      </c>
      <c r="GG270" t="e">
        <f>Risklog!Y79+"AM:!/hf"</f>
        <v>#VALUE!</v>
      </c>
      <c r="GH270" t="e">
        <f>Risklog!A80+"AM:!/hg"</f>
        <v>#VALUE!</v>
      </c>
      <c r="GI270" t="e">
        <f>Risklog!B80+"AM:!/hh"</f>
        <v>#VALUE!</v>
      </c>
      <c r="GJ270" t="e">
        <f>Risklog!C80+"AM:!/hi"</f>
        <v>#VALUE!</v>
      </c>
      <c r="GK270" t="e">
        <f>Risklog!D80+"AM:!/hj"</f>
        <v>#VALUE!</v>
      </c>
      <c r="GL270" t="e">
        <f>Risklog!E80+"AM:!/hk"</f>
        <v>#VALUE!</v>
      </c>
      <c r="GM270" t="e">
        <f>Risklog!F80+"AM:!/hl"</f>
        <v>#VALUE!</v>
      </c>
      <c r="GN270" t="e">
        <f>Risklog!G80+"AM:!/hm"</f>
        <v>#VALUE!</v>
      </c>
      <c r="GO270" t="e">
        <f>Risklog!H80+"AM:!/hn"</f>
        <v>#VALUE!</v>
      </c>
      <c r="GP270" t="e">
        <f>Risklog!I80+"AM:!/ho"</f>
        <v>#VALUE!</v>
      </c>
      <c r="GQ270" t="e">
        <f>Risklog!J80+"AM:!/hp"</f>
        <v>#VALUE!</v>
      </c>
      <c r="GR270" t="e">
        <f>Risklog!K80+"AM:!/hq"</f>
        <v>#VALUE!</v>
      </c>
      <c r="GS270" t="e">
        <f>Risklog!L80+"AM:!/hr"</f>
        <v>#VALUE!</v>
      </c>
      <c r="GT270" t="e">
        <f>Risklog!M80+"AM:!/hs"</f>
        <v>#VALUE!</v>
      </c>
      <c r="GU270" t="e">
        <f>Risklog!N80+"AM:!/ht"</f>
        <v>#VALUE!</v>
      </c>
      <c r="GV270" t="e">
        <f>Risklog!O80+"AM:!/hu"</f>
        <v>#VALUE!</v>
      </c>
      <c r="GW270" t="e">
        <f>Risklog!P80+"AM:!/hv"</f>
        <v>#VALUE!</v>
      </c>
      <c r="GX270" t="e">
        <f>Risklog!Q80+"AM:!/hw"</f>
        <v>#VALUE!</v>
      </c>
      <c r="GY270" t="e">
        <f>Risklog!R80+"AM:!/hx"</f>
        <v>#VALUE!</v>
      </c>
      <c r="GZ270" t="e">
        <f>Risklog!S80+"AM:!/hy"</f>
        <v>#VALUE!</v>
      </c>
      <c r="HA270" t="e">
        <f>Risklog!T80+"AM:!/hz"</f>
        <v>#VALUE!</v>
      </c>
      <c r="HB270" t="e">
        <f>Risklog!U80+"AM:!/h{"</f>
        <v>#VALUE!</v>
      </c>
      <c r="HC270" t="e">
        <f>Risklog!V80+"AM:!/h|"</f>
        <v>#VALUE!</v>
      </c>
      <c r="HD270" t="e">
        <f>Risklog!W80+"AM:!/h}"</f>
        <v>#VALUE!</v>
      </c>
      <c r="HE270" t="e">
        <f>Risklog!X80+"AM:!/h~"</f>
        <v>#VALUE!</v>
      </c>
      <c r="HF270" t="e">
        <f>Risklog!Y80+"AM:!/i#"</f>
        <v>#VALUE!</v>
      </c>
      <c r="HG270" t="e">
        <f>Risklog!A81+"AM:!/i$"</f>
        <v>#VALUE!</v>
      </c>
      <c r="HH270" t="e">
        <f>Risklog!B81+"AM:!/i%"</f>
        <v>#VALUE!</v>
      </c>
      <c r="HI270" t="e">
        <f>Risklog!C81+"AM:!/i&amp;"</f>
        <v>#VALUE!</v>
      </c>
      <c r="HJ270" t="e">
        <f>Risklog!D81+"AM:!/i'"</f>
        <v>#VALUE!</v>
      </c>
      <c r="HK270" t="e">
        <f>Risklog!E81+"AM:!/i("</f>
        <v>#VALUE!</v>
      </c>
      <c r="HL270" t="e">
        <f>Risklog!F81+"AM:!/i)"</f>
        <v>#VALUE!</v>
      </c>
      <c r="HM270" t="e">
        <f>Risklog!G81+"AM:!/i."</f>
        <v>#VALUE!</v>
      </c>
      <c r="HN270" t="e">
        <f>Risklog!H81+"AM:!/i/"</f>
        <v>#VALUE!</v>
      </c>
      <c r="HO270" t="e">
        <f>Risklog!I81+"AM:!/i0"</f>
        <v>#VALUE!</v>
      </c>
      <c r="HP270" t="e">
        <f>Risklog!J81+"AM:!/i1"</f>
        <v>#VALUE!</v>
      </c>
      <c r="HQ270" t="e">
        <f>Risklog!K81+"AM:!/i2"</f>
        <v>#VALUE!</v>
      </c>
      <c r="HR270" t="e">
        <f>Risklog!L81+"AM:!/i3"</f>
        <v>#VALUE!</v>
      </c>
      <c r="HS270" t="e">
        <f>Risklog!M81+"AM:!/i4"</f>
        <v>#VALUE!</v>
      </c>
      <c r="HT270" t="e">
        <f>Risklog!N81+"AM:!/i5"</f>
        <v>#VALUE!</v>
      </c>
      <c r="HU270" t="e">
        <f>Risklog!O81+"AM:!/i6"</f>
        <v>#VALUE!</v>
      </c>
      <c r="HV270" t="e">
        <f>Risklog!P81+"AM:!/i7"</f>
        <v>#VALUE!</v>
      </c>
      <c r="HW270" t="e">
        <f>Risklog!Q81+"AM:!/i8"</f>
        <v>#VALUE!</v>
      </c>
      <c r="HX270" t="e">
        <f>Risklog!R81+"AM:!/i9"</f>
        <v>#VALUE!</v>
      </c>
      <c r="HY270" t="e">
        <f>Risklog!S81+"AM:!/i:"</f>
        <v>#VALUE!</v>
      </c>
      <c r="HZ270" t="e">
        <f>Risklog!T81+"AM:!/i;"</f>
        <v>#VALUE!</v>
      </c>
      <c r="IA270" t="e">
        <f>Risklog!U81+"AM:!/i&lt;"</f>
        <v>#VALUE!</v>
      </c>
      <c r="IB270" t="e">
        <f>Risklog!V81+"AM:!/i="</f>
        <v>#VALUE!</v>
      </c>
      <c r="IC270" t="e">
        <f>Risklog!W81+"AM:!/i&gt;"</f>
        <v>#VALUE!</v>
      </c>
      <c r="ID270" t="e">
        <f>Risklog!X81+"AM:!/i?"</f>
        <v>#VALUE!</v>
      </c>
      <c r="IE270" t="e">
        <f>Risklog!Y81+"AM:!/i@"</f>
        <v>#VALUE!</v>
      </c>
      <c r="IF270" t="e">
        <f>Risklog!A82+"AM:!/iA"</f>
        <v>#VALUE!</v>
      </c>
      <c r="IG270" t="e">
        <f>Risklog!B82+"AM:!/iB"</f>
        <v>#VALUE!</v>
      </c>
      <c r="IH270" t="e">
        <f>Risklog!C82+"AM:!/iC"</f>
        <v>#VALUE!</v>
      </c>
      <c r="II270" t="e">
        <f>Risklog!D82+"AM:!/iD"</f>
        <v>#VALUE!</v>
      </c>
      <c r="IJ270" t="e">
        <f>Risklog!E82+"AM:!/iE"</f>
        <v>#VALUE!</v>
      </c>
      <c r="IK270" t="e">
        <f>Risklog!F82+"AM:!/iF"</f>
        <v>#VALUE!</v>
      </c>
      <c r="IL270" t="e">
        <f>Risklog!G82+"AM:!/iG"</f>
        <v>#VALUE!</v>
      </c>
      <c r="IM270" t="e">
        <f>Risklog!H82+"AM:!/iH"</f>
        <v>#VALUE!</v>
      </c>
      <c r="IN270" t="e">
        <f>Risklog!I82+"AM:!/iI"</f>
        <v>#VALUE!</v>
      </c>
      <c r="IO270" t="e">
        <f>Risklog!J82+"AM:!/iJ"</f>
        <v>#VALUE!</v>
      </c>
      <c r="IP270" t="e">
        <f>Risklog!K82+"AM:!/iK"</f>
        <v>#VALUE!</v>
      </c>
      <c r="IQ270" t="e">
        <f>Risklog!L82+"AM:!/iL"</f>
        <v>#VALUE!</v>
      </c>
      <c r="IR270" t="e">
        <f>Risklog!M82+"AM:!/iM"</f>
        <v>#VALUE!</v>
      </c>
      <c r="IS270" t="e">
        <f>Risklog!N82+"AM:!/iN"</f>
        <v>#VALUE!</v>
      </c>
      <c r="IT270" t="e">
        <f>Risklog!O82+"AM:!/iO"</f>
        <v>#VALUE!</v>
      </c>
      <c r="IU270" t="e">
        <f>Risklog!P82+"AM:!/iP"</f>
        <v>#VALUE!</v>
      </c>
      <c r="IV270" t="e">
        <f>Risklog!Q82+"AM:!/iQ"</f>
        <v>#VALUE!</v>
      </c>
    </row>
    <row r="271" spans="6:256">
      <c r="F271" t="e">
        <f>Risklog!R82+"AM:!/iR"</f>
        <v>#VALUE!</v>
      </c>
      <c r="G271" t="e">
        <f>Risklog!S82+"AM:!/iS"</f>
        <v>#VALUE!</v>
      </c>
      <c r="H271" t="e">
        <f>Risklog!T82+"AM:!/iT"</f>
        <v>#VALUE!</v>
      </c>
      <c r="I271" t="e">
        <f>Risklog!U82+"AM:!/iU"</f>
        <v>#VALUE!</v>
      </c>
      <c r="J271" t="e">
        <f>Risklog!V82+"AM:!/iV"</f>
        <v>#VALUE!</v>
      </c>
      <c r="K271" t="e">
        <f>Risklog!W82+"AM:!/iW"</f>
        <v>#VALUE!</v>
      </c>
      <c r="L271" t="e">
        <f>Risklog!X82+"AM:!/iX"</f>
        <v>#VALUE!</v>
      </c>
      <c r="M271" t="e">
        <f>Risklog!Y82+"AM:!/iY"</f>
        <v>#VALUE!</v>
      </c>
      <c r="N271" t="e">
        <f>Risklog!A83+"AM:!/iZ"</f>
        <v>#VALUE!</v>
      </c>
      <c r="O271" t="e">
        <f>Risklog!B83+"AM:!/i["</f>
        <v>#VALUE!</v>
      </c>
      <c r="P271" t="e">
        <f>Risklog!C83+"AM:!/i\"</f>
        <v>#VALUE!</v>
      </c>
      <c r="Q271" t="e">
        <f>Risklog!D83+"AM:!/i]"</f>
        <v>#VALUE!</v>
      </c>
      <c r="R271" t="e">
        <f>Risklog!E83+"AM:!/i^"</f>
        <v>#VALUE!</v>
      </c>
      <c r="S271" t="e">
        <f>Risklog!F83+"AM:!/i_"</f>
        <v>#VALUE!</v>
      </c>
      <c r="T271" t="e">
        <f>Risklog!G83+"AM:!/i`"</f>
        <v>#VALUE!</v>
      </c>
      <c r="U271" t="e">
        <f>Risklog!H83+"AM:!/ia"</f>
        <v>#VALUE!</v>
      </c>
      <c r="V271" t="e">
        <f>Risklog!I83+"AM:!/ib"</f>
        <v>#VALUE!</v>
      </c>
      <c r="W271" t="e">
        <f>Risklog!J83+"AM:!/ic"</f>
        <v>#VALUE!</v>
      </c>
      <c r="X271" t="e">
        <f>Risklog!K83+"AM:!/id"</f>
        <v>#VALUE!</v>
      </c>
      <c r="Y271" t="e">
        <f>Risklog!L83+"AM:!/ie"</f>
        <v>#VALUE!</v>
      </c>
      <c r="Z271" t="e">
        <f>Risklog!M83+"AM:!/if"</f>
        <v>#VALUE!</v>
      </c>
      <c r="AA271" t="e">
        <f>Risklog!N83+"AM:!/ig"</f>
        <v>#VALUE!</v>
      </c>
      <c r="AB271" t="e">
        <f>Risklog!O83+"AM:!/ih"</f>
        <v>#VALUE!</v>
      </c>
      <c r="AC271" t="e">
        <f>Risklog!P83+"AM:!/ii"</f>
        <v>#VALUE!</v>
      </c>
      <c r="AD271" t="e">
        <f>Risklog!Q83+"AM:!/ij"</f>
        <v>#VALUE!</v>
      </c>
      <c r="AE271" t="e">
        <f>Risklog!R83+"AM:!/ik"</f>
        <v>#VALUE!</v>
      </c>
      <c r="AF271" t="e">
        <f>Risklog!S83+"AM:!/il"</f>
        <v>#VALUE!</v>
      </c>
      <c r="AG271" t="e">
        <f>Risklog!T83+"AM:!/im"</f>
        <v>#VALUE!</v>
      </c>
      <c r="AH271" t="e">
        <f>Risklog!U83+"AM:!/in"</f>
        <v>#VALUE!</v>
      </c>
      <c r="AI271" t="e">
        <f>Risklog!V83+"AM:!/io"</f>
        <v>#VALUE!</v>
      </c>
      <c r="AJ271" t="e">
        <f>Risklog!W83+"AM:!/ip"</f>
        <v>#VALUE!</v>
      </c>
      <c r="AK271" t="e">
        <f>Risklog!X83+"AM:!/iq"</f>
        <v>#VALUE!</v>
      </c>
      <c r="AL271" t="e">
        <f>Risklog!Y83+"AM:!/ir"</f>
        <v>#VALUE!</v>
      </c>
      <c r="AM271" t="e">
        <f>Risklog!A84+"AM:!/is"</f>
        <v>#VALUE!</v>
      </c>
      <c r="AN271" t="e">
        <f>Risklog!B84+"AM:!/it"</f>
        <v>#VALUE!</v>
      </c>
      <c r="AO271" t="e">
        <f>Risklog!C84+"AM:!/iu"</f>
        <v>#VALUE!</v>
      </c>
      <c r="AP271" t="e">
        <f>Risklog!D84+"AM:!/iv"</f>
        <v>#VALUE!</v>
      </c>
      <c r="AQ271" t="e">
        <f>Risklog!E84+"AM:!/iw"</f>
        <v>#VALUE!</v>
      </c>
      <c r="AR271" t="e">
        <f>Risklog!F84+"AM:!/ix"</f>
        <v>#VALUE!</v>
      </c>
      <c r="AS271" t="e">
        <f>Risklog!G84+"AM:!/iy"</f>
        <v>#VALUE!</v>
      </c>
      <c r="AT271" t="e">
        <f>Risklog!H84+"AM:!/iz"</f>
        <v>#VALUE!</v>
      </c>
      <c r="AU271" t="e">
        <f>Risklog!I84+"AM:!/i{"</f>
        <v>#VALUE!</v>
      </c>
      <c r="AV271" t="e">
        <f>Risklog!J84+"AM:!/i|"</f>
        <v>#VALUE!</v>
      </c>
      <c r="AW271" t="e">
        <f>Risklog!K84+"AM:!/i}"</f>
        <v>#VALUE!</v>
      </c>
      <c r="AX271" t="e">
        <f>Risklog!L84+"AM:!/i~"</f>
        <v>#VALUE!</v>
      </c>
      <c r="AY271" t="e">
        <f>Risklog!M84+"AM:!/j#"</f>
        <v>#VALUE!</v>
      </c>
      <c r="AZ271" t="e">
        <f>Risklog!N84+"AM:!/j$"</f>
        <v>#VALUE!</v>
      </c>
      <c r="BA271" t="e">
        <f>Risklog!O84+"AM:!/j%"</f>
        <v>#VALUE!</v>
      </c>
      <c r="BB271" t="e">
        <f>Risklog!P84+"AM:!/j&amp;"</f>
        <v>#VALUE!</v>
      </c>
      <c r="BC271" t="e">
        <f>Risklog!Q84+"AM:!/j'"</f>
        <v>#VALUE!</v>
      </c>
      <c r="BD271" t="e">
        <f>Risklog!R84+"AM:!/j("</f>
        <v>#VALUE!</v>
      </c>
      <c r="BE271" t="e">
        <f>Risklog!S84+"AM:!/j)"</f>
        <v>#VALUE!</v>
      </c>
      <c r="BF271" t="e">
        <f>Risklog!T84+"AM:!/j."</f>
        <v>#VALUE!</v>
      </c>
      <c r="BG271" t="e">
        <f>Risklog!U84+"AM:!/j/"</f>
        <v>#VALUE!</v>
      </c>
      <c r="BH271" t="e">
        <f>Risklog!V84+"AM:!/j0"</f>
        <v>#VALUE!</v>
      </c>
      <c r="BI271" t="e">
        <f>Risklog!W84+"AM:!/j1"</f>
        <v>#VALUE!</v>
      </c>
      <c r="BJ271" t="e">
        <f>Risklog!X84+"AM:!/j2"</f>
        <v>#VALUE!</v>
      </c>
      <c r="BK271" t="e">
        <f>Risklog!Y84+"AM:!/j3"</f>
        <v>#VALUE!</v>
      </c>
      <c r="BL271" t="e">
        <f>Risklog!A85+"AM:!/j4"</f>
        <v>#VALUE!</v>
      </c>
      <c r="BM271" t="e">
        <f>Risklog!B85+"AM:!/j5"</f>
        <v>#VALUE!</v>
      </c>
      <c r="BN271" t="e">
        <f>Risklog!C85+"AM:!/j6"</f>
        <v>#VALUE!</v>
      </c>
      <c r="BO271" t="e">
        <f>Risklog!D85+"AM:!/j7"</f>
        <v>#VALUE!</v>
      </c>
      <c r="BP271" t="e">
        <f>Risklog!E85+"AM:!/j8"</f>
        <v>#VALUE!</v>
      </c>
      <c r="BQ271" t="e">
        <f>Risklog!F85+"AM:!/j9"</f>
        <v>#VALUE!</v>
      </c>
      <c r="BR271" t="e">
        <f>Risklog!G85+"AM:!/j:"</f>
        <v>#VALUE!</v>
      </c>
      <c r="BS271" t="e">
        <f>Risklog!H85+"AM:!/j;"</f>
        <v>#VALUE!</v>
      </c>
      <c r="BT271" t="e">
        <f>Risklog!I85+"AM:!/j&lt;"</f>
        <v>#VALUE!</v>
      </c>
      <c r="BU271" t="e">
        <f>Risklog!J85+"AM:!/j="</f>
        <v>#VALUE!</v>
      </c>
      <c r="BV271" t="e">
        <f>Risklog!K85+"AM:!/j&gt;"</f>
        <v>#VALUE!</v>
      </c>
      <c r="BW271" t="e">
        <f>Risklog!L85+"AM:!/j?"</f>
        <v>#VALUE!</v>
      </c>
      <c r="BX271" t="e">
        <f>Risklog!M85+"AM:!/j@"</f>
        <v>#VALUE!</v>
      </c>
      <c r="BY271" t="e">
        <f>Risklog!N85+"AM:!/jA"</f>
        <v>#VALUE!</v>
      </c>
      <c r="BZ271" t="e">
        <f>Risklog!O85+"AM:!/jB"</f>
        <v>#VALUE!</v>
      </c>
      <c r="CA271" t="e">
        <f>Risklog!P85+"AM:!/jC"</f>
        <v>#VALUE!</v>
      </c>
      <c r="CB271" t="e">
        <f>Risklog!Q85+"AM:!/jD"</f>
        <v>#VALUE!</v>
      </c>
      <c r="CC271" t="e">
        <f>Risklog!R85+"AM:!/jE"</f>
        <v>#VALUE!</v>
      </c>
      <c r="CD271" t="e">
        <f>Risklog!S85+"AM:!/jF"</f>
        <v>#VALUE!</v>
      </c>
      <c r="CE271" t="e">
        <f>Risklog!T85+"AM:!/jG"</f>
        <v>#VALUE!</v>
      </c>
      <c r="CF271" t="e">
        <f>Risklog!U85+"AM:!/jH"</f>
        <v>#VALUE!</v>
      </c>
      <c r="CG271" t="e">
        <f>Risklog!V85+"AM:!/jI"</f>
        <v>#VALUE!</v>
      </c>
      <c r="CH271" t="e">
        <f>Risklog!W85+"AM:!/jJ"</f>
        <v>#VALUE!</v>
      </c>
      <c r="CI271" t="e">
        <f>Risklog!X85+"AM:!/jK"</f>
        <v>#VALUE!</v>
      </c>
      <c r="CJ271" t="e">
        <f>Risklog!Y85+"AM:!/jL"</f>
        <v>#VALUE!</v>
      </c>
      <c r="CK271" t="e">
        <f>Risklog!A86+"AM:!/jM"</f>
        <v>#VALUE!</v>
      </c>
      <c r="CL271" t="e">
        <f>Risklog!B86+"AM:!/jN"</f>
        <v>#VALUE!</v>
      </c>
      <c r="CM271" t="e">
        <f>Risklog!C86+"AM:!/jO"</f>
        <v>#VALUE!</v>
      </c>
      <c r="CN271" t="e">
        <f>Risklog!D86+"AM:!/jP"</f>
        <v>#VALUE!</v>
      </c>
      <c r="CO271" t="e">
        <f>Risklog!E86+"AM:!/jQ"</f>
        <v>#VALUE!</v>
      </c>
      <c r="CP271" t="e">
        <f>Risklog!F86+"AM:!/jR"</f>
        <v>#VALUE!</v>
      </c>
      <c r="CQ271" t="e">
        <f>Risklog!G86+"AM:!/jS"</f>
        <v>#VALUE!</v>
      </c>
      <c r="CR271" t="e">
        <f>Risklog!H86+"AM:!/jT"</f>
        <v>#VALUE!</v>
      </c>
      <c r="CS271" t="e">
        <f>Risklog!I86+"AM:!/jU"</f>
        <v>#VALUE!</v>
      </c>
      <c r="CT271" t="e">
        <f>Risklog!J86+"AM:!/jV"</f>
        <v>#VALUE!</v>
      </c>
      <c r="CU271" t="e">
        <f>Risklog!K86+"AM:!/jW"</f>
        <v>#VALUE!</v>
      </c>
      <c r="CV271" t="e">
        <f>Risklog!L86+"AM:!/jX"</f>
        <v>#VALUE!</v>
      </c>
      <c r="CW271" t="e">
        <f>Risklog!M86+"AM:!/jY"</f>
        <v>#VALUE!</v>
      </c>
      <c r="CX271" t="e">
        <f>Risklog!N86+"AM:!/jZ"</f>
        <v>#VALUE!</v>
      </c>
      <c r="CY271" t="e">
        <f>Risklog!O86+"AM:!/j["</f>
        <v>#VALUE!</v>
      </c>
      <c r="CZ271" t="e">
        <f>Risklog!P86+"AM:!/j\"</f>
        <v>#VALUE!</v>
      </c>
      <c r="DA271" t="e">
        <f>Risklog!Q86+"AM:!/j]"</f>
        <v>#VALUE!</v>
      </c>
      <c r="DB271" t="e">
        <f>Risklog!R86+"AM:!/j^"</f>
        <v>#VALUE!</v>
      </c>
      <c r="DC271" t="e">
        <f>Risklog!S86+"AM:!/j_"</f>
        <v>#VALUE!</v>
      </c>
      <c r="DD271" t="e">
        <f>Risklog!T86+"AM:!/j`"</f>
        <v>#VALUE!</v>
      </c>
      <c r="DE271" t="e">
        <f>Risklog!U86+"AM:!/ja"</f>
        <v>#VALUE!</v>
      </c>
      <c r="DF271" t="e">
        <f>Risklog!V86+"AM:!/jb"</f>
        <v>#VALUE!</v>
      </c>
      <c r="DG271" t="e">
        <f>Risklog!W86+"AM:!/jc"</f>
        <v>#VALUE!</v>
      </c>
      <c r="DH271" t="e">
        <f>Risklog!X86+"AM:!/jd"</f>
        <v>#VALUE!</v>
      </c>
      <c r="DI271" t="e">
        <f>Risklog!Y86+"AM:!/je"</f>
        <v>#VALUE!</v>
      </c>
      <c r="DJ271" t="e">
        <f>Risklog!A87+"AM:!/jf"</f>
        <v>#VALUE!</v>
      </c>
      <c r="DK271" t="e">
        <f>Risklog!B87+"AM:!/jg"</f>
        <v>#VALUE!</v>
      </c>
      <c r="DL271" t="e">
        <f>Risklog!C87+"AM:!/jh"</f>
        <v>#VALUE!</v>
      </c>
      <c r="DM271" t="e">
        <f>Risklog!D87+"AM:!/ji"</f>
        <v>#VALUE!</v>
      </c>
      <c r="DN271" t="e">
        <f>Risklog!E87+"AM:!/jj"</f>
        <v>#VALUE!</v>
      </c>
      <c r="DO271" t="e">
        <f>Risklog!F87+"AM:!/jk"</f>
        <v>#VALUE!</v>
      </c>
      <c r="DP271" t="e">
        <f>Risklog!G87+"AM:!/jl"</f>
        <v>#VALUE!</v>
      </c>
      <c r="DQ271" t="e">
        <f>Risklog!H87+"AM:!/jm"</f>
        <v>#VALUE!</v>
      </c>
      <c r="DR271" t="e">
        <f>Risklog!I87+"AM:!/jn"</f>
        <v>#VALUE!</v>
      </c>
      <c r="DS271" t="e">
        <f>Risklog!J87+"AM:!/jo"</f>
        <v>#VALUE!</v>
      </c>
      <c r="DT271" t="e">
        <f>Risklog!K87+"AM:!/jp"</f>
        <v>#VALUE!</v>
      </c>
      <c r="DU271" t="e">
        <f>Risklog!L87+"AM:!/jq"</f>
        <v>#VALUE!</v>
      </c>
      <c r="DV271" t="e">
        <f>Risklog!M87+"AM:!/jr"</f>
        <v>#VALUE!</v>
      </c>
      <c r="DW271" t="e">
        <f>Risklog!N87+"AM:!/js"</f>
        <v>#VALUE!</v>
      </c>
      <c r="DX271" t="e">
        <f>Risklog!O87+"AM:!/jt"</f>
        <v>#VALUE!</v>
      </c>
      <c r="DY271" t="e">
        <f>Risklog!P87+"AM:!/ju"</f>
        <v>#VALUE!</v>
      </c>
      <c r="DZ271" t="e">
        <f>Risklog!Q87+"AM:!/jv"</f>
        <v>#VALUE!</v>
      </c>
      <c r="EA271" t="e">
        <f>Risklog!R87+"AM:!/jw"</f>
        <v>#VALUE!</v>
      </c>
      <c r="EB271" t="e">
        <f>Risklog!S87+"AM:!/jx"</f>
        <v>#VALUE!</v>
      </c>
      <c r="EC271" t="e">
        <f>Risklog!T87+"AM:!/jy"</f>
        <v>#VALUE!</v>
      </c>
      <c r="ED271" t="e">
        <f>Risklog!U87+"AM:!/jz"</f>
        <v>#VALUE!</v>
      </c>
      <c r="EE271" t="e">
        <f>Risklog!V87+"AM:!/j{"</f>
        <v>#VALUE!</v>
      </c>
      <c r="EF271" t="e">
        <f>Risklog!W87+"AM:!/j|"</f>
        <v>#VALUE!</v>
      </c>
      <c r="EG271" t="e">
        <f>Risklog!X87+"AM:!/j}"</f>
        <v>#VALUE!</v>
      </c>
      <c r="EH271" t="e">
        <f>Risklog!Y87+"AM:!/j~"</f>
        <v>#VALUE!</v>
      </c>
      <c r="EI271" t="e">
        <f>Risklog!A88+"AM:!/k#"</f>
        <v>#VALUE!</v>
      </c>
      <c r="EJ271" t="e">
        <f>Risklog!B88+"AM:!/k$"</f>
        <v>#VALUE!</v>
      </c>
      <c r="EK271" t="e">
        <f>Risklog!C88+"AM:!/k%"</f>
        <v>#VALUE!</v>
      </c>
      <c r="EL271" t="e">
        <f>Risklog!D88+"AM:!/k&amp;"</f>
        <v>#VALUE!</v>
      </c>
      <c r="EM271" t="e">
        <f>Risklog!E88+"AM:!/k'"</f>
        <v>#VALUE!</v>
      </c>
      <c r="EN271" t="e">
        <f>Risklog!F88+"AM:!/k("</f>
        <v>#VALUE!</v>
      </c>
      <c r="EO271" t="e">
        <f>Risklog!G88+"AM:!/k)"</f>
        <v>#VALUE!</v>
      </c>
      <c r="EP271" t="e">
        <f>Risklog!H88+"AM:!/k."</f>
        <v>#VALUE!</v>
      </c>
      <c r="EQ271" t="e">
        <f>Risklog!I88+"AM:!/k/"</f>
        <v>#VALUE!</v>
      </c>
      <c r="ER271" t="e">
        <f>Risklog!J88+"AM:!/k0"</f>
        <v>#VALUE!</v>
      </c>
      <c r="ES271" t="e">
        <f>Risklog!K88+"AM:!/k1"</f>
        <v>#VALUE!</v>
      </c>
      <c r="ET271" t="e">
        <f>Risklog!L88+"AM:!/k2"</f>
        <v>#VALUE!</v>
      </c>
      <c r="EU271" t="e">
        <f>Risklog!M88+"AM:!/k3"</f>
        <v>#VALUE!</v>
      </c>
      <c r="EV271" t="e">
        <f>Risklog!N88+"AM:!/k4"</f>
        <v>#VALUE!</v>
      </c>
      <c r="EW271" t="e">
        <f>Risklog!O88+"AM:!/k5"</f>
        <v>#VALUE!</v>
      </c>
      <c r="EX271" t="e">
        <f>Risklog!P88+"AM:!/k6"</f>
        <v>#VALUE!</v>
      </c>
      <c r="EY271" t="e">
        <f>Risklog!Q88+"AM:!/k7"</f>
        <v>#VALUE!</v>
      </c>
      <c r="EZ271" t="e">
        <f>Risklog!R88+"AM:!/k8"</f>
        <v>#VALUE!</v>
      </c>
      <c r="FA271" t="e">
        <f>Risklog!S88+"AM:!/k9"</f>
        <v>#VALUE!</v>
      </c>
      <c r="FB271" t="e">
        <f>Risklog!T88+"AM:!/k:"</f>
        <v>#VALUE!</v>
      </c>
      <c r="FC271" t="e">
        <f>Risklog!U88+"AM:!/k;"</f>
        <v>#VALUE!</v>
      </c>
      <c r="FD271" t="e">
        <f>Risklog!V88+"AM:!/k&lt;"</f>
        <v>#VALUE!</v>
      </c>
      <c r="FE271" t="e">
        <f>Risklog!W88+"AM:!/k="</f>
        <v>#VALUE!</v>
      </c>
      <c r="FF271" t="e">
        <f>Risklog!X88+"AM:!/k&gt;"</f>
        <v>#VALUE!</v>
      </c>
      <c r="FG271" t="e">
        <f>Risklog!Y88+"AM:!/k?"</f>
        <v>#VALUE!</v>
      </c>
      <c r="FH271" t="e">
        <f>Risklog!A89+"AM:!/k@"</f>
        <v>#VALUE!</v>
      </c>
      <c r="FI271" t="e">
        <f>Risklog!B89+"AM:!/kA"</f>
        <v>#VALUE!</v>
      </c>
      <c r="FJ271" t="e">
        <f>Risklog!C89+"AM:!/kB"</f>
        <v>#VALUE!</v>
      </c>
      <c r="FK271" t="e">
        <f>Risklog!D89+"AM:!/kC"</f>
        <v>#VALUE!</v>
      </c>
      <c r="FL271" t="e">
        <f>Risklog!E89+"AM:!/kD"</f>
        <v>#VALUE!</v>
      </c>
      <c r="FM271" t="e">
        <f>Risklog!F89+"AM:!/kE"</f>
        <v>#VALUE!</v>
      </c>
      <c r="FN271" t="e">
        <f>Risklog!G89+"AM:!/kF"</f>
        <v>#VALUE!</v>
      </c>
      <c r="FO271" t="e">
        <f>Risklog!H89+"AM:!/kG"</f>
        <v>#VALUE!</v>
      </c>
      <c r="FP271" t="e">
        <f>Risklog!I89+"AM:!/kH"</f>
        <v>#VALUE!</v>
      </c>
      <c r="FQ271" t="e">
        <f>Risklog!J89+"AM:!/kI"</f>
        <v>#VALUE!</v>
      </c>
      <c r="FR271" t="e">
        <f>Risklog!K89+"AM:!/kJ"</f>
        <v>#VALUE!</v>
      </c>
      <c r="FS271" t="e">
        <f>Risklog!L89+"AM:!/kK"</f>
        <v>#VALUE!</v>
      </c>
      <c r="FT271" t="e">
        <f>Risklog!M89+"AM:!/kL"</f>
        <v>#VALUE!</v>
      </c>
      <c r="FU271" t="e">
        <f>Risklog!N89+"AM:!/kM"</f>
        <v>#VALUE!</v>
      </c>
      <c r="FV271" t="e">
        <f>Risklog!O89+"AM:!/kN"</f>
        <v>#VALUE!</v>
      </c>
      <c r="FW271" t="e">
        <f>Risklog!P89+"AM:!/kO"</f>
        <v>#VALUE!</v>
      </c>
      <c r="FX271" t="e">
        <f>Risklog!Q89+"AM:!/kP"</f>
        <v>#VALUE!</v>
      </c>
      <c r="FY271" t="e">
        <f>Risklog!R89+"AM:!/kQ"</f>
        <v>#VALUE!</v>
      </c>
      <c r="FZ271" t="e">
        <f>Risklog!S89+"AM:!/kR"</f>
        <v>#VALUE!</v>
      </c>
      <c r="GA271" t="e">
        <f>Risklog!T89+"AM:!/kS"</f>
        <v>#VALUE!</v>
      </c>
      <c r="GB271" t="e">
        <f>Risklog!U89+"AM:!/kT"</f>
        <v>#VALUE!</v>
      </c>
      <c r="GC271" t="e">
        <f>Risklog!V89+"AM:!/kU"</f>
        <v>#VALUE!</v>
      </c>
      <c r="GD271" t="e">
        <f>Risklog!W89+"AM:!/kV"</f>
        <v>#VALUE!</v>
      </c>
      <c r="GE271" t="e">
        <f>Risklog!X89+"AM:!/kW"</f>
        <v>#VALUE!</v>
      </c>
      <c r="GF271" t="e">
        <f>Risklog!Y89+"AM:!/kX"</f>
        <v>#VALUE!</v>
      </c>
      <c r="GG271" t="e">
        <f>Risklog!A90+"AM:!/kY"</f>
        <v>#VALUE!</v>
      </c>
      <c r="GH271" t="e">
        <f>Risklog!B90+"AM:!/kZ"</f>
        <v>#VALUE!</v>
      </c>
      <c r="GI271" t="e">
        <f>Risklog!C90+"AM:!/k["</f>
        <v>#VALUE!</v>
      </c>
      <c r="GJ271" t="e">
        <f>Risklog!D90+"AM:!/k\"</f>
        <v>#VALUE!</v>
      </c>
      <c r="GK271" t="e">
        <f>Risklog!E90+"AM:!/k]"</f>
        <v>#VALUE!</v>
      </c>
      <c r="GL271" t="e">
        <f>Risklog!F90+"AM:!/k^"</f>
        <v>#VALUE!</v>
      </c>
      <c r="GM271" t="e">
        <f>Risklog!G90+"AM:!/k_"</f>
        <v>#VALUE!</v>
      </c>
      <c r="GN271" t="e">
        <f>Risklog!H90+"AM:!/k`"</f>
        <v>#VALUE!</v>
      </c>
      <c r="GO271" t="e">
        <f>Risklog!I90+"AM:!/ka"</f>
        <v>#VALUE!</v>
      </c>
      <c r="GP271" t="e">
        <f>Risklog!J90+"AM:!/kb"</f>
        <v>#VALUE!</v>
      </c>
      <c r="GQ271" t="e">
        <f>Risklog!K90+"AM:!/kc"</f>
        <v>#VALUE!</v>
      </c>
      <c r="GR271" t="e">
        <f>Risklog!L90+"AM:!/kd"</f>
        <v>#VALUE!</v>
      </c>
      <c r="GS271" t="e">
        <f>Risklog!M90+"AM:!/ke"</f>
        <v>#VALUE!</v>
      </c>
      <c r="GT271" t="e">
        <f>Risklog!N90+"AM:!/kf"</f>
        <v>#VALUE!</v>
      </c>
      <c r="GU271" t="e">
        <f>Risklog!O90+"AM:!/kg"</f>
        <v>#VALUE!</v>
      </c>
      <c r="GV271" t="e">
        <f>Risklog!P90+"AM:!/kh"</f>
        <v>#VALUE!</v>
      </c>
      <c r="GW271" t="e">
        <f>Risklog!Q90+"AM:!/ki"</f>
        <v>#VALUE!</v>
      </c>
      <c r="GX271" t="e">
        <f>Risklog!R90+"AM:!/kj"</f>
        <v>#VALUE!</v>
      </c>
      <c r="GY271" t="e">
        <f>Risklog!S90+"AM:!/kk"</f>
        <v>#VALUE!</v>
      </c>
      <c r="GZ271" t="e">
        <f>Risklog!T90+"AM:!/kl"</f>
        <v>#VALUE!</v>
      </c>
      <c r="HA271" t="e">
        <f>Risklog!U90+"AM:!/km"</f>
        <v>#VALUE!</v>
      </c>
      <c r="HB271" t="e">
        <f>Risklog!V90+"AM:!/kn"</f>
        <v>#VALUE!</v>
      </c>
      <c r="HC271" t="e">
        <f>Risklog!W90+"AM:!/ko"</f>
        <v>#VALUE!</v>
      </c>
      <c r="HD271" t="e">
        <f>Risklog!X90+"AM:!/kp"</f>
        <v>#VALUE!</v>
      </c>
      <c r="HE271" t="e">
        <f>Risklog!Y90+"AM:!/kq"</f>
        <v>#VALUE!</v>
      </c>
      <c r="HF271" t="e">
        <f>Risklog!A91+"AM:!/kr"</f>
        <v>#VALUE!</v>
      </c>
      <c r="HG271" t="e">
        <f>Risklog!B91+"AM:!/ks"</f>
        <v>#VALUE!</v>
      </c>
      <c r="HH271" t="e">
        <f>Risklog!C91+"AM:!/kt"</f>
        <v>#VALUE!</v>
      </c>
      <c r="HI271" t="e">
        <f>Risklog!D91+"AM:!/ku"</f>
        <v>#VALUE!</v>
      </c>
      <c r="HJ271" t="e">
        <f>Risklog!E91+"AM:!/kv"</f>
        <v>#VALUE!</v>
      </c>
      <c r="HK271" t="e">
        <f>Risklog!F91+"AM:!/kw"</f>
        <v>#VALUE!</v>
      </c>
      <c r="HL271" t="e">
        <f>Risklog!G91+"AM:!/kx"</f>
        <v>#VALUE!</v>
      </c>
      <c r="HM271" t="e">
        <f>Risklog!H91+"AM:!/ky"</f>
        <v>#VALUE!</v>
      </c>
      <c r="HN271" t="e">
        <f>Risklog!I91+"AM:!/kz"</f>
        <v>#VALUE!</v>
      </c>
      <c r="HO271" t="e">
        <f>Risklog!J91+"AM:!/k{"</f>
        <v>#VALUE!</v>
      </c>
      <c r="HP271" t="e">
        <f>Risklog!K91+"AM:!/k|"</f>
        <v>#VALUE!</v>
      </c>
      <c r="HQ271" t="e">
        <f>Risklog!L91+"AM:!/k}"</f>
        <v>#VALUE!</v>
      </c>
      <c r="HR271" t="e">
        <f>Risklog!M91+"AM:!/k~"</f>
        <v>#VALUE!</v>
      </c>
      <c r="HS271" t="e">
        <f>Risklog!N91+"AM:!/l#"</f>
        <v>#VALUE!</v>
      </c>
      <c r="HT271" t="e">
        <f>Risklog!O91+"AM:!/l$"</f>
        <v>#VALUE!</v>
      </c>
      <c r="HU271" t="e">
        <f>Risklog!P91+"AM:!/l%"</f>
        <v>#VALUE!</v>
      </c>
      <c r="HV271" t="e">
        <f>Risklog!Q91+"AM:!/l&amp;"</f>
        <v>#VALUE!</v>
      </c>
      <c r="HW271" t="e">
        <f>Risklog!R91+"AM:!/l'"</f>
        <v>#VALUE!</v>
      </c>
      <c r="HX271" t="e">
        <f>Risklog!S91+"AM:!/l("</f>
        <v>#VALUE!</v>
      </c>
      <c r="HY271" t="e">
        <f>Risklog!T91+"AM:!/l)"</f>
        <v>#VALUE!</v>
      </c>
      <c r="HZ271" t="e">
        <f>Risklog!U91+"AM:!/l."</f>
        <v>#VALUE!</v>
      </c>
      <c r="IA271" t="e">
        <f>Risklog!V91+"AM:!/l/"</f>
        <v>#VALUE!</v>
      </c>
      <c r="IB271" t="e">
        <f>Risklog!W91+"AM:!/l0"</f>
        <v>#VALUE!</v>
      </c>
      <c r="IC271" t="e">
        <f>Risklog!X91+"AM:!/l1"</f>
        <v>#VALUE!</v>
      </c>
      <c r="ID271" t="e">
        <f>Risklog!Y91+"AM:!/l2"</f>
        <v>#VALUE!</v>
      </c>
      <c r="IE271" t="e">
        <f>Risklog!A92+"AM:!/l3"</f>
        <v>#VALUE!</v>
      </c>
      <c r="IF271" t="e">
        <f>Risklog!B92+"AM:!/l4"</f>
        <v>#VALUE!</v>
      </c>
      <c r="IG271" t="e">
        <f>Risklog!C92+"AM:!/l5"</f>
        <v>#VALUE!</v>
      </c>
      <c r="IH271" t="e">
        <f>Risklog!D92+"AM:!/l6"</f>
        <v>#VALUE!</v>
      </c>
      <c r="II271" t="e">
        <f>Risklog!E92+"AM:!/l7"</f>
        <v>#VALUE!</v>
      </c>
      <c r="IJ271" t="e">
        <f>Risklog!F92+"AM:!/l8"</f>
        <v>#VALUE!</v>
      </c>
      <c r="IK271" t="e">
        <f>Risklog!G92+"AM:!/l9"</f>
        <v>#VALUE!</v>
      </c>
      <c r="IL271" t="e">
        <f>Risklog!H92+"AM:!/l:"</f>
        <v>#VALUE!</v>
      </c>
      <c r="IM271" t="e">
        <f>Risklog!I92+"AM:!/l;"</f>
        <v>#VALUE!</v>
      </c>
      <c r="IN271" t="e">
        <f>Risklog!J92+"AM:!/l&lt;"</f>
        <v>#VALUE!</v>
      </c>
      <c r="IO271" t="e">
        <f>Risklog!K92+"AM:!/l="</f>
        <v>#VALUE!</v>
      </c>
      <c r="IP271" t="e">
        <f>Risklog!L92+"AM:!/l&gt;"</f>
        <v>#VALUE!</v>
      </c>
      <c r="IQ271" t="e">
        <f>Risklog!M92+"AM:!/l?"</f>
        <v>#VALUE!</v>
      </c>
      <c r="IR271" t="e">
        <f>Risklog!N92+"AM:!/l@"</f>
        <v>#VALUE!</v>
      </c>
      <c r="IS271" t="e">
        <f>Risklog!O92+"AM:!/lA"</f>
        <v>#VALUE!</v>
      </c>
      <c r="IT271" t="e">
        <f>Risklog!P92+"AM:!/lB"</f>
        <v>#VALUE!</v>
      </c>
      <c r="IU271" t="e">
        <f>Risklog!Q92+"AM:!/lC"</f>
        <v>#VALUE!</v>
      </c>
      <c r="IV271" t="e">
        <f>Risklog!R92+"AM:!/lD"</f>
        <v>#VALUE!</v>
      </c>
    </row>
    <row r="272" spans="6:256">
      <c r="F272" t="e">
        <f>Risklog!S92+"AM:!/lE"</f>
        <v>#VALUE!</v>
      </c>
      <c r="G272" t="e">
        <f>Risklog!T92+"AM:!/lF"</f>
        <v>#VALUE!</v>
      </c>
      <c r="H272" t="e">
        <f>Risklog!U92+"AM:!/lG"</f>
        <v>#VALUE!</v>
      </c>
      <c r="I272" t="e">
        <f>Risklog!V92+"AM:!/lH"</f>
        <v>#VALUE!</v>
      </c>
      <c r="J272" t="e">
        <f>Risklog!W92+"AM:!/lI"</f>
        <v>#VALUE!</v>
      </c>
      <c r="K272" t="e">
        <f>Risklog!X92+"AM:!/lJ"</f>
        <v>#VALUE!</v>
      </c>
      <c r="L272" t="e">
        <f>Risklog!Y92+"AM:!/lK"</f>
        <v>#VALUE!</v>
      </c>
      <c r="M272" t="e">
        <f>Risklog!A93+"AM:!/lL"</f>
        <v>#VALUE!</v>
      </c>
      <c r="N272" t="e">
        <f>Risklog!B93+"AM:!/lM"</f>
        <v>#VALUE!</v>
      </c>
      <c r="O272" t="e">
        <f>Risklog!C93+"AM:!/lN"</f>
        <v>#VALUE!</v>
      </c>
      <c r="P272" t="e">
        <f>Risklog!D93+"AM:!/lO"</f>
        <v>#VALUE!</v>
      </c>
      <c r="Q272" t="e">
        <f>Risklog!E93+"AM:!/lP"</f>
        <v>#VALUE!</v>
      </c>
      <c r="R272" t="e">
        <f>Risklog!F93+"AM:!/lQ"</f>
        <v>#VALUE!</v>
      </c>
      <c r="S272" t="e">
        <f>Risklog!G93+"AM:!/lR"</f>
        <v>#VALUE!</v>
      </c>
      <c r="T272" t="e">
        <f>Risklog!H93+"AM:!/lS"</f>
        <v>#VALUE!</v>
      </c>
      <c r="U272" t="e">
        <f>Risklog!I93+"AM:!/lT"</f>
        <v>#VALUE!</v>
      </c>
      <c r="V272" t="e">
        <f>Risklog!J93+"AM:!/lU"</f>
        <v>#VALUE!</v>
      </c>
      <c r="W272" t="e">
        <f>Risklog!K93+"AM:!/lV"</f>
        <v>#VALUE!</v>
      </c>
      <c r="X272" t="e">
        <f>Risklog!L93+"AM:!/lW"</f>
        <v>#VALUE!</v>
      </c>
      <c r="Y272" t="e">
        <f>Risklog!M93+"AM:!/lX"</f>
        <v>#VALUE!</v>
      </c>
      <c r="Z272" t="e">
        <f>Risklog!N93+"AM:!/lY"</f>
        <v>#VALUE!</v>
      </c>
      <c r="AA272" t="e">
        <f>Risklog!O93+"AM:!/lZ"</f>
        <v>#VALUE!</v>
      </c>
      <c r="AB272" t="e">
        <f>Risklog!P93+"AM:!/l["</f>
        <v>#VALUE!</v>
      </c>
      <c r="AC272" t="e">
        <f>Risklog!Q93+"AM:!/l\"</f>
        <v>#VALUE!</v>
      </c>
      <c r="AD272" t="e">
        <f>Risklog!R93+"AM:!/l]"</f>
        <v>#VALUE!</v>
      </c>
      <c r="AE272" t="e">
        <f>Risklog!S93+"AM:!/l^"</f>
        <v>#VALUE!</v>
      </c>
      <c r="AF272" t="e">
        <f>Risklog!T93+"AM:!/l_"</f>
        <v>#VALUE!</v>
      </c>
      <c r="AG272" t="e">
        <f>Risklog!U93+"AM:!/l`"</f>
        <v>#VALUE!</v>
      </c>
      <c r="AH272" t="e">
        <f>Risklog!V93+"AM:!/la"</f>
        <v>#VALUE!</v>
      </c>
      <c r="AI272" t="e">
        <f>Risklog!W93+"AM:!/lb"</f>
        <v>#VALUE!</v>
      </c>
      <c r="AJ272" t="e">
        <f>Risklog!X93+"AM:!/lc"</f>
        <v>#VALUE!</v>
      </c>
      <c r="AK272" t="e">
        <f>Risklog!Y93+"AM:!/ld"</f>
        <v>#VALUE!</v>
      </c>
      <c r="AL272" t="e">
        <f>Risklog!A94+"AM:!/le"</f>
        <v>#VALUE!</v>
      </c>
      <c r="AM272" t="e">
        <f>Risklog!B94+"AM:!/lf"</f>
        <v>#VALUE!</v>
      </c>
      <c r="AN272" t="e">
        <f>Risklog!C94+"AM:!/lg"</f>
        <v>#VALUE!</v>
      </c>
      <c r="AO272" t="e">
        <f>Risklog!D94+"AM:!/lh"</f>
        <v>#VALUE!</v>
      </c>
      <c r="AP272" t="e">
        <f>Risklog!E94+"AM:!/li"</f>
        <v>#VALUE!</v>
      </c>
      <c r="AQ272" t="e">
        <f>Risklog!F94+"AM:!/lj"</f>
        <v>#VALUE!</v>
      </c>
      <c r="AR272" t="e">
        <f>Risklog!G94+"AM:!/lk"</f>
        <v>#VALUE!</v>
      </c>
      <c r="AS272" t="e">
        <f>Risklog!H94+"AM:!/ll"</f>
        <v>#VALUE!</v>
      </c>
      <c r="AT272" t="e">
        <f>Risklog!I94+"AM:!/lm"</f>
        <v>#VALUE!</v>
      </c>
      <c r="AU272" t="e">
        <f>Risklog!J94+"AM:!/ln"</f>
        <v>#VALUE!</v>
      </c>
      <c r="AV272" t="e">
        <f>Risklog!K94+"AM:!/lo"</f>
        <v>#VALUE!</v>
      </c>
      <c r="AW272" t="e">
        <f>Risklog!L94+"AM:!/lp"</f>
        <v>#VALUE!</v>
      </c>
      <c r="AX272" t="e">
        <f>Risklog!M94+"AM:!/lq"</f>
        <v>#VALUE!</v>
      </c>
      <c r="AY272" t="e">
        <f>Risklog!N94+"AM:!/lr"</f>
        <v>#VALUE!</v>
      </c>
      <c r="AZ272" t="e">
        <f>Risklog!O94+"AM:!/ls"</f>
        <v>#VALUE!</v>
      </c>
      <c r="BA272" t="e">
        <f>Risklog!P94+"AM:!/lt"</f>
        <v>#VALUE!</v>
      </c>
      <c r="BB272" t="e">
        <f>Risklog!Q94+"AM:!/lu"</f>
        <v>#VALUE!</v>
      </c>
      <c r="BC272" t="e">
        <f>Risklog!R94+"AM:!/lv"</f>
        <v>#VALUE!</v>
      </c>
      <c r="BD272" t="e">
        <f>Risklog!S94+"AM:!/lw"</f>
        <v>#VALUE!</v>
      </c>
      <c r="BE272" t="e">
        <f>Risklog!T94+"AM:!/lx"</f>
        <v>#VALUE!</v>
      </c>
      <c r="BF272" t="e">
        <f>Risklog!U94+"AM:!/ly"</f>
        <v>#VALUE!</v>
      </c>
      <c r="BG272" t="e">
        <f>Risklog!V94+"AM:!/lz"</f>
        <v>#VALUE!</v>
      </c>
      <c r="BH272" t="e">
        <f>Risklog!W94+"AM:!/l{"</f>
        <v>#VALUE!</v>
      </c>
      <c r="BI272" t="e">
        <f>Risklog!X94+"AM:!/l|"</f>
        <v>#VALUE!</v>
      </c>
      <c r="BJ272" t="e">
        <f>Risklog!Y94+"AM:!/l}"</f>
        <v>#VALUE!</v>
      </c>
      <c r="BK272" t="e">
        <f>Risklog!A95+"AM:!/l~"</f>
        <v>#VALUE!</v>
      </c>
      <c r="BL272" t="e">
        <f>Risklog!B95+"AM:!/m#"</f>
        <v>#VALUE!</v>
      </c>
      <c r="BM272" t="e">
        <f>Risklog!C95+"AM:!/m$"</f>
        <v>#VALUE!</v>
      </c>
      <c r="BN272" t="e">
        <f>Risklog!D95+"AM:!/m%"</f>
        <v>#VALUE!</v>
      </c>
      <c r="BO272" t="e">
        <f>Risklog!E95+"AM:!/m&amp;"</f>
        <v>#VALUE!</v>
      </c>
      <c r="BP272" t="e">
        <f>Risklog!F95+"AM:!/m'"</f>
        <v>#VALUE!</v>
      </c>
      <c r="BQ272" t="e">
        <f>Risklog!G95+"AM:!/m("</f>
        <v>#VALUE!</v>
      </c>
      <c r="BR272" t="e">
        <f>Risklog!H95+"AM:!/m)"</f>
        <v>#VALUE!</v>
      </c>
      <c r="BS272" t="e">
        <f>Risklog!I95+"AM:!/m."</f>
        <v>#VALUE!</v>
      </c>
      <c r="BT272" t="e">
        <f>Risklog!J95+"AM:!/m/"</f>
        <v>#VALUE!</v>
      </c>
      <c r="BU272" t="e">
        <f>Risklog!K95+"AM:!/m0"</f>
        <v>#VALUE!</v>
      </c>
      <c r="BV272" t="e">
        <f>Risklog!L95+"AM:!/m1"</f>
        <v>#VALUE!</v>
      </c>
      <c r="BW272" t="e">
        <f>Risklog!M95+"AM:!/m2"</f>
        <v>#VALUE!</v>
      </c>
      <c r="BX272" t="e">
        <f>Risklog!N95+"AM:!/m3"</f>
        <v>#VALUE!</v>
      </c>
      <c r="BY272" t="e">
        <f>Risklog!O95+"AM:!/m4"</f>
        <v>#VALUE!</v>
      </c>
      <c r="BZ272" t="e">
        <f>Risklog!P95+"AM:!/m5"</f>
        <v>#VALUE!</v>
      </c>
      <c r="CA272" t="e">
        <f>Risklog!Q95+"AM:!/m6"</f>
        <v>#VALUE!</v>
      </c>
      <c r="CB272" t="e">
        <f>Risklog!R95+"AM:!/m7"</f>
        <v>#VALUE!</v>
      </c>
      <c r="CC272" t="e">
        <f>Risklog!S95+"AM:!/m8"</f>
        <v>#VALUE!</v>
      </c>
      <c r="CD272" t="e">
        <f>Risklog!T95+"AM:!/m9"</f>
        <v>#VALUE!</v>
      </c>
      <c r="CE272" t="e">
        <f>Risklog!U95+"AM:!/m:"</f>
        <v>#VALUE!</v>
      </c>
      <c r="CF272" t="e">
        <f>Risklog!V95+"AM:!/m;"</f>
        <v>#VALUE!</v>
      </c>
      <c r="CG272" t="e">
        <f>Risklog!W95+"AM:!/m&lt;"</f>
        <v>#VALUE!</v>
      </c>
      <c r="CH272" t="e">
        <f>Risklog!X95+"AM:!/m="</f>
        <v>#VALUE!</v>
      </c>
      <c r="CI272" t="e">
        <f>Risklog!Y95+"AM:!/m&gt;"</f>
        <v>#VALUE!</v>
      </c>
      <c r="CJ272" t="e">
        <f>Risklog!A96+"AM:!/m?"</f>
        <v>#VALUE!</v>
      </c>
      <c r="CK272" t="e">
        <f>Risklog!B96+"AM:!/m@"</f>
        <v>#VALUE!</v>
      </c>
      <c r="CL272" t="e">
        <f>Risklog!C96+"AM:!/mA"</f>
        <v>#VALUE!</v>
      </c>
      <c r="CM272" t="e">
        <f>Risklog!D96+"AM:!/mB"</f>
        <v>#VALUE!</v>
      </c>
      <c r="CN272" t="e">
        <f>Risklog!E96+"AM:!/mC"</f>
        <v>#VALUE!</v>
      </c>
      <c r="CO272" t="e">
        <f>Risklog!F96+"AM:!/mD"</f>
        <v>#VALUE!</v>
      </c>
      <c r="CP272" t="e">
        <f>Risklog!G96+"AM:!/mE"</f>
        <v>#VALUE!</v>
      </c>
      <c r="CQ272" t="e">
        <f>Risklog!H96+"AM:!/mF"</f>
        <v>#VALUE!</v>
      </c>
      <c r="CR272" t="e">
        <f>Risklog!I96+"AM:!/mG"</f>
        <v>#VALUE!</v>
      </c>
      <c r="CS272" t="e">
        <f>Risklog!J96+"AM:!/mH"</f>
        <v>#VALUE!</v>
      </c>
      <c r="CT272" t="e">
        <f>Risklog!K96+"AM:!/mI"</f>
        <v>#VALUE!</v>
      </c>
      <c r="CU272" t="e">
        <f>Risklog!L96+"AM:!/mJ"</f>
        <v>#VALUE!</v>
      </c>
      <c r="CV272" t="e">
        <f>Risklog!M96+"AM:!/mK"</f>
        <v>#VALUE!</v>
      </c>
      <c r="CW272" t="e">
        <f>Risklog!N96+"AM:!/mL"</f>
        <v>#VALUE!</v>
      </c>
      <c r="CX272" t="e">
        <f>Risklog!O96+"AM:!/mM"</f>
        <v>#VALUE!</v>
      </c>
      <c r="CY272" t="e">
        <f>Risklog!P96+"AM:!/mN"</f>
        <v>#VALUE!</v>
      </c>
      <c r="CZ272" t="e">
        <f>Risklog!Q96+"AM:!/mO"</f>
        <v>#VALUE!</v>
      </c>
      <c r="DA272" t="e">
        <f>Risklog!R96+"AM:!/mP"</f>
        <v>#VALUE!</v>
      </c>
      <c r="DB272" t="e">
        <f>Risklog!S96+"AM:!/mQ"</f>
        <v>#VALUE!</v>
      </c>
      <c r="DC272" t="e">
        <f>Risklog!T96+"AM:!/mR"</f>
        <v>#VALUE!</v>
      </c>
      <c r="DD272" t="e">
        <f>Risklog!U96+"AM:!/mS"</f>
        <v>#VALUE!</v>
      </c>
      <c r="DE272" t="e">
        <f>Risklog!V96+"AM:!/mT"</f>
        <v>#VALUE!</v>
      </c>
      <c r="DF272" t="e">
        <f>Risklog!W96+"AM:!/mU"</f>
        <v>#VALUE!</v>
      </c>
      <c r="DG272" t="e">
        <f>Risklog!X96+"AM:!/mV"</f>
        <v>#VALUE!</v>
      </c>
      <c r="DH272" t="e">
        <f>Risklog!Y96+"AM:!/mW"</f>
        <v>#VALUE!</v>
      </c>
      <c r="DI272" t="e">
        <f>Risklog!A97+"AM:!/mX"</f>
        <v>#VALUE!</v>
      </c>
      <c r="DJ272" t="e">
        <f>Risklog!B97+"AM:!/mY"</f>
        <v>#VALUE!</v>
      </c>
      <c r="DK272" t="e">
        <f>Risklog!C97+"AM:!/mZ"</f>
        <v>#VALUE!</v>
      </c>
      <c r="DL272" t="e">
        <f>Risklog!D97+"AM:!/m["</f>
        <v>#VALUE!</v>
      </c>
      <c r="DM272" t="e">
        <f>Risklog!E97+"AM:!/m\"</f>
        <v>#VALUE!</v>
      </c>
      <c r="DN272" t="e">
        <f>Risklog!F97+"AM:!/m]"</f>
        <v>#VALUE!</v>
      </c>
      <c r="DO272" t="e">
        <f>Risklog!G97+"AM:!/m^"</f>
        <v>#VALUE!</v>
      </c>
      <c r="DP272" t="e">
        <f>Risklog!H97+"AM:!/m_"</f>
        <v>#VALUE!</v>
      </c>
      <c r="DQ272" t="e">
        <f>Risklog!I97+"AM:!/m`"</f>
        <v>#VALUE!</v>
      </c>
      <c r="DR272" t="e">
        <f>Risklog!J97+"AM:!/ma"</f>
        <v>#VALUE!</v>
      </c>
      <c r="DS272" t="e">
        <f>Risklog!K97+"AM:!/mb"</f>
        <v>#VALUE!</v>
      </c>
      <c r="DT272" t="e">
        <f>Risklog!L97+"AM:!/mc"</f>
        <v>#VALUE!</v>
      </c>
      <c r="DU272" t="e">
        <f>Risklog!M97+"AM:!/md"</f>
        <v>#VALUE!</v>
      </c>
      <c r="DV272" t="e">
        <f>Risklog!N97+"AM:!/me"</f>
        <v>#VALUE!</v>
      </c>
      <c r="DW272" t="e">
        <f>Risklog!O97+"AM:!/mf"</f>
        <v>#VALUE!</v>
      </c>
      <c r="DX272" t="e">
        <f>Risklog!P97+"AM:!/mg"</f>
        <v>#VALUE!</v>
      </c>
      <c r="DY272" t="e">
        <f>Risklog!Q97+"AM:!/mh"</f>
        <v>#VALUE!</v>
      </c>
      <c r="DZ272" t="e">
        <f>Risklog!R97+"AM:!/mi"</f>
        <v>#VALUE!</v>
      </c>
      <c r="EA272" t="e">
        <f>Risklog!S97+"AM:!/mj"</f>
        <v>#VALUE!</v>
      </c>
      <c r="EB272" t="e">
        <f>Risklog!T97+"AM:!/mk"</f>
        <v>#VALUE!</v>
      </c>
      <c r="EC272" t="e">
        <f>Risklog!U97+"AM:!/ml"</f>
        <v>#VALUE!</v>
      </c>
      <c r="ED272" t="e">
        <f>Risklog!V97+"AM:!/mm"</f>
        <v>#VALUE!</v>
      </c>
      <c r="EE272" t="e">
        <f>Risklog!W97+"AM:!/mn"</f>
        <v>#VALUE!</v>
      </c>
      <c r="EF272" t="e">
        <f>Risklog!X97+"AM:!/mo"</f>
        <v>#VALUE!</v>
      </c>
      <c r="EG272" t="e">
        <f>Risklog!Y97+"AM:!/mp"</f>
        <v>#VALUE!</v>
      </c>
      <c r="EH272" t="e">
        <f>Risklog!A98+"AM:!/mq"</f>
        <v>#VALUE!</v>
      </c>
      <c r="EI272" t="e">
        <f>Risklog!B98+"AM:!/mr"</f>
        <v>#VALUE!</v>
      </c>
      <c r="EJ272" t="e">
        <f>Risklog!C98+"AM:!/ms"</f>
        <v>#VALUE!</v>
      </c>
      <c r="EK272" t="e">
        <f>Risklog!D98+"AM:!/mt"</f>
        <v>#VALUE!</v>
      </c>
      <c r="EL272" t="e">
        <f>Risklog!E98+"AM:!/mu"</f>
        <v>#VALUE!</v>
      </c>
      <c r="EM272" t="e">
        <f>Risklog!F98+"AM:!/mv"</f>
        <v>#VALUE!</v>
      </c>
      <c r="EN272" t="e">
        <f>Risklog!G98+"AM:!/mw"</f>
        <v>#VALUE!</v>
      </c>
      <c r="EO272" t="e">
        <f>Risklog!H98+"AM:!/mx"</f>
        <v>#VALUE!</v>
      </c>
      <c r="EP272" t="e">
        <f>Risklog!I98+"AM:!/my"</f>
        <v>#VALUE!</v>
      </c>
      <c r="EQ272" t="e">
        <f>Risklog!J98+"AM:!/mz"</f>
        <v>#VALUE!</v>
      </c>
      <c r="ER272" t="e">
        <f>Risklog!K98+"AM:!/m{"</f>
        <v>#VALUE!</v>
      </c>
      <c r="ES272" t="e">
        <f>Risklog!L98+"AM:!/m|"</f>
        <v>#VALUE!</v>
      </c>
      <c r="ET272" t="e">
        <f>Risklog!M98+"AM:!/m}"</f>
        <v>#VALUE!</v>
      </c>
      <c r="EU272" t="e">
        <f>Risklog!N98+"AM:!/m~"</f>
        <v>#VALUE!</v>
      </c>
      <c r="EV272" t="e">
        <f>Risklog!O98+"AM:!/n#"</f>
        <v>#VALUE!</v>
      </c>
      <c r="EW272" t="e">
        <f>Risklog!P98+"AM:!/n$"</f>
        <v>#VALUE!</v>
      </c>
      <c r="EX272" t="e">
        <f>Risklog!Q98+"AM:!/n%"</f>
        <v>#VALUE!</v>
      </c>
      <c r="EY272" t="e">
        <f>Risklog!R98+"AM:!/n&amp;"</f>
        <v>#VALUE!</v>
      </c>
      <c r="EZ272" t="e">
        <f>Risklog!S98+"AM:!/n'"</f>
        <v>#VALUE!</v>
      </c>
      <c r="FA272" t="e">
        <f>Risklog!T98+"AM:!/n("</f>
        <v>#VALUE!</v>
      </c>
      <c r="FB272" t="e">
        <f>Risklog!U98+"AM:!/n)"</f>
        <v>#VALUE!</v>
      </c>
      <c r="FC272" t="e">
        <f>Risklog!V98+"AM:!/n."</f>
        <v>#VALUE!</v>
      </c>
      <c r="FD272" t="e">
        <f>Risklog!W98+"AM:!/n/"</f>
        <v>#VALUE!</v>
      </c>
      <c r="FE272" t="e">
        <f>Risklog!X98+"AM:!/n0"</f>
        <v>#VALUE!</v>
      </c>
      <c r="FF272" t="e">
        <f>Risklog!Y98+"AM:!/n1"</f>
        <v>#VALUE!</v>
      </c>
      <c r="FG272" t="e">
        <f>Risklog!A99+"AM:!/n2"</f>
        <v>#VALUE!</v>
      </c>
      <c r="FH272" t="e">
        <f>Risklog!B99+"AM:!/n3"</f>
        <v>#VALUE!</v>
      </c>
      <c r="FI272" t="e">
        <f>Risklog!C99+"AM:!/n4"</f>
        <v>#VALUE!</v>
      </c>
      <c r="FJ272" t="e">
        <f>Risklog!D99+"AM:!/n5"</f>
        <v>#VALUE!</v>
      </c>
      <c r="FK272" t="e">
        <f>Risklog!E99+"AM:!/n6"</f>
        <v>#VALUE!</v>
      </c>
      <c r="FL272" t="e">
        <f>Risklog!F99+"AM:!/n7"</f>
        <v>#VALUE!</v>
      </c>
      <c r="FM272" t="e">
        <f>Risklog!G99+"AM:!/n8"</f>
        <v>#VALUE!</v>
      </c>
      <c r="FN272" t="e">
        <f>Risklog!H99+"AM:!/n9"</f>
        <v>#VALUE!</v>
      </c>
      <c r="FO272" t="e">
        <f>Risklog!I99+"AM:!/n:"</f>
        <v>#VALUE!</v>
      </c>
      <c r="FP272" t="e">
        <f>Risklog!J99+"AM:!/n;"</f>
        <v>#VALUE!</v>
      </c>
      <c r="FQ272" t="e">
        <f>Risklog!K99+"AM:!/n&lt;"</f>
        <v>#VALUE!</v>
      </c>
      <c r="FR272" t="e">
        <f>Risklog!L99+"AM:!/n="</f>
        <v>#VALUE!</v>
      </c>
      <c r="FS272" t="e">
        <f>Risklog!M99+"AM:!/n&gt;"</f>
        <v>#VALUE!</v>
      </c>
      <c r="FT272" t="e">
        <f>Risklog!N99+"AM:!/n?"</f>
        <v>#VALUE!</v>
      </c>
      <c r="FU272" t="e">
        <f>Risklog!O99+"AM:!/n@"</f>
        <v>#VALUE!</v>
      </c>
      <c r="FV272" t="e">
        <f>Risklog!P99+"AM:!/nA"</f>
        <v>#VALUE!</v>
      </c>
      <c r="FW272" t="e">
        <f>Risklog!Q99+"AM:!/nB"</f>
        <v>#VALUE!</v>
      </c>
      <c r="FX272" t="e">
        <f>Risklog!R99+"AM:!/nC"</f>
        <v>#VALUE!</v>
      </c>
      <c r="FY272" t="e">
        <f>Risklog!S99+"AM:!/nD"</f>
        <v>#VALUE!</v>
      </c>
      <c r="FZ272" t="e">
        <f>Risklog!T99+"AM:!/nE"</f>
        <v>#VALUE!</v>
      </c>
      <c r="GA272" t="e">
        <f>Risklog!U99+"AM:!/nF"</f>
        <v>#VALUE!</v>
      </c>
      <c r="GB272" t="e">
        <f>Risklog!V99+"AM:!/nG"</f>
        <v>#VALUE!</v>
      </c>
      <c r="GC272" t="e">
        <f>Risklog!W99+"AM:!/nH"</f>
        <v>#VALUE!</v>
      </c>
      <c r="GD272" t="e">
        <f>Risklog!X99+"AM:!/nI"</f>
        <v>#VALUE!</v>
      </c>
      <c r="GE272" t="e">
        <f>Risklog!Y99+"AM:!/nJ"</f>
        <v>#VALUE!</v>
      </c>
      <c r="GF272" t="e">
        <f>Risklog!A100+"AM:!/nK"</f>
        <v>#VALUE!</v>
      </c>
      <c r="GG272" t="e">
        <f>Risklog!B100+"AM:!/nL"</f>
        <v>#VALUE!</v>
      </c>
      <c r="GH272" t="e">
        <f>Risklog!C100+"AM:!/nM"</f>
        <v>#VALUE!</v>
      </c>
      <c r="GI272" t="e">
        <f>Risklog!D100+"AM:!/nN"</f>
        <v>#VALUE!</v>
      </c>
      <c r="GJ272" t="e">
        <f>Risklog!E100+"AM:!/nO"</f>
        <v>#VALUE!</v>
      </c>
      <c r="GK272" t="e">
        <f>Risklog!F100+"AM:!/nP"</f>
        <v>#VALUE!</v>
      </c>
      <c r="GL272" t="e">
        <f>Risklog!G100+"AM:!/nQ"</f>
        <v>#VALUE!</v>
      </c>
      <c r="GM272" t="e">
        <f>Risklog!H100+"AM:!/nR"</f>
        <v>#VALUE!</v>
      </c>
      <c r="GN272" t="e">
        <f>Risklog!I100+"AM:!/nS"</f>
        <v>#VALUE!</v>
      </c>
      <c r="GO272" t="e">
        <f>Risklog!J100+"AM:!/nT"</f>
        <v>#VALUE!</v>
      </c>
      <c r="GP272" t="e">
        <f>Risklog!K100+"AM:!/nU"</f>
        <v>#VALUE!</v>
      </c>
      <c r="GQ272" t="e">
        <f>Risklog!L100+"AM:!/nV"</f>
        <v>#VALUE!</v>
      </c>
      <c r="GR272" t="e">
        <f>Risklog!M100+"AM:!/nW"</f>
        <v>#VALUE!</v>
      </c>
      <c r="GS272" t="e">
        <f>Risklog!N100+"AM:!/nX"</f>
        <v>#VALUE!</v>
      </c>
      <c r="GT272" t="e">
        <f>Risklog!O100+"AM:!/nY"</f>
        <v>#VALUE!</v>
      </c>
      <c r="GU272" t="e">
        <f>Risklog!P100+"AM:!/nZ"</f>
        <v>#VALUE!</v>
      </c>
      <c r="GV272" t="e">
        <f>Risklog!Q100+"AM:!/n["</f>
        <v>#VALUE!</v>
      </c>
      <c r="GW272" t="e">
        <f>Risklog!R100+"AM:!/n\"</f>
        <v>#VALUE!</v>
      </c>
      <c r="GX272" t="e">
        <f>Risklog!S100+"AM:!/n]"</f>
        <v>#VALUE!</v>
      </c>
      <c r="GY272" t="e">
        <f>Risklog!T100+"AM:!/n^"</f>
        <v>#VALUE!</v>
      </c>
      <c r="GZ272" t="e">
        <f>Risklog!U100+"AM:!/n_"</f>
        <v>#VALUE!</v>
      </c>
      <c r="HA272" t="e">
        <f>Risklog!V100+"AM:!/n`"</f>
        <v>#VALUE!</v>
      </c>
      <c r="HB272" t="e">
        <f>Risklog!W100+"AM:!/na"</f>
        <v>#VALUE!</v>
      </c>
      <c r="HC272" t="e">
        <f>Risklog!X100+"AM:!/nb"</f>
        <v>#VALUE!</v>
      </c>
      <c r="HD272" t="e">
        <f>Risklog!Y100+"AM:!/nc"</f>
        <v>#VALUE!</v>
      </c>
      <c r="HE272" t="e">
        <f>Risklog!A101+"AM:!/nd"</f>
        <v>#VALUE!</v>
      </c>
      <c r="HF272" t="e">
        <f>Risklog!B101+"AM:!/ne"</f>
        <v>#VALUE!</v>
      </c>
      <c r="HG272" t="e">
        <f>Risklog!C101+"AM:!/nf"</f>
        <v>#VALUE!</v>
      </c>
      <c r="HH272" t="e">
        <f>Risklog!D101+"AM:!/ng"</f>
        <v>#VALUE!</v>
      </c>
      <c r="HI272" t="e">
        <f>Risklog!E101+"AM:!/nh"</f>
        <v>#VALUE!</v>
      </c>
      <c r="HJ272" t="e">
        <f>Risklog!F101+"AM:!/ni"</f>
        <v>#VALUE!</v>
      </c>
      <c r="HK272" t="e">
        <f>Risklog!G101+"AM:!/nj"</f>
        <v>#VALUE!</v>
      </c>
      <c r="HL272" t="e">
        <f>Risklog!H101+"AM:!/nk"</f>
        <v>#VALUE!</v>
      </c>
      <c r="HM272" t="e">
        <f>Risklog!I101+"AM:!/nl"</f>
        <v>#VALUE!</v>
      </c>
      <c r="HN272" t="e">
        <f>Risklog!J101+"AM:!/nm"</f>
        <v>#VALUE!</v>
      </c>
      <c r="HO272" t="e">
        <f>Risklog!K101+"AM:!/nn"</f>
        <v>#VALUE!</v>
      </c>
      <c r="HP272" t="e">
        <f>Risklog!L101+"AM:!/no"</f>
        <v>#VALUE!</v>
      </c>
      <c r="HQ272" t="e">
        <f>Risklog!M101+"AM:!/np"</f>
        <v>#VALUE!</v>
      </c>
      <c r="HR272" t="e">
        <f>Risklog!N101+"AM:!/nq"</f>
        <v>#VALUE!</v>
      </c>
      <c r="HS272" t="e">
        <f>Risklog!O101+"AM:!/nr"</f>
        <v>#VALUE!</v>
      </c>
      <c r="HT272" t="e">
        <f>Risklog!P101+"AM:!/ns"</f>
        <v>#VALUE!</v>
      </c>
      <c r="HU272" t="e">
        <f>Risklog!Q101+"AM:!/nt"</f>
        <v>#VALUE!</v>
      </c>
      <c r="HV272" t="e">
        <f>Risklog!R101+"AM:!/nu"</f>
        <v>#VALUE!</v>
      </c>
      <c r="HW272" t="e">
        <f>Risklog!S101+"AM:!/nv"</f>
        <v>#VALUE!</v>
      </c>
      <c r="HX272" t="e">
        <f>Risklog!T101+"AM:!/nw"</f>
        <v>#VALUE!</v>
      </c>
      <c r="HY272" t="e">
        <f>Risklog!U101+"AM:!/nx"</f>
        <v>#VALUE!</v>
      </c>
      <c r="HZ272" t="e">
        <f>Risklog!V101+"AM:!/ny"</f>
        <v>#VALUE!</v>
      </c>
      <c r="IA272" t="e">
        <f>Risklog!W101+"AM:!/nz"</f>
        <v>#VALUE!</v>
      </c>
      <c r="IB272" t="e">
        <f>Risklog!X101+"AM:!/n{"</f>
        <v>#VALUE!</v>
      </c>
      <c r="IC272" t="e">
        <f>Risklog!Y101+"AM:!/n|"</f>
        <v>#VALUE!</v>
      </c>
      <c r="ID272" t="e">
        <f>Risklog!A102+"AM:!/n}"</f>
        <v>#VALUE!</v>
      </c>
      <c r="IE272" t="e">
        <f>Risklog!B102+"AM:!/n~"</f>
        <v>#VALUE!</v>
      </c>
      <c r="IF272" t="e">
        <f>Risklog!C102+"AM:!/o#"</f>
        <v>#VALUE!</v>
      </c>
      <c r="IG272" t="e">
        <f>Risklog!D102+"AM:!/o$"</f>
        <v>#VALUE!</v>
      </c>
      <c r="IH272" t="e">
        <f>Risklog!E102+"AM:!/o%"</f>
        <v>#VALUE!</v>
      </c>
      <c r="II272" t="e">
        <f>Risklog!F102+"AM:!/o&amp;"</f>
        <v>#VALUE!</v>
      </c>
      <c r="IJ272" t="e">
        <f>Risklog!G102+"AM:!/o'"</f>
        <v>#VALUE!</v>
      </c>
      <c r="IK272" t="e">
        <f>Risklog!H102+"AM:!/o("</f>
        <v>#VALUE!</v>
      </c>
      <c r="IL272" t="e">
        <f>Risklog!I102+"AM:!/o)"</f>
        <v>#VALUE!</v>
      </c>
      <c r="IM272" t="e">
        <f>Risklog!J102+"AM:!/o."</f>
        <v>#VALUE!</v>
      </c>
      <c r="IN272" t="e">
        <f>Risklog!K102+"AM:!/o/"</f>
        <v>#VALUE!</v>
      </c>
      <c r="IO272" t="e">
        <f>Risklog!L102+"AM:!/o0"</f>
        <v>#VALUE!</v>
      </c>
      <c r="IP272" t="e">
        <f>Risklog!M102+"AM:!/o1"</f>
        <v>#VALUE!</v>
      </c>
      <c r="IQ272" t="e">
        <f>Risklog!N102+"AM:!/o2"</f>
        <v>#VALUE!</v>
      </c>
      <c r="IR272" t="e">
        <f>Risklog!O102+"AM:!/o3"</f>
        <v>#VALUE!</v>
      </c>
      <c r="IS272" t="e">
        <f>Risklog!P102+"AM:!/o4"</f>
        <v>#VALUE!</v>
      </c>
      <c r="IT272" t="e">
        <f>Risklog!Q102+"AM:!/o5"</f>
        <v>#VALUE!</v>
      </c>
      <c r="IU272" t="e">
        <f>Risklog!R102+"AM:!/o6"</f>
        <v>#VALUE!</v>
      </c>
      <c r="IV272" t="e">
        <f>Risklog!S102+"AM:!/o7"</f>
        <v>#VALUE!</v>
      </c>
    </row>
    <row r="273" spans="6:256">
      <c r="F273" t="e">
        <f>Risklog!T102+"AM:!/o8"</f>
        <v>#VALUE!</v>
      </c>
      <c r="G273" t="e">
        <f>Risklog!U102+"AM:!/o9"</f>
        <v>#VALUE!</v>
      </c>
      <c r="H273" t="e">
        <f>Risklog!V102+"AM:!/o:"</f>
        <v>#VALUE!</v>
      </c>
      <c r="I273" t="e">
        <f>Risklog!W102+"AM:!/o;"</f>
        <v>#VALUE!</v>
      </c>
      <c r="J273" t="e">
        <f>Risklog!X102+"AM:!/o&lt;"</f>
        <v>#VALUE!</v>
      </c>
      <c r="K273" t="e">
        <f>Risklog!Y102+"AM:!/o="</f>
        <v>#VALUE!</v>
      </c>
      <c r="L273" t="e">
        <f>Risklog!A103+"AM:!/o&gt;"</f>
        <v>#VALUE!</v>
      </c>
      <c r="M273" t="e">
        <f>Risklog!B103+"AM:!/o?"</f>
        <v>#VALUE!</v>
      </c>
      <c r="N273" t="e">
        <f>Risklog!C103+"AM:!/o@"</f>
        <v>#VALUE!</v>
      </c>
      <c r="O273" t="e">
        <f>Risklog!D103+"AM:!/oA"</f>
        <v>#VALUE!</v>
      </c>
      <c r="P273" t="e">
        <f>Risklog!E103+"AM:!/oB"</f>
        <v>#VALUE!</v>
      </c>
      <c r="Q273" t="e">
        <f>Risklog!F103+"AM:!/oC"</f>
        <v>#VALUE!</v>
      </c>
      <c r="R273" t="e">
        <f>Risklog!G103+"AM:!/oD"</f>
        <v>#VALUE!</v>
      </c>
      <c r="S273" t="e">
        <f>Risklog!H103+"AM:!/oE"</f>
        <v>#VALUE!</v>
      </c>
      <c r="T273" t="e">
        <f>Risklog!I103+"AM:!/oF"</f>
        <v>#VALUE!</v>
      </c>
      <c r="U273" t="e">
        <f>Risklog!J103+"AM:!/oG"</f>
        <v>#VALUE!</v>
      </c>
      <c r="V273" t="e">
        <f>Risklog!K103+"AM:!/oH"</f>
        <v>#VALUE!</v>
      </c>
      <c r="W273" t="e">
        <f>Risklog!L103+"AM:!/oI"</f>
        <v>#VALUE!</v>
      </c>
      <c r="X273" t="e">
        <f>Risklog!M103+"AM:!/oJ"</f>
        <v>#VALUE!</v>
      </c>
      <c r="Y273" t="e">
        <f>Risklog!N103+"AM:!/oK"</f>
        <v>#VALUE!</v>
      </c>
      <c r="Z273" t="e">
        <f>Risklog!O103+"AM:!/oL"</f>
        <v>#VALUE!</v>
      </c>
      <c r="AA273" t="e">
        <f>Risklog!P103+"AM:!/oM"</f>
        <v>#VALUE!</v>
      </c>
      <c r="AB273" t="e">
        <f>Risklog!Q103+"AM:!/oN"</f>
        <v>#VALUE!</v>
      </c>
      <c r="AC273" t="e">
        <f>Risklog!R103+"AM:!/oO"</f>
        <v>#VALUE!</v>
      </c>
      <c r="AD273" t="e">
        <f>Risklog!S103+"AM:!/oP"</f>
        <v>#VALUE!</v>
      </c>
      <c r="AE273" t="e">
        <f>Risklog!T103+"AM:!/oQ"</f>
        <v>#VALUE!</v>
      </c>
      <c r="AF273" t="e">
        <f>Risklog!U103+"AM:!/oR"</f>
        <v>#VALUE!</v>
      </c>
      <c r="AG273" t="e">
        <f>Risklog!V103+"AM:!/oS"</f>
        <v>#VALUE!</v>
      </c>
      <c r="AH273" t="e">
        <f>Risklog!W103+"AM:!/oT"</f>
        <v>#VALUE!</v>
      </c>
      <c r="AI273" t="e">
        <f>Risklog!X103+"AM:!/oU"</f>
        <v>#VALUE!</v>
      </c>
      <c r="AJ273" t="e">
        <f>Risklog!Y103+"AM:!/oV"</f>
        <v>#VALUE!</v>
      </c>
      <c r="AK273" t="e">
        <f>Risklog!A104+"AM:!/oW"</f>
        <v>#VALUE!</v>
      </c>
      <c r="AL273" t="e">
        <f>Risklog!B104+"AM:!/oX"</f>
        <v>#VALUE!</v>
      </c>
      <c r="AM273" t="e">
        <f>Risklog!C104+"AM:!/oY"</f>
        <v>#VALUE!</v>
      </c>
      <c r="AN273" t="e">
        <f>Risklog!D104+"AM:!/oZ"</f>
        <v>#VALUE!</v>
      </c>
      <c r="AO273" t="e">
        <f>Risklog!E104+"AM:!/o["</f>
        <v>#VALUE!</v>
      </c>
      <c r="AP273" t="e">
        <f>Risklog!F104+"AM:!/o\"</f>
        <v>#VALUE!</v>
      </c>
      <c r="AQ273" t="e">
        <f>Risklog!G104+"AM:!/o]"</f>
        <v>#VALUE!</v>
      </c>
      <c r="AR273" t="e">
        <f>Risklog!H104+"AM:!/o^"</f>
        <v>#VALUE!</v>
      </c>
      <c r="AS273" t="e">
        <f>Risklog!I104+"AM:!/o_"</f>
        <v>#VALUE!</v>
      </c>
      <c r="AT273" t="e">
        <f>Risklog!J104+"AM:!/o`"</f>
        <v>#VALUE!</v>
      </c>
      <c r="AU273" t="e">
        <f>Risklog!K104+"AM:!/oa"</f>
        <v>#VALUE!</v>
      </c>
      <c r="AV273" t="e">
        <f>Risklog!L104+"AM:!/ob"</f>
        <v>#VALUE!</v>
      </c>
      <c r="AW273" t="e">
        <f>Risklog!M104+"AM:!/oc"</f>
        <v>#VALUE!</v>
      </c>
      <c r="AX273" t="e">
        <f>Risklog!N104+"AM:!/od"</f>
        <v>#VALUE!</v>
      </c>
      <c r="AY273" t="e">
        <f>Risklog!O104+"AM:!/oe"</f>
        <v>#VALUE!</v>
      </c>
      <c r="AZ273" t="e">
        <f>Risklog!P104+"AM:!/of"</f>
        <v>#VALUE!</v>
      </c>
      <c r="BA273" t="e">
        <f>Risklog!Q104+"AM:!/og"</f>
        <v>#VALUE!</v>
      </c>
      <c r="BB273" t="e">
        <f>Risklog!R104+"AM:!/oh"</f>
        <v>#VALUE!</v>
      </c>
      <c r="BC273" t="e">
        <f>Risklog!S104+"AM:!/oi"</f>
        <v>#VALUE!</v>
      </c>
      <c r="BD273" t="e">
        <f>Risklog!T104+"AM:!/oj"</f>
        <v>#VALUE!</v>
      </c>
      <c r="BE273" t="e">
        <f>Risklog!U104+"AM:!/ok"</f>
        <v>#VALUE!</v>
      </c>
      <c r="BF273" t="e">
        <f>Risklog!V104+"AM:!/ol"</f>
        <v>#VALUE!</v>
      </c>
      <c r="BG273" t="e">
        <f>Risklog!W104+"AM:!/om"</f>
        <v>#VALUE!</v>
      </c>
      <c r="BH273" t="e">
        <f>Risklog!X104+"AM:!/on"</f>
        <v>#VALUE!</v>
      </c>
      <c r="BI273" t="e">
        <f>Risklog!Y104+"AM:!/oo"</f>
        <v>#VALUE!</v>
      </c>
      <c r="BJ273" t="e">
        <f>Risklog!A105+"AM:!/op"</f>
        <v>#VALUE!</v>
      </c>
      <c r="BK273" t="e">
        <f>Risklog!B105+"AM:!/oq"</f>
        <v>#VALUE!</v>
      </c>
      <c r="BL273" t="e">
        <f>Risklog!C105+"AM:!/or"</f>
        <v>#VALUE!</v>
      </c>
      <c r="BM273" t="e">
        <f>Risklog!D105+"AM:!/os"</f>
        <v>#VALUE!</v>
      </c>
      <c r="BN273" t="e">
        <f>Risklog!E105+"AM:!/ot"</f>
        <v>#VALUE!</v>
      </c>
      <c r="BO273" t="e">
        <f>Risklog!F105+"AM:!/ou"</f>
        <v>#VALUE!</v>
      </c>
      <c r="BP273" t="e">
        <f>Risklog!G105+"AM:!/ov"</f>
        <v>#VALUE!</v>
      </c>
      <c r="BQ273" t="e">
        <f>Risklog!H105+"AM:!/ow"</f>
        <v>#VALUE!</v>
      </c>
      <c r="BR273" t="e">
        <f>Risklog!I105+"AM:!/ox"</f>
        <v>#VALUE!</v>
      </c>
      <c r="BS273" t="e">
        <f>Risklog!J105+"AM:!/oy"</f>
        <v>#VALUE!</v>
      </c>
      <c r="BT273" t="e">
        <f>Risklog!K105+"AM:!/oz"</f>
        <v>#VALUE!</v>
      </c>
      <c r="BU273" t="e">
        <f>Risklog!L105+"AM:!/o{"</f>
        <v>#VALUE!</v>
      </c>
      <c r="BV273" t="e">
        <f>Risklog!M105+"AM:!/o|"</f>
        <v>#VALUE!</v>
      </c>
      <c r="BW273" t="e">
        <f>Risklog!N105+"AM:!/o}"</f>
        <v>#VALUE!</v>
      </c>
      <c r="BX273" t="e">
        <f>Risklog!O105+"AM:!/o~"</f>
        <v>#VALUE!</v>
      </c>
      <c r="BY273" t="e">
        <f>Risklog!P105+"AM:!/p#"</f>
        <v>#VALUE!</v>
      </c>
      <c r="BZ273" t="e">
        <f>Risklog!Q105+"AM:!/p$"</f>
        <v>#VALUE!</v>
      </c>
      <c r="CA273" t="e">
        <f>Risklog!R105+"AM:!/p%"</f>
        <v>#VALUE!</v>
      </c>
      <c r="CB273" t="e">
        <f>Risklog!S105+"AM:!/p&amp;"</f>
        <v>#VALUE!</v>
      </c>
      <c r="CC273" t="e">
        <f>Risklog!T105+"AM:!/p'"</f>
        <v>#VALUE!</v>
      </c>
      <c r="CD273" t="e">
        <f>Risklog!U105+"AM:!/p("</f>
        <v>#VALUE!</v>
      </c>
      <c r="CE273" t="e">
        <f>Risklog!V105+"AM:!/p)"</f>
        <v>#VALUE!</v>
      </c>
      <c r="CF273" t="e">
        <f>Risklog!W105+"AM:!/p."</f>
        <v>#VALUE!</v>
      </c>
      <c r="CG273" t="e">
        <f>Risklog!X105+"AM:!/p/"</f>
        <v>#VALUE!</v>
      </c>
      <c r="CH273" t="e">
        <f>Risklog!Y105+"AM:!/p0"</f>
        <v>#VALUE!</v>
      </c>
      <c r="CI273" t="e">
        <f>Risklog!A106+"AM:!/p1"</f>
        <v>#VALUE!</v>
      </c>
      <c r="CJ273" t="e">
        <f>Risklog!B106+"AM:!/p2"</f>
        <v>#VALUE!</v>
      </c>
      <c r="CK273" t="e">
        <f>Risklog!C106+"AM:!/p3"</f>
        <v>#VALUE!</v>
      </c>
      <c r="CL273" t="e">
        <f>Risklog!D106+"AM:!/p4"</f>
        <v>#VALUE!</v>
      </c>
      <c r="CM273" t="e">
        <f>Risklog!E106+"AM:!/p5"</f>
        <v>#VALUE!</v>
      </c>
      <c r="CN273" t="e">
        <f>Risklog!F106+"AM:!/p6"</f>
        <v>#VALUE!</v>
      </c>
      <c r="CO273" t="e">
        <f>Risklog!G106+"AM:!/p7"</f>
        <v>#VALUE!</v>
      </c>
      <c r="CP273" t="e">
        <f>Risklog!H106+"AM:!/p8"</f>
        <v>#VALUE!</v>
      </c>
      <c r="CQ273" t="e">
        <f>Risklog!I106+"AM:!/p9"</f>
        <v>#VALUE!</v>
      </c>
      <c r="CR273" t="e">
        <f>Risklog!J106+"AM:!/p:"</f>
        <v>#VALUE!</v>
      </c>
      <c r="CS273" t="e">
        <f>Risklog!K106+"AM:!/p;"</f>
        <v>#VALUE!</v>
      </c>
      <c r="CT273" t="e">
        <f>Risklog!L106+"AM:!/p&lt;"</f>
        <v>#VALUE!</v>
      </c>
      <c r="CU273" t="e">
        <f>Risklog!M106+"AM:!/p="</f>
        <v>#VALUE!</v>
      </c>
      <c r="CV273" t="e">
        <f>Risklog!N106+"AM:!/p&gt;"</f>
        <v>#VALUE!</v>
      </c>
      <c r="CW273" t="e">
        <f>Risklog!O106+"AM:!/p?"</f>
        <v>#VALUE!</v>
      </c>
      <c r="CX273" t="e">
        <f>Risklog!P106+"AM:!/p@"</f>
        <v>#VALUE!</v>
      </c>
      <c r="CY273" t="e">
        <f>Risklog!Q106+"AM:!/pA"</f>
        <v>#VALUE!</v>
      </c>
      <c r="CZ273" t="e">
        <f>Risklog!R106+"AM:!/pB"</f>
        <v>#VALUE!</v>
      </c>
      <c r="DA273" t="e">
        <f>Risklog!S106+"AM:!/pC"</f>
        <v>#VALUE!</v>
      </c>
      <c r="DB273" t="e">
        <f>Risklog!T106+"AM:!/pD"</f>
        <v>#VALUE!</v>
      </c>
      <c r="DC273" t="e">
        <f>Risklog!U106+"AM:!/pE"</f>
        <v>#VALUE!</v>
      </c>
      <c r="DD273" t="e">
        <f>Risklog!V106+"AM:!/pF"</f>
        <v>#VALUE!</v>
      </c>
      <c r="DE273" t="e">
        <f>Risklog!W106+"AM:!/pG"</f>
        <v>#VALUE!</v>
      </c>
      <c r="DF273" t="e">
        <f>Risklog!X106+"AM:!/pH"</f>
        <v>#VALUE!</v>
      </c>
      <c r="DG273" t="e">
        <f>Risklog!Y106+"AM:!/pI"</f>
        <v>#VALUE!</v>
      </c>
      <c r="DH273" t="e">
        <f>Risklog!A107+"AM:!/pJ"</f>
        <v>#VALUE!</v>
      </c>
      <c r="DI273" t="e">
        <f>Risklog!B107+"AM:!/pK"</f>
        <v>#VALUE!</v>
      </c>
      <c r="DJ273" t="e">
        <f>Risklog!C107+"AM:!/pL"</f>
        <v>#VALUE!</v>
      </c>
      <c r="DK273" t="e">
        <f>Risklog!D107+"AM:!/pM"</f>
        <v>#VALUE!</v>
      </c>
      <c r="DL273" t="e">
        <f>Risklog!E107+"AM:!/pN"</f>
        <v>#VALUE!</v>
      </c>
      <c r="DM273" t="e">
        <f>Risklog!F107+"AM:!/pO"</f>
        <v>#VALUE!</v>
      </c>
      <c r="DN273" t="e">
        <f>Risklog!G107+"AM:!/pP"</f>
        <v>#VALUE!</v>
      </c>
      <c r="DO273" t="e">
        <f>Risklog!H107+"AM:!/pQ"</f>
        <v>#VALUE!</v>
      </c>
      <c r="DP273" t="e">
        <f>Risklog!I107+"AM:!/pR"</f>
        <v>#VALUE!</v>
      </c>
      <c r="DQ273" t="e">
        <f>Risklog!J107+"AM:!/pS"</f>
        <v>#VALUE!</v>
      </c>
      <c r="DR273" t="e">
        <f>Risklog!K107+"AM:!/pT"</f>
        <v>#VALUE!</v>
      </c>
      <c r="DS273" t="e">
        <f>Risklog!L107+"AM:!/pU"</f>
        <v>#VALUE!</v>
      </c>
      <c r="DT273" t="e">
        <f>Risklog!M107+"AM:!/pV"</f>
        <v>#VALUE!</v>
      </c>
      <c r="DU273" t="e">
        <f>Risklog!N107+"AM:!/pW"</f>
        <v>#VALUE!</v>
      </c>
      <c r="DV273" t="e">
        <f>Risklog!O107+"AM:!/pX"</f>
        <v>#VALUE!</v>
      </c>
      <c r="DW273" t="e">
        <f>Risklog!P107+"AM:!/pY"</f>
        <v>#VALUE!</v>
      </c>
      <c r="DX273" t="e">
        <f>Risklog!Q107+"AM:!/pZ"</f>
        <v>#VALUE!</v>
      </c>
      <c r="DY273" t="e">
        <f>Risklog!R107+"AM:!/p["</f>
        <v>#VALUE!</v>
      </c>
      <c r="DZ273" t="e">
        <f>Risklog!S107+"AM:!/p\"</f>
        <v>#VALUE!</v>
      </c>
      <c r="EA273" t="e">
        <f>Risklog!T107+"AM:!/p]"</f>
        <v>#VALUE!</v>
      </c>
      <c r="EB273" t="e">
        <f>Risklog!U107+"AM:!/p^"</f>
        <v>#VALUE!</v>
      </c>
      <c r="EC273" t="e">
        <f>Risklog!V107+"AM:!/p_"</f>
        <v>#VALUE!</v>
      </c>
      <c r="ED273" t="e">
        <f>Risklog!W107+"AM:!/p`"</f>
        <v>#VALUE!</v>
      </c>
      <c r="EE273" t="e">
        <f>Risklog!X107+"AM:!/pa"</f>
        <v>#VALUE!</v>
      </c>
      <c r="EF273" t="e">
        <f>Risklog!Y107+"AM:!/pb"</f>
        <v>#VALUE!</v>
      </c>
      <c r="EG273" t="e">
        <f>Risklog!A108+"AM:!/pc"</f>
        <v>#VALUE!</v>
      </c>
      <c r="EH273" t="e">
        <f>Risklog!B108+"AM:!/pd"</f>
        <v>#VALUE!</v>
      </c>
      <c r="EI273" t="e">
        <f>Risklog!C108+"AM:!/pe"</f>
        <v>#VALUE!</v>
      </c>
      <c r="EJ273" t="e">
        <f>Risklog!D108+"AM:!/pf"</f>
        <v>#VALUE!</v>
      </c>
      <c r="EK273" t="e">
        <f>Risklog!E108+"AM:!/pg"</f>
        <v>#VALUE!</v>
      </c>
      <c r="EL273" t="e">
        <f>Risklog!F108+"AM:!/ph"</f>
        <v>#VALUE!</v>
      </c>
      <c r="EM273" t="e">
        <f>Risklog!G108+"AM:!/pi"</f>
        <v>#VALUE!</v>
      </c>
      <c r="EN273" t="e">
        <f>Risklog!H108+"AM:!/pj"</f>
        <v>#VALUE!</v>
      </c>
      <c r="EO273" t="e">
        <f>Risklog!I108+"AM:!/pk"</f>
        <v>#VALUE!</v>
      </c>
      <c r="EP273" t="e">
        <f>Risklog!J108+"AM:!/pl"</f>
        <v>#VALUE!</v>
      </c>
      <c r="EQ273" t="e">
        <f>Risklog!K108+"AM:!/pm"</f>
        <v>#VALUE!</v>
      </c>
      <c r="ER273" t="e">
        <f>Risklog!L108+"AM:!/pn"</f>
        <v>#VALUE!</v>
      </c>
      <c r="ES273" t="e">
        <f>Risklog!M108+"AM:!/po"</f>
        <v>#VALUE!</v>
      </c>
      <c r="ET273" t="e">
        <f>Risklog!N108+"AM:!/pp"</f>
        <v>#VALUE!</v>
      </c>
      <c r="EU273" t="e">
        <f>Risklog!O108+"AM:!/pq"</f>
        <v>#VALUE!</v>
      </c>
      <c r="EV273" t="e">
        <f>Risklog!P108+"AM:!/pr"</f>
        <v>#VALUE!</v>
      </c>
      <c r="EW273" t="e">
        <f>Risklog!Q108+"AM:!/ps"</f>
        <v>#VALUE!</v>
      </c>
      <c r="EX273" t="e">
        <f>Risklog!R108+"AM:!/pt"</f>
        <v>#VALUE!</v>
      </c>
      <c r="EY273" t="e">
        <f>Risklog!S108+"AM:!/pu"</f>
        <v>#VALUE!</v>
      </c>
      <c r="EZ273" t="e">
        <f>Risklog!T108+"AM:!/pv"</f>
        <v>#VALUE!</v>
      </c>
      <c r="FA273" t="e">
        <f>Risklog!U108+"AM:!/pw"</f>
        <v>#VALUE!</v>
      </c>
      <c r="FB273" t="e">
        <f>Risklog!V108+"AM:!/px"</f>
        <v>#VALUE!</v>
      </c>
      <c r="FC273" t="e">
        <f>Risklog!W108+"AM:!/py"</f>
        <v>#VALUE!</v>
      </c>
      <c r="FD273" t="e">
        <f>Risklog!X108+"AM:!/pz"</f>
        <v>#VALUE!</v>
      </c>
      <c r="FE273" t="e">
        <f>Risklog!Y108+"AM:!/p{"</f>
        <v>#VALUE!</v>
      </c>
      <c r="FF273" t="e">
        <f>Risklog!A109+"AM:!/p|"</f>
        <v>#VALUE!</v>
      </c>
      <c r="FG273" t="e">
        <f>Risklog!B109+"AM:!/p}"</f>
        <v>#VALUE!</v>
      </c>
      <c r="FH273" t="e">
        <f>Risklog!C109+"AM:!/p~"</f>
        <v>#VALUE!</v>
      </c>
      <c r="FI273" t="e">
        <f>Risklog!D109+"AM:!/q#"</f>
        <v>#VALUE!</v>
      </c>
      <c r="FJ273" t="e">
        <f>Risklog!E109+"AM:!/q$"</f>
        <v>#VALUE!</v>
      </c>
      <c r="FK273" t="e">
        <f>Risklog!F109+"AM:!/q%"</f>
        <v>#VALUE!</v>
      </c>
      <c r="FL273" t="e">
        <f>Risklog!G109+"AM:!/q&amp;"</f>
        <v>#VALUE!</v>
      </c>
      <c r="FM273" t="e">
        <f>Risklog!H109+"AM:!/q'"</f>
        <v>#VALUE!</v>
      </c>
      <c r="FN273" t="e">
        <f>Risklog!I109+"AM:!/q("</f>
        <v>#VALUE!</v>
      </c>
      <c r="FO273" t="e">
        <f>Risklog!J109+"AM:!/q)"</f>
        <v>#VALUE!</v>
      </c>
      <c r="FP273" t="e">
        <f>Risklog!K109+"AM:!/q."</f>
        <v>#VALUE!</v>
      </c>
      <c r="FQ273" t="e">
        <f>Risklog!L109+"AM:!/q/"</f>
        <v>#VALUE!</v>
      </c>
      <c r="FR273" t="e">
        <f>Risklog!M109+"AM:!/q0"</f>
        <v>#VALUE!</v>
      </c>
      <c r="FS273" t="e">
        <f>Risklog!N109+"AM:!/q1"</f>
        <v>#VALUE!</v>
      </c>
      <c r="FT273" t="e">
        <f>Risklog!O109+"AM:!/q2"</f>
        <v>#VALUE!</v>
      </c>
      <c r="FU273" t="e">
        <f>Risklog!P109+"AM:!/q3"</f>
        <v>#VALUE!</v>
      </c>
      <c r="FV273" t="e">
        <f>Risklog!Q109+"AM:!/q4"</f>
        <v>#VALUE!</v>
      </c>
      <c r="FW273" t="e">
        <f>Risklog!R109+"AM:!/q5"</f>
        <v>#VALUE!</v>
      </c>
      <c r="FX273" t="e">
        <f>Risklog!S109+"AM:!/q6"</f>
        <v>#VALUE!</v>
      </c>
      <c r="FY273" t="e">
        <f>Risklog!T109+"AM:!/q7"</f>
        <v>#VALUE!</v>
      </c>
      <c r="FZ273" t="e">
        <f>Risklog!U109+"AM:!/q8"</f>
        <v>#VALUE!</v>
      </c>
      <c r="GA273" t="e">
        <f>Risklog!V109+"AM:!/q9"</f>
        <v>#VALUE!</v>
      </c>
      <c r="GB273" t="e">
        <f>Risklog!W109+"AM:!/q:"</f>
        <v>#VALUE!</v>
      </c>
      <c r="GC273" t="e">
        <f>Risklog!X109+"AM:!/q;"</f>
        <v>#VALUE!</v>
      </c>
      <c r="GD273" t="e">
        <f>Risklog!Y109+"AM:!/q&lt;"</f>
        <v>#VALUE!</v>
      </c>
      <c r="GE273" t="e">
        <f>Risklog!A110+"AM:!/q="</f>
        <v>#VALUE!</v>
      </c>
      <c r="GF273" t="e">
        <f>Risklog!B110+"AM:!/q&gt;"</f>
        <v>#VALUE!</v>
      </c>
      <c r="GG273" t="e">
        <f>Risklog!C110+"AM:!/q?"</f>
        <v>#VALUE!</v>
      </c>
      <c r="GH273" t="e">
        <f>Risklog!D110+"AM:!/q@"</f>
        <v>#VALUE!</v>
      </c>
      <c r="GI273" t="e">
        <f>Risklog!E110+"AM:!/qA"</f>
        <v>#VALUE!</v>
      </c>
      <c r="GJ273" t="e">
        <f>Risklog!F110+"AM:!/qB"</f>
        <v>#VALUE!</v>
      </c>
      <c r="GK273" t="e">
        <f>Risklog!G110+"AM:!/qC"</f>
        <v>#VALUE!</v>
      </c>
      <c r="GL273" t="e">
        <f>Risklog!H110+"AM:!/qD"</f>
        <v>#VALUE!</v>
      </c>
      <c r="GM273" t="e">
        <f>Risklog!I110+"AM:!/qE"</f>
        <v>#VALUE!</v>
      </c>
      <c r="GN273" t="e">
        <f>Risklog!J110+"AM:!/qF"</f>
        <v>#VALUE!</v>
      </c>
      <c r="GO273" t="e">
        <f>Risklog!K110+"AM:!/qG"</f>
        <v>#VALUE!</v>
      </c>
      <c r="GP273" t="e">
        <f>Risklog!L110+"AM:!/qH"</f>
        <v>#VALUE!</v>
      </c>
      <c r="GQ273" t="e">
        <f>Risklog!M110+"AM:!/qI"</f>
        <v>#VALUE!</v>
      </c>
      <c r="GR273" t="e">
        <f>Risklog!N110+"AM:!/qJ"</f>
        <v>#VALUE!</v>
      </c>
      <c r="GS273" t="e">
        <f>Risklog!O110+"AM:!/qK"</f>
        <v>#VALUE!</v>
      </c>
      <c r="GT273" t="e">
        <f>Risklog!P110+"AM:!/qL"</f>
        <v>#VALUE!</v>
      </c>
      <c r="GU273" t="e">
        <f>Risklog!Q110+"AM:!/qM"</f>
        <v>#VALUE!</v>
      </c>
      <c r="GV273" t="e">
        <f>Risklog!R110+"AM:!/qN"</f>
        <v>#VALUE!</v>
      </c>
      <c r="GW273" t="e">
        <f>Risklog!S110+"AM:!/qO"</f>
        <v>#VALUE!</v>
      </c>
      <c r="GX273" t="e">
        <f>Risklog!T110+"AM:!/qP"</f>
        <v>#VALUE!</v>
      </c>
      <c r="GY273" t="e">
        <f>Risklog!U110+"AM:!/qQ"</f>
        <v>#VALUE!</v>
      </c>
      <c r="GZ273" t="e">
        <f>Risklog!V110+"AM:!/qR"</f>
        <v>#VALUE!</v>
      </c>
      <c r="HA273" t="e">
        <f>Risklog!W110+"AM:!/qS"</f>
        <v>#VALUE!</v>
      </c>
      <c r="HB273" t="e">
        <f>Risklog!X110+"AM:!/qT"</f>
        <v>#VALUE!</v>
      </c>
      <c r="HC273" t="e">
        <f>Risklog!Y110+"AM:!/qU"</f>
        <v>#VALUE!</v>
      </c>
      <c r="HD273" t="e">
        <f>Risklog!A111+"AM:!/qV"</f>
        <v>#VALUE!</v>
      </c>
      <c r="HE273" t="e">
        <f>Risklog!B111+"AM:!/qW"</f>
        <v>#VALUE!</v>
      </c>
      <c r="HF273" t="e">
        <f>Risklog!C111+"AM:!/qX"</f>
        <v>#VALUE!</v>
      </c>
      <c r="HG273" t="e">
        <f>Risklog!D111+"AM:!/qY"</f>
        <v>#VALUE!</v>
      </c>
      <c r="HH273" t="e">
        <f>Risklog!E111+"AM:!/qZ"</f>
        <v>#VALUE!</v>
      </c>
      <c r="HI273" t="e">
        <f>Risklog!F111+"AM:!/q["</f>
        <v>#VALUE!</v>
      </c>
      <c r="HJ273" t="e">
        <f>Risklog!G111+"AM:!/q\"</f>
        <v>#VALUE!</v>
      </c>
      <c r="HK273" t="e">
        <f>Risklog!H111+"AM:!/q]"</f>
        <v>#VALUE!</v>
      </c>
      <c r="HL273" t="e">
        <f>Risklog!I111+"AM:!/q^"</f>
        <v>#VALUE!</v>
      </c>
      <c r="HM273" t="e">
        <f>Risklog!J111+"AM:!/q_"</f>
        <v>#VALUE!</v>
      </c>
      <c r="HN273" t="e">
        <f>Risklog!K111+"AM:!/q`"</f>
        <v>#VALUE!</v>
      </c>
      <c r="HO273" t="e">
        <f>Risklog!L111+"AM:!/qa"</f>
        <v>#VALUE!</v>
      </c>
      <c r="HP273" t="e">
        <f>Risklog!M111+"AM:!/qb"</f>
        <v>#VALUE!</v>
      </c>
      <c r="HQ273" t="e">
        <f>Risklog!N111+"AM:!/qc"</f>
        <v>#VALUE!</v>
      </c>
      <c r="HR273" t="e">
        <f>Risklog!O111+"AM:!/qd"</f>
        <v>#VALUE!</v>
      </c>
      <c r="HS273" t="e">
        <f>Risklog!P111+"AM:!/qe"</f>
        <v>#VALUE!</v>
      </c>
      <c r="HT273" t="e">
        <f>Risklog!Q111+"AM:!/qf"</f>
        <v>#VALUE!</v>
      </c>
      <c r="HU273" t="e">
        <f>Risklog!R111+"AM:!/qg"</f>
        <v>#VALUE!</v>
      </c>
      <c r="HV273" t="e">
        <f>Risklog!S111+"AM:!/qh"</f>
        <v>#VALUE!</v>
      </c>
      <c r="HW273" t="e">
        <f>Risklog!T111+"AM:!/qi"</f>
        <v>#VALUE!</v>
      </c>
      <c r="HX273" t="e">
        <f>Risklog!U111+"AM:!/qj"</f>
        <v>#VALUE!</v>
      </c>
      <c r="HY273" t="e">
        <f>Risklog!V111+"AM:!/qk"</f>
        <v>#VALUE!</v>
      </c>
      <c r="HZ273" t="e">
        <f>Risklog!W111+"AM:!/ql"</f>
        <v>#VALUE!</v>
      </c>
      <c r="IA273" t="e">
        <f>Risklog!X111+"AM:!/qm"</f>
        <v>#VALUE!</v>
      </c>
      <c r="IB273" t="e">
        <f>Risklog!Y111+"AM:!/qn"</f>
        <v>#VALUE!</v>
      </c>
      <c r="IC273" t="e">
        <f>Risklog!A112+"AM:!/qo"</f>
        <v>#VALUE!</v>
      </c>
      <c r="ID273" t="e">
        <f>Risklog!B112+"AM:!/qp"</f>
        <v>#VALUE!</v>
      </c>
      <c r="IE273" t="e">
        <f>Risklog!C112+"AM:!/qq"</f>
        <v>#VALUE!</v>
      </c>
      <c r="IF273" t="e">
        <f>Risklog!D112+"AM:!/qr"</f>
        <v>#VALUE!</v>
      </c>
      <c r="IG273" t="e">
        <f>Risklog!E112+"AM:!/qs"</f>
        <v>#VALUE!</v>
      </c>
      <c r="IH273" t="e">
        <f>Risklog!F112+"AM:!/qt"</f>
        <v>#VALUE!</v>
      </c>
      <c r="II273" t="e">
        <f>Risklog!G112+"AM:!/qu"</f>
        <v>#VALUE!</v>
      </c>
      <c r="IJ273" t="e">
        <f>Risklog!H112+"AM:!/qv"</f>
        <v>#VALUE!</v>
      </c>
      <c r="IK273" t="e">
        <f>Risklog!I112+"AM:!/qw"</f>
        <v>#VALUE!</v>
      </c>
      <c r="IL273" t="e">
        <f>Risklog!J112+"AM:!/qx"</f>
        <v>#VALUE!</v>
      </c>
      <c r="IM273" t="e">
        <f>Risklog!K112+"AM:!/qy"</f>
        <v>#VALUE!</v>
      </c>
      <c r="IN273" t="e">
        <f>Risklog!L112+"AM:!/qz"</f>
        <v>#VALUE!</v>
      </c>
      <c r="IO273" t="e">
        <f>Risklog!M112+"AM:!/q{"</f>
        <v>#VALUE!</v>
      </c>
      <c r="IP273" t="e">
        <f>Risklog!N112+"AM:!/q|"</f>
        <v>#VALUE!</v>
      </c>
      <c r="IQ273" t="e">
        <f>Risklog!O112+"AM:!/q}"</f>
        <v>#VALUE!</v>
      </c>
      <c r="IR273" t="e">
        <f>Risklog!P112+"AM:!/q~"</f>
        <v>#VALUE!</v>
      </c>
      <c r="IS273" t="e">
        <f>Risklog!Q112+"AM:!/r#"</f>
        <v>#VALUE!</v>
      </c>
      <c r="IT273" t="e">
        <f>Risklog!R112+"AM:!/r$"</f>
        <v>#VALUE!</v>
      </c>
      <c r="IU273" t="e">
        <f>Risklog!S112+"AM:!/r%"</f>
        <v>#VALUE!</v>
      </c>
      <c r="IV273" t="e">
        <f>Risklog!T112+"AM:!/r&amp;"</f>
        <v>#VALUE!</v>
      </c>
    </row>
    <row r="274" spans="6:256">
      <c r="F274" t="e">
        <f>Risklog!U112+"AM:!/r'"</f>
        <v>#VALUE!</v>
      </c>
      <c r="G274" t="e">
        <f>Risklog!V112+"AM:!/r("</f>
        <v>#VALUE!</v>
      </c>
      <c r="H274" t="e">
        <f>Risklog!W112+"AM:!/r)"</f>
        <v>#VALUE!</v>
      </c>
      <c r="I274" t="e">
        <f>Risklog!X112+"AM:!/r."</f>
        <v>#VALUE!</v>
      </c>
      <c r="J274" t="e">
        <f>Risklog!Y112+"AM:!/r/"</f>
        <v>#VALUE!</v>
      </c>
      <c r="K274" t="e">
        <f>Risklog!A113+"AM:!/r0"</f>
        <v>#VALUE!</v>
      </c>
      <c r="L274" t="e">
        <f>Risklog!B113+"AM:!/r1"</f>
        <v>#VALUE!</v>
      </c>
      <c r="M274" t="e">
        <f>Risklog!C113+"AM:!/r2"</f>
        <v>#VALUE!</v>
      </c>
      <c r="N274" t="e">
        <f>Risklog!D113+"AM:!/r3"</f>
        <v>#VALUE!</v>
      </c>
      <c r="O274" t="e">
        <f>Risklog!E113+"AM:!/r4"</f>
        <v>#VALUE!</v>
      </c>
      <c r="P274" t="e">
        <f>Risklog!F113+"AM:!/r5"</f>
        <v>#VALUE!</v>
      </c>
      <c r="Q274" t="e">
        <f>Risklog!G113+"AM:!/r6"</f>
        <v>#VALUE!</v>
      </c>
      <c r="R274" t="e">
        <f>Risklog!H113+"AM:!/r7"</f>
        <v>#VALUE!</v>
      </c>
      <c r="S274" t="e">
        <f>Risklog!I113+"AM:!/r8"</f>
        <v>#VALUE!</v>
      </c>
      <c r="T274" t="e">
        <f>Risklog!J113+"AM:!/r9"</f>
        <v>#VALUE!</v>
      </c>
      <c r="U274" t="e">
        <f>Risklog!K113+"AM:!/r:"</f>
        <v>#VALUE!</v>
      </c>
      <c r="V274" t="e">
        <f>Risklog!L113+"AM:!/r;"</f>
        <v>#VALUE!</v>
      </c>
      <c r="W274" t="e">
        <f>Risklog!M113+"AM:!/r&lt;"</f>
        <v>#VALUE!</v>
      </c>
      <c r="X274" t="e">
        <f>Risklog!N113+"AM:!/r="</f>
        <v>#VALUE!</v>
      </c>
      <c r="Y274" t="e">
        <f>Risklog!O113+"AM:!/r&gt;"</f>
        <v>#VALUE!</v>
      </c>
      <c r="Z274" t="e">
        <f>Risklog!P113+"AM:!/r?"</f>
        <v>#VALUE!</v>
      </c>
      <c r="AA274" t="e">
        <f>Risklog!Q113+"AM:!/r@"</f>
        <v>#VALUE!</v>
      </c>
      <c r="AB274" t="e">
        <f>Risklog!R113+"AM:!/rA"</f>
        <v>#VALUE!</v>
      </c>
      <c r="AC274" t="e">
        <f>Risklog!S113+"AM:!/rB"</f>
        <v>#VALUE!</v>
      </c>
      <c r="AD274" t="e">
        <f>Risklog!T113+"AM:!/rC"</f>
        <v>#VALUE!</v>
      </c>
      <c r="AE274" t="e">
        <f>Risklog!U113+"AM:!/rD"</f>
        <v>#VALUE!</v>
      </c>
      <c r="AF274" t="e">
        <f>Risklog!V113+"AM:!/rE"</f>
        <v>#VALUE!</v>
      </c>
      <c r="AG274" t="e">
        <f>Risklog!W113+"AM:!/rF"</f>
        <v>#VALUE!</v>
      </c>
      <c r="AH274" t="e">
        <f>Risklog!X113+"AM:!/rG"</f>
        <v>#VALUE!</v>
      </c>
      <c r="AI274" t="e">
        <f>Risklog!Y113+"AM:!/rH"</f>
        <v>#VALUE!</v>
      </c>
      <c r="AJ274" t="e">
        <f>Risklog!A114+"AM:!/rI"</f>
        <v>#VALUE!</v>
      </c>
      <c r="AK274" t="e">
        <f>Risklog!B114+"AM:!/rJ"</f>
        <v>#VALUE!</v>
      </c>
      <c r="AL274" t="e">
        <f>Risklog!C114+"AM:!/rK"</f>
        <v>#VALUE!</v>
      </c>
      <c r="AM274" t="e">
        <f>Risklog!D114+"AM:!/rL"</f>
        <v>#VALUE!</v>
      </c>
      <c r="AN274" t="e">
        <f>Risklog!E114+"AM:!/rM"</f>
        <v>#VALUE!</v>
      </c>
      <c r="AO274" t="e">
        <f>Risklog!F114+"AM:!/rN"</f>
        <v>#VALUE!</v>
      </c>
      <c r="AP274" t="e">
        <f>Risklog!G114+"AM:!/rO"</f>
        <v>#VALUE!</v>
      </c>
      <c r="AQ274" t="e">
        <f>Risklog!H114+"AM:!/rP"</f>
        <v>#VALUE!</v>
      </c>
      <c r="AR274" t="e">
        <f>Risklog!I114+"AM:!/rQ"</f>
        <v>#VALUE!</v>
      </c>
      <c r="AS274" t="e">
        <f>Risklog!J114+"AM:!/rR"</f>
        <v>#VALUE!</v>
      </c>
      <c r="AT274" t="e">
        <f>Risklog!K114+"AM:!/rS"</f>
        <v>#VALUE!</v>
      </c>
      <c r="AU274" t="e">
        <f>Risklog!L114+"AM:!/rT"</f>
        <v>#VALUE!</v>
      </c>
      <c r="AV274" t="e">
        <f>Risklog!M114+"AM:!/rU"</f>
        <v>#VALUE!</v>
      </c>
      <c r="AW274" t="e">
        <f>Risklog!N114+"AM:!/rV"</f>
        <v>#VALUE!</v>
      </c>
      <c r="AX274" t="e">
        <f>Risklog!O114+"AM:!/rW"</f>
        <v>#VALUE!</v>
      </c>
      <c r="AY274" t="e">
        <f>Risklog!P114+"AM:!/rX"</f>
        <v>#VALUE!</v>
      </c>
      <c r="AZ274" t="e">
        <f>Risklog!Q114+"AM:!/rY"</f>
        <v>#VALUE!</v>
      </c>
      <c r="BA274" t="e">
        <f>Risklog!R114+"AM:!/rZ"</f>
        <v>#VALUE!</v>
      </c>
      <c r="BB274" t="e">
        <f>Risklog!S114+"AM:!/r["</f>
        <v>#VALUE!</v>
      </c>
      <c r="BC274" t="e">
        <f>Risklog!T114+"AM:!/r\"</f>
        <v>#VALUE!</v>
      </c>
      <c r="BD274" t="e">
        <f>Risklog!U114+"AM:!/r]"</f>
        <v>#VALUE!</v>
      </c>
      <c r="BE274" t="e">
        <f>Risklog!V114+"AM:!/r^"</f>
        <v>#VALUE!</v>
      </c>
      <c r="BF274" t="e">
        <f>Risklog!W114+"AM:!/r_"</f>
        <v>#VALUE!</v>
      </c>
      <c r="BG274" t="e">
        <f>Risklog!X114+"AM:!/r`"</f>
        <v>#VALUE!</v>
      </c>
      <c r="BH274" t="e">
        <f>Risklog!Y114+"AM:!/ra"</f>
        <v>#VALUE!</v>
      </c>
      <c r="BI274" t="e">
        <f>Risklog!A115+"AM:!/rb"</f>
        <v>#VALUE!</v>
      </c>
      <c r="BJ274" t="e">
        <f>Risklog!B115+"AM:!/rc"</f>
        <v>#VALUE!</v>
      </c>
      <c r="BK274" t="e">
        <f>Risklog!C115+"AM:!/rd"</f>
        <v>#VALUE!</v>
      </c>
      <c r="BL274" t="e">
        <f>Risklog!D115+"AM:!/re"</f>
        <v>#VALUE!</v>
      </c>
      <c r="BM274" t="e">
        <f>Risklog!E115+"AM:!/rf"</f>
        <v>#VALUE!</v>
      </c>
      <c r="BN274" t="e">
        <f>Risklog!F115+"AM:!/rg"</f>
        <v>#VALUE!</v>
      </c>
      <c r="BO274" t="e">
        <f>Risklog!G115+"AM:!/rh"</f>
        <v>#VALUE!</v>
      </c>
      <c r="BP274" t="e">
        <f>Risklog!H115+"AM:!/ri"</f>
        <v>#VALUE!</v>
      </c>
      <c r="BQ274" t="e">
        <f>Risklog!I115+"AM:!/rj"</f>
        <v>#VALUE!</v>
      </c>
      <c r="BR274" t="e">
        <f>Risklog!J115+"AM:!/rk"</f>
        <v>#VALUE!</v>
      </c>
      <c r="BS274" t="e">
        <f>Risklog!K115+"AM:!/rl"</f>
        <v>#VALUE!</v>
      </c>
      <c r="BT274" t="e">
        <f>Risklog!L115+"AM:!/rm"</f>
        <v>#VALUE!</v>
      </c>
      <c r="BU274" t="e">
        <f>Risklog!M115+"AM:!/rn"</f>
        <v>#VALUE!</v>
      </c>
      <c r="BV274" t="e">
        <f>Risklog!N115+"AM:!/ro"</f>
        <v>#VALUE!</v>
      </c>
      <c r="BW274" t="e">
        <f>Risklog!O115+"AM:!/rp"</f>
        <v>#VALUE!</v>
      </c>
      <c r="BX274" t="e">
        <f>Risklog!P115+"AM:!/rq"</f>
        <v>#VALUE!</v>
      </c>
      <c r="BY274" t="e">
        <f>Risklog!Q115+"AM:!/rr"</f>
        <v>#VALUE!</v>
      </c>
      <c r="BZ274" t="e">
        <f>Risklog!R115+"AM:!/rs"</f>
        <v>#VALUE!</v>
      </c>
      <c r="CA274" t="e">
        <f>Risklog!S115+"AM:!/rt"</f>
        <v>#VALUE!</v>
      </c>
      <c r="CB274" t="e">
        <f>Risklog!T115+"AM:!/ru"</f>
        <v>#VALUE!</v>
      </c>
      <c r="CC274" t="e">
        <f>Risklog!U115+"AM:!/rv"</f>
        <v>#VALUE!</v>
      </c>
      <c r="CD274" t="e">
        <f>Risklog!V115+"AM:!/rw"</f>
        <v>#VALUE!</v>
      </c>
      <c r="CE274" t="e">
        <f>Risklog!W115+"AM:!/rx"</f>
        <v>#VALUE!</v>
      </c>
      <c r="CF274" t="e">
        <f>Risklog!X115+"AM:!/ry"</f>
        <v>#VALUE!</v>
      </c>
      <c r="CG274" t="e">
        <f>Risklog!Y115+"AM:!/rz"</f>
        <v>#VALUE!</v>
      </c>
      <c r="CH274" t="e">
        <f>Risklog!A116+"AM:!/r{"</f>
        <v>#VALUE!</v>
      </c>
      <c r="CI274" t="e">
        <f>Risklog!B116+"AM:!/r|"</f>
        <v>#VALUE!</v>
      </c>
      <c r="CJ274" t="e">
        <f>Risklog!C116+"AM:!/r}"</f>
        <v>#VALUE!</v>
      </c>
      <c r="CK274" t="e">
        <f>Risklog!D116+"AM:!/r~"</f>
        <v>#VALUE!</v>
      </c>
      <c r="CL274" t="e">
        <f>Risklog!E116+"AM:!/s#"</f>
        <v>#VALUE!</v>
      </c>
      <c r="CM274" t="e">
        <f>Risklog!F116+"AM:!/s$"</f>
        <v>#VALUE!</v>
      </c>
      <c r="CN274" t="e">
        <f>Risklog!G116+"AM:!/s%"</f>
        <v>#VALUE!</v>
      </c>
      <c r="CO274" t="e">
        <f>Risklog!H116+"AM:!/s&amp;"</f>
        <v>#VALUE!</v>
      </c>
      <c r="CP274" t="e">
        <f>Risklog!I116+"AM:!/s'"</f>
        <v>#VALUE!</v>
      </c>
      <c r="CQ274" t="e">
        <f>Risklog!J116+"AM:!/s("</f>
        <v>#VALUE!</v>
      </c>
      <c r="CR274" t="e">
        <f>Risklog!K116+"AM:!/s)"</f>
        <v>#VALUE!</v>
      </c>
      <c r="CS274" t="e">
        <f>Risklog!L116+"AM:!/s."</f>
        <v>#VALUE!</v>
      </c>
      <c r="CT274" t="e">
        <f>Risklog!M116+"AM:!/s/"</f>
        <v>#VALUE!</v>
      </c>
      <c r="CU274" t="e">
        <f>Risklog!N116+"AM:!/s0"</f>
        <v>#VALUE!</v>
      </c>
      <c r="CV274" t="e">
        <f>Risklog!O116+"AM:!/s1"</f>
        <v>#VALUE!</v>
      </c>
      <c r="CW274" t="e">
        <f>Risklog!P116+"AM:!/s2"</f>
        <v>#VALUE!</v>
      </c>
      <c r="CX274" t="e">
        <f>Risklog!Q116+"AM:!/s3"</f>
        <v>#VALUE!</v>
      </c>
      <c r="CY274" t="e">
        <f>Risklog!R116+"AM:!/s4"</f>
        <v>#VALUE!</v>
      </c>
      <c r="CZ274" t="e">
        <f>Risklog!S116+"AM:!/s5"</f>
        <v>#VALUE!</v>
      </c>
      <c r="DA274" t="e">
        <f>Risklog!T116+"AM:!/s6"</f>
        <v>#VALUE!</v>
      </c>
      <c r="DB274" t="e">
        <f>Risklog!U116+"AM:!/s7"</f>
        <v>#VALUE!</v>
      </c>
      <c r="DC274" t="e">
        <f>Risklog!V116+"AM:!/s8"</f>
        <v>#VALUE!</v>
      </c>
      <c r="DD274" t="e">
        <f>Risklog!W116+"AM:!/s9"</f>
        <v>#VALUE!</v>
      </c>
      <c r="DE274" t="e">
        <f>Risklog!X116+"AM:!/s:"</f>
        <v>#VALUE!</v>
      </c>
      <c r="DF274" t="e">
        <f>Risklog!Y116+"AM:!/s;"</f>
        <v>#VALUE!</v>
      </c>
      <c r="DG274" t="e">
        <f>Risklog!A117+"AM:!/s&lt;"</f>
        <v>#VALUE!</v>
      </c>
      <c r="DH274" t="e">
        <f>Risklog!B117+"AM:!/s="</f>
        <v>#VALUE!</v>
      </c>
      <c r="DI274" t="e">
        <f>Risklog!C117+"AM:!/s&gt;"</f>
        <v>#VALUE!</v>
      </c>
      <c r="DJ274" t="e">
        <f>Risklog!D117+"AM:!/s?"</f>
        <v>#VALUE!</v>
      </c>
      <c r="DK274" t="e">
        <f>Risklog!E117+"AM:!/s@"</f>
        <v>#VALUE!</v>
      </c>
      <c r="DL274" t="e">
        <f>Risklog!F117+"AM:!/sA"</f>
        <v>#VALUE!</v>
      </c>
      <c r="DM274" t="e">
        <f>Risklog!G117+"AM:!/sB"</f>
        <v>#VALUE!</v>
      </c>
      <c r="DN274" t="e">
        <f>Risklog!H117+"AM:!/sC"</f>
        <v>#VALUE!</v>
      </c>
      <c r="DO274" t="e">
        <f>Risklog!I117+"AM:!/sD"</f>
        <v>#VALUE!</v>
      </c>
      <c r="DP274" t="e">
        <f>Risklog!J117+"AM:!/sE"</f>
        <v>#VALUE!</v>
      </c>
      <c r="DQ274" t="e">
        <f>Risklog!K117+"AM:!/sF"</f>
        <v>#VALUE!</v>
      </c>
      <c r="DR274" t="e">
        <f>Risklog!L117+"AM:!/sG"</f>
        <v>#VALUE!</v>
      </c>
      <c r="DS274" t="e">
        <f>Risklog!M117+"AM:!/sH"</f>
        <v>#VALUE!</v>
      </c>
      <c r="DT274" t="e">
        <f>Risklog!N117+"AM:!/sI"</f>
        <v>#VALUE!</v>
      </c>
      <c r="DU274" t="e">
        <f>Risklog!O117+"AM:!/sJ"</f>
        <v>#VALUE!</v>
      </c>
      <c r="DV274" t="e">
        <f>Risklog!P117+"AM:!/sK"</f>
        <v>#VALUE!</v>
      </c>
      <c r="DW274" t="e">
        <f>Risklog!Q117+"AM:!/sL"</f>
        <v>#VALUE!</v>
      </c>
      <c r="DX274" t="e">
        <f>Risklog!R117+"AM:!/sM"</f>
        <v>#VALUE!</v>
      </c>
      <c r="DY274" t="e">
        <f>Risklog!S117+"AM:!/sN"</f>
        <v>#VALUE!</v>
      </c>
      <c r="DZ274" t="e">
        <f>Risklog!T117+"AM:!/sO"</f>
        <v>#VALUE!</v>
      </c>
      <c r="EA274" t="e">
        <f>Risklog!U117+"AM:!/sP"</f>
        <v>#VALUE!</v>
      </c>
      <c r="EB274" t="e">
        <f>Risklog!V117+"AM:!/sQ"</f>
        <v>#VALUE!</v>
      </c>
      <c r="EC274" t="e">
        <f>Risklog!W117+"AM:!/sR"</f>
        <v>#VALUE!</v>
      </c>
      <c r="ED274" t="e">
        <f>Risklog!X117+"AM:!/sS"</f>
        <v>#VALUE!</v>
      </c>
      <c r="EE274" t="e">
        <f>Risklog!Y117+"AM:!/sT"</f>
        <v>#VALUE!</v>
      </c>
      <c r="EF274" t="e">
        <f>Risklog!A118+"AM:!/sU"</f>
        <v>#VALUE!</v>
      </c>
      <c r="EG274" t="e">
        <f>Risklog!B118+"AM:!/sV"</f>
        <v>#VALUE!</v>
      </c>
      <c r="EH274" t="e">
        <f>Risklog!C118+"AM:!/sW"</f>
        <v>#VALUE!</v>
      </c>
      <c r="EI274" t="e">
        <f>Risklog!D118+"AM:!/sX"</f>
        <v>#VALUE!</v>
      </c>
      <c r="EJ274" t="e">
        <f>Risklog!E118+"AM:!/sY"</f>
        <v>#VALUE!</v>
      </c>
      <c r="EK274" t="e">
        <f>Risklog!F118+"AM:!/sZ"</f>
        <v>#VALUE!</v>
      </c>
      <c r="EL274" t="e">
        <f>Risklog!G118+"AM:!/s["</f>
        <v>#VALUE!</v>
      </c>
      <c r="EM274" t="e">
        <f>Risklog!H118+"AM:!/s\"</f>
        <v>#VALUE!</v>
      </c>
      <c r="EN274" t="e">
        <f>Risklog!I118+"AM:!/s]"</f>
        <v>#VALUE!</v>
      </c>
      <c r="EO274" t="e">
        <f>Risklog!J118+"AM:!/s^"</f>
        <v>#VALUE!</v>
      </c>
      <c r="EP274" t="e">
        <f>Risklog!K118+"AM:!/s_"</f>
        <v>#VALUE!</v>
      </c>
      <c r="EQ274" t="e">
        <f>Risklog!L118+"AM:!/s`"</f>
        <v>#VALUE!</v>
      </c>
      <c r="ER274" t="e">
        <f>Risklog!M118+"AM:!/sa"</f>
        <v>#VALUE!</v>
      </c>
      <c r="ES274" t="e">
        <f>Risklog!N118+"AM:!/sb"</f>
        <v>#VALUE!</v>
      </c>
      <c r="ET274" t="e">
        <f>Risklog!O118+"AM:!/sc"</f>
        <v>#VALUE!</v>
      </c>
      <c r="EU274" t="e">
        <f>Risklog!P118+"AM:!/sd"</f>
        <v>#VALUE!</v>
      </c>
      <c r="EV274" t="e">
        <f>Risklog!Q118+"AM:!/se"</f>
        <v>#VALUE!</v>
      </c>
      <c r="EW274" t="e">
        <f>Risklog!R118+"AM:!/sf"</f>
        <v>#VALUE!</v>
      </c>
      <c r="EX274" t="e">
        <f>Risklog!S118+"AM:!/sg"</f>
        <v>#VALUE!</v>
      </c>
      <c r="EY274" t="e">
        <f>Risklog!T118+"AM:!/sh"</f>
        <v>#VALUE!</v>
      </c>
      <c r="EZ274" t="e">
        <f>Risklog!U118+"AM:!/si"</f>
        <v>#VALUE!</v>
      </c>
      <c r="FA274" t="e">
        <f>Risklog!V118+"AM:!/sj"</f>
        <v>#VALUE!</v>
      </c>
      <c r="FB274" t="e">
        <f>Risklog!W118+"AM:!/sk"</f>
        <v>#VALUE!</v>
      </c>
      <c r="FC274" t="e">
        <f>Risklog!X118+"AM:!/sl"</f>
        <v>#VALUE!</v>
      </c>
      <c r="FD274" t="e">
        <f>Risklog!Y118+"AM:!/sm"</f>
        <v>#VALUE!</v>
      </c>
      <c r="FE274" t="e">
        <f>Risklog!A119+"AM:!/sn"</f>
        <v>#VALUE!</v>
      </c>
      <c r="FF274" t="e">
        <f>Risklog!B119+"AM:!/so"</f>
        <v>#VALUE!</v>
      </c>
      <c r="FG274" t="e">
        <f>Risklog!C119+"AM:!/sp"</f>
        <v>#VALUE!</v>
      </c>
      <c r="FH274" t="e">
        <f>Risklog!D119+"AM:!/sq"</f>
        <v>#VALUE!</v>
      </c>
      <c r="FI274" t="e">
        <f>Risklog!E119+"AM:!/sr"</f>
        <v>#VALUE!</v>
      </c>
      <c r="FJ274" t="e">
        <f>Risklog!F119+"AM:!/ss"</f>
        <v>#VALUE!</v>
      </c>
      <c r="FK274" t="e">
        <f>Risklog!G119+"AM:!/st"</f>
        <v>#VALUE!</v>
      </c>
      <c r="FL274" t="e">
        <f>Risklog!H119+"AM:!/su"</f>
        <v>#VALUE!</v>
      </c>
      <c r="FM274" t="e">
        <f>Risklog!I119+"AM:!/sv"</f>
        <v>#VALUE!</v>
      </c>
      <c r="FN274" t="e">
        <f>Risklog!J119+"AM:!/sw"</f>
        <v>#VALUE!</v>
      </c>
      <c r="FO274" t="e">
        <f>Risklog!K119+"AM:!/sx"</f>
        <v>#VALUE!</v>
      </c>
      <c r="FP274" t="e">
        <f>Risklog!L119+"AM:!/sy"</f>
        <v>#VALUE!</v>
      </c>
      <c r="FQ274" t="e">
        <f>Risklog!M119+"AM:!/sz"</f>
        <v>#VALUE!</v>
      </c>
      <c r="FR274" t="e">
        <f>Risklog!N119+"AM:!/s{"</f>
        <v>#VALUE!</v>
      </c>
      <c r="FS274" t="e">
        <f>Risklog!O119+"AM:!/s|"</f>
        <v>#VALUE!</v>
      </c>
      <c r="FT274" t="e">
        <f>Risklog!P119+"AM:!/s}"</f>
        <v>#VALUE!</v>
      </c>
      <c r="FU274" t="e">
        <f>Risklog!Q119+"AM:!/s~"</f>
        <v>#VALUE!</v>
      </c>
      <c r="FV274" t="e">
        <f>Risklog!R119+"AM:!/t#"</f>
        <v>#VALUE!</v>
      </c>
      <c r="FW274" t="e">
        <f>Risklog!S119+"AM:!/t$"</f>
        <v>#VALUE!</v>
      </c>
      <c r="FX274" t="e">
        <f>Risklog!T119+"AM:!/t%"</f>
        <v>#VALUE!</v>
      </c>
      <c r="FY274" t="e">
        <f>Risklog!U119+"AM:!/t&amp;"</f>
        <v>#VALUE!</v>
      </c>
      <c r="FZ274" t="e">
        <f>Risklog!V119+"AM:!/t'"</f>
        <v>#VALUE!</v>
      </c>
      <c r="GA274" t="e">
        <f>Risklog!W119+"AM:!/t("</f>
        <v>#VALUE!</v>
      </c>
      <c r="GB274" t="e">
        <f>Risklog!X119+"AM:!/t)"</f>
        <v>#VALUE!</v>
      </c>
      <c r="GC274" t="e">
        <f>Risklog!Y119+"AM:!/t."</f>
        <v>#VALUE!</v>
      </c>
      <c r="GD274" t="e">
        <f>Risklog!A120+"AM:!/t/"</f>
        <v>#VALUE!</v>
      </c>
      <c r="GE274" t="e">
        <f>Risklog!B120+"AM:!/t0"</f>
        <v>#VALUE!</v>
      </c>
      <c r="GF274" t="e">
        <f>Risklog!C120+"AM:!/t1"</f>
        <v>#VALUE!</v>
      </c>
      <c r="GG274" t="e">
        <f>Risklog!D120+"AM:!/t2"</f>
        <v>#VALUE!</v>
      </c>
      <c r="GH274" t="e">
        <f>Risklog!E120+"AM:!/t3"</f>
        <v>#VALUE!</v>
      </c>
      <c r="GI274" t="e">
        <f>Risklog!F120+"AM:!/t4"</f>
        <v>#VALUE!</v>
      </c>
      <c r="GJ274" t="e">
        <f>Risklog!G120+"AM:!/t5"</f>
        <v>#VALUE!</v>
      </c>
      <c r="GK274" t="e">
        <f>Risklog!H120+"AM:!/t6"</f>
        <v>#VALUE!</v>
      </c>
      <c r="GL274" t="e">
        <f>Risklog!I120+"AM:!/t7"</f>
        <v>#VALUE!</v>
      </c>
      <c r="GM274" t="e">
        <f>Risklog!J120+"AM:!/t8"</f>
        <v>#VALUE!</v>
      </c>
      <c r="GN274" t="e">
        <f>Risklog!K120+"AM:!/t9"</f>
        <v>#VALUE!</v>
      </c>
      <c r="GO274" t="e">
        <f>Risklog!L120+"AM:!/t:"</f>
        <v>#VALUE!</v>
      </c>
      <c r="GP274" t="e">
        <f>Risklog!M120+"AM:!/t;"</f>
        <v>#VALUE!</v>
      </c>
      <c r="GQ274" t="e">
        <f>Risklog!N120+"AM:!/t&lt;"</f>
        <v>#VALUE!</v>
      </c>
      <c r="GR274" t="e">
        <f>Risklog!O120+"AM:!/t="</f>
        <v>#VALUE!</v>
      </c>
      <c r="GS274" t="e">
        <f>Risklog!P120+"AM:!/t&gt;"</f>
        <v>#VALUE!</v>
      </c>
      <c r="GT274" t="e">
        <f>Risklog!Q120+"AM:!/t?"</f>
        <v>#VALUE!</v>
      </c>
      <c r="GU274" t="e">
        <f>Risklog!R120+"AM:!/t@"</f>
        <v>#VALUE!</v>
      </c>
      <c r="GV274" t="e">
        <f>Risklog!S120+"AM:!/tA"</f>
        <v>#VALUE!</v>
      </c>
      <c r="GW274" t="e">
        <f>Risklog!T120+"AM:!/tB"</f>
        <v>#VALUE!</v>
      </c>
      <c r="GX274" t="e">
        <f>Risklog!U120+"AM:!/tC"</f>
        <v>#VALUE!</v>
      </c>
      <c r="GY274" t="e">
        <f>Risklog!V120+"AM:!/tD"</f>
        <v>#VALUE!</v>
      </c>
      <c r="GZ274" t="e">
        <f>Risklog!W120+"AM:!/tE"</f>
        <v>#VALUE!</v>
      </c>
      <c r="HA274" t="e">
        <f>Risklog!X120+"AM:!/tF"</f>
        <v>#VALUE!</v>
      </c>
      <c r="HB274" t="e">
        <f>Risklog!Y120+"AM:!/tG"</f>
        <v>#VALUE!</v>
      </c>
      <c r="HC274" t="e">
        <f>Risklog!A121+"AM:!/tH"</f>
        <v>#VALUE!</v>
      </c>
      <c r="HD274" t="e">
        <f>Risklog!B121+"AM:!/tI"</f>
        <v>#VALUE!</v>
      </c>
      <c r="HE274" t="e">
        <f>Risklog!C121+"AM:!/tJ"</f>
        <v>#VALUE!</v>
      </c>
      <c r="HF274" t="e">
        <f>Risklog!D121+"AM:!/tK"</f>
        <v>#VALUE!</v>
      </c>
      <c r="HG274" t="e">
        <f>Risklog!E121+"AM:!/tL"</f>
        <v>#VALUE!</v>
      </c>
      <c r="HH274" t="e">
        <f>Risklog!F121+"AM:!/tM"</f>
        <v>#VALUE!</v>
      </c>
      <c r="HI274" t="e">
        <f>Risklog!G121+"AM:!/tN"</f>
        <v>#VALUE!</v>
      </c>
      <c r="HJ274" t="e">
        <f>Risklog!H121+"AM:!/tO"</f>
        <v>#VALUE!</v>
      </c>
      <c r="HK274" t="e">
        <f>Risklog!I121+"AM:!/tP"</f>
        <v>#VALUE!</v>
      </c>
      <c r="HL274" t="e">
        <f>Risklog!J121+"AM:!/tQ"</f>
        <v>#VALUE!</v>
      </c>
      <c r="HM274" t="e">
        <f>Risklog!K121+"AM:!/tR"</f>
        <v>#VALUE!</v>
      </c>
      <c r="HN274" t="e">
        <f>Risklog!L121+"AM:!/tS"</f>
        <v>#VALUE!</v>
      </c>
      <c r="HO274" t="e">
        <f>Risklog!M121+"AM:!/tT"</f>
        <v>#VALUE!</v>
      </c>
      <c r="HP274" t="e">
        <f>Risklog!N121+"AM:!/tU"</f>
        <v>#VALUE!</v>
      </c>
      <c r="HQ274" t="e">
        <f>Risklog!O121+"AM:!/tV"</f>
        <v>#VALUE!</v>
      </c>
      <c r="HR274" t="e">
        <f>Risklog!P121+"AM:!/tW"</f>
        <v>#VALUE!</v>
      </c>
      <c r="HS274" t="e">
        <f>Risklog!Q121+"AM:!/tX"</f>
        <v>#VALUE!</v>
      </c>
      <c r="HT274" t="e">
        <f>Risklog!R121+"AM:!/tY"</f>
        <v>#VALUE!</v>
      </c>
      <c r="HU274" t="e">
        <f>Risklog!S121+"AM:!/tZ"</f>
        <v>#VALUE!</v>
      </c>
      <c r="HV274" t="e">
        <f>Risklog!T121+"AM:!/t["</f>
        <v>#VALUE!</v>
      </c>
      <c r="HW274" t="e">
        <f>Risklog!U121+"AM:!/t\"</f>
        <v>#VALUE!</v>
      </c>
      <c r="HX274" t="e">
        <f>Risklog!V121+"AM:!/t]"</f>
        <v>#VALUE!</v>
      </c>
      <c r="HY274" t="e">
        <f>Risklog!W121+"AM:!/t^"</f>
        <v>#VALUE!</v>
      </c>
      <c r="HZ274" t="e">
        <f>Risklog!X121+"AM:!/t_"</f>
        <v>#VALUE!</v>
      </c>
      <c r="IA274" t="e">
        <f>Risklog!Y121+"AM:!/t`"</f>
        <v>#VALUE!</v>
      </c>
      <c r="IB274" t="e">
        <f>Risklog!A122+"AM:!/ta"</f>
        <v>#VALUE!</v>
      </c>
      <c r="IC274" t="e">
        <f>Risklog!B122+"AM:!/tb"</f>
        <v>#VALUE!</v>
      </c>
      <c r="ID274" t="e">
        <f>Risklog!C122+"AM:!/tc"</f>
        <v>#VALUE!</v>
      </c>
      <c r="IE274" t="e">
        <f>Risklog!D122+"AM:!/td"</f>
        <v>#VALUE!</v>
      </c>
      <c r="IF274" t="e">
        <f>Risklog!E122+"AM:!/te"</f>
        <v>#VALUE!</v>
      </c>
      <c r="IG274" t="e">
        <f>Risklog!F122+"AM:!/tf"</f>
        <v>#VALUE!</v>
      </c>
      <c r="IH274" t="e">
        <f>Risklog!G122+"AM:!/tg"</f>
        <v>#VALUE!</v>
      </c>
      <c r="II274" t="e">
        <f>Risklog!H122+"AM:!/th"</f>
        <v>#VALUE!</v>
      </c>
      <c r="IJ274" t="e">
        <f>Risklog!I122+"AM:!/ti"</f>
        <v>#VALUE!</v>
      </c>
      <c r="IK274" t="e">
        <f>Risklog!J122+"AM:!/tj"</f>
        <v>#VALUE!</v>
      </c>
      <c r="IL274" t="e">
        <f>Risklog!K122+"AM:!/tk"</f>
        <v>#VALUE!</v>
      </c>
      <c r="IM274" t="e">
        <f>Risklog!L122+"AM:!/tl"</f>
        <v>#VALUE!</v>
      </c>
      <c r="IN274" t="e">
        <f>Risklog!M122+"AM:!/tm"</f>
        <v>#VALUE!</v>
      </c>
      <c r="IO274" t="e">
        <f>Risklog!N122+"AM:!/tn"</f>
        <v>#VALUE!</v>
      </c>
      <c r="IP274" t="e">
        <f>Risklog!O122+"AM:!/to"</f>
        <v>#VALUE!</v>
      </c>
      <c r="IQ274" t="e">
        <f>Risklog!P122+"AM:!/tp"</f>
        <v>#VALUE!</v>
      </c>
      <c r="IR274" t="e">
        <f>Risklog!Q122+"AM:!/tq"</f>
        <v>#VALUE!</v>
      </c>
      <c r="IS274" t="e">
        <f>Risklog!R122+"AM:!/tr"</f>
        <v>#VALUE!</v>
      </c>
      <c r="IT274" t="e">
        <f>Risklog!S122+"AM:!/ts"</f>
        <v>#VALUE!</v>
      </c>
      <c r="IU274" t="e">
        <f>Risklog!T122+"AM:!/tt"</f>
        <v>#VALUE!</v>
      </c>
      <c r="IV274" t="e">
        <f>Risklog!U122+"AM:!/tu"</f>
        <v>#VALUE!</v>
      </c>
    </row>
    <row r="275" spans="6:256">
      <c r="F275" t="e">
        <f>Risklog!V122+"AM:!/tv"</f>
        <v>#VALUE!</v>
      </c>
      <c r="G275" t="e">
        <f>Risklog!W122+"AM:!/tw"</f>
        <v>#VALUE!</v>
      </c>
      <c r="H275" t="e">
        <f>Risklog!X122+"AM:!/tx"</f>
        <v>#VALUE!</v>
      </c>
      <c r="I275" t="e">
        <f>Risklog!Y122+"AM:!/ty"</f>
        <v>#VALUE!</v>
      </c>
      <c r="J275" t="e">
        <f>Risklog!A123+"AM:!/tz"</f>
        <v>#VALUE!</v>
      </c>
      <c r="K275" t="e">
        <f>Risklog!B123+"AM:!/t{"</f>
        <v>#VALUE!</v>
      </c>
      <c r="L275" t="e">
        <f>Risklog!C123+"AM:!/t|"</f>
        <v>#VALUE!</v>
      </c>
      <c r="M275" t="e">
        <f>Risklog!D123+"AM:!/t}"</f>
        <v>#VALUE!</v>
      </c>
      <c r="N275" t="e">
        <f>Risklog!E123+"AM:!/t~"</f>
        <v>#VALUE!</v>
      </c>
      <c r="O275" t="e">
        <f>Risklog!F123+"AM:!/u#"</f>
        <v>#VALUE!</v>
      </c>
      <c r="P275" t="e">
        <f>Risklog!G123+"AM:!/u$"</f>
        <v>#VALUE!</v>
      </c>
      <c r="Q275" t="e">
        <f>Risklog!H123+"AM:!/u%"</f>
        <v>#VALUE!</v>
      </c>
      <c r="R275" t="e">
        <f>Risklog!I123+"AM:!/u&amp;"</f>
        <v>#VALUE!</v>
      </c>
      <c r="S275" t="e">
        <f>Risklog!J123+"AM:!/u'"</f>
        <v>#VALUE!</v>
      </c>
      <c r="T275" t="e">
        <f>Risklog!K123+"AM:!/u("</f>
        <v>#VALUE!</v>
      </c>
      <c r="U275" t="e">
        <f>Risklog!L123+"AM:!/u)"</f>
        <v>#VALUE!</v>
      </c>
      <c r="V275" t="e">
        <f>Risklog!M123+"AM:!/u."</f>
        <v>#VALUE!</v>
      </c>
      <c r="W275" t="e">
        <f>Risklog!N123+"AM:!/u/"</f>
        <v>#VALUE!</v>
      </c>
      <c r="X275" t="e">
        <f>Risklog!O123+"AM:!/u0"</f>
        <v>#VALUE!</v>
      </c>
      <c r="Y275" t="e">
        <f>Risklog!P123+"AM:!/u1"</f>
        <v>#VALUE!</v>
      </c>
      <c r="Z275" t="e">
        <f>Risklog!Q123+"AM:!/u2"</f>
        <v>#VALUE!</v>
      </c>
      <c r="AA275" t="e">
        <f>Risklog!R123+"AM:!/u3"</f>
        <v>#VALUE!</v>
      </c>
      <c r="AB275" t="e">
        <f>Risklog!S123+"AM:!/u4"</f>
        <v>#VALUE!</v>
      </c>
      <c r="AC275" t="e">
        <f>Risklog!T123+"AM:!/u5"</f>
        <v>#VALUE!</v>
      </c>
      <c r="AD275" t="e">
        <f>Risklog!U123+"AM:!/u6"</f>
        <v>#VALUE!</v>
      </c>
      <c r="AE275" t="e">
        <f>Risklog!V123+"AM:!/u7"</f>
        <v>#VALUE!</v>
      </c>
      <c r="AF275" t="e">
        <f>Risklog!W123+"AM:!/u8"</f>
        <v>#VALUE!</v>
      </c>
      <c r="AG275" t="e">
        <f>Risklog!X123+"AM:!/u9"</f>
        <v>#VALUE!</v>
      </c>
      <c r="AH275" t="e">
        <f>Risklog!Y123+"AM:!/u:"</f>
        <v>#VALUE!</v>
      </c>
      <c r="AI275" t="e">
        <f>Risklog!A124+"AM:!/u;"</f>
        <v>#VALUE!</v>
      </c>
      <c r="AJ275" t="e">
        <f>Risklog!B124+"AM:!/u&lt;"</f>
        <v>#VALUE!</v>
      </c>
      <c r="AK275" t="e">
        <f>Risklog!C124+"AM:!/u="</f>
        <v>#VALUE!</v>
      </c>
      <c r="AL275" t="e">
        <f>Risklog!D124+"AM:!/u&gt;"</f>
        <v>#VALUE!</v>
      </c>
      <c r="AM275" t="e">
        <f>Risklog!E124+"AM:!/u?"</f>
        <v>#VALUE!</v>
      </c>
      <c r="AN275" t="e">
        <f>Risklog!F124+"AM:!/u@"</f>
        <v>#VALUE!</v>
      </c>
      <c r="AO275" t="e">
        <f>Risklog!G124+"AM:!/uA"</f>
        <v>#VALUE!</v>
      </c>
      <c r="AP275" t="e">
        <f>Risklog!H124+"AM:!/uB"</f>
        <v>#VALUE!</v>
      </c>
      <c r="AQ275" t="e">
        <f>Risklog!I124+"AM:!/uC"</f>
        <v>#VALUE!</v>
      </c>
      <c r="AR275" t="e">
        <f>Risklog!J124+"AM:!/uD"</f>
        <v>#VALUE!</v>
      </c>
      <c r="AS275" t="e">
        <f>Risklog!K124+"AM:!/uE"</f>
        <v>#VALUE!</v>
      </c>
      <c r="AT275" t="e">
        <f>Risklog!L124+"AM:!/uF"</f>
        <v>#VALUE!</v>
      </c>
      <c r="AU275" t="e">
        <f>Risklog!M124+"AM:!/uG"</f>
        <v>#VALUE!</v>
      </c>
      <c r="AV275" t="e">
        <f>Risklog!N124+"AM:!/uH"</f>
        <v>#VALUE!</v>
      </c>
      <c r="AW275" t="e">
        <f>Risklog!O124+"AM:!/uI"</f>
        <v>#VALUE!</v>
      </c>
      <c r="AX275" t="e">
        <f>Risklog!P124+"AM:!/uJ"</f>
        <v>#VALUE!</v>
      </c>
      <c r="AY275" t="e">
        <f>Risklog!Q124+"AM:!/uK"</f>
        <v>#VALUE!</v>
      </c>
      <c r="AZ275" t="e">
        <f>Risklog!R124+"AM:!/uL"</f>
        <v>#VALUE!</v>
      </c>
      <c r="BA275" t="e">
        <f>Risklog!S124+"AM:!/uM"</f>
        <v>#VALUE!</v>
      </c>
      <c r="BB275" t="e">
        <f>Risklog!T124+"AM:!/uN"</f>
        <v>#VALUE!</v>
      </c>
      <c r="BC275" t="e">
        <f>Risklog!U124+"AM:!/uO"</f>
        <v>#VALUE!</v>
      </c>
      <c r="BD275" t="e">
        <f>Risklog!V124+"AM:!/uP"</f>
        <v>#VALUE!</v>
      </c>
      <c r="BE275" t="e">
        <f>Risklog!W124+"AM:!/uQ"</f>
        <v>#VALUE!</v>
      </c>
      <c r="BF275" t="e">
        <f>Risklog!X124+"AM:!/uR"</f>
        <v>#VALUE!</v>
      </c>
      <c r="BG275" t="e">
        <f>Risklog!Y124+"AM:!/uS"</f>
        <v>#VALUE!</v>
      </c>
      <c r="BH275" t="e">
        <f>Risklog!A125+"AM:!/uT"</f>
        <v>#VALUE!</v>
      </c>
      <c r="BI275" t="e">
        <f>Risklog!B125+"AM:!/uU"</f>
        <v>#VALUE!</v>
      </c>
      <c r="BJ275" t="e">
        <f>Risklog!C125+"AM:!/uV"</f>
        <v>#VALUE!</v>
      </c>
      <c r="BK275" t="e">
        <f>Risklog!D125+"AM:!/uW"</f>
        <v>#VALUE!</v>
      </c>
      <c r="BL275" t="e">
        <f>Risklog!E125+"AM:!/uX"</f>
        <v>#VALUE!</v>
      </c>
      <c r="BM275" t="e">
        <f>Risklog!F125+"AM:!/uY"</f>
        <v>#VALUE!</v>
      </c>
      <c r="BN275" t="e">
        <f>Risklog!G125+"AM:!/uZ"</f>
        <v>#VALUE!</v>
      </c>
      <c r="BO275" t="e">
        <f>Risklog!H125+"AM:!/u["</f>
        <v>#VALUE!</v>
      </c>
      <c r="BP275" t="e">
        <f>Risklog!I125+"AM:!/u\"</f>
        <v>#VALUE!</v>
      </c>
      <c r="BQ275" t="e">
        <f>Risklog!J125+"AM:!/u]"</f>
        <v>#VALUE!</v>
      </c>
      <c r="BR275" t="e">
        <f>Risklog!K125+"AM:!/u^"</f>
        <v>#VALUE!</v>
      </c>
      <c r="BS275" t="e">
        <f>Risklog!L125+"AM:!/u_"</f>
        <v>#VALUE!</v>
      </c>
      <c r="BT275" t="e">
        <f>Risklog!M125+"AM:!/u`"</f>
        <v>#VALUE!</v>
      </c>
      <c r="BU275" t="e">
        <f>Risklog!N125+"AM:!/ua"</f>
        <v>#VALUE!</v>
      </c>
      <c r="BV275" t="e">
        <f>Risklog!O125+"AM:!/ub"</f>
        <v>#VALUE!</v>
      </c>
      <c r="BW275" t="e">
        <f>Risklog!P125+"AM:!/uc"</f>
        <v>#VALUE!</v>
      </c>
      <c r="BX275" t="e">
        <f>Risklog!Q125+"AM:!/ud"</f>
        <v>#VALUE!</v>
      </c>
      <c r="BY275" t="e">
        <f>Risklog!R125+"AM:!/ue"</f>
        <v>#VALUE!</v>
      </c>
      <c r="BZ275" t="e">
        <f>Risklog!S125+"AM:!/uf"</f>
        <v>#VALUE!</v>
      </c>
      <c r="CA275" t="e">
        <f>Risklog!T125+"AM:!/ug"</f>
        <v>#VALUE!</v>
      </c>
      <c r="CB275" t="e">
        <f>Risklog!U125+"AM:!/uh"</f>
        <v>#VALUE!</v>
      </c>
      <c r="CC275" t="e">
        <f>Risklog!V125+"AM:!/ui"</f>
        <v>#VALUE!</v>
      </c>
      <c r="CD275" t="e">
        <f>Risklog!W125+"AM:!/uj"</f>
        <v>#VALUE!</v>
      </c>
      <c r="CE275" t="e">
        <f>Risklog!X125+"AM:!/uk"</f>
        <v>#VALUE!</v>
      </c>
      <c r="CF275" t="e">
        <f>Risklog!Y125+"AM:!/ul"</f>
        <v>#VALUE!</v>
      </c>
      <c r="CG275" t="e">
        <f>Risklog!A126+"AM:!/um"</f>
        <v>#VALUE!</v>
      </c>
      <c r="CH275" t="e">
        <f>Risklog!B126+"AM:!/un"</f>
        <v>#VALUE!</v>
      </c>
      <c r="CI275" t="e">
        <f>Risklog!C126+"AM:!/uo"</f>
        <v>#VALUE!</v>
      </c>
      <c r="CJ275" t="e">
        <f>Risklog!D126+"AM:!/up"</f>
        <v>#VALUE!</v>
      </c>
      <c r="CK275" t="e">
        <f>Risklog!E126+"AM:!/uq"</f>
        <v>#VALUE!</v>
      </c>
      <c r="CL275" t="e">
        <f>Risklog!F126+"AM:!/ur"</f>
        <v>#VALUE!</v>
      </c>
      <c r="CM275" t="e">
        <f>Risklog!G126+"AM:!/us"</f>
        <v>#VALUE!</v>
      </c>
      <c r="CN275" t="e">
        <f>Risklog!H126+"AM:!/ut"</f>
        <v>#VALUE!</v>
      </c>
      <c r="CO275" t="e">
        <f>Risklog!I126+"AM:!/uu"</f>
        <v>#VALUE!</v>
      </c>
      <c r="CP275" t="e">
        <f>Risklog!J126+"AM:!/uv"</f>
        <v>#VALUE!</v>
      </c>
      <c r="CQ275" t="e">
        <f>Risklog!K126+"AM:!/uw"</f>
        <v>#VALUE!</v>
      </c>
      <c r="CR275" t="e">
        <f>Risklog!L126+"AM:!/ux"</f>
        <v>#VALUE!</v>
      </c>
      <c r="CS275" t="e">
        <f>Risklog!M126+"AM:!/uy"</f>
        <v>#VALUE!</v>
      </c>
      <c r="CT275" t="e">
        <f>Risklog!N126+"AM:!/uz"</f>
        <v>#VALUE!</v>
      </c>
      <c r="CU275" t="e">
        <f>Risklog!O126+"AM:!/u{"</f>
        <v>#VALUE!</v>
      </c>
      <c r="CV275" t="e">
        <f>Risklog!P126+"AM:!/u|"</f>
        <v>#VALUE!</v>
      </c>
      <c r="CW275" t="e">
        <f>Risklog!Q126+"AM:!/u}"</f>
        <v>#VALUE!</v>
      </c>
      <c r="CX275" t="e">
        <f>Risklog!R126+"AM:!/u~"</f>
        <v>#VALUE!</v>
      </c>
      <c r="CY275" t="e">
        <f>Risklog!S126+"AM:!/v#"</f>
        <v>#VALUE!</v>
      </c>
      <c r="CZ275" t="e">
        <f>Risklog!T126+"AM:!/v$"</f>
        <v>#VALUE!</v>
      </c>
      <c r="DA275" t="e">
        <f>Risklog!U126+"AM:!/v%"</f>
        <v>#VALUE!</v>
      </c>
      <c r="DB275" t="e">
        <f>Risklog!V126+"AM:!/v&amp;"</f>
        <v>#VALUE!</v>
      </c>
      <c r="DC275" t="e">
        <f>Risklog!W126+"AM:!/v'"</f>
        <v>#VALUE!</v>
      </c>
      <c r="DD275" t="e">
        <f>Risklog!X126+"AM:!/v("</f>
        <v>#VALUE!</v>
      </c>
      <c r="DE275" t="e">
        <f>Risklog!Y126+"AM:!/v)"</f>
        <v>#VALUE!</v>
      </c>
      <c r="DF275" t="e">
        <f>Risklog!A127+"AM:!/v."</f>
        <v>#VALUE!</v>
      </c>
      <c r="DG275" t="e">
        <f>Risklog!B127+"AM:!/v/"</f>
        <v>#VALUE!</v>
      </c>
      <c r="DH275" t="e">
        <f>Risklog!C127+"AM:!/v0"</f>
        <v>#VALUE!</v>
      </c>
      <c r="DI275" t="e">
        <f>Risklog!D127+"AM:!/v1"</f>
        <v>#VALUE!</v>
      </c>
      <c r="DJ275" t="e">
        <f>Risklog!E127+"AM:!/v2"</f>
        <v>#VALUE!</v>
      </c>
      <c r="DK275" t="e">
        <f>Risklog!F127+"AM:!/v3"</f>
        <v>#VALUE!</v>
      </c>
      <c r="DL275" t="e">
        <f>Risklog!G127+"AM:!/v4"</f>
        <v>#VALUE!</v>
      </c>
      <c r="DM275" t="e">
        <f>Risklog!H127+"AM:!/v5"</f>
        <v>#VALUE!</v>
      </c>
      <c r="DN275" t="e">
        <f>Risklog!I127+"AM:!/v6"</f>
        <v>#VALUE!</v>
      </c>
      <c r="DO275" t="e">
        <f>Risklog!J127+"AM:!/v7"</f>
        <v>#VALUE!</v>
      </c>
      <c r="DP275" t="e">
        <f>Risklog!K127+"AM:!/v8"</f>
        <v>#VALUE!</v>
      </c>
      <c r="DQ275" t="e">
        <f>Risklog!L127+"AM:!/v9"</f>
        <v>#VALUE!</v>
      </c>
      <c r="DR275" t="e">
        <f>Risklog!M127+"AM:!/v:"</f>
        <v>#VALUE!</v>
      </c>
      <c r="DS275" t="e">
        <f>Risklog!N127+"AM:!/v;"</f>
        <v>#VALUE!</v>
      </c>
      <c r="DT275" t="e">
        <f>Risklog!O127+"AM:!/v&lt;"</f>
        <v>#VALUE!</v>
      </c>
      <c r="DU275" t="e">
        <f>Risklog!P127+"AM:!/v="</f>
        <v>#VALUE!</v>
      </c>
      <c r="DV275" t="e">
        <f>Risklog!Q127+"AM:!/v&gt;"</f>
        <v>#VALUE!</v>
      </c>
      <c r="DW275" t="e">
        <f>Risklog!R127+"AM:!/v?"</f>
        <v>#VALUE!</v>
      </c>
      <c r="DX275" t="e">
        <f>Risklog!S127+"AM:!/v@"</f>
        <v>#VALUE!</v>
      </c>
      <c r="DY275" t="e">
        <f>Risklog!T127+"AM:!/vA"</f>
        <v>#VALUE!</v>
      </c>
      <c r="DZ275" t="e">
        <f>Risklog!U127+"AM:!/vB"</f>
        <v>#VALUE!</v>
      </c>
      <c r="EA275" t="e">
        <f>Risklog!V127+"AM:!/vC"</f>
        <v>#VALUE!</v>
      </c>
      <c r="EB275" t="e">
        <f>Risklog!W127+"AM:!/vD"</f>
        <v>#VALUE!</v>
      </c>
      <c r="EC275" t="e">
        <f>Risklog!X127+"AM:!/vE"</f>
        <v>#VALUE!</v>
      </c>
      <c r="ED275" t="e">
        <f>Risklog!Y127+"AM:!/vF"</f>
        <v>#VALUE!</v>
      </c>
      <c r="EE275" t="e">
        <f>Risklog!A128+"AM:!/vG"</f>
        <v>#VALUE!</v>
      </c>
      <c r="EF275" t="e">
        <f>Risklog!B128+"AM:!/vH"</f>
        <v>#VALUE!</v>
      </c>
      <c r="EG275" t="e">
        <f>Risklog!C128+"AM:!/vI"</f>
        <v>#VALUE!</v>
      </c>
      <c r="EH275" t="e">
        <f>Risklog!D128+"AM:!/vJ"</f>
        <v>#VALUE!</v>
      </c>
      <c r="EI275" t="e">
        <f>Risklog!E128+"AM:!/vK"</f>
        <v>#VALUE!</v>
      </c>
      <c r="EJ275" t="e">
        <f>Risklog!F128+"AM:!/vL"</f>
        <v>#VALUE!</v>
      </c>
      <c r="EK275" t="e">
        <f>Risklog!G128+"AM:!/vM"</f>
        <v>#VALUE!</v>
      </c>
      <c r="EL275" t="e">
        <f>Risklog!H128+"AM:!/vN"</f>
        <v>#VALUE!</v>
      </c>
      <c r="EM275" t="e">
        <f>Risklog!I128+"AM:!/vO"</f>
        <v>#VALUE!</v>
      </c>
      <c r="EN275" t="e">
        <f>Risklog!J128+"AM:!/vP"</f>
        <v>#VALUE!</v>
      </c>
      <c r="EO275" t="e">
        <f>Risklog!K128+"AM:!/vQ"</f>
        <v>#VALUE!</v>
      </c>
      <c r="EP275" t="e">
        <f>Risklog!L128+"AM:!/vR"</f>
        <v>#VALUE!</v>
      </c>
      <c r="EQ275" t="e">
        <f>Risklog!M128+"AM:!/vS"</f>
        <v>#VALUE!</v>
      </c>
      <c r="ER275" t="e">
        <f>Risklog!N128+"AM:!/vT"</f>
        <v>#VALUE!</v>
      </c>
      <c r="ES275" t="e">
        <f>Risklog!O128+"AM:!/vU"</f>
        <v>#VALUE!</v>
      </c>
      <c r="ET275" t="e">
        <f>Risklog!P128+"AM:!/vV"</f>
        <v>#VALUE!</v>
      </c>
      <c r="EU275" t="e">
        <f>Risklog!Q128+"AM:!/vW"</f>
        <v>#VALUE!</v>
      </c>
      <c r="EV275" t="e">
        <f>Risklog!R128+"AM:!/vX"</f>
        <v>#VALUE!</v>
      </c>
      <c r="EW275" t="e">
        <f>Risklog!S128+"AM:!/vY"</f>
        <v>#VALUE!</v>
      </c>
      <c r="EX275" t="e">
        <f>Risklog!T128+"AM:!/vZ"</f>
        <v>#VALUE!</v>
      </c>
      <c r="EY275" t="e">
        <f>Risklog!U128+"AM:!/v["</f>
        <v>#VALUE!</v>
      </c>
      <c r="EZ275" t="e">
        <f>Risklog!V128+"AM:!/v\"</f>
        <v>#VALUE!</v>
      </c>
      <c r="FA275" t="e">
        <f>Risklog!W128+"AM:!/v]"</f>
        <v>#VALUE!</v>
      </c>
      <c r="FB275" t="e">
        <f>Risklog!X128+"AM:!/v^"</f>
        <v>#VALUE!</v>
      </c>
      <c r="FC275" t="e">
        <f>Risklog!Y128+"AM:!/v_"</f>
        <v>#VALUE!</v>
      </c>
      <c r="FD275" t="e">
        <f>Risklog!A129+"AM:!/v`"</f>
        <v>#VALUE!</v>
      </c>
      <c r="FE275" t="e">
        <f>Risklog!B129+"AM:!/va"</f>
        <v>#VALUE!</v>
      </c>
      <c r="FF275" t="e">
        <f>Risklog!C129+"AM:!/vb"</f>
        <v>#VALUE!</v>
      </c>
      <c r="FG275" t="e">
        <f>Risklog!D129+"AM:!/vc"</f>
        <v>#VALUE!</v>
      </c>
      <c r="FH275" t="e">
        <f>Risklog!E129+"AM:!/vd"</f>
        <v>#VALUE!</v>
      </c>
      <c r="FI275" t="e">
        <f>Risklog!F129+"AM:!/ve"</f>
        <v>#VALUE!</v>
      </c>
      <c r="FJ275" t="e">
        <f>Risklog!G129+"AM:!/vf"</f>
        <v>#VALUE!</v>
      </c>
      <c r="FK275" t="e">
        <f>Risklog!H129+"AM:!/vg"</f>
        <v>#VALUE!</v>
      </c>
      <c r="FL275" t="e">
        <f>Risklog!I129+"AM:!/vh"</f>
        <v>#VALUE!</v>
      </c>
      <c r="FM275" t="e">
        <f>Risklog!J129+"AM:!/vi"</f>
        <v>#VALUE!</v>
      </c>
      <c r="FN275" t="e">
        <f>Risklog!K129+"AM:!/vj"</f>
        <v>#VALUE!</v>
      </c>
      <c r="FO275" t="e">
        <f>Risklog!L129+"AM:!/vk"</f>
        <v>#VALUE!</v>
      </c>
      <c r="FP275" t="e">
        <f>Risklog!M129+"AM:!/vl"</f>
        <v>#VALUE!</v>
      </c>
      <c r="FQ275" t="e">
        <f>Risklog!N129+"AM:!/vm"</f>
        <v>#VALUE!</v>
      </c>
      <c r="FR275" t="e">
        <f>Risklog!O129+"AM:!/vn"</f>
        <v>#VALUE!</v>
      </c>
      <c r="FS275" t="e">
        <f>Risklog!P129+"AM:!/vo"</f>
        <v>#VALUE!</v>
      </c>
      <c r="FT275" t="e">
        <f>Risklog!Q129+"AM:!/vp"</f>
        <v>#VALUE!</v>
      </c>
      <c r="FU275" t="e">
        <f>Risklog!R129+"AM:!/vq"</f>
        <v>#VALUE!</v>
      </c>
      <c r="FV275" t="e">
        <f>Risklog!S129+"AM:!/vr"</f>
        <v>#VALUE!</v>
      </c>
      <c r="FW275" t="e">
        <f>Risklog!T129+"AM:!/vs"</f>
        <v>#VALUE!</v>
      </c>
      <c r="FX275" t="e">
        <f>Risklog!U129+"AM:!/vt"</f>
        <v>#VALUE!</v>
      </c>
      <c r="FY275" t="e">
        <f>Risklog!V129+"AM:!/vu"</f>
        <v>#VALUE!</v>
      </c>
      <c r="FZ275" t="e">
        <f>Risklog!W129+"AM:!/vv"</f>
        <v>#VALUE!</v>
      </c>
      <c r="GA275" t="e">
        <f>Risklog!X129+"AM:!/vw"</f>
        <v>#VALUE!</v>
      </c>
      <c r="GB275" t="e">
        <f>Risklog!Y129+"AM:!/vx"</f>
        <v>#VALUE!</v>
      </c>
      <c r="GC275" t="e">
        <f>Risklog!A130+"AM:!/vy"</f>
        <v>#VALUE!</v>
      </c>
      <c r="GD275" t="e">
        <f>Risklog!B130+"AM:!/vz"</f>
        <v>#VALUE!</v>
      </c>
      <c r="GE275" t="e">
        <f>Risklog!C130+"AM:!/v{"</f>
        <v>#VALUE!</v>
      </c>
      <c r="GF275" t="e">
        <f>Risklog!D130+"AM:!/v|"</f>
        <v>#VALUE!</v>
      </c>
      <c r="GG275" t="e">
        <f>Risklog!E130+"AM:!/v}"</f>
        <v>#VALUE!</v>
      </c>
      <c r="GH275" t="e">
        <f>Risklog!F130+"AM:!/v~"</f>
        <v>#VALUE!</v>
      </c>
      <c r="GI275" t="e">
        <f>Risklog!G130+"AM:!/w#"</f>
        <v>#VALUE!</v>
      </c>
      <c r="GJ275" t="e">
        <f>Risklog!H130+"AM:!/w$"</f>
        <v>#VALUE!</v>
      </c>
      <c r="GK275" t="e">
        <f>Risklog!I130+"AM:!/w%"</f>
        <v>#VALUE!</v>
      </c>
      <c r="GL275" t="e">
        <f>Risklog!J130+"AM:!/w&amp;"</f>
        <v>#VALUE!</v>
      </c>
      <c r="GM275" t="e">
        <f>Risklog!K130+"AM:!/w'"</f>
        <v>#VALUE!</v>
      </c>
      <c r="GN275" t="e">
        <f>Risklog!L130+"AM:!/w("</f>
        <v>#VALUE!</v>
      </c>
      <c r="GO275" t="e">
        <f>Risklog!M130+"AM:!/w)"</f>
        <v>#VALUE!</v>
      </c>
      <c r="GP275" t="e">
        <f>Risklog!N130+"AM:!/w."</f>
        <v>#VALUE!</v>
      </c>
      <c r="GQ275" t="e">
        <f>Risklog!O130+"AM:!/w/"</f>
        <v>#VALUE!</v>
      </c>
      <c r="GR275" t="e">
        <f>Risklog!P130+"AM:!/w0"</f>
        <v>#VALUE!</v>
      </c>
      <c r="GS275" t="e">
        <f>Risklog!Q130+"AM:!/w1"</f>
        <v>#VALUE!</v>
      </c>
      <c r="GT275" t="e">
        <f>Risklog!R130+"AM:!/w2"</f>
        <v>#VALUE!</v>
      </c>
      <c r="GU275" t="e">
        <f>Risklog!S130+"AM:!/w3"</f>
        <v>#VALUE!</v>
      </c>
      <c r="GV275" t="e">
        <f>Risklog!T130+"AM:!/w4"</f>
        <v>#VALUE!</v>
      </c>
      <c r="GW275" t="e">
        <f>Risklog!U130+"AM:!/w5"</f>
        <v>#VALUE!</v>
      </c>
      <c r="GX275" t="e">
        <f>Risklog!V130+"AM:!/w6"</f>
        <v>#VALUE!</v>
      </c>
      <c r="GY275" t="e">
        <f>Risklog!W130+"AM:!/w7"</f>
        <v>#VALUE!</v>
      </c>
      <c r="GZ275" t="e">
        <f>Risklog!X130+"AM:!/w8"</f>
        <v>#VALUE!</v>
      </c>
      <c r="HA275" t="e">
        <f>Risklog!Y130+"AM:!/w9"</f>
        <v>#VALUE!</v>
      </c>
      <c r="HB275" t="e">
        <f>Risklog!A131+"AM:!/w:"</f>
        <v>#VALUE!</v>
      </c>
      <c r="HC275" t="e">
        <f>Risklog!B131+"AM:!/w;"</f>
        <v>#VALUE!</v>
      </c>
      <c r="HD275" t="e">
        <f>Risklog!C131+"AM:!/w&lt;"</f>
        <v>#VALUE!</v>
      </c>
      <c r="HE275" t="e">
        <f>Risklog!D131+"AM:!/w="</f>
        <v>#VALUE!</v>
      </c>
      <c r="HF275" t="e">
        <f>Risklog!E131+"AM:!/w&gt;"</f>
        <v>#VALUE!</v>
      </c>
      <c r="HG275" t="e">
        <f>Risklog!F131+"AM:!/w?"</f>
        <v>#VALUE!</v>
      </c>
      <c r="HH275" t="e">
        <f>Risklog!G131+"AM:!/w@"</f>
        <v>#VALUE!</v>
      </c>
      <c r="HI275" t="e">
        <f>Risklog!H131+"AM:!/wA"</f>
        <v>#VALUE!</v>
      </c>
      <c r="HJ275" t="e">
        <f>Risklog!I131+"AM:!/wB"</f>
        <v>#VALUE!</v>
      </c>
      <c r="HK275" t="e">
        <f>Risklog!J131+"AM:!/wC"</f>
        <v>#VALUE!</v>
      </c>
      <c r="HL275" t="e">
        <f>Risklog!K131+"AM:!/wD"</f>
        <v>#VALUE!</v>
      </c>
      <c r="HM275" t="e">
        <f>Risklog!L131+"AM:!/wE"</f>
        <v>#VALUE!</v>
      </c>
      <c r="HN275" t="e">
        <f>Risklog!M131+"AM:!/wF"</f>
        <v>#VALUE!</v>
      </c>
      <c r="HO275" t="e">
        <f>Risklog!N131+"AM:!/wG"</f>
        <v>#VALUE!</v>
      </c>
      <c r="HP275" t="e">
        <f>Risklog!O131+"AM:!/wH"</f>
        <v>#VALUE!</v>
      </c>
      <c r="HQ275" t="e">
        <f>Risklog!P131+"AM:!/wI"</f>
        <v>#VALUE!</v>
      </c>
      <c r="HR275" t="e">
        <f>Risklog!Q131+"AM:!/wJ"</f>
        <v>#VALUE!</v>
      </c>
      <c r="HS275" t="e">
        <f>Risklog!R131+"AM:!/wK"</f>
        <v>#VALUE!</v>
      </c>
      <c r="HT275" t="e">
        <f>Risklog!S131+"AM:!/wL"</f>
        <v>#VALUE!</v>
      </c>
      <c r="HU275" t="e">
        <f>Risklog!T131+"AM:!/wM"</f>
        <v>#VALUE!</v>
      </c>
      <c r="HV275" t="e">
        <f>Risklog!U131+"AM:!/wN"</f>
        <v>#VALUE!</v>
      </c>
      <c r="HW275" t="e">
        <f>Risklog!V131+"AM:!/wO"</f>
        <v>#VALUE!</v>
      </c>
      <c r="HX275" t="e">
        <f>Risklog!W131+"AM:!/wP"</f>
        <v>#VALUE!</v>
      </c>
      <c r="HY275" t="e">
        <f>Risklog!X131+"AM:!/wQ"</f>
        <v>#VALUE!</v>
      </c>
      <c r="HZ275" t="e">
        <f>Risklog!Y131+"AM:!/wR"</f>
        <v>#VALUE!</v>
      </c>
      <c r="IA275" t="e">
        <f>Risklog!A132+"AM:!/wS"</f>
        <v>#VALUE!</v>
      </c>
      <c r="IB275" t="e">
        <f>Risklog!B132+"AM:!/wT"</f>
        <v>#VALUE!</v>
      </c>
      <c r="IC275" t="e">
        <f>Risklog!C132+"AM:!/wU"</f>
        <v>#VALUE!</v>
      </c>
      <c r="ID275" t="e">
        <f>Risklog!D132+"AM:!/wV"</f>
        <v>#VALUE!</v>
      </c>
      <c r="IE275" t="e">
        <f>Risklog!E132+"AM:!/wW"</f>
        <v>#VALUE!</v>
      </c>
      <c r="IF275" t="e">
        <f>Risklog!F132+"AM:!/wX"</f>
        <v>#VALUE!</v>
      </c>
      <c r="IG275" t="e">
        <f>Risklog!G132+"AM:!/wY"</f>
        <v>#VALUE!</v>
      </c>
      <c r="IH275" t="e">
        <f>Risklog!H132+"AM:!/wZ"</f>
        <v>#VALUE!</v>
      </c>
      <c r="II275" t="e">
        <f>Risklog!I132+"AM:!/w["</f>
        <v>#VALUE!</v>
      </c>
      <c r="IJ275" t="e">
        <f>Risklog!J132+"AM:!/w\"</f>
        <v>#VALUE!</v>
      </c>
      <c r="IK275" t="e">
        <f>Risklog!K132+"AM:!/w]"</f>
        <v>#VALUE!</v>
      </c>
      <c r="IL275" t="e">
        <f>Risklog!L132+"AM:!/w^"</f>
        <v>#VALUE!</v>
      </c>
      <c r="IM275" t="e">
        <f>Risklog!M132+"AM:!/w_"</f>
        <v>#VALUE!</v>
      </c>
      <c r="IN275" t="e">
        <f>Risklog!N132+"AM:!/w`"</f>
        <v>#VALUE!</v>
      </c>
      <c r="IO275" t="e">
        <f>Risklog!O132+"AM:!/wa"</f>
        <v>#VALUE!</v>
      </c>
      <c r="IP275" t="e">
        <f>Risklog!P132+"AM:!/wb"</f>
        <v>#VALUE!</v>
      </c>
      <c r="IQ275" t="e">
        <f>Risklog!Q132+"AM:!/wc"</f>
        <v>#VALUE!</v>
      </c>
      <c r="IR275" t="e">
        <f>Risklog!R132+"AM:!/wd"</f>
        <v>#VALUE!</v>
      </c>
      <c r="IS275" t="e">
        <f>Risklog!S132+"AM:!/we"</f>
        <v>#VALUE!</v>
      </c>
      <c r="IT275" t="e">
        <f>Risklog!T132+"AM:!/wf"</f>
        <v>#VALUE!</v>
      </c>
      <c r="IU275" t="e">
        <f>Risklog!U132+"AM:!/wg"</f>
        <v>#VALUE!</v>
      </c>
      <c r="IV275" t="e">
        <f>Risklog!V132+"AM:!/wh"</f>
        <v>#VALUE!</v>
      </c>
    </row>
    <row r="276" spans="6:256">
      <c r="F276" t="e">
        <f>Risklog!W132+"AM:!/wi"</f>
        <v>#VALUE!</v>
      </c>
      <c r="G276" t="e">
        <f>Risklog!X132+"AM:!/wj"</f>
        <v>#VALUE!</v>
      </c>
      <c r="H276" t="e">
        <f>Risklog!Y132+"AM:!/wk"</f>
        <v>#VALUE!</v>
      </c>
      <c r="I276" t="e">
        <f>Risklog!A133+"AM:!/wl"</f>
        <v>#VALUE!</v>
      </c>
      <c r="J276" t="e">
        <f>Risklog!B133+"AM:!/wm"</f>
        <v>#VALUE!</v>
      </c>
      <c r="K276" t="e">
        <f>Risklog!C133+"AM:!/wn"</f>
        <v>#VALUE!</v>
      </c>
      <c r="L276" t="e">
        <f>Risklog!D133+"AM:!/wo"</f>
        <v>#VALUE!</v>
      </c>
      <c r="M276" t="e">
        <f>Risklog!E133+"AM:!/wp"</f>
        <v>#VALUE!</v>
      </c>
      <c r="N276" t="e">
        <f>Risklog!F133+"AM:!/wq"</f>
        <v>#VALUE!</v>
      </c>
      <c r="O276" t="e">
        <f>Risklog!G133+"AM:!/wr"</f>
        <v>#VALUE!</v>
      </c>
      <c r="P276" t="e">
        <f>Risklog!H133+"AM:!/ws"</f>
        <v>#VALUE!</v>
      </c>
      <c r="Q276" t="e">
        <f>Risklog!I133+"AM:!/wt"</f>
        <v>#VALUE!</v>
      </c>
      <c r="R276" t="e">
        <f>Risklog!J133+"AM:!/wu"</f>
        <v>#VALUE!</v>
      </c>
      <c r="S276" t="e">
        <f>Risklog!K133+"AM:!/wv"</f>
        <v>#VALUE!</v>
      </c>
      <c r="T276" t="e">
        <f>Risklog!L133+"AM:!/ww"</f>
        <v>#VALUE!</v>
      </c>
      <c r="U276" t="e">
        <f>Risklog!M133+"AM:!/wx"</f>
        <v>#VALUE!</v>
      </c>
      <c r="V276" t="e">
        <f>Risklog!N133+"AM:!/wy"</f>
        <v>#VALUE!</v>
      </c>
      <c r="W276" t="e">
        <f>Risklog!O133+"AM:!/wz"</f>
        <v>#VALUE!</v>
      </c>
      <c r="X276" t="e">
        <f>Risklog!P133+"AM:!/w{"</f>
        <v>#VALUE!</v>
      </c>
      <c r="Y276" t="e">
        <f>Risklog!Q133+"AM:!/w|"</f>
        <v>#VALUE!</v>
      </c>
      <c r="Z276" t="e">
        <f>Risklog!R133+"AM:!/w}"</f>
        <v>#VALUE!</v>
      </c>
      <c r="AA276" t="e">
        <f>Risklog!S133+"AM:!/w~"</f>
        <v>#VALUE!</v>
      </c>
      <c r="AB276" t="e">
        <f>Risklog!T133+"AM:!/x#"</f>
        <v>#VALUE!</v>
      </c>
      <c r="AC276" t="e">
        <f>Risklog!U133+"AM:!/x$"</f>
        <v>#VALUE!</v>
      </c>
      <c r="AD276" t="e">
        <f>Risklog!V133+"AM:!/x%"</f>
        <v>#VALUE!</v>
      </c>
      <c r="AE276" t="e">
        <f>Risklog!W133+"AM:!/x&amp;"</f>
        <v>#VALUE!</v>
      </c>
      <c r="AF276" t="e">
        <f>Risklog!X133+"AM:!/x'"</f>
        <v>#VALUE!</v>
      </c>
      <c r="AG276" t="e">
        <f>Risklog!Y133+"AM:!/x("</f>
        <v>#VALUE!</v>
      </c>
      <c r="AH276" t="e">
        <f>Risklog!A134+"AM:!/x)"</f>
        <v>#VALUE!</v>
      </c>
      <c r="AI276" t="e">
        <f>Risklog!B134+"AM:!/x."</f>
        <v>#VALUE!</v>
      </c>
      <c r="AJ276" t="e">
        <f>Risklog!C134+"AM:!/x/"</f>
        <v>#VALUE!</v>
      </c>
      <c r="AK276" t="e">
        <f>Risklog!D134+"AM:!/x0"</f>
        <v>#VALUE!</v>
      </c>
      <c r="AL276" t="e">
        <f>Risklog!E134+"AM:!/x1"</f>
        <v>#VALUE!</v>
      </c>
      <c r="AM276" t="e">
        <f>Risklog!F134+"AM:!/x2"</f>
        <v>#VALUE!</v>
      </c>
      <c r="AN276" t="e">
        <f>Risklog!G134+"AM:!/x3"</f>
        <v>#VALUE!</v>
      </c>
      <c r="AO276" t="e">
        <f>Risklog!H134+"AM:!/x4"</f>
        <v>#VALUE!</v>
      </c>
      <c r="AP276" t="e">
        <f>Risklog!I134+"AM:!/x5"</f>
        <v>#VALUE!</v>
      </c>
      <c r="AQ276" t="e">
        <f>Risklog!J134+"AM:!/x6"</f>
        <v>#VALUE!</v>
      </c>
      <c r="AR276" t="e">
        <f>Risklog!K134+"AM:!/x7"</f>
        <v>#VALUE!</v>
      </c>
      <c r="AS276" t="e">
        <f>Risklog!L134+"AM:!/x8"</f>
        <v>#VALUE!</v>
      </c>
      <c r="AT276" t="e">
        <f>Risklog!M134+"AM:!/x9"</f>
        <v>#VALUE!</v>
      </c>
      <c r="AU276" t="e">
        <f>Risklog!N134+"AM:!/x:"</f>
        <v>#VALUE!</v>
      </c>
      <c r="AV276" t="e">
        <f>Risklog!O134+"AM:!/x;"</f>
        <v>#VALUE!</v>
      </c>
      <c r="AW276" t="e">
        <f>Risklog!P134+"AM:!/x&lt;"</f>
        <v>#VALUE!</v>
      </c>
      <c r="AX276" t="e">
        <f>Risklog!Q134+"AM:!/x="</f>
        <v>#VALUE!</v>
      </c>
      <c r="AY276" t="e">
        <f>Risklog!R134+"AM:!/x&gt;"</f>
        <v>#VALUE!</v>
      </c>
      <c r="AZ276" t="e">
        <f>Risklog!S134+"AM:!/x?"</f>
        <v>#VALUE!</v>
      </c>
      <c r="BA276" t="e">
        <f>Risklog!T134+"AM:!/x@"</f>
        <v>#VALUE!</v>
      </c>
      <c r="BB276" t="e">
        <f>Risklog!U134+"AM:!/xA"</f>
        <v>#VALUE!</v>
      </c>
      <c r="BC276" t="e">
        <f>Risklog!V134+"AM:!/xB"</f>
        <v>#VALUE!</v>
      </c>
      <c r="BD276" t="e">
        <f>Risklog!W134+"AM:!/xC"</f>
        <v>#VALUE!</v>
      </c>
      <c r="BE276" t="e">
        <f>Risklog!X134+"AM:!/xD"</f>
        <v>#VALUE!</v>
      </c>
      <c r="BF276" t="e">
        <f>Risklog!Y134+"AM:!/xE"</f>
        <v>#VALUE!</v>
      </c>
      <c r="BG276" t="e">
        <f>Risklog!A135+"AM:!/xF"</f>
        <v>#VALUE!</v>
      </c>
      <c r="BH276" t="e">
        <f>Risklog!B135+"AM:!/xG"</f>
        <v>#VALUE!</v>
      </c>
      <c r="BI276" t="e">
        <f>Risklog!C135+"AM:!/xH"</f>
        <v>#VALUE!</v>
      </c>
      <c r="BJ276" t="e">
        <f>Risklog!D135+"AM:!/xI"</f>
        <v>#VALUE!</v>
      </c>
      <c r="BK276" t="e">
        <f>Risklog!E135+"AM:!/xJ"</f>
        <v>#VALUE!</v>
      </c>
      <c r="BL276" t="e">
        <f>Risklog!F135+"AM:!/xK"</f>
        <v>#VALUE!</v>
      </c>
      <c r="BM276" t="e">
        <f>Risklog!G135+"AM:!/xL"</f>
        <v>#VALUE!</v>
      </c>
      <c r="BN276" t="e">
        <f>Risklog!H135+"AM:!/xM"</f>
        <v>#VALUE!</v>
      </c>
      <c r="BO276" t="e">
        <f>Risklog!I135+"AM:!/xN"</f>
        <v>#VALUE!</v>
      </c>
      <c r="BP276" t="e">
        <f>Risklog!J135+"AM:!/xO"</f>
        <v>#VALUE!</v>
      </c>
      <c r="BQ276" t="e">
        <f>Risklog!K135+"AM:!/xP"</f>
        <v>#VALUE!</v>
      </c>
      <c r="BR276" t="e">
        <f>Risklog!L135+"AM:!/xQ"</f>
        <v>#VALUE!</v>
      </c>
      <c r="BS276" t="e">
        <f>Risklog!M135+"AM:!/xR"</f>
        <v>#VALUE!</v>
      </c>
      <c r="BT276" t="e">
        <f>Risklog!N135+"AM:!/xS"</f>
        <v>#VALUE!</v>
      </c>
      <c r="BU276" t="e">
        <f>Risklog!O135+"AM:!/xT"</f>
        <v>#VALUE!</v>
      </c>
      <c r="BV276" t="e">
        <f>Risklog!P135+"AM:!/xU"</f>
        <v>#VALUE!</v>
      </c>
      <c r="BW276" t="e">
        <f>Risklog!Q135+"AM:!/xV"</f>
        <v>#VALUE!</v>
      </c>
      <c r="BX276" t="e">
        <f>Risklog!R135+"AM:!/xW"</f>
        <v>#VALUE!</v>
      </c>
      <c r="BY276" t="e">
        <f>Risklog!S135+"AM:!/xX"</f>
        <v>#VALUE!</v>
      </c>
      <c r="BZ276" t="e">
        <f>Risklog!T135+"AM:!/xY"</f>
        <v>#VALUE!</v>
      </c>
      <c r="CA276" t="e">
        <f>Risklog!U135+"AM:!/xZ"</f>
        <v>#VALUE!</v>
      </c>
      <c r="CB276" t="e">
        <f>Risklog!V135+"AM:!/x["</f>
        <v>#VALUE!</v>
      </c>
      <c r="CC276" t="e">
        <f>Risklog!W135+"AM:!/x\"</f>
        <v>#VALUE!</v>
      </c>
      <c r="CD276" t="e">
        <f>Risklog!X135+"AM:!/x]"</f>
        <v>#VALUE!</v>
      </c>
      <c r="CE276" t="e">
        <f>Risklog!Y135+"AM:!/x^"</f>
        <v>#VALUE!</v>
      </c>
      <c r="CF276" t="e">
        <f>Risklog!A136+"AM:!/x_"</f>
        <v>#VALUE!</v>
      </c>
      <c r="CG276" t="e">
        <f>Risklog!B136+"AM:!/x`"</f>
        <v>#VALUE!</v>
      </c>
      <c r="CH276" t="e">
        <f>Risklog!C136+"AM:!/xa"</f>
        <v>#VALUE!</v>
      </c>
      <c r="CI276" t="e">
        <f>Risklog!D136+"AM:!/xb"</f>
        <v>#VALUE!</v>
      </c>
      <c r="CJ276" t="e">
        <f>Risklog!E136+"AM:!/xc"</f>
        <v>#VALUE!</v>
      </c>
      <c r="CK276" t="e">
        <f>Risklog!F136+"AM:!/xd"</f>
        <v>#VALUE!</v>
      </c>
      <c r="CL276" t="e">
        <f>Risklog!G136+"AM:!/xe"</f>
        <v>#VALUE!</v>
      </c>
      <c r="CM276" t="e">
        <f>Risklog!H136+"AM:!/xf"</f>
        <v>#VALUE!</v>
      </c>
      <c r="CN276" t="e">
        <f>Risklog!I136+"AM:!/xg"</f>
        <v>#VALUE!</v>
      </c>
      <c r="CO276" t="e">
        <f>Risklog!J136+"AM:!/xh"</f>
        <v>#VALUE!</v>
      </c>
      <c r="CP276" t="e">
        <f>Risklog!K136+"AM:!/xi"</f>
        <v>#VALUE!</v>
      </c>
      <c r="CQ276" t="e">
        <f>Risklog!L136+"AM:!/xj"</f>
        <v>#VALUE!</v>
      </c>
      <c r="CR276" t="e">
        <f>Risklog!M136+"AM:!/xk"</f>
        <v>#VALUE!</v>
      </c>
      <c r="CS276" t="e">
        <f>Risklog!N136+"AM:!/xl"</f>
        <v>#VALUE!</v>
      </c>
      <c r="CT276" t="e">
        <f>Risklog!O136+"AM:!/xm"</f>
        <v>#VALUE!</v>
      </c>
      <c r="CU276" t="e">
        <f>Risklog!P136+"AM:!/xn"</f>
        <v>#VALUE!</v>
      </c>
      <c r="CV276" t="e">
        <f>Risklog!Q136+"AM:!/xo"</f>
        <v>#VALUE!</v>
      </c>
      <c r="CW276" t="e">
        <f>Risklog!R136+"AM:!/xp"</f>
        <v>#VALUE!</v>
      </c>
      <c r="CX276" t="e">
        <f>Risklog!S136+"AM:!/xq"</f>
        <v>#VALUE!</v>
      </c>
      <c r="CY276" t="e">
        <f>Risklog!T136+"AM:!/xr"</f>
        <v>#VALUE!</v>
      </c>
      <c r="CZ276" t="e">
        <f>Risklog!U136+"AM:!/xs"</f>
        <v>#VALUE!</v>
      </c>
      <c r="DA276" t="e">
        <f>Risklog!V136+"AM:!/xt"</f>
        <v>#VALUE!</v>
      </c>
      <c r="DB276" t="e">
        <f>Risklog!W136+"AM:!/xu"</f>
        <v>#VALUE!</v>
      </c>
      <c r="DC276" t="e">
        <f>Risklog!X136+"AM:!/xv"</f>
        <v>#VALUE!</v>
      </c>
      <c r="DD276" t="e">
        <f>Risklog!Y136+"AM:!/xw"</f>
        <v>#VALUE!</v>
      </c>
      <c r="DE276" t="e">
        <f>ChangeLog!A:A*"AM:!/xz"</f>
        <v>#VALUE!</v>
      </c>
      <c r="DF276" t="e">
        <f>ChangeLog!B:B*"AM:!/x{"</f>
        <v>#VALUE!</v>
      </c>
      <c r="DG276" t="e">
        <f>ChangeLog!C:C*"AM:!/x|"</f>
        <v>#VALUE!</v>
      </c>
      <c r="DH276" t="e">
        <f>ChangeLog!D:D*"AM:!/x}"</f>
        <v>#VALUE!</v>
      </c>
      <c r="DI276" t="e">
        <f>ChangeLog!E:E*"AM:!/x~"</f>
        <v>#VALUE!</v>
      </c>
      <c r="DJ276" t="e">
        <f>ChangeLog!F:F*"AM:!/y#"</f>
        <v>#VALUE!</v>
      </c>
      <c r="DK276" t="e">
        <f>ChangeLog!G:G*"AM:!/y$"</f>
        <v>#VALUE!</v>
      </c>
      <c r="DL276" t="e">
        <f>ChangeLog!H:H*"AM:!/y%"</f>
        <v>#VALUE!</v>
      </c>
      <c r="DM276" t="e">
        <f>ChangeLog!I:I*"AM:!/y&amp;"</f>
        <v>#VALUE!</v>
      </c>
      <c r="DN276" t="e">
        <f>ChangeLog!J:J*"AM:!/y'"</f>
        <v>#VALUE!</v>
      </c>
      <c r="DO276" t="e">
        <f>ChangeLog!K:K*"AM:!/y("</f>
        <v>#VALUE!</v>
      </c>
      <c r="DP276" t="e">
        <f>ChangeLog!L:L*"AM:!/y)"</f>
        <v>#VALUE!</v>
      </c>
      <c r="DQ276" t="e">
        <f>ChangeLog!M:M*"AM:!/y."</f>
        <v>#VALUE!</v>
      </c>
      <c r="DR276" t="e">
        <f>ChangeLog!N:N*"AM:!/y/"</f>
        <v>#VALUE!</v>
      </c>
      <c r="DS276" t="e">
        <f>ChangeLog!O:O*"AM:!/y0"</f>
        <v>#VALUE!</v>
      </c>
      <c r="DT276" t="e">
        <f>ChangeLog!P:P*"AM:!/y1"</f>
        <v>#VALUE!</v>
      </c>
      <c r="DU276" t="e">
        <f>ChangeLog!Q:Q*"AM:!/y2"</f>
        <v>#VALUE!</v>
      </c>
      <c r="DV276" t="e">
        <f>ChangeLog!R:R*"AM:!/y3"</f>
        <v>#VALUE!</v>
      </c>
      <c r="DW276" t="e">
        <f>ChangeLog!S:S*"AM:!/y4"</f>
        <v>#VALUE!</v>
      </c>
      <c r="DX276" t="e">
        <f>ChangeLog!T:T*"AM:!/y5"</f>
        <v>#VALUE!</v>
      </c>
      <c r="DY276" t="e">
        <f>ChangeLog!U:U*"AM:!/y6"</f>
        <v>#VALUE!</v>
      </c>
      <c r="DZ276" t="e">
        <f>ChangeLog!V:V*"AM:!/y7"</f>
        <v>#VALUE!</v>
      </c>
      <c r="EA276" t="e">
        <f>ChangeLog!W:W*"AM:!/y8"</f>
        <v>#VALUE!</v>
      </c>
      <c r="EB276" t="e">
        <f>ChangeLog!X:X*"AM:!/y9"</f>
        <v>#VALUE!</v>
      </c>
      <c r="EC276" t="e">
        <f>ChangeLog!Y:Y*"AM:!/y:"</f>
        <v>#VALUE!</v>
      </c>
      <c r="ED276" t="e">
        <f>ChangeLog!Z:Z*"AM:!/y;"</f>
        <v>#VALUE!</v>
      </c>
      <c r="EE276" t="e">
        <f>ChangeLog!AA:AA*"AM:!/y&lt;"</f>
        <v>#VALUE!</v>
      </c>
      <c r="EF276" t="e">
        <f>ChangeLog!AB:AB*"AM:!/y="</f>
        <v>#VALUE!</v>
      </c>
      <c r="EG276" t="e">
        <f>ChangeLog!AC:AC*"AM:!/y&gt;"</f>
        <v>#VALUE!</v>
      </c>
      <c r="EH276" t="e">
        <f>ChangeLog!AD:AD*"AM:!/y?"</f>
        <v>#VALUE!</v>
      </c>
      <c r="EI276" t="e">
        <f>ChangeLog!AE:AE*"AM:!/y@"</f>
        <v>#VALUE!</v>
      </c>
      <c r="EJ276" t="e">
        <f>ChangeLog!AF:AF*"AM:!/yA"</f>
        <v>#VALUE!</v>
      </c>
      <c r="EK276" t="e">
        <f>ChangeLog!AG:AG*"AM:!/yB"</f>
        <v>#VALUE!</v>
      </c>
      <c r="EL276" t="e">
        <f>ChangeLog!AH:AH*"AM:!/yC"</f>
        <v>#VALUE!</v>
      </c>
      <c r="EM276" t="e">
        <f>ChangeLog!AI:AI*"AM:!/yD"</f>
        <v>#VALUE!</v>
      </c>
      <c r="EN276" t="e">
        <f>ChangeLog!AJ:AJ*"AM:!/yE"</f>
        <v>#VALUE!</v>
      </c>
      <c r="EO276" t="e">
        <f>ChangeLog!AK:AK*"AM:!/yF"</f>
        <v>#VALUE!</v>
      </c>
      <c r="EP276" t="e">
        <f>ChangeLog!AL:AL*"AM:!/yG"</f>
        <v>#VALUE!</v>
      </c>
      <c r="EQ276" t="e">
        <f>ChangeLog!AM:AM*"AM:!/yH"</f>
        <v>#VALUE!</v>
      </c>
      <c r="ER276" t="e">
        <f>ChangeLog!AN:AN*"AM:!/yI"</f>
        <v>#VALUE!</v>
      </c>
      <c r="ES276" t="e">
        <f>ChangeLog!AO:AO*"AM:!/yJ"</f>
        <v>#VALUE!</v>
      </c>
      <c r="ET276" t="e">
        <f>ChangeLog!AP:AP*"AM:!/yK"</f>
        <v>#VALUE!</v>
      </c>
      <c r="EU276" t="e">
        <f>ChangeLog!AQ:AQ*"AM:!/yL"</f>
        <v>#VALUE!</v>
      </c>
      <c r="EV276" t="e">
        <f>ChangeLog!AR:AR*"AM:!/yM"</f>
        <v>#VALUE!</v>
      </c>
      <c r="EW276" t="e">
        <f>ChangeLog!AS:AS*"AM:!/yN"</f>
        <v>#VALUE!</v>
      </c>
      <c r="EX276" t="e">
        <f>ChangeLog!AT:AT*"AM:!/yO"</f>
        <v>#VALUE!</v>
      </c>
      <c r="EY276" t="e">
        <f>ChangeLog!AU:AU*"AM:!/yP"</f>
        <v>#VALUE!</v>
      </c>
      <c r="EZ276" t="e">
        <f>ChangeLog!AV:AV*"AM:!/yQ"</f>
        <v>#VALUE!</v>
      </c>
      <c r="FA276" t="e">
        <f>ChangeLog!AW:AW*"AM:!/yR"</f>
        <v>#VALUE!</v>
      </c>
      <c r="FB276" t="e">
        <f>ChangeLog!AX:AX*"AM:!/yS"</f>
        <v>#VALUE!</v>
      </c>
      <c r="FC276" t="e">
        <f>ChangeLog!AY:AY*"AM:!/yT"</f>
        <v>#VALUE!</v>
      </c>
      <c r="FD276" t="e">
        <f>ChangeLog!AZ:AZ*"AM:!/yU"</f>
        <v>#VALUE!</v>
      </c>
      <c r="FE276" t="e">
        <f>ChangeLog!BA:BA*"AM:!/yV"</f>
        <v>#VALUE!</v>
      </c>
      <c r="FF276" t="e">
        <f>ChangeLog!BB:BB*"AM:!/yW"</f>
        <v>#VALUE!</v>
      </c>
      <c r="FG276" t="e">
        <f>ChangeLog!BC:BC*"AM:!/yX"</f>
        <v>#VALUE!</v>
      </c>
      <c r="FH276" t="e">
        <f>ChangeLog!BD:BD*"AM:!/yY"</f>
        <v>#VALUE!</v>
      </c>
      <c r="FI276" t="e">
        <f>ChangeLog!BE:BE*"AM:!/yZ"</f>
        <v>#VALUE!</v>
      </c>
      <c r="FJ276" t="e">
        <f>ChangeLog!BF:BF*"AM:!/y["</f>
        <v>#VALUE!</v>
      </c>
      <c r="FK276" t="e">
        <f>ChangeLog!BG:BG*"AM:!/y\"</f>
        <v>#VALUE!</v>
      </c>
      <c r="FL276" t="e">
        <f>ChangeLog!BH:BH*"AM:!/y]"</f>
        <v>#VALUE!</v>
      </c>
      <c r="FM276" t="e">
        <f>ChangeLog!BI:BI*"AM:!/y^"</f>
        <v>#VALUE!</v>
      </c>
      <c r="FN276" t="e">
        <f>ChangeLog!BJ:BJ*"AM:!/y_"</f>
        <v>#VALUE!</v>
      </c>
      <c r="FO276" t="e">
        <f>ChangeLog!BK:BK*"AM:!/y`"</f>
        <v>#VALUE!</v>
      </c>
      <c r="FP276" t="e">
        <f>ChangeLog!BL:BL*"AM:!/ya"</f>
        <v>#VALUE!</v>
      </c>
      <c r="FQ276" t="e">
        <f>ChangeLog!BM:BM*"AM:!/yb"</f>
        <v>#VALUE!</v>
      </c>
      <c r="FR276" t="e">
        <f>ChangeLog!BN:BN*"AM:!/yc"</f>
        <v>#VALUE!</v>
      </c>
      <c r="FS276" t="e">
        <f>ChangeLog!BO:BO*"AM:!/yd"</f>
        <v>#VALUE!</v>
      </c>
      <c r="FT276" t="e">
        <f>ChangeLog!BP:BP*"AM:!/ye"</f>
        <v>#VALUE!</v>
      </c>
      <c r="FU276" t="e">
        <f>ChangeLog!BQ:BQ*"AM:!/yf"</f>
        <v>#VALUE!</v>
      </c>
      <c r="FV276" t="e">
        <f>ChangeLog!BR:BR*"AM:!/yg"</f>
        <v>#VALUE!</v>
      </c>
      <c r="FW276" t="e">
        <f>ChangeLog!1:1-"AM:!/yh"</f>
        <v>#VALUE!</v>
      </c>
      <c r="FX276" t="e">
        <f>ChangeLog!2:2-"AM:!/yi"</f>
        <v>#VALUE!</v>
      </c>
      <c r="FY276" t="e">
        <f>ChangeLog!3:3-"AM:!/yj"</f>
        <v>#VALUE!</v>
      </c>
      <c r="FZ276" t="e">
        <f>ChangeLog!4:4-"AM:!/yk"</f>
        <v>#VALUE!</v>
      </c>
      <c r="GA276" t="e">
        <f>ChangeLog!5:5-"AM:!/yl"</f>
        <v>#VALUE!</v>
      </c>
      <c r="GB276" t="e">
        <f>ChangeLog!6:6-"AM:!/ym"</f>
        <v>#VALUE!</v>
      </c>
      <c r="GC276" t="e">
        <f>ChangeLog!7:7-"AM:!/yn"</f>
        <v>#VALUE!</v>
      </c>
      <c r="GD276" t="e">
        <f>ChangeLog!8:8-"AM:!/yo"</f>
        <v>#VALUE!</v>
      </c>
      <c r="GE276" t="e">
        <f>ChangeLog!9:9-"AM:!/yp"</f>
        <v>#VALUE!</v>
      </c>
      <c r="GF276" t="e">
        <f>ChangeLog!10:10-"AM:!/yq"</f>
        <v>#VALUE!</v>
      </c>
      <c r="GG276" t="e">
        <f>ChangeLog!11:11-"AM:!/yr"</f>
        <v>#VALUE!</v>
      </c>
      <c r="GH276" t="e">
        <f>ChangeLog!12:12-"AM:!/ys"</f>
        <v>#VALUE!</v>
      </c>
      <c r="GI276" t="e">
        <f>ChangeLog!13:13-"AM:!/yt"</f>
        <v>#VALUE!</v>
      </c>
      <c r="GJ276" t="e">
        <f>ChangeLog!14:14-"AM:!/yu"</f>
        <v>#VALUE!</v>
      </c>
      <c r="GK276" t="e">
        <f>ChangeLog!15:15-"AM:!/yv"</f>
        <v>#VALUE!</v>
      </c>
      <c r="GL276" t="e">
        <f>ChangeLog!16:16-"AM:!/yw"</f>
        <v>#VALUE!</v>
      </c>
      <c r="GM276" t="e">
        <f>ChangeLog!17:17-"AM:!/yx"</f>
        <v>#VALUE!</v>
      </c>
      <c r="GN276" t="e">
        <f>ChangeLog!18:18-"AM:!/yy"</f>
        <v>#VALUE!</v>
      </c>
      <c r="GO276" t="e">
        <f>ChangeLog!19:19-"AM:!/yz"</f>
        <v>#VALUE!</v>
      </c>
      <c r="GP276" t="e">
        <f>ChangeLog!20:20-"AM:!/y{"</f>
        <v>#VALUE!</v>
      </c>
      <c r="GQ276" t="e">
        <f>ChangeLog!21:21-"AM:!/y|"</f>
        <v>#VALUE!</v>
      </c>
      <c r="GR276" t="e">
        <f>ChangeLog!22:22-"AM:!/y}"</f>
        <v>#VALUE!</v>
      </c>
      <c r="GS276" t="e">
        <f>ChangeLog!23:23-"AM:!/y~"</f>
        <v>#VALUE!</v>
      </c>
      <c r="GT276" t="e">
        <f>ChangeLog!24:24-"AM:!/z#"</f>
        <v>#VALUE!</v>
      </c>
      <c r="GU276" t="e">
        <f>ChangeLog!25:25-"AM:!/z$"</f>
        <v>#VALUE!</v>
      </c>
      <c r="GV276" t="e">
        <f>ChangeLog!26:26-"AM:!/z%"</f>
        <v>#VALUE!</v>
      </c>
      <c r="GW276" t="e">
        <f>ChangeLog!27:27-"AM:!/z&amp;"</f>
        <v>#VALUE!</v>
      </c>
      <c r="GX276" t="e">
        <f>ChangeLog!28:28-"AM:!/z'"</f>
        <v>#VALUE!</v>
      </c>
      <c r="GY276" t="e">
        <f>ChangeLog!29:29-"AM:!/z("</f>
        <v>#VALUE!</v>
      </c>
      <c r="GZ276" t="e">
        <f>ChangeLog!30:30-"AM:!/z)"</f>
        <v>#VALUE!</v>
      </c>
      <c r="HA276" t="e">
        <f>ChangeLog!31:31-"AM:!/z."</f>
        <v>#VALUE!</v>
      </c>
      <c r="HB276" t="e">
        <f>ChangeLog!32:32-"AM:!/z/"</f>
        <v>#VALUE!</v>
      </c>
      <c r="HC276" t="e">
        <f>ChangeLog!33:33-"AM:!/z0"</f>
        <v>#VALUE!</v>
      </c>
      <c r="HD276" t="e">
        <f>ChangeLog!34:34-"AM:!/z1"</f>
        <v>#VALUE!</v>
      </c>
      <c r="HE276" t="e">
        <f>ChangeLog!35:35-"AM:!/z2"</f>
        <v>#VALUE!</v>
      </c>
      <c r="HF276" t="e">
        <f>ChangeLog!36:36-"AM:!/z3"</f>
        <v>#VALUE!</v>
      </c>
      <c r="HG276" t="e">
        <f>ChangeLog!37:37-"AM:!/z4"</f>
        <v>#VALUE!</v>
      </c>
      <c r="HH276" t="e">
        <f>ChangeLog!38:38-"AM:!/z5"</f>
        <v>#VALUE!</v>
      </c>
      <c r="HI276" t="e">
        <f>ChangeLog!39:39-"AM:!/z6"</f>
        <v>#VALUE!</v>
      </c>
      <c r="HJ276" t="e">
        <f>ChangeLog!40:40-"AM:!/z7"</f>
        <v>#VALUE!</v>
      </c>
      <c r="HK276" t="e">
        <f>ChangeLog!41:41-"AM:!/z8"</f>
        <v>#VALUE!</v>
      </c>
      <c r="HL276" t="e">
        <f>ChangeLog!42:42-"AM:!/z9"</f>
        <v>#VALUE!</v>
      </c>
      <c r="HM276" t="e">
        <f>ChangeLog!43:43-"AM:!/z:"</f>
        <v>#VALUE!</v>
      </c>
      <c r="HN276" t="e">
        <f>ChangeLog!44:44-"AM:!/z;"</f>
        <v>#VALUE!</v>
      </c>
      <c r="HO276" t="e">
        <f>ChangeLog!45:45-"AM:!/z&lt;"</f>
        <v>#VALUE!</v>
      </c>
      <c r="HP276" t="e">
        <f>ChangeLog!46:46-"AM:!/z="</f>
        <v>#VALUE!</v>
      </c>
      <c r="HQ276" t="e">
        <f>ChangeLog!47:47-"AM:!/z&gt;"</f>
        <v>#VALUE!</v>
      </c>
      <c r="HR276" t="e">
        <f>ChangeLog!48:48-"AM:!/z?"</f>
        <v>#VALUE!</v>
      </c>
      <c r="HS276" t="e">
        <f>ChangeLog!49:49-"AM:!/z@"</f>
        <v>#VALUE!</v>
      </c>
      <c r="HT276" t="e">
        <f>ChangeLog!50:50-"AM:!/zA"</f>
        <v>#VALUE!</v>
      </c>
      <c r="HU276" t="e">
        <f>ChangeLog!51:51-"AM:!/zB"</f>
        <v>#VALUE!</v>
      </c>
      <c r="HV276" t="e">
        <f>ChangeLog!52:52-"AM:!/zC"</f>
        <v>#VALUE!</v>
      </c>
      <c r="HW276" t="e">
        <f>ChangeLog!53:53-"AM:!/zD"</f>
        <v>#VALUE!</v>
      </c>
      <c r="HX276" t="e">
        <f>ChangeLog!54:54-"AM:!/zE"</f>
        <v>#VALUE!</v>
      </c>
      <c r="HY276" t="e">
        <f>ChangeLog!55:55-"AM:!/zF"</f>
        <v>#VALUE!</v>
      </c>
      <c r="HZ276" t="e">
        <f>ChangeLog!56:56-"AM:!/zG"</f>
        <v>#VALUE!</v>
      </c>
      <c r="IA276" t="e">
        <f>ChangeLog!57:57-"AM:!/zH"</f>
        <v>#VALUE!</v>
      </c>
      <c r="IB276" t="e">
        <f>ChangeLog!58:58-"AM:!/zI"</f>
        <v>#VALUE!</v>
      </c>
      <c r="IC276" t="e">
        <f>ChangeLog!59:59-"AM:!/zJ"</f>
        <v>#VALUE!</v>
      </c>
      <c r="ID276" t="e">
        <f>ChangeLog!60:60-"AM:!/zK"</f>
        <v>#VALUE!</v>
      </c>
      <c r="IE276" t="e">
        <f>ChangeLog!61:61-"AM:!/zL"</f>
        <v>#VALUE!</v>
      </c>
      <c r="IF276" t="e">
        <f>ChangeLog!62:62-"AM:!/zM"</f>
        <v>#VALUE!</v>
      </c>
      <c r="IG276" t="e">
        <f>ChangeLog!63:63-"AM:!/zN"</f>
        <v>#VALUE!</v>
      </c>
      <c r="IH276" t="e">
        <f>ChangeLog!64:64-"AM:!/zO"</f>
        <v>#VALUE!</v>
      </c>
      <c r="II276" t="e">
        <f>ChangeLog!65:65-"AM:!/zP"</f>
        <v>#VALUE!</v>
      </c>
      <c r="IJ276" t="e">
        <f>ChangeLog!66:66-"AM:!/zQ"</f>
        <v>#VALUE!</v>
      </c>
      <c r="IK276" t="e">
        <f>ChangeLog!67:67-"AM:!/zR"</f>
        <v>#VALUE!</v>
      </c>
      <c r="IL276" t="e">
        <f>ChangeLog!68:68-"AM:!/zS"</f>
        <v>#VALUE!</v>
      </c>
      <c r="IM276" t="e">
        <f>ChangeLog!69:69-"AM:!/zT"</f>
        <v>#VALUE!</v>
      </c>
      <c r="IN276" t="e">
        <f>ChangeLog!70:70-"AM:!/zU"</f>
        <v>#VALUE!</v>
      </c>
      <c r="IO276" t="e">
        <f>ChangeLog!71:71-"AM:!/zV"</f>
        <v>#VALUE!</v>
      </c>
      <c r="IP276" t="e">
        <f>ChangeLog!72:72-"AM:!/zW"</f>
        <v>#VALUE!</v>
      </c>
      <c r="IQ276" t="e">
        <f>ChangeLog!73:73-"AM:!/zX"</f>
        <v>#VALUE!</v>
      </c>
      <c r="IR276" t="e">
        <f>ChangeLog!74:74-"AM:!/zY"</f>
        <v>#VALUE!</v>
      </c>
      <c r="IS276" t="e">
        <f>ChangeLog!75:75-"AM:!/zZ"</f>
        <v>#VALUE!</v>
      </c>
      <c r="IT276" t="e">
        <f>ChangeLog!76:76-"AM:!/z["</f>
        <v>#VALUE!</v>
      </c>
      <c r="IU276" t="e">
        <f>ChangeLog!77:77-"AM:!/z\"</f>
        <v>#VALUE!</v>
      </c>
      <c r="IV276" t="e">
        <f>ChangeLog!78:78-"AM:!/z]"</f>
        <v>#VALUE!</v>
      </c>
    </row>
    <row r="277" spans="6:256">
      <c r="F277" t="e">
        <f>ChangeLog!79:79-"AM:!/z^"</f>
        <v>#VALUE!</v>
      </c>
      <c r="G277" t="e">
        <f>ChangeLog!80:80-"AM:!/z_"</f>
        <v>#VALUE!</v>
      </c>
      <c r="H277" t="e">
        <f>ChangeLog!81:81-"AM:!/z`"</f>
        <v>#VALUE!</v>
      </c>
      <c r="I277" t="e">
        <f>ChangeLog!82:82-"AM:!/za"</f>
        <v>#VALUE!</v>
      </c>
      <c r="J277" t="e">
        <f>ChangeLog!83:83-"AM:!/zb"</f>
        <v>#VALUE!</v>
      </c>
      <c r="K277" t="e">
        <f>ChangeLog!84:84-"AM:!/zc"</f>
        <v>#VALUE!</v>
      </c>
      <c r="L277" t="e">
        <f>ChangeLog!85:85-"AM:!/zd"</f>
        <v>#VALUE!</v>
      </c>
      <c r="M277" t="e">
        <f>ChangeLog!86:86-"AM:!/ze"</f>
        <v>#VALUE!</v>
      </c>
      <c r="N277" t="e">
        <f>ChangeLog!87:87-"AM:!/zf"</f>
        <v>#VALUE!</v>
      </c>
      <c r="O277" t="e">
        <f>ChangeLog!88:88-"AM:!/zg"</f>
        <v>#VALUE!</v>
      </c>
      <c r="P277" t="e">
        <f>ChangeLog!89:89-"AM:!/zh"</f>
        <v>#VALUE!</v>
      </c>
      <c r="Q277" t="e">
        <f>ChangeLog!90:90-"AM:!/zi"</f>
        <v>#VALUE!</v>
      </c>
      <c r="R277" t="e">
        <f>ChangeLog!91:91-"AM:!/zj"</f>
        <v>#VALUE!</v>
      </c>
      <c r="S277" t="e">
        <f>ChangeLog!92:92-"AM:!/zk"</f>
        <v>#VALUE!</v>
      </c>
      <c r="T277" t="e">
        <f>ChangeLog!93:93-"AM:!/zl"</f>
        <v>#VALUE!</v>
      </c>
      <c r="U277" t="e">
        <f>ChangeLog!94:94-"AM:!/zm"</f>
        <v>#VALUE!</v>
      </c>
      <c r="V277" t="e">
        <f>ChangeLog!95:95-"AM:!/zn"</f>
        <v>#VALUE!</v>
      </c>
      <c r="W277" t="e">
        <f>ChangeLog!96:96-"AM:!/zo"</f>
        <v>#VALUE!</v>
      </c>
      <c r="X277" t="e">
        <f>ChangeLog!97:97-"AM:!/zp"</f>
        <v>#VALUE!</v>
      </c>
      <c r="Y277" t="e">
        <f>ChangeLog!98:98-"AM:!/zq"</f>
        <v>#VALUE!</v>
      </c>
      <c r="Z277" t="e">
        <f>ChangeLog!99:99-"AM:!/zr"</f>
        <v>#VALUE!</v>
      </c>
      <c r="AA277" t="e">
        <f>ChangeLog!100:100-"AM:!/zs"</f>
        <v>#VALUE!</v>
      </c>
      <c r="AB277" t="e">
        <f>ChangeLog!101:101-"AM:!/zt"</f>
        <v>#VALUE!</v>
      </c>
      <c r="AC277" t="e">
        <f>ChangeLog!102:102-"AM:!/zu"</f>
        <v>#VALUE!</v>
      </c>
      <c r="AD277" t="e">
        <f>ChangeLog!103:103-"AM:!/zv"</f>
        <v>#VALUE!</v>
      </c>
      <c r="AE277" t="e">
        <f>ChangeLog!104:104-"AM:!/zw"</f>
        <v>#VALUE!</v>
      </c>
      <c r="AF277" t="e">
        <f>ChangeLog!105:105-"AM:!/zx"</f>
        <v>#VALUE!</v>
      </c>
      <c r="AG277" t="e">
        <f>ChangeLog!106:106-"AM:!/zy"</f>
        <v>#VALUE!</v>
      </c>
      <c r="AH277" t="e">
        <f>ChangeLog!107:107-"AM:!/zz"</f>
        <v>#VALUE!</v>
      </c>
      <c r="AI277" t="e">
        <f>ChangeLog!108:108-"AM:!/z{"</f>
        <v>#VALUE!</v>
      </c>
      <c r="AJ277" t="e">
        <f>ChangeLog!109:109-"AM:!/z|"</f>
        <v>#VALUE!</v>
      </c>
      <c r="AK277" t="e">
        <f>ChangeLog!110:110-"AM:!/z}"</f>
        <v>#VALUE!</v>
      </c>
      <c r="AL277" t="e">
        <f>ChangeLog!111:111-"AM:!/z~"</f>
        <v>#VALUE!</v>
      </c>
      <c r="AM277" t="e">
        <f>ChangeLog!112:112-"AM:!/{#"</f>
        <v>#VALUE!</v>
      </c>
      <c r="AN277" t="e">
        <f>ChangeLog!113:113-"AM:!/{$"</f>
        <v>#VALUE!</v>
      </c>
      <c r="AO277" t="e">
        <f>ChangeLog!114:114-"AM:!/{%"</f>
        <v>#VALUE!</v>
      </c>
      <c r="AP277" t="e">
        <f>ChangeLog!115:115-"AM:!/{&amp;"</f>
        <v>#VALUE!</v>
      </c>
      <c r="AQ277" t="e">
        <f>ChangeLog!116:116-"AM:!/{'"</f>
        <v>#VALUE!</v>
      </c>
      <c r="AR277" t="e">
        <f>ChangeLog!117:117-"AM:!/{("</f>
        <v>#VALUE!</v>
      </c>
      <c r="AS277" t="e">
        <f>ChangeLog!118:118-"AM:!/{)"</f>
        <v>#VALUE!</v>
      </c>
      <c r="AT277" t="e">
        <f>ChangeLog!119:119-"AM:!/{."</f>
        <v>#VALUE!</v>
      </c>
      <c r="AU277" t="e">
        <f>ChangeLog!120:120-"AM:!/{/"</f>
        <v>#VALUE!</v>
      </c>
      <c r="AV277" t="e">
        <f>ChangeLog!121:121-"AM:!/{0"</f>
        <v>#VALUE!</v>
      </c>
      <c r="AW277" t="e">
        <f>ChangeLog!122:122-"AM:!/{1"</f>
        <v>#VALUE!</v>
      </c>
      <c r="AX277" t="e">
        <f>ChangeLog!123:123-"AM:!/{2"</f>
        <v>#VALUE!</v>
      </c>
      <c r="AY277" t="e">
        <f>ChangeLog!124:124-"AM:!/{3"</f>
        <v>#VALUE!</v>
      </c>
      <c r="AZ277" t="e">
        <f>ChangeLog!125:125-"AM:!/{4"</f>
        <v>#VALUE!</v>
      </c>
      <c r="BA277" t="e">
        <f>ChangeLog!126:126-"AM:!/{5"</f>
        <v>#VALUE!</v>
      </c>
      <c r="BB277" t="e">
        <f>ChangeLog!127:127-"AM:!/{6"</f>
        <v>#VALUE!</v>
      </c>
      <c r="BC277" t="e">
        <f>ChangeLog!128:128-"AM:!/{7"</f>
        <v>#VALUE!</v>
      </c>
      <c r="BD277" t="e">
        <f>ChangeLog!129:129-"AM:!/{8"</f>
        <v>#VALUE!</v>
      </c>
      <c r="BE277" t="e">
        <f>ChangeLog!130:130-"AM:!/{9"</f>
        <v>#VALUE!</v>
      </c>
      <c r="BF277" t="e">
        <f>ChangeLog!131:131-"AM:!/{:"</f>
        <v>#VALUE!</v>
      </c>
      <c r="BG277" t="e">
        <f>ChangeLog!132:132-"AM:!/{;"</f>
        <v>#VALUE!</v>
      </c>
      <c r="BH277" t="e">
        <f>ChangeLog!133:133-"AM:!/{&lt;"</f>
        <v>#VALUE!</v>
      </c>
      <c r="BI277" t="e">
        <f>ChangeLog!134:134-"AM:!/{="</f>
        <v>#VALUE!</v>
      </c>
      <c r="BJ277" t="e">
        <f>ChangeLog!135:135-"AM:!/{&gt;"</f>
        <v>#VALUE!</v>
      </c>
      <c r="BK277" t="e">
        <f>ChangeLog!136:136-"AM:!/{?"</f>
        <v>#VALUE!</v>
      </c>
      <c r="BL277" t="e">
        <f>ChangeLog!137:137-"AM:!/{@"</f>
        <v>#VALUE!</v>
      </c>
      <c r="BM277" t="e">
        <f>ChangeLog!138:138-"AM:!/{A"</f>
        <v>#VALUE!</v>
      </c>
      <c r="BN277" t="e">
        <f>ChangeLog!139:139-"AM:!/{B"</f>
        <v>#VALUE!</v>
      </c>
      <c r="BO277" t="e">
        <f>ChangeLog!140:140-"AM:!/{C"</f>
        <v>#VALUE!</v>
      </c>
      <c r="BP277" t="e">
        <f>ChangeLog!141:141-"AM:!/{D"</f>
        <v>#VALUE!</v>
      </c>
      <c r="BQ277" t="e">
        <f>ChangeLog!142:142-"AM:!/{E"</f>
        <v>#VALUE!</v>
      </c>
      <c r="BR277" t="e">
        <f>ChangeLog!143:143-"AM:!/{F"</f>
        <v>#VALUE!</v>
      </c>
      <c r="BS277" t="e">
        <f>ChangeLog!144:144-"AM:!/{G"</f>
        <v>#VALUE!</v>
      </c>
      <c r="BT277" t="e">
        <f>ChangeLog!145:145-"AM:!/{H"</f>
        <v>#VALUE!</v>
      </c>
      <c r="BU277" t="e">
        <f>ChangeLog!146:146-"AM:!/{I"</f>
        <v>#VALUE!</v>
      </c>
      <c r="BV277" t="e">
        <f>ChangeLog!147:147-"AM:!/{J"</f>
        <v>#VALUE!</v>
      </c>
      <c r="BW277" t="e">
        <f>ChangeLog!148:148-"AM:!/{K"</f>
        <v>#VALUE!</v>
      </c>
      <c r="BX277" t="e">
        <f>ChangeLog!149:149-"AM:!/{L"</f>
        <v>#VALUE!</v>
      </c>
      <c r="BY277" t="e">
        <f>ChangeLog!150:150-"AM:!/{M"</f>
        <v>#VALUE!</v>
      </c>
      <c r="BZ277" t="e">
        <f>ChangeLog!151:151-"AM:!/{N"</f>
        <v>#VALUE!</v>
      </c>
      <c r="CA277" t="e">
        <f>ChangeLog!152:152-"AM:!/{O"</f>
        <v>#VALUE!</v>
      </c>
      <c r="CB277" t="e">
        <f>ChangeLog!153:153-"AM:!/{P"</f>
        <v>#VALUE!</v>
      </c>
      <c r="CC277" t="e">
        <f>ChangeLog!154:154-"AM:!/{Q"</f>
        <v>#VALUE!</v>
      </c>
      <c r="CD277" t="e">
        <f>ChangeLog!155:155-"AM:!/{R"</f>
        <v>#VALUE!</v>
      </c>
      <c r="CE277" t="e">
        <f>ChangeLog!156:156-"AM:!/{S"</f>
        <v>#VALUE!</v>
      </c>
      <c r="CF277" t="e">
        <f>ChangeLog!157:157-"AM:!/{T"</f>
        <v>#VALUE!</v>
      </c>
      <c r="CG277" t="e">
        <f>ChangeLog!158:158-"AM:!/{U"</f>
        <v>#VALUE!</v>
      </c>
      <c r="CH277" t="e">
        <f>ChangeLog!159:159-"AM:!/{V"</f>
        <v>#VALUE!</v>
      </c>
      <c r="CI277" t="e">
        <f>ChangeLog!160:160-"AM:!/{W"</f>
        <v>#VALUE!</v>
      </c>
      <c r="CJ277" t="e">
        <f>ChangeLog!161:161-"AM:!/{X"</f>
        <v>#VALUE!</v>
      </c>
      <c r="CK277" t="e">
        <f>ChangeLog!162:162-"AM:!/{Y"</f>
        <v>#VALUE!</v>
      </c>
      <c r="CL277" t="e">
        <f>ChangeLog!163:163-"AM:!/{Z"</f>
        <v>#VALUE!</v>
      </c>
      <c r="CM277" t="e">
        <f>ChangeLog!164:164-"AM:!/{["</f>
        <v>#VALUE!</v>
      </c>
      <c r="CN277" t="e">
        <f>ChangeLog!165:165-"AM:!/{\"</f>
        <v>#VALUE!</v>
      </c>
      <c r="CO277" t="e">
        <f>ChangeLog!166:166-"AM:!/{]"</f>
        <v>#VALUE!</v>
      </c>
      <c r="CP277" t="e">
        <f>ChangeLog!167:167-"AM:!/{^"</f>
        <v>#VALUE!</v>
      </c>
      <c r="CQ277" t="e">
        <f>ChangeLog!168:168-"AM:!/{_"</f>
        <v>#VALUE!</v>
      </c>
      <c r="CR277" t="e">
        <f>ChangeLog!169:169-"AM:!/{`"</f>
        <v>#VALUE!</v>
      </c>
      <c r="CS277" t="e">
        <f>ChangeLog!170:170-"AM:!/{a"</f>
        <v>#VALUE!</v>
      </c>
      <c r="CT277" t="e">
        <f>ChangeLog!171:171-"AM:!/{b"</f>
        <v>#VALUE!</v>
      </c>
      <c r="CU277" t="e">
        <f>ChangeLog!172:172-"AM:!/{c"</f>
        <v>#VALUE!</v>
      </c>
      <c r="CV277" t="e">
        <f>ChangeLog!173:173-"AM:!/{d"</f>
        <v>#VALUE!</v>
      </c>
      <c r="CW277" t="e">
        <f>ChangeLog!174:174-"AM:!/{e"</f>
        <v>#VALUE!</v>
      </c>
      <c r="CX277" t="e">
        <f>ChangeLog!175:175-"AM:!/{f"</f>
        <v>#VALUE!</v>
      </c>
      <c r="CY277" t="e">
        <f>ChangeLog!176:176-"AM:!/{g"</f>
        <v>#VALUE!</v>
      </c>
      <c r="CZ277" t="e">
        <f>ChangeLog!177:177-"AM:!/{h"</f>
        <v>#VALUE!</v>
      </c>
      <c r="DA277" t="e">
        <f>ChangeLog!178:178-"AM:!/{i"</f>
        <v>#VALUE!</v>
      </c>
      <c r="DB277" t="e">
        <f>ChangeLog!179:179-"AM:!/{j"</f>
        <v>#VALUE!</v>
      </c>
      <c r="DC277" t="e">
        <f>ChangeLog!180:180-"AM:!/{k"</f>
        <v>#VALUE!</v>
      </c>
      <c r="DD277" t="e">
        <f>ChangeLog!181:181-"AM:!/{l"</f>
        <v>#VALUE!</v>
      </c>
      <c r="DE277" t="e">
        <f>ChangeLog!182:182-"AM:!/{m"</f>
        <v>#VALUE!</v>
      </c>
      <c r="DF277" t="e">
        <f>ChangeLog!183:183-"AM:!/{n"</f>
        <v>#VALUE!</v>
      </c>
      <c r="DG277" t="e">
        <f>ChangeLog!184:184-"AM:!/{o"</f>
        <v>#VALUE!</v>
      </c>
      <c r="DH277" t="e">
        <f>ChangeLog!185:185-"AM:!/{p"</f>
        <v>#VALUE!</v>
      </c>
      <c r="DI277" t="e">
        <f>ChangeLog!186:186-"AM:!/{q"</f>
        <v>#VALUE!</v>
      </c>
      <c r="DJ277" t="e">
        <f>ChangeLog!187:187-"AM:!/{r"</f>
        <v>#VALUE!</v>
      </c>
      <c r="DK277" t="e">
        <f>ChangeLog!188:188-"AM:!/{s"</f>
        <v>#VALUE!</v>
      </c>
      <c r="DL277" t="e">
        <f>ChangeLog!189:189-"AM:!/{t"</f>
        <v>#VALUE!</v>
      </c>
      <c r="DM277" t="e">
        <f>ChangeLog!190:190-"AM:!/{u"</f>
        <v>#VALUE!</v>
      </c>
      <c r="DN277" t="e">
        <f>ChangeLog!191:191-"AM:!/{v"</f>
        <v>#VALUE!</v>
      </c>
      <c r="DO277" t="e">
        <f>ChangeLog!192:192-"AM:!/{w"</f>
        <v>#VALUE!</v>
      </c>
      <c r="DP277" t="e">
        <f>ChangeLog!193:193-"AM:!/{x"</f>
        <v>#VALUE!</v>
      </c>
      <c r="DQ277" t="e">
        <f>ChangeLog!194:194-"AM:!/{y"</f>
        <v>#VALUE!</v>
      </c>
      <c r="DR277" t="e">
        <f>ChangeLog!195:195-"AM:!/{z"</f>
        <v>#VALUE!</v>
      </c>
      <c r="DS277" t="e">
        <f>ChangeLog!196:196-"AM:!/{{"</f>
        <v>#VALUE!</v>
      </c>
      <c r="DT277" t="e">
        <f>ChangeLog!197:197-"AM:!/{|"</f>
        <v>#VALUE!</v>
      </c>
      <c r="DU277" t="e">
        <f>ChangeLog!198:198-"AM:!/{}"</f>
        <v>#VALUE!</v>
      </c>
      <c r="DV277" t="e">
        <f>ChangeLog!199:199-"AM:!/{~"</f>
        <v>#VALUE!</v>
      </c>
      <c r="DW277" t="e">
        <f>ChangeLog!200:200-"AM:!/|#"</f>
        <v>#VALUE!</v>
      </c>
      <c r="DX277" t="e">
        <f>ChangeLog!201:201-"AM:!/|$"</f>
        <v>#VALUE!</v>
      </c>
      <c r="DY277" t="e">
        <f>ChangeLog!202:202-"AM:!/|%"</f>
        <v>#VALUE!</v>
      </c>
      <c r="DZ277" t="e">
        <f>ChangeLog!203:203-"AM:!/|&amp;"</f>
        <v>#VALUE!</v>
      </c>
      <c r="EA277" t="e">
        <f>ChangeLog!204:204-"AM:!/|'"</f>
        <v>#VALUE!</v>
      </c>
      <c r="EB277" t="e">
        <f>ChangeLog!205:205-"AM:!/|("</f>
        <v>#VALUE!</v>
      </c>
      <c r="EC277" t="e">
        <f>ChangeLog!206:206-"AM:!/|)"</f>
        <v>#VALUE!</v>
      </c>
      <c r="ED277" t="e">
        <f>ChangeLog!207:207-"AM:!/|."</f>
        <v>#VALUE!</v>
      </c>
      <c r="EE277" t="e">
        <f>ChangeLog!208:208-"AM:!/|/"</f>
        <v>#VALUE!</v>
      </c>
      <c r="EF277" t="e">
        <f>ChangeLog!209:209-"AM:!/|0"</f>
        <v>#VALUE!</v>
      </c>
      <c r="EG277" t="e">
        <f>ChangeLog!210:210-"AM:!/|1"</f>
        <v>#VALUE!</v>
      </c>
      <c r="EH277" t="e">
        <f>ChangeLog!211:211-"AM:!/|2"</f>
        <v>#VALUE!</v>
      </c>
      <c r="EI277" t="e">
        <f>ChangeLog!212:212-"AM:!/|3"</f>
        <v>#VALUE!</v>
      </c>
      <c r="EJ277" t="e">
        <f>ChangeLog!213:213-"AM:!/|4"</f>
        <v>#VALUE!</v>
      </c>
      <c r="EK277" t="e">
        <f>ChangeLog!214:214-"AM:!/|5"</f>
        <v>#VALUE!</v>
      </c>
      <c r="EL277" t="e">
        <f>ChangeLog!215:215-"AM:!/|6"</f>
        <v>#VALUE!</v>
      </c>
      <c r="EM277" t="e">
        <f>ChangeLog!216:216-"AM:!/|7"</f>
        <v>#VALUE!</v>
      </c>
      <c r="EN277" t="e">
        <f>ChangeLog!217:217-"AM:!/|8"</f>
        <v>#VALUE!</v>
      </c>
      <c r="EO277" t="e">
        <f>ChangeLog!218:218-"AM:!/|9"</f>
        <v>#VALUE!</v>
      </c>
      <c r="EP277" t="e">
        <f>ChangeLog!219:219-"AM:!/|:"</f>
        <v>#VALUE!</v>
      </c>
      <c r="EQ277" t="e">
        <f>ChangeLog!220:220-"AM:!/|;"</f>
        <v>#VALUE!</v>
      </c>
      <c r="ER277" t="e">
        <f>ChangeLog!221:221-"AM:!/|&lt;"</f>
        <v>#VALUE!</v>
      </c>
      <c r="ES277" t="e">
        <f>ChangeLog!222:222-"AM:!/|="</f>
        <v>#VALUE!</v>
      </c>
      <c r="ET277" t="e">
        <f>ChangeLog!223:223-"AM:!/|&gt;"</f>
        <v>#VALUE!</v>
      </c>
      <c r="EU277" t="e">
        <f>ChangeLog!224:224-"AM:!/|?"</f>
        <v>#VALUE!</v>
      </c>
      <c r="EV277" t="e">
        <f>ChangeLog!225:225-"AM:!/|@"</f>
        <v>#VALUE!</v>
      </c>
      <c r="EW277" t="e">
        <f>ChangeLog!226:226-"AM:!/|A"</f>
        <v>#VALUE!</v>
      </c>
      <c r="EX277" t="e">
        <f>ChangeLog!227:227-"AM:!/|B"</f>
        <v>#VALUE!</v>
      </c>
      <c r="EY277" t="e">
        <f>ChangeLog!228:228-"AM:!/|C"</f>
        <v>#VALUE!</v>
      </c>
      <c r="EZ277" t="e">
        <f>ChangeLog!229:229-"AM:!/|D"</f>
        <v>#VALUE!</v>
      </c>
      <c r="FA277" t="e">
        <f>ChangeLog!230:230-"AM:!/|E"</f>
        <v>#VALUE!</v>
      </c>
      <c r="FB277" t="e">
        <f>ChangeLog!231:231-"AM:!/|F"</f>
        <v>#VALUE!</v>
      </c>
      <c r="FC277" t="e">
        <f>ChangeLog!232:232-"AM:!/|G"</f>
        <v>#VALUE!</v>
      </c>
      <c r="FD277" t="e">
        <f>ChangeLog!233:233-"AM:!/|H"</f>
        <v>#VALUE!</v>
      </c>
      <c r="FE277" t="e">
        <f>ChangeLog!234:234-"AM:!/|I"</f>
        <v>#VALUE!</v>
      </c>
      <c r="FF277" t="e">
        <f>ChangeLog!235:235-"AM:!/|J"</f>
        <v>#VALUE!</v>
      </c>
      <c r="FG277" t="e">
        <f>ChangeLog!236:236-"AM:!/|K"</f>
        <v>#VALUE!</v>
      </c>
      <c r="FH277" t="e">
        <f>ChangeLog!237:237-"AM:!/|L"</f>
        <v>#VALUE!</v>
      </c>
      <c r="FI277" t="e">
        <f>ChangeLog!238:238-"AM:!/|M"</f>
        <v>#VALUE!</v>
      </c>
      <c r="FJ277" t="e">
        <f>ChangeLog!239:239-"AM:!/|N"</f>
        <v>#VALUE!</v>
      </c>
      <c r="FK277" t="e">
        <f>ChangeLog!240:240-"AM:!/|O"</f>
        <v>#VALUE!</v>
      </c>
      <c r="FL277" t="e">
        <f>ChangeLog!241:241-"AM:!/|P"</f>
        <v>#VALUE!</v>
      </c>
      <c r="FM277" t="e">
        <f>ChangeLog!242:242-"AM:!/|Q"</f>
        <v>#VALUE!</v>
      </c>
      <c r="FN277" t="e">
        <f>ChangeLog!243:243-"AM:!/|R"</f>
        <v>#VALUE!</v>
      </c>
      <c r="FO277" t="e">
        <f>ChangeLog!244:244-"AM:!/|S"</f>
        <v>#VALUE!</v>
      </c>
      <c r="FP277" t="e">
        <f>ChangeLog!245:245-"AM:!/|T"</f>
        <v>#VALUE!</v>
      </c>
      <c r="FQ277" t="e">
        <f>ChangeLog!246:246-"AM:!/|U"</f>
        <v>#VALUE!</v>
      </c>
      <c r="FR277" t="e">
        <f>ChangeLog!247:247-"AM:!/|V"</f>
        <v>#VALUE!</v>
      </c>
      <c r="FS277" t="e">
        <f>ChangeLog!248:248-"AM:!/|W"</f>
        <v>#VALUE!</v>
      </c>
      <c r="FT277" t="e">
        <f>ChangeLog!249:249-"AM:!/|X"</f>
        <v>#VALUE!</v>
      </c>
      <c r="FU277" t="e">
        <f>ChangeLog!250:250-"AM:!/|Y"</f>
        <v>#VALUE!</v>
      </c>
      <c r="FV277" t="e">
        <f>ChangeLog!251:251-"AM:!/|Z"</f>
        <v>#VALUE!</v>
      </c>
      <c r="FW277" t="e">
        <f>ChangeLog!252:252-"AM:!/|["</f>
        <v>#VALUE!</v>
      </c>
      <c r="FX277" t="e">
        <f>ChangeLog!253:253-"AM:!/|\"</f>
        <v>#VALUE!</v>
      </c>
      <c r="FY277" t="e">
        <f>ChangeLog!254:254-"AM:!/|]"</f>
        <v>#VALUE!</v>
      </c>
      <c r="FZ277" t="e">
        <f>ChangeLog!255:255-"AM:!/|^"</f>
        <v>#VALUE!</v>
      </c>
      <c r="GA277" t="e">
        <f>ChangeLog!256:256-"AM:!/|_"</f>
        <v>#VALUE!</v>
      </c>
      <c r="GB277" t="e">
        <f>ChangeLog!257:257-"AM:!/|`"</f>
        <v>#VALUE!</v>
      </c>
      <c r="GC277" t="e">
        <f>ChangeLog!258:258-"AM:!/|a"</f>
        <v>#VALUE!</v>
      </c>
      <c r="GD277" t="e">
        <f>ChangeLog!259:259-"AM:!/|b"</f>
        <v>#VALUE!</v>
      </c>
      <c r="GE277" t="e">
        <f>ChangeLog!260:260-"AM:!/|c"</f>
        <v>#VALUE!</v>
      </c>
      <c r="GF277" t="e">
        <f>ChangeLog!261:261-"AM:!/|d"</f>
        <v>#VALUE!</v>
      </c>
      <c r="GG277" t="e">
        <f>ChangeLog!262:262-"AM:!/|e"</f>
        <v>#VALUE!</v>
      </c>
      <c r="GH277" t="e">
        <f>ChangeLog!263:263-"AM:!/|f"</f>
        <v>#VALUE!</v>
      </c>
      <c r="GI277" t="e">
        <f>ChangeLog!264:264-"AM:!/|g"</f>
        <v>#VALUE!</v>
      </c>
      <c r="GJ277" t="e">
        <f>ChangeLog!265:265-"AM:!/|h"</f>
        <v>#VALUE!</v>
      </c>
      <c r="GK277" t="e">
        <f>ChangeLog!266:266-"AM:!/|i"</f>
        <v>#VALUE!</v>
      </c>
      <c r="GL277" t="e">
        <f>ChangeLog!267:267-"AM:!/|j"</f>
        <v>#VALUE!</v>
      </c>
      <c r="GM277" t="e">
        <f>ChangeLog!268:268-"AM:!/|k"</f>
        <v>#VALUE!</v>
      </c>
      <c r="GN277" t="e">
        <f>ChangeLog!269:269-"AM:!/|l"</f>
        <v>#VALUE!</v>
      </c>
      <c r="GO277" t="e">
        <f>ChangeLog!270:270-"AM:!/|m"</f>
        <v>#VALUE!</v>
      </c>
      <c r="GP277" t="e">
        <f>ChangeLog!271:271-"AM:!/|n"</f>
        <v>#VALUE!</v>
      </c>
      <c r="GQ277" t="e">
        <f>ChangeLog!272:272-"AM:!/|o"</f>
        <v>#VALUE!</v>
      </c>
      <c r="GR277" t="e">
        <f>ChangeLog!273:273-"AM:!/|p"</f>
        <v>#VALUE!</v>
      </c>
      <c r="GS277" t="e">
        <f>ChangeLog!274:274-"AM:!/|q"</f>
        <v>#VALUE!</v>
      </c>
      <c r="GT277" t="e">
        <f>ChangeLog!275:275-"AM:!/|r"</f>
        <v>#VALUE!</v>
      </c>
      <c r="GU277" t="e">
        <f>ChangeLog!276:276-"AM:!/|s"</f>
        <v>#VALUE!</v>
      </c>
      <c r="GV277" t="e">
        <f>ChangeLog!277:277-"AM:!/|t"</f>
        <v>#VALUE!</v>
      </c>
      <c r="GW277" t="e">
        <f>ChangeLog!278:278-"AM:!/|u"</f>
        <v>#VALUE!</v>
      </c>
      <c r="GX277" t="e">
        <f>ChangeLog!279:279-"AM:!/|v"</f>
        <v>#VALUE!</v>
      </c>
      <c r="GY277" t="e">
        <f>ChangeLog!280:280-"AM:!/|w"</f>
        <v>#VALUE!</v>
      </c>
      <c r="GZ277" t="e">
        <f>ChangeLog!281:281-"AM:!/|x"</f>
        <v>#VALUE!</v>
      </c>
      <c r="HA277" t="e">
        <f>ChangeLog!282:282-"AM:!/|y"</f>
        <v>#VALUE!</v>
      </c>
      <c r="HB277" t="e">
        <f>ChangeLog!283:283-"AM:!/|z"</f>
        <v>#VALUE!</v>
      </c>
      <c r="HC277" t="e">
        <f>ChangeLog!284:284-"AM:!/|{"</f>
        <v>#VALUE!</v>
      </c>
      <c r="HD277" t="e">
        <f>ChangeLog!285:285-"AM:!/||"</f>
        <v>#VALUE!</v>
      </c>
      <c r="HE277" t="e">
        <f>ChangeLog!286:286-"AM:!/|}"</f>
        <v>#VALUE!</v>
      </c>
      <c r="HF277" t="e">
        <f>ChangeLog!287:287-"AM:!/|~"</f>
        <v>#VALUE!</v>
      </c>
      <c r="HG277" t="e">
        <f>ChangeLog!288:288-"AM:!/}#"</f>
        <v>#VALUE!</v>
      </c>
      <c r="HH277" t="e">
        <f>ChangeLog!289:289-"AM:!/}$"</f>
        <v>#VALUE!</v>
      </c>
      <c r="HI277" t="e">
        <f>ChangeLog!290:290-"AM:!/}%"</f>
        <v>#VALUE!</v>
      </c>
      <c r="HJ277" t="e">
        <f>ChangeLog!291:291-"AM:!/}&amp;"</f>
        <v>#VALUE!</v>
      </c>
      <c r="HK277" t="e">
        <f>ChangeLog!292:292-"AM:!/}'"</f>
        <v>#VALUE!</v>
      </c>
      <c r="HL277" t="e">
        <f>ChangeLog!293:293-"AM:!/}("</f>
        <v>#VALUE!</v>
      </c>
      <c r="HM277" t="e">
        <f>ChangeLog!294:294-"AM:!/})"</f>
        <v>#VALUE!</v>
      </c>
      <c r="HN277" t="e">
        <f>ChangeLog!295:295-"AM:!/}."</f>
        <v>#VALUE!</v>
      </c>
      <c r="HO277" t="e">
        <f>ChangeLog!296:296-"AM:!/}/"</f>
        <v>#VALUE!</v>
      </c>
      <c r="HP277" t="e">
        <f>ChangeLog!297:297-"AM:!/}0"</f>
        <v>#VALUE!</v>
      </c>
      <c r="HQ277" t="e">
        <f>ChangeLog!298:298-"AM:!/}1"</f>
        <v>#VALUE!</v>
      </c>
      <c r="HR277" t="e">
        <f>ChangeLog!299:299-"AM:!/}2"</f>
        <v>#VALUE!</v>
      </c>
      <c r="HS277" t="e">
        <f>ChangeLog!300:300-"AM:!/}3"</f>
        <v>#VALUE!</v>
      </c>
      <c r="HT277" t="e">
        <f>ChangeLog!301:301-"AM:!/}4"</f>
        <v>#VALUE!</v>
      </c>
      <c r="HU277" t="e">
        <f>ChangeLog!302:302-"AM:!/}5"</f>
        <v>#VALUE!</v>
      </c>
      <c r="HV277" t="e">
        <f>ChangeLog!303:303-"AM:!/}6"</f>
        <v>#VALUE!</v>
      </c>
      <c r="HW277" t="e">
        <f>ChangeLog!304:304-"AM:!/}7"</f>
        <v>#VALUE!</v>
      </c>
      <c r="HX277" t="e">
        <f>ChangeLog!305:305-"AM:!/}8"</f>
        <v>#VALUE!</v>
      </c>
      <c r="HY277" t="e">
        <f>ChangeLog!306:306-"AM:!/}9"</f>
        <v>#VALUE!</v>
      </c>
      <c r="HZ277" t="e">
        <f>ChangeLog!307:307-"AM:!/}:"</f>
        <v>#VALUE!</v>
      </c>
      <c r="IA277" t="e">
        <f>ChangeLog!308:308-"AM:!/};"</f>
        <v>#VALUE!</v>
      </c>
      <c r="IB277" t="e">
        <f>ChangeLog!309:309-"AM:!/}&lt;"</f>
        <v>#VALUE!</v>
      </c>
      <c r="IC277" t="e">
        <f>ChangeLog!310:310-"AM:!/}="</f>
        <v>#VALUE!</v>
      </c>
      <c r="ID277" t="e">
        <f>ChangeLog!311:311-"AM:!/}&gt;"</f>
        <v>#VALUE!</v>
      </c>
      <c r="IE277" t="e">
        <f>ChangeLog!312:312-"AM:!/}?"</f>
        <v>#VALUE!</v>
      </c>
      <c r="IF277" t="e">
        <f>ChangeLog!313:313-"AM:!/}@"</f>
        <v>#VALUE!</v>
      </c>
      <c r="IG277" t="e">
        <f>ChangeLog!314:314-"AM:!/}A"</f>
        <v>#VALUE!</v>
      </c>
      <c r="IH277" t="e">
        <f>ChangeLog!315:315-"AM:!/}B"</f>
        <v>#VALUE!</v>
      </c>
      <c r="II277" t="e">
        <f>ChangeLog!316:316-"AM:!/}C"</f>
        <v>#VALUE!</v>
      </c>
      <c r="IJ277" t="e">
        <f>ChangeLog!317:317-"AM:!/}D"</f>
        <v>#VALUE!</v>
      </c>
      <c r="IK277" t="e">
        <f>ChangeLog!318:318-"AM:!/}E"</f>
        <v>#VALUE!</v>
      </c>
      <c r="IL277" t="e">
        <f>ChangeLog!319:319-"AM:!/}F"</f>
        <v>#VALUE!</v>
      </c>
      <c r="IM277" t="e">
        <f>ChangeLog!320:320-"AM:!/}G"</f>
        <v>#VALUE!</v>
      </c>
      <c r="IN277" t="e">
        <f>ChangeLog!321:321-"AM:!/}H"</f>
        <v>#VALUE!</v>
      </c>
      <c r="IO277" t="e">
        <f>ChangeLog!322:322-"AM:!/}I"</f>
        <v>#VALUE!</v>
      </c>
      <c r="IP277" t="e">
        <f>ChangeLog!323:323-"AM:!/}J"</f>
        <v>#VALUE!</v>
      </c>
      <c r="IQ277" t="e">
        <f>ChangeLog!324:324-"AM:!/}K"</f>
        <v>#VALUE!</v>
      </c>
      <c r="IR277" t="e">
        <f>ChangeLog!325:325-"AM:!/}L"</f>
        <v>#VALUE!</v>
      </c>
      <c r="IS277" t="e">
        <f>ChangeLog!326:326-"AM:!/}M"</f>
        <v>#VALUE!</v>
      </c>
      <c r="IT277" t="e">
        <f>ChangeLog!327:327-"AM:!/}N"</f>
        <v>#VALUE!</v>
      </c>
      <c r="IU277" t="e">
        <f>ChangeLog!328:328-"AM:!/}O"</f>
        <v>#VALUE!</v>
      </c>
      <c r="IV277" t="e">
        <f>ChangeLog!329:329-"AM:!/}P"</f>
        <v>#VALUE!</v>
      </c>
    </row>
    <row r="278" spans="6:256">
      <c r="F278" t="e">
        <f>ChangeLog!330:330-"AM:!/}Q"</f>
        <v>#VALUE!</v>
      </c>
      <c r="G278" t="e">
        <f>ChangeLog!331:331-"AM:!/}R"</f>
        <v>#VALUE!</v>
      </c>
      <c r="H278" t="e">
        <f>ChangeLog!332:332-"AM:!/}S"</f>
        <v>#VALUE!</v>
      </c>
      <c r="I278" t="e">
        <f>ChangeLog!333:333-"AM:!/}T"</f>
        <v>#VALUE!</v>
      </c>
      <c r="J278" t="e">
        <f>ChangeLog!334:334-"AM:!/}U"</f>
        <v>#VALUE!</v>
      </c>
      <c r="K278" t="e">
        <f>ChangeLog!335:335-"AM:!/}V"</f>
        <v>#VALUE!</v>
      </c>
      <c r="L278" t="e">
        <f>ChangeLog!336:336-"AM:!/}W"</f>
        <v>#VALUE!</v>
      </c>
      <c r="M278" t="e">
        <f>ChangeLog!337:337-"AM:!/}X"</f>
        <v>#VALUE!</v>
      </c>
      <c r="N278" t="e">
        <f>ChangeLog!338:338-"AM:!/}Y"</f>
        <v>#VALUE!</v>
      </c>
      <c r="O278" t="e">
        <f>ChangeLog!339:339-"AM:!/}Z"</f>
        <v>#VALUE!</v>
      </c>
      <c r="P278" t="e">
        <f>ChangeLog!340:340-"AM:!/}["</f>
        <v>#VALUE!</v>
      </c>
      <c r="Q278" t="e">
        <f>ChangeLog!341:341-"AM:!/}\"</f>
        <v>#VALUE!</v>
      </c>
      <c r="R278" t="e">
        <f>ChangeLog!342:342-"AM:!/}]"</f>
        <v>#VALUE!</v>
      </c>
      <c r="S278" t="e">
        <f>ChangeLog!343:343-"AM:!/}^"</f>
        <v>#VALUE!</v>
      </c>
      <c r="T278" t="e">
        <f>ChangeLog!344:344-"AM:!/}_"</f>
        <v>#VALUE!</v>
      </c>
      <c r="U278" t="e">
        <f>ChangeLog!345:345-"AM:!/}`"</f>
        <v>#VALUE!</v>
      </c>
      <c r="V278" t="e">
        <f>ChangeLog!346:346-"AM:!/}a"</f>
        <v>#VALUE!</v>
      </c>
      <c r="W278" t="e">
        <f>ChangeLog!347:347-"AM:!/}b"</f>
        <v>#VALUE!</v>
      </c>
      <c r="X278" t="e">
        <f>ChangeLog!348:348-"AM:!/}c"</f>
        <v>#VALUE!</v>
      </c>
      <c r="Y278" t="e">
        <f>ChangeLog!349:349-"AM:!/}d"</f>
        <v>#VALUE!</v>
      </c>
      <c r="Z278" t="e">
        <f>ChangeLog!350:350-"AM:!/}e"</f>
        <v>#VALUE!</v>
      </c>
      <c r="AA278" t="e">
        <f>ChangeLog!A1+"AM:!/}f"</f>
        <v>#VALUE!</v>
      </c>
      <c r="AB278" t="e">
        <f>ChangeLog!B1+"AM:!/}g"</f>
        <v>#VALUE!</v>
      </c>
      <c r="AC278" t="e">
        <f>ChangeLog!C1+"AM:!/}h"</f>
        <v>#VALUE!</v>
      </c>
      <c r="AD278" t="e">
        <f>ChangeLog!D1+"AM:!/}i"</f>
        <v>#VALUE!</v>
      </c>
      <c r="AE278" t="e">
        <f>ChangeLog!E1+"AM:!/}j"</f>
        <v>#VALUE!</v>
      </c>
      <c r="AF278" t="e">
        <f>ChangeLog!F1+"AM:!/}k"</f>
        <v>#VALUE!</v>
      </c>
      <c r="AG278" t="e">
        <f>ChangeLog!G1+"AM:!/}l"</f>
        <v>#VALUE!</v>
      </c>
      <c r="AH278" t="e">
        <f>ChangeLog!H1+"AM:!/}m"</f>
        <v>#VALUE!</v>
      </c>
      <c r="AI278" t="e">
        <f>ChangeLog!I1+"AM:!/}n"</f>
        <v>#VALUE!</v>
      </c>
      <c r="AJ278" t="e">
        <f>ChangeLog!J1+"AM:!/}o"</f>
        <v>#VALUE!</v>
      </c>
      <c r="AK278" t="e">
        <f>ChangeLog!K1+"AM:!/}p"</f>
        <v>#VALUE!</v>
      </c>
      <c r="AL278" t="e">
        <f>ChangeLog!L1+"AM:!/}q"</f>
        <v>#VALUE!</v>
      </c>
      <c r="AM278" t="e">
        <f>ChangeLog!M1+"AM:!/}r"</f>
        <v>#VALUE!</v>
      </c>
      <c r="AN278" t="e">
        <f>ChangeLog!N1+"AM:!/}s"</f>
        <v>#VALUE!</v>
      </c>
      <c r="AO278" t="e">
        <f>ChangeLog!O1+"AM:!/}t"</f>
        <v>#VALUE!</v>
      </c>
      <c r="AP278" t="e">
        <f>ChangeLog!P1+"AM:!/}u"</f>
        <v>#VALUE!</v>
      </c>
      <c r="AQ278" t="e">
        <f>ChangeLog!Q1+"AM:!/}v"</f>
        <v>#VALUE!</v>
      </c>
      <c r="AR278" t="e">
        <f>ChangeLog!R1+"AM:!/}w"</f>
        <v>#VALUE!</v>
      </c>
      <c r="AS278" t="e">
        <f>ChangeLog!S1+"AM:!/}x"</f>
        <v>#VALUE!</v>
      </c>
      <c r="AT278" t="e">
        <f>ChangeLog!T1+"AM:!/}y"</f>
        <v>#VALUE!</v>
      </c>
      <c r="AU278" t="e">
        <f>ChangeLog!A2+"AM:!/}z"</f>
        <v>#VALUE!</v>
      </c>
      <c r="AV278" t="e">
        <f>ChangeLog!B2+"AM:!/}{"</f>
        <v>#VALUE!</v>
      </c>
      <c r="AW278" t="e">
        <f>ChangeLog!C2+"AM:!/}|"</f>
        <v>#VALUE!</v>
      </c>
      <c r="AX278" t="e">
        <f>ChangeLog!D2+"AM:!/}}"</f>
        <v>#VALUE!</v>
      </c>
      <c r="AY278" t="e">
        <f>ChangeLog!E2+"AM:!/}~"</f>
        <v>#VALUE!</v>
      </c>
      <c r="AZ278" t="e">
        <f>ChangeLog!F2+"AM:!/~#"</f>
        <v>#VALUE!</v>
      </c>
      <c r="BA278" t="e">
        <f>ChangeLog!H2+"AM:!/~$"</f>
        <v>#VALUE!</v>
      </c>
      <c r="BB278" t="e">
        <f>ChangeLog!I2+"AM:!/~%"</f>
        <v>#VALUE!</v>
      </c>
      <c r="BC278" t="e">
        <f>ChangeLog!J2+"AM:!/~&amp;"</f>
        <v>#VALUE!</v>
      </c>
      <c r="BD278" t="e">
        <f>ChangeLog!K2+"AM:!/~'"</f>
        <v>#VALUE!</v>
      </c>
      <c r="BE278" t="e">
        <f>ChangeLog!L2+"AM:!/~("</f>
        <v>#VALUE!</v>
      </c>
      <c r="BF278" t="e">
        <f>ChangeLog!M2+"AM:!/~)"</f>
        <v>#VALUE!</v>
      </c>
      <c r="BG278" t="e">
        <f>ChangeLog!N2+"AM:!/~."</f>
        <v>#VALUE!</v>
      </c>
      <c r="BH278" t="e">
        <f>ChangeLog!O2+"AM:!/~/"</f>
        <v>#VALUE!</v>
      </c>
      <c r="BI278" t="e">
        <f>ChangeLog!P2+"AM:!/~0"</f>
        <v>#VALUE!</v>
      </c>
      <c r="BJ278" t="e">
        <f>ChangeLog!Q2+"AM:!/~1"</f>
        <v>#VALUE!</v>
      </c>
      <c r="BK278" t="e">
        <f>ChangeLog!R2+"AM:!/~2"</f>
        <v>#VALUE!</v>
      </c>
      <c r="BL278" t="e">
        <f>ChangeLog!S2+"AM:!/~3"</f>
        <v>#VALUE!</v>
      </c>
      <c r="BM278" t="e">
        <f>ChangeLog!T2+"AM:!/~4"</f>
        <v>#VALUE!</v>
      </c>
      <c r="BN278" t="e">
        <f>ChangeLog!A3+"AM:!/~5"</f>
        <v>#VALUE!</v>
      </c>
      <c r="BO278" t="e">
        <f>ChangeLog!B3+"AM:!/~6"</f>
        <v>#VALUE!</v>
      </c>
      <c r="BP278" t="e">
        <f>ChangeLog!C3+"AM:!/~7"</f>
        <v>#VALUE!</v>
      </c>
      <c r="BQ278" t="e">
        <f>ChangeLog!D3+"AM:!/~8"</f>
        <v>#VALUE!</v>
      </c>
      <c r="BR278" t="e">
        <f>ChangeLog!E3+"AM:!/~9"</f>
        <v>#VALUE!</v>
      </c>
      <c r="BS278" t="e">
        <f>ChangeLog!F3+"AM:!/~:"</f>
        <v>#VALUE!</v>
      </c>
      <c r="BT278" t="e">
        <f>ChangeLog!H3+"AM:!/~;"</f>
        <v>#VALUE!</v>
      </c>
      <c r="BU278" t="e">
        <f>ChangeLog!I3+"AM:!/~&lt;"</f>
        <v>#VALUE!</v>
      </c>
      <c r="BV278" t="e">
        <f>ChangeLog!J3+"AM:!/~="</f>
        <v>#VALUE!</v>
      </c>
      <c r="BW278" t="e">
        <f>ChangeLog!K3+"AM:!/~&gt;"</f>
        <v>#VALUE!</v>
      </c>
      <c r="BX278" t="e">
        <f>ChangeLog!L3+"AM:!/~?"</f>
        <v>#VALUE!</v>
      </c>
      <c r="BY278" t="e">
        <f>ChangeLog!M3+"AM:!/~@"</f>
        <v>#VALUE!</v>
      </c>
      <c r="BZ278" t="e">
        <f>ChangeLog!N3+"AM:!/~A"</f>
        <v>#VALUE!</v>
      </c>
      <c r="CA278" t="e">
        <f>ChangeLog!O3+"AM:!/~B"</f>
        <v>#VALUE!</v>
      </c>
      <c r="CB278" t="e">
        <f>ChangeLog!P3+"AM:!/~C"</f>
        <v>#VALUE!</v>
      </c>
      <c r="CC278" t="e">
        <f>ChangeLog!Q3+"AM:!/~D"</f>
        <v>#VALUE!</v>
      </c>
      <c r="CD278" t="e">
        <f>ChangeLog!R3+"AM:!/~E"</f>
        <v>#VALUE!</v>
      </c>
      <c r="CE278" t="e">
        <f>ChangeLog!S3+"AM:!/~F"</f>
        <v>#VALUE!</v>
      </c>
      <c r="CF278" t="e">
        <f>ChangeLog!T3+"AM:!/~G"</f>
        <v>#VALUE!</v>
      </c>
      <c r="CG278" t="e">
        <f>ChangeLog!A4+"AM:!/~H"</f>
        <v>#VALUE!</v>
      </c>
      <c r="CH278" t="e">
        <f>ChangeLog!B4+"AM:!/~I"</f>
        <v>#VALUE!</v>
      </c>
      <c r="CI278" t="e">
        <f>ChangeLog!C4+"AM:!/~J"</f>
        <v>#VALUE!</v>
      </c>
      <c r="CJ278" t="e">
        <f>ChangeLog!D4+"AM:!/~K"</f>
        <v>#VALUE!</v>
      </c>
      <c r="CK278" t="e">
        <f>ChangeLog!E4+"AM:!/~L"</f>
        <v>#VALUE!</v>
      </c>
      <c r="CL278" t="e">
        <f>ChangeLog!F4+"AM:!/~M"</f>
        <v>#VALUE!</v>
      </c>
      <c r="CM278" t="e">
        <f>ChangeLog!G4+"AM:!/~N"</f>
        <v>#VALUE!</v>
      </c>
      <c r="CN278" t="e">
        <f>ChangeLog!H4+"AM:!/~O"</f>
        <v>#VALUE!</v>
      </c>
      <c r="CO278" t="e">
        <f>ChangeLog!I4+"AM:!/~P"</f>
        <v>#VALUE!</v>
      </c>
      <c r="CP278" t="e">
        <f>ChangeLog!J4+"AM:!/~Q"</f>
        <v>#VALUE!</v>
      </c>
      <c r="CQ278" t="e">
        <f>ChangeLog!K4+"AM:!/~R"</f>
        <v>#VALUE!</v>
      </c>
      <c r="CR278" t="e">
        <f>ChangeLog!L4+"AM:!/~S"</f>
        <v>#VALUE!</v>
      </c>
      <c r="CS278" t="e">
        <f>ChangeLog!M4+"AM:!/~T"</f>
        <v>#VALUE!</v>
      </c>
      <c r="CT278" t="e">
        <f>ChangeLog!N4+"AM:!/~U"</f>
        <v>#VALUE!</v>
      </c>
      <c r="CU278" t="e">
        <f>ChangeLog!O4+"AM:!/~V"</f>
        <v>#VALUE!</v>
      </c>
      <c r="CV278" t="e">
        <f>ChangeLog!P4+"AM:!/~W"</f>
        <v>#VALUE!</v>
      </c>
      <c r="CW278" t="e">
        <f>ChangeLog!Q4+"AM:!/~X"</f>
        <v>#VALUE!</v>
      </c>
      <c r="CX278" t="e">
        <f>ChangeLog!R4+"AM:!/~Y"</f>
        <v>#VALUE!</v>
      </c>
      <c r="CY278" t="e">
        <f>ChangeLog!S4+"AM:!/~Z"</f>
        <v>#VALUE!</v>
      </c>
      <c r="CZ278" t="e">
        <f>ChangeLog!T4+"AM:!/~["</f>
        <v>#VALUE!</v>
      </c>
      <c r="DA278" t="e">
        <f>ChangeLog!A5+"AM:!/~\"</f>
        <v>#VALUE!</v>
      </c>
      <c r="DB278" t="e">
        <f>ChangeLog!B5+"AM:!/~]"</f>
        <v>#VALUE!</v>
      </c>
      <c r="DC278" t="e">
        <f>ChangeLog!C5+"AM:!/~^"</f>
        <v>#VALUE!</v>
      </c>
      <c r="DD278" t="e">
        <f>ChangeLog!D5+"AM:!/~_"</f>
        <v>#VALUE!</v>
      </c>
      <c r="DE278" t="e">
        <f>ChangeLog!E5+"AM:!/~`"</f>
        <v>#VALUE!</v>
      </c>
      <c r="DF278" t="e">
        <f>ChangeLog!F5+"AM:!/~a"</f>
        <v>#VALUE!</v>
      </c>
      <c r="DG278" t="e">
        <f>ChangeLog!G5+"AM:!/~b"</f>
        <v>#VALUE!</v>
      </c>
      <c r="DH278" t="e">
        <f>ChangeLog!H5+"AM:!/~c"</f>
        <v>#VALUE!</v>
      </c>
      <c r="DI278" t="e">
        <f>ChangeLog!I5+"AM:!/~d"</f>
        <v>#VALUE!</v>
      </c>
      <c r="DJ278" t="e">
        <f>ChangeLog!J5+"AM:!/~e"</f>
        <v>#VALUE!</v>
      </c>
      <c r="DK278" t="e">
        <f>ChangeLog!K5+"AM:!/~f"</f>
        <v>#VALUE!</v>
      </c>
      <c r="DL278" t="e">
        <f>ChangeLog!L5+"AM:!/~g"</f>
        <v>#VALUE!</v>
      </c>
      <c r="DM278" t="e">
        <f>ChangeLog!M5+"AM:!/~h"</f>
        <v>#VALUE!</v>
      </c>
      <c r="DN278" t="e">
        <f>ChangeLog!N5+"AM:!/~i"</f>
        <v>#VALUE!</v>
      </c>
      <c r="DO278" t="e">
        <f>ChangeLog!O5+"AM:!/~j"</f>
        <v>#VALUE!</v>
      </c>
      <c r="DP278" t="e">
        <f>ChangeLog!P5+"AM:!/~k"</f>
        <v>#VALUE!</v>
      </c>
      <c r="DQ278" t="e">
        <f>ChangeLog!Q5+"AM:!/~l"</f>
        <v>#VALUE!</v>
      </c>
      <c r="DR278" t="e">
        <f>ChangeLog!R5+"AM:!/~m"</f>
        <v>#VALUE!</v>
      </c>
      <c r="DS278" t="e">
        <f>ChangeLog!S5+"AM:!/~n"</f>
        <v>#VALUE!</v>
      </c>
      <c r="DT278" t="e">
        <f>ChangeLog!T5+"AM:!/~o"</f>
        <v>#VALUE!</v>
      </c>
      <c r="DU278" t="e">
        <f>ChangeLog!A6+"AM:!/~p"</f>
        <v>#VALUE!</v>
      </c>
      <c r="DV278" t="e">
        <f>ChangeLog!B6+"AM:!/~q"</f>
        <v>#VALUE!</v>
      </c>
      <c r="DW278" t="e">
        <f>ChangeLog!C6+"AM:!/~r"</f>
        <v>#VALUE!</v>
      </c>
      <c r="DX278" t="e">
        <f>ChangeLog!D6+"AM:!/~s"</f>
        <v>#VALUE!</v>
      </c>
      <c r="DY278" t="e">
        <f>ChangeLog!E6+"AM:!/~t"</f>
        <v>#VALUE!</v>
      </c>
      <c r="DZ278" t="e">
        <f>ChangeLog!F6+"AM:!/~u"</f>
        <v>#VALUE!</v>
      </c>
      <c r="EA278" t="e">
        <f>ChangeLog!G6+"AM:!/~v"</f>
        <v>#VALUE!</v>
      </c>
      <c r="EB278" t="e">
        <f>ChangeLog!H6+"AM:!/~w"</f>
        <v>#VALUE!</v>
      </c>
      <c r="EC278" t="e">
        <f>ChangeLog!I6+"AM:!/~x"</f>
        <v>#VALUE!</v>
      </c>
      <c r="ED278" t="e">
        <f>ChangeLog!J6+"AM:!/~y"</f>
        <v>#VALUE!</v>
      </c>
      <c r="EE278" t="e">
        <f>ChangeLog!K6+"AM:!/~z"</f>
        <v>#VALUE!</v>
      </c>
      <c r="EF278" t="e">
        <f>ChangeLog!L6+"AM:!/~{"</f>
        <v>#VALUE!</v>
      </c>
      <c r="EG278" t="e">
        <f>ChangeLog!M6+"AM:!/~|"</f>
        <v>#VALUE!</v>
      </c>
      <c r="EH278" t="e">
        <f>ChangeLog!N6+"AM:!/~}"</f>
        <v>#VALUE!</v>
      </c>
      <c r="EI278" t="e">
        <f>ChangeLog!O6+"AM:!/~~"</f>
        <v>#VALUE!</v>
      </c>
      <c r="EJ278" t="e">
        <f>ChangeLog!P6+"AM:!0##"</f>
        <v>#VALUE!</v>
      </c>
      <c r="EK278" t="e">
        <f>ChangeLog!Q6+"AM:!0#$"</f>
        <v>#VALUE!</v>
      </c>
      <c r="EL278" t="e">
        <f>ChangeLog!R6+"AM:!0#%"</f>
        <v>#VALUE!</v>
      </c>
      <c r="EM278" t="e">
        <f>ChangeLog!S6+"AM:!0#&amp;"</f>
        <v>#VALUE!</v>
      </c>
      <c r="EN278" t="e">
        <f>ChangeLog!T6+"AM:!0#'"</f>
        <v>#VALUE!</v>
      </c>
      <c r="EO278" t="e">
        <f>ChangeLog!A7+"AM:!0#("</f>
        <v>#VALUE!</v>
      </c>
      <c r="EP278" t="e">
        <f>ChangeLog!B7+"AM:!0#)"</f>
        <v>#VALUE!</v>
      </c>
      <c r="EQ278" t="e">
        <f>ChangeLog!C7+"AM:!0#."</f>
        <v>#VALUE!</v>
      </c>
      <c r="ER278" t="e">
        <f>ChangeLog!D7+"AM:!0#/"</f>
        <v>#VALUE!</v>
      </c>
      <c r="ES278" t="e">
        <f>ChangeLog!E7+"AM:!0#0"</f>
        <v>#VALUE!</v>
      </c>
      <c r="ET278" t="e">
        <f>ChangeLog!F7+"AM:!0#1"</f>
        <v>#VALUE!</v>
      </c>
      <c r="EU278" t="e">
        <f>ChangeLog!G7+"AM:!0#2"</f>
        <v>#VALUE!</v>
      </c>
      <c r="EV278" t="e">
        <f>ChangeLog!H7+"AM:!0#3"</f>
        <v>#VALUE!</v>
      </c>
      <c r="EW278" t="e">
        <f>ChangeLog!I7+"AM:!0#4"</f>
        <v>#VALUE!</v>
      </c>
      <c r="EX278" t="e">
        <f>ChangeLog!J7+"AM:!0#5"</f>
        <v>#VALUE!</v>
      </c>
      <c r="EY278" t="e">
        <f>ChangeLog!K7+"AM:!0#6"</f>
        <v>#VALUE!</v>
      </c>
      <c r="EZ278" t="e">
        <f>ChangeLog!L7+"AM:!0#7"</f>
        <v>#VALUE!</v>
      </c>
      <c r="FA278" t="e">
        <f>ChangeLog!M7+"AM:!0#8"</f>
        <v>#VALUE!</v>
      </c>
      <c r="FB278" t="e">
        <f>ChangeLog!N7+"AM:!0#9"</f>
        <v>#VALUE!</v>
      </c>
      <c r="FC278" t="e">
        <f>ChangeLog!O7+"AM:!0#:"</f>
        <v>#VALUE!</v>
      </c>
      <c r="FD278" t="e">
        <f>ChangeLog!P7+"AM:!0#;"</f>
        <v>#VALUE!</v>
      </c>
      <c r="FE278" t="e">
        <f>ChangeLog!Q7+"AM:!0#&lt;"</f>
        <v>#VALUE!</v>
      </c>
      <c r="FF278" t="e">
        <f>ChangeLog!R7+"AM:!0#="</f>
        <v>#VALUE!</v>
      </c>
      <c r="FG278" t="e">
        <f>ChangeLog!S7+"AM:!0#&gt;"</f>
        <v>#VALUE!</v>
      </c>
      <c r="FH278" t="e">
        <f>ChangeLog!T7+"AM:!0#?"</f>
        <v>#VALUE!</v>
      </c>
      <c r="FI278" t="e">
        <f>ChangeLog!A8+"AM:!0#@"</f>
        <v>#VALUE!</v>
      </c>
      <c r="FJ278" t="e">
        <f>ChangeLog!B8+"AM:!0#A"</f>
        <v>#VALUE!</v>
      </c>
      <c r="FK278" t="e">
        <f>ChangeLog!C8+"AM:!0#B"</f>
        <v>#VALUE!</v>
      </c>
      <c r="FL278" t="e">
        <f>ChangeLog!D8+"AM:!0#C"</f>
        <v>#VALUE!</v>
      </c>
      <c r="FM278" t="e">
        <f>ChangeLog!E8+"AM:!0#D"</f>
        <v>#VALUE!</v>
      </c>
      <c r="FN278" t="e">
        <f>ChangeLog!F8+"AM:!0#E"</f>
        <v>#VALUE!</v>
      </c>
      <c r="FO278" t="e">
        <f>ChangeLog!G8+"AM:!0#F"</f>
        <v>#VALUE!</v>
      </c>
      <c r="FP278" t="e">
        <f>ChangeLog!H8+"AM:!0#G"</f>
        <v>#VALUE!</v>
      </c>
      <c r="FQ278" t="e">
        <f>ChangeLog!I8+"AM:!0#H"</f>
        <v>#VALUE!</v>
      </c>
      <c r="FR278" t="e">
        <f>ChangeLog!J8+"AM:!0#I"</f>
        <v>#VALUE!</v>
      </c>
      <c r="FS278" t="e">
        <f>ChangeLog!K8+"AM:!0#J"</f>
        <v>#VALUE!</v>
      </c>
      <c r="FT278" t="e">
        <f>ChangeLog!L8+"AM:!0#K"</f>
        <v>#VALUE!</v>
      </c>
      <c r="FU278" t="e">
        <f>ChangeLog!M8+"AM:!0#L"</f>
        <v>#VALUE!</v>
      </c>
      <c r="FV278" t="e">
        <f>ChangeLog!N8+"AM:!0#M"</f>
        <v>#VALUE!</v>
      </c>
      <c r="FW278" t="e">
        <f>ChangeLog!O8+"AM:!0#N"</f>
        <v>#VALUE!</v>
      </c>
      <c r="FX278" t="e">
        <f>ChangeLog!P8+"AM:!0#O"</f>
        <v>#VALUE!</v>
      </c>
      <c r="FY278" t="e">
        <f>ChangeLog!Q8+"AM:!0#P"</f>
        <v>#VALUE!</v>
      </c>
      <c r="FZ278" t="e">
        <f>ChangeLog!R8+"AM:!0#Q"</f>
        <v>#VALUE!</v>
      </c>
      <c r="GA278" t="e">
        <f>ChangeLog!S8+"AM:!0#R"</f>
        <v>#VALUE!</v>
      </c>
      <c r="GB278" t="e">
        <f>ChangeLog!T8+"AM:!0#S"</f>
        <v>#VALUE!</v>
      </c>
      <c r="GC278" t="e">
        <f>ChangeLog!A9+"AM:!0#T"</f>
        <v>#VALUE!</v>
      </c>
      <c r="GD278" t="e">
        <f>ChangeLog!B9+"AM:!0#U"</f>
        <v>#VALUE!</v>
      </c>
      <c r="GE278" t="e">
        <f>ChangeLog!C9+"AM:!0#V"</f>
        <v>#VALUE!</v>
      </c>
      <c r="GF278" t="e">
        <f>ChangeLog!D9+"AM:!0#W"</f>
        <v>#VALUE!</v>
      </c>
      <c r="GG278" s="97" t="e">
        <f>ChangeLog!E9+"AM:!0#X"</f>
        <v>#VALUE!</v>
      </c>
      <c r="GH278" s="97" t="e">
        <f>ChangeLog!F9+"AM:!0#Y"</f>
        <v>#VALUE!</v>
      </c>
      <c r="GI278" t="e">
        <f>ChangeLog!G9+"AM:!0#Z"</f>
        <v>#VALUE!</v>
      </c>
      <c r="GJ278" t="e">
        <f>ChangeLog!H9+"AM:!0#["</f>
        <v>#VALUE!</v>
      </c>
      <c r="GK278" t="e">
        <f>ChangeLog!I9+"AM:!0#\"</f>
        <v>#VALUE!</v>
      </c>
      <c r="GL278" t="e">
        <f>ChangeLog!J9+"AM:!0#]"</f>
        <v>#VALUE!</v>
      </c>
      <c r="GM278" t="e">
        <f>ChangeLog!K9+"AM:!0#^"</f>
        <v>#VALUE!</v>
      </c>
      <c r="GN278" t="e">
        <f>ChangeLog!L9+"AM:!0#_"</f>
        <v>#VALUE!</v>
      </c>
      <c r="GO278" t="e">
        <f>ChangeLog!M9+"AM:!0#`"</f>
        <v>#VALUE!</v>
      </c>
      <c r="GP278" t="e">
        <f>ChangeLog!N9+"AM:!0#a"</f>
        <v>#VALUE!</v>
      </c>
      <c r="GQ278" t="e">
        <f>ChangeLog!O9+"AM:!0#b"</f>
        <v>#VALUE!</v>
      </c>
      <c r="GR278" t="e">
        <f>ChangeLog!P9+"AM:!0#c"</f>
        <v>#VALUE!</v>
      </c>
      <c r="GS278" t="e">
        <f>ChangeLog!Q9+"AM:!0#d"</f>
        <v>#VALUE!</v>
      </c>
      <c r="GT278" t="e">
        <f>ChangeLog!R9+"AM:!0#e"</f>
        <v>#VALUE!</v>
      </c>
      <c r="GU278" t="e">
        <f>ChangeLog!S9+"AM:!0#f"</f>
        <v>#VALUE!</v>
      </c>
      <c r="GV278" t="e">
        <f>ChangeLog!T9+"AM:!0#g"</f>
        <v>#VALUE!</v>
      </c>
      <c r="GW278" t="e">
        <f>ChangeLog!A10+"AM:!0#h"</f>
        <v>#VALUE!</v>
      </c>
      <c r="GX278" t="e">
        <f>ChangeLog!B10+"AM:!0#i"</f>
        <v>#VALUE!</v>
      </c>
      <c r="GY278" t="e">
        <f>ChangeLog!C10+"AM:!0#j"</f>
        <v>#VALUE!</v>
      </c>
      <c r="GZ278" t="e">
        <f>ChangeLog!D10+"AM:!0#k"</f>
        <v>#VALUE!</v>
      </c>
      <c r="HA278" s="97" t="e">
        <f>ChangeLog!E10+"AM:!0#l"</f>
        <v>#VALUE!</v>
      </c>
      <c r="HB278" s="97" t="e">
        <f>ChangeLog!F10+"AM:!0#m"</f>
        <v>#VALUE!</v>
      </c>
      <c r="HC278" t="e">
        <f>ChangeLog!G10+"AM:!0#n"</f>
        <v>#VALUE!</v>
      </c>
      <c r="HD278" t="e">
        <f>ChangeLog!H10+"AM:!0#o"</f>
        <v>#VALUE!</v>
      </c>
      <c r="HE278" t="e">
        <f>ChangeLog!I10+"AM:!0#p"</f>
        <v>#VALUE!</v>
      </c>
      <c r="HF278" t="e">
        <f>ChangeLog!J10+"AM:!0#q"</f>
        <v>#VALUE!</v>
      </c>
      <c r="HG278" t="e">
        <f>ChangeLog!K10+"AM:!0#r"</f>
        <v>#VALUE!</v>
      </c>
      <c r="HH278" t="e">
        <f>ChangeLog!L10+"AM:!0#s"</f>
        <v>#VALUE!</v>
      </c>
      <c r="HI278" t="e">
        <f>ChangeLog!M10+"AM:!0#t"</f>
        <v>#VALUE!</v>
      </c>
      <c r="HJ278" t="e">
        <f>ChangeLog!N10+"AM:!0#u"</f>
        <v>#VALUE!</v>
      </c>
      <c r="HK278" t="e">
        <f>ChangeLog!O10+"AM:!0#v"</f>
        <v>#VALUE!</v>
      </c>
      <c r="HL278" t="e">
        <f>ChangeLog!P10+"AM:!0#w"</f>
        <v>#VALUE!</v>
      </c>
      <c r="HM278" t="e">
        <f>ChangeLog!Q10+"AM:!0#x"</f>
        <v>#VALUE!</v>
      </c>
      <c r="HN278" t="e">
        <f>ChangeLog!R10+"AM:!0#y"</f>
        <v>#VALUE!</v>
      </c>
      <c r="HO278" t="e">
        <f>ChangeLog!S10+"AM:!0#z"</f>
        <v>#VALUE!</v>
      </c>
      <c r="HP278" t="e">
        <f>ChangeLog!T10+"AM:!0#{"</f>
        <v>#VALUE!</v>
      </c>
      <c r="HQ278" t="e">
        <f>ChangeLog!A11+"AM:!0#|"</f>
        <v>#VALUE!</v>
      </c>
      <c r="HR278" t="e">
        <f>ChangeLog!B11+"AM:!0#}"</f>
        <v>#VALUE!</v>
      </c>
      <c r="HS278" t="e">
        <f>ChangeLog!C11+"AM:!0#~"</f>
        <v>#VALUE!</v>
      </c>
      <c r="HT278" t="e">
        <f>ChangeLog!D11+"AM:!0$#"</f>
        <v>#VALUE!</v>
      </c>
      <c r="HU278" s="97" t="e">
        <f>ChangeLog!E11+"AM:!0$$"</f>
        <v>#VALUE!</v>
      </c>
      <c r="HV278" s="97" t="e">
        <f>ChangeLog!F11+"AM:!0$%"</f>
        <v>#VALUE!</v>
      </c>
      <c r="HW278" t="e">
        <f>ChangeLog!G11+"AM:!0$&amp;"</f>
        <v>#VALUE!</v>
      </c>
      <c r="HX278" t="e">
        <f>ChangeLog!H11+"AM:!0$'"</f>
        <v>#VALUE!</v>
      </c>
      <c r="HY278" t="e">
        <f>ChangeLog!I11+"AM:!0$("</f>
        <v>#VALUE!</v>
      </c>
      <c r="HZ278" t="e">
        <f>ChangeLog!J11+"AM:!0$)"</f>
        <v>#VALUE!</v>
      </c>
      <c r="IA278" t="e">
        <f>ChangeLog!K11+"AM:!0$."</f>
        <v>#VALUE!</v>
      </c>
      <c r="IB278" t="e">
        <f>ChangeLog!L11+"AM:!0$/"</f>
        <v>#VALUE!</v>
      </c>
      <c r="IC278" t="e">
        <f>ChangeLog!M11+"AM:!0$0"</f>
        <v>#VALUE!</v>
      </c>
      <c r="ID278" t="e">
        <f>ChangeLog!N11+"AM:!0$1"</f>
        <v>#VALUE!</v>
      </c>
      <c r="IE278" t="e">
        <f>ChangeLog!O11+"AM:!0$2"</f>
        <v>#VALUE!</v>
      </c>
      <c r="IF278" t="e">
        <f>ChangeLog!P11+"AM:!0$3"</f>
        <v>#VALUE!</v>
      </c>
      <c r="IG278" t="e">
        <f>ChangeLog!Q11+"AM:!0$4"</f>
        <v>#VALUE!</v>
      </c>
      <c r="IH278" t="e">
        <f>ChangeLog!R11+"AM:!0$5"</f>
        <v>#VALUE!</v>
      </c>
      <c r="II278" t="e">
        <f>ChangeLog!S11+"AM:!0$6"</f>
        <v>#VALUE!</v>
      </c>
      <c r="IJ278" t="e">
        <f>ChangeLog!T11+"AM:!0$7"</f>
        <v>#VALUE!</v>
      </c>
      <c r="IK278" t="e">
        <f>ChangeLog!A12+"AM:!0$8"</f>
        <v>#VALUE!</v>
      </c>
      <c r="IL278" t="e">
        <f>ChangeLog!B12+"AM:!0$9"</f>
        <v>#VALUE!</v>
      </c>
      <c r="IM278" t="e">
        <f>ChangeLog!C12+"AM:!0$:"</f>
        <v>#VALUE!</v>
      </c>
      <c r="IN278" t="e">
        <f>ChangeLog!D12+"AM:!0$;"</f>
        <v>#VALUE!</v>
      </c>
      <c r="IO278" s="97" t="e">
        <f>ChangeLog!E12+"AM:!0$&lt;"</f>
        <v>#VALUE!</v>
      </c>
      <c r="IP278" s="97" t="e">
        <f>ChangeLog!F12+"AM:!0$="</f>
        <v>#VALUE!</v>
      </c>
      <c r="IQ278" t="e">
        <f>ChangeLog!G12+"AM:!0$&gt;"</f>
        <v>#VALUE!</v>
      </c>
      <c r="IR278" t="e">
        <f>ChangeLog!H12+"AM:!0$?"</f>
        <v>#VALUE!</v>
      </c>
      <c r="IS278" t="e">
        <f>ChangeLog!I12+"AM:!0$@"</f>
        <v>#VALUE!</v>
      </c>
      <c r="IT278" t="e">
        <f>ChangeLog!J12+"AM:!0$A"</f>
        <v>#VALUE!</v>
      </c>
      <c r="IU278" t="e">
        <f>ChangeLog!K12+"AM:!0$B"</f>
        <v>#VALUE!</v>
      </c>
      <c r="IV278" t="e">
        <f>ChangeLog!L12+"AM:!0$C"</f>
        <v>#VALUE!</v>
      </c>
    </row>
    <row r="279" spans="6:256">
      <c r="F279" t="e">
        <f>ChangeLog!M12+"AM:!0$D"</f>
        <v>#VALUE!</v>
      </c>
      <c r="G279" t="e">
        <f>ChangeLog!N12+"AM:!0$E"</f>
        <v>#VALUE!</v>
      </c>
      <c r="H279" t="e">
        <f>ChangeLog!O12+"AM:!0$F"</f>
        <v>#VALUE!</v>
      </c>
      <c r="I279" t="e">
        <f>ChangeLog!P12+"AM:!0$G"</f>
        <v>#VALUE!</v>
      </c>
      <c r="J279" t="e">
        <f>ChangeLog!Q12+"AM:!0$H"</f>
        <v>#VALUE!</v>
      </c>
      <c r="K279" t="e">
        <f>ChangeLog!R12+"AM:!0$I"</f>
        <v>#VALUE!</v>
      </c>
      <c r="L279" t="e">
        <f>ChangeLog!S12+"AM:!0$J"</f>
        <v>#VALUE!</v>
      </c>
      <c r="M279" t="e">
        <f>ChangeLog!T12+"AM:!0$K"</f>
        <v>#VALUE!</v>
      </c>
      <c r="N279" t="e">
        <f>ChangeLog!A13+"AM:!0$L"</f>
        <v>#VALUE!</v>
      </c>
      <c r="O279" t="e">
        <f>ChangeLog!B13+"AM:!0$M"</f>
        <v>#VALUE!</v>
      </c>
      <c r="P279" t="e">
        <f>ChangeLog!C13+"AM:!0$N"</f>
        <v>#VALUE!</v>
      </c>
      <c r="Q279" t="e">
        <f>ChangeLog!D13+"AM:!0$O"</f>
        <v>#VALUE!</v>
      </c>
      <c r="R279" s="97" t="e">
        <f>ChangeLog!E13+"AM:!0$P"</f>
        <v>#VALUE!</v>
      </c>
      <c r="S279" s="97" t="e">
        <f>ChangeLog!F13+"AM:!0$Q"</f>
        <v>#VALUE!</v>
      </c>
      <c r="T279" t="e">
        <f>ChangeLog!G13+"AM:!0$R"</f>
        <v>#VALUE!</v>
      </c>
      <c r="U279" t="e">
        <f>ChangeLog!H13+"AM:!0$S"</f>
        <v>#VALUE!</v>
      </c>
      <c r="V279" t="e">
        <f>ChangeLog!I13+"AM:!0$T"</f>
        <v>#VALUE!</v>
      </c>
      <c r="W279" t="e">
        <f>ChangeLog!J13+"AM:!0$U"</f>
        <v>#VALUE!</v>
      </c>
      <c r="X279" t="e">
        <f>ChangeLog!K13+"AM:!0$V"</f>
        <v>#VALUE!</v>
      </c>
      <c r="Y279" t="e">
        <f>ChangeLog!L13+"AM:!0$W"</f>
        <v>#VALUE!</v>
      </c>
      <c r="Z279" t="e">
        <f>ChangeLog!M13+"AM:!0$X"</f>
        <v>#VALUE!</v>
      </c>
      <c r="AA279" t="e">
        <f>ChangeLog!N13+"AM:!0$Y"</f>
        <v>#VALUE!</v>
      </c>
      <c r="AB279" t="e">
        <f>ChangeLog!O13+"AM:!0$Z"</f>
        <v>#VALUE!</v>
      </c>
      <c r="AC279" t="e">
        <f>ChangeLog!P13+"AM:!0$["</f>
        <v>#VALUE!</v>
      </c>
      <c r="AD279" t="e">
        <f>ChangeLog!Q13+"AM:!0$\"</f>
        <v>#VALUE!</v>
      </c>
      <c r="AE279" t="e">
        <f>ChangeLog!R13+"AM:!0$]"</f>
        <v>#VALUE!</v>
      </c>
      <c r="AF279" t="e">
        <f>ChangeLog!S13+"AM:!0$^"</f>
        <v>#VALUE!</v>
      </c>
      <c r="AG279" t="e">
        <f>ChangeLog!T13+"AM:!0$_"</f>
        <v>#VALUE!</v>
      </c>
      <c r="AH279" t="e">
        <f>ChangeLog!A14+"AM:!0$`"</f>
        <v>#VALUE!</v>
      </c>
      <c r="AI279" t="e">
        <f>ChangeLog!B14+"AM:!0$a"</f>
        <v>#VALUE!</v>
      </c>
      <c r="AJ279" t="e">
        <f>ChangeLog!C14+"AM:!0$b"</f>
        <v>#VALUE!</v>
      </c>
      <c r="AK279" t="e">
        <f>ChangeLog!D14+"AM:!0$c"</f>
        <v>#VALUE!</v>
      </c>
      <c r="AL279" s="97" t="e">
        <f>ChangeLog!E14+"AM:!0$d"</f>
        <v>#VALUE!</v>
      </c>
      <c r="AM279" s="97" t="e">
        <f>ChangeLog!F14+"AM:!0$e"</f>
        <v>#VALUE!</v>
      </c>
      <c r="AN279" t="e">
        <f>ChangeLog!G14+"AM:!0$f"</f>
        <v>#VALUE!</v>
      </c>
      <c r="AO279" t="e">
        <f>ChangeLog!H14+"AM:!0$g"</f>
        <v>#VALUE!</v>
      </c>
      <c r="AP279" t="e">
        <f>ChangeLog!I14+"AM:!0$h"</f>
        <v>#VALUE!</v>
      </c>
      <c r="AQ279" t="e">
        <f>ChangeLog!J14+"AM:!0$i"</f>
        <v>#VALUE!</v>
      </c>
      <c r="AR279" t="e">
        <f>ChangeLog!K14+"AM:!0$j"</f>
        <v>#VALUE!</v>
      </c>
      <c r="AS279" t="e">
        <f>ChangeLog!L14+"AM:!0$k"</f>
        <v>#VALUE!</v>
      </c>
      <c r="AT279" t="e">
        <f>ChangeLog!M14+"AM:!0$l"</f>
        <v>#VALUE!</v>
      </c>
      <c r="AU279" t="e">
        <f>ChangeLog!N14+"AM:!0$m"</f>
        <v>#VALUE!</v>
      </c>
      <c r="AV279" t="e">
        <f>ChangeLog!O14+"AM:!0$n"</f>
        <v>#VALUE!</v>
      </c>
      <c r="AW279" t="e">
        <f>ChangeLog!P14+"AM:!0$o"</f>
        <v>#VALUE!</v>
      </c>
      <c r="AX279" t="e">
        <f>ChangeLog!Q14+"AM:!0$p"</f>
        <v>#VALUE!</v>
      </c>
      <c r="AY279" t="e">
        <f>ChangeLog!R14+"AM:!0$q"</f>
        <v>#VALUE!</v>
      </c>
      <c r="AZ279" t="e">
        <f>ChangeLog!S14+"AM:!0$r"</f>
        <v>#VALUE!</v>
      </c>
      <c r="BA279" t="e">
        <f>ChangeLog!T14+"AM:!0$s"</f>
        <v>#VALUE!</v>
      </c>
      <c r="BB279" t="e">
        <f>ChangeLog!A15+"AM:!0$t"</f>
        <v>#VALUE!</v>
      </c>
      <c r="BC279" t="e">
        <f>ChangeLog!B15+"AM:!0$u"</f>
        <v>#VALUE!</v>
      </c>
      <c r="BD279" t="e">
        <f>ChangeLog!C15+"AM:!0$v"</f>
        <v>#VALUE!</v>
      </c>
      <c r="BE279" t="e">
        <f>ChangeLog!D15+"AM:!0$w"</f>
        <v>#VALUE!</v>
      </c>
      <c r="BF279" s="97" t="e">
        <f>ChangeLog!E15+"AM:!0$x"</f>
        <v>#VALUE!</v>
      </c>
      <c r="BG279" s="97" t="e">
        <f>ChangeLog!F15+"AM:!0$y"</f>
        <v>#VALUE!</v>
      </c>
      <c r="BH279" t="e">
        <f>ChangeLog!G15+"AM:!0$z"</f>
        <v>#VALUE!</v>
      </c>
      <c r="BI279" t="e">
        <f>ChangeLog!H15+"AM:!0${"</f>
        <v>#VALUE!</v>
      </c>
      <c r="BJ279" t="e">
        <f>ChangeLog!I15+"AM:!0$|"</f>
        <v>#VALUE!</v>
      </c>
      <c r="BK279" t="e">
        <f>ChangeLog!J15+"AM:!0$}"</f>
        <v>#VALUE!</v>
      </c>
      <c r="BL279" t="e">
        <f>ChangeLog!K15+"AM:!0$~"</f>
        <v>#VALUE!</v>
      </c>
      <c r="BM279" t="e">
        <f>ChangeLog!L15+"AM:!0%#"</f>
        <v>#VALUE!</v>
      </c>
      <c r="BN279" t="e">
        <f>ChangeLog!M15+"AM:!0%$"</f>
        <v>#VALUE!</v>
      </c>
      <c r="BO279" t="e">
        <f>ChangeLog!N15+"AM:!0%%"</f>
        <v>#VALUE!</v>
      </c>
      <c r="BP279" t="e">
        <f>ChangeLog!O15+"AM:!0%&amp;"</f>
        <v>#VALUE!</v>
      </c>
      <c r="BQ279" t="e">
        <f>ChangeLog!P15+"AM:!0%'"</f>
        <v>#VALUE!</v>
      </c>
      <c r="BR279" t="e">
        <f>ChangeLog!Q15+"AM:!0%("</f>
        <v>#VALUE!</v>
      </c>
      <c r="BS279" t="e">
        <f>ChangeLog!R15+"AM:!0%)"</f>
        <v>#VALUE!</v>
      </c>
      <c r="BT279" t="e">
        <f>ChangeLog!S15+"AM:!0%."</f>
        <v>#VALUE!</v>
      </c>
      <c r="BU279" t="e">
        <f>ChangeLog!T15+"AM:!0%/"</f>
        <v>#VALUE!</v>
      </c>
      <c r="BV279" t="e">
        <f>ChangeLog!A16+"AM:!0%0"</f>
        <v>#VALUE!</v>
      </c>
      <c r="BW279" t="e">
        <f>ChangeLog!B16+"AM:!0%1"</f>
        <v>#VALUE!</v>
      </c>
      <c r="BX279" t="e">
        <f>ChangeLog!C16+"AM:!0%2"</f>
        <v>#VALUE!</v>
      </c>
      <c r="BY279" t="e">
        <f>ChangeLog!D16+"AM:!0%3"</f>
        <v>#VALUE!</v>
      </c>
      <c r="BZ279" s="97" t="e">
        <f>ChangeLog!E16+"AM:!0%4"</f>
        <v>#VALUE!</v>
      </c>
      <c r="CA279" s="97" t="e">
        <f>ChangeLog!F16+"AM:!0%5"</f>
        <v>#VALUE!</v>
      </c>
      <c r="CB279" t="e">
        <f>ChangeLog!G16+"AM:!0%6"</f>
        <v>#VALUE!</v>
      </c>
      <c r="CC279" t="e">
        <f>ChangeLog!H16+"AM:!0%7"</f>
        <v>#VALUE!</v>
      </c>
      <c r="CD279" t="e">
        <f>ChangeLog!I16+"AM:!0%8"</f>
        <v>#VALUE!</v>
      </c>
      <c r="CE279" t="e">
        <f>ChangeLog!J16+"AM:!0%9"</f>
        <v>#VALUE!</v>
      </c>
      <c r="CF279" t="e">
        <f>ChangeLog!K16+"AM:!0%:"</f>
        <v>#VALUE!</v>
      </c>
      <c r="CG279" t="e">
        <f>ChangeLog!L16+"AM:!0%;"</f>
        <v>#VALUE!</v>
      </c>
      <c r="CH279" t="e">
        <f>ChangeLog!M16+"AM:!0%&lt;"</f>
        <v>#VALUE!</v>
      </c>
      <c r="CI279" t="e">
        <f>ChangeLog!N16+"AM:!0%="</f>
        <v>#VALUE!</v>
      </c>
      <c r="CJ279" t="e">
        <f>ChangeLog!O16+"AM:!0%&gt;"</f>
        <v>#VALUE!</v>
      </c>
      <c r="CK279" t="e">
        <f>ChangeLog!P16+"AM:!0%?"</f>
        <v>#VALUE!</v>
      </c>
      <c r="CL279" t="e">
        <f>ChangeLog!Q16+"AM:!0%@"</f>
        <v>#VALUE!</v>
      </c>
      <c r="CM279" t="e">
        <f>ChangeLog!R16+"AM:!0%A"</f>
        <v>#VALUE!</v>
      </c>
      <c r="CN279" t="e">
        <f>ChangeLog!S16+"AM:!0%B"</f>
        <v>#VALUE!</v>
      </c>
      <c r="CO279" t="e">
        <f>ChangeLog!T16+"AM:!0%C"</f>
        <v>#VALUE!</v>
      </c>
      <c r="CP279" t="e">
        <f>ChangeLog!A17+"AM:!0%D"</f>
        <v>#VALUE!</v>
      </c>
      <c r="CQ279" t="e">
        <f>ChangeLog!B17+"AM:!0%E"</f>
        <v>#VALUE!</v>
      </c>
      <c r="CR279" t="e">
        <f>ChangeLog!C17+"AM:!0%F"</f>
        <v>#VALUE!</v>
      </c>
      <c r="CS279" t="e">
        <f>ChangeLog!D17+"AM:!0%G"</f>
        <v>#VALUE!</v>
      </c>
      <c r="CT279" s="97" t="e">
        <f>ChangeLog!E17+"AM:!0%H"</f>
        <v>#VALUE!</v>
      </c>
      <c r="CU279" s="97" t="e">
        <f>ChangeLog!F17+"AM:!0%I"</f>
        <v>#VALUE!</v>
      </c>
      <c r="CV279" t="e">
        <f>ChangeLog!G17+"AM:!0%J"</f>
        <v>#VALUE!</v>
      </c>
      <c r="CW279" t="e">
        <f>ChangeLog!H17+"AM:!0%K"</f>
        <v>#VALUE!</v>
      </c>
      <c r="CX279" t="e">
        <f>ChangeLog!I17+"AM:!0%L"</f>
        <v>#VALUE!</v>
      </c>
      <c r="CY279" t="e">
        <f>ChangeLog!J17+"AM:!0%M"</f>
        <v>#VALUE!</v>
      </c>
      <c r="CZ279" t="e">
        <f>ChangeLog!K17+"AM:!0%N"</f>
        <v>#VALUE!</v>
      </c>
      <c r="DA279" t="e">
        <f>ChangeLog!L17+"AM:!0%O"</f>
        <v>#VALUE!</v>
      </c>
      <c r="DB279" t="e">
        <f>ChangeLog!M17+"AM:!0%P"</f>
        <v>#VALUE!</v>
      </c>
      <c r="DC279" t="e">
        <f>ChangeLog!N17+"AM:!0%Q"</f>
        <v>#VALUE!</v>
      </c>
      <c r="DD279" t="e">
        <f>ChangeLog!O17+"AM:!0%R"</f>
        <v>#VALUE!</v>
      </c>
      <c r="DE279" t="e">
        <f>ChangeLog!P17+"AM:!0%S"</f>
        <v>#VALUE!</v>
      </c>
      <c r="DF279" t="e">
        <f>ChangeLog!Q17+"AM:!0%T"</f>
        <v>#VALUE!</v>
      </c>
      <c r="DG279" t="e">
        <f>ChangeLog!R17+"AM:!0%U"</f>
        <v>#VALUE!</v>
      </c>
      <c r="DH279" t="e">
        <f>ChangeLog!S17+"AM:!0%V"</f>
        <v>#VALUE!</v>
      </c>
      <c r="DI279" t="e">
        <f>ChangeLog!T17+"AM:!0%W"</f>
        <v>#VALUE!</v>
      </c>
      <c r="DJ279" t="e">
        <f>ChangeLog!A18+"AM:!0%X"</f>
        <v>#VALUE!</v>
      </c>
      <c r="DK279" t="e">
        <f>ChangeLog!B18+"AM:!0%Y"</f>
        <v>#VALUE!</v>
      </c>
      <c r="DL279" t="e">
        <f>ChangeLog!C18+"AM:!0%Z"</f>
        <v>#VALUE!</v>
      </c>
      <c r="DM279" t="e">
        <f>ChangeLog!D18+"AM:!0%["</f>
        <v>#VALUE!</v>
      </c>
      <c r="DN279" s="97" t="e">
        <f>ChangeLog!E18+"AM:!0%\"</f>
        <v>#VALUE!</v>
      </c>
      <c r="DO279" s="97" t="e">
        <f>ChangeLog!F18+"AM:!0%]"</f>
        <v>#VALUE!</v>
      </c>
      <c r="DP279" t="e">
        <f>ChangeLog!G18+"AM:!0%^"</f>
        <v>#VALUE!</v>
      </c>
      <c r="DQ279" t="e">
        <f>ChangeLog!H18+"AM:!0%_"</f>
        <v>#VALUE!</v>
      </c>
      <c r="DR279" t="e">
        <f>ChangeLog!I18+"AM:!0%`"</f>
        <v>#VALUE!</v>
      </c>
      <c r="DS279" t="e">
        <f>ChangeLog!J18+"AM:!0%a"</f>
        <v>#VALUE!</v>
      </c>
      <c r="DT279" t="e">
        <f>ChangeLog!K18+"AM:!0%b"</f>
        <v>#VALUE!</v>
      </c>
      <c r="DU279" t="e">
        <f>ChangeLog!L18+"AM:!0%c"</f>
        <v>#VALUE!</v>
      </c>
      <c r="DV279" t="e">
        <f>ChangeLog!M18+"AM:!0%d"</f>
        <v>#VALUE!</v>
      </c>
      <c r="DW279" t="e">
        <f>ChangeLog!N18+"AM:!0%e"</f>
        <v>#VALUE!</v>
      </c>
      <c r="DX279" t="e">
        <f>ChangeLog!O18+"AM:!0%f"</f>
        <v>#VALUE!</v>
      </c>
      <c r="DY279" t="e">
        <f>ChangeLog!P18+"AM:!0%g"</f>
        <v>#VALUE!</v>
      </c>
      <c r="DZ279" t="e">
        <f>ChangeLog!Q18+"AM:!0%h"</f>
        <v>#VALUE!</v>
      </c>
      <c r="EA279" t="e">
        <f>ChangeLog!R18+"AM:!0%i"</f>
        <v>#VALUE!</v>
      </c>
      <c r="EB279" t="e">
        <f>ChangeLog!S18+"AM:!0%j"</f>
        <v>#VALUE!</v>
      </c>
      <c r="EC279" t="e">
        <f>ChangeLog!T18+"AM:!0%k"</f>
        <v>#VALUE!</v>
      </c>
      <c r="ED279" t="e">
        <f>ChangeLog!A19+"AM:!0%l"</f>
        <v>#VALUE!</v>
      </c>
      <c r="EE279" t="e">
        <f>ChangeLog!B19+"AM:!0%m"</f>
        <v>#VALUE!</v>
      </c>
      <c r="EF279" t="e">
        <f>ChangeLog!C19+"AM:!0%n"</f>
        <v>#VALUE!</v>
      </c>
      <c r="EG279" t="e">
        <f>ChangeLog!D19+"AM:!0%o"</f>
        <v>#VALUE!</v>
      </c>
      <c r="EH279" s="97" t="e">
        <f>ChangeLog!E19+"AM:!0%p"</f>
        <v>#VALUE!</v>
      </c>
      <c r="EI279" s="97" t="e">
        <f>ChangeLog!F19+"AM:!0%q"</f>
        <v>#VALUE!</v>
      </c>
      <c r="EJ279" t="e">
        <f>ChangeLog!G19+"AM:!0%r"</f>
        <v>#VALUE!</v>
      </c>
      <c r="EK279" t="e">
        <f>ChangeLog!H19+"AM:!0%s"</f>
        <v>#VALUE!</v>
      </c>
      <c r="EL279" t="e">
        <f>ChangeLog!I19+"AM:!0%t"</f>
        <v>#VALUE!</v>
      </c>
      <c r="EM279" t="e">
        <f>ChangeLog!J19+"AM:!0%u"</f>
        <v>#VALUE!</v>
      </c>
      <c r="EN279" t="e">
        <f>ChangeLog!K19+"AM:!0%v"</f>
        <v>#VALUE!</v>
      </c>
      <c r="EO279" t="e">
        <f>ChangeLog!L19+"AM:!0%w"</f>
        <v>#VALUE!</v>
      </c>
      <c r="EP279" t="e">
        <f>ChangeLog!M19+"AM:!0%x"</f>
        <v>#VALUE!</v>
      </c>
      <c r="EQ279" t="e">
        <f>ChangeLog!N19+"AM:!0%y"</f>
        <v>#VALUE!</v>
      </c>
      <c r="ER279" t="e">
        <f>ChangeLog!O19+"AM:!0%z"</f>
        <v>#VALUE!</v>
      </c>
      <c r="ES279" t="e">
        <f>ChangeLog!P19+"AM:!0%{"</f>
        <v>#VALUE!</v>
      </c>
      <c r="ET279" t="e">
        <f>ChangeLog!Q19+"AM:!0%|"</f>
        <v>#VALUE!</v>
      </c>
      <c r="EU279" t="e">
        <f>ChangeLog!R19+"AM:!0%}"</f>
        <v>#VALUE!</v>
      </c>
      <c r="EV279" t="e">
        <f>ChangeLog!S19+"AM:!0%~"</f>
        <v>#VALUE!</v>
      </c>
      <c r="EW279" t="e">
        <f>ChangeLog!T19+"AM:!0&amp;#"</f>
        <v>#VALUE!</v>
      </c>
      <c r="EX279" t="e">
        <f>ChangeLog!A20+"AM:!0&amp;$"</f>
        <v>#VALUE!</v>
      </c>
      <c r="EY279" t="e">
        <f>ChangeLog!B20+"AM:!0&amp;%"</f>
        <v>#VALUE!</v>
      </c>
      <c r="EZ279" t="e">
        <f>ChangeLog!C20+"AM:!0&amp;&amp;"</f>
        <v>#VALUE!</v>
      </c>
      <c r="FA279" t="e">
        <f>ChangeLog!D20+"AM:!0&amp;'"</f>
        <v>#VALUE!</v>
      </c>
      <c r="FB279" s="97" t="e">
        <f>ChangeLog!E20+"AM:!0&amp;("</f>
        <v>#VALUE!</v>
      </c>
      <c r="FC279" s="97" t="e">
        <f>ChangeLog!F20+"AM:!0&amp;)"</f>
        <v>#VALUE!</v>
      </c>
      <c r="FD279" t="e">
        <f>ChangeLog!G20+"AM:!0&amp;."</f>
        <v>#VALUE!</v>
      </c>
      <c r="FE279" t="e">
        <f>ChangeLog!H20+"AM:!0&amp;/"</f>
        <v>#VALUE!</v>
      </c>
      <c r="FF279" t="e">
        <f>ChangeLog!I20+"AM:!0&amp;0"</f>
        <v>#VALUE!</v>
      </c>
      <c r="FG279" t="e">
        <f>ChangeLog!J20+"AM:!0&amp;1"</f>
        <v>#VALUE!</v>
      </c>
      <c r="FH279" t="e">
        <f>ChangeLog!K20+"AM:!0&amp;2"</f>
        <v>#VALUE!</v>
      </c>
      <c r="FI279" t="e">
        <f>ChangeLog!L20+"AM:!0&amp;3"</f>
        <v>#VALUE!</v>
      </c>
      <c r="FJ279" t="e">
        <f>ChangeLog!M20+"AM:!0&amp;4"</f>
        <v>#VALUE!</v>
      </c>
      <c r="FK279" t="e">
        <f>ChangeLog!N20+"AM:!0&amp;5"</f>
        <v>#VALUE!</v>
      </c>
      <c r="FL279" t="e">
        <f>ChangeLog!O20+"AM:!0&amp;6"</f>
        <v>#VALUE!</v>
      </c>
      <c r="FM279" t="e">
        <f>ChangeLog!P20+"AM:!0&amp;7"</f>
        <v>#VALUE!</v>
      </c>
      <c r="FN279" t="e">
        <f>ChangeLog!Q20+"AM:!0&amp;8"</f>
        <v>#VALUE!</v>
      </c>
      <c r="FO279" t="e">
        <f>ChangeLog!R20+"AM:!0&amp;9"</f>
        <v>#VALUE!</v>
      </c>
      <c r="FP279" t="e">
        <f>ChangeLog!S20+"AM:!0&amp;:"</f>
        <v>#VALUE!</v>
      </c>
      <c r="FQ279" t="e">
        <f>ChangeLog!T20+"AM:!0&amp;;"</f>
        <v>#VALUE!</v>
      </c>
      <c r="FR279" t="e">
        <f>ChangeLog!A21+"AM:!0&amp;&lt;"</f>
        <v>#VALUE!</v>
      </c>
      <c r="FS279" t="e">
        <f>ChangeLog!B21+"AM:!0&amp;="</f>
        <v>#VALUE!</v>
      </c>
      <c r="FT279" t="e">
        <f>ChangeLog!C21+"AM:!0&amp;&gt;"</f>
        <v>#VALUE!</v>
      </c>
      <c r="FU279" t="e">
        <f>ChangeLog!D21+"AM:!0&amp;?"</f>
        <v>#VALUE!</v>
      </c>
      <c r="FV279" s="97" t="e">
        <f>ChangeLog!E21+"AM:!0&amp;@"</f>
        <v>#VALUE!</v>
      </c>
      <c r="FW279" s="97" t="e">
        <f>ChangeLog!F21+"AM:!0&amp;A"</f>
        <v>#VALUE!</v>
      </c>
      <c r="FX279" t="e">
        <f>ChangeLog!G21+"AM:!0&amp;B"</f>
        <v>#VALUE!</v>
      </c>
      <c r="FY279" t="e">
        <f>ChangeLog!H21+"AM:!0&amp;C"</f>
        <v>#VALUE!</v>
      </c>
      <c r="FZ279" t="e">
        <f>ChangeLog!I21+"AM:!0&amp;D"</f>
        <v>#VALUE!</v>
      </c>
      <c r="GA279" t="e">
        <f>ChangeLog!J21+"AM:!0&amp;E"</f>
        <v>#VALUE!</v>
      </c>
      <c r="GB279" t="e">
        <f>ChangeLog!K21+"AM:!0&amp;F"</f>
        <v>#VALUE!</v>
      </c>
      <c r="GC279" t="e">
        <f>ChangeLog!L21+"AM:!0&amp;G"</f>
        <v>#VALUE!</v>
      </c>
      <c r="GD279" t="e">
        <f>ChangeLog!M21+"AM:!0&amp;H"</f>
        <v>#VALUE!</v>
      </c>
      <c r="GE279" t="e">
        <f>ChangeLog!N21+"AM:!0&amp;I"</f>
        <v>#VALUE!</v>
      </c>
      <c r="GF279" t="e">
        <f>ChangeLog!O21+"AM:!0&amp;J"</f>
        <v>#VALUE!</v>
      </c>
      <c r="GG279" t="e">
        <f>ChangeLog!P21+"AM:!0&amp;K"</f>
        <v>#VALUE!</v>
      </c>
      <c r="GH279" t="e">
        <f>ChangeLog!Q21+"AM:!0&amp;L"</f>
        <v>#VALUE!</v>
      </c>
      <c r="GI279" t="e">
        <f>ChangeLog!R21+"AM:!0&amp;M"</f>
        <v>#VALUE!</v>
      </c>
      <c r="GJ279" t="e">
        <f>ChangeLog!S21+"AM:!0&amp;N"</f>
        <v>#VALUE!</v>
      </c>
      <c r="GK279" t="e">
        <f>ChangeLog!T21+"AM:!0&amp;O"</f>
        <v>#VALUE!</v>
      </c>
      <c r="GL279" t="e">
        <f>ChangeLog!A22+"AM:!0&amp;P"</f>
        <v>#VALUE!</v>
      </c>
      <c r="GM279" t="e">
        <f>ChangeLog!B22+"AM:!0&amp;Q"</f>
        <v>#VALUE!</v>
      </c>
      <c r="GN279" t="e">
        <f>ChangeLog!C22+"AM:!0&amp;R"</f>
        <v>#VALUE!</v>
      </c>
      <c r="GO279" t="e">
        <f>ChangeLog!D22+"AM:!0&amp;S"</f>
        <v>#VALUE!</v>
      </c>
      <c r="GP279" s="97" t="e">
        <f>ChangeLog!E22+"AM:!0&amp;T"</f>
        <v>#VALUE!</v>
      </c>
      <c r="GQ279" s="97" t="e">
        <f>ChangeLog!F22+"AM:!0&amp;U"</f>
        <v>#VALUE!</v>
      </c>
      <c r="GR279" t="e">
        <f>ChangeLog!G22+"AM:!0&amp;V"</f>
        <v>#VALUE!</v>
      </c>
      <c r="GS279" t="e">
        <f>ChangeLog!H22+"AM:!0&amp;W"</f>
        <v>#VALUE!</v>
      </c>
      <c r="GT279" t="e">
        <f>ChangeLog!I22+"AM:!0&amp;X"</f>
        <v>#VALUE!</v>
      </c>
      <c r="GU279" t="e">
        <f>ChangeLog!J22+"AM:!0&amp;Y"</f>
        <v>#VALUE!</v>
      </c>
      <c r="GV279" t="e">
        <f>ChangeLog!K22+"AM:!0&amp;Z"</f>
        <v>#VALUE!</v>
      </c>
      <c r="GW279" t="e">
        <f>ChangeLog!L22+"AM:!0&amp;["</f>
        <v>#VALUE!</v>
      </c>
      <c r="GX279" t="e">
        <f>ChangeLog!M22+"AM:!0&amp;\"</f>
        <v>#VALUE!</v>
      </c>
      <c r="GY279" t="e">
        <f>ChangeLog!N22+"AM:!0&amp;]"</f>
        <v>#VALUE!</v>
      </c>
      <c r="GZ279" t="e">
        <f>ChangeLog!O22+"AM:!0&amp;^"</f>
        <v>#VALUE!</v>
      </c>
      <c r="HA279" t="e">
        <f>ChangeLog!P22+"AM:!0&amp;_"</f>
        <v>#VALUE!</v>
      </c>
      <c r="HB279" t="e">
        <f>ChangeLog!Q22+"AM:!0&amp;`"</f>
        <v>#VALUE!</v>
      </c>
      <c r="HC279" t="e">
        <f>ChangeLog!R22+"AM:!0&amp;a"</f>
        <v>#VALUE!</v>
      </c>
      <c r="HD279" t="e">
        <f>ChangeLog!S22+"AM:!0&amp;b"</f>
        <v>#VALUE!</v>
      </c>
      <c r="HE279" t="e">
        <f>ChangeLog!T22+"AM:!0&amp;c"</f>
        <v>#VALUE!</v>
      </c>
      <c r="HF279" t="e">
        <f>ChangeLog!A23+"AM:!0&amp;d"</f>
        <v>#VALUE!</v>
      </c>
      <c r="HG279" t="e">
        <f>ChangeLog!B23+"AM:!0&amp;e"</f>
        <v>#VALUE!</v>
      </c>
      <c r="HH279" t="e">
        <f>ChangeLog!C23+"AM:!0&amp;f"</f>
        <v>#VALUE!</v>
      </c>
      <c r="HI279" t="e">
        <f>ChangeLog!D23+"AM:!0&amp;g"</f>
        <v>#VALUE!</v>
      </c>
      <c r="HJ279" s="97" t="e">
        <f>ChangeLog!E23+"AM:!0&amp;h"</f>
        <v>#VALUE!</v>
      </c>
      <c r="HK279" s="97" t="e">
        <f>ChangeLog!F23+"AM:!0&amp;i"</f>
        <v>#VALUE!</v>
      </c>
      <c r="HL279" t="e">
        <f>ChangeLog!G23+"AM:!0&amp;j"</f>
        <v>#VALUE!</v>
      </c>
      <c r="HM279" t="e">
        <f>ChangeLog!H23+"AM:!0&amp;k"</f>
        <v>#VALUE!</v>
      </c>
      <c r="HN279" t="e">
        <f>ChangeLog!I23+"AM:!0&amp;l"</f>
        <v>#VALUE!</v>
      </c>
      <c r="HO279" t="e">
        <f>ChangeLog!J23+"AM:!0&amp;m"</f>
        <v>#VALUE!</v>
      </c>
      <c r="HP279" t="e">
        <f>ChangeLog!K23+"AM:!0&amp;n"</f>
        <v>#VALUE!</v>
      </c>
      <c r="HQ279" t="e">
        <f>ChangeLog!L23+"AM:!0&amp;o"</f>
        <v>#VALUE!</v>
      </c>
      <c r="HR279" t="e">
        <f>ChangeLog!M23+"AM:!0&amp;p"</f>
        <v>#VALUE!</v>
      </c>
      <c r="HS279" t="e">
        <f>ChangeLog!N23+"AM:!0&amp;q"</f>
        <v>#VALUE!</v>
      </c>
      <c r="HT279" t="e">
        <f>ChangeLog!O23+"AM:!0&amp;r"</f>
        <v>#VALUE!</v>
      </c>
      <c r="HU279" t="e">
        <f>ChangeLog!P23+"AM:!0&amp;s"</f>
        <v>#VALUE!</v>
      </c>
      <c r="HV279" t="e">
        <f>ChangeLog!Q23+"AM:!0&amp;t"</f>
        <v>#VALUE!</v>
      </c>
      <c r="HW279" t="e">
        <f>ChangeLog!R23+"AM:!0&amp;u"</f>
        <v>#VALUE!</v>
      </c>
      <c r="HX279" t="e">
        <f>ChangeLog!S23+"AM:!0&amp;v"</f>
        <v>#VALUE!</v>
      </c>
      <c r="HY279" t="e">
        <f>ChangeLog!T23+"AM:!0&amp;w"</f>
        <v>#VALUE!</v>
      </c>
      <c r="HZ279" t="e">
        <f>ChangeLog!A24+"AM:!0&amp;x"</f>
        <v>#VALUE!</v>
      </c>
      <c r="IA279" t="e">
        <f>ChangeLog!B24+"AM:!0&amp;y"</f>
        <v>#VALUE!</v>
      </c>
      <c r="IB279" t="e">
        <f>ChangeLog!C24+"AM:!0&amp;z"</f>
        <v>#VALUE!</v>
      </c>
      <c r="IC279" t="e">
        <f>ChangeLog!D24+"AM:!0&amp;{"</f>
        <v>#VALUE!</v>
      </c>
      <c r="ID279" s="97" t="e">
        <f>ChangeLog!E24+"AM:!0&amp;|"</f>
        <v>#VALUE!</v>
      </c>
      <c r="IE279" s="97" t="e">
        <f>ChangeLog!F24+"AM:!0&amp;}"</f>
        <v>#VALUE!</v>
      </c>
      <c r="IF279" t="e">
        <f>ChangeLog!G24+"AM:!0&amp;~"</f>
        <v>#VALUE!</v>
      </c>
      <c r="IG279" t="e">
        <f>ChangeLog!H24+"AM:!0'#"</f>
        <v>#VALUE!</v>
      </c>
      <c r="IH279" t="e">
        <f>ChangeLog!I24+"AM:!0'$"</f>
        <v>#VALUE!</v>
      </c>
      <c r="II279" t="e">
        <f>ChangeLog!J24+"AM:!0'%"</f>
        <v>#VALUE!</v>
      </c>
      <c r="IJ279" t="e">
        <f>ChangeLog!K24+"AM:!0'&amp;"</f>
        <v>#VALUE!</v>
      </c>
      <c r="IK279" t="e">
        <f>ChangeLog!L24+"AM:!0''"</f>
        <v>#VALUE!</v>
      </c>
      <c r="IL279" t="e">
        <f>ChangeLog!M24+"AM:!0'("</f>
        <v>#VALUE!</v>
      </c>
      <c r="IM279" t="e">
        <f>ChangeLog!N24+"AM:!0')"</f>
        <v>#VALUE!</v>
      </c>
      <c r="IN279" t="e">
        <f>ChangeLog!O24+"AM:!0'."</f>
        <v>#VALUE!</v>
      </c>
      <c r="IO279" t="e">
        <f>ChangeLog!P24+"AM:!0'/"</f>
        <v>#VALUE!</v>
      </c>
      <c r="IP279" t="e">
        <f>ChangeLog!Q24+"AM:!0'0"</f>
        <v>#VALUE!</v>
      </c>
      <c r="IQ279" t="e">
        <f>ChangeLog!R24+"AM:!0'1"</f>
        <v>#VALUE!</v>
      </c>
      <c r="IR279" t="e">
        <f>ChangeLog!S24+"AM:!0'2"</f>
        <v>#VALUE!</v>
      </c>
      <c r="IS279" t="e">
        <f>ChangeLog!T24+"AM:!0'3"</f>
        <v>#VALUE!</v>
      </c>
      <c r="IT279" t="e">
        <f>ChangeLog!A25+"AM:!0'4"</f>
        <v>#VALUE!</v>
      </c>
      <c r="IU279" t="e">
        <f>ChangeLog!B25+"AM:!0'5"</f>
        <v>#VALUE!</v>
      </c>
      <c r="IV279" t="e">
        <f>ChangeLog!C25+"AM:!0'6"</f>
        <v>#VALUE!</v>
      </c>
    </row>
    <row r="280" spans="6:256">
      <c r="F280" t="e">
        <f>ChangeLog!D25+"AM:!0'7"</f>
        <v>#VALUE!</v>
      </c>
      <c r="G280" s="97" t="e">
        <f>ChangeLog!E25+"AM:!0'8"</f>
        <v>#VALUE!</v>
      </c>
      <c r="H280" s="97" t="e">
        <f>ChangeLog!F25+"AM:!0'9"</f>
        <v>#VALUE!</v>
      </c>
      <c r="I280" t="e">
        <f>ChangeLog!G25+"AM:!0':"</f>
        <v>#VALUE!</v>
      </c>
      <c r="J280" t="e">
        <f>ChangeLog!H25+"AM:!0';"</f>
        <v>#VALUE!</v>
      </c>
      <c r="K280" t="e">
        <f>ChangeLog!I25+"AM:!0'&lt;"</f>
        <v>#VALUE!</v>
      </c>
      <c r="L280" t="e">
        <f>ChangeLog!J25+"AM:!0'="</f>
        <v>#VALUE!</v>
      </c>
      <c r="M280" t="e">
        <f>ChangeLog!K25+"AM:!0'&gt;"</f>
        <v>#VALUE!</v>
      </c>
      <c r="N280" t="e">
        <f>ChangeLog!L25+"AM:!0'?"</f>
        <v>#VALUE!</v>
      </c>
      <c r="O280" t="e">
        <f>ChangeLog!M25+"AM:!0'@"</f>
        <v>#VALUE!</v>
      </c>
      <c r="P280" t="e">
        <f>ChangeLog!N25+"AM:!0'A"</f>
        <v>#VALUE!</v>
      </c>
      <c r="Q280" t="e">
        <f>ChangeLog!O25+"AM:!0'B"</f>
        <v>#VALUE!</v>
      </c>
      <c r="R280" t="e">
        <f>ChangeLog!P25+"AM:!0'C"</f>
        <v>#VALUE!</v>
      </c>
      <c r="S280" t="e">
        <f>ChangeLog!Q25+"AM:!0'D"</f>
        <v>#VALUE!</v>
      </c>
      <c r="T280" t="e">
        <f>ChangeLog!R25+"AM:!0'E"</f>
        <v>#VALUE!</v>
      </c>
      <c r="U280" t="e">
        <f>ChangeLog!S25+"AM:!0'F"</f>
        <v>#VALUE!</v>
      </c>
      <c r="V280" t="e">
        <f>ChangeLog!T25+"AM:!0'G"</f>
        <v>#VALUE!</v>
      </c>
      <c r="W280" t="e">
        <f>ChangeLog!A26+"AM:!0'H"</f>
        <v>#VALUE!</v>
      </c>
      <c r="X280" t="e">
        <f>ChangeLog!B26+"AM:!0'I"</f>
        <v>#VALUE!</v>
      </c>
      <c r="Y280" t="e">
        <f>ChangeLog!C26+"AM:!0'J"</f>
        <v>#VALUE!</v>
      </c>
      <c r="Z280" t="e">
        <f>ChangeLog!D26+"AM:!0'K"</f>
        <v>#VALUE!</v>
      </c>
      <c r="AA280" s="97" t="e">
        <f>ChangeLog!E26+"AM:!0'L"</f>
        <v>#VALUE!</v>
      </c>
      <c r="AB280" s="97" t="e">
        <f>ChangeLog!F26+"AM:!0'M"</f>
        <v>#VALUE!</v>
      </c>
      <c r="AC280" t="e">
        <f>ChangeLog!G26+"AM:!0'N"</f>
        <v>#VALUE!</v>
      </c>
      <c r="AD280" t="e">
        <f>ChangeLog!H26+"AM:!0'O"</f>
        <v>#VALUE!</v>
      </c>
      <c r="AE280" t="e">
        <f>ChangeLog!I26+"AM:!0'P"</f>
        <v>#VALUE!</v>
      </c>
      <c r="AF280" t="e">
        <f>ChangeLog!J26+"AM:!0'Q"</f>
        <v>#VALUE!</v>
      </c>
      <c r="AG280" t="e">
        <f>ChangeLog!K26+"AM:!0'R"</f>
        <v>#VALUE!</v>
      </c>
      <c r="AH280" t="e">
        <f>ChangeLog!L26+"AM:!0'S"</f>
        <v>#VALUE!</v>
      </c>
      <c r="AI280" t="e">
        <f>ChangeLog!M26+"AM:!0'T"</f>
        <v>#VALUE!</v>
      </c>
      <c r="AJ280" t="e">
        <f>ChangeLog!N26+"AM:!0'U"</f>
        <v>#VALUE!</v>
      </c>
      <c r="AK280" t="e">
        <f>ChangeLog!O26+"AM:!0'V"</f>
        <v>#VALUE!</v>
      </c>
      <c r="AL280" t="e">
        <f>ChangeLog!P26+"AM:!0'W"</f>
        <v>#VALUE!</v>
      </c>
      <c r="AM280" t="e">
        <f>ChangeLog!Q26+"AM:!0'X"</f>
        <v>#VALUE!</v>
      </c>
      <c r="AN280" t="e">
        <f>ChangeLog!R26+"AM:!0'Y"</f>
        <v>#VALUE!</v>
      </c>
      <c r="AO280" t="e">
        <f>ChangeLog!S26+"AM:!0'Z"</f>
        <v>#VALUE!</v>
      </c>
      <c r="AP280" t="e">
        <f>ChangeLog!T26+"AM:!0'["</f>
        <v>#VALUE!</v>
      </c>
      <c r="AQ280" t="e">
        <f>ChangeLog!A27+"AM:!0'\"</f>
        <v>#VALUE!</v>
      </c>
      <c r="AR280" t="e">
        <f>ChangeLog!B27+"AM:!0']"</f>
        <v>#VALUE!</v>
      </c>
      <c r="AS280" t="e">
        <f>ChangeLog!C27+"AM:!0'^"</f>
        <v>#VALUE!</v>
      </c>
      <c r="AT280" t="e">
        <f>ChangeLog!D27+"AM:!0'_"</f>
        <v>#VALUE!</v>
      </c>
      <c r="AU280" s="97" t="e">
        <f>ChangeLog!E27+"AM:!0'`"</f>
        <v>#VALUE!</v>
      </c>
      <c r="AV280" s="97" t="e">
        <f>ChangeLog!F27+"AM:!0'a"</f>
        <v>#VALUE!</v>
      </c>
      <c r="AW280" t="e">
        <f>ChangeLog!G27+"AM:!0'b"</f>
        <v>#VALUE!</v>
      </c>
      <c r="AX280" t="e">
        <f>ChangeLog!H27+"AM:!0'c"</f>
        <v>#VALUE!</v>
      </c>
      <c r="AY280" t="e">
        <f>ChangeLog!I27+"AM:!0'd"</f>
        <v>#VALUE!</v>
      </c>
      <c r="AZ280" t="e">
        <f>ChangeLog!J27+"AM:!0'e"</f>
        <v>#VALUE!</v>
      </c>
      <c r="BA280" t="e">
        <f>ChangeLog!K27+"AM:!0'f"</f>
        <v>#VALUE!</v>
      </c>
      <c r="BB280" t="e">
        <f>ChangeLog!L27+"AM:!0'g"</f>
        <v>#VALUE!</v>
      </c>
      <c r="BC280" t="e">
        <f>ChangeLog!M27+"AM:!0'h"</f>
        <v>#VALUE!</v>
      </c>
      <c r="BD280" t="e">
        <f>ChangeLog!N27+"AM:!0'i"</f>
        <v>#VALUE!</v>
      </c>
      <c r="BE280" t="e">
        <f>ChangeLog!O27+"AM:!0'j"</f>
        <v>#VALUE!</v>
      </c>
      <c r="BF280" t="e">
        <f>ChangeLog!P27+"AM:!0'k"</f>
        <v>#VALUE!</v>
      </c>
      <c r="BG280" t="e">
        <f>ChangeLog!Q27+"AM:!0'l"</f>
        <v>#VALUE!</v>
      </c>
      <c r="BH280" t="e">
        <f>ChangeLog!R27+"AM:!0'm"</f>
        <v>#VALUE!</v>
      </c>
      <c r="BI280" t="e">
        <f>ChangeLog!S27+"AM:!0'n"</f>
        <v>#VALUE!</v>
      </c>
      <c r="BJ280" t="e">
        <f>ChangeLog!T27+"AM:!0'o"</f>
        <v>#VALUE!</v>
      </c>
      <c r="BK280" t="e">
        <f>ChangeLog!A28+"AM:!0'p"</f>
        <v>#VALUE!</v>
      </c>
      <c r="BL280" t="e">
        <f>ChangeLog!B28+"AM:!0'q"</f>
        <v>#VALUE!</v>
      </c>
      <c r="BM280" t="e">
        <f>ChangeLog!C28+"AM:!0'r"</f>
        <v>#VALUE!</v>
      </c>
      <c r="BN280" t="e">
        <f>ChangeLog!D28+"AM:!0's"</f>
        <v>#VALUE!</v>
      </c>
      <c r="BO280" s="97" t="e">
        <f>ChangeLog!E28+"AM:!0't"</f>
        <v>#VALUE!</v>
      </c>
      <c r="BP280" s="97" t="e">
        <f>ChangeLog!F28+"AM:!0'u"</f>
        <v>#VALUE!</v>
      </c>
      <c r="BQ280" t="e">
        <f>ChangeLog!G28+"AM:!0'v"</f>
        <v>#VALUE!</v>
      </c>
      <c r="BR280" t="e">
        <f>ChangeLog!H28+"AM:!0'w"</f>
        <v>#VALUE!</v>
      </c>
      <c r="BS280" t="e">
        <f>ChangeLog!I28+"AM:!0'x"</f>
        <v>#VALUE!</v>
      </c>
      <c r="BT280" t="e">
        <f>ChangeLog!J28+"AM:!0'y"</f>
        <v>#VALUE!</v>
      </c>
      <c r="BU280" t="e">
        <f>ChangeLog!K28+"AM:!0'z"</f>
        <v>#VALUE!</v>
      </c>
      <c r="BV280" t="e">
        <f>ChangeLog!L28+"AM:!0'{"</f>
        <v>#VALUE!</v>
      </c>
      <c r="BW280" t="e">
        <f>ChangeLog!M28+"AM:!0'|"</f>
        <v>#VALUE!</v>
      </c>
      <c r="BX280" t="e">
        <f>ChangeLog!N28+"AM:!0'}"</f>
        <v>#VALUE!</v>
      </c>
      <c r="BY280" t="e">
        <f>ChangeLog!O28+"AM:!0'~"</f>
        <v>#VALUE!</v>
      </c>
      <c r="BZ280" t="e">
        <f>ChangeLog!P28+"AM:!0(#"</f>
        <v>#VALUE!</v>
      </c>
      <c r="CA280" t="e">
        <f>ChangeLog!Q28+"AM:!0($"</f>
        <v>#VALUE!</v>
      </c>
      <c r="CB280" t="e">
        <f>ChangeLog!R28+"AM:!0(%"</f>
        <v>#VALUE!</v>
      </c>
      <c r="CC280" t="e">
        <f>ChangeLog!S28+"AM:!0(&amp;"</f>
        <v>#VALUE!</v>
      </c>
      <c r="CD280" t="e">
        <f>ChangeLog!T28+"AM:!0('"</f>
        <v>#VALUE!</v>
      </c>
      <c r="CE280" t="e">
        <f>ChangeLog!A29+"AM:!0(("</f>
        <v>#VALUE!</v>
      </c>
      <c r="CF280" t="e">
        <f>ChangeLog!B29+"AM:!0()"</f>
        <v>#VALUE!</v>
      </c>
      <c r="CG280" t="e">
        <f>ChangeLog!C29+"AM:!0(."</f>
        <v>#VALUE!</v>
      </c>
      <c r="CH280" t="e">
        <f>ChangeLog!D29+"AM:!0(/"</f>
        <v>#VALUE!</v>
      </c>
      <c r="CI280" s="97" t="e">
        <f>ChangeLog!E29+"AM:!0(0"</f>
        <v>#VALUE!</v>
      </c>
      <c r="CJ280" s="97" t="e">
        <f>ChangeLog!F29+"AM:!0(1"</f>
        <v>#VALUE!</v>
      </c>
      <c r="CK280" t="e">
        <f>ChangeLog!G29+"AM:!0(2"</f>
        <v>#VALUE!</v>
      </c>
      <c r="CL280" t="e">
        <f>ChangeLog!H29+"AM:!0(3"</f>
        <v>#VALUE!</v>
      </c>
      <c r="CM280" t="e">
        <f>ChangeLog!I29+"AM:!0(4"</f>
        <v>#VALUE!</v>
      </c>
      <c r="CN280" t="e">
        <f>ChangeLog!J29+"AM:!0(5"</f>
        <v>#VALUE!</v>
      </c>
      <c r="CO280" t="e">
        <f>ChangeLog!K29+"AM:!0(6"</f>
        <v>#VALUE!</v>
      </c>
      <c r="CP280" t="e">
        <f>ChangeLog!L29+"AM:!0(7"</f>
        <v>#VALUE!</v>
      </c>
      <c r="CQ280" t="e">
        <f>ChangeLog!M29+"AM:!0(8"</f>
        <v>#VALUE!</v>
      </c>
      <c r="CR280" t="e">
        <f>ChangeLog!N29+"AM:!0(9"</f>
        <v>#VALUE!</v>
      </c>
      <c r="CS280" t="e">
        <f>ChangeLog!O29+"AM:!0(:"</f>
        <v>#VALUE!</v>
      </c>
      <c r="CT280" t="e">
        <f>ChangeLog!P29+"AM:!0(;"</f>
        <v>#VALUE!</v>
      </c>
      <c r="CU280" t="e">
        <f>ChangeLog!Q29+"AM:!0(&lt;"</f>
        <v>#VALUE!</v>
      </c>
      <c r="CV280" t="e">
        <f>ChangeLog!R29+"AM:!0(="</f>
        <v>#VALUE!</v>
      </c>
      <c r="CW280" t="e">
        <f>ChangeLog!S29+"AM:!0(&gt;"</f>
        <v>#VALUE!</v>
      </c>
      <c r="CX280" t="e">
        <f>ChangeLog!T29+"AM:!0(?"</f>
        <v>#VALUE!</v>
      </c>
      <c r="CY280" t="e">
        <f>ChangeLog!A30+"AM:!0(@"</f>
        <v>#VALUE!</v>
      </c>
      <c r="CZ280" t="e">
        <f>ChangeLog!B30+"AM:!0(A"</f>
        <v>#VALUE!</v>
      </c>
      <c r="DA280" t="e">
        <f>ChangeLog!C30+"AM:!0(B"</f>
        <v>#VALUE!</v>
      </c>
      <c r="DB280" t="e">
        <f>ChangeLog!D30+"AM:!0(C"</f>
        <v>#VALUE!</v>
      </c>
      <c r="DC280" s="97" t="e">
        <f>ChangeLog!E30+"AM:!0(D"</f>
        <v>#VALUE!</v>
      </c>
      <c r="DD280" s="97" t="e">
        <f>ChangeLog!F30+"AM:!0(E"</f>
        <v>#VALUE!</v>
      </c>
      <c r="DE280" t="e">
        <f>ChangeLog!G30+"AM:!0(F"</f>
        <v>#VALUE!</v>
      </c>
      <c r="DF280" t="e">
        <f>ChangeLog!H30+"AM:!0(G"</f>
        <v>#VALUE!</v>
      </c>
      <c r="DG280" t="e">
        <f>ChangeLog!I30+"AM:!0(H"</f>
        <v>#VALUE!</v>
      </c>
      <c r="DH280" t="e">
        <f>ChangeLog!J30+"AM:!0(I"</f>
        <v>#VALUE!</v>
      </c>
      <c r="DI280" t="e">
        <f>ChangeLog!K30+"AM:!0(J"</f>
        <v>#VALUE!</v>
      </c>
      <c r="DJ280" t="e">
        <f>ChangeLog!L30+"AM:!0(K"</f>
        <v>#VALUE!</v>
      </c>
      <c r="DK280" t="e">
        <f>ChangeLog!M30+"AM:!0(L"</f>
        <v>#VALUE!</v>
      </c>
      <c r="DL280" t="e">
        <f>ChangeLog!N30+"AM:!0(M"</f>
        <v>#VALUE!</v>
      </c>
      <c r="DM280" t="e">
        <f>ChangeLog!O30+"AM:!0(N"</f>
        <v>#VALUE!</v>
      </c>
      <c r="DN280" t="e">
        <f>ChangeLog!P30+"AM:!0(O"</f>
        <v>#VALUE!</v>
      </c>
      <c r="DO280" t="e">
        <f>ChangeLog!Q30+"AM:!0(P"</f>
        <v>#VALUE!</v>
      </c>
      <c r="DP280" t="e">
        <f>ChangeLog!R30+"AM:!0(Q"</f>
        <v>#VALUE!</v>
      </c>
      <c r="DQ280" t="e">
        <f>ChangeLog!S30+"AM:!0(R"</f>
        <v>#VALUE!</v>
      </c>
      <c r="DR280" t="e">
        <f>ChangeLog!T30+"AM:!0(S"</f>
        <v>#VALUE!</v>
      </c>
      <c r="DS280" t="e">
        <f>ChangeLog!A31+"AM:!0(T"</f>
        <v>#VALUE!</v>
      </c>
      <c r="DT280" t="e">
        <f>ChangeLog!B31+"AM:!0(U"</f>
        <v>#VALUE!</v>
      </c>
      <c r="DU280" t="e">
        <f>ChangeLog!C31+"AM:!0(V"</f>
        <v>#VALUE!</v>
      </c>
      <c r="DV280" t="e">
        <f>ChangeLog!D31+"AM:!0(W"</f>
        <v>#VALUE!</v>
      </c>
      <c r="DW280" s="97" t="e">
        <f>ChangeLog!E31+"AM:!0(X"</f>
        <v>#VALUE!</v>
      </c>
      <c r="DX280" s="97" t="e">
        <f>ChangeLog!F31+"AM:!0(Y"</f>
        <v>#VALUE!</v>
      </c>
      <c r="DY280" t="e">
        <f>ChangeLog!G31+"AM:!0(Z"</f>
        <v>#VALUE!</v>
      </c>
      <c r="DZ280" t="e">
        <f>ChangeLog!H31+"AM:!0(["</f>
        <v>#VALUE!</v>
      </c>
      <c r="EA280" t="e">
        <f>ChangeLog!I31+"AM:!0(\"</f>
        <v>#VALUE!</v>
      </c>
      <c r="EB280" t="e">
        <f>ChangeLog!J31+"AM:!0(]"</f>
        <v>#VALUE!</v>
      </c>
      <c r="EC280" t="e">
        <f>ChangeLog!K31+"AM:!0(^"</f>
        <v>#VALUE!</v>
      </c>
      <c r="ED280" t="e">
        <f>ChangeLog!L31+"AM:!0(_"</f>
        <v>#VALUE!</v>
      </c>
      <c r="EE280" t="e">
        <f>ChangeLog!M31+"AM:!0(`"</f>
        <v>#VALUE!</v>
      </c>
      <c r="EF280" t="e">
        <f>ChangeLog!N31+"AM:!0(a"</f>
        <v>#VALUE!</v>
      </c>
      <c r="EG280" t="e">
        <f>ChangeLog!O31+"AM:!0(b"</f>
        <v>#VALUE!</v>
      </c>
      <c r="EH280" t="e">
        <f>ChangeLog!P31+"AM:!0(c"</f>
        <v>#VALUE!</v>
      </c>
      <c r="EI280" t="e">
        <f>ChangeLog!Q31+"AM:!0(d"</f>
        <v>#VALUE!</v>
      </c>
      <c r="EJ280" t="e">
        <f>ChangeLog!R31+"AM:!0(e"</f>
        <v>#VALUE!</v>
      </c>
      <c r="EK280" t="e">
        <f>ChangeLog!S31+"AM:!0(f"</f>
        <v>#VALUE!</v>
      </c>
      <c r="EL280" t="e">
        <f>ChangeLog!T31+"AM:!0(g"</f>
        <v>#VALUE!</v>
      </c>
      <c r="EM280" t="e">
        <f>ChangeLog!A32+"AM:!0(h"</f>
        <v>#VALUE!</v>
      </c>
      <c r="EN280" t="e">
        <f>ChangeLog!B32+"AM:!0(i"</f>
        <v>#VALUE!</v>
      </c>
      <c r="EO280" t="e">
        <f>ChangeLog!C32+"AM:!0(j"</f>
        <v>#VALUE!</v>
      </c>
      <c r="EP280" t="e">
        <f>ChangeLog!D32+"AM:!0(k"</f>
        <v>#VALUE!</v>
      </c>
      <c r="EQ280" s="97" t="e">
        <f>ChangeLog!E32+"AM:!0(l"</f>
        <v>#VALUE!</v>
      </c>
      <c r="ER280" s="97" t="e">
        <f>ChangeLog!F32+"AM:!0(m"</f>
        <v>#VALUE!</v>
      </c>
      <c r="ES280" t="e">
        <f>ChangeLog!G32+"AM:!0(n"</f>
        <v>#VALUE!</v>
      </c>
      <c r="ET280" t="e">
        <f>ChangeLog!H32+"AM:!0(o"</f>
        <v>#VALUE!</v>
      </c>
      <c r="EU280" t="e">
        <f>ChangeLog!I32+"AM:!0(p"</f>
        <v>#VALUE!</v>
      </c>
      <c r="EV280" t="e">
        <f>ChangeLog!J32+"AM:!0(q"</f>
        <v>#VALUE!</v>
      </c>
      <c r="EW280" t="e">
        <f>ChangeLog!K32+"AM:!0(r"</f>
        <v>#VALUE!</v>
      </c>
      <c r="EX280" t="e">
        <f>ChangeLog!L32+"AM:!0(s"</f>
        <v>#VALUE!</v>
      </c>
      <c r="EY280" t="e">
        <f>ChangeLog!M32+"AM:!0(t"</f>
        <v>#VALUE!</v>
      </c>
      <c r="EZ280" t="e">
        <f>ChangeLog!N32+"AM:!0(u"</f>
        <v>#VALUE!</v>
      </c>
      <c r="FA280" t="e">
        <f>ChangeLog!O32+"AM:!0(v"</f>
        <v>#VALUE!</v>
      </c>
      <c r="FB280" t="e">
        <f>ChangeLog!P32+"AM:!0(w"</f>
        <v>#VALUE!</v>
      </c>
      <c r="FC280" t="e">
        <f>ChangeLog!Q32+"AM:!0(x"</f>
        <v>#VALUE!</v>
      </c>
      <c r="FD280" t="e">
        <f>ChangeLog!R32+"AM:!0(y"</f>
        <v>#VALUE!</v>
      </c>
      <c r="FE280" t="e">
        <f>ChangeLog!S32+"AM:!0(z"</f>
        <v>#VALUE!</v>
      </c>
      <c r="FF280" t="e">
        <f>ChangeLog!T32+"AM:!0({"</f>
        <v>#VALUE!</v>
      </c>
      <c r="FG280" t="e">
        <f>ChangeLog!A33+"AM:!0(|"</f>
        <v>#VALUE!</v>
      </c>
      <c r="FH280" t="e">
        <f>ChangeLog!B33+"AM:!0(}"</f>
        <v>#VALUE!</v>
      </c>
      <c r="FI280" t="e">
        <f>ChangeLog!C33+"AM:!0(~"</f>
        <v>#VALUE!</v>
      </c>
      <c r="FJ280" t="e">
        <f>ChangeLog!D33+"AM:!0)#"</f>
        <v>#VALUE!</v>
      </c>
      <c r="FK280" s="97" t="e">
        <f>ChangeLog!E33+"AM:!0)$"</f>
        <v>#VALUE!</v>
      </c>
      <c r="FL280" s="97" t="e">
        <f>ChangeLog!F33+"AM:!0)%"</f>
        <v>#VALUE!</v>
      </c>
      <c r="FM280" t="e">
        <f>ChangeLog!G33+"AM:!0)&amp;"</f>
        <v>#VALUE!</v>
      </c>
      <c r="FN280" t="e">
        <f>ChangeLog!H33+"AM:!0)'"</f>
        <v>#VALUE!</v>
      </c>
      <c r="FO280" t="e">
        <f>ChangeLog!I33+"AM:!0)("</f>
        <v>#VALUE!</v>
      </c>
      <c r="FP280" t="e">
        <f>ChangeLog!J33+"AM:!0))"</f>
        <v>#VALUE!</v>
      </c>
      <c r="FQ280" t="e">
        <f>ChangeLog!K33+"AM:!0)."</f>
        <v>#VALUE!</v>
      </c>
      <c r="FR280" t="e">
        <f>ChangeLog!L33+"AM:!0)/"</f>
        <v>#VALUE!</v>
      </c>
      <c r="FS280" t="e">
        <f>ChangeLog!M33+"AM:!0)0"</f>
        <v>#VALUE!</v>
      </c>
      <c r="FT280" t="e">
        <f>ChangeLog!N33+"AM:!0)1"</f>
        <v>#VALUE!</v>
      </c>
      <c r="FU280" t="e">
        <f>ChangeLog!O33+"AM:!0)2"</f>
        <v>#VALUE!</v>
      </c>
      <c r="FV280" t="e">
        <f>ChangeLog!P33+"AM:!0)3"</f>
        <v>#VALUE!</v>
      </c>
      <c r="FW280" t="e">
        <f>ChangeLog!Q33+"AM:!0)4"</f>
        <v>#VALUE!</v>
      </c>
      <c r="FX280" t="e">
        <f>ChangeLog!R33+"AM:!0)5"</f>
        <v>#VALUE!</v>
      </c>
      <c r="FY280" t="e">
        <f>ChangeLog!S33+"AM:!0)6"</f>
        <v>#VALUE!</v>
      </c>
      <c r="FZ280" t="e">
        <f>ChangeLog!T33+"AM:!0)7"</f>
        <v>#VALUE!</v>
      </c>
      <c r="GA280" t="e">
        <f>ChangeLog!A34+"AM:!0)8"</f>
        <v>#VALUE!</v>
      </c>
      <c r="GB280" t="e">
        <f>ChangeLog!B34+"AM:!0)9"</f>
        <v>#VALUE!</v>
      </c>
      <c r="GC280" t="e">
        <f>ChangeLog!C34+"AM:!0):"</f>
        <v>#VALUE!</v>
      </c>
      <c r="GD280" t="e">
        <f>ChangeLog!D34+"AM:!0);"</f>
        <v>#VALUE!</v>
      </c>
      <c r="GE280" s="97" t="e">
        <f>ChangeLog!E34+"AM:!0)&lt;"</f>
        <v>#VALUE!</v>
      </c>
      <c r="GF280" s="97" t="e">
        <f>ChangeLog!F34+"AM:!0)="</f>
        <v>#VALUE!</v>
      </c>
      <c r="GG280" t="e">
        <f>ChangeLog!G34+"AM:!0)&gt;"</f>
        <v>#VALUE!</v>
      </c>
      <c r="GH280" t="e">
        <f>ChangeLog!H34+"AM:!0)?"</f>
        <v>#VALUE!</v>
      </c>
      <c r="GI280" t="e">
        <f>ChangeLog!I34+"AM:!0)@"</f>
        <v>#VALUE!</v>
      </c>
      <c r="GJ280" t="e">
        <f>ChangeLog!J34+"AM:!0)A"</f>
        <v>#VALUE!</v>
      </c>
      <c r="GK280" t="e">
        <f>ChangeLog!K34+"AM:!0)B"</f>
        <v>#VALUE!</v>
      </c>
      <c r="GL280" t="e">
        <f>ChangeLog!L34+"AM:!0)C"</f>
        <v>#VALUE!</v>
      </c>
      <c r="GM280" t="e">
        <f>ChangeLog!M34+"AM:!0)D"</f>
        <v>#VALUE!</v>
      </c>
      <c r="GN280" t="e">
        <f>ChangeLog!N34+"AM:!0)E"</f>
        <v>#VALUE!</v>
      </c>
      <c r="GO280" t="e">
        <f>ChangeLog!O34+"AM:!0)F"</f>
        <v>#VALUE!</v>
      </c>
      <c r="GP280" t="e">
        <f>ChangeLog!P34+"AM:!0)G"</f>
        <v>#VALUE!</v>
      </c>
      <c r="GQ280" t="e">
        <f>ChangeLog!Q34+"AM:!0)H"</f>
        <v>#VALUE!</v>
      </c>
      <c r="GR280" t="e">
        <f>ChangeLog!R34+"AM:!0)I"</f>
        <v>#VALUE!</v>
      </c>
      <c r="GS280" t="e">
        <f>ChangeLog!S34+"AM:!0)J"</f>
        <v>#VALUE!</v>
      </c>
      <c r="GT280" t="e">
        <f>ChangeLog!T34+"AM:!0)K"</f>
        <v>#VALUE!</v>
      </c>
      <c r="GU280" t="e">
        <f>ChangeLog!A35+"AM:!0)L"</f>
        <v>#VALUE!</v>
      </c>
      <c r="GV280" t="e">
        <f>ChangeLog!B35+"AM:!0)M"</f>
        <v>#VALUE!</v>
      </c>
      <c r="GW280" t="e">
        <f>ChangeLog!C35+"AM:!0)N"</f>
        <v>#VALUE!</v>
      </c>
      <c r="GX280" t="e">
        <f>ChangeLog!D35+"AM:!0)O"</f>
        <v>#VALUE!</v>
      </c>
      <c r="GY280" s="97" t="e">
        <f>ChangeLog!E35+"AM:!0)P"</f>
        <v>#VALUE!</v>
      </c>
      <c r="GZ280" s="97" t="e">
        <f>ChangeLog!F35+"AM:!0)Q"</f>
        <v>#VALUE!</v>
      </c>
      <c r="HA280" t="e">
        <f>ChangeLog!G35+"AM:!0)R"</f>
        <v>#VALUE!</v>
      </c>
      <c r="HB280" t="e">
        <f>ChangeLog!H35+"AM:!0)S"</f>
        <v>#VALUE!</v>
      </c>
      <c r="HC280" t="e">
        <f>ChangeLog!I35+"AM:!0)T"</f>
        <v>#VALUE!</v>
      </c>
      <c r="HD280" t="e">
        <f>ChangeLog!J35+"AM:!0)U"</f>
        <v>#VALUE!</v>
      </c>
      <c r="HE280" t="e">
        <f>ChangeLog!K35+"AM:!0)V"</f>
        <v>#VALUE!</v>
      </c>
      <c r="HF280" t="e">
        <f>ChangeLog!L35+"AM:!0)W"</f>
        <v>#VALUE!</v>
      </c>
      <c r="HG280" t="e">
        <f>ChangeLog!M35+"AM:!0)X"</f>
        <v>#VALUE!</v>
      </c>
      <c r="HH280" t="e">
        <f>ChangeLog!N35+"AM:!0)Y"</f>
        <v>#VALUE!</v>
      </c>
      <c r="HI280" t="e">
        <f>ChangeLog!O35+"AM:!0)Z"</f>
        <v>#VALUE!</v>
      </c>
      <c r="HJ280" t="e">
        <f>ChangeLog!P35+"AM:!0)["</f>
        <v>#VALUE!</v>
      </c>
      <c r="HK280" t="e">
        <f>ChangeLog!Q35+"AM:!0)\"</f>
        <v>#VALUE!</v>
      </c>
      <c r="HL280" t="e">
        <f>ChangeLog!R35+"AM:!0)]"</f>
        <v>#VALUE!</v>
      </c>
      <c r="HM280" t="e">
        <f>ChangeLog!S35+"AM:!0)^"</f>
        <v>#VALUE!</v>
      </c>
      <c r="HN280" t="e">
        <f>ChangeLog!T35+"AM:!0)_"</f>
        <v>#VALUE!</v>
      </c>
      <c r="HO280" t="e">
        <f>ChangeLog!A36+"AM:!0)`"</f>
        <v>#VALUE!</v>
      </c>
      <c r="HP280" t="e">
        <f>ChangeLog!B36+"AM:!0)a"</f>
        <v>#VALUE!</v>
      </c>
      <c r="HQ280" t="e">
        <f>ChangeLog!C36+"AM:!0)b"</f>
        <v>#VALUE!</v>
      </c>
      <c r="HR280" t="e">
        <f>ChangeLog!D36+"AM:!0)c"</f>
        <v>#VALUE!</v>
      </c>
      <c r="HS280" s="97" t="e">
        <f>ChangeLog!E36+"AM:!0)d"</f>
        <v>#VALUE!</v>
      </c>
      <c r="HT280" s="97" t="e">
        <f>ChangeLog!F36+"AM:!0)e"</f>
        <v>#VALUE!</v>
      </c>
      <c r="HU280" t="e">
        <f>ChangeLog!G36+"AM:!0)f"</f>
        <v>#VALUE!</v>
      </c>
      <c r="HV280" t="e">
        <f>ChangeLog!H36+"AM:!0)g"</f>
        <v>#VALUE!</v>
      </c>
      <c r="HW280" t="e">
        <f>ChangeLog!I36+"AM:!0)h"</f>
        <v>#VALUE!</v>
      </c>
      <c r="HX280" t="e">
        <f>ChangeLog!J36+"AM:!0)i"</f>
        <v>#VALUE!</v>
      </c>
      <c r="HY280" t="e">
        <f>ChangeLog!K36+"AM:!0)j"</f>
        <v>#VALUE!</v>
      </c>
      <c r="HZ280" t="e">
        <f>ChangeLog!L36+"AM:!0)k"</f>
        <v>#VALUE!</v>
      </c>
      <c r="IA280" t="e">
        <f>ChangeLog!M36+"AM:!0)l"</f>
        <v>#VALUE!</v>
      </c>
      <c r="IB280" t="e">
        <f>ChangeLog!N36+"AM:!0)m"</f>
        <v>#VALUE!</v>
      </c>
      <c r="IC280" t="e">
        <f>ChangeLog!O36+"AM:!0)n"</f>
        <v>#VALUE!</v>
      </c>
      <c r="ID280" t="e">
        <f>ChangeLog!P36+"AM:!0)o"</f>
        <v>#VALUE!</v>
      </c>
      <c r="IE280" t="e">
        <f>ChangeLog!Q36+"AM:!0)p"</f>
        <v>#VALUE!</v>
      </c>
      <c r="IF280" t="e">
        <f>ChangeLog!R36+"AM:!0)q"</f>
        <v>#VALUE!</v>
      </c>
      <c r="IG280" t="e">
        <f>ChangeLog!S36+"AM:!0)r"</f>
        <v>#VALUE!</v>
      </c>
      <c r="IH280" t="e">
        <f>ChangeLog!T36+"AM:!0)s"</f>
        <v>#VALUE!</v>
      </c>
      <c r="II280" t="e">
        <f>ChangeLog!A37+"AM:!0)t"</f>
        <v>#VALUE!</v>
      </c>
      <c r="IJ280" t="e">
        <f>ChangeLog!B37+"AM:!0)u"</f>
        <v>#VALUE!</v>
      </c>
      <c r="IK280" t="e">
        <f>ChangeLog!C37+"AM:!0)v"</f>
        <v>#VALUE!</v>
      </c>
      <c r="IL280" t="e">
        <f>ChangeLog!D37+"AM:!0)w"</f>
        <v>#VALUE!</v>
      </c>
      <c r="IM280" s="97" t="e">
        <f>ChangeLog!E37+"AM:!0)x"</f>
        <v>#VALUE!</v>
      </c>
      <c r="IN280" s="97" t="e">
        <f>ChangeLog!F37+"AM:!0)y"</f>
        <v>#VALUE!</v>
      </c>
      <c r="IO280" t="e">
        <f>ChangeLog!G37+"AM:!0)z"</f>
        <v>#VALUE!</v>
      </c>
      <c r="IP280" t="e">
        <f>ChangeLog!H37+"AM:!0){"</f>
        <v>#VALUE!</v>
      </c>
      <c r="IQ280" t="e">
        <f>ChangeLog!I37+"AM:!0)|"</f>
        <v>#VALUE!</v>
      </c>
      <c r="IR280" t="e">
        <f>ChangeLog!J37+"AM:!0)}"</f>
        <v>#VALUE!</v>
      </c>
      <c r="IS280" t="e">
        <f>ChangeLog!K37+"AM:!0)~"</f>
        <v>#VALUE!</v>
      </c>
      <c r="IT280" t="e">
        <f>ChangeLog!L37+"AM:!0.#"</f>
        <v>#VALUE!</v>
      </c>
      <c r="IU280" t="e">
        <f>ChangeLog!M37+"AM:!0.$"</f>
        <v>#VALUE!</v>
      </c>
      <c r="IV280" t="e">
        <f>ChangeLog!N37+"AM:!0.%"</f>
        <v>#VALUE!</v>
      </c>
    </row>
    <row r="281" spans="6:256">
      <c r="F281" t="e">
        <f>ChangeLog!O37+"AM:!0.&amp;"</f>
        <v>#VALUE!</v>
      </c>
      <c r="G281" t="e">
        <f>ChangeLog!P37+"AM:!0.'"</f>
        <v>#VALUE!</v>
      </c>
      <c r="H281" t="e">
        <f>ChangeLog!Q37+"AM:!0.("</f>
        <v>#VALUE!</v>
      </c>
      <c r="I281" t="e">
        <f>ChangeLog!R37+"AM:!0.)"</f>
        <v>#VALUE!</v>
      </c>
      <c r="J281" t="e">
        <f>ChangeLog!S37+"AM:!0.."</f>
        <v>#VALUE!</v>
      </c>
      <c r="K281" t="e">
        <f>ChangeLog!T37+"AM:!0./"</f>
        <v>#VALUE!</v>
      </c>
      <c r="L281" t="e">
        <f>ChangeLog!A38+"AM:!0.0"</f>
        <v>#VALUE!</v>
      </c>
      <c r="M281" t="e">
        <f>ChangeLog!B38+"AM:!0.1"</f>
        <v>#VALUE!</v>
      </c>
      <c r="N281" t="e">
        <f>ChangeLog!C38+"AM:!0.2"</f>
        <v>#VALUE!</v>
      </c>
      <c r="O281" t="e">
        <f>ChangeLog!D38+"AM:!0.3"</f>
        <v>#VALUE!</v>
      </c>
      <c r="P281" s="97" t="e">
        <f>ChangeLog!E38+"AM:!0.4"</f>
        <v>#VALUE!</v>
      </c>
      <c r="Q281" s="97" t="e">
        <f>ChangeLog!F38+"AM:!0.5"</f>
        <v>#VALUE!</v>
      </c>
      <c r="R281" t="e">
        <f>ChangeLog!G38+"AM:!0.6"</f>
        <v>#VALUE!</v>
      </c>
      <c r="S281" t="e">
        <f>ChangeLog!H38+"AM:!0.7"</f>
        <v>#VALUE!</v>
      </c>
      <c r="T281" t="e">
        <f>ChangeLog!I38+"AM:!0.8"</f>
        <v>#VALUE!</v>
      </c>
      <c r="U281" t="e">
        <f>ChangeLog!J38+"AM:!0.9"</f>
        <v>#VALUE!</v>
      </c>
      <c r="V281" t="e">
        <f>ChangeLog!K38+"AM:!0.:"</f>
        <v>#VALUE!</v>
      </c>
      <c r="W281" t="e">
        <f>ChangeLog!L38+"AM:!0.;"</f>
        <v>#VALUE!</v>
      </c>
      <c r="X281" t="e">
        <f>ChangeLog!M38+"AM:!0.&lt;"</f>
        <v>#VALUE!</v>
      </c>
      <c r="Y281" t="e">
        <f>ChangeLog!N38+"AM:!0.="</f>
        <v>#VALUE!</v>
      </c>
      <c r="Z281" t="e">
        <f>ChangeLog!O38+"AM:!0.&gt;"</f>
        <v>#VALUE!</v>
      </c>
      <c r="AA281" t="e">
        <f>ChangeLog!P38+"AM:!0.?"</f>
        <v>#VALUE!</v>
      </c>
      <c r="AB281" t="e">
        <f>ChangeLog!Q38+"AM:!0.@"</f>
        <v>#VALUE!</v>
      </c>
      <c r="AC281" t="e">
        <f>ChangeLog!R38+"AM:!0.A"</f>
        <v>#VALUE!</v>
      </c>
      <c r="AD281" t="e">
        <f>ChangeLog!S38+"AM:!0.B"</f>
        <v>#VALUE!</v>
      </c>
      <c r="AE281" t="e">
        <f>ChangeLog!T38+"AM:!0.C"</f>
        <v>#VALUE!</v>
      </c>
      <c r="AF281" t="e">
        <f>ChangeLog!A39+"AM:!0.D"</f>
        <v>#VALUE!</v>
      </c>
      <c r="AG281" t="e">
        <f>ChangeLog!B39+"AM:!0.E"</f>
        <v>#VALUE!</v>
      </c>
      <c r="AH281" t="e">
        <f>ChangeLog!C39+"AM:!0.F"</f>
        <v>#VALUE!</v>
      </c>
      <c r="AI281" t="e">
        <f>ChangeLog!D39+"AM:!0.G"</f>
        <v>#VALUE!</v>
      </c>
      <c r="AJ281" s="97" t="e">
        <f>ChangeLog!E39+"AM:!0.H"</f>
        <v>#VALUE!</v>
      </c>
      <c r="AK281" s="97" t="e">
        <f>ChangeLog!F39+"AM:!0.I"</f>
        <v>#VALUE!</v>
      </c>
      <c r="AL281" t="e">
        <f>ChangeLog!G39+"AM:!0.J"</f>
        <v>#VALUE!</v>
      </c>
      <c r="AM281" t="e">
        <f>ChangeLog!H39+"AM:!0.K"</f>
        <v>#VALUE!</v>
      </c>
      <c r="AN281" t="e">
        <f>ChangeLog!I39+"AM:!0.L"</f>
        <v>#VALUE!</v>
      </c>
      <c r="AO281" t="e">
        <f>ChangeLog!J39+"AM:!0.M"</f>
        <v>#VALUE!</v>
      </c>
      <c r="AP281" t="e">
        <f>ChangeLog!K39+"AM:!0.N"</f>
        <v>#VALUE!</v>
      </c>
      <c r="AQ281" t="e">
        <f>ChangeLog!L39+"AM:!0.O"</f>
        <v>#VALUE!</v>
      </c>
      <c r="AR281" t="e">
        <f>ChangeLog!M39+"AM:!0.P"</f>
        <v>#VALUE!</v>
      </c>
      <c r="AS281" t="e">
        <f>ChangeLog!N39+"AM:!0.Q"</f>
        <v>#VALUE!</v>
      </c>
      <c r="AT281" t="e">
        <f>ChangeLog!O39+"AM:!0.R"</f>
        <v>#VALUE!</v>
      </c>
      <c r="AU281" t="e">
        <f>ChangeLog!P39+"AM:!0.S"</f>
        <v>#VALUE!</v>
      </c>
      <c r="AV281" t="e">
        <f>ChangeLog!Q39+"AM:!0.T"</f>
        <v>#VALUE!</v>
      </c>
      <c r="AW281" t="e">
        <f>ChangeLog!R39+"AM:!0.U"</f>
        <v>#VALUE!</v>
      </c>
      <c r="AX281" t="e">
        <f>ChangeLog!S39+"AM:!0.V"</f>
        <v>#VALUE!</v>
      </c>
      <c r="AY281" t="e">
        <f>ChangeLog!T39+"AM:!0.W"</f>
        <v>#VALUE!</v>
      </c>
      <c r="AZ281" t="e">
        <f>ChangeLog!A40+"AM:!0.X"</f>
        <v>#VALUE!</v>
      </c>
      <c r="BA281" t="e">
        <f>ChangeLog!B40+"AM:!0.Y"</f>
        <v>#VALUE!</v>
      </c>
      <c r="BB281" t="e">
        <f>ChangeLog!C40+"AM:!0.Z"</f>
        <v>#VALUE!</v>
      </c>
      <c r="BC281" t="e">
        <f>ChangeLog!D40+"AM:!0.["</f>
        <v>#VALUE!</v>
      </c>
      <c r="BD281" s="97" t="e">
        <f>ChangeLog!E40+"AM:!0.\"</f>
        <v>#VALUE!</v>
      </c>
      <c r="BE281" s="97" t="e">
        <f>ChangeLog!F40+"AM:!0.]"</f>
        <v>#VALUE!</v>
      </c>
      <c r="BF281" t="e">
        <f>ChangeLog!G40+"AM:!0.^"</f>
        <v>#VALUE!</v>
      </c>
      <c r="BG281" t="e">
        <f>ChangeLog!H40+"AM:!0._"</f>
        <v>#VALUE!</v>
      </c>
      <c r="BH281" t="e">
        <f>ChangeLog!I40+"AM:!0.`"</f>
        <v>#VALUE!</v>
      </c>
      <c r="BI281" t="e">
        <f>ChangeLog!J40+"AM:!0.a"</f>
        <v>#VALUE!</v>
      </c>
      <c r="BJ281" t="e">
        <f>ChangeLog!K40+"AM:!0.b"</f>
        <v>#VALUE!</v>
      </c>
      <c r="BK281" t="e">
        <f>ChangeLog!L40+"AM:!0.c"</f>
        <v>#VALUE!</v>
      </c>
      <c r="BL281" t="e">
        <f>ChangeLog!M40+"AM:!0.d"</f>
        <v>#VALUE!</v>
      </c>
      <c r="BM281" t="e">
        <f>ChangeLog!N40+"AM:!0.e"</f>
        <v>#VALUE!</v>
      </c>
      <c r="BN281" t="e">
        <f>ChangeLog!O40+"AM:!0.f"</f>
        <v>#VALUE!</v>
      </c>
      <c r="BO281" t="e">
        <f>ChangeLog!P40+"AM:!0.g"</f>
        <v>#VALUE!</v>
      </c>
      <c r="BP281" t="e">
        <f>ChangeLog!Q40+"AM:!0.h"</f>
        <v>#VALUE!</v>
      </c>
      <c r="BQ281" t="e">
        <f>ChangeLog!R40+"AM:!0.i"</f>
        <v>#VALUE!</v>
      </c>
      <c r="BR281" t="e">
        <f>ChangeLog!S40+"AM:!0.j"</f>
        <v>#VALUE!</v>
      </c>
      <c r="BS281" t="e">
        <f>ChangeLog!T40+"AM:!0.k"</f>
        <v>#VALUE!</v>
      </c>
      <c r="BT281" t="e">
        <f>ChangeLog!A41+"AM:!0.l"</f>
        <v>#VALUE!</v>
      </c>
      <c r="BU281" t="e">
        <f>ChangeLog!B41+"AM:!0.m"</f>
        <v>#VALUE!</v>
      </c>
      <c r="BV281" t="e">
        <f>ChangeLog!C41+"AM:!0.n"</f>
        <v>#VALUE!</v>
      </c>
      <c r="BW281" t="e">
        <f>ChangeLog!D41+"AM:!0.o"</f>
        <v>#VALUE!</v>
      </c>
      <c r="BX281" s="97" t="e">
        <f>ChangeLog!E41+"AM:!0.p"</f>
        <v>#VALUE!</v>
      </c>
      <c r="BY281" s="97" t="e">
        <f>ChangeLog!F41+"AM:!0.q"</f>
        <v>#VALUE!</v>
      </c>
      <c r="BZ281" t="e">
        <f>ChangeLog!G41+"AM:!0.r"</f>
        <v>#VALUE!</v>
      </c>
      <c r="CA281" t="e">
        <f>ChangeLog!H41+"AM:!0.s"</f>
        <v>#VALUE!</v>
      </c>
      <c r="CB281" t="e">
        <f>ChangeLog!I41+"AM:!0.t"</f>
        <v>#VALUE!</v>
      </c>
      <c r="CC281" t="e">
        <f>ChangeLog!J41+"AM:!0.u"</f>
        <v>#VALUE!</v>
      </c>
      <c r="CD281" t="e">
        <f>ChangeLog!K41+"AM:!0.v"</f>
        <v>#VALUE!</v>
      </c>
      <c r="CE281" t="e">
        <f>ChangeLog!L41+"AM:!0.w"</f>
        <v>#VALUE!</v>
      </c>
      <c r="CF281" t="e">
        <f>ChangeLog!M41+"AM:!0.x"</f>
        <v>#VALUE!</v>
      </c>
      <c r="CG281" t="e">
        <f>ChangeLog!N41+"AM:!0.y"</f>
        <v>#VALUE!</v>
      </c>
      <c r="CH281" t="e">
        <f>ChangeLog!O41+"AM:!0.z"</f>
        <v>#VALUE!</v>
      </c>
      <c r="CI281" t="e">
        <f>ChangeLog!P41+"AM:!0.{"</f>
        <v>#VALUE!</v>
      </c>
      <c r="CJ281" t="e">
        <f>ChangeLog!Q41+"AM:!0.|"</f>
        <v>#VALUE!</v>
      </c>
      <c r="CK281" t="e">
        <f>ChangeLog!R41+"AM:!0.}"</f>
        <v>#VALUE!</v>
      </c>
      <c r="CL281" t="e">
        <f>ChangeLog!S41+"AM:!0.~"</f>
        <v>#VALUE!</v>
      </c>
      <c r="CM281" t="e">
        <f>ChangeLog!T41+"AM:!0/#"</f>
        <v>#VALUE!</v>
      </c>
      <c r="CN281" t="e">
        <f>ChangeLog!A42+"AM:!0/$"</f>
        <v>#VALUE!</v>
      </c>
      <c r="CO281" t="e">
        <f>ChangeLog!B42+"AM:!0/%"</f>
        <v>#VALUE!</v>
      </c>
      <c r="CP281" t="e">
        <f>ChangeLog!C42+"AM:!0/&amp;"</f>
        <v>#VALUE!</v>
      </c>
      <c r="CQ281" t="e">
        <f>ChangeLog!D42+"AM:!0/'"</f>
        <v>#VALUE!</v>
      </c>
      <c r="CR281" s="97" t="e">
        <f>ChangeLog!E42+"AM:!0/("</f>
        <v>#VALUE!</v>
      </c>
      <c r="CS281" s="97" t="e">
        <f>ChangeLog!F42+"AM:!0/)"</f>
        <v>#VALUE!</v>
      </c>
      <c r="CT281" t="e">
        <f>ChangeLog!G42+"AM:!0/."</f>
        <v>#VALUE!</v>
      </c>
      <c r="CU281" t="e">
        <f>ChangeLog!H42+"AM:!0//"</f>
        <v>#VALUE!</v>
      </c>
      <c r="CV281" t="e">
        <f>ChangeLog!I42+"AM:!0/0"</f>
        <v>#VALUE!</v>
      </c>
      <c r="CW281" t="e">
        <f>ChangeLog!J42+"AM:!0/1"</f>
        <v>#VALUE!</v>
      </c>
      <c r="CX281" t="e">
        <f>ChangeLog!K42+"AM:!0/2"</f>
        <v>#VALUE!</v>
      </c>
      <c r="CY281" t="e">
        <f>ChangeLog!L42+"AM:!0/3"</f>
        <v>#VALUE!</v>
      </c>
      <c r="CZ281" t="e">
        <f>ChangeLog!M42+"AM:!0/4"</f>
        <v>#VALUE!</v>
      </c>
      <c r="DA281" t="e">
        <f>ChangeLog!N42+"AM:!0/5"</f>
        <v>#VALUE!</v>
      </c>
      <c r="DB281" t="e">
        <f>ChangeLog!O42+"AM:!0/6"</f>
        <v>#VALUE!</v>
      </c>
      <c r="DC281" t="e">
        <f>ChangeLog!P42+"AM:!0/7"</f>
        <v>#VALUE!</v>
      </c>
      <c r="DD281" t="e">
        <f>ChangeLog!Q42+"AM:!0/8"</f>
        <v>#VALUE!</v>
      </c>
      <c r="DE281" t="e">
        <f>ChangeLog!R42+"AM:!0/9"</f>
        <v>#VALUE!</v>
      </c>
      <c r="DF281" t="e">
        <f>ChangeLog!S42+"AM:!0/:"</f>
        <v>#VALUE!</v>
      </c>
      <c r="DG281" t="e">
        <f>ChangeLog!T42+"AM:!0/;"</f>
        <v>#VALUE!</v>
      </c>
      <c r="DH281" t="e">
        <f>ChangeLog!A43+"AM:!0/&lt;"</f>
        <v>#VALUE!</v>
      </c>
      <c r="DI281" t="e">
        <f>ChangeLog!B43+"AM:!0/="</f>
        <v>#VALUE!</v>
      </c>
      <c r="DJ281" t="e">
        <f>ChangeLog!C43+"AM:!0/&gt;"</f>
        <v>#VALUE!</v>
      </c>
      <c r="DK281" t="e">
        <f>ChangeLog!D43+"AM:!0/?"</f>
        <v>#VALUE!</v>
      </c>
      <c r="DL281" s="97" t="e">
        <f>ChangeLog!E43+"AM:!0/@"</f>
        <v>#VALUE!</v>
      </c>
      <c r="DM281" s="97" t="e">
        <f>ChangeLog!F43+"AM:!0/A"</f>
        <v>#VALUE!</v>
      </c>
      <c r="DN281" t="e">
        <f>ChangeLog!G43+"AM:!0/B"</f>
        <v>#VALUE!</v>
      </c>
      <c r="DO281" t="e">
        <f>ChangeLog!H43+"AM:!0/C"</f>
        <v>#VALUE!</v>
      </c>
      <c r="DP281" t="e">
        <f>ChangeLog!I43+"AM:!0/D"</f>
        <v>#VALUE!</v>
      </c>
      <c r="DQ281" t="e">
        <f>ChangeLog!J43+"AM:!0/E"</f>
        <v>#VALUE!</v>
      </c>
      <c r="DR281" t="e">
        <f>ChangeLog!K43+"AM:!0/F"</f>
        <v>#VALUE!</v>
      </c>
      <c r="DS281" t="e">
        <f>ChangeLog!L43+"AM:!0/G"</f>
        <v>#VALUE!</v>
      </c>
      <c r="DT281" t="e">
        <f>ChangeLog!M43+"AM:!0/H"</f>
        <v>#VALUE!</v>
      </c>
      <c r="DU281" t="e">
        <f>ChangeLog!N43+"AM:!0/I"</f>
        <v>#VALUE!</v>
      </c>
      <c r="DV281" t="e">
        <f>ChangeLog!O43+"AM:!0/J"</f>
        <v>#VALUE!</v>
      </c>
      <c r="DW281" t="e">
        <f>ChangeLog!P43+"AM:!0/K"</f>
        <v>#VALUE!</v>
      </c>
      <c r="DX281" t="e">
        <f>ChangeLog!Q43+"AM:!0/L"</f>
        <v>#VALUE!</v>
      </c>
      <c r="DY281" t="e">
        <f>ChangeLog!R43+"AM:!0/M"</f>
        <v>#VALUE!</v>
      </c>
      <c r="DZ281" t="e">
        <f>ChangeLog!S43+"AM:!0/N"</f>
        <v>#VALUE!</v>
      </c>
      <c r="EA281" t="e">
        <f>ChangeLog!T43+"AM:!0/O"</f>
        <v>#VALUE!</v>
      </c>
      <c r="EB281" t="e">
        <f>ChangeLog!A44+"AM:!0/P"</f>
        <v>#VALUE!</v>
      </c>
      <c r="EC281" t="e">
        <f>ChangeLog!B44+"AM:!0/Q"</f>
        <v>#VALUE!</v>
      </c>
      <c r="ED281" t="e">
        <f>ChangeLog!C44+"AM:!0/R"</f>
        <v>#VALUE!</v>
      </c>
      <c r="EE281" t="e">
        <f>ChangeLog!D44+"AM:!0/S"</f>
        <v>#VALUE!</v>
      </c>
      <c r="EF281" s="97" t="e">
        <f>ChangeLog!E44+"AM:!0/T"</f>
        <v>#VALUE!</v>
      </c>
      <c r="EG281" s="97" t="e">
        <f>ChangeLog!F44+"AM:!0/U"</f>
        <v>#VALUE!</v>
      </c>
      <c r="EH281" t="e">
        <f>ChangeLog!G44+"AM:!0/V"</f>
        <v>#VALUE!</v>
      </c>
      <c r="EI281" t="e">
        <f>ChangeLog!H44+"AM:!0/W"</f>
        <v>#VALUE!</v>
      </c>
      <c r="EJ281" t="e">
        <f>ChangeLog!I44+"AM:!0/X"</f>
        <v>#VALUE!</v>
      </c>
      <c r="EK281" t="e">
        <f>ChangeLog!J44+"AM:!0/Y"</f>
        <v>#VALUE!</v>
      </c>
      <c r="EL281" t="e">
        <f>ChangeLog!K44+"AM:!0/Z"</f>
        <v>#VALUE!</v>
      </c>
      <c r="EM281" t="e">
        <f>ChangeLog!L44+"AM:!0/["</f>
        <v>#VALUE!</v>
      </c>
      <c r="EN281" t="e">
        <f>ChangeLog!M44+"AM:!0/\"</f>
        <v>#VALUE!</v>
      </c>
      <c r="EO281" t="e">
        <f>ChangeLog!N44+"AM:!0/]"</f>
        <v>#VALUE!</v>
      </c>
      <c r="EP281" t="e">
        <f>ChangeLog!O44+"AM:!0/^"</f>
        <v>#VALUE!</v>
      </c>
      <c r="EQ281" t="e">
        <f>ChangeLog!P44+"AM:!0/_"</f>
        <v>#VALUE!</v>
      </c>
      <c r="ER281" t="e">
        <f>ChangeLog!Q44+"AM:!0/`"</f>
        <v>#VALUE!</v>
      </c>
      <c r="ES281" t="e">
        <f>ChangeLog!R44+"AM:!0/a"</f>
        <v>#VALUE!</v>
      </c>
      <c r="ET281" t="e">
        <f>ChangeLog!S44+"AM:!0/b"</f>
        <v>#VALUE!</v>
      </c>
      <c r="EU281" t="e">
        <f>ChangeLog!T44+"AM:!0/c"</f>
        <v>#VALUE!</v>
      </c>
      <c r="EV281" t="e">
        <f>ChangeLog!A45+"AM:!0/d"</f>
        <v>#VALUE!</v>
      </c>
      <c r="EW281" t="e">
        <f>ChangeLog!B45+"AM:!0/e"</f>
        <v>#VALUE!</v>
      </c>
      <c r="EX281" t="e">
        <f>ChangeLog!C45+"AM:!0/f"</f>
        <v>#VALUE!</v>
      </c>
      <c r="EY281" t="e">
        <f>ChangeLog!D45+"AM:!0/g"</f>
        <v>#VALUE!</v>
      </c>
      <c r="EZ281" s="97" t="e">
        <f>ChangeLog!E45+"AM:!0/h"</f>
        <v>#VALUE!</v>
      </c>
      <c r="FA281" s="97" t="e">
        <f>ChangeLog!F45+"AM:!0/i"</f>
        <v>#VALUE!</v>
      </c>
      <c r="FB281" t="e">
        <f>ChangeLog!G45+"AM:!0/j"</f>
        <v>#VALUE!</v>
      </c>
      <c r="FC281" t="e">
        <f>ChangeLog!H45+"AM:!0/k"</f>
        <v>#VALUE!</v>
      </c>
      <c r="FD281" t="e">
        <f>ChangeLog!I45+"AM:!0/l"</f>
        <v>#VALUE!</v>
      </c>
      <c r="FE281" t="e">
        <f>ChangeLog!J45+"AM:!0/m"</f>
        <v>#VALUE!</v>
      </c>
      <c r="FF281" t="e">
        <f>ChangeLog!K45+"AM:!0/n"</f>
        <v>#VALUE!</v>
      </c>
      <c r="FG281" t="e">
        <f>ChangeLog!L45+"AM:!0/o"</f>
        <v>#VALUE!</v>
      </c>
      <c r="FH281" t="e">
        <f>ChangeLog!M45+"AM:!0/p"</f>
        <v>#VALUE!</v>
      </c>
      <c r="FI281" t="e">
        <f>ChangeLog!N45+"AM:!0/q"</f>
        <v>#VALUE!</v>
      </c>
      <c r="FJ281" t="e">
        <f>ChangeLog!O45+"AM:!0/r"</f>
        <v>#VALUE!</v>
      </c>
      <c r="FK281" t="e">
        <f>ChangeLog!P45+"AM:!0/s"</f>
        <v>#VALUE!</v>
      </c>
      <c r="FL281" t="e">
        <f>ChangeLog!Q45+"AM:!0/t"</f>
        <v>#VALUE!</v>
      </c>
      <c r="FM281" t="e">
        <f>ChangeLog!R45+"AM:!0/u"</f>
        <v>#VALUE!</v>
      </c>
      <c r="FN281" t="e">
        <f>ChangeLog!S45+"AM:!0/v"</f>
        <v>#VALUE!</v>
      </c>
      <c r="FO281" t="e">
        <f>ChangeLog!T45+"AM:!0/w"</f>
        <v>#VALUE!</v>
      </c>
      <c r="FP281" t="e">
        <f>ChangeLog!A46+"AM:!0/x"</f>
        <v>#VALUE!</v>
      </c>
      <c r="FQ281" t="e">
        <f>ChangeLog!B46+"AM:!0/y"</f>
        <v>#VALUE!</v>
      </c>
      <c r="FR281" t="e">
        <f>ChangeLog!C46+"AM:!0/z"</f>
        <v>#VALUE!</v>
      </c>
      <c r="FS281" t="e">
        <f>ChangeLog!D46+"AM:!0/{"</f>
        <v>#VALUE!</v>
      </c>
      <c r="FT281" s="97" t="e">
        <f>ChangeLog!E46+"AM:!0/|"</f>
        <v>#VALUE!</v>
      </c>
      <c r="FU281" s="97" t="e">
        <f>ChangeLog!F46+"AM:!0/}"</f>
        <v>#VALUE!</v>
      </c>
      <c r="FV281" t="e">
        <f>ChangeLog!G46+"AM:!0/~"</f>
        <v>#VALUE!</v>
      </c>
      <c r="FW281" t="e">
        <f>ChangeLog!H46+"AM:!00#"</f>
        <v>#VALUE!</v>
      </c>
      <c r="FX281" t="e">
        <f>ChangeLog!I46+"AM:!00$"</f>
        <v>#VALUE!</v>
      </c>
      <c r="FY281" t="e">
        <f>ChangeLog!J46+"AM:!00%"</f>
        <v>#VALUE!</v>
      </c>
      <c r="FZ281" t="e">
        <f>ChangeLog!K46+"AM:!00&amp;"</f>
        <v>#VALUE!</v>
      </c>
      <c r="GA281" t="e">
        <f>ChangeLog!L46+"AM:!00'"</f>
        <v>#VALUE!</v>
      </c>
      <c r="GB281" t="e">
        <f>ChangeLog!M46+"AM:!00("</f>
        <v>#VALUE!</v>
      </c>
      <c r="GC281" t="e">
        <f>ChangeLog!N46+"AM:!00)"</f>
        <v>#VALUE!</v>
      </c>
      <c r="GD281" t="e">
        <f>ChangeLog!O46+"AM:!00."</f>
        <v>#VALUE!</v>
      </c>
      <c r="GE281" t="e">
        <f>ChangeLog!P46+"AM:!00/"</f>
        <v>#VALUE!</v>
      </c>
      <c r="GF281" t="e">
        <f>ChangeLog!Q46+"AM:!000"</f>
        <v>#VALUE!</v>
      </c>
      <c r="GG281" t="e">
        <f>ChangeLog!R46+"AM:!001"</f>
        <v>#VALUE!</v>
      </c>
      <c r="GH281" t="e">
        <f>ChangeLog!S46+"AM:!002"</f>
        <v>#VALUE!</v>
      </c>
      <c r="GI281" t="e">
        <f>ChangeLog!T46+"AM:!003"</f>
        <v>#VALUE!</v>
      </c>
      <c r="GJ281" t="e">
        <f>ChangeLog!A47+"AM:!004"</f>
        <v>#VALUE!</v>
      </c>
      <c r="GK281" t="e">
        <f>ChangeLog!B47+"AM:!005"</f>
        <v>#VALUE!</v>
      </c>
      <c r="GL281" t="e">
        <f>ChangeLog!C47+"AM:!006"</f>
        <v>#VALUE!</v>
      </c>
      <c r="GM281" t="e">
        <f>ChangeLog!D47+"AM:!007"</f>
        <v>#VALUE!</v>
      </c>
      <c r="GN281" s="97" t="e">
        <f>ChangeLog!E47+"AM:!008"</f>
        <v>#VALUE!</v>
      </c>
      <c r="GO281" s="97" t="e">
        <f>ChangeLog!F47+"AM:!009"</f>
        <v>#VALUE!</v>
      </c>
      <c r="GP281" t="e">
        <f>ChangeLog!G47+"AM:!00:"</f>
        <v>#VALUE!</v>
      </c>
      <c r="GQ281" t="e">
        <f>ChangeLog!H47+"AM:!00;"</f>
        <v>#VALUE!</v>
      </c>
      <c r="GR281" t="e">
        <f>ChangeLog!I47+"AM:!00&lt;"</f>
        <v>#VALUE!</v>
      </c>
      <c r="GS281" t="e">
        <f>ChangeLog!J47+"AM:!00="</f>
        <v>#VALUE!</v>
      </c>
      <c r="GT281" t="e">
        <f>ChangeLog!K47+"AM:!00&gt;"</f>
        <v>#VALUE!</v>
      </c>
      <c r="GU281" t="e">
        <f>ChangeLog!L47+"AM:!00?"</f>
        <v>#VALUE!</v>
      </c>
      <c r="GV281" t="e">
        <f>ChangeLog!M47+"AM:!00@"</f>
        <v>#VALUE!</v>
      </c>
      <c r="GW281" t="e">
        <f>ChangeLog!N47+"AM:!00A"</f>
        <v>#VALUE!</v>
      </c>
      <c r="GX281" t="e">
        <f>ChangeLog!O47+"AM:!00B"</f>
        <v>#VALUE!</v>
      </c>
      <c r="GY281" t="e">
        <f>ChangeLog!P47+"AM:!00C"</f>
        <v>#VALUE!</v>
      </c>
      <c r="GZ281" t="e">
        <f>ChangeLog!Q47+"AM:!00D"</f>
        <v>#VALUE!</v>
      </c>
      <c r="HA281" t="e">
        <f>ChangeLog!R47+"AM:!00E"</f>
        <v>#VALUE!</v>
      </c>
      <c r="HB281" t="e">
        <f>ChangeLog!S47+"AM:!00F"</f>
        <v>#VALUE!</v>
      </c>
      <c r="HC281" t="e">
        <f>ChangeLog!T47+"AM:!00G"</f>
        <v>#VALUE!</v>
      </c>
      <c r="HD281" t="e">
        <f>ChangeLog!A48+"AM:!00H"</f>
        <v>#VALUE!</v>
      </c>
      <c r="HE281" t="e">
        <f>ChangeLog!B48+"AM:!00I"</f>
        <v>#VALUE!</v>
      </c>
      <c r="HF281" t="e">
        <f>ChangeLog!C48+"AM:!00J"</f>
        <v>#VALUE!</v>
      </c>
      <c r="HG281" t="e">
        <f>ChangeLog!D48+"AM:!00K"</f>
        <v>#VALUE!</v>
      </c>
      <c r="HH281" s="97" t="e">
        <f>ChangeLog!E48+"AM:!00L"</f>
        <v>#VALUE!</v>
      </c>
      <c r="HI281" s="97" t="e">
        <f>ChangeLog!F48+"AM:!00M"</f>
        <v>#VALUE!</v>
      </c>
      <c r="HJ281" t="e">
        <f>ChangeLog!G48+"AM:!00N"</f>
        <v>#VALUE!</v>
      </c>
      <c r="HK281" t="e">
        <f>ChangeLog!H48+"AM:!00O"</f>
        <v>#VALUE!</v>
      </c>
      <c r="HL281" t="e">
        <f>ChangeLog!I48+"AM:!00P"</f>
        <v>#VALUE!</v>
      </c>
      <c r="HM281" t="e">
        <f>ChangeLog!J48+"AM:!00Q"</f>
        <v>#VALUE!</v>
      </c>
      <c r="HN281" t="e">
        <f>ChangeLog!K48+"AM:!00R"</f>
        <v>#VALUE!</v>
      </c>
      <c r="HO281" t="e">
        <f>ChangeLog!L48+"AM:!00S"</f>
        <v>#VALUE!</v>
      </c>
      <c r="HP281" t="e">
        <f>ChangeLog!M48+"AM:!00T"</f>
        <v>#VALUE!</v>
      </c>
      <c r="HQ281" t="e">
        <f>ChangeLog!N48+"AM:!00U"</f>
        <v>#VALUE!</v>
      </c>
      <c r="HR281" t="e">
        <f>ChangeLog!O48+"AM:!00V"</f>
        <v>#VALUE!</v>
      </c>
      <c r="HS281" t="e">
        <f>ChangeLog!P48+"AM:!00W"</f>
        <v>#VALUE!</v>
      </c>
      <c r="HT281" t="e">
        <f>ChangeLog!Q48+"AM:!00X"</f>
        <v>#VALUE!</v>
      </c>
      <c r="HU281" t="e">
        <f>ChangeLog!R48+"AM:!00Y"</f>
        <v>#VALUE!</v>
      </c>
      <c r="HV281" t="e">
        <f>ChangeLog!S48+"AM:!00Z"</f>
        <v>#VALUE!</v>
      </c>
      <c r="HW281" t="e">
        <f>ChangeLog!T48+"AM:!00["</f>
        <v>#VALUE!</v>
      </c>
      <c r="HX281" t="e">
        <f>ChangeLog!A49+"AM:!00\"</f>
        <v>#VALUE!</v>
      </c>
      <c r="HY281" t="e">
        <f>ChangeLog!B49+"AM:!00]"</f>
        <v>#VALUE!</v>
      </c>
      <c r="HZ281" t="e">
        <f>ChangeLog!C49+"AM:!00^"</f>
        <v>#VALUE!</v>
      </c>
      <c r="IA281" t="e">
        <f>ChangeLog!D49+"AM:!00_"</f>
        <v>#VALUE!</v>
      </c>
      <c r="IB281" s="97" t="e">
        <f>ChangeLog!E49+"AM:!00`"</f>
        <v>#VALUE!</v>
      </c>
      <c r="IC281" s="97" t="e">
        <f>ChangeLog!F49+"AM:!00a"</f>
        <v>#VALUE!</v>
      </c>
      <c r="ID281" t="e">
        <f>ChangeLog!G49+"AM:!00b"</f>
        <v>#VALUE!</v>
      </c>
      <c r="IE281" t="e">
        <f>ChangeLog!H49+"AM:!00c"</f>
        <v>#VALUE!</v>
      </c>
      <c r="IF281" t="e">
        <f>ChangeLog!I49+"AM:!00d"</f>
        <v>#VALUE!</v>
      </c>
      <c r="IG281" t="e">
        <f>ChangeLog!J49+"AM:!00e"</f>
        <v>#VALUE!</v>
      </c>
      <c r="IH281" t="e">
        <f>ChangeLog!K49+"AM:!00f"</f>
        <v>#VALUE!</v>
      </c>
      <c r="II281" t="e">
        <f>ChangeLog!L49+"AM:!00g"</f>
        <v>#VALUE!</v>
      </c>
      <c r="IJ281" t="e">
        <f>ChangeLog!M49+"AM:!00h"</f>
        <v>#VALUE!</v>
      </c>
      <c r="IK281" t="e">
        <f>ChangeLog!N49+"AM:!00i"</f>
        <v>#VALUE!</v>
      </c>
      <c r="IL281" t="e">
        <f>ChangeLog!O49+"AM:!00j"</f>
        <v>#VALUE!</v>
      </c>
      <c r="IM281" t="e">
        <f>ChangeLog!P49+"AM:!00k"</f>
        <v>#VALUE!</v>
      </c>
      <c r="IN281" t="e">
        <f>ChangeLog!Q49+"AM:!00l"</f>
        <v>#VALUE!</v>
      </c>
      <c r="IO281" t="e">
        <f>ChangeLog!R49+"AM:!00m"</f>
        <v>#VALUE!</v>
      </c>
      <c r="IP281" t="e">
        <f>ChangeLog!S49+"AM:!00n"</f>
        <v>#VALUE!</v>
      </c>
      <c r="IQ281" t="e">
        <f>ChangeLog!T49+"AM:!00o"</f>
        <v>#VALUE!</v>
      </c>
      <c r="IR281" t="e">
        <f>ChangeLog!A50+"AM:!00p"</f>
        <v>#VALUE!</v>
      </c>
      <c r="IS281" t="e">
        <f>ChangeLog!B50+"AM:!00q"</f>
        <v>#VALUE!</v>
      </c>
      <c r="IT281" t="e">
        <f>ChangeLog!C50+"AM:!00r"</f>
        <v>#VALUE!</v>
      </c>
      <c r="IU281" t="e">
        <f>ChangeLog!D50+"AM:!00s"</f>
        <v>#VALUE!</v>
      </c>
      <c r="IV281" s="97" t="e">
        <f>ChangeLog!E50+"AM:!00t"</f>
        <v>#VALUE!</v>
      </c>
    </row>
    <row r="282" spans="6:256">
      <c r="F282" s="97" t="e">
        <f>ChangeLog!F50+"AM:!00u"</f>
        <v>#VALUE!</v>
      </c>
      <c r="G282" t="e">
        <f>ChangeLog!G50+"AM:!00v"</f>
        <v>#VALUE!</v>
      </c>
      <c r="H282" t="e">
        <f>ChangeLog!H50+"AM:!00w"</f>
        <v>#VALUE!</v>
      </c>
      <c r="I282" t="e">
        <f>ChangeLog!I50+"AM:!00x"</f>
        <v>#VALUE!</v>
      </c>
      <c r="J282" t="e">
        <f>ChangeLog!J50+"AM:!00y"</f>
        <v>#VALUE!</v>
      </c>
      <c r="K282" t="e">
        <f>ChangeLog!K50+"AM:!00z"</f>
        <v>#VALUE!</v>
      </c>
      <c r="L282" t="e">
        <f>ChangeLog!L50+"AM:!00{"</f>
        <v>#VALUE!</v>
      </c>
      <c r="M282" t="e">
        <f>ChangeLog!M50+"AM:!00|"</f>
        <v>#VALUE!</v>
      </c>
      <c r="N282" t="e">
        <f>ChangeLog!N50+"AM:!00}"</f>
        <v>#VALUE!</v>
      </c>
      <c r="O282" t="e">
        <f>ChangeLog!O50+"AM:!00~"</f>
        <v>#VALUE!</v>
      </c>
      <c r="P282" t="e">
        <f>ChangeLog!P50+"AM:!01#"</f>
        <v>#VALUE!</v>
      </c>
      <c r="Q282" t="e">
        <f>ChangeLog!Q50+"AM:!01$"</f>
        <v>#VALUE!</v>
      </c>
      <c r="R282" t="e">
        <f>ChangeLog!R50+"AM:!01%"</f>
        <v>#VALUE!</v>
      </c>
      <c r="S282" t="e">
        <f>ChangeLog!S50+"AM:!01&amp;"</f>
        <v>#VALUE!</v>
      </c>
      <c r="T282" t="e">
        <f>ChangeLog!T50+"AM:!01'"</f>
        <v>#VALUE!</v>
      </c>
      <c r="U282" t="e">
        <f>ChangeLog!A51+"AM:!01("</f>
        <v>#VALUE!</v>
      </c>
      <c r="V282" t="e">
        <f>ChangeLog!B51+"AM:!01)"</f>
        <v>#VALUE!</v>
      </c>
      <c r="W282" t="e">
        <f>ChangeLog!C51+"AM:!01."</f>
        <v>#VALUE!</v>
      </c>
      <c r="X282" t="e">
        <f>ChangeLog!D51+"AM:!01/"</f>
        <v>#VALUE!</v>
      </c>
      <c r="Y282" s="97" t="e">
        <f>ChangeLog!E51+"AM:!010"</f>
        <v>#VALUE!</v>
      </c>
      <c r="Z282" s="97" t="e">
        <f>ChangeLog!F51+"AM:!011"</f>
        <v>#VALUE!</v>
      </c>
      <c r="AA282" t="e">
        <f>ChangeLog!G51+"AM:!012"</f>
        <v>#VALUE!</v>
      </c>
      <c r="AB282" t="e">
        <f>ChangeLog!H51+"AM:!013"</f>
        <v>#VALUE!</v>
      </c>
      <c r="AC282" t="e">
        <f>ChangeLog!I51+"AM:!014"</f>
        <v>#VALUE!</v>
      </c>
      <c r="AD282" t="e">
        <f>ChangeLog!J51+"AM:!015"</f>
        <v>#VALUE!</v>
      </c>
      <c r="AE282" t="e">
        <f>ChangeLog!K51+"AM:!016"</f>
        <v>#VALUE!</v>
      </c>
      <c r="AF282" t="e">
        <f>ChangeLog!L51+"AM:!017"</f>
        <v>#VALUE!</v>
      </c>
      <c r="AG282" t="e">
        <f>ChangeLog!M51+"AM:!018"</f>
        <v>#VALUE!</v>
      </c>
      <c r="AH282" t="e">
        <f>ChangeLog!N51+"AM:!019"</f>
        <v>#VALUE!</v>
      </c>
      <c r="AI282" t="e">
        <f>ChangeLog!O51+"AM:!01:"</f>
        <v>#VALUE!</v>
      </c>
      <c r="AJ282" t="e">
        <f>ChangeLog!P51+"AM:!01;"</f>
        <v>#VALUE!</v>
      </c>
      <c r="AK282" t="e">
        <f>ChangeLog!Q51+"AM:!01&lt;"</f>
        <v>#VALUE!</v>
      </c>
      <c r="AL282" t="e">
        <f>ChangeLog!R51+"AM:!01="</f>
        <v>#VALUE!</v>
      </c>
      <c r="AM282" t="e">
        <f>ChangeLog!S51+"AM:!01&gt;"</f>
        <v>#VALUE!</v>
      </c>
      <c r="AN282" t="e">
        <f>ChangeLog!T51+"AM:!01?"</f>
        <v>#VALUE!</v>
      </c>
      <c r="AO282" t="e">
        <f>ChangeLog!A52+"AM:!01@"</f>
        <v>#VALUE!</v>
      </c>
      <c r="AP282" t="e">
        <f>ChangeLog!B52+"AM:!01A"</f>
        <v>#VALUE!</v>
      </c>
      <c r="AQ282" t="e">
        <f>ChangeLog!C52+"AM:!01B"</f>
        <v>#VALUE!</v>
      </c>
      <c r="AR282" t="e">
        <f>ChangeLog!D52+"AM:!01C"</f>
        <v>#VALUE!</v>
      </c>
      <c r="AS282" s="97" t="e">
        <f>ChangeLog!E52+"AM:!01D"</f>
        <v>#VALUE!</v>
      </c>
      <c r="AT282" s="97" t="e">
        <f>ChangeLog!F52+"AM:!01E"</f>
        <v>#VALUE!</v>
      </c>
      <c r="AU282" t="e">
        <f>ChangeLog!G52+"AM:!01F"</f>
        <v>#VALUE!</v>
      </c>
      <c r="AV282" t="e">
        <f>ChangeLog!H52+"AM:!01G"</f>
        <v>#VALUE!</v>
      </c>
      <c r="AW282" t="e">
        <f>ChangeLog!I52+"AM:!01H"</f>
        <v>#VALUE!</v>
      </c>
      <c r="AX282" t="e">
        <f>ChangeLog!J52+"AM:!01I"</f>
        <v>#VALUE!</v>
      </c>
      <c r="AY282" t="e">
        <f>ChangeLog!K52+"AM:!01J"</f>
        <v>#VALUE!</v>
      </c>
      <c r="AZ282" t="e">
        <f>ChangeLog!L52+"AM:!01K"</f>
        <v>#VALUE!</v>
      </c>
      <c r="BA282" t="e">
        <f>ChangeLog!M52+"AM:!01L"</f>
        <v>#VALUE!</v>
      </c>
      <c r="BB282" t="e">
        <f>ChangeLog!N52+"AM:!01M"</f>
        <v>#VALUE!</v>
      </c>
      <c r="BC282" t="e">
        <f>ChangeLog!O52+"AM:!01N"</f>
        <v>#VALUE!</v>
      </c>
      <c r="BD282" t="e">
        <f>ChangeLog!P52+"AM:!01O"</f>
        <v>#VALUE!</v>
      </c>
      <c r="BE282" t="e">
        <f>ChangeLog!Q52+"AM:!01P"</f>
        <v>#VALUE!</v>
      </c>
      <c r="BF282" t="e">
        <f>ChangeLog!R52+"AM:!01Q"</f>
        <v>#VALUE!</v>
      </c>
      <c r="BG282" t="e">
        <f>ChangeLog!S52+"AM:!01R"</f>
        <v>#VALUE!</v>
      </c>
      <c r="BH282" t="e">
        <f>ChangeLog!T52+"AM:!01S"</f>
        <v>#VALUE!</v>
      </c>
      <c r="BI282" t="e">
        <f>ChangeLog!A53+"AM:!01T"</f>
        <v>#VALUE!</v>
      </c>
      <c r="BJ282" t="e">
        <f>ChangeLog!B53+"AM:!01U"</f>
        <v>#VALUE!</v>
      </c>
      <c r="BK282" t="e">
        <f>ChangeLog!C53+"AM:!01V"</f>
        <v>#VALUE!</v>
      </c>
      <c r="BL282" t="e">
        <f>ChangeLog!D53+"AM:!01W"</f>
        <v>#VALUE!</v>
      </c>
      <c r="BM282" s="97" t="e">
        <f>ChangeLog!E53+"AM:!01X"</f>
        <v>#VALUE!</v>
      </c>
      <c r="BN282" s="97" t="e">
        <f>ChangeLog!F53+"AM:!01Y"</f>
        <v>#VALUE!</v>
      </c>
      <c r="BO282" t="e">
        <f>ChangeLog!G53+"AM:!01Z"</f>
        <v>#VALUE!</v>
      </c>
      <c r="BP282" t="e">
        <f>ChangeLog!H53+"AM:!01["</f>
        <v>#VALUE!</v>
      </c>
      <c r="BQ282" t="e">
        <f>ChangeLog!I53+"AM:!01\"</f>
        <v>#VALUE!</v>
      </c>
      <c r="BR282" t="e">
        <f>ChangeLog!J53+"AM:!01]"</f>
        <v>#VALUE!</v>
      </c>
      <c r="BS282" t="e">
        <f>ChangeLog!K53+"AM:!01^"</f>
        <v>#VALUE!</v>
      </c>
      <c r="BT282" t="e">
        <f>ChangeLog!L53+"AM:!01_"</f>
        <v>#VALUE!</v>
      </c>
      <c r="BU282" t="e">
        <f>ChangeLog!M53+"AM:!01`"</f>
        <v>#VALUE!</v>
      </c>
      <c r="BV282" t="e">
        <f>ChangeLog!N53+"AM:!01a"</f>
        <v>#VALUE!</v>
      </c>
      <c r="BW282" t="e">
        <f>ChangeLog!O53+"AM:!01b"</f>
        <v>#VALUE!</v>
      </c>
      <c r="BX282" t="e">
        <f>ChangeLog!P53+"AM:!01c"</f>
        <v>#VALUE!</v>
      </c>
      <c r="BY282" t="e">
        <f>ChangeLog!Q53+"AM:!01d"</f>
        <v>#VALUE!</v>
      </c>
      <c r="BZ282" t="e">
        <f>ChangeLog!R53+"AM:!01e"</f>
        <v>#VALUE!</v>
      </c>
      <c r="CA282" t="e">
        <f>ChangeLog!S53+"AM:!01f"</f>
        <v>#VALUE!</v>
      </c>
      <c r="CB282" t="e">
        <f>ChangeLog!T53+"AM:!01g"</f>
        <v>#VALUE!</v>
      </c>
      <c r="CC282" t="e">
        <f>ChangeLog!A54+"AM:!01h"</f>
        <v>#VALUE!</v>
      </c>
      <c r="CD282" t="e">
        <f>ChangeLog!B54+"AM:!01i"</f>
        <v>#VALUE!</v>
      </c>
      <c r="CE282" t="e">
        <f>ChangeLog!C54+"AM:!01j"</f>
        <v>#VALUE!</v>
      </c>
      <c r="CF282" t="e">
        <f>ChangeLog!D54+"AM:!01k"</f>
        <v>#VALUE!</v>
      </c>
      <c r="CG282" s="97" t="e">
        <f>ChangeLog!E54+"AM:!01l"</f>
        <v>#VALUE!</v>
      </c>
      <c r="CH282" s="97" t="e">
        <f>ChangeLog!F54+"AM:!01m"</f>
        <v>#VALUE!</v>
      </c>
      <c r="CI282" t="e">
        <f>ChangeLog!G54+"AM:!01n"</f>
        <v>#VALUE!</v>
      </c>
      <c r="CJ282" t="e">
        <f>ChangeLog!H54+"AM:!01o"</f>
        <v>#VALUE!</v>
      </c>
      <c r="CK282" t="e">
        <f>ChangeLog!I54+"AM:!01p"</f>
        <v>#VALUE!</v>
      </c>
      <c r="CL282" t="e">
        <f>ChangeLog!J54+"AM:!01q"</f>
        <v>#VALUE!</v>
      </c>
      <c r="CM282" t="e">
        <f>ChangeLog!K54+"AM:!01r"</f>
        <v>#VALUE!</v>
      </c>
      <c r="CN282" t="e">
        <f>ChangeLog!L54+"AM:!01s"</f>
        <v>#VALUE!</v>
      </c>
      <c r="CO282" t="e">
        <f>ChangeLog!M54+"AM:!01t"</f>
        <v>#VALUE!</v>
      </c>
      <c r="CP282" t="e">
        <f>ChangeLog!N54+"AM:!01u"</f>
        <v>#VALUE!</v>
      </c>
      <c r="CQ282" t="e">
        <f>ChangeLog!O54+"AM:!01v"</f>
        <v>#VALUE!</v>
      </c>
      <c r="CR282" t="e">
        <f>ChangeLog!P54+"AM:!01w"</f>
        <v>#VALUE!</v>
      </c>
      <c r="CS282" t="e">
        <f>ChangeLog!Q54+"AM:!01x"</f>
        <v>#VALUE!</v>
      </c>
      <c r="CT282" t="e">
        <f>ChangeLog!R54+"AM:!01y"</f>
        <v>#VALUE!</v>
      </c>
      <c r="CU282" t="e">
        <f>ChangeLog!S54+"AM:!01z"</f>
        <v>#VALUE!</v>
      </c>
      <c r="CV282" t="e">
        <f>ChangeLog!T54+"AM:!01{"</f>
        <v>#VALUE!</v>
      </c>
      <c r="CW282" t="e">
        <f>ChangeLog!A55+"AM:!01|"</f>
        <v>#VALUE!</v>
      </c>
      <c r="CX282" t="e">
        <f>ChangeLog!B55+"AM:!01}"</f>
        <v>#VALUE!</v>
      </c>
      <c r="CY282" t="e">
        <f>ChangeLog!C55+"AM:!01~"</f>
        <v>#VALUE!</v>
      </c>
      <c r="CZ282" t="e">
        <f>ChangeLog!D55+"AM:!02#"</f>
        <v>#VALUE!</v>
      </c>
      <c r="DA282" s="97" t="e">
        <f>ChangeLog!E55+"AM:!02$"</f>
        <v>#VALUE!</v>
      </c>
      <c r="DB282" s="97" t="e">
        <f>ChangeLog!F55+"AM:!02%"</f>
        <v>#VALUE!</v>
      </c>
      <c r="DC282" t="e">
        <f>ChangeLog!G55+"AM:!02&amp;"</f>
        <v>#VALUE!</v>
      </c>
      <c r="DD282" t="e">
        <f>ChangeLog!H55+"AM:!02'"</f>
        <v>#VALUE!</v>
      </c>
      <c r="DE282" t="e">
        <f>ChangeLog!I55+"AM:!02("</f>
        <v>#VALUE!</v>
      </c>
      <c r="DF282" t="e">
        <f>ChangeLog!J55+"AM:!02)"</f>
        <v>#VALUE!</v>
      </c>
      <c r="DG282" t="e">
        <f>ChangeLog!K55+"AM:!02."</f>
        <v>#VALUE!</v>
      </c>
      <c r="DH282" t="e">
        <f>ChangeLog!L55+"AM:!02/"</f>
        <v>#VALUE!</v>
      </c>
      <c r="DI282" t="e">
        <f>ChangeLog!M55+"AM:!020"</f>
        <v>#VALUE!</v>
      </c>
      <c r="DJ282" t="e">
        <f>ChangeLog!N55+"AM:!021"</f>
        <v>#VALUE!</v>
      </c>
      <c r="DK282" t="e">
        <f>ChangeLog!O55+"AM:!022"</f>
        <v>#VALUE!</v>
      </c>
      <c r="DL282" t="e">
        <f>ChangeLog!P55+"AM:!023"</f>
        <v>#VALUE!</v>
      </c>
      <c r="DM282" t="e">
        <f>ChangeLog!Q55+"AM:!024"</f>
        <v>#VALUE!</v>
      </c>
      <c r="DN282" t="e">
        <f>ChangeLog!R55+"AM:!025"</f>
        <v>#VALUE!</v>
      </c>
      <c r="DO282" t="e">
        <f>ChangeLog!S55+"AM:!026"</f>
        <v>#VALUE!</v>
      </c>
      <c r="DP282" t="e">
        <f>ChangeLog!T55+"AM:!027"</f>
        <v>#VALUE!</v>
      </c>
      <c r="DQ282" t="e">
        <f>ChangeLog!A56+"AM:!028"</f>
        <v>#VALUE!</v>
      </c>
      <c r="DR282" t="e">
        <f>ChangeLog!B56+"AM:!029"</f>
        <v>#VALUE!</v>
      </c>
      <c r="DS282" t="e">
        <f>ChangeLog!C56+"AM:!02:"</f>
        <v>#VALUE!</v>
      </c>
      <c r="DT282" t="e">
        <f>ChangeLog!D56+"AM:!02;"</f>
        <v>#VALUE!</v>
      </c>
      <c r="DU282" s="97" t="e">
        <f>ChangeLog!E56+"AM:!02&lt;"</f>
        <v>#VALUE!</v>
      </c>
      <c r="DV282" s="97" t="e">
        <f>ChangeLog!F56+"AM:!02="</f>
        <v>#VALUE!</v>
      </c>
      <c r="DW282" t="e">
        <f>ChangeLog!G56+"AM:!02&gt;"</f>
        <v>#VALUE!</v>
      </c>
      <c r="DX282" t="e">
        <f>ChangeLog!H56+"AM:!02?"</f>
        <v>#VALUE!</v>
      </c>
      <c r="DY282" t="e">
        <f>ChangeLog!I56+"AM:!02@"</f>
        <v>#VALUE!</v>
      </c>
      <c r="DZ282" t="e">
        <f>ChangeLog!J56+"AM:!02A"</f>
        <v>#VALUE!</v>
      </c>
      <c r="EA282" t="e">
        <f>ChangeLog!K56+"AM:!02B"</f>
        <v>#VALUE!</v>
      </c>
      <c r="EB282" t="e">
        <f>ChangeLog!L56+"AM:!02C"</f>
        <v>#VALUE!</v>
      </c>
      <c r="EC282" t="e">
        <f>ChangeLog!M56+"AM:!02D"</f>
        <v>#VALUE!</v>
      </c>
      <c r="ED282" t="e">
        <f>ChangeLog!N56+"AM:!02E"</f>
        <v>#VALUE!</v>
      </c>
      <c r="EE282" t="e">
        <f>ChangeLog!O56+"AM:!02F"</f>
        <v>#VALUE!</v>
      </c>
      <c r="EF282" t="e">
        <f>ChangeLog!P56+"AM:!02G"</f>
        <v>#VALUE!</v>
      </c>
      <c r="EG282" t="e">
        <f>ChangeLog!Q56+"AM:!02H"</f>
        <v>#VALUE!</v>
      </c>
      <c r="EH282" t="e">
        <f>ChangeLog!R56+"AM:!02I"</f>
        <v>#VALUE!</v>
      </c>
      <c r="EI282" t="e">
        <f>ChangeLog!S56+"AM:!02J"</f>
        <v>#VALUE!</v>
      </c>
      <c r="EJ282" t="e">
        <f>ChangeLog!T56+"AM:!02K"</f>
        <v>#VALUE!</v>
      </c>
      <c r="EK282" t="e">
        <f>ChangeLog!A57+"AM:!02L"</f>
        <v>#VALUE!</v>
      </c>
      <c r="EL282" t="e">
        <f>ChangeLog!B57+"AM:!02M"</f>
        <v>#VALUE!</v>
      </c>
      <c r="EM282" t="e">
        <f>ChangeLog!C57+"AM:!02N"</f>
        <v>#VALUE!</v>
      </c>
      <c r="EN282" t="e">
        <f>ChangeLog!D57+"AM:!02O"</f>
        <v>#VALUE!</v>
      </c>
      <c r="EO282" s="97" t="e">
        <f>ChangeLog!E57+"AM:!02P"</f>
        <v>#VALUE!</v>
      </c>
      <c r="EP282" s="97" t="e">
        <f>ChangeLog!F57+"AM:!02Q"</f>
        <v>#VALUE!</v>
      </c>
      <c r="EQ282" t="e">
        <f>ChangeLog!G57+"AM:!02R"</f>
        <v>#VALUE!</v>
      </c>
      <c r="ER282" t="e">
        <f>ChangeLog!H57+"AM:!02S"</f>
        <v>#VALUE!</v>
      </c>
      <c r="ES282" t="e">
        <f>ChangeLog!I57+"AM:!02T"</f>
        <v>#VALUE!</v>
      </c>
      <c r="ET282" t="e">
        <f>ChangeLog!J57+"AM:!02U"</f>
        <v>#VALUE!</v>
      </c>
      <c r="EU282" t="e">
        <f>ChangeLog!K57+"AM:!02V"</f>
        <v>#VALUE!</v>
      </c>
      <c r="EV282" t="e">
        <f>ChangeLog!L57+"AM:!02W"</f>
        <v>#VALUE!</v>
      </c>
      <c r="EW282" t="e">
        <f>ChangeLog!M57+"AM:!02X"</f>
        <v>#VALUE!</v>
      </c>
      <c r="EX282" t="e">
        <f>ChangeLog!N57+"AM:!02Y"</f>
        <v>#VALUE!</v>
      </c>
      <c r="EY282" t="e">
        <f>ChangeLog!O57+"AM:!02Z"</f>
        <v>#VALUE!</v>
      </c>
      <c r="EZ282" t="e">
        <f>ChangeLog!P57+"AM:!02["</f>
        <v>#VALUE!</v>
      </c>
      <c r="FA282" t="e">
        <f>ChangeLog!Q57+"AM:!02\"</f>
        <v>#VALUE!</v>
      </c>
      <c r="FB282" t="e">
        <f>ChangeLog!R57+"AM:!02]"</f>
        <v>#VALUE!</v>
      </c>
      <c r="FC282" t="e">
        <f>ChangeLog!S57+"AM:!02^"</f>
        <v>#VALUE!</v>
      </c>
      <c r="FD282" t="e">
        <f>ChangeLog!T57+"AM:!02_"</f>
        <v>#VALUE!</v>
      </c>
      <c r="FE282" t="e">
        <f>ChangeLog!A58+"AM:!02`"</f>
        <v>#VALUE!</v>
      </c>
      <c r="FF282" t="e">
        <f>ChangeLog!B58+"AM:!02a"</f>
        <v>#VALUE!</v>
      </c>
      <c r="FG282" t="e">
        <f>ChangeLog!C58+"AM:!02b"</f>
        <v>#VALUE!</v>
      </c>
      <c r="FH282" t="e">
        <f>ChangeLog!D58+"AM:!02c"</f>
        <v>#VALUE!</v>
      </c>
      <c r="FI282" s="97" t="e">
        <f>ChangeLog!E58+"AM:!02d"</f>
        <v>#VALUE!</v>
      </c>
      <c r="FJ282" s="97" t="e">
        <f>ChangeLog!F58+"AM:!02e"</f>
        <v>#VALUE!</v>
      </c>
      <c r="FK282" t="e">
        <f>ChangeLog!G58+"AM:!02f"</f>
        <v>#VALUE!</v>
      </c>
      <c r="FL282" t="e">
        <f>ChangeLog!H58+"AM:!02g"</f>
        <v>#VALUE!</v>
      </c>
      <c r="FM282" t="e">
        <f>ChangeLog!I58+"AM:!02h"</f>
        <v>#VALUE!</v>
      </c>
      <c r="FN282" t="e">
        <f>ChangeLog!J58+"AM:!02i"</f>
        <v>#VALUE!</v>
      </c>
      <c r="FO282" t="e">
        <f>ChangeLog!K58+"AM:!02j"</f>
        <v>#VALUE!</v>
      </c>
      <c r="FP282" t="e">
        <f>ChangeLog!L58+"AM:!02k"</f>
        <v>#VALUE!</v>
      </c>
      <c r="FQ282" t="e">
        <f>ChangeLog!M58+"AM:!02l"</f>
        <v>#VALUE!</v>
      </c>
      <c r="FR282" t="e">
        <f>ChangeLog!N58+"AM:!02m"</f>
        <v>#VALUE!</v>
      </c>
      <c r="FS282" t="e">
        <f>ChangeLog!O58+"AM:!02n"</f>
        <v>#VALUE!</v>
      </c>
      <c r="FT282" t="e">
        <f>ChangeLog!P58+"AM:!02o"</f>
        <v>#VALUE!</v>
      </c>
      <c r="FU282" t="e">
        <f>ChangeLog!Q58+"AM:!02p"</f>
        <v>#VALUE!</v>
      </c>
      <c r="FV282" t="e">
        <f>ChangeLog!R58+"AM:!02q"</f>
        <v>#VALUE!</v>
      </c>
      <c r="FW282" t="e">
        <f>ChangeLog!S58+"AM:!02r"</f>
        <v>#VALUE!</v>
      </c>
      <c r="FX282" t="e">
        <f>ChangeLog!T58+"AM:!02s"</f>
        <v>#VALUE!</v>
      </c>
      <c r="FY282" t="e">
        <f>ChangeLog!A59+"AM:!02t"</f>
        <v>#VALUE!</v>
      </c>
      <c r="FZ282" t="e">
        <f>ChangeLog!B59+"AM:!02u"</f>
        <v>#VALUE!</v>
      </c>
      <c r="GA282" t="e">
        <f>ChangeLog!C59+"AM:!02v"</f>
        <v>#VALUE!</v>
      </c>
      <c r="GB282" t="e">
        <f>ChangeLog!D59+"AM:!02w"</f>
        <v>#VALUE!</v>
      </c>
      <c r="GC282" s="97" t="e">
        <f>ChangeLog!E59+"AM:!02x"</f>
        <v>#VALUE!</v>
      </c>
      <c r="GD282" s="97" t="e">
        <f>ChangeLog!F59+"AM:!02y"</f>
        <v>#VALUE!</v>
      </c>
      <c r="GE282" t="e">
        <f>ChangeLog!G59+"AM:!02z"</f>
        <v>#VALUE!</v>
      </c>
      <c r="GF282" t="e">
        <f>ChangeLog!H59+"AM:!02{"</f>
        <v>#VALUE!</v>
      </c>
      <c r="GG282" t="e">
        <f>ChangeLog!I59+"AM:!02|"</f>
        <v>#VALUE!</v>
      </c>
      <c r="GH282" t="e">
        <f>ChangeLog!J59+"AM:!02}"</f>
        <v>#VALUE!</v>
      </c>
      <c r="GI282" t="e">
        <f>ChangeLog!K59+"AM:!02~"</f>
        <v>#VALUE!</v>
      </c>
      <c r="GJ282" t="e">
        <f>ChangeLog!L59+"AM:!03#"</f>
        <v>#VALUE!</v>
      </c>
      <c r="GK282" t="e">
        <f>ChangeLog!M59+"AM:!03$"</f>
        <v>#VALUE!</v>
      </c>
      <c r="GL282" t="e">
        <f>ChangeLog!N59+"AM:!03%"</f>
        <v>#VALUE!</v>
      </c>
      <c r="GM282" t="e">
        <f>ChangeLog!O59+"AM:!03&amp;"</f>
        <v>#VALUE!</v>
      </c>
      <c r="GN282" t="e">
        <f>ChangeLog!P59+"AM:!03'"</f>
        <v>#VALUE!</v>
      </c>
      <c r="GO282" t="e">
        <f>ChangeLog!Q59+"AM:!03("</f>
        <v>#VALUE!</v>
      </c>
      <c r="GP282" t="e">
        <f>ChangeLog!R59+"AM:!03)"</f>
        <v>#VALUE!</v>
      </c>
      <c r="GQ282" t="e">
        <f>ChangeLog!S59+"AM:!03."</f>
        <v>#VALUE!</v>
      </c>
      <c r="GR282" t="e">
        <f>ChangeLog!T59+"AM:!03/"</f>
        <v>#VALUE!</v>
      </c>
      <c r="GS282" t="e">
        <f>ChangeLog!A60+"AM:!030"</f>
        <v>#VALUE!</v>
      </c>
      <c r="GT282" t="e">
        <f>ChangeLog!B60+"AM:!031"</f>
        <v>#VALUE!</v>
      </c>
      <c r="GU282" t="e">
        <f>ChangeLog!C60+"AM:!032"</f>
        <v>#VALUE!</v>
      </c>
      <c r="GV282" t="e">
        <f>ChangeLog!D60+"AM:!033"</f>
        <v>#VALUE!</v>
      </c>
      <c r="GW282" s="97" t="e">
        <f>ChangeLog!E60+"AM:!034"</f>
        <v>#VALUE!</v>
      </c>
      <c r="GX282" s="97" t="e">
        <f>ChangeLog!F60+"AM:!035"</f>
        <v>#VALUE!</v>
      </c>
      <c r="GY282" t="e">
        <f>ChangeLog!G60+"AM:!036"</f>
        <v>#VALUE!</v>
      </c>
      <c r="GZ282" t="e">
        <f>ChangeLog!H60+"AM:!037"</f>
        <v>#VALUE!</v>
      </c>
      <c r="HA282" t="e">
        <f>ChangeLog!I60+"AM:!038"</f>
        <v>#VALUE!</v>
      </c>
      <c r="HB282" t="e">
        <f>ChangeLog!J60+"AM:!039"</f>
        <v>#VALUE!</v>
      </c>
      <c r="HC282" t="e">
        <f>ChangeLog!K60+"AM:!03:"</f>
        <v>#VALUE!</v>
      </c>
      <c r="HD282" t="e">
        <f>ChangeLog!L60+"AM:!03;"</f>
        <v>#VALUE!</v>
      </c>
      <c r="HE282" t="e">
        <f>ChangeLog!M60+"AM:!03&lt;"</f>
        <v>#VALUE!</v>
      </c>
      <c r="HF282" t="e">
        <f>ChangeLog!N60+"AM:!03="</f>
        <v>#VALUE!</v>
      </c>
      <c r="HG282" t="e">
        <f>ChangeLog!O60+"AM:!03&gt;"</f>
        <v>#VALUE!</v>
      </c>
      <c r="HH282" t="e">
        <f>ChangeLog!P60+"AM:!03?"</f>
        <v>#VALUE!</v>
      </c>
      <c r="HI282" t="e">
        <f>ChangeLog!Q60+"AM:!03@"</f>
        <v>#VALUE!</v>
      </c>
      <c r="HJ282" t="e">
        <f>ChangeLog!R60+"AM:!03A"</f>
        <v>#VALUE!</v>
      </c>
      <c r="HK282" t="e">
        <f>ChangeLog!S60+"AM:!03B"</f>
        <v>#VALUE!</v>
      </c>
      <c r="HL282" t="e">
        <f>ChangeLog!T60+"AM:!03C"</f>
        <v>#VALUE!</v>
      </c>
      <c r="HM282" t="e">
        <f>ChangeLog!A61+"AM:!03D"</f>
        <v>#VALUE!</v>
      </c>
      <c r="HN282" t="e">
        <f>ChangeLog!B61+"AM:!03E"</f>
        <v>#VALUE!</v>
      </c>
      <c r="HO282" t="e">
        <f>ChangeLog!C61+"AM:!03F"</f>
        <v>#VALUE!</v>
      </c>
      <c r="HP282" t="e">
        <f>ChangeLog!D61+"AM:!03G"</f>
        <v>#VALUE!</v>
      </c>
      <c r="HQ282" s="97" t="e">
        <f>ChangeLog!E61+"AM:!03H"</f>
        <v>#VALUE!</v>
      </c>
      <c r="HR282" s="97" t="e">
        <f>ChangeLog!F61+"AM:!03I"</f>
        <v>#VALUE!</v>
      </c>
      <c r="HS282" t="e">
        <f>ChangeLog!G61+"AM:!03J"</f>
        <v>#VALUE!</v>
      </c>
      <c r="HT282" t="e">
        <f>ChangeLog!H61+"AM:!03K"</f>
        <v>#VALUE!</v>
      </c>
      <c r="HU282" t="e">
        <f>ChangeLog!I61+"AM:!03L"</f>
        <v>#VALUE!</v>
      </c>
      <c r="HV282" t="e">
        <f>ChangeLog!J61+"AM:!03M"</f>
        <v>#VALUE!</v>
      </c>
      <c r="HW282" t="e">
        <f>ChangeLog!K61+"AM:!03N"</f>
        <v>#VALUE!</v>
      </c>
      <c r="HX282" t="e">
        <f>ChangeLog!L61+"AM:!03O"</f>
        <v>#VALUE!</v>
      </c>
      <c r="HY282" t="e">
        <f>ChangeLog!M61+"AM:!03P"</f>
        <v>#VALUE!</v>
      </c>
      <c r="HZ282" t="e">
        <f>ChangeLog!N61+"AM:!03Q"</f>
        <v>#VALUE!</v>
      </c>
      <c r="IA282" t="e">
        <f>ChangeLog!O61+"AM:!03R"</f>
        <v>#VALUE!</v>
      </c>
      <c r="IB282" t="e">
        <f>ChangeLog!P61+"AM:!03S"</f>
        <v>#VALUE!</v>
      </c>
      <c r="IC282" t="e">
        <f>ChangeLog!Q61+"AM:!03T"</f>
        <v>#VALUE!</v>
      </c>
      <c r="ID282" t="e">
        <f>ChangeLog!R61+"AM:!03U"</f>
        <v>#VALUE!</v>
      </c>
      <c r="IE282" t="e">
        <f>ChangeLog!S61+"AM:!03V"</f>
        <v>#VALUE!</v>
      </c>
      <c r="IF282" t="e">
        <f>ChangeLog!T61+"AM:!03W"</f>
        <v>#VALUE!</v>
      </c>
      <c r="IG282" t="e">
        <f>ChangeLog!A62+"AM:!03X"</f>
        <v>#VALUE!</v>
      </c>
      <c r="IH282" t="e">
        <f>ChangeLog!B62+"AM:!03Y"</f>
        <v>#VALUE!</v>
      </c>
      <c r="II282" t="e">
        <f>ChangeLog!C62+"AM:!03Z"</f>
        <v>#VALUE!</v>
      </c>
      <c r="IJ282" t="e">
        <f>ChangeLog!D62+"AM:!03["</f>
        <v>#VALUE!</v>
      </c>
      <c r="IK282" s="97" t="e">
        <f>ChangeLog!E62+"AM:!03\"</f>
        <v>#VALUE!</v>
      </c>
      <c r="IL282" s="97" t="e">
        <f>ChangeLog!F62+"AM:!03]"</f>
        <v>#VALUE!</v>
      </c>
      <c r="IM282" t="e">
        <f>ChangeLog!G62+"AM:!03^"</f>
        <v>#VALUE!</v>
      </c>
      <c r="IN282" t="e">
        <f>ChangeLog!H62+"AM:!03_"</f>
        <v>#VALUE!</v>
      </c>
      <c r="IO282" t="e">
        <f>ChangeLog!I62+"AM:!03`"</f>
        <v>#VALUE!</v>
      </c>
      <c r="IP282" t="e">
        <f>ChangeLog!J62+"AM:!03a"</f>
        <v>#VALUE!</v>
      </c>
      <c r="IQ282" t="e">
        <f>ChangeLog!K62+"AM:!03b"</f>
        <v>#VALUE!</v>
      </c>
      <c r="IR282" t="e">
        <f>ChangeLog!L62+"AM:!03c"</f>
        <v>#VALUE!</v>
      </c>
      <c r="IS282" t="e">
        <f>ChangeLog!M62+"AM:!03d"</f>
        <v>#VALUE!</v>
      </c>
      <c r="IT282" t="e">
        <f>ChangeLog!N62+"AM:!03e"</f>
        <v>#VALUE!</v>
      </c>
      <c r="IU282" t="e">
        <f>ChangeLog!O62+"AM:!03f"</f>
        <v>#VALUE!</v>
      </c>
      <c r="IV282" t="e">
        <f>ChangeLog!P62+"AM:!03g"</f>
        <v>#VALUE!</v>
      </c>
    </row>
    <row r="283" spans="6:256">
      <c r="F283" t="e">
        <f>ChangeLog!Q62+"AM:!03h"</f>
        <v>#VALUE!</v>
      </c>
      <c r="G283" t="e">
        <f>ChangeLog!R62+"AM:!03i"</f>
        <v>#VALUE!</v>
      </c>
      <c r="H283" t="e">
        <f>ChangeLog!S62+"AM:!03j"</f>
        <v>#VALUE!</v>
      </c>
      <c r="I283" t="e">
        <f>ChangeLog!T62+"AM:!03k"</f>
        <v>#VALUE!</v>
      </c>
      <c r="J283" t="e">
        <f>ChangeLog!A63+"AM:!03l"</f>
        <v>#VALUE!</v>
      </c>
      <c r="K283" t="e">
        <f>ChangeLog!B63+"AM:!03m"</f>
        <v>#VALUE!</v>
      </c>
      <c r="L283" t="e">
        <f>ChangeLog!C63+"AM:!03n"</f>
        <v>#VALUE!</v>
      </c>
      <c r="M283" t="e">
        <f>ChangeLog!D63+"AM:!03o"</f>
        <v>#VALUE!</v>
      </c>
      <c r="N283" s="97" t="e">
        <f>ChangeLog!E63+"AM:!03p"</f>
        <v>#VALUE!</v>
      </c>
      <c r="O283" s="97" t="e">
        <f>ChangeLog!F63+"AM:!03q"</f>
        <v>#VALUE!</v>
      </c>
      <c r="P283" t="e">
        <f>ChangeLog!G63+"AM:!03r"</f>
        <v>#VALUE!</v>
      </c>
      <c r="Q283" t="e">
        <f>ChangeLog!H63+"AM:!03s"</f>
        <v>#VALUE!</v>
      </c>
      <c r="R283" t="e">
        <f>ChangeLog!I63+"AM:!03t"</f>
        <v>#VALUE!</v>
      </c>
      <c r="S283" t="e">
        <f>ChangeLog!J63+"AM:!03u"</f>
        <v>#VALUE!</v>
      </c>
      <c r="T283" t="e">
        <f>ChangeLog!K63+"AM:!03v"</f>
        <v>#VALUE!</v>
      </c>
      <c r="U283" t="e">
        <f>ChangeLog!L63+"AM:!03w"</f>
        <v>#VALUE!</v>
      </c>
      <c r="V283" t="e">
        <f>ChangeLog!M63+"AM:!03x"</f>
        <v>#VALUE!</v>
      </c>
      <c r="W283" t="e">
        <f>ChangeLog!N63+"AM:!03y"</f>
        <v>#VALUE!</v>
      </c>
      <c r="X283" t="e">
        <f>ChangeLog!O63+"AM:!03z"</f>
        <v>#VALUE!</v>
      </c>
      <c r="Y283" t="e">
        <f>ChangeLog!P63+"AM:!03{"</f>
        <v>#VALUE!</v>
      </c>
      <c r="Z283" t="e">
        <f>ChangeLog!Q63+"AM:!03|"</f>
        <v>#VALUE!</v>
      </c>
      <c r="AA283" t="e">
        <f>ChangeLog!R63+"AM:!03}"</f>
        <v>#VALUE!</v>
      </c>
      <c r="AB283" t="e">
        <f>ChangeLog!S63+"AM:!03~"</f>
        <v>#VALUE!</v>
      </c>
      <c r="AC283" t="e">
        <f>ChangeLog!T63+"AM:!04#"</f>
        <v>#VALUE!</v>
      </c>
      <c r="AD283" t="e">
        <f>ChangeLog!A64+"AM:!04$"</f>
        <v>#VALUE!</v>
      </c>
      <c r="AE283" t="e">
        <f>ChangeLog!B64+"AM:!04%"</f>
        <v>#VALUE!</v>
      </c>
      <c r="AF283" t="e">
        <f>ChangeLog!C64+"AM:!04&amp;"</f>
        <v>#VALUE!</v>
      </c>
      <c r="AG283" t="e">
        <f>ChangeLog!D64+"AM:!04'"</f>
        <v>#VALUE!</v>
      </c>
      <c r="AH283" s="97" t="e">
        <f>ChangeLog!E64+"AM:!04("</f>
        <v>#VALUE!</v>
      </c>
      <c r="AI283" s="97" t="e">
        <f>ChangeLog!F64+"AM:!04)"</f>
        <v>#VALUE!</v>
      </c>
      <c r="AJ283" t="e">
        <f>ChangeLog!G64+"AM:!04."</f>
        <v>#VALUE!</v>
      </c>
      <c r="AK283" t="e">
        <f>ChangeLog!H64+"AM:!04/"</f>
        <v>#VALUE!</v>
      </c>
      <c r="AL283" t="e">
        <f>ChangeLog!I64+"AM:!040"</f>
        <v>#VALUE!</v>
      </c>
      <c r="AM283" t="e">
        <f>ChangeLog!J64+"AM:!041"</f>
        <v>#VALUE!</v>
      </c>
      <c r="AN283" t="e">
        <f>ChangeLog!K64+"AM:!042"</f>
        <v>#VALUE!</v>
      </c>
      <c r="AO283" t="e">
        <f>ChangeLog!L64+"AM:!043"</f>
        <v>#VALUE!</v>
      </c>
      <c r="AP283" t="e">
        <f>ChangeLog!M64+"AM:!044"</f>
        <v>#VALUE!</v>
      </c>
      <c r="AQ283" t="e">
        <f>ChangeLog!N64+"AM:!045"</f>
        <v>#VALUE!</v>
      </c>
      <c r="AR283" t="e">
        <f>ChangeLog!O64+"AM:!046"</f>
        <v>#VALUE!</v>
      </c>
      <c r="AS283" t="e">
        <f>ChangeLog!P64+"AM:!047"</f>
        <v>#VALUE!</v>
      </c>
      <c r="AT283" t="e">
        <f>ChangeLog!Q64+"AM:!048"</f>
        <v>#VALUE!</v>
      </c>
      <c r="AU283" t="e">
        <f>ChangeLog!R64+"AM:!049"</f>
        <v>#VALUE!</v>
      </c>
      <c r="AV283" t="e">
        <f>ChangeLog!S64+"AM:!04:"</f>
        <v>#VALUE!</v>
      </c>
      <c r="AW283" t="e">
        <f>ChangeLog!T64+"AM:!04;"</f>
        <v>#VALUE!</v>
      </c>
      <c r="AX283" t="e">
        <f>ChangeLog!A65+"AM:!04&lt;"</f>
        <v>#VALUE!</v>
      </c>
      <c r="AY283" t="e">
        <f>ChangeLog!B65+"AM:!04="</f>
        <v>#VALUE!</v>
      </c>
      <c r="AZ283" t="e">
        <f>ChangeLog!C65+"AM:!04&gt;"</f>
        <v>#VALUE!</v>
      </c>
      <c r="BA283" t="e">
        <f>ChangeLog!D65+"AM:!04?"</f>
        <v>#VALUE!</v>
      </c>
      <c r="BB283" s="97" t="e">
        <f>ChangeLog!E65+"AM:!04@"</f>
        <v>#VALUE!</v>
      </c>
      <c r="BC283" s="97" t="e">
        <f>ChangeLog!F65+"AM:!04A"</f>
        <v>#VALUE!</v>
      </c>
      <c r="BD283" t="e">
        <f>ChangeLog!G65+"AM:!04B"</f>
        <v>#VALUE!</v>
      </c>
      <c r="BE283" t="e">
        <f>ChangeLog!H65+"AM:!04C"</f>
        <v>#VALUE!</v>
      </c>
      <c r="BF283" t="e">
        <f>ChangeLog!I65+"AM:!04D"</f>
        <v>#VALUE!</v>
      </c>
      <c r="BG283" t="e">
        <f>ChangeLog!J65+"AM:!04E"</f>
        <v>#VALUE!</v>
      </c>
      <c r="BH283" t="e">
        <f>ChangeLog!K65+"AM:!04F"</f>
        <v>#VALUE!</v>
      </c>
      <c r="BI283" t="e">
        <f>ChangeLog!L65+"AM:!04G"</f>
        <v>#VALUE!</v>
      </c>
      <c r="BJ283" t="e">
        <f>ChangeLog!M65+"AM:!04H"</f>
        <v>#VALUE!</v>
      </c>
      <c r="BK283" t="e">
        <f>ChangeLog!N65+"AM:!04I"</f>
        <v>#VALUE!</v>
      </c>
      <c r="BL283" t="e">
        <f>ChangeLog!O65+"AM:!04J"</f>
        <v>#VALUE!</v>
      </c>
      <c r="BM283" t="e">
        <f>ChangeLog!P65+"AM:!04K"</f>
        <v>#VALUE!</v>
      </c>
      <c r="BN283" t="e">
        <f>ChangeLog!Q65+"AM:!04L"</f>
        <v>#VALUE!</v>
      </c>
      <c r="BO283" t="e">
        <f>ChangeLog!R65+"AM:!04M"</f>
        <v>#VALUE!</v>
      </c>
      <c r="BP283" t="e">
        <f>ChangeLog!S65+"AM:!04N"</f>
        <v>#VALUE!</v>
      </c>
      <c r="BQ283" t="e">
        <f>ChangeLog!T65+"AM:!04O"</f>
        <v>#VALUE!</v>
      </c>
      <c r="BR283" t="e">
        <f>ChangeLog!A66+"AM:!04P"</f>
        <v>#VALUE!</v>
      </c>
      <c r="BS283" t="e">
        <f>ChangeLog!B66+"AM:!04Q"</f>
        <v>#VALUE!</v>
      </c>
      <c r="BT283" t="e">
        <f>ChangeLog!C66+"AM:!04R"</f>
        <v>#VALUE!</v>
      </c>
      <c r="BU283" t="e">
        <f>ChangeLog!D66+"AM:!04S"</f>
        <v>#VALUE!</v>
      </c>
      <c r="BV283" s="97" t="e">
        <f>ChangeLog!E66+"AM:!04T"</f>
        <v>#VALUE!</v>
      </c>
      <c r="BW283" s="97" t="e">
        <f>ChangeLog!F66+"AM:!04U"</f>
        <v>#VALUE!</v>
      </c>
      <c r="BX283" t="e">
        <f>ChangeLog!G66+"AM:!04V"</f>
        <v>#VALUE!</v>
      </c>
      <c r="BY283" t="e">
        <f>ChangeLog!H66+"AM:!04W"</f>
        <v>#VALUE!</v>
      </c>
      <c r="BZ283" t="e">
        <f>ChangeLog!I66+"AM:!04X"</f>
        <v>#VALUE!</v>
      </c>
      <c r="CA283" t="e">
        <f>ChangeLog!J66+"AM:!04Y"</f>
        <v>#VALUE!</v>
      </c>
      <c r="CB283" t="e">
        <f>ChangeLog!K66+"AM:!04Z"</f>
        <v>#VALUE!</v>
      </c>
      <c r="CC283" t="e">
        <f>ChangeLog!L66+"AM:!04["</f>
        <v>#VALUE!</v>
      </c>
      <c r="CD283" t="e">
        <f>ChangeLog!M66+"AM:!04\"</f>
        <v>#VALUE!</v>
      </c>
      <c r="CE283" t="e">
        <f>ChangeLog!N66+"AM:!04]"</f>
        <v>#VALUE!</v>
      </c>
      <c r="CF283" t="e">
        <f>ChangeLog!O66+"AM:!04^"</f>
        <v>#VALUE!</v>
      </c>
      <c r="CG283" t="e">
        <f>ChangeLog!P66+"AM:!04_"</f>
        <v>#VALUE!</v>
      </c>
      <c r="CH283" t="e">
        <f>ChangeLog!Q66+"AM:!04`"</f>
        <v>#VALUE!</v>
      </c>
      <c r="CI283" t="e">
        <f>ChangeLog!R66+"AM:!04a"</f>
        <v>#VALUE!</v>
      </c>
      <c r="CJ283" t="e">
        <f>ChangeLog!S66+"AM:!04b"</f>
        <v>#VALUE!</v>
      </c>
      <c r="CK283" t="e">
        <f>ChangeLog!T66+"AM:!04c"</f>
        <v>#VALUE!</v>
      </c>
      <c r="CL283" t="e">
        <f>ChangeLog!A67+"AM:!04d"</f>
        <v>#VALUE!</v>
      </c>
      <c r="CM283" t="e">
        <f>ChangeLog!B67+"AM:!04e"</f>
        <v>#VALUE!</v>
      </c>
      <c r="CN283" t="e">
        <f>ChangeLog!C67+"AM:!04f"</f>
        <v>#VALUE!</v>
      </c>
      <c r="CO283" t="e">
        <f>ChangeLog!D67+"AM:!04g"</f>
        <v>#VALUE!</v>
      </c>
      <c r="CP283" s="97" t="e">
        <f>ChangeLog!E67+"AM:!04h"</f>
        <v>#VALUE!</v>
      </c>
      <c r="CQ283" s="97" t="e">
        <f>ChangeLog!F67+"AM:!04i"</f>
        <v>#VALUE!</v>
      </c>
      <c r="CR283" t="e">
        <f>ChangeLog!G67+"AM:!04j"</f>
        <v>#VALUE!</v>
      </c>
      <c r="CS283" t="e">
        <f>ChangeLog!H67+"AM:!04k"</f>
        <v>#VALUE!</v>
      </c>
      <c r="CT283" t="e">
        <f>ChangeLog!I67+"AM:!04l"</f>
        <v>#VALUE!</v>
      </c>
      <c r="CU283" t="e">
        <f>ChangeLog!J67+"AM:!04m"</f>
        <v>#VALUE!</v>
      </c>
      <c r="CV283" t="e">
        <f>ChangeLog!K67+"AM:!04n"</f>
        <v>#VALUE!</v>
      </c>
      <c r="CW283" t="e">
        <f>ChangeLog!L67+"AM:!04o"</f>
        <v>#VALUE!</v>
      </c>
      <c r="CX283" t="e">
        <f>ChangeLog!M67+"AM:!04p"</f>
        <v>#VALUE!</v>
      </c>
      <c r="CY283" t="e">
        <f>ChangeLog!N67+"AM:!04q"</f>
        <v>#VALUE!</v>
      </c>
      <c r="CZ283" t="e">
        <f>ChangeLog!O67+"AM:!04r"</f>
        <v>#VALUE!</v>
      </c>
      <c r="DA283" t="e">
        <f>ChangeLog!P67+"AM:!04s"</f>
        <v>#VALUE!</v>
      </c>
      <c r="DB283" t="e">
        <f>ChangeLog!Q67+"AM:!04t"</f>
        <v>#VALUE!</v>
      </c>
      <c r="DC283" t="e">
        <f>ChangeLog!R67+"AM:!04u"</f>
        <v>#VALUE!</v>
      </c>
      <c r="DD283" t="e">
        <f>ChangeLog!S67+"AM:!04v"</f>
        <v>#VALUE!</v>
      </c>
      <c r="DE283" t="e">
        <f>ChangeLog!T67+"AM:!04w"</f>
        <v>#VALUE!</v>
      </c>
      <c r="DF283" t="e">
        <f>ChangeLog!A68+"AM:!04x"</f>
        <v>#VALUE!</v>
      </c>
      <c r="DG283" t="e">
        <f>ChangeLog!B68+"AM:!04y"</f>
        <v>#VALUE!</v>
      </c>
      <c r="DH283" t="e">
        <f>ChangeLog!C68+"AM:!04z"</f>
        <v>#VALUE!</v>
      </c>
      <c r="DI283" t="e">
        <f>ChangeLog!D68+"AM:!04{"</f>
        <v>#VALUE!</v>
      </c>
      <c r="DJ283" s="97" t="e">
        <f>ChangeLog!E68+"AM:!04|"</f>
        <v>#VALUE!</v>
      </c>
      <c r="DK283" s="97" t="e">
        <f>ChangeLog!F68+"AM:!04}"</f>
        <v>#VALUE!</v>
      </c>
      <c r="DL283" t="e">
        <f>ChangeLog!G68+"AM:!04~"</f>
        <v>#VALUE!</v>
      </c>
      <c r="DM283" t="e">
        <f>ChangeLog!H68+"AM:!05#"</f>
        <v>#VALUE!</v>
      </c>
      <c r="DN283" t="e">
        <f>ChangeLog!I68+"AM:!05$"</f>
        <v>#VALUE!</v>
      </c>
      <c r="DO283" t="e">
        <f>ChangeLog!J68+"AM:!05%"</f>
        <v>#VALUE!</v>
      </c>
      <c r="DP283" t="e">
        <f>ChangeLog!K68+"AM:!05&amp;"</f>
        <v>#VALUE!</v>
      </c>
      <c r="DQ283" t="e">
        <f>ChangeLog!L68+"AM:!05'"</f>
        <v>#VALUE!</v>
      </c>
      <c r="DR283" t="e">
        <f>ChangeLog!M68+"AM:!05("</f>
        <v>#VALUE!</v>
      </c>
      <c r="DS283" t="e">
        <f>ChangeLog!N68+"AM:!05)"</f>
        <v>#VALUE!</v>
      </c>
      <c r="DT283" t="e">
        <f>ChangeLog!O68+"AM:!05."</f>
        <v>#VALUE!</v>
      </c>
      <c r="DU283" t="e">
        <f>ChangeLog!P68+"AM:!05/"</f>
        <v>#VALUE!</v>
      </c>
      <c r="DV283" t="e">
        <f>ChangeLog!Q68+"AM:!050"</f>
        <v>#VALUE!</v>
      </c>
      <c r="DW283" t="e">
        <f>ChangeLog!R68+"AM:!051"</f>
        <v>#VALUE!</v>
      </c>
      <c r="DX283" t="e">
        <f>ChangeLog!S68+"AM:!052"</f>
        <v>#VALUE!</v>
      </c>
      <c r="DY283" t="e">
        <f>ChangeLog!T68+"AM:!053"</f>
        <v>#VALUE!</v>
      </c>
      <c r="DZ283" t="e">
        <f>ChangeLog!A69+"AM:!054"</f>
        <v>#VALUE!</v>
      </c>
      <c r="EA283" t="e">
        <f>ChangeLog!B69+"AM:!055"</f>
        <v>#VALUE!</v>
      </c>
      <c r="EB283" t="e">
        <f>ChangeLog!C69+"AM:!056"</f>
        <v>#VALUE!</v>
      </c>
      <c r="EC283" t="e">
        <f>ChangeLog!D69+"AM:!057"</f>
        <v>#VALUE!</v>
      </c>
      <c r="ED283" s="97" t="e">
        <f>ChangeLog!E69+"AM:!058"</f>
        <v>#VALUE!</v>
      </c>
      <c r="EE283" s="97" t="e">
        <f>ChangeLog!F69+"AM:!059"</f>
        <v>#VALUE!</v>
      </c>
      <c r="EF283" t="e">
        <f>ChangeLog!G69+"AM:!05:"</f>
        <v>#VALUE!</v>
      </c>
      <c r="EG283" t="e">
        <f>ChangeLog!H69+"AM:!05;"</f>
        <v>#VALUE!</v>
      </c>
      <c r="EH283" t="e">
        <f>ChangeLog!I69+"AM:!05&lt;"</f>
        <v>#VALUE!</v>
      </c>
      <c r="EI283" t="e">
        <f>ChangeLog!J69+"AM:!05="</f>
        <v>#VALUE!</v>
      </c>
      <c r="EJ283" t="e">
        <f>ChangeLog!K69+"AM:!05&gt;"</f>
        <v>#VALUE!</v>
      </c>
      <c r="EK283" t="e">
        <f>ChangeLog!L69+"AM:!05?"</f>
        <v>#VALUE!</v>
      </c>
      <c r="EL283" t="e">
        <f>ChangeLog!M69+"AM:!05@"</f>
        <v>#VALUE!</v>
      </c>
      <c r="EM283" t="e">
        <f>ChangeLog!N69+"AM:!05A"</f>
        <v>#VALUE!</v>
      </c>
      <c r="EN283" t="e">
        <f>ChangeLog!O69+"AM:!05B"</f>
        <v>#VALUE!</v>
      </c>
      <c r="EO283" t="e">
        <f>ChangeLog!P69+"AM:!05C"</f>
        <v>#VALUE!</v>
      </c>
      <c r="EP283" t="e">
        <f>ChangeLog!Q69+"AM:!05D"</f>
        <v>#VALUE!</v>
      </c>
      <c r="EQ283" t="e">
        <f>ChangeLog!R69+"AM:!05E"</f>
        <v>#VALUE!</v>
      </c>
      <c r="ER283" t="e">
        <f>ChangeLog!S69+"AM:!05F"</f>
        <v>#VALUE!</v>
      </c>
      <c r="ES283" t="e">
        <f>ChangeLog!T69+"AM:!05G"</f>
        <v>#VALUE!</v>
      </c>
      <c r="ET283" t="e">
        <f>ChangeLog!A70+"AM:!05H"</f>
        <v>#VALUE!</v>
      </c>
      <c r="EU283" t="e">
        <f>ChangeLog!B70+"AM:!05I"</f>
        <v>#VALUE!</v>
      </c>
      <c r="EV283" t="e">
        <f>ChangeLog!C70+"AM:!05J"</f>
        <v>#VALUE!</v>
      </c>
      <c r="EW283" t="e">
        <f>ChangeLog!D70+"AM:!05K"</f>
        <v>#VALUE!</v>
      </c>
      <c r="EX283" s="97" t="e">
        <f>ChangeLog!E70+"AM:!05L"</f>
        <v>#VALUE!</v>
      </c>
      <c r="EY283" s="97" t="e">
        <f>ChangeLog!F70+"AM:!05M"</f>
        <v>#VALUE!</v>
      </c>
      <c r="EZ283" t="e">
        <f>ChangeLog!G70+"AM:!05N"</f>
        <v>#VALUE!</v>
      </c>
      <c r="FA283" t="e">
        <f>ChangeLog!H70+"AM:!05O"</f>
        <v>#VALUE!</v>
      </c>
      <c r="FB283" t="e">
        <f>ChangeLog!I70+"AM:!05P"</f>
        <v>#VALUE!</v>
      </c>
      <c r="FC283" t="e">
        <f>ChangeLog!J70+"AM:!05Q"</f>
        <v>#VALUE!</v>
      </c>
      <c r="FD283" t="e">
        <f>ChangeLog!K70+"AM:!05R"</f>
        <v>#VALUE!</v>
      </c>
      <c r="FE283" t="e">
        <f>ChangeLog!L70+"AM:!05S"</f>
        <v>#VALUE!</v>
      </c>
      <c r="FF283" t="e">
        <f>ChangeLog!M70+"AM:!05T"</f>
        <v>#VALUE!</v>
      </c>
      <c r="FG283" t="e">
        <f>ChangeLog!N70+"AM:!05U"</f>
        <v>#VALUE!</v>
      </c>
      <c r="FH283" t="e">
        <f>ChangeLog!O70+"AM:!05V"</f>
        <v>#VALUE!</v>
      </c>
      <c r="FI283" t="e">
        <f>ChangeLog!P70+"AM:!05W"</f>
        <v>#VALUE!</v>
      </c>
      <c r="FJ283" t="e">
        <f>ChangeLog!Q70+"AM:!05X"</f>
        <v>#VALUE!</v>
      </c>
      <c r="FK283" t="e">
        <f>ChangeLog!R70+"AM:!05Y"</f>
        <v>#VALUE!</v>
      </c>
      <c r="FL283" t="e">
        <f>ChangeLog!S70+"AM:!05Z"</f>
        <v>#VALUE!</v>
      </c>
      <c r="FM283" t="e">
        <f>ChangeLog!T70+"AM:!05["</f>
        <v>#VALUE!</v>
      </c>
      <c r="FN283" t="e">
        <f>ChangeLog!A71+"AM:!05\"</f>
        <v>#VALUE!</v>
      </c>
      <c r="FO283" t="e">
        <f>ChangeLog!B71+"AM:!05]"</f>
        <v>#VALUE!</v>
      </c>
      <c r="FP283" t="e">
        <f>ChangeLog!C71+"AM:!05^"</f>
        <v>#VALUE!</v>
      </c>
      <c r="FQ283" t="e">
        <f>ChangeLog!D71+"AM:!05_"</f>
        <v>#VALUE!</v>
      </c>
      <c r="FR283" s="97" t="e">
        <f>ChangeLog!E71+"AM:!05`"</f>
        <v>#VALUE!</v>
      </c>
      <c r="FS283" s="97" t="e">
        <f>ChangeLog!F71+"AM:!05a"</f>
        <v>#VALUE!</v>
      </c>
      <c r="FT283" t="e">
        <f>ChangeLog!G71+"AM:!05b"</f>
        <v>#VALUE!</v>
      </c>
      <c r="FU283" t="e">
        <f>ChangeLog!H71+"AM:!05c"</f>
        <v>#VALUE!</v>
      </c>
      <c r="FV283" t="e">
        <f>ChangeLog!I71+"AM:!05d"</f>
        <v>#VALUE!</v>
      </c>
      <c r="FW283" t="e">
        <f>ChangeLog!J71+"AM:!05e"</f>
        <v>#VALUE!</v>
      </c>
      <c r="FX283" t="e">
        <f>ChangeLog!K71+"AM:!05f"</f>
        <v>#VALUE!</v>
      </c>
      <c r="FY283" t="e">
        <f>ChangeLog!L71+"AM:!05g"</f>
        <v>#VALUE!</v>
      </c>
      <c r="FZ283" t="e">
        <f>ChangeLog!M71+"AM:!05h"</f>
        <v>#VALUE!</v>
      </c>
      <c r="GA283" t="e">
        <f>ChangeLog!N71+"AM:!05i"</f>
        <v>#VALUE!</v>
      </c>
      <c r="GB283" t="e">
        <f>ChangeLog!O71+"AM:!05j"</f>
        <v>#VALUE!</v>
      </c>
      <c r="GC283" t="e">
        <f>ChangeLog!P71+"AM:!05k"</f>
        <v>#VALUE!</v>
      </c>
      <c r="GD283" t="e">
        <f>ChangeLog!Q71+"AM:!05l"</f>
        <v>#VALUE!</v>
      </c>
      <c r="GE283" t="e">
        <f>ChangeLog!R71+"AM:!05m"</f>
        <v>#VALUE!</v>
      </c>
      <c r="GF283" t="e">
        <f>ChangeLog!S71+"AM:!05n"</f>
        <v>#VALUE!</v>
      </c>
      <c r="GG283" t="e">
        <f>ChangeLog!T71+"AM:!05o"</f>
        <v>#VALUE!</v>
      </c>
      <c r="GH283" t="e">
        <f>ChangeLog!A72+"AM:!05p"</f>
        <v>#VALUE!</v>
      </c>
      <c r="GI283" t="e">
        <f>ChangeLog!B72+"AM:!05q"</f>
        <v>#VALUE!</v>
      </c>
      <c r="GJ283" t="e">
        <f>ChangeLog!C72+"AM:!05r"</f>
        <v>#VALUE!</v>
      </c>
      <c r="GK283" t="e">
        <f>ChangeLog!D72+"AM:!05s"</f>
        <v>#VALUE!</v>
      </c>
      <c r="GL283" s="97" t="e">
        <f>ChangeLog!E72+"AM:!05t"</f>
        <v>#VALUE!</v>
      </c>
      <c r="GM283" s="97" t="e">
        <f>ChangeLog!F72+"AM:!05u"</f>
        <v>#VALUE!</v>
      </c>
      <c r="GN283" t="e">
        <f>ChangeLog!G72+"AM:!05v"</f>
        <v>#VALUE!</v>
      </c>
      <c r="GO283" t="e">
        <f>ChangeLog!H72+"AM:!05w"</f>
        <v>#VALUE!</v>
      </c>
      <c r="GP283" t="e">
        <f>ChangeLog!I72+"AM:!05x"</f>
        <v>#VALUE!</v>
      </c>
      <c r="GQ283" t="e">
        <f>ChangeLog!J72+"AM:!05y"</f>
        <v>#VALUE!</v>
      </c>
      <c r="GR283" t="e">
        <f>ChangeLog!K72+"AM:!05z"</f>
        <v>#VALUE!</v>
      </c>
      <c r="GS283" t="e">
        <f>ChangeLog!L72+"AM:!05{"</f>
        <v>#VALUE!</v>
      </c>
      <c r="GT283" t="e">
        <f>ChangeLog!M72+"AM:!05|"</f>
        <v>#VALUE!</v>
      </c>
      <c r="GU283" t="e">
        <f>ChangeLog!N72+"AM:!05}"</f>
        <v>#VALUE!</v>
      </c>
      <c r="GV283" t="e">
        <f>ChangeLog!O72+"AM:!05~"</f>
        <v>#VALUE!</v>
      </c>
      <c r="GW283" t="e">
        <f>ChangeLog!P72+"AM:!06#"</f>
        <v>#VALUE!</v>
      </c>
      <c r="GX283" t="e">
        <f>ChangeLog!Q72+"AM:!06$"</f>
        <v>#VALUE!</v>
      </c>
      <c r="GY283" t="e">
        <f>ChangeLog!R72+"AM:!06%"</f>
        <v>#VALUE!</v>
      </c>
      <c r="GZ283" t="e">
        <f>ChangeLog!S72+"AM:!06&amp;"</f>
        <v>#VALUE!</v>
      </c>
      <c r="HA283" t="e">
        <f>ChangeLog!T72+"AM:!06'"</f>
        <v>#VALUE!</v>
      </c>
      <c r="HB283" t="e">
        <f>ChangeLog!A73+"AM:!06("</f>
        <v>#VALUE!</v>
      </c>
      <c r="HC283" t="e">
        <f>ChangeLog!B73+"AM:!06)"</f>
        <v>#VALUE!</v>
      </c>
      <c r="HD283" t="e">
        <f>ChangeLog!C73+"AM:!06."</f>
        <v>#VALUE!</v>
      </c>
      <c r="HE283" t="e">
        <f>ChangeLog!D73+"AM:!06/"</f>
        <v>#VALUE!</v>
      </c>
      <c r="HF283" s="97" t="e">
        <f>ChangeLog!E73+"AM:!060"</f>
        <v>#VALUE!</v>
      </c>
      <c r="HG283" s="97" t="e">
        <f>ChangeLog!F73+"AM:!061"</f>
        <v>#VALUE!</v>
      </c>
      <c r="HH283" t="e">
        <f>ChangeLog!G73+"AM:!062"</f>
        <v>#VALUE!</v>
      </c>
      <c r="HI283" t="e">
        <f>ChangeLog!H73+"AM:!063"</f>
        <v>#VALUE!</v>
      </c>
      <c r="HJ283" t="e">
        <f>ChangeLog!I73+"AM:!064"</f>
        <v>#VALUE!</v>
      </c>
      <c r="HK283" t="e">
        <f>ChangeLog!J73+"AM:!065"</f>
        <v>#VALUE!</v>
      </c>
      <c r="HL283" t="e">
        <f>ChangeLog!K73+"AM:!066"</f>
        <v>#VALUE!</v>
      </c>
      <c r="HM283" t="e">
        <f>ChangeLog!L73+"AM:!067"</f>
        <v>#VALUE!</v>
      </c>
      <c r="HN283" t="e">
        <f>ChangeLog!M73+"AM:!068"</f>
        <v>#VALUE!</v>
      </c>
      <c r="HO283" t="e">
        <f>ChangeLog!N73+"AM:!069"</f>
        <v>#VALUE!</v>
      </c>
      <c r="HP283" t="e">
        <f>ChangeLog!O73+"AM:!06:"</f>
        <v>#VALUE!</v>
      </c>
      <c r="HQ283" t="e">
        <f>ChangeLog!P73+"AM:!06;"</f>
        <v>#VALUE!</v>
      </c>
      <c r="HR283" t="e">
        <f>ChangeLog!Q73+"AM:!06&lt;"</f>
        <v>#VALUE!</v>
      </c>
      <c r="HS283" t="e">
        <f>ChangeLog!R73+"AM:!06="</f>
        <v>#VALUE!</v>
      </c>
      <c r="HT283" t="e">
        <f>ChangeLog!S73+"AM:!06&gt;"</f>
        <v>#VALUE!</v>
      </c>
      <c r="HU283" t="e">
        <f>ChangeLog!T73+"AM:!06?"</f>
        <v>#VALUE!</v>
      </c>
      <c r="HV283" t="e">
        <f>ChangeLog!A74+"AM:!06@"</f>
        <v>#VALUE!</v>
      </c>
      <c r="HW283" t="e">
        <f>ChangeLog!B74+"AM:!06A"</f>
        <v>#VALUE!</v>
      </c>
      <c r="HX283" t="e">
        <f>ChangeLog!C74+"AM:!06B"</f>
        <v>#VALUE!</v>
      </c>
      <c r="HY283" t="e">
        <f>ChangeLog!D74+"AM:!06C"</f>
        <v>#VALUE!</v>
      </c>
      <c r="HZ283" s="97" t="e">
        <f>ChangeLog!E74+"AM:!06D"</f>
        <v>#VALUE!</v>
      </c>
      <c r="IA283" s="97" t="e">
        <f>ChangeLog!F74+"AM:!06E"</f>
        <v>#VALUE!</v>
      </c>
      <c r="IB283" t="e">
        <f>ChangeLog!G74+"AM:!06F"</f>
        <v>#VALUE!</v>
      </c>
      <c r="IC283" t="e">
        <f>ChangeLog!H74+"AM:!06G"</f>
        <v>#VALUE!</v>
      </c>
      <c r="ID283" t="e">
        <f>ChangeLog!I74+"AM:!06H"</f>
        <v>#VALUE!</v>
      </c>
      <c r="IE283" t="e">
        <f>ChangeLog!J74+"AM:!06I"</f>
        <v>#VALUE!</v>
      </c>
      <c r="IF283" t="e">
        <f>ChangeLog!K74+"AM:!06J"</f>
        <v>#VALUE!</v>
      </c>
      <c r="IG283" t="e">
        <f>ChangeLog!L74+"AM:!06K"</f>
        <v>#VALUE!</v>
      </c>
      <c r="IH283" t="e">
        <f>ChangeLog!M74+"AM:!06L"</f>
        <v>#VALUE!</v>
      </c>
      <c r="II283" t="e">
        <f>ChangeLog!N74+"AM:!06M"</f>
        <v>#VALUE!</v>
      </c>
      <c r="IJ283" t="e">
        <f>ChangeLog!O74+"AM:!06N"</f>
        <v>#VALUE!</v>
      </c>
      <c r="IK283" t="e">
        <f>ChangeLog!P74+"AM:!06O"</f>
        <v>#VALUE!</v>
      </c>
      <c r="IL283" t="e">
        <f>ChangeLog!Q74+"AM:!06P"</f>
        <v>#VALUE!</v>
      </c>
      <c r="IM283" t="e">
        <f>ChangeLog!R74+"AM:!06Q"</f>
        <v>#VALUE!</v>
      </c>
      <c r="IN283" t="e">
        <f>ChangeLog!S74+"AM:!06R"</f>
        <v>#VALUE!</v>
      </c>
      <c r="IO283" t="e">
        <f>ChangeLog!T74+"AM:!06S"</f>
        <v>#VALUE!</v>
      </c>
      <c r="IP283" t="e">
        <f>ChangeLog!A75+"AM:!06T"</f>
        <v>#VALUE!</v>
      </c>
      <c r="IQ283" t="e">
        <f>ChangeLog!B75+"AM:!06U"</f>
        <v>#VALUE!</v>
      </c>
      <c r="IR283" t="e">
        <f>ChangeLog!C75+"AM:!06V"</f>
        <v>#VALUE!</v>
      </c>
      <c r="IS283" t="e">
        <f>ChangeLog!D75+"AM:!06W"</f>
        <v>#VALUE!</v>
      </c>
      <c r="IT283" s="97" t="e">
        <f>ChangeLog!E75+"AM:!06X"</f>
        <v>#VALUE!</v>
      </c>
      <c r="IU283" s="97" t="e">
        <f>ChangeLog!F75+"AM:!06Y"</f>
        <v>#VALUE!</v>
      </c>
      <c r="IV283" t="e">
        <f>ChangeLog!G75+"AM:!06Z"</f>
        <v>#VALUE!</v>
      </c>
    </row>
    <row r="284" spans="6:256">
      <c r="F284" t="e">
        <f>ChangeLog!H75+"AM:!06["</f>
        <v>#VALUE!</v>
      </c>
      <c r="G284" t="e">
        <f>ChangeLog!I75+"AM:!06\"</f>
        <v>#VALUE!</v>
      </c>
      <c r="H284" t="e">
        <f>ChangeLog!J75+"AM:!06]"</f>
        <v>#VALUE!</v>
      </c>
      <c r="I284" t="e">
        <f>ChangeLog!K75+"AM:!06^"</f>
        <v>#VALUE!</v>
      </c>
      <c r="J284" t="e">
        <f>ChangeLog!L75+"AM:!06_"</f>
        <v>#VALUE!</v>
      </c>
      <c r="K284" t="e">
        <f>ChangeLog!M75+"AM:!06`"</f>
        <v>#VALUE!</v>
      </c>
      <c r="L284" t="e">
        <f>ChangeLog!N75+"AM:!06a"</f>
        <v>#VALUE!</v>
      </c>
      <c r="M284" t="e">
        <f>ChangeLog!O75+"AM:!06b"</f>
        <v>#VALUE!</v>
      </c>
      <c r="N284" t="e">
        <f>ChangeLog!P75+"AM:!06c"</f>
        <v>#VALUE!</v>
      </c>
      <c r="O284" t="e">
        <f>ChangeLog!Q75+"AM:!06d"</f>
        <v>#VALUE!</v>
      </c>
      <c r="P284" t="e">
        <f>ChangeLog!R75+"AM:!06e"</f>
        <v>#VALUE!</v>
      </c>
      <c r="Q284" t="e">
        <f>ChangeLog!S75+"AM:!06f"</f>
        <v>#VALUE!</v>
      </c>
      <c r="R284" t="e">
        <f>ChangeLog!T75+"AM:!06g"</f>
        <v>#VALUE!</v>
      </c>
      <c r="S284" t="e">
        <f>ChangeLog!A76+"AM:!06h"</f>
        <v>#VALUE!</v>
      </c>
      <c r="T284" t="e">
        <f>ChangeLog!B76+"AM:!06i"</f>
        <v>#VALUE!</v>
      </c>
      <c r="U284" t="e">
        <f>ChangeLog!C76+"AM:!06j"</f>
        <v>#VALUE!</v>
      </c>
      <c r="V284" t="e">
        <f>ChangeLog!D76+"AM:!06k"</f>
        <v>#VALUE!</v>
      </c>
      <c r="W284" s="97" t="e">
        <f>ChangeLog!E76+"AM:!06l"</f>
        <v>#VALUE!</v>
      </c>
      <c r="X284" s="97" t="e">
        <f>ChangeLog!F76+"AM:!06m"</f>
        <v>#VALUE!</v>
      </c>
      <c r="Y284" t="e">
        <f>ChangeLog!G76+"AM:!06n"</f>
        <v>#VALUE!</v>
      </c>
      <c r="Z284" t="e">
        <f>ChangeLog!H76+"AM:!06o"</f>
        <v>#VALUE!</v>
      </c>
      <c r="AA284" t="e">
        <f>ChangeLog!I76+"AM:!06p"</f>
        <v>#VALUE!</v>
      </c>
      <c r="AB284" t="e">
        <f>ChangeLog!J76+"AM:!06q"</f>
        <v>#VALUE!</v>
      </c>
      <c r="AC284" t="e">
        <f>ChangeLog!K76+"AM:!06r"</f>
        <v>#VALUE!</v>
      </c>
      <c r="AD284" t="e">
        <f>ChangeLog!L76+"AM:!06s"</f>
        <v>#VALUE!</v>
      </c>
      <c r="AE284" t="e">
        <f>ChangeLog!M76+"AM:!06t"</f>
        <v>#VALUE!</v>
      </c>
      <c r="AF284" t="e">
        <f>ChangeLog!N76+"AM:!06u"</f>
        <v>#VALUE!</v>
      </c>
      <c r="AG284" t="e">
        <f>ChangeLog!O76+"AM:!06v"</f>
        <v>#VALUE!</v>
      </c>
      <c r="AH284" t="e">
        <f>ChangeLog!P76+"AM:!06w"</f>
        <v>#VALUE!</v>
      </c>
      <c r="AI284" t="e">
        <f>ChangeLog!Q76+"AM:!06x"</f>
        <v>#VALUE!</v>
      </c>
      <c r="AJ284" t="e">
        <f>ChangeLog!R76+"AM:!06y"</f>
        <v>#VALUE!</v>
      </c>
      <c r="AK284" t="e">
        <f>ChangeLog!S76+"AM:!06z"</f>
        <v>#VALUE!</v>
      </c>
      <c r="AL284" t="e">
        <f>ChangeLog!T76+"AM:!06{"</f>
        <v>#VALUE!</v>
      </c>
      <c r="AM284" t="e">
        <f>ChangeLog!A77+"AM:!06|"</f>
        <v>#VALUE!</v>
      </c>
      <c r="AN284" t="e">
        <f>ChangeLog!B77+"AM:!06}"</f>
        <v>#VALUE!</v>
      </c>
      <c r="AO284" t="e">
        <f>ChangeLog!C77+"AM:!06~"</f>
        <v>#VALUE!</v>
      </c>
      <c r="AP284" t="e">
        <f>ChangeLog!D77+"AM:!07#"</f>
        <v>#VALUE!</v>
      </c>
      <c r="AQ284" s="97" t="e">
        <f>ChangeLog!E77+"AM:!07$"</f>
        <v>#VALUE!</v>
      </c>
      <c r="AR284" s="97" t="e">
        <f>ChangeLog!F77+"AM:!07%"</f>
        <v>#VALUE!</v>
      </c>
      <c r="AS284" t="e">
        <f>ChangeLog!G77+"AM:!07&amp;"</f>
        <v>#VALUE!</v>
      </c>
      <c r="AT284" t="e">
        <f>ChangeLog!H77+"AM:!07'"</f>
        <v>#VALUE!</v>
      </c>
      <c r="AU284" t="e">
        <f>ChangeLog!I77+"AM:!07("</f>
        <v>#VALUE!</v>
      </c>
      <c r="AV284" t="e">
        <f>ChangeLog!J77+"AM:!07)"</f>
        <v>#VALUE!</v>
      </c>
      <c r="AW284" t="e">
        <f>ChangeLog!K77+"AM:!07."</f>
        <v>#VALUE!</v>
      </c>
      <c r="AX284" t="e">
        <f>ChangeLog!L77+"AM:!07/"</f>
        <v>#VALUE!</v>
      </c>
      <c r="AY284" t="e">
        <f>ChangeLog!M77+"AM:!070"</f>
        <v>#VALUE!</v>
      </c>
      <c r="AZ284" t="e">
        <f>ChangeLog!N77+"AM:!071"</f>
        <v>#VALUE!</v>
      </c>
      <c r="BA284" t="e">
        <f>ChangeLog!O77+"AM:!072"</f>
        <v>#VALUE!</v>
      </c>
      <c r="BB284" t="e">
        <f>ChangeLog!P77+"AM:!073"</f>
        <v>#VALUE!</v>
      </c>
      <c r="BC284" t="e">
        <f>ChangeLog!Q77+"AM:!074"</f>
        <v>#VALUE!</v>
      </c>
      <c r="BD284" t="e">
        <f>ChangeLog!R77+"AM:!075"</f>
        <v>#VALUE!</v>
      </c>
      <c r="BE284" t="e">
        <f>ChangeLog!S77+"AM:!076"</f>
        <v>#VALUE!</v>
      </c>
      <c r="BF284" t="e">
        <f>ChangeLog!T77+"AM:!077"</f>
        <v>#VALUE!</v>
      </c>
      <c r="BG284" t="e">
        <f>ChangeLog!A78+"AM:!078"</f>
        <v>#VALUE!</v>
      </c>
      <c r="BH284" t="e">
        <f>ChangeLog!B78+"AM:!079"</f>
        <v>#VALUE!</v>
      </c>
      <c r="BI284" t="e">
        <f>ChangeLog!C78+"AM:!07:"</f>
        <v>#VALUE!</v>
      </c>
      <c r="BJ284" t="e">
        <f>ChangeLog!D78+"AM:!07;"</f>
        <v>#VALUE!</v>
      </c>
      <c r="BK284" s="97" t="e">
        <f>ChangeLog!E78+"AM:!07&lt;"</f>
        <v>#VALUE!</v>
      </c>
      <c r="BL284" s="97" t="e">
        <f>ChangeLog!F78+"AM:!07="</f>
        <v>#VALUE!</v>
      </c>
      <c r="BM284" t="e">
        <f>ChangeLog!G78+"AM:!07&gt;"</f>
        <v>#VALUE!</v>
      </c>
      <c r="BN284" t="e">
        <f>ChangeLog!H78+"AM:!07?"</f>
        <v>#VALUE!</v>
      </c>
      <c r="BO284" t="e">
        <f>ChangeLog!I78+"AM:!07@"</f>
        <v>#VALUE!</v>
      </c>
      <c r="BP284" t="e">
        <f>ChangeLog!J78+"AM:!07A"</f>
        <v>#VALUE!</v>
      </c>
      <c r="BQ284" t="e">
        <f>ChangeLog!K78+"AM:!07B"</f>
        <v>#VALUE!</v>
      </c>
      <c r="BR284" t="e">
        <f>ChangeLog!L78+"AM:!07C"</f>
        <v>#VALUE!</v>
      </c>
      <c r="BS284" t="e">
        <f>ChangeLog!M78+"AM:!07D"</f>
        <v>#VALUE!</v>
      </c>
      <c r="BT284" t="e">
        <f>ChangeLog!N78+"AM:!07E"</f>
        <v>#VALUE!</v>
      </c>
      <c r="BU284" t="e">
        <f>ChangeLog!O78+"AM:!07F"</f>
        <v>#VALUE!</v>
      </c>
      <c r="BV284" t="e">
        <f>ChangeLog!P78+"AM:!07G"</f>
        <v>#VALUE!</v>
      </c>
      <c r="BW284" t="e">
        <f>ChangeLog!Q78+"AM:!07H"</f>
        <v>#VALUE!</v>
      </c>
      <c r="BX284" t="e">
        <f>ChangeLog!R78+"AM:!07I"</f>
        <v>#VALUE!</v>
      </c>
      <c r="BY284" t="e">
        <f>ChangeLog!S78+"AM:!07J"</f>
        <v>#VALUE!</v>
      </c>
      <c r="BZ284" t="e">
        <f>ChangeLog!T78+"AM:!07K"</f>
        <v>#VALUE!</v>
      </c>
      <c r="CA284" t="e">
        <f>ChangeLog!A79+"AM:!07L"</f>
        <v>#VALUE!</v>
      </c>
      <c r="CB284" t="e">
        <f>ChangeLog!B79+"AM:!07M"</f>
        <v>#VALUE!</v>
      </c>
      <c r="CC284" t="e">
        <f>ChangeLog!C79+"AM:!07N"</f>
        <v>#VALUE!</v>
      </c>
      <c r="CD284" t="e">
        <f>ChangeLog!D79+"AM:!07O"</f>
        <v>#VALUE!</v>
      </c>
      <c r="CE284" s="97" t="e">
        <f>ChangeLog!E79+"AM:!07P"</f>
        <v>#VALUE!</v>
      </c>
      <c r="CF284" s="97" t="e">
        <f>ChangeLog!F79+"AM:!07Q"</f>
        <v>#VALUE!</v>
      </c>
      <c r="CG284" t="e">
        <f>ChangeLog!G79+"AM:!07R"</f>
        <v>#VALUE!</v>
      </c>
      <c r="CH284" t="e">
        <f>ChangeLog!H79+"AM:!07S"</f>
        <v>#VALUE!</v>
      </c>
      <c r="CI284" t="e">
        <f>ChangeLog!I79+"AM:!07T"</f>
        <v>#VALUE!</v>
      </c>
      <c r="CJ284" t="e">
        <f>ChangeLog!J79+"AM:!07U"</f>
        <v>#VALUE!</v>
      </c>
      <c r="CK284" t="e">
        <f>ChangeLog!K79+"AM:!07V"</f>
        <v>#VALUE!</v>
      </c>
      <c r="CL284" t="e">
        <f>ChangeLog!L79+"AM:!07W"</f>
        <v>#VALUE!</v>
      </c>
      <c r="CM284" t="e">
        <f>ChangeLog!M79+"AM:!07X"</f>
        <v>#VALUE!</v>
      </c>
      <c r="CN284" t="e">
        <f>ChangeLog!N79+"AM:!07Y"</f>
        <v>#VALUE!</v>
      </c>
      <c r="CO284" t="e">
        <f>ChangeLog!O79+"AM:!07Z"</f>
        <v>#VALUE!</v>
      </c>
      <c r="CP284" t="e">
        <f>ChangeLog!P79+"AM:!07["</f>
        <v>#VALUE!</v>
      </c>
      <c r="CQ284" t="e">
        <f>ChangeLog!Q79+"AM:!07\"</f>
        <v>#VALUE!</v>
      </c>
      <c r="CR284" t="e">
        <f>ChangeLog!R79+"AM:!07]"</f>
        <v>#VALUE!</v>
      </c>
      <c r="CS284" t="e">
        <f>ChangeLog!S79+"AM:!07^"</f>
        <v>#VALUE!</v>
      </c>
      <c r="CT284" t="e">
        <f>ChangeLog!T79+"AM:!07_"</f>
        <v>#VALUE!</v>
      </c>
      <c r="CU284" t="e">
        <f>ChangeLog!A80+"AM:!07`"</f>
        <v>#VALUE!</v>
      </c>
      <c r="CV284" t="e">
        <f>ChangeLog!B80+"AM:!07a"</f>
        <v>#VALUE!</v>
      </c>
      <c r="CW284" t="e">
        <f>ChangeLog!C80+"AM:!07b"</f>
        <v>#VALUE!</v>
      </c>
      <c r="CX284" t="e">
        <f>ChangeLog!D80+"AM:!07c"</f>
        <v>#VALUE!</v>
      </c>
      <c r="CY284" s="97" t="e">
        <f>ChangeLog!E80+"AM:!07d"</f>
        <v>#VALUE!</v>
      </c>
      <c r="CZ284" s="97" t="e">
        <f>ChangeLog!F80+"AM:!07e"</f>
        <v>#VALUE!</v>
      </c>
      <c r="DA284" t="e">
        <f>ChangeLog!G80+"AM:!07f"</f>
        <v>#VALUE!</v>
      </c>
      <c r="DB284" t="e">
        <f>ChangeLog!H80+"AM:!07g"</f>
        <v>#VALUE!</v>
      </c>
      <c r="DC284" t="e">
        <f>ChangeLog!I80+"AM:!07h"</f>
        <v>#VALUE!</v>
      </c>
      <c r="DD284" t="e">
        <f>ChangeLog!J80+"AM:!07i"</f>
        <v>#VALUE!</v>
      </c>
      <c r="DE284" t="e">
        <f>ChangeLog!K80+"AM:!07j"</f>
        <v>#VALUE!</v>
      </c>
      <c r="DF284" t="e">
        <f>ChangeLog!L80+"AM:!07k"</f>
        <v>#VALUE!</v>
      </c>
      <c r="DG284" t="e">
        <f>ChangeLog!M80+"AM:!07l"</f>
        <v>#VALUE!</v>
      </c>
      <c r="DH284" t="e">
        <f>ChangeLog!N80+"AM:!07m"</f>
        <v>#VALUE!</v>
      </c>
      <c r="DI284" t="e">
        <f>ChangeLog!O80+"AM:!07n"</f>
        <v>#VALUE!</v>
      </c>
      <c r="DJ284" t="e">
        <f>ChangeLog!P80+"AM:!07o"</f>
        <v>#VALUE!</v>
      </c>
      <c r="DK284" t="e">
        <f>ChangeLog!Q80+"AM:!07p"</f>
        <v>#VALUE!</v>
      </c>
      <c r="DL284" t="e">
        <f>ChangeLog!R80+"AM:!07q"</f>
        <v>#VALUE!</v>
      </c>
      <c r="DM284" t="e">
        <f>ChangeLog!S80+"AM:!07r"</f>
        <v>#VALUE!</v>
      </c>
      <c r="DN284" t="e">
        <f>ChangeLog!T80+"AM:!07s"</f>
        <v>#VALUE!</v>
      </c>
      <c r="DO284" t="e">
        <f>ChangeLog!A81+"AM:!07t"</f>
        <v>#VALUE!</v>
      </c>
      <c r="DP284" t="e">
        <f>ChangeLog!B81+"AM:!07u"</f>
        <v>#VALUE!</v>
      </c>
      <c r="DQ284" t="e">
        <f>ChangeLog!C81+"AM:!07v"</f>
        <v>#VALUE!</v>
      </c>
      <c r="DR284" t="e">
        <f>ChangeLog!D81+"AM:!07w"</f>
        <v>#VALUE!</v>
      </c>
      <c r="DS284" s="97" t="e">
        <f>ChangeLog!E81+"AM:!07x"</f>
        <v>#VALUE!</v>
      </c>
      <c r="DT284" s="97" t="e">
        <f>ChangeLog!F81+"AM:!07y"</f>
        <v>#VALUE!</v>
      </c>
      <c r="DU284" t="e">
        <f>ChangeLog!G81+"AM:!07z"</f>
        <v>#VALUE!</v>
      </c>
      <c r="DV284" t="e">
        <f>ChangeLog!H81+"AM:!07{"</f>
        <v>#VALUE!</v>
      </c>
      <c r="DW284" t="e">
        <f>ChangeLog!I81+"AM:!07|"</f>
        <v>#VALUE!</v>
      </c>
      <c r="DX284" t="e">
        <f>ChangeLog!J81+"AM:!07}"</f>
        <v>#VALUE!</v>
      </c>
      <c r="DY284" t="e">
        <f>ChangeLog!K81+"AM:!07~"</f>
        <v>#VALUE!</v>
      </c>
      <c r="DZ284" t="e">
        <f>ChangeLog!L81+"AM:!08#"</f>
        <v>#VALUE!</v>
      </c>
      <c r="EA284" t="e">
        <f>ChangeLog!M81+"AM:!08$"</f>
        <v>#VALUE!</v>
      </c>
      <c r="EB284" t="e">
        <f>ChangeLog!N81+"AM:!08%"</f>
        <v>#VALUE!</v>
      </c>
      <c r="EC284" t="e">
        <f>ChangeLog!O81+"AM:!08&amp;"</f>
        <v>#VALUE!</v>
      </c>
      <c r="ED284" t="e">
        <f>ChangeLog!P81+"AM:!08'"</f>
        <v>#VALUE!</v>
      </c>
      <c r="EE284" t="e">
        <f>ChangeLog!Q81+"AM:!08("</f>
        <v>#VALUE!</v>
      </c>
      <c r="EF284" t="e">
        <f>ChangeLog!R81+"AM:!08)"</f>
        <v>#VALUE!</v>
      </c>
      <c r="EG284" t="e">
        <f>ChangeLog!S81+"AM:!08."</f>
        <v>#VALUE!</v>
      </c>
      <c r="EH284" t="e">
        <f>ChangeLog!T81+"AM:!08/"</f>
        <v>#VALUE!</v>
      </c>
      <c r="EI284" t="e">
        <f>ChangeLog!A82+"AM:!080"</f>
        <v>#VALUE!</v>
      </c>
      <c r="EJ284" t="e">
        <f>ChangeLog!B82+"AM:!081"</f>
        <v>#VALUE!</v>
      </c>
      <c r="EK284" t="e">
        <f>ChangeLog!C82+"AM:!082"</f>
        <v>#VALUE!</v>
      </c>
      <c r="EL284" t="e">
        <f>ChangeLog!D82+"AM:!083"</f>
        <v>#VALUE!</v>
      </c>
      <c r="EM284" s="97" t="e">
        <f>ChangeLog!E82+"AM:!084"</f>
        <v>#VALUE!</v>
      </c>
      <c r="EN284" s="97" t="e">
        <f>ChangeLog!F82+"AM:!085"</f>
        <v>#VALUE!</v>
      </c>
      <c r="EO284" t="e">
        <f>ChangeLog!G82+"AM:!086"</f>
        <v>#VALUE!</v>
      </c>
      <c r="EP284" t="e">
        <f>ChangeLog!H82+"AM:!087"</f>
        <v>#VALUE!</v>
      </c>
      <c r="EQ284" t="e">
        <f>ChangeLog!I82+"AM:!088"</f>
        <v>#VALUE!</v>
      </c>
      <c r="ER284" t="e">
        <f>ChangeLog!J82+"AM:!089"</f>
        <v>#VALUE!</v>
      </c>
      <c r="ES284" t="e">
        <f>ChangeLog!K82+"AM:!08:"</f>
        <v>#VALUE!</v>
      </c>
      <c r="ET284" t="e">
        <f>ChangeLog!L82+"AM:!08;"</f>
        <v>#VALUE!</v>
      </c>
      <c r="EU284" t="e">
        <f>ChangeLog!M82+"AM:!08&lt;"</f>
        <v>#VALUE!</v>
      </c>
      <c r="EV284" t="e">
        <f>ChangeLog!N82+"AM:!08="</f>
        <v>#VALUE!</v>
      </c>
      <c r="EW284" t="e">
        <f>ChangeLog!O82+"AM:!08&gt;"</f>
        <v>#VALUE!</v>
      </c>
      <c r="EX284" t="e">
        <f>ChangeLog!P82+"AM:!08?"</f>
        <v>#VALUE!</v>
      </c>
      <c r="EY284" t="e">
        <f>ChangeLog!Q82+"AM:!08@"</f>
        <v>#VALUE!</v>
      </c>
      <c r="EZ284" t="e">
        <f>ChangeLog!R82+"AM:!08A"</f>
        <v>#VALUE!</v>
      </c>
      <c r="FA284" t="e">
        <f>ChangeLog!S82+"AM:!08B"</f>
        <v>#VALUE!</v>
      </c>
      <c r="FB284" t="e">
        <f>ChangeLog!T82+"AM:!08C"</f>
        <v>#VALUE!</v>
      </c>
      <c r="FC284" t="e">
        <f>ChangeLog!A83+"AM:!08D"</f>
        <v>#VALUE!</v>
      </c>
      <c r="FD284" t="e">
        <f>ChangeLog!B83+"AM:!08E"</f>
        <v>#VALUE!</v>
      </c>
      <c r="FE284" t="e">
        <f>ChangeLog!C83+"AM:!08F"</f>
        <v>#VALUE!</v>
      </c>
      <c r="FF284" t="e">
        <f>ChangeLog!D83+"AM:!08G"</f>
        <v>#VALUE!</v>
      </c>
      <c r="FG284" s="97" t="e">
        <f>ChangeLog!E83+"AM:!08H"</f>
        <v>#VALUE!</v>
      </c>
      <c r="FH284" s="97" t="e">
        <f>ChangeLog!F83+"AM:!08I"</f>
        <v>#VALUE!</v>
      </c>
      <c r="FI284" t="e">
        <f>ChangeLog!G83+"AM:!08J"</f>
        <v>#VALUE!</v>
      </c>
      <c r="FJ284" t="e">
        <f>ChangeLog!H83+"AM:!08K"</f>
        <v>#VALUE!</v>
      </c>
      <c r="FK284" t="e">
        <f>ChangeLog!I83+"AM:!08L"</f>
        <v>#VALUE!</v>
      </c>
      <c r="FL284" t="e">
        <f>ChangeLog!J83+"AM:!08M"</f>
        <v>#VALUE!</v>
      </c>
      <c r="FM284" t="e">
        <f>ChangeLog!K83+"AM:!08N"</f>
        <v>#VALUE!</v>
      </c>
      <c r="FN284" t="e">
        <f>ChangeLog!L83+"AM:!08O"</f>
        <v>#VALUE!</v>
      </c>
      <c r="FO284" t="e">
        <f>ChangeLog!M83+"AM:!08P"</f>
        <v>#VALUE!</v>
      </c>
      <c r="FP284" t="e">
        <f>ChangeLog!N83+"AM:!08Q"</f>
        <v>#VALUE!</v>
      </c>
      <c r="FQ284" t="e">
        <f>ChangeLog!O83+"AM:!08R"</f>
        <v>#VALUE!</v>
      </c>
      <c r="FR284" t="e">
        <f>ChangeLog!P83+"AM:!08S"</f>
        <v>#VALUE!</v>
      </c>
      <c r="FS284" t="e">
        <f>ChangeLog!Q83+"AM:!08T"</f>
        <v>#VALUE!</v>
      </c>
      <c r="FT284" t="e">
        <f>ChangeLog!R83+"AM:!08U"</f>
        <v>#VALUE!</v>
      </c>
      <c r="FU284" t="e">
        <f>ChangeLog!S83+"AM:!08V"</f>
        <v>#VALUE!</v>
      </c>
      <c r="FV284" t="e">
        <f>ChangeLog!T83+"AM:!08W"</f>
        <v>#VALUE!</v>
      </c>
      <c r="FW284" t="e">
        <f>ChangeLog!A84+"AM:!08X"</f>
        <v>#VALUE!</v>
      </c>
      <c r="FX284" t="e">
        <f>ChangeLog!B84+"AM:!08Y"</f>
        <v>#VALUE!</v>
      </c>
      <c r="FY284" t="e">
        <f>ChangeLog!C84+"AM:!08Z"</f>
        <v>#VALUE!</v>
      </c>
      <c r="FZ284" t="e">
        <f>ChangeLog!D84+"AM:!08["</f>
        <v>#VALUE!</v>
      </c>
      <c r="GA284" s="97" t="e">
        <f>ChangeLog!E84+"AM:!08\"</f>
        <v>#VALUE!</v>
      </c>
      <c r="GB284" s="97" t="e">
        <f>ChangeLog!F84+"AM:!08]"</f>
        <v>#VALUE!</v>
      </c>
      <c r="GC284" t="e">
        <f>ChangeLog!G84+"AM:!08^"</f>
        <v>#VALUE!</v>
      </c>
      <c r="GD284" t="e">
        <f>ChangeLog!H84+"AM:!08_"</f>
        <v>#VALUE!</v>
      </c>
      <c r="GE284" t="e">
        <f>ChangeLog!I84+"AM:!08`"</f>
        <v>#VALUE!</v>
      </c>
      <c r="GF284" t="e">
        <f>ChangeLog!J84+"AM:!08a"</f>
        <v>#VALUE!</v>
      </c>
      <c r="GG284" t="e">
        <f>ChangeLog!K84+"AM:!08b"</f>
        <v>#VALUE!</v>
      </c>
      <c r="GH284" t="e">
        <f>ChangeLog!L84+"AM:!08c"</f>
        <v>#VALUE!</v>
      </c>
      <c r="GI284" t="e">
        <f>ChangeLog!M84+"AM:!08d"</f>
        <v>#VALUE!</v>
      </c>
      <c r="GJ284" t="e">
        <f>ChangeLog!N84+"AM:!08e"</f>
        <v>#VALUE!</v>
      </c>
      <c r="GK284" t="e">
        <f>ChangeLog!O84+"AM:!08f"</f>
        <v>#VALUE!</v>
      </c>
      <c r="GL284" t="e">
        <f>ChangeLog!P84+"AM:!08g"</f>
        <v>#VALUE!</v>
      </c>
      <c r="GM284" t="e">
        <f>ChangeLog!Q84+"AM:!08h"</f>
        <v>#VALUE!</v>
      </c>
      <c r="GN284" t="e">
        <f>ChangeLog!R84+"AM:!08i"</f>
        <v>#VALUE!</v>
      </c>
      <c r="GO284" t="e">
        <f>ChangeLog!S84+"AM:!08j"</f>
        <v>#VALUE!</v>
      </c>
      <c r="GP284" t="e">
        <f>ChangeLog!T84+"AM:!08k"</f>
        <v>#VALUE!</v>
      </c>
      <c r="GQ284" t="e">
        <f>ChangeLog!A85+"AM:!08l"</f>
        <v>#VALUE!</v>
      </c>
      <c r="GR284" t="e">
        <f>ChangeLog!B85+"AM:!08m"</f>
        <v>#VALUE!</v>
      </c>
      <c r="GS284" t="e">
        <f>ChangeLog!C85+"AM:!08n"</f>
        <v>#VALUE!</v>
      </c>
      <c r="GT284" t="e">
        <f>ChangeLog!D85+"AM:!08o"</f>
        <v>#VALUE!</v>
      </c>
      <c r="GU284" s="97" t="e">
        <f>ChangeLog!E85+"AM:!08p"</f>
        <v>#VALUE!</v>
      </c>
      <c r="GV284" s="97" t="e">
        <f>ChangeLog!F85+"AM:!08q"</f>
        <v>#VALUE!</v>
      </c>
      <c r="GW284" t="e">
        <f>ChangeLog!G85+"AM:!08r"</f>
        <v>#VALUE!</v>
      </c>
      <c r="GX284" t="e">
        <f>ChangeLog!H85+"AM:!08s"</f>
        <v>#VALUE!</v>
      </c>
      <c r="GY284" t="e">
        <f>ChangeLog!I85+"AM:!08t"</f>
        <v>#VALUE!</v>
      </c>
      <c r="GZ284" t="e">
        <f>ChangeLog!J85+"AM:!08u"</f>
        <v>#VALUE!</v>
      </c>
      <c r="HA284" t="e">
        <f>ChangeLog!K85+"AM:!08v"</f>
        <v>#VALUE!</v>
      </c>
      <c r="HB284" t="e">
        <f>ChangeLog!L85+"AM:!08w"</f>
        <v>#VALUE!</v>
      </c>
      <c r="HC284" t="e">
        <f>ChangeLog!M85+"AM:!08x"</f>
        <v>#VALUE!</v>
      </c>
      <c r="HD284" t="e">
        <f>ChangeLog!N85+"AM:!08y"</f>
        <v>#VALUE!</v>
      </c>
      <c r="HE284" t="e">
        <f>ChangeLog!O85+"AM:!08z"</f>
        <v>#VALUE!</v>
      </c>
      <c r="HF284" t="e">
        <f>ChangeLog!P85+"AM:!08{"</f>
        <v>#VALUE!</v>
      </c>
      <c r="HG284" t="e">
        <f>ChangeLog!Q85+"AM:!08|"</f>
        <v>#VALUE!</v>
      </c>
      <c r="HH284" t="e">
        <f>ChangeLog!R85+"AM:!08}"</f>
        <v>#VALUE!</v>
      </c>
      <c r="HI284" t="e">
        <f>ChangeLog!S85+"AM:!08~"</f>
        <v>#VALUE!</v>
      </c>
      <c r="HJ284" t="e">
        <f>ChangeLog!T85+"AM:!09#"</f>
        <v>#VALUE!</v>
      </c>
      <c r="HK284" t="e">
        <f>ChangeLog!A86+"AM:!09$"</f>
        <v>#VALUE!</v>
      </c>
      <c r="HL284" t="e">
        <f>ChangeLog!B86+"AM:!09%"</f>
        <v>#VALUE!</v>
      </c>
      <c r="HM284" t="e">
        <f>ChangeLog!C86+"AM:!09&amp;"</f>
        <v>#VALUE!</v>
      </c>
      <c r="HN284" t="e">
        <f>ChangeLog!D86+"AM:!09'"</f>
        <v>#VALUE!</v>
      </c>
      <c r="HO284" s="97" t="e">
        <f>ChangeLog!E86+"AM:!09("</f>
        <v>#VALUE!</v>
      </c>
      <c r="HP284" s="97" t="e">
        <f>ChangeLog!F86+"AM:!09)"</f>
        <v>#VALUE!</v>
      </c>
      <c r="HQ284" t="e">
        <f>ChangeLog!G86+"AM:!09."</f>
        <v>#VALUE!</v>
      </c>
      <c r="HR284" t="e">
        <f>ChangeLog!H86+"AM:!09/"</f>
        <v>#VALUE!</v>
      </c>
      <c r="HS284" t="e">
        <f>ChangeLog!I86+"AM:!090"</f>
        <v>#VALUE!</v>
      </c>
      <c r="HT284" t="e">
        <f>ChangeLog!J86+"AM:!091"</f>
        <v>#VALUE!</v>
      </c>
      <c r="HU284" t="e">
        <f>ChangeLog!K86+"AM:!092"</f>
        <v>#VALUE!</v>
      </c>
      <c r="HV284" t="e">
        <f>ChangeLog!L86+"AM:!093"</f>
        <v>#VALUE!</v>
      </c>
      <c r="HW284" t="e">
        <f>ChangeLog!M86+"AM:!094"</f>
        <v>#VALUE!</v>
      </c>
      <c r="HX284" t="e">
        <f>ChangeLog!N86+"AM:!095"</f>
        <v>#VALUE!</v>
      </c>
      <c r="HY284" t="e">
        <f>ChangeLog!O86+"AM:!096"</f>
        <v>#VALUE!</v>
      </c>
      <c r="HZ284" t="e">
        <f>ChangeLog!P86+"AM:!097"</f>
        <v>#VALUE!</v>
      </c>
      <c r="IA284" t="e">
        <f>ChangeLog!Q86+"AM:!098"</f>
        <v>#VALUE!</v>
      </c>
      <c r="IB284" t="e">
        <f>ChangeLog!R86+"AM:!099"</f>
        <v>#VALUE!</v>
      </c>
      <c r="IC284" t="e">
        <f>ChangeLog!S86+"AM:!09:"</f>
        <v>#VALUE!</v>
      </c>
      <c r="ID284" t="e">
        <f>ChangeLog!T86+"AM:!09;"</f>
        <v>#VALUE!</v>
      </c>
      <c r="IE284" t="e">
        <f>ChangeLog!A87+"AM:!09&lt;"</f>
        <v>#VALUE!</v>
      </c>
      <c r="IF284" t="e">
        <f>ChangeLog!B87+"AM:!09="</f>
        <v>#VALUE!</v>
      </c>
      <c r="IG284" t="e">
        <f>ChangeLog!C87+"AM:!09&gt;"</f>
        <v>#VALUE!</v>
      </c>
      <c r="IH284" t="e">
        <f>ChangeLog!D87+"AM:!09?"</f>
        <v>#VALUE!</v>
      </c>
      <c r="II284" s="97" t="e">
        <f>ChangeLog!E87+"AM:!09@"</f>
        <v>#VALUE!</v>
      </c>
      <c r="IJ284" s="97" t="e">
        <f>ChangeLog!F87+"AM:!09A"</f>
        <v>#VALUE!</v>
      </c>
      <c r="IK284" t="e">
        <f>ChangeLog!G87+"AM:!09B"</f>
        <v>#VALUE!</v>
      </c>
      <c r="IL284" t="e">
        <f>ChangeLog!H87+"AM:!09C"</f>
        <v>#VALUE!</v>
      </c>
      <c r="IM284" t="e">
        <f>ChangeLog!I87+"AM:!09D"</f>
        <v>#VALUE!</v>
      </c>
      <c r="IN284" t="e">
        <f>ChangeLog!J87+"AM:!09E"</f>
        <v>#VALUE!</v>
      </c>
      <c r="IO284" t="e">
        <f>ChangeLog!K87+"AM:!09F"</f>
        <v>#VALUE!</v>
      </c>
      <c r="IP284" t="e">
        <f>ChangeLog!L87+"AM:!09G"</f>
        <v>#VALUE!</v>
      </c>
      <c r="IQ284" t="e">
        <f>ChangeLog!M87+"AM:!09H"</f>
        <v>#VALUE!</v>
      </c>
      <c r="IR284" t="e">
        <f>ChangeLog!N87+"AM:!09I"</f>
        <v>#VALUE!</v>
      </c>
      <c r="IS284" t="e">
        <f>ChangeLog!O87+"AM:!09J"</f>
        <v>#VALUE!</v>
      </c>
      <c r="IT284" t="e">
        <f>ChangeLog!P87+"AM:!09K"</f>
        <v>#VALUE!</v>
      </c>
      <c r="IU284" t="e">
        <f>ChangeLog!Q87+"AM:!09L"</f>
        <v>#VALUE!</v>
      </c>
      <c r="IV284" t="e">
        <f>ChangeLog!R87+"AM:!09M"</f>
        <v>#VALUE!</v>
      </c>
    </row>
    <row r="285" spans="6:256">
      <c r="F285" t="e">
        <f>ChangeLog!S87+"AM:!09N"</f>
        <v>#VALUE!</v>
      </c>
      <c r="G285" t="e">
        <f>ChangeLog!T87+"AM:!09O"</f>
        <v>#VALUE!</v>
      </c>
      <c r="H285" t="e">
        <f>ChangeLog!A88+"AM:!09P"</f>
        <v>#VALUE!</v>
      </c>
      <c r="I285" t="e">
        <f>ChangeLog!B88+"AM:!09Q"</f>
        <v>#VALUE!</v>
      </c>
      <c r="J285" t="e">
        <f>ChangeLog!C88+"AM:!09R"</f>
        <v>#VALUE!</v>
      </c>
      <c r="K285" t="e">
        <f>ChangeLog!D88+"AM:!09S"</f>
        <v>#VALUE!</v>
      </c>
      <c r="L285" s="97" t="e">
        <f>ChangeLog!E88+"AM:!09T"</f>
        <v>#VALUE!</v>
      </c>
      <c r="M285" s="97" t="e">
        <f>ChangeLog!F88+"AM:!09U"</f>
        <v>#VALUE!</v>
      </c>
      <c r="N285" t="e">
        <f>ChangeLog!G88+"AM:!09V"</f>
        <v>#VALUE!</v>
      </c>
      <c r="O285" t="e">
        <f>ChangeLog!H88+"AM:!09W"</f>
        <v>#VALUE!</v>
      </c>
      <c r="P285" t="e">
        <f>ChangeLog!I88+"AM:!09X"</f>
        <v>#VALUE!</v>
      </c>
      <c r="Q285" t="e">
        <f>ChangeLog!J88+"AM:!09Y"</f>
        <v>#VALUE!</v>
      </c>
      <c r="R285" t="e">
        <f>ChangeLog!K88+"AM:!09Z"</f>
        <v>#VALUE!</v>
      </c>
      <c r="S285" t="e">
        <f>ChangeLog!L88+"AM:!09["</f>
        <v>#VALUE!</v>
      </c>
      <c r="T285" t="e">
        <f>ChangeLog!M88+"AM:!09\"</f>
        <v>#VALUE!</v>
      </c>
      <c r="U285" t="e">
        <f>ChangeLog!N88+"AM:!09]"</f>
        <v>#VALUE!</v>
      </c>
      <c r="V285" t="e">
        <f>ChangeLog!O88+"AM:!09^"</f>
        <v>#VALUE!</v>
      </c>
      <c r="W285" t="e">
        <f>ChangeLog!P88+"AM:!09_"</f>
        <v>#VALUE!</v>
      </c>
      <c r="X285" t="e">
        <f>ChangeLog!Q88+"AM:!09`"</f>
        <v>#VALUE!</v>
      </c>
      <c r="Y285" t="e">
        <f>ChangeLog!R88+"AM:!09a"</f>
        <v>#VALUE!</v>
      </c>
      <c r="Z285" t="e">
        <f>ChangeLog!S88+"AM:!09b"</f>
        <v>#VALUE!</v>
      </c>
      <c r="AA285" t="e">
        <f>ChangeLog!T88+"AM:!09c"</f>
        <v>#VALUE!</v>
      </c>
      <c r="AB285" t="e">
        <f>ChangeLog!A89+"AM:!09d"</f>
        <v>#VALUE!</v>
      </c>
      <c r="AC285" t="e">
        <f>ChangeLog!B89+"AM:!09e"</f>
        <v>#VALUE!</v>
      </c>
      <c r="AD285" t="e">
        <f>ChangeLog!C89+"AM:!09f"</f>
        <v>#VALUE!</v>
      </c>
      <c r="AE285" t="e">
        <f>ChangeLog!D89+"AM:!09g"</f>
        <v>#VALUE!</v>
      </c>
      <c r="AF285" s="97" t="e">
        <f>ChangeLog!E89+"AM:!09h"</f>
        <v>#VALUE!</v>
      </c>
      <c r="AG285" s="97" t="e">
        <f>ChangeLog!F89+"AM:!09i"</f>
        <v>#VALUE!</v>
      </c>
      <c r="AH285" t="e">
        <f>ChangeLog!G89+"AM:!09j"</f>
        <v>#VALUE!</v>
      </c>
      <c r="AI285" t="e">
        <f>ChangeLog!H89+"AM:!09k"</f>
        <v>#VALUE!</v>
      </c>
      <c r="AJ285" t="e">
        <f>ChangeLog!I89+"AM:!09l"</f>
        <v>#VALUE!</v>
      </c>
      <c r="AK285" t="e">
        <f>ChangeLog!J89+"AM:!09m"</f>
        <v>#VALUE!</v>
      </c>
      <c r="AL285" t="e">
        <f>ChangeLog!K89+"AM:!09n"</f>
        <v>#VALUE!</v>
      </c>
      <c r="AM285" t="e">
        <f>ChangeLog!L89+"AM:!09o"</f>
        <v>#VALUE!</v>
      </c>
      <c r="AN285" t="e">
        <f>ChangeLog!M89+"AM:!09p"</f>
        <v>#VALUE!</v>
      </c>
      <c r="AO285" t="e">
        <f>ChangeLog!N89+"AM:!09q"</f>
        <v>#VALUE!</v>
      </c>
      <c r="AP285" t="e">
        <f>ChangeLog!O89+"AM:!09r"</f>
        <v>#VALUE!</v>
      </c>
      <c r="AQ285" t="e">
        <f>ChangeLog!P89+"AM:!09s"</f>
        <v>#VALUE!</v>
      </c>
      <c r="AR285" t="e">
        <f>ChangeLog!Q89+"AM:!09t"</f>
        <v>#VALUE!</v>
      </c>
      <c r="AS285" t="e">
        <f>ChangeLog!R89+"AM:!09u"</f>
        <v>#VALUE!</v>
      </c>
      <c r="AT285" t="e">
        <f>ChangeLog!S89+"AM:!09v"</f>
        <v>#VALUE!</v>
      </c>
      <c r="AU285" t="e">
        <f>ChangeLog!T89+"AM:!09w"</f>
        <v>#VALUE!</v>
      </c>
      <c r="AV285" t="e">
        <f>ChangeLog!A90+"AM:!09x"</f>
        <v>#VALUE!</v>
      </c>
      <c r="AW285" t="e">
        <f>ChangeLog!B90+"AM:!09y"</f>
        <v>#VALUE!</v>
      </c>
      <c r="AX285" t="e">
        <f>ChangeLog!C90+"AM:!09z"</f>
        <v>#VALUE!</v>
      </c>
      <c r="AY285" t="e">
        <f>ChangeLog!D90+"AM:!09{"</f>
        <v>#VALUE!</v>
      </c>
      <c r="AZ285" s="97" t="e">
        <f>ChangeLog!E90+"AM:!09|"</f>
        <v>#VALUE!</v>
      </c>
      <c r="BA285" s="97" t="e">
        <f>ChangeLog!F90+"AM:!09}"</f>
        <v>#VALUE!</v>
      </c>
      <c r="BB285" t="e">
        <f>ChangeLog!G90+"AM:!09~"</f>
        <v>#VALUE!</v>
      </c>
      <c r="BC285" t="e">
        <f>ChangeLog!H90+"AM:!0:#"</f>
        <v>#VALUE!</v>
      </c>
      <c r="BD285" t="e">
        <f>ChangeLog!I90+"AM:!0:$"</f>
        <v>#VALUE!</v>
      </c>
      <c r="BE285" t="e">
        <f>ChangeLog!J90+"AM:!0:%"</f>
        <v>#VALUE!</v>
      </c>
      <c r="BF285" t="e">
        <f>ChangeLog!K90+"AM:!0:&amp;"</f>
        <v>#VALUE!</v>
      </c>
      <c r="BG285" t="e">
        <f>ChangeLog!L90+"AM:!0:'"</f>
        <v>#VALUE!</v>
      </c>
      <c r="BH285" t="e">
        <f>ChangeLog!M90+"AM:!0:("</f>
        <v>#VALUE!</v>
      </c>
      <c r="BI285" t="e">
        <f>ChangeLog!N90+"AM:!0:)"</f>
        <v>#VALUE!</v>
      </c>
      <c r="BJ285" t="e">
        <f>ChangeLog!O90+"AM:!0:."</f>
        <v>#VALUE!</v>
      </c>
      <c r="BK285" t="e">
        <f>ChangeLog!P90+"AM:!0:/"</f>
        <v>#VALUE!</v>
      </c>
      <c r="BL285" t="e">
        <f>ChangeLog!Q90+"AM:!0:0"</f>
        <v>#VALUE!</v>
      </c>
      <c r="BM285" t="e">
        <f>ChangeLog!R90+"AM:!0:1"</f>
        <v>#VALUE!</v>
      </c>
      <c r="BN285" t="e">
        <f>ChangeLog!S90+"AM:!0:2"</f>
        <v>#VALUE!</v>
      </c>
      <c r="BO285" t="e">
        <f>ChangeLog!T90+"AM:!0:3"</f>
        <v>#VALUE!</v>
      </c>
      <c r="BP285" t="e">
        <f>ChangeLog!A91+"AM:!0:4"</f>
        <v>#VALUE!</v>
      </c>
      <c r="BQ285" t="e">
        <f>ChangeLog!B91+"AM:!0:5"</f>
        <v>#VALUE!</v>
      </c>
      <c r="BR285" t="e">
        <f>ChangeLog!C91+"AM:!0:6"</f>
        <v>#VALUE!</v>
      </c>
      <c r="BS285" t="e">
        <f>ChangeLog!D91+"AM:!0:7"</f>
        <v>#VALUE!</v>
      </c>
      <c r="BT285" s="97" t="e">
        <f>ChangeLog!E91+"AM:!0:8"</f>
        <v>#VALUE!</v>
      </c>
      <c r="BU285" s="97" t="e">
        <f>ChangeLog!F91+"AM:!0:9"</f>
        <v>#VALUE!</v>
      </c>
      <c r="BV285" t="e">
        <f>ChangeLog!G91+"AM:!0::"</f>
        <v>#VALUE!</v>
      </c>
      <c r="BW285" t="e">
        <f>ChangeLog!H91+"AM:!0:;"</f>
        <v>#VALUE!</v>
      </c>
      <c r="BX285" t="e">
        <f>ChangeLog!I91+"AM:!0:&lt;"</f>
        <v>#VALUE!</v>
      </c>
      <c r="BY285" t="e">
        <f>ChangeLog!J91+"AM:!0:="</f>
        <v>#VALUE!</v>
      </c>
      <c r="BZ285" t="e">
        <f>ChangeLog!K91+"AM:!0:&gt;"</f>
        <v>#VALUE!</v>
      </c>
      <c r="CA285" t="e">
        <f>ChangeLog!L91+"AM:!0:?"</f>
        <v>#VALUE!</v>
      </c>
      <c r="CB285" t="e">
        <f>ChangeLog!M91+"AM:!0:@"</f>
        <v>#VALUE!</v>
      </c>
      <c r="CC285" t="e">
        <f>ChangeLog!N91+"AM:!0:A"</f>
        <v>#VALUE!</v>
      </c>
      <c r="CD285" t="e">
        <f>ChangeLog!O91+"AM:!0:B"</f>
        <v>#VALUE!</v>
      </c>
      <c r="CE285" t="e">
        <f>ChangeLog!P91+"AM:!0:C"</f>
        <v>#VALUE!</v>
      </c>
      <c r="CF285" t="e">
        <f>ChangeLog!Q91+"AM:!0:D"</f>
        <v>#VALUE!</v>
      </c>
      <c r="CG285" t="e">
        <f>ChangeLog!R91+"AM:!0:E"</f>
        <v>#VALUE!</v>
      </c>
      <c r="CH285" t="e">
        <f>ChangeLog!S91+"AM:!0:F"</f>
        <v>#VALUE!</v>
      </c>
      <c r="CI285" t="e">
        <f>ChangeLog!T91+"AM:!0:G"</f>
        <v>#VALUE!</v>
      </c>
      <c r="CJ285" t="e">
        <f>ChangeLog!A92+"AM:!0:H"</f>
        <v>#VALUE!</v>
      </c>
      <c r="CK285" t="e">
        <f>ChangeLog!B92+"AM:!0:I"</f>
        <v>#VALUE!</v>
      </c>
      <c r="CL285" t="e">
        <f>ChangeLog!C92+"AM:!0:J"</f>
        <v>#VALUE!</v>
      </c>
      <c r="CM285" t="e">
        <f>ChangeLog!D92+"AM:!0:K"</f>
        <v>#VALUE!</v>
      </c>
      <c r="CN285" s="97" t="e">
        <f>ChangeLog!E92+"AM:!0:L"</f>
        <v>#VALUE!</v>
      </c>
      <c r="CO285" s="97" t="e">
        <f>ChangeLog!F92+"AM:!0:M"</f>
        <v>#VALUE!</v>
      </c>
      <c r="CP285" t="e">
        <f>ChangeLog!G92+"AM:!0:N"</f>
        <v>#VALUE!</v>
      </c>
      <c r="CQ285" t="e">
        <f>ChangeLog!H92+"AM:!0:O"</f>
        <v>#VALUE!</v>
      </c>
      <c r="CR285" t="e">
        <f>ChangeLog!I92+"AM:!0:P"</f>
        <v>#VALUE!</v>
      </c>
      <c r="CS285" t="e">
        <f>ChangeLog!J92+"AM:!0:Q"</f>
        <v>#VALUE!</v>
      </c>
      <c r="CT285" t="e">
        <f>ChangeLog!K92+"AM:!0:R"</f>
        <v>#VALUE!</v>
      </c>
      <c r="CU285" t="e">
        <f>ChangeLog!L92+"AM:!0:S"</f>
        <v>#VALUE!</v>
      </c>
      <c r="CV285" t="e">
        <f>ChangeLog!M92+"AM:!0:T"</f>
        <v>#VALUE!</v>
      </c>
      <c r="CW285" t="e">
        <f>ChangeLog!N92+"AM:!0:U"</f>
        <v>#VALUE!</v>
      </c>
      <c r="CX285" t="e">
        <f>ChangeLog!O92+"AM:!0:V"</f>
        <v>#VALUE!</v>
      </c>
      <c r="CY285" t="e">
        <f>ChangeLog!P92+"AM:!0:W"</f>
        <v>#VALUE!</v>
      </c>
      <c r="CZ285" t="e">
        <f>ChangeLog!Q92+"AM:!0:X"</f>
        <v>#VALUE!</v>
      </c>
      <c r="DA285" t="e">
        <f>ChangeLog!R92+"AM:!0:Y"</f>
        <v>#VALUE!</v>
      </c>
      <c r="DB285" t="e">
        <f>ChangeLog!S92+"AM:!0:Z"</f>
        <v>#VALUE!</v>
      </c>
      <c r="DC285" t="e">
        <f>ChangeLog!T92+"AM:!0:["</f>
        <v>#VALUE!</v>
      </c>
      <c r="DD285" t="e">
        <f>ChangeLog!A93+"AM:!0:\"</f>
        <v>#VALUE!</v>
      </c>
      <c r="DE285" t="e">
        <f>ChangeLog!B93+"AM:!0:]"</f>
        <v>#VALUE!</v>
      </c>
      <c r="DF285" t="e">
        <f>ChangeLog!C93+"AM:!0:^"</f>
        <v>#VALUE!</v>
      </c>
      <c r="DG285" t="e">
        <f>ChangeLog!D93+"AM:!0:_"</f>
        <v>#VALUE!</v>
      </c>
      <c r="DH285" s="97" t="e">
        <f>ChangeLog!E93+"AM:!0:`"</f>
        <v>#VALUE!</v>
      </c>
      <c r="DI285" s="97" t="e">
        <f>ChangeLog!F93+"AM:!0:a"</f>
        <v>#VALUE!</v>
      </c>
      <c r="DJ285" t="e">
        <f>ChangeLog!G93+"AM:!0:b"</f>
        <v>#VALUE!</v>
      </c>
      <c r="DK285" t="e">
        <f>ChangeLog!H93+"AM:!0:c"</f>
        <v>#VALUE!</v>
      </c>
      <c r="DL285" t="e">
        <f>ChangeLog!I93+"AM:!0:d"</f>
        <v>#VALUE!</v>
      </c>
      <c r="DM285" t="e">
        <f>ChangeLog!J93+"AM:!0:e"</f>
        <v>#VALUE!</v>
      </c>
      <c r="DN285" t="e">
        <f>ChangeLog!K93+"AM:!0:f"</f>
        <v>#VALUE!</v>
      </c>
      <c r="DO285" t="e">
        <f>ChangeLog!L93+"AM:!0:g"</f>
        <v>#VALUE!</v>
      </c>
      <c r="DP285" t="e">
        <f>ChangeLog!M93+"AM:!0:h"</f>
        <v>#VALUE!</v>
      </c>
      <c r="DQ285" t="e">
        <f>ChangeLog!N93+"AM:!0:i"</f>
        <v>#VALUE!</v>
      </c>
      <c r="DR285" t="e">
        <f>ChangeLog!O93+"AM:!0:j"</f>
        <v>#VALUE!</v>
      </c>
      <c r="DS285" t="e">
        <f>ChangeLog!P93+"AM:!0:k"</f>
        <v>#VALUE!</v>
      </c>
      <c r="DT285" t="e">
        <f>ChangeLog!Q93+"AM:!0:l"</f>
        <v>#VALUE!</v>
      </c>
      <c r="DU285" t="e">
        <f>ChangeLog!R93+"AM:!0:m"</f>
        <v>#VALUE!</v>
      </c>
      <c r="DV285" t="e">
        <f>ChangeLog!S93+"AM:!0:n"</f>
        <v>#VALUE!</v>
      </c>
      <c r="DW285" t="e">
        <f>ChangeLog!T93+"AM:!0:o"</f>
        <v>#VALUE!</v>
      </c>
      <c r="DX285" t="e">
        <f>ChangeLog!A94+"AM:!0:p"</f>
        <v>#VALUE!</v>
      </c>
      <c r="DY285" t="e">
        <f>ChangeLog!B94+"AM:!0:q"</f>
        <v>#VALUE!</v>
      </c>
      <c r="DZ285" t="e">
        <f>ChangeLog!C94+"AM:!0:r"</f>
        <v>#VALUE!</v>
      </c>
      <c r="EA285" t="e">
        <f>ChangeLog!D94+"AM:!0:s"</f>
        <v>#VALUE!</v>
      </c>
      <c r="EB285" s="97" t="e">
        <f>ChangeLog!E94+"AM:!0:t"</f>
        <v>#VALUE!</v>
      </c>
      <c r="EC285" s="97" t="e">
        <f>ChangeLog!F94+"AM:!0:u"</f>
        <v>#VALUE!</v>
      </c>
      <c r="ED285" t="e">
        <f>ChangeLog!G94+"AM:!0:v"</f>
        <v>#VALUE!</v>
      </c>
      <c r="EE285" t="e">
        <f>ChangeLog!H94+"AM:!0:w"</f>
        <v>#VALUE!</v>
      </c>
      <c r="EF285" t="e">
        <f>ChangeLog!I94+"AM:!0:x"</f>
        <v>#VALUE!</v>
      </c>
      <c r="EG285" t="e">
        <f>ChangeLog!J94+"AM:!0:y"</f>
        <v>#VALUE!</v>
      </c>
      <c r="EH285" t="e">
        <f>ChangeLog!K94+"AM:!0:z"</f>
        <v>#VALUE!</v>
      </c>
      <c r="EI285" t="e">
        <f>ChangeLog!L94+"AM:!0:{"</f>
        <v>#VALUE!</v>
      </c>
      <c r="EJ285" t="e">
        <f>ChangeLog!M94+"AM:!0:|"</f>
        <v>#VALUE!</v>
      </c>
      <c r="EK285" t="e">
        <f>ChangeLog!N94+"AM:!0:}"</f>
        <v>#VALUE!</v>
      </c>
      <c r="EL285" t="e">
        <f>ChangeLog!O94+"AM:!0:~"</f>
        <v>#VALUE!</v>
      </c>
      <c r="EM285" t="e">
        <f>ChangeLog!P94+"AM:!0;#"</f>
        <v>#VALUE!</v>
      </c>
      <c r="EN285" t="e">
        <f>ChangeLog!Q94+"AM:!0;$"</f>
        <v>#VALUE!</v>
      </c>
      <c r="EO285" t="e">
        <f>ChangeLog!R94+"AM:!0;%"</f>
        <v>#VALUE!</v>
      </c>
      <c r="EP285" t="e">
        <f>ChangeLog!S94+"AM:!0;&amp;"</f>
        <v>#VALUE!</v>
      </c>
      <c r="EQ285" t="e">
        <f>ChangeLog!T94+"AM:!0;'"</f>
        <v>#VALUE!</v>
      </c>
      <c r="ER285" t="e">
        <f>ChangeLog!A95+"AM:!0;("</f>
        <v>#VALUE!</v>
      </c>
      <c r="ES285" t="e">
        <f>ChangeLog!B95+"AM:!0;)"</f>
        <v>#VALUE!</v>
      </c>
      <c r="ET285" t="e">
        <f>ChangeLog!C95+"AM:!0;."</f>
        <v>#VALUE!</v>
      </c>
      <c r="EU285" t="e">
        <f>ChangeLog!D95+"AM:!0;/"</f>
        <v>#VALUE!</v>
      </c>
      <c r="EV285" s="97" t="e">
        <f>ChangeLog!E95+"AM:!0;0"</f>
        <v>#VALUE!</v>
      </c>
      <c r="EW285" s="97" t="e">
        <f>ChangeLog!F95+"AM:!0;1"</f>
        <v>#VALUE!</v>
      </c>
      <c r="EX285" t="e">
        <f>ChangeLog!G95+"AM:!0;2"</f>
        <v>#VALUE!</v>
      </c>
      <c r="EY285" t="e">
        <f>ChangeLog!H95+"AM:!0;3"</f>
        <v>#VALUE!</v>
      </c>
      <c r="EZ285" t="e">
        <f>ChangeLog!I95+"AM:!0;4"</f>
        <v>#VALUE!</v>
      </c>
      <c r="FA285" t="e">
        <f>ChangeLog!J95+"AM:!0;5"</f>
        <v>#VALUE!</v>
      </c>
      <c r="FB285" t="e">
        <f>ChangeLog!K95+"AM:!0;6"</f>
        <v>#VALUE!</v>
      </c>
      <c r="FC285" t="e">
        <f>ChangeLog!L95+"AM:!0;7"</f>
        <v>#VALUE!</v>
      </c>
      <c r="FD285" t="e">
        <f>ChangeLog!M95+"AM:!0;8"</f>
        <v>#VALUE!</v>
      </c>
      <c r="FE285" t="e">
        <f>ChangeLog!N95+"AM:!0;9"</f>
        <v>#VALUE!</v>
      </c>
      <c r="FF285" t="e">
        <f>ChangeLog!O95+"AM:!0;:"</f>
        <v>#VALUE!</v>
      </c>
      <c r="FG285" t="e">
        <f>ChangeLog!P95+"AM:!0;;"</f>
        <v>#VALUE!</v>
      </c>
      <c r="FH285" t="e">
        <f>ChangeLog!Q95+"AM:!0;&lt;"</f>
        <v>#VALUE!</v>
      </c>
      <c r="FI285" t="e">
        <f>ChangeLog!R95+"AM:!0;="</f>
        <v>#VALUE!</v>
      </c>
      <c r="FJ285" t="e">
        <f>ChangeLog!S95+"AM:!0;&gt;"</f>
        <v>#VALUE!</v>
      </c>
      <c r="FK285" t="e">
        <f>ChangeLog!T95+"AM:!0;?"</f>
        <v>#VALUE!</v>
      </c>
      <c r="FL285" t="e">
        <f>ChangeLog!A96+"AM:!0;@"</f>
        <v>#VALUE!</v>
      </c>
      <c r="FM285" t="e">
        <f>ChangeLog!B96+"AM:!0;A"</f>
        <v>#VALUE!</v>
      </c>
      <c r="FN285" t="e">
        <f>ChangeLog!C96+"AM:!0;B"</f>
        <v>#VALUE!</v>
      </c>
      <c r="FO285" t="e">
        <f>ChangeLog!D96+"AM:!0;C"</f>
        <v>#VALUE!</v>
      </c>
      <c r="FP285" s="97" t="e">
        <f>ChangeLog!E96+"AM:!0;D"</f>
        <v>#VALUE!</v>
      </c>
      <c r="FQ285" s="97" t="e">
        <f>ChangeLog!F96+"AM:!0;E"</f>
        <v>#VALUE!</v>
      </c>
      <c r="FR285" t="e">
        <f>ChangeLog!G96+"AM:!0;F"</f>
        <v>#VALUE!</v>
      </c>
      <c r="FS285" t="e">
        <f>ChangeLog!H96+"AM:!0;G"</f>
        <v>#VALUE!</v>
      </c>
      <c r="FT285" t="e">
        <f>ChangeLog!I96+"AM:!0;H"</f>
        <v>#VALUE!</v>
      </c>
      <c r="FU285" t="e">
        <f>ChangeLog!J96+"AM:!0;I"</f>
        <v>#VALUE!</v>
      </c>
      <c r="FV285" t="e">
        <f>ChangeLog!K96+"AM:!0;J"</f>
        <v>#VALUE!</v>
      </c>
      <c r="FW285" t="e">
        <f>ChangeLog!L96+"AM:!0;K"</f>
        <v>#VALUE!</v>
      </c>
      <c r="FX285" t="e">
        <f>ChangeLog!M96+"AM:!0;L"</f>
        <v>#VALUE!</v>
      </c>
      <c r="FY285" t="e">
        <f>ChangeLog!N96+"AM:!0;M"</f>
        <v>#VALUE!</v>
      </c>
      <c r="FZ285" t="e">
        <f>ChangeLog!O96+"AM:!0;N"</f>
        <v>#VALUE!</v>
      </c>
      <c r="GA285" t="e">
        <f>ChangeLog!P96+"AM:!0;O"</f>
        <v>#VALUE!</v>
      </c>
      <c r="GB285" t="e">
        <f>ChangeLog!Q96+"AM:!0;P"</f>
        <v>#VALUE!</v>
      </c>
      <c r="GC285" t="e">
        <f>ChangeLog!R96+"AM:!0;Q"</f>
        <v>#VALUE!</v>
      </c>
      <c r="GD285" t="e">
        <f>ChangeLog!S96+"AM:!0;R"</f>
        <v>#VALUE!</v>
      </c>
      <c r="GE285" t="e">
        <f>ChangeLog!T96+"AM:!0;S"</f>
        <v>#VALUE!</v>
      </c>
      <c r="GF285" t="e">
        <f>ChangeLog!A97+"AM:!0;T"</f>
        <v>#VALUE!</v>
      </c>
      <c r="GG285" t="e">
        <f>ChangeLog!B97+"AM:!0;U"</f>
        <v>#VALUE!</v>
      </c>
      <c r="GH285" t="e">
        <f>ChangeLog!C97+"AM:!0;V"</f>
        <v>#VALUE!</v>
      </c>
      <c r="GI285" t="e">
        <f>ChangeLog!D97+"AM:!0;W"</f>
        <v>#VALUE!</v>
      </c>
      <c r="GJ285" s="97" t="e">
        <f>ChangeLog!E97+"AM:!0;X"</f>
        <v>#VALUE!</v>
      </c>
      <c r="GK285" s="97" t="e">
        <f>ChangeLog!F97+"AM:!0;Y"</f>
        <v>#VALUE!</v>
      </c>
      <c r="GL285" t="e">
        <f>ChangeLog!G97+"AM:!0;Z"</f>
        <v>#VALUE!</v>
      </c>
      <c r="GM285" t="e">
        <f>ChangeLog!H97+"AM:!0;["</f>
        <v>#VALUE!</v>
      </c>
      <c r="GN285" t="e">
        <f>ChangeLog!I97+"AM:!0;\"</f>
        <v>#VALUE!</v>
      </c>
      <c r="GO285" t="e">
        <f>ChangeLog!J97+"AM:!0;]"</f>
        <v>#VALUE!</v>
      </c>
      <c r="GP285" t="e">
        <f>ChangeLog!K97+"AM:!0;^"</f>
        <v>#VALUE!</v>
      </c>
      <c r="GQ285" t="e">
        <f>ChangeLog!L97+"AM:!0;_"</f>
        <v>#VALUE!</v>
      </c>
      <c r="GR285" t="e">
        <f>ChangeLog!M97+"AM:!0;`"</f>
        <v>#VALUE!</v>
      </c>
      <c r="GS285" t="e">
        <f>ChangeLog!N97+"AM:!0;a"</f>
        <v>#VALUE!</v>
      </c>
      <c r="GT285" t="e">
        <f>ChangeLog!O97+"AM:!0;b"</f>
        <v>#VALUE!</v>
      </c>
      <c r="GU285" t="e">
        <f>ChangeLog!P97+"AM:!0;c"</f>
        <v>#VALUE!</v>
      </c>
      <c r="GV285" t="e">
        <f>ChangeLog!Q97+"AM:!0;d"</f>
        <v>#VALUE!</v>
      </c>
      <c r="GW285" t="e">
        <f>ChangeLog!R97+"AM:!0;e"</f>
        <v>#VALUE!</v>
      </c>
      <c r="GX285" t="e">
        <f>ChangeLog!S97+"AM:!0;f"</f>
        <v>#VALUE!</v>
      </c>
      <c r="GY285" t="e">
        <f>ChangeLog!T97+"AM:!0;g"</f>
        <v>#VALUE!</v>
      </c>
      <c r="GZ285" t="e">
        <f>ChangeLog!A98+"AM:!0;h"</f>
        <v>#VALUE!</v>
      </c>
      <c r="HA285" t="e">
        <f>ChangeLog!B98+"AM:!0;i"</f>
        <v>#VALUE!</v>
      </c>
      <c r="HB285" t="e">
        <f>ChangeLog!C98+"AM:!0;j"</f>
        <v>#VALUE!</v>
      </c>
      <c r="HC285" t="e">
        <f>ChangeLog!D98+"AM:!0;k"</f>
        <v>#VALUE!</v>
      </c>
      <c r="HD285" t="e">
        <f>ChangeLog!E98+"AM:!0;l"</f>
        <v>#VALUE!</v>
      </c>
      <c r="HE285" t="e">
        <f>ChangeLog!F98+"AM:!0;m"</f>
        <v>#VALUE!</v>
      </c>
      <c r="HF285" t="e">
        <f>ChangeLog!G98+"AM:!0;n"</f>
        <v>#VALUE!</v>
      </c>
      <c r="HG285" t="e">
        <f>ChangeLog!H98+"AM:!0;o"</f>
        <v>#VALUE!</v>
      </c>
      <c r="HH285" t="e">
        <f>ChangeLog!I98+"AM:!0;p"</f>
        <v>#VALUE!</v>
      </c>
      <c r="HI285" t="e">
        <f>ChangeLog!J98+"AM:!0;q"</f>
        <v>#VALUE!</v>
      </c>
      <c r="HJ285" t="e">
        <f>ChangeLog!K98+"AM:!0;r"</f>
        <v>#VALUE!</v>
      </c>
      <c r="HK285" t="e">
        <f>ChangeLog!L98+"AM:!0;s"</f>
        <v>#VALUE!</v>
      </c>
      <c r="HL285" t="e">
        <f>ChangeLog!M98+"AM:!0;t"</f>
        <v>#VALUE!</v>
      </c>
      <c r="HM285" t="e">
        <f>ChangeLog!N98+"AM:!0;u"</f>
        <v>#VALUE!</v>
      </c>
      <c r="HN285" t="e">
        <f>ChangeLog!O98+"AM:!0;v"</f>
        <v>#VALUE!</v>
      </c>
      <c r="HO285" t="e">
        <f>ChangeLog!P98+"AM:!0;w"</f>
        <v>#VALUE!</v>
      </c>
      <c r="HP285" t="e">
        <f>ChangeLog!Q98+"AM:!0;x"</f>
        <v>#VALUE!</v>
      </c>
      <c r="HQ285" t="e">
        <f>ChangeLog!R98+"AM:!0;y"</f>
        <v>#VALUE!</v>
      </c>
      <c r="HR285" t="e">
        <f>ChangeLog!S98+"AM:!0;z"</f>
        <v>#VALUE!</v>
      </c>
      <c r="HS285" t="e">
        <f>ChangeLog!T98+"AM:!0;{"</f>
        <v>#VALUE!</v>
      </c>
      <c r="HT285" t="e">
        <f>ChangeLog!A99+"AM:!0;|"</f>
        <v>#VALUE!</v>
      </c>
      <c r="HU285" t="e">
        <f>ChangeLog!B99+"AM:!0;}"</f>
        <v>#VALUE!</v>
      </c>
      <c r="HV285" t="e">
        <f>ChangeLog!C99+"AM:!0;~"</f>
        <v>#VALUE!</v>
      </c>
      <c r="HW285" t="e">
        <f>ChangeLog!D99+"AM:!0&lt;#"</f>
        <v>#VALUE!</v>
      </c>
      <c r="HX285" t="e">
        <f>ChangeLog!E99+"AM:!0&lt;$"</f>
        <v>#VALUE!</v>
      </c>
      <c r="HY285" t="e">
        <f>ChangeLog!F99+"AM:!0&lt;%"</f>
        <v>#VALUE!</v>
      </c>
      <c r="HZ285" t="e">
        <f>ChangeLog!G99+"AM:!0&lt;&amp;"</f>
        <v>#VALUE!</v>
      </c>
      <c r="IA285" t="e">
        <f>ChangeLog!H99+"AM:!0&lt;'"</f>
        <v>#VALUE!</v>
      </c>
      <c r="IB285" t="e">
        <f>ChangeLog!I99+"AM:!0&lt;("</f>
        <v>#VALUE!</v>
      </c>
      <c r="IC285" t="e">
        <f>ChangeLog!J99+"AM:!0&lt;)"</f>
        <v>#VALUE!</v>
      </c>
      <c r="ID285" t="e">
        <f>ChangeLog!K99+"AM:!0&lt;."</f>
        <v>#VALUE!</v>
      </c>
      <c r="IE285" t="e">
        <f>ChangeLog!L99+"AM:!0&lt;/"</f>
        <v>#VALUE!</v>
      </c>
      <c r="IF285" t="e">
        <f>ChangeLog!M99+"AM:!0&lt;0"</f>
        <v>#VALUE!</v>
      </c>
      <c r="IG285" t="e">
        <f>ChangeLog!N99+"AM:!0&lt;1"</f>
        <v>#VALUE!</v>
      </c>
      <c r="IH285" t="e">
        <f>ChangeLog!O99+"AM:!0&lt;2"</f>
        <v>#VALUE!</v>
      </c>
      <c r="II285" t="e">
        <f>ChangeLog!P99+"AM:!0&lt;3"</f>
        <v>#VALUE!</v>
      </c>
      <c r="IJ285" t="e">
        <f>ChangeLog!Q99+"AM:!0&lt;4"</f>
        <v>#VALUE!</v>
      </c>
      <c r="IK285" t="e">
        <f>ChangeLog!R99+"AM:!0&lt;5"</f>
        <v>#VALUE!</v>
      </c>
      <c r="IL285" t="e">
        <f>ChangeLog!S99+"AM:!0&lt;6"</f>
        <v>#VALUE!</v>
      </c>
      <c r="IM285" t="e">
        <f>ChangeLog!T99+"AM:!0&lt;7"</f>
        <v>#VALUE!</v>
      </c>
      <c r="IN285" t="e">
        <f>ChangeLog!A100+"AM:!0&lt;8"</f>
        <v>#VALUE!</v>
      </c>
      <c r="IO285" t="e">
        <f>ChangeLog!B100+"AM:!0&lt;9"</f>
        <v>#VALUE!</v>
      </c>
      <c r="IP285" t="e">
        <f>ChangeLog!C100+"AM:!0&lt;:"</f>
        <v>#VALUE!</v>
      </c>
      <c r="IQ285" t="e">
        <f>ChangeLog!D100+"AM:!0&lt;;"</f>
        <v>#VALUE!</v>
      </c>
      <c r="IR285" t="e">
        <f>ChangeLog!E100+"AM:!0&lt;&lt;"</f>
        <v>#VALUE!</v>
      </c>
      <c r="IS285" t="e">
        <f>ChangeLog!F100+"AM:!0&lt;="</f>
        <v>#VALUE!</v>
      </c>
      <c r="IT285" t="e">
        <f>ChangeLog!G100+"AM:!0&lt;&gt;"</f>
        <v>#VALUE!</v>
      </c>
      <c r="IU285" t="e">
        <f>ChangeLog!H100+"AM:!0&lt;?"</f>
        <v>#VALUE!</v>
      </c>
      <c r="IV285" t="e">
        <f>ChangeLog!I100+"AM:!0&lt;@"</f>
        <v>#VALUE!</v>
      </c>
    </row>
    <row r="286" spans="6:256">
      <c r="F286" t="e">
        <f>ChangeLog!J100+"AM:!0&lt;A"</f>
        <v>#VALUE!</v>
      </c>
      <c r="G286" t="e">
        <f>ChangeLog!K100+"AM:!0&lt;B"</f>
        <v>#VALUE!</v>
      </c>
      <c r="H286" t="e">
        <f>ChangeLog!L100+"AM:!0&lt;C"</f>
        <v>#VALUE!</v>
      </c>
      <c r="I286" t="e">
        <f>ChangeLog!M100+"AM:!0&lt;D"</f>
        <v>#VALUE!</v>
      </c>
      <c r="J286" t="e">
        <f>ChangeLog!N100+"AM:!0&lt;E"</f>
        <v>#VALUE!</v>
      </c>
      <c r="K286" t="e">
        <f>ChangeLog!O100+"AM:!0&lt;F"</f>
        <v>#VALUE!</v>
      </c>
      <c r="L286" t="e">
        <f>ChangeLog!P100+"AM:!0&lt;G"</f>
        <v>#VALUE!</v>
      </c>
      <c r="M286" t="e">
        <f>ChangeLog!Q100+"AM:!0&lt;H"</f>
        <v>#VALUE!</v>
      </c>
      <c r="N286" t="e">
        <f>ChangeLog!R100+"AM:!0&lt;I"</f>
        <v>#VALUE!</v>
      </c>
      <c r="O286" t="e">
        <f>ChangeLog!S100+"AM:!0&lt;J"</f>
        <v>#VALUE!</v>
      </c>
      <c r="P286" t="e">
        <f>ChangeLog!T100+"AM:!0&lt;K"</f>
        <v>#VALUE!</v>
      </c>
      <c r="Q286" t="e">
        <f>ChangeLog!A101+"AM:!0&lt;L"</f>
        <v>#VALUE!</v>
      </c>
      <c r="R286" t="e">
        <f>ChangeLog!B101+"AM:!0&lt;M"</f>
        <v>#VALUE!</v>
      </c>
      <c r="S286" t="e">
        <f>ChangeLog!C101+"AM:!0&lt;N"</f>
        <v>#VALUE!</v>
      </c>
      <c r="T286" t="e">
        <f>ChangeLog!D101+"AM:!0&lt;O"</f>
        <v>#VALUE!</v>
      </c>
      <c r="U286" t="e">
        <f>ChangeLog!E101+"AM:!0&lt;P"</f>
        <v>#VALUE!</v>
      </c>
      <c r="V286" t="e">
        <f>ChangeLog!F101+"AM:!0&lt;Q"</f>
        <v>#VALUE!</v>
      </c>
      <c r="W286" t="e">
        <f>ChangeLog!G101+"AM:!0&lt;R"</f>
        <v>#VALUE!</v>
      </c>
      <c r="X286" t="e">
        <f>ChangeLog!H101+"AM:!0&lt;S"</f>
        <v>#VALUE!</v>
      </c>
      <c r="Y286" t="e">
        <f>ChangeLog!I101+"AM:!0&lt;T"</f>
        <v>#VALUE!</v>
      </c>
      <c r="Z286" t="e">
        <f>ChangeLog!J101+"AM:!0&lt;U"</f>
        <v>#VALUE!</v>
      </c>
      <c r="AA286" t="e">
        <f>ChangeLog!K101+"AM:!0&lt;V"</f>
        <v>#VALUE!</v>
      </c>
      <c r="AB286" t="e">
        <f>ChangeLog!L101+"AM:!0&lt;W"</f>
        <v>#VALUE!</v>
      </c>
      <c r="AC286" t="e">
        <f>ChangeLog!M101+"AM:!0&lt;X"</f>
        <v>#VALUE!</v>
      </c>
      <c r="AD286" t="e">
        <f>ChangeLog!N101+"AM:!0&lt;Y"</f>
        <v>#VALUE!</v>
      </c>
      <c r="AE286" t="e">
        <f>ChangeLog!O101+"AM:!0&lt;Z"</f>
        <v>#VALUE!</v>
      </c>
      <c r="AF286" t="e">
        <f>ChangeLog!P101+"AM:!0&lt;["</f>
        <v>#VALUE!</v>
      </c>
      <c r="AG286" t="e">
        <f>ChangeLog!Q101+"AM:!0&lt;\"</f>
        <v>#VALUE!</v>
      </c>
      <c r="AH286" t="e">
        <f>ChangeLog!R101+"AM:!0&lt;]"</f>
        <v>#VALUE!</v>
      </c>
      <c r="AI286" t="e">
        <f>ChangeLog!S101+"AM:!0&lt;^"</f>
        <v>#VALUE!</v>
      </c>
      <c r="AJ286" t="e">
        <f>ChangeLog!T101+"AM:!0&lt;_"</f>
        <v>#VALUE!</v>
      </c>
      <c r="AK286" t="e">
        <f>ChangeLog!A102+"AM:!0&lt;`"</f>
        <v>#VALUE!</v>
      </c>
      <c r="AL286" t="e">
        <f>ChangeLog!B102+"AM:!0&lt;a"</f>
        <v>#VALUE!</v>
      </c>
      <c r="AM286" t="e">
        <f>ChangeLog!C102+"AM:!0&lt;b"</f>
        <v>#VALUE!</v>
      </c>
      <c r="AN286" t="e">
        <f>ChangeLog!D102+"AM:!0&lt;c"</f>
        <v>#VALUE!</v>
      </c>
      <c r="AO286" t="e">
        <f>ChangeLog!E102+"AM:!0&lt;d"</f>
        <v>#VALUE!</v>
      </c>
      <c r="AP286" t="e">
        <f>ChangeLog!F102+"AM:!0&lt;e"</f>
        <v>#VALUE!</v>
      </c>
      <c r="AQ286" t="e">
        <f>ChangeLog!G102+"AM:!0&lt;f"</f>
        <v>#VALUE!</v>
      </c>
      <c r="AR286" t="e">
        <f>ChangeLog!H102+"AM:!0&lt;g"</f>
        <v>#VALUE!</v>
      </c>
      <c r="AS286" t="e">
        <f>ChangeLog!I102+"AM:!0&lt;h"</f>
        <v>#VALUE!</v>
      </c>
      <c r="AT286" t="e">
        <f>ChangeLog!J102+"AM:!0&lt;i"</f>
        <v>#VALUE!</v>
      </c>
      <c r="AU286" t="e">
        <f>ChangeLog!K102+"AM:!0&lt;j"</f>
        <v>#VALUE!</v>
      </c>
      <c r="AV286" t="e">
        <f>ChangeLog!L102+"AM:!0&lt;k"</f>
        <v>#VALUE!</v>
      </c>
      <c r="AW286" t="e">
        <f>ChangeLog!M102+"AM:!0&lt;l"</f>
        <v>#VALUE!</v>
      </c>
      <c r="AX286" t="e">
        <f>ChangeLog!N102+"AM:!0&lt;m"</f>
        <v>#VALUE!</v>
      </c>
      <c r="AY286" t="e">
        <f>ChangeLog!O102+"AM:!0&lt;n"</f>
        <v>#VALUE!</v>
      </c>
      <c r="AZ286" t="e">
        <f>ChangeLog!P102+"AM:!0&lt;o"</f>
        <v>#VALUE!</v>
      </c>
      <c r="BA286" t="e">
        <f>ChangeLog!Q102+"AM:!0&lt;p"</f>
        <v>#VALUE!</v>
      </c>
      <c r="BB286" t="e">
        <f>ChangeLog!R102+"AM:!0&lt;q"</f>
        <v>#VALUE!</v>
      </c>
      <c r="BC286" t="e">
        <f>ChangeLog!S102+"AM:!0&lt;r"</f>
        <v>#VALUE!</v>
      </c>
      <c r="BD286" t="e">
        <f>ChangeLog!T102+"AM:!0&lt;s"</f>
        <v>#VALUE!</v>
      </c>
      <c r="BE286" t="e">
        <f>ChangeLog!A103+"AM:!0&lt;t"</f>
        <v>#VALUE!</v>
      </c>
      <c r="BF286" t="e">
        <f>ChangeLog!B103+"AM:!0&lt;u"</f>
        <v>#VALUE!</v>
      </c>
      <c r="BG286" t="e">
        <f>ChangeLog!C103+"AM:!0&lt;v"</f>
        <v>#VALUE!</v>
      </c>
      <c r="BH286" t="e">
        <f>ChangeLog!D103+"AM:!0&lt;w"</f>
        <v>#VALUE!</v>
      </c>
      <c r="BI286" t="e">
        <f>ChangeLog!E103+"AM:!0&lt;x"</f>
        <v>#VALUE!</v>
      </c>
      <c r="BJ286" t="e">
        <f>ChangeLog!F103+"AM:!0&lt;y"</f>
        <v>#VALUE!</v>
      </c>
      <c r="BK286" t="e">
        <f>ChangeLog!G103+"AM:!0&lt;z"</f>
        <v>#VALUE!</v>
      </c>
      <c r="BL286" t="e">
        <f>ChangeLog!H103+"AM:!0&lt;{"</f>
        <v>#VALUE!</v>
      </c>
      <c r="BM286" t="e">
        <f>ChangeLog!I103+"AM:!0&lt;|"</f>
        <v>#VALUE!</v>
      </c>
      <c r="BN286" t="e">
        <f>ChangeLog!J103+"AM:!0&lt;}"</f>
        <v>#VALUE!</v>
      </c>
      <c r="BO286" t="e">
        <f>ChangeLog!K103+"AM:!0&lt;~"</f>
        <v>#VALUE!</v>
      </c>
      <c r="BP286" t="e">
        <f>ChangeLog!L103+"AM:!0=#"</f>
        <v>#VALUE!</v>
      </c>
      <c r="BQ286" t="e">
        <f>ChangeLog!M103+"AM:!0=$"</f>
        <v>#VALUE!</v>
      </c>
      <c r="BR286" t="e">
        <f>ChangeLog!N103+"AM:!0=%"</f>
        <v>#VALUE!</v>
      </c>
      <c r="BS286" t="e">
        <f>ChangeLog!O103+"AM:!0=&amp;"</f>
        <v>#VALUE!</v>
      </c>
      <c r="BT286" t="e">
        <f>ChangeLog!P103+"AM:!0='"</f>
        <v>#VALUE!</v>
      </c>
      <c r="BU286" t="e">
        <f>ChangeLog!Q103+"AM:!0=("</f>
        <v>#VALUE!</v>
      </c>
      <c r="BV286" t="e">
        <f>ChangeLog!R103+"AM:!0=)"</f>
        <v>#VALUE!</v>
      </c>
      <c r="BW286" t="e">
        <f>ChangeLog!S103+"AM:!0=."</f>
        <v>#VALUE!</v>
      </c>
      <c r="BX286" t="e">
        <f>ChangeLog!T103+"AM:!0=/"</f>
        <v>#VALUE!</v>
      </c>
      <c r="BY286" t="e">
        <f>ChangeLog!A104+"AM:!0=0"</f>
        <v>#VALUE!</v>
      </c>
      <c r="BZ286" t="e">
        <f>ChangeLog!B104+"AM:!0=1"</f>
        <v>#VALUE!</v>
      </c>
      <c r="CA286" t="e">
        <f>ChangeLog!C104+"AM:!0=2"</f>
        <v>#VALUE!</v>
      </c>
      <c r="CB286" t="e">
        <f>ChangeLog!D104+"AM:!0=3"</f>
        <v>#VALUE!</v>
      </c>
      <c r="CC286" t="e">
        <f>ChangeLog!E104+"AM:!0=4"</f>
        <v>#VALUE!</v>
      </c>
      <c r="CD286" t="e">
        <f>ChangeLog!F104+"AM:!0=5"</f>
        <v>#VALUE!</v>
      </c>
      <c r="CE286" t="e">
        <f>ChangeLog!G104+"AM:!0=6"</f>
        <v>#VALUE!</v>
      </c>
      <c r="CF286" t="e">
        <f>ChangeLog!H104+"AM:!0=7"</f>
        <v>#VALUE!</v>
      </c>
      <c r="CG286" t="e">
        <f>ChangeLog!I104+"AM:!0=8"</f>
        <v>#VALUE!</v>
      </c>
      <c r="CH286" t="e">
        <f>ChangeLog!J104+"AM:!0=9"</f>
        <v>#VALUE!</v>
      </c>
      <c r="CI286" t="e">
        <f>ChangeLog!K104+"AM:!0=:"</f>
        <v>#VALUE!</v>
      </c>
      <c r="CJ286" t="e">
        <f>ChangeLog!L104+"AM:!0=;"</f>
        <v>#VALUE!</v>
      </c>
      <c r="CK286" t="e">
        <f>ChangeLog!M104+"AM:!0=&lt;"</f>
        <v>#VALUE!</v>
      </c>
      <c r="CL286" t="e">
        <f>ChangeLog!N104+"AM:!0=="</f>
        <v>#VALUE!</v>
      </c>
      <c r="CM286" t="e">
        <f>ChangeLog!O104+"AM:!0=&gt;"</f>
        <v>#VALUE!</v>
      </c>
      <c r="CN286" t="e">
        <f>ChangeLog!P104+"AM:!0=?"</f>
        <v>#VALUE!</v>
      </c>
      <c r="CO286" t="e">
        <f>ChangeLog!Q104+"AM:!0=@"</f>
        <v>#VALUE!</v>
      </c>
      <c r="CP286" t="e">
        <f>ChangeLog!R104+"AM:!0=A"</f>
        <v>#VALUE!</v>
      </c>
      <c r="CQ286" t="e">
        <f>ChangeLog!S104+"AM:!0=B"</f>
        <v>#VALUE!</v>
      </c>
      <c r="CR286" t="e">
        <f>ChangeLog!T104+"AM:!0=C"</f>
        <v>#VALUE!</v>
      </c>
      <c r="CS286" t="e">
        <f>ChangeLog!A105+"AM:!0=D"</f>
        <v>#VALUE!</v>
      </c>
      <c r="CT286" t="e">
        <f>ChangeLog!B105+"AM:!0=E"</f>
        <v>#VALUE!</v>
      </c>
      <c r="CU286" t="e">
        <f>ChangeLog!C105+"AM:!0=F"</f>
        <v>#VALUE!</v>
      </c>
      <c r="CV286" t="e">
        <f>ChangeLog!D105+"AM:!0=G"</f>
        <v>#VALUE!</v>
      </c>
      <c r="CW286" t="e">
        <f>ChangeLog!E105+"AM:!0=H"</f>
        <v>#VALUE!</v>
      </c>
      <c r="CX286" t="e">
        <f>ChangeLog!F105+"AM:!0=I"</f>
        <v>#VALUE!</v>
      </c>
      <c r="CY286" t="e">
        <f>ChangeLog!G105+"AM:!0=J"</f>
        <v>#VALUE!</v>
      </c>
      <c r="CZ286" t="e">
        <f>ChangeLog!H105+"AM:!0=K"</f>
        <v>#VALUE!</v>
      </c>
      <c r="DA286" t="e">
        <f>ChangeLog!I105+"AM:!0=L"</f>
        <v>#VALUE!</v>
      </c>
      <c r="DB286" t="e">
        <f>ChangeLog!J105+"AM:!0=M"</f>
        <v>#VALUE!</v>
      </c>
      <c r="DC286" t="e">
        <f>ChangeLog!K105+"AM:!0=N"</f>
        <v>#VALUE!</v>
      </c>
      <c r="DD286" t="e">
        <f>ChangeLog!L105+"AM:!0=O"</f>
        <v>#VALUE!</v>
      </c>
      <c r="DE286" t="e">
        <f>ChangeLog!M105+"AM:!0=P"</f>
        <v>#VALUE!</v>
      </c>
      <c r="DF286" t="e">
        <f>ChangeLog!N105+"AM:!0=Q"</f>
        <v>#VALUE!</v>
      </c>
      <c r="DG286" t="e">
        <f>ChangeLog!O105+"AM:!0=R"</f>
        <v>#VALUE!</v>
      </c>
      <c r="DH286" t="e">
        <f>ChangeLog!P105+"AM:!0=S"</f>
        <v>#VALUE!</v>
      </c>
      <c r="DI286" t="e">
        <f>ChangeLog!Q105+"AM:!0=T"</f>
        <v>#VALUE!</v>
      </c>
      <c r="DJ286" t="e">
        <f>ChangeLog!R105+"AM:!0=U"</f>
        <v>#VALUE!</v>
      </c>
      <c r="DK286" t="e">
        <f>ChangeLog!S105+"AM:!0=V"</f>
        <v>#VALUE!</v>
      </c>
      <c r="DL286" t="e">
        <f>ChangeLog!T105+"AM:!0=W"</f>
        <v>#VALUE!</v>
      </c>
      <c r="DM286" t="e">
        <f>ChangeLog!A106+"AM:!0=X"</f>
        <v>#VALUE!</v>
      </c>
      <c r="DN286" t="e">
        <f>ChangeLog!B106+"AM:!0=Y"</f>
        <v>#VALUE!</v>
      </c>
      <c r="DO286" t="e">
        <f>ChangeLog!C106+"AM:!0=Z"</f>
        <v>#VALUE!</v>
      </c>
      <c r="DP286" t="e">
        <f>ChangeLog!D106+"AM:!0=["</f>
        <v>#VALUE!</v>
      </c>
      <c r="DQ286" t="e">
        <f>ChangeLog!E106+"AM:!0=\"</f>
        <v>#VALUE!</v>
      </c>
      <c r="DR286" t="e">
        <f>ChangeLog!F106+"AM:!0=]"</f>
        <v>#VALUE!</v>
      </c>
      <c r="DS286" t="e">
        <f>ChangeLog!G106+"AM:!0=^"</f>
        <v>#VALUE!</v>
      </c>
      <c r="DT286" t="e">
        <f>ChangeLog!H106+"AM:!0=_"</f>
        <v>#VALUE!</v>
      </c>
      <c r="DU286" t="e">
        <f>ChangeLog!I106+"AM:!0=`"</f>
        <v>#VALUE!</v>
      </c>
      <c r="DV286" t="e">
        <f>ChangeLog!J106+"AM:!0=a"</f>
        <v>#VALUE!</v>
      </c>
      <c r="DW286" t="e">
        <f>ChangeLog!K106+"AM:!0=b"</f>
        <v>#VALUE!</v>
      </c>
      <c r="DX286" t="e">
        <f>ChangeLog!L106+"AM:!0=c"</f>
        <v>#VALUE!</v>
      </c>
      <c r="DY286" t="e">
        <f>ChangeLog!M106+"AM:!0=d"</f>
        <v>#VALUE!</v>
      </c>
      <c r="DZ286" t="e">
        <f>ChangeLog!N106+"AM:!0=e"</f>
        <v>#VALUE!</v>
      </c>
      <c r="EA286" t="e">
        <f>ChangeLog!O106+"AM:!0=f"</f>
        <v>#VALUE!</v>
      </c>
      <c r="EB286" t="e">
        <f>ChangeLog!P106+"AM:!0=g"</f>
        <v>#VALUE!</v>
      </c>
      <c r="EC286" t="e">
        <f>ChangeLog!Q106+"AM:!0=h"</f>
        <v>#VALUE!</v>
      </c>
      <c r="ED286" t="e">
        <f>ChangeLog!R106+"AM:!0=i"</f>
        <v>#VALUE!</v>
      </c>
      <c r="EE286" t="e">
        <f>ChangeLog!S106+"AM:!0=j"</f>
        <v>#VALUE!</v>
      </c>
      <c r="EF286" t="e">
        <f>ChangeLog!T106+"AM:!0=k"</f>
        <v>#VALUE!</v>
      </c>
      <c r="EG286" t="e">
        <f>ChangeLog!A107+"AM:!0=l"</f>
        <v>#VALUE!</v>
      </c>
      <c r="EH286" t="e">
        <f>ChangeLog!B107+"AM:!0=m"</f>
        <v>#VALUE!</v>
      </c>
      <c r="EI286" t="e">
        <f>ChangeLog!C107+"AM:!0=n"</f>
        <v>#VALUE!</v>
      </c>
      <c r="EJ286" t="e">
        <f>ChangeLog!D107+"AM:!0=o"</f>
        <v>#VALUE!</v>
      </c>
      <c r="EK286" t="e">
        <f>ChangeLog!E107+"AM:!0=p"</f>
        <v>#VALUE!</v>
      </c>
      <c r="EL286" t="e">
        <f>ChangeLog!F107+"AM:!0=q"</f>
        <v>#VALUE!</v>
      </c>
      <c r="EM286" t="e">
        <f>ChangeLog!G107+"AM:!0=r"</f>
        <v>#VALUE!</v>
      </c>
      <c r="EN286" t="e">
        <f>ChangeLog!H107+"AM:!0=s"</f>
        <v>#VALUE!</v>
      </c>
      <c r="EO286" t="e">
        <f>ChangeLog!I107+"AM:!0=t"</f>
        <v>#VALUE!</v>
      </c>
      <c r="EP286" t="e">
        <f>ChangeLog!J107+"AM:!0=u"</f>
        <v>#VALUE!</v>
      </c>
      <c r="EQ286" t="e">
        <f>ChangeLog!K107+"AM:!0=v"</f>
        <v>#VALUE!</v>
      </c>
      <c r="ER286" t="e">
        <f>ChangeLog!L107+"AM:!0=w"</f>
        <v>#VALUE!</v>
      </c>
      <c r="ES286" t="e">
        <f>ChangeLog!M107+"AM:!0=x"</f>
        <v>#VALUE!</v>
      </c>
      <c r="ET286" t="e">
        <f>ChangeLog!N107+"AM:!0=y"</f>
        <v>#VALUE!</v>
      </c>
      <c r="EU286" t="e">
        <f>ChangeLog!O107+"AM:!0=z"</f>
        <v>#VALUE!</v>
      </c>
      <c r="EV286" t="e">
        <f>ChangeLog!P107+"AM:!0={"</f>
        <v>#VALUE!</v>
      </c>
      <c r="EW286" t="e">
        <f>ChangeLog!Q107+"AM:!0=|"</f>
        <v>#VALUE!</v>
      </c>
      <c r="EX286" t="e">
        <f>ChangeLog!R107+"AM:!0=}"</f>
        <v>#VALUE!</v>
      </c>
      <c r="EY286" t="e">
        <f>ChangeLog!S107+"AM:!0=~"</f>
        <v>#VALUE!</v>
      </c>
      <c r="EZ286" t="e">
        <f>ChangeLog!T107+"AM:!0&gt;#"</f>
        <v>#VALUE!</v>
      </c>
      <c r="FA286" t="e">
        <f>ChangeLog!A108+"AM:!0&gt;$"</f>
        <v>#VALUE!</v>
      </c>
      <c r="FB286" t="e">
        <f>ChangeLog!B108+"AM:!0&gt;%"</f>
        <v>#VALUE!</v>
      </c>
      <c r="FC286" t="e">
        <f>ChangeLog!C108+"AM:!0&gt;&amp;"</f>
        <v>#VALUE!</v>
      </c>
      <c r="FD286" t="e">
        <f>ChangeLog!D108+"AM:!0&gt;'"</f>
        <v>#VALUE!</v>
      </c>
      <c r="FE286" t="e">
        <f>ChangeLog!E108+"AM:!0&gt;("</f>
        <v>#VALUE!</v>
      </c>
      <c r="FF286" t="e">
        <f>ChangeLog!F108+"AM:!0&gt;)"</f>
        <v>#VALUE!</v>
      </c>
      <c r="FG286" t="e">
        <f>ChangeLog!G108+"AM:!0&gt;."</f>
        <v>#VALUE!</v>
      </c>
      <c r="FH286" t="e">
        <f>ChangeLog!H108+"AM:!0&gt;/"</f>
        <v>#VALUE!</v>
      </c>
      <c r="FI286" t="e">
        <f>ChangeLog!I108+"AM:!0&gt;0"</f>
        <v>#VALUE!</v>
      </c>
      <c r="FJ286" t="e">
        <f>ChangeLog!J108+"AM:!0&gt;1"</f>
        <v>#VALUE!</v>
      </c>
      <c r="FK286" t="e">
        <f>ChangeLog!K108+"AM:!0&gt;2"</f>
        <v>#VALUE!</v>
      </c>
      <c r="FL286" t="e">
        <f>ChangeLog!L108+"AM:!0&gt;3"</f>
        <v>#VALUE!</v>
      </c>
      <c r="FM286" t="e">
        <f>ChangeLog!M108+"AM:!0&gt;4"</f>
        <v>#VALUE!</v>
      </c>
      <c r="FN286" t="e">
        <f>ChangeLog!N108+"AM:!0&gt;5"</f>
        <v>#VALUE!</v>
      </c>
      <c r="FO286" t="e">
        <f>ChangeLog!O108+"AM:!0&gt;6"</f>
        <v>#VALUE!</v>
      </c>
      <c r="FP286" t="e">
        <f>ChangeLog!P108+"AM:!0&gt;7"</f>
        <v>#VALUE!</v>
      </c>
      <c r="FQ286" t="e">
        <f>ChangeLog!Q108+"AM:!0&gt;8"</f>
        <v>#VALUE!</v>
      </c>
      <c r="FR286" t="e">
        <f>ChangeLog!R108+"AM:!0&gt;9"</f>
        <v>#VALUE!</v>
      </c>
      <c r="FS286" t="e">
        <f>ChangeLog!S108+"AM:!0&gt;:"</f>
        <v>#VALUE!</v>
      </c>
      <c r="FT286" t="e">
        <f>ChangeLog!T108+"AM:!0&gt;;"</f>
        <v>#VALUE!</v>
      </c>
      <c r="FU286" t="e">
        <f>ChangeLog!A109+"AM:!0&gt;&lt;"</f>
        <v>#VALUE!</v>
      </c>
      <c r="FV286" t="e">
        <f>ChangeLog!B109+"AM:!0&gt;="</f>
        <v>#VALUE!</v>
      </c>
      <c r="FW286" t="e">
        <f>ChangeLog!C109+"AM:!0&gt;&gt;"</f>
        <v>#VALUE!</v>
      </c>
      <c r="FX286" t="e">
        <f>ChangeLog!D109+"AM:!0&gt;?"</f>
        <v>#VALUE!</v>
      </c>
      <c r="FY286" t="e">
        <f>ChangeLog!E109+"AM:!0&gt;@"</f>
        <v>#VALUE!</v>
      </c>
      <c r="FZ286" t="e">
        <f>ChangeLog!F109+"AM:!0&gt;A"</f>
        <v>#VALUE!</v>
      </c>
      <c r="GA286" t="e">
        <f>ChangeLog!G109+"AM:!0&gt;B"</f>
        <v>#VALUE!</v>
      </c>
      <c r="GB286" t="e">
        <f>ChangeLog!H109+"AM:!0&gt;C"</f>
        <v>#VALUE!</v>
      </c>
      <c r="GC286" t="e">
        <f>ChangeLog!I109+"AM:!0&gt;D"</f>
        <v>#VALUE!</v>
      </c>
      <c r="GD286" t="e">
        <f>ChangeLog!J109+"AM:!0&gt;E"</f>
        <v>#VALUE!</v>
      </c>
      <c r="GE286" t="e">
        <f>ChangeLog!K109+"AM:!0&gt;F"</f>
        <v>#VALUE!</v>
      </c>
      <c r="GF286" t="e">
        <f>ChangeLog!L109+"AM:!0&gt;G"</f>
        <v>#VALUE!</v>
      </c>
      <c r="GG286" t="e">
        <f>ChangeLog!M109+"AM:!0&gt;H"</f>
        <v>#VALUE!</v>
      </c>
      <c r="GH286" t="e">
        <f>ChangeLog!N109+"AM:!0&gt;I"</f>
        <v>#VALUE!</v>
      </c>
      <c r="GI286" t="e">
        <f>ChangeLog!O109+"AM:!0&gt;J"</f>
        <v>#VALUE!</v>
      </c>
      <c r="GJ286" t="e">
        <f>ChangeLog!P109+"AM:!0&gt;K"</f>
        <v>#VALUE!</v>
      </c>
      <c r="GK286" t="e">
        <f>ChangeLog!Q109+"AM:!0&gt;L"</f>
        <v>#VALUE!</v>
      </c>
      <c r="GL286" t="e">
        <f>ChangeLog!R109+"AM:!0&gt;M"</f>
        <v>#VALUE!</v>
      </c>
      <c r="GM286" t="e">
        <f>ChangeLog!S109+"AM:!0&gt;N"</f>
        <v>#VALUE!</v>
      </c>
      <c r="GN286" t="e">
        <f>ChangeLog!T109+"AM:!0&gt;O"</f>
        <v>#VALUE!</v>
      </c>
      <c r="GO286" t="e">
        <f>ChangeLog!A110+"AM:!0&gt;P"</f>
        <v>#VALUE!</v>
      </c>
      <c r="GP286" t="e">
        <f>ChangeLog!B110+"AM:!0&gt;Q"</f>
        <v>#VALUE!</v>
      </c>
      <c r="GQ286" t="e">
        <f>ChangeLog!C110+"AM:!0&gt;R"</f>
        <v>#VALUE!</v>
      </c>
      <c r="GR286" t="e">
        <f>ChangeLog!D110+"AM:!0&gt;S"</f>
        <v>#VALUE!</v>
      </c>
      <c r="GS286" t="e">
        <f>ChangeLog!E110+"AM:!0&gt;T"</f>
        <v>#VALUE!</v>
      </c>
      <c r="GT286" t="e">
        <f>ChangeLog!F110+"AM:!0&gt;U"</f>
        <v>#VALUE!</v>
      </c>
      <c r="GU286" t="e">
        <f>ChangeLog!G110+"AM:!0&gt;V"</f>
        <v>#VALUE!</v>
      </c>
      <c r="GV286" t="e">
        <f>ChangeLog!H110+"AM:!0&gt;W"</f>
        <v>#VALUE!</v>
      </c>
      <c r="GW286" t="e">
        <f>ChangeLog!I110+"AM:!0&gt;X"</f>
        <v>#VALUE!</v>
      </c>
      <c r="GX286" t="e">
        <f>ChangeLog!J110+"AM:!0&gt;Y"</f>
        <v>#VALUE!</v>
      </c>
      <c r="GY286" t="e">
        <f>ChangeLog!K110+"AM:!0&gt;Z"</f>
        <v>#VALUE!</v>
      </c>
      <c r="GZ286" t="e">
        <f>ChangeLog!L110+"AM:!0&gt;["</f>
        <v>#VALUE!</v>
      </c>
      <c r="HA286" t="e">
        <f>ChangeLog!M110+"AM:!0&gt;\"</f>
        <v>#VALUE!</v>
      </c>
      <c r="HB286" t="e">
        <f>ChangeLog!N110+"AM:!0&gt;]"</f>
        <v>#VALUE!</v>
      </c>
      <c r="HC286" t="e">
        <f>ChangeLog!O110+"AM:!0&gt;^"</f>
        <v>#VALUE!</v>
      </c>
      <c r="HD286" t="e">
        <f>ChangeLog!P110+"AM:!0&gt;_"</f>
        <v>#VALUE!</v>
      </c>
      <c r="HE286" t="e">
        <f>ChangeLog!Q110+"AM:!0&gt;`"</f>
        <v>#VALUE!</v>
      </c>
      <c r="HF286" t="e">
        <f>ChangeLog!R110+"AM:!0&gt;a"</f>
        <v>#VALUE!</v>
      </c>
      <c r="HG286" t="e">
        <f>ChangeLog!S110+"AM:!0&gt;b"</f>
        <v>#VALUE!</v>
      </c>
      <c r="HH286" t="e">
        <f>ChangeLog!T110+"AM:!0&gt;c"</f>
        <v>#VALUE!</v>
      </c>
      <c r="HI286" t="e">
        <f>ChangeLog!A111+"AM:!0&gt;d"</f>
        <v>#VALUE!</v>
      </c>
      <c r="HJ286" t="e">
        <f>ChangeLog!B111+"AM:!0&gt;e"</f>
        <v>#VALUE!</v>
      </c>
      <c r="HK286" t="e">
        <f>ChangeLog!C111+"AM:!0&gt;f"</f>
        <v>#VALUE!</v>
      </c>
      <c r="HL286" t="e">
        <f>ChangeLog!D111+"AM:!0&gt;g"</f>
        <v>#VALUE!</v>
      </c>
      <c r="HM286" t="e">
        <f>ChangeLog!E111+"AM:!0&gt;h"</f>
        <v>#VALUE!</v>
      </c>
      <c r="HN286" t="e">
        <f>ChangeLog!F111+"AM:!0&gt;i"</f>
        <v>#VALUE!</v>
      </c>
      <c r="HO286" t="e">
        <f>ChangeLog!G111+"AM:!0&gt;j"</f>
        <v>#VALUE!</v>
      </c>
      <c r="HP286" t="e">
        <f>ChangeLog!H111+"AM:!0&gt;k"</f>
        <v>#VALUE!</v>
      </c>
      <c r="HQ286" t="e">
        <f>ChangeLog!I111+"AM:!0&gt;l"</f>
        <v>#VALUE!</v>
      </c>
      <c r="HR286" t="e">
        <f>ChangeLog!J111+"AM:!0&gt;m"</f>
        <v>#VALUE!</v>
      </c>
      <c r="HS286" t="e">
        <f>ChangeLog!K111+"AM:!0&gt;n"</f>
        <v>#VALUE!</v>
      </c>
      <c r="HT286" t="e">
        <f>ChangeLog!L111+"AM:!0&gt;o"</f>
        <v>#VALUE!</v>
      </c>
      <c r="HU286" t="e">
        <f>ChangeLog!M111+"AM:!0&gt;p"</f>
        <v>#VALUE!</v>
      </c>
      <c r="HV286" t="e">
        <f>ChangeLog!N111+"AM:!0&gt;q"</f>
        <v>#VALUE!</v>
      </c>
      <c r="HW286" t="e">
        <f>ChangeLog!O111+"AM:!0&gt;r"</f>
        <v>#VALUE!</v>
      </c>
      <c r="HX286" t="e">
        <f>ChangeLog!P111+"AM:!0&gt;s"</f>
        <v>#VALUE!</v>
      </c>
      <c r="HY286" t="e">
        <f>ChangeLog!Q111+"AM:!0&gt;t"</f>
        <v>#VALUE!</v>
      </c>
      <c r="HZ286" t="e">
        <f>ChangeLog!R111+"AM:!0&gt;u"</f>
        <v>#VALUE!</v>
      </c>
      <c r="IA286" t="e">
        <f>ChangeLog!S111+"AM:!0&gt;v"</f>
        <v>#VALUE!</v>
      </c>
      <c r="IB286" t="e">
        <f>ChangeLog!T111+"AM:!0&gt;w"</f>
        <v>#VALUE!</v>
      </c>
      <c r="IC286" t="e">
        <f>ChangeLog!A112+"AM:!0&gt;x"</f>
        <v>#VALUE!</v>
      </c>
      <c r="ID286" t="e">
        <f>ChangeLog!B112+"AM:!0&gt;y"</f>
        <v>#VALUE!</v>
      </c>
      <c r="IE286" t="e">
        <f>ChangeLog!C112+"AM:!0&gt;z"</f>
        <v>#VALUE!</v>
      </c>
      <c r="IF286" t="e">
        <f>ChangeLog!D112+"AM:!0&gt;{"</f>
        <v>#VALUE!</v>
      </c>
      <c r="IG286" t="e">
        <f>ChangeLog!E112+"AM:!0&gt;|"</f>
        <v>#VALUE!</v>
      </c>
      <c r="IH286" t="e">
        <f>ChangeLog!F112+"AM:!0&gt;}"</f>
        <v>#VALUE!</v>
      </c>
      <c r="II286" t="e">
        <f>ChangeLog!G112+"AM:!0&gt;~"</f>
        <v>#VALUE!</v>
      </c>
      <c r="IJ286" t="e">
        <f>ChangeLog!H112+"AM:!0?#"</f>
        <v>#VALUE!</v>
      </c>
      <c r="IK286" t="e">
        <f>ChangeLog!I112+"AM:!0?$"</f>
        <v>#VALUE!</v>
      </c>
      <c r="IL286" t="e">
        <f>ChangeLog!J112+"AM:!0?%"</f>
        <v>#VALUE!</v>
      </c>
      <c r="IM286" t="e">
        <f>ChangeLog!K112+"AM:!0?&amp;"</f>
        <v>#VALUE!</v>
      </c>
      <c r="IN286" t="e">
        <f>ChangeLog!L112+"AM:!0?'"</f>
        <v>#VALUE!</v>
      </c>
      <c r="IO286" t="e">
        <f>ChangeLog!M112+"AM:!0?("</f>
        <v>#VALUE!</v>
      </c>
      <c r="IP286" t="e">
        <f>ChangeLog!N112+"AM:!0?)"</f>
        <v>#VALUE!</v>
      </c>
      <c r="IQ286" t="e">
        <f>ChangeLog!O112+"AM:!0?."</f>
        <v>#VALUE!</v>
      </c>
      <c r="IR286" t="e">
        <f>ChangeLog!P112+"AM:!0?/"</f>
        <v>#VALUE!</v>
      </c>
      <c r="IS286" t="e">
        <f>ChangeLog!Q112+"AM:!0?0"</f>
        <v>#VALUE!</v>
      </c>
      <c r="IT286" t="e">
        <f>ChangeLog!R112+"AM:!0?1"</f>
        <v>#VALUE!</v>
      </c>
      <c r="IU286" t="e">
        <f>ChangeLog!S112+"AM:!0?2"</f>
        <v>#VALUE!</v>
      </c>
      <c r="IV286" t="e">
        <f>ChangeLog!T112+"AM:!0?3"</f>
        <v>#VALUE!</v>
      </c>
    </row>
    <row r="287" spans="6:256">
      <c r="F287" t="e">
        <f>ChangeLog!A113+"AM:!0?4"</f>
        <v>#VALUE!</v>
      </c>
      <c r="G287" t="e">
        <f>ChangeLog!B113+"AM:!0?5"</f>
        <v>#VALUE!</v>
      </c>
      <c r="H287" t="e">
        <f>ChangeLog!C113+"AM:!0?6"</f>
        <v>#VALUE!</v>
      </c>
      <c r="I287" t="e">
        <f>ChangeLog!D113+"AM:!0?7"</f>
        <v>#VALUE!</v>
      </c>
      <c r="J287" t="e">
        <f>ChangeLog!E113+"AM:!0?8"</f>
        <v>#VALUE!</v>
      </c>
      <c r="K287" t="e">
        <f>ChangeLog!F113+"AM:!0?9"</f>
        <v>#VALUE!</v>
      </c>
      <c r="L287" t="e">
        <f>ChangeLog!G113+"AM:!0?:"</f>
        <v>#VALUE!</v>
      </c>
      <c r="M287" t="e">
        <f>ChangeLog!H113+"AM:!0?;"</f>
        <v>#VALUE!</v>
      </c>
      <c r="N287" t="e">
        <f>ChangeLog!I113+"AM:!0?&lt;"</f>
        <v>#VALUE!</v>
      </c>
      <c r="O287" t="e">
        <f>ChangeLog!J113+"AM:!0?="</f>
        <v>#VALUE!</v>
      </c>
      <c r="P287" t="e">
        <f>ChangeLog!K113+"AM:!0?&gt;"</f>
        <v>#VALUE!</v>
      </c>
      <c r="Q287" t="e">
        <f>ChangeLog!L113+"AM:!0??"</f>
        <v>#VALUE!</v>
      </c>
      <c r="R287" t="e">
        <f>ChangeLog!M113+"AM:!0?@"</f>
        <v>#VALUE!</v>
      </c>
      <c r="S287" t="e">
        <f>ChangeLog!N113+"AM:!0?A"</f>
        <v>#VALUE!</v>
      </c>
      <c r="T287" t="e">
        <f>ChangeLog!O113+"AM:!0?B"</f>
        <v>#VALUE!</v>
      </c>
      <c r="U287" t="e">
        <f>ChangeLog!P113+"AM:!0?C"</f>
        <v>#VALUE!</v>
      </c>
      <c r="V287" t="e">
        <f>ChangeLog!Q113+"AM:!0?D"</f>
        <v>#VALUE!</v>
      </c>
      <c r="W287" t="e">
        <f>ChangeLog!R113+"AM:!0?E"</f>
        <v>#VALUE!</v>
      </c>
      <c r="X287" t="e">
        <f>ChangeLog!S113+"AM:!0?F"</f>
        <v>#VALUE!</v>
      </c>
      <c r="Y287" t="e">
        <f>ChangeLog!T113+"AM:!0?G"</f>
        <v>#VALUE!</v>
      </c>
      <c r="Z287" t="e">
        <f>ChangeLog!A114+"AM:!0?H"</f>
        <v>#VALUE!</v>
      </c>
      <c r="AA287" t="e">
        <f>ChangeLog!B114+"AM:!0?I"</f>
        <v>#VALUE!</v>
      </c>
      <c r="AB287" t="e">
        <f>ChangeLog!C114+"AM:!0?J"</f>
        <v>#VALUE!</v>
      </c>
      <c r="AC287" t="e">
        <f>ChangeLog!D114+"AM:!0?K"</f>
        <v>#VALUE!</v>
      </c>
      <c r="AD287" t="e">
        <f>ChangeLog!E114+"AM:!0?L"</f>
        <v>#VALUE!</v>
      </c>
      <c r="AE287" t="e">
        <f>ChangeLog!F114+"AM:!0?M"</f>
        <v>#VALUE!</v>
      </c>
      <c r="AF287" t="e">
        <f>ChangeLog!G114+"AM:!0?N"</f>
        <v>#VALUE!</v>
      </c>
      <c r="AG287" t="e">
        <f>ChangeLog!H114+"AM:!0?O"</f>
        <v>#VALUE!</v>
      </c>
      <c r="AH287" t="e">
        <f>ChangeLog!I114+"AM:!0?P"</f>
        <v>#VALUE!</v>
      </c>
      <c r="AI287" t="e">
        <f>ChangeLog!J114+"AM:!0?Q"</f>
        <v>#VALUE!</v>
      </c>
      <c r="AJ287" t="e">
        <f>ChangeLog!K114+"AM:!0?R"</f>
        <v>#VALUE!</v>
      </c>
      <c r="AK287" t="e">
        <f>ChangeLog!L114+"AM:!0?S"</f>
        <v>#VALUE!</v>
      </c>
      <c r="AL287" t="e">
        <f>ChangeLog!M114+"AM:!0?T"</f>
        <v>#VALUE!</v>
      </c>
      <c r="AM287" t="e">
        <f>ChangeLog!N114+"AM:!0?U"</f>
        <v>#VALUE!</v>
      </c>
      <c r="AN287" t="e">
        <f>ChangeLog!O114+"AM:!0?V"</f>
        <v>#VALUE!</v>
      </c>
      <c r="AO287" t="e">
        <f>ChangeLog!P114+"AM:!0?W"</f>
        <v>#VALUE!</v>
      </c>
      <c r="AP287" t="e">
        <f>ChangeLog!Q114+"AM:!0?X"</f>
        <v>#VALUE!</v>
      </c>
      <c r="AQ287" t="e">
        <f>ChangeLog!R114+"AM:!0?Y"</f>
        <v>#VALUE!</v>
      </c>
      <c r="AR287" t="e">
        <f>ChangeLog!S114+"AM:!0?Z"</f>
        <v>#VALUE!</v>
      </c>
      <c r="AS287" t="e">
        <f>ChangeLog!T114+"AM:!0?["</f>
        <v>#VALUE!</v>
      </c>
      <c r="AT287" t="e">
        <f>ChangeLog!A115+"AM:!0?\"</f>
        <v>#VALUE!</v>
      </c>
      <c r="AU287" t="e">
        <f>ChangeLog!B115+"AM:!0?]"</f>
        <v>#VALUE!</v>
      </c>
      <c r="AV287" t="e">
        <f>ChangeLog!C115+"AM:!0?^"</f>
        <v>#VALUE!</v>
      </c>
      <c r="AW287" t="e">
        <f>ChangeLog!D115+"AM:!0?_"</f>
        <v>#VALUE!</v>
      </c>
      <c r="AX287" t="e">
        <f>ChangeLog!E115+"AM:!0?`"</f>
        <v>#VALUE!</v>
      </c>
      <c r="AY287" t="e">
        <f>ChangeLog!F115+"AM:!0?a"</f>
        <v>#VALUE!</v>
      </c>
      <c r="AZ287" t="e">
        <f>ChangeLog!G115+"AM:!0?b"</f>
        <v>#VALUE!</v>
      </c>
      <c r="BA287" t="e">
        <f>ChangeLog!H115+"AM:!0?c"</f>
        <v>#VALUE!</v>
      </c>
      <c r="BB287" t="e">
        <f>ChangeLog!I115+"AM:!0?d"</f>
        <v>#VALUE!</v>
      </c>
      <c r="BC287" t="e">
        <f>ChangeLog!J115+"AM:!0?e"</f>
        <v>#VALUE!</v>
      </c>
      <c r="BD287" t="e">
        <f>ChangeLog!K115+"AM:!0?f"</f>
        <v>#VALUE!</v>
      </c>
      <c r="BE287" t="e">
        <f>ChangeLog!L115+"AM:!0?g"</f>
        <v>#VALUE!</v>
      </c>
      <c r="BF287" t="e">
        <f>ChangeLog!M115+"AM:!0?h"</f>
        <v>#VALUE!</v>
      </c>
      <c r="BG287" t="e">
        <f>ChangeLog!N115+"AM:!0?i"</f>
        <v>#VALUE!</v>
      </c>
      <c r="BH287" t="e">
        <f>ChangeLog!O115+"AM:!0?j"</f>
        <v>#VALUE!</v>
      </c>
      <c r="BI287" t="e">
        <f>ChangeLog!P115+"AM:!0?k"</f>
        <v>#VALUE!</v>
      </c>
      <c r="BJ287" t="e">
        <f>ChangeLog!Q115+"AM:!0?l"</f>
        <v>#VALUE!</v>
      </c>
      <c r="BK287" t="e">
        <f>ChangeLog!R115+"AM:!0?m"</f>
        <v>#VALUE!</v>
      </c>
      <c r="BL287" t="e">
        <f>ChangeLog!S115+"AM:!0?n"</f>
        <v>#VALUE!</v>
      </c>
      <c r="BM287" t="e">
        <f>ChangeLog!T115+"AM:!0?o"</f>
        <v>#VALUE!</v>
      </c>
      <c r="BN287" t="e">
        <f>ChangeLog!A116+"AM:!0?p"</f>
        <v>#VALUE!</v>
      </c>
      <c r="BO287" t="e">
        <f>ChangeLog!B116+"AM:!0?q"</f>
        <v>#VALUE!</v>
      </c>
      <c r="BP287" t="e">
        <f>ChangeLog!C116+"AM:!0?r"</f>
        <v>#VALUE!</v>
      </c>
      <c r="BQ287" t="e">
        <f>ChangeLog!D116+"AM:!0?s"</f>
        <v>#VALUE!</v>
      </c>
      <c r="BR287" t="e">
        <f>ChangeLog!E116+"AM:!0?t"</f>
        <v>#VALUE!</v>
      </c>
      <c r="BS287" t="e">
        <f>ChangeLog!F116+"AM:!0?u"</f>
        <v>#VALUE!</v>
      </c>
      <c r="BT287" t="e">
        <f>ChangeLog!G116+"AM:!0?v"</f>
        <v>#VALUE!</v>
      </c>
      <c r="BU287" t="e">
        <f>ChangeLog!H116+"AM:!0?w"</f>
        <v>#VALUE!</v>
      </c>
      <c r="BV287" t="e">
        <f>ChangeLog!I116+"AM:!0?x"</f>
        <v>#VALUE!</v>
      </c>
      <c r="BW287" t="e">
        <f>ChangeLog!J116+"AM:!0?y"</f>
        <v>#VALUE!</v>
      </c>
      <c r="BX287" t="e">
        <f>ChangeLog!K116+"AM:!0?z"</f>
        <v>#VALUE!</v>
      </c>
      <c r="BY287" t="e">
        <f>ChangeLog!L116+"AM:!0?{"</f>
        <v>#VALUE!</v>
      </c>
      <c r="BZ287" t="e">
        <f>ChangeLog!M116+"AM:!0?|"</f>
        <v>#VALUE!</v>
      </c>
      <c r="CA287" t="e">
        <f>ChangeLog!N116+"AM:!0?}"</f>
        <v>#VALUE!</v>
      </c>
      <c r="CB287" t="e">
        <f>ChangeLog!O116+"AM:!0?~"</f>
        <v>#VALUE!</v>
      </c>
      <c r="CC287" t="e">
        <f>ChangeLog!P116+"AM:!0@#"</f>
        <v>#VALUE!</v>
      </c>
      <c r="CD287" t="e">
        <f>ChangeLog!Q116+"AM:!0@$"</f>
        <v>#VALUE!</v>
      </c>
      <c r="CE287" t="e">
        <f>ChangeLog!R116+"AM:!0@%"</f>
        <v>#VALUE!</v>
      </c>
      <c r="CF287" t="e">
        <f>ChangeLog!S116+"AM:!0@&amp;"</f>
        <v>#VALUE!</v>
      </c>
      <c r="CG287" t="e">
        <f>ChangeLog!T116+"AM:!0@'"</f>
        <v>#VALUE!</v>
      </c>
      <c r="CH287" t="e">
        <f>ChangeLog!A117+"AM:!0@("</f>
        <v>#VALUE!</v>
      </c>
      <c r="CI287" t="e">
        <f>ChangeLog!B117+"AM:!0@)"</f>
        <v>#VALUE!</v>
      </c>
      <c r="CJ287" t="e">
        <f>ChangeLog!C117+"AM:!0@."</f>
        <v>#VALUE!</v>
      </c>
      <c r="CK287" t="e">
        <f>ChangeLog!D117+"AM:!0@/"</f>
        <v>#VALUE!</v>
      </c>
      <c r="CL287" t="e">
        <f>ChangeLog!E117+"AM:!0@0"</f>
        <v>#VALUE!</v>
      </c>
      <c r="CM287" t="e">
        <f>ChangeLog!F117+"AM:!0@1"</f>
        <v>#VALUE!</v>
      </c>
      <c r="CN287" t="e">
        <f>ChangeLog!G117+"AM:!0@2"</f>
        <v>#VALUE!</v>
      </c>
      <c r="CO287" t="e">
        <f>ChangeLog!H117+"AM:!0@3"</f>
        <v>#VALUE!</v>
      </c>
      <c r="CP287" t="e">
        <f>ChangeLog!I117+"AM:!0@4"</f>
        <v>#VALUE!</v>
      </c>
      <c r="CQ287" t="e">
        <f>ChangeLog!J117+"AM:!0@5"</f>
        <v>#VALUE!</v>
      </c>
      <c r="CR287" t="e">
        <f>ChangeLog!K117+"AM:!0@6"</f>
        <v>#VALUE!</v>
      </c>
      <c r="CS287" t="e">
        <f>ChangeLog!L117+"AM:!0@7"</f>
        <v>#VALUE!</v>
      </c>
      <c r="CT287" t="e">
        <f>ChangeLog!M117+"AM:!0@8"</f>
        <v>#VALUE!</v>
      </c>
      <c r="CU287" t="e">
        <f>ChangeLog!N117+"AM:!0@9"</f>
        <v>#VALUE!</v>
      </c>
      <c r="CV287" t="e">
        <f>ChangeLog!O117+"AM:!0@:"</f>
        <v>#VALUE!</v>
      </c>
      <c r="CW287" t="e">
        <f>ChangeLog!P117+"AM:!0@;"</f>
        <v>#VALUE!</v>
      </c>
      <c r="CX287" t="e">
        <f>ChangeLog!Q117+"AM:!0@&lt;"</f>
        <v>#VALUE!</v>
      </c>
      <c r="CY287" t="e">
        <f>ChangeLog!R117+"AM:!0@="</f>
        <v>#VALUE!</v>
      </c>
      <c r="CZ287" t="e">
        <f>ChangeLog!S117+"AM:!0@&gt;"</f>
        <v>#VALUE!</v>
      </c>
      <c r="DA287" t="e">
        <f>ChangeLog!T117+"AM:!0@?"</f>
        <v>#VALUE!</v>
      </c>
      <c r="DB287" t="e">
        <f>ChangeLog!A118+"AM:!0@@"</f>
        <v>#VALUE!</v>
      </c>
      <c r="DC287" t="e">
        <f>ChangeLog!B118+"AM:!0@A"</f>
        <v>#VALUE!</v>
      </c>
      <c r="DD287" t="e">
        <f>ChangeLog!C118+"AM:!0@B"</f>
        <v>#VALUE!</v>
      </c>
      <c r="DE287" t="e">
        <f>ChangeLog!D118+"AM:!0@C"</f>
        <v>#VALUE!</v>
      </c>
      <c r="DF287" t="e">
        <f>ChangeLog!E118+"AM:!0@D"</f>
        <v>#VALUE!</v>
      </c>
      <c r="DG287" t="e">
        <f>ChangeLog!F118+"AM:!0@E"</f>
        <v>#VALUE!</v>
      </c>
      <c r="DH287" t="e">
        <f>ChangeLog!G118+"AM:!0@F"</f>
        <v>#VALUE!</v>
      </c>
      <c r="DI287" t="e">
        <f>ChangeLog!H118+"AM:!0@G"</f>
        <v>#VALUE!</v>
      </c>
      <c r="DJ287" t="e">
        <f>ChangeLog!I118+"AM:!0@H"</f>
        <v>#VALUE!</v>
      </c>
      <c r="DK287" t="e">
        <f>ChangeLog!J118+"AM:!0@I"</f>
        <v>#VALUE!</v>
      </c>
      <c r="DL287" t="e">
        <f>ChangeLog!K118+"AM:!0@J"</f>
        <v>#VALUE!</v>
      </c>
      <c r="DM287" t="e">
        <f>ChangeLog!L118+"AM:!0@K"</f>
        <v>#VALUE!</v>
      </c>
      <c r="DN287" t="e">
        <f>ChangeLog!M118+"AM:!0@L"</f>
        <v>#VALUE!</v>
      </c>
      <c r="DO287" t="e">
        <f>ChangeLog!N118+"AM:!0@M"</f>
        <v>#VALUE!</v>
      </c>
      <c r="DP287" t="e">
        <f>ChangeLog!O118+"AM:!0@N"</f>
        <v>#VALUE!</v>
      </c>
      <c r="DQ287" t="e">
        <f>ChangeLog!P118+"AM:!0@O"</f>
        <v>#VALUE!</v>
      </c>
      <c r="DR287" t="e">
        <f>ChangeLog!Q118+"AM:!0@P"</f>
        <v>#VALUE!</v>
      </c>
      <c r="DS287" t="e">
        <f>ChangeLog!R118+"AM:!0@Q"</f>
        <v>#VALUE!</v>
      </c>
      <c r="DT287" t="e">
        <f>ChangeLog!S118+"AM:!0@R"</f>
        <v>#VALUE!</v>
      </c>
      <c r="DU287" t="e">
        <f>ChangeLog!T118+"AM:!0@S"</f>
        <v>#VALUE!</v>
      </c>
      <c r="DV287" t="e">
        <f>ChangeLog!A119+"AM:!0@T"</f>
        <v>#VALUE!</v>
      </c>
      <c r="DW287" t="e">
        <f>ChangeLog!B119+"AM:!0@U"</f>
        <v>#VALUE!</v>
      </c>
      <c r="DX287" t="e">
        <f>ChangeLog!C119+"AM:!0@V"</f>
        <v>#VALUE!</v>
      </c>
      <c r="DY287" t="e">
        <f>ChangeLog!D119+"AM:!0@W"</f>
        <v>#VALUE!</v>
      </c>
      <c r="DZ287" t="e">
        <f>ChangeLog!E119+"AM:!0@X"</f>
        <v>#VALUE!</v>
      </c>
      <c r="EA287" t="e">
        <f>ChangeLog!F119+"AM:!0@Y"</f>
        <v>#VALUE!</v>
      </c>
      <c r="EB287" t="e">
        <f>ChangeLog!G119+"AM:!0@Z"</f>
        <v>#VALUE!</v>
      </c>
      <c r="EC287" t="e">
        <f>ChangeLog!H119+"AM:!0@["</f>
        <v>#VALUE!</v>
      </c>
      <c r="ED287" t="e">
        <f>ChangeLog!I119+"AM:!0@\"</f>
        <v>#VALUE!</v>
      </c>
      <c r="EE287" t="e">
        <f>ChangeLog!J119+"AM:!0@]"</f>
        <v>#VALUE!</v>
      </c>
      <c r="EF287" t="e">
        <f>ChangeLog!K119+"AM:!0@^"</f>
        <v>#VALUE!</v>
      </c>
      <c r="EG287" t="e">
        <f>ChangeLog!L119+"AM:!0@_"</f>
        <v>#VALUE!</v>
      </c>
      <c r="EH287" t="e">
        <f>ChangeLog!M119+"AM:!0@`"</f>
        <v>#VALUE!</v>
      </c>
      <c r="EI287" t="e">
        <f>ChangeLog!N119+"AM:!0@a"</f>
        <v>#VALUE!</v>
      </c>
      <c r="EJ287" t="e">
        <f>ChangeLog!O119+"AM:!0@b"</f>
        <v>#VALUE!</v>
      </c>
      <c r="EK287" t="e">
        <f>ChangeLog!P119+"AM:!0@c"</f>
        <v>#VALUE!</v>
      </c>
      <c r="EL287" t="e">
        <f>ChangeLog!Q119+"AM:!0@d"</f>
        <v>#VALUE!</v>
      </c>
      <c r="EM287" t="e">
        <f>ChangeLog!R119+"AM:!0@e"</f>
        <v>#VALUE!</v>
      </c>
      <c r="EN287" t="e">
        <f>ChangeLog!S119+"AM:!0@f"</f>
        <v>#VALUE!</v>
      </c>
      <c r="EO287" t="e">
        <f>ChangeLog!T119+"AM:!0@g"</f>
        <v>#VALUE!</v>
      </c>
      <c r="EP287" t="e">
        <f>ChangeLog!A120+"AM:!0@h"</f>
        <v>#VALUE!</v>
      </c>
      <c r="EQ287" t="e">
        <f>ChangeLog!B120+"AM:!0@i"</f>
        <v>#VALUE!</v>
      </c>
      <c r="ER287" t="e">
        <f>ChangeLog!C120+"AM:!0@j"</f>
        <v>#VALUE!</v>
      </c>
      <c r="ES287" t="e">
        <f>ChangeLog!D120+"AM:!0@k"</f>
        <v>#VALUE!</v>
      </c>
      <c r="ET287" t="e">
        <f>ChangeLog!E120+"AM:!0@l"</f>
        <v>#VALUE!</v>
      </c>
      <c r="EU287" t="e">
        <f>ChangeLog!F120+"AM:!0@m"</f>
        <v>#VALUE!</v>
      </c>
      <c r="EV287" t="e">
        <f>ChangeLog!G120+"AM:!0@n"</f>
        <v>#VALUE!</v>
      </c>
      <c r="EW287" t="e">
        <f>ChangeLog!H120+"AM:!0@o"</f>
        <v>#VALUE!</v>
      </c>
      <c r="EX287" t="e">
        <f>ChangeLog!I120+"AM:!0@p"</f>
        <v>#VALUE!</v>
      </c>
      <c r="EY287" t="e">
        <f>ChangeLog!J120+"AM:!0@q"</f>
        <v>#VALUE!</v>
      </c>
      <c r="EZ287" t="e">
        <f>ChangeLog!K120+"AM:!0@r"</f>
        <v>#VALUE!</v>
      </c>
      <c r="FA287" t="e">
        <f>ChangeLog!L120+"AM:!0@s"</f>
        <v>#VALUE!</v>
      </c>
      <c r="FB287" t="e">
        <f>ChangeLog!M120+"AM:!0@t"</f>
        <v>#VALUE!</v>
      </c>
      <c r="FC287" t="e">
        <f>ChangeLog!N120+"AM:!0@u"</f>
        <v>#VALUE!</v>
      </c>
      <c r="FD287" t="e">
        <f>ChangeLog!O120+"AM:!0@v"</f>
        <v>#VALUE!</v>
      </c>
      <c r="FE287" t="e">
        <f>ChangeLog!P120+"AM:!0@w"</f>
        <v>#VALUE!</v>
      </c>
      <c r="FF287" t="e">
        <f>ChangeLog!Q120+"AM:!0@x"</f>
        <v>#VALUE!</v>
      </c>
      <c r="FG287" t="e">
        <f>ChangeLog!R120+"AM:!0@y"</f>
        <v>#VALUE!</v>
      </c>
      <c r="FH287" t="e">
        <f>ChangeLog!S120+"AM:!0@z"</f>
        <v>#VALUE!</v>
      </c>
      <c r="FI287" t="e">
        <f>ChangeLog!T120+"AM:!0@{"</f>
        <v>#VALUE!</v>
      </c>
      <c r="FJ287" t="e">
        <f>ChangeLog!A121+"AM:!0@|"</f>
        <v>#VALUE!</v>
      </c>
      <c r="FK287" t="e">
        <f>ChangeLog!B121+"AM:!0@}"</f>
        <v>#VALUE!</v>
      </c>
      <c r="FL287" t="e">
        <f>ChangeLog!C121+"AM:!0@~"</f>
        <v>#VALUE!</v>
      </c>
      <c r="FM287" t="e">
        <f>ChangeLog!D121+"AM:!0A#"</f>
        <v>#VALUE!</v>
      </c>
      <c r="FN287" t="e">
        <f>ChangeLog!E121+"AM:!0A$"</f>
        <v>#VALUE!</v>
      </c>
      <c r="FO287" t="e">
        <f>ChangeLog!F121+"AM:!0A%"</f>
        <v>#VALUE!</v>
      </c>
      <c r="FP287" t="e">
        <f>ChangeLog!G121+"AM:!0A&amp;"</f>
        <v>#VALUE!</v>
      </c>
      <c r="FQ287" t="e">
        <f>ChangeLog!H121+"AM:!0A'"</f>
        <v>#VALUE!</v>
      </c>
      <c r="FR287" t="e">
        <f>ChangeLog!I121+"AM:!0A("</f>
        <v>#VALUE!</v>
      </c>
      <c r="FS287" t="e">
        <f>ChangeLog!J121+"AM:!0A)"</f>
        <v>#VALUE!</v>
      </c>
      <c r="FT287" t="e">
        <f>ChangeLog!K121+"AM:!0A."</f>
        <v>#VALUE!</v>
      </c>
      <c r="FU287" t="e">
        <f>ChangeLog!L121+"AM:!0A/"</f>
        <v>#VALUE!</v>
      </c>
      <c r="FV287" t="e">
        <f>ChangeLog!M121+"AM:!0A0"</f>
        <v>#VALUE!</v>
      </c>
      <c r="FW287" t="e">
        <f>ChangeLog!N121+"AM:!0A1"</f>
        <v>#VALUE!</v>
      </c>
      <c r="FX287" t="e">
        <f>ChangeLog!O121+"AM:!0A2"</f>
        <v>#VALUE!</v>
      </c>
      <c r="FY287" t="e">
        <f>ChangeLog!P121+"AM:!0A3"</f>
        <v>#VALUE!</v>
      </c>
      <c r="FZ287" t="e">
        <f>ChangeLog!Q121+"AM:!0A4"</f>
        <v>#VALUE!</v>
      </c>
      <c r="GA287" t="e">
        <f>ChangeLog!R121+"AM:!0A5"</f>
        <v>#VALUE!</v>
      </c>
      <c r="GB287" t="e">
        <f>ChangeLog!S121+"AM:!0A6"</f>
        <v>#VALUE!</v>
      </c>
      <c r="GC287" t="e">
        <f>ChangeLog!T121+"AM:!0A7"</f>
        <v>#VALUE!</v>
      </c>
      <c r="GD287" t="e">
        <f>ChangeLog!A122+"AM:!0A8"</f>
        <v>#VALUE!</v>
      </c>
      <c r="GE287" t="e">
        <f>ChangeLog!B122+"AM:!0A9"</f>
        <v>#VALUE!</v>
      </c>
      <c r="GF287" t="e">
        <f>ChangeLog!C122+"AM:!0A:"</f>
        <v>#VALUE!</v>
      </c>
      <c r="GG287" t="e">
        <f>ChangeLog!D122+"AM:!0A;"</f>
        <v>#VALUE!</v>
      </c>
      <c r="GH287" t="e">
        <f>ChangeLog!E122+"AM:!0A&lt;"</f>
        <v>#VALUE!</v>
      </c>
      <c r="GI287" t="e">
        <f>ChangeLog!F122+"AM:!0A="</f>
        <v>#VALUE!</v>
      </c>
      <c r="GJ287" t="e">
        <f>ChangeLog!G122+"AM:!0A&gt;"</f>
        <v>#VALUE!</v>
      </c>
      <c r="GK287" t="e">
        <f>ChangeLog!H122+"AM:!0A?"</f>
        <v>#VALUE!</v>
      </c>
      <c r="GL287" t="e">
        <f>ChangeLog!I122+"AM:!0A@"</f>
        <v>#VALUE!</v>
      </c>
      <c r="GM287" t="e">
        <f>ChangeLog!J122+"AM:!0AA"</f>
        <v>#VALUE!</v>
      </c>
      <c r="GN287" t="e">
        <f>ChangeLog!K122+"AM:!0AB"</f>
        <v>#VALUE!</v>
      </c>
      <c r="GO287" t="e">
        <f>ChangeLog!L122+"AM:!0AC"</f>
        <v>#VALUE!</v>
      </c>
      <c r="GP287" t="e">
        <f>ChangeLog!M122+"AM:!0AD"</f>
        <v>#VALUE!</v>
      </c>
      <c r="GQ287" t="e">
        <f>ChangeLog!N122+"AM:!0AE"</f>
        <v>#VALUE!</v>
      </c>
      <c r="GR287" t="e">
        <f>ChangeLog!O122+"AM:!0AF"</f>
        <v>#VALUE!</v>
      </c>
      <c r="GS287" t="e">
        <f>ChangeLog!P122+"AM:!0AG"</f>
        <v>#VALUE!</v>
      </c>
      <c r="GT287" t="e">
        <f>ChangeLog!Q122+"AM:!0AH"</f>
        <v>#VALUE!</v>
      </c>
      <c r="GU287" t="e">
        <f>ChangeLog!R122+"AM:!0AI"</f>
        <v>#VALUE!</v>
      </c>
      <c r="GV287" t="e">
        <f>ChangeLog!S122+"AM:!0AJ"</f>
        <v>#VALUE!</v>
      </c>
      <c r="GW287" t="e">
        <f>ChangeLog!T122+"AM:!0AK"</f>
        <v>#VALUE!</v>
      </c>
      <c r="GX287" t="e">
        <f>ChangeLog!A123+"AM:!0AL"</f>
        <v>#VALUE!</v>
      </c>
      <c r="GY287" t="e">
        <f>ChangeLog!B123+"AM:!0AM"</f>
        <v>#VALUE!</v>
      </c>
      <c r="GZ287" t="e">
        <f>ChangeLog!C123+"AM:!0AN"</f>
        <v>#VALUE!</v>
      </c>
      <c r="HA287" t="e">
        <f>ChangeLog!D123+"AM:!0AO"</f>
        <v>#VALUE!</v>
      </c>
      <c r="HB287" t="e">
        <f>ChangeLog!E123+"AM:!0AP"</f>
        <v>#VALUE!</v>
      </c>
      <c r="HC287" t="e">
        <f>ChangeLog!F123+"AM:!0AQ"</f>
        <v>#VALUE!</v>
      </c>
      <c r="HD287" t="e">
        <f>ChangeLog!G123+"AM:!0AR"</f>
        <v>#VALUE!</v>
      </c>
      <c r="HE287" t="e">
        <f>ChangeLog!H123+"AM:!0AS"</f>
        <v>#VALUE!</v>
      </c>
      <c r="HF287" t="e">
        <f>ChangeLog!I123+"AM:!0AT"</f>
        <v>#VALUE!</v>
      </c>
      <c r="HG287" t="e">
        <f>ChangeLog!J123+"AM:!0AU"</f>
        <v>#VALUE!</v>
      </c>
      <c r="HH287" t="e">
        <f>ChangeLog!K123+"AM:!0AV"</f>
        <v>#VALUE!</v>
      </c>
      <c r="HI287" t="e">
        <f>ChangeLog!L123+"AM:!0AW"</f>
        <v>#VALUE!</v>
      </c>
      <c r="HJ287" t="e">
        <f>ChangeLog!M123+"AM:!0AX"</f>
        <v>#VALUE!</v>
      </c>
      <c r="HK287" t="e">
        <f>ChangeLog!N123+"AM:!0AY"</f>
        <v>#VALUE!</v>
      </c>
      <c r="HL287" t="e">
        <f>ChangeLog!O123+"AM:!0AZ"</f>
        <v>#VALUE!</v>
      </c>
      <c r="HM287" t="e">
        <f>ChangeLog!P123+"AM:!0A["</f>
        <v>#VALUE!</v>
      </c>
      <c r="HN287" t="e">
        <f>ChangeLog!Q123+"AM:!0A\"</f>
        <v>#VALUE!</v>
      </c>
      <c r="HO287" t="e">
        <f>ChangeLog!R123+"AM:!0A]"</f>
        <v>#VALUE!</v>
      </c>
      <c r="HP287" t="e">
        <f>ChangeLog!S123+"AM:!0A^"</f>
        <v>#VALUE!</v>
      </c>
      <c r="HQ287" t="e">
        <f>ChangeLog!T123+"AM:!0A_"</f>
        <v>#VALUE!</v>
      </c>
      <c r="HR287" t="e">
        <f>ChangeLog!A124+"AM:!0A`"</f>
        <v>#VALUE!</v>
      </c>
      <c r="HS287" t="e">
        <f>ChangeLog!B124+"AM:!0Aa"</f>
        <v>#VALUE!</v>
      </c>
      <c r="HT287" t="e">
        <f>ChangeLog!C124+"AM:!0Ab"</f>
        <v>#VALUE!</v>
      </c>
      <c r="HU287" t="e">
        <f>ChangeLog!D124+"AM:!0Ac"</f>
        <v>#VALUE!</v>
      </c>
      <c r="HV287" t="e">
        <f>ChangeLog!E124+"AM:!0Ad"</f>
        <v>#VALUE!</v>
      </c>
      <c r="HW287" t="e">
        <f>ChangeLog!F124+"AM:!0Ae"</f>
        <v>#VALUE!</v>
      </c>
      <c r="HX287" t="e">
        <f>ChangeLog!G124+"AM:!0Af"</f>
        <v>#VALUE!</v>
      </c>
      <c r="HY287" t="e">
        <f>ChangeLog!H124+"AM:!0Ag"</f>
        <v>#VALUE!</v>
      </c>
      <c r="HZ287" t="e">
        <f>ChangeLog!I124+"AM:!0Ah"</f>
        <v>#VALUE!</v>
      </c>
      <c r="IA287" t="e">
        <f>ChangeLog!J124+"AM:!0Ai"</f>
        <v>#VALUE!</v>
      </c>
      <c r="IB287" t="e">
        <f>ChangeLog!K124+"AM:!0Aj"</f>
        <v>#VALUE!</v>
      </c>
      <c r="IC287" t="e">
        <f>ChangeLog!L124+"AM:!0Ak"</f>
        <v>#VALUE!</v>
      </c>
      <c r="ID287" t="e">
        <f>ChangeLog!M124+"AM:!0Al"</f>
        <v>#VALUE!</v>
      </c>
      <c r="IE287" t="e">
        <f>ChangeLog!N124+"AM:!0Am"</f>
        <v>#VALUE!</v>
      </c>
      <c r="IF287" t="e">
        <f>ChangeLog!O124+"AM:!0An"</f>
        <v>#VALUE!</v>
      </c>
      <c r="IG287" t="e">
        <f>ChangeLog!P124+"AM:!0Ao"</f>
        <v>#VALUE!</v>
      </c>
      <c r="IH287" t="e">
        <f>ChangeLog!Q124+"AM:!0Ap"</f>
        <v>#VALUE!</v>
      </c>
      <c r="II287" t="e">
        <f>ChangeLog!R124+"AM:!0Aq"</f>
        <v>#VALUE!</v>
      </c>
      <c r="IJ287" t="e">
        <f>ChangeLog!S124+"AM:!0Ar"</f>
        <v>#VALUE!</v>
      </c>
      <c r="IK287" t="e">
        <f>ChangeLog!T124+"AM:!0As"</f>
        <v>#VALUE!</v>
      </c>
      <c r="IL287" t="e">
        <f>ChangeLog!A125+"AM:!0At"</f>
        <v>#VALUE!</v>
      </c>
      <c r="IM287" t="e">
        <f>ChangeLog!B125+"AM:!0Au"</f>
        <v>#VALUE!</v>
      </c>
      <c r="IN287" t="e">
        <f>ChangeLog!C125+"AM:!0Av"</f>
        <v>#VALUE!</v>
      </c>
      <c r="IO287" t="e">
        <f>ChangeLog!D125+"AM:!0Aw"</f>
        <v>#VALUE!</v>
      </c>
      <c r="IP287" t="e">
        <f>ChangeLog!E125+"AM:!0Ax"</f>
        <v>#VALUE!</v>
      </c>
      <c r="IQ287" t="e">
        <f>ChangeLog!F125+"AM:!0Ay"</f>
        <v>#VALUE!</v>
      </c>
      <c r="IR287" t="e">
        <f>ChangeLog!G125+"AM:!0Az"</f>
        <v>#VALUE!</v>
      </c>
      <c r="IS287" t="e">
        <f>ChangeLog!H125+"AM:!0A{"</f>
        <v>#VALUE!</v>
      </c>
      <c r="IT287" t="e">
        <f>ChangeLog!I125+"AM:!0A|"</f>
        <v>#VALUE!</v>
      </c>
      <c r="IU287" t="e">
        <f>ChangeLog!J125+"AM:!0A}"</f>
        <v>#VALUE!</v>
      </c>
      <c r="IV287" t="e">
        <f>ChangeLog!K125+"AM:!0A~"</f>
        <v>#VALUE!</v>
      </c>
    </row>
    <row r="288" spans="6:256">
      <c r="F288" t="e">
        <f>ChangeLog!L125+"AM:!0B#"</f>
        <v>#VALUE!</v>
      </c>
      <c r="G288" t="e">
        <f>ChangeLog!M125+"AM:!0B$"</f>
        <v>#VALUE!</v>
      </c>
      <c r="H288" t="e">
        <f>ChangeLog!N125+"AM:!0B%"</f>
        <v>#VALUE!</v>
      </c>
      <c r="I288" t="e">
        <f>ChangeLog!O125+"AM:!0B&amp;"</f>
        <v>#VALUE!</v>
      </c>
      <c r="J288" t="e">
        <f>ChangeLog!P125+"AM:!0B'"</f>
        <v>#VALUE!</v>
      </c>
      <c r="K288" t="e">
        <f>ChangeLog!Q125+"AM:!0B("</f>
        <v>#VALUE!</v>
      </c>
      <c r="L288" t="e">
        <f>ChangeLog!R125+"AM:!0B)"</f>
        <v>#VALUE!</v>
      </c>
      <c r="M288" t="e">
        <f>ChangeLog!S125+"AM:!0B."</f>
        <v>#VALUE!</v>
      </c>
      <c r="N288" t="e">
        <f>ChangeLog!T125+"AM:!0B/"</f>
        <v>#VALUE!</v>
      </c>
      <c r="O288" t="e">
        <f>ChangeLog!A126+"AM:!0B0"</f>
        <v>#VALUE!</v>
      </c>
      <c r="P288" t="e">
        <f>ChangeLog!B126+"AM:!0B1"</f>
        <v>#VALUE!</v>
      </c>
      <c r="Q288" t="e">
        <f>ChangeLog!C126+"AM:!0B2"</f>
        <v>#VALUE!</v>
      </c>
      <c r="R288" t="e">
        <f>ChangeLog!D126+"AM:!0B3"</f>
        <v>#VALUE!</v>
      </c>
      <c r="S288" t="e">
        <f>ChangeLog!E126+"AM:!0B4"</f>
        <v>#VALUE!</v>
      </c>
      <c r="T288" t="e">
        <f>ChangeLog!F126+"AM:!0B5"</f>
        <v>#VALUE!</v>
      </c>
      <c r="U288" t="e">
        <f>ChangeLog!G126+"AM:!0B6"</f>
        <v>#VALUE!</v>
      </c>
      <c r="V288" t="e">
        <f>ChangeLog!H126+"AM:!0B7"</f>
        <v>#VALUE!</v>
      </c>
      <c r="W288" t="e">
        <f>ChangeLog!I126+"AM:!0B8"</f>
        <v>#VALUE!</v>
      </c>
      <c r="X288" t="e">
        <f>ChangeLog!J126+"AM:!0B9"</f>
        <v>#VALUE!</v>
      </c>
      <c r="Y288" t="e">
        <f>ChangeLog!K126+"AM:!0B:"</f>
        <v>#VALUE!</v>
      </c>
      <c r="Z288" t="e">
        <f>ChangeLog!L126+"AM:!0B;"</f>
        <v>#VALUE!</v>
      </c>
      <c r="AA288" t="e">
        <f>ChangeLog!M126+"AM:!0B&lt;"</f>
        <v>#VALUE!</v>
      </c>
      <c r="AB288" t="e">
        <f>ChangeLog!N126+"AM:!0B="</f>
        <v>#VALUE!</v>
      </c>
      <c r="AC288" t="e">
        <f>ChangeLog!O126+"AM:!0B&gt;"</f>
        <v>#VALUE!</v>
      </c>
      <c r="AD288" t="e">
        <f>ChangeLog!P126+"AM:!0B?"</f>
        <v>#VALUE!</v>
      </c>
      <c r="AE288" t="e">
        <f>ChangeLog!Q126+"AM:!0B@"</f>
        <v>#VALUE!</v>
      </c>
      <c r="AF288" t="e">
        <f>ChangeLog!R126+"AM:!0BA"</f>
        <v>#VALUE!</v>
      </c>
      <c r="AG288" t="e">
        <f>ChangeLog!S126+"AM:!0BB"</f>
        <v>#VALUE!</v>
      </c>
      <c r="AH288" t="e">
        <f>ChangeLog!T126+"AM:!0BC"</f>
        <v>#VALUE!</v>
      </c>
      <c r="AI288" t="e">
        <f>ChangeLog!A127+"AM:!0BD"</f>
        <v>#VALUE!</v>
      </c>
      <c r="AJ288" t="e">
        <f>ChangeLog!B127+"AM:!0BE"</f>
        <v>#VALUE!</v>
      </c>
      <c r="AK288" t="e">
        <f>ChangeLog!C127+"AM:!0BF"</f>
        <v>#VALUE!</v>
      </c>
      <c r="AL288" t="e">
        <f>ChangeLog!D127+"AM:!0BG"</f>
        <v>#VALUE!</v>
      </c>
      <c r="AM288" t="e">
        <f>ChangeLog!E127+"AM:!0BH"</f>
        <v>#VALUE!</v>
      </c>
      <c r="AN288" t="e">
        <f>ChangeLog!F127+"AM:!0BI"</f>
        <v>#VALUE!</v>
      </c>
      <c r="AO288" t="e">
        <f>ChangeLog!G127+"AM:!0BJ"</f>
        <v>#VALUE!</v>
      </c>
      <c r="AP288" t="e">
        <f>ChangeLog!H127+"AM:!0BK"</f>
        <v>#VALUE!</v>
      </c>
      <c r="AQ288" t="e">
        <f>ChangeLog!I127+"AM:!0BL"</f>
        <v>#VALUE!</v>
      </c>
      <c r="AR288" t="e">
        <f>ChangeLog!J127+"AM:!0BM"</f>
        <v>#VALUE!</v>
      </c>
      <c r="AS288" t="e">
        <f>ChangeLog!K127+"AM:!0BN"</f>
        <v>#VALUE!</v>
      </c>
      <c r="AT288" t="e">
        <f>ChangeLog!L127+"AM:!0BO"</f>
        <v>#VALUE!</v>
      </c>
      <c r="AU288" t="e">
        <f>ChangeLog!M127+"AM:!0BP"</f>
        <v>#VALUE!</v>
      </c>
      <c r="AV288" t="e">
        <f>ChangeLog!N127+"AM:!0BQ"</f>
        <v>#VALUE!</v>
      </c>
      <c r="AW288" t="e">
        <f>ChangeLog!O127+"AM:!0BR"</f>
        <v>#VALUE!</v>
      </c>
      <c r="AX288" t="e">
        <f>ChangeLog!P127+"AM:!0BS"</f>
        <v>#VALUE!</v>
      </c>
      <c r="AY288" t="e">
        <f>ChangeLog!Q127+"AM:!0BT"</f>
        <v>#VALUE!</v>
      </c>
      <c r="AZ288" t="e">
        <f>ChangeLog!R127+"AM:!0BU"</f>
        <v>#VALUE!</v>
      </c>
      <c r="BA288" t="e">
        <f>ChangeLog!S127+"AM:!0BV"</f>
        <v>#VALUE!</v>
      </c>
      <c r="BB288" t="e">
        <f>ChangeLog!T127+"AM:!0BW"</f>
        <v>#VALUE!</v>
      </c>
      <c r="BC288" t="e">
        <f>ChangeLog!A128+"AM:!0BX"</f>
        <v>#VALUE!</v>
      </c>
      <c r="BD288" t="e">
        <f>ChangeLog!B128+"AM:!0BY"</f>
        <v>#VALUE!</v>
      </c>
      <c r="BE288" t="e">
        <f>ChangeLog!C128+"AM:!0BZ"</f>
        <v>#VALUE!</v>
      </c>
      <c r="BF288" t="e">
        <f>ChangeLog!D128+"AM:!0B["</f>
        <v>#VALUE!</v>
      </c>
      <c r="BG288" t="e">
        <f>ChangeLog!E128+"AM:!0B\"</f>
        <v>#VALUE!</v>
      </c>
      <c r="BH288" t="e">
        <f>ChangeLog!F128+"AM:!0B]"</f>
        <v>#VALUE!</v>
      </c>
      <c r="BI288" t="e">
        <f>ChangeLog!G128+"AM:!0B^"</f>
        <v>#VALUE!</v>
      </c>
      <c r="BJ288" t="e">
        <f>ChangeLog!H128+"AM:!0B_"</f>
        <v>#VALUE!</v>
      </c>
      <c r="BK288" t="e">
        <f>ChangeLog!I128+"AM:!0B`"</f>
        <v>#VALUE!</v>
      </c>
      <c r="BL288" t="e">
        <f>ChangeLog!J128+"AM:!0Ba"</f>
        <v>#VALUE!</v>
      </c>
      <c r="BM288" t="e">
        <f>ChangeLog!K128+"AM:!0Bb"</f>
        <v>#VALUE!</v>
      </c>
      <c r="BN288" t="e">
        <f>ChangeLog!L128+"AM:!0Bc"</f>
        <v>#VALUE!</v>
      </c>
      <c r="BO288" t="e">
        <f>ChangeLog!M128+"AM:!0Bd"</f>
        <v>#VALUE!</v>
      </c>
      <c r="BP288" t="e">
        <f>ChangeLog!N128+"AM:!0Be"</f>
        <v>#VALUE!</v>
      </c>
      <c r="BQ288" t="e">
        <f>ChangeLog!O128+"AM:!0Bf"</f>
        <v>#VALUE!</v>
      </c>
      <c r="BR288" t="e">
        <f>ChangeLog!P128+"AM:!0Bg"</f>
        <v>#VALUE!</v>
      </c>
      <c r="BS288" t="e">
        <f>ChangeLog!Q128+"AM:!0Bh"</f>
        <v>#VALUE!</v>
      </c>
      <c r="BT288" t="e">
        <f>ChangeLog!R128+"AM:!0Bi"</f>
        <v>#VALUE!</v>
      </c>
      <c r="BU288" t="e">
        <f>ChangeLog!S128+"AM:!0Bj"</f>
        <v>#VALUE!</v>
      </c>
      <c r="BV288" t="e">
        <f>ChangeLog!T128+"AM:!0Bk"</f>
        <v>#VALUE!</v>
      </c>
      <c r="BW288" t="e">
        <f>ChangeLog!A129+"AM:!0Bl"</f>
        <v>#VALUE!</v>
      </c>
      <c r="BX288" t="e">
        <f>ChangeLog!B129+"AM:!0Bm"</f>
        <v>#VALUE!</v>
      </c>
      <c r="BY288" t="e">
        <f>ChangeLog!C129+"AM:!0Bn"</f>
        <v>#VALUE!</v>
      </c>
      <c r="BZ288" t="e">
        <f>ChangeLog!D129+"AM:!0Bo"</f>
        <v>#VALUE!</v>
      </c>
      <c r="CA288" t="e">
        <f>ChangeLog!E129+"AM:!0Bp"</f>
        <v>#VALUE!</v>
      </c>
      <c r="CB288" t="e">
        <f>ChangeLog!F129+"AM:!0Bq"</f>
        <v>#VALUE!</v>
      </c>
      <c r="CC288" t="e">
        <f>ChangeLog!G129+"AM:!0Br"</f>
        <v>#VALUE!</v>
      </c>
      <c r="CD288" t="e">
        <f>ChangeLog!H129+"AM:!0Bs"</f>
        <v>#VALUE!</v>
      </c>
      <c r="CE288" t="e">
        <f>ChangeLog!I129+"AM:!0Bt"</f>
        <v>#VALUE!</v>
      </c>
      <c r="CF288" t="e">
        <f>ChangeLog!J129+"AM:!0Bu"</f>
        <v>#VALUE!</v>
      </c>
      <c r="CG288" t="e">
        <f>ChangeLog!K129+"AM:!0Bv"</f>
        <v>#VALUE!</v>
      </c>
      <c r="CH288" t="e">
        <f>ChangeLog!L129+"AM:!0Bw"</f>
        <v>#VALUE!</v>
      </c>
      <c r="CI288" t="e">
        <f>ChangeLog!M129+"AM:!0Bx"</f>
        <v>#VALUE!</v>
      </c>
      <c r="CJ288" t="e">
        <f>ChangeLog!N129+"AM:!0By"</f>
        <v>#VALUE!</v>
      </c>
      <c r="CK288" t="e">
        <f>ChangeLog!O129+"AM:!0Bz"</f>
        <v>#VALUE!</v>
      </c>
      <c r="CL288" t="e">
        <f>ChangeLog!P129+"AM:!0B{"</f>
        <v>#VALUE!</v>
      </c>
      <c r="CM288" t="e">
        <f>ChangeLog!Q129+"AM:!0B|"</f>
        <v>#VALUE!</v>
      </c>
      <c r="CN288" t="e">
        <f>ChangeLog!R129+"AM:!0B}"</f>
        <v>#VALUE!</v>
      </c>
      <c r="CO288" t="e">
        <f>ChangeLog!S129+"AM:!0B~"</f>
        <v>#VALUE!</v>
      </c>
      <c r="CP288" t="e">
        <f>ChangeLog!T129+"AM:!0C#"</f>
        <v>#VALUE!</v>
      </c>
      <c r="CQ288" t="e">
        <f>ChangeLog!A130+"AM:!0C$"</f>
        <v>#VALUE!</v>
      </c>
      <c r="CR288" t="e">
        <f>ChangeLog!B130+"AM:!0C%"</f>
        <v>#VALUE!</v>
      </c>
      <c r="CS288" t="e">
        <f>ChangeLog!C130+"AM:!0C&amp;"</f>
        <v>#VALUE!</v>
      </c>
      <c r="CT288" t="e">
        <f>ChangeLog!D130+"AM:!0C'"</f>
        <v>#VALUE!</v>
      </c>
      <c r="CU288" t="e">
        <f>ChangeLog!E130+"AM:!0C("</f>
        <v>#VALUE!</v>
      </c>
      <c r="CV288" t="e">
        <f>ChangeLog!F130+"AM:!0C)"</f>
        <v>#VALUE!</v>
      </c>
      <c r="CW288" t="e">
        <f>ChangeLog!G130+"AM:!0C."</f>
        <v>#VALUE!</v>
      </c>
      <c r="CX288" t="e">
        <f>ChangeLog!H130+"AM:!0C/"</f>
        <v>#VALUE!</v>
      </c>
      <c r="CY288" t="e">
        <f>ChangeLog!I130+"AM:!0C0"</f>
        <v>#VALUE!</v>
      </c>
      <c r="CZ288" t="e">
        <f>ChangeLog!J130+"AM:!0C1"</f>
        <v>#VALUE!</v>
      </c>
      <c r="DA288" t="e">
        <f>ChangeLog!K130+"AM:!0C2"</f>
        <v>#VALUE!</v>
      </c>
      <c r="DB288" t="e">
        <f>ChangeLog!L130+"AM:!0C3"</f>
        <v>#VALUE!</v>
      </c>
      <c r="DC288" t="e">
        <f>ChangeLog!M130+"AM:!0C4"</f>
        <v>#VALUE!</v>
      </c>
      <c r="DD288" t="e">
        <f>ChangeLog!N130+"AM:!0C5"</f>
        <v>#VALUE!</v>
      </c>
      <c r="DE288" t="e">
        <f>ChangeLog!O130+"AM:!0C6"</f>
        <v>#VALUE!</v>
      </c>
      <c r="DF288" t="e">
        <f>ChangeLog!P130+"AM:!0C7"</f>
        <v>#VALUE!</v>
      </c>
      <c r="DG288" t="e">
        <f>ChangeLog!Q130+"AM:!0C8"</f>
        <v>#VALUE!</v>
      </c>
      <c r="DH288" t="e">
        <f>ChangeLog!R130+"AM:!0C9"</f>
        <v>#VALUE!</v>
      </c>
      <c r="DI288" t="e">
        <f>ChangeLog!S130+"AM:!0C:"</f>
        <v>#VALUE!</v>
      </c>
      <c r="DJ288" t="e">
        <f>ChangeLog!T130+"AM:!0C;"</f>
        <v>#VALUE!</v>
      </c>
      <c r="DK288" t="e">
        <f>ChangeLog!A131+"AM:!0C&lt;"</f>
        <v>#VALUE!</v>
      </c>
      <c r="DL288" t="e">
        <f>ChangeLog!B131+"AM:!0C="</f>
        <v>#VALUE!</v>
      </c>
      <c r="DM288" t="e">
        <f>ChangeLog!C131+"AM:!0C&gt;"</f>
        <v>#VALUE!</v>
      </c>
      <c r="DN288" t="e">
        <f>ChangeLog!D131+"AM:!0C?"</f>
        <v>#VALUE!</v>
      </c>
      <c r="DO288" t="e">
        <f>ChangeLog!E131+"AM:!0C@"</f>
        <v>#VALUE!</v>
      </c>
      <c r="DP288" t="e">
        <f>ChangeLog!F131+"AM:!0CA"</f>
        <v>#VALUE!</v>
      </c>
      <c r="DQ288" t="e">
        <f>ChangeLog!G131+"AM:!0CB"</f>
        <v>#VALUE!</v>
      </c>
      <c r="DR288" t="e">
        <f>ChangeLog!H131+"AM:!0CC"</f>
        <v>#VALUE!</v>
      </c>
      <c r="DS288" t="e">
        <f>ChangeLog!I131+"AM:!0CD"</f>
        <v>#VALUE!</v>
      </c>
      <c r="DT288" t="e">
        <f>ChangeLog!J131+"AM:!0CE"</f>
        <v>#VALUE!</v>
      </c>
      <c r="DU288" t="e">
        <f>ChangeLog!K131+"AM:!0CF"</f>
        <v>#VALUE!</v>
      </c>
      <c r="DV288" t="e">
        <f>ChangeLog!L131+"AM:!0CG"</f>
        <v>#VALUE!</v>
      </c>
      <c r="DW288" t="e">
        <f>ChangeLog!M131+"AM:!0CH"</f>
        <v>#VALUE!</v>
      </c>
      <c r="DX288" t="e">
        <f>ChangeLog!N131+"AM:!0CI"</f>
        <v>#VALUE!</v>
      </c>
      <c r="DY288" t="e">
        <f>ChangeLog!O131+"AM:!0CJ"</f>
        <v>#VALUE!</v>
      </c>
      <c r="DZ288" t="e">
        <f>ChangeLog!P131+"AM:!0CK"</f>
        <v>#VALUE!</v>
      </c>
      <c r="EA288" t="e">
        <f>ChangeLog!Q131+"AM:!0CL"</f>
        <v>#VALUE!</v>
      </c>
      <c r="EB288" t="e">
        <f>ChangeLog!R131+"AM:!0CM"</f>
        <v>#VALUE!</v>
      </c>
      <c r="EC288" t="e">
        <f>ChangeLog!S131+"AM:!0CN"</f>
        <v>#VALUE!</v>
      </c>
      <c r="ED288" t="e">
        <f>ChangeLog!T131+"AM:!0CO"</f>
        <v>#VALUE!</v>
      </c>
      <c r="EE288" t="e">
        <f>ChangeLog!A132+"AM:!0CP"</f>
        <v>#VALUE!</v>
      </c>
      <c r="EF288" t="e">
        <f>ChangeLog!B132+"AM:!0CQ"</f>
        <v>#VALUE!</v>
      </c>
      <c r="EG288" t="e">
        <f>ChangeLog!C132+"AM:!0CR"</f>
        <v>#VALUE!</v>
      </c>
      <c r="EH288" t="e">
        <f>ChangeLog!D132+"AM:!0CS"</f>
        <v>#VALUE!</v>
      </c>
      <c r="EI288" t="e">
        <f>ChangeLog!E132+"AM:!0CT"</f>
        <v>#VALUE!</v>
      </c>
      <c r="EJ288" t="e">
        <f>ChangeLog!F132+"AM:!0CU"</f>
        <v>#VALUE!</v>
      </c>
      <c r="EK288" t="e">
        <f>ChangeLog!G132+"AM:!0CV"</f>
        <v>#VALUE!</v>
      </c>
      <c r="EL288" t="e">
        <f>ChangeLog!H132+"AM:!0CW"</f>
        <v>#VALUE!</v>
      </c>
      <c r="EM288" t="e">
        <f>ChangeLog!I132+"AM:!0CX"</f>
        <v>#VALUE!</v>
      </c>
      <c r="EN288" t="e">
        <f>ChangeLog!J132+"AM:!0CY"</f>
        <v>#VALUE!</v>
      </c>
      <c r="EO288" t="e">
        <f>ChangeLog!K132+"AM:!0CZ"</f>
        <v>#VALUE!</v>
      </c>
      <c r="EP288" t="e">
        <f>ChangeLog!L132+"AM:!0C["</f>
        <v>#VALUE!</v>
      </c>
      <c r="EQ288" t="e">
        <f>ChangeLog!M132+"AM:!0C\"</f>
        <v>#VALUE!</v>
      </c>
      <c r="ER288" t="e">
        <f>ChangeLog!N132+"AM:!0C]"</f>
        <v>#VALUE!</v>
      </c>
      <c r="ES288" t="e">
        <f>ChangeLog!O132+"AM:!0C^"</f>
        <v>#VALUE!</v>
      </c>
      <c r="ET288" t="e">
        <f>ChangeLog!P132+"AM:!0C_"</f>
        <v>#VALUE!</v>
      </c>
      <c r="EU288" t="e">
        <f>ChangeLog!Q132+"AM:!0C`"</f>
        <v>#VALUE!</v>
      </c>
      <c r="EV288" t="e">
        <f>ChangeLog!R132+"AM:!0Ca"</f>
        <v>#VALUE!</v>
      </c>
      <c r="EW288" t="e">
        <f>ChangeLog!S132+"AM:!0Cb"</f>
        <v>#VALUE!</v>
      </c>
      <c r="EX288" t="e">
        <f>ChangeLog!T132+"AM:!0Cc"</f>
        <v>#VALUE!</v>
      </c>
      <c r="EY288" t="e">
        <f>ChangeLog!A133+"AM:!0Cd"</f>
        <v>#VALUE!</v>
      </c>
      <c r="EZ288" t="e">
        <f>ChangeLog!B133+"AM:!0Ce"</f>
        <v>#VALUE!</v>
      </c>
      <c r="FA288" t="e">
        <f>ChangeLog!C133+"AM:!0Cf"</f>
        <v>#VALUE!</v>
      </c>
      <c r="FB288" t="e">
        <f>ChangeLog!D133+"AM:!0Cg"</f>
        <v>#VALUE!</v>
      </c>
      <c r="FC288" t="e">
        <f>ChangeLog!E133+"AM:!0Ch"</f>
        <v>#VALUE!</v>
      </c>
      <c r="FD288" t="e">
        <f>ChangeLog!F133+"AM:!0Ci"</f>
        <v>#VALUE!</v>
      </c>
      <c r="FE288" t="e">
        <f>ChangeLog!G133+"AM:!0Cj"</f>
        <v>#VALUE!</v>
      </c>
      <c r="FF288" t="e">
        <f>ChangeLog!H133+"AM:!0Ck"</f>
        <v>#VALUE!</v>
      </c>
      <c r="FG288" t="e">
        <f>ChangeLog!I133+"AM:!0Cl"</f>
        <v>#VALUE!</v>
      </c>
      <c r="FH288" t="e">
        <f>ChangeLog!J133+"AM:!0Cm"</f>
        <v>#VALUE!</v>
      </c>
      <c r="FI288" t="e">
        <f>ChangeLog!K133+"AM:!0Cn"</f>
        <v>#VALUE!</v>
      </c>
      <c r="FJ288" t="e">
        <f>ChangeLog!L133+"AM:!0Co"</f>
        <v>#VALUE!</v>
      </c>
      <c r="FK288" t="e">
        <f>ChangeLog!M133+"AM:!0Cp"</f>
        <v>#VALUE!</v>
      </c>
      <c r="FL288" t="e">
        <f>ChangeLog!N133+"AM:!0Cq"</f>
        <v>#VALUE!</v>
      </c>
      <c r="FM288" t="e">
        <f>ChangeLog!O133+"AM:!0Cr"</f>
        <v>#VALUE!</v>
      </c>
      <c r="FN288" t="e">
        <f>ChangeLog!P133+"AM:!0Cs"</f>
        <v>#VALUE!</v>
      </c>
      <c r="FO288" t="e">
        <f>ChangeLog!Q133+"AM:!0Ct"</f>
        <v>#VALUE!</v>
      </c>
      <c r="FP288" t="e">
        <f>ChangeLog!R133+"AM:!0Cu"</f>
        <v>#VALUE!</v>
      </c>
      <c r="FQ288" t="e">
        <f>ChangeLog!S133+"AM:!0Cv"</f>
        <v>#VALUE!</v>
      </c>
      <c r="FR288" t="e">
        <f>ChangeLog!T133+"AM:!0Cw"</f>
        <v>#VALUE!</v>
      </c>
      <c r="FS288" t="e">
        <f>ChangeLog!A134+"AM:!0Cx"</f>
        <v>#VALUE!</v>
      </c>
      <c r="FT288" t="e">
        <f>ChangeLog!B134+"AM:!0Cy"</f>
        <v>#VALUE!</v>
      </c>
      <c r="FU288" t="e">
        <f>ChangeLog!C134+"AM:!0Cz"</f>
        <v>#VALUE!</v>
      </c>
      <c r="FV288" t="e">
        <f>ChangeLog!D134+"AM:!0C{"</f>
        <v>#VALUE!</v>
      </c>
      <c r="FW288" t="e">
        <f>ChangeLog!E134+"AM:!0C|"</f>
        <v>#VALUE!</v>
      </c>
      <c r="FX288" t="e">
        <f>ChangeLog!F134+"AM:!0C}"</f>
        <v>#VALUE!</v>
      </c>
      <c r="FY288" t="e">
        <f>ChangeLog!G134+"AM:!0C~"</f>
        <v>#VALUE!</v>
      </c>
      <c r="FZ288" t="e">
        <f>ChangeLog!H134+"AM:!0D#"</f>
        <v>#VALUE!</v>
      </c>
      <c r="GA288" t="e">
        <f>ChangeLog!I134+"AM:!0D$"</f>
        <v>#VALUE!</v>
      </c>
      <c r="GB288" t="e">
        <f>ChangeLog!J134+"AM:!0D%"</f>
        <v>#VALUE!</v>
      </c>
      <c r="GC288" t="e">
        <f>ChangeLog!K134+"AM:!0D&amp;"</f>
        <v>#VALUE!</v>
      </c>
      <c r="GD288" t="e">
        <f>ChangeLog!L134+"AM:!0D'"</f>
        <v>#VALUE!</v>
      </c>
      <c r="GE288" t="e">
        <f>ChangeLog!M134+"AM:!0D("</f>
        <v>#VALUE!</v>
      </c>
      <c r="GF288" t="e">
        <f>ChangeLog!N134+"AM:!0D)"</f>
        <v>#VALUE!</v>
      </c>
      <c r="GG288" t="e">
        <f>ChangeLog!O134+"AM:!0D."</f>
        <v>#VALUE!</v>
      </c>
      <c r="GH288" t="e">
        <f>ChangeLog!P134+"AM:!0D/"</f>
        <v>#VALUE!</v>
      </c>
      <c r="GI288" t="e">
        <f>ChangeLog!Q134+"AM:!0D0"</f>
        <v>#VALUE!</v>
      </c>
      <c r="GJ288" t="e">
        <f>ChangeLog!R134+"AM:!0D1"</f>
        <v>#VALUE!</v>
      </c>
      <c r="GK288" t="e">
        <f>ChangeLog!S134+"AM:!0D2"</f>
        <v>#VALUE!</v>
      </c>
      <c r="GL288" t="e">
        <f>ChangeLog!T134+"AM:!0D3"</f>
        <v>#VALUE!</v>
      </c>
      <c r="GM288" t="e">
        <f>ChangeLog!A135+"AM:!0D4"</f>
        <v>#VALUE!</v>
      </c>
      <c r="GN288" t="e">
        <f>ChangeLog!B135+"AM:!0D5"</f>
        <v>#VALUE!</v>
      </c>
      <c r="GO288" t="e">
        <f>ChangeLog!C135+"AM:!0D6"</f>
        <v>#VALUE!</v>
      </c>
      <c r="GP288" t="e">
        <f>ChangeLog!D135+"AM:!0D7"</f>
        <v>#VALUE!</v>
      </c>
      <c r="GQ288" t="e">
        <f>ChangeLog!E135+"AM:!0D8"</f>
        <v>#VALUE!</v>
      </c>
      <c r="GR288" t="e">
        <f>ChangeLog!F135+"AM:!0D9"</f>
        <v>#VALUE!</v>
      </c>
      <c r="GS288" t="e">
        <f>ChangeLog!G135+"AM:!0D:"</f>
        <v>#VALUE!</v>
      </c>
      <c r="GT288" t="e">
        <f>ChangeLog!H135+"AM:!0D;"</f>
        <v>#VALUE!</v>
      </c>
      <c r="GU288" t="e">
        <f>ChangeLog!I135+"AM:!0D&lt;"</f>
        <v>#VALUE!</v>
      </c>
      <c r="GV288" t="e">
        <f>ChangeLog!J135+"AM:!0D="</f>
        <v>#VALUE!</v>
      </c>
      <c r="GW288" t="e">
        <f>ChangeLog!K135+"AM:!0D&gt;"</f>
        <v>#VALUE!</v>
      </c>
      <c r="GX288" t="e">
        <f>ChangeLog!L135+"AM:!0D?"</f>
        <v>#VALUE!</v>
      </c>
      <c r="GY288" t="e">
        <f>ChangeLog!M135+"AM:!0D@"</f>
        <v>#VALUE!</v>
      </c>
      <c r="GZ288" t="e">
        <f>ChangeLog!N135+"AM:!0DA"</f>
        <v>#VALUE!</v>
      </c>
      <c r="HA288" t="e">
        <f>ChangeLog!O135+"AM:!0DB"</f>
        <v>#VALUE!</v>
      </c>
      <c r="HB288" t="e">
        <f>ChangeLog!P135+"AM:!0DC"</f>
        <v>#VALUE!</v>
      </c>
      <c r="HC288" t="e">
        <f>ChangeLog!Q135+"AM:!0DD"</f>
        <v>#VALUE!</v>
      </c>
      <c r="HD288" t="e">
        <f>ChangeLog!R135+"AM:!0DE"</f>
        <v>#VALUE!</v>
      </c>
      <c r="HE288" t="e">
        <f>ChangeLog!S135+"AM:!0DF"</f>
        <v>#VALUE!</v>
      </c>
      <c r="HF288" t="e">
        <f>ChangeLog!T135+"AM:!0DG"</f>
        <v>#VALUE!</v>
      </c>
      <c r="HG288" t="e">
        <f>ChangeLog!A136+"AM:!0DH"</f>
        <v>#VALUE!</v>
      </c>
      <c r="HH288" t="e">
        <f>ChangeLog!B136+"AM:!0DI"</f>
        <v>#VALUE!</v>
      </c>
      <c r="HI288" t="e">
        <f>ChangeLog!C136+"AM:!0DJ"</f>
        <v>#VALUE!</v>
      </c>
      <c r="HJ288" t="e">
        <f>ChangeLog!D136+"AM:!0DK"</f>
        <v>#VALUE!</v>
      </c>
      <c r="HK288" t="e">
        <f>ChangeLog!E136+"AM:!0DL"</f>
        <v>#VALUE!</v>
      </c>
      <c r="HL288" t="e">
        <f>ChangeLog!F136+"AM:!0DM"</f>
        <v>#VALUE!</v>
      </c>
      <c r="HM288" t="e">
        <f>ChangeLog!G136+"AM:!0DN"</f>
        <v>#VALUE!</v>
      </c>
      <c r="HN288" t="e">
        <f>ChangeLog!H136+"AM:!0DO"</f>
        <v>#VALUE!</v>
      </c>
      <c r="HO288" t="e">
        <f>ChangeLog!I136+"AM:!0DP"</f>
        <v>#VALUE!</v>
      </c>
      <c r="HP288" t="e">
        <f>ChangeLog!J136+"AM:!0DQ"</f>
        <v>#VALUE!</v>
      </c>
      <c r="HQ288" t="e">
        <f>ChangeLog!K136+"AM:!0DR"</f>
        <v>#VALUE!</v>
      </c>
      <c r="HR288" t="e">
        <f>ChangeLog!L136+"AM:!0DS"</f>
        <v>#VALUE!</v>
      </c>
      <c r="HS288" t="e">
        <f>ChangeLog!M136+"AM:!0DT"</f>
        <v>#VALUE!</v>
      </c>
      <c r="HT288" t="e">
        <f>ChangeLog!N136+"AM:!0DU"</f>
        <v>#VALUE!</v>
      </c>
      <c r="HU288" t="e">
        <f>ChangeLog!O136+"AM:!0DV"</f>
        <v>#VALUE!</v>
      </c>
      <c r="HV288" t="e">
        <f>ChangeLog!P136+"AM:!0DW"</f>
        <v>#VALUE!</v>
      </c>
      <c r="HW288" t="e">
        <f>ChangeLog!Q136+"AM:!0DX"</f>
        <v>#VALUE!</v>
      </c>
      <c r="HX288" t="e">
        <f>ChangeLog!R136+"AM:!0DY"</f>
        <v>#VALUE!</v>
      </c>
      <c r="HY288" t="e">
        <f>ChangeLog!S136+"AM:!0DZ"</f>
        <v>#VALUE!</v>
      </c>
      <c r="HZ288" t="e">
        <f>ChangeLog!T136+"AM:!0D["</f>
        <v>#VALUE!</v>
      </c>
      <c r="IA288" t="e">
        <f>ChangeLog!A137+"AM:!0D\"</f>
        <v>#VALUE!</v>
      </c>
      <c r="IB288" t="e">
        <f>ChangeLog!B137+"AM:!0D]"</f>
        <v>#VALUE!</v>
      </c>
      <c r="IC288" t="e">
        <f>ChangeLog!C137+"AM:!0D^"</f>
        <v>#VALUE!</v>
      </c>
      <c r="ID288" t="e">
        <f>ChangeLog!D137+"AM:!0D_"</f>
        <v>#VALUE!</v>
      </c>
      <c r="IE288" t="e">
        <f>ChangeLog!E137+"AM:!0D`"</f>
        <v>#VALUE!</v>
      </c>
      <c r="IF288" t="e">
        <f>ChangeLog!F137+"AM:!0Da"</f>
        <v>#VALUE!</v>
      </c>
      <c r="IG288" t="e">
        <f>ChangeLog!G137+"AM:!0Db"</f>
        <v>#VALUE!</v>
      </c>
      <c r="IH288" t="e">
        <f>ChangeLog!H137+"AM:!0Dc"</f>
        <v>#VALUE!</v>
      </c>
      <c r="II288" t="e">
        <f>ChangeLog!I137+"AM:!0Dd"</f>
        <v>#VALUE!</v>
      </c>
      <c r="IJ288" t="e">
        <f>ChangeLog!J137+"AM:!0De"</f>
        <v>#VALUE!</v>
      </c>
      <c r="IK288" t="e">
        <f>ChangeLog!K137+"AM:!0Df"</f>
        <v>#VALUE!</v>
      </c>
      <c r="IL288" t="e">
        <f>ChangeLog!L137+"AM:!0Dg"</f>
        <v>#VALUE!</v>
      </c>
      <c r="IM288" t="e">
        <f>ChangeLog!M137+"AM:!0Dh"</f>
        <v>#VALUE!</v>
      </c>
      <c r="IN288" t="e">
        <f>ChangeLog!N137+"AM:!0Di"</f>
        <v>#VALUE!</v>
      </c>
      <c r="IO288" t="e">
        <f>ChangeLog!O137+"AM:!0Dj"</f>
        <v>#VALUE!</v>
      </c>
      <c r="IP288" t="e">
        <f>ChangeLog!P137+"AM:!0Dk"</f>
        <v>#VALUE!</v>
      </c>
      <c r="IQ288" t="e">
        <f>ChangeLog!Q137+"AM:!0Dl"</f>
        <v>#VALUE!</v>
      </c>
      <c r="IR288" t="e">
        <f>ChangeLog!R137+"AM:!0Dm"</f>
        <v>#VALUE!</v>
      </c>
      <c r="IS288" t="e">
        <f>ChangeLog!S137+"AM:!0Dn"</f>
        <v>#VALUE!</v>
      </c>
      <c r="IT288" t="e">
        <f>ChangeLog!T137+"AM:!0Do"</f>
        <v>#VALUE!</v>
      </c>
      <c r="IU288" t="e">
        <f>ChangeLog!A138+"AM:!0Dp"</f>
        <v>#VALUE!</v>
      </c>
      <c r="IV288" t="e">
        <f>ChangeLog!B138+"AM:!0Dq"</f>
        <v>#VALUE!</v>
      </c>
    </row>
    <row r="289" spans="6:256">
      <c r="F289" t="e">
        <f>ChangeLog!C138+"AM:!0Dr"</f>
        <v>#VALUE!</v>
      </c>
      <c r="G289" t="e">
        <f>ChangeLog!D138+"AM:!0Ds"</f>
        <v>#VALUE!</v>
      </c>
      <c r="H289" t="e">
        <f>ChangeLog!E138+"AM:!0Dt"</f>
        <v>#VALUE!</v>
      </c>
      <c r="I289" t="e">
        <f>ChangeLog!F138+"AM:!0Du"</f>
        <v>#VALUE!</v>
      </c>
      <c r="J289" t="e">
        <f>ChangeLog!G138+"AM:!0Dv"</f>
        <v>#VALUE!</v>
      </c>
      <c r="K289" t="e">
        <f>ChangeLog!H138+"AM:!0Dw"</f>
        <v>#VALUE!</v>
      </c>
      <c r="L289" t="e">
        <f>ChangeLog!I138+"AM:!0Dx"</f>
        <v>#VALUE!</v>
      </c>
      <c r="M289" t="e">
        <f>ChangeLog!J138+"AM:!0Dy"</f>
        <v>#VALUE!</v>
      </c>
      <c r="N289" t="e">
        <f>ChangeLog!K138+"AM:!0Dz"</f>
        <v>#VALUE!</v>
      </c>
      <c r="O289" t="e">
        <f>ChangeLog!L138+"AM:!0D{"</f>
        <v>#VALUE!</v>
      </c>
      <c r="P289" t="e">
        <f>ChangeLog!M138+"AM:!0D|"</f>
        <v>#VALUE!</v>
      </c>
      <c r="Q289" t="e">
        <f>ChangeLog!N138+"AM:!0D}"</f>
        <v>#VALUE!</v>
      </c>
      <c r="R289" t="e">
        <f>ChangeLog!O138+"AM:!0D~"</f>
        <v>#VALUE!</v>
      </c>
      <c r="S289" t="e">
        <f>ChangeLog!P138+"AM:!0E#"</f>
        <v>#VALUE!</v>
      </c>
      <c r="T289" t="e">
        <f>ChangeLog!Q138+"AM:!0E$"</f>
        <v>#VALUE!</v>
      </c>
      <c r="U289" t="e">
        <f>ChangeLog!R138+"AM:!0E%"</f>
        <v>#VALUE!</v>
      </c>
      <c r="V289" t="e">
        <f>ChangeLog!S138+"AM:!0E&amp;"</f>
        <v>#VALUE!</v>
      </c>
      <c r="W289" t="e">
        <f>ChangeLog!T138+"AM:!0E'"</f>
        <v>#VALUE!</v>
      </c>
      <c r="X289" t="e">
        <f>ChangeLog!A139+"AM:!0E("</f>
        <v>#VALUE!</v>
      </c>
      <c r="Y289" t="e">
        <f>ChangeLog!B139+"AM:!0E)"</f>
        <v>#VALUE!</v>
      </c>
      <c r="Z289" t="e">
        <f>ChangeLog!C139+"AM:!0E."</f>
        <v>#VALUE!</v>
      </c>
      <c r="AA289" t="e">
        <f>ChangeLog!D139+"AM:!0E/"</f>
        <v>#VALUE!</v>
      </c>
      <c r="AB289" t="e">
        <f>ChangeLog!E139+"AM:!0E0"</f>
        <v>#VALUE!</v>
      </c>
      <c r="AC289" t="e">
        <f>ChangeLog!F139+"AM:!0E1"</f>
        <v>#VALUE!</v>
      </c>
      <c r="AD289" t="e">
        <f>ChangeLog!G139+"AM:!0E2"</f>
        <v>#VALUE!</v>
      </c>
      <c r="AE289" t="e">
        <f>ChangeLog!H139+"AM:!0E3"</f>
        <v>#VALUE!</v>
      </c>
      <c r="AF289" t="e">
        <f>ChangeLog!I139+"AM:!0E4"</f>
        <v>#VALUE!</v>
      </c>
      <c r="AG289" t="e">
        <f>ChangeLog!J139+"AM:!0E5"</f>
        <v>#VALUE!</v>
      </c>
      <c r="AH289" t="e">
        <f>ChangeLog!K139+"AM:!0E6"</f>
        <v>#VALUE!</v>
      </c>
      <c r="AI289" t="e">
        <f>ChangeLog!L139+"AM:!0E7"</f>
        <v>#VALUE!</v>
      </c>
      <c r="AJ289" t="e">
        <f>ChangeLog!M139+"AM:!0E8"</f>
        <v>#VALUE!</v>
      </c>
      <c r="AK289" t="e">
        <f>ChangeLog!N139+"AM:!0E9"</f>
        <v>#VALUE!</v>
      </c>
      <c r="AL289" t="e">
        <f>ChangeLog!O139+"AM:!0E:"</f>
        <v>#VALUE!</v>
      </c>
      <c r="AM289" t="e">
        <f>ChangeLog!P139+"AM:!0E;"</f>
        <v>#VALUE!</v>
      </c>
      <c r="AN289" t="e">
        <f>ChangeLog!Q139+"AM:!0E&lt;"</f>
        <v>#VALUE!</v>
      </c>
      <c r="AO289" t="e">
        <f>ChangeLog!R139+"AM:!0E="</f>
        <v>#VALUE!</v>
      </c>
      <c r="AP289" t="e">
        <f>ChangeLog!S139+"AM:!0E&gt;"</f>
        <v>#VALUE!</v>
      </c>
      <c r="AQ289" t="e">
        <f>ChangeLog!T139+"AM:!0E?"</f>
        <v>#VALUE!</v>
      </c>
      <c r="AR289" t="e">
        <f>ChangeLog!A140+"AM:!0E@"</f>
        <v>#VALUE!</v>
      </c>
      <c r="AS289" t="e">
        <f>ChangeLog!B140+"AM:!0EA"</f>
        <v>#VALUE!</v>
      </c>
      <c r="AT289" t="e">
        <f>ChangeLog!C140+"AM:!0EB"</f>
        <v>#VALUE!</v>
      </c>
      <c r="AU289" t="e">
        <f>ChangeLog!D140+"AM:!0EC"</f>
        <v>#VALUE!</v>
      </c>
      <c r="AV289" t="e">
        <f>ChangeLog!E140+"AM:!0ED"</f>
        <v>#VALUE!</v>
      </c>
      <c r="AW289" t="e">
        <f>ChangeLog!F140+"AM:!0EE"</f>
        <v>#VALUE!</v>
      </c>
      <c r="AX289" t="e">
        <f>ChangeLog!G140+"AM:!0EF"</f>
        <v>#VALUE!</v>
      </c>
      <c r="AY289" t="e">
        <f>ChangeLog!H140+"AM:!0EG"</f>
        <v>#VALUE!</v>
      </c>
      <c r="AZ289" t="e">
        <f>ChangeLog!I140+"AM:!0EH"</f>
        <v>#VALUE!</v>
      </c>
      <c r="BA289" t="e">
        <f>ChangeLog!J140+"AM:!0EI"</f>
        <v>#VALUE!</v>
      </c>
      <c r="BB289" t="e">
        <f>ChangeLog!K140+"AM:!0EJ"</f>
        <v>#VALUE!</v>
      </c>
      <c r="BC289" t="e">
        <f>ChangeLog!L140+"AM:!0EK"</f>
        <v>#VALUE!</v>
      </c>
      <c r="BD289" t="e">
        <f>ChangeLog!M140+"AM:!0EL"</f>
        <v>#VALUE!</v>
      </c>
      <c r="BE289" t="e">
        <f>ChangeLog!N140+"AM:!0EM"</f>
        <v>#VALUE!</v>
      </c>
      <c r="BF289" t="e">
        <f>ChangeLog!O140+"AM:!0EN"</f>
        <v>#VALUE!</v>
      </c>
      <c r="BG289" t="e">
        <f>ChangeLog!P140+"AM:!0EO"</f>
        <v>#VALUE!</v>
      </c>
      <c r="BH289" t="e">
        <f>ChangeLog!Q140+"AM:!0EP"</f>
        <v>#VALUE!</v>
      </c>
      <c r="BI289" t="e">
        <f>ChangeLog!R140+"AM:!0EQ"</f>
        <v>#VALUE!</v>
      </c>
      <c r="BJ289" t="e">
        <f>ChangeLog!S140+"AM:!0ER"</f>
        <v>#VALUE!</v>
      </c>
      <c r="BK289" t="e">
        <f>ChangeLog!T140+"AM:!0ES"</f>
        <v>#VALUE!</v>
      </c>
      <c r="BL289" t="e">
        <f>ChangeLog!A141+"AM:!0ET"</f>
        <v>#VALUE!</v>
      </c>
      <c r="BM289" t="e">
        <f>ChangeLog!B141+"AM:!0EU"</f>
        <v>#VALUE!</v>
      </c>
      <c r="BN289" t="e">
        <f>ChangeLog!C141+"AM:!0EV"</f>
        <v>#VALUE!</v>
      </c>
      <c r="BO289" t="e">
        <f>ChangeLog!D141+"AM:!0EW"</f>
        <v>#VALUE!</v>
      </c>
      <c r="BP289" t="e">
        <f>ChangeLog!E141+"AM:!0EX"</f>
        <v>#VALUE!</v>
      </c>
      <c r="BQ289" t="e">
        <f>ChangeLog!F141+"AM:!0EY"</f>
        <v>#VALUE!</v>
      </c>
      <c r="BR289" t="e">
        <f>ChangeLog!G141+"AM:!0EZ"</f>
        <v>#VALUE!</v>
      </c>
      <c r="BS289" t="e">
        <f>ChangeLog!H141+"AM:!0E["</f>
        <v>#VALUE!</v>
      </c>
      <c r="BT289" t="e">
        <f>ChangeLog!I141+"AM:!0E\"</f>
        <v>#VALUE!</v>
      </c>
      <c r="BU289" t="e">
        <f>ChangeLog!J141+"AM:!0E]"</f>
        <v>#VALUE!</v>
      </c>
      <c r="BV289" t="e">
        <f>ChangeLog!K141+"AM:!0E^"</f>
        <v>#VALUE!</v>
      </c>
      <c r="BW289" t="e">
        <f>ChangeLog!L141+"AM:!0E_"</f>
        <v>#VALUE!</v>
      </c>
      <c r="BX289" t="e">
        <f>ChangeLog!M141+"AM:!0E`"</f>
        <v>#VALUE!</v>
      </c>
      <c r="BY289" t="e">
        <f>ChangeLog!N141+"AM:!0Ea"</f>
        <v>#VALUE!</v>
      </c>
      <c r="BZ289" t="e">
        <f>ChangeLog!O141+"AM:!0Eb"</f>
        <v>#VALUE!</v>
      </c>
      <c r="CA289" t="e">
        <f>ChangeLog!P141+"AM:!0Ec"</f>
        <v>#VALUE!</v>
      </c>
      <c r="CB289" t="e">
        <f>ChangeLog!Q141+"AM:!0Ed"</f>
        <v>#VALUE!</v>
      </c>
      <c r="CC289" t="e">
        <f>ChangeLog!R141+"AM:!0Ee"</f>
        <v>#VALUE!</v>
      </c>
      <c r="CD289" t="e">
        <f>ChangeLog!S141+"AM:!0Ef"</f>
        <v>#VALUE!</v>
      </c>
      <c r="CE289" t="e">
        <f>ChangeLog!T141+"AM:!0Eg"</f>
        <v>#VALUE!</v>
      </c>
      <c r="CF289" t="e">
        <f>ChangeLog!A142+"AM:!0Eh"</f>
        <v>#VALUE!</v>
      </c>
      <c r="CG289" t="e">
        <f>ChangeLog!B142+"AM:!0Ei"</f>
        <v>#VALUE!</v>
      </c>
      <c r="CH289" t="e">
        <f>ChangeLog!C142+"AM:!0Ej"</f>
        <v>#VALUE!</v>
      </c>
      <c r="CI289" t="e">
        <f>ChangeLog!D142+"AM:!0Ek"</f>
        <v>#VALUE!</v>
      </c>
      <c r="CJ289" t="e">
        <f>ChangeLog!E142+"AM:!0El"</f>
        <v>#VALUE!</v>
      </c>
      <c r="CK289" t="e">
        <f>ChangeLog!F142+"AM:!0Em"</f>
        <v>#VALUE!</v>
      </c>
      <c r="CL289" t="e">
        <f>ChangeLog!G142+"AM:!0En"</f>
        <v>#VALUE!</v>
      </c>
      <c r="CM289" t="e">
        <f>ChangeLog!H142+"AM:!0Eo"</f>
        <v>#VALUE!</v>
      </c>
      <c r="CN289" t="e">
        <f>ChangeLog!I142+"AM:!0Ep"</f>
        <v>#VALUE!</v>
      </c>
      <c r="CO289" t="e">
        <f>ChangeLog!J142+"AM:!0Eq"</f>
        <v>#VALUE!</v>
      </c>
      <c r="CP289" t="e">
        <f>ChangeLog!K142+"AM:!0Er"</f>
        <v>#VALUE!</v>
      </c>
      <c r="CQ289" t="e">
        <f>ChangeLog!L142+"AM:!0Es"</f>
        <v>#VALUE!</v>
      </c>
      <c r="CR289" t="e">
        <f>ChangeLog!M142+"AM:!0Et"</f>
        <v>#VALUE!</v>
      </c>
      <c r="CS289" t="e">
        <f>ChangeLog!N142+"AM:!0Eu"</f>
        <v>#VALUE!</v>
      </c>
      <c r="CT289" t="e">
        <f>ChangeLog!O142+"AM:!0Ev"</f>
        <v>#VALUE!</v>
      </c>
      <c r="CU289" t="e">
        <f>ChangeLog!P142+"AM:!0Ew"</f>
        <v>#VALUE!</v>
      </c>
      <c r="CV289" t="e">
        <f>ChangeLog!Q142+"AM:!0Ex"</f>
        <v>#VALUE!</v>
      </c>
      <c r="CW289" t="e">
        <f>ChangeLog!R142+"AM:!0Ey"</f>
        <v>#VALUE!</v>
      </c>
      <c r="CX289" t="e">
        <f>ChangeLog!S142+"AM:!0Ez"</f>
        <v>#VALUE!</v>
      </c>
      <c r="CY289" t="e">
        <f>ChangeLog!T142+"AM:!0E{"</f>
        <v>#VALUE!</v>
      </c>
      <c r="CZ289" t="e">
        <f>ChangeLog!A143+"AM:!0E|"</f>
        <v>#VALUE!</v>
      </c>
      <c r="DA289" t="e">
        <f>ChangeLog!B143+"AM:!0E}"</f>
        <v>#VALUE!</v>
      </c>
      <c r="DB289" t="e">
        <f>ChangeLog!C143+"AM:!0E~"</f>
        <v>#VALUE!</v>
      </c>
      <c r="DC289" t="e">
        <f>ChangeLog!D143+"AM:!0F#"</f>
        <v>#VALUE!</v>
      </c>
      <c r="DD289" t="e">
        <f>ChangeLog!E143+"AM:!0F$"</f>
        <v>#VALUE!</v>
      </c>
      <c r="DE289" t="e">
        <f>ChangeLog!F143+"AM:!0F%"</f>
        <v>#VALUE!</v>
      </c>
      <c r="DF289" t="e">
        <f>ChangeLog!G143+"AM:!0F&amp;"</f>
        <v>#VALUE!</v>
      </c>
      <c r="DG289" t="e">
        <f>ChangeLog!H143+"AM:!0F'"</f>
        <v>#VALUE!</v>
      </c>
      <c r="DH289" t="e">
        <f>ChangeLog!I143+"AM:!0F("</f>
        <v>#VALUE!</v>
      </c>
      <c r="DI289" t="e">
        <f>ChangeLog!J143+"AM:!0F)"</f>
        <v>#VALUE!</v>
      </c>
      <c r="DJ289" t="e">
        <f>ChangeLog!K143+"AM:!0F."</f>
        <v>#VALUE!</v>
      </c>
      <c r="DK289" t="e">
        <f>ChangeLog!L143+"AM:!0F/"</f>
        <v>#VALUE!</v>
      </c>
      <c r="DL289" t="e">
        <f>ChangeLog!M143+"AM:!0F0"</f>
        <v>#VALUE!</v>
      </c>
      <c r="DM289" t="e">
        <f>ChangeLog!N143+"AM:!0F1"</f>
        <v>#VALUE!</v>
      </c>
      <c r="DN289" t="e">
        <f>ChangeLog!O143+"AM:!0F2"</f>
        <v>#VALUE!</v>
      </c>
      <c r="DO289" t="e">
        <f>ChangeLog!P143+"AM:!0F3"</f>
        <v>#VALUE!</v>
      </c>
      <c r="DP289" t="e">
        <f>ChangeLog!Q143+"AM:!0F4"</f>
        <v>#VALUE!</v>
      </c>
      <c r="DQ289" t="e">
        <f>ChangeLog!R143+"AM:!0F5"</f>
        <v>#VALUE!</v>
      </c>
      <c r="DR289" t="e">
        <f>ChangeLog!S143+"AM:!0F6"</f>
        <v>#VALUE!</v>
      </c>
      <c r="DS289" t="e">
        <f>ChangeLog!T143+"AM:!0F7"</f>
        <v>#VALUE!</v>
      </c>
      <c r="DT289" t="e">
        <f>ChangeLog!A144+"AM:!0F8"</f>
        <v>#VALUE!</v>
      </c>
      <c r="DU289" t="e">
        <f>ChangeLog!B144+"AM:!0F9"</f>
        <v>#VALUE!</v>
      </c>
      <c r="DV289" t="e">
        <f>ChangeLog!C144+"AM:!0F:"</f>
        <v>#VALUE!</v>
      </c>
      <c r="DW289" t="e">
        <f>ChangeLog!D144+"AM:!0F;"</f>
        <v>#VALUE!</v>
      </c>
      <c r="DX289" t="e">
        <f>ChangeLog!E144+"AM:!0F&lt;"</f>
        <v>#VALUE!</v>
      </c>
      <c r="DY289" t="e">
        <f>ChangeLog!F144+"AM:!0F="</f>
        <v>#VALUE!</v>
      </c>
      <c r="DZ289" t="e">
        <f>ChangeLog!G144+"AM:!0F&gt;"</f>
        <v>#VALUE!</v>
      </c>
      <c r="EA289" t="e">
        <f>ChangeLog!H144+"AM:!0F?"</f>
        <v>#VALUE!</v>
      </c>
      <c r="EB289" t="e">
        <f>ChangeLog!I144+"AM:!0F@"</f>
        <v>#VALUE!</v>
      </c>
      <c r="EC289" t="e">
        <f>ChangeLog!J144+"AM:!0FA"</f>
        <v>#VALUE!</v>
      </c>
      <c r="ED289" t="e">
        <f>ChangeLog!K144+"AM:!0FB"</f>
        <v>#VALUE!</v>
      </c>
      <c r="EE289" t="e">
        <f>ChangeLog!L144+"AM:!0FC"</f>
        <v>#VALUE!</v>
      </c>
      <c r="EF289" t="e">
        <f>ChangeLog!M144+"AM:!0FD"</f>
        <v>#VALUE!</v>
      </c>
      <c r="EG289" t="e">
        <f>ChangeLog!N144+"AM:!0FE"</f>
        <v>#VALUE!</v>
      </c>
      <c r="EH289" t="e">
        <f>ChangeLog!O144+"AM:!0FF"</f>
        <v>#VALUE!</v>
      </c>
      <c r="EI289" t="e">
        <f>ChangeLog!P144+"AM:!0FG"</f>
        <v>#VALUE!</v>
      </c>
      <c r="EJ289" t="e">
        <f>ChangeLog!Q144+"AM:!0FH"</f>
        <v>#VALUE!</v>
      </c>
      <c r="EK289" t="e">
        <f>ChangeLog!R144+"AM:!0FI"</f>
        <v>#VALUE!</v>
      </c>
      <c r="EL289" t="e">
        <f>ChangeLog!S144+"AM:!0FJ"</f>
        <v>#VALUE!</v>
      </c>
      <c r="EM289" t="e">
        <f>ChangeLog!T144+"AM:!0FK"</f>
        <v>#VALUE!</v>
      </c>
      <c r="EN289" t="e">
        <f>ChangeLog!A145+"AM:!0FL"</f>
        <v>#VALUE!</v>
      </c>
      <c r="EO289" t="e">
        <f>ChangeLog!B145+"AM:!0FM"</f>
        <v>#VALUE!</v>
      </c>
      <c r="EP289" t="e">
        <f>ChangeLog!C145+"AM:!0FN"</f>
        <v>#VALUE!</v>
      </c>
      <c r="EQ289" t="e">
        <f>ChangeLog!D145+"AM:!0FO"</f>
        <v>#VALUE!</v>
      </c>
      <c r="ER289" t="e">
        <f>ChangeLog!E145+"AM:!0FP"</f>
        <v>#VALUE!</v>
      </c>
      <c r="ES289" t="e">
        <f>ChangeLog!F145+"AM:!0FQ"</f>
        <v>#VALUE!</v>
      </c>
      <c r="ET289" t="e">
        <f>ChangeLog!G145+"AM:!0FR"</f>
        <v>#VALUE!</v>
      </c>
      <c r="EU289" t="e">
        <f>ChangeLog!H145+"AM:!0FS"</f>
        <v>#VALUE!</v>
      </c>
      <c r="EV289" t="e">
        <f>ChangeLog!I145+"AM:!0FT"</f>
        <v>#VALUE!</v>
      </c>
      <c r="EW289" t="e">
        <f>ChangeLog!J145+"AM:!0FU"</f>
        <v>#VALUE!</v>
      </c>
      <c r="EX289" t="e">
        <f>ChangeLog!K145+"AM:!0FV"</f>
        <v>#VALUE!</v>
      </c>
      <c r="EY289" t="e">
        <f>ChangeLog!L145+"AM:!0FW"</f>
        <v>#VALUE!</v>
      </c>
      <c r="EZ289" t="e">
        <f>ChangeLog!M145+"AM:!0FX"</f>
        <v>#VALUE!</v>
      </c>
      <c r="FA289" t="e">
        <f>ChangeLog!N145+"AM:!0FY"</f>
        <v>#VALUE!</v>
      </c>
      <c r="FB289" t="e">
        <f>ChangeLog!O145+"AM:!0FZ"</f>
        <v>#VALUE!</v>
      </c>
      <c r="FC289" t="e">
        <f>ChangeLog!P145+"AM:!0F["</f>
        <v>#VALUE!</v>
      </c>
      <c r="FD289" t="e">
        <f>ChangeLog!Q145+"AM:!0F\"</f>
        <v>#VALUE!</v>
      </c>
      <c r="FE289" t="e">
        <f>ChangeLog!R145+"AM:!0F]"</f>
        <v>#VALUE!</v>
      </c>
      <c r="FF289" t="e">
        <f>ChangeLog!S145+"AM:!0F^"</f>
        <v>#VALUE!</v>
      </c>
      <c r="FG289" t="e">
        <f>ChangeLog!T145+"AM:!0F_"</f>
        <v>#VALUE!</v>
      </c>
      <c r="FH289" t="e">
        <f>ChangeLog!A146+"AM:!0F`"</f>
        <v>#VALUE!</v>
      </c>
      <c r="FI289" t="e">
        <f>ChangeLog!B146+"AM:!0Fa"</f>
        <v>#VALUE!</v>
      </c>
      <c r="FJ289" t="e">
        <f>ChangeLog!C146+"AM:!0Fb"</f>
        <v>#VALUE!</v>
      </c>
      <c r="FK289" t="e">
        <f>ChangeLog!D146+"AM:!0Fc"</f>
        <v>#VALUE!</v>
      </c>
      <c r="FL289" t="e">
        <f>ChangeLog!E146+"AM:!0Fd"</f>
        <v>#VALUE!</v>
      </c>
      <c r="FM289" t="e">
        <f>ChangeLog!F146+"AM:!0Fe"</f>
        <v>#VALUE!</v>
      </c>
      <c r="FN289" t="e">
        <f>ChangeLog!G146+"AM:!0Ff"</f>
        <v>#VALUE!</v>
      </c>
      <c r="FO289" t="e">
        <f>ChangeLog!H146+"AM:!0Fg"</f>
        <v>#VALUE!</v>
      </c>
      <c r="FP289" t="e">
        <f>ChangeLog!I146+"AM:!0Fh"</f>
        <v>#VALUE!</v>
      </c>
      <c r="FQ289" t="e">
        <f>ChangeLog!J146+"AM:!0Fi"</f>
        <v>#VALUE!</v>
      </c>
      <c r="FR289" t="e">
        <f>ChangeLog!K146+"AM:!0Fj"</f>
        <v>#VALUE!</v>
      </c>
      <c r="FS289" t="e">
        <f>ChangeLog!L146+"AM:!0Fk"</f>
        <v>#VALUE!</v>
      </c>
      <c r="FT289" t="e">
        <f>ChangeLog!M146+"AM:!0Fl"</f>
        <v>#VALUE!</v>
      </c>
      <c r="FU289" t="e">
        <f>ChangeLog!N146+"AM:!0Fm"</f>
        <v>#VALUE!</v>
      </c>
      <c r="FV289" t="e">
        <f>ChangeLog!O146+"AM:!0Fn"</f>
        <v>#VALUE!</v>
      </c>
      <c r="FW289" t="e">
        <f>ChangeLog!P146+"AM:!0Fo"</f>
        <v>#VALUE!</v>
      </c>
      <c r="FX289" t="e">
        <f>ChangeLog!Q146+"AM:!0Fp"</f>
        <v>#VALUE!</v>
      </c>
      <c r="FY289" t="e">
        <f>ChangeLog!R146+"AM:!0Fq"</f>
        <v>#VALUE!</v>
      </c>
      <c r="FZ289" t="e">
        <f>ChangeLog!S146+"AM:!0Fr"</f>
        <v>#VALUE!</v>
      </c>
      <c r="GA289" t="e">
        <f>ChangeLog!T146+"AM:!0Fs"</f>
        <v>#VALUE!</v>
      </c>
      <c r="GB289" t="e">
        <f>ChangeLog!A147+"AM:!0Ft"</f>
        <v>#VALUE!</v>
      </c>
      <c r="GC289" t="e">
        <f>ChangeLog!B147+"AM:!0Fu"</f>
        <v>#VALUE!</v>
      </c>
      <c r="GD289" t="e">
        <f>ChangeLog!C147+"AM:!0Fv"</f>
        <v>#VALUE!</v>
      </c>
      <c r="GE289" t="e">
        <f>ChangeLog!D147+"AM:!0Fw"</f>
        <v>#VALUE!</v>
      </c>
      <c r="GF289" t="e">
        <f>ChangeLog!E147+"AM:!0Fx"</f>
        <v>#VALUE!</v>
      </c>
      <c r="GG289" t="e">
        <f>ChangeLog!F147+"AM:!0Fy"</f>
        <v>#VALUE!</v>
      </c>
      <c r="GH289" t="e">
        <f>ChangeLog!G147+"AM:!0Fz"</f>
        <v>#VALUE!</v>
      </c>
      <c r="GI289" t="e">
        <f>ChangeLog!H147+"AM:!0F{"</f>
        <v>#VALUE!</v>
      </c>
      <c r="GJ289" t="e">
        <f>ChangeLog!I147+"AM:!0F|"</f>
        <v>#VALUE!</v>
      </c>
      <c r="GK289" t="e">
        <f>ChangeLog!J147+"AM:!0F}"</f>
        <v>#VALUE!</v>
      </c>
      <c r="GL289" t="e">
        <f>ChangeLog!K147+"AM:!0F~"</f>
        <v>#VALUE!</v>
      </c>
      <c r="GM289" t="e">
        <f>ChangeLog!L147+"AM:!0G#"</f>
        <v>#VALUE!</v>
      </c>
      <c r="GN289" t="e">
        <f>ChangeLog!M147+"AM:!0G$"</f>
        <v>#VALUE!</v>
      </c>
      <c r="GO289" t="e">
        <f>ChangeLog!N147+"AM:!0G%"</f>
        <v>#VALUE!</v>
      </c>
      <c r="GP289" t="e">
        <f>ChangeLog!O147+"AM:!0G&amp;"</f>
        <v>#VALUE!</v>
      </c>
      <c r="GQ289" t="e">
        <f>ChangeLog!P147+"AM:!0G'"</f>
        <v>#VALUE!</v>
      </c>
      <c r="GR289" t="e">
        <f>ChangeLog!Q147+"AM:!0G("</f>
        <v>#VALUE!</v>
      </c>
      <c r="GS289" t="e">
        <f>ChangeLog!R147+"AM:!0G)"</f>
        <v>#VALUE!</v>
      </c>
      <c r="GT289" t="e">
        <f>ChangeLog!S147+"AM:!0G."</f>
        <v>#VALUE!</v>
      </c>
      <c r="GU289" t="e">
        <f>ChangeLog!T147+"AM:!0G/"</f>
        <v>#VALUE!</v>
      </c>
      <c r="GV289" t="e">
        <f>ChangeLog!A148+"AM:!0G0"</f>
        <v>#VALUE!</v>
      </c>
      <c r="GW289" t="e">
        <f>ChangeLog!B148+"AM:!0G1"</f>
        <v>#VALUE!</v>
      </c>
      <c r="GX289" t="e">
        <f>ChangeLog!C148+"AM:!0G2"</f>
        <v>#VALUE!</v>
      </c>
      <c r="GY289" t="e">
        <f>ChangeLog!D148+"AM:!0G3"</f>
        <v>#VALUE!</v>
      </c>
      <c r="GZ289" t="e">
        <f>ChangeLog!E148+"AM:!0G4"</f>
        <v>#VALUE!</v>
      </c>
      <c r="HA289" t="e">
        <f>ChangeLog!F148+"AM:!0G5"</f>
        <v>#VALUE!</v>
      </c>
      <c r="HB289" t="e">
        <f>ChangeLog!G148+"AM:!0G6"</f>
        <v>#VALUE!</v>
      </c>
      <c r="HC289" t="e">
        <f>ChangeLog!H148+"AM:!0G7"</f>
        <v>#VALUE!</v>
      </c>
      <c r="HD289" t="e">
        <f>ChangeLog!I148+"AM:!0G8"</f>
        <v>#VALUE!</v>
      </c>
      <c r="HE289" t="e">
        <f>ChangeLog!J148+"AM:!0G9"</f>
        <v>#VALUE!</v>
      </c>
      <c r="HF289" t="e">
        <f>ChangeLog!K148+"AM:!0G:"</f>
        <v>#VALUE!</v>
      </c>
      <c r="HG289" t="e">
        <f>ChangeLog!L148+"AM:!0G;"</f>
        <v>#VALUE!</v>
      </c>
      <c r="HH289" t="e">
        <f>ChangeLog!M148+"AM:!0G&lt;"</f>
        <v>#VALUE!</v>
      </c>
      <c r="HI289" t="e">
        <f>ChangeLog!N148+"AM:!0G="</f>
        <v>#VALUE!</v>
      </c>
      <c r="HJ289" t="e">
        <f>ChangeLog!O148+"AM:!0G&gt;"</f>
        <v>#VALUE!</v>
      </c>
      <c r="HK289" t="e">
        <f>ChangeLog!P148+"AM:!0G?"</f>
        <v>#VALUE!</v>
      </c>
      <c r="HL289" t="e">
        <f>ChangeLog!Q148+"AM:!0G@"</f>
        <v>#VALUE!</v>
      </c>
      <c r="HM289" t="e">
        <f>ChangeLog!R148+"AM:!0GA"</f>
        <v>#VALUE!</v>
      </c>
      <c r="HN289" t="e">
        <f>ChangeLog!S148+"AM:!0GB"</f>
        <v>#VALUE!</v>
      </c>
      <c r="HO289" t="e">
        <f>ChangeLog!T148+"AM:!0GC"</f>
        <v>#VALUE!</v>
      </c>
      <c r="HP289" t="e">
        <f>ChangeLog!A149+"AM:!0GD"</f>
        <v>#VALUE!</v>
      </c>
      <c r="HQ289" t="e">
        <f>ChangeLog!B149+"AM:!0GE"</f>
        <v>#VALUE!</v>
      </c>
      <c r="HR289" t="e">
        <f>ChangeLog!C149+"AM:!0GF"</f>
        <v>#VALUE!</v>
      </c>
      <c r="HS289" t="e">
        <f>ChangeLog!D149+"AM:!0GG"</f>
        <v>#VALUE!</v>
      </c>
      <c r="HT289" t="e">
        <f>ChangeLog!E149+"AM:!0GH"</f>
        <v>#VALUE!</v>
      </c>
      <c r="HU289" t="e">
        <f>ChangeLog!F149+"AM:!0GI"</f>
        <v>#VALUE!</v>
      </c>
      <c r="HV289" t="e">
        <f>ChangeLog!G149+"AM:!0GJ"</f>
        <v>#VALUE!</v>
      </c>
      <c r="HW289" t="e">
        <f>ChangeLog!H149+"AM:!0GK"</f>
        <v>#VALUE!</v>
      </c>
      <c r="HX289" t="e">
        <f>ChangeLog!I149+"AM:!0GL"</f>
        <v>#VALUE!</v>
      </c>
      <c r="HY289" t="e">
        <f>ChangeLog!J149+"AM:!0GM"</f>
        <v>#VALUE!</v>
      </c>
      <c r="HZ289" t="e">
        <f>ChangeLog!K149+"AM:!0GN"</f>
        <v>#VALUE!</v>
      </c>
      <c r="IA289" t="e">
        <f>ChangeLog!L149+"AM:!0GO"</f>
        <v>#VALUE!</v>
      </c>
      <c r="IB289" t="e">
        <f>ChangeLog!M149+"AM:!0GP"</f>
        <v>#VALUE!</v>
      </c>
      <c r="IC289" t="e">
        <f>ChangeLog!N149+"AM:!0GQ"</f>
        <v>#VALUE!</v>
      </c>
      <c r="ID289" t="e">
        <f>ChangeLog!O149+"AM:!0GR"</f>
        <v>#VALUE!</v>
      </c>
      <c r="IE289" t="e">
        <f>ChangeLog!P149+"AM:!0GS"</f>
        <v>#VALUE!</v>
      </c>
      <c r="IF289" t="e">
        <f>ChangeLog!Q149+"AM:!0GT"</f>
        <v>#VALUE!</v>
      </c>
      <c r="IG289" t="e">
        <f>ChangeLog!R149+"AM:!0GU"</f>
        <v>#VALUE!</v>
      </c>
      <c r="IH289" t="e">
        <f>ChangeLog!S149+"AM:!0GV"</f>
        <v>#VALUE!</v>
      </c>
      <c r="II289" t="e">
        <f>ChangeLog!T149+"AM:!0GW"</f>
        <v>#VALUE!</v>
      </c>
      <c r="IJ289" t="e">
        <f>ChangeLog!A150+"AM:!0GX"</f>
        <v>#VALUE!</v>
      </c>
      <c r="IK289" t="e">
        <f>ChangeLog!B150+"AM:!0GY"</f>
        <v>#VALUE!</v>
      </c>
      <c r="IL289" t="e">
        <f>ChangeLog!C150+"AM:!0GZ"</f>
        <v>#VALUE!</v>
      </c>
      <c r="IM289" t="e">
        <f>ChangeLog!D150+"AM:!0G["</f>
        <v>#VALUE!</v>
      </c>
      <c r="IN289" t="e">
        <f>ChangeLog!E150+"AM:!0G\"</f>
        <v>#VALUE!</v>
      </c>
      <c r="IO289" t="e">
        <f>ChangeLog!F150+"AM:!0G]"</f>
        <v>#VALUE!</v>
      </c>
      <c r="IP289" t="e">
        <f>ChangeLog!G150+"AM:!0G^"</f>
        <v>#VALUE!</v>
      </c>
      <c r="IQ289" t="e">
        <f>ChangeLog!H150+"AM:!0G_"</f>
        <v>#VALUE!</v>
      </c>
      <c r="IR289" t="e">
        <f>ChangeLog!I150+"AM:!0G`"</f>
        <v>#VALUE!</v>
      </c>
      <c r="IS289" t="e">
        <f>ChangeLog!J150+"AM:!0Ga"</f>
        <v>#VALUE!</v>
      </c>
      <c r="IT289" t="e">
        <f>ChangeLog!K150+"AM:!0Gb"</f>
        <v>#VALUE!</v>
      </c>
      <c r="IU289" t="e">
        <f>ChangeLog!L150+"AM:!0Gc"</f>
        <v>#VALUE!</v>
      </c>
      <c r="IV289" t="e">
        <f>ChangeLog!M150+"AM:!0Gd"</f>
        <v>#VALUE!</v>
      </c>
    </row>
    <row r="290" spans="6:256">
      <c r="F290" t="e">
        <f>ChangeLog!N150+"AM:!0Ge"</f>
        <v>#VALUE!</v>
      </c>
      <c r="G290" t="e">
        <f>ChangeLog!O150+"AM:!0Gf"</f>
        <v>#VALUE!</v>
      </c>
      <c r="H290" t="e">
        <f>ChangeLog!P150+"AM:!0Gg"</f>
        <v>#VALUE!</v>
      </c>
      <c r="I290" t="e">
        <f>ChangeLog!Q150+"AM:!0Gh"</f>
        <v>#VALUE!</v>
      </c>
      <c r="J290" t="e">
        <f>ChangeLog!R150+"AM:!0Gi"</f>
        <v>#VALUE!</v>
      </c>
      <c r="K290" t="e">
        <f>ChangeLog!S150+"AM:!0Gj"</f>
        <v>#VALUE!</v>
      </c>
      <c r="L290" t="e">
        <f>ChangeLog!T150+"AM:!0Gk"</f>
        <v>#VALUE!</v>
      </c>
      <c r="M290" t="e">
        <f>Descriptions!A:A*"AM:!0Gn"</f>
        <v>#VALUE!</v>
      </c>
      <c r="N290" t="e">
        <f>Descriptions!B:B*"AM:!0Go"</f>
        <v>#VALUE!</v>
      </c>
      <c r="O290" t="e">
        <f>Descriptions!C:C*"AM:!0Gp"</f>
        <v>#VALUE!</v>
      </c>
      <c r="P290" t="e">
        <f>Descriptions!D:D*"AM:!0Gq"</f>
        <v>#VALUE!</v>
      </c>
      <c r="Q290" t="e">
        <f>Descriptions!E:E*"AM:!0Gr"</f>
        <v>#VALUE!</v>
      </c>
      <c r="R290" t="e">
        <f>Descriptions!F:F*"AM:!0Gs"</f>
        <v>#VALUE!</v>
      </c>
      <c r="S290" t="e">
        <f>Descriptions!G:G*"AM:!0Gt"</f>
        <v>#VALUE!</v>
      </c>
      <c r="T290" t="e">
        <f>Descriptions!H:H*"AM:!0Gu"</f>
        <v>#VALUE!</v>
      </c>
      <c r="U290" t="e">
        <f>Descriptions!I:I*"AM:!0Gv"</f>
        <v>#VALUE!</v>
      </c>
      <c r="V290" t="e">
        <f>Descriptions!J:J*"AM:!0Gw"</f>
        <v>#VALUE!</v>
      </c>
      <c r="W290" t="e">
        <f>Descriptions!K:K*"AM:!0Gx"</f>
        <v>#VALUE!</v>
      </c>
      <c r="X290" t="e">
        <f>Descriptions!L:L*"AM:!0Gy"</f>
        <v>#VALUE!</v>
      </c>
      <c r="Y290" t="e">
        <f>Descriptions!M:M*"AM:!0Gz"</f>
        <v>#VALUE!</v>
      </c>
      <c r="Z290" t="e">
        <f>Descriptions!N:N*"AM:!0G{"</f>
        <v>#VALUE!</v>
      </c>
      <c r="AA290" t="e">
        <f>Descriptions!O:O*"AM:!0G|"</f>
        <v>#VALUE!</v>
      </c>
      <c r="AB290" t="e">
        <f>Descriptions!P:P*"AM:!0G}"</f>
        <v>#VALUE!</v>
      </c>
      <c r="AC290" t="e">
        <f>Descriptions!Q:Q*"AM:!0G~"</f>
        <v>#VALUE!</v>
      </c>
      <c r="AD290" t="e">
        <f>Descriptions!R:R*"AM:!0H#"</f>
        <v>#VALUE!</v>
      </c>
      <c r="AE290" t="e">
        <f>Descriptions!S:S*"AM:!0H$"</f>
        <v>#VALUE!</v>
      </c>
      <c r="AF290" t="e">
        <f>Descriptions!T:T*"AM:!0H%"</f>
        <v>#VALUE!</v>
      </c>
      <c r="AG290" t="e">
        <f>Descriptions!U:U*"AM:!0H&amp;"</f>
        <v>#VALUE!</v>
      </c>
      <c r="AH290" t="e">
        <f>Descriptions!V:V*"AM:!0H'"</f>
        <v>#VALUE!</v>
      </c>
      <c r="AI290" t="e">
        <f>Descriptions!W:W*"AM:!0H("</f>
        <v>#VALUE!</v>
      </c>
      <c r="AJ290" t="e">
        <f>Descriptions!X:X*"AM:!0H)"</f>
        <v>#VALUE!</v>
      </c>
      <c r="AK290" t="e">
        <f>Descriptions!Y:Y*"AM:!0H."</f>
        <v>#VALUE!</v>
      </c>
      <c r="AL290" t="e">
        <f>Descriptions!Z:Z*"AM:!0H/"</f>
        <v>#VALUE!</v>
      </c>
      <c r="AM290" t="e">
        <f>Descriptions!AA:AA*"AM:!0H0"</f>
        <v>#VALUE!</v>
      </c>
      <c r="AN290" t="e">
        <f>Descriptions!AB:AB*"AM:!0H1"</f>
        <v>#VALUE!</v>
      </c>
      <c r="AO290" t="e">
        <f>Descriptions!AC:AC*"AM:!0H2"</f>
        <v>#VALUE!</v>
      </c>
      <c r="AP290" t="e">
        <f>Descriptions!AD:AD*"AM:!0H3"</f>
        <v>#VALUE!</v>
      </c>
      <c r="AQ290" t="e">
        <f>Descriptions!AE:AE*"AM:!0H4"</f>
        <v>#VALUE!</v>
      </c>
      <c r="AR290" t="e">
        <f>Descriptions!AF:AF*"AM:!0H5"</f>
        <v>#VALUE!</v>
      </c>
      <c r="AS290" t="e">
        <f>Descriptions!AG:AG*"AM:!0H6"</f>
        <v>#VALUE!</v>
      </c>
      <c r="AT290" t="e">
        <f>Descriptions!AH:AH*"AM:!0H7"</f>
        <v>#VALUE!</v>
      </c>
      <c r="AU290" t="e">
        <f>Descriptions!AI:AI*"AM:!0H8"</f>
        <v>#VALUE!</v>
      </c>
      <c r="AV290" t="e">
        <f>Descriptions!AJ:AJ*"AM:!0H9"</f>
        <v>#VALUE!</v>
      </c>
      <c r="AW290" t="e">
        <f>Descriptions!AK:AK*"AM:!0H:"</f>
        <v>#VALUE!</v>
      </c>
      <c r="AX290" t="e">
        <f>Descriptions!AL:AL*"AM:!0H;"</f>
        <v>#VALUE!</v>
      </c>
      <c r="AY290" t="e">
        <f>Descriptions!AM:AM*"AM:!0H&lt;"</f>
        <v>#VALUE!</v>
      </c>
      <c r="AZ290" t="e">
        <f>Descriptions!AN:AN*"AM:!0H="</f>
        <v>#VALUE!</v>
      </c>
      <c r="BA290" t="e">
        <f>Descriptions!AO:AO*"AM:!0H&gt;"</f>
        <v>#VALUE!</v>
      </c>
      <c r="BB290" t="e">
        <f>Descriptions!AP:AP*"AM:!0H?"</f>
        <v>#VALUE!</v>
      </c>
      <c r="BC290" t="e">
        <f>Descriptions!AQ:AQ*"AM:!0H@"</f>
        <v>#VALUE!</v>
      </c>
      <c r="BD290" t="e">
        <f>Descriptions!AR:AR*"AM:!0HA"</f>
        <v>#VALUE!</v>
      </c>
      <c r="BE290" t="e">
        <f>Descriptions!AS:AS*"AM:!0HB"</f>
        <v>#VALUE!</v>
      </c>
      <c r="BF290" t="e">
        <f>Descriptions!AT:AT*"AM:!0HC"</f>
        <v>#VALUE!</v>
      </c>
      <c r="BG290" t="e">
        <f>Descriptions!AU:AU*"AM:!0HD"</f>
        <v>#VALUE!</v>
      </c>
      <c r="BH290" t="e">
        <f>Descriptions!AV:AV*"AM:!0HE"</f>
        <v>#VALUE!</v>
      </c>
      <c r="BI290" t="e">
        <f>Descriptions!AW:AW*"AM:!0HF"</f>
        <v>#VALUE!</v>
      </c>
      <c r="BJ290" t="e">
        <f>Descriptions!AX:AX*"AM:!0HG"</f>
        <v>#VALUE!</v>
      </c>
      <c r="BK290" t="e">
        <f>Descriptions!AY:AY*"AM:!0HH"</f>
        <v>#VALUE!</v>
      </c>
      <c r="BL290" t="e">
        <f>Descriptions!AZ:AZ*"AM:!0HI"</f>
        <v>#VALUE!</v>
      </c>
      <c r="BM290" t="e">
        <f>Descriptions!BA:BA*"AM:!0HJ"</f>
        <v>#VALUE!</v>
      </c>
      <c r="BN290" t="e">
        <f>Descriptions!BB:BB*"AM:!0HK"</f>
        <v>#VALUE!</v>
      </c>
      <c r="BO290" t="e">
        <f>Descriptions!BC:BC*"AM:!0HL"</f>
        <v>#VALUE!</v>
      </c>
      <c r="BP290" t="e">
        <f>Descriptions!BD:BD*"AM:!0HM"</f>
        <v>#VALUE!</v>
      </c>
      <c r="BQ290" t="e">
        <f>Descriptions!BE:BE*"AM:!0HN"</f>
        <v>#VALUE!</v>
      </c>
      <c r="BR290" t="e">
        <f>Descriptions!BF:BF*"AM:!0HO"</f>
        <v>#VALUE!</v>
      </c>
      <c r="BS290" t="e">
        <f>Descriptions!BG:BG*"AM:!0HP"</f>
        <v>#VALUE!</v>
      </c>
      <c r="BT290" t="e">
        <f>Descriptions!BH:BH*"AM:!0HQ"</f>
        <v>#VALUE!</v>
      </c>
      <c r="BU290" t="e">
        <f>Descriptions!BI:BI*"AM:!0HR"</f>
        <v>#VALUE!</v>
      </c>
      <c r="BV290" t="e">
        <f>Descriptions!BJ:BJ*"AM:!0HS"</f>
        <v>#VALUE!</v>
      </c>
      <c r="BW290" t="e">
        <f>Descriptions!BK:BK*"AM:!0HT"</f>
        <v>#VALUE!</v>
      </c>
      <c r="BX290" t="e">
        <f>Descriptions!BL:BL*"AM:!0HU"</f>
        <v>#VALUE!</v>
      </c>
      <c r="BY290" t="e">
        <f>Descriptions!BM:BM*"AM:!0HV"</f>
        <v>#VALUE!</v>
      </c>
      <c r="BZ290" t="e">
        <f>Descriptions!BN:BN*"AM:!0HW"</f>
        <v>#VALUE!</v>
      </c>
      <c r="CA290" t="e">
        <f>Descriptions!BO:BO*"AM:!0HX"</f>
        <v>#VALUE!</v>
      </c>
      <c r="CB290" t="e">
        <f>Descriptions!BP:BP*"AM:!0HY"</f>
        <v>#VALUE!</v>
      </c>
      <c r="CC290" t="e">
        <f>Descriptions!BQ:BQ*"AM:!0HZ"</f>
        <v>#VALUE!</v>
      </c>
      <c r="CD290" t="e">
        <f>Descriptions!BR:BR*"AM:!0H["</f>
        <v>#VALUE!</v>
      </c>
      <c r="CE290" t="e">
        <f>Descriptions!BS:BS*"AM:!0H\"</f>
        <v>#VALUE!</v>
      </c>
      <c r="CF290" t="e">
        <f>Descriptions!BT:BT*"AM:!0H]"</f>
        <v>#VALUE!</v>
      </c>
      <c r="CG290" t="e">
        <f>Descriptions!BU:BU*"AM:!0H^"</f>
        <v>#VALUE!</v>
      </c>
      <c r="CH290" t="e">
        <f>Descriptions!BV:BV*"AM:!0H_"</f>
        <v>#VALUE!</v>
      </c>
      <c r="CI290" t="e">
        <f>Descriptions!BW:BW*"AM:!0H`"</f>
        <v>#VALUE!</v>
      </c>
      <c r="CJ290" t="e">
        <f>Descriptions!BX:BX*"AM:!0Ha"</f>
        <v>#VALUE!</v>
      </c>
      <c r="CK290" t="e">
        <f>Descriptions!BY:BY*"AM:!0Hb"</f>
        <v>#VALUE!</v>
      </c>
      <c r="CL290" t="e">
        <f>Descriptions!BZ:BZ*"AM:!0Hc"</f>
        <v>#VALUE!</v>
      </c>
      <c r="CM290" t="e">
        <f>Descriptions!CA:CA*"AM:!0Hd"</f>
        <v>#VALUE!</v>
      </c>
      <c r="CN290" t="e">
        <f>Descriptions!CB:CB*"AM:!0He"</f>
        <v>#VALUE!</v>
      </c>
      <c r="CO290" t="e">
        <f>Descriptions!CC:CC*"AM:!0Hf"</f>
        <v>#VALUE!</v>
      </c>
      <c r="CP290" t="e">
        <f>Descriptions!CD:CD*"AM:!0Hg"</f>
        <v>#VALUE!</v>
      </c>
      <c r="CQ290" t="e">
        <f>Descriptions!CE:CE*"AM:!0Hh"</f>
        <v>#VALUE!</v>
      </c>
      <c r="CR290" t="e">
        <f>Descriptions!CF:CF*"AM:!0Hi"</f>
        <v>#VALUE!</v>
      </c>
      <c r="CS290" t="e">
        <f>Descriptions!1:1-"AM:!0Hj"</f>
        <v>#VALUE!</v>
      </c>
      <c r="CT290" t="e">
        <f>Descriptions!2:2-"AM:!0Hk"</f>
        <v>#VALUE!</v>
      </c>
      <c r="CU290" t="e">
        <f>Descriptions!3:3-"AM:!0Hl"</f>
        <v>#VALUE!</v>
      </c>
      <c r="CV290" t="e">
        <f>Descriptions!4:4-"AM:!0Hm"</f>
        <v>#VALUE!</v>
      </c>
      <c r="CW290" t="e">
        <f>Descriptions!5:5-"AM:!0Hn"</f>
        <v>#VALUE!</v>
      </c>
      <c r="CX290" t="e">
        <f>Descriptions!6:6-"AM:!0Ho"</f>
        <v>#VALUE!</v>
      </c>
      <c r="CY290" t="e">
        <f>Descriptions!7:7-"AM:!0Hp"</f>
        <v>#VALUE!</v>
      </c>
      <c r="CZ290" t="e">
        <f>Descriptions!8:8-"AM:!0Hq"</f>
        <v>#VALUE!</v>
      </c>
      <c r="DA290" t="e">
        <f>Descriptions!9:9-"AM:!0Hr"</f>
        <v>#VALUE!</v>
      </c>
      <c r="DB290" t="e">
        <f>Descriptions!10:10-"AM:!0Hs"</f>
        <v>#VALUE!</v>
      </c>
      <c r="DC290" t="e">
        <f>Descriptions!11:11-"AM:!0Ht"</f>
        <v>#VALUE!</v>
      </c>
      <c r="DD290" t="e">
        <f>Descriptions!12:12-"AM:!0Hu"</f>
        <v>#VALUE!</v>
      </c>
      <c r="DE290" t="e">
        <f>Descriptions!13:13-"AM:!0Hv"</f>
        <v>#VALUE!</v>
      </c>
      <c r="DF290" t="e">
        <f>Descriptions!14:14-"AM:!0Hw"</f>
        <v>#VALUE!</v>
      </c>
      <c r="DG290" t="e">
        <f>Descriptions!15:15-"AM:!0Hx"</f>
        <v>#VALUE!</v>
      </c>
      <c r="DH290" t="e">
        <f>Descriptions!16:16-"AM:!0Hy"</f>
        <v>#VALUE!</v>
      </c>
      <c r="DI290" t="e">
        <f>Descriptions!17:17-"AM:!0Hz"</f>
        <v>#VALUE!</v>
      </c>
      <c r="DJ290" t="e">
        <f>Descriptions!18:18-"AM:!0H{"</f>
        <v>#VALUE!</v>
      </c>
      <c r="DK290" t="e">
        <f>Descriptions!19:19-"AM:!0H|"</f>
        <v>#VALUE!</v>
      </c>
      <c r="DL290" t="e">
        <f>Descriptions!20:20-"AM:!0H}"</f>
        <v>#VALUE!</v>
      </c>
      <c r="DM290" t="e">
        <f>Descriptions!21:21-"AM:!0H~"</f>
        <v>#VALUE!</v>
      </c>
      <c r="DN290" t="e">
        <f>Descriptions!22:22-"AM:!0I#"</f>
        <v>#VALUE!</v>
      </c>
      <c r="DO290" t="e">
        <f>Descriptions!23:23-"AM:!0I$"</f>
        <v>#VALUE!</v>
      </c>
      <c r="DP290" t="e">
        <f>Descriptions!24:24-"AM:!0I%"</f>
        <v>#VALUE!</v>
      </c>
      <c r="DQ290" t="e">
        <f>Descriptions!25:25-"AM:!0I&amp;"</f>
        <v>#VALUE!</v>
      </c>
      <c r="DR290" t="e">
        <f>Descriptions!26:26-"AM:!0I'"</f>
        <v>#VALUE!</v>
      </c>
      <c r="DS290" t="e">
        <f>Descriptions!27:27-"AM:!0I("</f>
        <v>#VALUE!</v>
      </c>
      <c r="DT290" t="e">
        <f>Descriptions!28:28-"AM:!0I)"</f>
        <v>#VALUE!</v>
      </c>
      <c r="DU290" t="e">
        <f>Descriptions!29:29-"AM:!0I."</f>
        <v>#VALUE!</v>
      </c>
      <c r="DV290" t="e">
        <f>Descriptions!30:30-"AM:!0I/"</f>
        <v>#VALUE!</v>
      </c>
      <c r="DW290" t="e">
        <f>Descriptions!31:31-"AM:!0I0"</f>
        <v>#VALUE!</v>
      </c>
      <c r="DX290" t="e">
        <f>Descriptions!32:32-"AM:!0I1"</f>
        <v>#VALUE!</v>
      </c>
      <c r="DY290" t="e">
        <f>Descriptions!33:33-"AM:!0I2"</f>
        <v>#VALUE!</v>
      </c>
      <c r="DZ290" t="e">
        <f>Descriptions!34:34-"AM:!0I3"</f>
        <v>#VALUE!</v>
      </c>
      <c r="EA290" t="e">
        <f>Descriptions!35:35-"AM:!0I4"</f>
        <v>#VALUE!</v>
      </c>
      <c r="EB290" t="e">
        <f>Descriptions!36:36-"AM:!0I5"</f>
        <v>#VALUE!</v>
      </c>
      <c r="EC290" t="e">
        <f>Descriptions!37:37-"AM:!0I6"</f>
        <v>#VALUE!</v>
      </c>
      <c r="ED290" t="e">
        <f>Descriptions!38:38-"AM:!0I7"</f>
        <v>#VALUE!</v>
      </c>
      <c r="EE290" t="e">
        <f>Descriptions!39:39-"AM:!0I8"</f>
        <v>#VALUE!</v>
      </c>
      <c r="EF290" t="e">
        <f>Descriptions!40:40-"AM:!0I9"</f>
        <v>#VALUE!</v>
      </c>
      <c r="EG290" t="e">
        <f>Descriptions!41:41-"AM:!0I:"</f>
        <v>#VALUE!</v>
      </c>
      <c r="EH290" t="e">
        <f>Descriptions!42:42-"AM:!0I;"</f>
        <v>#VALUE!</v>
      </c>
      <c r="EI290" t="e">
        <f>Descriptions!43:43-"AM:!0I&lt;"</f>
        <v>#VALUE!</v>
      </c>
      <c r="EJ290" t="e">
        <f>Descriptions!44:44-"AM:!0I="</f>
        <v>#VALUE!</v>
      </c>
      <c r="EK290" t="e">
        <f>Descriptions!45:45-"AM:!0I&gt;"</f>
        <v>#VALUE!</v>
      </c>
      <c r="EL290" t="e">
        <f>Descriptions!46:46-"AM:!0I?"</f>
        <v>#VALUE!</v>
      </c>
      <c r="EM290" t="e">
        <f>Descriptions!47:47-"AM:!0I@"</f>
        <v>#VALUE!</v>
      </c>
      <c r="EN290" t="e">
        <f>Descriptions!48:48-"AM:!0IA"</f>
        <v>#VALUE!</v>
      </c>
      <c r="EO290" t="e">
        <f>Descriptions!49:49-"AM:!0IB"</f>
        <v>#VALUE!</v>
      </c>
      <c r="EP290" t="e">
        <f>Descriptions!50:50-"AM:!0IC"</f>
        <v>#VALUE!</v>
      </c>
      <c r="EQ290" t="e">
        <f>Descriptions!51:51-"AM:!0ID"</f>
        <v>#VALUE!</v>
      </c>
      <c r="ER290" t="e">
        <f>Descriptions!52:52-"AM:!0IE"</f>
        <v>#VALUE!</v>
      </c>
      <c r="ES290" t="e">
        <f>Descriptions!53:53-"AM:!0IF"</f>
        <v>#VALUE!</v>
      </c>
      <c r="ET290" t="e">
        <f>Descriptions!54:54-"AM:!0IG"</f>
        <v>#VALUE!</v>
      </c>
      <c r="EU290" t="e">
        <f>Descriptions!55:55-"AM:!0IH"</f>
        <v>#VALUE!</v>
      </c>
      <c r="EV290" t="e">
        <f>Descriptions!56:56-"AM:!0II"</f>
        <v>#VALUE!</v>
      </c>
      <c r="EW290" t="e">
        <f>Descriptions!57:57-"AM:!0IJ"</f>
        <v>#VALUE!</v>
      </c>
      <c r="EX290" t="e">
        <f>Descriptions!58:58-"AM:!0IK"</f>
        <v>#VALUE!</v>
      </c>
      <c r="EY290" t="e">
        <f>Descriptions!59:59-"AM:!0IL"</f>
        <v>#VALUE!</v>
      </c>
      <c r="EZ290" t="e">
        <f>Descriptions!60:60-"AM:!0IM"</f>
        <v>#VALUE!</v>
      </c>
      <c r="FA290" t="e">
        <f>Descriptions!61:61-"AM:!0IN"</f>
        <v>#VALUE!</v>
      </c>
      <c r="FB290" t="e">
        <f>Descriptions!62:62-"AM:!0IO"</f>
        <v>#VALUE!</v>
      </c>
      <c r="FC290" t="e">
        <f>Descriptions!63:63-"AM:!0IP"</f>
        <v>#VALUE!</v>
      </c>
      <c r="FD290" t="e">
        <f>Descriptions!64:64-"AM:!0IQ"</f>
        <v>#VALUE!</v>
      </c>
      <c r="FE290" t="e">
        <f>Descriptions!65:65-"AM:!0IR"</f>
        <v>#VALUE!</v>
      </c>
      <c r="FF290" t="e">
        <f>Descriptions!66:66-"AM:!0IS"</f>
        <v>#VALUE!</v>
      </c>
      <c r="FG290" t="e">
        <f>Descriptions!67:67-"AM:!0IT"</f>
        <v>#VALUE!</v>
      </c>
      <c r="FH290" t="e">
        <f>Descriptions!68:68-"AM:!0IU"</f>
        <v>#VALUE!</v>
      </c>
      <c r="FI290" t="e">
        <f>Descriptions!69:69-"AM:!0IV"</f>
        <v>#VALUE!</v>
      </c>
      <c r="FJ290" t="e">
        <f>Descriptions!70:70-"AM:!0IW"</f>
        <v>#VALUE!</v>
      </c>
      <c r="FK290" t="e">
        <f>Descriptions!71:71-"AM:!0IX"</f>
        <v>#VALUE!</v>
      </c>
      <c r="FL290" t="e">
        <f>Descriptions!72:72-"AM:!0IY"</f>
        <v>#VALUE!</v>
      </c>
      <c r="FM290" t="e">
        <f>Descriptions!73:73-"AM:!0IZ"</f>
        <v>#VALUE!</v>
      </c>
      <c r="FN290" t="e">
        <f>Descriptions!74:74-"AM:!0I["</f>
        <v>#VALUE!</v>
      </c>
      <c r="FO290" t="e">
        <f>Descriptions!75:75-"AM:!0I\"</f>
        <v>#VALUE!</v>
      </c>
      <c r="FP290" t="e">
        <f>Descriptions!76:76-"AM:!0I]"</f>
        <v>#VALUE!</v>
      </c>
      <c r="FQ290" t="e">
        <f>Descriptions!77:77-"AM:!0I^"</f>
        <v>#VALUE!</v>
      </c>
      <c r="FR290" t="e">
        <f>Descriptions!78:78-"AM:!0I_"</f>
        <v>#VALUE!</v>
      </c>
      <c r="FS290" t="e">
        <f>Descriptions!79:79-"AM:!0I`"</f>
        <v>#VALUE!</v>
      </c>
      <c r="FT290" t="e">
        <f>Descriptions!80:80-"AM:!0Ia"</f>
        <v>#VALUE!</v>
      </c>
      <c r="FU290" t="e">
        <f>Descriptions!81:81-"AM:!0Ib"</f>
        <v>#VALUE!</v>
      </c>
      <c r="FV290" t="e">
        <f>Descriptions!82:82-"AM:!0Ic"</f>
        <v>#VALUE!</v>
      </c>
      <c r="FW290" t="e">
        <f>Descriptions!83:83-"AM:!0Id"</f>
        <v>#VALUE!</v>
      </c>
      <c r="FX290" t="e">
        <f>Descriptions!84:84-"AM:!0Ie"</f>
        <v>#VALUE!</v>
      </c>
      <c r="FY290" t="e">
        <f>Descriptions!85:85-"AM:!0If"</f>
        <v>#VALUE!</v>
      </c>
      <c r="FZ290" t="e">
        <f>Descriptions!86:86-"AM:!0Ig"</f>
        <v>#VALUE!</v>
      </c>
      <c r="GA290" t="e">
        <f>Descriptions!87:87-"AM:!0Ih"</f>
        <v>#VALUE!</v>
      </c>
      <c r="GB290" t="e">
        <f>Descriptions!88:88-"AM:!0Ii"</f>
        <v>#VALUE!</v>
      </c>
      <c r="GC290" t="e">
        <f>Descriptions!89:89-"AM:!0Ij"</f>
        <v>#VALUE!</v>
      </c>
      <c r="GD290" t="e">
        <f>Descriptions!90:90-"AM:!0Ik"</f>
        <v>#VALUE!</v>
      </c>
      <c r="GE290" t="e">
        <f>Descriptions!91:91-"AM:!0Il"</f>
        <v>#VALUE!</v>
      </c>
      <c r="GF290" t="e">
        <f>Descriptions!92:92-"AM:!0Im"</f>
        <v>#VALUE!</v>
      </c>
      <c r="GG290" t="e">
        <f>Descriptions!93:93-"AM:!0In"</f>
        <v>#VALUE!</v>
      </c>
      <c r="GH290" t="e">
        <f>Descriptions!94:94-"AM:!0Io"</f>
        <v>#VALUE!</v>
      </c>
      <c r="GI290" t="e">
        <f>Descriptions!95:95-"AM:!0Ip"</f>
        <v>#VALUE!</v>
      </c>
      <c r="GJ290" t="e">
        <f>Descriptions!96:96-"AM:!0Iq"</f>
        <v>#VALUE!</v>
      </c>
      <c r="GK290" t="e">
        <f>Descriptions!97:97-"AM:!0Ir"</f>
        <v>#VALUE!</v>
      </c>
      <c r="GL290" t="e">
        <f>Descriptions!98:98-"AM:!0Is"</f>
        <v>#VALUE!</v>
      </c>
      <c r="GM290" t="e">
        <f>Descriptions!99:99-"AM:!0It"</f>
        <v>#VALUE!</v>
      </c>
      <c r="GN290" t="e">
        <f>Descriptions!100:100-"AM:!0Iu"</f>
        <v>#VALUE!</v>
      </c>
      <c r="GO290" t="e">
        <f>Descriptions!101:101-"AM:!0Iv"</f>
        <v>#VALUE!</v>
      </c>
      <c r="GP290" t="e">
        <f>Descriptions!102:102-"AM:!0Iw"</f>
        <v>#VALUE!</v>
      </c>
      <c r="GQ290" t="e">
        <f>Descriptions!103:103-"AM:!0Ix"</f>
        <v>#VALUE!</v>
      </c>
      <c r="GR290" t="e">
        <f>Descriptions!104:104-"AM:!0Iy"</f>
        <v>#VALUE!</v>
      </c>
      <c r="GS290" t="e">
        <f>Descriptions!105:105-"AM:!0Iz"</f>
        <v>#VALUE!</v>
      </c>
      <c r="GT290" t="e">
        <f>Descriptions!106:106-"AM:!0I{"</f>
        <v>#VALUE!</v>
      </c>
      <c r="GU290" t="e">
        <f>Descriptions!107:107-"AM:!0I|"</f>
        <v>#VALUE!</v>
      </c>
      <c r="GV290" t="e">
        <f>Descriptions!108:108-"AM:!0I}"</f>
        <v>#VALUE!</v>
      </c>
      <c r="GW290" t="e">
        <f>Descriptions!109:109-"AM:!0I~"</f>
        <v>#VALUE!</v>
      </c>
      <c r="GX290" t="e">
        <f>Descriptions!110:110-"AM:!0J#"</f>
        <v>#VALUE!</v>
      </c>
      <c r="GY290" t="e">
        <f>Descriptions!111:111-"AM:!0J$"</f>
        <v>#VALUE!</v>
      </c>
      <c r="GZ290" t="e">
        <f>Descriptions!112:112-"AM:!0J%"</f>
        <v>#VALUE!</v>
      </c>
      <c r="HA290" t="e">
        <f>Descriptions!113:113-"AM:!0J&amp;"</f>
        <v>#VALUE!</v>
      </c>
      <c r="HB290" t="e">
        <f>Descriptions!114:114-"AM:!0J'"</f>
        <v>#VALUE!</v>
      </c>
      <c r="HC290" t="e">
        <f>Descriptions!115:115-"AM:!0J("</f>
        <v>#VALUE!</v>
      </c>
      <c r="HD290" t="e">
        <f>Descriptions!116:116-"AM:!0J)"</f>
        <v>#VALUE!</v>
      </c>
      <c r="HE290" t="e">
        <f>Descriptions!117:117-"AM:!0J."</f>
        <v>#VALUE!</v>
      </c>
      <c r="HF290" t="e">
        <f>Descriptions!118:118-"AM:!0J/"</f>
        <v>#VALUE!</v>
      </c>
      <c r="HG290" t="e">
        <f>Descriptions!119:119-"AM:!0J0"</f>
        <v>#VALUE!</v>
      </c>
      <c r="HH290" t="e">
        <f>Descriptions!120:120-"AM:!0J1"</f>
        <v>#VALUE!</v>
      </c>
      <c r="HI290" t="e">
        <f>Descriptions!121:121-"AM:!0J2"</f>
        <v>#VALUE!</v>
      </c>
      <c r="HJ290" t="e">
        <f>Descriptions!122:122-"AM:!0J3"</f>
        <v>#VALUE!</v>
      </c>
      <c r="HK290" t="e">
        <f>Descriptions!123:123-"AM:!0J4"</f>
        <v>#VALUE!</v>
      </c>
      <c r="HL290" t="e">
        <f>Descriptions!124:124-"AM:!0J5"</f>
        <v>#VALUE!</v>
      </c>
      <c r="HM290" t="e">
        <f>Descriptions!125:125-"AM:!0J6"</f>
        <v>#VALUE!</v>
      </c>
      <c r="HN290" t="e">
        <f>Descriptions!126:126-"AM:!0J7"</f>
        <v>#VALUE!</v>
      </c>
      <c r="HO290" t="e">
        <f>Descriptions!127:127-"AM:!0J8"</f>
        <v>#VALUE!</v>
      </c>
      <c r="HP290" t="e">
        <f>Descriptions!128:128-"AM:!0J9"</f>
        <v>#VALUE!</v>
      </c>
      <c r="HQ290" t="e">
        <f>Descriptions!129:129-"AM:!0J:"</f>
        <v>#VALUE!</v>
      </c>
      <c r="HR290" t="e">
        <f>Descriptions!130:130-"AM:!0J;"</f>
        <v>#VALUE!</v>
      </c>
      <c r="HS290" t="e">
        <f>Descriptions!131:131-"AM:!0J&lt;"</f>
        <v>#VALUE!</v>
      </c>
      <c r="HT290" t="e">
        <f>Descriptions!132:132-"AM:!0J="</f>
        <v>#VALUE!</v>
      </c>
      <c r="HU290" t="e">
        <f>Descriptions!133:133-"AM:!0J&gt;"</f>
        <v>#VALUE!</v>
      </c>
      <c r="HV290" t="e">
        <f>Descriptions!134:134-"AM:!0J?"</f>
        <v>#VALUE!</v>
      </c>
      <c r="HW290" t="e">
        <f>Descriptions!135:135-"AM:!0J@"</f>
        <v>#VALUE!</v>
      </c>
      <c r="HX290" t="e">
        <f>Descriptions!136:136-"AM:!0JA"</f>
        <v>#VALUE!</v>
      </c>
      <c r="HY290" t="e">
        <f>Descriptions!137:137-"AM:!0JB"</f>
        <v>#VALUE!</v>
      </c>
      <c r="HZ290" t="e">
        <f>Descriptions!138:138-"AM:!0JC"</f>
        <v>#VALUE!</v>
      </c>
      <c r="IA290" t="e">
        <f>Descriptions!139:139-"AM:!0JD"</f>
        <v>#VALUE!</v>
      </c>
      <c r="IB290" t="e">
        <f>Descriptions!140:140-"AM:!0JE"</f>
        <v>#VALUE!</v>
      </c>
      <c r="IC290" t="e">
        <f>Descriptions!141:141-"AM:!0JF"</f>
        <v>#VALUE!</v>
      </c>
      <c r="ID290" t="e">
        <f>Descriptions!142:142-"AM:!0JG"</f>
        <v>#VALUE!</v>
      </c>
      <c r="IE290" t="e">
        <f>Descriptions!143:143-"AM:!0JH"</f>
        <v>#VALUE!</v>
      </c>
      <c r="IF290" t="e">
        <f>Descriptions!144:144-"AM:!0JI"</f>
        <v>#VALUE!</v>
      </c>
      <c r="IG290" t="e">
        <f>Descriptions!145:145-"AM:!0JJ"</f>
        <v>#VALUE!</v>
      </c>
      <c r="IH290" t="e">
        <f>Descriptions!146:146-"AM:!0JK"</f>
        <v>#VALUE!</v>
      </c>
      <c r="II290" t="e">
        <f>Descriptions!147:147-"AM:!0JL"</f>
        <v>#VALUE!</v>
      </c>
      <c r="IJ290" t="e">
        <f>Descriptions!148:148-"AM:!0JM"</f>
        <v>#VALUE!</v>
      </c>
      <c r="IK290" t="e">
        <f>Descriptions!149:149-"AM:!0JN"</f>
        <v>#VALUE!</v>
      </c>
      <c r="IL290" t="e">
        <f>Descriptions!150:150-"AM:!0JO"</f>
        <v>#VALUE!</v>
      </c>
      <c r="IM290" t="e">
        <f>Descriptions!151:151-"AM:!0JP"</f>
        <v>#VALUE!</v>
      </c>
      <c r="IN290" t="e">
        <f>Descriptions!152:152-"AM:!0JQ"</f>
        <v>#VALUE!</v>
      </c>
      <c r="IO290" t="e">
        <f>Descriptions!153:153-"AM:!0JR"</f>
        <v>#VALUE!</v>
      </c>
      <c r="IP290" t="e">
        <f>Descriptions!154:154-"AM:!0JS"</f>
        <v>#VALUE!</v>
      </c>
      <c r="IQ290" t="e">
        <f>Descriptions!155:155-"AM:!0JT"</f>
        <v>#VALUE!</v>
      </c>
      <c r="IR290" t="e">
        <f>Descriptions!156:156-"AM:!0JU"</f>
        <v>#VALUE!</v>
      </c>
      <c r="IS290" t="e">
        <f>Descriptions!157:157-"AM:!0JV"</f>
        <v>#VALUE!</v>
      </c>
      <c r="IT290" t="e">
        <f>Descriptions!158:158-"AM:!0JW"</f>
        <v>#VALUE!</v>
      </c>
      <c r="IU290" t="e">
        <f>Descriptions!159:159-"AM:!0JX"</f>
        <v>#VALUE!</v>
      </c>
      <c r="IV290" t="e">
        <f>Descriptions!160:160-"AM:!0JY"</f>
        <v>#VALUE!</v>
      </c>
    </row>
    <row r="291" spans="6:256">
      <c r="F291" t="e">
        <f>Descriptions!161:161-"AM:!0JZ"</f>
        <v>#VALUE!</v>
      </c>
      <c r="G291" t="e">
        <f>Descriptions!162:162-"AM:!0J["</f>
        <v>#VALUE!</v>
      </c>
      <c r="H291" t="e">
        <f>Descriptions!163:163-"AM:!0J\"</f>
        <v>#VALUE!</v>
      </c>
      <c r="I291" t="e">
        <f>Descriptions!164:164-"AM:!0J]"</f>
        <v>#VALUE!</v>
      </c>
      <c r="J291" t="e">
        <f>Descriptions!165:165-"AM:!0J^"</f>
        <v>#VALUE!</v>
      </c>
      <c r="K291" t="e">
        <f>Descriptions!166:166-"AM:!0J_"</f>
        <v>#VALUE!</v>
      </c>
      <c r="L291" t="e">
        <f>Descriptions!167:167-"AM:!0J`"</f>
        <v>#VALUE!</v>
      </c>
      <c r="M291" t="e">
        <f>Descriptions!168:168-"AM:!0Ja"</f>
        <v>#VALUE!</v>
      </c>
      <c r="N291" t="e">
        <f>Descriptions!169:169-"AM:!0Jb"</f>
        <v>#VALUE!</v>
      </c>
      <c r="O291" t="e">
        <f>Descriptions!170:170-"AM:!0Jc"</f>
        <v>#VALUE!</v>
      </c>
      <c r="P291" t="e">
        <f>Descriptions!171:171-"AM:!0Jd"</f>
        <v>#VALUE!</v>
      </c>
      <c r="Q291" t="e">
        <f>Descriptions!172:172-"AM:!0Je"</f>
        <v>#VALUE!</v>
      </c>
      <c r="R291" t="e">
        <f>Descriptions!173:173-"AM:!0Jf"</f>
        <v>#VALUE!</v>
      </c>
      <c r="S291" t="e">
        <f>Descriptions!174:174-"AM:!0Jg"</f>
        <v>#VALUE!</v>
      </c>
      <c r="T291" t="e">
        <f>Descriptions!175:175-"AM:!0Jh"</f>
        <v>#VALUE!</v>
      </c>
      <c r="U291" t="e">
        <f>Descriptions!176:176-"AM:!0Ji"</f>
        <v>#VALUE!</v>
      </c>
      <c r="V291" t="e">
        <f>Descriptions!177:177-"AM:!0Jj"</f>
        <v>#VALUE!</v>
      </c>
      <c r="W291" t="e">
        <f>Descriptions!178:178-"AM:!0Jk"</f>
        <v>#VALUE!</v>
      </c>
      <c r="X291" t="e">
        <f>Descriptions!179:179-"AM:!0Jl"</f>
        <v>#VALUE!</v>
      </c>
      <c r="Y291" t="e">
        <f>Descriptions!180:180-"AM:!0Jm"</f>
        <v>#VALUE!</v>
      </c>
      <c r="Z291" t="e">
        <f>Descriptions!181:181-"AM:!0Jn"</f>
        <v>#VALUE!</v>
      </c>
      <c r="AA291" t="e">
        <f>Descriptions!182:182-"AM:!0Jo"</f>
        <v>#VALUE!</v>
      </c>
      <c r="AB291" t="e">
        <f>Descriptions!183:183-"AM:!0Jp"</f>
        <v>#VALUE!</v>
      </c>
      <c r="AC291" t="e">
        <f>Descriptions!184:184-"AM:!0Jq"</f>
        <v>#VALUE!</v>
      </c>
      <c r="AD291" t="e">
        <f>Descriptions!185:185-"AM:!0Jr"</f>
        <v>#VALUE!</v>
      </c>
      <c r="AE291" t="e">
        <f>Descriptions!186:186-"AM:!0Js"</f>
        <v>#VALUE!</v>
      </c>
      <c r="AF291" t="e">
        <f>Descriptions!187:187-"AM:!0Jt"</f>
        <v>#VALUE!</v>
      </c>
      <c r="AG291" t="e">
        <f>Descriptions!188:188-"AM:!0Ju"</f>
        <v>#VALUE!</v>
      </c>
      <c r="AH291" t="e">
        <f>Descriptions!189:189-"AM:!0Jv"</f>
        <v>#VALUE!</v>
      </c>
      <c r="AI291" t="e">
        <f>Descriptions!190:190-"AM:!0Jw"</f>
        <v>#VALUE!</v>
      </c>
      <c r="AJ291" t="e">
        <f>Descriptions!191:191-"AM:!0Jx"</f>
        <v>#VALUE!</v>
      </c>
      <c r="AK291" t="e">
        <f>Descriptions!192:192-"AM:!0Jy"</f>
        <v>#VALUE!</v>
      </c>
      <c r="AL291" t="e">
        <f>Descriptions!193:193-"AM:!0Jz"</f>
        <v>#VALUE!</v>
      </c>
      <c r="AM291" t="e">
        <f>Descriptions!194:194-"AM:!0J{"</f>
        <v>#VALUE!</v>
      </c>
      <c r="AN291" t="e">
        <f>Descriptions!195:195-"AM:!0J|"</f>
        <v>#VALUE!</v>
      </c>
      <c r="AO291" t="e">
        <f>Descriptions!196:196-"AM:!0J}"</f>
        <v>#VALUE!</v>
      </c>
      <c r="AP291" t="e">
        <f>Descriptions!197:197-"AM:!0J~"</f>
        <v>#VALUE!</v>
      </c>
      <c r="AQ291" t="e">
        <f>Descriptions!198:198-"AM:!0K#"</f>
        <v>#VALUE!</v>
      </c>
      <c r="AR291" t="e">
        <f>Descriptions!199:199-"AM:!0K$"</f>
        <v>#VALUE!</v>
      </c>
      <c r="AS291" t="e">
        <f>Descriptions!200:200-"AM:!0K%"</f>
        <v>#VALUE!</v>
      </c>
      <c r="AT291" t="e">
        <f>Descriptions!201:201-"AM:!0K&amp;"</f>
        <v>#VALUE!</v>
      </c>
      <c r="AU291" t="e">
        <f>Descriptions!202:202-"AM:!0K'"</f>
        <v>#VALUE!</v>
      </c>
      <c r="AV291" t="e">
        <f>Descriptions!203:203-"AM:!0K("</f>
        <v>#VALUE!</v>
      </c>
      <c r="AW291" t="e">
        <f>Descriptions!204:204-"AM:!0K)"</f>
        <v>#VALUE!</v>
      </c>
      <c r="AX291" t="e">
        <f>Descriptions!205:205-"AM:!0K."</f>
        <v>#VALUE!</v>
      </c>
      <c r="AY291" t="e">
        <f>Descriptions!206:206-"AM:!0K/"</f>
        <v>#VALUE!</v>
      </c>
      <c r="AZ291" t="e">
        <f>Descriptions!207:207-"AM:!0K0"</f>
        <v>#VALUE!</v>
      </c>
      <c r="BA291" t="e">
        <f>Descriptions!208:208-"AM:!0K1"</f>
        <v>#VALUE!</v>
      </c>
      <c r="BB291" t="e">
        <f>Descriptions!209:209-"AM:!0K2"</f>
        <v>#VALUE!</v>
      </c>
      <c r="BC291" t="e">
        <f>Descriptions!210:210-"AM:!0K3"</f>
        <v>#VALUE!</v>
      </c>
      <c r="BD291" t="e">
        <f>Descriptions!211:211-"AM:!0K4"</f>
        <v>#VALUE!</v>
      </c>
      <c r="BE291" t="e">
        <f>Descriptions!212:212-"AM:!0K5"</f>
        <v>#VALUE!</v>
      </c>
      <c r="BF291" t="e">
        <f>Descriptions!213:213-"AM:!0K6"</f>
        <v>#VALUE!</v>
      </c>
      <c r="BG291" t="e">
        <f>Descriptions!214:214-"AM:!0K7"</f>
        <v>#VALUE!</v>
      </c>
      <c r="BH291" t="e">
        <f>Descriptions!215:215-"AM:!0K8"</f>
        <v>#VALUE!</v>
      </c>
      <c r="BI291" t="e">
        <f>Descriptions!216:216-"AM:!0K9"</f>
        <v>#VALUE!</v>
      </c>
      <c r="BJ291" t="e">
        <f>Descriptions!217:217-"AM:!0K:"</f>
        <v>#VALUE!</v>
      </c>
      <c r="BK291" t="e">
        <f>Descriptions!218:218-"AM:!0K;"</f>
        <v>#VALUE!</v>
      </c>
      <c r="BL291" t="e">
        <f>Descriptions!219:219-"AM:!0K&lt;"</f>
        <v>#VALUE!</v>
      </c>
      <c r="BM291" t="e">
        <f>Descriptions!220:220-"AM:!0K="</f>
        <v>#VALUE!</v>
      </c>
      <c r="BN291" t="e">
        <f>Descriptions!221:221-"AM:!0K&gt;"</f>
        <v>#VALUE!</v>
      </c>
      <c r="BO291" t="e">
        <f>Descriptions!222:222-"AM:!0K?"</f>
        <v>#VALUE!</v>
      </c>
      <c r="BP291" t="e">
        <f>Descriptions!223:223-"AM:!0K@"</f>
        <v>#VALUE!</v>
      </c>
      <c r="BQ291" t="e">
        <f>Descriptions!224:224-"AM:!0KA"</f>
        <v>#VALUE!</v>
      </c>
      <c r="BR291" t="e">
        <f>Descriptions!225:225-"AM:!0KB"</f>
        <v>#VALUE!</v>
      </c>
      <c r="BS291" t="e">
        <f>Descriptions!226:226-"AM:!0KC"</f>
        <v>#VALUE!</v>
      </c>
      <c r="BT291" t="e">
        <f>Descriptions!227:227-"AM:!0KD"</f>
        <v>#VALUE!</v>
      </c>
      <c r="BU291" t="e">
        <f>Descriptions!228:228-"AM:!0KE"</f>
        <v>#VALUE!</v>
      </c>
      <c r="BV291" t="e">
        <f>Descriptions!229:229-"AM:!0KF"</f>
        <v>#VALUE!</v>
      </c>
      <c r="BW291" t="e">
        <f>Descriptions!230:230-"AM:!0KG"</f>
        <v>#VALUE!</v>
      </c>
      <c r="BX291" t="e">
        <f>Descriptions!231:231-"AM:!0KH"</f>
        <v>#VALUE!</v>
      </c>
      <c r="BY291" t="e">
        <f>Descriptions!232:232-"AM:!0KI"</f>
        <v>#VALUE!</v>
      </c>
      <c r="BZ291" t="e">
        <f>Descriptions!233:233-"AM:!0KJ"</f>
        <v>#VALUE!</v>
      </c>
      <c r="CA291" t="e">
        <f>Descriptions!234:234-"AM:!0KK"</f>
        <v>#VALUE!</v>
      </c>
      <c r="CB291" t="e">
        <f>Descriptions!235:235-"AM:!0KL"</f>
        <v>#VALUE!</v>
      </c>
      <c r="CC291" t="e">
        <f>Descriptions!236:236-"AM:!0KM"</f>
        <v>#VALUE!</v>
      </c>
      <c r="CD291" t="e">
        <f>Descriptions!237:237-"AM:!0KN"</f>
        <v>#VALUE!</v>
      </c>
      <c r="CE291" t="e">
        <f>Descriptions!238:238-"AM:!0KO"</f>
        <v>#VALUE!</v>
      </c>
      <c r="CF291" t="e">
        <f>Descriptions!239:239-"AM:!0KP"</f>
        <v>#VALUE!</v>
      </c>
      <c r="CG291" t="e">
        <f>Descriptions!240:240-"AM:!0KQ"</f>
        <v>#VALUE!</v>
      </c>
      <c r="CH291" t="e">
        <f>Descriptions!241:241-"AM:!0KR"</f>
        <v>#VALUE!</v>
      </c>
      <c r="CI291" t="e">
        <f>Descriptions!242:242-"AM:!0KS"</f>
        <v>#VALUE!</v>
      </c>
      <c r="CJ291" t="e">
        <f>Descriptions!243:243-"AM:!0KT"</f>
        <v>#VALUE!</v>
      </c>
      <c r="CK291" t="e">
        <f>Descriptions!244:244-"AM:!0KU"</f>
        <v>#VALUE!</v>
      </c>
      <c r="CL291" t="e">
        <f>Descriptions!245:245-"AM:!0KV"</f>
        <v>#VALUE!</v>
      </c>
      <c r="CM291" t="e">
        <f>Descriptions!246:246-"AM:!0KW"</f>
        <v>#VALUE!</v>
      </c>
      <c r="CN291" t="e">
        <f>Descriptions!247:247-"AM:!0KX"</f>
        <v>#VALUE!</v>
      </c>
      <c r="CO291" t="e">
        <f>Descriptions!248:248-"AM:!0KY"</f>
        <v>#VALUE!</v>
      </c>
      <c r="CP291" t="e">
        <f>Descriptions!249:249-"AM:!0KZ"</f>
        <v>#VALUE!</v>
      </c>
      <c r="CQ291" t="e">
        <f>Descriptions!250:250-"AM:!0K["</f>
        <v>#VALUE!</v>
      </c>
      <c r="CR291" t="e">
        <f>Descriptions!251:251-"AM:!0K\"</f>
        <v>#VALUE!</v>
      </c>
      <c r="CS291" t="e">
        <f>Descriptions!252:252-"AM:!0K]"</f>
        <v>#VALUE!</v>
      </c>
      <c r="CT291" t="e">
        <f>Descriptions!B1+"AM:!0K^"</f>
        <v>#VALUE!</v>
      </c>
      <c r="CU291" t="e">
        <f>Descriptions!C1+"AM:!0K_"</f>
        <v>#VALUE!</v>
      </c>
      <c r="CV291" t="e">
        <f>Descriptions!D1+"AM:!0K`"</f>
        <v>#VALUE!</v>
      </c>
      <c r="CW291" t="e">
        <f>Descriptions!E1+"AM:!0Ka"</f>
        <v>#VALUE!</v>
      </c>
      <c r="CX291" t="e">
        <f>Descriptions!F1+"AM:!0Kb"</f>
        <v>#VALUE!</v>
      </c>
      <c r="CY291" t="e">
        <f>Descriptions!G1+"AM:!0Kc"</f>
        <v>#VALUE!</v>
      </c>
      <c r="CZ291" t="e">
        <f>Descriptions!H1+"AM:!0Kd"</f>
        <v>#VALUE!</v>
      </c>
      <c r="DA291" t="e">
        <f>Descriptions!I1+"AM:!0Ke"</f>
        <v>#VALUE!</v>
      </c>
      <c r="DB291" t="e">
        <f>Descriptions!J1+"AM:!0Kf"</f>
        <v>#VALUE!</v>
      </c>
      <c r="DC291" t="e">
        <f>Descriptions!K1+"AM:!0Kg"</f>
        <v>#VALUE!</v>
      </c>
      <c r="DD291" t="e">
        <f>Descriptions!L1+"AM:!0Kh"</f>
        <v>#VALUE!</v>
      </c>
      <c r="DE291" t="e">
        <f>Descriptions!R1+"AM:!0Ki"</f>
        <v>#VALUE!</v>
      </c>
      <c r="DF291" t="e">
        <f>Descriptions!S1+"AM:!0Kj"</f>
        <v>#VALUE!</v>
      </c>
      <c r="DG291" t="e">
        <f>Descriptions!T1+"AM:!0Kk"</f>
        <v>#VALUE!</v>
      </c>
      <c r="DH291" t="e">
        <f>Descriptions!B2+"AM:!0Kl"</f>
        <v>#VALUE!</v>
      </c>
      <c r="DI291" t="e">
        <f>Descriptions!C2+"AM:!0Km"</f>
        <v>#VALUE!</v>
      </c>
      <c r="DJ291" t="e">
        <f>Descriptions!D2+"AM:!0Kn"</f>
        <v>#VALUE!</v>
      </c>
      <c r="DK291" t="e">
        <f>Descriptions!E2+"AM:!0Ko"</f>
        <v>#VALUE!</v>
      </c>
      <c r="DL291" t="e">
        <f>Descriptions!F2+"AM:!0Kp"</f>
        <v>#VALUE!</v>
      </c>
      <c r="DM291" t="e">
        <f>Descriptions!I2+"AM:!0Kq"</f>
        <v>#VALUE!</v>
      </c>
      <c r="DN291" t="e">
        <f>Descriptions!J2+"AM:!0Kr"</f>
        <v>#VALUE!</v>
      </c>
      <c r="DO291" t="e">
        <f>Descriptions!K2+"AM:!0Ks"</f>
        <v>#VALUE!</v>
      </c>
      <c r="DP291" t="e">
        <f>Descriptions!L2+"AM:!0Kt"</f>
        <v>#VALUE!</v>
      </c>
      <c r="DQ291" t="e">
        <f>Descriptions!R2+"AM:!0Ku"</f>
        <v>#VALUE!</v>
      </c>
      <c r="DR291" t="e">
        <f>Descriptions!S2+"AM:!0Kv"</f>
        <v>#VALUE!</v>
      </c>
      <c r="DS291" t="e">
        <f>Descriptions!T2+"AM:!0Kw"</f>
        <v>#VALUE!</v>
      </c>
      <c r="DT291" t="e">
        <f>Descriptions!A3+"AM:!0Kx"</f>
        <v>#VALUE!</v>
      </c>
      <c r="DU291" t="e">
        <f>Descriptions!B3+"AM:!0Ky"</f>
        <v>#VALUE!</v>
      </c>
      <c r="DV291" t="e">
        <f>Descriptions!C3+"AM:!0Kz"</f>
        <v>#VALUE!</v>
      </c>
      <c r="DW291" t="e">
        <f>Descriptions!D3+"AM:!0K{"</f>
        <v>#VALUE!</v>
      </c>
      <c r="DX291" t="e">
        <f>Descriptions!E3+"AM:!0K|"</f>
        <v>#VALUE!</v>
      </c>
      <c r="DY291" t="e">
        <f>Descriptions!F3+"AM:!0K}"</f>
        <v>#VALUE!</v>
      </c>
      <c r="DZ291" t="e">
        <f>Descriptions!I3+"AM:!0K~"</f>
        <v>#VALUE!</v>
      </c>
      <c r="EA291" t="e">
        <f>Descriptions!J3+"AM:!0L#"</f>
        <v>#VALUE!</v>
      </c>
      <c r="EB291" t="e">
        <f>Descriptions!K3+"AM:!0L$"</f>
        <v>#VALUE!</v>
      </c>
      <c r="EC291" t="e">
        <f>Descriptions!L3+"AM:!0L%"</f>
        <v>#VALUE!</v>
      </c>
      <c r="ED291" t="e">
        <f>Descriptions!M3+"AM:!0L&amp;"</f>
        <v>#VALUE!</v>
      </c>
      <c r="EE291" t="e">
        <f>Descriptions!N3+"AM:!0L'"</f>
        <v>#VALUE!</v>
      </c>
      <c r="EF291" t="e">
        <f>Descriptions!O3+"AM:!0L("</f>
        <v>#VALUE!</v>
      </c>
      <c r="EG291" t="e">
        <f>Descriptions!P3+"AM:!0L)"</f>
        <v>#VALUE!</v>
      </c>
      <c r="EH291" t="e">
        <f>Descriptions!Q3+"AM:!0L."</f>
        <v>#VALUE!</v>
      </c>
      <c r="EI291" t="e">
        <f>Descriptions!R3+"AM:!0L/"</f>
        <v>#VALUE!</v>
      </c>
      <c r="EJ291" t="e">
        <f>Descriptions!S3+"AM:!0L0"</f>
        <v>#VALUE!</v>
      </c>
      <c r="EK291" t="e">
        <f>Descriptions!T3+"AM:!0L1"</f>
        <v>#VALUE!</v>
      </c>
      <c r="EL291" t="e">
        <f>Descriptions!A4+"AM:!0L2"</f>
        <v>#VALUE!</v>
      </c>
      <c r="EM291" t="e">
        <f>Descriptions!B4+"AM:!0L3"</f>
        <v>#VALUE!</v>
      </c>
      <c r="EN291" t="e">
        <f>Descriptions!C4+"AM:!0L4"</f>
        <v>#VALUE!</v>
      </c>
      <c r="EO291" t="e">
        <f>Descriptions!D4+"AM:!0L5"</f>
        <v>#VALUE!</v>
      </c>
      <c r="EP291" t="e">
        <f>Descriptions!E4+"AM:!0L6"</f>
        <v>#VALUE!</v>
      </c>
      <c r="EQ291" t="e">
        <f>Descriptions!F4+"AM:!0L7"</f>
        <v>#VALUE!</v>
      </c>
      <c r="ER291" t="e">
        <f>Descriptions!G4+"AM:!0L8"</f>
        <v>#VALUE!</v>
      </c>
      <c r="ES291" t="e">
        <f>Descriptions!H4+"AM:!0L9"</f>
        <v>#VALUE!</v>
      </c>
      <c r="ET291" t="e">
        <f>Descriptions!I4+"AM:!0L:"</f>
        <v>#VALUE!</v>
      </c>
      <c r="EU291" t="e">
        <f>Descriptions!J4+"AM:!0L;"</f>
        <v>#VALUE!</v>
      </c>
      <c r="EV291" t="e">
        <f>Descriptions!K4+"AM:!0L&lt;"</f>
        <v>#VALUE!</v>
      </c>
      <c r="EW291" t="e">
        <f>Descriptions!L4+"AM:!0L="</f>
        <v>#VALUE!</v>
      </c>
      <c r="EX291" t="e">
        <f>Descriptions!M4+"AM:!0L&gt;"</f>
        <v>#VALUE!</v>
      </c>
      <c r="EY291" t="e">
        <f>Descriptions!N4+"AM:!0L?"</f>
        <v>#VALUE!</v>
      </c>
      <c r="EZ291" t="e">
        <f>Descriptions!O4+"AM:!0L@"</f>
        <v>#VALUE!</v>
      </c>
      <c r="FA291" t="e">
        <f>Descriptions!P4+"AM:!0LA"</f>
        <v>#VALUE!</v>
      </c>
      <c r="FB291" t="e">
        <f>Descriptions!Q4+"AM:!0LB"</f>
        <v>#VALUE!</v>
      </c>
      <c r="FC291" t="e">
        <f>Descriptions!R4+"AM:!0LC"</f>
        <v>#VALUE!</v>
      </c>
      <c r="FD291" t="e">
        <f>Descriptions!S4+"AM:!0LD"</f>
        <v>#VALUE!</v>
      </c>
      <c r="FE291" t="e">
        <f>Descriptions!T4+"AM:!0LE"</f>
        <v>#VALUE!</v>
      </c>
      <c r="FF291" t="e">
        <f>Descriptions!A5+"AM:!0LF"</f>
        <v>#VALUE!</v>
      </c>
      <c r="FG291" t="e">
        <f>Descriptions!B5+"AM:!0LG"</f>
        <v>#VALUE!</v>
      </c>
      <c r="FH291" t="e">
        <f>Descriptions!C5+"AM:!0LH"</f>
        <v>#VALUE!</v>
      </c>
      <c r="FI291" t="e">
        <f>Descriptions!D5+"AM:!0LI"</f>
        <v>#VALUE!</v>
      </c>
      <c r="FJ291" t="e">
        <f>Descriptions!E5+"AM:!0LJ"</f>
        <v>#VALUE!</v>
      </c>
      <c r="FK291" t="e">
        <f>Descriptions!F5+"AM:!0LK"</f>
        <v>#VALUE!</v>
      </c>
      <c r="FL291" t="e">
        <f>Descriptions!G5+"AM:!0LL"</f>
        <v>#VALUE!</v>
      </c>
      <c r="FM291" t="e">
        <f>Descriptions!H5+"AM:!0LM"</f>
        <v>#VALUE!</v>
      </c>
      <c r="FN291" t="e">
        <f>Descriptions!I5+"AM:!0LN"</f>
        <v>#VALUE!</v>
      </c>
      <c r="FO291" t="e">
        <f>Descriptions!J5+"AM:!0LO"</f>
        <v>#VALUE!</v>
      </c>
      <c r="FP291" t="e">
        <f>Descriptions!K5+"AM:!0LP"</f>
        <v>#VALUE!</v>
      </c>
      <c r="FQ291" t="e">
        <f>Descriptions!L5+"AM:!0LQ"</f>
        <v>#VALUE!</v>
      </c>
      <c r="FR291" t="e">
        <f>Descriptions!M5+"AM:!0LR"</f>
        <v>#VALUE!</v>
      </c>
      <c r="FS291" t="e">
        <f>Descriptions!N5+"AM:!0LS"</f>
        <v>#VALUE!</v>
      </c>
      <c r="FT291" t="e">
        <f>Descriptions!O5+"AM:!0LT"</f>
        <v>#VALUE!</v>
      </c>
      <c r="FU291" t="e">
        <f>Descriptions!P5+"AM:!0LU"</f>
        <v>#VALUE!</v>
      </c>
      <c r="FV291" t="e">
        <f>Descriptions!Q5+"AM:!0LV"</f>
        <v>#VALUE!</v>
      </c>
      <c r="FW291" t="e">
        <f>Descriptions!R5+"AM:!0LW"</f>
        <v>#VALUE!</v>
      </c>
      <c r="FX291" t="e">
        <f>Descriptions!S5+"AM:!0LX"</f>
        <v>#VALUE!</v>
      </c>
      <c r="FY291" t="e">
        <f>Descriptions!T5+"AM:!0LY"</f>
        <v>#VALUE!</v>
      </c>
      <c r="FZ291" t="e">
        <f>Descriptions!U5+"AM:!0LZ"</f>
        <v>#VALUE!</v>
      </c>
      <c r="GA291" t="e">
        <f>Descriptions!V5+"AM:!0L["</f>
        <v>#VALUE!</v>
      </c>
      <c r="GB291" t="e">
        <f>Descriptions!W5+"AM:!0L\"</f>
        <v>#VALUE!</v>
      </c>
      <c r="GC291" t="e">
        <f>Descriptions!X5+"AM:!0L]"</f>
        <v>#VALUE!</v>
      </c>
      <c r="GD291" t="e">
        <f>Descriptions!Y5+"AM:!0L^"</f>
        <v>#VALUE!</v>
      </c>
      <c r="GE291" t="e">
        <f>Descriptions!Z5+"AM:!0L_"</f>
        <v>#VALUE!</v>
      </c>
      <c r="GF291" t="e">
        <f>Descriptions!AA5+"AM:!0L`"</f>
        <v>#VALUE!</v>
      </c>
      <c r="GG291" t="e">
        <f>Descriptions!AB5+"AM:!0La"</f>
        <v>#VALUE!</v>
      </c>
      <c r="GH291" t="e">
        <f>Descriptions!AC5+"AM:!0Lb"</f>
        <v>#VALUE!</v>
      </c>
      <c r="GI291" t="e">
        <f>Descriptions!AD5+"AM:!0Lc"</f>
        <v>#VALUE!</v>
      </c>
      <c r="GJ291" t="e">
        <f>Descriptions!AE5+"AM:!0Ld"</f>
        <v>#VALUE!</v>
      </c>
      <c r="GK291" t="e">
        <f>Descriptions!AF5+"AM:!0Le"</f>
        <v>#VALUE!</v>
      </c>
      <c r="GL291" t="e">
        <f>Descriptions!A6+"AM:!0Lf"</f>
        <v>#VALUE!</v>
      </c>
      <c r="GM291" t="e">
        <f>Descriptions!B6+"AM:!0Lg"</f>
        <v>#VALUE!</v>
      </c>
      <c r="GN291" t="e">
        <f>Descriptions!C6+"AM:!0Lh"</f>
        <v>#VALUE!</v>
      </c>
      <c r="GO291" t="e">
        <f>Descriptions!D6+"AM:!0Li"</f>
        <v>#VALUE!</v>
      </c>
      <c r="GP291" t="e">
        <f>Descriptions!E6+"AM:!0Lj"</f>
        <v>#VALUE!</v>
      </c>
      <c r="GQ291" t="e">
        <f>Descriptions!F6+"AM:!0Lk"</f>
        <v>#VALUE!</v>
      </c>
      <c r="GR291" t="e">
        <f>Descriptions!G6+"AM:!0Ll"</f>
        <v>#VALUE!</v>
      </c>
      <c r="GS291" t="e">
        <f>Descriptions!H6+"AM:!0Lm"</f>
        <v>#VALUE!</v>
      </c>
      <c r="GT291" t="e">
        <f>Descriptions!I6+"AM:!0Ln"</f>
        <v>#VALUE!</v>
      </c>
      <c r="GU291" t="e">
        <f>Descriptions!J6+"AM:!0Lo"</f>
        <v>#VALUE!</v>
      </c>
      <c r="GV291" t="e">
        <f>Descriptions!K6+"AM:!0Lp"</f>
        <v>#VALUE!</v>
      </c>
      <c r="GW291" t="e">
        <f>Descriptions!L6+"AM:!0Lq"</f>
        <v>#VALUE!</v>
      </c>
      <c r="GX291" t="e">
        <f>Descriptions!M6+"AM:!0Lr"</f>
        <v>#VALUE!</v>
      </c>
      <c r="GY291" t="e">
        <f>Descriptions!N6+"AM:!0Ls"</f>
        <v>#VALUE!</v>
      </c>
      <c r="GZ291" t="e">
        <f>Descriptions!O6+"AM:!0Lt"</f>
        <v>#VALUE!</v>
      </c>
      <c r="HA291" t="e">
        <f>Descriptions!P6+"AM:!0Lu"</f>
        <v>#VALUE!</v>
      </c>
      <c r="HB291" t="e">
        <f>Descriptions!Q6+"AM:!0Lv"</f>
        <v>#VALUE!</v>
      </c>
      <c r="HC291" t="e">
        <f>Descriptions!R6+"AM:!0Lw"</f>
        <v>#VALUE!</v>
      </c>
      <c r="HD291" t="e">
        <f>Descriptions!S6+"AM:!0Lx"</f>
        <v>#VALUE!</v>
      </c>
      <c r="HE291" t="e">
        <f>Descriptions!T6+"AM:!0Ly"</f>
        <v>#VALUE!</v>
      </c>
      <c r="HF291" t="e">
        <f>Descriptions!U6+"AM:!0Lz"</f>
        <v>#VALUE!</v>
      </c>
      <c r="HG291" t="e">
        <f>Descriptions!V6+"AM:!0L{"</f>
        <v>#VALUE!</v>
      </c>
      <c r="HH291" t="e">
        <f>Descriptions!W6+"AM:!0L|"</f>
        <v>#VALUE!</v>
      </c>
      <c r="HI291" t="e">
        <f>Descriptions!X6+"AM:!0L}"</f>
        <v>#VALUE!</v>
      </c>
      <c r="HJ291" t="e">
        <f>Descriptions!Y6+"AM:!0L~"</f>
        <v>#VALUE!</v>
      </c>
      <c r="HK291" t="e">
        <f>Descriptions!Z6+"AM:!0M#"</f>
        <v>#VALUE!</v>
      </c>
      <c r="HL291" t="e">
        <f>Descriptions!AA6+"AM:!0M$"</f>
        <v>#VALUE!</v>
      </c>
      <c r="HM291" t="e">
        <f>Descriptions!AB6+"AM:!0M%"</f>
        <v>#VALUE!</v>
      </c>
      <c r="HN291" t="e">
        <f>Descriptions!AC6+"AM:!0M&amp;"</f>
        <v>#VALUE!</v>
      </c>
      <c r="HO291" t="e">
        <f>Descriptions!AD6+"AM:!0M'"</f>
        <v>#VALUE!</v>
      </c>
      <c r="HP291" t="e">
        <f>Descriptions!AE6+"AM:!0M("</f>
        <v>#VALUE!</v>
      </c>
      <c r="HQ291" t="e">
        <f>Descriptions!AF6+"AM:!0M)"</f>
        <v>#VALUE!</v>
      </c>
      <c r="HR291" t="e">
        <f>Descriptions!A7+"AM:!0M."</f>
        <v>#VALUE!</v>
      </c>
      <c r="HS291" t="e">
        <f>Descriptions!B7+"AM:!0M/"</f>
        <v>#VALUE!</v>
      </c>
      <c r="HT291" t="e">
        <f>Descriptions!C7+"AM:!0M0"</f>
        <v>#VALUE!</v>
      </c>
      <c r="HU291" t="e">
        <f>Descriptions!D7+"AM:!0M1"</f>
        <v>#VALUE!</v>
      </c>
      <c r="HV291" t="e">
        <f>Descriptions!E7+"AM:!0M2"</f>
        <v>#VALUE!</v>
      </c>
      <c r="HW291" t="e">
        <f>Descriptions!F7+"AM:!0M3"</f>
        <v>#VALUE!</v>
      </c>
      <c r="HX291" t="e">
        <f>Descriptions!G7+"AM:!0M4"</f>
        <v>#VALUE!</v>
      </c>
      <c r="HY291" t="e">
        <f>Descriptions!H7+"AM:!0M5"</f>
        <v>#VALUE!</v>
      </c>
      <c r="HZ291" t="e">
        <f>Descriptions!I7+"AM:!0M6"</f>
        <v>#VALUE!</v>
      </c>
      <c r="IA291" t="e">
        <f>Descriptions!J7+"AM:!0M7"</f>
        <v>#VALUE!</v>
      </c>
      <c r="IB291" t="e">
        <f>Descriptions!K7+"AM:!0M8"</f>
        <v>#VALUE!</v>
      </c>
      <c r="IC291" t="e">
        <f>Descriptions!L7+"AM:!0M9"</f>
        <v>#VALUE!</v>
      </c>
      <c r="ID291" t="e">
        <f>Descriptions!M7+"AM:!0M:"</f>
        <v>#VALUE!</v>
      </c>
      <c r="IE291" t="e">
        <f>Descriptions!N7+"AM:!0M;"</f>
        <v>#VALUE!</v>
      </c>
      <c r="IF291" t="e">
        <f>Descriptions!O7+"AM:!0M&lt;"</f>
        <v>#VALUE!</v>
      </c>
      <c r="IG291" t="e">
        <f>Descriptions!P7+"AM:!0M="</f>
        <v>#VALUE!</v>
      </c>
      <c r="IH291" t="e">
        <f>Descriptions!Q7+"AM:!0M&gt;"</f>
        <v>#VALUE!</v>
      </c>
      <c r="II291" t="e">
        <f>Descriptions!R7+"AM:!0M?"</f>
        <v>#VALUE!</v>
      </c>
      <c r="IJ291" t="e">
        <f>Descriptions!S7+"AM:!0M@"</f>
        <v>#VALUE!</v>
      </c>
      <c r="IK291" t="e">
        <f>Descriptions!T7+"AM:!0MA"</f>
        <v>#VALUE!</v>
      </c>
      <c r="IL291" t="e">
        <f>Descriptions!U7+"AM:!0MB"</f>
        <v>#VALUE!</v>
      </c>
      <c r="IM291" t="e">
        <f>Descriptions!V7+"AM:!0MC"</f>
        <v>#VALUE!</v>
      </c>
      <c r="IN291" t="e">
        <f>Descriptions!W7+"AM:!0MD"</f>
        <v>#VALUE!</v>
      </c>
      <c r="IO291" t="e">
        <f>Descriptions!X7+"AM:!0ME"</f>
        <v>#VALUE!</v>
      </c>
      <c r="IP291" t="e">
        <f>Descriptions!Y7+"AM:!0MF"</f>
        <v>#VALUE!</v>
      </c>
      <c r="IQ291" t="e">
        <f>Descriptions!Z7+"AM:!0MG"</f>
        <v>#VALUE!</v>
      </c>
      <c r="IR291" t="e">
        <f>Descriptions!AA7+"AM:!0MH"</f>
        <v>#VALUE!</v>
      </c>
      <c r="IS291" t="e">
        <f>Descriptions!AB7+"AM:!0MI"</f>
        <v>#VALUE!</v>
      </c>
      <c r="IT291" t="e">
        <f>Descriptions!AC7+"AM:!0MJ"</f>
        <v>#VALUE!</v>
      </c>
      <c r="IU291" t="e">
        <f>Descriptions!AD7+"AM:!0MK"</f>
        <v>#VALUE!</v>
      </c>
      <c r="IV291" t="e">
        <f>Descriptions!AE7+"AM:!0ML"</f>
        <v>#VALUE!</v>
      </c>
    </row>
    <row r="292" spans="6:256">
      <c r="F292" t="e">
        <f>Descriptions!AF7+"AM:!0MM"</f>
        <v>#VALUE!</v>
      </c>
      <c r="G292" t="e">
        <f>Descriptions!A8+"AM:!0MN"</f>
        <v>#VALUE!</v>
      </c>
      <c r="H292" t="e">
        <f>Descriptions!B8+"AM:!0MO"</f>
        <v>#VALUE!</v>
      </c>
      <c r="I292" t="e">
        <f>Descriptions!C8+"AM:!0MP"</f>
        <v>#VALUE!</v>
      </c>
      <c r="J292" t="e">
        <f>Descriptions!D8+"AM:!0MQ"</f>
        <v>#VALUE!</v>
      </c>
      <c r="K292" t="e">
        <f>Descriptions!E8+"AM:!0MR"</f>
        <v>#VALUE!</v>
      </c>
      <c r="L292" t="e">
        <f>Descriptions!F8+"AM:!0MS"</f>
        <v>#VALUE!</v>
      </c>
      <c r="M292" t="e">
        <f>Descriptions!G8+"AM:!0MT"</f>
        <v>#VALUE!</v>
      </c>
      <c r="N292" t="e">
        <f>Descriptions!H8+"AM:!0MU"</f>
        <v>#VALUE!</v>
      </c>
      <c r="O292" t="e">
        <f>Descriptions!I8+"AM:!0MV"</f>
        <v>#VALUE!</v>
      </c>
      <c r="P292" t="e">
        <f>Descriptions!J8+"AM:!0MW"</f>
        <v>#VALUE!</v>
      </c>
      <c r="Q292" t="e">
        <f>Descriptions!K8+"AM:!0MX"</f>
        <v>#VALUE!</v>
      </c>
      <c r="R292" t="e">
        <f>Descriptions!L8+"AM:!0MY"</f>
        <v>#VALUE!</v>
      </c>
      <c r="S292" t="e">
        <f>Descriptions!M8+"AM:!0MZ"</f>
        <v>#VALUE!</v>
      </c>
      <c r="T292" t="e">
        <f>Descriptions!N8+"AM:!0M["</f>
        <v>#VALUE!</v>
      </c>
      <c r="U292" t="e">
        <f>Descriptions!O8+"AM:!0M\"</f>
        <v>#VALUE!</v>
      </c>
      <c r="V292" t="e">
        <f>Descriptions!P8+"AM:!0M]"</f>
        <v>#VALUE!</v>
      </c>
      <c r="W292" t="e">
        <f>Descriptions!Q8+"AM:!0M^"</f>
        <v>#VALUE!</v>
      </c>
      <c r="X292" t="e">
        <f>Descriptions!R8+"AM:!0M_"</f>
        <v>#VALUE!</v>
      </c>
      <c r="Y292" t="e">
        <f>Descriptions!S8+"AM:!0M`"</f>
        <v>#VALUE!</v>
      </c>
      <c r="Z292" t="e">
        <f>Descriptions!T8+"AM:!0Ma"</f>
        <v>#VALUE!</v>
      </c>
      <c r="AA292" t="e">
        <f>Descriptions!U8+"AM:!0Mb"</f>
        <v>#VALUE!</v>
      </c>
      <c r="AB292" t="e">
        <f>Descriptions!V8+"AM:!0Mc"</f>
        <v>#VALUE!</v>
      </c>
      <c r="AC292" t="e">
        <f>Descriptions!W8+"AM:!0Md"</f>
        <v>#VALUE!</v>
      </c>
      <c r="AD292" t="e">
        <f>Descriptions!X8+"AM:!0Me"</f>
        <v>#VALUE!</v>
      </c>
      <c r="AE292" t="e">
        <f>Descriptions!Y8+"AM:!0Mf"</f>
        <v>#VALUE!</v>
      </c>
      <c r="AF292" t="e">
        <f>Descriptions!Z8+"AM:!0Mg"</f>
        <v>#VALUE!</v>
      </c>
      <c r="AG292" t="e">
        <f>Descriptions!AA8+"AM:!0Mh"</f>
        <v>#VALUE!</v>
      </c>
      <c r="AH292" t="e">
        <f>Descriptions!AB8+"AM:!0Mi"</f>
        <v>#VALUE!</v>
      </c>
      <c r="AI292" t="e">
        <f>Descriptions!AC8+"AM:!0Mj"</f>
        <v>#VALUE!</v>
      </c>
      <c r="AJ292" t="e">
        <f>Descriptions!AD8+"AM:!0Mk"</f>
        <v>#VALUE!</v>
      </c>
      <c r="AK292" t="e">
        <f>Descriptions!AE8+"AM:!0Ml"</f>
        <v>#VALUE!</v>
      </c>
      <c r="AL292" t="e">
        <f>Descriptions!AF8+"AM:!0Mm"</f>
        <v>#VALUE!</v>
      </c>
      <c r="AM292" t="e">
        <f>Descriptions!A9+"AM:!0Mn"</f>
        <v>#VALUE!</v>
      </c>
      <c r="AN292" t="e">
        <f>Descriptions!B9+"AM:!0Mo"</f>
        <v>#VALUE!</v>
      </c>
      <c r="AO292" t="e">
        <f>Descriptions!C9+"AM:!0Mp"</f>
        <v>#VALUE!</v>
      </c>
      <c r="AP292" t="e">
        <f>Descriptions!D9+"AM:!0Mq"</f>
        <v>#VALUE!</v>
      </c>
      <c r="AQ292" t="e">
        <f>Descriptions!E9+"AM:!0Mr"</f>
        <v>#VALUE!</v>
      </c>
      <c r="AR292" t="e">
        <f>Descriptions!F9+"AM:!0Ms"</f>
        <v>#VALUE!</v>
      </c>
      <c r="AS292" t="e">
        <f>Descriptions!G9+"AM:!0Mt"</f>
        <v>#VALUE!</v>
      </c>
      <c r="AT292" t="e">
        <f>Descriptions!H9+"AM:!0Mu"</f>
        <v>#VALUE!</v>
      </c>
      <c r="AU292" t="e">
        <f>Descriptions!I9+"AM:!0Mv"</f>
        <v>#VALUE!</v>
      </c>
      <c r="AV292" t="e">
        <f>Descriptions!J9+"AM:!0Mw"</f>
        <v>#VALUE!</v>
      </c>
      <c r="AW292" t="e">
        <f>Descriptions!K9+"AM:!0Mx"</f>
        <v>#VALUE!</v>
      </c>
      <c r="AX292" t="e">
        <f>Descriptions!L9+"AM:!0My"</f>
        <v>#VALUE!</v>
      </c>
      <c r="AY292" t="e">
        <f>Descriptions!M9+"AM:!0Mz"</f>
        <v>#VALUE!</v>
      </c>
      <c r="AZ292" t="e">
        <f>Descriptions!N9+"AM:!0M{"</f>
        <v>#VALUE!</v>
      </c>
      <c r="BA292" t="e">
        <f>Descriptions!O9+"AM:!0M|"</f>
        <v>#VALUE!</v>
      </c>
      <c r="BB292" t="e">
        <f>Descriptions!P9+"AM:!0M}"</f>
        <v>#VALUE!</v>
      </c>
      <c r="BC292" t="e">
        <f>Descriptions!Q9+"AM:!0M~"</f>
        <v>#VALUE!</v>
      </c>
      <c r="BD292" t="e">
        <f>Descriptions!R9+"AM:!0N#"</f>
        <v>#VALUE!</v>
      </c>
      <c r="BE292" t="e">
        <f>Descriptions!S9+"AM:!0N$"</f>
        <v>#VALUE!</v>
      </c>
      <c r="BF292" t="e">
        <f>Descriptions!T9+"AM:!0N%"</f>
        <v>#VALUE!</v>
      </c>
      <c r="BG292" t="e">
        <f>Descriptions!U9+"AM:!0N&amp;"</f>
        <v>#VALUE!</v>
      </c>
      <c r="BH292" t="e">
        <f>Descriptions!V9+"AM:!0N'"</f>
        <v>#VALUE!</v>
      </c>
      <c r="BI292" t="e">
        <f>Descriptions!W9+"AM:!0N("</f>
        <v>#VALUE!</v>
      </c>
      <c r="BJ292" t="e">
        <f>Descriptions!X9+"AM:!0N)"</f>
        <v>#VALUE!</v>
      </c>
      <c r="BK292" t="e">
        <f>Descriptions!Y9+"AM:!0N."</f>
        <v>#VALUE!</v>
      </c>
      <c r="BL292" t="e">
        <f>Descriptions!Z9+"AM:!0N/"</f>
        <v>#VALUE!</v>
      </c>
      <c r="BM292" t="e">
        <f>Descriptions!AA9+"AM:!0N0"</f>
        <v>#VALUE!</v>
      </c>
      <c r="BN292" t="e">
        <f>Descriptions!AB9+"AM:!0N1"</f>
        <v>#VALUE!</v>
      </c>
      <c r="BO292" t="e">
        <f>Descriptions!AC9+"AM:!0N2"</f>
        <v>#VALUE!</v>
      </c>
      <c r="BP292" t="e">
        <f>Descriptions!AD9+"AM:!0N3"</f>
        <v>#VALUE!</v>
      </c>
      <c r="BQ292" t="e">
        <f>Descriptions!AE9+"AM:!0N4"</f>
        <v>#VALUE!</v>
      </c>
      <c r="BR292" t="e">
        <f>Descriptions!AF9+"AM:!0N5"</f>
        <v>#VALUE!</v>
      </c>
      <c r="BS292" t="e">
        <f>Descriptions!A10+"AM:!0N6"</f>
        <v>#VALUE!</v>
      </c>
      <c r="BT292" t="e">
        <f>Descriptions!B10+"AM:!0N7"</f>
        <v>#VALUE!</v>
      </c>
      <c r="BU292" t="e">
        <f>Descriptions!C10+"AM:!0N8"</f>
        <v>#VALUE!</v>
      </c>
      <c r="BV292" t="e">
        <f>Descriptions!D10+"AM:!0N9"</f>
        <v>#VALUE!</v>
      </c>
      <c r="BW292" t="e">
        <f>Descriptions!E10+"AM:!0N:"</f>
        <v>#VALUE!</v>
      </c>
      <c r="BX292" t="e">
        <f>Descriptions!F10+"AM:!0N;"</f>
        <v>#VALUE!</v>
      </c>
      <c r="BY292" t="e">
        <f>Descriptions!G10+"AM:!0N&lt;"</f>
        <v>#VALUE!</v>
      </c>
      <c r="BZ292" t="e">
        <f>Descriptions!H10+"AM:!0N="</f>
        <v>#VALUE!</v>
      </c>
      <c r="CA292" t="e">
        <f>Descriptions!I10+"AM:!0N&gt;"</f>
        <v>#VALUE!</v>
      </c>
      <c r="CB292" t="e">
        <f>Descriptions!J10+"AM:!0N?"</f>
        <v>#VALUE!</v>
      </c>
      <c r="CC292" t="e">
        <f>Descriptions!K10+"AM:!0N@"</f>
        <v>#VALUE!</v>
      </c>
      <c r="CD292" t="e">
        <f>Descriptions!L10+"AM:!0NA"</f>
        <v>#VALUE!</v>
      </c>
      <c r="CE292" t="e">
        <f>Descriptions!M10+"AM:!0NB"</f>
        <v>#VALUE!</v>
      </c>
      <c r="CF292" t="e">
        <f>Descriptions!N10+"AM:!0NC"</f>
        <v>#VALUE!</v>
      </c>
      <c r="CG292" t="e">
        <f>Descriptions!O10+"AM:!0ND"</f>
        <v>#VALUE!</v>
      </c>
      <c r="CH292" t="e">
        <f>Descriptions!P10+"AM:!0NE"</f>
        <v>#VALUE!</v>
      </c>
      <c r="CI292" t="e">
        <f>Descriptions!Q10+"AM:!0NF"</f>
        <v>#VALUE!</v>
      </c>
      <c r="CJ292" t="e">
        <f>Descriptions!R10+"AM:!0NG"</f>
        <v>#VALUE!</v>
      </c>
      <c r="CK292" t="e">
        <f>Descriptions!S10+"AM:!0NH"</f>
        <v>#VALUE!</v>
      </c>
      <c r="CL292" t="e">
        <f>Descriptions!T10+"AM:!0NI"</f>
        <v>#VALUE!</v>
      </c>
      <c r="CM292" t="e">
        <f>Descriptions!U10+"AM:!0NJ"</f>
        <v>#VALUE!</v>
      </c>
      <c r="CN292" t="e">
        <f>Descriptions!V10+"AM:!0NK"</f>
        <v>#VALUE!</v>
      </c>
      <c r="CO292" t="e">
        <f>Descriptions!W10+"AM:!0NL"</f>
        <v>#VALUE!</v>
      </c>
      <c r="CP292" t="e">
        <f>Descriptions!X10+"AM:!0NM"</f>
        <v>#VALUE!</v>
      </c>
      <c r="CQ292" t="e">
        <f>Descriptions!Y10+"AM:!0NN"</f>
        <v>#VALUE!</v>
      </c>
      <c r="CR292" t="e">
        <f>Descriptions!Z10+"AM:!0NO"</f>
        <v>#VALUE!</v>
      </c>
      <c r="CS292" t="e">
        <f>Descriptions!AA10+"AM:!0NP"</f>
        <v>#VALUE!</v>
      </c>
      <c r="CT292" t="e">
        <f>Descriptions!AB10+"AM:!0NQ"</f>
        <v>#VALUE!</v>
      </c>
      <c r="CU292" t="e">
        <f>Descriptions!AC10+"AM:!0NR"</f>
        <v>#VALUE!</v>
      </c>
      <c r="CV292" t="e">
        <f>Descriptions!AD10+"AM:!0NS"</f>
        <v>#VALUE!</v>
      </c>
      <c r="CW292" t="e">
        <f>Descriptions!AE10+"AM:!0NT"</f>
        <v>#VALUE!</v>
      </c>
      <c r="CX292" t="e">
        <f>Descriptions!AF10+"AM:!0NU"</f>
        <v>#VALUE!</v>
      </c>
      <c r="CY292" t="e">
        <f>Descriptions!A11+"AM:!0NV"</f>
        <v>#VALUE!</v>
      </c>
      <c r="CZ292" t="e">
        <f>Descriptions!B11+"AM:!0NW"</f>
        <v>#VALUE!</v>
      </c>
      <c r="DA292" t="e">
        <f>Descriptions!C11+"AM:!0NX"</f>
        <v>#VALUE!</v>
      </c>
      <c r="DB292" t="e">
        <f>Descriptions!D11+"AM:!0NY"</f>
        <v>#VALUE!</v>
      </c>
      <c r="DC292" t="e">
        <f>Descriptions!E11+"AM:!0NZ"</f>
        <v>#VALUE!</v>
      </c>
      <c r="DD292" t="e">
        <f>Descriptions!F11+"AM:!0N["</f>
        <v>#VALUE!</v>
      </c>
      <c r="DE292" t="e">
        <f>Descriptions!G11+"AM:!0N\"</f>
        <v>#VALUE!</v>
      </c>
      <c r="DF292" t="e">
        <f>Descriptions!H11+"AM:!0N]"</f>
        <v>#VALUE!</v>
      </c>
      <c r="DG292" t="e">
        <f>Descriptions!I11+"AM:!0N^"</f>
        <v>#VALUE!</v>
      </c>
      <c r="DH292" t="e">
        <f>Descriptions!J11+"AM:!0N_"</f>
        <v>#VALUE!</v>
      </c>
      <c r="DI292" t="e">
        <f>Descriptions!K11+"AM:!0N`"</f>
        <v>#VALUE!</v>
      </c>
      <c r="DJ292" t="e">
        <f>Descriptions!L11+"AM:!0Na"</f>
        <v>#VALUE!</v>
      </c>
      <c r="DK292" t="e">
        <f>Descriptions!M11+"AM:!0Nb"</f>
        <v>#VALUE!</v>
      </c>
      <c r="DL292" t="e">
        <f>Descriptions!N11+"AM:!0Nc"</f>
        <v>#VALUE!</v>
      </c>
      <c r="DM292" t="e">
        <f>Descriptions!O11+"AM:!0Nd"</f>
        <v>#VALUE!</v>
      </c>
      <c r="DN292" t="e">
        <f>Descriptions!P11+"AM:!0Ne"</f>
        <v>#VALUE!</v>
      </c>
      <c r="DO292" t="e">
        <f>Descriptions!Q11+"AM:!0Nf"</f>
        <v>#VALUE!</v>
      </c>
      <c r="DP292" t="e">
        <f>Descriptions!R11+"AM:!0Ng"</f>
        <v>#VALUE!</v>
      </c>
      <c r="DQ292" t="e">
        <f>Descriptions!S11+"AM:!0Nh"</f>
        <v>#VALUE!</v>
      </c>
      <c r="DR292" t="e">
        <f>Descriptions!T11+"AM:!0Ni"</f>
        <v>#VALUE!</v>
      </c>
      <c r="DS292" t="e">
        <f>Descriptions!U11+"AM:!0Nj"</f>
        <v>#VALUE!</v>
      </c>
      <c r="DT292" t="e">
        <f>Descriptions!V11+"AM:!0Nk"</f>
        <v>#VALUE!</v>
      </c>
      <c r="DU292" t="e">
        <f>Descriptions!W11+"AM:!0Nl"</f>
        <v>#VALUE!</v>
      </c>
      <c r="DV292" t="e">
        <f>Descriptions!X11+"AM:!0Nm"</f>
        <v>#VALUE!</v>
      </c>
      <c r="DW292" t="e">
        <f>Descriptions!Y11+"AM:!0Nn"</f>
        <v>#VALUE!</v>
      </c>
      <c r="DX292" t="e">
        <f>Descriptions!Z11+"AM:!0No"</f>
        <v>#VALUE!</v>
      </c>
      <c r="DY292" t="e">
        <f>Descriptions!AA11+"AM:!0Np"</f>
        <v>#VALUE!</v>
      </c>
      <c r="DZ292" t="e">
        <f>Descriptions!AB11+"AM:!0Nq"</f>
        <v>#VALUE!</v>
      </c>
      <c r="EA292" t="e">
        <f>Descriptions!AC11+"AM:!0Nr"</f>
        <v>#VALUE!</v>
      </c>
      <c r="EB292" t="e">
        <f>Descriptions!AD11+"AM:!0Ns"</f>
        <v>#VALUE!</v>
      </c>
      <c r="EC292" t="e">
        <f>Descriptions!AE11+"AM:!0Nt"</f>
        <v>#VALUE!</v>
      </c>
      <c r="ED292" t="e">
        <f>Descriptions!AF11+"AM:!0Nu"</f>
        <v>#VALUE!</v>
      </c>
      <c r="EE292" t="e">
        <f>Descriptions!A12+"AM:!0Nv"</f>
        <v>#VALUE!</v>
      </c>
      <c r="EF292" t="e">
        <f>Descriptions!B12+"AM:!0Nw"</f>
        <v>#VALUE!</v>
      </c>
      <c r="EG292" t="e">
        <f>Descriptions!C12+"AM:!0Nx"</f>
        <v>#VALUE!</v>
      </c>
      <c r="EH292" t="e">
        <f>Descriptions!D12+"AM:!0Ny"</f>
        <v>#VALUE!</v>
      </c>
      <c r="EI292" t="e">
        <f>Descriptions!E12+"AM:!0Nz"</f>
        <v>#VALUE!</v>
      </c>
      <c r="EJ292" t="e">
        <f>Descriptions!F12+"AM:!0N{"</f>
        <v>#VALUE!</v>
      </c>
      <c r="EK292" t="e">
        <f>Descriptions!G12+"AM:!0N|"</f>
        <v>#VALUE!</v>
      </c>
      <c r="EL292" t="e">
        <f>Descriptions!H12+"AM:!0N}"</f>
        <v>#VALUE!</v>
      </c>
      <c r="EM292" t="e">
        <f>Descriptions!I12+"AM:!0N~"</f>
        <v>#VALUE!</v>
      </c>
      <c r="EN292" t="e">
        <f>Descriptions!J12+"AM:!0O#"</f>
        <v>#VALUE!</v>
      </c>
      <c r="EO292" t="e">
        <f>Descriptions!K12+"AM:!0O$"</f>
        <v>#VALUE!</v>
      </c>
      <c r="EP292" t="e">
        <f>Descriptions!L12+"AM:!0O%"</f>
        <v>#VALUE!</v>
      </c>
      <c r="EQ292" t="e">
        <f>Descriptions!M12+"AM:!0O&amp;"</f>
        <v>#VALUE!</v>
      </c>
      <c r="ER292" t="e">
        <f>Descriptions!N12+"AM:!0O'"</f>
        <v>#VALUE!</v>
      </c>
      <c r="ES292" t="e">
        <f>Descriptions!O12+"AM:!0O("</f>
        <v>#VALUE!</v>
      </c>
      <c r="ET292" t="e">
        <f>Descriptions!P12+"AM:!0O)"</f>
        <v>#VALUE!</v>
      </c>
      <c r="EU292" t="e">
        <f>Descriptions!Q12+"AM:!0O."</f>
        <v>#VALUE!</v>
      </c>
      <c r="EV292" t="e">
        <f>Descriptions!R12+"AM:!0O/"</f>
        <v>#VALUE!</v>
      </c>
      <c r="EW292" t="e">
        <f>Descriptions!S12+"AM:!0O0"</f>
        <v>#VALUE!</v>
      </c>
      <c r="EX292" t="e">
        <f>Descriptions!T12+"AM:!0O1"</f>
        <v>#VALUE!</v>
      </c>
      <c r="EY292" t="e">
        <f>Descriptions!U12+"AM:!0O2"</f>
        <v>#VALUE!</v>
      </c>
      <c r="EZ292" t="e">
        <f>Descriptions!V12+"AM:!0O3"</f>
        <v>#VALUE!</v>
      </c>
      <c r="FA292" t="e">
        <f>Descriptions!W12+"AM:!0O4"</f>
        <v>#VALUE!</v>
      </c>
      <c r="FB292" t="e">
        <f>Descriptions!X12+"AM:!0O5"</f>
        <v>#VALUE!</v>
      </c>
      <c r="FC292" t="e">
        <f>Descriptions!Y12+"AM:!0O6"</f>
        <v>#VALUE!</v>
      </c>
      <c r="FD292" t="e">
        <f>Descriptions!Z12+"AM:!0O7"</f>
        <v>#VALUE!</v>
      </c>
      <c r="FE292" t="e">
        <f>Descriptions!AA12+"AM:!0O8"</f>
        <v>#VALUE!</v>
      </c>
      <c r="FF292" t="e">
        <f>Descriptions!AB12+"AM:!0O9"</f>
        <v>#VALUE!</v>
      </c>
      <c r="FG292" t="e">
        <f>Descriptions!AC12+"AM:!0O:"</f>
        <v>#VALUE!</v>
      </c>
      <c r="FH292" t="e">
        <f>Descriptions!AD12+"AM:!0O;"</f>
        <v>#VALUE!</v>
      </c>
      <c r="FI292" t="e">
        <f>Descriptions!AE12+"AM:!0O&lt;"</f>
        <v>#VALUE!</v>
      </c>
      <c r="FJ292" t="e">
        <f>Descriptions!AF12+"AM:!0O="</f>
        <v>#VALUE!</v>
      </c>
      <c r="FK292" t="e">
        <f>Descriptions!A13+"AM:!0O&gt;"</f>
        <v>#VALUE!</v>
      </c>
      <c r="FL292" t="e">
        <f>Descriptions!B13+"AM:!0O?"</f>
        <v>#VALUE!</v>
      </c>
      <c r="FM292" t="e">
        <f>Descriptions!C13+"AM:!0O@"</f>
        <v>#VALUE!</v>
      </c>
      <c r="FN292" t="e">
        <f>Descriptions!D13+"AM:!0OA"</f>
        <v>#VALUE!</v>
      </c>
      <c r="FO292" t="e">
        <f>Descriptions!E13+"AM:!0OB"</f>
        <v>#VALUE!</v>
      </c>
      <c r="FP292" t="e">
        <f>Descriptions!F13+"AM:!0OC"</f>
        <v>#VALUE!</v>
      </c>
      <c r="FQ292" t="e">
        <f>Descriptions!G13+"AM:!0OD"</f>
        <v>#VALUE!</v>
      </c>
      <c r="FR292" t="e">
        <f>Descriptions!H13+"AM:!0OE"</f>
        <v>#VALUE!</v>
      </c>
      <c r="FS292" t="e">
        <f>Descriptions!I13+"AM:!0OF"</f>
        <v>#VALUE!</v>
      </c>
      <c r="FT292" t="e">
        <f>Descriptions!J13+"AM:!0OG"</f>
        <v>#VALUE!</v>
      </c>
      <c r="FU292" t="e">
        <f>Descriptions!K13+"AM:!0OH"</f>
        <v>#VALUE!</v>
      </c>
      <c r="FV292" t="e">
        <f>Descriptions!L13+"AM:!0OI"</f>
        <v>#VALUE!</v>
      </c>
      <c r="FW292" t="e">
        <f>Descriptions!M13+"AM:!0OJ"</f>
        <v>#VALUE!</v>
      </c>
      <c r="FX292" t="e">
        <f>Descriptions!N13+"AM:!0OK"</f>
        <v>#VALUE!</v>
      </c>
      <c r="FY292" t="e">
        <f>Descriptions!O13+"AM:!0OL"</f>
        <v>#VALUE!</v>
      </c>
      <c r="FZ292" t="e">
        <f>Descriptions!P13+"AM:!0OM"</f>
        <v>#VALUE!</v>
      </c>
      <c r="GA292" t="e">
        <f>Descriptions!Q13+"AM:!0ON"</f>
        <v>#VALUE!</v>
      </c>
      <c r="GB292" t="e">
        <f>Descriptions!R13+"AM:!0OO"</f>
        <v>#VALUE!</v>
      </c>
      <c r="GC292" t="e">
        <f>Descriptions!S13+"AM:!0OP"</f>
        <v>#VALUE!</v>
      </c>
      <c r="GD292" t="e">
        <f>Descriptions!T13+"AM:!0OQ"</f>
        <v>#VALUE!</v>
      </c>
      <c r="GE292" t="e">
        <f>Descriptions!U13+"AM:!0OR"</f>
        <v>#VALUE!</v>
      </c>
      <c r="GF292" t="e">
        <f>Descriptions!V13+"AM:!0OS"</f>
        <v>#VALUE!</v>
      </c>
      <c r="GG292" t="e">
        <f>Descriptions!W13+"AM:!0OT"</f>
        <v>#VALUE!</v>
      </c>
      <c r="GH292" t="e">
        <f>Descriptions!X13+"AM:!0OU"</f>
        <v>#VALUE!</v>
      </c>
      <c r="GI292" t="e">
        <f>Descriptions!Y13+"AM:!0OV"</f>
        <v>#VALUE!</v>
      </c>
      <c r="GJ292" t="e">
        <f>Descriptions!Z13+"AM:!0OW"</f>
        <v>#VALUE!</v>
      </c>
      <c r="GK292" t="e">
        <f>Descriptions!AA13+"AM:!0OX"</f>
        <v>#VALUE!</v>
      </c>
      <c r="GL292" t="e">
        <f>Descriptions!AB13+"AM:!0OY"</f>
        <v>#VALUE!</v>
      </c>
      <c r="GM292" t="e">
        <f>Descriptions!AC13+"AM:!0OZ"</f>
        <v>#VALUE!</v>
      </c>
      <c r="GN292" t="e">
        <f>Descriptions!AD13+"AM:!0O["</f>
        <v>#VALUE!</v>
      </c>
      <c r="GO292" t="e">
        <f>Descriptions!AE13+"AM:!0O\"</f>
        <v>#VALUE!</v>
      </c>
      <c r="GP292" t="e">
        <f>Descriptions!AF13+"AM:!0O]"</f>
        <v>#VALUE!</v>
      </c>
      <c r="GQ292" t="e">
        <f>Descriptions!A14+"AM:!0O^"</f>
        <v>#VALUE!</v>
      </c>
      <c r="GR292" t="e">
        <f>Descriptions!B14+"AM:!0O_"</f>
        <v>#VALUE!</v>
      </c>
      <c r="GS292" t="e">
        <f>Descriptions!C14+"AM:!0O`"</f>
        <v>#VALUE!</v>
      </c>
      <c r="GT292" t="e">
        <f>Descriptions!D14+"AM:!0Oa"</f>
        <v>#VALUE!</v>
      </c>
      <c r="GU292" t="e">
        <f>Descriptions!E14+"AM:!0Ob"</f>
        <v>#VALUE!</v>
      </c>
      <c r="GV292" t="e">
        <f>Descriptions!F14+"AM:!0Oc"</f>
        <v>#VALUE!</v>
      </c>
      <c r="GW292" t="e">
        <f>Descriptions!G14+"AM:!0Od"</f>
        <v>#VALUE!</v>
      </c>
      <c r="GX292" t="e">
        <f>Descriptions!H14+"AM:!0Oe"</f>
        <v>#VALUE!</v>
      </c>
      <c r="GY292" t="e">
        <f>Descriptions!I14+"AM:!0Of"</f>
        <v>#VALUE!</v>
      </c>
      <c r="GZ292" t="e">
        <f>Descriptions!J14+"AM:!0Og"</f>
        <v>#VALUE!</v>
      </c>
      <c r="HA292" t="e">
        <f>Descriptions!K14+"AM:!0Oh"</f>
        <v>#VALUE!</v>
      </c>
      <c r="HB292" t="e">
        <f>Descriptions!L14+"AM:!0Oi"</f>
        <v>#VALUE!</v>
      </c>
      <c r="HC292" t="e">
        <f>Descriptions!M14+"AM:!0Oj"</f>
        <v>#VALUE!</v>
      </c>
      <c r="HD292" t="e">
        <f>Descriptions!N14+"AM:!0Ok"</f>
        <v>#VALUE!</v>
      </c>
      <c r="HE292" t="e">
        <f>Descriptions!O14+"AM:!0Ol"</f>
        <v>#VALUE!</v>
      </c>
      <c r="HF292" t="e">
        <f>Descriptions!P14+"AM:!0Om"</f>
        <v>#VALUE!</v>
      </c>
      <c r="HG292" t="e">
        <f>Descriptions!Q14+"AM:!0On"</f>
        <v>#VALUE!</v>
      </c>
      <c r="HH292" t="e">
        <f>Descriptions!R14+"AM:!0Oo"</f>
        <v>#VALUE!</v>
      </c>
      <c r="HI292" t="e">
        <f>Descriptions!S14+"AM:!0Op"</f>
        <v>#VALUE!</v>
      </c>
      <c r="HJ292" t="e">
        <f>Descriptions!T14+"AM:!0Oq"</f>
        <v>#VALUE!</v>
      </c>
      <c r="HK292" t="e">
        <f>Descriptions!U14+"AM:!0Or"</f>
        <v>#VALUE!</v>
      </c>
      <c r="HL292" t="e">
        <f>Descriptions!V14+"AM:!0Os"</f>
        <v>#VALUE!</v>
      </c>
      <c r="HM292" t="e">
        <f>Descriptions!W14+"AM:!0Ot"</f>
        <v>#VALUE!</v>
      </c>
      <c r="HN292" t="e">
        <f>Descriptions!X14+"AM:!0Ou"</f>
        <v>#VALUE!</v>
      </c>
      <c r="HO292" t="e">
        <f>Descriptions!Y14+"AM:!0Ov"</f>
        <v>#VALUE!</v>
      </c>
      <c r="HP292" t="e">
        <f>Descriptions!Z14+"AM:!0Ow"</f>
        <v>#VALUE!</v>
      </c>
      <c r="HQ292" t="e">
        <f>Descriptions!AA14+"AM:!0Ox"</f>
        <v>#VALUE!</v>
      </c>
      <c r="HR292" t="e">
        <f>Descriptions!AB14+"AM:!0Oy"</f>
        <v>#VALUE!</v>
      </c>
      <c r="HS292" t="e">
        <f>Descriptions!AC14+"AM:!0Oz"</f>
        <v>#VALUE!</v>
      </c>
      <c r="HT292" t="e">
        <f>Descriptions!AD14+"AM:!0O{"</f>
        <v>#VALUE!</v>
      </c>
      <c r="HU292" t="e">
        <f>Descriptions!AE14+"AM:!0O|"</f>
        <v>#VALUE!</v>
      </c>
      <c r="HV292" t="e">
        <f>Descriptions!AF14+"AM:!0O}"</f>
        <v>#VALUE!</v>
      </c>
      <c r="HW292" t="e">
        <f>Descriptions!A15+"AM:!0O~"</f>
        <v>#VALUE!</v>
      </c>
      <c r="HX292" t="e">
        <f>Descriptions!B15+"AM:!0P#"</f>
        <v>#VALUE!</v>
      </c>
      <c r="HY292" t="e">
        <f>Descriptions!C15+"AM:!0P$"</f>
        <v>#VALUE!</v>
      </c>
      <c r="HZ292" t="e">
        <f>Descriptions!D15+"AM:!0P%"</f>
        <v>#VALUE!</v>
      </c>
      <c r="IA292" t="e">
        <f>Descriptions!E15+"AM:!0P&amp;"</f>
        <v>#VALUE!</v>
      </c>
      <c r="IB292" t="e">
        <f>Descriptions!F15+"AM:!0P'"</f>
        <v>#VALUE!</v>
      </c>
      <c r="IC292" t="e">
        <f>Descriptions!G15+"AM:!0P("</f>
        <v>#VALUE!</v>
      </c>
      <c r="ID292" t="e">
        <f>Descriptions!H15+"AM:!0P)"</f>
        <v>#VALUE!</v>
      </c>
      <c r="IE292" t="e">
        <f>Descriptions!I15+"AM:!0P."</f>
        <v>#VALUE!</v>
      </c>
      <c r="IF292" t="e">
        <f>Descriptions!J15+"AM:!0P/"</f>
        <v>#VALUE!</v>
      </c>
      <c r="IG292" t="e">
        <f>Descriptions!K15+"AM:!0P0"</f>
        <v>#VALUE!</v>
      </c>
      <c r="IH292" t="e">
        <f>Descriptions!L15+"AM:!0P1"</f>
        <v>#VALUE!</v>
      </c>
      <c r="II292" t="e">
        <f>Descriptions!M15+"AM:!0P2"</f>
        <v>#VALUE!</v>
      </c>
      <c r="IJ292" t="e">
        <f>Descriptions!N15+"AM:!0P3"</f>
        <v>#VALUE!</v>
      </c>
      <c r="IK292" t="e">
        <f>Descriptions!O15+"AM:!0P4"</f>
        <v>#VALUE!</v>
      </c>
      <c r="IL292" t="e">
        <f>Descriptions!P15+"AM:!0P5"</f>
        <v>#VALUE!</v>
      </c>
      <c r="IM292" t="e">
        <f>Descriptions!Q15+"AM:!0P6"</f>
        <v>#VALUE!</v>
      </c>
      <c r="IN292" t="e">
        <f>Descriptions!R15+"AM:!0P7"</f>
        <v>#VALUE!</v>
      </c>
      <c r="IO292" t="e">
        <f>Descriptions!S15+"AM:!0P8"</f>
        <v>#VALUE!</v>
      </c>
      <c r="IP292" t="e">
        <f>Descriptions!T15+"AM:!0P9"</f>
        <v>#VALUE!</v>
      </c>
      <c r="IQ292" t="e">
        <f>Descriptions!U15+"AM:!0P:"</f>
        <v>#VALUE!</v>
      </c>
      <c r="IR292" t="e">
        <f>Descriptions!V15+"AM:!0P;"</f>
        <v>#VALUE!</v>
      </c>
      <c r="IS292" t="e">
        <f>Descriptions!W15+"AM:!0P&lt;"</f>
        <v>#VALUE!</v>
      </c>
      <c r="IT292" t="e">
        <f>Descriptions!X15+"AM:!0P="</f>
        <v>#VALUE!</v>
      </c>
      <c r="IU292" t="e">
        <f>Descriptions!Y15+"AM:!0P&gt;"</f>
        <v>#VALUE!</v>
      </c>
      <c r="IV292" t="e">
        <f>Descriptions!Z15+"AM:!0P?"</f>
        <v>#VALUE!</v>
      </c>
    </row>
    <row r="293" spans="6:256">
      <c r="F293" t="e">
        <f>Descriptions!AA15+"AM:!0P@"</f>
        <v>#VALUE!</v>
      </c>
      <c r="G293" t="e">
        <f>Descriptions!AB15+"AM:!0PA"</f>
        <v>#VALUE!</v>
      </c>
      <c r="H293" t="e">
        <f>Descriptions!AC15+"AM:!0PB"</f>
        <v>#VALUE!</v>
      </c>
      <c r="I293" t="e">
        <f>Descriptions!AD15+"AM:!0PC"</f>
        <v>#VALUE!</v>
      </c>
      <c r="J293" t="e">
        <f>Descriptions!AE15+"AM:!0PD"</f>
        <v>#VALUE!</v>
      </c>
      <c r="K293" t="e">
        <f>Descriptions!AF15+"AM:!0PE"</f>
        <v>#VALUE!</v>
      </c>
      <c r="L293" t="e">
        <f>Descriptions!A16+"AM:!0PF"</f>
        <v>#VALUE!</v>
      </c>
      <c r="M293" t="e">
        <f>Descriptions!B16+"AM:!0PG"</f>
        <v>#VALUE!</v>
      </c>
      <c r="N293" t="e">
        <f>Descriptions!C16+"AM:!0PH"</f>
        <v>#VALUE!</v>
      </c>
      <c r="O293" t="e">
        <f>Descriptions!D16+"AM:!0PI"</f>
        <v>#VALUE!</v>
      </c>
      <c r="P293" t="e">
        <f>Descriptions!E16+"AM:!0PJ"</f>
        <v>#VALUE!</v>
      </c>
      <c r="Q293" t="e">
        <f>Descriptions!F16+"AM:!0PK"</f>
        <v>#VALUE!</v>
      </c>
      <c r="R293" t="e">
        <f>Descriptions!G16+"AM:!0PL"</f>
        <v>#VALUE!</v>
      </c>
      <c r="S293" t="e">
        <f>Descriptions!H16+"AM:!0PM"</f>
        <v>#VALUE!</v>
      </c>
      <c r="T293" t="e">
        <f>Descriptions!I16+"AM:!0PN"</f>
        <v>#VALUE!</v>
      </c>
      <c r="U293" t="e">
        <f>Descriptions!J16+"AM:!0PO"</f>
        <v>#VALUE!</v>
      </c>
      <c r="V293" t="e">
        <f>Descriptions!K16+"AM:!0PP"</f>
        <v>#VALUE!</v>
      </c>
      <c r="W293" t="e">
        <f>Descriptions!L16+"AM:!0PQ"</f>
        <v>#VALUE!</v>
      </c>
      <c r="X293" t="e">
        <f>Descriptions!M16+"AM:!0PR"</f>
        <v>#VALUE!</v>
      </c>
      <c r="Y293" t="e">
        <f>Descriptions!N16+"AM:!0PS"</f>
        <v>#VALUE!</v>
      </c>
      <c r="Z293" t="e">
        <f>Descriptions!O16+"AM:!0PT"</f>
        <v>#VALUE!</v>
      </c>
      <c r="AA293" t="e">
        <f>Descriptions!P16+"AM:!0PU"</f>
        <v>#VALUE!</v>
      </c>
      <c r="AB293" t="e">
        <f>Descriptions!Q16+"AM:!0PV"</f>
        <v>#VALUE!</v>
      </c>
      <c r="AC293" t="e">
        <f>Descriptions!R16+"AM:!0PW"</f>
        <v>#VALUE!</v>
      </c>
      <c r="AD293" t="e">
        <f>Descriptions!S16+"AM:!0PX"</f>
        <v>#VALUE!</v>
      </c>
      <c r="AE293" t="e">
        <f>Descriptions!T16+"AM:!0PY"</f>
        <v>#VALUE!</v>
      </c>
      <c r="AF293" t="e">
        <f>Descriptions!U16+"AM:!0PZ"</f>
        <v>#VALUE!</v>
      </c>
      <c r="AG293" t="e">
        <f>Descriptions!V16+"AM:!0P["</f>
        <v>#VALUE!</v>
      </c>
      <c r="AH293" t="e">
        <f>Descriptions!W16+"AM:!0P\"</f>
        <v>#VALUE!</v>
      </c>
      <c r="AI293" t="e">
        <f>Descriptions!X16+"AM:!0P]"</f>
        <v>#VALUE!</v>
      </c>
      <c r="AJ293" t="e">
        <f>Descriptions!Y16+"AM:!0P^"</f>
        <v>#VALUE!</v>
      </c>
      <c r="AK293" t="e">
        <f>Descriptions!Z16+"AM:!0P_"</f>
        <v>#VALUE!</v>
      </c>
      <c r="AL293" t="e">
        <f>Descriptions!AA16+"AM:!0P`"</f>
        <v>#VALUE!</v>
      </c>
      <c r="AM293" t="e">
        <f>Descriptions!AB16+"AM:!0Pa"</f>
        <v>#VALUE!</v>
      </c>
      <c r="AN293" t="e">
        <f>Descriptions!AC16+"AM:!0Pb"</f>
        <v>#VALUE!</v>
      </c>
      <c r="AO293" t="e">
        <f>Descriptions!AD16+"AM:!0Pc"</f>
        <v>#VALUE!</v>
      </c>
      <c r="AP293" t="e">
        <f>Descriptions!AE16+"AM:!0Pd"</f>
        <v>#VALUE!</v>
      </c>
      <c r="AQ293" t="e">
        <f>Descriptions!AF16+"AM:!0Pe"</f>
        <v>#VALUE!</v>
      </c>
      <c r="AR293" t="e">
        <f>Descriptions!A17+"AM:!0Pf"</f>
        <v>#VALUE!</v>
      </c>
      <c r="AS293" t="e">
        <f>Descriptions!B17+"AM:!0Pg"</f>
        <v>#VALUE!</v>
      </c>
      <c r="AT293" t="e">
        <f>Descriptions!C17+"AM:!0Ph"</f>
        <v>#VALUE!</v>
      </c>
      <c r="AU293" t="e">
        <f>Descriptions!D17+"AM:!0Pi"</f>
        <v>#VALUE!</v>
      </c>
      <c r="AV293" t="e">
        <f>Descriptions!E17+"AM:!0Pj"</f>
        <v>#VALUE!</v>
      </c>
      <c r="AW293" t="e">
        <f>Descriptions!F17+"AM:!0Pk"</f>
        <v>#VALUE!</v>
      </c>
      <c r="AX293" t="e">
        <f>Descriptions!G17+"AM:!0Pl"</f>
        <v>#VALUE!</v>
      </c>
      <c r="AY293" t="e">
        <f>Descriptions!H17+"AM:!0Pm"</f>
        <v>#VALUE!</v>
      </c>
      <c r="AZ293" t="e">
        <f>Descriptions!I17+"AM:!0Pn"</f>
        <v>#VALUE!</v>
      </c>
      <c r="BA293" t="e">
        <f>Descriptions!J17+"AM:!0Po"</f>
        <v>#VALUE!</v>
      </c>
      <c r="BB293" t="e">
        <f>Descriptions!K17+"AM:!0Pp"</f>
        <v>#VALUE!</v>
      </c>
      <c r="BC293" t="e">
        <f>Descriptions!L17+"AM:!0Pq"</f>
        <v>#VALUE!</v>
      </c>
      <c r="BD293" t="e">
        <f>Descriptions!M17+"AM:!0Pr"</f>
        <v>#VALUE!</v>
      </c>
      <c r="BE293" t="e">
        <f>Descriptions!N17+"AM:!0Ps"</f>
        <v>#VALUE!</v>
      </c>
      <c r="BF293" t="e">
        <f>Descriptions!O17+"AM:!0Pt"</f>
        <v>#VALUE!</v>
      </c>
      <c r="BG293" t="e">
        <f>Descriptions!P17+"AM:!0Pu"</f>
        <v>#VALUE!</v>
      </c>
      <c r="BH293" t="e">
        <f>Descriptions!Q17+"AM:!0Pv"</f>
        <v>#VALUE!</v>
      </c>
      <c r="BI293" t="e">
        <f>Descriptions!R17+"AM:!0Pw"</f>
        <v>#VALUE!</v>
      </c>
      <c r="BJ293" t="e">
        <f>Descriptions!S17+"AM:!0Px"</f>
        <v>#VALUE!</v>
      </c>
      <c r="BK293" t="e">
        <f>Descriptions!T17+"AM:!0Py"</f>
        <v>#VALUE!</v>
      </c>
      <c r="BL293" t="e">
        <f>Descriptions!U17+"AM:!0Pz"</f>
        <v>#VALUE!</v>
      </c>
      <c r="BM293" t="e">
        <f>Descriptions!V17+"AM:!0P{"</f>
        <v>#VALUE!</v>
      </c>
      <c r="BN293" t="e">
        <f>Descriptions!W17+"AM:!0P|"</f>
        <v>#VALUE!</v>
      </c>
      <c r="BO293" t="e">
        <f>Descriptions!X17+"AM:!0P}"</f>
        <v>#VALUE!</v>
      </c>
      <c r="BP293" t="e">
        <f>Descriptions!Y17+"AM:!0P~"</f>
        <v>#VALUE!</v>
      </c>
      <c r="BQ293" t="e">
        <f>Descriptions!Z17+"AM:!0Q#"</f>
        <v>#VALUE!</v>
      </c>
      <c r="BR293" t="e">
        <f>Descriptions!AA17+"AM:!0Q$"</f>
        <v>#VALUE!</v>
      </c>
      <c r="BS293" t="e">
        <f>Descriptions!AB17+"AM:!0Q%"</f>
        <v>#VALUE!</v>
      </c>
      <c r="BT293" t="e">
        <f>Descriptions!AC17+"AM:!0Q&amp;"</f>
        <v>#VALUE!</v>
      </c>
      <c r="BU293" t="e">
        <f>Descriptions!AD17+"AM:!0Q'"</f>
        <v>#VALUE!</v>
      </c>
      <c r="BV293" t="e">
        <f>Descriptions!AE17+"AM:!0Q("</f>
        <v>#VALUE!</v>
      </c>
      <c r="BW293" t="e">
        <f>Descriptions!AF17+"AM:!0Q)"</f>
        <v>#VALUE!</v>
      </c>
      <c r="BX293" t="e">
        <f>Descriptions!A18+"AM:!0Q."</f>
        <v>#VALUE!</v>
      </c>
      <c r="BY293" t="e">
        <f>Descriptions!B18+"AM:!0Q/"</f>
        <v>#VALUE!</v>
      </c>
      <c r="BZ293" t="e">
        <f>Descriptions!C18+"AM:!0Q0"</f>
        <v>#VALUE!</v>
      </c>
      <c r="CA293" t="e">
        <f>Descriptions!D18+"AM:!0Q1"</f>
        <v>#VALUE!</v>
      </c>
      <c r="CB293" t="e">
        <f>Descriptions!E18+"AM:!0Q2"</f>
        <v>#VALUE!</v>
      </c>
      <c r="CC293" t="e">
        <f>Descriptions!F18+"AM:!0Q3"</f>
        <v>#VALUE!</v>
      </c>
      <c r="CD293" t="e">
        <f>Descriptions!G18+"AM:!0Q4"</f>
        <v>#VALUE!</v>
      </c>
      <c r="CE293" t="e">
        <f>Descriptions!H18+"AM:!0Q5"</f>
        <v>#VALUE!</v>
      </c>
      <c r="CF293" t="e">
        <f>Descriptions!I18+"AM:!0Q6"</f>
        <v>#VALUE!</v>
      </c>
      <c r="CG293" t="e">
        <f>Descriptions!J18+"AM:!0Q7"</f>
        <v>#VALUE!</v>
      </c>
      <c r="CH293" t="e">
        <f>Descriptions!K18+"AM:!0Q8"</f>
        <v>#VALUE!</v>
      </c>
      <c r="CI293" t="e">
        <f>Descriptions!L18+"AM:!0Q9"</f>
        <v>#VALUE!</v>
      </c>
      <c r="CJ293" t="e">
        <f>Descriptions!M18+"AM:!0Q:"</f>
        <v>#VALUE!</v>
      </c>
      <c r="CK293" t="e">
        <f>Descriptions!N18+"AM:!0Q;"</f>
        <v>#VALUE!</v>
      </c>
      <c r="CL293" t="e">
        <f>Descriptions!O18+"AM:!0Q&lt;"</f>
        <v>#VALUE!</v>
      </c>
      <c r="CM293" t="e">
        <f>Descriptions!P18+"AM:!0Q="</f>
        <v>#VALUE!</v>
      </c>
      <c r="CN293" t="e">
        <f>Descriptions!Q18+"AM:!0Q&gt;"</f>
        <v>#VALUE!</v>
      </c>
      <c r="CO293" t="e">
        <f>Descriptions!R18+"AM:!0Q?"</f>
        <v>#VALUE!</v>
      </c>
      <c r="CP293" t="e">
        <f>Descriptions!S18+"AM:!0Q@"</f>
        <v>#VALUE!</v>
      </c>
      <c r="CQ293" t="e">
        <f>Descriptions!T18+"AM:!0QA"</f>
        <v>#VALUE!</v>
      </c>
      <c r="CR293" t="e">
        <f>Descriptions!U18+"AM:!0QB"</f>
        <v>#VALUE!</v>
      </c>
      <c r="CS293" t="e">
        <f>Descriptions!V18+"AM:!0QC"</f>
        <v>#VALUE!</v>
      </c>
      <c r="CT293" t="e">
        <f>Descriptions!W18+"AM:!0QD"</f>
        <v>#VALUE!</v>
      </c>
      <c r="CU293" t="e">
        <f>Descriptions!X18+"AM:!0QE"</f>
        <v>#VALUE!</v>
      </c>
      <c r="CV293" t="e">
        <f>Descriptions!Y18+"AM:!0QF"</f>
        <v>#VALUE!</v>
      </c>
      <c r="CW293" t="e">
        <f>Descriptions!Z18+"AM:!0QG"</f>
        <v>#VALUE!</v>
      </c>
      <c r="CX293" t="e">
        <f>Descriptions!AA18+"AM:!0QH"</f>
        <v>#VALUE!</v>
      </c>
      <c r="CY293" t="e">
        <f>Descriptions!AB18+"AM:!0QI"</f>
        <v>#VALUE!</v>
      </c>
      <c r="CZ293" t="e">
        <f>Descriptions!AC18+"AM:!0QJ"</f>
        <v>#VALUE!</v>
      </c>
      <c r="DA293" t="e">
        <f>Descriptions!AD18+"AM:!0QK"</f>
        <v>#VALUE!</v>
      </c>
      <c r="DB293" t="e">
        <f>Descriptions!AE18+"AM:!0QL"</f>
        <v>#VALUE!</v>
      </c>
      <c r="DC293" t="e">
        <f>Descriptions!AF18+"AM:!0QM"</f>
        <v>#VALUE!</v>
      </c>
      <c r="DD293" t="e">
        <f>Descriptions!A19+"AM:!0QN"</f>
        <v>#VALUE!</v>
      </c>
      <c r="DE293" t="e">
        <f>Descriptions!B19+"AM:!0QO"</f>
        <v>#VALUE!</v>
      </c>
      <c r="DF293" t="e">
        <f>Descriptions!C19+"AM:!0QP"</f>
        <v>#VALUE!</v>
      </c>
      <c r="DG293" t="e">
        <f>Descriptions!D19+"AM:!0QQ"</f>
        <v>#VALUE!</v>
      </c>
      <c r="DH293" t="e">
        <f>Descriptions!E19+"AM:!0QR"</f>
        <v>#VALUE!</v>
      </c>
      <c r="DI293" t="e">
        <f>Descriptions!F19+"AM:!0QS"</f>
        <v>#VALUE!</v>
      </c>
      <c r="DJ293" t="e">
        <f>Descriptions!G19+"AM:!0QT"</f>
        <v>#VALUE!</v>
      </c>
      <c r="DK293" t="e">
        <f>Descriptions!H19+"AM:!0QU"</f>
        <v>#VALUE!</v>
      </c>
      <c r="DL293" t="e">
        <f>Descriptions!I19+"AM:!0QV"</f>
        <v>#VALUE!</v>
      </c>
      <c r="DM293" t="e">
        <f>Descriptions!J19+"AM:!0QW"</f>
        <v>#VALUE!</v>
      </c>
      <c r="DN293" t="e">
        <f>Descriptions!K19+"AM:!0QX"</f>
        <v>#VALUE!</v>
      </c>
      <c r="DO293" t="e">
        <f>Descriptions!L19+"AM:!0QY"</f>
        <v>#VALUE!</v>
      </c>
      <c r="DP293" t="e">
        <f>Descriptions!M19+"AM:!0QZ"</f>
        <v>#VALUE!</v>
      </c>
      <c r="DQ293" t="e">
        <f>Descriptions!N19+"AM:!0Q["</f>
        <v>#VALUE!</v>
      </c>
      <c r="DR293" t="e">
        <f>Descriptions!O19+"AM:!0Q\"</f>
        <v>#VALUE!</v>
      </c>
      <c r="DS293" t="e">
        <f>Descriptions!P19+"AM:!0Q]"</f>
        <v>#VALUE!</v>
      </c>
      <c r="DT293" t="e">
        <f>Descriptions!Q19+"AM:!0Q^"</f>
        <v>#VALUE!</v>
      </c>
      <c r="DU293" t="e">
        <f>Descriptions!R19+"AM:!0Q_"</f>
        <v>#VALUE!</v>
      </c>
      <c r="DV293" t="e">
        <f>Descriptions!S19+"AM:!0Q`"</f>
        <v>#VALUE!</v>
      </c>
      <c r="DW293" t="e">
        <f>Descriptions!T19+"AM:!0Qa"</f>
        <v>#VALUE!</v>
      </c>
      <c r="DX293" t="e">
        <f>Descriptions!U19+"AM:!0Qb"</f>
        <v>#VALUE!</v>
      </c>
      <c r="DY293" t="e">
        <f>Descriptions!V19+"AM:!0Qc"</f>
        <v>#VALUE!</v>
      </c>
      <c r="DZ293" t="e">
        <f>Descriptions!W19+"AM:!0Qd"</f>
        <v>#VALUE!</v>
      </c>
      <c r="EA293" t="e">
        <f>Descriptions!X19+"AM:!0Qe"</f>
        <v>#VALUE!</v>
      </c>
      <c r="EB293" t="e">
        <f>Descriptions!Y19+"AM:!0Qf"</f>
        <v>#VALUE!</v>
      </c>
      <c r="EC293" t="e">
        <f>Descriptions!Z19+"AM:!0Qg"</f>
        <v>#VALUE!</v>
      </c>
      <c r="ED293" t="e">
        <f>Descriptions!AA19+"AM:!0Qh"</f>
        <v>#VALUE!</v>
      </c>
      <c r="EE293" t="e">
        <f>Descriptions!AB19+"AM:!0Qi"</f>
        <v>#VALUE!</v>
      </c>
      <c r="EF293" t="e">
        <f>Descriptions!AC19+"AM:!0Qj"</f>
        <v>#VALUE!</v>
      </c>
      <c r="EG293" t="e">
        <f>Descriptions!AD19+"AM:!0Qk"</f>
        <v>#VALUE!</v>
      </c>
      <c r="EH293" t="e">
        <f>Descriptions!AE19+"AM:!0Ql"</f>
        <v>#VALUE!</v>
      </c>
      <c r="EI293" t="e">
        <f>Descriptions!AF19+"AM:!0Qm"</f>
        <v>#VALUE!</v>
      </c>
      <c r="EJ293" t="e">
        <f>Descriptions!A20+"AM:!0Qn"</f>
        <v>#VALUE!</v>
      </c>
      <c r="EK293" t="e">
        <f>Descriptions!B20+"AM:!0Qo"</f>
        <v>#VALUE!</v>
      </c>
      <c r="EL293" t="e">
        <f>Descriptions!C20+"AM:!0Qp"</f>
        <v>#VALUE!</v>
      </c>
      <c r="EM293" t="e">
        <f>Descriptions!D20+"AM:!0Qq"</f>
        <v>#VALUE!</v>
      </c>
      <c r="EN293" t="e">
        <f>Descriptions!E20+"AM:!0Qr"</f>
        <v>#VALUE!</v>
      </c>
      <c r="EO293" t="e">
        <f>Descriptions!F20+"AM:!0Qs"</f>
        <v>#VALUE!</v>
      </c>
      <c r="EP293" t="e">
        <f>Descriptions!G20+"AM:!0Qt"</f>
        <v>#VALUE!</v>
      </c>
      <c r="EQ293" t="e">
        <f>Descriptions!H20+"AM:!0Qu"</f>
        <v>#VALUE!</v>
      </c>
      <c r="ER293" t="e">
        <f>Descriptions!I20+"AM:!0Qv"</f>
        <v>#VALUE!</v>
      </c>
      <c r="ES293" t="e">
        <f>Descriptions!J20+"AM:!0Qw"</f>
        <v>#VALUE!</v>
      </c>
      <c r="ET293" t="e">
        <f>Descriptions!K20+"AM:!0Qx"</f>
        <v>#VALUE!</v>
      </c>
      <c r="EU293" t="e">
        <f>Descriptions!L20+"AM:!0Qy"</f>
        <v>#VALUE!</v>
      </c>
      <c r="EV293" t="e">
        <f>Descriptions!M20+"AM:!0Qz"</f>
        <v>#VALUE!</v>
      </c>
      <c r="EW293" t="e">
        <f>Descriptions!N20+"AM:!0Q{"</f>
        <v>#VALUE!</v>
      </c>
      <c r="EX293" t="e">
        <f>Descriptions!O20+"AM:!0Q|"</f>
        <v>#VALUE!</v>
      </c>
      <c r="EY293" t="e">
        <f>Descriptions!P20+"AM:!0Q}"</f>
        <v>#VALUE!</v>
      </c>
      <c r="EZ293" t="e">
        <f>Descriptions!Q20+"AM:!0Q~"</f>
        <v>#VALUE!</v>
      </c>
      <c r="FA293" t="e">
        <f>Descriptions!R20+"AM:!0R#"</f>
        <v>#VALUE!</v>
      </c>
      <c r="FB293" t="e">
        <f>Descriptions!S20+"AM:!0R$"</f>
        <v>#VALUE!</v>
      </c>
      <c r="FC293" t="e">
        <f>Descriptions!T20+"AM:!0R%"</f>
        <v>#VALUE!</v>
      </c>
      <c r="FD293" t="e">
        <f>Descriptions!U20+"AM:!0R&amp;"</f>
        <v>#VALUE!</v>
      </c>
      <c r="FE293" t="e">
        <f>Descriptions!V20+"AM:!0R'"</f>
        <v>#VALUE!</v>
      </c>
      <c r="FF293" t="e">
        <f>Descriptions!W20+"AM:!0R("</f>
        <v>#VALUE!</v>
      </c>
      <c r="FG293" t="e">
        <f>Descriptions!X20+"AM:!0R)"</f>
        <v>#VALUE!</v>
      </c>
      <c r="FH293" t="e">
        <f>Descriptions!Y20+"AM:!0R."</f>
        <v>#VALUE!</v>
      </c>
      <c r="FI293" t="e">
        <f>Descriptions!Z20+"AM:!0R/"</f>
        <v>#VALUE!</v>
      </c>
      <c r="FJ293" t="e">
        <f>Descriptions!AA20+"AM:!0R0"</f>
        <v>#VALUE!</v>
      </c>
      <c r="FK293" t="e">
        <f>Descriptions!AB20+"AM:!0R1"</f>
        <v>#VALUE!</v>
      </c>
      <c r="FL293" t="e">
        <f>Descriptions!AC20+"AM:!0R2"</f>
        <v>#VALUE!</v>
      </c>
      <c r="FM293" t="e">
        <f>Descriptions!AD20+"AM:!0R3"</f>
        <v>#VALUE!</v>
      </c>
      <c r="FN293" t="e">
        <f>Descriptions!AE20+"AM:!0R4"</f>
        <v>#VALUE!</v>
      </c>
      <c r="FO293" t="e">
        <f>Descriptions!AF20+"AM:!0R5"</f>
        <v>#VALUE!</v>
      </c>
      <c r="FP293" t="e">
        <f>Descriptions!A21+"AM:!0R6"</f>
        <v>#VALUE!</v>
      </c>
      <c r="FQ293" t="e">
        <f>Descriptions!B21+"AM:!0R7"</f>
        <v>#VALUE!</v>
      </c>
      <c r="FR293" t="e">
        <f>Descriptions!C21+"AM:!0R8"</f>
        <v>#VALUE!</v>
      </c>
      <c r="FS293" t="e">
        <f>Descriptions!D21+"AM:!0R9"</f>
        <v>#VALUE!</v>
      </c>
      <c r="FT293" t="e">
        <f>Descriptions!E21+"AM:!0R:"</f>
        <v>#VALUE!</v>
      </c>
      <c r="FU293" t="e">
        <f>Descriptions!F21+"AM:!0R;"</f>
        <v>#VALUE!</v>
      </c>
      <c r="FV293" t="e">
        <f>Descriptions!G21+"AM:!0R&lt;"</f>
        <v>#VALUE!</v>
      </c>
      <c r="FW293" t="e">
        <f>Descriptions!H21+"AM:!0R="</f>
        <v>#VALUE!</v>
      </c>
      <c r="FX293" t="e">
        <f>Descriptions!I21+"AM:!0R&gt;"</f>
        <v>#VALUE!</v>
      </c>
      <c r="FY293" t="e">
        <f>Descriptions!J21+"AM:!0R?"</f>
        <v>#VALUE!</v>
      </c>
      <c r="FZ293" t="e">
        <f>Descriptions!K21+"AM:!0R@"</f>
        <v>#VALUE!</v>
      </c>
      <c r="GA293" t="e">
        <f>Descriptions!L21+"AM:!0RA"</f>
        <v>#VALUE!</v>
      </c>
      <c r="GB293" t="e">
        <f>Descriptions!M21+"AM:!0RB"</f>
        <v>#VALUE!</v>
      </c>
      <c r="GC293" t="e">
        <f>Descriptions!N21+"AM:!0RC"</f>
        <v>#VALUE!</v>
      </c>
      <c r="GD293" t="e">
        <f>Descriptions!O21+"AM:!0RD"</f>
        <v>#VALUE!</v>
      </c>
      <c r="GE293" t="e">
        <f>Descriptions!P21+"AM:!0RE"</f>
        <v>#VALUE!</v>
      </c>
      <c r="GF293" t="e">
        <f>Descriptions!Q21+"AM:!0RF"</f>
        <v>#VALUE!</v>
      </c>
      <c r="GG293" t="e">
        <f>Descriptions!R21+"AM:!0RG"</f>
        <v>#VALUE!</v>
      </c>
      <c r="GH293" t="e">
        <f>Descriptions!S21+"AM:!0RH"</f>
        <v>#VALUE!</v>
      </c>
      <c r="GI293" t="e">
        <f>Descriptions!T21+"AM:!0RI"</f>
        <v>#VALUE!</v>
      </c>
      <c r="GJ293" t="e">
        <f>Descriptions!U21+"AM:!0RJ"</f>
        <v>#VALUE!</v>
      </c>
      <c r="GK293" t="e">
        <f>Descriptions!V21+"AM:!0RK"</f>
        <v>#VALUE!</v>
      </c>
      <c r="GL293" t="e">
        <f>Descriptions!W21+"AM:!0RL"</f>
        <v>#VALUE!</v>
      </c>
      <c r="GM293" t="e">
        <f>Descriptions!X21+"AM:!0RM"</f>
        <v>#VALUE!</v>
      </c>
      <c r="GN293" t="e">
        <f>Descriptions!Y21+"AM:!0RN"</f>
        <v>#VALUE!</v>
      </c>
      <c r="GO293" t="e">
        <f>Descriptions!Z21+"AM:!0RO"</f>
        <v>#VALUE!</v>
      </c>
      <c r="GP293" t="e">
        <f>Descriptions!AA21+"AM:!0RP"</f>
        <v>#VALUE!</v>
      </c>
      <c r="GQ293" t="e">
        <f>Descriptions!AB21+"AM:!0RQ"</f>
        <v>#VALUE!</v>
      </c>
      <c r="GR293" t="e">
        <f>Descriptions!AC21+"AM:!0RR"</f>
        <v>#VALUE!</v>
      </c>
      <c r="GS293" t="e">
        <f>Descriptions!AD21+"AM:!0RS"</f>
        <v>#VALUE!</v>
      </c>
      <c r="GT293" t="e">
        <f>Descriptions!AE21+"AM:!0RT"</f>
        <v>#VALUE!</v>
      </c>
      <c r="GU293" t="e">
        <f>Descriptions!AF21+"AM:!0RU"</f>
        <v>#VALUE!</v>
      </c>
      <c r="GV293" t="e">
        <f>Descriptions!A22+"AM:!0RV"</f>
        <v>#VALUE!</v>
      </c>
      <c r="GW293" t="e">
        <f>Descriptions!B22+"AM:!0RW"</f>
        <v>#VALUE!</v>
      </c>
      <c r="GX293" t="e">
        <f>Descriptions!C22+"AM:!0RX"</f>
        <v>#VALUE!</v>
      </c>
      <c r="GY293" t="e">
        <f>Descriptions!D22+"AM:!0RY"</f>
        <v>#VALUE!</v>
      </c>
      <c r="GZ293" t="e">
        <f>Descriptions!E22+"AM:!0RZ"</f>
        <v>#VALUE!</v>
      </c>
      <c r="HA293" t="e">
        <f>Descriptions!F22+"AM:!0R["</f>
        <v>#VALUE!</v>
      </c>
      <c r="HB293" t="e">
        <f>Descriptions!G22+"AM:!0R\"</f>
        <v>#VALUE!</v>
      </c>
      <c r="HC293" t="e">
        <f>Descriptions!H22+"AM:!0R]"</f>
        <v>#VALUE!</v>
      </c>
      <c r="HD293" t="e">
        <f>Descriptions!I22+"AM:!0R^"</f>
        <v>#VALUE!</v>
      </c>
      <c r="HE293" t="e">
        <f>Descriptions!J22+"AM:!0R_"</f>
        <v>#VALUE!</v>
      </c>
      <c r="HF293" t="e">
        <f>Descriptions!K22+"AM:!0R`"</f>
        <v>#VALUE!</v>
      </c>
      <c r="HG293" t="e">
        <f>Descriptions!L22+"AM:!0Ra"</f>
        <v>#VALUE!</v>
      </c>
      <c r="HH293" t="e">
        <f>Descriptions!M22+"AM:!0Rb"</f>
        <v>#VALUE!</v>
      </c>
      <c r="HI293" t="e">
        <f>Descriptions!N22+"AM:!0Rc"</f>
        <v>#VALUE!</v>
      </c>
      <c r="HJ293" t="e">
        <f>Descriptions!O22+"AM:!0Rd"</f>
        <v>#VALUE!</v>
      </c>
      <c r="HK293" t="e">
        <f>Descriptions!P22+"AM:!0Re"</f>
        <v>#VALUE!</v>
      </c>
      <c r="HL293" t="e">
        <f>Descriptions!Q22+"AM:!0Rf"</f>
        <v>#VALUE!</v>
      </c>
      <c r="HM293" t="e">
        <f>Descriptions!R22+"AM:!0Rg"</f>
        <v>#VALUE!</v>
      </c>
      <c r="HN293" t="e">
        <f>Descriptions!S22+"AM:!0Rh"</f>
        <v>#VALUE!</v>
      </c>
      <c r="HO293" t="e">
        <f>Descriptions!T22+"AM:!0Ri"</f>
        <v>#VALUE!</v>
      </c>
      <c r="HP293" t="e">
        <f>Descriptions!U22+"AM:!0Rj"</f>
        <v>#VALUE!</v>
      </c>
      <c r="HQ293" t="e">
        <f>Descriptions!V22+"AM:!0Rk"</f>
        <v>#VALUE!</v>
      </c>
      <c r="HR293" t="e">
        <f>Descriptions!W22+"AM:!0Rl"</f>
        <v>#VALUE!</v>
      </c>
      <c r="HS293" t="e">
        <f>Descriptions!X22+"AM:!0Rm"</f>
        <v>#VALUE!</v>
      </c>
      <c r="HT293" t="e">
        <f>Descriptions!Y22+"AM:!0Rn"</f>
        <v>#VALUE!</v>
      </c>
      <c r="HU293" t="e">
        <f>Descriptions!Z22+"AM:!0Ro"</f>
        <v>#VALUE!</v>
      </c>
      <c r="HV293" t="e">
        <f>Descriptions!AA22+"AM:!0Rp"</f>
        <v>#VALUE!</v>
      </c>
      <c r="HW293" t="e">
        <f>Descriptions!AB22+"AM:!0Rq"</f>
        <v>#VALUE!</v>
      </c>
      <c r="HX293" t="e">
        <f>Descriptions!AC22+"AM:!0Rr"</f>
        <v>#VALUE!</v>
      </c>
      <c r="HY293" t="e">
        <f>Descriptions!AD22+"AM:!0Rs"</f>
        <v>#VALUE!</v>
      </c>
      <c r="HZ293" t="e">
        <f>Descriptions!AE22+"AM:!0Rt"</f>
        <v>#VALUE!</v>
      </c>
      <c r="IA293" t="e">
        <f>Descriptions!AF22+"AM:!0Ru"</f>
        <v>#VALUE!</v>
      </c>
      <c r="IB293" t="e">
        <f>Descriptions!A23+"AM:!0Rv"</f>
        <v>#VALUE!</v>
      </c>
      <c r="IC293" t="e">
        <f>Descriptions!B23+"AM:!0Rw"</f>
        <v>#VALUE!</v>
      </c>
      <c r="ID293" t="e">
        <f>Descriptions!C23+"AM:!0Rx"</f>
        <v>#VALUE!</v>
      </c>
      <c r="IE293" t="e">
        <f>Descriptions!D23+"AM:!0Ry"</f>
        <v>#VALUE!</v>
      </c>
      <c r="IF293" t="e">
        <f>Descriptions!E23+"AM:!0Rz"</f>
        <v>#VALUE!</v>
      </c>
      <c r="IG293" t="e">
        <f>Descriptions!F23+"AM:!0R{"</f>
        <v>#VALUE!</v>
      </c>
      <c r="IH293" t="e">
        <f>Descriptions!G23+"AM:!0R|"</f>
        <v>#VALUE!</v>
      </c>
      <c r="II293" t="e">
        <f>Descriptions!H23+"AM:!0R}"</f>
        <v>#VALUE!</v>
      </c>
      <c r="IJ293" t="e">
        <f>Descriptions!I23+"AM:!0R~"</f>
        <v>#VALUE!</v>
      </c>
      <c r="IK293" t="e">
        <f>Descriptions!J23+"AM:!0S#"</f>
        <v>#VALUE!</v>
      </c>
      <c r="IL293" t="e">
        <f>Descriptions!K23+"AM:!0S$"</f>
        <v>#VALUE!</v>
      </c>
      <c r="IM293" t="e">
        <f>Descriptions!L23+"AM:!0S%"</f>
        <v>#VALUE!</v>
      </c>
      <c r="IN293" t="e">
        <f>Descriptions!M23+"AM:!0S&amp;"</f>
        <v>#VALUE!</v>
      </c>
      <c r="IO293" t="e">
        <f>Descriptions!N23+"AM:!0S'"</f>
        <v>#VALUE!</v>
      </c>
      <c r="IP293" t="e">
        <f>Descriptions!O23+"AM:!0S("</f>
        <v>#VALUE!</v>
      </c>
      <c r="IQ293" t="e">
        <f>Descriptions!P23+"AM:!0S)"</f>
        <v>#VALUE!</v>
      </c>
      <c r="IR293" t="e">
        <f>Descriptions!Q23+"AM:!0S."</f>
        <v>#VALUE!</v>
      </c>
      <c r="IS293" t="e">
        <f>Descriptions!R23+"AM:!0S/"</f>
        <v>#VALUE!</v>
      </c>
      <c r="IT293" t="e">
        <f>Descriptions!S23+"AM:!0S0"</f>
        <v>#VALUE!</v>
      </c>
      <c r="IU293" t="e">
        <f>Descriptions!T23+"AM:!0S1"</f>
        <v>#VALUE!</v>
      </c>
      <c r="IV293" t="e">
        <f>Descriptions!U23+"AM:!0S2"</f>
        <v>#VALUE!</v>
      </c>
    </row>
    <row r="294" spans="6:256">
      <c r="F294" t="e">
        <f>Descriptions!V23+"AM:!0S3"</f>
        <v>#VALUE!</v>
      </c>
      <c r="G294" t="e">
        <f>Descriptions!W23+"AM:!0S4"</f>
        <v>#VALUE!</v>
      </c>
      <c r="H294" t="e">
        <f>Descriptions!X23+"AM:!0S5"</f>
        <v>#VALUE!</v>
      </c>
      <c r="I294" t="e">
        <f>Descriptions!Y23+"AM:!0S6"</f>
        <v>#VALUE!</v>
      </c>
      <c r="J294" t="e">
        <f>Descriptions!Z23+"AM:!0S7"</f>
        <v>#VALUE!</v>
      </c>
      <c r="K294" t="e">
        <f>Descriptions!AA23+"AM:!0S8"</f>
        <v>#VALUE!</v>
      </c>
      <c r="L294" t="e">
        <f>Descriptions!AB23+"AM:!0S9"</f>
        <v>#VALUE!</v>
      </c>
      <c r="M294" t="e">
        <f>Descriptions!AC23+"AM:!0S:"</f>
        <v>#VALUE!</v>
      </c>
      <c r="N294" t="e">
        <f>Descriptions!AD23+"AM:!0S;"</f>
        <v>#VALUE!</v>
      </c>
      <c r="O294" t="e">
        <f>Descriptions!AE23+"AM:!0S&lt;"</f>
        <v>#VALUE!</v>
      </c>
      <c r="P294" t="e">
        <f>Descriptions!AF23+"AM:!0S="</f>
        <v>#VALUE!</v>
      </c>
      <c r="Q294" t="e">
        <f>Descriptions!A24+"AM:!0S&gt;"</f>
        <v>#VALUE!</v>
      </c>
      <c r="R294" t="e">
        <f>Descriptions!B24+"AM:!0S?"</f>
        <v>#VALUE!</v>
      </c>
      <c r="S294" t="e">
        <f>Descriptions!C24+"AM:!0S@"</f>
        <v>#VALUE!</v>
      </c>
      <c r="T294" t="e">
        <f>Descriptions!D24+"AM:!0SA"</f>
        <v>#VALUE!</v>
      </c>
      <c r="U294" t="e">
        <f>Descriptions!E24+"AM:!0SB"</f>
        <v>#VALUE!</v>
      </c>
      <c r="V294" t="e">
        <f>Descriptions!F24+"AM:!0SC"</f>
        <v>#VALUE!</v>
      </c>
      <c r="W294" t="e">
        <f>Descriptions!G24+"AM:!0SD"</f>
        <v>#VALUE!</v>
      </c>
      <c r="X294" t="e">
        <f>Descriptions!H24+"AM:!0SE"</f>
        <v>#VALUE!</v>
      </c>
      <c r="Y294" t="e">
        <f>Descriptions!I24+"AM:!0SF"</f>
        <v>#VALUE!</v>
      </c>
      <c r="Z294" t="e">
        <f>Descriptions!J24+"AM:!0SG"</f>
        <v>#VALUE!</v>
      </c>
      <c r="AA294" t="e">
        <f>Descriptions!K24+"AM:!0SH"</f>
        <v>#VALUE!</v>
      </c>
      <c r="AB294" t="e">
        <f>Descriptions!L24+"AM:!0SI"</f>
        <v>#VALUE!</v>
      </c>
      <c r="AC294" t="e">
        <f>Descriptions!M24+"AM:!0SJ"</f>
        <v>#VALUE!</v>
      </c>
      <c r="AD294" t="e">
        <f>Descriptions!N24+"AM:!0SK"</f>
        <v>#VALUE!</v>
      </c>
      <c r="AE294" t="e">
        <f>Descriptions!O24+"AM:!0SL"</f>
        <v>#VALUE!</v>
      </c>
      <c r="AF294" t="e">
        <f>Descriptions!P24+"AM:!0SM"</f>
        <v>#VALUE!</v>
      </c>
      <c r="AG294" t="e">
        <f>Descriptions!Q24+"AM:!0SN"</f>
        <v>#VALUE!</v>
      </c>
      <c r="AH294" t="e">
        <f>Descriptions!R24+"AM:!0SO"</f>
        <v>#VALUE!</v>
      </c>
      <c r="AI294" t="e">
        <f>Descriptions!S24+"AM:!0SP"</f>
        <v>#VALUE!</v>
      </c>
      <c r="AJ294" t="e">
        <f>Descriptions!T24+"AM:!0SQ"</f>
        <v>#VALUE!</v>
      </c>
      <c r="AK294" t="e">
        <f>Descriptions!U24+"AM:!0SR"</f>
        <v>#VALUE!</v>
      </c>
      <c r="AL294" t="e">
        <f>Descriptions!V24+"AM:!0SS"</f>
        <v>#VALUE!</v>
      </c>
      <c r="AM294" t="e">
        <f>Descriptions!W24+"AM:!0ST"</f>
        <v>#VALUE!</v>
      </c>
      <c r="AN294" t="e">
        <f>Descriptions!X24+"AM:!0SU"</f>
        <v>#VALUE!</v>
      </c>
      <c r="AO294" t="e">
        <f>Descriptions!Y24+"AM:!0SV"</f>
        <v>#VALUE!</v>
      </c>
      <c r="AP294" t="e">
        <f>Descriptions!Z24+"AM:!0SW"</f>
        <v>#VALUE!</v>
      </c>
      <c r="AQ294" t="e">
        <f>Descriptions!AA24+"AM:!0SX"</f>
        <v>#VALUE!</v>
      </c>
      <c r="AR294" t="e">
        <f>Descriptions!AB24+"AM:!0SY"</f>
        <v>#VALUE!</v>
      </c>
      <c r="AS294" t="e">
        <f>Descriptions!AC24+"AM:!0SZ"</f>
        <v>#VALUE!</v>
      </c>
      <c r="AT294" t="e">
        <f>Descriptions!AD24+"AM:!0S["</f>
        <v>#VALUE!</v>
      </c>
      <c r="AU294" t="e">
        <f>Descriptions!AE24+"AM:!0S\"</f>
        <v>#VALUE!</v>
      </c>
      <c r="AV294" t="e">
        <f>Descriptions!AF24+"AM:!0S]"</f>
        <v>#VALUE!</v>
      </c>
      <c r="AW294" t="e">
        <f>Descriptions!A25+"AM:!0S^"</f>
        <v>#VALUE!</v>
      </c>
      <c r="AX294" t="e">
        <f>Descriptions!B25+"AM:!0S_"</f>
        <v>#VALUE!</v>
      </c>
      <c r="AY294" t="e">
        <f>Descriptions!C25+"AM:!0S`"</f>
        <v>#VALUE!</v>
      </c>
      <c r="AZ294" t="e">
        <f>Descriptions!D25+"AM:!0Sa"</f>
        <v>#VALUE!</v>
      </c>
      <c r="BA294" t="e">
        <f>Descriptions!E25+"AM:!0Sb"</f>
        <v>#VALUE!</v>
      </c>
      <c r="BB294" t="e">
        <f>Descriptions!F25+"AM:!0Sc"</f>
        <v>#VALUE!</v>
      </c>
      <c r="BC294" t="e">
        <f>Descriptions!G25+"AM:!0Sd"</f>
        <v>#VALUE!</v>
      </c>
      <c r="BD294" t="e">
        <f>Descriptions!H25+"AM:!0Se"</f>
        <v>#VALUE!</v>
      </c>
      <c r="BE294" t="e">
        <f>Descriptions!I25+"AM:!0Sf"</f>
        <v>#VALUE!</v>
      </c>
      <c r="BF294" t="e">
        <f>Descriptions!J25+"AM:!0Sg"</f>
        <v>#VALUE!</v>
      </c>
      <c r="BG294" t="e">
        <f>Descriptions!K25+"AM:!0Sh"</f>
        <v>#VALUE!</v>
      </c>
      <c r="BH294" t="e">
        <f>Descriptions!L25+"AM:!0Si"</f>
        <v>#VALUE!</v>
      </c>
      <c r="BI294" t="e">
        <f>Descriptions!M25+"AM:!0Sj"</f>
        <v>#VALUE!</v>
      </c>
      <c r="BJ294" t="e">
        <f>Descriptions!N25+"AM:!0Sk"</f>
        <v>#VALUE!</v>
      </c>
      <c r="BK294" t="e">
        <f>Descriptions!O25+"AM:!0Sl"</f>
        <v>#VALUE!</v>
      </c>
      <c r="BL294" t="e">
        <f>Descriptions!P25+"AM:!0Sm"</f>
        <v>#VALUE!</v>
      </c>
      <c r="BM294" t="e">
        <f>Descriptions!Q25+"AM:!0Sn"</f>
        <v>#VALUE!</v>
      </c>
      <c r="BN294" t="e">
        <f>Descriptions!R25+"AM:!0So"</f>
        <v>#VALUE!</v>
      </c>
      <c r="BO294" t="e">
        <f>Descriptions!S25+"AM:!0Sp"</f>
        <v>#VALUE!</v>
      </c>
      <c r="BP294" t="e">
        <f>Descriptions!T25+"AM:!0Sq"</f>
        <v>#VALUE!</v>
      </c>
      <c r="BQ294" t="e">
        <f>Descriptions!U25+"AM:!0Sr"</f>
        <v>#VALUE!</v>
      </c>
      <c r="BR294" t="e">
        <f>Descriptions!V25+"AM:!0Ss"</f>
        <v>#VALUE!</v>
      </c>
      <c r="BS294" t="e">
        <f>Descriptions!W25+"AM:!0St"</f>
        <v>#VALUE!</v>
      </c>
      <c r="BT294" t="e">
        <f>Descriptions!X25+"AM:!0Su"</f>
        <v>#VALUE!</v>
      </c>
      <c r="BU294" t="e">
        <f>Descriptions!Y25+"AM:!0Sv"</f>
        <v>#VALUE!</v>
      </c>
      <c r="BV294" t="e">
        <f>Descriptions!Z25+"AM:!0Sw"</f>
        <v>#VALUE!</v>
      </c>
      <c r="BW294" t="e">
        <f>Descriptions!AA25+"AM:!0Sx"</f>
        <v>#VALUE!</v>
      </c>
      <c r="BX294" t="e">
        <f>Descriptions!AB25+"AM:!0Sy"</f>
        <v>#VALUE!</v>
      </c>
      <c r="BY294" t="e">
        <f>Descriptions!AC25+"AM:!0Sz"</f>
        <v>#VALUE!</v>
      </c>
      <c r="BZ294" t="e">
        <f>Descriptions!AD25+"AM:!0S{"</f>
        <v>#VALUE!</v>
      </c>
      <c r="CA294" t="e">
        <f>Descriptions!AE25+"AM:!0S|"</f>
        <v>#VALUE!</v>
      </c>
      <c r="CB294" t="e">
        <f>Descriptions!AF25+"AM:!0S}"</f>
        <v>#VALUE!</v>
      </c>
      <c r="CC294" t="e">
        <f>Descriptions!A26+"AM:!0S~"</f>
        <v>#VALUE!</v>
      </c>
      <c r="CD294" t="e">
        <f>Descriptions!B26+"AM:!0T#"</f>
        <v>#VALUE!</v>
      </c>
      <c r="CE294" t="e">
        <f>Descriptions!C26+"AM:!0T$"</f>
        <v>#VALUE!</v>
      </c>
      <c r="CF294" t="e">
        <f>Descriptions!D26+"AM:!0T%"</f>
        <v>#VALUE!</v>
      </c>
      <c r="CG294" t="e">
        <f>Descriptions!E26+"AM:!0T&amp;"</f>
        <v>#VALUE!</v>
      </c>
      <c r="CH294" t="e">
        <f>Descriptions!F26+"AM:!0T'"</f>
        <v>#VALUE!</v>
      </c>
      <c r="CI294" t="e">
        <f>Descriptions!G26+"AM:!0T("</f>
        <v>#VALUE!</v>
      </c>
      <c r="CJ294" t="e">
        <f>Descriptions!H26+"AM:!0T)"</f>
        <v>#VALUE!</v>
      </c>
      <c r="CK294" t="e">
        <f>Descriptions!I26+"AM:!0T."</f>
        <v>#VALUE!</v>
      </c>
      <c r="CL294" t="e">
        <f>Descriptions!J26+"AM:!0T/"</f>
        <v>#VALUE!</v>
      </c>
      <c r="CM294" t="e">
        <f>Descriptions!K26+"AM:!0T0"</f>
        <v>#VALUE!</v>
      </c>
      <c r="CN294" t="e">
        <f>Descriptions!L26+"AM:!0T1"</f>
        <v>#VALUE!</v>
      </c>
      <c r="CO294" t="e">
        <f>Descriptions!M26+"AM:!0T2"</f>
        <v>#VALUE!</v>
      </c>
      <c r="CP294" t="e">
        <f>Descriptions!N26+"AM:!0T3"</f>
        <v>#VALUE!</v>
      </c>
      <c r="CQ294" t="e">
        <f>Descriptions!O26+"AM:!0T4"</f>
        <v>#VALUE!</v>
      </c>
      <c r="CR294" t="e">
        <f>Descriptions!P26+"AM:!0T5"</f>
        <v>#VALUE!</v>
      </c>
      <c r="CS294" t="e">
        <f>Descriptions!Q26+"AM:!0T6"</f>
        <v>#VALUE!</v>
      </c>
      <c r="CT294" t="e">
        <f>Descriptions!R26+"AM:!0T7"</f>
        <v>#VALUE!</v>
      </c>
      <c r="CU294" t="e">
        <f>Descriptions!S26+"AM:!0T8"</f>
        <v>#VALUE!</v>
      </c>
      <c r="CV294" t="e">
        <f>Descriptions!T26+"AM:!0T9"</f>
        <v>#VALUE!</v>
      </c>
      <c r="CW294" t="e">
        <f>Descriptions!U26+"AM:!0T:"</f>
        <v>#VALUE!</v>
      </c>
      <c r="CX294" t="e">
        <f>Descriptions!V26+"AM:!0T;"</f>
        <v>#VALUE!</v>
      </c>
      <c r="CY294" t="e">
        <f>Descriptions!W26+"AM:!0T&lt;"</f>
        <v>#VALUE!</v>
      </c>
      <c r="CZ294" t="e">
        <f>Descriptions!X26+"AM:!0T="</f>
        <v>#VALUE!</v>
      </c>
      <c r="DA294" t="e">
        <f>Descriptions!Y26+"AM:!0T&gt;"</f>
        <v>#VALUE!</v>
      </c>
      <c r="DB294" t="e">
        <f>Descriptions!Z26+"AM:!0T?"</f>
        <v>#VALUE!</v>
      </c>
      <c r="DC294" t="e">
        <f>Descriptions!AA26+"AM:!0T@"</f>
        <v>#VALUE!</v>
      </c>
      <c r="DD294" t="e">
        <f>Descriptions!AB26+"AM:!0TA"</f>
        <v>#VALUE!</v>
      </c>
      <c r="DE294" t="e">
        <f>Descriptions!AC26+"AM:!0TB"</f>
        <v>#VALUE!</v>
      </c>
      <c r="DF294" t="e">
        <f>Descriptions!AD26+"AM:!0TC"</f>
        <v>#VALUE!</v>
      </c>
      <c r="DG294" t="e">
        <f>Descriptions!AE26+"AM:!0TD"</f>
        <v>#VALUE!</v>
      </c>
      <c r="DH294" t="e">
        <f>Descriptions!AF26+"AM:!0TE"</f>
        <v>#VALUE!</v>
      </c>
      <c r="DI294" t="e">
        <f>Descriptions!A27+"AM:!0TF"</f>
        <v>#VALUE!</v>
      </c>
      <c r="DJ294" t="e">
        <f>Descriptions!B27+"AM:!0TG"</f>
        <v>#VALUE!</v>
      </c>
      <c r="DK294" t="e">
        <f>Descriptions!C27+"AM:!0TH"</f>
        <v>#VALUE!</v>
      </c>
      <c r="DL294" t="e">
        <f>Descriptions!D27+"AM:!0TI"</f>
        <v>#VALUE!</v>
      </c>
      <c r="DM294" t="e">
        <f>Descriptions!E27+"AM:!0TJ"</f>
        <v>#VALUE!</v>
      </c>
      <c r="DN294" t="e">
        <f>Descriptions!F27+"AM:!0TK"</f>
        <v>#VALUE!</v>
      </c>
      <c r="DO294" t="e">
        <f>Descriptions!G27+"AM:!0TL"</f>
        <v>#VALUE!</v>
      </c>
      <c r="DP294" t="e">
        <f>Descriptions!H27+"AM:!0TM"</f>
        <v>#VALUE!</v>
      </c>
      <c r="DQ294" t="e">
        <f>Descriptions!I27+"AM:!0TN"</f>
        <v>#VALUE!</v>
      </c>
      <c r="DR294" t="e">
        <f>Descriptions!J27+"AM:!0TO"</f>
        <v>#VALUE!</v>
      </c>
      <c r="DS294" t="e">
        <f>Descriptions!K27+"AM:!0TP"</f>
        <v>#VALUE!</v>
      </c>
      <c r="DT294" t="e">
        <f>Descriptions!L27+"AM:!0TQ"</f>
        <v>#VALUE!</v>
      </c>
      <c r="DU294" t="e">
        <f>Descriptions!M27+"AM:!0TR"</f>
        <v>#VALUE!</v>
      </c>
      <c r="DV294" t="e">
        <f>Descriptions!N27+"AM:!0TS"</f>
        <v>#VALUE!</v>
      </c>
      <c r="DW294" t="e">
        <f>Descriptions!O27+"AM:!0TT"</f>
        <v>#VALUE!</v>
      </c>
      <c r="DX294" t="e">
        <f>Descriptions!P27+"AM:!0TU"</f>
        <v>#VALUE!</v>
      </c>
      <c r="DY294" t="e">
        <f>Descriptions!Q27+"AM:!0TV"</f>
        <v>#VALUE!</v>
      </c>
      <c r="DZ294" t="e">
        <f>Descriptions!R27+"AM:!0TW"</f>
        <v>#VALUE!</v>
      </c>
      <c r="EA294" t="e">
        <f>Descriptions!S27+"AM:!0TX"</f>
        <v>#VALUE!</v>
      </c>
      <c r="EB294" t="e">
        <f>Descriptions!T27+"AM:!0TY"</f>
        <v>#VALUE!</v>
      </c>
      <c r="EC294" t="e">
        <f>Descriptions!U27+"AM:!0TZ"</f>
        <v>#VALUE!</v>
      </c>
      <c r="ED294" t="e">
        <f>Descriptions!V27+"AM:!0T["</f>
        <v>#VALUE!</v>
      </c>
      <c r="EE294" t="e">
        <f>Descriptions!W27+"AM:!0T\"</f>
        <v>#VALUE!</v>
      </c>
      <c r="EF294" t="e">
        <f>Descriptions!X27+"AM:!0T]"</f>
        <v>#VALUE!</v>
      </c>
      <c r="EG294" t="e">
        <f>Descriptions!Y27+"AM:!0T^"</f>
        <v>#VALUE!</v>
      </c>
      <c r="EH294" t="e">
        <f>Descriptions!Z27+"AM:!0T_"</f>
        <v>#VALUE!</v>
      </c>
      <c r="EI294" t="e">
        <f>Descriptions!AA27+"AM:!0T`"</f>
        <v>#VALUE!</v>
      </c>
      <c r="EJ294" t="e">
        <f>Descriptions!AB27+"AM:!0Ta"</f>
        <v>#VALUE!</v>
      </c>
      <c r="EK294" t="e">
        <f>Descriptions!AC27+"AM:!0Tb"</f>
        <v>#VALUE!</v>
      </c>
      <c r="EL294" t="e">
        <f>Descriptions!AD27+"AM:!0Tc"</f>
        <v>#VALUE!</v>
      </c>
      <c r="EM294" t="e">
        <f>Descriptions!AE27+"AM:!0Td"</f>
        <v>#VALUE!</v>
      </c>
      <c r="EN294" t="e">
        <f>Descriptions!AF27+"AM:!0Te"</f>
        <v>#VALUE!</v>
      </c>
      <c r="EO294" t="e">
        <f>Descriptions!A28+"AM:!0Tf"</f>
        <v>#VALUE!</v>
      </c>
      <c r="EP294" t="e">
        <f>Descriptions!B28+"AM:!0Tg"</f>
        <v>#VALUE!</v>
      </c>
      <c r="EQ294" t="e">
        <f>Descriptions!C28+"AM:!0Th"</f>
        <v>#VALUE!</v>
      </c>
      <c r="ER294" t="e">
        <f>Descriptions!D28+"AM:!0Ti"</f>
        <v>#VALUE!</v>
      </c>
      <c r="ES294" t="e">
        <f>Descriptions!E28+"AM:!0Tj"</f>
        <v>#VALUE!</v>
      </c>
      <c r="ET294" t="e">
        <f>Descriptions!F28+"AM:!0Tk"</f>
        <v>#VALUE!</v>
      </c>
      <c r="EU294" t="e">
        <f>Descriptions!G28+"AM:!0Tl"</f>
        <v>#VALUE!</v>
      </c>
      <c r="EV294" t="e">
        <f>Descriptions!H28+"AM:!0Tm"</f>
        <v>#VALUE!</v>
      </c>
      <c r="EW294" t="e">
        <f>Descriptions!I28+"AM:!0Tn"</f>
        <v>#VALUE!</v>
      </c>
      <c r="EX294" t="e">
        <f>Descriptions!J28+"AM:!0To"</f>
        <v>#VALUE!</v>
      </c>
      <c r="EY294" t="e">
        <f>Descriptions!K28+"AM:!0Tp"</f>
        <v>#VALUE!</v>
      </c>
      <c r="EZ294" t="e">
        <f>Descriptions!L28+"AM:!0Tq"</f>
        <v>#VALUE!</v>
      </c>
      <c r="FA294" t="e">
        <f>Descriptions!M28+"AM:!0Tr"</f>
        <v>#VALUE!</v>
      </c>
      <c r="FB294" t="e">
        <f>Descriptions!N28+"AM:!0Ts"</f>
        <v>#VALUE!</v>
      </c>
      <c r="FC294" t="e">
        <f>Descriptions!O28+"AM:!0Tt"</f>
        <v>#VALUE!</v>
      </c>
      <c r="FD294" t="e">
        <f>Descriptions!P28+"AM:!0Tu"</f>
        <v>#VALUE!</v>
      </c>
      <c r="FE294" t="e">
        <f>Descriptions!Q28+"AM:!0Tv"</f>
        <v>#VALUE!</v>
      </c>
      <c r="FF294" t="e">
        <f>Descriptions!R28+"AM:!0Tw"</f>
        <v>#VALUE!</v>
      </c>
      <c r="FG294" t="e">
        <f>Descriptions!S28+"AM:!0Tx"</f>
        <v>#VALUE!</v>
      </c>
      <c r="FH294" t="e">
        <f>Descriptions!T28+"AM:!0Ty"</f>
        <v>#VALUE!</v>
      </c>
      <c r="FI294" t="e">
        <f>Descriptions!U28+"AM:!0Tz"</f>
        <v>#VALUE!</v>
      </c>
      <c r="FJ294" t="e">
        <f>Descriptions!V28+"AM:!0T{"</f>
        <v>#VALUE!</v>
      </c>
      <c r="FK294" t="e">
        <f>Descriptions!W28+"AM:!0T|"</f>
        <v>#VALUE!</v>
      </c>
      <c r="FL294" t="e">
        <f>Descriptions!X28+"AM:!0T}"</f>
        <v>#VALUE!</v>
      </c>
      <c r="FM294" t="e">
        <f>Descriptions!Y28+"AM:!0T~"</f>
        <v>#VALUE!</v>
      </c>
      <c r="FN294" t="e">
        <f>Descriptions!Z28+"AM:!0U#"</f>
        <v>#VALUE!</v>
      </c>
      <c r="FO294" t="e">
        <f>Descriptions!AA28+"AM:!0U$"</f>
        <v>#VALUE!</v>
      </c>
      <c r="FP294" t="e">
        <f>Descriptions!AB28+"AM:!0U%"</f>
        <v>#VALUE!</v>
      </c>
      <c r="FQ294" t="e">
        <f>Descriptions!AC28+"AM:!0U&amp;"</f>
        <v>#VALUE!</v>
      </c>
      <c r="FR294" t="e">
        <f>Descriptions!AD28+"AM:!0U'"</f>
        <v>#VALUE!</v>
      </c>
      <c r="FS294" t="e">
        <f>Descriptions!AE28+"AM:!0U("</f>
        <v>#VALUE!</v>
      </c>
      <c r="FT294" t="e">
        <f>Descriptions!AF28+"AM:!0U)"</f>
        <v>#VALUE!</v>
      </c>
      <c r="FU294" t="e">
        <f>Descriptions!A29+"AM:!0U."</f>
        <v>#VALUE!</v>
      </c>
      <c r="FV294" t="e">
        <f>Descriptions!B29+"AM:!0U/"</f>
        <v>#VALUE!</v>
      </c>
      <c r="FW294" t="e">
        <f>Descriptions!C29+"AM:!0U0"</f>
        <v>#VALUE!</v>
      </c>
      <c r="FX294" t="e">
        <f>Descriptions!D29+"AM:!0U1"</f>
        <v>#VALUE!</v>
      </c>
      <c r="FY294" t="e">
        <f>Descriptions!E29+"AM:!0U2"</f>
        <v>#VALUE!</v>
      </c>
      <c r="FZ294" t="e">
        <f>Descriptions!F29+"AM:!0U3"</f>
        <v>#VALUE!</v>
      </c>
      <c r="GA294" t="e">
        <f>Descriptions!G29+"AM:!0U4"</f>
        <v>#VALUE!</v>
      </c>
      <c r="GB294" t="e">
        <f>Descriptions!H29+"AM:!0U5"</f>
        <v>#VALUE!</v>
      </c>
      <c r="GC294" t="e">
        <f>Descriptions!I29+"AM:!0U6"</f>
        <v>#VALUE!</v>
      </c>
      <c r="GD294" t="e">
        <f>Descriptions!J29+"AM:!0U7"</f>
        <v>#VALUE!</v>
      </c>
      <c r="GE294" t="e">
        <f>Descriptions!K29+"AM:!0U8"</f>
        <v>#VALUE!</v>
      </c>
      <c r="GF294" t="e">
        <f>Descriptions!L29+"AM:!0U9"</f>
        <v>#VALUE!</v>
      </c>
      <c r="GG294" t="e">
        <f>Descriptions!M29+"AM:!0U:"</f>
        <v>#VALUE!</v>
      </c>
      <c r="GH294" t="e">
        <f>Descriptions!N29+"AM:!0U;"</f>
        <v>#VALUE!</v>
      </c>
      <c r="GI294" t="e">
        <f>Descriptions!O29+"AM:!0U&lt;"</f>
        <v>#VALUE!</v>
      </c>
      <c r="GJ294" t="e">
        <f>Descriptions!P29+"AM:!0U="</f>
        <v>#VALUE!</v>
      </c>
      <c r="GK294" t="e">
        <f>Descriptions!Q29+"AM:!0U&gt;"</f>
        <v>#VALUE!</v>
      </c>
      <c r="GL294" t="e">
        <f>Descriptions!R29+"AM:!0U?"</f>
        <v>#VALUE!</v>
      </c>
      <c r="GM294" t="e">
        <f>Descriptions!S29+"AM:!0U@"</f>
        <v>#VALUE!</v>
      </c>
      <c r="GN294" t="e">
        <f>Descriptions!T29+"AM:!0UA"</f>
        <v>#VALUE!</v>
      </c>
      <c r="GO294" t="e">
        <f>Descriptions!U29+"AM:!0UB"</f>
        <v>#VALUE!</v>
      </c>
      <c r="GP294" t="e">
        <f>Descriptions!V29+"AM:!0UC"</f>
        <v>#VALUE!</v>
      </c>
      <c r="GQ294" t="e">
        <f>Descriptions!W29+"AM:!0UD"</f>
        <v>#VALUE!</v>
      </c>
      <c r="GR294" t="e">
        <f>Descriptions!X29+"AM:!0UE"</f>
        <v>#VALUE!</v>
      </c>
      <c r="GS294" t="e">
        <f>Descriptions!Y29+"AM:!0UF"</f>
        <v>#VALUE!</v>
      </c>
      <c r="GT294" t="e">
        <f>Descriptions!Z29+"AM:!0UG"</f>
        <v>#VALUE!</v>
      </c>
      <c r="GU294" t="e">
        <f>Descriptions!AA29+"AM:!0UH"</f>
        <v>#VALUE!</v>
      </c>
      <c r="GV294" t="e">
        <f>Descriptions!AB29+"AM:!0UI"</f>
        <v>#VALUE!</v>
      </c>
      <c r="GW294" t="e">
        <f>Descriptions!AC29+"AM:!0UJ"</f>
        <v>#VALUE!</v>
      </c>
      <c r="GX294" t="e">
        <f>Descriptions!AD29+"AM:!0UK"</f>
        <v>#VALUE!</v>
      </c>
      <c r="GY294" t="e">
        <f>Descriptions!AE29+"AM:!0UL"</f>
        <v>#VALUE!</v>
      </c>
      <c r="GZ294" t="e">
        <f>Descriptions!AF29+"AM:!0UM"</f>
        <v>#VALUE!</v>
      </c>
      <c r="HA294" t="e">
        <f>Descriptions!A30+"AM:!0UN"</f>
        <v>#VALUE!</v>
      </c>
      <c r="HB294" t="e">
        <f>Descriptions!B30+"AM:!0UO"</f>
        <v>#VALUE!</v>
      </c>
      <c r="HC294" t="e">
        <f>Descriptions!C30+"AM:!0UP"</f>
        <v>#VALUE!</v>
      </c>
      <c r="HD294" t="e">
        <f>Descriptions!D30+"AM:!0UQ"</f>
        <v>#VALUE!</v>
      </c>
      <c r="HE294" t="e">
        <f>Descriptions!E30+"AM:!0UR"</f>
        <v>#VALUE!</v>
      </c>
      <c r="HF294" t="e">
        <f>Descriptions!F30+"AM:!0US"</f>
        <v>#VALUE!</v>
      </c>
      <c r="HG294" t="e">
        <f>Descriptions!G30+"AM:!0UT"</f>
        <v>#VALUE!</v>
      </c>
      <c r="HH294" t="e">
        <f>Descriptions!H30+"AM:!0UU"</f>
        <v>#VALUE!</v>
      </c>
      <c r="HI294" t="e">
        <f>Descriptions!I30+"AM:!0UV"</f>
        <v>#VALUE!</v>
      </c>
      <c r="HJ294" t="e">
        <f>Descriptions!J30+"AM:!0UW"</f>
        <v>#VALUE!</v>
      </c>
      <c r="HK294" t="e">
        <f>Descriptions!K30+"AM:!0UX"</f>
        <v>#VALUE!</v>
      </c>
      <c r="HL294" t="e">
        <f>Descriptions!L30+"AM:!0UY"</f>
        <v>#VALUE!</v>
      </c>
      <c r="HM294" t="e">
        <f>Descriptions!M30+"AM:!0UZ"</f>
        <v>#VALUE!</v>
      </c>
      <c r="HN294" t="e">
        <f>Descriptions!N30+"AM:!0U["</f>
        <v>#VALUE!</v>
      </c>
      <c r="HO294" t="e">
        <f>Descriptions!O30+"AM:!0U\"</f>
        <v>#VALUE!</v>
      </c>
      <c r="HP294" t="e">
        <f>Descriptions!P30+"AM:!0U]"</f>
        <v>#VALUE!</v>
      </c>
      <c r="HQ294" t="e">
        <f>Descriptions!Q30+"AM:!0U^"</f>
        <v>#VALUE!</v>
      </c>
      <c r="HR294" t="e">
        <f>Descriptions!R30+"AM:!0U_"</f>
        <v>#VALUE!</v>
      </c>
      <c r="HS294" t="e">
        <f>Descriptions!S30+"AM:!0U`"</f>
        <v>#VALUE!</v>
      </c>
      <c r="HT294" t="e">
        <f>Descriptions!T30+"AM:!0Ua"</f>
        <v>#VALUE!</v>
      </c>
      <c r="HU294" t="e">
        <f>Descriptions!U30+"AM:!0Ub"</f>
        <v>#VALUE!</v>
      </c>
      <c r="HV294" t="e">
        <f>Descriptions!V30+"AM:!0Uc"</f>
        <v>#VALUE!</v>
      </c>
      <c r="HW294" t="e">
        <f>Descriptions!W30+"AM:!0Ud"</f>
        <v>#VALUE!</v>
      </c>
      <c r="HX294" t="e">
        <f>Descriptions!X30+"AM:!0Ue"</f>
        <v>#VALUE!</v>
      </c>
      <c r="HY294" t="e">
        <f>Descriptions!Y30+"AM:!0Uf"</f>
        <v>#VALUE!</v>
      </c>
      <c r="HZ294" t="e">
        <f>Descriptions!Z30+"AM:!0Ug"</f>
        <v>#VALUE!</v>
      </c>
      <c r="IA294" t="e">
        <f>Descriptions!AA30+"AM:!0Uh"</f>
        <v>#VALUE!</v>
      </c>
      <c r="IB294" t="e">
        <f>Descriptions!AB30+"AM:!0Ui"</f>
        <v>#VALUE!</v>
      </c>
      <c r="IC294" t="e">
        <f>Descriptions!AC30+"AM:!0Uj"</f>
        <v>#VALUE!</v>
      </c>
      <c r="ID294" t="e">
        <f>Descriptions!AD30+"AM:!0Uk"</f>
        <v>#VALUE!</v>
      </c>
      <c r="IE294" t="e">
        <f>Descriptions!AE30+"AM:!0Ul"</f>
        <v>#VALUE!</v>
      </c>
      <c r="IF294" t="e">
        <f>Descriptions!AF30+"AM:!0Um"</f>
        <v>#VALUE!</v>
      </c>
      <c r="IG294" t="e">
        <f>Descriptions!A31+"AM:!0Un"</f>
        <v>#VALUE!</v>
      </c>
      <c r="IH294" t="e">
        <f>Descriptions!B31+"AM:!0Uo"</f>
        <v>#VALUE!</v>
      </c>
      <c r="II294" t="e">
        <f>Descriptions!C31+"AM:!0Up"</f>
        <v>#VALUE!</v>
      </c>
      <c r="IJ294" t="e">
        <f>Descriptions!D31+"AM:!0Uq"</f>
        <v>#VALUE!</v>
      </c>
      <c r="IK294" t="e">
        <f>Descriptions!E31+"AM:!0Ur"</f>
        <v>#VALUE!</v>
      </c>
      <c r="IL294" t="e">
        <f>Descriptions!F31+"AM:!0Us"</f>
        <v>#VALUE!</v>
      </c>
      <c r="IM294" t="e">
        <f>Descriptions!G31+"AM:!0Ut"</f>
        <v>#VALUE!</v>
      </c>
      <c r="IN294" t="e">
        <f>Descriptions!H31+"AM:!0Uu"</f>
        <v>#VALUE!</v>
      </c>
      <c r="IO294" t="e">
        <f>Descriptions!I31+"AM:!0Uv"</f>
        <v>#VALUE!</v>
      </c>
      <c r="IP294" t="e">
        <f>Descriptions!J31+"AM:!0Uw"</f>
        <v>#VALUE!</v>
      </c>
      <c r="IQ294" t="e">
        <f>Descriptions!K31+"AM:!0Ux"</f>
        <v>#VALUE!</v>
      </c>
      <c r="IR294" t="e">
        <f>Descriptions!L31+"AM:!0Uy"</f>
        <v>#VALUE!</v>
      </c>
      <c r="IS294" t="e">
        <f>Descriptions!M31+"AM:!0Uz"</f>
        <v>#VALUE!</v>
      </c>
      <c r="IT294" t="e">
        <f>Descriptions!N31+"AM:!0U{"</f>
        <v>#VALUE!</v>
      </c>
      <c r="IU294" t="e">
        <f>Descriptions!O31+"AM:!0U|"</f>
        <v>#VALUE!</v>
      </c>
      <c r="IV294" t="e">
        <f>Descriptions!P31+"AM:!0U}"</f>
        <v>#VALUE!</v>
      </c>
    </row>
    <row r="295" spans="6:256">
      <c r="F295" t="e">
        <f>Descriptions!Q31+"AM:!0U~"</f>
        <v>#VALUE!</v>
      </c>
      <c r="G295" t="e">
        <f>Descriptions!R31+"AM:!0V#"</f>
        <v>#VALUE!</v>
      </c>
      <c r="H295" t="e">
        <f>Descriptions!S31+"AM:!0V$"</f>
        <v>#VALUE!</v>
      </c>
      <c r="I295" t="e">
        <f>Descriptions!T31+"AM:!0V%"</f>
        <v>#VALUE!</v>
      </c>
      <c r="J295" t="e">
        <f>Descriptions!U31+"AM:!0V&amp;"</f>
        <v>#VALUE!</v>
      </c>
      <c r="K295" t="e">
        <f>Descriptions!V31+"AM:!0V'"</f>
        <v>#VALUE!</v>
      </c>
      <c r="L295" t="e">
        <f>Descriptions!W31+"AM:!0V("</f>
        <v>#VALUE!</v>
      </c>
      <c r="M295" t="e">
        <f>Descriptions!X31+"AM:!0V)"</f>
        <v>#VALUE!</v>
      </c>
      <c r="N295" t="e">
        <f>Descriptions!Y31+"AM:!0V."</f>
        <v>#VALUE!</v>
      </c>
      <c r="O295" t="e">
        <f>Descriptions!Z31+"AM:!0V/"</f>
        <v>#VALUE!</v>
      </c>
      <c r="P295" t="e">
        <f>Descriptions!AA31+"AM:!0V0"</f>
        <v>#VALUE!</v>
      </c>
      <c r="Q295" t="e">
        <f>Descriptions!AB31+"AM:!0V1"</f>
        <v>#VALUE!</v>
      </c>
      <c r="R295" t="e">
        <f>Descriptions!AC31+"AM:!0V2"</f>
        <v>#VALUE!</v>
      </c>
      <c r="S295" t="e">
        <f>Descriptions!AD31+"AM:!0V3"</f>
        <v>#VALUE!</v>
      </c>
      <c r="T295" t="e">
        <f>Descriptions!AE31+"AM:!0V4"</f>
        <v>#VALUE!</v>
      </c>
      <c r="U295" t="e">
        <f>Descriptions!AF31+"AM:!0V5"</f>
        <v>#VALUE!</v>
      </c>
      <c r="V295" t="e">
        <f>Descriptions!A32+"AM:!0V6"</f>
        <v>#VALUE!</v>
      </c>
      <c r="W295" t="e">
        <f>Descriptions!B32+"AM:!0V7"</f>
        <v>#VALUE!</v>
      </c>
      <c r="X295" t="e">
        <f>Descriptions!C32+"AM:!0V8"</f>
        <v>#VALUE!</v>
      </c>
      <c r="Y295" t="e">
        <f>Descriptions!D32+"AM:!0V9"</f>
        <v>#VALUE!</v>
      </c>
      <c r="Z295" t="e">
        <f>Descriptions!E32+"AM:!0V:"</f>
        <v>#VALUE!</v>
      </c>
      <c r="AA295" t="e">
        <f>Descriptions!F32+"AM:!0V;"</f>
        <v>#VALUE!</v>
      </c>
      <c r="AB295" t="e">
        <f>Descriptions!G32+"AM:!0V&lt;"</f>
        <v>#VALUE!</v>
      </c>
      <c r="AC295" t="e">
        <f>Descriptions!H32+"AM:!0V="</f>
        <v>#VALUE!</v>
      </c>
      <c r="AD295" t="e">
        <f>Descriptions!I32+"AM:!0V&gt;"</f>
        <v>#VALUE!</v>
      </c>
      <c r="AE295" t="e">
        <f>Descriptions!J32+"AM:!0V?"</f>
        <v>#VALUE!</v>
      </c>
      <c r="AF295" t="e">
        <f>Descriptions!K32+"AM:!0V@"</f>
        <v>#VALUE!</v>
      </c>
      <c r="AG295" t="e">
        <f>Descriptions!L32+"AM:!0VA"</f>
        <v>#VALUE!</v>
      </c>
      <c r="AH295" t="e">
        <f>Descriptions!M32+"AM:!0VB"</f>
        <v>#VALUE!</v>
      </c>
      <c r="AI295" t="e">
        <f>Descriptions!N32+"AM:!0VC"</f>
        <v>#VALUE!</v>
      </c>
      <c r="AJ295" t="e">
        <f>Descriptions!O32+"AM:!0VD"</f>
        <v>#VALUE!</v>
      </c>
      <c r="AK295" t="e">
        <f>Descriptions!P32+"AM:!0VE"</f>
        <v>#VALUE!</v>
      </c>
      <c r="AL295" t="e">
        <f>Descriptions!Q32+"AM:!0VF"</f>
        <v>#VALUE!</v>
      </c>
      <c r="AM295" t="e">
        <f>Descriptions!R32+"AM:!0VG"</f>
        <v>#VALUE!</v>
      </c>
      <c r="AN295" t="e">
        <f>Descriptions!S32+"AM:!0VH"</f>
        <v>#VALUE!</v>
      </c>
      <c r="AO295" t="e">
        <f>Descriptions!T32+"AM:!0VI"</f>
        <v>#VALUE!</v>
      </c>
      <c r="AP295" t="e">
        <f>Descriptions!U32+"AM:!0VJ"</f>
        <v>#VALUE!</v>
      </c>
      <c r="AQ295" t="e">
        <f>Descriptions!V32+"AM:!0VK"</f>
        <v>#VALUE!</v>
      </c>
      <c r="AR295" t="e">
        <f>Descriptions!W32+"AM:!0VL"</f>
        <v>#VALUE!</v>
      </c>
      <c r="AS295" t="e">
        <f>Descriptions!X32+"AM:!0VM"</f>
        <v>#VALUE!</v>
      </c>
      <c r="AT295" t="e">
        <f>Descriptions!Y32+"AM:!0VN"</f>
        <v>#VALUE!</v>
      </c>
      <c r="AU295" t="e">
        <f>Descriptions!Z32+"AM:!0VO"</f>
        <v>#VALUE!</v>
      </c>
      <c r="AV295" t="e">
        <f>Descriptions!AA32+"AM:!0VP"</f>
        <v>#VALUE!</v>
      </c>
      <c r="AW295" t="e">
        <f>Descriptions!AB32+"AM:!0VQ"</f>
        <v>#VALUE!</v>
      </c>
      <c r="AX295" t="e">
        <f>Descriptions!AC32+"AM:!0VR"</f>
        <v>#VALUE!</v>
      </c>
      <c r="AY295" t="e">
        <f>Descriptions!AD32+"AM:!0VS"</f>
        <v>#VALUE!</v>
      </c>
      <c r="AZ295" t="e">
        <f>Descriptions!AE32+"AM:!0VT"</f>
        <v>#VALUE!</v>
      </c>
      <c r="BA295" t="e">
        <f>Descriptions!AF32+"AM:!0VU"</f>
        <v>#VALUE!</v>
      </c>
      <c r="BB295" t="e">
        <f>Descriptions!A33+"AM:!0VV"</f>
        <v>#VALUE!</v>
      </c>
      <c r="BC295" t="e">
        <f>Descriptions!B33+"AM:!0VW"</f>
        <v>#VALUE!</v>
      </c>
      <c r="BD295" t="e">
        <f>Descriptions!C33+"AM:!0VX"</f>
        <v>#VALUE!</v>
      </c>
      <c r="BE295" t="e">
        <f>Descriptions!D33+"AM:!0VY"</f>
        <v>#VALUE!</v>
      </c>
      <c r="BF295" t="e">
        <f>Descriptions!E33+"AM:!0VZ"</f>
        <v>#VALUE!</v>
      </c>
      <c r="BG295" t="e">
        <f>Descriptions!F33+"AM:!0V["</f>
        <v>#VALUE!</v>
      </c>
      <c r="BH295" t="e">
        <f>Descriptions!G33+"AM:!0V\"</f>
        <v>#VALUE!</v>
      </c>
      <c r="BI295" t="e">
        <f>Descriptions!H33+"AM:!0V]"</f>
        <v>#VALUE!</v>
      </c>
      <c r="BJ295" t="e">
        <f>Descriptions!I33+"AM:!0V^"</f>
        <v>#VALUE!</v>
      </c>
      <c r="BK295" t="e">
        <f>Descriptions!J33+"AM:!0V_"</f>
        <v>#VALUE!</v>
      </c>
      <c r="BL295" t="e">
        <f>Descriptions!K33+"AM:!0V`"</f>
        <v>#VALUE!</v>
      </c>
      <c r="BM295" t="e">
        <f>Descriptions!L33+"AM:!0Va"</f>
        <v>#VALUE!</v>
      </c>
      <c r="BN295" t="e">
        <f>Descriptions!M33+"AM:!0Vb"</f>
        <v>#VALUE!</v>
      </c>
      <c r="BO295" t="e">
        <f>Descriptions!N33+"AM:!0Vc"</f>
        <v>#VALUE!</v>
      </c>
      <c r="BP295" t="e">
        <f>Descriptions!O33+"AM:!0Vd"</f>
        <v>#VALUE!</v>
      </c>
      <c r="BQ295" t="e">
        <f>Descriptions!P33+"AM:!0Ve"</f>
        <v>#VALUE!</v>
      </c>
      <c r="BR295" t="e">
        <f>Descriptions!Q33+"AM:!0Vf"</f>
        <v>#VALUE!</v>
      </c>
      <c r="BS295" t="e">
        <f>Descriptions!R33+"AM:!0Vg"</f>
        <v>#VALUE!</v>
      </c>
      <c r="BT295" t="e">
        <f>Descriptions!S33+"AM:!0Vh"</f>
        <v>#VALUE!</v>
      </c>
      <c r="BU295" t="e">
        <f>Descriptions!T33+"AM:!0Vi"</f>
        <v>#VALUE!</v>
      </c>
      <c r="BV295" t="e">
        <f>Descriptions!U33+"AM:!0Vj"</f>
        <v>#VALUE!</v>
      </c>
      <c r="BW295" t="e">
        <f>Descriptions!V33+"AM:!0Vk"</f>
        <v>#VALUE!</v>
      </c>
      <c r="BX295" t="e">
        <f>Descriptions!W33+"AM:!0Vl"</f>
        <v>#VALUE!</v>
      </c>
      <c r="BY295" t="e">
        <f>Descriptions!X33+"AM:!0Vm"</f>
        <v>#VALUE!</v>
      </c>
      <c r="BZ295" t="e">
        <f>Descriptions!Y33+"AM:!0Vn"</f>
        <v>#VALUE!</v>
      </c>
      <c r="CA295" t="e">
        <f>Descriptions!Z33+"AM:!0Vo"</f>
        <v>#VALUE!</v>
      </c>
      <c r="CB295" t="e">
        <f>Descriptions!AA33+"AM:!0Vp"</f>
        <v>#VALUE!</v>
      </c>
      <c r="CC295" t="e">
        <f>Descriptions!AB33+"AM:!0Vq"</f>
        <v>#VALUE!</v>
      </c>
      <c r="CD295" t="e">
        <f>Descriptions!AC33+"AM:!0Vr"</f>
        <v>#VALUE!</v>
      </c>
      <c r="CE295" t="e">
        <f>Descriptions!AD33+"AM:!0Vs"</f>
        <v>#VALUE!</v>
      </c>
      <c r="CF295" t="e">
        <f>Descriptions!AE33+"AM:!0Vt"</f>
        <v>#VALUE!</v>
      </c>
      <c r="CG295" t="e">
        <f>Descriptions!AF33+"AM:!0Vu"</f>
        <v>#VALUE!</v>
      </c>
      <c r="CH295" t="e">
        <f>Descriptions!A34+"AM:!0Vv"</f>
        <v>#VALUE!</v>
      </c>
      <c r="CI295" t="e">
        <f>Descriptions!B34+"AM:!0Vw"</f>
        <v>#VALUE!</v>
      </c>
      <c r="CJ295" t="e">
        <f>Descriptions!C34+"AM:!0Vx"</f>
        <v>#VALUE!</v>
      </c>
      <c r="CK295" t="e">
        <f>Descriptions!D34+"AM:!0Vy"</f>
        <v>#VALUE!</v>
      </c>
      <c r="CL295" t="e">
        <f>Descriptions!E34+"AM:!0Vz"</f>
        <v>#VALUE!</v>
      </c>
      <c r="CM295" t="e">
        <f>Descriptions!F34+"AM:!0V{"</f>
        <v>#VALUE!</v>
      </c>
      <c r="CN295" t="e">
        <f>Descriptions!G34+"AM:!0V|"</f>
        <v>#VALUE!</v>
      </c>
      <c r="CO295" t="e">
        <f>Descriptions!H34+"AM:!0V}"</f>
        <v>#VALUE!</v>
      </c>
      <c r="CP295" t="e">
        <f>Descriptions!I34+"AM:!0V~"</f>
        <v>#VALUE!</v>
      </c>
      <c r="CQ295" t="e">
        <f>Descriptions!J34+"AM:!0W#"</f>
        <v>#VALUE!</v>
      </c>
      <c r="CR295" t="e">
        <f>Descriptions!K34+"AM:!0W$"</f>
        <v>#VALUE!</v>
      </c>
      <c r="CS295" t="e">
        <f>Descriptions!L34+"AM:!0W%"</f>
        <v>#VALUE!</v>
      </c>
      <c r="CT295" t="e">
        <f>Descriptions!M34+"AM:!0W&amp;"</f>
        <v>#VALUE!</v>
      </c>
      <c r="CU295" t="e">
        <f>Descriptions!N34+"AM:!0W'"</f>
        <v>#VALUE!</v>
      </c>
      <c r="CV295" t="e">
        <f>Descriptions!O34+"AM:!0W("</f>
        <v>#VALUE!</v>
      </c>
      <c r="CW295" t="e">
        <f>Descriptions!P34+"AM:!0W)"</f>
        <v>#VALUE!</v>
      </c>
      <c r="CX295" t="e">
        <f>Descriptions!Q34+"AM:!0W."</f>
        <v>#VALUE!</v>
      </c>
      <c r="CY295" t="e">
        <f>Descriptions!R34+"AM:!0W/"</f>
        <v>#VALUE!</v>
      </c>
      <c r="CZ295" t="e">
        <f>Descriptions!S34+"AM:!0W0"</f>
        <v>#VALUE!</v>
      </c>
      <c r="DA295" t="e">
        <f>Descriptions!T34+"AM:!0W1"</f>
        <v>#VALUE!</v>
      </c>
      <c r="DB295" t="e">
        <f>Descriptions!U34+"AM:!0W2"</f>
        <v>#VALUE!</v>
      </c>
      <c r="DC295" t="e">
        <f>Descriptions!V34+"AM:!0W3"</f>
        <v>#VALUE!</v>
      </c>
      <c r="DD295" t="e">
        <f>Descriptions!W34+"AM:!0W4"</f>
        <v>#VALUE!</v>
      </c>
      <c r="DE295" t="e">
        <f>Descriptions!X34+"AM:!0W5"</f>
        <v>#VALUE!</v>
      </c>
      <c r="DF295" t="e">
        <f>Descriptions!Y34+"AM:!0W6"</f>
        <v>#VALUE!</v>
      </c>
      <c r="DG295" t="e">
        <f>Descriptions!Z34+"AM:!0W7"</f>
        <v>#VALUE!</v>
      </c>
      <c r="DH295" t="e">
        <f>Descriptions!AA34+"AM:!0W8"</f>
        <v>#VALUE!</v>
      </c>
      <c r="DI295" t="e">
        <f>Descriptions!AB34+"AM:!0W9"</f>
        <v>#VALUE!</v>
      </c>
      <c r="DJ295" t="e">
        <f>Descriptions!AC34+"AM:!0W:"</f>
        <v>#VALUE!</v>
      </c>
      <c r="DK295" t="e">
        <f>Descriptions!AD34+"AM:!0W;"</f>
        <v>#VALUE!</v>
      </c>
      <c r="DL295" t="e">
        <f>Descriptions!AE34+"AM:!0W&lt;"</f>
        <v>#VALUE!</v>
      </c>
      <c r="DM295" t="e">
        <f>Descriptions!AF34+"AM:!0W="</f>
        <v>#VALUE!</v>
      </c>
      <c r="DN295" t="e">
        <f>Descriptions!A35+"AM:!0W&gt;"</f>
        <v>#VALUE!</v>
      </c>
      <c r="DO295" t="e">
        <f>Descriptions!B35+"AM:!0W?"</f>
        <v>#VALUE!</v>
      </c>
      <c r="DP295" t="e">
        <f>Descriptions!C35+"AM:!0W@"</f>
        <v>#VALUE!</v>
      </c>
      <c r="DQ295" t="e">
        <f>Descriptions!D35+"AM:!0WA"</f>
        <v>#VALUE!</v>
      </c>
      <c r="DR295" t="e">
        <f>Descriptions!E35+"AM:!0WB"</f>
        <v>#VALUE!</v>
      </c>
      <c r="DS295" t="e">
        <f>Descriptions!F35+"AM:!0WC"</f>
        <v>#VALUE!</v>
      </c>
      <c r="DT295" t="e">
        <f>Descriptions!G35+"AM:!0WD"</f>
        <v>#VALUE!</v>
      </c>
      <c r="DU295" t="e">
        <f>Descriptions!H35+"AM:!0WE"</f>
        <v>#VALUE!</v>
      </c>
      <c r="DV295" t="e">
        <f>Descriptions!I35+"AM:!0WF"</f>
        <v>#VALUE!</v>
      </c>
      <c r="DW295" t="e">
        <f>Descriptions!J35+"AM:!0WG"</f>
        <v>#VALUE!</v>
      </c>
      <c r="DX295" t="e">
        <f>Descriptions!K35+"AM:!0WH"</f>
        <v>#VALUE!</v>
      </c>
      <c r="DY295" t="e">
        <f>Descriptions!L35+"AM:!0WI"</f>
        <v>#VALUE!</v>
      </c>
      <c r="DZ295" t="e">
        <f>Descriptions!M35+"AM:!0WJ"</f>
        <v>#VALUE!</v>
      </c>
      <c r="EA295" t="e">
        <f>Descriptions!N35+"AM:!0WK"</f>
        <v>#VALUE!</v>
      </c>
      <c r="EB295" t="e">
        <f>Descriptions!O35+"AM:!0WL"</f>
        <v>#VALUE!</v>
      </c>
      <c r="EC295" t="e">
        <f>Descriptions!P35+"AM:!0WM"</f>
        <v>#VALUE!</v>
      </c>
      <c r="ED295" t="e">
        <f>Descriptions!Q35+"AM:!0WN"</f>
        <v>#VALUE!</v>
      </c>
      <c r="EE295" t="e">
        <f>Descriptions!R35+"AM:!0WO"</f>
        <v>#VALUE!</v>
      </c>
      <c r="EF295" t="e">
        <f>Descriptions!S35+"AM:!0WP"</f>
        <v>#VALUE!</v>
      </c>
      <c r="EG295" t="e">
        <f>Descriptions!T35+"AM:!0WQ"</f>
        <v>#VALUE!</v>
      </c>
      <c r="EH295" t="e">
        <f>Descriptions!U35+"AM:!0WR"</f>
        <v>#VALUE!</v>
      </c>
      <c r="EI295" t="e">
        <f>Descriptions!V35+"AM:!0WS"</f>
        <v>#VALUE!</v>
      </c>
      <c r="EJ295" t="e">
        <f>Descriptions!W35+"AM:!0WT"</f>
        <v>#VALUE!</v>
      </c>
      <c r="EK295" t="e">
        <f>Descriptions!X35+"AM:!0WU"</f>
        <v>#VALUE!</v>
      </c>
      <c r="EL295" t="e">
        <f>Descriptions!Y35+"AM:!0WV"</f>
        <v>#VALUE!</v>
      </c>
      <c r="EM295" t="e">
        <f>Descriptions!Z35+"AM:!0WW"</f>
        <v>#VALUE!</v>
      </c>
      <c r="EN295" t="e">
        <f>Descriptions!AA35+"AM:!0WX"</f>
        <v>#VALUE!</v>
      </c>
      <c r="EO295" t="e">
        <f>Descriptions!AB35+"AM:!0WY"</f>
        <v>#VALUE!</v>
      </c>
      <c r="EP295" t="e">
        <f>Descriptions!AC35+"AM:!0WZ"</f>
        <v>#VALUE!</v>
      </c>
      <c r="EQ295" t="e">
        <f>Descriptions!AD35+"AM:!0W["</f>
        <v>#VALUE!</v>
      </c>
      <c r="ER295" t="e">
        <f>Descriptions!AE35+"AM:!0W\"</f>
        <v>#VALUE!</v>
      </c>
      <c r="ES295" t="e">
        <f>Descriptions!AF35+"AM:!0W]"</f>
        <v>#VALUE!</v>
      </c>
      <c r="ET295" t="e">
        <f>Descriptions!A36+"AM:!0W^"</f>
        <v>#VALUE!</v>
      </c>
      <c r="EU295" t="e">
        <f>Descriptions!B36+"AM:!0W_"</f>
        <v>#VALUE!</v>
      </c>
      <c r="EV295" t="e">
        <f>Descriptions!C36+"AM:!0W`"</f>
        <v>#VALUE!</v>
      </c>
      <c r="EW295" t="e">
        <f>Descriptions!D36+"AM:!0Wa"</f>
        <v>#VALUE!</v>
      </c>
      <c r="EX295" t="e">
        <f>Descriptions!E36+"AM:!0Wb"</f>
        <v>#VALUE!</v>
      </c>
      <c r="EY295" t="e">
        <f>Descriptions!F36+"AM:!0Wc"</f>
        <v>#VALUE!</v>
      </c>
      <c r="EZ295" t="e">
        <f>Descriptions!G36+"AM:!0Wd"</f>
        <v>#VALUE!</v>
      </c>
      <c r="FA295" t="e">
        <f>Descriptions!H36+"AM:!0We"</f>
        <v>#VALUE!</v>
      </c>
      <c r="FB295" t="e">
        <f>Descriptions!I36+"AM:!0Wf"</f>
        <v>#VALUE!</v>
      </c>
      <c r="FC295" t="e">
        <f>Descriptions!J36+"AM:!0Wg"</f>
        <v>#VALUE!</v>
      </c>
      <c r="FD295" t="e">
        <f>Descriptions!K36+"AM:!0Wh"</f>
        <v>#VALUE!</v>
      </c>
      <c r="FE295" t="e">
        <f>Descriptions!L36+"AM:!0Wi"</f>
        <v>#VALUE!</v>
      </c>
      <c r="FF295" t="e">
        <f>Descriptions!M36+"AM:!0Wj"</f>
        <v>#VALUE!</v>
      </c>
      <c r="FG295" t="e">
        <f>Descriptions!N36+"AM:!0Wk"</f>
        <v>#VALUE!</v>
      </c>
      <c r="FH295" t="e">
        <f>Descriptions!O36+"AM:!0Wl"</f>
        <v>#VALUE!</v>
      </c>
      <c r="FI295" t="e">
        <f>Descriptions!P36+"AM:!0Wm"</f>
        <v>#VALUE!</v>
      </c>
      <c r="FJ295" t="e">
        <f>Descriptions!Q36+"AM:!0Wn"</f>
        <v>#VALUE!</v>
      </c>
      <c r="FK295" t="e">
        <f>Descriptions!R36+"AM:!0Wo"</f>
        <v>#VALUE!</v>
      </c>
      <c r="FL295" t="e">
        <f>Descriptions!S36+"AM:!0Wp"</f>
        <v>#VALUE!</v>
      </c>
      <c r="FM295" t="e">
        <f>Descriptions!T36+"AM:!0Wq"</f>
        <v>#VALUE!</v>
      </c>
      <c r="FN295" t="e">
        <f>Descriptions!U36+"AM:!0Wr"</f>
        <v>#VALUE!</v>
      </c>
      <c r="FO295" t="e">
        <f>Descriptions!V36+"AM:!0Ws"</f>
        <v>#VALUE!</v>
      </c>
      <c r="FP295" t="e">
        <f>Descriptions!W36+"AM:!0Wt"</f>
        <v>#VALUE!</v>
      </c>
      <c r="FQ295" t="e">
        <f>Descriptions!X36+"AM:!0Wu"</f>
        <v>#VALUE!</v>
      </c>
      <c r="FR295" t="e">
        <f>Descriptions!Y36+"AM:!0Wv"</f>
        <v>#VALUE!</v>
      </c>
      <c r="FS295" t="e">
        <f>Descriptions!Z36+"AM:!0Ww"</f>
        <v>#VALUE!</v>
      </c>
      <c r="FT295" t="e">
        <f>Descriptions!AA36+"AM:!0Wx"</f>
        <v>#VALUE!</v>
      </c>
      <c r="FU295" t="e">
        <f>Descriptions!AB36+"AM:!0Wy"</f>
        <v>#VALUE!</v>
      </c>
      <c r="FV295" t="e">
        <f>Descriptions!AC36+"AM:!0Wz"</f>
        <v>#VALUE!</v>
      </c>
      <c r="FW295" t="e">
        <f>Descriptions!AD36+"AM:!0W{"</f>
        <v>#VALUE!</v>
      </c>
      <c r="FX295" t="e">
        <f>Descriptions!AE36+"AM:!0W|"</f>
        <v>#VALUE!</v>
      </c>
      <c r="FY295" t="e">
        <f>Descriptions!AF36+"AM:!0W}"</f>
        <v>#VALUE!</v>
      </c>
      <c r="FZ295" t="e">
        <f>Descriptions!A37+"AM:!0W~"</f>
        <v>#VALUE!</v>
      </c>
      <c r="GA295" t="e">
        <f>Descriptions!B37+"AM:!0X#"</f>
        <v>#VALUE!</v>
      </c>
      <c r="GB295" t="e">
        <f>Descriptions!C37+"AM:!0X$"</f>
        <v>#VALUE!</v>
      </c>
      <c r="GC295" t="e">
        <f>Descriptions!D37+"AM:!0X%"</f>
        <v>#VALUE!</v>
      </c>
      <c r="GD295" t="e">
        <f>Descriptions!E37+"AM:!0X&amp;"</f>
        <v>#VALUE!</v>
      </c>
      <c r="GE295" t="e">
        <f>Descriptions!F37+"AM:!0X'"</f>
        <v>#VALUE!</v>
      </c>
      <c r="GF295" t="e">
        <f>Descriptions!G37+"AM:!0X("</f>
        <v>#VALUE!</v>
      </c>
      <c r="GG295" t="e">
        <f>Descriptions!H37+"AM:!0X)"</f>
        <v>#VALUE!</v>
      </c>
      <c r="GH295" t="e">
        <f>Descriptions!I37+"AM:!0X."</f>
        <v>#VALUE!</v>
      </c>
      <c r="GI295" t="e">
        <f>Descriptions!J37+"AM:!0X/"</f>
        <v>#VALUE!</v>
      </c>
      <c r="GJ295" t="e">
        <f>Descriptions!K37+"AM:!0X0"</f>
        <v>#VALUE!</v>
      </c>
      <c r="GK295" t="e">
        <f>Descriptions!L37+"AM:!0X1"</f>
        <v>#VALUE!</v>
      </c>
      <c r="GL295" t="e">
        <f>Descriptions!M37+"AM:!0X2"</f>
        <v>#VALUE!</v>
      </c>
      <c r="GM295" t="e">
        <f>Descriptions!N37+"AM:!0X3"</f>
        <v>#VALUE!</v>
      </c>
      <c r="GN295" t="e">
        <f>Descriptions!O37+"AM:!0X4"</f>
        <v>#VALUE!</v>
      </c>
      <c r="GO295" t="e">
        <f>Descriptions!P37+"AM:!0X5"</f>
        <v>#VALUE!</v>
      </c>
      <c r="GP295" t="e">
        <f>Descriptions!Q37+"AM:!0X6"</f>
        <v>#VALUE!</v>
      </c>
      <c r="GQ295" t="e">
        <f>Descriptions!R37+"AM:!0X7"</f>
        <v>#VALUE!</v>
      </c>
      <c r="GR295" t="e">
        <f>Descriptions!S37+"AM:!0X8"</f>
        <v>#VALUE!</v>
      </c>
      <c r="GS295" t="e">
        <f>Descriptions!T37+"AM:!0X9"</f>
        <v>#VALUE!</v>
      </c>
      <c r="GT295" t="e">
        <f>Descriptions!U37+"AM:!0X:"</f>
        <v>#VALUE!</v>
      </c>
      <c r="GU295" t="e">
        <f>Descriptions!V37+"AM:!0X;"</f>
        <v>#VALUE!</v>
      </c>
      <c r="GV295" t="e">
        <f>Descriptions!W37+"AM:!0X&lt;"</f>
        <v>#VALUE!</v>
      </c>
      <c r="GW295" t="e">
        <f>Descriptions!X37+"AM:!0X="</f>
        <v>#VALUE!</v>
      </c>
      <c r="GX295" t="e">
        <f>Descriptions!Y37+"AM:!0X&gt;"</f>
        <v>#VALUE!</v>
      </c>
      <c r="GY295" t="e">
        <f>Descriptions!Z37+"AM:!0X?"</f>
        <v>#VALUE!</v>
      </c>
      <c r="GZ295" t="e">
        <f>Descriptions!AA37+"AM:!0X@"</f>
        <v>#VALUE!</v>
      </c>
      <c r="HA295" t="e">
        <f>Descriptions!AB37+"AM:!0XA"</f>
        <v>#VALUE!</v>
      </c>
      <c r="HB295" t="e">
        <f>Descriptions!AC37+"AM:!0XB"</f>
        <v>#VALUE!</v>
      </c>
      <c r="HC295" t="e">
        <f>Descriptions!AD37+"AM:!0XC"</f>
        <v>#VALUE!</v>
      </c>
      <c r="HD295" t="e">
        <f>Descriptions!AE37+"AM:!0XD"</f>
        <v>#VALUE!</v>
      </c>
      <c r="HE295" t="e">
        <f>Descriptions!AF37+"AM:!0XE"</f>
        <v>#VALUE!</v>
      </c>
      <c r="HF295" t="e">
        <f>Descriptions!A38+"AM:!0XF"</f>
        <v>#VALUE!</v>
      </c>
      <c r="HG295" t="e">
        <f>Descriptions!B38+"AM:!0XG"</f>
        <v>#VALUE!</v>
      </c>
      <c r="HH295" t="e">
        <f>Descriptions!C38+"AM:!0XH"</f>
        <v>#VALUE!</v>
      </c>
      <c r="HI295" t="e">
        <f>Descriptions!D38+"AM:!0XI"</f>
        <v>#VALUE!</v>
      </c>
      <c r="HJ295" t="e">
        <f>Descriptions!E38+"AM:!0XJ"</f>
        <v>#VALUE!</v>
      </c>
      <c r="HK295" t="e">
        <f>Descriptions!F38+"AM:!0XK"</f>
        <v>#VALUE!</v>
      </c>
      <c r="HL295" t="e">
        <f>Descriptions!G38+"AM:!0XL"</f>
        <v>#VALUE!</v>
      </c>
      <c r="HM295" t="e">
        <f>Descriptions!H38+"AM:!0XM"</f>
        <v>#VALUE!</v>
      </c>
      <c r="HN295" t="e">
        <f>Descriptions!I38+"AM:!0XN"</f>
        <v>#VALUE!</v>
      </c>
      <c r="HO295" t="e">
        <f>Descriptions!J38+"AM:!0XO"</f>
        <v>#VALUE!</v>
      </c>
      <c r="HP295" t="e">
        <f>Descriptions!K38+"AM:!0XP"</f>
        <v>#VALUE!</v>
      </c>
      <c r="HQ295" t="e">
        <f>Descriptions!L38+"AM:!0XQ"</f>
        <v>#VALUE!</v>
      </c>
      <c r="HR295" t="e">
        <f>Descriptions!M38+"AM:!0XR"</f>
        <v>#VALUE!</v>
      </c>
      <c r="HS295" t="e">
        <f>Descriptions!N38+"AM:!0XS"</f>
        <v>#VALUE!</v>
      </c>
      <c r="HT295" t="e">
        <f>Descriptions!O38+"AM:!0XT"</f>
        <v>#VALUE!</v>
      </c>
      <c r="HU295" t="e">
        <f>Descriptions!P38+"AM:!0XU"</f>
        <v>#VALUE!</v>
      </c>
      <c r="HV295" t="e">
        <f>Descriptions!Q38+"AM:!0XV"</f>
        <v>#VALUE!</v>
      </c>
      <c r="HW295" t="e">
        <f>Descriptions!R38+"AM:!0XW"</f>
        <v>#VALUE!</v>
      </c>
      <c r="HX295" t="e">
        <f>Descriptions!S38+"AM:!0XX"</f>
        <v>#VALUE!</v>
      </c>
      <c r="HY295" t="e">
        <f>Descriptions!T38+"AM:!0XY"</f>
        <v>#VALUE!</v>
      </c>
      <c r="HZ295" t="e">
        <f>Descriptions!U38+"AM:!0XZ"</f>
        <v>#VALUE!</v>
      </c>
      <c r="IA295" t="e">
        <f>Descriptions!V38+"AM:!0X["</f>
        <v>#VALUE!</v>
      </c>
      <c r="IB295" t="e">
        <f>Descriptions!W38+"AM:!0X\"</f>
        <v>#VALUE!</v>
      </c>
      <c r="IC295" t="e">
        <f>Descriptions!X38+"AM:!0X]"</f>
        <v>#VALUE!</v>
      </c>
      <c r="ID295" t="e">
        <f>Descriptions!Y38+"AM:!0X^"</f>
        <v>#VALUE!</v>
      </c>
      <c r="IE295" t="e">
        <f>Descriptions!Z38+"AM:!0X_"</f>
        <v>#VALUE!</v>
      </c>
      <c r="IF295" t="e">
        <f>Descriptions!AA38+"AM:!0X`"</f>
        <v>#VALUE!</v>
      </c>
      <c r="IG295" t="e">
        <f>Descriptions!AB38+"AM:!0Xa"</f>
        <v>#VALUE!</v>
      </c>
      <c r="IH295" t="e">
        <f>Descriptions!AC38+"AM:!0Xb"</f>
        <v>#VALUE!</v>
      </c>
      <c r="II295" t="e">
        <f>Descriptions!AD38+"AM:!0Xc"</f>
        <v>#VALUE!</v>
      </c>
      <c r="IJ295" t="e">
        <f>Descriptions!AE38+"AM:!0Xd"</f>
        <v>#VALUE!</v>
      </c>
      <c r="IK295" t="e">
        <f>Descriptions!AF38+"AM:!0Xe"</f>
        <v>#VALUE!</v>
      </c>
      <c r="IL295" t="e">
        <f>Descriptions!A39+"AM:!0Xf"</f>
        <v>#VALUE!</v>
      </c>
      <c r="IM295" t="e">
        <f>Descriptions!B39+"AM:!0Xg"</f>
        <v>#VALUE!</v>
      </c>
      <c r="IN295" t="e">
        <f>Descriptions!C39+"AM:!0Xh"</f>
        <v>#VALUE!</v>
      </c>
      <c r="IO295" t="e">
        <f>Descriptions!D39+"AM:!0Xi"</f>
        <v>#VALUE!</v>
      </c>
      <c r="IP295" t="e">
        <f>Descriptions!E39+"AM:!0Xj"</f>
        <v>#VALUE!</v>
      </c>
      <c r="IQ295" t="e">
        <f>Descriptions!F39+"AM:!0Xk"</f>
        <v>#VALUE!</v>
      </c>
      <c r="IR295" t="e">
        <f>Descriptions!G39+"AM:!0Xl"</f>
        <v>#VALUE!</v>
      </c>
      <c r="IS295" t="e">
        <f>Descriptions!H39+"AM:!0Xm"</f>
        <v>#VALUE!</v>
      </c>
      <c r="IT295" t="e">
        <f>Descriptions!I39+"AM:!0Xn"</f>
        <v>#VALUE!</v>
      </c>
      <c r="IU295" t="e">
        <f>Descriptions!J39+"AM:!0Xo"</f>
        <v>#VALUE!</v>
      </c>
      <c r="IV295" t="e">
        <f>Descriptions!K39+"AM:!0Xp"</f>
        <v>#VALUE!</v>
      </c>
    </row>
    <row r="296" spans="6:256">
      <c r="F296" t="e">
        <f>Descriptions!L39+"AM:!0Xq"</f>
        <v>#VALUE!</v>
      </c>
      <c r="G296" t="e">
        <f>Descriptions!M39+"AM:!0Xr"</f>
        <v>#VALUE!</v>
      </c>
      <c r="H296" t="e">
        <f>Descriptions!N39+"AM:!0Xs"</f>
        <v>#VALUE!</v>
      </c>
      <c r="I296" t="e">
        <f>Descriptions!O39+"AM:!0Xt"</f>
        <v>#VALUE!</v>
      </c>
      <c r="J296" t="e">
        <f>Descriptions!P39+"AM:!0Xu"</f>
        <v>#VALUE!</v>
      </c>
      <c r="K296" t="e">
        <f>Descriptions!Q39+"AM:!0Xv"</f>
        <v>#VALUE!</v>
      </c>
      <c r="L296" t="e">
        <f>Descriptions!R39+"AM:!0Xw"</f>
        <v>#VALUE!</v>
      </c>
      <c r="M296" t="e">
        <f>Descriptions!S39+"AM:!0Xx"</f>
        <v>#VALUE!</v>
      </c>
      <c r="N296" t="e">
        <f>Descriptions!T39+"AM:!0Xy"</f>
        <v>#VALUE!</v>
      </c>
      <c r="O296" t="e">
        <f>Descriptions!U39+"AM:!0Xz"</f>
        <v>#VALUE!</v>
      </c>
      <c r="P296" t="e">
        <f>Descriptions!V39+"AM:!0X{"</f>
        <v>#VALUE!</v>
      </c>
      <c r="Q296" t="e">
        <f>Descriptions!W39+"AM:!0X|"</f>
        <v>#VALUE!</v>
      </c>
      <c r="R296" t="e">
        <f>Descriptions!X39+"AM:!0X}"</f>
        <v>#VALUE!</v>
      </c>
      <c r="S296" t="e">
        <f>Descriptions!Y39+"AM:!0X~"</f>
        <v>#VALUE!</v>
      </c>
      <c r="T296" t="e">
        <f>Descriptions!Z39+"AM:!0Y#"</f>
        <v>#VALUE!</v>
      </c>
      <c r="U296" t="e">
        <f>Descriptions!AA39+"AM:!0Y$"</f>
        <v>#VALUE!</v>
      </c>
      <c r="V296" t="e">
        <f>Descriptions!AB39+"AM:!0Y%"</f>
        <v>#VALUE!</v>
      </c>
      <c r="W296" t="e">
        <f>Descriptions!AC39+"AM:!0Y&amp;"</f>
        <v>#VALUE!</v>
      </c>
      <c r="X296" t="e">
        <f>Descriptions!AD39+"AM:!0Y'"</f>
        <v>#VALUE!</v>
      </c>
      <c r="Y296" t="e">
        <f>Descriptions!AE39+"AM:!0Y("</f>
        <v>#VALUE!</v>
      </c>
      <c r="Z296" t="e">
        <f>Descriptions!AF39+"AM:!0Y)"</f>
        <v>#VALUE!</v>
      </c>
      <c r="AA296" t="e">
        <f>Descriptions!A40+"AM:!0Y."</f>
        <v>#VALUE!</v>
      </c>
      <c r="AB296" t="e">
        <f>Descriptions!B40+"AM:!0Y/"</f>
        <v>#VALUE!</v>
      </c>
      <c r="AC296" t="e">
        <f>Descriptions!C40+"AM:!0Y0"</f>
        <v>#VALUE!</v>
      </c>
      <c r="AD296" t="e">
        <f>Descriptions!D40+"AM:!0Y1"</f>
        <v>#VALUE!</v>
      </c>
      <c r="AE296" t="e">
        <f>Descriptions!E40+"AM:!0Y2"</f>
        <v>#VALUE!</v>
      </c>
      <c r="AF296" t="e">
        <f>Descriptions!F40+"AM:!0Y3"</f>
        <v>#VALUE!</v>
      </c>
      <c r="AG296" t="e">
        <f>Descriptions!G40+"AM:!0Y4"</f>
        <v>#VALUE!</v>
      </c>
      <c r="AH296" t="e">
        <f>Descriptions!H40+"AM:!0Y5"</f>
        <v>#VALUE!</v>
      </c>
      <c r="AI296" t="e">
        <f>Descriptions!I40+"AM:!0Y6"</f>
        <v>#VALUE!</v>
      </c>
      <c r="AJ296" t="e">
        <f>Descriptions!J40+"AM:!0Y7"</f>
        <v>#VALUE!</v>
      </c>
      <c r="AK296" t="e">
        <f>Descriptions!K40+"AM:!0Y8"</f>
        <v>#VALUE!</v>
      </c>
      <c r="AL296" t="e">
        <f>Descriptions!L40+"AM:!0Y9"</f>
        <v>#VALUE!</v>
      </c>
      <c r="AM296" t="e">
        <f>Descriptions!M40+"AM:!0Y:"</f>
        <v>#VALUE!</v>
      </c>
      <c r="AN296" t="e">
        <f>Descriptions!N40+"AM:!0Y;"</f>
        <v>#VALUE!</v>
      </c>
      <c r="AO296" t="e">
        <f>Descriptions!O40+"AM:!0Y&lt;"</f>
        <v>#VALUE!</v>
      </c>
      <c r="AP296" t="e">
        <f>Descriptions!P40+"AM:!0Y="</f>
        <v>#VALUE!</v>
      </c>
      <c r="AQ296" t="e">
        <f>Descriptions!Q40+"AM:!0Y&gt;"</f>
        <v>#VALUE!</v>
      </c>
      <c r="AR296" t="e">
        <f>Descriptions!R40+"AM:!0Y?"</f>
        <v>#VALUE!</v>
      </c>
      <c r="AS296" t="e">
        <f>Descriptions!S40+"AM:!0Y@"</f>
        <v>#VALUE!</v>
      </c>
      <c r="AT296" t="e">
        <f>Descriptions!T40+"AM:!0YA"</f>
        <v>#VALUE!</v>
      </c>
      <c r="AU296" t="e">
        <f>Descriptions!U40+"AM:!0YB"</f>
        <v>#VALUE!</v>
      </c>
      <c r="AV296" t="e">
        <f>Descriptions!V40+"AM:!0YC"</f>
        <v>#VALUE!</v>
      </c>
      <c r="AW296" t="e">
        <f>Descriptions!W40+"AM:!0YD"</f>
        <v>#VALUE!</v>
      </c>
      <c r="AX296" t="e">
        <f>Descriptions!X40+"AM:!0YE"</f>
        <v>#VALUE!</v>
      </c>
      <c r="AY296" t="e">
        <f>Descriptions!Y40+"AM:!0YF"</f>
        <v>#VALUE!</v>
      </c>
      <c r="AZ296" t="e">
        <f>Descriptions!Z40+"AM:!0YG"</f>
        <v>#VALUE!</v>
      </c>
      <c r="BA296" t="e">
        <f>Descriptions!AA40+"AM:!0YH"</f>
        <v>#VALUE!</v>
      </c>
      <c r="BB296" t="e">
        <f>Descriptions!AB40+"AM:!0YI"</f>
        <v>#VALUE!</v>
      </c>
      <c r="BC296" t="e">
        <f>Descriptions!AC40+"AM:!0YJ"</f>
        <v>#VALUE!</v>
      </c>
      <c r="BD296" t="e">
        <f>Descriptions!AD40+"AM:!0YK"</f>
        <v>#VALUE!</v>
      </c>
      <c r="BE296" t="e">
        <f>Descriptions!AE40+"AM:!0YL"</f>
        <v>#VALUE!</v>
      </c>
      <c r="BF296" t="e">
        <f>Descriptions!AF40+"AM:!0YM"</f>
        <v>#VALUE!</v>
      </c>
      <c r="BG296" t="e">
        <f>Descriptions!A41+"AM:!0YN"</f>
        <v>#VALUE!</v>
      </c>
      <c r="BH296" t="e">
        <f>Descriptions!B41+"AM:!0YO"</f>
        <v>#VALUE!</v>
      </c>
      <c r="BI296" t="e">
        <f>Descriptions!C41+"AM:!0YP"</f>
        <v>#VALUE!</v>
      </c>
      <c r="BJ296" t="e">
        <f>Descriptions!D41+"AM:!0YQ"</f>
        <v>#VALUE!</v>
      </c>
      <c r="BK296" t="e">
        <f>Descriptions!E41+"AM:!0YR"</f>
        <v>#VALUE!</v>
      </c>
      <c r="BL296" t="e">
        <f>Descriptions!F41+"AM:!0YS"</f>
        <v>#VALUE!</v>
      </c>
      <c r="BM296" t="e">
        <f>Descriptions!G41+"AM:!0YT"</f>
        <v>#VALUE!</v>
      </c>
      <c r="BN296" t="e">
        <f>Descriptions!H41+"AM:!0YU"</f>
        <v>#VALUE!</v>
      </c>
      <c r="BO296" t="e">
        <f>Descriptions!I41+"AM:!0YV"</f>
        <v>#VALUE!</v>
      </c>
      <c r="BP296" t="e">
        <f>Descriptions!J41+"AM:!0YW"</f>
        <v>#VALUE!</v>
      </c>
      <c r="BQ296" t="e">
        <f>Descriptions!K41+"AM:!0YX"</f>
        <v>#VALUE!</v>
      </c>
      <c r="BR296" t="e">
        <f>Descriptions!L41+"AM:!0YY"</f>
        <v>#VALUE!</v>
      </c>
      <c r="BS296" t="e">
        <f>Descriptions!M41+"AM:!0YZ"</f>
        <v>#VALUE!</v>
      </c>
      <c r="BT296" t="e">
        <f>Descriptions!N41+"AM:!0Y["</f>
        <v>#VALUE!</v>
      </c>
      <c r="BU296" t="e">
        <f>Descriptions!O41+"AM:!0Y\"</f>
        <v>#VALUE!</v>
      </c>
      <c r="BV296" t="e">
        <f>Descriptions!P41+"AM:!0Y]"</f>
        <v>#VALUE!</v>
      </c>
      <c r="BW296" t="e">
        <f>Descriptions!Q41+"AM:!0Y^"</f>
        <v>#VALUE!</v>
      </c>
      <c r="BX296" t="e">
        <f>Descriptions!R41+"AM:!0Y_"</f>
        <v>#VALUE!</v>
      </c>
      <c r="BY296" t="e">
        <f>Descriptions!S41+"AM:!0Y`"</f>
        <v>#VALUE!</v>
      </c>
      <c r="BZ296" t="e">
        <f>Descriptions!T41+"AM:!0Ya"</f>
        <v>#VALUE!</v>
      </c>
      <c r="CA296" t="e">
        <f>Descriptions!U41+"AM:!0Yb"</f>
        <v>#VALUE!</v>
      </c>
      <c r="CB296" t="e">
        <f>Descriptions!V41+"AM:!0Yc"</f>
        <v>#VALUE!</v>
      </c>
      <c r="CC296" t="e">
        <f>Descriptions!W41+"AM:!0Yd"</f>
        <v>#VALUE!</v>
      </c>
      <c r="CD296" t="e">
        <f>Descriptions!X41+"AM:!0Ye"</f>
        <v>#VALUE!</v>
      </c>
      <c r="CE296" t="e">
        <f>Descriptions!Y41+"AM:!0Yf"</f>
        <v>#VALUE!</v>
      </c>
      <c r="CF296" t="e">
        <f>Descriptions!Z41+"AM:!0Yg"</f>
        <v>#VALUE!</v>
      </c>
      <c r="CG296" t="e">
        <f>Descriptions!AA41+"AM:!0Yh"</f>
        <v>#VALUE!</v>
      </c>
      <c r="CH296" t="e">
        <f>Descriptions!AB41+"AM:!0Yi"</f>
        <v>#VALUE!</v>
      </c>
      <c r="CI296" t="e">
        <f>Descriptions!AC41+"AM:!0Yj"</f>
        <v>#VALUE!</v>
      </c>
      <c r="CJ296" t="e">
        <f>Descriptions!AD41+"AM:!0Yk"</f>
        <v>#VALUE!</v>
      </c>
      <c r="CK296" t="e">
        <f>Descriptions!AE41+"AM:!0Yl"</f>
        <v>#VALUE!</v>
      </c>
      <c r="CL296" t="e">
        <f>Descriptions!AF41+"AM:!0Ym"</f>
        <v>#VALUE!</v>
      </c>
      <c r="CM296" t="e">
        <f>Descriptions!A42+"AM:!0Yn"</f>
        <v>#VALUE!</v>
      </c>
      <c r="CN296" t="e">
        <f>Descriptions!B42+"AM:!0Yo"</f>
        <v>#VALUE!</v>
      </c>
      <c r="CO296" t="e">
        <f>Descriptions!C42+"AM:!0Yp"</f>
        <v>#VALUE!</v>
      </c>
      <c r="CP296" t="e">
        <f>Descriptions!D42+"AM:!0Yq"</f>
        <v>#VALUE!</v>
      </c>
      <c r="CQ296" t="e">
        <f>Descriptions!E42+"AM:!0Yr"</f>
        <v>#VALUE!</v>
      </c>
      <c r="CR296" t="e">
        <f>Descriptions!F42+"AM:!0Ys"</f>
        <v>#VALUE!</v>
      </c>
      <c r="CS296" t="e">
        <f>Descriptions!G42+"AM:!0Yt"</f>
        <v>#VALUE!</v>
      </c>
      <c r="CT296" t="e">
        <f>Descriptions!H42+"AM:!0Yu"</f>
        <v>#VALUE!</v>
      </c>
      <c r="CU296" t="e">
        <f>Descriptions!I42+"AM:!0Yv"</f>
        <v>#VALUE!</v>
      </c>
      <c r="CV296" t="e">
        <f>Descriptions!J42+"AM:!0Yw"</f>
        <v>#VALUE!</v>
      </c>
      <c r="CW296" t="e">
        <f>Descriptions!K42+"AM:!0Yx"</f>
        <v>#VALUE!</v>
      </c>
      <c r="CX296" t="e">
        <f>Descriptions!L42+"AM:!0Yy"</f>
        <v>#VALUE!</v>
      </c>
      <c r="CY296" t="e">
        <f>Descriptions!M42+"AM:!0Yz"</f>
        <v>#VALUE!</v>
      </c>
      <c r="CZ296" t="e">
        <f>Descriptions!N42+"AM:!0Y{"</f>
        <v>#VALUE!</v>
      </c>
      <c r="DA296" t="e">
        <f>Descriptions!O42+"AM:!0Y|"</f>
        <v>#VALUE!</v>
      </c>
      <c r="DB296" t="e">
        <f>Descriptions!P42+"AM:!0Y}"</f>
        <v>#VALUE!</v>
      </c>
      <c r="DC296" t="e">
        <f>Descriptions!Q42+"AM:!0Y~"</f>
        <v>#VALUE!</v>
      </c>
      <c r="DD296" t="e">
        <f>Descriptions!R42+"AM:!0Z#"</f>
        <v>#VALUE!</v>
      </c>
      <c r="DE296" t="e">
        <f>Descriptions!S42+"AM:!0Z$"</f>
        <v>#VALUE!</v>
      </c>
      <c r="DF296" t="e">
        <f>Descriptions!T42+"AM:!0Z%"</f>
        <v>#VALUE!</v>
      </c>
      <c r="DG296" t="e">
        <f>Descriptions!U42+"AM:!0Z&amp;"</f>
        <v>#VALUE!</v>
      </c>
      <c r="DH296" t="e">
        <f>Descriptions!V42+"AM:!0Z'"</f>
        <v>#VALUE!</v>
      </c>
      <c r="DI296" t="e">
        <f>Descriptions!W42+"AM:!0Z("</f>
        <v>#VALUE!</v>
      </c>
      <c r="DJ296" t="e">
        <f>Descriptions!X42+"AM:!0Z)"</f>
        <v>#VALUE!</v>
      </c>
      <c r="DK296" t="e">
        <f>Descriptions!Y42+"AM:!0Z."</f>
        <v>#VALUE!</v>
      </c>
      <c r="DL296" t="e">
        <f>Descriptions!Z42+"AM:!0Z/"</f>
        <v>#VALUE!</v>
      </c>
      <c r="DM296" t="e">
        <f>Descriptions!AA42+"AM:!0Z0"</f>
        <v>#VALUE!</v>
      </c>
      <c r="DN296" t="e">
        <f>Descriptions!AB42+"AM:!0Z1"</f>
        <v>#VALUE!</v>
      </c>
      <c r="DO296" t="e">
        <f>Descriptions!AC42+"AM:!0Z2"</f>
        <v>#VALUE!</v>
      </c>
      <c r="DP296" t="e">
        <f>Descriptions!AD42+"AM:!0Z3"</f>
        <v>#VALUE!</v>
      </c>
      <c r="DQ296" t="e">
        <f>Descriptions!AE42+"AM:!0Z4"</f>
        <v>#VALUE!</v>
      </c>
      <c r="DR296" t="e">
        <f>Descriptions!AF42+"AM:!0Z5"</f>
        <v>#VALUE!</v>
      </c>
      <c r="DS296" t="e">
        <f>Descriptions!A43+"AM:!0Z6"</f>
        <v>#VALUE!</v>
      </c>
      <c r="DT296" t="e">
        <f>Descriptions!B43+"AM:!0Z7"</f>
        <v>#VALUE!</v>
      </c>
      <c r="DU296" t="e">
        <f>Descriptions!C43+"AM:!0Z8"</f>
        <v>#VALUE!</v>
      </c>
      <c r="DV296" t="e">
        <f>Descriptions!D43+"AM:!0Z9"</f>
        <v>#VALUE!</v>
      </c>
      <c r="DW296" t="e">
        <f>Descriptions!E43+"AM:!0Z:"</f>
        <v>#VALUE!</v>
      </c>
      <c r="DX296" t="e">
        <f>Descriptions!F43+"AM:!0Z;"</f>
        <v>#VALUE!</v>
      </c>
      <c r="DY296" t="e">
        <f>Descriptions!G43+"AM:!0Z&lt;"</f>
        <v>#VALUE!</v>
      </c>
      <c r="DZ296" t="e">
        <f>Descriptions!H43+"AM:!0Z="</f>
        <v>#VALUE!</v>
      </c>
      <c r="EA296" t="e">
        <f>Descriptions!I43+"AM:!0Z&gt;"</f>
        <v>#VALUE!</v>
      </c>
      <c r="EB296" t="e">
        <f>Descriptions!J43+"AM:!0Z?"</f>
        <v>#VALUE!</v>
      </c>
      <c r="EC296" t="e">
        <f>Descriptions!K43+"AM:!0Z@"</f>
        <v>#VALUE!</v>
      </c>
      <c r="ED296" t="e">
        <f>Descriptions!L43+"AM:!0ZA"</f>
        <v>#VALUE!</v>
      </c>
      <c r="EE296" t="e">
        <f>Descriptions!M43+"AM:!0ZB"</f>
        <v>#VALUE!</v>
      </c>
      <c r="EF296" t="e">
        <f>Descriptions!N43+"AM:!0ZC"</f>
        <v>#VALUE!</v>
      </c>
      <c r="EG296" t="e">
        <f>Descriptions!O43+"AM:!0ZD"</f>
        <v>#VALUE!</v>
      </c>
      <c r="EH296" t="e">
        <f>Descriptions!P43+"AM:!0ZE"</f>
        <v>#VALUE!</v>
      </c>
      <c r="EI296" t="e">
        <f>Descriptions!Q43+"AM:!0ZF"</f>
        <v>#VALUE!</v>
      </c>
      <c r="EJ296" t="e">
        <f>Descriptions!R43+"AM:!0ZG"</f>
        <v>#VALUE!</v>
      </c>
      <c r="EK296" t="e">
        <f>Descriptions!S43+"AM:!0ZH"</f>
        <v>#VALUE!</v>
      </c>
      <c r="EL296" t="e">
        <f>Descriptions!T43+"AM:!0ZI"</f>
        <v>#VALUE!</v>
      </c>
      <c r="EM296" t="e">
        <f>Descriptions!U43+"AM:!0ZJ"</f>
        <v>#VALUE!</v>
      </c>
      <c r="EN296" t="e">
        <f>Descriptions!V43+"AM:!0ZK"</f>
        <v>#VALUE!</v>
      </c>
      <c r="EO296" t="e">
        <f>Descriptions!W43+"AM:!0ZL"</f>
        <v>#VALUE!</v>
      </c>
      <c r="EP296" t="e">
        <f>Descriptions!X43+"AM:!0ZM"</f>
        <v>#VALUE!</v>
      </c>
      <c r="EQ296" t="e">
        <f>Descriptions!Y43+"AM:!0ZN"</f>
        <v>#VALUE!</v>
      </c>
      <c r="ER296" t="e">
        <f>Descriptions!Z43+"AM:!0ZO"</f>
        <v>#VALUE!</v>
      </c>
      <c r="ES296" t="e">
        <f>Descriptions!AA43+"AM:!0ZP"</f>
        <v>#VALUE!</v>
      </c>
      <c r="ET296" t="e">
        <f>Descriptions!AB43+"AM:!0ZQ"</f>
        <v>#VALUE!</v>
      </c>
      <c r="EU296" t="e">
        <f>Descriptions!AC43+"AM:!0ZR"</f>
        <v>#VALUE!</v>
      </c>
      <c r="EV296" t="e">
        <f>Descriptions!AD43+"AM:!0ZS"</f>
        <v>#VALUE!</v>
      </c>
      <c r="EW296" t="e">
        <f>Descriptions!AE43+"AM:!0ZT"</f>
        <v>#VALUE!</v>
      </c>
      <c r="EX296" t="e">
        <f>Descriptions!AF43+"AM:!0ZU"</f>
        <v>#VALUE!</v>
      </c>
      <c r="EY296" t="e">
        <f>Descriptions!A44+"AM:!0ZV"</f>
        <v>#VALUE!</v>
      </c>
      <c r="EZ296" t="e">
        <f>Descriptions!B44+"AM:!0ZW"</f>
        <v>#VALUE!</v>
      </c>
      <c r="FA296" t="e">
        <f>Descriptions!C44+"AM:!0ZX"</f>
        <v>#VALUE!</v>
      </c>
      <c r="FB296" t="e">
        <f>Descriptions!D44+"AM:!0ZY"</f>
        <v>#VALUE!</v>
      </c>
      <c r="FC296" t="e">
        <f>Descriptions!E44+"AM:!0ZZ"</f>
        <v>#VALUE!</v>
      </c>
      <c r="FD296" t="e">
        <f>Descriptions!F44+"AM:!0Z["</f>
        <v>#VALUE!</v>
      </c>
      <c r="FE296" t="e">
        <f>Descriptions!G44+"AM:!0Z\"</f>
        <v>#VALUE!</v>
      </c>
      <c r="FF296" t="e">
        <f>Descriptions!H44+"AM:!0Z]"</f>
        <v>#VALUE!</v>
      </c>
      <c r="FG296" t="e">
        <f>Descriptions!I44+"AM:!0Z^"</f>
        <v>#VALUE!</v>
      </c>
      <c r="FH296" t="e">
        <f>Descriptions!J44+"AM:!0Z_"</f>
        <v>#VALUE!</v>
      </c>
      <c r="FI296" t="e">
        <f>Descriptions!K44+"AM:!0Z`"</f>
        <v>#VALUE!</v>
      </c>
      <c r="FJ296" t="e">
        <f>Descriptions!L44+"AM:!0Za"</f>
        <v>#VALUE!</v>
      </c>
      <c r="FK296" t="e">
        <f>Descriptions!M44+"AM:!0Zb"</f>
        <v>#VALUE!</v>
      </c>
      <c r="FL296" t="e">
        <f>Descriptions!N44+"AM:!0Zc"</f>
        <v>#VALUE!</v>
      </c>
      <c r="FM296" t="e">
        <f>Descriptions!O44+"AM:!0Zd"</f>
        <v>#VALUE!</v>
      </c>
      <c r="FN296" t="e">
        <f>Descriptions!P44+"AM:!0Ze"</f>
        <v>#VALUE!</v>
      </c>
      <c r="FO296" t="e">
        <f>Descriptions!Q44+"AM:!0Zf"</f>
        <v>#VALUE!</v>
      </c>
      <c r="FP296" t="e">
        <f>Descriptions!R44+"AM:!0Zg"</f>
        <v>#VALUE!</v>
      </c>
      <c r="FQ296" t="e">
        <f>Descriptions!S44+"AM:!0Zh"</f>
        <v>#VALUE!</v>
      </c>
      <c r="FR296" t="e">
        <f>Descriptions!T44+"AM:!0Zi"</f>
        <v>#VALUE!</v>
      </c>
      <c r="FS296" t="e">
        <f>Descriptions!U44+"AM:!0Zj"</f>
        <v>#VALUE!</v>
      </c>
      <c r="FT296" t="e">
        <f>Descriptions!V44+"AM:!0Zk"</f>
        <v>#VALUE!</v>
      </c>
      <c r="FU296" t="e">
        <f>Descriptions!W44+"AM:!0Zl"</f>
        <v>#VALUE!</v>
      </c>
      <c r="FV296" t="e">
        <f>Descriptions!X44+"AM:!0Zm"</f>
        <v>#VALUE!</v>
      </c>
      <c r="FW296" t="e">
        <f>Descriptions!Y44+"AM:!0Zn"</f>
        <v>#VALUE!</v>
      </c>
      <c r="FX296" t="e">
        <f>Descriptions!Z44+"AM:!0Zo"</f>
        <v>#VALUE!</v>
      </c>
      <c r="FY296" t="e">
        <f>Descriptions!AA44+"AM:!0Zp"</f>
        <v>#VALUE!</v>
      </c>
      <c r="FZ296" t="e">
        <f>Descriptions!AB44+"AM:!0Zq"</f>
        <v>#VALUE!</v>
      </c>
      <c r="GA296" t="e">
        <f>Descriptions!AC44+"AM:!0Zr"</f>
        <v>#VALUE!</v>
      </c>
      <c r="GB296" t="e">
        <f>Descriptions!AD44+"AM:!0Zs"</f>
        <v>#VALUE!</v>
      </c>
      <c r="GC296" t="e">
        <f>Descriptions!AE44+"AM:!0Zt"</f>
        <v>#VALUE!</v>
      </c>
      <c r="GD296" t="e">
        <f>Descriptions!AF44+"AM:!0Zu"</f>
        <v>#VALUE!</v>
      </c>
      <c r="GE296" t="e">
        <f>Descriptions!A45+"AM:!0Zv"</f>
        <v>#VALUE!</v>
      </c>
      <c r="GF296" t="e">
        <f>Descriptions!B45+"AM:!0Zw"</f>
        <v>#VALUE!</v>
      </c>
      <c r="GG296" t="e">
        <f>Descriptions!C45+"AM:!0Zx"</f>
        <v>#VALUE!</v>
      </c>
      <c r="GH296" t="e">
        <f>Descriptions!D45+"AM:!0Zy"</f>
        <v>#VALUE!</v>
      </c>
      <c r="GI296" t="e">
        <f>Descriptions!E45+"AM:!0Zz"</f>
        <v>#VALUE!</v>
      </c>
      <c r="GJ296" t="e">
        <f>Descriptions!F45+"AM:!0Z{"</f>
        <v>#VALUE!</v>
      </c>
      <c r="GK296" t="e">
        <f>Descriptions!G45+"AM:!0Z|"</f>
        <v>#VALUE!</v>
      </c>
      <c r="GL296" t="e">
        <f>Descriptions!H45+"AM:!0Z}"</f>
        <v>#VALUE!</v>
      </c>
      <c r="GM296" t="e">
        <f>Descriptions!I45+"AM:!0Z~"</f>
        <v>#VALUE!</v>
      </c>
      <c r="GN296" t="e">
        <f>Descriptions!J45+"AM:!0[#"</f>
        <v>#VALUE!</v>
      </c>
      <c r="GO296" t="e">
        <f>Descriptions!K45+"AM:!0[$"</f>
        <v>#VALUE!</v>
      </c>
      <c r="GP296" t="e">
        <f>Descriptions!L45+"AM:!0[%"</f>
        <v>#VALUE!</v>
      </c>
      <c r="GQ296" t="e">
        <f>Descriptions!M45+"AM:!0[&amp;"</f>
        <v>#VALUE!</v>
      </c>
      <c r="GR296" t="e">
        <f>Descriptions!N45+"AM:!0['"</f>
        <v>#VALUE!</v>
      </c>
      <c r="GS296" t="e">
        <f>Descriptions!O45+"AM:!0[("</f>
        <v>#VALUE!</v>
      </c>
      <c r="GT296" t="e">
        <f>Descriptions!P45+"AM:!0[)"</f>
        <v>#VALUE!</v>
      </c>
      <c r="GU296" t="e">
        <f>Descriptions!Q45+"AM:!0[."</f>
        <v>#VALUE!</v>
      </c>
      <c r="GV296" t="e">
        <f>Descriptions!R45+"AM:!0[/"</f>
        <v>#VALUE!</v>
      </c>
      <c r="GW296" t="e">
        <f>Descriptions!S45+"AM:!0[0"</f>
        <v>#VALUE!</v>
      </c>
      <c r="GX296" t="e">
        <f>Descriptions!T45+"AM:!0[1"</f>
        <v>#VALUE!</v>
      </c>
      <c r="GY296" t="e">
        <f>Descriptions!U45+"AM:!0[2"</f>
        <v>#VALUE!</v>
      </c>
      <c r="GZ296" t="e">
        <f>Descriptions!V45+"AM:!0[3"</f>
        <v>#VALUE!</v>
      </c>
      <c r="HA296" t="e">
        <f>Descriptions!W45+"AM:!0[4"</f>
        <v>#VALUE!</v>
      </c>
      <c r="HB296" t="e">
        <f>Descriptions!X45+"AM:!0[5"</f>
        <v>#VALUE!</v>
      </c>
      <c r="HC296" t="e">
        <f>Descriptions!Y45+"AM:!0[6"</f>
        <v>#VALUE!</v>
      </c>
      <c r="HD296" t="e">
        <f>Descriptions!Z45+"AM:!0[7"</f>
        <v>#VALUE!</v>
      </c>
      <c r="HE296" t="e">
        <f>Descriptions!AA45+"AM:!0[8"</f>
        <v>#VALUE!</v>
      </c>
      <c r="HF296" t="e">
        <f>Descriptions!AB45+"AM:!0[9"</f>
        <v>#VALUE!</v>
      </c>
      <c r="HG296" t="e">
        <f>Descriptions!AC45+"AM:!0[:"</f>
        <v>#VALUE!</v>
      </c>
      <c r="HH296" t="e">
        <f>Descriptions!AD45+"AM:!0[;"</f>
        <v>#VALUE!</v>
      </c>
      <c r="HI296" t="e">
        <f>Descriptions!AE45+"AM:!0[&lt;"</f>
        <v>#VALUE!</v>
      </c>
      <c r="HJ296" t="e">
        <f>Descriptions!AF45+"AM:!0[="</f>
        <v>#VALUE!</v>
      </c>
      <c r="HK296" t="e">
        <f>Descriptions!A46+"AM:!0[&gt;"</f>
        <v>#VALUE!</v>
      </c>
      <c r="HL296" t="e">
        <f>Descriptions!B46+"AM:!0[?"</f>
        <v>#VALUE!</v>
      </c>
      <c r="HM296" t="e">
        <f>Descriptions!C46+"AM:!0[@"</f>
        <v>#VALUE!</v>
      </c>
      <c r="HN296" t="e">
        <f>Descriptions!D46+"AM:!0[A"</f>
        <v>#VALUE!</v>
      </c>
      <c r="HO296" t="e">
        <f>Descriptions!E46+"AM:!0[B"</f>
        <v>#VALUE!</v>
      </c>
      <c r="HP296" t="e">
        <f>Descriptions!F46+"AM:!0[C"</f>
        <v>#VALUE!</v>
      </c>
      <c r="HQ296" t="e">
        <f>Descriptions!G46+"AM:!0[D"</f>
        <v>#VALUE!</v>
      </c>
      <c r="HR296" t="e">
        <f>Descriptions!H46+"AM:!0[E"</f>
        <v>#VALUE!</v>
      </c>
      <c r="HS296" t="e">
        <f>Descriptions!I46+"AM:!0[F"</f>
        <v>#VALUE!</v>
      </c>
      <c r="HT296" t="e">
        <f>Descriptions!J46+"AM:!0[G"</f>
        <v>#VALUE!</v>
      </c>
      <c r="HU296" t="e">
        <f>Descriptions!K46+"AM:!0[H"</f>
        <v>#VALUE!</v>
      </c>
      <c r="HV296" t="e">
        <f>Descriptions!L46+"AM:!0[I"</f>
        <v>#VALUE!</v>
      </c>
      <c r="HW296" t="e">
        <f>Descriptions!M46+"AM:!0[J"</f>
        <v>#VALUE!</v>
      </c>
      <c r="HX296" t="e">
        <f>Descriptions!N46+"AM:!0[K"</f>
        <v>#VALUE!</v>
      </c>
      <c r="HY296" t="e">
        <f>Descriptions!O46+"AM:!0[L"</f>
        <v>#VALUE!</v>
      </c>
      <c r="HZ296" t="e">
        <f>Descriptions!P46+"AM:!0[M"</f>
        <v>#VALUE!</v>
      </c>
      <c r="IA296" t="e">
        <f>Descriptions!Q46+"AM:!0[N"</f>
        <v>#VALUE!</v>
      </c>
      <c r="IB296" t="e">
        <f>Descriptions!R46+"AM:!0[O"</f>
        <v>#VALUE!</v>
      </c>
      <c r="IC296" t="e">
        <f>Descriptions!S46+"AM:!0[P"</f>
        <v>#VALUE!</v>
      </c>
      <c r="ID296" t="e">
        <f>Descriptions!T46+"AM:!0[Q"</f>
        <v>#VALUE!</v>
      </c>
      <c r="IE296" t="e">
        <f>Descriptions!U46+"AM:!0[R"</f>
        <v>#VALUE!</v>
      </c>
      <c r="IF296" t="e">
        <f>Descriptions!V46+"AM:!0[S"</f>
        <v>#VALUE!</v>
      </c>
      <c r="IG296" t="e">
        <f>Descriptions!W46+"AM:!0[T"</f>
        <v>#VALUE!</v>
      </c>
      <c r="IH296" t="e">
        <f>Descriptions!X46+"AM:!0[U"</f>
        <v>#VALUE!</v>
      </c>
      <c r="II296" t="e">
        <f>Descriptions!Y46+"AM:!0[V"</f>
        <v>#VALUE!</v>
      </c>
      <c r="IJ296" t="e">
        <f>Descriptions!Z46+"AM:!0[W"</f>
        <v>#VALUE!</v>
      </c>
      <c r="IK296" t="e">
        <f>Descriptions!AA46+"AM:!0[X"</f>
        <v>#VALUE!</v>
      </c>
      <c r="IL296" t="e">
        <f>Descriptions!AB46+"AM:!0[Y"</f>
        <v>#VALUE!</v>
      </c>
      <c r="IM296" t="e">
        <f>Descriptions!AC46+"AM:!0[Z"</f>
        <v>#VALUE!</v>
      </c>
      <c r="IN296" t="e">
        <f>Descriptions!AD46+"AM:!0[["</f>
        <v>#VALUE!</v>
      </c>
      <c r="IO296" t="e">
        <f>Descriptions!AE46+"AM:!0[\"</f>
        <v>#VALUE!</v>
      </c>
      <c r="IP296" t="e">
        <f>Descriptions!AF46+"AM:!0[]"</f>
        <v>#VALUE!</v>
      </c>
      <c r="IQ296" t="e">
        <f>Descriptions!AG46+"AM:!0[^"</f>
        <v>#VALUE!</v>
      </c>
      <c r="IR296" t="e">
        <f>Descriptions!AH46+"AM:!0[_"</f>
        <v>#VALUE!</v>
      </c>
      <c r="IS296" t="e">
        <f>Descriptions!A47+"AM:!0[`"</f>
        <v>#VALUE!</v>
      </c>
      <c r="IT296" t="e">
        <f>Descriptions!B47+"AM:!0[a"</f>
        <v>#VALUE!</v>
      </c>
      <c r="IU296" t="e">
        <f>Descriptions!C47+"AM:!0[b"</f>
        <v>#VALUE!</v>
      </c>
      <c r="IV296" t="e">
        <f>Descriptions!D47+"AM:!0[c"</f>
        <v>#VALUE!</v>
      </c>
    </row>
    <row r="297" spans="6:256">
      <c r="F297" t="e">
        <f>Descriptions!E47+"AM:!0[d"</f>
        <v>#VALUE!</v>
      </c>
      <c r="G297" t="e">
        <f>Descriptions!F47+"AM:!0[e"</f>
        <v>#VALUE!</v>
      </c>
      <c r="H297" t="e">
        <f>Descriptions!G47+"AM:!0[f"</f>
        <v>#VALUE!</v>
      </c>
      <c r="I297" t="e">
        <f>Descriptions!H47+"AM:!0[g"</f>
        <v>#VALUE!</v>
      </c>
      <c r="J297" t="e">
        <f>Descriptions!I47+"AM:!0[h"</f>
        <v>#VALUE!</v>
      </c>
      <c r="K297" t="e">
        <f>Descriptions!J47+"AM:!0[i"</f>
        <v>#VALUE!</v>
      </c>
      <c r="L297" t="e">
        <f>Descriptions!K47+"AM:!0[j"</f>
        <v>#VALUE!</v>
      </c>
      <c r="M297" t="e">
        <f>Descriptions!L47+"AM:!0[k"</f>
        <v>#VALUE!</v>
      </c>
      <c r="N297" t="e">
        <f>Descriptions!M47+"AM:!0[l"</f>
        <v>#VALUE!</v>
      </c>
      <c r="O297" t="e">
        <f>Descriptions!N47+"AM:!0[m"</f>
        <v>#VALUE!</v>
      </c>
      <c r="P297" t="e">
        <f>Descriptions!O47+"AM:!0[n"</f>
        <v>#VALUE!</v>
      </c>
      <c r="Q297" t="e">
        <f>Descriptions!P47+"AM:!0[o"</f>
        <v>#VALUE!</v>
      </c>
      <c r="R297" t="e">
        <f>Descriptions!Q47+"AM:!0[p"</f>
        <v>#VALUE!</v>
      </c>
      <c r="S297" t="e">
        <f>Descriptions!R47+"AM:!0[q"</f>
        <v>#VALUE!</v>
      </c>
      <c r="T297" t="e">
        <f>Descriptions!S47+"AM:!0[r"</f>
        <v>#VALUE!</v>
      </c>
      <c r="U297" t="e">
        <f>Descriptions!T47+"AM:!0[s"</f>
        <v>#VALUE!</v>
      </c>
      <c r="V297" t="e">
        <f>Descriptions!U47+"AM:!0[t"</f>
        <v>#VALUE!</v>
      </c>
      <c r="W297" t="e">
        <f>Descriptions!V47+"AM:!0[u"</f>
        <v>#VALUE!</v>
      </c>
      <c r="X297" t="e">
        <f>Descriptions!W47+"AM:!0[v"</f>
        <v>#VALUE!</v>
      </c>
      <c r="Y297" t="e">
        <f>Descriptions!X47+"AM:!0[w"</f>
        <v>#VALUE!</v>
      </c>
      <c r="Z297" t="e">
        <f>Descriptions!Y47+"AM:!0[x"</f>
        <v>#VALUE!</v>
      </c>
      <c r="AA297" t="e">
        <f>Descriptions!Z47+"AM:!0[y"</f>
        <v>#VALUE!</v>
      </c>
      <c r="AB297" t="e">
        <f>Descriptions!AA47+"AM:!0[z"</f>
        <v>#VALUE!</v>
      </c>
      <c r="AC297" t="e">
        <f>Descriptions!AB47+"AM:!0[{"</f>
        <v>#VALUE!</v>
      </c>
      <c r="AD297" t="e">
        <f>Descriptions!AC47+"AM:!0[|"</f>
        <v>#VALUE!</v>
      </c>
      <c r="AE297" t="e">
        <f>Descriptions!AD47+"AM:!0[}"</f>
        <v>#VALUE!</v>
      </c>
      <c r="AF297" t="e">
        <f>Descriptions!AE47+"AM:!0[~"</f>
        <v>#VALUE!</v>
      </c>
      <c r="AG297" t="e">
        <f>Descriptions!AF47+"AM:!0\#"</f>
        <v>#VALUE!</v>
      </c>
      <c r="AH297" t="e">
        <f>Descriptions!AG47+"AM:!0\$"</f>
        <v>#VALUE!</v>
      </c>
      <c r="AI297" t="e">
        <f>Descriptions!A48+"AM:!0\%"</f>
        <v>#VALUE!</v>
      </c>
      <c r="AJ297" t="e">
        <f>Descriptions!B48+"AM:!0\&amp;"</f>
        <v>#VALUE!</v>
      </c>
      <c r="AK297" t="e">
        <f>Descriptions!C48+"AM:!0\'"</f>
        <v>#VALUE!</v>
      </c>
      <c r="AL297" t="e">
        <f>Descriptions!D48+"AM:!0\("</f>
        <v>#VALUE!</v>
      </c>
      <c r="AM297" t="e">
        <f>Descriptions!E48+"AM:!0\)"</f>
        <v>#VALUE!</v>
      </c>
      <c r="AN297" t="e">
        <f>Descriptions!F48+"AM:!0\."</f>
        <v>#VALUE!</v>
      </c>
      <c r="AO297" t="e">
        <f>Descriptions!G48+"AM:!0\/"</f>
        <v>#VALUE!</v>
      </c>
      <c r="AP297" t="e">
        <f>Descriptions!H48+"AM:!0\0"</f>
        <v>#VALUE!</v>
      </c>
      <c r="AQ297" t="e">
        <f>Descriptions!I48+"AM:!0\1"</f>
        <v>#VALUE!</v>
      </c>
      <c r="AR297" t="e">
        <f>Descriptions!J48+"AM:!0\2"</f>
        <v>#VALUE!</v>
      </c>
      <c r="AS297" t="e">
        <f>Descriptions!K48+"AM:!0\3"</f>
        <v>#VALUE!</v>
      </c>
      <c r="AT297" t="e">
        <f>Descriptions!L48+"AM:!0\4"</f>
        <v>#VALUE!</v>
      </c>
      <c r="AU297" t="e">
        <f>Descriptions!M48+"AM:!0\5"</f>
        <v>#VALUE!</v>
      </c>
      <c r="AV297" t="e">
        <f>Descriptions!N48+"AM:!0\6"</f>
        <v>#VALUE!</v>
      </c>
      <c r="AW297" t="e">
        <f>Descriptions!O48+"AM:!0\7"</f>
        <v>#VALUE!</v>
      </c>
      <c r="AX297" t="e">
        <f>Descriptions!P48+"AM:!0\8"</f>
        <v>#VALUE!</v>
      </c>
      <c r="AY297" t="e">
        <f>Descriptions!Q48+"AM:!0\9"</f>
        <v>#VALUE!</v>
      </c>
      <c r="AZ297" t="e">
        <f>Descriptions!R48+"AM:!0\:"</f>
        <v>#VALUE!</v>
      </c>
      <c r="BA297" t="e">
        <f>Descriptions!S48+"AM:!0\;"</f>
        <v>#VALUE!</v>
      </c>
      <c r="BB297" t="e">
        <f>Descriptions!T48+"AM:!0\&lt;"</f>
        <v>#VALUE!</v>
      </c>
      <c r="BC297" t="e">
        <f>Descriptions!U48+"AM:!0\="</f>
        <v>#VALUE!</v>
      </c>
      <c r="BD297" t="e">
        <f>Descriptions!V48+"AM:!0\&gt;"</f>
        <v>#VALUE!</v>
      </c>
      <c r="BE297" t="e">
        <f>Descriptions!W48+"AM:!0\?"</f>
        <v>#VALUE!</v>
      </c>
      <c r="BF297" t="e">
        <f>Descriptions!X48+"AM:!0\@"</f>
        <v>#VALUE!</v>
      </c>
      <c r="BG297" t="e">
        <f>Descriptions!Y48+"AM:!0\A"</f>
        <v>#VALUE!</v>
      </c>
      <c r="BH297" t="e">
        <f>Descriptions!Z48+"AM:!0\B"</f>
        <v>#VALUE!</v>
      </c>
      <c r="BI297" t="e">
        <f>Descriptions!AA48+"AM:!0\C"</f>
        <v>#VALUE!</v>
      </c>
      <c r="BJ297" t="e">
        <f>Descriptions!AB48+"AM:!0\D"</f>
        <v>#VALUE!</v>
      </c>
      <c r="BK297" t="e">
        <f>Descriptions!AC48+"AM:!0\E"</f>
        <v>#VALUE!</v>
      </c>
      <c r="BL297" t="e">
        <f>Descriptions!AD48+"AM:!0\F"</f>
        <v>#VALUE!</v>
      </c>
      <c r="BM297" t="e">
        <f>Descriptions!AE48+"AM:!0\G"</f>
        <v>#VALUE!</v>
      </c>
      <c r="BN297" t="e">
        <f>Descriptions!AF48+"AM:!0\H"</f>
        <v>#VALUE!</v>
      </c>
      <c r="BO297" t="e">
        <f>Descriptions!A49+"AM:!0\I"</f>
        <v>#VALUE!</v>
      </c>
      <c r="BP297" t="e">
        <f>Descriptions!B49+"AM:!0\J"</f>
        <v>#VALUE!</v>
      </c>
      <c r="BQ297" t="e">
        <f>Descriptions!C49+"AM:!0\K"</f>
        <v>#VALUE!</v>
      </c>
      <c r="BR297" t="e">
        <f>Descriptions!D49+"AM:!0\L"</f>
        <v>#VALUE!</v>
      </c>
      <c r="BS297" t="e">
        <f>Descriptions!E49+"AM:!0\M"</f>
        <v>#VALUE!</v>
      </c>
      <c r="BT297" t="e">
        <f>Descriptions!F49+"AM:!0\N"</f>
        <v>#VALUE!</v>
      </c>
      <c r="BU297" t="e">
        <f>Descriptions!G49+"AM:!0\O"</f>
        <v>#VALUE!</v>
      </c>
      <c r="BV297" t="e">
        <f>Descriptions!H49+"AM:!0\P"</f>
        <v>#VALUE!</v>
      </c>
      <c r="BW297" t="e">
        <f>Descriptions!I49+"AM:!0\Q"</f>
        <v>#VALUE!</v>
      </c>
      <c r="BX297" t="e">
        <f>Descriptions!J49+"AM:!0\R"</f>
        <v>#VALUE!</v>
      </c>
      <c r="BY297" t="e">
        <f>Descriptions!K49+"AM:!0\S"</f>
        <v>#VALUE!</v>
      </c>
      <c r="BZ297" t="e">
        <f>Descriptions!L49+"AM:!0\T"</f>
        <v>#VALUE!</v>
      </c>
      <c r="CA297" t="e">
        <f>Descriptions!N49+"AM:!0\U"</f>
        <v>#VALUE!</v>
      </c>
      <c r="CB297" t="e">
        <f>Descriptions!O49+"AM:!0\V"</f>
        <v>#VALUE!</v>
      </c>
      <c r="CC297" t="e">
        <f>Descriptions!P49+"AM:!0\W"</f>
        <v>#VALUE!</v>
      </c>
      <c r="CD297" t="e">
        <f>Descriptions!Q49+"AM:!0\X"</f>
        <v>#VALUE!</v>
      </c>
      <c r="CE297" t="e">
        <f>Descriptions!R49+"AM:!0\Y"</f>
        <v>#VALUE!</v>
      </c>
      <c r="CF297" t="e">
        <f>Descriptions!S49+"AM:!0\Z"</f>
        <v>#VALUE!</v>
      </c>
      <c r="CG297" t="e">
        <f>Descriptions!T49+"AM:!0\["</f>
        <v>#VALUE!</v>
      </c>
      <c r="CH297" t="e">
        <f>Descriptions!U49+"AM:!0\\"</f>
        <v>#VALUE!</v>
      </c>
      <c r="CI297" t="e">
        <f>Descriptions!V49+"AM:!0\]"</f>
        <v>#VALUE!</v>
      </c>
      <c r="CJ297" t="e">
        <f>Descriptions!W49+"AM:!0\^"</f>
        <v>#VALUE!</v>
      </c>
      <c r="CK297" t="e">
        <f>Descriptions!X49+"AM:!0\_"</f>
        <v>#VALUE!</v>
      </c>
      <c r="CL297" t="e">
        <f>Descriptions!Y49+"AM:!0\`"</f>
        <v>#VALUE!</v>
      </c>
      <c r="CM297" t="e">
        <f>Descriptions!Z49+"AM:!0\a"</f>
        <v>#VALUE!</v>
      </c>
      <c r="CN297" t="e">
        <f>Descriptions!AA49+"AM:!0\b"</f>
        <v>#VALUE!</v>
      </c>
      <c r="CO297" t="e">
        <f>Descriptions!AB49+"AM:!0\c"</f>
        <v>#VALUE!</v>
      </c>
      <c r="CP297" t="e">
        <f>Descriptions!AC49+"AM:!0\d"</f>
        <v>#VALUE!</v>
      </c>
      <c r="CQ297" t="e">
        <f>Descriptions!AD49+"AM:!0\e"</f>
        <v>#VALUE!</v>
      </c>
      <c r="CR297" t="e">
        <f>Descriptions!AE49+"AM:!0\f"</f>
        <v>#VALUE!</v>
      </c>
      <c r="CS297" t="e">
        <f>Descriptions!AF49+"AM:!0\g"</f>
        <v>#VALUE!</v>
      </c>
      <c r="CT297" t="e">
        <f>Descriptions!A52+"AM:!0\h"</f>
        <v>#VALUE!</v>
      </c>
      <c r="CU297" t="e">
        <f>'Project Summary'!A:A*"AM:!0\k"</f>
        <v>#VALUE!</v>
      </c>
      <c r="CV297" t="e">
        <f>'Project Summary'!B:B*"AM:!0\l"</f>
        <v>#VALUE!</v>
      </c>
      <c r="CW297" t="e">
        <f>'Project Summary'!C:C*"AM:!0\m"</f>
        <v>#VALUE!</v>
      </c>
      <c r="CX297" t="e">
        <f>'Project Summary'!D:D*"AM:!0\n"</f>
        <v>#VALUE!</v>
      </c>
      <c r="CY297" t="e">
        <f>'Project Summary'!E:E*"AM:!0\o"</f>
        <v>#VALUE!</v>
      </c>
      <c r="CZ297" t="e">
        <f>'Project Summary'!F:F*"AM:!0\p"</f>
        <v>#VALUE!</v>
      </c>
      <c r="DA297" t="e">
        <f>'Project Summary'!G:G*"AM:!0\q"</f>
        <v>#VALUE!</v>
      </c>
      <c r="DB297" t="e">
        <f>'Project Summary'!H:H*"AM:!0\r"</f>
        <v>#VALUE!</v>
      </c>
      <c r="DC297" t="e">
        <f>'Project Summary'!I:I*"AM:!0\s"</f>
        <v>#VALUE!</v>
      </c>
      <c r="DD297" t="e">
        <f>'Project Summary'!J:J*"AM:!0\t"</f>
        <v>#VALUE!</v>
      </c>
      <c r="DE297" t="e">
        <f>'Project Summary'!K:K*"AM:!0\u"</f>
        <v>#VALUE!</v>
      </c>
      <c r="DF297" t="e">
        <f>'Project Summary'!L:L*"AM:!0\v"</f>
        <v>#VALUE!</v>
      </c>
      <c r="DG297" t="e">
        <f>'Project Summary'!M:M*"AM:!0\w"</f>
        <v>#VALUE!</v>
      </c>
      <c r="DH297" t="e">
        <f>'Project Summary'!N:N*"AM:!0\x"</f>
        <v>#VALUE!</v>
      </c>
      <c r="DI297" t="e">
        <f>'Project Summary'!O:O*"AM:!0\y"</f>
        <v>#VALUE!</v>
      </c>
      <c r="DJ297" t="e">
        <f>'Project Summary'!P:P*"AM:!0\z"</f>
        <v>#VALUE!</v>
      </c>
      <c r="DK297" t="e">
        <f>'Project Summary'!Q:Q*"AM:!0\{"</f>
        <v>#VALUE!</v>
      </c>
      <c r="DL297" t="e">
        <f>'Project Summary'!R:R*"AM:!0\|"</f>
        <v>#VALUE!</v>
      </c>
      <c r="DM297" t="e">
        <f>'Project Summary'!S:S*"AM:!0\}"</f>
        <v>#VALUE!</v>
      </c>
      <c r="DN297" t="e">
        <f>'Project Summary'!T:T*"AM:!0\~"</f>
        <v>#VALUE!</v>
      </c>
      <c r="DO297" t="e">
        <f>'Project Summary'!U:U*"AM:!0]#"</f>
        <v>#VALUE!</v>
      </c>
      <c r="DP297" t="e">
        <f>'Project Summary'!#REF!*"AM:!0]$"</f>
        <v>#REF!</v>
      </c>
      <c r="DQ297" t="e">
        <f>'Project Summary'!V:V*"AM:!0]%"</f>
        <v>#VALUE!</v>
      </c>
      <c r="DR297" t="e">
        <f>'Project Summary'!W:W*"AM:!0]&amp;"</f>
        <v>#VALUE!</v>
      </c>
      <c r="DS297" t="e">
        <f>'Project Summary'!X:X*"AM:!0]'"</f>
        <v>#VALUE!</v>
      </c>
      <c r="DT297" t="e">
        <f>'Project Summary'!Y:Y*"AM:!0]("</f>
        <v>#VALUE!</v>
      </c>
      <c r="DU297" t="e">
        <f>'Project Summary'!Z:Z*"AM:!0])"</f>
        <v>#VALUE!</v>
      </c>
      <c r="DV297" t="e">
        <f>'Project Summary'!AA:AA*"AM:!0]."</f>
        <v>#VALUE!</v>
      </c>
      <c r="DW297" t="e">
        <f>'Project Summary'!AB:AB*"AM:!0]/"</f>
        <v>#VALUE!</v>
      </c>
      <c r="DX297" t="e">
        <f>'Project Summary'!AC:AC*"AM:!0]0"</f>
        <v>#VALUE!</v>
      </c>
      <c r="DY297" t="e">
        <f>'Project Summary'!AD:AD*"AM:!0]1"</f>
        <v>#VALUE!</v>
      </c>
      <c r="DZ297" t="e">
        <f>'Project Summary'!AE:AE*"AM:!0]2"</f>
        <v>#VALUE!</v>
      </c>
      <c r="EA297" t="e">
        <f>'Project Summary'!AF:AF*"AM:!0]3"</f>
        <v>#VALUE!</v>
      </c>
      <c r="EB297" t="e">
        <f>'Project Summary'!AG:AG*"AM:!0]4"</f>
        <v>#VALUE!</v>
      </c>
      <c r="EC297" t="e">
        <f>'Project Summary'!AH:AH*"AM:!0]5"</f>
        <v>#VALUE!</v>
      </c>
      <c r="ED297" t="e">
        <f>'Project Summary'!AI:AI*"AM:!0]6"</f>
        <v>#VALUE!</v>
      </c>
      <c r="EE297" t="e">
        <f>'Project Summary'!AJ:AJ*"AM:!0]7"</f>
        <v>#VALUE!</v>
      </c>
      <c r="EF297" t="e">
        <f>'Project Summary'!AK:AK*"AM:!0]8"</f>
        <v>#VALUE!</v>
      </c>
      <c r="EG297" t="e">
        <f>'Project Summary'!AL:AL*"AM:!0]9"</f>
        <v>#VALUE!</v>
      </c>
      <c r="EH297" t="e">
        <f>'Project Summary'!AM:AM*"AM:!0]:"</f>
        <v>#VALUE!</v>
      </c>
      <c r="EI297" t="e">
        <f>'Project Summary'!AN:AN*"AM:!0];"</f>
        <v>#VALUE!</v>
      </c>
      <c r="EJ297" t="e">
        <f>'Project Summary'!AO:AO*"AM:!0]&lt;"</f>
        <v>#VALUE!</v>
      </c>
      <c r="EK297" t="e">
        <f>'Project Summary'!AP:AP*"AM:!0]="</f>
        <v>#VALUE!</v>
      </c>
      <c r="EL297" t="e">
        <f>'Project Summary'!AQ:AQ*"AM:!0]&gt;"</f>
        <v>#VALUE!</v>
      </c>
      <c r="EM297" t="e">
        <f>'Project Summary'!AR:AR*"AM:!0]?"</f>
        <v>#VALUE!</v>
      </c>
      <c r="EN297" t="e">
        <f>'Project Summary'!AS:AS*"AM:!0]@"</f>
        <v>#VALUE!</v>
      </c>
      <c r="EO297" t="e">
        <f>'Project Summary'!AT:AT*"AM:!0]A"</f>
        <v>#VALUE!</v>
      </c>
      <c r="EP297" t="e">
        <f>'Project Summary'!AU:AU*"AM:!0]B"</f>
        <v>#VALUE!</v>
      </c>
      <c r="EQ297" t="e">
        <f>'Project Summary'!AV:AV*"AM:!0]C"</f>
        <v>#VALUE!</v>
      </c>
      <c r="ER297" t="e">
        <f>'Project Summary'!AW:AW*"AM:!0]D"</f>
        <v>#VALUE!</v>
      </c>
      <c r="ES297" t="e">
        <f>'Project Summary'!AX:AX*"AM:!0]E"</f>
        <v>#VALUE!</v>
      </c>
      <c r="ET297" t="e">
        <f>'Project Summary'!AY:AY*"AM:!0]F"</f>
        <v>#VALUE!</v>
      </c>
      <c r="EU297" t="e">
        <f>'Project Summary'!AZ:AZ*"AM:!0]G"</f>
        <v>#VALUE!</v>
      </c>
      <c r="EV297" t="e">
        <f>'Project Summary'!BA:BA*"AM:!0]H"</f>
        <v>#VALUE!</v>
      </c>
      <c r="EW297" t="e">
        <f>'Project Summary'!BB:BB*"AM:!0]I"</f>
        <v>#VALUE!</v>
      </c>
      <c r="EX297" t="e">
        <f>'Project Summary'!BC:BC*"AM:!0]J"</f>
        <v>#VALUE!</v>
      </c>
      <c r="EY297" t="e">
        <f>'Project Summary'!BD:BD*"AM:!0]K"</f>
        <v>#VALUE!</v>
      </c>
      <c r="EZ297" t="e">
        <f>'Project Summary'!BE:BE*"AM:!0]L"</f>
        <v>#VALUE!</v>
      </c>
      <c r="FA297" t="e">
        <f>'Project Summary'!BF:BF*"AM:!0]M"</f>
        <v>#VALUE!</v>
      </c>
      <c r="FB297" t="e">
        <f>'Project Summary'!BG:BG*"AM:!0]N"</f>
        <v>#VALUE!</v>
      </c>
      <c r="FC297" t="e">
        <f>'Project Summary'!BH:BH*"AM:!0]O"</f>
        <v>#VALUE!</v>
      </c>
      <c r="FD297" t="e">
        <f>'Project Summary'!BI:BI*"AM:!0]P"</f>
        <v>#VALUE!</v>
      </c>
      <c r="FE297" t="e">
        <f>'Project Summary'!BJ:BJ*"AM:!0]Q"</f>
        <v>#VALUE!</v>
      </c>
      <c r="FF297" t="e">
        <f>'Project Summary'!BK:BK*"AM:!0]R"</f>
        <v>#VALUE!</v>
      </c>
      <c r="FG297" t="e">
        <f>'Project Summary'!BL:BL*"AM:!0]S"</f>
        <v>#VALUE!</v>
      </c>
      <c r="FH297" t="e">
        <f>'Project Summary'!BM:BM*"AM:!0]T"</f>
        <v>#VALUE!</v>
      </c>
      <c r="FI297" t="e">
        <f>'Project Summary'!BN:BN*"AM:!0]U"</f>
        <v>#VALUE!</v>
      </c>
      <c r="FJ297" t="e">
        <f>'Project Summary'!BO:BO*"AM:!0]V"</f>
        <v>#VALUE!</v>
      </c>
      <c r="FK297" t="e">
        <f>'Project Summary'!BP:BP*"AM:!0]W"</f>
        <v>#VALUE!</v>
      </c>
      <c r="FL297" t="e">
        <f>'Project Summary'!BQ:BQ*"AM:!0]X"</f>
        <v>#VALUE!</v>
      </c>
      <c r="FM297" t="e">
        <f>'Project Summary'!1:1-"AM:!0]Y"</f>
        <v>#VALUE!</v>
      </c>
      <c r="FN297" t="e">
        <f>'Project Summary'!2:2-"AM:!0]Z"</f>
        <v>#VALUE!</v>
      </c>
      <c r="FO297" t="e">
        <f>'Project Summary'!3:3-"AM:!0]["</f>
        <v>#VALUE!</v>
      </c>
      <c r="FP297" t="e">
        <f>'Project Summary'!4:4-"AM:!0]\"</f>
        <v>#VALUE!</v>
      </c>
      <c r="FQ297" t="e">
        <f>'Project Summary'!5:5-"AM:!0]]"</f>
        <v>#VALUE!</v>
      </c>
      <c r="FR297" t="e">
        <f>'Project Summary'!6:6-"AM:!0]^"</f>
        <v>#VALUE!</v>
      </c>
      <c r="FS297" t="e">
        <f>'Project Summary'!7:7-"AM:!0]_"</f>
        <v>#VALUE!</v>
      </c>
      <c r="FT297" t="e">
        <f>'Project Summary'!8:8-"AM:!0]`"</f>
        <v>#VALUE!</v>
      </c>
      <c r="FU297" t="e">
        <f>'Project Summary'!9:9-"AM:!0]a"</f>
        <v>#VALUE!</v>
      </c>
      <c r="FV297" t="e">
        <f>'Project Summary'!10:10-"AM:!0]b"</f>
        <v>#VALUE!</v>
      </c>
      <c r="FW297" t="e">
        <f>'Project Summary'!11:11-"AM:!0]c"</f>
        <v>#VALUE!</v>
      </c>
      <c r="FX297" t="e">
        <f>'Project Summary'!12:12-"AM:!0]d"</f>
        <v>#VALUE!</v>
      </c>
      <c r="FY297" t="e">
        <f>'Project Summary'!13:13-"AM:!0]e"</f>
        <v>#VALUE!</v>
      </c>
      <c r="FZ297" t="e">
        <f>'Project Summary'!14:14-"AM:!0]f"</f>
        <v>#VALUE!</v>
      </c>
      <c r="GA297" t="e">
        <f>'Project Summary'!15:15-"AM:!0]g"</f>
        <v>#VALUE!</v>
      </c>
      <c r="GB297" t="e">
        <f>'Project Summary'!16:16-"AM:!0]h"</f>
        <v>#VALUE!</v>
      </c>
      <c r="GC297" t="e">
        <f>'Project Summary'!17:17-"AM:!0]i"</f>
        <v>#VALUE!</v>
      </c>
      <c r="GD297" t="e">
        <f>'Project Summary'!18:18-"AM:!0]j"</f>
        <v>#VALUE!</v>
      </c>
      <c r="GE297" t="e">
        <f>'Project Summary'!19:19-"AM:!0]k"</f>
        <v>#VALUE!</v>
      </c>
      <c r="GF297" t="e">
        <f>'Project Summary'!20:20-"AM:!0]l"</f>
        <v>#VALUE!</v>
      </c>
      <c r="GG297" t="e">
        <f>'Project Summary'!21:21-"AM:!0]m"</f>
        <v>#VALUE!</v>
      </c>
      <c r="GH297" t="e">
        <f>'Project Summary'!22:22-"AM:!0]n"</f>
        <v>#VALUE!</v>
      </c>
      <c r="GI297" t="e">
        <f>'Project Summary'!23:23-"AM:!0]o"</f>
        <v>#VALUE!</v>
      </c>
      <c r="GJ297" t="e">
        <f>'Project Summary'!24:24-"AM:!0]p"</f>
        <v>#VALUE!</v>
      </c>
      <c r="GK297" t="e">
        <f>'Project Summary'!25:25-"AM:!0]q"</f>
        <v>#VALUE!</v>
      </c>
      <c r="GL297" t="e">
        <f>'Project Summary'!#REF!-"AM:!0]r"</f>
        <v>#REF!</v>
      </c>
      <c r="GM297" t="e">
        <f>'Project Summary'!30:30-"AM:!0]s"</f>
        <v>#VALUE!</v>
      </c>
      <c r="GN297" t="e">
        <f>'Project Summary'!31:31-"AM:!0]t"</f>
        <v>#VALUE!</v>
      </c>
      <c r="GO297" t="e">
        <f>'Project Summary'!32:32-"AM:!0]u"</f>
        <v>#VALUE!</v>
      </c>
      <c r="GP297" t="e">
        <f>'Project Summary'!33:33-"AM:!0]v"</f>
        <v>#VALUE!</v>
      </c>
      <c r="GQ297" t="e">
        <f>'Project Summary'!34:34-"AM:!0]w"</f>
        <v>#VALUE!</v>
      </c>
      <c r="GR297" t="e">
        <f>'Project Summary'!35:35-"AM:!0]x"</f>
        <v>#VALUE!</v>
      </c>
      <c r="GS297" t="e">
        <f>'Project Summary'!36:36-"AM:!0]y"</f>
        <v>#VALUE!</v>
      </c>
      <c r="GT297" t="e">
        <f>'Project Summary'!37:37-"AM:!0]z"</f>
        <v>#VALUE!</v>
      </c>
      <c r="GU297" t="e">
        <f>'Project Summary'!38:38-"AM:!0]{"</f>
        <v>#VALUE!</v>
      </c>
      <c r="GV297" t="e">
        <f>'Project Summary'!39:39-"AM:!0]|"</f>
        <v>#VALUE!</v>
      </c>
      <c r="GW297" t="e">
        <f>'Project Summary'!40:40-"AM:!0]}"</f>
        <v>#VALUE!</v>
      </c>
      <c r="GX297" t="e">
        <f>'Project Summary'!41:41-"AM:!0]~"</f>
        <v>#VALUE!</v>
      </c>
      <c r="GY297" t="e">
        <f>'Project Summary'!42:42-"AM:!0^#"</f>
        <v>#VALUE!</v>
      </c>
      <c r="GZ297" t="e">
        <f>'Project Summary'!43:43-"AM:!0^$"</f>
        <v>#VALUE!</v>
      </c>
      <c r="HA297" t="e">
        <f>'Project Summary'!44:44-"AM:!0^%"</f>
        <v>#VALUE!</v>
      </c>
      <c r="HB297" t="e">
        <f>'Project Summary'!45:45-"AM:!0^&amp;"</f>
        <v>#VALUE!</v>
      </c>
      <c r="HC297" t="e">
        <f>'Project Summary'!46:46-"AM:!0^'"</f>
        <v>#VALUE!</v>
      </c>
      <c r="HD297" t="e">
        <f>'Project Summary'!47:47-"AM:!0^("</f>
        <v>#VALUE!</v>
      </c>
      <c r="HE297" t="e">
        <f>'Project Summary'!48:48-"AM:!0^)"</f>
        <v>#VALUE!</v>
      </c>
      <c r="HF297" t="e">
        <f>'Project Summary'!49:49-"AM:!0^."</f>
        <v>#VALUE!</v>
      </c>
      <c r="HG297" t="e">
        <f>'Project Summary'!50:50-"AM:!0^/"</f>
        <v>#VALUE!</v>
      </c>
      <c r="HH297" t="e">
        <f>'Project Summary'!51:51-"AM:!0^0"</f>
        <v>#VALUE!</v>
      </c>
      <c r="HI297" t="e">
        <f>'Project Summary'!52:52-"AM:!0^1"</f>
        <v>#VALUE!</v>
      </c>
      <c r="HJ297" t="e">
        <f>'Project Summary'!53:53-"AM:!0^2"</f>
        <v>#VALUE!</v>
      </c>
      <c r="HK297" t="e">
        <f>'Project Summary'!54:54-"AM:!0^3"</f>
        <v>#VALUE!</v>
      </c>
      <c r="HL297" t="e">
        <f>'Project Summary'!55:55-"AM:!0^4"</f>
        <v>#VALUE!</v>
      </c>
      <c r="HM297" t="e">
        <f>'Project Summary'!56:56-"AM:!0^5"</f>
        <v>#VALUE!</v>
      </c>
      <c r="HN297" t="e">
        <f>'Project Summary'!57:57-"AM:!0^6"</f>
        <v>#VALUE!</v>
      </c>
      <c r="HO297" t="e">
        <f>'Project Summary'!58:58-"AM:!0^7"</f>
        <v>#VALUE!</v>
      </c>
      <c r="HP297" t="e">
        <f>'Project Summary'!59:59-"AM:!0^8"</f>
        <v>#VALUE!</v>
      </c>
      <c r="HQ297" t="e">
        <f>'Project Summary'!60:60-"AM:!0^9"</f>
        <v>#VALUE!</v>
      </c>
      <c r="HR297" t="e">
        <f>'Project Summary'!61:61-"AM:!0^:"</f>
        <v>#VALUE!</v>
      </c>
      <c r="HS297" t="e">
        <f>'Project Summary'!62:62-"AM:!0^;"</f>
        <v>#VALUE!</v>
      </c>
      <c r="HT297" t="e">
        <f>'Project Summary'!63:63-"AM:!0^&lt;"</f>
        <v>#VALUE!</v>
      </c>
      <c r="HU297" t="e">
        <f>'Project Summary'!64:64-"AM:!0^="</f>
        <v>#VALUE!</v>
      </c>
      <c r="HV297" t="e">
        <f>'Project Summary'!65:65-"AM:!0^&gt;"</f>
        <v>#VALUE!</v>
      </c>
      <c r="HW297" t="e">
        <f>'Project Summary'!66:66-"AM:!0^?"</f>
        <v>#VALUE!</v>
      </c>
      <c r="HX297" t="e">
        <f>'Project Summary'!67:67-"AM:!0^@"</f>
        <v>#VALUE!</v>
      </c>
      <c r="HY297" t="e">
        <f>'Project Summary'!68:68-"AM:!0^A"</f>
        <v>#VALUE!</v>
      </c>
      <c r="HZ297" t="e">
        <f>'Project Summary'!69:69-"AM:!0^B"</f>
        <v>#VALUE!</v>
      </c>
      <c r="IA297" t="e">
        <f>'Project Summary'!70:70-"AM:!0^C"</f>
        <v>#VALUE!</v>
      </c>
      <c r="IB297" t="e">
        <f>'Project Summary'!71:71-"AM:!0^D"</f>
        <v>#VALUE!</v>
      </c>
      <c r="IC297" t="e">
        <f>'Project Summary'!72:72-"AM:!0^E"</f>
        <v>#VALUE!</v>
      </c>
      <c r="ID297" t="e">
        <f>'Project Summary'!73:73-"AM:!0^F"</f>
        <v>#VALUE!</v>
      </c>
      <c r="IE297" t="e">
        <f>'Project Summary'!74:74-"AM:!0^G"</f>
        <v>#VALUE!</v>
      </c>
      <c r="IF297" t="e">
        <f>'Project Summary'!75:75-"AM:!0^H"</f>
        <v>#VALUE!</v>
      </c>
      <c r="IG297" t="e">
        <f>'Project Summary'!76:76-"AM:!0^I"</f>
        <v>#VALUE!</v>
      </c>
      <c r="IH297" t="e">
        <f>'Project Summary'!77:77-"AM:!0^J"</f>
        <v>#VALUE!</v>
      </c>
      <c r="II297" t="e">
        <f>'Project Summary'!78:78-"AM:!0^K"</f>
        <v>#VALUE!</v>
      </c>
      <c r="IJ297" t="e">
        <f>'Project Summary'!79:79-"AM:!0^L"</f>
        <v>#VALUE!</v>
      </c>
      <c r="IK297" t="e">
        <f>'Project Summary'!80:80-"AM:!0^M"</f>
        <v>#VALUE!</v>
      </c>
      <c r="IL297" t="e">
        <f>'Project Summary'!81:81-"AM:!0^N"</f>
        <v>#VALUE!</v>
      </c>
      <c r="IM297" t="e">
        <f>'Project Summary'!82:82-"AM:!0^O"</f>
        <v>#VALUE!</v>
      </c>
      <c r="IN297" t="e">
        <f>'Project Summary'!83:83-"AM:!0^P"</f>
        <v>#VALUE!</v>
      </c>
      <c r="IO297" t="e">
        <f>'Project Summary'!84:84-"AM:!0^Q"</f>
        <v>#VALUE!</v>
      </c>
      <c r="IP297" t="e">
        <f>'Project Summary'!85:85-"AM:!0^R"</f>
        <v>#VALUE!</v>
      </c>
      <c r="IQ297" t="e">
        <f>'Project Summary'!86:86-"AM:!0^S"</f>
        <v>#VALUE!</v>
      </c>
      <c r="IR297" t="e">
        <f>'Project Summary'!87:87-"AM:!0^T"</f>
        <v>#VALUE!</v>
      </c>
      <c r="IS297" t="e">
        <f>'Project Summary'!88:88-"AM:!0^U"</f>
        <v>#VALUE!</v>
      </c>
      <c r="IT297" t="e">
        <f>'Project Summary'!89:89-"AM:!0^V"</f>
        <v>#VALUE!</v>
      </c>
      <c r="IU297" t="e">
        <f>'Project Summary'!90:90-"AM:!0^W"</f>
        <v>#VALUE!</v>
      </c>
      <c r="IV297" t="e">
        <f>'Project Summary'!91:91-"AM:!0^X"</f>
        <v>#VALUE!</v>
      </c>
    </row>
    <row r="298" spans="6:256">
      <c r="F298" t="e">
        <f>'Project Summary'!92:92-"AM:!0^Y"</f>
        <v>#VALUE!</v>
      </c>
      <c r="G298" t="e">
        <f>'Project Summary'!93:93-"AM:!0^Z"</f>
        <v>#VALUE!</v>
      </c>
      <c r="H298" t="e">
        <f>'Project Summary'!94:94-"AM:!0^["</f>
        <v>#VALUE!</v>
      </c>
      <c r="I298" t="e">
        <f>'Project Summary'!95:95-"AM:!0^\"</f>
        <v>#VALUE!</v>
      </c>
      <c r="J298" t="e">
        <f>'Project Summary'!96:96-"AM:!0^]"</f>
        <v>#VALUE!</v>
      </c>
      <c r="K298" t="e">
        <f>'Project Summary'!97:97-"AM:!0^^"</f>
        <v>#VALUE!</v>
      </c>
      <c r="L298" t="e">
        <f>'Project Summary'!98:98-"AM:!0^_"</f>
        <v>#VALUE!</v>
      </c>
      <c r="M298" t="e">
        <f>'Project Summary'!99:99-"AM:!0^`"</f>
        <v>#VALUE!</v>
      </c>
      <c r="N298" t="e">
        <f>'Project Summary'!100:100-"AM:!0^a"</f>
        <v>#VALUE!</v>
      </c>
      <c r="O298" t="e">
        <f>'Project Summary'!101:101-"AM:!0^b"</f>
        <v>#VALUE!</v>
      </c>
      <c r="P298" t="e">
        <f>'Project Summary'!102:102-"AM:!0^c"</f>
        <v>#VALUE!</v>
      </c>
      <c r="Q298" t="e">
        <f>'Project Summary'!103:103-"AM:!0^d"</f>
        <v>#VALUE!</v>
      </c>
      <c r="R298" t="e">
        <f>'Project Summary'!104:104-"AM:!0^e"</f>
        <v>#VALUE!</v>
      </c>
      <c r="S298" t="e">
        <f>'Project Summary'!105:105-"AM:!0^f"</f>
        <v>#VALUE!</v>
      </c>
      <c r="T298" t="e">
        <f>'Project Summary'!106:106-"AM:!0^g"</f>
        <v>#VALUE!</v>
      </c>
      <c r="U298" t="e">
        <f>'Project Summary'!107:107-"AM:!0^h"</f>
        <v>#VALUE!</v>
      </c>
      <c r="V298" t="e">
        <f>'Project Summary'!108:108-"AM:!0^i"</f>
        <v>#VALUE!</v>
      </c>
      <c r="W298" t="e">
        <f>'Project Summary'!109:109-"AM:!0^j"</f>
        <v>#VALUE!</v>
      </c>
      <c r="X298" t="e">
        <f>'Project Summary'!110:110-"AM:!0^k"</f>
        <v>#VALUE!</v>
      </c>
      <c r="Y298" t="e">
        <f>'Project Summary'!111:111-"AM:!0^l"</f>
        <v>#VALUE!</v>
      </c>
      <c r="Z298" t="e">
        <f>'Project Summary'!112:112-"AM:!0^m"</f>
        <v>#VALUE!</v>
      </c>
      <c r="AA298" t="e">
        <f>'Project Summary'!113:113-"AM:!0^n"</f>
        <v>#VALUE!</v>
      </c>
      <c r="AB298" t="e">
        <f>'Project Summary'!114:114-"AM:!0^o"</f>
        <v>#VALUE!</v>
      </c>
      <c r="AC298" t="e">
        <f>'Project Summary'!115:115-"AM:!0^p"</f>
        <v>#VALUE!</v>
      </c>
      <c r="AD298" t="e">
        <f>'Project Summary'!116:116-"AM:!0^q"</f>
        <v>#VALUE!</v>
      </c>
      <c r="AE298" t="e">
        <f>'Project Summary'!117:117-"AM:!0^r"</f>
        <v>#VALUE!</v>
      </c>
      <c r="AF298" t="e">
        <f>'Project Summary'!118:118-"AM:!0^s"</f>
        <v>#VALUE!</v>
      </c>
      <c r="AG298" t="e">
        <f>'Project Summary'!119:119-"AM:!0^t"</f>
        <v>#VALUE!</v>
      </c>
      <c r="AH298" t="e">
        <f>'Project Summary'!120:120-"AM:!0^u"</f>
        <v>#VALUE!</v>
      </c>
      <c r="AI298" t="e">
        <f>'Project Summary'!121:121-"AM:!0^v"</f>
        <v>#VALUE!</v>
      </c>
      <c r="AJ298" t="e">
        <f>'Project Summary'!122:122-"AM:!0^w"</f>
        <v>#VALUE!</v>
      </c>
      <c r="AK298" t="e">
        <f>'Project Summary'!123:123-"AM:!0^x"</f>
        <v>#VALUE!</v>
      </c>
      <c r="AL298" t="e">
        <f>'Project Summary'!124:124-"AM:!0^y"</f>
        <v>#VALUE!</v>
      </c>
      <c r="AM298" t="e">
        <f>'Project Summary'!125:125-"AM:!0^z"</f>
        <v>#VALUE!</v>
      </c>
      <c r="AN298" t="e">
        <f>'Project Summary'!126:126-"AM:!0^{"</f>
        <v>#VALUE!</v>
      </c>
      <c r="AO298" t="e">
        <f>'Project Summary'!127:127-"AM:!0^|"</f>
        <v>#VALUE!</v>
      </c>
      <c r="AP298" t="e">
        <f>'Project Summary'!128:128-"AM:!0^}"</f>
        <v>#VALUE!</v>
      </c>
      <c r="AQ298" t="e">
        <f>'Project Summary'!129:129-"AM:!0^~"</f>
        <v>#VALUE!</v>
      </c>
      <c r="AR298" t="e">
        <f>'Project Summary'!130:130-"AM:!0_#"</f>
        <v>#VALUE!</v>
      </c>
      <c r="AS298" t="e">
        <f>'Project Summary'!131:131-"AM:!0_$"</f>
        <v>#VALUE!</v>
      </c>
      <c r="AT298" t="e">
        <f>'Project Summary'!132:132-"AM:!0_%"</f>
        <v>#VALUE!</v>
      </c>
      <c r="AU298" t="e">
        <f>'Project Summary'!133:133-"AM:!0_&amp;"</f>
        <v>#VALUE!</v>
      </c>
      <c r="AV298" t="e">
        <f>'Project Summary'!134:134-"AM:!0_'"</f>
        <v>#VALUE!</v>
      </c>
      <c r="AW298" t="e">
        <f>'Project Summary'!135:135-"AM:!0_("</f>
        <v>#VALUE!</v>
      </c>
      <c r="AX298" t="e">
        <f>'Project Summary'!136:136-"AM:!0_)"</f>
        <v>#VALUE!</v>
      </c>
      <c r="AY298" t="e">
        <f>'Project Summary'!137:137-"AM:!0_."</f>
        <v>#VALUE!</v>
      </c>
      <c r="AZ298" t="e">
        <f>'Project Summary'!138:138-"AM:!0_/"</f>
        <v>#VALUE!</v>
      </c>
      <c r="BA298" t="e">
        <f>'Project Summary'!139:139-"AM:!0_0"</f>
        <v>#VALUE!</v>
      </c>
      <c r="BB298" t="e">
        <f>'Project Summary'!140:140-"AM:!0_1"</f>
        <v>#VALUE!</v>
      </c>
      <c r="BC298" t="e">
        <f>'Project Summary'!141:141-"AM:!0_2"</f>
        <v>#VALUE!</v>
      </c>
      <c r="BD298" t="e">
        <f>'Project Summary'!142:142-"AM:!0_3"</f>
        <v>#VALUE!</v>
      </c>
      <c r="BE298" t="e">
        <f>'Project Summary'!143:143-"AM:!0_4"</f>
        <v>#VALUE!</v>
      </c>
      <c r="BF298" t="e">
        <f>'Project Summary'!144:144-"AM:!0_5"</f>
        <v>#VALUE!</v>
      </c>
      <c r="BG298" t="e">
        <f>'Project Summary'!145:145-"AM:!0_6"</f>
        <v>#VALUE!</v>
      </c>
      <c r="BH298" t="e">
        <f>'Project Summary'!146:146-"AM:!0_7"</f>
        <v>#VALUE!</v>
      </c>
      <c r="BI298" t="e">
        <f>'Project Summary'!147:147-"AM:!0_8"</f>
        <v>#VALUE!</v>
      </c>
      <c r="BJ298" t="e">
        <f>'Project Summary'!148:148-"AM:!0_9"</f>
        <v>#VALUE!</v>
      </c>
      <c r="BK298" t="e">
        <f>'Project Summary'!149:149-"AM:!0_:"</f>
        <v>#VALUE!</v>
      </c>
      <c r="BL298" t="e">
        <f>'Project Summary'!150:150-"AM:!0_;"</f>
        <v>#VALUE!</v>
      </c>
      <c r="BM298" t="e">
        <f>'Project Summary'!151:151-"AM:!0_&lt;"</f>
        <v>#VALUE!</v>
      </c>
      <c r="BN298" t="e">
        <f>'Project Summary'!152:152-"AM:!0_="</f>
        <v>#VALUE!</v>
      </c>
      <c r="BO298" t="e">
        <f>'Project Summary'!153:153-"AM:!0_&gt;"</f>
        <v>#VALUE!</v>
      </c>
      <c r="BP298" t="e">
        <f>'Project Summary'!154:154-"AM:!0_?"</f>
        <v>#VALUE!</v>
      </c>
      <c r="BQ298" t="e">
        <f>'Project Summary'!155:155-"AM:!0_@"</f>
        <v>#VALUE!</v>
      </c>
      <c r="BR298" t="e">
        <f>'Project Summary'!156:156-"AM:!0_A"</f>
        <v>#VALUE!</v>
      </c>
      <c r="BS298" t="e">
        <f>'Project Summary'!157:157-"AM:!0_B"</f>
        <v>#VALUE!</v>
      </c>
      <c r="BT298" t="e">
        <f>'Project Summary'!158:158-"AM:!0_C"</f>
        <v>#VALUE!</v>
      </c>
      <c r="BU298" t="e">
        <f>'Project Summary'!159:159-"AM:!0_D"</f>
        <v>#VALUE!</v>
      </c>
      <c r="BV298" t="e">
        <f>'Project Summary'!160:160-"AM:!0_E"</f>
        <v>#VALUE!</v>
      </c>
      <c r="BW298" t="e">
        <f>'Project Summary'!161:161-"AM:!0_F"</f>
        <v>#VALUE!</v>
      </c>
      <c r="BX298" t="e">
        <f>'Project Summary'!162:162-"AM:!0_G"</f>
        <v>#VALUE!</v>
      </c>
      <c r="BY298" t="e">
        <f>'Project Summary'!163:163-"AM:!0_H"</f>
        <v>#VALUE!</v>
      </c>
      <c r="BZ298" t="e">
        <f>'Project Summary'!164:164-"AM:!0_I"</f>
        <v>#VALUE!</v>
      </c>
      <c r="CA298" t="e">
        <f>'Project Summary'!165:165-"AM:!0_J"</f>
        <v>#VALUE!</v>
      </c>
      <c r="CB298" t="e">
        <f>'Project Summary'!166:166-"AM:!0_K"</f>
        <v>#VALUE!</v>
      </c>
      <c r="CC298" t="e">
        <f>'Project Summary'!167:167-"AM:!0_L"</f>
        <v>#VALUE!</v>
      </c>
      <c r="CD298" t="e">
        <f>'Project Summary'!168:168-"AM:!0_M"</f>
        <v>#VALUE!</v>
      </c>
      <c r="CE298" t="e">
        <f>'Project Summary'!169:169-"AM:!0_N"</f>
        <v>#VALUE!</v>
      </c>
      <c r="CF298" t="e">
        <f>'Project Summary'!170:170-"AM:!0_O"</f>
        <v>#VALUE!</v>
      </c>
      <c r="CG298" t="e">
        <f>'Project Summary'!171:171-"AM:!0_P"</f>
        <v>#VALUE!</v>
      </c>
      <c r="CH298" t="e">
        <f>'Project Summary'!172:172-"AM:!0_Q"</f>
        <v>#VALUE!</v>
      </c>
      <c r="CI298" t="e">
        <f>'Project Summary'!173:173-"AM:!0_R"</f>
        <v>#VALUE!</v>
      </c>
      <c r="CJ298" t="e">
        <f>'Project Summary'!174:174-"AM:!0_S"</f>
        <v>#VALUE!</v>
      </c>
      <c r="CK298" t="e">
        <f>'Project Summary'!175:175-"AM:!0_T"</f>
        <v>#VALUE!</v>
      </c>
      <c r="CL298" t="e">
        <f>'Project Summary'!176:176-"AM:!0_U"</f>
        <v>#VALUE!</v>
      </c>
      <c r="CM298" t="e">
        <f>'Project Summary'!177:177-"AM:!0_V"</f>
        <v>#VALUE!</v>
      </c>
      <c r="CN298" t="e">
        <f>'Project Summary'!178:178-"AM:!0_W"</f>
        <v>#VALUE!</v>
      </c>
      <c r="CO298" t="e">
        <f>'Project Summary'!179:179-"AM:!0_X"</f>
        <v>#VALUE!</v>
      </c>
      <c r="CP298" t="e">
        <f>'Project Summary'!180:180-"AM:!0_Y"</f>
        <v>#VALUE!</v>
      </c>
      <c r="CQ298" t="e">
        <f>'Project Summary'!181:181-"AM:!0_Z"</f>
        <v>#VALUE!</v>
      </c>
      <c r="CR298" t="e">
        <f>'Project Summary'!182:182-"AM:!0_["</f>
        <v>#VALUE!</v>
      </c>
      <c r="CS298" t="e">
        <f>'Project Summary'!183:183-"AM:!0_\"</f>
        <v>#VALUE!</v>
      </c>
      <c r="CT298" t="e">
        <f>'Project Summary'!184:184-"AM:!0_]"</f>
        <v>#VALUE!</v>
      </c>
      <c r="CU298" t="e">
        <f>'Project Summary'!185:185-"AM:!0_^"</f>
        <v>#VALUE!</v>
      </c>
      <c r="CV298" t="e">
        <f>'Project Summary'!186:186-"AM:!0__"</f>
        <v>#VALUE!</v>
      </c>
      <c r="CW298" t="e">
        <f>'Project Summary'!187:187-"AM:!0_`"</f>
        <v>#VALUE!</v>
      </c>
      <c r="CX298" t="e">
        <f>'Project Summary'!188:188-"AM:!0_a"</f>
        <v>#VALUE!</v>
      </c>
      <c r="CY298" t="e">
        <f>'Project Summary'!189:189-"AM:!0_b"</f>
        <v>#VALUE!</v>
      </c>
      <c r="CZ298" t="e">
        <f>'Project Summary'!190:190-"AM:!0_c"</f>
        <v>#VALUE!</v>
      </c>
      <c r="DA298" t="e">
        <f>'Project Summary'!191:191-"AM:!0_d"</f>
        <v>#VALUE!</v>
      </c>
      <c r="DB298" t="e">
        <f>'Project Summary'!192:192-"AM:!0_e"</f>
        <v>#VALUE!</v>
      </c>
      <c r="DC298" t="e">
        <f>'Project Summary'!193:193-"AM:!0_f"</f>
        <v>#VALUE!</v>
      </c>
      <c r="DD298" t="e">
        <f>'Project Summary'!194:194-"AM:!0_g"</f>
        <v>#VALUE!</v>
      </c>
      <c r="DE298" t="e">
        <f>'Project Summary'!195:195-"AM:!0_h"</f>
        <v>#VALUE!</v>
      </c>
      <c r="DF298" t="e">
        <f>'Project Summary'!196:196-"AM:!0_i"</f>
        <v>#VALUE!</v>
      </c>
      <c r="DG298" t="e">
        <f>'Project Summary'!197:197-"AM:!0_j"</f>
        <v>#VALUE!</v>
      </c>
      <c r="DH298" t="e">
        <f>'Project Summary'!198:198-"AM:!0_k"</f>
        <v>#VALUE!</v>
      </c>
      <c r="DI298" t="e">
        <f>'Project Summary'!199:199-"AM:!0_l"</f>
        <v>#VALUE!</v>
      </c>
      <c r="DJ298" t="e">
        <f>'Project Summary'!200:200-"AM:!0_m"</f>
        <v>#VALUE!</v>
      </c>
      <c r="DK298" t="e">
        <f>'Project Summary'!201:201-"AM:!0_n"</f>
        <v>#VALUE!</v>
      </c>
      <c r="DL298" t="e">
        <f>'Project Summary'!202:202-"AM:!0_o"</f>
        <v>#VALUE!</v>
      </c>
      <c r="DM298" t="e">
        <f>'Project Summary'!203:203-"AM:!0_p"</f>
        <v>#VALUE!</v>
      </c>
      <c r="DN298" t="e">
        <f>'Project Summary'!204:204-"AM:!0_q"</f>
        <v>#VALUE!</v>
      </c>
      <c r="DO298" t="e">
        <f>'Project Summary'!205:205-"AM:!0_r"</f>
        <v>#VALUE!</v>
      </c>
      <c r="DP298" t="e">
        <f>'Project Summary'!206:206-"AM:!0_s"</f>
        <v>#VALUE!</v>
      </c>
      <c r="DQ298" t="e">
        <f>'Project Summary'!207:207-"AM:!0_t"</f>
        <v>#VALUE!</v>
      </c>
      <c r="DR298" t="e">
        <f>'Project Summary'!208:208-"AM:!0_u"</f>
        <v>#VALUE!</v>
      </c>
      <c r="DS298" t="e">
        <f>'Project Summary'!209:209-"AM:!0_v"</f>
        <v>#VALUE!</v>
      </c>
      <c r="DT298" t="e">
        <f>'Project Summary'!210:210-"AM:!0_w"</f>
        <v>#VALUE!</v>
      </c>
      <c r="DU298" t="e">
        <f>'Project Summary'!211:211-"AM:!0_x"</f>
        <v>#VALUE!</v>
      </c>
      <c r="DV298" t="e">
        <f>'Project Summary'!212:212-"AM:!0_y"</f>
        <v>#VALUE!</v>
      </c>
      <c r="DW298" t="e">
        <f>'Project Summary'!213:213-"AM:!0_z"</f>
        <v>#VALUE!</v>
      </c>
      <c r="DX298" t="e">
        <f>'Project Summary'!214:214-"AM:!0_{"</f>
        <v>#VALUE!</v>
      </c>
      <c r="DY298" t="e">
        <f>'Project Summary'!215:215-"AM:!0_|"</f>
        <v>#VALUE!</v>
      </c>
      <c r="DZ298" t="e">
        <f>'Project Summary'!216:216-"AM:!0_}"</f>
        <v>#VALUE!</v>
      </c>
      <c r="EA298" t="e">
        <f>'Project Summary'!217:217-"AM:!0_~"</f>
        <v>#VALUE!</v>
      </c>
      <c r="EB298" t="e">
        <f>'Project Summary'!218:218-"AM:!0`#"</f>
        <v>#VALUE!</v>
      </c>
      <c r="EC298" t="e">
        <f>'Project Summary'!219:219-"AM:!0`$"</f>
        <v>#VALUE!</v>
      </c>
      <c r="ED298" t="e">
        <f>'Project Summary'!220:220-"AM:!0`%"</f>
        <v>#VALUE!</v>
      </c>
      <c r="EE298" t="e">
        <f>'Project Summary'!221:221-"AM:!0`&amp;"</f>
        <v>#VALUE!</v>
      </c>
      <c r="EF298" t="e">
        <f>'Project Summary'!222:222-"AM:!0`'"</f>
        <v>#VALUE!</v>
      </c>
      <c r="EG298" t="e">
        <f>'Project Summary'!223:223-"AM:!0`("</f>
        <v>#VALUE!</v>
      </c>
      <c r="EH298" t="e">
        <f>'Project Summary'!224:224-"AM:!0`)"</f>
        <v>#VALUE!</v>
      </c>
      <c r="EI298" t="e">
        <f>'Project Summary'!225:225-"AM:!0`."</f>
        <v>#VALUE!</v>
      </c>
      <c r="EJ298" t="e">
        <f>'Project Summary'!226:226-"AM:!0`/"</f>
        <v>#VALUE!</v>
      </c>
      <c r="EK298" t="e">
        <f>'Project Summary'!227:227-"AM:!0`0"</f>
        <v>#VALUE!</v>
      </c>
      <c r="EL298" t="e">
        <f>'Project Summary'!228:228-"AM:!0`1"</f>
        <v>#VALUE!</v>
      </c>
      <c r="EM298" t="e">
        <f>'Project Summary'!229:229-"AM:!0`2"</f>
        <v>#VALUE!</v>
      </c>
      <c r="EN298" t="e">
        <f>'Project Summary'!230:230-"AM:!0`3"</f>
        <v>#VALUE!</v>
      </c>
      <c r="EO298" t="e">
        <f>'Project Summary'!231:231-"AM:!0`4"</f>
        <v>#VALUE!</v>
      </c>
      <c r="EP298" t="e">
        <f>'Project Summary'!232:232-"AM:!0`5"</f>
        <v>#VALUE!</v>
      </c>
      <c r="EQ298" t="e">
        <f>'Project Summary'!233:233-"AM:!0`6"</f>
        <v>#VALUE!</v>
      </c>
      <c r="ER298" t="e">
        <f>'Project Summary'!234:234-"AM:!0`7"</f>
        <v>#VALUE!</v>
      </c>
      <c r="ES298" t="e">
        <f>'Project Summary'!235:235-"AM:!0`8"</f>
        <v>#VALUE!</v>
      </c>
      <c r="ET298" t="e">
        <f>'Project Summary'!236:236-"AM:!0`9"</f>
        <v>#VALUE!</v>
      </c>
      <c r="EU298" t="e">
        <f>'Project Summary'!237:237-"AM:!0`:"</f>
        <v>#VALUE!</v>
      </c>
      <c r="EV298" t="e">
        <f>'Project Summary'!238:238-"AM:!0`;"</f>
        <v>#VALUE!</v>
      </c>
      <c r="EW298" t="e">
        <f>'Project Summary'!239:239-"AM:!0`&lt;"</f>
        <v>#VALUE!</v>
      </c>
      <c r="EX298" t="e">
        <f>'Project Summary'!240:240-"AM:!0`="</f>
        <v>#VALUE!</v>
      </c>
      <c r="EY298" t="e">
        <f>'Project Summary'!241:241-"AM:!0`&gt;"</f>
        <v>#VALUE!</v>
      </c>
      <c r="EZ298" t="e">
        <f>'Project Summary'!242:242-"AM:!0`?"</f>
        <v>#VALUE!</v>
      </c>
      <c r="FA298" t="e">
        <f>'Project Summary'!243:243-"AM:!0`@"</f>
        <v>#VALUE!</v>
      </c>
      <c r="FB298" t="e">
        <f>'Project Summary'!244:244-"AM:!0`A"</f>
        <v>#VALUE!</v>
      </c>
      <c r="FC298" t="e">
        <f>'Project Summary'!245:245-"AM:!0`B"</f>
        <v>#VALUE!</v>
      </c>
      <c r="FD298" t="e">
        <f>'Project Summary'!246:246-"AM:!0`C"</f>
        <v>#VALUE!</v>
      </c>
      <c r="FE298" t="e">
        <f>'Project Summary'!247:247-"AM:!0`D"</f>
        <v>#VALUE!</v>
      </c>
      <c r="FF298" t="e">
        <f>'Project Summary'!248:248-"AM:!0`E"</f>
        <v>#VALUE!</v>
      </c>
      <c r="FG298" t="e">
        <f>'Project Summary'!249:249-"AM:!0`F"</f>
        <v>#VALUE!</v>
      </c>
      <c r="FH298" t="e">
        <f>'Project Summary'!250:250-"AM:!0`G"</f>
        <v>#VALUE!</v>
      </c>
      <c r="FI298" t="e">
        <f>'Project Summary'!251:251-"AM:!0`H"</f>
        <v>#VALUE!</v>
      </c>
      <c r="FJ298" t="e">
        <f>'Project Summary'!A1+"AM:!0`I"</f>
        <v>#VALUE!</v>
      </c>
      <c r="FK298" t="e">
        <f>'Project Summary'!B1+"AM:!0`J"</f>
        <v>#VALUE!</v>
      </c>
      <c r="FL298" t="e">
        <f>'Project Summary'!C1+"AM:!0`K"</f>
        <v>#VALUE!</v>
      </c>
      <c r="FM298" t="e">
        <f>'Project Summary'!D1+"AM:!0`L"</f>
        <v>#VALUE!</v>
      </c>
      <c r="FN298" t="e">
        <f>'Project Summary'!E1+"AM:!0`M"</f>
        <v>#VALUE!</v>
      </c>
      <c r="FO298" t="e">
        <f>'Project Summary'!F1+"AM:!0`N"</f>
        <v>#VALUE!</v>
      </c>
      <c r="FP298" t="e">
        <f>'Project Summary'!G1+"AM:!0`O"</f>
        <v>#VALUE!</v>
      </c>
      <c r="FQ298" t="e">
        <f>'Project Summary'!H1+"AM:!0`P"</f>
        <v>#VALUE!</v>
      </c>
      <c r="FR298" t="e">
        <f>'Project Summary'!I1+"AM:!0`Q"</f>
        <v>#VALUE!</v>
      </c>
      <c r="FS298" t="e">
        <f>'Project Summary'!J1+"AM:!0`R"</f>
        <v>#VALUE!</v>
      </c>
      <c r="FT298" t="e">
        <f>'Project Summary'!K1+"AM:!0`S"</f>
        <v>#VALUE!</v>
      </c>
      <c r="FU298" t="e">
        <f>'Project Summary'!L1+"AM:!0`T"</f>
        <v>#VALUE!</v>
      </c>
      <c r="FV298" t="e">
        <f>'Project Summary'!M1+"AM:!0`U"</f>
        <v>#VALUE!</v>
      </c>
      <c r="FW298" t="e">
        <f>'Project Summary'!N1+"AM:!0`V"</f>
        <v>#VALUE!</v>
      </c>
      <c r="FX298" t="e">
        <f>'Project Summary'!O1+"AM:!0`W"</f>
        <v>#VALUE!</v>
      </c>
      <c r="FY298" t="e">
        <f>'Project Summary'!P1+"AM:!0`X"</f>
        <v>#VALUE!</v>
      </c>
      <c r="FZ298" t="e">
        <f>'Project Summary'!Q1+"AM:!0`Y"</f>
        <v>#VALUE!</v>
      </c>
      <c r="GA298" t="e">
        <f>'Project Summary'!R1+"AM:!0`Z"</f>
        <v>#VALUE!</v>
      </c>
      <c r="GB298" t="e">
        <f>'Project Summary'!S1+"AM:!0`["</f>
        <v>#VALUE!</v>
      </c>
      <c r="GC298" t="e">
        <f>'Project Summary'!T1+"AM:!0`\"</f>
        <v>#VALUE!</v>
      </c>
      <c r="GD298" t="e">
        <f>'Project Summary'!A2+"AM:!0`]"</f>
        <v>#VALUE!</v>
      </c>
      <c r="GE298" t="e">
        <f>'Project Summary'!B2+"AM:!0`^"</f>
        <v>#VALUE!</v>
      </c>
      <c r="GF298" t="e">
        <f>'Project Summary'!C2+"AM:!0`_"</f>
        <v>#VALUE!</v>
      </c>
      <c r="GG298" t="e">
        <f>'Project Summary'!D2+"AM:!0``"</f>
        <v>#VALUE!</v>
      </c>
      <c r="GH298" t="e">
        <f>'Project Summary'!E2+"AM:!0`a"</f>
        <v>#VALUE!</v>
      </c>
      <c r="GI298" t="e">
        <f>'Project Summary'!F2+"AM:!0`b"</f>
        <v>#VALUE!</v>
      </c>
      <c r="GJ298" t="e">
        <f>'Project Summary'!H2+"AM:!0`c"</f>
        <v>#VALUE!</v>
      </c>
      <c r="GK298" t="e">
        <f>'Project Summary'!I2+"AM:!0`d"</f>
        <v>#VALUE!</v>
      </c>
      <c r="GL298" t="e">
        <f>'Project Summary'!J2+"AM:!0`e"</f>
        <v>#VALUE!</v>
      </c>
      <c r="GM298" t="e">
        <f>'Project Summary'!K2+"AM:!0`f"</f>
        <v>#VALUE!</v>
      </c>
      <c r="GN298" t="e">
        <f>'Project Summary'!L2+"AM:!0`g"</f>
        <v>#VALUE!</v>
      </c>
      <c r="GO298" t="e">
        <f>'Project Summary'!M2+"AM:!0`h"</f>
        <v>#VALUE!</v>
      </c>
      <c r="GP298" t="e">
        <f>'Project Summary'!N2+"AM:!0`i"</f>
        <v>#VALUE!</v>
      </c>
      <c r="GQ298" t="e">
        <f>'Project Summary'!O2+"AM:!0`j"</f>
        <v>#VALUE!</v>
      </c>
      <c r="GR298" t="e">
        <f>'Project Summary'!P2+"AM:!0`k"</f>
        <v>#VALUE!</v>
      </c>
      <c r="GS298" t="e">
        <f>'Project Summary'!Q2+"AM:!0`l"</f>
        <v>#VALUE!</v>
      </c>
      <c r="GT298" t="e">
        <f>'Project Summary'!R2+"AM:!0`m"</f>
        <v>#VALUE!</v>
      </c>
      <c r="GU298" t="e">
        <f>'Project Summary'!S2+"AM:!0`n"</f>
        <v>#VALUE!</v>
      </c>
      <c r="GV298" t="e">
        <f>'Project Summary'!T2+"AM:!0`o"</f>
        <v>#VALUE!</v>
      </c>
      <c r="GW298" t="e">
        <f>'Project Summary'!A3+"AM:!0`p"</f>
        <v>#VALUE!</v>
      </c>
      <c r="GX298" t="e">
        <f>'Project Summary'!B3+"AM:!0`q"</f>
        <v>#VALUE!</v>
      </c>
      <c r="GY298" t="e">
        <f>'Project Summary'!C3+"AM:!0`r"</f>
        <v>#VALUE!</v>
      </c>
      <c r="GZ298" t="e">
        <f>'Project Summary'!D3+"AM:!0`s"</f>
        <v>#VALUE!</v>
      </c>
      <c r="HA298" t="e">
        <f>'Project Summary'!E3+"AM:!0`t"</f>
        <v>#VALUE!</v>
      </c>
      <c r="HB298" t="e">
        <f>'Project Summary'!F3+"AM:!0`u"</f>
        <v>#VALUE!</v>
      </c>
      <c r="HC298" t="e">
        <f>'Project Summary'!H3+"AM:!0`v"</f>
        <v>#VALUE!</v>
      </c>
      <c r="HD298" t="e">
        <f>'Project Summary'!I3+"AM:!0`w"</f>
        <v>#VALUE!</v>
      </c>
      <c r="HE298" t="e">
        <f>'Project Summary'!J3+"AM:!0`x"</f>
        <v>#VALUE!</v>
      </c>
      <c r="HF298" t="e">
        <f>'Project Summary'!K3+"AM:!0`y"</f>
        <v>#VALUE!</v>
      </c>
      <c r="HG298" t="e">
        <f>'Project Summary'!L3+"AM:!0`z"</f>
        <v>#VALUE!</v>
      </c>
      <c r="HH298" t="e">
        <f>'Project Summary'!M3+"AM:!0`{"</f>
        <v>#VALUE!</v>
      </c>
      <c r="HI298" t="e">
        <f>'Project Summary'!N3+"AM:!0`|"</f>
        <v>#VALUE!</v>
      </c>
      <c r="HJ298" t="e">
        <f>'Project Summary'!O3+"AM:!0`}"</f>
        <v>#VALUE!</v>
      </c>
      <c r="HK298" t="e">
        <f>'Project Summary'!P3+"AM:!0`~"</f>
        <v>#VALUE!</v>
      </c>
      <c r="HL298" t="e">
        <f>'Project Summary'!Q3+"AM:!0a#"</f>
        <v>#VALUE!</v>
      </c>
      <c r="HM298" t="e">
        <f>'Project Summary'!R3+"AM:!0a$"</f>
        <v>#VALUE!</v>
      </c>
      <c r="HN298" t="e">
        <f>'Project Summary'!S3+"AM:!0a%"</f>
        <v>#VALUE!</v>
      </c>
      <c r="HO298" t="e">
        <f>'Project Summary'!T3+"AM:!0a&amp;"</f>
        <v>#VALUE!</v>
      </c>
      <c r="HP298" t="e">
        <f>'Project Summary'!A4+"AM:!0a'"</f>
        <v>#VALUE!</v>
      </c>
      <c r="HQ298" t="e">
        <f>'Project Summary'!B4+"AM:!0a("</f>
        <v>#VALUE!</v>
      </c>
      <c r="HR298" t="e">
        <f>'Project Summary'!C4+"AM:!0a)"</f>
        <v>#VALUE!</v>
      </c>
      <c r="HS298" t="e">
        <f>'Project Summary'!D4+"AM:!0a."</f>
        <v>#VALUE!</v>
      </c>
      <c r="HT298" t="e">
        <f>'Project Summary'!E4+"AM:!0a/"</f>
        <v>#VALUE!</v>
      </c>
      <c r="HU298" t="e">
        <f>'Project Summary'!F4+"AM:!0a0"</f>
        <v>#VALUE!</v>
      </c>
      <c r="HV298" t="e">
        <f>'Project Summary'!G4+"AM:!0a1"</f>
        <v>#VALUE!</v>
      </c>
      <c r="HW298" t="e">
        <f>'Project Summary'!H4+"AM:!0a2"</f>
        <v>#VALUE!</v>
      </c>
      <c r="HX298" t="e">
        <f>'Project Summary'!I4+"AM:!0a3"</f>
        <v>#VALUE!</v>
      </c>
      <c r="HY298" t="e">
        <f>'Project Summary'!J4+"AM:!0a4"</f>
        <v>#VALUE!</v>
      </c>
      <c r="HZ298" t="e">
        <f>'Project Summary'!K4+"AM:!0a5"</f>
        <v>#VALUE!</v>
      </c>
      <c r="IA298" t="e">
        <f>'Project Summary'!L4+"AM:!0a6"</f>
        <v>#VALUE!</v>
      </c>
      <c r="IB298" t="e">
        <f>'Project Summary'!M4+"AM:!0a7"</f>
        <v>#VALUE!</v>
      </c>
      <c r="IC298" t="e">
        <f>'Project Summary'!N4+"AM:!0a8"</f>
        <v>#VALUE!</v>
      </c>
      <c r="ID298" t="e">
        <f>'Project Summary'!O4+"AM:!0a9"</f>
        <v>#VALUE!</v>
      </c>
      <c r="IE298" t="e">
        <f>'Project Summary'!P4+"AM:!0a:"</f>
        <v>#VALUE!</v>
      </c>
      <c r="IF298" t="e">
        <f>'Project Summary'!Q4+"AM:!0a;"</f>
        <v>#VALUE!</v>
      </c>
      <c r="IG298" t="e">
        <f>'Project Summary'!R4+"AM:!0a&lt;"</f>
        <v>#VALUE!</v>
      </c>
      <c r="IH298" t="e">
        <f>'Project Summary'!S4+"AM:!0a="</f>
        <v>#VALUE!</v>
      </c>
      <c r="II298" t="e">
        <f>'Project Summary'!T4+"AM:!0a&gt;"</f>
        <v>#VALUE!</v>
      </c>
      <c r="IJ298" t="e">
        <f>'Project Summary'!A5+"AM:!0a?"</f>
        <v>#VALUE!</v>
      </c>
      <c r="IK298" t="e">
        <f>'Project Summary'!B5+"AM:!0a@"</f>
        <v>#VALUE!</v>
      </c>
      <c r="IL298" t="e">
        <f>'Project Summary'!C5+"AM:!0aA"</f>
        <v>#VALUE!</v>
      </c>
      <c r="IM298" t="e">
        <f>'Project Summary'!D5+"AM:!0aB"</f>
        <v>#VALUE!</v>
      </c>
      <c r="IN298" t="e">
        <f>'Project Summary'!E5+"AM:!0aC"</f>
        <v>#VALUE!</v>
      </c>
      <c r="IO298" t="e">
        <f>'Project Summary'!F5+"AM:!0aD"</f>
        <v>#VALUE!</v>
      </c>
      <c r="IP298" t="e">
        <f>'Project Summary'!G5+"AM:!0aE"</f>
        <v>#VALUE!</v>
      </c>
      <c r="IQ298" t="e">
        <f>'Project Summary'!H5+"AM:!0aF"</f>
        <v>#VALUE!</v>
      </c>
      <c r="IR298" t="e">
        <f>'Project Summary'!I5+"AM:!0aG"</f>
        <v>#VALUE!</v>
      </c>
      <c r="IS298" t="e">
        <f>'Project Summary'!J5+"AM:!0aH"</f>
        <v>#VALUE!</v>
      </c>
      <c r="IT298" t="e">
        <f>'Project Summary'!K5+"AM:!0aI"</f>
        <v>#VALUE!</v>
      </c>
      <c r="IU298" t="e">
        <f>'Project Summary'!L5+"AM:!0aJ"</f>
        <v>#VALUE!</v>
      </c>
      <c r="IV298" t="e">
        <f>'Project Summary'!M5+"AM:!0aK"</f>
        <v>#VALUE!</v>
      </c>
    </row>
    <row r="299" spans="6:256">
      <c r="F299" t="e">
        <f>'Project Summary'!N5+"AM:!0aL"</f>
        <v>#VALUE!</v>
      </c>
      <c r="G299" t="e">
        <f>'Project Summary'!O5+"AM:!0aM"</f>
        <v>#VALUE!</v>
      </c>
      <c r="H299" t="e">
        <f>'Project Summary'!P5+"AM:!0aN"</f>
        <v>#VALUE!</v>
      </c>
      <c r="I299" t="e">
        <f>'Project Summary'!A6+"AM:!0aO"</f>
        <v>#VALUE!</v>
      </c>
      <c r="J299" t="e">
        <f>'Project Summary'!B6+"AM:!0aP"</f>
        <v>#VALUE!</v>
      </c>
      <c r="K299" t="e">
        <f>'Project Summary'!C6+"AM:!0aQ"</f>
        <v>#VALUE!</v>
      </c>
      <c r="L299" t="e">
        <f>'Project Summary'!D6+"AM:!0aR"</f>
        <v>#VALUE!</v>
      </c>
      <c r="M299" s="98" t="e">
        <f>'Project Summary'!E6+"AM:!0aS"</f>
        <v>#VALUE!</v>
      </c>
      <c r="N299" t="e">
        <f>'Project Summary'!F6+"AM:!0aT"</f>
        <v>#VALUE!</v>
      </c>
      <c r="O299" t="e">
        <f>'Project Summary'!G6+"AM:!0aU"</f>
        <v>#VALUE!</v>
      </c>
      <c r="P299" t="e">
        <f>'Project Summary'!H6+"AM:!0aV"</f>
        <v>#VALUE!</v>
      </c>
      <c r="Q299" t="e">
        <f>'Project Summary'!I6+"AM:!0aW"</f>
        <v>#VALUE!</v>
      </c>
      <c r="R299" t="e">
        <f>'Project Summary'!J6+"AM:!0aX"</f>
        <v>#VALUE!</v>
      </c>
      <c r="S299" t="e">
        <f>'Project Summary'!L6+"AM:!0aY"</f>
        <v>#VALUE!</v>
      </c>
      <c r="T299" t="e">
        <f>'Project Summary'!M6+"AM:!0aZ"</f>
        <v>#VALUE!</v>
      </c>
      <c r="U299" s="98" t="e">
        <f>'Project Summary'!N6+"AM:!0a["</f>
        <v>#VALUE!</v>
      </c>
      <c r="V299" s="98" t="e">
        <f>'Project Summary'!O6+"AM:!0a\"</f>
        <v>#VALUE!</v>
      </c>
      <c r="W299" s="98" t="e">
        <f>'Project Summary'!P6+"AM:!0a]"</f>
        <v>#VALUE!</v>
      </c>
      <c r="X299" t="e">
        <f>'Project Summary'!A7+"AM:!0a^"</f>
        <v>#VALUE!</v>
      </c>
      <c r="Y299" t="e">
        <f>'Project Summary'!B7+"AM:!0a_"</f>
        <v>#VALUE!</v>
      </c>
      <c r="Z299" t="e">
        <f>'Project Summary'!C7+"AM:!0a`"</f>
        <v>#VALUE!</v>
      </c>
      <c r="AA299" t="e">
        <f>'Project Summary'!D7+"AM:!0aa"</f>
        <v>#VALUE!</v>
      </c>
      <c r="AB299" s="98" t="e">
        <f>'Project Summary'!E7+"AM:!0ab"</f>
        <v>#VALUE!</v>
      </c>
      <c r="AC299" t="e">
        <f>'Project Summary'!F7+"AM:!0ac"</f>
        <v>#VALUE!</v>
      </c>
      <c r="AD299" t="e">
        <f>'Project Summary'!G7+"AM:!0ad"</f>
        <v>#VALUE!</v>
      </c>
      <c r="AE299" t="e">
        <f>'Project Summary'!H7+"AM:!0ae"</f>
        <v>#VALUE!</v>
      </c>
      <c r="AF299" t="e">
        <f>'Project Summary'!I7+"AM:!0af"</f>
        <v>#VALUE!</v>
      </c>
      <c r="AG299" t="e">
        <f>'Project Summary'!J7+"AM:!0ag"</f>
        <v>#VALUE!</v>
      </c>
      <c r="AH299" t="e">
        <f>'Project Summary'!L7+"AM:!0ah"</f>
        <v>#VALUE!</v>
      </c>
      <c r="AI299" t="e">
        <f>'Project Summary'!M7+"AM:!0ai"</f>
        <v>#VALUE!</v>
      </c>
      <c r="AJ299" t="e">
        <f>'Project Summary'!N7+"AM:!0aj"</f>
        <v>#VALUE!</v>
      </c>
      <c r="AK299" t="e">
        <f>'Project Summary'!O7+"AM:!0ak"</f>
        <v>#VALUE!</v>
      </c>
      <c r="AL299" t="e">
        <f>'Project Summary'!P7+"AM:!0al"</f>
        <v>#VALUE!</v>
      </c>
      <c r="AM299" t="e">
        <f>'Project Summary'!A8+"AM:!0am"</f>
        <v>#VALUE!</v>
      </c>
      <c r="AN299" t="e">
        <f>'Project Summary'!B8+"AM:!0an"</f>
        <v>#VALUE!</v>
      </c>
      <c r="AO299" t="e">
        <f>'Project Summary'!C8+"AM:!0ao"</f>
        <v>#VALUE!</v>
      </c>
      <c r="AP299" t="e">
        <f>'Project Summary'!D8+"AM:!0ap"</f>
        <v>#VALUE!</v>
      </c>
      <c r="AQ299" s="98" t="e">
        <f>'Project Summary'!E8+"AM:!0aq"</f>
        <v>#VALUE!</v>
      </c>
      <c r="AR299" t="e">
        <f>'Project Summary'!F8+"AM:!0ar"</f>
        <v>#VALUE!</v>
      </c>
      <c r="AS299" t="e">
        <f>'Project Summary'!G8+"AM:!0as"</f>
        <v>#VALUE!</v>
      </c>
      <c r="AT299" t="e">
        <f>'Project Summary'!H8+"AM:!0at"</f>
        <v>#VALUE!</v>
      </c>
      <c r="AU299" t="e">
        <f>'Project Summary'!I8+"AM:!0au"</f>
        <v>#VALUE!</v>
      </c>
      <c r="AV299" t="e">
        <f>'Project Summary'!J8+"AM:!0av"</f>
        <v>#VALUE!</v>
      </c>
      <c r="AW299" t="e">
        <f>'Project Summary'!L8+"AM:!0aw"</f>
        <v>#VALUE!</v>
      </c>
      <c r="AX299" t="e">
        <f>'Project Summary'!M8+"AM:!0ax"</f>
        <v>#VALUE!</v>
      </c>
      <c r="AY299" t="e">
        <f>'Project Summary'!N8+"AM:!0ay"</f>
        <v>#VALUE!</v>
      </c>
      <c r="AZ299" t="e">
        <f>'Project Summary'!O8+"AM:!0az"</f>
        <v>#VALUE!</v>
      </c>
      <c r="BA299" t="e">
        <f>'Project Summary'!P8+"AM:!0a{"</f>
        <v>#VALUE!</v>
      </c>
      <c r="BB299" t="e">
        <f>'Project Summary'!C9+"AM:!0a|"</f>
        <v>#VALUE!</v>
      </c>
      <c r="BC299" t="e">
        <f>'Project Summary'!D9+"AM:!0a}"</f>
        <v>#VALUE!</v>
      </c>
      <c r="BD299" s="98" t="e">
        <f>'Project Summary'!E9+"AM:!0a~"</f>
        <v>#VALUE!</v>
      </c>
      <c r="BE299" t="e">
        <f>'Project Summary'!I9+"AM:!0b#"</f>
        <v>#VALUE!</v>
      </c>
      <c r="BF299" t="e">
        <f>'Project Summary'!A10+"AM:!0b$"</f>
        <v>#VALUE!</v>
      </c>
      <c r="BG299" t="e">
        <f>'Project Summary'!B10+"AM:!0b%"</f>
        <v>#VALUE!</v>
      </c>
      <c r="BH299" t="e">
        <f>'Project Summary'!C10+"AM:!0b&amp;"</f>
        <v>#VALUE!</v>
      </c>
      <c r="BI299" t="e">
        <f>'Project Summary'!D10+"AM:!0b'"</f>
        <v>#VALUE!</v>
      </c>
      <c r="BJ299" t="e">
        <f>'Project Summary'!E10+"AM:!0b("</f>
        <v>#VALUE!</v>
      </c>
      <c r="BK299" t="e">
        <f>'Project Summary'!F10+"AM:!0b)"</f>
        <v>#VALUE!</v>
      </c>
      <c r="BL299" t="e">
        <f>'Project Summary'!G10+"AM:!0b."</f>
        <v>#VALUE!</v>
      </c>
      <c r="BM299" t="e">
        <f>'Project Summary'!H10+"AM:!0b/"</f>
        <v>#VALUE!</v>
      </c>
      <c r="BN299" t="e">
        <f>'Project Summary'!I10+"AM:!0b0"</f>
        <v>#VALUE!</v>
      </c>
      <c r="BO299" t="e">
        <f>'Project Summary'!J10+"AM:!0b1"</f>
        <v>#VALUE!</v>
      </c>
      <c r="BP299" t="e">
        <f>'Project Summary'!K10+"AM:!0b2"</f>
        <v>#VALUE!</v>
      </c>
      <c r="BQ299" t="e">
        <f>'Project Summary'!L10+"AM:!0b3"</f>
        <v>#VALUE!</v>
      </c>
      <c r="BR299" t="e">
        <f>'Project Summary'!M10+"AM:!0b4"</f>
        <v>#VALUE!</v>
      </c>
      <c r="BS299" t="e">
        <f>'Project Summary'!N10+"AM:!0b5"</f>
        <v>#VALUE!</v>
      </c>
      <c r="BT299" t="e">
        <f>'Project Summary'!O10+"AM:!0b6"</f>
        <v>#VALUE!</v>
      </c>
      <c r="BU299" t="e">
        <f>'Project Summary'!P10+"AM:!0b7"</f>
        <v>#VALUE!</v>
      </c>
      <c r="BV299" t="e">
        <f>'Project Summary'!A11+"AM:!0b8"</f>
        <v>#VALUE!</v>
      </c>
      <c r="BW299" t="e">
        <f>'Project Summary'!B11+"AM:!0b9"</f>
        <v>#VALUE!</v>
      </c>
      <c r="BX299" t="e">
        <f>'Project Summary'!C11+"AM:!0b:"</f>
        <v>#VALUE!</v>
      </c>
      <c r="BY299" t="e">
        <f>'Project Summary'!D11+"AM:!0b;"</f>
        <v>#VALUE!</v>
      </c>
      <c r="BZ299" t="e">
        <f>'Project Summary'!E11+"AM:!0b&lt;"</f>
        <v>#VALUE!</v>
      </c>
      <c r="CA299" t="e">
        <f>'Project Summary'!F11+"AM:!0b="</f>
        <v>#VALUE!</v>
      </c>
      <c r="CB299" t="e">
        <f>'Project Summary'!G11+"AM:!0b&gt;"</f>
        <v>#VALUE!</v>
      </c>
      <c r="CC299" t="e">
        <f>'Project Summary'!H11+"AM:!0b?"</f>
        <v>#VALUE!</v>
      </c>
      <c r="CD299" t="e">
        <f>'Project Summary'!K11+"AM:!0b@"</f>
        <v>#VALUE!</v>
      </c>
      <c r="CE299" t="e">
        <f>'Project Summary'!L11+"AM:!0bA"</f>
        <v>#VALUE!</v>
      </c>
      <c r="CF299" t="e">
        <f>'Project Summary'!M11+"AM:!0bB"</f>
        <v>#VALUE!</v>
      </c>
      <c r="CG299" t="e">
        <f>'Project Summary'!N11+"AM:!0bC"</f>
        <v>#VALUE!</v>
      </c>
      <c r="CH299" s="98" t="e">
        <f>'Project Summary'!O11+"AM:!0bD"</f>
        <v>#VALUE!</v>
      </c>
      <c r="CI299" s="98" t="e">
        <f>'Project Summary'!P11+"AM:!0bE"</f>
        <v>#VALUE!</v>
      </c>
      <c r="CJ299" t="e">
        <f ca="1">'Project Summary'!A12+"AM:!0bF"</f>
        <v>#VALUE!</v>
      </c>
      <c r="CK299" t="e">
        <f>'Project Summary'!B12+"AM:!0bG"</f>
        <v>#VALUE!</v>
      </c>
      <c r="CL299" t="e">
        <f>'Project Summary'!C12+"AM:!0bH"</f>
        <v>#VALUE!</v>
      </c>
      <c r="CM299" t="e">
        <f>'Project Summary'!D12+"AM:!0bI"</f>
        <v>#VALUE!</v>
      </c>
      <c r="CN299" t="e">
        <f>'Project Summary'!E12+"AM:!0bJ"</f>
        <v>#VALUE!</v>
      </c>
      <c r="CO299" t="e">
        <f>'Project Summary'!F12+"AM:!0bK"</f>
        <v>#VALUE!</v>
      </c>
      <c r="CP299" t="e">
        <f>'Project Summary'!G12+"AM:!0bL"</f>
        <v>#VALUE!</v>
      </c>
      <c r="CQ299" t="e">
        <f>'Project Summary'!H12+"AM:!0bM"</f>
        <v>#VALUE!</v>
      </c>
      <c r="CR299" t="e">
        <f>'Project Summary'!K12+"AM:!0bN"</f>
        <v>#VALUE!</v>
      </c>
      <c r="CS299" t="e">
        <f>'Project Summary'!L12+"AM:!0bO"</f>
        <v>#VALUE!</v>
      </c>
      <c r="CT299" t="e">
        <f>'Project Summary'!M12+"AM:!0bP"</f>
        <v>#VALUE!</v>
      </c>
      <c r="CU299" t="e">
        <f>'Project Summary'!N12+"AM:!0bQ"</f>
        <v>#VALUE!</v>
      </c>
      <c r="CV299" t="e">
        <f>'Project Summary'!O12+"AM:!0bR"</f>
        <v>#VALUE!</v>
      </c>
      <c r="CW299" t="e">
        <f>'Project Summary'!P12+"AM:!0bS"</f>
        <v>#VALUE!</v>
      </c>
      <c r="CX299" t="e">
        <f>'Project Summary'!A13+"AM:!0bT"</f>
        <v>#VALUE!</v>
      </c>
      <c r="CY299" t="e">
        <f>'Project Summary'!C13+"AM:!0bU"</f>
        <v>#VALUE!</v>
      </c>
      <c r="CZ299" t="e">
        <f>'Project Summary'!D13+"AM:!0bV"</f>
        <v>#VALUE!</v>
      </c>
      <c r="DA299" s="98" t="e">
        <f>'Project Summary'!E13+"AM:!0bW"</f>
        <v>#VALUE!</v>
      </c>
      <c r="DB299" t="e">
        <f>'Project Summary'!A14+"AM:!0bX"</f>
        <v>#VALUE!</v>
      </c>
      <c r="DC299" t="e">
        <f>'Project Summary'!B14+"AM:!0bY"</f>
        <v>#VALUE!</v>
      </c>
      <c r="DD299" t="e">
        <f>'Project Summary'!C14+"AM:!0bZ"</f>
        <v>#VALUE!</v>
      </c>
      <c r="DE299" t="e">
        <f>'Project Summary'!D14+"AM:!0b["</f>
        <v>#VALUE!</v>
      </c>
      <c r="DF299" t="e">
        <f>'Project Summary'!E14+"AM:!0b\"</f>
        <v>#VALUE!</v>
      </c>
      <c r="DG299" t="e">
        <f>'Project Summary'!F14+"AM:!0b]"</f>
        <v>#VALUE!</v>
      </c>
      <c r="DH299" t="e">
        <f>'Project Summary'!G14+"AM:!0b^"</f>
        <v>#VALUE!</v>
      </c>
      <c r="DI299" t="e">
        <f>'Project Summary'!H14+"AM:!0b_"</f>
        <v>#VALUE!</v>
      </c>
      <c r="DJ299" t="e">
        <f>'Project Summary'!I14+"AM:!0b`"</f>
        <v>#VALUE!</v>
      </c>
      <c r="DK299" t="e">
        <f>'Project Summary'!J14+"AM:!0ba"</f>
        <v>#VALUE!</v>
      </c>
      <c r="DL299" t="e">
        <f>'Project Summary'!K14+"AM:!0bb"</f>
        <v>#VALUE!</v>
      </c>
      <c r="DM299" t="e">
        <f>'Project Summary'!L14+"AM:!0bc"</f>
        <v>#VALUE!</v>
      </c>
      <c r="DN299" t="e">
        <f>'Project Summary'!M14+"AM:!0bd"</f>
        <v>#VALUE!</v>
      </c>
      <c r="DO299" t="e">
        <f>'Project Summary'!N14+"AM:!0be"</f>
        <v>#VALUE!</v>
      </c>
      <c r="DP299" t="e">
        <f>'Project Summary'!O14+"AM:!0bf"</f>
        <v>#VALUE!</v>
      </c>
      <c r="DQ299" t="e">
        <f>'Project Summary'!P14+"AM:!0bg"</f>
        <v>#VALUE!</v>
      </c>
      <c r="DR299" t="e">
        <f>'Project Summary'!A15+"AM:!0bh"</f>
        <v>#VALUE!</v>
      </c>
      <c r="DS299" t="e">
        <f>'Project Summary'!B15+"AM:!0bi"</f>
        <v>#VALUE!</v>
      </c>
      <c r="DT299" t="e">
        <f>'Project Summary'!C15+"AM:!0bj"</f>
        <v>#VALUE!</v>
      </c>
      <c r="DU299" t="e">
        <f>'Project Summary'!D15+"AM:!0bk"</f>
        <v>#VALUE!</v>
      </c>
      <c r="DV299" t="e">
        <f>'Project Summary'!E15+"AM:!0bl"</f>
        <v>#VALUE!</v>
      </c>
      <c r="DW299" t="e">
        <f>'Project Summary'!F15+"AM:!0bm"</f>
        <v>#VALUE!</v>
      </c>
      <c r="DX299" t="e">
        <f>'Project Summary'!G15+"AM:!0bn"</f>
        <v>#VALUE!</v>
      </c>
      <c r="DY299" t="e">
        <f>'Project Summary'!H15+"AM:!0bo"</f>
        <v>#VALUE!</v>
      </c>
      <c r="DZ299" t="e">
        <f>'Project Summary'!I15+"AM:!0bp"</f>
        <v>#VALUE!</v>
      </c>
      <c r="EA299" t="e">
        <f>'Project Summary'!J15+"AM:!0bq"</f>
        <v>#VALUE!</v>
      </c>
      <c r="EB299" t="e">
        <f>'Project Summary'!K15+"AM:!0br"</f>
        <v>#VALUE!</v>
      </c>
      <c r="EC299" t="e">
        <f>'Project Summary'!L15+"AM:!0bs"</f>
        <v>#VALUE!</v>
      </c>
      <c r="ED299" t="e">
        <f>'Project Summary'!M15+"AM:!0bt"</f>
        <v>#VALUE!</v>
      </c>
      <c r="EE299" t="e">
        <f>'Project Summary'!N15+"AM:!0bu"</f>
        <v>#VALUE!</v>
      </c>
      <c r="EF299" t="e">
        <f>'Project Summary'!O15+"AM:!0bv"</f>
        <v>#VALUE!</v>
      </c>
      <c r="EG299" t="e">
        <f>'Project Summary'!P15+"AM:!0bw"</f>
        <v>#VALUE!</v>
      </c>
      <c r="EH299" t="e">
        <f>'Project Summary'!A16+"AM:!0bx"</f>
        <v>#VALUE!</v>
      </c>
      <c r="EI299" t="e">
        <f>'Project Summary'!B16+"AM:!0by"</f>
        <v>#VALUE!</v>
      </c>
      <c r="EJ299" t="e">
        <f>'Project Summary'!C16+"AM:!0bz"</f>
        <v>#VALUE!</v>
      </c>
      <c r="EK299" t="e">
        <f>'Project Summary'!D16+"AM:!0b{"</f>
        <v>#VALUE!</v>
      </c>
      <c r="EL299" t="e">
        <f>'Project Summary'!E16+"AM:!0b|"</f>
        <v>#VALUE!</v>
      </c>
      <c r="EM299" t="e">
        <f>'Project Summary'!F16+"AM:!0b}"</f>
        <v>#VALUE!</v>
      </c>
      <c r="EN299" t="e">
        <f>'Project Summary'!G16+"AM:!0b~"</f>
        <v>#VALUE!</v>
      </c>
      <c r="EO299" t="e">
        <f>'Project Summary'!H16+"AM:!0c#"</f>
        <v>#VALUE!</v>
      </c>
      <c r="EP299" t="e">
        <f>'Project Summary'!I16+"AM:!0c$"</f>
        <v>#VALUE!</v>
      </c>
      <c r="EQ299" t="e">
        <f>'Project Summary'!J16+"AM:!0c%"</f>
        <v>#VALUE!</v>
      </c>
      <c r="ER299" t="e">
        <f>'Project Summary'!K16+"AM:!0c&amp;"</f>
        <v>#VALUE!</v>
      </c>
      <c r="ES299" t="e">
        <f>'Project Summary'!L16+"AM:!0c'"</f>
        <v>#VALUE!</v>
      </c>
      <c r="ET299" t="e">
        <f>'Project Summary'!M16+"AM:!0c("</f>
        <v>#VALUE!</v>
      </c>
      <c r="EU299" t="e">
        <f>'Project Summary'!N16+"AM:!0c)"</f>
        <v>#VALUE!</v>
      </c>
      <c r="EV299" t="e">
        <f>'Project Summary'!O16+"AM:!0c."</f>
        <v>#VALUE!</v>
      </c>
      <c r="EW299" t="e">
        <f>'Project Summary'!P16+"AM:!0c/"</f>
        <v>#VALUE!</v>
      </c>
      <c r="EX299" t="e">
        <f>'Project Summary'!A17+"AM:!0c0"</f>
        <v>#VALUE!</v>
      </c>
      <c r="EY299" t="e">
        <f>'Project Summary'!B17+"AM:!0c1"</f>
        <v>#VALUE!</v>
      </c>
      <c r="EZ299" s="97" t="e">
        <f>'Project Summary'!C17+"AM:!0c2"</f>
        <v>#VALUE!</v>
      </c>
      <c r="FA299" s="97" t="e">
        <f>'Project Summary'!D17+"AM:!0c3"</f>
        <v>#VALUE!</v>
      </c>
      <c r="FB299" s="97" t="e">
        <f>'Project Summary'!E17+"AM:!0c4"</f>
        <v>#VALUE!</v>
      </c>
      <c r="FC299" s="97" t="e">
        <f>'Project Summary'!F17+"AM:!0c5"</f>
        <v>#VALUE!</v>
      </c>
      <c r="FD299" s="100" t="e">
        <f>'Project Summary'!G17+"AM:!0c6"</f>
        <v>#VALUE!</v>
      </c>
      <c r="FE299" t="e">
        <f>'Project Summary'!H17+"AM:!0c7"</f>
        <v>#VALUE!</v>
      </c>
      <c r="FF299" t="e">
        <f>'Project Summary'!I17+"AM:!0c8"</f>
        <v>#VALUE!</v>
      </c>
      <c r="FG299" t="e">
        <f>'Project Summary'!J17+"AM:!0c9"</f>
        <v>#VALUE!</v>
      </c>
      <c r="FH299" t="e">
        <f>'Project Summary'!K17+"AM:!0c:"</f>
        <v>#VALUE!</v>
      </c>
      <c r="FI299" s="97" t="e">
        <f>'Project Summary'!L17+"AM:!0c;"</f>
        <v>#VALUE!</v>
      </c>
      <c r="FJ299" s="97" t="e">
        <f>'Project Summary'!M17+"AM:!0c&lt;"</f>
        <v>#VALUE!</v>
      </c>
      <c r="FK299" s="97" t="e">
        <f>'Project Summary'!N17+"AM:!0c="</f>
        <v>#VALUE!</v>
      </c>
      <c r="FL299" s="100" t="e">
        <f>'Project Summary'!O17+"AM:!0c&gt;"</f>
        <v>#VALUE!</v>
      </c>
      <c r="FM299" t="e">
        <f>'Project Summary'!P17+"AM:!0c?"</f>
        <v>#VALUE!</v>
      </c>
      <c r="FN299" t="e">
        <f>'Project Summary'!A18+"AM:!0c@"</f>
        <v>#VALUE!</v>
      </c>
      <c r="FO299" t="e">
        <f>'Project Summary'!B18+"AM:!0cA"</f>
        <v>#VALUE!</v>
      </c>
      <c r="FP299" s="97" t="e">
        <f ca="1">'Project Summary'!C18+"AM:!0cB"</f>
        <v>#VALUE!</v>
      </c>
      <c r="FQ299" s="97" t="e">
        <f>'Project Summary'!D18+"AM:!0cC"</f>
        <v>#VALUE!</v>
      </c>
      <c r="FR299" s="97" t="e">
        <f ca="1">'Project Summary'!E18+"AM:!0cD"</f>
        <v>#VALUE!</v>
      </c>
      <c r="FS299" s="97" t="e">
        <f ca="1">'Project Summary'!F18+"AM:!0cE"</f>
        <v>#VALUE!</v>
      </c>
      <c r="FT299" s="100" t="e">
        <f ca="1">'Project Summary'!G18+"AM:!0cF"</f>
        <v>#VALUE!</v>
      </c>
      <c r="FU299" t="e">
        <f ca="1">'Project Summary'!H18+"AM:!0cG"</f>
        <v>#VALUE!</v>
      </c>
      <c r="FV299" t="e">
        <f>'Project Summary'!I18+"AM:!0cH"</f>
        <v>#VALUE!</v>
      </c>
      <c r="FW299" t="e">
        <f>'Project Summary'!J18+"AM:!0cI"</f>
        <v>#VALUE!</v>
      </c>
      <c r="FX299" t="e">
        <f>'Project Summary'!K18+"AM:!0cJ"</f>
        <v>#VALUE!</v>
      </c>
      <c r="FY299" s="97" t="e">
        <f>'Project Summary'!L18+"AM:!0cK"</f>
        <v>#VALUE!</v>
      </c>
      <c r="FZ299" s="97" t="e">
        <f>'Project Summary'!M18+"AM:!0cL"</f>
        <v>#VALUE!</v>
      </c>
      <c r="GA299" s="97" t="e">
        <f>'Project Summary'!N18+"AM:!0cM"</f>
        <v>#VALUE!</v>
      </c>
      <c r="GB299" s="100" t="e">
        <f>'Project Summary'!O18+"AM:!0cN"</f>
        <v>#VALUE!</v>
      </c>
      <c r="GC299" t="e">
        <f>'Project Summary'!P18+"AM:!0cO"</f>
        <v>#VALUE!</v>
      </c>
      <c r="GD299" t="e">
        <f>'Project Summary'!A19+"AM:!0cP"</f>
        <v>#VALUE!</v>
      </c>
      <c r="GE299" t="e">
        <f>'Project Summary'!B19+"AM:!0cQ"</f>
        <v>#VALUE!</v>
      </c>
      <c r="GF299" s="97" t="e">
        <f>'Project Summary'!C19+"AM:!0cR"</f>
        <v>#VALUE!</v>
      </c>
      <c r="GG299" s="97" t="e">
        <f>'Project Summary'!D19+"AM:!0cS"</f>
        <v>#VALUE!</v>
      </c>
      <c r="GH299" s="97" t="e">
        <f>'Project Summary'!E19+"AM:!0cT"</f>
        <v>#VALUE!</v>
      </c>
      <c r="GI299" s="97" t="e">
        <f>'Project Summary'!F19+"AM:!0cU"</f>
        <v>#VALUE!</v>
      </c>
      <c r="GJ299" s="100" t="e">
        <f>'Project Summary'!G19+"AM:!0cV"</f>
        <v>#VALUE!</v>
      </c>
      <c r="GK299" t="e">
        <f>'Project Summary'!H19+"AM:!0cW"</f>
        <v>#VALUE!</v>
      </c>
      <c r="GL299" t="e">
        <f>'Project Summary'!I19+"AM:!0cX"</f>
        <v>#VALUE!</v>
      </c>
      <c r="GM299" t="e">
        <f>'Project Summary'!J19+"AM:!0cY"</f>
        <v>#VALUE!</v>
      </c>
      <c r="GN299" t="e">
        <f>'Project Summary'!K19+"AM:!0cZ"</f>
        <v>#VALUE!</v>
      </c>
      <c r="GO299" s="97" t="e">
        <f>'Project Summary'!L19+"AM:!0c["</f>
        <v>#VALUE!</v>
      </c>
      <c r="GP299" s="97" t="e">
        <f>'Project Summary'!M19+"AM:!0c\"</f>
        <v>#VALUE!</v>
      </c>
      <c r="GQ299" s="97" t="e">
        <f>'Project Summary'!N19+"AM:!0c]"</f>
        <v>#VALUE!</v>
      </c>
      <c r="GR299" s="100" t="e">
        <f>'Project Summary'!O19+"AM:!0c^"</f>
        <v>#VALUE!</v>
      </c>
      <c r="GS299" t="e">
        <f>'Project Summary'!P19+"AM:!0c_"</f>
        <v>#VALUE!</v>
      </c>
      <c r="GT299" t="e">
        <f>'Project Summary'!A20+"AM:!0c`"</f>
        <v>#VALUE!</v>
      </c>
      <c r="GU299" t="e">
        <f>'Project Summary'!B20+"AM:!0ca"</f>
        <v>#VALUE!</v>
      </c>
      <c r="GV299" s="97" t="e">
        <f>'Project Summary'!C20+"AM:!0cb"</f>
        <v>#VALUE!</v>
      </c>
      <c r="GW299" s="97" t="e">
        <f>'Project Summary'!D20+"AM:!0cc"</f>
        <v>#VALUE!</v>
      </c>
      <c r="GX299" s="97" t="e">
        <f>'Project Summary'!E20+"AM:!0cd"</f>
        <v>#VALUE!</v>
      </c>
      <c r="GY299" s="97" t="e">
        <f>'Project Summary'!F20+"AM:!0ce"</f>
        <v>#VALUE!</v>
      </c>
      <c r="GZ299" s="100" t="e">
        <f>'Project Summary'!G20+"AM:!0cf"</f>
        <v>#VALUE!</v>
      </c>
      <c r="HA299" t="e">
        <f>'Project Summary'!H20+"AM:!0cg"</f>
        <v>#VALUE!</v>
      </c>
      <c r="HB299" t="e">
        <f>'Project Summary'!I20+"AM:!0ch"</f>
        <v>#VALUE!</v>
      </c>
      <c r="HC299" t="e">
        <f>'Project Summary'!J20+"AM:!0ci"</f>
        <v>#VALUE!</v>
      </c>
      <c r="HD299" t="e">
        <f>'Project Summary'!K20+"AM:!0cj"</f>
        <v>#VALUE!</v>
      </c>
      <c r="HE299" s="97" t="e">
        <f>'Project Summary'!L20+"AM:!0ck"</f>
        <v>#VALUE!</v>
      </c>
      <c r="HF299" s="97" t="e">
        <f>'Project Summary'!M20+"AM:!0cl"</f>
        <v>#VALUE!</v>
      </c>
      <c r="HG299" s="97" t="e">
        <f>'Project Summary'!N20+"AM:!0cm"</f>
        <v>#VALUE!</v>
      </c>
      <c r="HH299" s="100" t="e">
        <f>'Project Summary'!O20+"AM:!0cn"</f>
        <v>#VALUE!</v>
      </c>
      <c r="HI299" t="e">
        <f>'Project Summary'!P20+"AM:!0co"</f>
        <v>#VALUE!</v>
      </c>
      <c r="HJ299" t="e">
        <f>'Project Summary'!A21+"AM:!0cp"</f>
        <v>#VALUE!</v>
      </c>
      <c r="HK299" t="e">
        <f>'Project Summary'!B21+"AM:!0cq"</f>
        <v>#VALUE!</v>
      </c>
      <c r="HL299" s="97" t="e">
        <f>'Project Summary'!C21+"AM:!0cr"</f>
        <v>#VALUE!</v>
      </c>
      <c r="HM299" s="97" t="e">
        <f>'Project Summary'!D21+"AM:!0cs"</f>
        <v>#VALUE!</v>
      </c>
      <c r="HN299" s="97" t="e">
        <f>'Project Summary'!E21+"AM:!0ct"</f>
        <v>#VALUE!</v>
      </c>
      <c r="HO299" s="97" t="e">
        <f>'Project Summary'!F21+"AM:!0cu"</f>
        <v>#VALUE!</v>
      </c>
      <c r="HP299" s="100" t="e">
        <f>'Project Summary'!G21+"AM:!0cv"</f>
        <v>#VALUE!</v>
      </c>
      <c r="HQ299" t="e">
        <f>'Project Summary'!H21+"AM:!0cw"</f>
        <v>#VALUE!</v>
      </c>
      <c r="HR299" t="e">
        <f>'Project Summary'!I21+"AM:!0cx"</f>
        <v>#VALUE!</v>
      </c>
      <c r="HS299" t="e">
        <f>'Project Summary'!J21+"AM:!0cy"</f>
        <v>#VALUE!</v>
      </c>
      <c r="HT299" t="e">
        <f>'Project Summary'!K21+"AM:!0cz"</f>
        <v>#VALUE!</v>
      </c>
      <c r="HU299" s="100" t="e">
        <f>'Project Summary'!L21+"AM:!0c{"</f>
        <v>#VALUE!</v>
      </c>
      <c r="HV299" s="100" t="e">
        <f>'Project Summary'!M21+"AM:!0c|"</f>
        <v>#VALUE!</v>
      </c>
      <c r="HW299" t="e">
        <f>'Project Summary'!N21+"AM:!0c}"</f>
        <v>#VALUE!</v>
      </c>
      <c r="HX299" s="100" t="e">
        <f>'Project Summary'!O21+"AM:!0c~"</f>
        <v>#VALUE!</v>
      </c>
      <c r="HY299" t="e">
        <f>'Project Summary'!P21+"AM:!0d#"</f>
        <v>#VALUE!</v>
      </c>
      <c r="HZ299" t="e">
        <f>'Project Summary'!A22+"AM:!0d$"</f>
        <v>#VALUE!</v>
      </c>
      <c r="IA299" t="e">
        <f>'Project Summary'!B22+"AM:!0d%"</f>
        <v>#VALUE!</v>
      </c>
      <c r="IB299" s="97" t="e">
        <f>'Project Summary'!C22+"AM:!0d&amp;"</f>
        <v>#VALUE!</v>
      </c>
      <c r="IC299" s="97" t="e">
        <f>'Project Summary'!D22+"AM:!0d'"</f>
        <v>#VALUE!</v>
      </c>
      <c r="ID299" s="97" t="e">
        <f>'Project Summary'!E22+"AM:!0d("</f>
        <v>#VALUE!</v>
      </c>
      <c r="IE299" s="97" t="e">
        <f>'Project Summary'!F22+"AM:!0d)"</f>
        <v>#VALUE!</v>
      </c>
      <c r="IF299" s="100" t="e">
        <f>'Project Summary'!G22+"AM:!0d."</f>
        <v>#VALUE!</v>
      </c>
      <c r="IG299" t="e">
        <f>'Project Summary'!H22+"AM:!0d/"</f>
        <v>#VALUE!</v>
      </c>
      <c r="IH299" t="e">
        <f>'Project Summary'!I22+"AM:!0d0"</f>
        <v>#VALUE!</v>
      </c>
      <c r="II299" t="e">
        <f>'Project Summary'!J22+"AM:!0d1"</f>
        <v>#VALUE!</v>
      </c>
      <c r="IJ299" t="e">
        <f>'Project Summary'!K22+"AM:!0d2"</f>
        <v>#VALUE!</v>
      </c>
      <c r="IK299" s="100" t="e">
        <f>'Project Summary'!L22+"AM:!0d3"</f>
        <v>#VALUE!</v>
      </c>
      <c r="IL299" s="100" t="e">
        <f>'Project Summary'!M22+"AM:!0d4"</f>
        <v>#VALUE!</v>
      </c>
      <c r="IM299" t="e">
        <f>'Project Summary'!N22+"AM:!0d5"</f>
        <v>#VALUE!</v>
      </c>
      <c r="IN299" s="100" t="e">
        <f>'Project Summary'!O22+"AM:!0d6"</f>
        <v>#VALUE!</v>
      </c>
      <c r="IO299" t="e">
        <f>'Project Summary'!P22+"AM:!0d7"</f>
        <v>#VALUE!</v>
      </c>
      <c r="IP299" t="e">
        <f>'Project Summary'!A23+"AM:!0d8"</f>
        <v>#VALUE!</v>
      </c>
      <c r="IQ299" t="e">
        <f>'Project Summary'!B23+"AM:!0d9"</f>
        <v>#VALUE!</v>
      </c>
      <c r="IR299" s="97" t="e">
        <f>'Project Summary'!C23+"AM:!0d:"</f>
        <v>#VALUE!</v>
      </c>
      <c r="IS299" s="97" t="e">
        <f>'Project Summary'!D23+"AM:!0d;"</f>
        <v>#VALUE!</v>
      </c>
      <c r="IT299" s="97" t="e">
        <f>'Project Summary'!E23+"AM:!0d&lt;"</f>
        <v>#VALUE!</v>
      </c>
      <c r="IU299" s="97" t="e">
        <f>'Project Summary'!F23+"AM:!0d="</f>
        <v>#VALUE!</v>
      </c>
      <c r="IV299" s="100" t="e">
        <f>'Project Summary'!G23+"AM:!0d&gt;"</f>
        <v>#VALUE!</v>
      </c>
    </row>
    <row r="300" spans="6:256">
      <c r="F300" s="100" t="e">
        <f>'Project Summary'!H23+"AM:!0d?"</f>
        <v>#VALUE!</v>
      </c>
      <c r="G300" t="e">
        <f>'Project Summary'!I23+"AM:!0d@"</f>
        <v>#VALUE!</v>
      </c>
      <c r="H300" t="e">
        <f>'Project Summary'!J23+"AM:!0dA"</f>
        <v>#VALUE!</v>
      </c>
      <c r="I300" t="e">
        <f>'Project Summary'!K23+"AM:!0dB"</f>
        <v>#VALUE!</v>
      </c>
      <c r="J300" s="100" t="e">
        <f>'Project Summary'!L23+"AM:!0dC"</f>
        <v>#VALUE!</v>
      </c>
      <c r="K300" s="100" t="e">
        <f>'Project Summary'!M23+"AM:!0dD"</f>
        <v>#VALUE!</v>
      </c>
      <c r="L300" t="e">
        <f>'Project Summary'!N23+"AM:!0dE"</f>
        <v>#VALUE!</v>
      </c>
      <c r="M300" s="100" t="e">
        <f>'Project Summary'!O23+"AM:!0dF"</f>
        <v>#VALUE!</v>
      </c>
      <c r="N300" t="e">
        <f>'Project Summary'!P23+"AM:!0dG"</f>
        <v>#VALUE!</v>
      </c>
      <c r="O300" t="e">
        <f>'Project Summary'!A24+"AM:!0dH"</f>
        <v>#VALUE!</v>
      </c>
      <c r="P300" t="e">
        <f>'Project Summary'!B24+"AM:!0dI"</f>
        <v>#VALUE!</v>
      </c>
      <c r="Q300" s="97" t="e">
        <f ca="1">'Project Summary'!C24+"AM:!0dJ"</f>
        <v>#VALUE!</v>
      </c>
      <c r="R300" s="97" t="e">
        <f>'Project Summary'!D24+"AM:!0dK"</f>
        <v>#VALUE!</v>
      </c>
      <c r="S300" s="97" t="e">
        <f ca="1">'Project Summary'!E24+"AM:!0dL"</f>
        <v>#VALUE!</v>
      </c>
      <c r="T300" s="97" t="e">
        <f ca="1">'Project Summary'!F24+"AM:!0dM"</f>
        <v>#VALUE!</v>
      </c>
      <c r="U300" s="100" t="e">
        <f ca="1">'Project Summary'!G24+"AM:!0dN"</f>
        <v>#VALUE!</v>
      </c>
      <c r="V300" t="e">
        <f ca="1">'Project Summary'!H24+"AM:!0dO"</f>
        <v>#VALUE!</v>
      </c>
      <c r="W300" t="e">
        <f>'Project Summary'!I24+"AM:!0dP"</f>
        <v>#VALUE!</v>
      </c>
      <c r="X300" t="e">
        <f>'Project Summary'!J24+"AM:!0dQ"</f>
        <v>#VALUE!</v>
      </c>
      <c r="Y300" t="e">
        <f>'Project Summary'!K24+"AM:!0dR"</f>
        <v>#VALUE!</v>
      </c>
      <c r="Z300" t="e">
        <f>'Project Summary'!L24+"AM:!0dS"</f>
        <v>#VALUE!</v>
      </c>
      <c r="AA300" t="e">
        <f>'Project Summary'!M24+"AM:!0dT"</f>
        <v>#VALUE!</v>
      </c>
      <c r="AB300" t="e">
        <f>'Project Summary'!N24+"AM:!0dU"</f>
        <v>#VALUE!</v>
      </c>
      <c r="AC300" t="e">
        <f>'Project Summary'!O24+"AM:!0dV"</f>
        <v>#VALUE!</v>
      </c>
      <c r="AD300" t="e">
        <f>'Project Summary'!A25+"AM:!0dW"</f>
        <v>#VALUE!</v>
      </c>
      <c r="AE300" t="e">
        <f>'Project Summary'!B25+"AM:!0dX"</f>
        <v>#VALUE!</v>
      </c>
      <c r="AF300" s="97" t="e">
        <f>'Project Summary'!C25+"AM:!0dY"</f>
        <v>#VALUE!</v>
      </c>
      <c r="AG300" s="97" t="e">
        <f>'Project Summary'!D25+"AM:!0dZ"</f>
        <v>#VALUE!</v>
      </c>
      <c r="AH300" s="97" t="e">
        <f>'Project Summary'!E25+"AM:!0d["</f>
        <v>#VALUE!</v>
      </c>
      <c r="AI300" s="97" t="e">
        <f>'Project Summary'!F25+"AM:!0d\"</f>
        <v>#VALUE!</v>
      </c>
      <c r="AJ300" s="100" t="e">
        <f>'Project Summary'!G25+"AM:!0d]"</f>
        <v>#VALUE!</v>
      </c>
      <c r="AK300" t="e">
        <f>'Project Summary'!H25+"AM:!0d^"</f>
        <v>#VALUE!</v>
      </c>
      <c r="AL300" t="e">
        <f>'Project Summary'!I25+"AM:!0d_"</f>
        <v>#VALUE!</v>
      </c>
      <c r="AM300" t="e">
        <f>'Project Summary'!J25+"AM:!0d`"</f>
        <v>#VALUE!</v>
      </c>
      <c r="AN300" t="e">
        <f>'Project Summary'!K25+"AM:!0da"</f>
        <v>#VALUE!</v>
      </c>
      <c r="AO300" s="97" t="e">
        <f ca="1">'Project Summary'!L25+"AM:!0db"</f>
        <v>#VALUE!</v>
      </c>
      <c r="AP300" s="103" t="e">
        <f>'Project Summary'!M25+"AM:!0dc"</f>
        <v>#VALUE!</v>
      </c>
      <c r="AQ300" s="103" t="e">
        <f ca="1">'Project Summary'!N25+"AM:!0dd"</f>
        <v>#VALUE!</v>
      </c>
      <c r="AR300" s="103" t="e">
        <f>'Project Summary'!O25+"AM:!0de"</f>
        <v>#VALUE!</v>
      </c>
      <c r="AS300" t="e">
        <f>'Project Summary'!P25+"AM:!0df"</f>
        <v>#VALUE!</v>
      </c>
      <c r="AT300" t="e">
        <f>'Project Summary'!Q25+"AM:!0dg"</f>
        <v>#VALUE!</v>
      </c>
      <c r="AU300" t="e">
        <f>'Project Summary'!#REF!+"AM:!0dh"</f>
        <v>#REF!</v>
      </c>
      <c r="AV300" t="e">
        <f>'Project Summary'!#REF!+"AM:!0di"</f>
        <v>#REF!</v>
      </c>
      <c r="AW300" s="105" t="e">
        <f>'Project Summary'!#REF!+"AM:!0dj"</f>
        <v>#REF!</v>
      </c>
      <c r="AX300" s="105" t="e">
        <f>'Project Summary'!#REF!+"AM:!0dk"</f>
        <v>#REF!</v>
      </c>
      <c r="AY300" s="105" t="e">
        <f>'Project Summary'!#REF!+"AM:!0dl"</f>
        <v>#REF!</v>
      </c>
      <c r="AZ300" s="105" t="e">
        <f>'Project Summary'!#REF!+"AM:!0dm"</f>
        <v>#REF!</v>
      </c>
      <c r="BA300" t="e">
        <f>'Project Summary'!#REF!+"AM:!0dn"</f>
        <v>#REF!</v>
      </c>
      <c r="BB300" t="e">
        <f>'Project Summary'!A30+"AM:!0do"</f>
        <v>#VALUE!</v>
      </c>
      <c r="BC300" t="e">
        <f>'Project Summary'!B30+"AM:!0dp"</f>
        <v>#VALUE!</v>
      </c>
      <c r="BD300" t="e">
        <f>'Project Summary'!C30+"AM:!0dq"</f>
        <v>#VALUE!</v>
      </c>
      <c r="BE300" t="e">
        <f>'Project Summary'!D30+"AM:!0dr"</f>
        <v>#VALUE!</v>
      </c>
      <c r="BF300" t="e">
        <f>'Project Summary'!E30+"AM:!0ds"</f>
        <v>#VALUE!</v>
      </c>
      <c r="BG300" t="e">
        <f>'Project Summary'!F30+"AM:!0dt"</f>
        <v>#VALUE!</v>
      </c>
      <c r="BH300" t="e">
        <f>'Project Summary'!G30+"AM:!0du"</f>
        <v>#VALUE!</v>
      </c>
      <c r="BI300" t="e">
        <f>'Project Summary'!H30+"AM:!0dv"</f>
        <v>#VALUE!</v>
      </c>
      <c r="BJ300" t="e">
        <f>'Project Summary'!I30+"AM:!0dw"</f>
        <v>#VALUE!</v>
      </c>
      <c r="BK300" t="e">
        <f>'Project Summary'!J30+"AM:!0dx"</f>
        <v>#VALUE!</v>
      </c>
      <c r="BL300" t="e">
        <f>'Project Summary'!K30+"AM:!0dy"</f>
        <v>#VALUE!</v>
      </c>
      <c r="BM300" t="e">
        <f>'Project Summary'!L30+"AM:!0dz"</f>
        <v>#VALUE!</v>
      </c>
      <c r="BN300" t="e">
        <f>'Project Summary'!M30+"AM:!0d{"</f>
        <v>#VALUE!</v>
      </c>
      <c r="BO300" t="e">
        <f>'Project Summary'!N30+"AM:!0d|"</f>
        <v>#VALUE!</v>
      </c>
      <c r="BP300" t="e">
        <f>'Project Summary'!O30+"AM:!0d}"</f>
        <v>#VALUE!</v>
      </c>
      <c r="BQ300" t="e">
        <f>'Project Summary'!P30+"AM:!0d~"</f>
        <v>#VALUE!</v>
      </c>
      <c r="BR300" t="e">
        <f>'Project Summary'!A31+"AM:!0e#"</f>
        <v>#VALUE!</v>
      </c>
      <c r="BS300" t="e">
        <f>'Project Summary'!B31+"AM:!0e$"</f>
        <v>#VALUE!</v>
      </c>
      <c r="BT300" t="e">
        <f>'Project Summary'!C31+"AM:!0e%"</f>
        <v>#VALUE!</v>
      </c>
      <c r="BU300" t="e">
        <f>'Project Summary'!D31+"AM:!0e&amp;"</f>
        <v>#VALUE!</v>
      </c>
      <c r="BV300" t="e">
        <f>'Project Summary'!E31+"AM:!0e'"</f>
        <v>#VALUE!</v>
      </c>
      <c r="BW300" t="e">
        <f>'Project Summary'!F31+"AM:!0e("</f>
        <v>#VALUE!</v>
      </c>
      <c r="BX300" t="e">
        <f>'Project Summary'!G31+"AM:!0e)"</f>
        <v>#VALUE!</v>
      </c>
      <c r="BY300" t="e">
        <f>'Project Summary'!J31+"AM:!0e."</f>
        <v>#VALUE!</v>
      </c>
      <c r="BZ300" t="e">
        <f>'Project Summary'!K31+"AM:!0e/"</f>
        <v>#VALUE!</v>
      </c>
      <c r="CA300" t="e">
        <f>'Project Summary'!L31+"AM:!0e0"</f>
        <v>#VALUE!</v>
      </c>
      <c r="CB300" t="e">
        <f>'Project Summary'!M31+"AM:!0e1"</f>
        <v>#VALUE!</v>
      </c>
      <c r="CC300" t="e">
        <f>'Project Summary'!N31+"AM:!0e2"</f>
        <v>#VALUE!</v>
      </c>
      <c r="CD300" t="e">
        <f>'Project Summary'!O31+"AM:!0e3"</f>
        <v>#VALUE!</v>
      </c>
      <c r="CE300" t="e">
        <f>'Project Summary'!P31+"AM:!0e4"</f>
        <v>#VALUE!</v>
      </c>
      <c r="CF300" t="e">
        <f>'Project Summary'!A32+"AM:!0e5"</f>
        <v>#VALUE!</v>
      </c>
      <c r="CG300" t="e">
        <f>'Project Summary'!B32+"AM:!0e6"</f>
        <v>#VALUE!</v>
      </c>
      <c r="CH300" t="e">
        <f>'Project Summary'!C32+"AM:!0e7"</f>
        <v>#VALUE!</v>
      </c>
      <c r="CI300" t="e">
        <f>'Project Summary'!D32+"AM:!0e8"</f>
        <v>#VALUE!</v>
      </c>
      <c r="CJ300" t="e">
        <f>'Project Summary'!E32+"AM:!0e9"</f>
        <v>#VALUE!</v>
      </c>
      <c r="CK300" t="e">
        <f>'Project Summary'!F32+"AM:!0e:"</f>
        <v>#VALUE!</v>
      </c>
      <c r="CL300" t="e">
        <f>'Project Summary'!G32+"AM:!0e;"</f>
        <v>#VALUE!</v>
      </c>
      <c r="CM300" t="e">
        <f>'Project Summary'!J32+"AM:!0e&lt;"</f>
        <v>#VALUE!</v>
      </c>
      <c r="CN300" t="e">
        <f>'Project Summary'!K32+"AM:!0e="</f>
        <v>#VALUE!</v>
      </c>
      <c r="CO300" t="e">
        <f>'Project Summary'!L32+"AM:!0e&gt;"</f>
        <v>#VALUE!</v>
      </c>
      <c r="CP300" t="e">
        <f>'Project Summary'!M32+"AM:!0e?"</f>
        <v>#VALUE!</v>
      </c>
      <c r="CQ300" t="e">
        <f>'Project Summary'!N32+"AM:!0e@"</f>
        <v>#VALUE!</v>
      </c>
      <c r="CR300" t="e">
        <f>'Project Summary'!O32+"AM:!0eA"</f>
        <v>#VALUE!</v>
      </c>
      <c r="CS300" t="e">
        <f>'Project Summary'!P32+"AM:!0eB"</f>
        <v>#VALUE!</v>
      </c>
      <c r="CT300" t="e">
        <f>'Project Summary'!A33+"AM:!0eC"</f>
        <v>#VALUE!</v>
      </c>
      <c r="CU300" t="e">
        <f>'Project Summary'!B33+"AM:!0eD"</f>
        <v>#VALUE!</v>
      </c>
      <c r="CV300" t="e">
        <f>'Project Summary'!C33+"AM:!0eE"</f>
        <v>#VALUE!</v>
      </c>
      <c r="CW300" t="e">
        <f>'Project Summary'!D33+"AM:!0eF"</f>
        <v>#VALUE!</v>
      </c>
      <c r="CX300" t="e">
        <f>'Project Summary'!E33+"AM:!0eG"</f>
        <v>#VALUE!</v>
      </c>
      <c r="CY300" t="e">
        <f>'Project Summary'!F33+"AM:!0eH"</f>
        <v>#VALUE!</v>
      </c>
      <c r="CZ300" t="e">
        <f>'Project Summary'!G33+"AM:!0eI"</f>
        <v>#VALUE!</v>
      </c>
      <c r="DA300" t="e">
        <f>'Project Summary'!J33+"AM:!0eJ"</f>
        <v>#VALUE!</v>
      </c>
      <c r="DB300" t="e">
        <f>'Project Summary'!K33+"AM:!0eK"</f>
        <v>#VALUE!</v>
      </c>
      <c r="DC300" t="e">
        <f>'Project Summary'!L33+"AM:!0eL"</f>
        <v>#VALUE!</v>
      </c>
      <c r="DD300" t="e">
        <f>'Project Summary'!M33+"AM:!0eM"</f>
        <v>#VALUE!</v>
      </c>
      <c r="DE300" t="e">
        <f>'Project Summary'!N33+"AM:!0eN"</f>
        <v>#VALUE!</v>
      </c>
      <c r="DF300" t="e">
        <f>'Project Summary'!O33+"AM:!0eO"</f>
        <v>#VALUE!</v>
      </c>
      <c r="DG300" t="e">
        <f>'Project Summary'!P33+"AM:!0eP"</f>
        <v>#VALUE!</v>
      </c>
      <c r="DH300" t="e">
        <f>'Project Summary'!A34+"AM:!0eQ"</f>
        <v>#VALUE!</v>
      </c>
      <c r="DI300" t="e">
        <f>'Project Summary'!B34+"AM:!0eR"</f>
        <v>#VALUE!</v>
      </c>
      <c r="DJ300" t="e">
        <f>'Project Summary'!C34+"AM:!0eS"</f>
        <v>#VALUE!</v>
      </c>
      <c r="DK300" t="e">
        <f>'Project Summary'!D34+"AM:!0eT"</f>
        <v>#VALUE!</v>
      </c>
      <c r="DL300" t="e">
        <f>'Project Summary'!E34+"AM:!0eU"</f>
        <v>#VALUE!</v>
      </c>
      <c r="DM300" t="e">
        <f>'Project Summary'!F34+"AM:!0eV"</f>
        <v>#VALUE!</v>
      </c>
      <c r="DN300" t="e">
        <f>'Project Summary'!G34+"AM:!0eW"</f>
        <v>#VALUE!</v>
      </c>
      <c r="DO300" t="e">
        <f>'Project Summary'!J34+"AM:!0eX"</f>
        <v>#VALUE!</v>
      </c>
      <c r="DP300" t="e">
        <f>'Project Summary'!K34+"AM:!0eY"</f>
        <v>#VALUE!</v>
      </c>
      <c r="DQ300" t="e">
        <f>'Project Summary'!L34+"AM:!0eZ"</f>
        <v>#VALUE!</v>
      </c>
      <c r="DR300" t="e">
        <f>'Project Summary'!M34+"AM:!0e["</f>
        <v>#VALUE!</v>
      </c>
      <c r="DS300" t="e">
        <f>'Project Summary'!N34+"AM:!0e\"</f>
        <v>#VALUE!</v>
      </c>
      <c r="DT300" t="e">
        <f>'Project Summary'!O34+"AM:!0e]"</f>
        <v>#VALUE!</v>
      </c>
      <c r="DU300" t="e">
        <f>'Project Summary'!P34+"AM:!0e^"</f>
        <v>#VALUE!</v>
      </c>
      <c r="DV300" t="e">
        <f>'Project Summary'!A35+"AM:!0e_"</f>
        <v>#VALUE!</v>
      </c>
      <c r="DW300" t="e">
        <f>'Project Summary'!B35+"AM:!0e`"</f>
        <v>#VALUE!</v>
      </c>
      <c r="DX300" t="e">
        <f>'Project Summary'!C35+"AM:!0ea"</f>
        <v>#VALUE!</v>
      </c>
      <c r="DY300" t="e">
        <f>'Project Summary'!D35+"AM:!0eb"</f>
        <v>#VALUE!</v>
      </c>
      <c r="DZ300" t="e">
        <f>'Project Summary'!E35+"AM:!0ec"</f>
        <v>#VALUE!</v>
      </c>
      <c r="EA300" t="e">
        <f>'Project Summary'!F35+"AM:!0ed"</f>
        <v>#VALUE!</v>
      </c>
      <c r="EB300" t="e">
        <f>'Project Summary'!G35+"AM:!0ee"</f>
        <v>#VALUE!</v>
      </c>
      <c r="EC300" t="e">
        <f>'Project Summary'!J35+"AM:!0ef"</f>
        <v>#VALUE!</v>
      </c>
      <c r="ED300" t="e">
        <f>'Project Summary'!K35+"AM:!0eg"</f>
        <v>#VALUE!</v>
      </c>
      <c r="EE300" t="e">
        <f>'Project Summary'!L35+"AM:!0eh"</f>
        <v>#VALUE!</v>
      </c>
      <c r="EF300" t="e">
        <f>'Project Summary'!M35+"AM:!0ei"</f>
        <v>#VALUE!</v>
      </c>
      <c r="EG300" t="e">
        <f>'Project Summary'!N35+"AM:!0ej"</f>
        <v>#VALUE!</v>
      </c>
      <c r="EH300" t="e">
        <f>'Project Summary'!O35+"AM:!0ek"</f>
        <v>#VALUE!</v>
      </c>
      <c r="EI300" t="e">
        <f>'Project Summary'!P35+"AM:!0el"</f>
        <v>#VALUE!</v>
      </c>
      <c r="EJ300" t="e">
        <f>'Project Summary'!A36+"AM:!0em"</f>
        <v>#VALUE!</v>
      </c>
      <c r="EK300" t="e">
        <f>'Project Summary'!B36+"AM:!0en"</f>
        <v>#VALUE!</v>
      </c>
      <c r="EL300" t="e">
        <f>'Project Summary'!C36+"AM:!0eo"</f>
        <v>#VALUE!</v>
      </c>
      <c r="EM300" t="e">
        <f>'Project Summary'!D36+"AM:!0ep"</f>
        <v>#VALUE!</v>
      </c>
      <c r="EN300" t="e">
        <f>'Project Summary'!E36+"AM:!0eq"</f>
        <v>#VALUE!</v>
      </c>
      <c r="EO300" t="e">
        <f>'Project Summary'!F36+"AM:!0er"</f>
        <v>#VALUE!</v>
      </c>
      <c r="EP300" t="e">
        <f>'Project Summary'!G36+"AM:!0es"</f>
        <v>#VALUE!</v>
      </c>
      <c r="EQ300" t="e">
        <f>'Project Summary'!J36+"AM:!0et"</f>
        <v>#VALUE!</v>
      </c>
      <c r="ER300" t="e">
        <f>'Project Summary'!K36+"AM:!0eu"</f>
        <v>#VALUE!</v>
      </c>
      <c r="ES300" t="e">
        <f>'Project Summary'!L36+"AM:!0ev"</f>
        <v>#VALUE!</v>
      </c>
      <c r="ET300" t="e">
        <f>'Project Summary'!M36+"AM:!0ew"</f>
        <v>#VALUE!</v>
      </c>
      <c r="EU300" t="e">
        <f>'Project Summary'!N36+"AM:!0ex"</f>
        <v>#VALUE!</v>
      </c>
      <c r="EV300" t="e">
        <f>'Project Summary'!O36+"AM:!0ey"</f>
        <v>#VALUE!</v>
      </c>
      <c r="EW300" t="e">
        <f>'Project Summary'!P36+"AM:!0ez"</f>
        <v>#VALUE!</v>
      </c>
      <c r="EX300" t="e">
        <f>'Project Summary'!A37+"AM:!0e{"</f>
        <v>#VALUE!</v>
      </c>
      <c r="EY300" t="e">
        <f>'Project Summary'!B37+"AM:!0e|"</f>
        <v>#VALUE!</v>
      </c>
      <c r="EZ300" t="e">
        <f>'Project Summary'!C37+"AM:!0e}"</f>
        <v>#VALUE!</v>
      </c>
      <c r="FA300" t="e">
        <f>'Project Summary'!D37+"AM:!0e~"</f>
        <v>#VALUE!</v>
      </c>
      <c r="FB300" t="e">
        <f>'Project Summary'!E37+"AM:!0f#"</f>
        <v>#VALUE!</v>
      </c>
      <c r="FC300" t="e">
        <f>'Project Summary'!F37+"AM:!0f$"</f>
        <v>#VALUE!</v>
      </c>
      <c r="FD300" t="e">
        <f>'Project Summary'!G37+"AM:!0f%"</f>
        <v>#VALUE!</v>
      </c>
      <c r="FE300" t="e">
        <f>'Project Summary'!J37+"AM:!0f&amp;"</f>
        <v>#VALUE!</v>
      </c>
      <c r="FF300" t="e">
        <f>'Project Summary'!K37+"AM:!0f'"</f>
        <v>#VALUE!</v>
      </c>
      <c r="FG300" t="e">
        <f>'Project Summary'!L37+"AM:!0f("</f>
        <v>#VALUE!</v>
      </c>
      <c r="FH300" t="e">
        <f>'Project Summary'!M37+"AM:!0f)"</f>
        <v>#VALUE!</v>
      </c>
      <c r="FI300" t="e">
        <f>'Project Summary'!N37+"AM:!0f."</f>
        <v>#VALUE!</v>
      </c>
      <c r="FJ300" t="e">
        <f>'Project Summary'!O37+"AM:!0f/"</f>
        <v>#VALUE!</v>
      </c>
      <c r="FK300" t="e">
        <f>'Project Summary'!P37+"AM:!0f0"</f>
        <v>#VALUE!</v>
      </c>
      <c r="FL300" t="e">
        <f>'Project Summary'!A39+"AM:!0f1"</f>
        <v>#VALUE!</v>
      </c>
      <c r="FM300" t="e">
        <f>'Project Summary'!B39+"AM:!0f2"</f>
        <v>#VALUE!</v>
      </c>
      <c r="FN300" t="e">
        <f>'Project Summary'!C39+"AM:!0f3"</f>
        <v>#VALUE!</v>
      </c>
      <c r="FO300" t="e">
        <f>'Project Summary'!D39+"AM:!0f4"</f>
        <v>#VALUE!</v>
      </c>
      <c r="FP300" t="e">
        <f>'Project Summary'!E39+"AM:!0f5"</f>
        <v>#VALUE!</v>
      </c>
      <c r="FQ300" t="e">
        <f>'Project Summary'!F39+"AM:!0f6"</f>
        <v>#VALUE!</v>
      </c>
      <c r="FR300" t="e">
        <f>'Project Summary'!G39+"AM:!0f7"</f>
        <v>#VALUE!</v>
      </c>
      <c r="FS300" t="e">
        <f>'Project Summary'!H39+"AM:!0f8"</f>
        <v>#VALUE!</v>
      </c>
      <c r="FT300" t="e">
        <f>'Project Summary'!I39+"AM:!0f9"</f>
        <v>#VALUE!</v>
      </c>
      <c r="FU300" t="e">
        <f>'Project Summary'!J39+"AM:!0f:"</f>
        <v>#VALUE!</v>
      </c>
      <c r="FV300" t="e">
        <f>'Project Summary'!K39+"AM:!0f;"</f>
        <v>#VALUE!</v>
      </c>
      <c r="FW300" t="e">
        <f>'Project Summary'!L39+"AM:!0f&lt;"</f>
        <v>#VALUE!</v>
      </c>
      <c r="FX300" t="e">
        <f>'Project Summary'!M39+"AM:!0f="</f>
        <v>#VALUE!</v>
      </c>
      <c r="FY300" t="e">
        <f>'Project Summary'!N39+"AM:!0f&gt;"</f>
        <v>#VALUE!</v>
      </c>
      <c r="FZ300" t="e">
        <f>'Project Summary'!O39+"AM:!0f?"</f>
        <v>#VALUE!</v>
      </c>
      <c r="GA300" t="e">
        <f>'Project Summary'!P39+"AM:!0f@"</f>
        <v>#VALUE!</v>
      </c>
      <c r="GB300" t="e">
        <f>'Project Summary'!A40+"AM:!0fA"</f>
        <v>#VALUE!</v>
      </c>
      <c r="GC300" t="e">
        <f>'Project Summary'!B40+"AM:!0fB"</f>
        <v>#VALUE!</v>
      </c>
      <c r="GD300" t="e">
        <f>'Project Summary'!C40+"AM:!0fC"</f>
        <v>#VALUE!</v>
      </c>
      <c r="GE300" t="e">
        <f>'Project Summary'!D40+"AM:!0fD"</f>
        <v>#VALUE!</v>
      </c>
      <c r="GF300" t="e">
        <f>'Project Summary'!E40+"AM:!0fE"</f>
        <v>#VALUE!</v>
      </c>
      <c r="GG300" t="e">
        <f>'Project Summary'!F40+"AM:!0fF"</f>
        <v>#VALUE!</v>
      </c>
      <c r="GH300" t="e">
        <f>'Project Summary'!G40+"AM:!0fG"</f>
        <v>#VALUE!</v>
      </c>
      <c r="GI300" t="e">
        <f>'Project Summary'!H40+"AM:!0fH"</f>
        <v>#VALUE!</v>
      </c>
      <c r="GJ300" t="e">
        <f>'Project Summary'!I40+"AM:!0fI"</f>
        <v>#VALUE!</v>
      </c>
      <c r="GK300" t="e">
        <f>'Project Summary'!J40+"AM:!0fJ"</f>
        <v>#VALUE!</v>
      </c>
      <c r="GL300" t="e">
        <f>'Project Summary'!K40+"AM:!0fK"</f>
        <v>#VALUE!</v>
      </c>
      <c r="GM300" t="e">
        <f>'Project Summary'!L40+"AM:!0fL"</f>
        <v>#VALUE!</v>
      </c>
      <c r="GN300" t="e">
        <f>'Project Summary'!M40+"AM:!0fM"</f>
        <v>#VALUE!</v>
      </c>
      <c r="GO300" t="e">
        <f>'Project Summary'!N40+"AM:!0fN"</f>
        <v>#VALUE!</v>
      </c>
      <c r="GP300" t="e">
        <f>'Project Summary'!O40+"AM:!0fO"</f>
        <v>#VALUE!</v>
      </c>
      <c r="GQ300" t="e">
        <f>'Project Summary'!P40+"AM:!0fP"</f>
        <v>#VALUE!</v>
      </c>
      <c r="GR300" t="e">
        <f>'Project Summary'!A41+"AM:!0fQ"</f>
        <v>#VALUE!</v>
      </c>
      <c r="GS300" t="e">
        <f>'Project Summary'!B41+"AM:!0fR"</f>
        <v>#VALUE!</v>
      </c>
      <c r="GT300" t="e">
        <f>'Project Summary'!C41+"AM:!0fS"</f>
        <v>#VALUE!</v>
      </c>
      <c r="GU300" t="e">
        <f>'Project Summary'!D41+"AM:!0fT"</f>
        <v>#VALUE!</v>
      </c>
      <c r="GV300" t="e">
        <f>'Project Summary'!E41+"AM:!0fU"</f>
        <v>#VALUE!</v>
      </c>
      <c r="GW300" t="e">
        <f>'Project Summary'!F41+"AM:!0fV"</f>
        <v>#VALUE!</v>
      </c>
      <c r="GX300" t="e">
        <f>'Project Summary'!G41+"AM:!0fW"</f>
        <v>#VALUE!</v>
      </c>
      <c r="GY300" t="e">
        <f>'Project Summary'!H41+"AM:!0fX"</f>
        <v>#VALUE!</v>
      </c>
      <c r="GZ300" t="e">
        <f>'Project Summary'!I41+"AM:!0fY"</f>
        <v>#VALUE!</v>
      </c>
      <c r="HA300" s="105" t="e">
        <f>'Project Summary'!J41+"AM:!0fZ"</f>
        <v>#VALUE!</v>
      </c>
      <c r="HB300" t="e">
        <f>'Project Summary'!K41+"AM:!0f["</f>
        <v>#VALUE!</v>
      </c>
      <c r="HC300" t="e">
        <f>'Project Summary'!L41+"AM:!0f\"</f>
        <v>#VALUE!</v>
      </c>
      <c r="HD300" t="e">
        <f>'Project Summary'!M41+"AM:!0f]"</f>
        <v>#VALUE!</v>
      </c>
      <c r="HE300" t="e">
        <f>'Project Summary'!N41+"AM:!0f^"</f>
        <v>#VALUE!</v>
      </c>
      <c r="HF300" t="e">
        <f>'Project Summary'!O41+"AM:!0f_"</f>
        <v>#VALUE!</v>
      </c>
      <c r="HG300" t="e">
        <f>'Project Summary'!P41+"AM:!0f`"</f>
        <v>#VALUE!</v>
      </c>
      <c r="HH300" t="e">
        <f ca="1">'Project Summary'!A42+"AM:!0fa"</f>
        <v>#VALUE!</v>
      </c>
      <c r="HI300" t="e">
        <f ca="1">'Project Summary'!B42+"AM:!0fb"</f>
        <v>#VALUE!</v>
      </c>
      <c r="HJ300" t="e">
        <f ca="1">'Project Summary'!C42+"AM:!0fc"</f>
        <v>#VALUE!</v>
      </c>
      <c r="HK300" t="e">
        <f>'Project Summary'!D42+"AM:!0fd"</f>
        <v>#VALUE!</v>
      </c>
      <c r="HL300" t="e">
        <f ca="1">'Project Summary'!E42+"AM:!0fe"</f>
        <v>#VALUE!</v>
      </c>
      <c r="HM300" t="e">
        <f>'Project Summary'!F42+"AM:!0ff"</f>
        <v>#VALUE!</v>
      </c>
      <c r="HN300" t="e">
        <f ca="1">'Project Summary'!G42+"AM:!0fg"</f>
        <v>#VALUE!</v>
      </c>
      <c r="HO300" t="e">
        <f>'Project Summary'!H42+"AM:!0fh"</f>
        <v>#VALUE!</v>
      </c>
      <c r="HP300" t="e">
        <f ca="1">'Project Summary'!I42+"AM:!0fi"</f>
        <v>#VALUE!</v>
      </c>
      <c r="HQ300" s="105" t="e">
        <f ca="1">'Project Summary'!J42+"AM:!0fj"</f>
        <v>#VALUE!</v>
      </c>
      <c r="HR300" t="e">
        <f ca="1">'Project Summary'!K42+"AM:!0fk"</f>
        <v>#VALUE!</v>
      </c>
      <c r="HS300" t="e">
        <f ca="1">'Project Summary'!L42+"AM:!0fl"</f>
        <v>#VALUE!</v>
      </c>
      <c r="HT300" t="e">
        <f ca="1">'Project Summary'!M42+"AM:!0fm"</f>
        <v>#VALUE!</v>
      </c>
      <c r="HU300" t="e">
        <f>'Project Summary'!N42+"AM:!0fn"</f>
        <v>#VALUE!</v>
      </c>
      <c r="HV300" t="e">
        <f ca="1">'Project Summary'!O42+"AM:!0fo"</f>
        <v>#VALUE!</v>
      </c>
      <c r="HW300" t="e">
        <f>'Project Summary'!P42+"AM:!0fp"</f>
        <v>#VALUE!</v>
      </c>
      <c r="HX300" t="e">
        <f ca="1">'Project Summary'!A43+"AM:!0fq"</f>
        <v>#VALUE!</v>
      </c>
      <c r="HY300" t="e">
        <f ca="1">'Project Summary'!B43+"AM:!0fr"</f>
        <v>#VALUE!</v>
      </c>
      <c r="HZ300" t="e">
        <f ca="1">'Project Summary'!C43+"AM:!0fs"</f>
        <v>#VALUE!</v>
      </c>
      <c r="IA300" t="e">
        <f>'Project Summary'!D43+"AM:!0ft"</f>
        <v>#VALUE!</v>
      </c>
      <c r="IB300" t="e">
        <f ca="1">'Project Summary'!E43+"AM:!0fu"</f>
        <v>#VALUE!</v>
      </c>
      <c r="IC300" t="e">
        <f>'Project Summary'!F43+"AM:!0fv"</f>
        <v>#VALUE!</v>
      </c>
      <c r="ID300" t="e">
        <f ca="1">'Project Summary'!G43+"AM:!0fw"</f>
        <v>#VALUE!</v>
      </c>
      <c r="IE300" t="e">
        <f>'Project Summary'!H43+"AM:!0fx"</f>
        <v>#VALUE!</v>
      </c>
      <c r="IF300" t="e">
        <f ca="1">'Project Summary'!I43+"AM:!0fy"</f>
        <v>#VALUE!</v>
      </c>
      <c r="IG300" s="105" t="e">
        <f ca="1">'Project Summary'!J43+"AM:!0fz"</f>
        <v>#VALUE!</v>
      </c>
      <c r="IH300" t="e">
        <f ca="1">'Project Summary'!K43+"AM:!0f{"</f>
        <v>#VALUE!</v>
      </c>
      <c r="II300" t="e">
        <f ca="1">'Project Summary'!L43+"AM:!0f|"</f>
        <v>#VALUE!</v>
      </c>
      <c r="IJ300" t="e">
        <f ca="1">'Project Summary'!M43+"AM:!0f}"</f>
        <v>#VALUE!</v>
      </c>
      <c r="IK300" t="e">
        <f>'Project Summary'!N43+"AM:!0f~"</f>
        <v>#VALUE!</v>
      </c>
      <c r="IL300" t="e">
        <f ca="1">'Project Summary'!O43+"AM:!0g#"</f>
        <v>#VALUE!</v>
      </c>
      <c r="IM300" t="e">
        <f>'Project Summary'!P43+"AM:!0g$"</f>
        <v>#VALUE!</v>
      </c>
      <c r="IN300" t="e">
        <f ca="1">'Project Summary'!A44+"AM:!0g%"</f>
        <v>#VALUE!</v>
      </c>
      <c r="IO300" t="e">
        <f ca="1">'Project Summary'!B44+"AM:!0g&amp;"</f>
        <v>#VALUE!</v>
      </c>
      <c r="IP300" t="e">
        <f ca="1">'Project Summary'!C44+"AM:!0g'"</f>
        <v>#VALUE!</v>
      </c>
      <c r="IQ300" t="e">
        <f>'Project Summary'!D44+"AM:!0g("</f>
        <v>#VALUE!</v>
      </c>
      <c r="IR300" t="e">
        <f ca="1">'Project Summary'!E44+"AM:!0g)"</f>
        <v>#VALUE!</v>
      </c>
      <c r="IS300" t="e">
        <f>'Project Summary'!F44+"AM:!0g."</f>
        <v>#VALUE!</v>
      </c>
      <c r="IT300" t="e">
        <f ca="1">'Project Summary'!G44+"AM:!0g/"</f>
        <v>#VALUE!</v>
      </c>
      <c r="IU300" t="e">
        <f>'Project Summary'!H44+"AM:!0g0"</f>
        <v>#VALUE!</v>
      </c>
      <c r="IV300" t="e">
        <f ca="1">'Project Summary'!I44+"AM:!0g1"</f>
        <v>#VALUE!</v>
      </c>
    </row>
    <row r="301" spans="6:256">
      <c r="F301" s="105" t="e">
        <f ca="1">'Project Summary'!J44+"AM:!0g2"</f>
        <v>#VALUE!</v>
      </c>
      <c r="G301" t="e">
        <f ca="1">'Project Summary'!K44+"AM:!0g3"</f>
        <v>#VALUE!</v>
      </c>
      <c r="H301" t="e">
        <f ca="1">'Project Summary'!L44+"AM:!0g4"</f>
        <v>#VALUE!</v>
      </c>
      <c r="I301" t="e">
        <f ca="1">'Project Summary'!M44+"AM:!0g5"</f>
        <v>#VALUE!</v>
      </c>
      <c r="J301" t="e">
        <f>'Project Summary'!N44+"AM:!0g6"</f>
        <v>#VALUE!</v>
      </c>
      <c r="K301" t="e">
        <f ca="1">'Project Summary'!O44+"AM:!0g7"</f>
        <v>#VALUE!</v>
      </c>
      <c r="L301" t="e">
        <f>'Project Summary'!P44+"AM:!0g8"</f>
        <v>#VALUE!</v>
      </c>
      <c r="M301" t="e">
        <f ca="1">'Project Summary'!A45+"AM:!0g9"</f>
        <v>#VALUE!</v>
      </c>
      <c r="N301" t="e">
        <f ca="1">'Project Summary'!B45+"AM:!0g:"</f>
        <v>#VALUE!</v>
      </c>
      <c r="O301" t="e">
        <f ca="1">'Project Summary'!C45+"AM:!0g;"</f>
        <v>#VALUE!</v>
      </c>
      <c r="P301" t="e">
        <f>'Project Summary'!D45+"AM:!0g&lt;"</f>
        <v>#VALUE!</v>
      </c>
      <c r="Q301" t="e">
        <f ca="1">'Project Summary'!E45+"AM:!0g="</f>
        <v>#VALUE!</v>
      </c>
      <c r="R301" t="e">
        <f>'Project Summary'!F45+"AM:!0g&gt;"</f>
        <v>#VALUE!</v>
      </c>
      <c r="S301" t="e">
        <f ca="1">'Project Summary'!G45+"AM:!0g?"</f>
        <v>#VALUE!</v>
      </c>
      <c r="T301" t="e">
        <f>'Project Summary'!H45+"AM:!0g@"</f>
        <v>#VALUE!</v>
      </c>
      <c r="U301" t="e">
        <f ca="1">'Project Summary'!I45+"AM:!0gA"</f>
        <v>#VALUE!</v>
      </c>
      <c r="V301" s="105" t="e">
        <f ca="1">'Project Summary'!J45+"AM:!0gB"</f>
        <v>#VALUE!</v>
      </c>
      <c r="W301" t="e">
        <f ca="1">'Project Summary'!K45+"AM:!0gC"</f>
        <v>#VALUE!</v>
      </c>
      <c r="X301" t="e">
        <f ca="1">'Project Summary'!L45+"AM:!0gD"</f>
        <v>#VALUE!</v>
      </c>
      <c r="Y301" t="e">
        <f ca="1">'Project Summary'!M45+"AM:!0gE"</f>
        <v>#VALUE!</v>
      </c>
      <c r="Z301" t="e">
        <f>'Project Summary'!N45+"AM:!0gF"</f>
        <v>#VALUE!</v>
      </c>
      <c r="AA301" t="e">
        <f ca="1">'Project Summary'!O45+"AM:!0gG"</f>
        <v>#VALUE!</v>
      </c>
      <c r="AB301" t="e">
        <f>'Project Summary'!P45+"AM:!0gH"</f>
        <v>#VALUE!</v>
      </c>
      <c r="AC301" t="e">
        <f>'Project Summary'!A47+"AM:!0gI"</f>
        <v>#VALUE!</v>
      </c>
      <c r="AD301" t="e">
        <f>'Project Summary'!B47+"AM:!0gJ"</f>
        <v>#VALUE!</v>
      </c>
      <c r="AE301" t="e">
        <f>'Project Summary'!C47+"AM:!0gK"</f>
        <v>#VALUE!</v>
      </c>
      <c r="AF301" t="e">
        <f>'Project Summary'!D47+"AM:!0gL"</f>
        <v>#VALUE!</v>
      </c>
      <c r="AG301" t="e">
        <f>'Project Summary'!E47+"AM:!0gM"</f>
        <v>#VALUE!</v>
      </c>
      <c r="AH301" t="e">
        <f>'Project Summary'!F47+"AM:!0gN"</f>
        <v>#VALUE!</v>
      </c>
      <c r="AI301" t="e">
        <f>'Project Summary'!G47+"AM:!0gO"</f>
        <v>#VALUE!</v>
      </c>
      <c r="AJ301" t="e">
        <f>'Project Summary'!H47+"AM:!0gP"</f>
        <v>#VALUE!</v>
      </c>
      <c r="AK301" t="e">
        <f>'Project Summary'!I47+"AM:!0gQ"</f>
        <v>#VALUE!</v>
      </c>
      <c r="AL301" t="e">
        <f>'Project Summary'!J47+"AM:!0gR"</f>
        <v>#VALUE!</v>
      </c>
      <c r="AM301" t="e">
        <f>'Project Summary'!K47+"AM:!0gS"</f>
        <v>#VALUE!</v>
      </c>
      <c r="AN301" t="e">
        <f>'Project Summary'!L47+"AM:!0gT"</f>
        <v>#VALUE!</v>
      </c>
      <c r="AO301" t="e">
        <f>'Project Summary'!M47+"AM:!0gU"</f>
        <v>#VALUE!</v>
      </c>
      <c r="AP301" t="e">
        <f>'Project Summary'!N47+"AM:!0gV"</f>
        <v>#VALUE!</v>
      </c>
      <c r="AQ301" t="e">
        <f>'Project Summary'!O47+"AM:!0gW"</f>
        <v>#VALUE!</v>
      </c>
      <c r="AR301" t="e">
        <f>'Project Summary'!P47+"AM:!0gX"</f>
        <v>#VALUE!</v>
      </c>
      <c r="AS301" t="e">
        <f>'Project Summary'!A48+"AM:!0gY"</f>
        <v>#VALUE!</v>
      </c>
      <c r="AT301" t="e">
        <f>'Project Summary'!B48+"AM:!0gZ"</f>
        <v>#VALUE!</v>
      </c>
      <c r="AU301" t="e">
        <f>'Project Summary'!C48+"AM:!0g["</f>
        <v>#VALUE!</v>
      </c>
      <c r="AV301" t="e">
        <f>'Project Summary'!D48+"AM:!0g\"</f>
        <v>#VALUE!</v>
      </c>
      <c r="AW301" t="e">
        <f>'Project Summary'!E48+"AM:!0g]"</f>
        <v>#VALUE!</v>
      </c>
      <c r="AX301" t="e">
        <f>'Project Summary'!F48+"AM:!0g^"</f>
        <v>#VALUE!</v>
      </c>
      <c r="AY301" t="e">
        <f>'Project Summary'!G48+"AM:!0g_"</f>
        <v>#VALUE!</v>
      </c>
      <c r="AZ301" t="e">
        <f>'Project Summary'!H48+"AM:!0g`"</f>
        <v>#VALUE!</v>
      </c>
      <c r="BA301" t="e">
        <f>'Project Summary'!I48+"AM:!0ga"</f>
        <v>#VALUE!</v>
      </c>
      <c r="BB301" t="e">
        <f>'Project Summary'!J48+"AM:!0gb"</f>
        <v>#VALUE!</v>
      </c>
      <c r="BC301" t="e">
        <f>'Project Summary'!K48+"AM:!0gc"</f>
        <v>#VALUE!</v>
      </c>
      <c r="BD301" t="e">
        <f>'Project Summary'!L48+"AM:!0gd"</f>
        <v>#VALUE!</v>
      </c>
      <c r="BE301" t="e">
        <f>'Project Summary'!M48+"AM:!0ge"</f>
        <v>#VALUE!</v>
      </c>
      <c r="BF301" t="e">
        <f>'Project Summary'!N48+"AM:!0gf"</f>
        <v>#VALUE!</v>
      </c>
      <c r="BG301" t="e">
        <f>'Project Summary'!O48+"AM:!0gg"</f>
        <v>#VALUE!</v>
      </c>
      <c r="BH301" t="e">
        <f>'Project Summary'!P48+"AM:!0gh"</f>
        <v>#VALUE!</v>
      </c>
      <c r="BI301" t="e">
        <f>'Project Summary'!A49+"AM:!0gi"</f>
        <v>#VALUE!</v>
      </c>
      <c r="BJ301" t="e">
        <f>'Project Summary'!B49+"AM:!0gj"</f>
        <v>#VALUE!</v>
      </c>
      <c r="BK301" t="e">
        <f>'Project Summary'!C49+"AM:!0gk"</f>
        <v>#VALUE!</v>
      </c>
      <c r="BL301" t="e">
        <f>'Project Summary'!D49+"AM:!0gl"</f>
        <v>#VALUE!</v>
      </c>
      <c r="BM301" t="e">
        <f>'Project Summary'!E49+"AM:!0gm"</f>
        <v>#VALUE!</v>
      </c>
      <c r="BN301" t="e">
        <f>'Project Summary'!F49+"AM:!0gn"</f>
        <v>#VALUE!</v>
      </c>
      <c r="BO301" t="e">
        <f>'Project Summary'!G49+"AM:!0go"</f>
        <v>#VALUE!</v>
      </c>
      <c r="BP301" t="e">
        <f>'Project Summary'!H49+"AM:!0gp"</f>
        <v>#VALUE!</v>
      </c>
      <c r="BQ301" t="e">
        <f>'Project Summary'!I49+"AM:!0gq"</f>
        <v>#VALUE!</v>
      </c>
      <c r="BR301" t="e">
        <f>'Project Summary'!J49+"AM:!0gr"</f>
        <v>#VALUE!</v>
      </c>
      <c r="BS301" t="e">
        <f>'Project Summary'!K49+"AM:!0gs"</f>
        <v>#VALUE!</v>
      </c>
      <c r="BT301" t="e">
        <f>'Project Summary'!L49+"AM:!0gt"</f>
        <v>#VALUE!</v>
      </c>
      <c r="BU301" t="e">
        <f>'Project Summary'!M49+"AM:!0gu"</f>
        <v>#VALUE!</v>
      </c>
      <c r="BV301" t="e">
        <f>'Project Summary'!N49+"AM:!0gv"</f>
        <v>#VALUE!</v>
      </c>
      <c r="BW301" t="e">
        <f>'Project Summary'!O49+"AM:!0gw"</f>
        <v>#VALUE!</v>
      </c>
      <c r="BX301" t="e">
        <f>'Project Summary'!P49+"AM:!0gx"</f>
        <v>#VALUE!</v>
      </c>
      <c r="BY301" t="e">
        <f>'Project Summary'!A50+"AM:!0gy"</f>
        <v>#VALUE!</v>
      </c>
      <c r="BZ301" t="e">
        <f>'Project Summary'!B50+"AM:!0gz"</f>
        <v>#VALUE!</v>
      </c>
      <c r="CA301" t="e">
        <f>'Project Summary'!C50+"AM:!0g{"</f>
        <v>#VALUE!</v>
      </c>
      <c r="CB301" t="e">
        <f>'Project Summary'!D50+"AM:!0g|"</f>
        <v>#VALUE!</v>
      </c>
      <c r="CC301" t="e">
        <f>'Project Summary'!E50+"AM:!0g}"</f>
        <v>#VALUE!</v>
      </c>
      <c r="CD301" t="e">
        <f>'Project Summary'!F50+"AM:!0g~"</f>
        <v>#VALUE!</v>
      </c>
      <c r="CE301" t="e">
        <f>'Project Summary'!G50+"AM:!0h#"</f>
        <v>#VALUE!</v>
      </c>
      <c r="CF301" t="e">
        <f>'Project Summary'!H50+"AM:!0h$"</f>
        <v>#VALUE!</v>
      </c>
      <c r="CG301" t="e">
        <f>'Project Summary'!I50+"AM:!0h%"</f>
        <v>#VALUE!</v>
      </c>
      <c r="CH301" t="e">
        <f>'Project Summary'!J50+"AM:!0h&amp;"</f>
        <v>#VALUE!</v>
      </c>
      <c r="CI301" t="e">
        <f>'Project Summary'!K50+"AM:!0h'"</f>
        <v>#VALUE!</v>
      </c>
      <c r="CJ301" t="e">
        <f>'Project Summary'!L50+"AM:!0h("</f>
        <v>#VALUE!</v>
      </c>
      <c r="CK301" t="e">
        <f>'Project Summary'!M50+"AM:!0h)"</f>
        <v>#VALUE!</v>
      </c>
      <c r="CL301" t="e">
        <f>'Project Summary'!N50+"AM:!0h."</f>
        <v>#VALUE!</v>
      </c>
      <c r="CM301" t="e">
        <f>'Project Summary'!O50+"AM:!0h/"</f>
        <v>#VALUE!</v>
      </c>
      <c r="CN301" t="e">
        <f>'Project Summary'!P50+"AM:!0h0"</f>
        <v>#VALUE!</v>
      </c>
      <c r="CO301" t="e">
        <f>'Project Summary'!A51+"AM:!0h1"</f>
        <v>#VALUE!</v>
      </c>
      <c r="CP301" t="e">
        <f>'Project Summary'!B51+"AM:!0h2"</f>
        <v>#VALUE!</v>
      </c>
      <c r="CQ301" t="e">
        <f>'Project Summary'!C51+"AM:!0h3"</f>
        <v>#VALUE!</v>
      </c>
      <c r="CR301" t="e">
        <f>'Project Summary'!D51+"AM:!0h4"</f>
        <v>#VALUE!</v>
      </c>
      <c r="CS301" t="e">
        <f>'Project Charts'!A:A*"AM:!0h="</f>
        <v>#VALUE!</v>
      </c>
      <c r="CT301" t="e">
        <f>'Project Charts'!B:B*"AM:!0h&gt;"</f>
        <v>#VALUE!</v>
      </c>
      <c r="CU301" t="e">
        <f>'Project Charts'!C:C*"AM:!0h?"</f>
        <v>#VALUE!</v>
      </c>
      <c r="CV301" t="e">
        <f>'Project Charts'!D:D*"AM:!0h@"</f>
        <v>#VALUE!</v>
      </c>
      <c r="CW301" t="e">
        <f>'Project Charts'!E:E*"AM:!0hA"</f>
        <v>#VALUE!</v>
      </c>
      <c r="CX301" t="e">
        <f>'Project Charts'!F:F*"AM:!0hB"</f>
        <v>#VALUE!</v>
      </c>
      <c r="CY301" t="e">
        <f>'Project Charts'!G:G*"AM:!0hC"</f>
        <v>#VALUE!</v>
      </c>
      <c r="CZ301" t="e">
        <f>'Project Charts'!H:H*"AM:!0hD"</f>
        <v>#VALUE!</v>
      </c>
      <c r="DA301" t="e">
        <f>'Project Charts'!I:I*"AM:!0hE"</f>
        <v>#VALUE!</v>
      </c>
      <c r="DB301" t="e">
        <f>'Project Charts'!J:J*"AM:!0hF"</f>
        <v>#VALUE!</v>
      </c>
      <c r="DC301" t="e">
        <f>'Project Charts'!K:K*"AM:!0hG"</f>
        <v>#VALUE!</v>
      </c>
      <c r="DD301" t="e">
        <f>'Project Charts'!L:L*"AM:!0hH"</f>
        <v>#VALUE!</v>
      </c>
      <c r="DE301" t="e">
        <f>'Project Charts'!M:M*"AM:!0hI"</f>
        <v>#VALUE!</v>
      </c>
      <c r="DF301" t="e">
        <f>'Project Charts'!N:N*"AM:!0hJ"</f>
        <v>#VALUE!</v>
      </c>
      <c r="DG301" t="e">
        <f>'Project Charts'!O:O*"AM:!0hK"</f>
        <v>#VALUE!</v>
      </c>
      <c r="DH301" t="e">
        <f>'Project Charts'!P:P*"AM:!0hL"</f>
        <v>#VALUE!</v>
      </c>
      <c r="DI301" t="e">
        <f>'Project Charts'!Q:Q*"AM:!0hM"</f>
        <v>#VALUE!</v>
      </c>
      <c r="DJ301" t="e">
        <f>'Project Charts'!R:R*"AM:!0hN"</f>
        <v>#VALUE!</v>
      </c>
      <c r="DK301" t="e">
        <f>'Project Charts'!S:S*"AM:!0hO"</f>
        <v>#VALUE!</v>
      </c>
      <c r="DL301" t="e">
        <f>'Project Charts'!T:T*"AM:!0hP"</f>
        <v>#VALUE!</v>
      </c>
      <c r="DM301" t="e">
        <f>'Project Charts'!U:U*"AM:!0hQ"</f>
        <v>#VALUE!</v>
      </c>
      <c r="DN301" t="e">
        <f>'Project Charts'!V:V*"AM:!0hR"</f>
        <v>#VALUE!</v>
      </c>
      <c r="DO301" t="e">
        <f>'Project Charts'!W:W*"AM:!0hS"</f>
        <v>#VALUE!</v>
      </c>
      <c r="DP301" t="e">
        <f>'Project Charts'!X:X*"AM:!0hT"</f>
        <v>#VALUE!</v>
      </c>
      <c r="DQ301" t="e">
        <f>'Project Charts'!Y:Y*"AM:!0hU"</f>
        <v>#VALUE!</v>
      </c>
      <c r="DR301" t="e">
        <f>'Project Charts'!Z:Z*"AM:!0hV"</f>
        <v>#VALUE!</v>
      </c>
      <c r="DS301" t="e">
        <f>'Project Charts'!AA:AA*"AM:!0hW"</f>
        <v>#VALUE!</v>
      </c>
      <c r="DT301" t="e">
        <f>'Project Charts'!AB:AB*"AM:!0hX"</f>
        <v>#VALUE!</v>
      </c>
      <c r="DU301" t="e">
        <f>'Project Charts'!AC:AC*"AM:!0hY"</f>
        <v>#VALUE!</v>
      </c>
      <c r="DV301" t="e">
        <f>'Project Charts'!AD:AD*"AM:!0hZ"</f>
        <v>#VALUE!</v>
      </c>
      <c r="DW301" t="e">
        <f>'Project Charts'!AE:AE*"AM:!0h["</f>
        <v>#VALUE!</v>
      </c>
      <c r="DX301" t="e">
        <f>'Project Charts'!AF:AF*"AM:!0h\"</f>
        <v>#VALUE!</v>
      </c>
      <c r="DY301" t="e">
        <f>'Project Charts'!AG:AG*"AM:!0h]"</f>
        <v>#VALUE!</v>
      </c>
      <c r="DZ301" t="e">
        <f>'Project Charts'!AH:AH*"AM:!0h^"</f>
        <v>#VALUE!</v>
      </c>
      <c r="EA301" t="e">
        <f>'Project Charts'!AI:AI*"AM:!0h_"</f>
        <v>#VALUE!</v>
      </c>
      <c r="EB301" t="e">
        <f>'Project Charts'!AJ:AJ*"AM:!0h`"</f>
        <v>#VALUE!</v>
      </c>
      <c r="EC301" t="e">
        <f>'Project Charts'!AK:AK*"AM:!0ha"</f>
        <v>#VALUE!</v>
      </c>
      <c r="ED301" t="e">
        <f>'Project Charts'!AL:AL*"AM:!0hb"</f>
        <v>#VALUE!</v>
      </c>
      <c r="EE301" t="e">
        <f>'Project Charts'!AM:AM*"AM:!0hc"</f>
        <v>#VALUE!</v>
      </c>
      <c r="EF301" t="e">
        <f>'Project Charts'!AN:AN*"AM:!0hd"</f>
        <v>#VALUE!</v>
      </c>
      <c r="EG301" t="e">
        <f>'Project Charts'!AO:AO*"AM:!0he"</f>
        <v>#VALUE!</v>
      </c>
      <c r="EH301" t="e">
        <f>'Project Charts'!AP:AP*"AM:!0hf"</f>
        <v>#VALUE!</v>
      </c>
      <c r="EI301" t="e">
        <f>'Project Charts'!AQ:AQ*"AM:!0hg"</f>
        <v>#VALUE!</v>
      </c>
      <c r="EJ301" t="e">
        <f>'Project Charts'!AR:AR*"AM:!0hh"</f>
        <v>#VALUE!</v>
      </c>
      <c r="EK301" t="e">
        <f>'Project Charts'!AS:AS*"AM:!0hi"</f>
        <v>#VALUE!</v>
      </c>
      <c r="EL301" t="e">
        <f>'Project Charts'!AT:AT*"AM:!0hj"</f>
        <v>#VALUE!</v>
      </c>
      <c r="EM301" t="e">
        <f>'Project Charts'!AU:AU*"AM:!0hk"</f>
        <v>#VALUE!</v>
      </c>
      <c r="EN301" t="e">
        <f>'Project Charts'!AV:AV*"AM:!0hl"</f>
        <v>#VALUE!</v>
      </c>
      <c r="EO301" t="e">
        <f>'Project Charts'!AW:AW*"AM:!0hm"</f>
        <v>#VALUE!</v>
      </c>
      <c r="EP301" t="e">
        <f>'Project Charts'!AX:AX*"AM:!0hn"</f>
        <v>#VALUE!</v>
      </c>
      <c r="EQ301" t="e">
        <f>'Project Charts'!AY:AY*"AM:!0ho"</f>
        <v>#VALUE!</v>
      </c>
      <c r="ER301" t="e">
        <f>'Project Charts'!AZ:AZ*"AM:!0hp"</f>
        <v>#VALUE!</v>
      </c>
      <c r="ES301" t="e">
        <f>'Project Charts'!BA:BA*"AM:!0hq"</f>
        <v>#VALUE!</v>
      </c>
      <c r="ET301" t="e">
        <f>'Project Charts'!BB:BB*"AM:!0hr"</f>
        <v>#VALUE!</v>
      </c>
      <c r="EU301" t="e">
        <f>'Project Charts'!BC:BC*"AM:!0hs"</f>
        <v>#VALUE!</v>
      </c>
      <c r="EV301" t="e">
        <f>'Project Charts'!BD:BD*"AM:!0ht"</f>
        <v>#VALUE!</v>
      </c>
      <c r="EW301" t="e">
        <f>'Project Charts'!BE:BE*"AM:!0hu"</f>
        <v>#VALUE!</v>
      </c>
      <c r="EX301" t="e">
        <f>'Project Charts'!BF:BF*"AM:!0hv"</f>
        <v>#VALUE!</v>
      </c>
      <c r="EY301" t="e">
        <f>'Project Charts'!BG:BG*"AM:!0hw"</f>
        <v>#VALUE!</v>
      </c>
      <c r="EZ301" t="e">
        <f>'Project Charts'!BH:BH*"AM:!0hx"</f>
        <v>#VALUE!</v>
      </c>
      <c r="FA301" t="e">
        <f>'Project Charts'!BI:BI*"AM:!0hy"</f>
        <v>#VALUE!</v>
      </c>
      <c r="FB301" t="e">
        <f>'Project Charts'!BJ:BJ*"AM:!0hz"</f>
        <v>#VALUE!</v>
      </c>
      <c r="FC301" t="e">
        <f>'Project Charts'!BK:BK*"AM:!0h{"</f>
        <v>#VALUE!</v>
      </c>
      <c r="FD301" t="e">
        <f>'Project Charts'!BL:BL*"AM:!0h|"</f>
        <v>#VALUE!</v>
      </c>
      <c r="FE301" t="e">
        <f>'Project Charts'!BM:BM*"AM:!0h}"</f>
        <v>#VALUE!</v>
      </c>
      <c r="FF301" t="e">
        <f>'Project Charts'!BN:BN*"AM:!0h~"</f>
        <v>#VALUE!</v>
      </c>
      <c r="FG301" t="e">
        <f>'Project Charts'!BO:BO*"AM:!0i#"</f>
        <v>#VALUE!</v>
      </c>
      <c r="FH301" t="e">
        <f>'Project Charts'!BP:BP*"AM:!0i$"</f>
        <v>#VALUE!</v>
      </c>
      <c r="FI301" t="e">
        <f>'Project Charts'!BQ:BQ*"AM:!0i%"</f>
        <v>#VALUE!</v>
      </c>
      <c r="FJ301" t="e">
        <f>'Project Charts'!BR:BR*"AM:!0i&amp;"</f>
        <v>#VALUE!</v>
      </c>
      <c r="FK301" t="e">
        <f>'Project Charts'!1:1-"AM:!0i'"</f>
        <v>#VALUE!</v>
      </c>
      <c r="FL301" t="e">
        <f>'Project Charts'!2:2-"AM:!0i("</f>
        <v>#VALUE!</v>
      </c>
      <c r="FM301" t="e">
        <f>'Project Charts'!3:3-"AM:!0i)"</f>
        <v>#VALUE!</v>
      </c>
      <c r="FN301" t="e">
        <f>'Project Charts'!4:4-"AM:!0i."</f>
        <v>#VALUE!</v>
      </c>
      <c r="FO301" t="e">
        <f>'Project Charts'!5:5-"AM:!0i/"</f>
        <v>#VALUE!</v>
      </c>
      <c r="FP301" t="e">
        <f>'Project Charts'!6:6-"AM:!0i0"</f>
        <v>#VALUE!</v>
      </c>
      <c r="FQ301" t="e">
        <f>'Project Charts'!7:7-"AM:!0i1"</f>
        <v>#VALUE!</v>
      </c>
      <c r="FR301" t="e">
        <f>'Project Charts'!8:8-"AM:!0i2"</f>
        <v>#VALUE!</v>
      </c>
      <c r="FS301" t="e">
        <f>'Project Charts'!9:9-"AM:!0i3"</f>
        <v>#VALUE!</v>
      </c>
      <c r="FT301" t="e">
        <f>'Project Charts'!10:10-"AM:!0i4"</f>
        <v>#VALUE!</v>
      </c>
      <c r="FU301" t="e">
        <f>'Project Charts'!11:11-"AM:!0i5"</f>
        <v>#VALUE!</v>
      </c>
      <c r="FV301" t="e">
        <f>'Project Charts'!12:12-"AM:!0i6"</f>
        <v>#VALUE!</v>
      </c>
      <c r="FW301" t="e">
        <f>'Project Charts'!13:13-"AM:!0i7"</f>
        <v>#VALUE!</v>
      </c>
      <c r="FX301" t="e">
        <f>'Project Charts'!14:14-"AM:!0i8"</f>
        <v>#VALUE!</v>
      </c>
      <c r="FY301" t="e">
        <f>'Project Charts'!15:15-"AM:!0i9"</f>
        <v>#VALUE!</v>
      </c>
      <c r="FZ301" t="e">
        <f>'Project Charts'!16:16-"AM:!0i:"</f>
        <v>#VALUE!</v>
      </c>
      <c r="GA301" t="e">
        <f>'Project Charts'!17:17-"AM:!0i;"</f>
        <v>#VALUE!</v>
      </c>
      <c r="GB301" t="e">
        <f>'Project Charts'!18:18-"AM:!0i&lt;"</f>
        <v>#VALUE!</v>
      </c>
      <c r="GC301" t="e">
        <f>'Project Charts'!19:19-"AM:!0i="</f>
        <v>#VALUE!</v>
      </c>
      <c r="GD301" t="e">
        <f>'Project Charts'!20:20-"AM:!0i&gt;"</f>
        <v>#VALUE!</v>
      </c>
      <c r="GE301" t="e">
        <f>'Project Charts'!21:21-"AM:!0i?"</f>
        <v>#VALUE!</v>
      </c>
      <c r="GF301" t="e">
        <f>'Project Charts'!22:22-"AM:!0i@"</f>
        <v>#VALUE!</v>
      </c>
      <c r="GG301" t="e">
        <f>'Project Charts'!23:23-"AM:!0iA"</f>
        <v>#VALUE!</v>
      </c>
      <c r="GH301" t="e">
        <f>'Project Charts'!24:24-"AM:!0iB"</f>
        <v>#VALUE!</v>
      </c>
      <c r="GI301" t="e">
        <f>'Project Charts'!25:25-"AM:!0iC"</f>
        <v>#VALUE!</v>
      </c>
      <c r="GJ301" t="e">
        <f>'Project Charts'!26:26-"AM:!0iD"</f>
        <v>#VALUE!</v>
      </c>
      <c r="GK301" t="e">
        <f>'Project Charts'!27:27-"AM:!0iE"</f>
        <v>#VALUE!</v>
      </c>
      <c r="GL301" t="e">
        <f>'Project Charts'!28:28-"AM:!0iF"</f>
        <v>#VALUE!</v>
      </c>
      <c r="GM301" t="e">
        <f>'Project Charts'!29:29-"AM:!0iG"</f>
        <v>#VALUE!</v>
      </c>
      <c r="GN301" t="e">
        <f>'Project Charts'!30:30-"AM:!0iH"</f>
        <v>#VALUE!</v>
      </c>
      <c r="GO301" t="e">
        <f>'Project Charts'!31:31-"AM:!0iI"</f>
        <v>#VALUE!</v>
      </c>
      <c r="GP301" t="e">
        <f>'Project Charts'!32:32-"AM:!0iJ"</f>
        <v>#VALUE!</v>
      </c>
      <c r="GQ301" t="e">
        <f>'Project Charts'!33:33-"AM:!0iK"</f>
        <v>#VALUE!</v>
      </c>
      <c r="GR301" t="e">
        <f>'Project Charts'!34:34-"AM:!0iL"</f>
        <v>#VALUE!</v>
      </c>
      <c r="GS301" t="e">
        <f>'Project Charts'!35:35-"AM:!0iM"</f>
        <v>#VALUE!</v>
      </c>
      <c r="GT301" t="e">
        <f>'Project Charts'!36:36-"AM:!0iN"</f>
        <v>#VALUE!</v>
      </c>
      <c r="GU301" t="e">
        <f>'Project Charts'!37:37-"AM:!0iO"</f>
        <v>#VALUE!</v>
      </c>
      <c r="GV301" t="e">
        <f>'Project Charts'!38:38-"AM:!0iP"</f>
        <v>#VALUE!</v>
      </c>
      <c r="GW301" t="e">
        <f>'Project Charts'!39:39-"AM:!0iQ"</f>
        <v>#VALUE!</v>
      </c>
      <c r="GX301" t="e">
        <f>'Project Charts'!40:40-"AM:!0iR"</f>
        <v>#VALUE!</v>
      </c>
      <c r="GY301" t="e">
        <f>'Project Charts'!41:41-"AM:!0iS"</f>
        <v>#VALUE!</v>
      </c>
      <c r="GZ301" t="e">
        <f>'Project Charts'!42:42-"AM:!0iT"</f>
        <v>#VALUE!</v>
      </c>
      <c r="HA301" t="e">
        <f>'Project Charts'!43:43-"AM:!0iU"</f>
        <v>#VALUE!</v>
      </c>
      <c r="HB301" t="e">
        <f>'Project Charts'!44:44-"AM:!0iV"</f>
        <v>#VALUE!</v>
      </c>
      <c r="HC301" t="e">
        <f>'Project Charts'!45:45-"AM:!0iW"</f>
        <v>#VALUE!</v>
      </c>
      <c r="HD301" t="e">
        <f>'Project Charts'!46:46-"AM:!0iX"</f>
        <v>#VALUE!</v>
      </c>
      <c r="HE301" t="e">
        <f>'Project Charts'!47:47-"AM:!0iY"</f>
        <v>#VALUE!</v>
      </c>
      <c r="HF301" t="e">
        <f>'Project Charts'!48:48-"AM:!0iZ"</f>
        <v>#VALUE!</v>
      </c>
      <c r="HG301" t="e">
        <f>'Project Charts'!49:49-"AM:!0i["</f>
        <v>#VALUE!</v>
      </c>
      <c r="HH301" t="e">
        <f>'Project Charts'!50:50-"AM:!0i\"</f>
        <v>#VALUE!</v>
      </c>
      <c r="HI301" t="e">
        <f>'Project Charts'!51:51-"AM:!0i]"</f>
        <v>#VALUE!</v>
      </c>
      <c r="HJ301" t="e">
        <f>'Project Charts'!52:52-"AM:!0i^"</f>
        <v>#VALUE!</v>
      </c>
      <c r="HK301" t="e">
        <f>'Project Charts'!53:53-"AM:!0i_"</f>
        <v>#VALUE!</v>
      </c>
      <c r="HL301" t="e">
        <f>'Project Charts'!54:54-"AM:!0i`"</f>
        <v>#VALUE!</v>
      </c>
      <c r="HM301" t="e">
        <f>'Project Charts'!55:55-"AM:!0ia"</f>
        <v>#VALUE!</v>
      </c>
      <c r="HN301" t="e">
        <f>'Project Charts'!56:56-"AM:!0ib"</f>
        <v>#VALUE!</v>
      </c>
      <c r="HO301" t="e">
        <f>'Project Charts'!57:57-"AM:!0ic"</f>
        <v>#VALUE!</v>
      </c>
      <c r="HP301" t="e">
        <f>'Project Charts'!58:58-"AM:!0id"</f>
        <v>#VALUE!</v>
      </c>
      <c r="HQ301" t="e">
        <f>'Project Charts'!59:59-"AM:!0ie"</f>
        <v>#VALUE!</v>
      </c>
      <c r="HR301" t="e">
        <f>'Project Charts'!60:60-"AM:!0if"</f>
        <v>#VALUE!</v>
      </c>
      <c r="HS301" t="e">
        <f>'Project Charts'!61:61-"AM:!0ig"</f>
        <v>#VALUE!</v>
      </c>
      <c r="HT301" t="e">
        <f>'Project Charts'!62:62-"AM:!0ih"</f>
        <v>#VALUE!</v>
      </c>
      <c r="HU301" t="e">
        <f>'Project Charts'!63:63-"AM:!0ii"</f>
        <v>#VALUE!</v>
      </c>
      <c r="HV301" t="e">
        <f>'Project Charts'!64:64-"AM:!0ij"</f>
        <v>#VALUE!</v>
      </c>
      <c r="HW301" t="e">
        <f>'Project Charts'!65:65-"AM:!0ik"</f>
        <v>#VALUE!</v>
      </c>
      <c r="HX301" t="e">
        <f>'Project Charts'!66:66-"AM:!0il"</f>
        <v>#VALUE!</v>
      </c>
      <c r="HY301" t="e">
        <f>'Project Charts'!67:67-"AM:!0im"</f>
        <v>#VALUE!</v>
      </c>
      <c r="HZ301" t="e">
        <f>'Project Charts'!68:68-"AM:!0in"</f>
        <v>#VALUE!</v>
      </c>
      <c r="IA301" t="e">
        <f>'Project Charts'!69:69-"AM:!0io"</f>
        <v>#VALUE!</v>
      </c>
      <c r="IB301" t="e">
        <f>'Project Charts'!70:70-"AM:!0ip"</f>
        <v>#VALUE!</v>
      </c>
      <c r="IC301" t="e">
        <f>'Project Charts'!71:71-"AM:!0iq"</f>
        <v>#VALUE!</v>
      </c>
      <c r="ID301" t="e">
        <f>'Project Charts'!72:72-"AM:!0ir"</f>
        <v>#VALUE!</v>
      </c>
      <c r="IE301" t="e">
        <f>'Project Charts'!73:73-"AM:!0is"</f>
        <v>#VALUE!</v>
      </c>
      <c r="IF301" t="e">
        <f>'Project Charts'!74:74-"AM:!0it"</f>
        <v>#VALUE!</v>
      </c>
      <c r="IG301" t="e">
        <f>'Project Charts'!75:75-"AM:!0iu"</f>
        <v>#VALUE!</v>
      </c>
      <c r="IH301" t="e">
        <f>'Project Charts'!76:76-"AM:!0iv"</f>
        <v>#VALUE!</v>
      </c>
      <c r="II301" t="e">
        <f>'Project Charts'!77:77-"AM:!0iw"</f>
        <v>#VALUE!</v>
      </c>
      <c r="IJ301" t="e">
        <f>'Project Charts'!78:78-"AM:!0ix"</f>
        <v>#VALUE!</v>
      </c>
      <c r="IK301" t="e">
        <f>'Project Charts'!79:79-"AM:!0iy"</f>
        <v>#VALUE!</v>
      </c>
      <c r="IL301" t="e">
        <f>'Project Charts'!80:80-"AM:!0iz"</f>
        <v>#VALUE!</v>
      </c>
      <c r="IM301" t="e">
        <f>'Project Charts'!81:81-"AM:!0i{"</f>
        <v>#VALUE!</v>
      </c>
      <c r="IN301" t="e">
        <f>'Project Charts'!82:82-"AM:!0i|"</f>
        <v>#VALUE!</v>
      </c>
      <c r="IO301" t="e">
        <f>'Project Charts'!83:83-"AM:!0i}"</f>
        <v>#VALUE!</v>
      </c>
      <c r="IP301" t="e">
        <f>'Project Charts'!84:84-"AM:!0i~"</f>
        <v>#VALUE!</v>
      </c>
      <c r="IQ301" t="e">
        <f>'Project Charts'!85:85-"AM:!0j#"</f>
        <v>#VALUE!</v>
      </c>
      <c r="IR301" t="e">
        <f>'Project Charts'!86:86-"AM:!0j$"</f>
        <v>#VALUE!</v>
      </c>
      <c r="IS301" t="e">
        <f>'Project Charts'!87:87-"AM:!0j%"</f>
        <v>#VALUE!</v>
      </c>
      <c r="IT301" t="e">
        <f>'Project Charts'!88:88-"AM:!0j&amp;"</f>
        <v>#VALUE!</v>
      </c>
      <c r="IU301" t="e">
        <f>'Project Charts'!89:89-"AM:!0j'"</f>
        <v>#VALUE!</v>
      </c>
      <c r="IV301" t="e">
        <f>'Project Charts'!90:90-"AM:!0j("</f>
        <v>#VALUE!</v>
      </c>
    </row>
    <row r="302" spans="6:256">
      <c r="F302" t="e">
        <f>'Project Charts'!91:91-"AM:!0j)"</f>
        <v>#VALUE!</v>
      </c>
      <c r="G302" t="e">
        <f>'Project Charts'!92:92-"AM:!0j."</f>
        <v>#VALUE!</v>
      </c>
      <c r="H302" t="e">
        <f>'Project Charts'!93:93-"AM:!0j/"</f>
        <v>#VALUE!</v>
      </c>
      <c r="I302" t="e">
        <f>'Project Charts'!94:94-"AM:!0j0"</f>
        <v>#VALUE!</v>
      </c>
      <c r="J302" t="e">
        <f>'Project Charts'!95:95-"AM:!0j1"</f>
        <v>#VALUE!</v>
      </c>
      <c r="K302" t="e">
        <f>'Project Charts'!96:96-"AM:!0j2"</f>
        <v>#VALUE!</v>
      </c>
      <c r="L302" t="e">
        <f>'Project Charts'!97:97-"AM:!0j3"</f>
        <v>#VALUE!</v>
      </c>
      <c r="M302" t="e">
        <f>'Project Charts'!98:98-"AM:!0j4"</f>
        <v>#VALUE!</v>
      </c>
      <c r="N302" t="e">
        <f>'Project Charts'!99:99-"AM:!0j5"</f>
        <v>#VALUE!</v>
      </c>
      <c r="O302" t="e">
        <f>'Project Charts'!100:100-"AM:!0j6"</f>
        <v>#VALUE!</v>
      </c>
      <c r="P302" t="e">
        <f>'Project Charts'!101:101-"AM:!0j7"</f>
        <v>#VALUE!</v>
      </c>
      <c r="Q302" t="e">
        <f>'Project Charts'!102:102-"AM:!0j8"</f>
        <v>#VALUE!</v>
      </c>
      <c r="R302" t="e">
        <f>'Project Charts'!103:103-"AM:!0j9"</f>
        <v>#VALUE!</v>
      </c>
      <c r="S302" t="e">
        <f>'Project Charts'!104:104-"AM:!0j:"</f>
        <v>#VALUE!</v>
      </c>
      <c r="T302" t="e">
        <f>'Project Charts'!105:105-"AM:!0j;"</f>
        <v>#VALUE!</v>
      </c>
      <c r="U302" t="e">
        <f>'Project Charts'!106:106-"AM:!0j&lt;"</f>
        <v>#VALUE!</v>
      </c>
      <c r="V302" t="e">
        <f>'Project Charts'!107:107-"AM:!0j="</f>
        <v>#VALUE!</v>
      </c>
      <c r="W302" t="e">
        <f>'Project Charts'!108:108-"AM:!0j&gt;"</f>
        <v>#VALUE!</v>
      </c>
      <c r="X302" t="e">
        <f>'Project Charts'!109:109-"AM:!0j?"</f>
        <v>#VALUE!</v>
      </c>
      <c r="Y302" t="e">
        <f>'Project Charts'!110:110-"AM:!0j@"</f>
        <v>#VALUE!</v>
      </c>
      <c r="Z302" t="e">
        <f>'Project Charts'!111:111-"AM:!0jA"</f>
        <v>#VALUE!</v>
      </c>
      <c r="AA302" t="e">
        <f>'Project Charts'!112:112-"AM:!0jB"</f>
        <v>#VALUE!</v>
      </c>
      <c r="AB302" t="e">
        <f>'Project Charts'!113:113-"AM:!0jC"</f>
        <v>#VALUE!</v>
      </c>
      <c r="AC302" t="e">
        <f>'Project Charts'!114:114-"AM:!0jD"</f>
        <v>#VALUE!</v>
      </c>
      <c r="AD302" t="e">
        <f>'Project Charts'!115:115-"AM:!0jE"</f>
        <v>#VALUE!</v>
      </c>
      <c r="AE302" t="e">
        <f>'Project Charts'!116:116-"AM:!0jF"</f>
        <v>#VALUE!</v>
      </c>
      <c r="AF302" t="e">
        <f>'Project Charts'!117:117-"AM:!0jG"</f>
        <v>#VALUE!</v>
      </c>
      <c r="AG302" t="e">
        <f>'Project Charts'!118:118-"AM:!0jH"</f>
        <v>#VALUE!</v>
      </c>
      <c r="AH302" t="e">
        <f>'Project Charts'!119:119-"AM:!0jI"</f>
        <v>#VALUE!</v>
      </c>
      <c r="AI302" t="e">
        <f>'Project Charts'!120:120-"AM:!0jJ"</f>
        <v>#VALUE!</v>
      </c>
      <c r="AJ302" t="e">
        <f>'Project Charts'!121:121-"AM:!0jK"</f>
        <v>#VALUE!</v>
      </c>
      <c r="AK302" t="e">
        <f>'Project Charts'!122:122-"AM:!0jL"</f>
        <v>#VALUE!</v>
      </c>
      <c r="AL302" t="e">
        <f>'Project Charts'!123:123-"AM:!0jM"</f>
        <v>#VALUE!</v>
      </c>
      <c r="AM302" t="e">
        <f>'Project Charts'!124:124-"AM:!0jN"</f>
        <v>#VALUE!</v>
      </c>
      <c r="AN302" t="e">
        <f>'Project Charts'!125:125-"AM:!0jO"</f>
        <v>#VALUE!</v>
      </c>
      <c r="AO302" t="e">
        <f>'Project Charts'!126:126-"AM:!0jP"</f>
        <v>#VALUE!</v>
      </c>
      <c r="AP302" t="e">
        <f>'Project Charts'!127:127-"AM:!0jQ"</f>
        <v>#VALUE!</v>
      </c>
      <c r="AQ302" t="e">
        <f>'Project Charts'!128:128-"AM:!0jR"</f>
        <v>#VALUE!</v>
      </c>
      <c r="AR302" t="e">
        <f>'Project Charts'!129:129-"AM:!0jS"</f>
        <v>#VALUE!</v>
      </c>
      <c r="AS302" t="e">
        <f>'Project Charts'!130:130-"AM:!0jT"</f>
        <v>#VALUE!</v>
      </c>
      <c r="AT302" t="e">
        <f>'Project Charts'!131:131-"AM:!0jU"</f>
        <v>#VALUE!</v>
      </c>
      <c r="AU302" t="e">
        <f>'Project Charts'!132:132-"AM:!0jV"</f>
        <v>#VALUE!</v>
      </c>
      <c r="AV302" t="e">
        <f>'Project Charts'!133:133-"AM:!0jW"</f>
        <v>#VALUE!</v>
      </c>
      <c r="AW302" t="e">
        <f>'Project Charts'!134:134-"AM:!0jX"</f>
        <v>#VALUE!</v>
      </c>
      <c r="AX302" t="e">
        <f>'Project Charts'!135:135-"AM:!0jY"</f>
        <v>#VALUE!</v>
      </c>
      <c r="AY302" t="e">
        <f>'Project Charts'!136:136-"AM:!0jZ"</f>
        <v>#VALUE!</v>
      </c>
      <c r="AZ302" t="e">
        <f>'Project Charts'!137:137-"AM:!0j["</f>
        <v>#VALUE!</v>
      </c>
      <c r="BA302" t="e">
        <f>'Project Charts'!138:138-"AM:!0j\"</f>
        <v>#VALUE!</v>
      </c>
      <c r="BB302" t="e">
        <f>'Project Charts'!139:139-"AM:!0j]"</f>
        <v>#VALUE!</v>
      </c>
      <c r="BC302" t="e">
        <f>'Project Charts'!140:140-"AM:!0j^"</f>
        <v>#VALUE!</v>
      </c>
      <c r="BD302" t="e">
        <f>'Project Charts'!141:141-"AM:!0j_"</f>
        <v>#VALUE!</v>
      </c>
      <c r="BE302" t="e">
        <f>'Project Charts'!142:142-"AM:!0j`"</f>
        <v>#VALUE!</v>
      </c>
      <c r="BF302" t="e">
        <f>'Project Charts'!143:143-"AM:!0ja"</f>
        <v>#VALUE!</v>
      </c>
      <c r="BG302" t="e">
        <f>'Project Charts'!144:144-"AM:!0jb"</f>
        <v>#VALUE!</v>
      </c>
      <c r="BH302" t="e">
        <f>'Project Charts'!145:145-"AM:!0jc"</f>
        <v>#VALUE!</v>
      </c>
      <c r="BI302" t="e">
        <f>'Project Charts'!146:146-"AM:!0jd"</f>
        <v>#VALUE!</v>
      </c>
      <c r="BJ302" t="e">
        <f>'Project Charts'!147:147-"AM:!0je"</f>
        <v>#VALUE!</v>
      </c>
      <c r="BK302" t="e">
        <f>'Project Charts'!148:148-"AM:!0jf"</f>
        <v>#VALUE!</v>
      </c>
      <c r="BL302" t="e">
        <f>'Project Charts'!149:149-"AM:!0jg"</f>
        <v>#VALUE!</v>
      </c>
      <c r="BM302" t="e">
        <f>'Project Charts'!150:150-"AM:!0jh"</f>
        <v>#VALUE!</v>
      </c>
      <c r="BN302" t="e">
        <f>'Project Charts'!151:151-"AM:!0ji"</f>
        <v>#VALUE!</v>
      </c>
      <c r="BO302" t="e">
        <f>'Project Charts'!152:152-"AM:!0jj"</f>
        <v>#VALUE!</v>
      </c>
      <c r="BP302" t="e">
        <f>'Project Charts'!153:153-"AM:!0jk"</f>
        <v>#VALUE!</v>
      </c>
      <c r="BQ302" t="e">
        <f>'Project Charts'!154:154-"AM:!0jl"</f>
        <v>#VALUE!</v>
      </c>
      <c r="BR302" t="e">
        <f>'Project Charts'!155:155-"AM:!0jm"</f>
        <v>#VALUE!</v>
      </c>
      <c r="BS302" t="e">
        <f>'Project Charts'!156:156-"AM:!0jn"</f>
        <v>#VALUE!</v>
      </c>
      <c r="BT302" t="e">
        <f>'Project Charts'!157:157-"AM:!0jo"</f>
        <v>#VALUE!</v>
      </c>
      <c r="BU302" t="e">
        <f>'Project Charts'!158:158-"AM:!0jp"</f>
        <v>#VALUE!</v>
      </c>
      <c r="BV302" t="e">
        <f>'Project Charts'!159:159-"AM:!0jq"</f>
        <v>#VALUE!</v>
      </c>
      <c r="BW302" t="e">
        <f>'Project Charts'!160:160-"AM:!0jr"</f>
        <v>#VALUE!</v>
      </c>
      <c r="BX302" t="e">
        <f>'Project Charts'!161:161-"AM:!0js"</f>
        <v>#VALUE!</v>
      </c>
      <c r="BY302" t="e">
        <f>'Project Charts'!162:162-"AM:!0jt"</f>
        <v>#VALUE!</v>
      </c>
      <c r="BZ302" t="e">
        <f>'Project Charts'!163:163-"AM:!0ju"</f>
        <v>#VALUE!</v>
      </c>
      <c r="CA302" t="e">
        <f>'Project Charts'!164:164-"AM:!0jv"</f>
        <v>#VALUE!</v>
      </c>
      <c r="CB302" t="e">
        <f>'Project Charts'!165:165-"AM:!0jw"</f>
        <v>#VALUE!</v>
      </c>
      <c r="CC302" t="e">
        <f>'Project Charts'!166:166-"AM:!0jx"</f>
        <v>#VALUE!</v>
      </c>
      <c r="CD302" t="e">
        <f>'Project Charts'!167:167-"AM:!0jy"</f>
        <v>#VALUE!</v>
      </c>
      <c r="CE302" t="e">
        <f>'Project Charts'!168:168-"AM:!0jz"</f>
        <v>#VALUE!</v>
      </c>
      <c r="CF302" t="e">
        <f>'Project Charts'!169:169-"AM:!0j{"</f>
        <v>#VALUE!</v>
      </c>
      <c r="CG302" t="e">
        <f>'Project Charts'!170:170-"AM:!0j|"</f>
        <v>#VALUE!</v>
      </c>
      <c r="CH302" t="e">
        <f>'Project Charts'!171:171-"AM:!0j}"</f>
        <v>#VALUE!</v>
      </c>
      <c r="CI302" t="e">
        <f>'Project Charts'!172:172-"AM:!0j~"</f>
        <v>#VALUE!</v>
      </c>
      <c r="CJ302" t="e">
        <f>'Project Charts'!173:173-"AM:!0k#"</f>
        <v>#VALUE!</v>
      </c>
      <c r="CK302" t="e">
        <f>'Project Charts'!174:174-"AM:!0k$"</f>
        <v>#VALUE!</v>
      </c>
      <c r="CL302" t="e">
        <f>'Project Charts'!175:175-"AM:!0k%"</f>
        <v>#VALUE!</v>
      </c>
      <c r="CM302" t="e">
        <f>'Project Charts'!176:176-"AM:!0k&amp;"</f>
        <v>#VALUE!</v>
      </c>
      <c r="CN302" t="e">
        <f>'Project Charts'!177:177-"AM:!0k'"</f>
        <v>#VALUE!</v>
      </c>
      <c r="CO302" t="e">
        <f>'Project Charts'!178:178-"AM:!0k("</f>
        <v>#VALUE!</v>
      </c>
      <c r="CP302" t="e">
        <f>'Project Charts'!179:179-"AM:!0k)"</f>
        <v>#VALUE!</v>
      </c>
      <c r="CQ302" t="e">
        <f>'Project Charts'!180:180-"AM:!0k."</f>
        <v>#VALUE!</v>
      </c>
      <c r="CR302" t="e">
        <f>'Project Charts'!181:181-"AM:!0k/"</f>
        <v>#VALUE!</v>
      </c>
      <c r="CS302" t="e">
        <f>'Project Charts'!182:182-"AM:!0k0"</f>
        <v>#VALUE!</v>
      </c>
      <c r="CT302" t="e">
        <f>'Project Charts'!183:183-"AM:!0k1"</f>
        <v>#VALUE!</v>
      </c>
      <c r="CU302" t="e">
        <f>'Project Charts'!184:184-"AM:!0k2"</f>
        <v>#VALUE!</v>
      </c>
      <c r="CV302" t="e">
        <f>'Project Charts'!185:185-"AM:!0k3"</f>
        <v>#VALUE!</v>
      </c>
      <c r="CW302" t="e">
        <f>'Project Charts'!186:186-"AM:!0k4"</f>
        <v>#VALUE!</v>
      </c>
      <c r="CX302" t="e">
        <f>'Project Charts'!187:187-"AM:!0k5"</f>
        <v>#VALUE!</v>
      </c>
      <c r="CY302" t="e">
        <f>'Project Charts'!188:188-"AM:!0k6"</f>
        <v>#VALUE!</v>
      </c>
      <c r="CZ302" t="e">
        <f>'Project Charts'!189:189-"AM:!0k7"</f>
        <v>#VALUE!</v>
      </c>
      <c r="DA302" t="e">
        <f>'Project Charts'!190:190-"AM:!0k8"</f>
        <v>#VALUE!</v>
      </c>
      <c r="DB302" t="e">
        <f>'Project Charts'!191:191-"AM:!0k9"</f>
        <v>#VALUE!</v>
      </c>
      <c r="DC302" t="e">
        <f>'Project Charts'!192:192-"AM:!0k:"</f>
        <v>#VALUE!</v>
      </c>
      <c r="DD302" t="e">
        <f>'Project Charts'!193:193-"AM:!0k;"</f>
        <v>#VALUE!</v>
      </c>
      <c r="DE302" t="e">
        <f>'Project Charts'!194:194-"AM:!0k&lt;"</f>
        <v>#VALUE!</v>
      </c>
      <c r="DF302" t="e">
        <f>'Project Charts'!195:195-"AM:!0k="</f>
        <v>#VALUE!</v>
      </c>
      <c r="DG302" t="e">
        <f>'Project Charts'!196:196-"AM:!0k&gt;"</f>
        <v>#VALUE!</v>
      </c>
      <c r="DH302" t="e">
        <f>'Project Charts'!197:197-"AM:!0k?"</f>
        <v>#VALUE!</v>
      </c>
      <c r="DI302" t="e">
        <f>'Project Charts'!198:198-"AM:!0k@"</f>
        <v>#VALUE!</v>
      </c>
      <c r="DJ302" t="e">
        <f>'Project Charts'!199:199-"AM:!0kA"</f>
        <v>#VALUE!</v>
      </c>
      <c r="DK302" t="e">
        <f>'Project Charts'!200:200-"AM:!0kB"</f>
        <v>#VALUE!</v>
      </c>
      <c r="DL302" t="e">
        <f>'Project Charts'!201:201-"AM:!0kC"</f>
        <v>#VALUE!</v>
      </c>
      <c r="DM302" t="e">
        <f>'Project Charts'!202:202-"AM:!0kD"</f>
        <v>#VALUE!</v>
      </c>
      <c r="DN302" t="e">
        <f>'Project Charts'!203:203-"AM:!0kE"</f>
        <v>#VALUE!</v>
      </c>
      <c r="DO302" t="e">
        <f>'Project Charts'!204:204-"AM:!0kF"</f>
        <v>#VALUE!</v>
      </c>
      <c r="DP302" t="e">
        <f>'Project Charts'!205:205-"AM:!0kG"</f>
        <v>#VALUE!</v>
      </c>
      <c r="DQ302" t="e">
        <f>'Project Charts'!206:206-"AM:!0kH"</f>
        <v>#VALUE!</v>
      </c>
      <c r="DR302" t="e">
        <f>'Project Charts'!207:207-"AM:!0kI"</f>
        <v>#VALUE!</v>
      </c>
      <c r="DS302" t="e">
        <f>'Project Charts'!208:208-"AM:!0kJ"</f>
        <v>#VALUE!</v>
      </c>
      <c r="DT302" t="e">
        <f>'Project Charts'!209:209-"AM:!0kK"</f>
        <v>#VALUE!</v>
      </c>
      <c r="DU302" t="e">
        <f>'Project Charts'!210:210-"AM:!0kL"</f>
        <v>#VALUE!</v>
      </c>
      <c r="DV302" t="e">
        <f>'Project Charts'!211:211-"AM:!0kM"</f>
        <v>#VALUE!</v>
      </c>
      <c r="DW302" t="e">
        <f>'Project Charts'!212:212-"AM:!0kN"</f>
        <v>#VALUE!</v>
      </c>
      <c r="DX302" t="e">
        <f>'Project Charts'!213:213-"AM:!0kO"</f>
        <v>#VALUE!</v>
      </c>
      <c r="DY302" t="e">
        <f>'Project Charts'!214:214-"AM:!0kP"</f>
        <v>#VALUE!</v>
      </c>
      <c r="DZ302" t="e">
        <f>'Project Charts'!215:215-"AM:!0kQ"</f>
        <v>#VALUE!</v>
      </c>
      <c r="EA302" t="e">
        <f>'Project Charts'!216:216-"AM:!0kR"</f>
        <v>#VALUE!</v>
      </c>
      <c r="EB302" t="e">
        <f>'Project Charts'!217:217-"AM:!0kS"</f>
        <v>#VALUE!</v>
      </c>
      <c r="EC302" t="e">
        <f>'Project Charts'!218:218-"AM:!0kT"</f>
        <v>#VALUE!</v>
      </c>
      <c r="ED302" t="e">
        <f>'Project Charts'!219:219-"AM:!0kU"</f>
        <v>#VALUE!</v>
      </c>
      <c r="EE302" t="e">
        <f>'Project Charts'!220:220-"AM:!0kV"</f>
        <v>#VALUE!</v>
      </c>
      <c r="EF302" t="e">
        <f>'Project Charts'!221:221-"AM:!0kW"</f>
        <v>#VALUE!</v>
      </c>
      <c r="EG302" t="e">
        <f>'Project Charts'!222:222-"AM:!0kX"</f>
        <v>#VALUE!</v>
      </c>
      <c r="EH302" t="e">
        <f>'Project Charts'!223:223-"AM:!0kY"</f>
        <v>#VALUE!</v>
      </c>
      <c r="EI302" t="e">
        <f>'Project Charts'!224:224-"AM:!0kZ"</f>
        <v>#VALUE!</v>
      </c>
      <c r="EJ302" t="e">
        <f>'Project Charts'!225:225-"AM:!0k["</f>
        <v>#VALUE!</v>
      </c>
      <c r="EK302" t="e">
        <f>'Project Charts'!226:226-"AM:!0k\"</f>
        <v>#VALUE!</v>
      </c>
      <c r="EL302" t="e">
        <f>'Project Charts'!227:227-"AM:!0k]"</f>
        <v>#VALUE!</v>
      </c>
      <c r="EM302" t="e">
        <f>'Project Charts'!228:228-"AM:!0k^"</f>
        <v>#VALUE!</v>
      </c>
      <c r="EN302" t="e">
        <f>'Project Charts'!229:229-"AM:!0k_"</f>
        <v>#VALUE!</v>
      </c>
      <c r="EO302" t="e">
        <f>'Project Charts'!230:230-"AM:!0k`"</f>
        <v>#VALUE!</v>
      </c>
      <c r="EP302" t="e">
        <f>'Project Charts'!231:231-"AM:!0ka"</f>
        <v>#VALUE!</v>
      </c>
      <c r="EQ302" t="e">
        <f>'Project Charts'!232:232-"AM:!0kb"</f>
        <v>#VALUE!</v>
      </c>
      <c r="ER302" t="e">
        <f>'Project Charts'!233:233-"AM:!0kc"</f>
        <v>#VALUE!</v>
      </c>
      <c r="ES302" t="e">
        <f>'Project Charts'!234:234-"AM:!0kd"</f>
        <v>#VALUE!</v>
      </c>
      <c r="ET302" t="e">
        <f>'Project Charts'!235:235-"AM:!0ke"</f>
        <v>#VALUE!</v>
      </c>
      <c r="EU302" t="e">
        <f>'Project Charts'!236:236-"AM:!0kf"</f>
        <v>#VALUE!</v>
      </c>
      <c r="EV302" t="e">
        <f>'Project Charts'!237:237-"AM:!0kg"</f>
        <v>#VALUE!</v>
      </c>
      <c r="EW302" t="e">
        <f>'Project Charts'!238:238-"AM:!0kh"</f>
        <v>#VALUE!</v>
      </c>
      <c r="EX302" t="e">
        <f>'Project Charts'!239:239-"AM:!0ki"</f>
        <v>#VALUE!</v>
      </c>
      <c r="EY302" t="e">
        <f>'Project Charts'!240:240-"AM:!0kj"</f>
        <v>#VALUE!</v>
      </c>
      <c r="EZ302" t="e">
        <f>'Project Charts'!241:241-"AM:!0kk"</f>
        <v>#VALUE!</v>
      </c>
      <c r="FA302" t="e">
        <f>'Project Charts'!242:242-"AM:!0kl"</f>
        <v>#VALUE!</v>
      </c>
      <c r="FB302" t="e">
        <f>'Project Charts'!243:243-"AM:!0km"</f>
        <v>#VALUE!</v>
      </c>
      <c r="FC302" t="e">
        <f>'Project Charts'!244:244-"AM:!0kn"</f>
        <v>#VALUE!</v>
      </c>
      <c r="FD302" t="e">
        <f>'Project Charts'!245:245-"AM:!0ko"</f>
        <v>#VALUE!</v>
      </c>
      <c r="FE302" t="e">
        <f>'Project Charts'!246:246-"AM:!0kp"</f>
        <v>#VALUE!</v>
      </c>
      <c r="FF302" t="e">
        <f>'Project Charts'!247:247-"AM:!0kq"</f>
        <v>#VALUE!</v>
      </c>
      <c r="FG302" t="e">
        <f>'Project Charts'!248:248-"AM:!0kr"</f>
        <v>#VALUE!</v>
      </c>
      <c r="FH302" t="e">
        <f>'Project Charts'!249:249-"AM:!0ks"</f>
        <v>#VALUE!</v>
      </c>
      <c r="FI302" t="e">
        <f>'Project Charts'!250:250-"AM:!0kt"</f>
        <v>#VALUE!</v>
      </c>
      <c r="FJ302" t="e">
        <f>'Project Charts'!251:251-"AM:!0ku"</f>
        <v>#VALUE!</v>
      </c>
      <c r="FK302" t="e">
        <f>'Project Charts'!252:252-"AM:!0kv"</f>
        <v>#VALUE!</v>
      </c>
      <c r="FL302" t="e">
        <f>'Project Charts'!253:253-"AM:!0kw"</f>
        <v>#VALUE!</v>
      </c>
      <c r="FM302" t="e">
        <f>'Project Charts'!254:254-"AM:!0kx"</f>
        <v>#VALUE!</v>
      </c>
      <c r="FN302" t="e">
        <f>'Project Charts'!255:255-"AM:!0ky"</f>
        <v>#VALUE!</v>
      </c>
      <c r="FO302" t="e">
        <f>'Project Charts'!256:256-"AM:!0kz"</f>
        <v>#VALUE!</v>
      </c>
      <c r="FP302" t="e">
        <f>'Project Charts'!257:257-"AM:!0k{"</f>
        <v>#VALUE!</v>
      </c>
      <c r="FQ302" t="e">
        <f>'Project Charts'!258:258-"AM:!0k|"</f>
        <v>#VALUE!</v>
      </c>
      <c r="FR302" t="e">
        <f>'Project Charts'!259:259-"AM:!0k}"</f>
        <v>#VALUE!</v>
      </c>
      <c r="FS302" t="e">
        <f>'Project Charts'!260:260-"AM:!0k~"</f>
        <v>#VALUE!</v>
      </c>
      <c r="FT302" t="e">
        <f>'Project Charts'!261:261-"AM:!0l#"</f>
        <v>#VALUE!</v>
      </c>
      <c r="FU302" t="e">
        <f>'Project Charts'!262:262-"AM:!0l$"</f>
        <v>#VALUE!</v>
      </c>
      <c r="FV302" t="e">
        <f>'Project Charts'!263:263-"AM:!0l%"</f>
        <v>#VALUE!</v>
      </c>
      <c r="FW302" t="e">
        <f>'Project Charts'!A1+"AM:!0l&amp;"</f>
        <v>#VALUE!</v>
      </c>
      <c r="FX302" t="e">
        <f>'Project Charts'!B1+"AM:!0l'"</f>
        <v>#VALUE!</v>
      </c>
      <c r="FY302" t="e">
        <f>'Project Charts'!C1+"AM:!0l("</f>
        <v>#VALUE!</v>
      </c>
      <c r="FZ302" t="e">
        <f>'Project Charts'!D1+"AM:!0l)"</f>
        <v>#VALUE!</v>
      </c>
      <c r="GA302" t="e">
        <f>'Project Charts'!E1+"AM:!0l."</f>
        <v>#VALUE!</v>
      </c>
      <c r="GB302" t="e">
        <f>'Project Charts'!F1+"AM:!0l/"</f>
        <v>#VALUE!</v>
      </c>
      <c r="GC302" t="e">
        <f>'Project Charts'!G1+"AM:!0l0"</f>
        <v>#VALUE!</v>
      </c>
      <c r="GD302" t="e">
        <f>'Project Charts'!H1+"AM:!0l1"</f>
        <v>#VALUE!</v>
      </c>
      <c r="GE302" t="e">
        <f>'Project Charts'!I1+"AM:!0l2"</f>
        <v>#VALUE!</v>
      </c>
      <c r="GF302" t="e">
        <f>'Project Charts'!J1+"AM:!0l3"</f>
        <v>#VALUE!</v>
      </c>
      <c r="GG302" t="e">
        <f>'Project Charts'!K1+"AM:!0l4"</f>
        <v>#VALUE!</v>
      </c>
      <c r="GH302" t="e">
        <f>'Project Charts'!L1+"AM:!0l5"</f>
        <v>#VALUE!</v>
      </c>
      <c r="GI302" t="e">
        <f>'Project Charts'!M1+"AM:!0l6"</f>
        <v>#VALUE!</v>
      </c>
      <c r="GJ302" t="e">
        <f>'Project Charts'!N1+"AM:!0l7"</f>
        <v>#VALUE!</v>
      </c>
      <c r="GK302" t="e">
        <f>'Project Charts'!O1+"AM:!0l8"</f>
        <v>#VALUE!</v>
      </c>
      <c r="GL302" t="e">
        <f>'Project Charts'!P1+"AM:!0l9"</f>
        <v>#VALUE!</v>
      </c>
      <c r="GM302" t="e">
        <f>'Project Charts'!Q1+"AM:!0l:"</f>
        <v>#VALUE!</v>
      </c>
      <c r="GN302" t="e">
        <f>'Project Charts'!R1+"AM:!0l;"</f>
        <v>#VALUE!</v>
      </c>
      <c r="GO302" t="e">
        <f>'Project Charts'!S1+"AM:!0l&lt;"</f>
        <v>#VALUE!</v>
      </c>
      <c r="GP302" t="e">
        <f>'Project Charts'!T1+"AM:!0l="</f>
        <v>#VALUE!</v>
      </c>
      <c r="GQ302" t="e">
        <f>'Project Charts'!A2+"AM:!0l&gt;"</f>
        <v>#VALUE!</v>
      </c>
      <c r="GR302" t="e">
        <f>'Project Charts'!B2+"AM:!0l?"</f>
        <v>#VALUE!</v>
      </c>
      <c r="GS302" t="e">
        <f>'Project Charts'!C2+"AM:!0l@"</f>
        <v>#VALUE!</v>
      </c>
      <c r="GT302" t="e">
        <f>'Project Charts'!D2+"AM:!0lA"</f>
        <v>#VALUE!</v>
      </c>
      <c r="GU302" t="e">
        <f>'Project Charts'!E2+"AM:!0lB"</f>
        <v>#VALUE!</v>
      </c>
      <c r="GV302" t="e">
        <f>'Project Charts'!F2+"AM:!0lC"</f>
        <v>#VALUE!</v>
      </c>
      <c r="GW302" t="e">
        <f>'Project Charts'!H2+"AM:!0lD"</f>
        <v>#VALUE!</v>
      </c>
      <c r="GX302" t="e">
        <f>'Project Charts'!I2+"AM:!0lE"</f>
        <v>#VALUE!</v>
      </c>
      <c r="GY302" t="e">
        <f>'Project Charts'!J2+"AM:!0lF"</f>
        <v>#VALUE!</v>
      </c>
      <c r="GZ302" t="e">
        <f>'Project Charts'!K2+"AM:!0lG"</f>
        <v>#VALUE!</v>
      </c>
      <c r="HA302" t="e">
        <f>'Project Charts'!L2+"AM:!0lH"</f>
        <v>#VALUE!</v>
      </c>
      <c r="HB302" t="e">
        <f>'Project Charts'!M2+"AM:!0lI"</f>
        <v>#VALUE!</v>
      </c>
      <c r="HC302" t="e">
        <f>'Project Charts'!N2+"AM:!0lJ"</f>
        <v>#VALUE!</v>
      </c>
      <c r="HD302" t="e">
        <f>'Project Charts'!O2+"AM:!0lK"</f>
        <v>#VALUE!</v>
      </c>
      <c r="HE302" t="e">
        <f>'Project Charts'!P2+"AM:!0lL"</f>
        <v>#VALUE!</v>
      </c>
      <c r="HF302" t="e">
        <f>'Project Charts'!Q2+"AM:!0lM"</f>
        <v>#VALUE!</v>
      </c>
      <c r="HG302" t="e">
        <f>'Project Charts'!R2+"AM:!0lN"</f>
        <v>#VALUE!</v>
      </c>
      <c r="HH302" t="e">
        <f>'Project Charts'!S2+"AM:!0lO"</f>
        <v>#VALUE!</v>
      </c>
      <c r="HI302" t="e">
        <f>'Project Charts'!T2+"AM:!0lP"</f>
        <v>#VALUE!</v>
      </c>
      <c r="HJ302" t="e">
        <f>'Project Charts'!A3+"AM:!0lQ"</f>
        <v>#VALUE!</v>
      </c>
      <c r="HK302" t="e">
        <f>'Project Charts'!B3+"AM:!0lR"</f>
        <v>#VALUE!</v>
      </c>
      <c r="HL302" t="e">
        <f>'Project Charts'!C3+"AM:!0lS"</f>
        <v>#VALUE!</v>
      </c>
      <c r="HM302" t="e">
        <f>'Project Charts'!D3+"AM:!0lT"</f>
        <v>#VALUE!</v>
      </c>
      <c r="HN302" t="e">
        <f>'Project Charts'!E3+"AM:!0lU"</f>
        <v>#VALUE!</v>
      </c>
      <c r="HO302" t="e">
        <f>'Project Charts'!F3+"AM:!0lV"</f>
        <v>#VALUE!</v>
      </c>
      <c r="HP302" t="e">
        <f>'Project Charts'!H3+"AM:!0lW"</f>
        <v>#VALUE!</v>
      </c>
      <c r="HQ302" t="e">
        <f>'Project Charts'!I3+"AM:!0lX"</f>
        <v>#VALUE!</v>
      </c>
      <c r="HR302" t="e">
        <f>'Project Charts'!J3+"AM:!0lY"</f>
        <v>#VALUE!</v>
      </c>
      <c r="HS302" t="e">
        <f>'Project Charts'!K3+"AM:!0lZ"</f>
        <v>#VALUE!</v>
      </c>
      <c r="HT302" t="e">
        <f>'Project Charts'!L3+"AM:!0l["</f>
        <v>#VALUE!</v>
      </c>
      <c r="HU302" t="e">
        <f>'Project Charts'!M3+"AM:!0l\"</f>
        <v>#VALUE!</v>
      </c>
      <c r="HV302" t="e">
        <f>'Project Charts'!N3+"AM:!0l]"</f>
        <v>#VALUE!</v>
      </c>
      <c r="HW302" t="e">
        <f>'Project Charts'!O3+"AM:!0l^"</f>
        <v>#VALUE!</v>
      </c>
      <c r="HX302" t="e">
        <f>'Project Charts'!P3+"AM:!0l_"</f>
        <v>#VALUE!</v>
      </c>
      <c r="HY302" t="e">
        <f>'Project Charts'!Q3+"AM:!0l`"</f>
        <v>#VALUE!</v>
      </c>
      <c r="HZ302" t="e">
        <f>'Project Charts'!R3+"AM:!0la"</f>
        <v>#VALUE!</v>
      </c>
      <c r="IA302" t="e">
        <f>'Project Charts'!S3+"AM:!0lb"</f>
        <v>#VALUE!</v>
      </c>
      <c r="IB302" t="e">
        <f>'Project Charts'!T3+"AM:!0lc"</f>
        <v>#VALUE!</v>
      </c>
      <c r="IC302" t="e">
        <f>'Project Charts'!A4+"AM:!0ld"</f>
        <v>#VALUE!</v>
      </c>
      <c r="ID302" t="e">
        <f>'Project Charts'!B4+"AM:!0le"</f>
        <v>#VALUE!</v>
      </c>
      <c r="IE302" t="e">
        <f>'Project Charts'!C4+"AM:!0lf"</f>
        <v>#VALUE!</v>
      </c>
      <c r="IF302" t="e">
        <f>'Project Charts'!D4+"AM:!0lg"</f>
        <v>#VALUE!</v>
      </c>
      <c r="IG302" t="e">
        <f>'Project Charts'!E4+"AM:!0lh"</f>
        <v>#VALUE!</v>
      </c>
      <c r="IH302" t="e">
        <f>'Project Charts'!F4+"AM:!0li"</f>
        <v>#VALUE!</v>
      </c>
      <c r="II302" t="e">
        <f>'Project Charts'!G4+"AM:!0lj"</f>
        <v>#VALUE!</v>
      </c>
      <c r="IJ302" t="e">
        <f>'Project Charts'!H4+"AM:!0lk"</f>
        <v>#VALUE!</v>
      </c>
      <c r="IK302" t="e">
        <f>'Project Charts'!I4+"AM:!0ll"</f>
        <v>#VALUE!</v>
      </c>
      <c r="IL302" t="e">
        <f>'Project Charts'!J4+"AM:!0lm"</f>
        <v>#VALUE!</v>
      </c>
      <c r="IM302" t="e">
        <f>'Project Charts'!K4+"AM:!0ln"</f>
        <v>#VALUE!</v>
      </c>
      <c r="IN302" t="e">
        <f>'Project Charts'!L4+"AM:!0lo"</f>
        <v>#VALUE!</v>
      </c>
      <c r="IO302" t="e">
        <f>'Project Charts'!M4+"AM:!0lp"</f>
        <v>#VALUE!</v>
      </c>
      <c r="IP302" t="e">
        <f>'Project Charts'!N4+"AM:!0lq"</f>
        <v>#VALUE!</v>
      </c>
      <c r="IQ302" t="e">
        <f>'Project Charts'!O4+"AM:!0lr"</f>
        <v>#VALUE!</v>
      </c>
      <c r="IR302" t="e">
        <f>'Project Charts'!P4+"AM:!0ls"</f>
        <v>#VALUE!</v>
      </c>
      <c r="IS302" t="e">
        <f>'Project Charts'!Q4+"AM:!0lt"</f>
        <v>#VALUE!</v>
      </c>
      <c r="IT302" t="e">
        <f>'Project Charts'!R4+"AM:!0lu"</f>
        <v>#VALUE!</v>
      </c>
      <c r="IU302" t="e">
        <f>'Project Charts'!S4+"AM:!0lv"</f>
        <v>#VALUE!</v>
      </c>
      <c r="IV302" t="e">
        <f>'Project Charts'!T4+"AM:!0lw"</f>
        <v>#VALUE!</v>
      </c>
    </row>
    <row r="303" spans="6:256">
      <c r="F303" t="e">
        <f>Details!A:A*"AM:!0lz"</f>
        <v>#VALUE!</v>
      </c>
      <c r="G303" t="e">
        <f>Details!B:B*"AM:!0l{"</f>
        <v>#VALUE!</v>
      </c>
      <c r="H303" t="e">
        <f>Details!C:C*"AM:!0l|"</f>
        <v>#VALUE!</v>
      </c>
      <c r="I303" t="e">
        <f>Details!D:D*"AM:!0l}"</f>
        <v>#VALUE!</v>
      </c>
      <c r="J303" t="e">
        <f>Details!E:E*"AM:!0l~"</f>
        <v>#VALUE!</v>
      </c>
      <c r="K303" t="e">
        <f>Details!F:F*"AM:!0m#"</f>
        <v>#VALUE!</v>
      </c>
      <c r="L303" t="e">
        <f>Details!G:G*"AM:!0m$"</f>
        <v>#VALUE!</v>
      </c>
      <c r="M303" t="e">
        <f>Details!H:H*"AM:!0m%"</f>
        <v>#VALUE!</v>
      </c>
      <c r="N303" t="e">
        <f>Details!I:I*"AM:!0m&amp;"</f>
        <v>#VALUE!</v>
      </c>
      <c r="O303" t="e">
        <f>Details!J:J*"AM:!0m'"</f>
        <v>#VALUE!</v>
      </c>
      <c r="P303" t="e">
        <f>Details!K:K*"AM:!0m("</f>
        <v>#VALUE!</v>
      </c>
      <c r="Q303" t="e">
        <f>Details!L:L*"AM:!0m)"</f>
        <v>#VALUE!</v>
      </c>
      <c r="R303" t="e">
        <f>Details!M:M*"AM:!0m."</f>
        <v>#VALUE!</v>
      </c>
      <c r="S303" t="e">
        <f>Details!N:N*"AM:!0m/"</f>
        <v>#VALUE!</v>
      </c>
      <c r="T303" t="e">
        <f>Details!O:O*"AM:!0m0"</f>
        <v>#VALUE!</v>
      </c>
      <c r="U303" t="e">
        <f>Details!P:P*"AM:!0m1"</f>
        <v>#VALUE!</v>
      </c>
      <c r="V303" t="e">
        <f>Details!Q:Q*"AM:!0m2"</f>
        <v>#VALUE!</v>
      </c>
      <c r="W303" t="e">
        <f>Details!R:R*"AM:!0m3"</f>
        <v>#VALUE!</v>
      </c>
      <c r="X303" t="e">
        <f>Details!S:S*"AM:!0m4"</f>
        <v>#VALUE!</v>
      </c>
      <c r="Y303" t="e">
        <f>Details!T:T*"AM:!0m5"</f>
        <v>#VALUE!</v>
      </c>
      <c r="Z303" t="e">
        <f>Details!U:U*"AM:!0m6"</f>
        <v>#VALUE!</v>
      </c>
      <c r="AA303" t="e">
        <f>Details!V:V*"AM:!0m7"</f>
        <v>#VALUE!</v>
      </c>
      <c r="AB303" t="e">
        <f>Details!W:W*"AM:!0m8"</f>
        <v>#VALUE!</v>
      </c>
      <c r="AC303" t="e">
        <f>Details!X:X*"AM:!0m9"</f>
        <v>#VALUE!</v>
      </c>
      <c r="AD303" t="e">
        <f>Details!Y:Y*"AM:!0m:"</f>
        <v>#VALUE!</v>
      </c>
      <c r="AE303" t="e">
        <f>Details!Z:Z*"AM:!0m;"</f>
        <v>#VALUE!</v>
      </c>
      <c r="AF303" t="e">
        <f>Details!AA:AA*"AM:!0m&lt;"</f>
        <v>#VALUE!</v>
      </c>
      <c r="AG303" t="e">
        <f>Details!AB:AB*"AM:!0m="</f>
        <v>#VALUE!</v>
      </c>
      <c r="AH303" t="e">
        <f>Details!AC:AC*"AM:!0m&gt;"</f>
        <v>#VALUE!</v>
      </c>
      <c r="AI303" t="e">
        <f>Details!AD:AD*"AM:!0m?"</f>
        <v>#VALUE!</v>
      </c>
      <c r="AJ303" t="e">
        <f>Details!AE:AE*"AM:!0m@"</f>
        <v>#VALUE!</v>
      </c>
      <c r="AK303" t="e">
        <f>Details!AF:AF*"AM:!0mA"</f>
        <v>#VALUE!</v>
      </c>
      <c r="AL303" t="e">
        <f>Details!AG:AG*"AM:!0mB"</f>
        <v>#VALUE!</v>
      </c>
      <c r="AM303" t="e">
        <f>Details!AH:AH*"AM:!0mC"</f>
        <v>#VALUE!</v>
      </c>
      <c r="AN303" t="e">
        <f>Details!AI:AI*"AM:!0mD"</f>
        <v>#VALUE!</v>
      </c>
      <c r="AO303" t="e">
        <f>Details!AJ:AJ*"AM:!0mE"</f>
        <v>#VALUE!</v>
      </c>
      <c r="AP303" t="e">
        <f>Details!AK:AK*"AM:!0mF"</f>
        <v>#VALUE!</v>
      </c>
      <c r="AQ303" t="e">
        <f>Details!AL:AL*"AM:!0mG"</f>
        <v>#VALUE!</v>
      </c>
      <c r="AR303" t="e">
        <f>Details!AM:AM*"AM:!0mH"</f>
        <v>#VALUE!</v>
      </c>
      <c r="AS303" t="e">
        <f>Details!AN:AN*"AM:!0mI"</f>
        <v>#VALUE!</v>
      </c>
      <c r="AT303" t="e">
        <f>Details!AO:AO*"AM:!0mJ"</f>
        <v>#VALUE!</v>
      </c>
      <c r="AU303" t="e">
        <f>Details!AP:AP*"AM:!0mK"</f>
        <v>#VALUE!</v>
      </c>
      <c r="AV303" t="e">
        <f>Details!AQ:AQ*"AM:!0mL"</f>
        <v>#VALUE!</v>
      </c>
      <c r="AW303" t="e">
        <f>Details!AR:AR*"AM:!0mM"</f>
        <v>#VALUE!</v>
      </c>
      <c r="AX303" t="e">
        <f>Details!AS:AS*"AM:!0mN"</f>
        <v>#VALUE!</v>
      </c>
      <c r="AY303" t="e">
        <f>Details!AT:AT*"AM:!0mO"</f>
        <v>#VALUE!</v>
      </c>
      <c r="AZ303" t="e">
        <f>Details!AU:AU*"AM:!0mP"</f>
        <v>#VALUE!</v>
      </c>
      <c r="BA303" t="e">
        <f>Details!AV:AV*"AM:!0mQ"</f>
        <v>#VALUE!</v>
      </c>
      <c r="BB303" t="e">
        <f>Details!AW:AW*"AM:!0mR"</f>
        <v>#VALUE!</v>
      </c>
      <c r="BC303" t="e">
        <f>Details!AX:AX*"AM:!0mS"</f>
        <v>#VALUE!</v>
      </c>
      <c r="BD303" t="e">
        <f>Details!AY:AY*"AM:!0mT"</f>
        <v>#VALUE!</v>
      </c>
      <c r="BE303" t="e">
        <f>Details!AZ:AZ*"AM:!0mU"</f>
        <v>#VALUE!</v>
      </c>
      <c r="BF303" t="e">
        <f>Details!BA:BA*"AM:!0mV"</f>
        <v>#VALUE!</v>
      </c>
      <c r="BG303" t="e">
        <f>Details!BB:BB*"AM:!0mW"</f>
        <v>#VALUE!</v>
      </c>
      <c r="BH303" t="e">
        <f>Details!BC:BC*"AM:!0mX"</f>
        <v>#VALUE!</v>
      </c>
      <c r="BI303" t="e">
        <f>Details!BD:BD*"AM:!0mY"</f>
        <v>#VALUE!</v>
      </c>
      <c r="BJ303" t="e">
        <f>Details!BE:BE*"AM:!0mZ"</f>
        <v>#VALUE!</v>
      </c>
      <c r="BK303" t="e">
        <f>Details!BF:BF*"AM:!0m["</f>
        <v>#VALUE!</v>
      </c>
      <c r="BL303" t="e">
        <f>Details!BG:BG*"AM:!0m\"</f>
        <v>#VALUE!</v>
      </c>
      <c r="BM303" t="e">
        <f>Details!BH:BH*"AM:!0m]"</f>
        <v>#VALUE!</v>
      </c>
      <c r="BN303" t="e">
        <f>Details!BI:BI*"AM:!0m^"</f>
        <v>#VALUE!</v>
      </c>
      <c r="BO303" t="e">
        <f>Details!BJ:BJ*"AM:!0m_"</f>
        <v>#VALUE!</v>
      </c>
      <c r="BP303" t="e">
        <f>Details!BK:BK*"AM:!0m`"</f>
        <v>#VALUE!</v>
      </c>
      <c r="BQ303" t="e">
        <f>Details!BL:BL*"AM:!0ma"</f>
        <v>#VALUE!</v>
      </c>
      <c r="BR303" t="e">
        <f>Details!BM:BM*"AM:!0mb"</f>
        <v>#VALUE!</v>
      </c>
      <c r="BS303" t="e">
        <f>Details!BN:BN*"AM:!0mc"</f>
        <v>#VALUE!</v>
      </c>
      <c r="BT303" t="e">
        <f>Details!BO:BO*"AM:!0md"</f>
        <v>#VALUE!</v>
      </c>
      <c r="BU303" t="e">
        <f>Details!BP:BP*"AM:!0me"</f>
        <v>#VALUE!</v>
      </c>
      <c r="BV303" t="e">
        <f>Details!BQ:BQ*"AM:!0mf"</f>
        <v>#VALUE!</v>
      </c>
      <c r="BW303" t="e">
        <f>Details!BR:BR*"AM:!0mg"</f>
        <v>#VALUE!</v>
      </c>
      <c r="BX303" t="e">
        <f>Details!1:1-"AM:!0mh"</f>
        <v>#VALUE!</v>
      </c>
      <c r="BY303" t="e">
        <f>Details!2:2-"AM:!0mi"</f>
        <v>#VALUE!</v>
      </c>
      <c r="BZ303" t="e">
        <f>Details!3:3-"AM:!0mj"</f>
        <v>#VALUE!</v>
      </c>
      <c r="CA303" t="e">
        <f>Details!4:4-"AM:!0mk"</f>
        <v>#VALUE!</v>
      </c>
      <c r="CB303" t="e">
        <f>Details!5:5-"AM:!0ml"</f>
        <v>#VALUE!</v>
      </c>
      <c r="CC303" t="e">
        <f>Details!6:6-"AM:!0mm"</f>
        <v>#VALUE!</v>
      </c>
      <c r="CD303" t="e">
        <f>Details!7:7-"AM:!0mn"</f>
        <v>#VALUE!</v>
      </c>
      <c r="CE303" t="e">
        <f>Details!8:8-"AM:!0mo"</f>
        <v>#VALUE!</v>
      </c>
      <c r="CF303" t="e">
        <f>Details!9:9-"AM:!0mp"</f>
        <v>#VALUE!</v>
      </c>
      <c r="CG303" t="e">
        <f>Details!10:10-"AM:!0mq"</f>
        <v>#VALUE!</v>
      </c>
      <c r="CH303" t="e">
        <f>Details!11:11-"AM:!0mr"</f>
        <v>#VALUE!</v>
      </c>
      <c r="CI303" t="e">
        <f>Details!12:12-"AM:!0ms"</f>
        <v>#VALUE!</v>
      </c>
      <c r="CJ303" t="e">
        <f>Details!13:13-"AM:!0mt"</f>
        <v>#VALUE!</v>
      </c>
      <c r="CK303" t="e">
        <f>Details!14:14-"AM:!0mu"</f>
        <v>#VALUE!</v>
      </c>
      <c r="CL303" t="e">
        <f>Details!15:15-"AM:!0mv"</f>
        <v>#VALUE!</v>
      </c>
      <c r="CM303" t="e">
        <f>Details!16:16-"AM:!0mw"</f>
        <v>#VALUE!</v>
      </c>
      <c r="CN303" t="e">
        <f>Details!17:17-"AM:!0mx"</f>
        <v>#VALUE!</v>
      </c>
      <c r="CO303" t="e">
        <f>Details!18:18-"AM:!0my"</f>
        <v>#VALUE!</v>
      </c>
      <c r="CP303" t="e">
        <f>Details!19:19-"AM:!0mz"</f>
        <v>#VALUE!</v>
      </c>
      <c r="CQ303" t="e">
        <f>Details!20:20-"AM:!0m{"</f>
        <v>#VALUE!</v>
      </c>
      <c r="CR303" t="e">
        <f>Details!21:21-"AM:!0m|"</f>
        <v>#VALUE!</v>
      </c>
      <c r="CS303" t="e">
        <f>Details!22:22-"AM:!0m}"</f>
        <v>#VALUE!</v>
      </c>
      <c r="CT303" t="e">
        <f>Details!23:23-"AM:!0m~"</f>
        <v>#VALUE!</v>
      </c>
      <c r="CU303" t="e">
        <f>Details!24:24-"AM:!0n#"</f>
        <v>#VALUE!</v>
      </c>
      <c r="CV303" t="e">
        <f>Details!25:25-"AM:!0n$"</f>
        <v>#VALUE!</v>
      </c>
      <c r="CW303" t="e">
        <f>Details!26:26-"AM:!0n%"</f>
        <v>#VALUE!</v>
      </c>
      <c r="CX303" t="e">
        <f>Details!27:27-"AM:!0n&amp;"</f>
        <v>#VALUE!</v>
      </c>
      <c r="CY303" t="e">
        <f>Details!28:28-"AM:!0n'"</f>
        <v>#VALUE!</v>
      </c>
      <c r="CZ303" t="e">
        <f>Details!29:29-"AM:!0n("</f>
        <v>#VALUE!</v>
      </c>
      <c r="DA303" t="e">
        <f>Details!30:30-"AM:!0n)"</f>
        <v>#VALUE!</v>
      </c>
      <c r="DB303" t="e">
        <f>Details!31:31-"AM:!0n."</f>
        <v>#VALUE!</v>
      </c>
      <c r="DC303" t="e">
        <f>Details!32:32-"AM:!0n/"</f>
        <v>#VALUE!</v>
      </c>
      <c r="DD303" t="e">
        <f>Details!33:33-"AM:!0n0"</f>
        <v>#VALUE!</v>
      </c>
      <c r="DE303" t="e">
        <f>Details!34:34-"AM:!0n1"</f>
        <v>#VALUE!</v>
      </c>
      <c r="DF303" t="e">
        <f>Details!35:35-"AM:!0n2"</f>
        <v>#VALUE!</v>
      </c>
      <c r="DG303" t="e">
        <f>Details!36:36-"AM:!0n3"</f>
        <v>#VALUE!</v>
      </c>
      <c r="DH303" t="e">
        <f>Details!37:37-"AM:!0n4"</f>
        <v>#VALUE!</v>
      </c>
      <c r="DI303" t="e">
        <f>Details!38:38-"AM:!0n5"</f>
        <v>#VALUE!</v>
      </c>
      <c r="DJ303" t="e">
        <f>Details!39:39-"AM:!0n6"</f>
        <v>#VALUE!</v>
      </c>
      <c r="DK303" t="e">
        <f>Details!40:40-"AM:!0n7"</f>
        <v>#VALUE!</v>
      </c>
      <c r="DL303" t="e">
        <f>Details!41:41-"AM:!0n8"</f>
        <v>#VALUE!</v>
      </c>
      <c r="DM303" t="e">
        <f>Details!42:42-"AM:!0n9"</f>
        <v>#VALUE!</v>
      </c>
      <c r="DN303" t="e">
        <f>Details!43:43-"AM:!0n:"</f>
        <v>#VALUE!</v>
      </c>
      <c r="DO303" t="e">
        <f>Details!44:44-"AM:!0n;"</f>
        <v>#VALUE!</v>
      </c>
      <c r="DP303" t="e">
        <f>Details!45:45-"AM:!0n&lt;"</f>
        <v>#VALUE!</v>
      </c>
      <c r="DQ303" t="e">
        <f>Details!46:46-"AM:!0n="</f>
        <v>#VALUE!</v>
      </c>
      <c r="DR303" t="e">
        <f>Details!47:47-"AM:!0n&gt;"</f>
        <v>#VALUE!</v>
      </c>
      <c r="DS303" t="e">
        <f>Details!48:48-"AM:!0n?"</f>
        <v>#VALUE!</v>
      </c>
      <c r="DT303" t="e">
        <f>Details!49:49-"AM:!0n@"</f>
        <v>#VALUE!</v>
      </c>
      <c r="DU303" t="e">
        <f>Details!50:50-"AM:!0nA"</f>
        <v>#VALUE!</v>
      </c>
      <c r="DV303" t="e">
        <f>Details!51:51-"AM:!0nB"</f>
        <v>#VALUE!</v>
      </c>
      <c r="DW303" t="e">
        <f>Details!52:52-"AM:!0nC"</f>
        <v>#VALUE!</v>
      </c>
      <c r="DX303" t="e">
        <f>Details!53:53-"AM:!0nD"</f>
        <v>#VALUE!</v>
      </c>
      <c r="DY303" t="e">
        <f>Details!54:54-"AM:!0nE"</f>
        <v>#VALUE!</v>
      </c>
      <c r="DZ303" t="e">
        <f>Details!55:55-"AM:!0nF"</f>
        <v>#VALUE!</v>
      </c>
      <c r="EA303" t="e">
        <f>Details!56:56-"AM:!0nG"</f>
        <v>#VALUE!</v>
      </c>
      <c r="EB303" t="e">
        <f>Details!57:57-"AM:!0nH"</f>
        <v>#VALUE!</v>
      </c>
      <c r="EC303" t="e">
        <f>Details!58:58-"AM:!0nI"</f>
        <v>#VALUE!</v>
      </c>
      <c r="ED303" t="e">
        <f>Details!59:59-"AM:!0nJ"</f>
        <v>#VALUE!</v>
      </c>
      <c r="EE303" t="e">
        <f>Details!60:60-"AM:!0nK"</f>
        <v>#VALUE!</v>
      </c>
      <c r="EF303" t="e">
        <f>Details!61:61-"AM:!0nL"</f>
        <v>#VALUE!</v>
      </c>
      <c r="EG303" t="e">
        <f>Details!62:62-"AM:!0nM"</f>
        <v>#VALUE!</v>
      </c>
      <c r="EH303" t="e">
        <f>Details!63:63-"AM:!0nN"</f>
        <v>#VALUE!</v>
      </c>
      <c r="EI303" t="e">
        <f>Details!64:64-"AM:!0nO"</f>
        <v>#VALUE!</v>
      </c>
      <c r="EJ303" t="e">
        <f>Details!65:65-"AM:!0nP"</f>
        <v>#VALUE!</v>
      </c>
      <c r="EK303" t="e">
        <f>Details!66:66-"AM:!0nQ"</f>
        <v>#VALUE!</v>
      </c>
      <c r="EL303" t="e">
        <f>Details!67:67-"AM:!0nR"</f>
        <v>#VALUE!</v>
      </c>
      <c r="EM303" t="e">
        <f>Details!68:68-"AM:!0nS"</f>
        <v>#VALUE!</v>
      </c>
      <c r="EN303" t="e">
        <f>Details!69:69-"AM:!0nT"</f>
        <v>#VALUE!</v>
      </c>
      <c r="EO303" t="e">
        <f>Details!70:70-"AM:!0nU"</f>
        <v>#VALUE!</v>
      </c>
      <c r="EP303" t="e">
        <f>Details!71:71-"AM:!0nV"</f>
        <v>#VALUE!</v>
      </c>
      <c r="EQ303" t="e">
        <f>Details!72:72-"AM:!0nW"</f>
        <v>#VALUE!</v>
      </c>
      <c r="ER303" t="e">
        <f>Details!73:73-"AM:!0nX"</f>
        <v>#VALUE!</v>
      </c>
      <c r="ES303" t="e">
        <f>Details!74:74-"AM:!0nY"</f>
        <v>#VALUE!</v>
      </c>
      <c r="ET303" t="e">
        <f>Details!75:75-"AM:!0nZ"</f>
        <v>#VALUE!</v>
      </c>
      <c r="EU303" t="e">
        <f>Details!76:76-"AM:!0n["</f>
        <v>#VALUE!</v>
      </c>
      <c r="EV303" t="e">
        <f>Details!77:77-"AM:!0n\"</f>
        <v>#VALUE!</v>
      </c>
      <c r="EW303" t="e">
        <f>Details!78:78-"AM:!0n]"</f>
        <v>#VALUE!</v>
      </c>
      <c r="EX303" t="e">
        <f>Details!79:79-"AM:!0n^"</f>
        <v>#VALUE!</v>
      </c>
      <c r="EY303" t="e">
        <f>Details!80:80-"AM:!0n_"</f>
        <v>#VALUE!</v>
      </c>
      <c r="EZ303" t="e">
        <f>Details!81:81-"AM:!0n`"</f>
        <v>#VALUE!</v>
      </c>
      <c r="FA303" t="e">
        <f>Details!82:82-"AM:!0na"</f>
        <v>#VALUE!</v>
      </c>
      <c r="FB303" t="e">
        <f>Details!83:83-"AM:!0nb"</f>
        <v>#VALUE!</v>
      </c>
      <c r="FC303" t="e">
        <f>Details!84:84-"AM:!0nc"</f>
        <v>#VALUE!</v>
      </c>
      <c r="FD303" t="e">
        <f>Details!85:85-"AM:!0nd"</f>
        <v>#VALUE!</v>
      </c>
      <c r="FE303" t="e">
        <f>Details!86:86-"AM:!0ne"</f>
        <v>#VALUE!</v>
      </c>
      <c r="FF303" t="e">
        <f>Details!87:87-"AM:!0nf"</f>
        <v>#VALUE!</v>
      </c>
      <c r="FG303" t="e">
        <f>Details!88:88-"AM:!0ng"</f>
        <v>#VALUE!</v>
      </c>
      <c r="FH303" t="e">
        <f>Details!89:89-"AM:!0nh"</f>
        <v>#VALUE!</v>
      </c>
      <c r="FI303" t="e">
        <f>Details!90:90-"AM:!0ni"</f>
        <v>#VALUE!</v>
      </c>
      <c r="FJ303" t="e">
        <f>Details!91:91-"AM:!0nj"</f>
        <v>#VALUE!</v>
      </c>
      <c r="FK303" t="e">
        <f>Details!92:92-"AM:!0nk"</f>
        <v>#VALUE!</v>
      </c>
      <c r="FL303" t="e">
        <f>Details!93:93-"AM:!0nl"</f>
        <v>#VALUE!</v>
      </c>
      <c r="FM303" t="e">
        <f>Details!94:94-"AM:!0nm"</f>
        <v>#VALUE!</v>
      </c>
      <c r="FN303" t="e">
        <f>Details!95:95-"AM:!0nn"</f>
        <v>#VALUE!</v>
      </c>
      <c r="FO303" t="e">
        <f>Details!96:96-"AM:!0no"</f>
        <v>#VALUE!</v>
      </c>
      <c r="FP303" t="e">
        <f>Details!97:97-"AM:!0np"</f>
        <v>#VALUE!</v>
      </c>
      <c r="FQ303" t="e">
        <f>Details!98:98-"AM:!0nq"</f>
        <v>#VALUE!</v>
      </c>
      <c r="FR303" t="e">
        <f>Details!99:99-"AM:!0nr"</f>
        <v>#VALUE!</v>
      </c>
      <c r="FS303" t="e">
        <f>Details!100:100-"AM:!0ns"</f>
        <v>#VALUE!</v>
      </c>
      <c r="FT303" t="e">
        <f>Details!101:101-"AM:!0nt"</f>
        <v>#VALUE!</v>
      </c>
      <c r="FU303" t="e">
        <f>Details!102:102-"AM:!0nu"</f>
        <v>#VALUE!</v>
      </c>
      <c r="FV303" t="e">
        <f>Details!103:103-"AM:!0nv"</f>
        <v>#VALUE!</v>
      </c>
      <c r="FW303" t="e">
        <f>Details!104:104-"AM:!0nw"</f>
        <v>#VALUE!</v>
      </c>
      <c r="FX303" t="e">
        <f>Details!105:105-"AM:!0nx"</f>
        <v>#VALUE!</v>
      </c>
      <c r="FY303" t="e">
        <f>Details!106:106-"AM:!0ny"</f>
        <v>#VALUE!</v>
      </c>
      <c r="FZ303" t="e">
        <f>Details!107:107-"AM:!0nz"</f>
        <v>#VALUE!</v>
      </c>
      <c r="GA303" t="e">
        <f>Details!108:108-"AM:!0n{"</f>
        <v>#VALUE!</v>
      </c>
      <c r="GB303" t="e">
        <f>Details!109:109-"AM:!0n|"</f>
        <v>#VALUE!</v>
      </c>
      <c r="GC303" t="e">
        <f>Details!110:110-"AM:!0n}"</f>
        <v>#VALUE!</v>
      </c>
      <c r="GD303" t="e">
        <f>Details!111:111-"AM:!0n~"</f>
        <v>#VALUE!</v>
      </c>
      <c r="GE303" t="e">
        <f>Details!112:112-"AM:!0o#"</f>
        <v>#VALUE!</v>
      </c>
      <c r="GF303" t="e">
        <f>Details!113:113-"AM:!0o$"</f>
        <v>#VALUE!</v>
      </c>
      <c r="GG303" t="e">
        <f>Details!114:114-"AM:!0o%"</f>
        <v>#VALUE!</v>
      </c>
      <c r="GH303" t="e">
        <f>Details!115:115-"AM:!0o&amp;"</f>
        <v>#VALUE!</v>
      </c>
      <c r="GI303" t="e">
        <f>Details!116:116-"AM:!0o'"</f>
        <v>#VALUE!</v>
      </c>
      <c r="GJ303" t="e">
        <f>Details!117:117-"AM:!0o("</f>
        <v>#VALUE!</v>
      </c>
      <c r="GK303" t="e">
        <f>Details!118:118-"AM:!0o)"</f>
        <v>#VALUE!</v>
      </c>
      <c r="GL303" t="e">
        <f>Details!119:119-"AM:!0o."</f>
        <v>#VALUE!</v>
      </c>
      <c r="GM303" t="e">
        <f>Details!120:120-"AM:!0o/"</f>
        <v>#VALUE!</v>
      </c>
      <c r="GN303" t="e">
        <f>Details!121:121-"AM:!0o0"</f>
        <v>#VALUE!</v>
      </c>
      <c r="GO303" t="e">
        <f>Details!122:122-"AM:!0o1"</f>
        <v>#VALUE!</v>
      </c>
      <c r="GP303" t="e">
        <f>Details!123:123-"AM:!0o2"</f>
        <v>#VALUE!</v>
      </c>
      <c r="GQ303" t="e">
        <f>Details!124:124-"AM:!0o3"</f>
        <v>#VALUE!</v>
      </c>
      <c r="GR303" t="e">
        <f>Details!125:125-"AM:!0o4"</f>
        <v>#VALUE!</v>
      </c>
      <c r="GS303" t="e">
        <f>Details!126:126-"AM:!0o5"</f>
        <v>#VALUE!</v>
      </c>
      <c r="GT303" t="e">
        <f>Details!127:127-"AM:!0o6"</f>
        <v>#VALUE!</v>
      </c>
      <c r="GU303" t="e">
        <f>Details!128:128-"AM:!0o7"</f>
        <v>#VALUE!</v>
      </c>
      <c r="GV303" t="e">
        <f>Details!129:129-"AM:!0o8"</f>
        <v>#VALUE!</v>
      </c>
      <c r="GW303" t="e">
        <f>Details!130:130-"AM:!0o9"</f>
        <v>#VALUE!</v>
      </c>
      <c r="GX303" t="e">
        <f>Details!131:131-"AM:!0o:"</f>
        <v>#VALUE!</v>
      </c>
      <c r="GY303" t="e">
        <f>Details!132:132-"AM:!0o;"</f>
        <v>#VALUE!</v>
      </c>
      <c r="GZ303" t="e">
        <f>Details!133:133-"AM:!0o&lt;"</f>
        <v>#VALUE!</v>
      </c>
      <c r="HA303" t="e">
        <f>Details!134:134-"AM:!0o="</f>
        <v>#VALUE!</v>
      </c>
      <c r="HB303" t="e">
        <f>Details!135:135-"AM:!0o&gt;"</f>
        <v>#VALUE!</v>
      </c>
      <c r="HC303" t="e">
        <f>Details!136:136-"AM:!0o?"</f>
        <v>#VALUE!</v>
      </c>
      <c r="HD303" t="e">
        <f>Details!137:137-"AM:!0o@"</f>
        <v>#VALUE!</v>
      </c>
      <c r="HE303" t="e">
        <f>Details!138:138-"AM:!0oA"</f>
        <v>#VALUE!</v>
      </c>
      <c r="HF303" t="e">
        <f>Details!139:139-"AM:!0oB"</f>
        <v>#VALUE!</v>
      </c>
      <c r="HG303" t="e">
        <f>Details!140:140-"AM:!0oC"</f>
        <v>#VALUE!</v>
      </c>
      <c r="HH303" t="e">
        <f>Details!141:141-"AM:!0oD"</f>
        <v>#VALUE!</v>
      </c>
      <c r="HI303" t="e">
        <f>Details!142:142-"AM:!0oE"</f>
        <v>#VALUE!</v>
      </c>
      <c r="HJ303" t="e">
        <f>Details!143:143-"AM:!0oF"</f>
        <v>#VALUE!</v>
      </c>
      <c r="HK303" t="e">
        <f>Details!144:144-"AM:!0oG"</f>
        <v>#VALUE!</v>
      </c>
      <c r="HL303" t="e">
        <f>Details!145:145-"AM:!0oH"</f>
        <v>#VALUE!</v>
      </c>
      <c r="HM303" t="e">
        <f>Details!146:146-"AM:!0oI"</f>
        <v>#VALUE!</v>
      </c>
      <c r="HN303" t="e">
        <f>Details!147:147-"AM:!0oJ"</f>
        <v>#VALUE!</v>
      </c>
      <c r="HO303" t="e">
        <f>Details!148:148-"AM:!0oK"</f>
        <v>#VALUE!</v>
      </c>
      <c r="HP303" t="e">
        <f>Details!149:149-"AM:!0oL"</f>
        <v>#VALUE!</v>
      </c>
      <c r="HQ303" t="e">
        <f>Details!150:150-"AM:!0oM"</f>
        <v>#VALUE!</v>
      </c>
      <c r="HR303" t="e">
        <f>Details!151:151-"AM:!0oN"</f>
        <v>#VALUE!</v>
      </c>
      <c r="HS303" t="e">
        <f>Details!152:152-"AM:!0oO"</f>
        <v>#VALUE!</v>
      </c>
      <c r="HT303" t="e">
        <f>Details!153:153-"AM:!0oP"</f>
        <v>#VALUE!</v>
      </c>
      <c r="HU303" t="e">
        <f>Details!154:154-"AM:!0oQ"</f>
        <v>#VALUE!</v>
      </c>
      <c r="HV303" t="e">
        <f>Details!155:155-"AM:!0oR"</f>
        <v>#VALUE!</v>
      </c>
      <c r="HW303" t="e">
        <f>Details!156:156-"AM:!0oS"</f>
        <v>#VALUE!</v>
      </c>
      <c r="HX303" t="e">
        <f>Details!157:157-"AM:!0oT"</f>
        <v>#VALUE!</v>
      </c>
      <c r="HY303" t="e">
        <f>Details!158:158-"AM:!0oU"</f>
        <v>#VALUE!</v>
      </c>
      <c r="HZ303" t="e">
        <f>Details!159:159-"AM:!0oV"</f>
        <v>#VALUE!</v>
      </c>
      <c r="IA303" t="e">
        <f>Details!160:160-"AM:!0oW"</f>
        <v>#VALUE!</v>
      </c>
      <c r="IB303" t="e">
        <f>Details!161:161-"AM:!0oX"</f>
        <v>#VALUE!</v>
      </c>
      <c r="IC303" t="e">
        <f>Details!162:162-"AM:!0oY"</f>
        <v>#VALUE!</v>
      </c>
      <c r="ID303" t="e">
        <f>Details!163:163-"AM:!0oZ"</f>
        <v>#VALUE!</v>
      </c>
      <c r="IE303" t="e">
        <f>Details!164:164-"AM:!0o["</f>
        <v>#VALUE!</v>
      </c>
      <c r="IF303" t="e">
        <f>Details!165:165-"AM:!0o\"</f>
        <v>#VALUE!</v>
      </c>
      <c r="IG303" t="e">
        <f>Details!166:166-"AM:!0o]"</f>
        <v>#VALUE!</v>
      </c>
      <c r="IH303" t="e">
        <f>Details!167:167-"AM:!0o^"</f>
        <v>#VALUE!</v>
      </c>
      <c r="II303" t="e">
        <f>Details!168:168-"AM:!0o_"</f>
        <v>#VALUE!</v>
      </c>
      <c r="IJ303" t="e">
        <f>Details!169:169-"AM:!0o`"</f>
        <v>#VALUE!</v>
      </c>
      <c r="IK303" t="e">
        <f>Details!170:170-"AM:!0oa"</f>
        <v>#VALUE!</v>
      </c>
      <c r="IL303" t="e">
        <f>Details!171:171-"AM:!0ob"</f>
        <v>#VALUE!</v>
      </c>
      <c r="IM303" t="e">
        <f>Details!172:172-"AM:!0oc"</f>
        <v>#VALUE!</v>
      </c>
      <c r="IN303" t="e">
        <f>Details!173:173-"AM:!0od"</f>
        <v>#VALUE!</v>
      </c>
      <c r="IO303" t="e">
        <f>Details!174:174-"AM:!0oe"</f>
        <v>#VALUE!</v>
      </c>
      <c r="IP303" t="e">
        <f>Details!175:175-"AM:!0of"</f>
        <v>#VALUE!</v>
      </c>
      <c r="IQ303" t="e">
        <f>Details!176:176-"AM:!0og"</f>
        <v>#VALUE!</v>
      </c>
      <c r="IR303" t="e">
        <f>Details!177:177-"AM:!0oh"</f>
        <v>#VALUE!</v>
      </c>
      <c r="IS303" t="e">
        <f>Details!178:178-"AM:!0oi"</f>
        <v>#VALUE!</v>
      </c>
      <c r="IT303" t="e">
        <f>Details!179:179-"AM:!0oj"</f>
        <v>#VALUE!</v>
      </c>
      <c r="IU303" t="e">
        <f>Details!180:180-"AM:!0ok"</f>
        <v>#VALUE!</v>
      </c>
      <c r="IV303" t="e">
        <f>Details!181:181-"AM:!0ol"</f>
        <v>#VALUE!</v>
      </c>
    </row>
    <row r="304" spans="6:256">
      <c r="F304" t="e">
        <f>Details!182:182-"AM:!0om"</f>
        <v>#VALUE!</v>
      </c>
      <c r="G304" t="e">
        <f>Details!183:183-"AM:!0on"</f>
        <v>#VALUE!</v>
      </c>
      <c r="H304" t="e">
        <f>Details!184:184-"AM:!0oo"</f>
        <v>#VALUE!</v>
      </c>
      <c r="I304" t="e">
        <f>Details!185:185-"AM:!0op"</f>
        <v>#VALUE!</v>
      </c>
      <c r="J304" t="e">
        <f>Details!186:186-"AM:!0oq"</f>
        <v>#VALUE!</v>
      </c>
      <c r="K304" t="e">
        <f>Details!187:187-"AM:!0or"</f>
        <v>#VALUE!</v>
      </c>
      <c r="L304" t="e">
        <f>Details!188:188-"AM:!0os"</f>
        <v>#VALUE!</v>
      </c>
      <c r="M304" t="e">
        <f>Details!189:189-"AM:!0ot"</f>
        <v>#VALUE!</v>
      </c>
      <c r="N304" t="e">
        <f>Details!190:190-"AM:!0ou"</f>
        <v>#VALUE!</v>
      </c>
      <c r="O304" t="e">
        <f>Details!191:191-"AM:!0ov"</f>
        <v>#VALUE!</v>
      </c>
      <c r="P304" t="e">
        <f>Details!192:192-"AM:!0ow"</f>
        <v>#VALUE!</v>
      </c>
      <c r="Q304" t="e">
        <f>Details!193:193-"AM:!0ox"</f>
        <v>#VALUE!</v>
      </c>
      <c r="R304" t="e">
        <f>Details!194:194-"AM:!0oy"</f>
        <v>#VALUE!</v>
      </c>
      <c r="S304" t="e">
        <f>Details!195:195-"AM:!0oz"</f>
        <v>#VALUE!</v>
      </c>
      <c r="T304" t="e">
        <f>Details!196:196-"AM:!0o{"</f>
        <v>#VALUE!</v>
      </c>
      <c r="U304" t="e">
        <f>Details!197:197-"AM:!0o|"</f>
        <v>#VALUE!</v>
      </c>
      <c r="V304" t="e">
        <f>Details!198:198-"AM:!0o}"</f>
        <v>#VALUE!</v>
      </c>
      <c r="W304" t="e">
        <f>Details!199:199-"AM:!0o~"</f>
        <v>#VALUE!</v>
      </c>
      <c r="X304" t="e">
        <f>Details!200:200-"AM:!0p#"</f>
        <v>#VALUE!</v>
      </c>
      <c r="Y304" t="e">
        <f>Details!201:201-"AM:!0p$"</f>
        <v>#VALUE!</v>
      </c>
      <c r="Z304" t="e">
        <f>Details!202:202-"AM:!0p%"</f>
        <v>#VALUE!</v>
      </c>
      <c r="AA304" t="e">
        <f>Details!203:203-"AM:!0p&amp;"</f>
        <v>#VALUE!</v>
      </c>
      <c r="AB304" t="e">
        <f>Details!204:204-"AM:!0p'"</f>
        <v>#VALUE!</v>
      </c>
      <c r="AC304" t="e">
        <f>Details!205:205-"AM:!0p("</f>
        <v>#VALUE!</v>
      </c>
      <c r="AD304" t="e">
        <f>Details!206:206-"AM:!0p)"</f>
        <v>#VALUE!</v>
      </c>
      <c r="AE304" t="e">
        <f>Details!207:207-"AM:!0p."</f>
        <v>#VALUE!</v>
      </c>
      <c r="AF304" t="e">
        <f>Details!208:208-"AM:!0p/"</f>
        <v>#VALUE!</v>
      </c>
      <c r="AG304" t="e">
        <f>Details!209:209-"AM:!0p0"</f>
        <v>#VALUE!</v>
      </c>
      <c r="AH304" t="e">
        <f>Details!210:210-"AM:!0p1"</f>
        <v>#VALUE!</v>
      </c>
      <c r="AI304" t="e">
        <f>Details!211:211-"AM:!0p2"</f>
        <v>#VALUE!</v>
      </c>
      <c r="AJ304" t="e">
        <f>Details!212:212-"AM:!0p3"</f>
        <v>#VALUE!</v>
      </c>
      <c r="AK304" t="e">
        <f>Details!213:213-"AM:!0p4"</f>
        <v>#VALUE!</v>
      </c>
      <c r="AL304" t="e">
        <f>Details!214:214-"AM:!0p5"</f>
        <v>#VALUE!</v>
      </c>
      <c r="AM304" t="e">
        <f>Details!215:215-"AM:!0p6"</f>
        <v>#VALUE!</v>
      </c>
      <c r="AN304" t="e">
        <f>Details!216:216-"AM:!0p7"</f>
        <v>#VALUE!</v>
      </c>
      <c r="AO304" t="e">
        <f>Details!217:217-"AM:!0p8"</f>
        <v>#VALUE!</v>
      </c>
      <c r="AP304" t="e">
        <f>Details!218:218-"AM:!0p9"</f>
        <v>#VALUE!</v>
      </c>
      <c r="AQ304" t="e">
        <f>Details!219:219-"AM:!0p:"</f>
        <v>#VALUE!</v>
      </c>
      <c r="AR304" t="e">
        <f>Details!220:220-"AM:!0p;"</f>
        <v>#VALUE!</v>
      </c>
      <c r="AS304" t="e">
        <f>Details!221:221-"AM:!0p&lt;"</f>
        <v>#VALUE!</v>
      </c>
      <c r="AT304" t="e">
        <f>Details!222:222-"AM:!0p="</f>
        <v>#VALUE!</v>
      </c>
      <c r="AU304" t="e">
        <f>Details!223:223-"AM:!0p&gt;"</f>
        <v>#VALUE!</v>
      </c>
      <c r="AV304" t="e">
        <f>Details!224:224-"AM:!0p?"</f>
        <v>#VALUE!</v>
      </c>
      <c r="AW304" t="e">
        <f>Details!225:225-"AM:!0p@"</f>
        <v>#VALUE!</v>
      </c>
      <c r="AX304" t="e">
        <f>Details!226:226-"AM:!0pA"</f>
        <v>#VALUE!</v>
      </c>
      <c r="AY304" t="e">
        <f>Details!227:227-"AM:!0pB"</f>
        <v>#VALUE!</v>
      </c>
      <c r="AZ304" t="e">
        <f>Details!228:228-"AM:!0pC"</f>
        <v>#VALUE!</v>
      </c>
      <c r="BA304" t="e">
        <f>Details!229:229-"AM:!0pD"</f>
        <v>#VALUE!</v>
      </c>
      <c r="BB304" t="e">
        <f>Details!230:230-"AM:!0pE"</f>
        <v>#VALUE!</v>
      </c>
      <c r="BC304" t="e">
        <f>Details!231:231-"AM:!0pF"</f>
        <v>#VALUE!</v>
      </c>
      <c r="BD304" t="e">
        <f>Details!232:232-"AM:!0pG"</f>
        <v>#VALUE!</v>
      </c>
      <c r="BE304" t="e">
        <f>Details!233:233-"AM:!0pH"</f>
        <v>#VALUE!</v>
      </c>
      <c r="BF304" t="e">
        <f>Details!234:234-"AM:!0pI"</f>
        <v>#VALUE!</v>
      </c>
      <c r="BG304" t="e">
        <f>Details!235:235-"AM:!0pJ"</f>
        <v>#VALUE!</v>
      </c>
      <c r="BH304" t="e">
        <f>Details!236:236-"AM:!0pK"</f>
        <v>#VALUE!</v>
      </c>
      <c r="BI304" t="e">
        <f>Details!237:237-"AM:!0pL"</f>
        <v>#VALUE!</v>
      </c>
      <c r="BJ304" t="e">
        <f>Details!238:238-"AM:!0pM"</f>
        <v>#VALUE!</v>
      </c>
      <c r="BK304" t="e">
        <f>Details!239:239-"AM:!0pN"</f>
        <v>#VALUE!</v>
      </c>
      <c r="BL304" t="e">
        <f>Details!240:240-"AM:!0pO"</f>
        <v>#VALUE!</v>
      </c>
      <c r="BM304" t="e">
        <f>Details!241:241-"AM:!0pP"</f>
        <v>#VALUE!</v>
      </c>
      <c r="BN304" t="e">
        <f>Details!242:242-"AM:!0pQ"</f>
        <v>#VALUE!</v>
      </c>
      <c r="BO304" t="e">
        <f>Details!243:243-"AM:!0pR"</f>
        <v>#VALUE!</v>
      </c>
      <c r="BP304" t="e">
        <f>Details!244:244-"AM:!0pS"</f>
        <v>#VALUE!</v>
      </c>
      <c r="BQ304" t="e">
        <f>Details!245:245-"AM:!0pT"</f>
        <v>#VALUE!</v>
      </c>
      <c r="BR304" t="e">
        <f>Details!A1+"AM:!0pU"</f>
        <v>#VALUE!</v>
      </c>
      <c r="BS304" t="e">
        <f>Details!B1+"AM:!0pV"</f>
        <v>#VALUE!</v>
      </c>
      <c r="BT304" t="e">
        <f>Details!C1+"AM:!0pW"</f>
        <v>#VALUE!</v>
      </c>
      <c r="BU304" t="e">
        <f>Details!D1+"AM:!0pX"</f>
        <v>#VALUE!</v>
      </c>
      <c r="BV304" t="e">
        <f>Details!E1+"AM:!0pY"</f>
        <v>#VALUE!</v>
      </c>
      <c r="BW304" t="e">
        <f>Details!F1+"AM:!0pZ"</f>
        <v>#VALUE!</v>
      </c>
      <c r="BX304" t="e">
        <f>Details!G1+"AM:!0p["</f>
        <v>#VALUE!</v>
      </c>
      <c r="BY304" t="e">
        <f>Details!H1+"AM:!0p\"</f>
        <v>#VALUE!</v>
      </c>
      <c r="BZ304" t="e">
        <f>Details!I1+"AM:!0p]"</f>
        <v>#VALUE!</v>
      </c>
      <c r="CA304" t="e">
        <f>Details!J1+"AM:!0p^"</f>
        <v>#VALUE!</v>
      </c>
      <c r="CB304" t="e">
        <f>Details!K1+"AM:!0p_"</f>
        <v>#VALUE!</v>
      </c>
      <c r="CC304" t="e">
        <f>Details!L1+"AM:!0p`"</f>
        <v>#VALUE!</v>
      </c>
      <c r="CD304" t="e">
        <f>Details!M1+"AM:!0pa"</f>
        <v>#VALUE!</v>
      </c>
      <c r="CE304" t="e">
        <f>Details!N1+"AM:!0pb"</f>
        <v>#VALUE!</v>
      </c>
      <c r="CF304" t="e">
        <f>Details!O1+"AM:!0pc"</f>
        <v>#VALUE!</v>
      </c>
      <c r="CG304" t="e">
        <f>Details!P1+"AM:!0pd"</f>
        <v>#VALUE!</v>
      </c>
      <c r="CH304" t="e">
        <f>Details!Q1+"AM:!0pe"</f>
        <v>#VALUE!</v>
      </c>
      <c r="CI304" t="e">
        <f>Details!R1+"AM:!0pf"</f>
        <v>#VALUE!</v>
      </c>
      <c r="CJ304" t="e">
        <f>Details!S1+"AM:!0pg"</f>
        <v>#VALUE!</v>
      </c>
      <c r="CK304" t="e">
        <f>Details!T1+"AM:!0ph"</f>
        <v>#VALUE!</v>
      </c>
      <c r="CL304" t="e">
        <f>Details!A2+"AM:!0pi"</f>
        <v>#VALUE!</v>
      </c>
      <c r="CM304" t="e">
        <f>Details!B2+"AM:!0pj"</f>
        <v>#VALUE!</v>
      </c>
      <c r="CN304" t="e">
        <f>Details!C2+"AM:!0pk"</f>
        <v>#VALUE!</v>
      </c>
      <c r="CO304" t="e">
        <f>Details!D2+"AM:!0pl"</f>
        <v>#VALUE!</v>
      </c>
      <c r="CP304" t="e">
        <f>Details!E2+"AM:!0pm"</f>
        <v>#VALUE!</v>
      </c>
      <c r="CQ304" t="e">
        <f>Details!F2+"AM:!0pn"</f>
        <v>#VALUE!</v>
      </c>
      <c r="CR304" t="e">
        <f>Details!H2+"AM:!0po"</f>
        <v>#VALUE!</v>
      </c>
      <c r="CS304" t="e">
        <f>Details!I2+"AM:!0pp"</f>
        <v>#VALUE!</v>
      </c>
      <c r="CT304" t="e">
        <f>Details!J2+"AM:!0pq"</f>
        <v>#VALUE!</v>
      </c>
      <c r="CU304" t="e">
        <f>Details!K2+"AM:!0pr"</f>
        <v>#VALUE!</v>
      </c>
      <c r="CV304" t="e">
        <f>Details!L2+"AM:!0ps"</f>
        <v>#VALUE!</v>
      </c>
      <c r="CW304" t="e">
        <f>Details!M2+"AM:!0pt"</f>
        <v>#VALUE!</v>
      </c>
      <c r="CX304" t="e">
        <f>Details!N2+"AM:!0pu"</f>
        <v>#VALUE!</v>
      </c>
      <c r="CY304" t="e">
        <f>Details!O2+"AM:!0pv"</f>
        <v>#VALUE!</v>
      </c>
      <c r="CZ304" t="e">
        <f>Details!P2+"AM:!0pw"</f>
        <v>#VALUE!</v>
      </c>
      <c r="DA304" t="e">
        <f>Details!Q2+"AM:!0px"</f>
        <v>#VALUE!</v>
      </c>
      <c r="DB304" t="e">
        <f>Details!R2+"AM:!0py"</f>
        <v>#VALUE!</v>
      </c>
      <c r="DC304" t="e">
        <f>Details!S2+"AM:!0pz"</f>
        <v>#VALUE!</v>
      </c>
      <c r="DD304" t="e">
        <f>Details!T2+"AM:!0p{"</f>
        <v>#VALUE!</v>
      </c>
      <c r="DE304" t="e">
        <f>Details!A3+"AM:!0p|"</f>
        <v>#VALUE!</v>
      </c>
      <c r="DF304" t="e">
        <f>Details!B3+"AM:!0p}"</f>
        <v>#VALUE!</v>
      </c>
      <c r="DG304" t="e">
        <f>Details!C3+"AM:!0p~"</f>
        <v>#VALUE!</v>
      </c>
      <c r="DH304" t="e">
        <f>Details!D3+"AM:!0q#"</f>
        <v>#VALUE!</v>
      </c>
      <c r="DI304" t="e">
        <f>Details!E3+"AM:!0q$"</f>
        <v>#VALUE!</v>
      </c>
      <c r="DJ304" t="e">
        <f>Details!F3+"AM:!0q%"</f>
        <v>#VALUE!</v>
      </c>
      <c r="DK304" t="e">
        <f>Details!H3+"AM:!0q&amp;"</f>
        <v>#VALUE!</v>
      </c>
      <c r="DL304" t="e">
        <f>Details!I3+"AM:!0q'"</f>
        <v>#VALUE!</v>
      </c>
      <c r="DM304" t="e">
        <f>Details!J3+"AM:!0q("</f>
        <v>#VALUE!</v>
      </c>
      <c r="DN304" t="e">
        <f>Details!K3+"AM:!0q)"</f>
        <v>#VALUE!</v>
      </c>
      <c r="DO304" t="e">
        <f>Details!L3+"AM:!0q."</f>
        <v>#VALUE!</v>
      </c>
      <c r="DP304" t="e">
        <f>Details!M3+"AM:!0q/"</f>
        <v>#VALUE!</v>
      </c>
      <c r="DQ304" t="e">
        <f>Details!N3+"AM:!0q0"</f>
        <v>#VALUE!</v>
      </c>
      <c r="DR304" t="e">
        <f>Details!O3+"AM:!0q1"</f>
        <v>#VALUE!</v>
      </c>
      <c r="DS304" t="e">
        <f>Details!P3+"AM:!0q2"</f>
        <v>#VALUE!</v>
      </c>
      <c r="DT304" t="e">
        <f>Details!Q3+"AM:!0q3"</f>
        <v>#VALUE!</v>
      </c>
      <c r="DU304" t="e">
        <f>Details!R3+"AM:!0q4"</f>
        <v>#VALUE!</v>
      </c>
      <c r="DV304" t="e">
        <f>Details!S3+"AM:!0q5"</f>
        <v>#VALUE!</v>
      </c>
      <c r="DW304" t="e">
        <f>Details!T3+"AM:!0q6"</f>
        <v>#VALUE!</v>
      </c>
      <c r="DX304" t="e">
        <f>Details!A4+"AM:!0q7"</f>
        <v>#VALUE!</v>
      </c>
      <c r="DY304" t="e">
        <f>Details!B4+"AM:!0q8"</f>
        <v>#VALUE!</v>
      </c>
      <c r="DZ304" t="e">
        <f>Details!C4+"AM:!0q9"</f>
        <v>#VALUE!</v>
      </c>
      <c r="EA304" t="e">
        <f>Details!D4+"AM:!0q:"</f>
        <v>#VALUE!</v>
      </c>
      <c r="EB304" t="e">
        <f>Details!E4+"AM:!0q;"</f>
        <v>#VALUE!</v>
      </c>
      <c r="EC304" t="e">
        <f>Details!F4+"AM:!0q&lt;"</f>
        <v>#VALUE!</v>
      </c>
      <c r="ED304" t="e">
        <f>Details!G4+"AM:!0q="</f>
        <v>#VALUE!</v>
      </c>
      <c r="EE304" t="e">
        <f>Details!H4+"AM:!0q&gt;"</f>
        <v>#VALUE!</v>
      </c>
      <c r="EF304" t="e">
        <f>Details!I4+"AM:!0q?"</f>
        <v>#VALUE!</v>
      </c>
      <c r="EG304" t="e">
        <f>Details!J4+"AM:!0q@"</f>
        <v>#VALUE!</v>
      </c>
      <c r="EH304" t="e">
        <f>Details!K4+"AM:!0qA"</f>
        <v>#VALUE!</v>
      </c>
      <c r="EI304" t="e">
        <f>Details!L4+"AM:!0qB"</f>
        <v>#VALUE!</v>
      </c>
      <c r="EJ304" t="e">
        <f>Details!M4+"AM:!0qC"</f>
        <v>#VALUE!</v>
      </c>
      <c r="EK304" t="e">
        <f>Details!N4+"AM:!0qD"</f>
        <v>#VALUE!</v>
      </c>
      <c r="EL304" t="e">
        <f>Details!O4+"AM:!0qE"</f>
        <v>#VALUE!</v>
      </c>
      <c r="EM304" t="e">
        <f>Details!P4+"AM:!0qF"</f>
        <v>#VALUE!</v>
      </c>
      <c r="EN304" t="e">
        <f>Details!Q4+"AM:!0qG"</f>
        <v>#VALUE!</v>
      </c>
      <c r="EO304" t="e">
        <f>Details!R4+"AM:!0qH"</f>
        <v>#VALUE!</v>
      </c>
      <c r="EP304" t="e">
        <f>Details!S4+"AM:!0qI"</f>
        <v>#VALUE!</v>
      </c>
      <c r="EQ304" t="e">
        <f>Details!T4+"AM:!0qJ"</f>
        <v>#VALUE!</v>
      </c>
      <c r="ER304" t="e">
        <f>Details!A5+"AM:!0qK"</f>
        <v>#VALUE!</v>
      </c>
      <c r="ES304" t="e">
        <f>Details!B5+"AM:!0qL"</f>
        <v>#VALUE!</v>
      </c>
      <c r="ET304" t="e">
        <f>Details!C5+"AM:!0qM"</f>
        <v>#VALUE!</v>
      </c>
      <c r="EU304" t="e">
        <f>Details!D5+"AM:!0qN"</f>
        <v>#VALUE!</v>
      </c>
      <c r="EV304" t="e">
        <f>Details!E5+"AM:!0qO"</f>
        <v>#VALUE!</v>
      </c>
      <c r="EW304" t="e">
        <f>Details!F5+"AM:!0qP"</f>
        <v>#VALUE!</v>
      </c>
      <c r="EX304" t="e">
        <f>Details!G5+"AM:!0qQ"</f>
        <v>#VALUE!</v>
      </c>
      <c r="EY304" t="e">
        <f>Details!H5+"AM:!0qR"</f>
        <v>#VALUE!</v>
      </c>
      <c r="EZ304" t="e">
        <f>Details!I5+"AM:!0qS"</f>
        <v>#VALUE!</v>
      </c>
      <c r="FA304" t="e">
        <f>Details!J5+"AM:!0qT"</f>
        <v>#VALUE!</v>
      </c>
      <c r="FB304" t="e">
        <f>Details!K5+"AM:!0qU"</f>
        <v>#VALUE!</v>
      </c>
      <c r="FC304" t="e">
        <f>Details!L5+"AM:!0qV"</f>
        <v>#VALUE!</v>
      </c>
      <c r="FD304" t="e">
        <f>Details!M5+"AM:!0qW"</f>
        <v>#VALUE!</v>
      </c>
      <c r="FE304" t="e">
        <f>Details!N5+"AM:!0qX"</f>
        <v>#VALUE!</v>
      </c>
      <c r="FF304" t="e">
        <f>Details!O5+"AM:!0qY"</f>
        <v>#VALUE!</v>
      </c>
      <c r="FG304" t="e">
        <f>Details!P5+"AM:!0qZ"</f>
        <v>#VALUE!</v>
      </c>
      <c r="FH304" t="e">
        <f>Details!A6+"AM:!0q["</f>
        <v>#VALUE!</v>
      </c>
      <c r="FI304" t="e">
        <f>Details!B6+"AM:!0q\"</f>
        <v>#VALUE!</v>
      </c>
      <c r="FJ304" t="e">
        <f>Details!C6+"AM:!0q]"</f>
        <v>#VALUE!</v>
      </c>
      <c r="FK304" t="e">
        <f>Details!D6+"AM:!0q^"</f>
        <v>#VALUE!</v>
      </c>
      <c r="FL304" s="98" t="e">
        <f>Details!E6+"AM:!0q_"</f>
        <v>#VALUE!</v>
      </c>
      <c r="FM304" t="e">
        <f>Details!F6+"AM:!0q`"</f>
        <v>#VALUE!</v>
      </c>
      <c r="FN304" t="e">
        <f>Details!G6+"AM:!0qa"</f>
        <v>#VALUE!</v>
      </c>
      <c r="FO304" t="e">
        <f>Details!H6+"AM:!0qb"</f>
        <v>#VALUE!</v>
      </c>
      <c r="FP304" t="e">
        <f>Details!I6+"AM:!0qc"</f>
        <v>#VALUE!</v>
      </c>
      <c r="FQ304" t="e">
        <f>Details!J6+"AM:!0qd"</f>
        <v>#VALUE!</v>
      </c>
      <c r="FR304" t="e">
        <f>Details!L6+"AM:!0qe"</f>
        <v>#VALUE!</v>
      </c>
      <c r="FS304" t="e">
        <f>Details!M6+"AM:!0qf"</f>
        <v>#VALUE!</v>
      </c>
      <c r="FT304" s="98" t="e">
        <f>Details!N6+"AM:!0qg"</f>
        <v>#VALUE!</v>
      </c>
      <c r="FU304" s="98" t="e">
        <f>Details!O6+"AM:!0qh"</f>
        <v>#VALUE!</v>
      </c>
      <c r="FV304" s="98" t="e">
        <f>Details!P6+"AM:!0qi"</f>
        <v>#VALUE!</v>
      </c>
      <c r="FW304" t="e">
        <f>Details!A7+"AM:!0qj"</f>
        <v>#VALUE!</v>
      </c>
      <c r="FX304" t="e">
        <f>Details!B7+"AM:!0qk"</f>
        <v>#VALUE!</v>
      </c>
      <c r="FY304" t="e">
        <f>Details!C7+"AM:!0ql"</f>
        <v>#VALUE!</v>
      </c>
      <c r="FZ304" t="e">
        <f>Details!D7+"AM:!0qm"</f>
        <v>#VALUE!</v>
      </c>
      <c r="GA304" s="98" t="e">
        <f>Details!E7+"AM:!0qn"</f>
        <v>#VALUE!</v>
      </c>
      <c r="GB304" t="e">
        <f>Details!F7+"AM:!0qo"</f>
        <v>#VALUE!</v>
      </c>
      <c r="GC304" t="e">
        <f>Details!G7+"AM:!0qp"</f>
        <v>#VALUE!</v>
      </c>
      <c r="GD304" t="e">
        <f>Details!H7+"AM:!0qq"</f>
        <v>#VALUE!</v>
      </c>
      <c r="GE304" t="e">
        <f>Details!I7+"AM:!0qr"</f>
        <v>#VALUE!</v>
      </c>
      <c r="GF304" t="e">
        <f>Details!J7+"AM:!0qs"</f>
        <v>#VALUE!</v>
      </c>
      <c r="GG304" t="e">
        <f>Details!L7+"AM:!0qt"</f>
        <v>#VALUE!</v>
      </c>
      <c r="GH304" t="e">
        <f>Details!M7+"AM:!0qu"</f>
        <v>#VALUE!</v>
      </c>
      <c r="GI304" t="e">
        <f>Details!N7+"AM:!0qv"</f>
        <v>#VALUE!</v>
      </c>
      <c r="GJ304" t="e">
        <f>Details!O7+"AM:!0qw"</f>
        <v>#VALUE!</v>
      </c>
      <c r="GK304" t="e">
        <f>Details!P7+"AM:!0qx"</f>
        <v>#VALUE!</v>
      </c>
      <c r="GL304" t="e">
        <f>Details!A8+"AM:!0qy"</f>
        <v>#VALUE!</v>
      </c>
      <c r="GM304" t="e">
        <f>Details!B8+"AM:!0qz"</f>
        <v>#VALUE!</v>
      </c>
      <c r="GN304" t="e">
        <f>Details!C8+"AM:!0q{"</f>
        <v>#VALUE!</v>
      </c>
      <c r="GO304" t="e">
        <f>Details!D8+"AM:!0q|"</f>
        <v>#VALUE!</v>
      </c>
      <c r="GP304" s="98" t="e">
        <f>Details!E8+"AM:!0q}"</f>
        <v>#VALUE!</v>
      </c>
      <c r="GQ304" t="e">
        <f>Details!F8+"AM:!0q~"</f>
        <v>#VALUE!</v>
      </c>
      <c r="GR304" t="e">
        <f>Details!G8+"AM:!0r#"</f>
        <v>#VALUE!</v>
      </c>
      <c r="GS304" t="e">
        <f>Details!H8+"AM:!0r$"</f>
        <v>#VALUE!</v>
      </c>
      <c r="GT304" t="e">
        <f>Details!I8+"AM:!0r%"</f>
        <v>#VALUE!</v>
      </c>
      <c r="GU304" t="e">
        <f>Details!J8+"AM:!0r&amp;"</f>
        <v>#VALUE!</v>
      </c>
      <c r="GV304" t="e">
        <f>Details!L8+"AM:!0r'"</f>
        <v>#VALUE!</v>
      </c>
      <c r="GW304" t="e">
        <f>Details!M8+"AM:!0r("</f>
        <v>#VALUE!</v>
      </c>
      <c r="GX304" t="e">
        <f>Details!N8+"AM:!0r)"</f>
        <v>#VALUE!</v>
      </c>
      <c r="GY304" t="e">
        <f>Details!O8+"AM:!0r."</f>
        <v>#VALUE!</v>
      </c>
      <c r="GZ304" t="e">
        <f>Details!P8+"AM:!0r/"</f>
        <v>#VALUE!</v>
      </c>
      <c r="HA304" t="e">
        <f>Details!A9+"AM:!0r0"</f>
        <v>#VALUE!</v>
      </c>
      <c r="HB304" t="e">
        <f>Details!B9+"AM:!0r1"</f>
        <v>#VALUE!</v>
      </c>
      <c r="HC304" s="105" t="e">
        <f>Details!C9+"AM:!0r2"</f>
        <v>#VALUE!</v>
      </c>
      <c r="HD304" s="105" t="e">
        <f>Details!D9+"AM:!0r3"</f>
        <v>#VALUE!</v>
      </c>
      <c r="HE304" s="105" t="e">
        <f>Details!E9+"AM:!0r4"</f>
        <v>#VALUE!</v>
      </c>
      <c r="HF304" t="e">
        <f>Details!F9+"AM:!0r5"</f>
        <v>#VALUE!</v>
      </c>
      <c r="HG304" t="e">
        <f>Details!G9+"AM:!0r6"</f>
        <v>#VALUE!</v>
      </c>
      <c r="HH304" t="e">
        <f>Details!A10+"AM:!0r7"</f>
        <v>#VALUE!</v>
      </c>
      <c r="HI304" t="e">
        <f>Details!B10+"AM:!0r8"</f>
        <v>#VALUE!</v>
      </c>
      <c r="HJ304" t="e">
        <f>Details!C10+"AM:!0r9"</f>
        <v>#VALUE!</v>
      </c>
      <c r="HK304" t="e">
        <f>Details!D10+"AM:!0r:"</f>
        <v>#VALUE!</v>
      </c>
      <c r="HL304" t="e">
        <f>Details!E10+"AM:!0r;"</f>
        <v>#VALUE!</v>
      </c>
      <c r="HM304" t="e">
        <f>Details!F10+"AM:!0r&lt;"</f>
        <v>#VALUE!</v>
      </c>
      <c r="HN304" t="e">
        <f>Details!G10+"AM:!0r="</f>
        <v>#VALUE!</v>
      </c>
      <c r="HO304" t="e">
        <f>Details!H10+"AM:!0r&gt;"</f>
        <v>#VALUE!</v>
      </c>
      <c r="HP304" t="e">
        <f>Details!I10+"AM:!0r?"</f>
        <v>#VALUE!</v>
      </c>
      <c r="HQ304" t="e">
        <f>Details!J10+"AM:!0r@"</f>
        <v>#VALUE!</v>
      </c>
      <c r="HR304" t="e">
        <f>Details!K10+"AM:!0rA"</f>
        <v>#VALUE!</v>
      </c>
      <c r="HS304" t="e">
        <f>Details!L10+"AM:!0rB"</f>
        <v>#VALUE!</v>
      </c>
      <c r="HT304" t="e">
        <f>Details!M10+"AM:!0rC"</f>
        <v>#VALUE!</v>
      </c>
      <c r="HU304" t="e">
        <f>Details!N10+"AM:!0rD"</f>
        <v>#VALUE!</v>
      </c>
      <c r="HV304" t="e">
        <f>Details!O10+"AM:!0rE"</f>
        <v>#VALUE!</v>
      </c>
      <c r="HW304" t="e">
        <f>Details!P10+"AM:!0rF"</f>
        <v>#VALUE!</v>
      </c>
      <c r="HX304" t="e">
        <f>Details!A11+"AM:!0rG"</f>
        <v>#VALUE!</v>
      </c>
      <c r="HY304" t="e">
        <f>Details!B11+"AM:!0rH"</f>
        <v>#VALUE!</v>
      </c>
      <c r="HZ304" t="e">
        <f>Details!C11+"AM:!0rI"</f>
        <v>#VALUE!</v>
      </c>
      <c r="IA304" t="e">
        <f>Details!D11+"AM:!0rJ"</f>
        <v>#VALUE!</v>
      </c>
      <c r="IB304" t="e">
        <f>Details!E11+"AM:!0rK"</f>
        <v>#VALUE!</v>
      </c>
      <c r="IC304" t="e">
        <f>Details!F11+"AM:!0rL"</f>
        <v>#VALUE!</v>
      </c>
      <c r="ID304" t="e">
        <f>Details!G11+"AM:!0rM"</f>
        <v>#VALUE!</v>
      </c>
      <c r="IE304" t="e">
        <f>Details!H11+"AM:!0rN"</f>
        <v>#VALUE!</v>
      </c>
      <c r="IF304" t="e">
        <f>Details!I11+"AM:!0rO"</f>
        <v>#VALUE!</v>
      </c>
      <c r="IG304" t="e">
        <f>Details!J11+"AM:!0rP"</f>
        <v>#VALUE!</v>
      </c>
      <c r="IH304" t="e">
        <f>Details!K11+"AM:!0rQ"</f>
        <v>#VALUE!</v>
      </c>
      <c r="II304" t="e">
        <f>Details!L11+"AM:!0rR"</f>
        <v>#VALUE!</v>
      </c>
      <c r="IJ304" t="e">
        <f>Details!M11+"AM:!0rS"</f>
        <v>#VALUE!</v>
      </c>
      <c r="IK304" t="e">
        <f>Details!N11+"AM:!0rT"</f>
        <v>#VALUE!</v>
      </c>
      <c r="IL304" t="e">
        <f>Details!O11+"AM:!0rU"</f>
        <v>#VALUE!</v>
      </c>
      <c r="IM304" t="e">
        <f>Details!P11+"AM:!0rV"</f>
        <v>#VALUE!</v>
      </c>
      <c r="IN304" t="e">
        <f>Details!A12+"AM:!0rW"</f>
        <v>#VALUE!</v>
      </c>
      <c r="IO304" t="e">
        <f>Details!B12+"AM:!0rX"</f>
        <v>#VALUE!</v>
      </c>
      <c r="IP304" t="e">
        <f>Details!C12+"AM:!0rY"</f>
        <v>#VALUE!</v>
      </c>
      <c r="IQ304" t="e">
        <f>Details!D12+"AM:!0rZ"</f>
        <v>#VALUE!</v>
      </c>
      <c r="IR304" t="e">
        <f>Details!E12+"AM:!0r["</f>
        <v>#VALUE!</v>
      </c>
      <c r="IS304" t="e">
        <f>Details!F12+"AM:!0r\"</f>
        <v>#VALUE!</v>
      </c>
      <c r="IT304" t="e">
        <f>Details!G12+"AM:!0r]"</f>
        <v>#VALUE!</v>
      </c>
      <c r="IU304" t="e">
        <f>Details!H12+"AM:!0r^"</f>
        <v>#VALUE!</v>
      </c>
      <c r="IV304" t="e">
        <f>Details!I12+"AM:!0r_"</f>
        <v>#VALUE!</v>
      </c>
    </row>
    <row r="305" spans="6:256">
      <c r="F305" t="e">
        <f>Details!J12+"AM:!0r`"</f>
        <v>#VALUE!</v>
      </c>
      <c r="G305" t="e">
        <f>Details!K12+"AM:!0ra"</f>
        <v>#VALUE!</v>
      </c>
      <c r="H305" t="e">
        <f>Details!L12+"AM:!0rb"</f>
        <v>#VALUE!</v>
      </c>
      <c r="I305" t="e">
        <f>Details!M12+"AM:!0rc"</f>
        <v>#VALUE!</v>
      </c>
      <c r="J305" t="e">
        <f>Details!N12+"AM:!0rd"</f>
        <v>#VALUE!</v>
      </c>
      <c r="K305" t="e">
        <f>Details!O12+"AM:!0re"</f>
        <v>#VALUE!</v>
      </c>
      <c r="L305" t="e">
        <f>Details!P12+"AM:!0rf"</f>
        <v>#VALUE!</v>
      </c>
      <c r="M305" t="e">
        <f>Details!A13+"AM:!0rg"</f>
        <v>#VALUE!</v>
      </c>
      <c r="N305" t="e">
        <f>Details!B13+"AM:!0rh"</f>
        <v>#VALUE!</v>
      </c>
      <c r="O305" t="e">
        <f>Details!C13+"AM:!0ri"</f>
        <v>#VALUE!</v>
      </c>
      <c r="P305" t="e">
        <f>Details!D13+"AM:!0rj"</f>
        <v>#VALUE!</v>
      </c>
      <c r="Q305" t="e">
        <f>Details!E13+"AM:!0rk"</f>
        <v>#VALUE!</v>
      </c>
      <c r="R305" t="e">
        <f>Details!F13+"AM:!0rl"</f>
        <v>#VALUE!</v>
      </c>
      <c r="S305" t="e">
        <f>Details!G13+"AM:!0rm"</f>
        <v>#VALUE!</v>
      </c>
      <c r="T305" t="e">
        <f>Details!H13+"AM:!0rn"</f>
        <v>#VALUE!</v>
      </c>
      <c r="U305" t="e">
        <f>Details!I13+"AM:!0ro"</f>
        <v>#VALUE!</v>
      </c>
      <c r="V305" t="e">
        <f>Details!J13+"AM:!0rp"</f>
        <v>#VALUE!</v>
      </c>
      <c r="W305" t="e">
        <f>Details!K13+"AM:!0rq"</f>
        <v>#VALUE!</v>
      </c>
      <c r="X305" t="e">
        <f>Details!L13+"AM:!0rr"</f>
        <v>#VALUE!</v>
      </c>
      <c r="Y305" s="97" t="e">
        <f>Details!M13+"AM:!0rs"</f>
        <v>#VALUE!</v>
      </c>
      <c r="Z305" s="97" t="e">
        <f>Details!N13+"AM:!0rt"</f>
        <v>#VALUE!</v>
      </c>
      <c r="AA305" s="97" t="e">
        <f>Details!O13+"AM:!0ru"</f>
        <v>#VALUE!</v>
      </c>
      <c r="AB305" s="97" t="e">
        <f>Details!P13+"AM:!0rv"</f>
        <v>#VALUE!</v>
      </c>
      <c r="AC305" t="e">
        <f>Details!A14+"AM:!0rw"</f>
        <v>#VALUE!</v>
      </c>
      <c r="AD305" t="e">
        <f>Details!B14+"AM:!0rx"</f>
        <v>#VALUE!</v>
      </c>
      <c r="AE305" t="e">
        <f ca="1">Details!C14+"AM:!0ry"</f>
        <v>#VALUE!</v>
      </c>
      <c r="AF305" t="e">
        <f>Details!D14+"AM:!0rz"</f>
        <v>#VALUE!</v>
      </c>
      <c r="AG305" t="e">
        <f ca="1">Details!E14+"AM:!0r{"</f>
        <v>#VALUE!</v>
      </c>
      <c r="AH305" t="e">
        <f ca="1">Details!F14+"AM:!0r|"</f>
        <v>#VALUE!</v>
      </c>
      <c r="AI305" t="e">
        <f ca="1">Details!G14+"AM:!0r}"</f>
        <v>#VALUE!</v>
      </c>
      <c r="AJ305" t="e">
        <f>Details!H14+"AM:!0r~"</f>
        <v>#VALUE!</v>
      </c>
      <c r="AK305" t="e">
        <f>Details!I14+"AM:!0s#"</f>
        <v>#VALUE!</v>
      </c>
      <c r="AL305" t="e">
        <f>Details!J14+"AM:!0s$"</f>
        <v>#VALUE!</v>
      </c>
      <c r="AM305" t="e">
        <f>Details!K14+"AM:!0s%"</f>
        <v>#VALUE!</v>
      </c>
      <c r="AN305" t="e">
        <f>Details!L14+"AM:!0s&amp;"</f>
        <v>#VALUE!</v>
      </c>
      <c r="AO305" s="100" t="e">
        <f>Details!M14+"AM:!0s'"</f>
        <v>#VALUE!</v>
      </c>
      <c r="AP305" s="100" t="e">
        <f ca="1">Details!N14+"AM:!0s("</f>
        <v>#VALUE!</v>
      </c>
      <c r="AQ305" s="100" t="e">
        <f>Details!O14+"AM:!0s)"</f>
        <v>#VALUE!</v>
      </c>
      <c r="AR305" s="100" t="e">
        <f ca="1">Details!P14+"AM:!0s."</f>
        <v>#VALUE!</v>
      </c>
      <c r="AS305" t="e">
        <f>Details!A15+"AM:!0s/"</f>
        <v>#VALUE!</v>
      </c>
      <c r="AT305" t="e">
        <f>Details!B15+"AM:!0s0"</f>
        <v>#VALUE!</v>
      </c>
      <c r="AU305" t="e">
        <f>Details!C15+"AM:!0s1"</f>
        <v>#VALUE!</v>
      </c>
      <c r="AV305" t="e">
        <f>Details!D15+"AM:!0s2"</f>
        <v>#VALUE!</v>
      </c>
      <c r="AW305" t="e">
        <f>Details!E15+"AM:!0s3"</f>
        <v>#VALUE!</v>
      </c>
      <c r="AX305" t="e">
        <f>Details!F15+"AM:!0s4"</f>
        <v>#VALUE!</v>
      </c>
      <c r="AY305" t="e">
        <f>Details!G15+"AM:!0s5"</f>
        <v>#VALUE!</v>
      </c>
      <c r="AZ305" t="e">
        <f>Details!H15+"AM:!0s6"</f>
        <v>#VALUE!</v>
      </c>
      <c r="BA305" t="e">
        <f>Details!I15+"AM:!0s7"</f>
        <v>#VALUE!</v>
      </c>
      <c r="BB305" t="e">
        <f>Details!J15+"AM:!0s8"</f>
        <v>#VALUE!</v>
      </c>
      <c r="BC305" t="e">
        <f>Details!K15+"AM:!0s9"</f>
        <v>#VALUE!</v>
      </c>
      <c r="BD305" t="e">
        <f>Details!L15+"AM:!0s:"</f>
        <v>#VALUE!</v>
      </c>
      <c r="BE305" s="100" t="e">
        <f>Details!M15+"AM:!0s;"</f>
        <v>#VALUE!</v>
      </c>
      <c r="BF305" s="100" t="e">
        <f>Details!N15+"AM:!0s&lt;"</f>
        <v>#VALUE!</v>
      </c>
      <c r="BG305" s="100" t="e">
        <f>Details!O15+"AM:!0s="</f>
        <v>#VALUE!</v>
      </c>
      <c r="BH305" s="100" t="e">
        <f>Details!P15+"AM:!0s&gt;"</f>
        <v>#VALUE!</v>
      </c>
      <c r="BI305" t="e">
        <f>Details!A16+"AM:!0s?"</f>
        <v>#VALUE!</v>
      </c>
      <c r="BJ305" t="e">
        <f>Details!B16+"AM:!0s@"</f>
        <v>#VALUE!</v>
      </c>
      <c r="BK305" t="e">
        <f>Details!C16+"AM:!0sA"</f>
        <v>#VALUE!</v>
      </c>
      <c r="BL305" t="e">
        <f>Details!D16+"AM:!0sB"</f>
        <v>#VALUE!</v>
      </c>
      <c r="BM305" t="e">
        <f>Details!E16+"AM:!0sC"</f>
        <v>#VALUE!</v>
      </c>
      <c r="BN305" t="e">
        <f>Details!F16+"AM:!0sD"</f>
        <v>#VALUE!</v>
      </c>
      <c r="BO305" t="e">
        <f>Details!G16+"AM:!0sE"</f>
        <v>#VALUE!</v>
      </c>
      <c r="BP305" t="e">
        <f>Details!H16+"AM:!0sF"</f>
        <v>#VALUE!</v>
      </c>
      <c r="BQ305" t="e">
        <f>Details!I16+"AM:!0sG"</f>
        <v>#VALUE!</v>
      </c>
      <c r="BR305" t="e">
        <f>Details!J16+"AM:!0sH"</f>
        <v>#VALUE!</v>
      </c>
      <c r="BS305" t="e">
        <f>Details!K16+"AM:!0sI"</f>
        <v>#VALUE!</v>
      </c>
      <c r="BT305" t="e">
        <f>Details!L16+"AM:!0sJ"</f>
        <v>#VALUE!</v>
      </c>
      <c r="BU305" s="100" t="e">
        <f>Details!M16+"AM:!0sK"</f>
        <v>#VALUE!</v>
      </c>
      <c r="BV305" s="100" t="e">
        <f>Details!N16+"AM:!0sL"</f>
        <v>#VALUE!</v>
      </c>
      <c r="BW305" s="100" t="e">
        <f>Details!O16+"AM:!0sM"</f>
        <v>#VALUE!</v>
      </c>
      <c r="BX305" s="100" t="e">
        <f>Details!P16+"AM:!0sN"</f>
        <v>#VALUE!</v>
      </c>
      <c r="BY305" t="e">
        <f>Details!A17+"AM:!0sO"</f>
        <v>#VALUE!</v>
      </c>
      <c r="BZ305" t="e">
        <f>Details!B17+"AM:!0sP"</f>
        <v>#VALUE!</v>
      </c>
      <c r="CA305" t="e">
        <f>Details!C17+"AM:!0sQ"</f>
        <v>#VALUE!</v>
      </c>
      <c r="CB305" t="e">
        <f>Details!D17+"AM:!0sR"</f>
        <v>#VALUE!</v>
      </c>
      <c r="CC305" t="e">
        <f>Details!E17+"AM:!0sS"</f>
        <v>#VALUE!</v>
      </c>
      <c r="CD305" t="e">
        <f>Details!F17+"AM:!0sT"</f>
        <v>#VALUE!</v>
      </c>
      <c r="CE305" t="e">
        <f>Details!G17+"AM:!0sU"</f>
        <v>#VALUE!</v>
      </c>
      <c r="CF305" t="e">
        <f>Details!H17+"AM:!0sV"</f>
        <v>#VALUE!</v>
      </c>
      <c r="CG305" t="e">
        <f>Details!I17+"AM:!0sW"</f>
        <v>#VALUE!</v>
      </c>
      <c r="CH305" t="e">
        <f>Details!J17+"AM:!0sX"</f>
        <v>#VALUE!</v>
      </c>
      <c r="CI305" t="e">
        <f>Details!K17+"AM:!0sY"</f>
        <v>#VALUE!</v>
      </c>
      <c r="CJ305" t="e">
        <f>Details!L17+"AM:!0sZ"</f>
        <v>#VALUE!</v>
      </c>
      <c r="CK305" s="100" t="e">
        <f>Details!M17+"AM:!0s["</f>
        <v>#VALUE!</v>
      </c>
      <c r="CL305" s="100" t="e">
        <f>Details!N17+"AM:!0s\"</f>
        <v>#VALUE!</v>
      </c>
      <c r="CM305" s="100" t="e">
        <f>Details!O17+"AM:!0s]"</f>
        <v>#VALUE!</v>
      </c>
      <c r="CN305" s="100" t="e">
        <f>Details!P17+"AM:!0s^"</f>
        <v>#VALUE!</v>
      </c>
      <c r="CO305" t="e">
        <f>Details!A18+"AM:!0s_"</f>
        <v>#VALUE!</v>
      </c>
      <c r="CP305" t="e">
        <f>Details!B18+"AM:!0s`"</f>
        <v>#VALUE!</v>
      </c>
      <c r="CQ305" t="e">
        <f>Details!C18+"AM:!0sa"</f>
        <v>#VALUE!</v>
      </c>
      <c r="CR305" t="e">
        <f>Details!D18+"AM:!0sb"</f>
        <v>#VALUE!</v>
      </c>
      <c r="CS305" t="e">
        <f>Details!E18+"AM:!0sc"</f>
        <v>#VALUE!</v>
      </c>
      <c r="CT305" t="e">
        <f>Details!F18+"AM:!0sd"</f>
        <v>#VALUE!</v>
      </c>
      <c r="CU305" t="e">
        <f>Details!G18+"AM:!0se"</f>
        <v>#VALUE!</v>
      </c>
      <c r="CV305" t="e">
        <f>Details!H18+"AM:!0sf"</f>
        <v>#VALUE!</v>
      </c>
      <c r="CW305" t="e">
        <f>Details!I18+"AM:!0sg"</f>
        <v>#VALUE!</v>
      </c>
      <c r="CX305" t="e">
        <f>Details!J18+"AM:!0sh"</f>
        <v>#VALUE!</v>
      </c>
      <c r="CY305" t="e">
        <f>Details!K18+"AM:!0si"</f>
        <v>#VALUE!</v>
      </c>
      <c r="CZ305" t="e">
        <f>Details!L18+"AM:!0sj"</f>
        <v>#VALUE!</v>
      </c>
      <c r="DA305" s="100" t="e">
        <f>Details!M18+"AM:!0sk"</f>
        <v>#VALUE!</v>
      </c>
      <c r="DB305" s="100" t="e">
        <f>Details!N18+"AM:!0sl"</f>
        <v>#VALUE!</v>
      </c>
      <c r="DC305" s="100" t="e">
        <f>Details!O18+"AM:!0sm"</f>
        <v>#VALUE!</v>
      </c>
      <c r="DD305" s="100" t="e">
        <f>Details!P18+"AM:!0sn"</f>
        <v>#VALUE!</v>
      </c>
      <c r="DE305" t="e">
        <f>Details!A19+"AM:!0so"</f>
        <v>#VALUE!</v>
      </c>
      <c r="DF305" t="e">
        <f>Details!B19+"AM:!0sp"</f>
        <v>#VALUE!</v>
      </c>
      <c r="DG305" t="e">
        <f>Details!C19+"AM:!0sq"</f>
        <v>#VALUE!</v>
      </c>
      <c r="DH305" t="e">
        <f>Details!D19+"AM:!0sr"</f>
        <v>#VALUE!</v>
      </c>
      <c r="DI305" t="e">
        <f>Details!E19+"AM:!0ss"</f>
        <v>#VALUE!</v>
      </c>
      <c r="DJ305" t="e">
        <f>Details!F19+"AM:!0st"</f>
        <v>#VALUE!</v>
      </c>
      <c r="DK305" t="e">
        <f>Details!G19+"AM:!0su"</f>
        <v>#VALUE!</v>
      </c>
      <c r="DL305" t="e">
        <f>Details!H19+"AM:!0sv"</f>
        <v>#VALUE!</v>
      </c>
      <c r="DM305" t="e">
        <f>Details!I19+"AM:!0sw"</f>
        <v>#VALUE!</v>
      </c>
      <c r="DN305" t="e">
        <f>Details!J19+"AM:!0sx"</f>
        <v>#VALUE!</v>
      </c>
      <c r="DO305" t="e">
        <f>Details!K19+"AM:!0sy"</f>
        <v>#VALUE!</v>
      </c>
      <c r="DP305" t="e">
        <f>Details!L19+"AM:!0sz"</f>
        <v>#VALUE!</v>
      </c>
      <c r="DQ305" s="100" t="e">
        <f>Details!M19+"AM:!0s{"</f>
        <v>#VALUE!</v>
      </c>
      <c r="DR305" s="100" t="e">
        <f>Details!N19+"AM:!0s|"</f>
        <v>#VALUE!</v>
      </c>
      <c r="DS305" s="100" t="e">
        <f>Details!O19+"AM:!0s}"</f>
        <v>#VALUE!</v>
      </c>
      <c r="DT305" s="100" t="e">
        <f>Details!P19+"AM:!0s~"</f>
        <v>#VALUE!</v>
      </c>
      <c r="DU305" t="e">
        <f>Details!A20+"AM:!0t#"</f>
        <v>#VALUE!</v>
      </c>
      <c r="DV305" t="e">
        <f>Details!B20+"AM:!0t$"</f>
        <v>#VALUE!</v>
      </c>
      <c r="DW305" t="e">
        <f>Details!C20+"AM:!0t%"</f>
        <v>#VALUE!</v>
      </c>
      <c r="DX305" t="e">
        <f>Details!D20+"AM:!0t&amp;"</f>
        <v>#VALUE!</v>
      </c>
      <c r="DY305" t="e">
        <f>Details!E20+"AM:!0t'"</f>
        <v>#VALUE!</v>
      </c>
      <c r="DZ305" t="e">
        <f>Details!F20+"AM:!0t("</f>
        <v>#VALUE!</v>
      </c>
      <c r="EA305" t="e">
        <f>Details!G20+"AM:!0t)"</f>
        <v>#VALUE!</v>
      </c>
      <c r="EB305" t="e">
        <f>Details!H20+"AM:!0t."</f>
        <v>#VALUE!</v>
      </c>
      <c r="EC305" t="e">
        <f>Details!I20+"AM:!0t/"</f>
        <v>#VALUE!</v>
      </c>
      <c r="ED305" t="e">
        <f>Details!J20+"AM:!0t0"</f>
        <v>#VALUE!</v>
      </c>
      <c r="EE305" t="e">
        <f>Details!K20+"AM:!0t1"</f>
        <v>#VALUE!</v>
      </c>
      <c r="EF305" t="e">
        <f>Details!L20+"AM:!0t2"</f>
        <v>#VALUE!</v>
      </c>
      <c r="EG305" s="100" t="e">
        <f>Details!M20+"AM:!0t3"</f>
        <v>#VALUE!</v>
      </c>
      <c r="EH305" s="100" t="e">
        <f>Details!N20+"AM:!0t4"</f>
        <v>#VALUE!</v>
      </c>
      <c r="EI305" s="100" t="e">
        <f>Details!O20+"AM:!0t5"</f>
        <v>#VALUE!</v>
      </c>
      <c r="EJ305" s="100" t="e">
        <f>Details!P20+"AM:!0t6"</f>
        <v>#VALUE!</v>
      </c>
      <c r="EK305" t="e">
        <f>Details!A21+"AM:!0t7"</f>
        <v>#VALUE!</v>
      </c>
      <c r="EL305" t="e">
        <f>Details!B21+"AM:!0t8"</f>
        <v>#VALUE!</v>
      </c>
      <c r="EM305" t="e">
        <f>Details!C21+"AM:!0t9"</f>
        <v>#VALUE!</v>
      </c>
      <c r="EN305" t="e">
        <f>Details!D21+"AM:!0t:"</f>
        <v>#VALUE!</v>
      </c>
      <c r="EO305" t="e">
        <f>Details!E21+"AM:!0t;"</f>
        <v>#VALUE!</v>
      </c>
      <c r="EP305" t="e">
        <f>Details!F21+"AM:!0t&lt;"</f>
        <v>#VALUE!</v>
      </c>
      <c r="EQ305" t="e">
        <f>Details!G21+"AM:!0t="</f>
        <v>#VALUE!</v>
      </c>
      <c r="ER305" t="e">
        <f>Details!H21+"AM:!0t&gt;"</f>
        <v>#VALUE!</v>
      </c>
      <c r="ES305" t="e">
        <f>Details!I21+"AM:!0t?"</f>
        <v>#VALUE!</v>
      </c>
      <c r="ET305" t="e">
        <f>Details!J21+"AM:!0t@"</f>
        <v>#VALUE!</v>
      </c>
      <c r="EU305" t="e">
        <f>Details!K21+"AM:!0tA"</f>
        <v>#VALUE!</v>
      </c>
      <c r="EV305" t="e">
        <f>Details!L21+"AM:!0tB"</f>
        <v>#VALUE!</v>
      </c>
      <c r="EW305" s="100" t="e">
        <f>Details!M21+"AM:!0tC"</f>
        <v>#VALUE!</v>
      </c>
      <c r="EX305" s="100" t="e">
        <f>Details!N21+"AM:!0tD"</f>
        <v>#VALUE!</v>
      </c>
      <c r="EY305" s="100" t="e">
        <f>Details!O21+"AM:!0tE"</f>
        <v>#VALUE!</v>
      </c>
      <c r="EZ305" s="100" t="e">
        <f>Details!P21+"AM:!0tF"</f>
        <v>#VALUE!</v>
      </c>
      <c r="FA305" t="e">
        <f>Details!A22+"AM:!0tG"</f>
        <v>#VALUE!</v>
      </c>
      <c r="FB305" t="e">
        <f>Details!B22+"AM:!0tH"</f>
        <v>#VALUE!</v>
      </c>
      <c r="FC305" t="e">
        <f>Details!C22+"AM:!0tI"</f>
        <v>#VALUE!</v>
      </c>
      <c r="FD305" t="e">
        <f>Details!D22+"AM:!0tJ"</f>
        <v>#VALUE!</v>
      </c>
      <c r="FE305" t="e">
        <f>Details!E22+"AM:!0tK"</f>
        <v>#VALUE!</v>
      </c>
      <c r="FF305" t="e">
        <f>Details!F22+"AM:!0tL"</f>
        <v>#VALUE!</v>
      </c>
      <c r="FG305" t="e">
        <f>Details!G22+"AM:!0tM"</f>
        <v>#VALUE!</v>
      </c>
      <c r="FH305" t="e">
        <f>Details!H22+"AM:!0tN"</f>
        <v>#VALUE!</v>
      </c>
      <c r="FI305" t="e">
        <f>Details!I22+"AM:!0tO"</f>
        <v>#VALUE!</v>
      </c>
      <c r="FJ305" t="e">
        <f>Details!J22+"AM:!0tP"</f>
        <v>#VALUE!</v>
      </c>
      <c r="FK305" t="e">
        <f>Details!K22+"AM:!0tQ"</f>
        <v>#VALUE!</v>
      </c>
      <c r="FL305" t="e">
        <f>Details!L22+"AM:!0tR"</f>
        <v>#VALUE!</v>
      </c>
      <c r="FM305" s="100" t="e">
        <f>Details!M22+"AM:!0tS"</f>
        <v>#VALUE!</v>
      </c>
      <c r="FN305" s="100" t="e">
        <f>Details!N22+"AM:!0tT"</f>
        <v>#VALUE!</v>
      </c>
      <c r="FO305" s="100" t="e">
        <f>Details!O22+"AM:!0tU"</f>
        <v>#VALUE!</v>
      </c>
      <c r="FP305" s="100" t="e">
        <f>Details!P22+"AM:!0tV"</f>
        <v>#VALUE!</v>
      </c>
      <c r="FQ305" t="e">
        <f>Details!A23+"AM:!0tW"</f>
        <v>#VALUE!</v>
      </c>
      <c r="FR305" t="e">
        <f>Details!B23+"AM:!0tX"</f>
        <v>#VALUE!</v>
      </c>
      <c r="FS305" t="e">
        <f>Details!C23+"AM:!0tY"</f>
        <v>#VALUE!</v>
      </c>
      <c r="FT305" t="e">
        <f>Details!D23+"AM:!0tZ"</f>
        <v>#VALUE!</v>
      </c>
      <c r="FU305" t="e">
        <f>Details!E23+"AM:!0t["</f>
        <v>#VALUE!</v>
      </c>
      <c r="FV305" t="e">
        <f>Details!F23+"AM:!0t\"</f>
        <v>#VALUE!</v>
      </c>
      <c r="FW305" t="e">
        <f>Details!G23+"AM:!0t]"</f>
        <v>#VALUE!</v>
      </c>
      <c r="FX305" t="e">
        <f>Details!H23+"AM:!0t^"</f>
        <v>#VALUE!</v>
      </c>
      <c r="FY305" t="e">
        <f>Details!I23+"AM:!0t_"</f>
        <v>#VALUE!</v>
      </c>
      <c r="FZ305" t="e">
        <f>Details!J23+"AM:!0t`"</f>
        <v>#VALUE!</v>
      </c>
      <c r="GA305" t="e">
        <f>Details!K23+"AM:!0ta"</f>
        <v>#VALUE!</v>
      </c>
      <c r="GB305" t="e">
        <f>Details!L23+"AM:!0tb"</f>
        <v>#VALUE!</v>
      </c>
      <c r="GC305" s="100" t="e">
        <f>Details!M23+"AM:!0tc"</f>
        <v>#VALUE!</v>
      </c>
      <c r="GD305" s="100" t="e">
        <f>Details!N23+"AM:!0td"</f>
        <v>#VALUE!</v>
      </c>
      <c r="GE305" s="100" t="e">
        <f>Details!O23+"AM:!0te"</f>
        <v>#VALUE!</v>
      </c>
      <c r="GF305" s="100" t="e">
        <f>Details!P23+"AM:!0tf"</f>
        <v>#VALUE!</v>
      </c>
      <c r="GG305" t="e">
        <f>Details!A24+"AM:!0tg"</f>
        <v>#VALUE!</v>
      </c>
      <c r="GH305" t="e">
        <f>Details!B24+"AM:!0th"</f>
        <v>#VALUE!</v>
      </c>
      <c r="GI305" t="e">
        <f>Details!C24+"AM:!0ti"</f>
        <v>#VALUE!</v>
      </c>
      <c r="GJ305" t="e">
        <f>Details!D24+"AM:!0tj"</f>
        <v>#VALUE!</v>
      </c>
      <c r="GK305" t="e">
        <f>Details!E24+"AM:!0tk"</f>
        <v>#VALUE!</v>
      </c>
      <c r="GL305" t="e">
        <f>Details!F24+"AM:!0tl"</f>
        <v>#VALUE!</v>
      </c>
      <c r="GM305" t="e">
        <f>Details!G24+"AM:!0tm"</f>
        <v>#VALUE!</v>
      </c>
      <c r="GN305" t="e">
        <f>Details!H24+"AM:!0tn"</f>
        <v>#VALUE!</v>
      </c>
      <c r="GO305" t="e">
        <f>Details!I24+"AM:!0to"</f>
        <v>#VALUE!</v>
      </c>
      <c r="GP305" t="e">
        <f>Details!J24+"AM:!0tp"</f>
        <v>#VALUE!</v>
      </c>
      <c r="GQ305" t="e">
        <f>Details!K24+"AM:!0tq"</f>
        <v>#VALUE!</v>
      </c>
      <c r="GR305" t="e">
        <f>Details!L24+"AM:!0tr"</f>
        <v>#VALUE!</v>
      </c>
      <c r="GS305" s="100" t="e">
        <f>Details!M24+"AM:!0ts"</f>
        <v>#VALUE!</v>
      </c>
      <c r="GT305" s="100" t="e">
        <f>Details!N24+"AM:!0tt"</f>
        <v>#VALUE!</v>
      </c>
      <c r="GU305" s="100" t="e">
        <f>Details!O24+"AM:!0tu"</f>
        <v>#VALUE!</v>
      </c>
      <c r="GV305" s="100" t="e">
        <f>Details!P24+"AM:!0tv"</f>
        <v>#VALUE!</v>
      </c>
      <c r="GW305" t="e">
        <f>Details!A25+"AM:!0tw"</f>
        <v>#VALUE!</v>
      </c>
      <c r="GX305" t="e">
        <f>Details!B25+"AM:!0tx"</f>
        <v>#VALUE!</v>
      </c>
      <c r="GY305" t="e">
        <f>Details!C25+"AM:!0ty"</f>
        <v>#VALUE!</v>
      </c>
      <c r="GZ305" t="e">
        <f>Details!D25+"AM:!0tz"</f>
        <v>#VALUE!</v>
      </c>
      <c r="HA305" t="e">
        <f>Details!E25+"AM:!0t{"</f>
        <v>#VALUE!</v>
      </c>
      <c r="HB305" t="e">
        <f>Details!F25+"AM:!0t|"</f>
        <v>#VALUE!</v>
      </c>
      <c r="HC305" t="e">
        <f>Details!G25+"AM:!0t}"</f>
        <v>#VALUE!</v>
      </c>
      <c r="HD305" t="e">
        <f>Details!H25+"AM:!0t~"</f>
        <v>#VALUE!</v>
      </c>
      <c r="HE305" t="e">
        <f>Details!I25+"AM:!0u#"</f>
        <v>#VALUE!</v>
      </c>
      <c r="HF305" t="e">
        <f>Details!J25+"AM:!0u$"</f>
        <v>#VALUE!</v>
      </c>
      <c r="HG305" t="e">
        <f>Details!K25+"AM:!0u%"</f>
        <v>#VALUE!</v>
      </c>
      <c r="HH305" t="e">
        <f>Details!L25+"AM:!0u&amp;"</f>
        <v>#VALUE!</v>
      </c>
      <c r="HI305" s="100" t="e">
        <f>Details!M25+"AM:!0u'"</f>
        <v>#VALUE!</v>
      </c>
      <c r="HJ305" s="100" t="e">
        <f>Details!N25+"AM:!0u("</f>
        <v>#VALUE!</v>
      </c>
      <c r="HK305" s="100" t="e">
        <f>Details!O25+"AM:!0u)"</f>
        <v>#VALUE!</v>
      </c>
      <c r="HL305" s="100" t="e">
        <f>Details!P25+"AM:!0u."</f>
        <v>#VALUE!</v>
      </c>
      <c r="HM305" t="e">
        <f>Details!A26+"AM:!0u/"</f>
        <v>#VALUE!</v>
      </c>
      <c r="HN305" t="e">
        <f>Details!B26+"AM:!0u0"</f>
        <v>#VALUE!</v>
      </c>
      <c r="HO305" t="e">
        <f>Details!C26+"AM:!0u1"</f>
        <v>#VALUE!</v>
      </c>
      <c r="HP305" t="e">
        <f>Details!D26+"AM:!0u2"</f>
        <v>#VALUE!</v>
      </c>
      <c r="HQ305" t="e">
        <f>Details!E26+"AM:!0u3"</f>
        <v>#VALUE!</v>
      </c>
      <c r="HR305" t="e">
        <f>Details!F26+"AM:!0u4"</f>
        <v>#VALUE!</v>
      </c>
      <c r="HS305" t="e">
        <f>Details!G26+"AM:!0u5"</f>
        <v>#VALUE!</v>
      </c>
      <c r="HT305" t="e">
        <f>Details!H26+"AM:!0u6"</f>
        <v>#VALUE!</v>
      </c>
      <c r="HU305" t="e">
        <f>Details!I26+"AM:!0u7"</f>
        <v>#VALUE!</v>
      </c>
      <c r="HV305" t="e">
        <f>Details!J26+"AM:!0u8"</f>
        <v>#VALUE!</v>
      </c>
      <c r="HW305" t="e">
        <f>Details!K26+"AM:!0u9"</f>
        <v>#VALUE!</v>
      </c>
      <c r="HX305" t="e">
        <f>Details!L26+"AM:!0u:"</f>
        <v>#VALUE!</v>
      </c>
      <c r="HY305" s="100" t="e">
        <f>Details!M26+"AM:!0u;"</f>
        <v>#VALUE!</v>
      </c>
      <c r="HZ305" s="100" t="e">
        <f>Details!N26+"AM:!0u&lt;"</f>
        <v>#VALUE!</v>
      </c>
      <c r="IA305" s="100" t="e">
        <f>Details!O26+"AM:!0u="</f>
        <v>#VALUE!</v>
      </c>
      <c r="IB305" s="100" t="e">
        <f>Details!P26+"AM:!0u&gt;"</f>
        <v>#VALUE!</v>
      </c>
      <c r="IC305" t="e">
        <f>Details!A27+"AM:!0u?"</f>
        <v>#VALUE!</v>
      </c>
      <c r="ID305" t="e">
        <f>Details!B27+"AM:!0u@"</f>
        <v>#VALUE!</v>
      </c>
      <c r="IE305" t="e">
        <f>Details!C27+"AM:!0uA"</f>
        <v>#VALUE!</v>
      </c>
      <c r="IF305" t="e">
        <f>Details!D27+"AM:!0uB"</f>
        <v>#VALUE!</v>
      </c>
      <c r="IG305" t="e">
        <f>Details!E27+"AM:!0uC"</f>
        <v>#VALUE!</v>
      </c>
      <c r="IH305" t="e">
        <f>Details!F27+"AM:!0uD"</f>
        <v>#VALUE!</v>
      </c>
      <c r="II305" t="e">
        <f>Details!G27+"AM:!0uE"</f>
        <v>#VALUE!</v>
      </c>
      <c r="IJ305" t="e">
        <f>Details!H27+"AM:!0uF"</f>
        <v>#VALUE!</v>
      </c>
      <c r="IK305" t="e">
        <f>Details!I27+"AM:!0uG"</f>
        <v>#VALUE!</v>
      </c>
      <c r="IL305" t="e">
        <f>Details!J27+"AM:!0uH"</f>
        <v>#VALUE!</v>
      </c>
      <c r="IM305" t="e">
        <f>Details!K27+"AM:!0uI"</f>
        <v>#VALUE!</v>
      </c>
      <c r="IN305" t="e">
        <f>Details!L27+"AM:!0uJ"</f>
        <v>#VALUE!</v>
      </c>
      <c r="IO305" s="100" t="e">
        <f>Details!M27+"AM:!0uK"</f>
        <v>#VALUE!</v>
      </c>
      <c r="IP305" s="100" t="e">
        <f>Details!N27+"AM:!0uL"</f>
        <v>#VALUE!</v>
      </c>
      <c r="IQ305" s="100" t="e">
        <f>Details!O27+"AM:!0uM"</f>
        <v>#VALUE!</v>
      </c>
      <c r="IR305" s="100" t="e">
        <f>Details!P27+"AM:!0uN"</f>
        <v>#VALUE!</v>
      </c>
      <c r="IS305" t="e">
        <f>Details!A28+"AM:!0uO"</f>
        <v>#VALUE!</v>
      </c>
      <c r="IT305" t="e">
        <f>Details!B28+"AM:!0uP"</f>
        <v>#VALUE!</v>
      </c>
      <c r="IU305" t="e">
        <f>Details!C28+"AM:!0uQ"</f>
        <v>#VALUE!</v>
      </c>
      <c r="IV305" t="e">
        <f>Details!D28+"AM:!0uR"</f>
        <v>#VALUE!</v>
      </c>
    </row>
    <row r="306" spans="6:256">
      <c r="F306" t="e">
        <f>Details!E28+"AM:!0uS"</f>
        <v>#VALUE!</v>
      </c>
      <c r="G306" t="e">
        <f>Details!F28+"AM:!0uT"</f>
        <v>#VALUE!</v>
      </c>
      <c r="H306" t="e">
        <f>Details!G28+"AM:!0uU"</f>
        <v>#VALUE!</v>
      </c>
      <c r="I306" t="e">
        <f>Details!H28+"AM:!0uV"</f>
        <v>#VALUE!</v>
      </c>
      <c r="J306" t="e">
        <f>Details!I28+"AM:!0uW"</f>
        <v>#VALUE!</v>
      </c>
      <c r="K306" t="e">
        <f>Details!J28+"AM:!0uX"</f>
        <v>#VALUE!</v>
      </c>
      <c r="L306" t="e">
        <f>Details!K28+"AM:!0uY"</f>
        <v>#VALUE!</v>
      </c>
      <c r="M306" t="e">
        <f>Details!L28+"AM:!0uZ"</f>
        <v>#VALUE!</v>
      </c>
      <c r="N306" s="100" t="e">
        <f>Details!M28+"AM:!0u["</f>
        <v>#VALUE!</v>
      </c>
      <c r="O306" s="100" t="e">
        <f>Details!N28+"AM:!0u\"</f>
        <v>#VALUE!</v>
      </c>
      <c r="P306" s="100" t="e">
        <f>Details!O28+"AM:!0u]"</f>
        <v>#VALUE!</v>
      </c>
      <c r="Q306" s="100" t="e">
        <f>Details!P28+"AM:!0u^"</f>
        <v>#VALUE!</v>
      </c>
      <c r="R306" t="e">
        <f>Details!A29+"AM:!0u_"</f>
        <v>#VALUE!</v>
      </c>
      <c r="S306" t="e">
        <f>Details!B29+"AM:!0u`"</f>
        <v>#VALUE!</v>
      </c>
      <c r="T306" t="e">
        <f>Details!C29+"AM:!0ua"</f>
        <v>#VALUE!</v>
      </c>
      <c r="U306" t="e">
        <f>Details!D29+"AM:!0ub"</f>
        <v>#VALUE!</v>
      </c>
      <c r="V306" t="e">
        <f>Details!E29+"AM:!0uc"</f>
        <v>#VALUE!</v>
      </c>
      <c r="W306" t="e">
        <f>Details!F29+"AM:!0ud"</f>
        <v>#VALUE!</v>
      </c>
      <c r="X306" t="e">
        <f>Details!G29+"AM:!0ue"</f>
        <v>#VALUE!</v>
      </c>
      <c r="Y306" t="e">
        <f>Details!H29+"AM:!0uf"</f>
        <v>#VALUE!</v>
      </c>
      <c r="Z306" t="e">
        <f>Details!I29+"AM:!0ug"</f>
        <v>#VALUE!</v>
      </c>
      <c r="AA306" t="e">
        <f>Details!J29+"AM:!0uh"</f>
        <v>#VALUE!</v>
      </c>
      <c r="AB306" t="e">
        <f>Details!K29+"AM:!0ui"</f>
        <v>#VALUE!</v>
      </c>
      <c r="AC306" t="e">
        <f>Details!L29+"AM:!0uj"</f>
        <v>#VALUE!</v>
      </c>
      <c r="AD306" s="100" t="e">
        <f>Details!M29+"AM:!0uk"</f>
        <v>#VALUE!</v>
      </c>
      <c r="AE306" s="100" t="e">
        <f>Details!N29+"AM:!0ul"</f>
        <v>#VALUE!</v>
      </c>
      <c r="AF306" s="100" t="e">
        <f>Details!O29+"AM:!0um"</f>
        <v>#VALUE!</v>
      </c>
      <c r="AG306" s="100" t="e">
        <f>Details!P29+"AM:!0un"</f>
        <v>#VALUE!</v>
      </c>
      <c r="AH306" t="e">
        <f>Details!A30+"AM:!0uo"</f>
        <v>#VALUE!</v>
      </c>
      <c r="AI306" t="e">
        <f>Details!B30+"AM:!0up"</f>
        <v>#VALUE!</v>
      </c>
      <c r="AJ306" t="e">
        <f>Details!C30+"AM:!0uq"</f>
        <v>#VALUE!</v>
      </c>
      <c r="AK306" t="e">
        <f>Details!D30+"AM:!0ur"</f>
        <v>#VALUE!</v>
      </c>
      <c r="AL306" t="e">
        <f>Details!E30+"AM:!0us"</f>
        <v>#VALUE!</v>
      </c>
      <c r="AM306" t="e">
        <f>Details!F30+"AM:!0ut"</f>
        <v>#VALUE!</v>
      </c>
      <c r="AN306" t="e">
        <f>Details!G30+"AM:!0uu"</f>
        <v>#VALUE!</v>
      </c>
      <c r="AO306" t="e">
        <f>Details!H30+"AM:!0uv"</f>
        <v>#VALUE!</v>
      </c>
      <c r="AP306" t="e">
        <f>Details!I30+"AM:!0uw"</f>
        <v>#VALUE!</v>
      </c>
      <c r="AQ306" t="e">
        <f>Details!J30+"AM:!0ux"</f>
        <v>#VALUE!</v>
      </c>
      <c r="AR306" t="e">
        <f>Details!K30+"AM:!0uy"</f>
        <v>#VALUE!</v>
      </c>
      <c r="AS306" t="e">
        <f>Details!L30+"AM:!0uz"</f>
        <v>#VALUE!</v>
      </c>
      <c r="AT306" s="100" t="e">
        <f>Details!M30+"AM:!0u{"</f>
        <v>#VALUE!</v>
      </c>
      <c r="AU306" s="100" t="e">
        <f>Details!N30+"AM:!0u|"</f>
        <v>#VALUE!</v>
      </c>
      <c r="AV306" s="100" t="e">
        <f>Details!O30+"AM:!0u}"</f>
        <v>#VALUE!</v>
      </c>
      <c r="AW306" s="100" t="e">
        <f>Details!P30+"AM:!0u~"</f>
        <v>#VALUE!</v>
      </c>
      <c r="AX306" t="e">
        <f>Details!A31+"AM:!0v#"</f>
        <v>#VALUE!</v>
      </c>
      <c r="AY306" t="e">
        <f>Details!B31+"AM:!0v$"</f>
        <v>#VALUE!</v>
      </c>
      <c r="AZ306" t="e">
        <f>Details!C31+"AM:!0v%"</f>
        <v>#VALUE!</v>
      </c>
      <c r="BA306" t="e">
        <f>Details!D31+"AM:!0v&amp;"</f>
        <v>#VALUE!</v>
      </c>
      <c r="BB306" t="e">
        <f>Details!E31+"AM:!0v'"</f>
        <v>#VALUE!</v>
      </c>
      <c r="BC306" t="e">
        <f>Details!F31+"AM:!0v("</f>
        <v>#VALUE!</v>
      </c>
      <c r="BD306" t="e">
        <f>Details!G31+"AM:!0v)"</f>
        <v>#VALUE!</v>
      </c>
      <c r="BE306" t="e">
        <f>Details!H31+"AM:!0v."</f>
        <v>#VALUE!</v>
      </c>
      <c r="BF306" t="e">
        <f>Details!I31+"AM:!0v/"</f>
        <v>#VALUE!</v>
      </c>
      <c r="BG306" t="e">
        <f>Details!J31+"AM:!0v0"</f>
        <v>#VALUE!</v>
      </c>
      <c r="BH306" t="e">
        <f>Details!K31+"AM:!0v1"</f>
        <v>#VALUE!</v>
      </c>
      <c r="BI306" t="e">
        <f>Details!L31+"AM:!0v2"</f>
        <v>#VALUE!</v>
      </c>
      <c r="BJ306" s="100" t="e">
        <f>Details!M31+"AM:!0v3"</f>
        <v>#VALUE!</v>
      </c>
      <c r="BK306" s="100" t="e">
        <f>Details!N31+"AM:!0v4"</f>
        <v>#VALUE!</v>
      </c>
      <c r="BL306" s="100" t="e">
        <f>Details!O31+"AM:!0v5"</f>
        <v>#VALUE!</v>
      </c>
      <c r="BM306" s="100" t="e">
        <f>Details!P31+"AM:!0v6"</f>
        <v>#VALUE!</v>
      </c>
      <c r="BN306" t="e">
        <f>Details!A32+"AM:!0v7"</f>
        <v>#VALUE!</v>
      </c>
      <c r="BO306" t="e">
        <f>Details!B32+"AM:!0v8"</f>
        <v>#VALUE!</v>
      </c>
      <c r="BP306" t="e">
        <f>Details!C32+"AM:!0v9"</f>
        <v>#VALUE!</v>
      </c>
      <c r="BQ306" t="e">
        <f>Details!D32+"AM:!0v:"</f>
        <v>#VALUE!</v>
      </c>
      <c r="BR306" t="e">
        <f>Details!E32+"AM:!0v;"</f>
        <v>#VALUE!</v>
      </c>
      <c r="BS306" t="e">
        <f>Details!F32+"AM:!0v&lt;"</f>
        <v>#VALUE!</v>
      </c>
      <c r="BT306" t="e">
        <f>Details!G32+"AM:!0v="</f>
        <v>#VALUE!</v>
      </c>
      <c r="BU306" t="e">
        <f>Details!H32+"AM:!0v&gt;"</f>
        <v>#VALUE!</v>
      </c>
      <c r="BV306" t="e">
        <f>Details!I32+"AM:!0v?"</f>
        <v>#VALUE!</v>
      </c>
      <c r="BW306" t="e">
        <f>Details!J32+"AM:!0v@"</f>
        <v>#VALUE!</v>
      </c>
      <c r="BX306" t="e">
        <f>Details!K32+"AM:!0vA"</f>
        <v>#VALUE!</v>
      </c>
      <c r="BY306" t="e">
        <f>Details!L32+"AM:!0vB"</f>
        <v>#VALUE!</v>
      </c>
      <c r="BZ306" s="100" t="e">
        <f>Details!M32+"AM:!0vC"</f>
        <v>#VALUE!</v>
      </c>
      <c r="CA306" s="100" t="e">
        <f>Details!N32+"AM:!0vD"</f>
        <v>#VALUE!</v>
      </c>
      <c r="CB306" s="100" t="e">
        <f>Details!O32+"AM:!0vE"</f>
        <v>#VALUE!</v>
      </c>
      <c r="CC306" s="100" t="e">
        <f>Details!P32+"AM:!0vF"</f>
        <v>#VALUE!</v>
      </c>
      <c r="CD306" t="e">
        <f>Details!A33+"AM:!0vG"</f>
        <v>#VALUE!</v>
      </c>
      <c r="CE306" t="e">
        <f>Details!B33+"AM:!0vH"</f>
        <v>#VALUE!</v>
      </c>
      <c r="CF306" t="e">
        <f>Details!C33+"AM:!0vI"</f>
        <v>#VALUE!</v>
      </c>
      <c r="CG306" t="e">
        <f>Details!D33+"AM:!0vJ"</f>
        <v>#VALUE!</v>
      </c>
      <c r="CH306" t="e">
        <f>Details!E33+"AM:!0vK"</f>
        <v>#VALUE!</v>
      </c>
      <c r="CI306" t="e">
        <f>Details!F33+"AM:!0vL"</f>
        <v>#VALUE!</v>
      </c>
      <c r="CJ306" t="e">
        <f>Details!G33+"AM:!0vM"</f>
        <v>#VALUE!</v>
      </c>
      <c r="CK306" t="e">
        <f>Details!H33+"AM:!0vN"</f>
        <v>#VALUE!</v>
      </c>
      <c r="CL306" t="e">
        <f>Details!I33+"AM:!0vO"</f>
        <v>#VALUE!</v>
      </c>
      <c r="CM306" t="e">
        <f>Details!J33+"AM:!0vP"</f>
        <v>#VALUE!</v>
      </c>
      <c r="CN306" t="e">
        <f>Details!K33+"AM:!0vQ"</f>
        <v>#VALUE!</v>
      </c>
      <c r="CO306" t="e">
        <f>Details!L33+"AM:!0vR"</f>
        <v>#VALUE!</v>
      </c>
      <c r="CP306" s="100" t="e">
        <f>Details!M33+"AM:!0vS"</f>
        <v>#VALUE!</v>
      </c>
      <c r="CQ306" s="100" t="e">
        <f>Details!N33+"AM:!0vT"</f>
        <v>#VALUE!</v>
      </c>
      <c r="CR306" s="100" t="e">
        <f>Details!O33+"AM:!0vU"</f>
        <v>#VALUE!</v>
      </c>
      <c r="CS306" s="100" t="e">
        <f>Details!P33+"AM:!0vV"</f>
        <v>#VALUE!</v>
      </c>
      <c r="CT306" t="e">
        <f>Details!A34+"AM:!0vW"</f>
        <v>#VALUE!</v>
      </c>
      <c r="CU306" t="e">
        <f>Details!B34+"AM:!0vX"</f>
        <v>#VALUE!</v>
      </c>
      <c r="CV306" t="e">
        <f>Details!C34+"AM:!0vY"</f>
        <v>#VALUE!</v>
      </c>
      <c r="CW306" t="e">
        <f>Details!D34+"AM:!0vZ"</f>
        <v>#VALUE!</v>
      </c>
      <c r="CX306" t="e">
        <f>Details!E34+"AM:!0v["</f>
        <v>#VALUE!</v>
      </c>
      <c r="CY306" t="e">
        <f>Details!F34+"AM:!0v\"</f>
        <v>#VALUE!</v>
      </c>
      <c r="CZ306" t="e">
        <f>Details!G34+"AM:!0v]"</f>
        <v>#VALUE!</v>
      </c>
      <c r="DA306" t="e">
        <f>Details!H34+"AM:!0v^"</f>
        <v>#VALUE!</v>
      </c>
      <c r="DB306" t="e">
        <f>Details!I34+"AM:!0v_"</f>
        <v>#VALUE!</v>
      </c>
      <c r="DC306" t="e">
        <f>Details!J34+"AM:!0v`"</f>
        <v>#VALUE!</v>
      </c>
      <c r="DD306" t="e">
        <f>Details!K34+"AM:!0va"</f>
        <v>#VALUE!</v>
      </c>
      <c r="DE306" t="e">
        <f>Details!L34+"AM:!0vb"</f>
        <v>#VALUE!</v>
      </c>
      <c r="DF306" s="100" t="e">
        <f>Details!M34+"AM:!0vc"</f>
        <v>#VALUE!</v>
      </c>
      <c r="DG306" s="100" t="e">
        <f>Details!N34+"AM:!0vd"</f>
        <v>#VALUE!</v>
      </c>
      <c r="DH306" s="100" t="e">
        <f>Details!O34+"AM:!0ve"</f>
        <v>#VALUE!</v>
      </c>
      <c r="DI306" s="100" t="e">
        <f>Details!P34+"AM:!0vf"</f>
        <v>#VALUE!</v>
      </c>
      <c r="DJ306" t="e">
        <f>Details!A35+"AM:!0vg"</f>
        <v>#VALUE!</v>
      </c>
      <c r="DK306" t="e">
        <f>Details!B35+"AM:!0vh"</f>
        <v>#VALUE!</v>
      </c>
      <c r="DL306" t="e">
        <f>Details!C35+"AM:!0vi"</f>
        <v>#VALUE!</v>
      </c>
      <c r="DM306" t="e">
        <f>Details!D35+"AM:!0vj"</f>
        <v>#VALUE!</v>
      </c>
      <c r="DN306" t="e">
        <f>Details!E35+"AM:!0vk"</f>
        <v>#VALUE!</v>
      </c>
      <c r="DO306" t="e">
        <f>Details!F35+"AM:!0vl"</f>
        <v>#VALUE!</v>
      </c>
      <c r="DP306" t="e">
        <f>Details!G35+"AM:!0vm"</f>
        <v>#VALUE!</v>
      </c>
      <c r="DQ306" t="e">
        <f>Details!H35+"AM:!0vn"</f>
        <v>#VALUE!</v>
      </c>
      <c r="DR306" t="e">
        <f>Details!I35+"AM:!0vo"</f>
        <v>#VALUE!</v>
      </c>
      <c r="DS306" t="e">
        <f>Details!J35+"AM:!0vp"</f>
        <v>#VALUE!</v>
      </c>
      <c r="DT306" t="e">
        <f>Details!K35+"AM:!0vq"</f>
        <v>#VALUE!</v>
      </c>
      <c r="DU306" t="e">
        <f>Details!L35+"AM:!0vr"</f>
        <v>#VALUE!</v>
      </c>
      <c r="DV306" s="100" t="e">
        <f>Details!M35+"AM:!0vs"</f>
        <v>#VALUE!</v>
      </c>
      <c r="DW306" s="100" t="e">
        <f>Details!N35+"AM:!0vt"</f>
        <v>#VALUE!</v>
      </c>
      <c r="DX306" s="100" t="e">
        <f>Details!O35+"AM:!0vu"</f>
        <v>#VALUE!</v>
      </c>
      <c r="DY306" s="100" t="e">
        <f>Details!P35+"AM:!0vv"</f>
        <v>#VALUE!</v>
      </c>
      <c r="DZ306" t="e">
        <f>Details!A36+"AM:!0vw"</f>
        <v>#VALUE!</v>
      </c>
      <c r="EA306" t="e">
        <f>Details!B36+"AM:!0vx"</f>
        <v>#VALUE!</v>
      </c>
      <c r="EB306" t="e">
        <f>Details!C36+"AM:!0vy"</f>
        <v>#VALUE!</v>
      </c>
      <c r="EC306" t="e">
        <f>Details!D36+"AM:!0vz"</f>
        <v>#VALUE!</v>
      </c>
      <c r="ED306" t="e">
        <f>Details!E36+"AM:!0v{"</f>
        <v>#VALUE!</v>
      </c>
      <c r="EE306" t="e">
        <f>Details!F36+"AM:!0v|"</f>
        <v>#VALUE!</v>
      </c>
      <c r="EF306" t="e">
        <f>Details!G36+"AM:!0v}"</f>
        <v>#VALUE!</v>
      </c>
      <c r="EG306" t="e">
        <f>Details!H36+"AM:!0v~"</f>
        <v>#VALUE!</v>
      </c>
      <c r="EH306" t="e">
        <f>Details!I36+"AM:!0w#"</f>
        <v>#VALUE!</v>
      </c>
      <c r="EI306" t="e">
        <f>Details!J36+"AM:!0w$"</f>
        <v>#VALUE!</v>
      </c>
      <c r="EJ306" t="e">
        <f>Details!K36+"AM:!0w%"</f>
        <v>#VALUE!</v>
      </c>
      <c r="EK306" t="e">
        <f>Details!L36+"AM:!0w&amp;"</f>
        <v>#VALUE!</v>
      </c>
      <c r="EL306" s="100" t="e">
        <f>Details!M36+"AM:!0w'"</f>
        <v>#VALUE!</v>
      </c>
      <c r="EM306" s="100" t="e">
        <f>Details!N36+"AM:!0w("</f>
        <v>#VALUE!</v>
      </c>
      <c r="EN306" s="100" t="e">
        <f>Details!O36+"AM:!0w)"</f>
        <v>#VALUE!</v>
      </c>
      <c r="EO306" s="100" t="e">
        <f>Details!P36+"AM:!0w."</f>
        <v>#VALUE!</v>
      </c>
      <c r="EP306" t="e">
        <f>Details!A37+"AM:!0w/"</f>
        <v>#VALUE!</v>
      </c>
      <c r="EQ306" t="e">
        <f>Details!B37+"AM:!0w0"</f>
        <v>#VALUE!</v>
      </c>
      <c r="ER306" t="e">
        <f>Details!C37+"AM:!0w1"</f>
        <v>#VALUE!</v>
      </c>
      <c r="ES306" t="e">
        <f>Details!D37+"AM:!0w2"</f>
        <v>#VALUE!</v>
      </c>
      <c r="ET306" t="e">
        <f>Details!E37+"AM:!0w3"</f>
        <v>#VALUE!</v>
      </c>
      <c r="EU306" t="e">
        <f>Details!F37+"AM:!0w4"</f>
        <v>#VALUE!</v>
      </c>
      <c r="EV306" t="e">
        <f>Details!G37+"AM:!0w5"</f>
        <v>#VALUE!</v>
      </c>
      <c r="EW306" t="e">
        <f>Details!H37+"AM:!0w6"</f>
        <v>#VALUE!</v>
      </c>
      <c r="EX306" t="e">
        <f>Details!I37+"AM:!0w7"</f>
        <v>#VALUE!</v>
      </c>
      <c r="EY306" t="e">
        <f>Details!J37+"AM:!0w8"</f>
        <v>#VALUE!</v>
      </c>
      <c r="EZ306" t="e">
        <f>Details!K37+"AM:!0w9"</f>
        <v>#VALUE!</v>
      </c>
      <c r="FA306" t="e">
        <f>Details!L37+"AM:!0w:"</f>
        <v>#VALUE!</v>
      </c>
      <c r="FB306" s="100" t="e">
        <f>Details!M37+"AM:!0w;"</f>
        <v>#VALUE!</v>
      </c>
      <c r="FC306" s="100" t="e">
        <f>Details!N37+"AM:!0w&lt;"</f>
        <v>#VALUE!</v>
      </c>
      <c r="FD306" s="100" t="e">
        <f>Details!O37+"AM:!0w="</f>
        <v>#VALUE!</v>
      </c>
      <c r="FE306" s="100" t="e">
        <f>Details!P37+"AM:!0w&gt;"</f>
        <v>#VALUE!</v>
      </c>
      <c r="FF306" t="e">
        <f>Details!A38+"AM:!0w?"</f>
        <v>#VALUE!</v>
      </c>
      <c r="FG306" t="e">
        <f>Details!B38+"AM:!0w@"</f>
        <v>#VALUE!</v>
      </c>
      <c r="FH306" t="e">
        <f>Details!C38+"AM:!0wA"</f>
        <v>#VALUE!</v>
      </c>
      <c r="FI306" t="e">
        <f>Details!D38+"AM:!0wB"</f>
        <v>#VALUE!</v>
      </c>
      <c r="FJ306" t="e">
        <f>Details!E38+"AM:!0wC"</f>
        <v>#VALUE!</v>
      </c>
      <c r="FK306" t="e">
        <f>Details!F38+"AM:!0wD"</f>
        <v>#VALUE!</v>
      </c>
      <c r="FL306" t="e">
        <f>Details!G38+"AM:!0wE"</f>
        <v>#VALUE!</v>
      </c>
      <c r="FM306" t="e">
        <f>Details!H38+"AM:!0wF"</f>
        <v>#VALUE!</v>
      </c>
      <c r="FN306" t="e">
        <f>Details!I38+"AM:!0wG"</f>
        <v>#VALUE!</v>
      </c>
      <c r="FO306" t="e">
        <f>Details!J38+"AM:!0wH"</f>
        <v>#VALUE!</v>
      </c>
      <c r="FP306" t="e">
        <f>Details!K38+"AM:!0wI"</f>
        <v>#VALUE!</v>
      </c>
      <c r="FQ306" t="e">
        <f>Details!L38+"AM:!0wJ"</f>
        <v>#VALUE!</v>
      </c>
      <c r="FR306" s="100" t="e">
        <f>Details!M38+"AM:!0wK"</f>
        <v>#VALUE!</v>
      </c>
      <c r="FS306" s="100" t="e">
        <f>Details!N38+"AM:!0wL"</f>
        <v>#VALUE!</v>
      </c>
      <c r="FT306" s="100" t="e">
        <f>Details!O38+"AM:!0wM"</f>
        <v>#VALUE!</v>
      </c>
      <c r="FU306" s="100" t="e">
        <f>Details!P38+"AM:!0wN"</f>
        <v>#VALUE!</v>
      </c>
      <c r="FV306" t="e">
        <f>Details!A39+"AM:!0wO"</f>
        <v>#VALUE!</v>
      </c>
      <c r="FW306" t="e">
        <f>Details!B39+"AM:!0wP"</f>
        <v>#VALUE!</v>
      </c>
      <c r="FX306" t="e">
        <f>Details!C39+"AM:!0wQ"</f>
        <v>#VALUE!</v>
      </c>
      <c r="FY306" t="e">
        <f>Details!D39+"AM:!0wR"</f>
        <v>#VALUE!</v>
      </c>
      <c r="FZ306" t="e">
        <f>Details!E39+"AM:!0wS"</f>
        <v>#VALUE!</v>
      </c>
      <c r="GA306" t="e">
        <f>Details!F39+"AM:!0wT"</f>
        <v>#VALUE!</v>
      </c>
      <c r="GB306" t="e">
        <f>Details!G39+"AM:!0wU"</f>
        <v>#VALUE!</v>
      </c>
      <c r="GC306" t="e">
        <f>Details!H39+"AM:!0wV"</f>
        <v>#VALUE!</v>
      </c>
      <c r="GD306" t="e">
        <f>Details!I39+"AM:!0wW"</f>
        <v>#VALUE!</v>
      </c>
      <c r="GE306" t="e">
        <f>Details!J39+"AM:!0wX"</f>
        <v>#VALUE!</v>
      </c>
      <c r="GF306" t="e">
        <f>Details!K39+"AM:!0wY"</f>
        <v>#VALUE!</v>
      </c>
      <c r="GG306" t="e">
        <f>Details!L39+"AM:!0wZ"</f>
        <v>#VALUE!</v>
      </c>
      <c r="GH306" s="100" t="e">
        <f>Details!M39+"AM:!0w["</f>
        <v>#VALUE!</v>
      </c>
      <c r="GI306" s="100" t="e">
        <f>Details!N39+"AM:!0w\"</f>
        <v>#VALUE!</v>
      </c>
      <c r="GJ306" s="100" t="e">
        <f>Details!O39+"AM:!0w]"</f>
        <v>#VALUE!</v>
      </c>
      <c r="GK306" s="100" t="e">
        <f>Details!P39+"AM:!0w^"</f>
        <v>#VALUE!</v>
      </c>
      <c r="GL306" t="e">
        <f>Details!A40+"AM:!0w_"</f>
        <v>#VALUE!</v>
      </c>
      <c r="GM306" t="e">
        <f>Details!B40+"AM:!0w`"</f>
        <v>#VALUE!</v>
      </c>
      <c r="GN306" t="e">
        <f>Details!C40+"AM:!0wa"</f>
        <v>#VALUE!</v>
      </c>
      <c r="GO306" t="e">
        <f>Details!D40+"AM:!0wb"</f>
        <v>#VALUE!</v>
      </c>
      <c r="GP306" t="e">
        <f>Details!E40+"AM:!0wc"</f>
        <v>#VALUE!</v>
      </c>
      <c r="GQ306" t="e">
        <f>Details!F40+"AM:!0wd"</f>
        <v>#VALUE!</v>
      </c>
      <c r="GR306" t="e">
        <f>Details!G40+"AM:!0we"</f>
        <v>#VALUE!</v>
      </c>
      <c r="GS306" t="e">
        <f>Details!H40+"AM:!0wf"</f>
        <v>#VALUE!</v>
      </c>
      <c r="GT306" t="e">
        <f>Details!I40+"AM:!0wg"</f>
        <v>#VALUE!</v>
      </c>
      <c r="GU306" t="e">
        <f>Details!J40+"AM:!0wh"</f>
        <v>#VALUE!</v>
      </c>
      <c r="GV306" t="e">
        <f>Details!K40+"AM:!0wi"</f>
        <v>#VALUE!</v>
      </c>
      <c r="GW306" t="e">
        <f>Details!L40+"AM:!0wj"</f>
        <v>#VALUE!</v>
      </c>
      <c r="GX306" s="100" t="e">
        <f>Details!M40+"AM:!0wk"</f>
        <v>#VALUE!</v>
      </c>
      <c r="GY306" s="100" t="e">
        <f>Details!N40+"AM:!0wl"</f>
        <v>#VALUE!</v>
      </c>
      <c r="GZ306" s="100" t="e">
        <f>Details!O40+"AM:!0wm"</f>
        <v>#VALUE!</v>
      </c>
      <c r="HA306" s="100" t="e">
        <f>Details!P40+"AM:!0wn"</f>
        <v>#VALUE!</v>
      </c>
      <c r="HB306" t="e">
        <f>Details!A41+"AM:!0wo"</f>
        <v>#VALUE!</v>
      </c>
      <c r="HC306" t="e">
        <f>Details!B41+"AM:!0wp"</f>
        <v>#VALUE!</v>
      </c>
      <c r="HD306" t="e">
        <f>Details!C41+"AM:!0wq"</f>
        <v>#VALUE!</v>
      </c>
      <c r="HE306" t="e">
        <f>Details!D41+"AM:!0wr"</f>
        <v>#VALUE!</v>
      </c>
      <c r="HF306" t="e">
        <f>Details!E41+"AM:!0ws"</f>
        <v>#VALUE!</v>
      </c>
      <c r="HG306" t="e">
        <f>Details!F41+"AM:!0wt"</f>
        <v>#VALUE!</v>
      </c>
      <c r="HH306" t="e">
        <f>Details!G41+"AM:!0wu"</f>
        <v>#VALUE!</v>
      </c>
      <c r="HI306" t="e">
        <f>Details!H41+"AM:!0wv"</f>
        <v>#VALUE!</v>
      </c>
      <c r="HJ306" t="e">
        <f>Details!I41+"AM:!0ww"</f>
        <v>#VALUE!</v>
      </c>
      <c r="HK306" t="e">
        <f>Details!J41+"AM:!0wx"</f>
        <v>#VALUE!</v>
      </c>
      <c r="HL306" t="e">
        <f>Details!K41+"AM:!0wy"</f>
        <v>#VALUE!</v>
      </c>
      <c r="HM306" t="e">
        <f>Details!L41+"AM:!0wz"</f>
        <v>#VALUE!</v>
      </c>
      <c r="HN306" s="100" t="e">
        <f>Details!M41+"AM:!0w{"</f>
        <v>#VALUE!</v>
      </c>
      <c r="HO306" s="100" t="e">
        <f>Details!N41+"AM:!0w|"</f>
        <v>#VALUE!</v>
      </c>
      <c r="HP306" s="100" t="e">
        <f>Details!O41+"AM:!0w}"</f>
        <v>#VALUE!</v>
      </c>
      <c r="HQ306" s="100" t="e">
        <f>Details!P41+"AM:!0w~"</f>
        <v>#VALUE!</v>
      </c>
      <c r="HR306" t="e">
        <f>Details!A42+"AM:!0x#"</f>
        <v>#VALUE!</v>
      </c>
      <c r="HS306" t="e">
        <f>Details!B42+"AM:!0x$"</f>
        <v>#VALUE!</v>
      </c>
      <c r="HT306" t="e">
        <f>Details!C42+"AM:!0x%"</f>
        <v>#VALUE!</v>
      </c>
      <c r="HU306" t="e">
        <f>Details!D42+"AM:!0x&amp;"</f>
        <v>#VALUE!</v>
      </c>
      <c r="HV306" t="e">
        <f>Details!E42+"AM:!0x'"</f>
        <v>#VALUE!</v>
      </c>
      <c r="HW306" t="e">
        <f>Details!F42+"AM:!0x("</f>
        <v>#VALUE!</v>
      </c>
      <c r="HX306" t="e">
        <f>Details!G42+"AM:!0x)"</f>
        <v>#VALUE!</v>
      </c>
      <c r="HY306" t="e">
        <f>Details!H42+"AM:!0x."</f>
        <v>#VALUE!</v>
      </c>
      <c r="HZ306" t="e">
        <f>Details!I42+"AM:!0x/"</f>
        <v>#VALUE!</v>
      </c>
      <c r="IA306" t="e">
        <f>Details!J42+"AM:!0x0"</f>
        <v>#VALUE!</v>
      </c>
      <c r="IB306" t="e">
        <f>Details!K42+"AM:!0x1"</f>
        <v>#VALUE!</v>
      </c>
      <c r="IC306" t="e">
        <f>Details!L42+"AM:!0x2"</f>
        <v>#VALUE!</v>
      </c>
      <c r="ID306" s="100" t="e">
        <f>Details!M42+"AM:!0x3"</f>
        <v>#VALUE!</v>
      </c>
      <c r="IE306" s="100" t="e">
        <f>Details!N42+"AM:!0x4"</f>
        <v>#VALUE!</v>
      </c>
      <c r="IF306" s="100" t="e">
        <f>Details!O42+"AM:!0x5"</f>
        <v>#VALUE!</v>
      </c>
      <c r="IG306" s="100" t="e">
        <f>Details!P42+"AM:!0x6"</f>
        <v>#VALUE!</v>
      </c>
      <c r="IH306" t="e">
        <f>Details!A43+"AM:!0x7"</f>
        <v>#VALUE!</v>
      </c>
      <c r="II306" t="e">
        <f>Details!B43+"AM:!0x8"</f>
        <v>#VALUE!</v>
      </c>
      <c r="IJ306" t="e">
        <f>Details!C43+"AM:!0x9"</f>
        <v>#VALUE!</v>
      </c>
      <c r="IK306" t="e">
        <f>Details!D43+"AM:!0x:"</f>
        <v>#VALUE!</v>
      </c>
      <c r="IL306" t="e">
        <f>Details!E43+"AM:!0x;"</f>
        <v>#VALUE!</v>
      </c>
      <c r="IM306" t="e">
        <f>Details!F43+"AM:!0x&lt;"</f>
        <v>#VALUE!</v>
      </c>
      <c r="IN306" t="e">
        <f>Details!G43+"AM:!0x="</f>
        <v>#VALUE!</v>
      </c>
      <c r="IO306" t="e">
        <f>Details!H43+"AM:!0x&gt;"</f>
        <v>#VALUE!</v>
      </c>
      <c r="IP306" t="e">
        <f>Details!I43+"AM:!0x?"</f>
        <v>#VALUE!</v>
      </c>
      <c r="IQ306" t="e">
        <f>Details!J43+"AM:!0x@"</f>
        <v>#VALUE!</v>
      </c>
      <c r="IR306" t="e">
        <f>Details!K43+"AM:!0xA"</f>
        <v>#VALUE!</v>
      </c>
      <c r="IS306" t="e">
        <f>Details!L43+"AM:!0xB"</f>
        <v>#VALUE!</v>
      </c>
      <c r="IT306" s="100" t="e">
        <f>Details!M43+"AM:!0xC"</f>
        <v>#VALUE!</v>
      </c>
      <c r="IU306" s="100" t="e">
        <f>Details!N43+"AM:!0xD"</f>
        <v>#VALUE!</v>
      </c>
      <c r="IV306" s="100" t="e">
        <f>Details!O43+"AM:!0xE"</f>
        <v>#VALUE!</v>
      </c>
    </row>
    <row r="307" spans="6:256">
      <c r="F307" s="100" t="e">
        <f>Details!P43+"AM:!0xF"</f>
        <v>#VALUE!</v>
      </c>
      <c r="G307" t="e">
        <f>Details!A44+"AM:!0xG"</f>
        <v>#VALUE!</v>
      </c>
      <c r="H307" t="e">
        <f>Details!B44+"AM:!0xH"</f>
        <v>#VALUE!</v>
      </c>
      <c r="I307" s="105" t="e">
        <f>Details!C44+"AM:!0xI"</f>
        <v>#VALUE!</v>
      </c>
      <c r="J307" s="105" t="e">
        <f>Details!D44+"AM:!0xJ"</f>
        <v>#VALUE!</v>
      </c>
      <c r="K307" s="105" t="e">
        <f>Details!E44+"AM:!0xK"</f>
        <v>#VALUE!</v>
      </c>
      <c r="L307" t="e">
        <f>Details!F44+"AM:!0xL"</f>
        <v>#VALUE!</v>
      </c>
      <c r="M307" t="e">
        <f>Details!G44+"AM:!0xM"</f>
        <v>#VALUE!</v>
      </c>
      <c r="N307" t="e">
        <f>Details!H44+"AM:!0xN"</f>
        <v>#VALUE!</v>
      </c>
      <c r="O307" t="e">
        <f>Details!I44+"AM:!0xO"</f>
        <v>#VALUE!</v>
      </c>
      <c r="P307" t="e">
        <f>Details!J44+"AM:!0xP"</f>
        <v>#VALUE!</v>
      </c>
      <c r="Q307" t="e">
        <f>Details!K44+"AM:!0xQ"</f>
        <v>#VALUE!</v>
      </c>
      <c r="R307" t="e">
        <f>Details!L44+"AM:!0xR"</f>
        <v>#VALUE!</v>
      </c>
      <c r="S307" t="e">
        <f>Details!M44+"AM:!0xS"</f>
        <v>#VALUE!</v>
      </c>
      <c r="T307" t="e">
        <f>Details!A45+"AM:!0xT"</f>
        <v>#VALUE!</v>
      </c>
      <c r="U307" t="e">
        <f>Details!B45+"AM:!0xU"</f>
        <v>#VALUE!</v>
      </c>
      <c r="V307" s="105" t="e">
        <f>Details!C45+"AM:!0xV"</f>
        <v>#VALUE!</v>
      </c>
      <c r="W307" s="105" t="e">
        <f>Details!D45+"AM:!0xW"</f>
        <v>#VALUE!</v>
      </c>
      <c r="X307" s="105" t="e">
        <f>Details!E45+"AM:!0xX"</f>
        <v>#VALUE!</v>
      </c>
      <c r="Y307" s="105" t="e">
        <f>Details!F45+"AM:!0xY"</f>
        <v>#VALUE!</v>
      </c>
      <c r="Z307" s="105" t="e">
        <f>Details!G45+"AM:!0xZ"</f>
        <v>#VALUE!</v>
      </c>
      <c r="AA307" s="105" t="e">
        <f>Details!H45+"AM:!0x["</f>
        <v>#VALUE!</v>
      </c>
      <c r="AB307" s="105" t="e">
        <f>Details!I45+"AM:!0x\"</f>
        <v>#VALUE!</v>
      </c>
      <c r="AC307" s="105" t="e">
        <f>Details!J45+"AM:!0x]"</f>
        <v>#VALUE!</v>
      </c>
      <c r="AD307" s="105" t="e">
        <f>Details!K45+"AM:!0x^"</f>
        <v>#VALUE!</v>
      </c>
      <c r="AE307" t="e">
        <f>Details!L45+"AM:!0x_"</f>
        <v>#VALUE!</v>
      </c>
      <c r="AF307" t="e">
        <f>Details!M45+"AM:!0x`"</f>
        <v>#VALUE!</v>
      </c>
      <c r="AG307" t="e">
        <f>'Printable Overview'!A:A*"AM:!0xf"</f>
        <v>#VALUE!</v>
      </c>
      <c r="AH307" t="e">
        <f>'Printable Overview'!B:B*"AM:!0xg"</f>
        <v>#VALUE!</v>
      </c>
      <c r="AI307" t="e">
        <f>'Printable Overview'!C:C*"AM:!0xh"</f>
        <v>#VALUE!</v>
      </c>
      <c r="AJ307" t="e">
        <f>'Printable Overview'!D:D*"AM:!0xi"</f>
        <v>#VALUE!</v>
      </c>
      <c r="AK307" t="e">
        <f>'Printable Overview'!E:E*"AM:!0xj"</f>
        <v>#VALUE!</v>
      </c>
      <c r="AL307" t="e">
        <f>'Printable Overview'!F:F*"AM:!0xk"</f>
        <v>#VALUE!</v>
      </c>
      <c r="AM307" t="e">
        <f>'Printable Overview'!G:G*"AM:!0xl"</f>
        <v>#VALUE!</v>
      </c>
      <c r="AN307" t="e">
        <f>'Printable Overview'!H:H*"AM:!0xm"</f>
        <v>#VALUE!</v>
      </c>
      <c r="AO307" t="e">
        <f>'Printable Overview'!I:I*"AM:!0xn"</f>
        <v>#VALUE!</v>
      </c>
      <c r="AP307" t="e">
        <f>'Printable Overview'!J:J*"AM:!0xo"</f>
        <v>#VALUE!</v>
      </c>
      <c r="AQ307" t="e">
        <f>'Printable Overview'!K:K*"AM:!0xp"</f>
        <v>#VALUE!</v>
      </c>
      <c r="AR307" t="e">
        <f>'Printable Overview'!L:L*"AM:!0xq"</f>
        <v>#VALUE!</v>
      </c>
      <c r="AS307" t="e">
        <f>'Printable Overview'!M:M*"AM:!0xr"</f>
        <v>#VALUE!</v>
      </c>
      <c r="AT307" t="e">
        <f>'Printable Overview'!N:N*"AM:!0xs"</f>
        <v>#VALUE!</v>
      </c>
      <c r="AU307" t="e">
        <f>'Printable Overview'!O:O*"AM:!0xt"</f>
        <v>#VALUE!</v>
      </c>
      <c r="AV307" t="e">
        <f>'Printable Overview'!P:P*"AM:!0xu"</f>
        <v>#VALUE!</v>
      </c>
      <c r="AW307" t="e">
        <f>'Printable Overview'!Q:Q*"AM:!0xv"</f>
        <v>#VALUE!</v>
      </c>
      <c r="AX307" t="e">
        <f>'Printable Overview'!R:R*"AM:!0xw"</f>
        <v>#VALUE!</v>
      </c>
      <c r="AY307" t="e">
        <f>'Printable Overview'!S:S*"AM:!0xx"</f>
        <v>#VALUE!</v>
      </c>
      <c r="AZ307" t="e">
        <f>'Printable Overview'!T:T*"AM:!0xy"</f>
        <v>#VALUE!</v>
      </c>
      <c r="BA307" t="e">
        <f>'Printable Overview'!U:U*"AM:!0xz"</f>
        <v>#VALUE!</v>
      </c>
      <c r="BB307" t="e">
        <f>'Printable Overview'!V:V*"AM:!0x{"</f>
        <v>#VALUE!</v>
      </c>
      <c r="BC307" t="e">
        <f>'Printable Overview'!W:W*"AM:!0x|"</f>
        <v>#VALUE!</v>
      </c>
      <c r="BD307" t="e">
        <f>'Printable Overview'!X:X*"AM:!0x}"</f>
        <v>#VALUE!</v>
      </c>
      <c r="BE307" t="e">
        <f>'Printable Overview'!Y:Y*"AM:!0x~"</f>
        <v>#VALUE!</v>
      </c>
      <c r="BF307" t="e">
        <f>'Printable Overview'!Z:Z*"AM:!0y#"</f>
        <v>#VALUE!</v>
      </c>
      <c r="BG307" t="e">
        <f>'Printable Overview'!AA:AA*"AM:!0y$"</f>
        <v>#VALUE!</v>
      </c>
      <c r="BH307" t="e">
        <f>'Printable Overview'!AB:AB*"AM:!0y%"</f>
        <v>#VALUE!</v>
      </c>
      <c r="BI307" t="e">
        <f>'Printable Overview'!AC:AC*"AM:!0y&amp;"</f>
        <v>#VALUE!</v>
      </c>
      <c r="BJ307" t="e">
        <f>'Printable Overview'!AD:AD*"AM:!0y'"</f>
        <v>#VALUE!</v>
      </c>
      <c r="BK307" t="e">
        <f>'Printable Overview'!AE:AE*"AM:!0y("</f>
        <v>#VALUE!</v>
      </c>
      <c r="BL307" t="e">
        <f>'Printable Overview'!AF:AF*"AM:!0y)"</f>
        <v>#VALUE!</v>
      </c>
      <c r="BM307" t="e">
        <f>'Printable Overview'!AG:AG*"AM:!0y."</f>
        <v>#VALUE!</v>
      </c>
      <c r="BN307" t="e">
        <f>'Printable Overview'!AH:AH*"AM:!0y/"</f>
        <v>#VALUE!</v>
      </c>
      <c r="BO307" t="e">
        <f>'Printable Overview'!AI:AI*"AM:!0y0"</f>
        <v>#VALUE!</v>
      </c>
      <c r="BP307" t="e">
        <f>'Printable Overview'!AJ:AJ*"AM:!0y1"</f>
        <v>#VALUE!</v>
      </c>
      <c r="BQ307" t="e">
        <f>'Printable Overview'!AK:AK*"AM:!0y2"</f>
        <v>#VALUE!</v>
      </c>
      <c r="BR307" t="e">
        <f>'Printable Overview'!AL:AL*"AM:!0y3"</f>
        <v>#VALUE!</v>
      </c>
      <c r="BS307" t="e">
        <f>'Printable Overview'!AM:AM*"AM:!0y4"</f>
        <v>#VALUE!</v>
      </c>
      <c r="BT307" t="e">
        <f>'Printable Overview'!AN:AN*"AM:!0y5"</f>
        <v>#VALUE!</v>
      </c>
      <c r="BU307" t="e">
        <f>'Printable Overview'!AO:AO*"AM:!0y6"</f>
        <v>#VALUE!</v>
      </c>
      <c r="BV307" t="e">
        <f>'Printable Overview'!AP:AP*"AM:!0y7"</f>
        <v>#VALUE!</v>
      </c>
      <c r="BW307" t="e">
        <f>'Printable Overview'!AQ:AQ*"AM:!0y8"</f>
        <v>#VALUE!</v>
      </c>
      <c r="BX307" t="e">
        <f>'Printable Overview'!AR:AR*"AM:!0y9"</f>
        <v>#VALUE!</v>
      </c>
      <c r="BY307" t="e">
        <f>'Printable Overview'!AS:AS*"AM:!0y:"</f>
        <v>#VALUE!</v>
      </c>
      <c r="BZ307" t="e">
        <f>'Printable Overview'!AT:AT*"AM:!0y;"</f>
        <v>#VALUE!</v>
      </c>
      <c r="CA307" t="e">
        <f>'Printable Overview'!AU:AU*"AM:!0y&lt;"</f>
        <v>#VALUE!</v>
      </c>
      <c r="CB307" t="e">
        <f>'Printable Overview'!AV:AV*"AM:!0y="</f>
        <v>#VALUE!</v>
      </c>
      <c r="CC307" t="e">
        <f>'Printable Overview'!AW:AW*"AM:!0y&gt;"</f>
        <v>#VALUE!</v>
      </c>
      <c r="CD307" t="e">
        <f>'Printable Overview'!AX:AX*"AM:!0y?"</f>
        <v>#VALUE!</v>
      </c>
      <c r="CE307" t="e">
        <f>'Printable Overview'!AY:AY*"AM:!0y@"</f>
        <v>#VALUE!</v>
      </c>
      <c r="CF307" t="e">
        <f>'Printable Overview'!AZ:AZ*"AM:!0yA"</f>
        <v>#VALUE!</v>
      </c>
      <c r="CG307" t="e">
        <f>'Printable Overview'!BA:BA*"AM:!0yB"</f>
        <v>#VALUE!</v>
      </c>
      <c r="CH307" t="e">
        <f>'Printable Overview'!BB:BB*"AM:!0yC"</f>
        <v>#VALUE!</v>
      </c>
      <c r="CI307" t="e">
        <f>'Printable Overview'!BC:BC*"AM:!0yD"</f>
        <v>#VALUE!</v>
      </c>
      <c r="CJ307" t="e">
        <f>'Printable Overview'!BD:BD*"AM:!0yE"</f>
        <v>#VALUE!</v>
      </c>
      <c r="CK307" t="e">
        <f>'Printable Overview'!BE:BE*"AM:!0yF"</f>
        <v>#VALUE!</v>
      </c>
      <c r="CL307" t="e">
        <f>'Printable Overview'!BF:BF*"AM:!0yG"</f>
        <v>#VALUE!</v>
      </c>
      <c r="CM307" t="e">
        <f>'Printable Overview'!BG:BG*"AM:!0yH"</f>
        <v>#VALUE!</v>
      </c>
      <c r="CN307" t="e">
        <f>'Printable Overview'!BH:BH*"AM:!0yI"</f>
        <v>#VALUE!</v>
      </c>
      <c r="CO307" t="e">
        <f>'Printable Overview'!BI:BI*"AM:!0yJ"</f>
        <v>#VALUE!</v>
      </c>
      <c r="CP307" t="e">
        <f>'Printable Overview'!BJ:BJ*"AM:!0yK"</f>
        <v>#VALUE!</v>
      </c>
      <c r="CQ307" t="e">
        <f>'Printable Overview'!BK:BK*"AM:!0yL"</f>
        <v>#VALUE!</v>
      </c>
      <c r="CR307" t="e">
        <f>'Printable Overview'!BL:BL*"AM:!0yM"</f>
        <v>#VALUE!</v>
      </c>
      <c r="CS307" t="e">
        <f>'Printable Overview'!BM:BM*"AM:!0yN"</f>
        <v>#VALUE!</v>
      </c>
      <c r="CT307" t="e">
        <f>'Printable Overview'!BN:BN*"AM:!0yO"</f>
        <v>#VALUE!</v>
      </c>
      <c r="CU307" t="e">
        <f>'Printable Overview'!BO:BO*"AM:!0yP"</f>
        <v>#VALUE!</v>
      </c>
      <c r="CV307" t="e">
        <f>'Printable Overview'!BP:BP*"AM:!0yQ"</f>
        <v>#VALUE!</v>
      </c>
      <c r="CW307" t="e">
        <f>'Printable Overview'!BQ:BQ*"AM:!0yR"</f>
        <v>#VALUE!</v>
      </c>
      <c r="CX307" t="e">
        <f>'Printable Overview'!BR:BR*"AM:!0yS"</f>
        <v>#VALUE!</v>
      </c>
      <c r="CY307" t="e">
        <f>'Printable Overview'!1:1-"AM:!0yT"</f>
        <v>#VALUE!</v>
      </c>
      <c r="CZ307" t="e">
        <f>'Printable Overview'!2:2-"AM:!0yU"</f>
        <v>#VALUE!</v>
      </c>
      <c r="DA307" t="e">
        <f>'Printable Overview'!3:3-"AM:!0yV"</f>
        <v>#VALUE!</v>
      </c>
      <c r="DB307" t="e">
        <f>'Printable Overview'!4:4-"AM:!0yW"</f>
        <v>#VALUE!</v>
      </c>
      <c r="DC307" t="e">
        <f>'Printable Overview'!5:5-"AM:!0yX"</f>
        <v>#VALUE!</v>
      </c>
      <c r="DD307" t="e">
        <f>'Printable Overview'!6:6-"AM:!0yY"</f>
        <v>#VALUE!</v>
      </c>
      <c r="DE307" t="e">
        <f>'Printable Overview'!7:7-"AM:!0yZ"</f>
        <v>#VALUE!</v>
      </c>
      <c r="DF307" t="e">
        <f>'Printable Overview'!8:8-"AM:!0y["</f>
        <v>#VALUE!</v>
      </c>
      <c r="DG307" t="e">
        <f>'Printable Overview'!9:9-"AM:!0y\"</f>
        <v>#VALUE!</v>
      </c>
      <c r="DH307" t="e">
        <f>'Printable Overview'!10:10-"AM:!0y]"</f>
        <v>#VALUE!</v>
      </c>
      <c r="DI307" t="e">
        <f>'Printable Overview'!11:11-"AM:!0y^"</f>
        <v>#VALUE!</v>
      </c>
      <c r="DJ307" t="e">
        <f>'Printable Overview'!12:12-"AM:!0y_"</f>
        <v>#VALUE!</v>
      </c>
      <c r="DK307" t="e">
        <f>'Printable Overview'!13:13-"AM:!0y`"</f>
        <v>#VALUE!</v>
      </c>
      <c r="DL307" t="e">
        <f>'Printable Overview'!14:14-"AM:!0ya"</f>
        <v>#VALUE!</v>
      </c>
      <c r="DM307" t="e">
        <f>'Printable Overview'!15:15-"AM:!0yb"</f>
        <v>#VALUE!</v>
      </c>
      <c r="DN307" t="e">
        <f>'Printable Overview'!16:16-"AM:!0yc"</f>
        <v>#VALUE!</v>
      </c>
      <c r="DO307" t="e">
        <f>'Printable Overview'!17:17-"AM:!0yd"</f>
        <v>#VALUE!</v>
      </c>
      <c r="DP307" t="e">
        <f>'Printable Overview'!18:18-"AM:!0ye"</f>
        <v>#VALUE!</v>
      </c>
      <c r="DQ307" t="e">
        <f>'Printable Overview'!19:19-"AM:!0yf"</f>
        <v>#VALUE!</v>
      </c>
      <c r="DR307" t="e">
        <f>'Printable Overview'!20:20-"AM:!0yg"</f>
        <v>#VALUE!</v>
      </c>
      <c r="DS307" t="e">
        <f>'Printable Overview'!21:21-"AM:!0yh"</f>
        <v>#VALUE!</v>
      </c>
      <c r="DT307" t="e">
        <f>'Printable Overview'!22:22-"AM:!0yi"</f>
        <v>#VALUE!</v>
      </c>
      <c r="DU307" t="e">
        <f>'Printable Overview'!23:23-"AM:!0yj"</f>
        <v>#VALUE!</v>
      </c>
      <c r="DV307" t="e">
        <f>'Printable Overview'!24:24-"AM:!0yk"</f>
        <v>#VALUE!</v>
      </c>
      <c r="DW307" t="e">
        <f>'Printable Overview'!25:25-"AM:!0yl"</f>
        <v>#VALUE!</v>
      </c>
      <c r="DX307" t="e">
        <f>'Printable Overview'!26:26-"AM:!0ym"</f>
        <v>#VALUE!</v>
      </c>
      <c r="DY307" t="e">
        <f>'Printable Overview'!27:27-"AM:!0yn"</f>
        <v>#VALUE!</v>
      </c>
      <c r="DZ307" t="e">
        <f>'Printable Overview'!28:28-"AM:!0yo"</f>
        <v>#VALUE!</v>
      </c>
      <c r="EA307" t="e">
        <f>'Printable Overview'!29:29-"AM:!0yp"</f>
        <v>#VALUE!</v>
      </c>
      <c r="EB307" t="e">
        <f>'Printable Overview'!30:30-"AM:!0yq"</f>
        <v>#VALUE!</v>
      </c>
      <c r="EC307" t="e">
        <f>'Printable Overview'!31:31-"AM:!0yr"</f>
        <v>#VALUE!</v>
      </c>
      <c r="ED307" t="e">
        <f>'Printable Overview'!32:32-"AM:!0ys"</f>
        <v>#VALUE!</v>
      </c>
      <c r="EE307" t="e">
        <f>'Printable Overview'!33:33-"AM:!0yt"</f>
        <v>#VALUE!</v>
      </c>
      <c r="EF307" t="e">
        <f>'Printable Overview'!34:34-"AM:!0yu"</f>
        <v>#VALUE!</v>
      </c>
      <c r="EG307" t="e">
        <f>'Printable Overview'!35:35-"AM:!0yv"</f>
        <v>#VALUE!</v>
      </c>
      <c r="EH307" t="e">
        <f>'Printable Overview'!36:36-"AM:!0yw"</f>
        <v>#VALUE!</v>
      </c>
      <c r="EI307" t="e">
        <f>'Printable Overview'!37:37-"AM:!0yx"</f>
        <v>#VALUE!</v>
      </c>
      <c r="EJ307" t="e">
        <f>'Printable Overview'!38:38-"AM:!0yy"</f>
        <v>#VALUE!</v>
      </c>
      <c r="EK307" t="e">
        <f>'Printable Overview'!39:39-"AM:!0yz"</f>
        <v>#VALUE!</v>
      </c>
      <c r="EL307" t="e">
        <f>'Printable Overview'!40:40-"AM:!0y{"</f>
        <v>#VALUE!</v>
      </c>
      <c r="EM307" t="e">
        <f>'Printable Overview'!41:41-"AM:!0y|"</f>
        <v>#VALUE!</v>
      </c>
      <c r="EN307" t="e">
        <f>'Printable Overview'!42:42-"AM:!0y}"</f>
        <v>#VALUE!</v>
      </c>
      <c r="EO307" t="e">
        <f>'Printable Overview'!43:43-"AM:!0y~"</f>
        <v>#VALUE!</v>
      </c>
      <c r="EP307" t="e">
        <f>'Printable Overview'!44:44-"AM:!0z#"</f>
        <v>#VALUE!</v>
      </c>
      <c r="EQ307" t="e">
        <f>'Printable Overview'!45:45-"AM:!0z$"</f>
        <v>#VALUE!</v>
      </c>
      <c r="ER307" t="e">
        <f>'Printable Overview'!46:46-"AM:!0z%"</f>
        <v>#VALUE!</v>
      </c>
      <c r="ES307" t="e">
        <f>'Printable Overview'!47:47-"AM:!0z&amp;"</f>
        <v>#VALUE!</v>
      </c>
      <c r="ET307" t="e">
        <f>'Printable Overview'!48:48-"AM:!0z'"</f>
        <v>#VALUE!</v>
      </c>
      <c r="EU307" t="e">
        <f>'Printable Overview'!49:49-"AM:!0z("</f>
        <v>#VALUE!</v>
      </c>
      <c r="EV307" t="e">
        <f>'Printable Overview'!50:50-"AM:!0z)"</f>
        <v>#VALUE!</v>
      </c>
      <c r="EW307" t="e">
        <f>'Printable Overview'!51:51-"AM:!0z."</f>
        <v>#VALUE!</v>
      </c>
      <c r="EX307" t="e">
        <f>'Printable Overview'!52:52-"AM:!0z/"</f>
        <v>#VALUE!</v>
      </c>
      <c r="EY307" t="e">
        <f>'Printable Overview'!53:53-"AM:!0z0"</f>
        <v>#VALUE!</v>
      </c>
      <c r="EZ307" t="e">
        <f>'Printable Overview'!54:54-"AM:!0z1"</f>
        <v>#VALUE!</v>
      </c>
      <c r="FA307" t="e">
        <f>'Printable Overview'!55:55-"AM:!0z2"</f>
        <v>#VALUE!</v>
      </c>
      <c r="FB307" t="e">
        <f>'Printable Overview'!56:56-"AM:!0z3"</f>
        <v>#VALUE!</v>
      </c>
      <c r="FC307" t="e">
        <f>'Printable Overview'!57:57-"AM:!0z4"</f>
        <v>#VALUE!</v>
      </c>
      <c r="FD307" t="e">
        <f>'Printable Overview'!58:58-"AM:!0z5"</f>
        <v>#VALUE!</v>
      </c>
      <c r="FE307" t="e">
        <f>'Printable Overview'!59:59-"AM:!0z6"</f>
        <v>#VALUE!</v>
      </c>
      <c r="FF307" t="e">
        <f>'Printable Overview'!60:60-"AM:!0z7"</f>
        <v>#VALUE!</v>
      </c>
      <c r="FG307" t="e">
        <f>'Printable Overview'!61:61-"AM:!0z8"</f>
        <v>#VALUE!</v>
      </c>
      <c r="FH307" t="e">
        <f>'Printable Overview'!62:62-"AM:!0z9"</f>
        <v>#VALUE!</v>
      </c>
      <c r="FI307" t="e">
        <f>'Printable Overview'!63:63-"AM:!0z:"</f>
        <v>#VALUE!</v>
      </c>
      <c r="FJ307" t="e">
        <f>'Printable Overview'!64:64-"AM:!0z;"</f>
        <v>#VALUE!</v>
      </c>
      <c r="FK307" t="e">
        <f>'Printable Overview'!65:65-"AM:!0z&lt;"</f>
        <v>#VALUE!</v>
      </c>
      <c r="FL307" t="e">
        <f>'Printable Overview'!66:66-"AM:!0z="</f>
        <v>#VALUE!</v>
      </c>
      <c r="FM307" t="e">
        <f>'Printable Overview'!67:67-"AM:!0z&gt;"</f>
        <v>#VALUE!</v>
      </c>
      <c r="FN307" t="e">
        <f>'Printable Overview'!68:68-"AM:!0z?"</f>
        <v>#VALUE!</v>
      </c>
      <c r="FO307" t="e">
        <f>'Printable Overview'!69:69-"AM:!0z@"</f>
        <v>#VALUE!</v>
      </c>
      <c r="FP307" t="e">
        <f>'Printable Overview'!70:70-"AM:!0zA"</f>
        <v>#VALUE!</v>
      </c>
      <c r="FQ307" t="e">
        <f>'Printable Overview'!71:71-"AM:!0zB"</f>
        <v>#VALUE!</v>
      </c>
      <c r="FR307" t="e">
        <f>'Printable Overview'!72:72-"AM:!0zC"</f>
        <v>#VALUE!</v>
      </c>
      <c r="FS307" t="e">
        <f>'Printable Overview'!73:73-"AM:!0zD"</f>
        <v>#VALUE!</v>
      </c>
      <c r="FT307" t="e">
        <f>'Printable Overview'!74:74-"AM:!0zE"</f>
        <v>#VALUE!</v>
      </c>
      <c r="FU307" t="e">
        <f>'Printable Overview'!75:75-"AM:!0zF"</f>
        <v>#VALUE!</v>
      </c>
      <c r="FV307" t="e">
        <f>'Printable Overview'!76:76-"AM:!0zG"</f>
        <v>#VALUE!</v>
      </c>
      <c r="FW307" t="e">
        <f>'Printable Overview'!77:77-"AM:!0zH"</f>
        <v>#VALUE!</v>
      </c>
      <c r="FX307" t="e">
        <f>'Printable Overview'!78:78-"AM:!0zI"</f>
        <v>#VALUE!</v>
      </c>
      <c r="FY307" t="e">
        <f>'Printable Overview'!79:79-"AM:!0zJ"</f>
        <v>#VALUE!</v>
      </c>
      <c r="FZ307" t="e">
        <f>'Printable Overview'!80:80-"AM:!0zK"</f>
        <v>#VALUE!</v>
      </c>
      <c r="GA307" t="e">
        <f>'Printable Overview'!81:81-"AM:!0zL"</f>
        <v>#VALUE!</v>
      </c>
      <c r="GB307" t="e">
        <f>'Printable Overview'!82:82-"AM:!0zM"</f>
        <v>#VALUE!</v>
      </c>
      <c r="GC307" t="e">
        <f>'Printable Overview'!83:83-"AM:!0zN"</f>
        <v>#VALUE!</v>
      </c>
      <c r="GD307" t="e">
        <f>'Printable Overview'!84:84-"AM:!0zO"</f>
        <v>#VALUE!</v>
      </c>
      <c r="GE307" t="e">
        <f>'Printable Overview'!85:85-"AM:!0zP"</f>
        <v>#VALUE!</v>
      </c>
      <c r="GF307" t="e">
        <f>'Printable Overview'!86:86-"AM:!0zQ"</f>
        <v>#VALUE!</v>
      </c>
      <c r="GG307" t="e">
        <f>'Printable Overview'!87:87-"AM:!0zR"</f>
        <v>#VALUE!</v>
      </c>
      <c r="GH307" t="e">
        <f>'Printable Overview'!88:88-"AM:!0zS"</f>
        <v>#VALUE!</v>
      </c>
      <c r="GI307" t="e">
        <f>'Printable Overview'!89:89-"AM:!0zT"</f>
        <v>#VALUE!</v>
      </c>
      <c r="GJ307" t="e">
        <f>'Printable Overview'!90:90-"AM:!0zU"</f>
        <v>#VALUE!</v>
      </c>
      <c r="GK307" t="e">
        <f>'Printable Overview'!91:91-"AM:!0zV"</f>
        <v>#VALUE!</v>
      </c>
      <c r="GL307" t="e">
        <f>'Printable Overview'!92:92-"AM:!0zW"</f>
        <v>#VALUE!</v>
      </c>
      <c r="GM307" t="e">
        <f>'Printable Overview'!93:93-"AM:!0zX"</f>
        <v>#VALUE!</v>
      </c>
      <c r="GN307" t="e">
        <f>'Printable Overview'!94:94-"AM:!0zY"</f>
        <v>#VALUE!</v>
      </c>
      <c r="GO307" t="e">
        <f>'Printable Overview'!95:95-"AM:!0zZ"</f>
        <v>#VALUE!</v>
      </c>
      <c r="GP307" t="e">
        <f>'Printable Overview'!96:96-"AM:!0z["</f>
        <v>#VALUE!</v>
      </c>
      <c r="GQ307" t="e">
        <f>'Printable Overview'!97:97-"AM:!0z\"</f>
        <v>#VALUE!</v>
      </c>
      <c r="GR307" t="e">
        <f>'Printable Overview'!98:98-"AM:!0z]"</f>
        <v>#VALUE!</v>
      </c>
      <c r="GS307" t="e">
        <f>'Printable Overview'!99:99-"AM:!0z^"</f>
        <v>#VALUE!</v>
      </c>
      <c r="GT307" t="e">
        <f>'Printable Overview'!100:100-"AM:!0z_"</f>
        <v>#VALUE!</v>
      </c>
      <c r="GU307" t="e">
        <f>'Printable Overview'!101:101-"AM:!0z`"</f>
        <v>#VALUE!</v>
      </c>
      <c r="GV307" t="e">
        <f>'Printable Overview'!102:102-"AM:!0za"</f>
        <v>#VALUE!</v>
      </c>
      <c r="GW307" t="e">
        <f>'Printable Overview'!103:103-"AM:!0zb"</f>
        <v>#VALUE!</v>
      </c>
      <c r="GX307" t="e">
        <f>'Printable Overview'!104:104-"AM:!0zc"</f>
        <v>#VALUE!</v>
      </c>
      <c r="GY307" t="e">
        <f>'Printable Overview'!105:105-"AM:!0zd"</f>
        <v>#VALUE!</v>
      </c>
      <c r="GZ307" t="e">
        <f>'Printable Overview'!106:106-"AM:!0ze"</f>
        <v>#VALUE!</v>
      </c>
      <c r="HA307" t="e">
        <f>'Printable Overview'!107:107-"AM:!0zf"</f>
        <v>#VALUE!</v>
      </c>
      <c r="HB307" t="e">
        <f>'Printable Overview'!108:108-"AM:!0zg"</f>
        <v>#VALUE!</v>
      </c>
      <c r="HC307" t="e">
        <f>'Printable Overview'!109:109-"AM:!0zh"</f>
        <v>#VALUE!</v>
      </c>
      <c r="HD307" t="e">
        <f>'Printable Overview'!110:110-"AM:!0zi"</f>
        <v>#VALUE!</v>
      </c>
      <c r="HE307" t="e">
        <f>'Printable Overview'!111:111-"AM:!0zj"</f>
        <v>#VALUE!</v>
      </c>
      <c r="HF307" t="e">
        <f>'Printable Overview'!112:112-"AM:!0zk"</f>
        <v>#VALUE!</v>
      </c>
      <c r="HG307" t="e">
        <f>'Printable Overview'!113:113-"AM:!0zl"</f>
        <v>#VALUE!</v>
      </c>
      <c r="HH307" t="e">
        <f>'Printable Overview'!114:114-"AM:!0zm"</f>
        <v>#VALUE!</v>
      </c>
      <c r="HI307" t="e">
        <f>'Printable Overview'!115:115-"AM:!0zn"</f>
        <v>#VALUE!</v>
      </c>
      <c r="HJ307" t="e">
        <f>'Printable Overview'!116:116-"AM:!0zo"</f>
        <v>#VALUE!</v>
      </c>
      <c r="HK307" t="e">
        <f>'Printable Overview'!117:117-"AM:!0zp"</f>
        <v>#VALUE!</v>
      </c>
      <c r="HL307" t="e">
        <f>'Printable Overview'!118:118-"AM:!0zq"</f>
        <v>#VALUE!</v>
      </c>
      <c r="HM307" t="e">
        <f>'Printable Overview'!119:119-"AM:!0zr"</f>
        <v>#VALUE!</v>
      </c>
      <c r="HN307" t="e">
        <f>'Printable Overview'!120:120-"AM:!0zs"</f>
        <v>#VALUE!</v>
      </c>
      <c r="HO307" t="e">
        <f>'Printable Overview'!121:121-"AM:!0zt"</f>
        <v>#VALUE!</v>
      </c>
      <c r="HP307" t="e">
        <f>'Printable Overview'!122:122-"AM:!0zu"</f>
        <v>#VALUE!</v>
      </c>
      <c r="HQ307" t="e">
        <f>'Printable Overview'!123:123-"AM:!0zv"</f>
        <v>#VALUE!</v>
      </c>
      <c r="HR307" t="e">
        <f>'Printable Overview'!124:124-"AM:!0zw"</f>
        <v>#VALUE!</v>
      </c>
      <c r="HS307" t="e">
        <f>'Printable Overview'!125:125-"AM:!0zx"</f>
        <v>#VALUE!</v>
      </c>
      <c r="HT307" t="e">
        <f>'Printable Overview'!126:126-"AM:!0zy"</f>
        <v>#VALUE!</v>
      </c>
      <c r="HU307" t="e">
        <f>'Printable Overview'!127:127-"AM:!0zz"</f>
        <v>#VALUE!</v>
      </c>
      <c r="HV307" t="e">
        <f>'Printable Overview'!128:128-"AM:!0z{"</f>
        <v>#VALUE!</v>
      </c>
      <c r="HW307" t="e">
        <f>'Printable Overview'!129:129-"AM:!0z|"</f>
        <v>#VALUE!</v>
      </c>
      <c r="HX307" t="e">
        <f>'Printable Overview'!130:130-"AM:!0z}"</f>
        <v>#VALUE!</v>
      </c>
      <c r="HY307" t="e">
        <f>'Printable Overview'!131:131-"AM:!0z~"</f>
        <v>#VALUE!</v>
      </c>
      <c r="HZ307" t="e">
        <f>'Printable Overview'!132:132-"AM:!0{#"</f>
        <v>#VALUE!</v>
      </c>
      <c r="IA307" t="e">
        <f>'Printable Overview'!133:133-"AM:!0{$"</f>
        <v>#VALUE!</v>
      </c>
      <c r="IB307" t="e">
        <f>'Printable Overview'!134:134-"AM:!0{%"</f>
        <v>#VALUE!</v>
      </c>
      <c r="IC307" t="e">
        <f>'Printable Overview'!135:135-"AM:!0{&amp;"</f>
        <v>#VALUE!</v>
      </c>
      <c r="ID307" t="e">
        <f>'Printable Overview'!136:136-"AM:!0{'"</f>
        <v>#VALUE!</v>
      </c>
      <c r="IE307" t="e">
        <f>'Printable Overview'!137:137-"AM:!0{("</f>
        <v>#VALUE!</v>
      </c>
      <c r="IF307" t="e">
        <f>'Printable Overview'!138:138-"AM:!0{)"</f>
        <v>#VALUE!</v>
      </c>
      <c r="IG307" t="e">
        <f>'Printable Overview'!139:139-"AM:!0{."</f>
        <v>#VALUE!</v>
      </c>
      <c r="IH307" t="e">
        <f>'Printable Overview'!140:140-"AM:!0{/"</f>
        <v>#VALUE!</v>
      </c>
      <c r="II307" t="e">
        <f>'Printable Overview'!141:141-"AM:!0{0"</f>
        <v>#VALUE!</v>
      </c>
      <c r="IJ307" t="e">
        <f>'Printable Overview'!142:142-"AM:!0{1"</f>
        <v>#VALUE!</v>
      </c>
      <c r="IK307" t="e">
        <f>'Printable Overview'!143:143-"AM:!0{2"</f>
        <v>#VALUE!</v>
      </c>
      <c r="IL307" t="e">
        <f>'Printable Overview'!144:144-"AM:!0{3"</f>
        <v>#VALUE!</v>
      </c>
      <c r="IM307" t="e">
        <f>'Printable Overview'!145:145-"AM:!0{4"</f>
        <v>#VALUE!</v>
      </c>
      <c r="IN307" t="e">
        <f>'Printable Overview'!146:146-"AM:!0{5"</f>
        <v>#VALUE!</v>
      </c>
      <c r="IO307" t="e">
        <f>'Printable Overview'!147:147-"AM:!0{6"</f>
        <v>#VALUE!</v>
      </c>
      <c r="IP307" t="e">
        <f>'Printable Overview'!148:148-"AM:!0{7"</f>
        <v>#VALUE!</v>
      </c>
      <c r="IQ307" t="e">
        <f>'Printable Overview'!149:149-"AM:!0{8"</f>
        <v>#VALUE!</v>
      </c>
      <c r="IR307" t="e">
        <f>'Printable Overview'!150:150-"AM:!0{9"</f>
        <v>#VALUE!</v>
      </c>
      <c r="IS307" t="e">
        <f>'Printable Overview'!151:151-"AM:!0{:"</f>
        <v>#VALUE!</v>
      </c>
      <c r="IT307" t="e">
        <f>'Printable Overview'!152:152-"AM:!0{;"</f>
        <v>#VALUE!</v>
      </c>
      <c r="IU307" t="e">
        <f>'Printable Overview'!153:153-"AM:!0{&lt;"</f>
        <v>#VALUE!</v>
      </c>
      <c r="IV307" t="e">
        <f>'Printable Overview'!154:154-"AM:!0{="</f>
        <v>#VALUE!</v>
      </c>
    </row>
    <row r="308" spans="6:256">
      <c r="F308" t="e">
        <f>'Printable Overview'!155:155-"AM:!0{&gt;"</f>
        <v>#VALUE!</v>
      </c>
      <c r="G308" t="e">
        <f>'Printable Overview'!156:156-"AM:!0{?"</f>
        <v>#VALUE!</v>
      </c>
      <c r="H308" t="e">
        <f>'Printable Overview'!157:157-"AM:!0{@"</f>
        <v>#VALUE!</v>
      </c>
      <c r="I308" t="e">
        <f>'Printable Overview'!158:158-"AM:!0{A"</f>
        <v>#VALUE!</v>
      </c>
      <c r="J308" t="e">
        <f>'Printable Overview'!159:159-"AM:!0{B"</f>
        <v>#VALUE!</v>
      </c>
      <c r="K308" t="e">
        <f>'Printable Overview'!160:160-"AM:!0{C"</f>
        <v>#VALUE!</v>
      </c>
      <c r="L308" t="e">
        <f>'Printable Overview'!161:161-"AM:!0{D"</f>
        <v>#VALUE!</v>
      </c>
      <c r="M308" t="e">
        <f>'Printable Overview'!162:162-"AM:!0{E"</f>
        <v>#VALUE!</v>
      </c>
      <c r="N308" t="e">
        <f>'Printable Overview'!163:163-"AM:!0{F"</f>
        <v>#VALUE!</v>
      </c>
      <c r="O308" t="e">
        <f>'Printable Overview'!164:164-"AM:!0{G"</f>
        <v>#VALUE!</v>
      </c>
      <c r="P308" t="e">
        <f>'Printable Overview'!165:165-"AM:!0{H"</f>
        <v>#VALUE!</v>
      </c>
      <c r="Q308" t="e">
        <f ca="1">'Printable Overview'!166:166-"AM:!0{I"</f>
        <v>#VALUE!</v>
      </c>
      <c r="R308" t="e">
        <f>'Printable Overview'!167:167-"AM:!0{J"</f>
        <v>#VALUE!</v>
      </c>
      <c r="S308" t="e">
        <f>'Printable Overview'!168:168-"AM:!0{K"</f>
        <v>#VALUE!</v>
      </c>
      <c r="T308" t="e">
        <f>'Printable Overview'!169:169-"AM:!0{L"</f>
        <v>#VALUE!</v>
      </c>
      <c r="U308" t="e">
        <f>'Printable Overview'!170:170-"AM:!0{M"</f>
        <v>#VALUE!</v>
      </c>
      <c r="V308" t="e">
        <f>'Printable Overview'!171:171-"AM:!0{N"</f>
        <v>#VALUE!</v>
      </c>
      <c r="W308" t="e">
        <f>'Printable Overview'!172:172-"AM:!0{O"</f>
        <v>#VALUE!</v>
      </c>
      <c r="X308" t="e">
        <f>'Printable Overview'!173:173-"AM:!0{P"</f>
        <v>#VALUE!</v>
      </c>
      <c r="Y308" t="e">
        <f>'Printable Overview'!174:174-"AM:!0{Q"</f>
        <v>#VALUE!</v>
      </c>
      <c r="Z308" t="e">
        <f>'Printable Overview'!175:175-"AM:!0{R"</f>
        <v>#VALUE!</v>
      </c>
      <c r="AA308" t="e">
        <f>'Printable Overview'!176:176-"AM:!0{S"</f>
        <v>#VALUE!</v>
      </c>
      <c r="AB308" t="e">
        <f>'Printable Overview'!177:177-"AM:!0{T"</f>
        <v>#VALUE!</v>
      </c>
      <c r="AC308" t="e">
        <f>'Printable Overview'!178:178-"AM:!0{U"</f>
        <v>#VALUE!</v>
      </c>
      <c r="AD308" t="e">
        <f>'Printable Overview'!179:179-"AM:!0{V"</f>
        <v>#VALUE!</v>
      </c>
      <c r="AE308" t="e">
        <f>'Printable Overview'!180:180-"AM:!0{W"</f>
        <v>#VALUE!</v>
      </c>
      <c r="AF308" t="e">
        <f>'Printable Overview'!181:181-"AM:!0{X"</f>
        <v>#VALUE!</v>
      </c>
      <c r="AG308" t="e">
        <f>'Printable Overview'!182:182-"AM:!0{Y"</f>
        <v>#VALUE!</v>
      </c>
      <c r="AH308" t="e">
        <f>'Printable Overview'!183:183-"AM:!0{Z"</f>
        <v>#VALUE!</v>
      </c>
      <c r="AI308" t="e">
        <f>'Printable Overview'!184:184-"AM:!0{["</f>
        <v>#VALUE!</v>
      </c>
      <c r="AJ308" t="e">
        <f>'Printable Overview'!185:185-"AM:!0{\"</f>
        <v>#VALUE!</v>
      </c>
      <c r="AK308" t="e">
        <f>'Printable Overview'!186:186-"AM:!0{]"</f>
        <v>#VALUE!</v>
      </c>
      <c r="AL308" t="e">
        <f>'Printable Overview'!187:187-"AM:!0{^"</f>
        <v>#VALUE!</v>
      </c>
      <c r="AM308" t="e">
        <f>'Printable Overview'!188:188-"AM:!0{_"</f>
        <v>#VALUE!</v>
      </c>
      <c r="AN308" t="e">
        <f>'Printable Overview'!189:189-"AM:!0{`"</f>
        <v>#VALUE!</v>
      </c>
      <c r="AO308" t="e">
        <f>'Printable Overview'!190:190-"AM:!0{a"</f>
        <v>#VALUE!</v>
      </c>
      <c r="AP308" t="e">
        <f>'Printable Overview'!191:191-"AM:!0{b"</f>
        <v>#VALUE!</v>
      </c>
      <c r="AQ308" t="e">
        <f>'Printable Overview'!192:192-"AM:!0{c"</f>
        <v>#VALUE!</v>
      </c>
      <c r="AR308" t="e">
        <f>'Printable Overview'!193:193-"AM:!0{d"</f>
        <v>#VALUE!</v>
      </c>
      <c r="AS308" t="e">
        <f>'Printable Overview'!194:194-"AM:!0{e"</f>
        <v>#VALUE!</v>
      </c>
      <c r="AT308" t="e">
        <f>'Printable Overview'!195:195-"AM:!0{f"</f>
        <v>#VALUE!</v>
      </c>
      <c r="AU308" t="e">
        <f>'Printable Overview'!196:196-"AM:!0{g"</f>
        <v>#VALUE!</v>
      </c>
      <c r="AV308" t="e">
        <f>'Printable Overview'!197:197-"AM:!0{h"</f>
        <v>#VALUE!</v>
      </c>
      <c r="AW308" t="e">
        <f>'Printable Overview'!198:198-"AM:!0{i"</f>
        <v>#VALUE!</v>
      </c>
      <c r="AX308" t="e">
        <f>'Printable Overview'!199:199-"AM:!0{j"</f>
        <v>#VALUE!</v>
      </c>
      <c r="AY308" t="e">
        <f>'Printable Overview'!200:200-"AM:!0{k"</f>
        <v>#VALUE!</v>
      </c>
      <c r="AZ308" t="e">
        <f>'Printable Overview'!201:201-"AM:!0{l"</f>
        <v>#VALUE!</v>
      </c>
      <c r="BA308" t="e">
        <f>'Printable Overview'!202:202-"AM:!0{m"</f>
        <v>#VALUE!</v>
      </c>
      <c r="BB308" t="e">
        <f>'Printable Overview'!203:203-"AM:!0{n"</f>
        <v>#VALUE!</v>
      </c>
      <c r="BC308" t="e">
        <f>'Printable Overview'!204:204-"AM:!0{o"</f>
        <v>#VALUE!</v>
      </c>
      <c r="BD308" t="e">
        <f>'Printable Overview'!205:205-"AM:!0{p"</f>
        <v>#VALUE!</v>
      </c>
      <c r="BE308" t="e">
        <f>'Printable Overview'!206:206-"AM:!0{q"</f>
        <v>#VALUE!</v>
      </c>
      <c r="BF308" t="e">
        <f>'Printable Overview'!207:207-"AM:!0{r"</f>
        <v>#VALUE!</v>
      </c>
      <c r="BG308" t="e">
        <f>'Printable Overview'!208:208-"AM:!0{s"</f>
        <v>#VALUE!</v>
      </c>
      <c r="BH308" t="e">
        <f>'Printable Overview'!209:209-"AM:!0{t"</f>
        <v>#VALUE!</v>
      </c>
      <c r="BI308" t="e">
        <f>'Printable Overview'!210:210-"AM:!0{u"</f>
        <v>#VALUE!</v>
      </c>
      <c r="BJ308" t="e">
        <f>'Printable Overview'!211:211-"AM:!0{v"</f>
        <v>#VALUE!</v>
      </c>
      <c r="BK308" t="e">
        <f>'Printable Overview'!212:212-"AM:!0{w"</f>
        <v>#VALUE!</v>
      </c>
      <c r="BL308" t="e">
        <f>'Printable Overview'!213:213-"AM:!0{x"</f>
        <v>#VALUE!</v>
      </c>
      <c r="BM308" t="e">
        <f>'Printable Overview'!214:214-"AM:!0{y"</f>
        <v>#VALUE!</v>
      </c>
      <c r="BN308" t="e">
        <f>'Printable Overview'!215:215-"AM:!0{z"</f>
        <v>#VALUE!</v>
      </c>
      <c r="BO308" t="e">
        <f>'Printable Overview'!216:216-"AM:!0{{"</f>
        <v>#VALUE!</v>
      </c>
      <c r="BP308" t="e">
        <f>'Printable Overview'!217:217-"AM:!0{|"</f>
        <v>#VALUE!</v>
      </c>
      <c r="BQ308" t="e">
        <f>'Printable Overview'!218:218-"AM:!0{}"</f>
        <v>#VALUE!</v>
      </c>
      <c r="BR308" t="e">
        <f>'Printable Overview'!219:219-"AM:!0{~"</f>
        <v>#VALUE!</v>
      </c>
      <c r="BS308" t="e">
        <f>'Printable Overview'!220:220-"AM:!0|#"</f>
        <v>#VALUE!</v>
      </c>
      <c r="BT308" t="e">
        <f>'Printable Overview'!221:221-"AM:!0|$"</f>
        <v>#VALUE!</v>
      </c>
      <c r="BU308" t="e">
        <f>'Printable Overview'!222:222-"AM:!0|%"</f>
        <v>#VALUE!</v>
      </c>
      <c r="BV308" t="e">
        <f>'Printable Overview'!223:223-"AM:!0|&amp;"</f>
        <v>#VALUE!</v>
      </c>
      <c r="BW308" t="e">
        <f>'Printable Overview'!224:224-"AM:!0|'"</f>
        <v>#VALUE!</v>
      </c>
      <c r="BX308" t="e">
        <f>'Printable Overview'!225:225-"AM:!0|("</f>
        <v>#VALUE!</v>
      </c>
      <c r="BY308" t="e">
        <f>'Printable Overview'!226:226-"AM:!0|)"</f>
        <v>#VALUE!</v>
      </c>
      <c r="BZ308" t="e">
        <f>'Printable Overview'!227:227-"AM:!0|."</f>
        <v>#VALUE!</v>
      </c>
      <c r="CA308" t="e">
        <f>'Printable Overview'!228:228-"AM:!0|/"</f>
        <v>#VALUE!</v>
      </c>
      <c r="CB308" t="e">
        <f>'Printable Overview'!229:229-"AM:!0|0"</f>
        <v>#VALUE!</v>
      </c>
      <c r="CC308" t="e">
        <f>'Printable Overview'!230:230-"AM:!0|1"</f>
        <v>#VALUE!</v>
      </c>
      <c r="CD308" t="e">
        <f>'Printable Overview'!231:231-"AM:!0|2"</f>
        <v>#VALUE!</v>
      </c>
      <c r="CE308" t="e">
        <f>'Printable Overview'!232:232-"AM:!0|3"</f>
        <v>#VALUE!</v>
      </c>
      <c r="CF308" t="e">
        <f>'Printable Overview'!233:233-"AM:!0|4"</f>
        <v>#VALUE!</v>
      </c>
      <c r="CG308" t="e">
        <f>'Printable Overview'!234:234-"AM:!0|5"</f>
        <v>#VALUE!</v>
      </c>
      <c r="CH308" t="e">
        <f>'Printable Overview'!235:235-"AM:!0|6"</f>
        <v>#VALUE!</v>
      </c>
      <c r="CI308" t="e">
        <f>'Printable Overview'!236:236-"AM:!0|7"</f>
        <v>#VALUE!</v>
      </c>
      <c r="CJ308" t="e">
        <f>'Printable Overview'!237:237-"AM:!0|8"</f>
        <v>#VALUE!</v>
      </c>
      <c r="CK308" t="e">
        <f>'Printable Overview'!238:238-"AM:!0|9"</f>
        <v>#VALUE!</v>
      </c>
      <c r="CL308" t="e">
        <f>'Printable Overview'!239:239-"AM:!0|:"</f>
        <v>#VALUE!</v>
      </c>
      <c r="CM308" t="e">
        <f>'Printable Overview'!240:240-"AM:!0|;"</f>
        <v>#VALUE!</v>
      </c>
      <c r="CN308" t="e">
        <f>'Printable Overview'!241:241-"AM:!0|&lt;"</f>
        <v>#VALUE!</v>
      </c>
      <c r="CO308" t="e">
        <f>'Printable Overview'!242:242-"AM:!0|="</f>
        <v>#VALUE!</v>
      </c>
      <c r="CP308" t="e">
        <f>'Printable Overview'!243:243-"AM:!0|&gt;"</f>
        <v>#VALUE!</v>
      </c>
      <c r="CQ308" t="e">
        <f>'Printable Overview'!244:244-"AM:!0|?"</f>
        <v>#VALUE!</v>
      </c>
      <c r="CR308" t="e">
        <f>'Printable Overview'!245:245-"AM:!0|@"</f>
        <v>#VALUE!</v>
      </c>
      <c r="CS308" t="e">
        <f>'Printable Overview'!246:246-"AM:!0|A"</f>
        <v>#VALUE!</v>
      </c>
      <c r="CT308" t="e">
        <f>'Printable Overview'!247:247-"AM:!0|B"</f>
        <v>#VALUE!</v>
      </c>
      <c r="CU308" t="e">
        <f>'Printable Overview'!248:248-"AM:!0|C"</f>
        <v>#VALUE!</v>
      </c>
      <c r="CV308" t="e">
        <f>'Printable Overview'!249:249-"AM:!0|D"</f>
        <v>#VALUE!</v>
      </c>
      <c r="CW308" t="e">
        <f>'Printable Overview'!250:250-"AM:!0|E"</f>
        <v>#VALUE!</v>
      </c>
      <c r="CX308" t="e">
        <f>'Printable Overview'!251:251-"AM:!0|F"</f>
        <v>#VALUE!</v>
      </c>
      <c r="CY308" t="e">
        <f>'Printable Overview'!252:252-"AM:!0|G"</f>
        <v>#VALUE!</v>
      </c>
      <c r="CZ308" t="e">
        <f>'Printable Overview'!253:253-"AM:!0|H"</f>
        <v>#VALUE!</v>
      </c>
      <c r="DA308" t="e">
        <f>'Printable Overview'!254:254-"AM:!0|I"</f>
        <v>#VALUE!</v>
      </c>
      <c r="DB308" t="e">
        <f>'Printable Overview'!255:255-"AM:!0|J"</f>
        <v>#VALUE!</v>
      </c>
      <c r="DC308" t="e">
        <f>'Printable Overview'!256:256-"AM:!0|K"</f>
        <v>#VALUE!</v>
      </c>
      <c r="DD308" t="e">
        <f>'Printable Overview'!257:257-"AM:!0|L"</f>
        <v>#VALUE!</v>
      </c>
      <c r="DE308" t="e">
        <f>'Printable Overview'!258:258-"AM:!0|M"</f>
        <v>#VALUE!</v>
      </c>
      <c r="DF308" t="e">
        <f>'Printable Overview'!259:259-"AM:!0|N"</f>
        <v>#VALUE!</v>
      </c>
      <c r="DG308" t="e">
        <f>'Printable Overview'!260:260-"AM:!0|O"</f>
        <v>#VALUE!</v>
      </c>
      <c r="DH308" t="e">
        <f>'Printable Overview'!261:261-"AM:!0|P"</f>
        <v>#VALUE!</v>
      </c>
      <c r="DI308" t="e">
        <f>'Printable Overview'!262:262-"AM:!0|Q"</f>
        <v>#VALUE!</v>
      </c>
      <c r="DJ308" t="e">
        <f>'Printable Overview'!263:263-"AM:!0|R"</f>
        <v>#VALUE!</v>
      </c>
      <c r="DK308" t="e">
        <f>'Printable Overview'!264:264-"AM:!0|S"</f>
        <v>#VALUE!</v>
      </c>
      <c r="DL308" t="e">
        <f>'Printable Overview'!265:265-"AM:!0|T"</f>
        <v>#VALUE!</v>
      </c>
      <c r="DM308" t="e">
        <f>'Printable Overview'!266:266-"AM:!0|U"</f>
        <v>#VALUE!</v>
      </c>
      <c r="DN308" t="e">
        <f>'Printable Overview'!267:267-"AM:!0|V"</f>
        <v>#VALUE!</v>
      </c>
      <c r="DO308" t="e">
        <f>'Printable Overview'!268:268-"AM:!0|W"</f>
        <v>#VALUE!</v>
      </c>
      <c r="DP308" t="e">
        <f>'Printable Overview'!269:269-"AM:!0|X"</f>
        <v>#VALUE!</v>
      </c>
      <c r="DQ308" t="e">
        <f>'Printable Overview'!270:270-"AM:!0|Y"</f>
        <v>#VALUE!</v>
      </c>
      <c r="DR308" t="e">
        <f>'Printable Overview'!271:271-"AM:!0|Z"</f>
        <v>#VALUE!</v>
      </c>
      <c r="DS308" t="e">
        <f>'Printable Overview'!272:272-"AM:!0|["</f>
        <v>#VALUE!</v>
      </c>
      <c r="DT308" t="e">
        <f>'Printable Overview'!273:273-"AM:!0|\"</f>
        <v>#VALUE!</v>
      </c>
      <c r="DU308" t="e">
        <f>'Printable Overview'!274:274-"AM:!0|]"</f>
        <v>#VALUE!</v>
      </c>
      <c r="DV308" t="e">
        <f>'Printable Overview'!275:275-"AM:!0|^"</f>
        <v>#VALUE!</v>
      </c>
      <c r="DW308" t="e">
        <f>'Printable Overview'!276:276-"AM:!0|_"</f>
        <v>#VALUE!</v>
      </c>
      <c r="DX308" t="e">
        <f>'Printable Overview'!277:277-"AM:!0|`"</f>
        <v>#VALUE!</v>
      </c>
      <c r="DY308" t="e">
        <f>'Printable Overview'!278:278-"AM:!0|a"</f>
        <v>#VALUE!</v>
      </c>
      <c r="DZ308" t="e">
        <f>'Printable Overview'!279:279-"AM:!0|b"</f>
        <v>#VALUE!</v>
      </c>
      <c r="EA308" t="e">
        <f>'Printable Overview'!280:280-"AM:!0|c"</f>
        <v>#VALUE!</v>
      </c>
      <c r="EB308" t="e">
        <f>'Printable Overview'!281:281-"AM:!0|d"</f>
        <v>#VALUE!</v>
      </c>
      <c r="EC308" t="e">
        <f>'Printable Overview'!282:282-"AM:!0|e"</f>
        <v>#VALUE!</v>
      </c>
      <c r="ED308" t="e">
        <f>'Printable Overview'!283:283-"AM:!0|f"</f>
        <v>#VALUE!</v>
      </c>
      <c r="EE308" t="e">
        <f>'Printable Overview'!284:284-"AM:!0|g"</f>
        <v>#VALUE!</v>
      </c>
      <c r="EF308" t="e">
        <f>'Printable Overview'!285:285-"AM:!0|h"</f>
        <v>#VALUE!</v>
      </c>
      <c r="EG308" t="e">
        <f>'Printable Overview'!286:286-"AM:!0|i"</f>
        <v>#VALUE!</v>
      </c>
      <c r="EH308" t="e">
        <f>'Printable Overview'!287:287-"AM:!0|j"</f>
        <v>#VALUE!</v>
      </c>
      <c r="EI308" t="e">
        <f>'Printable Overview'!288:288-"AM:!0|k"</f>
        <v>#VALUE!</v>
      </c>
      <c r="EJ308" t="e">
        <f>'Printable Overview'!289:289-"AM:!0|l"</f>
        <v>#VALUE!</v>
      </c>
      <c r="EK308" t="e">
        <f>'Printable Overview'!290:290-"AM:!0|m"</f>
        <v>#VALUE!</v>
      </c>
      <c r="EL308" t="e">
        <f>'Printable Overview'!291:291-"AM:!0|n"</f>
        <v>#VALUE!</v>
      </c>
      <c r="EM308" t="e">
        <f>'Printable Overview'!292:292-"AM:!0|o"</f>
        <v>#VALUE!</v>
      </c>
      <c r="EN308" t="e">
        <f>'Printable Overview'!293:293-"AM:!0|p"</f>
        <v>#VALUE!</v>
      </c>
      <c r="EO308" t="e">
        <f>'Printable Overview'!294:294-"AM:!0|q"</f>
        <v>#VALUE!</v>
      </c>
      <c r="EP308" t="e">
        <f>'Printable Overview'!295:295-"AM:!0|r"</f>
        <v>#VALUE!</v>
      </c>
      <c r="EQ308" t="e">
        <f>'Printable Overview'!296:296-"AM:!0|s"</f>
        <v>#VALUE!</v>
      </c>
      <c r="ER308" t="e">
        <f>'Printable Overview'!297:297-"AM:!0|t"</f>
        <v>#VALUE!</v>
      </c>
      <c r="ES308" t="e">
        <f>'Printable Overview'!298:298-"AM:!0|u"</f>
        <v>#VALUE!</v>
      </c>
      <c r="ET308" t="e">
        <f>'Printable Overview'!299:299-"AM:!0|v"</f>
        <v>#VALUE!</v>
      </c>
      <c r="EU308" t="e">
        <f>'Printable Overview'!300:300-"AM:!0|w"</f>
        <v>#VALUE!</v>
      </c>
      <c r="EV308" t="e">
        <f>'Printable Overview'!301:301-"AM:!0|x"</f>
        <v>#VALUE!</v>
      </c>
      <c r="EW308" t="e">
        <f>'Printable Overview'!302:302-"AM:!0|y"</f>
        <v>#VALUE!</v>
      </c>
      <c r="EX308" t="e">
        <f>'Printable Overview'!303:303-"AM:!0|z"</f>
        <v>#VALUE!</v>
      </c>
      <c r="EY308" t="e">
        <f>'Printable Overview'!304:304-"AM:!0|{"</f>
        <v>#VALUE!</v>
      </c>
      <c r="EZ308" t="e">
        <f>'Printable Overview'!305:305-"AM:!0||"</f>
        <v>#VALUE!</v>
      </c>
      <c r="FA308" t="e">
        <f>'Printable Overview'!306:306-"AM:!0|}"</f>
        <v>#VALUE!</v>
      </c>
      <c r="FB308" t="e">
        <f>'Printable Overview'!307:307-"AM:!0|~"</f>
        <v>#VALUE!</v>
      </c>
      <c r="FC308" t="e">
        <f>'Printable Overview'!308:308-"AM:!0}#"</f>
        <v>#VALUE!</v>
      </c>
      <c r="FD308" t="e">
        <f>'Printable Overview'!309:309-"AM:!0}$"</f>
        <v>#VALUE!</v>
      </c>
      <c r="FE308" t="e">
        <f>'Printable Overview'!310:310-"AM:!0}%"</f>
        <v>#VALUE!</v>
      </c>
      <c r="FF308" t="e">
        <f>'Printable Overview'!311:311-"AM:!0}&amp;"</f>
        <v>#VALUE!</v>
      </c>
      <c r="FG308" t="e">
        <f>'Printable Overview'!312:312-"AM:!0}'"</f>
        <v>#VALUE!</v>
      </c>
      <c r="FH308" t="e">
        <f>'Printable Overview'!313:313-"AM:!0}("</f>
        <v>#VALUE!</v>
      </c>
      <c r="FI308" t="e">
        <f>'Printable Overview'!314:314-"AM:!0})"</f>
        <v>#VALUE!</v>
      </c>
      <c r="FJ308" t="e">
        <f>'Printable Overview'!315:315-"AM:!0}."</f>
        <v>#VALUE!</v>
      </c>
      <c r="FK308" t="e">
        <f>'Printable Overview'!316:316-"AM:!0}/"</f>
        <v>#VALUE!</v>
      </c>
      <c r="FL308" t="e">
        <f>'Printable Overview'!317:317-"AM:!0}0"</f>
        <v>#VALUE!</v>
      </c>
      <c r="FM308" t="e">
        <f>'Printable Overview'!318:318-"AM:!0}1"</f>
        <v>#VALUE!</v>
      </c>
      <c r="FN308" t="e">
        <f>'Printable Overview'!319:319-"AM:!0}2"</f>
        <v>#VALUE!</v>
      </c>
      <c r="FO308" t="e">
        <f>'Printable Overview'!320:320-"AM:!0}3"</f>
        <v>#VALUE!</v>
      </c>
      <c r="FP308" t="e">
        <f>'Printable Overview'!321:321-"AM:!0}4"</f>
        <v>#VALUE!</v>
      </c>
      <c r="FQ308" t="e">
        <f>'Printable Overview'!322:322-"AM:!0}5"</f>
        <v>#VALUE!</v>
      </c>
      <c r="FR308" t="e">
        <f>'Printable Overview'!323:323-"AM:!0}6"</f>
        <v>#VALUE!</v>
      </c>
      <c r="FS308" t="e">
        <f>'Printable Overview'!324:324-"AM:!0}7"</f>
        <v>#VALUE!</v>
      </c>
      <c r="FT308" t="e">
        <f>'Printable Overview'!325:325-"AM:!0}8"</f>
        <v>#VALUE!</v>
      </c>
      <c r="FU308" t="e">
        <f>'Printable Overview'!326:326-"AM:!0}9"</f>
        <v>#VALUE!</v>
      </c>
      <c r="FV308" t="e">
        <f>'Printable Overview'!327:327-"AM:!0}:"</f>
        <v>#VALUE!</v>
      </c>
      <c r="FW308" t="e">
        <f>'Printable Overview'!328:328-"AM:!0};"</f>
        <v>#VALUE!</v>
      </c>
      <c r="FX308" t="e">
        <f>'Printable Overview'!329:329-"AM:!0}&lt;"</f>
        <v>#VALUE!</v>
      </c>
      <c r="FY308" t="e">
        <f>'Printable Overview'!330:330-"AM:!0}="</f>
        <v>#VALUE!</v>
      </c>
      <c r="FZ308" t="e">
        <f>'Printable Overview'!331:331-"AM:!0}&gt;"</f>
        <v>#VALUE!</v>
      </c>
      <c r="GA308" t="e">
        <f>'Printable Overview'!332:332-"AM:!0}?"</f>
        <v>#VALUE!</v>
      </c>
      <c r="GB308" t="e">
        <f>'Printable Overview'!333:333-"AM:!0}@"</f>
        <v>#VALUE!</v>
      </c>
      <c r="GC308" t="e">
        <f>'Printable Overview'!334:334-"AM:!0}A"</f>
        <v>#VALUE!</v>
      </c>
      <c r="GD308" t="e">
        <f>'Printable Overview'!335:335-"AM:!0}B"</f>
        <v>#VALUE!</v>
      </c>
      <c r="GE308" t="e">
        <f>'Printable Overview'!336:336-"AM:!0}C"</f>
        <v>#VALUE!</v>
      </c>
      <c r="GF308" t="e">
        <f>'Printable Overview'!337:337-"AM:!0}D"</f>
        <v>#VALUE!</v>
      </c>
      <c r="GG308" t="e">
        <f>'Printable Overview'!338:338-"AM:!0}E"</f>
        <v>#VALUE!</v>
      </c>
      <c r="GH308" t="e">
        <f>'Printable Overview'!339:339-"AM:!0}F"</f>
        <v>#VALUE!</v>
      </c>
      <c r="GI308" t="e">
        <f>'Printable Overview'!340:340-"AM:!0}G"</f>
        <v>#VALUE!</v>
      </c>
      <c r="GJ308" t="e">
        <f>'Printable Overview'!341:341-"AM:!0}H"</f>
        <v>#VALUE!</v>
      </c>
      <c r="GK308" t="e">
        <f>'Printable Overview'!342:342-"AM:!0}I"</f>
        <v>#VALUE!</v>
      </c>
      <c r="GL308" t="e">
        <f>'Printable Overview'!343:343-"AM:!0}J"</f>
        <v>#VALUE!</v>
      </c>
      <c r="GM308" t="e">
        <f>'Printable Overview'!344:344-"AM:!0}K"</f>
        <v>#VALUE!</v>
      </c>
      <c r="GN308" t="e">
        <f>'Printable Overview'!345:345-"AM:!0}L"</f>
        <v>#VALUE!</v>
      </c>
      <c r="GO308" t="e">
        <f>'Printable Overview'!346:346-"AM:!0}M"</f>
        <v>#VALUE!</v>
      </c>
      <c r="GP308" t="e">
        <f>'Printable Overview'!347:347-"AM:!0}N"</f>
        <v>#VALUE!</v>
      </c>
      <c r="GQ308" t="e">
        <f>'Printable Overview'!348:348-"AM:!0}O"</f>
        <v>#VALUE!</v>
      </c>
      <c r="GR308" t="e">
        <f>'Printable Overview'!349:349-"AM:!0}P"</f>
        <v>#VALUE!</v>
      </c>
      <c r="GS308" t="e">
        <f>'Printable Overview'!350:350-"AM:!0}Q"</f>
        <v>#VALUE!</v>
      </c>
      <c r="GT308" t="e">
        <f>'Printable Overview'!351:351-"AM:!0}R"</f>
        <v>#VALUE!</v>
      </c>
      <c r="GU308" t="e">
        <f>'Printable Overview'!352:352-"AM:!0}S"</f>
        <v>#VALUE!</v>
      </c>
      <c r="GV308" t="e">
        <f>'Printable Overview'!353:353-"AM:!0}T"</f>
        <v>#VALUE!</v>
      </c>
      <c r="GW308" t="e">
        <f>'Printable Overview'!354:354-"AM:!0}U"</f>
        <v>#VALUE!</v>
      </c>
      <c r="GX308" t="e">
        <f>'Printable Overview'!355:355-"AM:!0}V"</f>
        <v>#VALUE!</v>
      </c>
      <c r="GY308" t="e">
        <f>'Printable Overview'!356:356-"AM:!0}W"</f>
        <v>#VALUE!</v>
      </c>
      <c r="GZ308" t="e">
        <f>'Printable Overview'!357:357-"AM:!0}X"</f>
        <v>#VALUE!</v>
      </c>
      <c r="HA308" t="e">
        <f>'Printable Overview'!358:358-"AM:!0}Y"</f>
        <v>#VALUE!</v>
      </c>
      <c r="HB308" t="e">
        <f>'Printable Overview'!359:359-"AM:!0}Z"</f>
        <v>#VALUE!</v>
      </c>
      <c r="HC308" t="e">
        <f>'Printable Overview'!360:360-"AM:!0}["</f>
        <v>#VALUE!</v>
      </c>
      <c r="HD308" t="e">
        <f>'Printable Overview'!361:361-"AM:!0}\"</f>
        <v>#VALUE!</v>
      </c>
      <c r="HE308" t="e">
        <f>'Printable Overview'!362:362-"AM:!0}]"</f>
        <v>#VALUE!</v>
      </c>
      <c r="HF308" t="e">
        <f>'Printable Overview'!363:363-"AM:!0}^"</f>
        <v>#VALUE!</v>
      </c>
      <c r="HG308" t="e">
        <f>'Printable Overview'!364:364-"AM:!0}_"</f>
        <v>#VALUE!</v>
      </c>
      <c r="HH308" t="e">
        <f>'Printable Overview'!365:365-"AM:!0}`"</f>
        <v>#VALUE!</v>
      </c>
      <c r="HI308" t="e">
        <f>'Printable Overview'!366:366-"AM:!0}a"</f>
        <v>#VALUE!</v>
      </c>
      <c r="HJ308" t="e">
        <f>'Printable Overview'!367:367-"AM:!0}b"</f>
        <v>#VALUE!</v>
      </c>
      <c r="HK308" t="e">
        <f>'Printable Overview'!368:368-"AM:!0}c"</f>
        <v>#VALUE!</v>
      </c>
      <c r="HL308" t="e">
        <f>'Printable Overview'!369:369-"AM:!0}d"</f>
        <v>#VALUE!</v>
      </c>
      <c r="HM308" t="e">
        <f>'Printable Overview'!370:370-"AM:!0}e"</f>
        <v>#VALUE!</v>
      </c>
      <c r="HN308" t="e">
        <f>'Printable Overview'!371:371-"AM:!0}f"</f>
        <v>#VALUE!</v>
      </c>
      <c r="HO308" t="e">
        <f>'Printable Overview'!372:372-"AM:!0}g"</f>
        <v>#VALUE!</v>
      </c>
      <c r="HP308" t="e">
        <f>'Printable Overview'!373:373-"AM:!0}h"</f>
        <v>#VALUE!</v>
      </c>
      <c r="HQ308" t="e">
        <f>'Printable Overview'!374:374-"AM:!0}i"</f>
        <v>#VALUE!</v>
      </c>
      <c r="HR308" t="e">
        <f>'Printable Overview'!375:375-"AM:!0}j"</f>
        <v>#VALUE!</v>
      </c>
      <c r="HS308" t="e">
        <f>'Printable Overview'!376:376-"AM:!0}k"</f>
        <v>#VALUE!</v>
      </c>
      <c r="HT308" t="e">
        <f>'Printable Overview'!377:377-"AM:!0}l"</f>
        <v>#VALUE!</v>
      </c>
      <c r="HU308" t="e">
        <f>'Printable Overview'!378:378-"AM:!0}m"</f>
        <v>#VALUE!</v>
      </c>
      <c r="HV308" t="e">
        <f>'Printable Overview'!379:379-"AM:!0}n"</f>
        <v>#VALUE!</v>
      </c>
      <c r="HW308" t="e">
        <f>'Printable Overview'!380:380-"AM:!0}o"</f>
        <v>#VALUE!</v>
      </c>
      <c r="HX308" t="e">
        <f>'Printable Overview'!381:381-"AM:!0}p"</f>
        <v>#VALUE!</v>
      </c>
      <c r="HY308" t="e">
        <f>'Printable Overview'!382:382-"AM:!0}q"</f>
        <v>#VALUE!</v>
      </c>
      <c r="HZ308" t="e">
        <f>'Printable Overview'!383:383-"AM:!0}r"</f>
        <v>#VALUE!</v>
      </c>
      <c r="IA308" t="e">
        <f>'Printable Overview'!384:384-"AM:!0}s"</f>
        <v>#VALUE!</v>
      </c>
      <c r="IB308" t="e">
        <f>'Printable Overview'!385:385-"AM:!0}t"</f>
        <v>#VALUE!</v>
      </c>
      <c r="IC308" t="e">
        <f>'Printable Overview'!386:386-"AM:!0}u"</f>
        <v>#VALUE!</v>
      </c>
      <c r="ID308" t="e">
        <f>'Printable Overview'!387:387-"AM:!0}v"</f>
        <v>#VALUE!</v>
      </c>
      <c r="IE308" t="e">
        <f>'Printable Overview'!388:388-"AM:!0}w"</f>
        <v>#VALUE!</v>
      </c>
      <c r="IF308" t="e">
        <f>'Printable Overview'!389:389-"AM:!0}x"</f>
        <v>#VALUE!</v>
      </c>
      <c r="IG308" t="e">
        <f>'Printable Overview'!390:390-"AM:!0}y"</f>
        <v>#VALUE!</v>
      </c>
      <c r="IH308" t="e">
        <f>'Printable Overview'!391:391-"AM:!0}z"</f>
        <v>#VALUE!</v>
      </c>
      <c r="II308" t="e">
        <f>'Printable Overview'!392:392-"AM:!0}{"</f>
        <v>#VALUE!</v>
      </c>
      <c r="IJ308" t="e">
        <f>'Printable Overview'!393:393-"AM:!0}|"</f>
        <v>#VALUE!</v>
      </c>
      <c r="IK308" t="e">
        <f>'Printable Overview'!394:394-"AM:!0}}"</f>
        <v>#VALUE!</v>
      </c>
      <c r="IL308" t="e">
        <f>'Printable Overview'!395:395-"AM:!0}~"</f>
        <v>#VALUE!</v>
      </c>
      <c r="IM308" t="e">
        <f>'Printable Overview'!396:396-"AM:!0~#"</f>
        <v>#VALUE!</v>
      </c>
      <c r="IN308" t="e">
        <f>'Printable Overview'!397:397-"AM:!0~$"</f>
        <v>#VALUE!</v>
      </c>
      <c r="IO308" t="e">
        <f>'Printable Overview'!398:398-"AM:!0~%"</f>
        <v>#VALUE!</v>
      </c>
      <c r="IP308" t="e">
        <f>'Printable Overview'!399:399-"AM:!0~&amp;"</f>
        <v>#VALUE!</v>
      </c>
      <c r="IQ308" t="e">
        <f>'Printable Overview'!400:400-"AM:!0~'"</f>
        <v>#VALUE!</v>
      </c>
      <c r="IR308" t="e">
        <f>'Printable Overview'!401:401-"AM:!0~("</f>
        <v>#VALUE!</v>
      </c>
      <c r="IS308" t="e">
        <f>'Printable Overview'!402:402-"AM:!0~)"</f>
        <v>#VALUE!</v>
      </c>
      <c r="IT308" t="e">
        <f>'Printable Overview'!403:403-"AM:!0~."</f>
        <v>#VALUE!</v>
      </c>
      <c r="IU308" t="e">
        <f>'Printable Overview'!404:404-"AM:!0~/"</f>
        <v>#VALUE!</v>
      </c>
      <c r="IV308" t="e">
        <f>'Printable Overview'!405:405-"AM:!0~0"</f>
        <v>#VALUE!</v>
      </c>
    </row>
    <row r="309" spans="6:256">
      <c r="F309" t="e">
        <f>'Printable Overview'!406:406-"AM:!0~1"</f>
        <v>#VALUE!</v>
      </c>
      <c r="G309" t="e">
        <f>'Printable Overview'!407:407-"AM:!0~2"</f>
        <v>#VALUE!</v>
      </c>
      <c r="H309" t="e">
        <f>'Printable Overview'!408:408-"AM:!0~3"</f>
        <v>#VALUE!</v>
      </c>
      <c r="I309" t="e">
        <f>'Printable Overview'!409:409-"AM:!0~4"</f>
        <v>#VALUE!</v>
      </c>
      <c r="J309" t="e">
        <f>'Printable Overview'!410:410-"AM:!0~5"</f>
        <v>#VALUE!</v>
      </c>
      <c r="K309" t="e">
        <f>'Printable Overview'!411:411-"AM:!0~6"</f>
        <v>#VALUE!</v>
      </c>
      <c r="L309" t="e">
        <f>'Printable Overview'!412:412-"AM:!0~7"</f>
        <v>#VALUE!</v>
      </c>
      <c r="M309" t="e">
        <f>'Printable Overview'!413:413-"AM:!0~8"</f>
        <v>#VALUE!</v>
      </c>
      <c r="N309" t="e">
        <f>'Printable Overview'!414:414-"AM:!0~9"</f>
        <v>#VALUE!</v>
      </c>
      <c r="O309" t="e">
        <f>'Printable Overview'!415:415-"AM:!0~:"</f>
        <v>#VALUE!</v>
      </c>
      <c r="P309" t="e">
        <f>'Printable Overview'!416:416-"AM:!0~;"</f>
        <v>#VALUE!</v>
      </c>
      <c r="Q309" t="e">
        <f>'Printable Overview'!417:417-"AM:!0~&lt;"</f>
        <v>#VALUE!</v>
      </c>
      <c r="R309" t="e">
        <f>'Printable Overview'!418:418-"AM:!0~="</f>
        <v>#VALUE!</v>
      </c>
      <c r="S309" t="e">
        <f>'Printable Overview'!419:419-"AM:!0~&gt;"</f>
        <v>#VALUE!</v>
      </c>
      <c r="T309" t="e">
        <f>'Printable Overview'!420:420-"AM:!0~?"</f>
        <v>#VALUE!</v>
      </c>
      <c r="U309" t="e">
        <f>'Printable Overview'!421:421-"AM:!0~@"</f>
        <v>#VALUE!</v>
      </c>
      <c r="V309" t="e">
        <f>'Printable Overview'!422:422-"AM:!0~A"</f>
        <v>#VALUE!</v>
      </c>
      <c r="W309" t="e">
        <f>'Printable Overview'!423:423-"AM:!0~B"</f>
        <v>#VALUE!</v>
      </c>
      <c r="X309" t="e">
        <f>'Printable Overview'!424:424-"AM:!0~C"</f>
        <v>#VALUE!</v>
      </c>
      <c r="Y309" t="e">
        <f>'Printable Overview'!425:425-"AM:!0~D"</f>
        <v>#VALUE!</v>
      </c>
      <c r="Z309" t="e">
        <f>'Printable Overview'!426:426-"AM:!0~E"</f>
        <v>#VALUE!</v>
      </c>
      <c r="AA309" t="e">
        <f>'Printable Overview'!427:427-"AM:!0~F"</f>
        <v>#VALUE!</v>
      </c>
      <c r="AB309" t="e">
        <f>'Printable Overview'!428:428-"AM:!0~G"</f>
        <v>#VALUE!</v>
      </c>
      <c r="AC309" t="e">
        <f>'Printable Overview'!429:429-"AM:!0~H"</f>
        <v>#VALUE!</v>
      </c>
      <c r="AD309" t="e">
        <f>'Printable Overview'!430:430-"AM:!0~I"</f>
        <v>#VALUE!</v>
      </c>
      <c r="AE309" t="e">
        <f>'Printable Overview'!431:431-"AM:!0~J"</f>
        <v>#VALUE!</v>
      </c>
      <c r="AF309" t="e">
        <f>'Printable Overview'!432:432-"AM:!0~K"</f>
        <v>#VALUE!</v>
      </c>
      <c r="AG309" t="e">
        <f>'Printable Overview'!433:433-"AM:!0~L"</f>
        <v>#VALUE!</v>
      </c>
      <c r="AH309" t="e">
        <f>'Printable Overview'!434:434-"AM:!0~M"</f>
        <v>#VALUE!</v>
      </c>
      <c r="AI309" t="e">
        <f>'Printable Overview'!435:435-"AM:!0~N"</f>
        <v>#VALUE!</v>
      </c>
      <c r="AJ309" t="e">
        <f>'Printable Overview'!436:436-"AM:!0~O"</f>
        <v>#VALUE!</v>
      </c>
      <c r="AK309" t="e">
        <f>'Printable Overview'!437:437-"AM:!0~P"</f>
        <v>#VALUE!</v>
      </c>
      <c r="AL309" t="e">
        <f>'Printable Overview'!438:438-"AM:!0~Q"</f>
        <v>#VALUE!</v>
      </c>
      <c r="AM309" t="e">
        <f>'Printable Overview'!439:439-"AM:!0~R"</f>
        <v>#VALUE!</v>
      </c>
      <c r="AN309" t="e">
        <f>'Printable Overview'!440:440-"AM:!0~S"</f>
        <v>#VALUE!</v>
      </c>
      <c r="AO309" t="e">
        <f>'Printable Overview'!441:441-"AM:!0~T"</f>
        <v>#VALUE!</v>
      </c>
      <c r="AP309" t="e">
        <f>'Printable Overview'!442:442-"AM:!0~U"</f>
        <v>#VALUE!</v>
      </c>
      <c r="AQ309" t="e">
        <f>'Printable Overview'!443:443-"AM:!0~V"</f>
        <v>#VALUE!</v>
      </c>
      <c r="AR309" t="e">
        <f>'Printable Overview'!444:444-"AM:!0~W"</f>
        <v>#VALUE!</v>
      </c>
      <c r="AS309" t="e">
        <f>'Printable Overview'!445:445-"AM:!0~X"</f>
        <v>#VALUE!</v>
      </c>
      <c r="AT309" t="e">
        <f>'Printable Overview'!446:446-"AM:!0~Y"</f>
        <v>#VALUE!</v>
      </c>
      <c r="AU309" t="e">
        <f>'Printable Overview'!447:447-"AM:!0~Z"</f>
        <v>#VALUE!</v>
      </c>
      <c r="AV309" t="e">
        <f>'Printable Overview'!448:448-"AM:!0~["</f>
        <v>#VALUE!</v>
      </c>
      <c r="AW309" t="e">
        <f>'Printable Overview'!449:449-"AM:!0~\"</f>
        <v>#VALUE!</v>
      </c>
      <c r="AX309" t="e">
        <f>'Printable Overview'!450:450-"AM:!0~]"</f>
        <v>#VALUE!</v>
      </c>
      <c r="AY309" t="e">
        <f>'Printable Overview'!451:451-"AM:!0~^"</f>
        <v>#VALUE!</v>
      </c>
      <c r="AZ309" t="e">
        <f>'Printable Overview'!452:452-"AM:!0~_"</f>
        <v>#VALUE!</v>
      </c>
      <c r="BA309" t="e">
        <f>'Printable Overview'!453:453-"AM:!0~`"</f>
        <v>#VALUE!</v>
      </c>
      <c r="BB309" t="e">
        <f>'Printable Overview'!454:454-"AM:!0~a"</f>
        <v>#VALUE!</v>
      </c>
      <c r="BC309" t="e">
        <f>'Printable Overview'!455:455-"AM:!0~b"</f>
        <v>#VALUE!</v>
      </c>
      <c r="BD309" t="e">
        <f>'Printable Overview'!456:456-"AM:!0~c"</f>
        <v>#VALUE!</v>
      </c>
      <c r="BE309" t="e">
        <f>'Printable Overview'!457:457-"AM:!0~d"</f>
        <v>#VALUE!</v>
      </c>
      <c r="BF309" t="e">
        <f>'Printable Overview'!458:458-"AM:!0~e"</f>
        <v>#VALUE!</v>
      </c>
      <c r="BG309" t="e">
        <f>'Printable Overview'!459:459-"AM:!0~f"</f>
        <v>#VALUE!</v>
      </c>
      <c r="BH309" t="e">
        <f>'Printable Overview'!460:460-"AM:!0~g"</f>
        <v>#VALUE!</v>
      </c>
      <c r="BI309" t="e">
        <f>'Printable Overview'!461:461-"AM:!0~h"</f>
        <v>#VALUE!</v>
      </c>
      <c r="BJ309" t="e">
        <f>'Printable Overview'!462:462-"AM:!0~i"</f>
        <v>#VALUE!</v>
      </c>
      <c r="BK309" t="e">
        <f>'Printable Overview'!463:463-"AM:!0~j"</f>
        <v>#VALUE!</v>
      </c>
      <c r="BL309" t="e">
        <f>'Printable Overview'!464:464-"AM:!0~k"</f>
        <v>#VALUE!</v>
      </c>
      <c r="BM309" t="e">
        <f>'Printable Overview'!465:465-"AM:!0~l"</f>
        <v>#VALUE!</v>
      </c>
      <c r="BN309" t="e">
        <f>'Printable Overview'!466:466-"AM:!0~m"</f>
        <v>#VALUE!</v>
      </c>
      <c r="BO309" t="e">
        <f>'Printable Overview'!467:467-"AM:!0~n"</f>
        <v>#VALUE!</v>
      </c>
      <c r="BP309" t="e">
        <f>'Printable Overview'!468:468-"AM:!0~o"</f>
        <v>#VALUE!</v>
      </c>
      <c r="BQ309" t="e">
        <f>'Printable Overview'!469:469-"AM:!0~p"</f>
        <v>#VALUE!</v>
      </c>
      <c r="BR309" t="e">
        <f>'Printable Overview'!A1+"AM:!0~q"</f>
        <v>#VALUE!</v>
      </c>
      <c r="BS309" t="e">
        <f>'Printable Overview'!B1+"AM:!0~r"</f>
        <v>#VALUE!</v>
      </c>
      <c r="BT309" t="e">
        <f>'Printable Overview'!C1+"AM:!0~s"</f>
        <v>#VALUE!</v>
      </c>
      <c r="BU309" t="e">
        <f>'Printable Overview'!D1+"AM:!0~t"</f>
        <v>#VALUE!</v>
      </c>
      <c r="BV309" t="e">
        <f>'Printable Overview'!E1+"AM:!0~u"</f>
        <v>#VALUE!</v>
      </c>
      <c r="BW309" t="e">
        <f>'Printable Overview'!F1+"AM:!0~v"</f>
        <v>#VALUE!</v>
      </c>
      <c r="BX309" t="e">
        <f>'Printable Overview'!G1+"AM:!0~w"</f>
        <v>#VALUE!</v>
      </c>
      <c r="BY309" t="e">
        <f>'Printable Overview'!H1+"AM:!0~x"</f>
        <v>#VALUE!</v>
      </c>
      <c r="BZ309" t="e">
        <f>'Printable Overview'!I1+"AM:!0~y"</f>
        <v>#VALUE!</v>
      </c>
      <c r="CA309" t="e">
        <f>'Printable Overview'!J1+"AM:!0~z"</f>
        <v>#VALUE!</v>
      </c>
      <c r="CB309" t="e">
        <f>'Printable Overview'!K1+"AM:!0~{"</f>
        <v>#VALUE!</v>
      </c>
      <c r="CC309" t="e">
        <f>'Printable Overview'!L1+"AM:!0~|"</f>
        <v>#VALUE!</v>
      </c>
      <c r="CD309" t="e">
        <f>'Printable Overview'!M1+"AM:!0~}"</f>
        <v>#VALUE!</v>
      </c>
      <c r="CE309" t="e">
        <f>'Printable Overview'!N1+"AM:!0~~"</f>
        <v>#VALUE!</v>
      </c>
      <c r="CF309" t="e">
        <f>'Printable Overview'!O1+"AM:!1##"</f>
        <v>#VALUE!</v>
      </c>
      <c r="CG309" t="e">
        <f>'Printable Overview'!P1+"AM:!1#$"</f>
        <v>#VALUE!</v>
      </c>
      <c r="CH309" t="e">
        <f>'Printable Overview'!Q1+"AM:!1#%"</f>
        <v>#VALUE!</v>
      </c>
      <c r="CI309" t="e">
        <f>'Printable Overview'!R1+"AM:!1#&amp;"</f>
        <v>#VALUE!</v>
      </c>
      <c r="CJ309" t="e">
        <f>'Printable Overview'!S1+"AM:!1#'"</f>
        <v>#VALUE!</v>
      </c>
      <c r="CK309" t="e">
        <f>'Printable Overview'!T1+"AM:!1#("</f>
        <v>#VALUE!</v>
      </c>
      <c r="CL309" t="e">
        <f>'Printable Overview'!A2+"AM:!1#)"</f>
        <v>#VALUE!</v>
      </c>
      <c r="CM309" t="e">
        <f>'Printable Overview'!B2+"AM:!1#."</f>
        <v>#VALUE!</v>
      </c>
      <c r="CN309" t="e">
        <f>'Printable Overview'!C2+"AM:!1#/"</f>
        <v>#VALUE!</v>
      </c>
      <c r="CO309" t="e">
        <f>'Printable Overview'!D2+"AM:!1#0"</f>
        <v>#VALUE!</v>
      </c>
      <c r="CP309" t="e">
        <f>'Printable Overview'!E2+"AM:!1#1"</f>
        <v>#VALUE!</v>
      </c>
      <c r="CQ309" t="e">
        <f>'Printable Overview'!F2+"AM:!1#2"</f>
        <v>#VALUE!</v>
      </c>
      <c r="CR309" t="e">
        <f>'Printable Overview'!H2+"AM:!1#3"</f>
        <v>#VALUE!</v>
      </c>
      <c r="CS309" t="e">
        <f>'Printable Overview'!I2+"AM:!1#4"</f>
        <v>#VALUE!</v>
      </c>
      <c r="CT309" t="e">
        <f>'Printable Overview'!J2+"AM:!1#5"</f>
        <v>#VALUE!</v>
      </c>
      <c r="CU309" t="e">
        <f>'Printable Overview'!K2+"AM:!1#6"</f>
        <v>#VALUE!</v>
      </c>
      <c r="CV309" t="e">
        <f>'Printable Overview'!L2+"AM:!1#7"</f>
        <v>#VALUE!</v>
      </c>
      <c r="CW309" t="e">
        <f>'Printable Overview'!M2+"AM:!1#8"</f>
        <v>#VALUE!</v>
      </c>
      <c r="CX309" t="e">
        <f>'Printable Overview'!N2+"AM:!1#9"</f>
        <v>#VALUE!</v>
      </c>
      <c r="CY309" t="e">
        <f>'Printable Overview'!O2+"AM:!1#:"</f>
        <v>#VALUE!</v>
      </c>
      <c r="CZ309" t="e">
        <f>'Printable Overview'!P2+"AM:!1#;"</f>
        <v>#VALUE!</v>
      </c>
      <c r="DA309" t="e">
        <f>'Printable Overview'!Q2+"AM:!1#&lt;"</f>
        <v>#VALUE!</v>
      </c>
      <c r="DB309" t="e">
        <f>'Printable Overview'!R2+"AM:!1#="</f>
        <v>#VALUE!</v>
      </c>
      <c r="DC309" t="e">
        <f>'Printable Overview'!S2+"AM:!1#&gt;"</f>
        <v>#VALUE!</v>
      </c>
      <c r="DD309" t="e">
        <f>'Printable Overview'!T2+"AM:!1#?"</f>
        <v>#VALUE!</v>
      </c>
      <c r="DE309" t="e">
        <f>'Printable Overview'!A3+"AM:!1#@"</f>
        <v>#VALUE!</v>
      </c>
      <c r="DF309" t="e">
        <f>'Printable Overview'!B3+"AM:!1#A"</f>
        <v>#VALUE!</v>
      </c>
      <c r="DG309" t="e">
        <f>'Printable Overview'!C3+"AM:!1#B"</f>
        <v>#VALUE!</v>
      </c>
      <c r="DH309" t="e">
        <f>'Printable Overview'!D3+"AM:!1#C"</f>
        <v>#VALUE!</v>
      </c>
      <c r="DI309" t="e">
        <f>'Printable Overview'!E3+"AM:!1#D"</f>
        <v>#VALUE!</v>
      </c>
      <c r="DJ309" t="e">
        <f>'Printable Overview'!F3+"AM:!1#E"</f>
        <v>#VALUE!</v>
      </c>
      <c r="DK309" t="e">
        <f>'Printable Overview'!H3+"AM:!1#F"</f>
        <v>#VALUE!</v>
      </c>
      <c r="DL309" t="e">
        <f>'Printable Overview'!I3+"AM:!1#G"</f>
        <v>#VALUE!</v>
      </c>
      <c r="DM309" t="e">
        <f>'Printable Overview'!J3+"AM:!1#H"</f>
        <v>#VALUE!</v>
      </c>
      <c r="DN309" t="e">
        <f>'Printable Overview'!K3+"AM:!1#I"</f>
        <v>#VALUE!</v>
      </c>
      <c r="DO309" t="e">
        <f>'Printable Overview'!L3+"AM:!1#J"</f>
        <v>#VALUE!</v>
      </c>
      <c r="DP309" t="e">
        <f>'Printable Overview'!M3+"AM:!1#K"</f>
        <v>#VALUE!</v>
      </c>
      <c r="DQ309" t="e">
        <f>'Printable Overview'!N3+"AM:!1#L"</f>
        <v>#VALUE!</v>
      </c>
      <c r="DR309" t="e">
        <f>'Printable Overview'!O3+"AM:!1#M"</f>
        <v>#VALUE!</v>
      </c>
      <c r="DS309" t="e">
        <f>'Printable Overview'!P3+"AM:!1#N"</f>
        <v>#VALUE!</v>
      </c>
      <c r="DT309" t="e">
        <f>'Printable Overview'!Q3+"AM:!1#O"</f>
        <v>#VALUE!</v>
      </c>
      <c r="DU309" t="e">
        <f>'Printable Overview'!R3+"AM:!1#P"</f>
        <v>#VALUE!</v>
      </c>
      <c r="DV309" t="e">
        <f>'Printable Overview'!S3+"AM:!1#Q"</f>
        <v>#VALUE!</v>
      </c>
      <c r="DW309" t="e">
        <f>'Printable Overview'!T3+"AM:!1#R"</f>
        <v>#VALUE!</v>
      </c>
      <c r="DX309" t="e">
        <f>'Printable Overview'!A4+"AM:!1#S"</f>
        <v>#VALUE!</v>
      </c>
      <c r="DY309" t="e">
        <f>'Printable Overview'!B4+"AM:!1#T"</f>
        <v>#VALUE!</v>
      </c>
      <c r="DZ309" t="e">
        <f>'Printable Overview'!C4+"AM:!1#U"</f>
        <v>#VALUE!</v>
      </c>
      <c r="EA309" t="e">
        <f>'Printable Overview'!D4+"AM:!1#V"</f>
        <v>#VALUE!</v>
      </c>
      <c r="EB309" t="e">
        <f>'Printable Overview'!E4+"AM:!1#W"</f>
        <v>#VALUE!</v>
      </c>
      <c r="EC309" t="e">
        <f>'Printable Overview'!F4+"AM:!1#X"</f>
        <v>#VALUE!</v>
      </c>
      <c r="ED309" t="e">
        <f>'Printable Overview'!G4+"AM:!1#Y"</f>
        <v>#VALUE!</v>
      </c>
      <c r="EE309" t="e">
        <f>'Printable Overview'!H4+"AM:!1#Z"</f>
        <v>#VALUE!</v>
      </c>
      <c r="EF309" t="e">
        <f>'Printable Overview'!I4+"AM:!1#["</f>
        <v>#VALUE!</v>
      </c>
      <c r="EG309" t="e">
        <f>'Printable Overview'!J4+"AM:!1#\"</f>
        <v>#VALUE!</v>
      </c>
      <c r="EH309" t="e">
        <f>'Printable Overview'!K4+"AM:!1#]"</f>
        <v>#VALUE!</v>
      </c>
      <c r="EI309" t="e">
        <f>'Printable Overview'!L4+"AM:!1#^"</f>
        <v>#VALUE!</v>
      </c>
      <c r="EJ309" t="e">
        <f>'Printable Overview'!M4+"AM:!1#_"</f>
        <v>#VALUE!</v>
      </c>
      <c r="EK309" t="e">
        <f>'Printable Overview'!N4+"AM:!1#`"</f>
        <v>#VALUE!</v>
      </c>
      <c r="EL309" t="e">
        <f>'Printable Overview'!O4+"AM:!1#a"</f>
        <v>#VALUE!</v>
      </c>
      <c r="EM309" t="e">
        <f>'Printable Overview'!P4+"AM:!1#b"</f>
        <v>#VALUE!</v>
      </c>
      <c r="EN309" t="e">
        <f>'Printable Overview'!Q4+"AM:!1#c"</f>
        <v>#VALUE!</v>
      </c>
      <c r="EO309" t="e">
        <f>'Printable Overview'!R4+"AM:!1#d"</f>
        <v>#VALUE!</v>
      </c>
      <c r="EP309" t="e">
        <f>'Printable Overview'!S4+"AM:!1#e"</f>
        <v>#VALUE!</v>
      </c>
      <c r="EQ309" t="e">
        <f>'Printable Overview'!T4+"AM:!1#f"</f>
        <v>#VALUE!</v>
      </c>
      <c r="ER309" t="e">
        <f>'Printable Overview'!A5+"AM:!1#g"</f>
        <v>#VALUE!</v>
      </c>
      <c r="ES309" t="e">
        <f>'Printable Overview'!B5+"AM:!1#h"</f>
        <v>#VALUE!</v>
      </c>
      <c r="ET309" t="e">
        <f>'Printable Overview'!C5+"AM:!1#i"</f>
        <v>#VALUE!</v>
      </c>
      <c r="EU309" t="e">
        <f>'Printable Overview'!D5+"AM:!1#j"</f>
        <v>#VALUE!</v>
      </c>
      <c r="EV309" t="e">
        <f>'Printable Overview'!E5+"AM:!1#k"</f>
        <v>#VALUE!</v>
      </c>
      <c r="EW309" t="e">
        <f>'Printable Overview'!F5+"AM:!1#l"</f>
        <v>#VALUE!</v>
      </c>
      <c r="EX309" t="e">
        <f>'Printable Overview'!G5+"AM:!1#m"</f>
        <v>#VALUE!</v>
      </c>
      <c r="EY309" t="e">
        <f>'Printable Overview'!H5+"AM:!1#n"</f>
        <v>#VALUE!</v>
      </c>
      <c r="EZ309" t="e">
        <f>'Printable Overview'!J5+"AM:!1#o"</f>
        <v>#VALUE!</v>
      </c>
      <c r="FA309" t="e">
        <f>'Printable Overview'!K5+"AM:!1#p"</f>
        <v>#VALUE!</v>
      </c>
      <c r="FB309" t="e">
        <f>'Printable Overview'!L5+"AM:!1#q"</f>
        <v>#VALUE!</v>
      </c>
      <c r="FC309" t="e">
        <f>'Printable Overview'!A6+"AM:!1#r"</f>
        <v>#VALUE!</v>
      </c>
      <c r="FD309" t="e">
        <f>'Printable Overview'!B6+"AM:!1#s"</f>
        <v>#VALUE!</v>
      </c>
      <c r="FE309" t="e">
        <f>'Printable Overview'!C6+"AM:!1#t"</f>
        <v>#VALUE!</v>
      </c>
      <c r="FF309" t="e">
        <f>'Printable Overview'!D6+"AM:!1#u"</f>
        <v>#VALUE!</v>
      </c>
      <c r="FG309" t="e">
        <f>'Printable Overview'!E6+"AM:!1#v"</f>
        <v>#VALUE!</v>
      </c>
      <c r="FH309" t="e">
        <f>'Printable Overview'!F6+"AM:!1#w"</f>
        <v>#VALUE!</v>
      </c>
      <c r="FI309" t="e">
        <f>'Printable Overview'!G6+"AM:!1#x"</f>
        <v>#VALUE!</v>
      </c>
      <c r="FJ309" t="e">
        <f>'Printable Overview'!H6+"AM:!1#y"</f>
        <v>#VALUE!</v>
      </c>
      <c r="FK309" t="e">
        <f>'Printable Overview'!J6+"AM:!1#z"</f>
        <v>#VALUE!</v>
      </c>
      <c r="FL309" t="e">
        <f>'Printable Overview'!K6+"AM:!1#{"</f>
        <v>#VALUE!</v>
      </c>
      <c r="FM309" t="e">
        <f>'Printable Overview'!L6+"AM:!1#|"</f>
        <v>#VALUE!</v>
      </c>
      <c r="FN309" t="e">
        <f>'Printable Overview'!J7+"AM:!1#}"</f>
        <v>#VALUE!</v>
      </c>
      <c r="FO309" t="e">
        <f>'Printable Overview'!K7+"AM:!1#~"</f>
        <v>#VALUE!</v>
      </c>
      <c r="FP309" t="e">
        <f>'Printable Overview'!L7+"AM:!1$#"</f>
        <v>#VALUE!</v>
      </c>
      <c r="FQ309" t="e">
        <f>'Printable Overview'!A8+"AM:!1$$"</f>
        <v>#VALUE!</v>
      </c>
      <c r="FR309" t="e">
        <f>'Printable Overview'!B8+"AM:!1$%"</f>
        <v>#VALUE!</v>
      </c>
      <c r="FS309" t="e">
        <f>'Printable Overview'!C8+"AM:!1$&amp;"</f>
        <v>#VALUE!</v>
      </c>
      <c r="FT309" t="e">
        <f>'Printable Overview'!D8+"AM:!1$'"</f>
        <v>#VALUE!</v>
      </c>
      <c r="FU309" t="e">
        <f>'Printable Overview'!E8+"AM:!1$("</f>
        <v>#VALUE!</v>
      </c>
      <c r="FV309" t="e">
        <f>'Printable Overview'!F8+"AM:!1$)"</f>
        <v>#VALUE!</v>
      </c>
      <c r="FW309" t="e">
        <f>'Printable Overview'!G8+"AM:!1$."</f>
        <v>#VALUE!</v>
      </c>
      <c r="FX309" t="e">
        <f>'Printable Overview'!H8+"AM:!1$/"</f>
        <v>#VALUE!</v>
      </c>
      <c r="FY309" t="e">
        <f>'Printable Overview'!J8+"AM:!1$0"</f>
        <v>#VALUE!</v>
      </c>
      <c r="FZ309" t="e">
        <f>'Printable Overview'!K8+"AM:!1$1"</f>
        <v>#VALUE!</v>
      </c>
      <c r="GA309" t="e">
        <f>'Printable Overview'!L8+"AM:!1$2"</f>
        <v>#VALUE!</v>
      </c>
      <c r="GB309" t="e">
        <f>'Printable Overview'!A9+"AM:!1$3"</f>
        <v>#VALUE!</v>
      </c>
      <c r="GC309" t="e">
        <f>'Printable Overview'!B9+"AM:!1$4"</f>
        <v>#VALUE!</v>
      </c>
      <c r="GD309" t="e">
        <f>'Printable Overview'!C9+"AM:!1$5"</f>
        <v>#VALUE!</v>
      </c>
      <c r="GE309" t="e">
        <f>'Printable Overview'!D9+"AM:!1$6"</f>
        <v>#VALUE!</v>
      </c>
      <c r="GF309" t="e">
        <f>'Printable Overview'!E9+"AM:!1$7"</f>
        <v>#VALUE!</v>
      </c>
      <c r="GG309" t="e">
        <f>'Printable Overview'!F9+"AM:!1$8"</f>
        <v>#VALUE!</v>
      </c>
      <c r="GH309" t="e">
        <f>'Printable Overview'!G9+"AM:!1$9"</f>
        <v>#VALUE!</v>
      </c>
      <c r="GI309" t="e">
        <f>'Printable Overview'!H9+"AM:!1$:"</f>
        <v>#VALUE!</v>
      </c>
      <c r="GJ309" t="e">
        <f>'Printable Overview'!J9+"AM:!1$;"</f>
        <v>#VALUE!</v>
      </c>
      <c r="GK309" t="e">
        <f>'Printable Overview'!K9+"AM:!1$&lt;"</f>
        <v>#VALUE!</v>
      </c>
      <c r="GL309" t="e">
        <f>'Printable Overview'!L9+"AM:!1$="</f>
        <v>#VALUE!</v>
      </c>
      <c r="GM309" t="e">
        <f>'Printable Overview'!A10+"AM:!1$&gt;"</f>
        <v>#VALUE!</v>
      </c>
      <c r="GN309" t="e">
        <f>'Printable Overview'!B10+"AM:!1$?"</f>
        <v>#VALUE!</v>
      </c>
      <c r="GO309" t="e">
        <f>'Printable Overview'!C10+"AM:!1$@"</f>
        <v>#VALUE!</v>
      </c>
      <c r="GP309" t="e">
        <f>'Printable Overview'!D10+"AM:!1$A"</f>
        <v>#VALUE!</v>
      </c>
      <c r="GQ309" t="e">
        <f>'Printable Overview'!E10+"AM:!1$B"</f>
        <v>#VALUE!</v>
      </c>
      <c r="GR309" t="e">
        <f>'Printable Overview'!F10+"AM:!1$C"</f>
        <v>#VALUE!</v>
      </c>
      <c r="GS309" t="e">
        <f>'Printable Overview'!G10+"AM:!1$D"</f>
        <v>#VALUE!</v>
      </c>
      <c r="GT309" t="e">
        <f>'Printable Overview'!H10+"AM:!1$E"</f>
        <v>#VALUE!</v>
      </c>
      <c r="GU309" t="e">
        <f>'Printable Overview'!J10+"AM:!1$F"</f>
        <v>#VALUE!</v>
      </c>
      <c r="GV309" t="e">
        <f>'Printable Overview'!K10+"AM:!1$G"</f>
        <v>#VALUE!</v>
      </c>
      <c r="GW309" t="e">
        <f>'Printable Overview'!L10+"AM:!1$H"</f>
        <v>#VALUE!</v>
      </c>
      <c r="GX309" t="e">
        <f>'Printable Overview'!A11+"AM:!1$I"</f>
        <v>#VALUE!</v>
      </c>
      <c r="GY309" t="e">
        <f>'Printable Overview'!B11+"AM:!1$J"</f>
        <v>#VALUE!</v>
      </c>
      <c r="GZ309" t="e">
        <f>'Printable Overview'!C11+"AM:!1$K"</f>
        <v>#VALUE!</v>
      </c>
      <c r="HA309" t="e">
        <f>'Printable Overview'!D11+"AM:!1$L"</f>
        <v>#VALUE!</v>
      </c>
      <c r="HB309" t="e">
        <f>'Printable Overview'!E11+"AM:!1$M"</f>
        <v>#VALUE!</v>
      </c>
      <c r="HC309" t="e">
        <f>'Printable Overview'!F11+"AM:!1$N"</f>
        <v>#VALUE!</v>
      </c>
      <c r="HD309" t="e">
        <f>'Printable Overview'!G11+"AM:!1$O"</f>
        <v>#VALUE!</v>
      </c>
      <c r="HE309" t="e">
        <f>'Printable Overview'!H11+"AM:!1$P"</f>
        <v>#VALUE!</v>
      </c>
      <c r="HF309" t="e">
        <f>'Printable Overview'!J11+"AM:!1$Q"</f>
        <v>#VALUE!</v>
      </c>
      <c r="HG309" t="e">
        <f>'Printable Overview'!K11+"AM:!1$R"</f>
        <v>#VALUE!</v>
      </c>
      <c r="HH309" t="e">
        <f>'Printable Overview'!L11+"AM:!1$S"</f>
        <v>#VALUE!</v>
      </c>
      <c r="HI309" t="e">
        <f>'Printable Overview'!A12+"AM:!1$T"</f>
        <v>#VALUE!</v>
      </c>
      <c r="HJ309" t="e">
        <f>'Printable Overview'!B12+"AM:!1$U"</f>
        <v>#VALUE!</v>
      </c>
      <c r="HK309" t="e">
        <f>'Printable Overview'!C12+"AM:!1$V"</f>
        <v>#VALUE!</v>
      </c>
      <c r="HL309" t="e">
        <f>'Printable Overview'!D12+"AM:!1$W"</f>
        <v>#VALUE!</v>
      </c>
      <c r="HM309" t="e">
        <f>'Printable Overview'!E12+"AM:!1$X"</f>
        <v>#VALUE!</v>
      </c>
      <c r="HN309" t="e">
        <f>'Printable Overview'!F12+"AM:!1$Y"</f>
        <v>#VALUE!</v>
      </c>
      <c r="HO309" t="e">
        <f>'Printable Overview'!G12+"AM:!1$Z"</f>
        <v>#VALUE!</v>
      </c>
      <c r="HP309" t="e">
        <f>'Printable Overview'!H12+"AM:!1$["</f>
        <v>#VALUE!</v>
      </c>
      <c r="HQ309" t="e">
        <f>'Printable Overview'!J12+"AM:!1$\"</f>
        <v>#VALUE!</v>
      </c>
      <c r="HR309" t="e">
        <f>'Printable Overview'!K12+"AM:!1$]"</f>
        <v>#VALUE!</v>
      </c>
      <c r="HS309" t="e">
        <f>'Printable Overview'!L12+"AM:!1$^"</f>
        <v>#VALUE!</v>
      </c>
      <c r="HT309" t="e">
        <f>'Printable Overview'!A13+"AM:!1$_"</f>
        <v>#VALUE!</v>
      </c>
      <c r="HU309" t="e">
        <f>'Printable Overview'!B13+"AM:!1$`"</f>
        <v>#VALUE!</v>
      </c>
      <c r="HV309" t="e">
        <f>'Printable Overview'!C13+"AM:!1$a"</f>
        <v>#VALUE!</v>
      </c>
      <c r="HW309" t="e">
        <f>'Printable Overview'!D13+"AM:!1$b"</f>
        <v>#VALUE!</v>
      </c>
      <c r="HX309" t="e">
        <f>'Printable Overview'!E13+"AM:!1$c"</f>
        <v>#VALUE!</v>
      </c>
      <c r="HY309" t="e">
        <f>'Printable Overview'!F13+"AM:!1$d"</f>
        <v>#VALUE!</v>
      </c>
      <c r="HZ309" t="e">
        <f>'Printable Overview'!G13+"AM:!1$e"</f>
        <v>#VALUE!</v>
      </c>
      <c r="IA309" t="e">
        <f>'Printable Overview'!H13+"AM:!1$f"</f>
        <v>#VALUE!</v>
      </c>
      <c r="IB309" t="e">
        <f>'Printable Overview'!J13+"AM:!1$g"</f>
        <v>#VALUE!</v>
      </c>
      <c r="IC309" t="e">
        <f>'Printable Overview'!K13+"AM:!1$h"</f>
        <v>#VALUE!</v>
      </c>
      <c r="ID309" t="e">
        <f>'Printable Overview'!L13+"AM:!1$i"</f>
        <v>#VALUE!</v>
      </c>
      <c r="IE309" t="e">
        <f>'Printable Overview'!A14+"AM:!1$j"</f>
        <v>#VALUE!</v>
      </c>
      <c r="IF309" t="e">
        <f>'Printable Overview'!B14+"AM:!1$k"</f>
        <v>#VALUE!</v>
      </c>
      <c r="IG309" t="e">
        <f>'Printable Overview'!C14+"AM:!1$l"</f>
        <v>#VALUE!</v>
      </c>
      <c r="IH309" t="e">
        <f>'Printable Overview'!D14+"AM:!1$m"</f>
        <v>#VALUE!</v>
      </c>
      <c r="II309" t="e">
        <f>'Printable Overview'!E14+"AM:!1$n"</f>
        <v>#VALUE!</v>
      </c>
      <c r="IJ309" t="e">
        <f>'Printable Overview'!F14+"AM:!1$o"</f>
        <v>#VALUE!</v>
      </c>
      <c r="IK309" t="e">
        <f>'Printable Overview'!G14+"AM:!1$p"</f>
        <v>#VALUE!</v>
      </c>
      <c r="IL309" t="e">
        <f>'Printable Overview'!H14+"AM:!1$q"</f>
        <v>#VALUE!</v>
      </c>
      <c r="IM309" t="e">
        <f>'Printable Overview'!J14+"AM:!1$r"</f>
        <v>#VALUE!</v>
      </c>
      <c r="IN309" t="e">
        <f>'Printable Overview'!K14+"AM:!1$s"</f>
        <v>#VALUE!</v>
      </c>
      <c r="IO309" t="e">
        <f>'Printable Overview'!L14+"AM:!1$t"</f>
        <v>#VALUE!</v>
      </c>
      <c r="IP309" t="e">
        <f>'Printable Overview'!A15+"AM:!1$u"</f>
        <v>#VALUE!</v>
      </c>
      <c r="IQ309" t="e">
        <f>'Printable Overview'!B15+"AM:!1$v"</f>
        <v>#VALUE!</v>
      </c>
      <c r="IR309" t="e">
        <f>'Printable Overview'!C15+"AM:!1$w"</f>
        <v>#VALUE!</v>
      </c>
      <c r="IS309" t="e">
        <f>'Printable Overview'!D15+"AM:!1$x"</f>
        <v>#VALUE!</v>
      </c>
      <c r="IT309" t="e">
        <f>'Printable Overview'!E15+"AM:!1$y"</f>
        <v>#VALUE!</v>
      </c>
      <c r="IU309" t="e">
        <f>'Printable Overview'!F15+"AM:!1$z"</f>
        <v>#VALUE!</v>
      </c>
      <c r="IV309" t="e">
        <f>'Printable Overview'!G15+"AM:!1${"</f>
        <v>#VALUE!</v>
      </c>
    </row>
    <row r="310" spans="6:256">
      <c r="F310" t="e">
        <f>'Printable Overview'!H15+"AM:!1$|"</f>
        <v>#VALUE!</v>
      </c>
      <c r="G310" t="e">
        <f>'Printable Overview'!J15+"AM:!1$}"</f>
        <v>#VALUE!</v>
      </c>
      <c r="H310" t="e">
        <f>'Printable Overview'!K15+"AM:!1$~"</f>
        <v>#VALUE!</v>
      </c>
      <c r="I310" t="e">
        <f>'Printable Overview'!L15+"AM:!1%#"</f>
        <v>#VALUE!</v>
      </c>
      <c r="J310" t="e">
        <f>'Printable Overview'!A16+"AM:!1%$"</f>
        <v>#VALUE!</v>
      </c>
      <c r="K310" t="e">
        <f>'Printable Overview'!B16+"AM:!1%%"</f>
        <v>#VALUE!</v>
      </c>
      <c r="L310" t="e">
        <f>'Printable Overview'!C16+"AM:!1%&amp;"</f>
        <v>#VALUE!</v>
      </c>
      <c r="M310" t="e">
        <f>'Printable Overview'!D16+"AM:!1%'"</f>
        <v>#VALUE!</v>
      </c>
      <c r="N310" t="e">
        <f>'Printable Overview'!E16+"AM:!1%("</f>
        <v>#VALUE!</v>
      </c>
      <c r="O310" t="e">
        <f>'Printable Overview'!F16+"AM:!1%)"</f>
        <v>#VALUE!</v>
      </c>
      <c r="P310" t="e">
        <f>'Printable Overview'!G16+"AM:!1%."</f>
        <v>#VALUE!</v>
      </c>
      <c r="Q310" t="e">
        <f>'Printable Overview'!H16+"AM:!1%/"</f>
        <v>#VALUE!</v>
      </c>
      <c r="R310" t="e">
        <f>'Printable Overview'!A17+"AM:!1%0"</f>
        <v>#VALUE!</v>
      </c>
      <c r="S310" t="e">
        <f>'Printable Overview'!C17+"AM:!1%1"</f>
        <v>#VALUE!</v>
      </c>
      <c r="T310" t="e">
        <f>'Printable Overview'!D17+"AM:!1%2"</f>
        <v>#VALUE!</v>
      </c>
      <c r="U310" t="e">
        <f>'Printable Overview'!E17+"AM:!1%3"</f>
        <v>#VALUE!</v>
      </c>
      <c r="V310" t="e">
        <f>'Printable Overview'!F17+"AM:!1%4"</f>
        <v>#VALUE!</v>
      </c>
      <c r="W310" t="e">
        <f>'Printable Overview'!G17+"AM:!1%5"</f>
        <v>#VALUE!</v>
      </c>
      <c r="X310" t="e">
        <f>'Printable Overview'!H17+"AM:!1%6"</f>
        <v>#VALUE!</v>
      </c>
      <c r="Y310" t="e">
        <f>'Printable Overview'!A18+"AM:!1%7"</f>
        <v>#VALUE!</v>
      </c>
      <c r="Z310" t="e">
        <f>'Printable Overview'!B18+"AM:!1%8"</f>
        <v>#VALUE!</v>
      </c>
      <c r="AA310" t="e">
        <f>'Printable Overview'!C18+"AM:!1%9"</f>
        <v>#VALUE!</v>
      </c>
      <c r="AB310" t="e">
        <f>'Printable Overview'!D18+"AM:!1%:"</f>
        <v>#VALUE!</v>
      </c>
      <c r="AC310" t="e">
        <f>'Printable Overview'!E18+"AM:!1%;"</f>
        <v>#VALUE!</v>
      </c>
      <c r="AD310" t="e">
        <f>'Printable Overview'!F18+"AM:!1%&lt;"</f>
        <v>#VALUE!</v>
      </c>
      <c r="AE310" t="e">
        <f>'Printable Overview'!G18+"AM:!1%="</f>
        <v>#VALUE!</v>
      </c>
      <c r="AF310" t="e">
        <f>'Printable Overview'!H18+"AM:!1%&gt;"</f>
        <v>#VALUE!</v>
      </c>
      <c r="AG310" t="e">
        <f>'Printable Overview'!A19+"AM:!1%?"</f>
        <v>#VALUE!</v>
      </c>
      <c r="AH310" t="e">
        <f>'Printable Overview'!B19+"AM:!1%@"</f>
        <v>#VALUE!</v>
      </c>
      <c r="AI310" t="e">
        <f>'Printable Overview'!C19+"AM:!1%A"</f>
        <v>#VALUE!</v>
      </c>
      <c r="AJ310" t="e">
        <f>'Printable Overview'!D19+"AM:!1%B"</f>
        <v>#VALUE!</v>
      </c>
      <c r="AK310" t="e">
        <f>'Printable Overview'!E19+"AM:!1%C"</f>
        <v>#VALUE!</v>
      </c>
      <c r="AL310" t="e">
        <f>'Printable Overview'!F19+"AM:!1%D"</f>
        <v>#VALUE!</v>
      </c>
      <c r="AM310" t="e">
        <f>'Printable Overview'!G19+"AM:!1%E"</f>
        <v>#VALUE!</v>
      </c>
      <c r="AN310" t="e">
        <f>'Printable Overview'!H19+"AM:!1%F"</f>
        <v>#VALUE!</v>
      </c>
      <c r="AO310" t="e">
        <f>'Printable Overview'!A20+"AM:!1%G"</f>
        <v>#VALUE!</v>
      </c>
      <c r="AP310" t="e">
        <f>'Printable Overview'!B20+"AM:!1%H"</f>
        <v>#VALUE!</v>
      </c>
      <c r="AQ310" t="e">
        <f>'Printable Overview'!C20+"AM:!1%I"</f>
        <v>#VALUE!</v>
      </c>
      <c r="AR310" t="e">
        <f>'Printable Overview'!D20+"AM:!1%J"</f>
        <v>#VALUE!</v>
      </c>
      <c r="AS310" t="e">
        <f>'Printable Overview'!E20+"AM:!1%K"</f>
        <v>#VALUE!</v>
      </c>
      <c r="AT310" t="e">
        <f>'Printable Overview'!F20+"AM:!1%L"</f>
        <v>#VALUE!</v>
      </c>
      <c r="AU310" t="e">
        <f>'Printable Overview'!G20+"AM:!1%M"</f>
        <v>#VALUE!</v>
      </c>
      <c r="AV310" t="e">
        <f>'Printable Overview'!H20+"AM:!1%N"</f>
        <v>#VALUE!</v>
      </c>
      <c r="AW310" t="e">
        <f>'Printable Overview'!A23+"AM:!1%O"</f>
        <v>#VALUE!</v>
      </c>
      <c r="AX310" t="e">
        <f>'Printable Overview'!B23+"AM:!1%P"</f>
        <v>#VALUE!</v>
      </c>
      <c r="AY310" t="e">
        <f>'Printable Overview'!C23+"AM:!1%Q"</f>
        <v>#VALUE!</v>
      </c>
      <c r="AZ310" t="e">
        <f>'Printable Overview'!D23+"AM:!1%R"</f>
        <v>#VALUE!</v>
      </c>
      <c r="BA310" t="e">
        <f>'Printable Overview'!E23+"AM:!1%S"</f>
        <v>#VALUE!</v>
      </c>
      <c r="BB310" t="e">
        <f>'Printable Overview'!F23+"AM:!1%T"</f>
        <v>#VALUE!</v>
      </c>
      <c r="BC310" t="e">
        <f>'Printable Overview'!G23+"AM:!1%U"</f>
        <v>#VALUE!</v>
      </c>
      <c r="BD310" t="e">
        <f>'Printable Overview'!H23+"AM:!1%V"</f>
        <v>#VALUE!</v>
      </c>
      <c r="BE310" t="e">
        <f>'Printable Overview'!A25+"AM:!1%W"</f>
        <v>#VALUE!</v>
      </c>
      <c r="BF310" t="e">
        <f>'Printable Overview'!B25+"AM:!1%X"</f>
        <v>#VALUE!</v>
      </c>
      <c r="BG310" t="e">
        <f>'Printable Overview'!C25+"AM:!1%Y"</f>
        <v>#VALUE!</v>
      </c>
      <c r="BH310" t="e">
        <f>'Printable Overview'!D25+"AM:!1%Z"</f>
        <v>#VALUE!</v>
      </c>
      <c r="BI310" t="e">
        <f>'Printable Overview'!E25+"AM:!1%["</f>
        <v>#VALUE!</v>
      </c>
      <c r="BJ310" t="e">
        <f>'Printable Overview'!F25+"AM:!1%\"</f>
        <v>#VALUE!</v>
      </c>
      <c r="BK310" t="e">
        <f>'Printable Overview'!G25+"AM:!1%]"</f>
        <v>#VALUE!</v>
      </c>
      <c r="BL310" t="e">
        <f>'Printable Overview'!H25+"AM:!1%^"</f>
        <v>#VALUE!</v>
      </c>
      <c r="BM310" t="e">
        <f>'Printable Overview'!A26+"AM:!1%_"</f>
        <v>#VALUE!</v>
      </c>
      <c r="BN310" t="e">
        <f>'Printable Overview'!B26+"AM:!1%`"</f>
        <v>#VALUE!</v>
      </c>
      <c r="BO310" t="e">
        <f>'Printable Overview'!C26+"AM:!1%a"</f>
        <v>#VALUE!</v>
      </c>
      <c r="BP310" t="e">
        <f>'Printable Overview'!D26+"AM:!1%b"</f>
        <v>#VALUE!</v>
      </c>
      <c r="BQ310" t="e">
        <f>'Printable Overview'!E26+"AM:!1%c"</f>
        <v>#VALUE!</v>
      </c>
      <c r="BR310" t="e">
        <f>'Printable Overview'!F26+"AM:!1%d"</f>
        <v>#VALUE!</v>
      </c>
      <c r="BS310" t="e">
        <f>'Printable Overview'!G26+"AM:!1%e"</f>
        <v>#VALUE!</v>
      </c>
      <c r="BT310" t="e">
        <f>'Printable Overview'!H26+"AM:!1%f"</f>
        <v>#VALUE!</v>
      </c>
      <c r="BU310" t="e">
        <f>'Printable Overview'!A27+"AM:!1%g"</f>
        <v>#VALUE!</v>
      </c>
      <c r="BV310" t="e">
        <f>'Printable Overview'!B27+"AM:!1%h"</f>
        <v>#VALUE!</v>
      </c>
      <c r="BW310" t="e">
        <f>'Printable Overview'!C27+"AM:!1%i"</f>
        <v>#VALUE!</v>
      </c>
      <c r="BX310" t="e">
        <f>'Printable Overview'!D27+"AM:!1%j"</f>
        <v>#VALUE!</v>
      </c>
      <c r="BY310" t="e">
        <f>'Printable Overview'!E27+"AM:!1%k"</f>
        <v>#VALUE!</v>
      </c>
      <c r="BZ310" t="e">
        <f>'Printable Overview'!F27+"AM:!1%l"</f>
        <v>#VALUE!</v>
      </c>
      <c r="CA310" t="e">
        <f>'Printable Overview'!G27+"AM:!1%m"</f>
        <v>#VALUE!</v>
      </c>
      <c r="CB310" t="e">
        <f>'Printable Overview'!H27+"AM:!1%n"</f>
        <v>#VALUE!</v>
      </c>
      <c r="CC310" t="e">
        <f>'Printable Overview'!A28+"AM:!1%o"</f>
        <v>#VALUE!</v>
      </c>
      <c r="CD310" t="e">
        <f>'Printable Overview'!B28+"AM:!1%p"</f>
        <v>#VALUE!</v>
      </c>
      <c r="CE310" t="e">
        <f>'Printable Overview'!C28+"AM:!1%q"</f>
        <v>#VALUE!</v>
      </c>
      <c r="CF310" t="e">
        <f>'Printable Overview'!D28+"AM:!1%r"</f>
        <v>#VALUE!</v>
      </c>
      <c r="CG310" t="e">
        <f>'Printable Overview'!E28+"AM:!1%s"</f>
        <v>#VALUE!</v>
      </c>
      <c r="CH310" t="e">
        <f>'Printable Overview'!F28+"AM:!1%t"</f>
        <v>#VALUE!</v>
      </c>
      <c r="CI310" t="e">
        <f>'Printable Overview'!G28+"AM:!1%u"</f>
        <v>#VALUE!</v>
      </c>
      <c r="CJ310" t="e">
        <f>'Printable Overview'!H28+"AM:!1%v"</f>
        <v>#VALUE!</v>
      </c>
      <c r="CK310" t="e">
        <f>'Printable Overview'!A29+"AM:!1%w"</f>
        <v>#VALUE!</v>
      </c>
      <c r="CL310" t="e">
        <f>'Printable Overview'!B29+"AM:!1%x"</f>
        <v>#VALUE!</v>
      </c>
      <c r="CM310" t="e">
        <f>'Printable Overview'!C29+"AM:!1%y"</f>
        <v>#VALUE!</v>
      </c>
      <c r="CN310" t="e">
        <f>'Printable Overview'!D29+"AM:!1%z"</f>
        <v>#VALUE!</v>
      </c>
      <c r="CO310" t="e">
        <f>'Printable Overview'!E29+"AM:!1%{"</f>
        <v>#VALUE!</v>
      </c>
      <c r="CP310" t="e">
        <f>'Printable Overview'!F29+"AM:!1%|"</f>
        <v>#VALUE!</v>
      </c>
      <c r="CQ310" t="e">
        <f>'Printable Overview'!G29+"AM:!1%}"</f>
        <v>#VALUE!</v>
      </c>
      <c r="CR310" t="e">
        <f>'Printable Overview'!H29+"AM:!1%~"</f>
        <v>#VALUE!</v>
      </c>
      <c r="CS310" t="e">
        <f>'Printable Overview'!A30+"AM:!1&amp;#"</f>
        <v>#VALUE!</v>
      </c>
      <c r="CT310" t="e">
        <f>'Printable Overview'!B30+"AM:!1&amp;$"</f>
        <v>#VALUE!</v>
      </c>
      <c r="CU310" t="e">
        <f>'Printable Overview'!C30+"AM:!1&amp;%"</f>
        <v>#VALUE!</v>
      </c>
      <c r="CV310" t="e">
        <f>'Printable Overview'!D30+"AM:!1&amp;&amp;"</f>
        <v>#VALUE!</v>
      </c>
      <c r="CW310" t="e">
        <f>'Printable Overview'!E30+"AM:!1&amp;'"</f>
        <v>#VALUE!</v>
      </c>
      <c r="CX310" t="e">
        <f>'Printable Overview'!F30+"AM:!1&amp;("</f>
        <v>#VALUE!</v>
      </c>
      <c r="CY310" t="e">
        <f>'Printable Overview'!G30+"AM:!1&amp;)"</f>
        <v>#VALUE!</v>
      </c>
      <c r="CZ310" t="e">
        <f>'Printable Overview'!H30+"AM:!1&amp;."</f>
        <v>#VALUE!</v>
      </c>
      <c r="DA310" t="e">
        <f>'Printable Overview'!A31+"AM:!1&amp;/"</f>
        <v>#VALUE!</v>
      </c>
      <c r="DB310" t="e">
        <f>'Printable Overview'!B31+"AM:!1&amp;0"</f>
        <v>#VALUE!</v>
      </c>
      <c r="DC310" t="e">
        <f>'Printable Overview'!C31+"AM:!1&amp;1"</f>
        <v>#VALUE!</v>
      </c>
      <c r="DD310" t="e">
        <f>'Printable Overview'!D31+"AM:!1&amp;2"</f>
        <v>#VALUE!</v>
      </c>
      <c r="DE310" t="e">
        <f>'Printable Overview'!E31+"AM:!1&amp;3"</f>
        <v>#VALUE!</v>
      </c>
      <c r="DF310" t="e">
        <f>'Printable Overview'!F31+"AM:!1&amp;4"</f>
        <v>#VALUE!</v>
      </c>
      <c r="DG310" t="e">
        <f>'Printable Overview'!G31+"AM:!1&amp;5"</f>
        <v>#VALUE!</v>
      </c>
      <c r="DH310" t="e">
        <f>'Printable Overview'!H31+"AM:!1&amp;6"</f>
        <v>#VALUE!</v>
      </c>
      <c r="DI310" t="e">
        <f>'Printable Overview'!A32+"AM:!1&amp;7"</f>
        <v>#VALUE!</v>
      </c>
      <c r="DJ310" t="e">
        <f>'Printable Overview'!B32+"AM:!1&amp;8"</f>
        <v>#VALUE!</v>
      </c>
      <c r="DK310" t="e">
        <f>'Printable Overview'!C32+"AM:!1&amp;9"</f>
        <v>#VALUE!</v>
      </c>
      <c r="DL310" t="e">
        <f>'Printable Overview'!D32+"AM:!1&amp;:"</f>
        <v>#VALUE!</v>
      </c>
      <c r="DM310" t="e">
        <f>'Printable Overview'!E32+"AM:!1&amp;;"</f>
        <v>#VALUE!</v>
      </c>
      <c r="DN310" t="e">
        <f>'Printable Overview'!F32+"AM:!1&amp;&lt;"</f>
        <v>#VALUE!</v>
      </c>
      <c r="DO310" t="e">
        <f>'Printable Overview'!G32+"AM:!1&amp;="</f>
        <v>#VALUE!</v>
      </c>
      <c r="DP310" t="e">
        <f>'Printable Overview'!H32+"AM:!1&amp;&gt;"</f>
        <v>#VALUE!</v>
      </c>
      <c r="DQ310" t="e">
        <f>'Printable Overview'!A34+"AM:!1&amp;?"</f>
        <v>#VALUE!</v>
      </c>
      <c r="DR310" t="e">
        <f>'Printable Overview'!B34+"AM:!1&amp;@"</f>
        <v>#VALUE!</v>
      </c>
      <c r="DS310" t="e">
        <f>'Printable Overview'!C34+"AM:!1&amp;A"</f>
        <v>#VALUE!</v>
      </c>
      <c r="DT310" t="e">
        <f>'Printable Overview'!D34+"AM:!1&amp;B"</f>
        <v>#VALUE!</v>
      </c>
      <c r="DU310" t="e">
        <f>'Printable Overview'!E34+"AM:!1&amp;C"</f>
        <v>#VALUE!</v>
      </c>
      <c r="DV310" t="e">
        <f>'Printable Overview'!F34+"AM:!1&amp;D"</f>
        <v>#VALUE!</v>
      </c>
      <c r="DW310" t="e">
        <f>'Printable Overview'!G34+"AM:!1&amp;E"</f>
        <v>#VALUE!</v>
      </c>
      <c r="DX310" t="e">
        <f>'Printable Overview'!H34+"AM:!1&amp;F"</f>
        <v>#VALUE!</v>
      </c>
      <c r="DY310" t="e">
        <f>'Printable Overview'!A35+"AM:!1&amp;G"</f>
        <v>#VALUE!</v>
      </c>
      <c r="DZ310" t="e">
        <f>'Printable Overview'!B35+"AM:!1&amp;H"</f>
        <v>#VALUE!</v>
      </c>
      <c r="EA310" t="e">
        <f>'Printable Overview'!C35+"AM:!1&amp;I"</f>
        <v>#VALUE!</v>
      </c>
      <c r="EB310" t="e">
        <f>'Printable Overview'!D35+"AM:!1&amp;J"</f>
        <v>#VALUE!</v>
      </c>
      <c r="EC310" t="e">
        <f>'Printable Overview'!E35+"AM:!1&amp;K"</f>
        <v>#VALUE!</v>
      </c>
      <c r="ED310" t="e">
        <f>'Printable Overview'!F35+"AM:!1&amp;L"</f>
        <v>#VALUE!</v>
      </c>
      <c r="EE310" t="e">
        <f>'Printable Overview'!G35+"AM:!1&amp;M"</f>
        <v>#VALUE!</v>
      </c>
      <c r="EF310" t="e">
        <f>'Printable Overview'!H35+"AM:!1&amp;N"</f>
        <v>#VALUE!</v>
      </c>
      <c r="EG310" t="e">
        <f>'Printable Overview'!A36+"AM:!1&amp;O"</f>
        <v>#VALUE!</v>
      </c>
      <c r="EH310" t="e">
        <f>'Printable Overview'!B36+"AM:!1&amp;P"</f>
        <v>#VALUE!</v>
      </c>
      <c r="EI310" t="e">
        <f>'Printable Overview'!C36+"AM:!1&amp;Q"</f>
        <v>#VALUE!</v>
      </c>
      <c r="EJ310" t="e">
        <f>'Printable Overview'!D36+"AM:!1&amp;R"</f>
        <v>#VALUE!</v>
      </c>
      <c r="EK310" t="e">
        <f>'Printable Overview'!E36+"AM:!1&amp;S"</f>
        <v>#VALUE!</v>
      </c>
      <c r="EL310" t="e">
        <f>'Printable Overview'!F36+"AM:!1&amp;T"</f>
        <v>#VALUE!</v>
      </c>
      <c r="EM310" t="e">
        <f>'Printable Overview'!G36+"AM:!1&amp;U"</f>
        <v>#VALUE!</v>
      </c>
      <c r="EN310" t="e">
        <f>'Printable Overview'!H36+"AM:!1&amp;V"</f>
        <v>#VALUE!</v>
      </c>
      <c r="EO310" t="e">
        <f>'Printable Overview'!A37+"AM:!1&amp;W"</f>
        <v>#VALUE!</v>
      </c>
      <c r="EP310" t="e">
        <f>'Printable Overview'!B37+"AM:!1&amp;X"</f>
        <v>#VALUE!</v>
      </c>
      <c r="EQ310" t="e">
        <f>'Printable Overview'!C37+"AM:!1&amp;Y"</f>
        <v>#VALUE!</v>
      </c>
      <c r="ER310" t="e">
        <f>'Printable Overview'!D37+"AM:!1&amp;Z"</f>
        <v>#VALUE!</v>
      </c>
      <c r="ES310" t="e">
        <f>'Printable Overview'!E37+"AM:!1&amp;["</f>
        <v>#VALUE!</v>
      </c>
      <c r="ET310" t="e">
        <f>'Printable Overview'!F37+"AM:!1&amp;\"</f>
        <v>#VALUE!</v>
      </c>
      <c r="EU310" t="e">
        <f>'Printable Overview'!G37+"AM:!1&amp;]"</f>
        <v>#VALUE!</v>
      </c>
      <c r="EV310" t="e">
        <f>'Printable Overview'!H37+"AM:!1&amp;^"</f>
        <v>#VALUE!</v>
      </c>
      <c r="EW310" t="e">
        <f>'Printable Overview'!A38+"AM:!1&amp;_"</f>
        <v>#VALUE!</v>
      </c>
      <c r="EX310" t="e">
        <f>'Printable Overview'!B38+"AM:!1&amp;`"</f>
        <v>#VALUE!</v>
      </c>
      <c r="EY310" t="e">
        <f>'Printable Overview'!C38+"AM:!1&amp;a"</f>
        <v>#VALUE!</v>
      </c>
      <c r="EZ310" t="e">
        <f>'Printable Overview'!D38+"AM:!1&amp;b"</f>
        <v>#VALUE!</v>
      </c>
      <c r="FA310" t="e">
        <f>'Printable Overview'!E38+"AM:!1&amp;c"</f>
        <v>#VALUE!</v>
      </c>
      <c r="FB310" t="e">
        <f>'Printable Overview'!F38+"AM:!1&amp;d"</f>
        <v>#VALUE!</v>
      </c>
      <c r="FC310" t="e">
        <f>'Printable Overview'!G38+"AM:!1&amp;e"</f>
        <v>#VALUE!</v>
      </c>
      <c r="FD310" t="e">
        <f>'Printable Overview'!H38+"AM:!1&amp;f"</f>
        <v>#VALUE!</v>
      </c>
      <c r="FE310" t="e">
        <f>'Printable Overview'!A39+"AM:!1&amp;g"</f>
        <v>#VALUE!</v>
      </c>
      <c r="FF310" t="e">
        <f>'Printable Overview'!B39+"AM:!1&amp;h"</f>
        <v>#VALUE!</v>
      </c>
      <c r="FG310" t="e">
        <f>'Printable Overview'!C39+"AM:!1&amp;i"</f>
        <v>#VALUE!</v>
      </c>
      <c r="FH310" t="e">
        <f>'Printable Overview'!D39+"AM:!1&amp;j"</f>
        <v>#VALUE!</v>
      </c>
      <c r="FI310" t="e">
        <f>'Printable Overview'!E39+"AM:!1&amp;k"</f>
        <v>#VALUE!</v>
      </c>
      <c r="FJ310" t="e">
        <f>'Printable Overview'!F39+"AM:!1&amp;l"</f>
        <v>#VALUE!</v>
      </c>
      <c r="FK310" t="e">
        <f>'Printable Overview'!G39+"AM:!1&amp;m"</f>
        <v>#VALUE!</v>
      </c>
      <c r="FL310" t="e">
        <f>'Printable Overview'!H39+"AM:!1&amp;n"</f>
        <v>#VALUE!</v>
      </c>
      <c r="FM310" t="e">
        <f>'Printable Overview'!A40+"AM:!1&amp;o"</f>
        <v>#VALUE!</v>
      </c>
      <c r="FN310" t="e">
        <f>'Printable Overview'!B40+"AM:!1&amp;p"</f>
        <v>#VALUE!</v>
      </c>
      <c r="FO310" t="e">
        <f>'Printable Overview'!C40+"AM:!1&amp;q"</f>
        <v>#VALUE!</v>
      </c>
      <c r="FP310" t="e">
        <f>'Printable Overview'!D40+"AM:!1&amp;r"</f>
        <v>#VALUE!</v>
      </c>
      <c r="FQ310" t="e">
        <f>'Printable Overview'!E40+"AM:!1&amp;s"</f>
        <v>#VALUE!</v>
      </c>
      <c r="FR310" t="e">
        <f>'Printable Overview'!F40+"AM:!1&amp;t"</f>
        <v>#VALUE!</v>
      </c>
      <c r="FS310" t="e">
        <f>'Printable Overview'!G40+"AM:!1&amp;u"</f>
        <v>#VALUE!</v>
      </c>
      <c r="FT310" t="e">
        <f>'Printable Overview'!H40+"AM:!1&amp;v"</f>
        <v>#VALUE!</v>
      </c>
      <c r="FU310" t="e">
        <f>'Printable Overview'!A41+"AM:!1&amp;w"</f>
        <v>#VALUE!</v>
      </c>
      <c r="FV310" t="e">
        <f>'Printable Overview'!B41+"AM:!1&amp;x"</f>
        <v>#VALUE!</v>
      </c>
      <c r="FW310" t="e">
        <f>'Printable Overview'!C41+"AM:!1&amp;y"</f>
        <v>#VALUE!</v>
      </c>
      <c r="FX310" t="e">
        <f>'Printable Overview'!D41+"AM:!1&amp;z"</f>
        <v>#VALUE!</v>
      </c>
      <c r="FY310" t="e">
        <f>'Printable Overview'!E41+"AM:!1&amp;{"</f>
        <v>#VALUE!</v>
      </c>
      <c r="FZ310" t="e">
        <f>'Printable Overview'!F41+"AM:!1&amp;|"</f>
        <v>#VALUE!</v>
      </c>
      <c r="GA310" t="e">
        <f>'Printable Overview'!G41+"AM:!1&amp;}"</f>
        <v>#VALUE!</v>
      </c>
      <c r="GB310" t="e">
        <f>'Printable Overview'!H41+"AM:!1&amp;~"</f>
        <v>#VALUE!</v>
      </c>
      <c r="GC310" t="e">
        <f>'Printable Overview'!A43+"AM:!1'#"</f>
        <v>#VALUE!</v>
      </c>
      <c r="GD310" t="e">
        <f>'Printable Overview'!B43+"AM:!1'$"</f>
        <v>#VALUE!</v>
      </c>
      <c r="GE310" t="e">
        <f>'Printable Overview'!C43+"AM:!1'%"</f>
        <v>#VALUE!</v>
      </c>
      <c r="GF310" t="e">
        <f>'Printable Overview'!D43+"AM:!1'&amp;"</f>
        <v>#VALUE!</v>
      </c>
      <c r="GG310" t="e">
        <f>'Printable Overview'!E43+"AM:!1''"</f>
        <v>#VALUE!</v>
      </c>
      <c r="GH310" t="e">
        <f>'Printable Overview'!F43+"AM:!1'("</f>
        <v>#VALUE!</v>
      </c>
      <c r="GI310" t="e">
        <f>'Printable Overview'!G43+"AM:!1')"</f>
        <v>#VALUE!</v>
      </c>
      <c r="GJ310" t="e">
        <f>'Printable Overview'!H43+"AM:!1'."</f>
        <v>#VALUE!</v>
      </c>
      <c r="GK310" t="e">
        <f>'Printable Overview'!A44+"AM:!1'/"</f>
        <v>#VALUE!</v>
      </c>
      <c r="GL310" t="e">
        <f>'Printable Overview'!B44+"AM:!1'0"</f>
        <v>#VALUE!</v>
      </c>
      <c r="GM310" t="e">
        <f>'Printable Overview'!C44+"AM:!1'1"</f>
        <v>#VALUE!</v>
      </c>
      <c r="GN310" t="e">
        <f>'Printable Overview'!D44+"AM:!1'2"</f>
        <v>#VALUE!</v>
      </c>
      <c r="GO310" t="e">
        <f>'Printable Overview'!E44+"AM:!1'3"</f>
        <v>#VALUE!</v>
      </c>
      <c r="GP310" t="e">
        <f>'Printable Overview'!F44+"AM:!1'4"</f>
        <v>#VALUE!</v>
      </c>
      <c r="GQ310" t="e">
        <f>'Printable Overview'!G44+"AM:!1'5"</f>
        <v>#VALUE!</v>
      </c>
      <c r="GR310" t="e">
        <f>'Printable Overview'!H44+"AM:!1'6"</f>
        <v>#VALUE!</v>
      </c>
      <c r="GS310" t="e">
        <f>'Printable Overview'!A45+"AM:!1'7"</f>
        <v>#VALUE!</v>
      </c>
      <c r="GT310" t="e">
        <f>'Printable Overview'!B45+"AM:!1'8"</f>
        <v>#VALUE!</v>
      </c>
      <c r="GU310" t="e">
        <f>'Printable Overview'!C45+"AM:!1'9"</f>
        <v>#VALUE!</v>
      </c>
      <c r="GV310" t="e">
        <f>'Printable Overview'!D45+"AM:!1':"</f>
        <v>#VALUE!</v>
      </c>
      <c r="GW310" t="e">
        <f>'Printable Overview'!E45+"AM:!1';"</f>
        <v>#VALUE!</v>
      </c>
      <c r="GX310" t="e">
        <f>'Printable Overview'!F45+"AM:!1'&lt;"</f>
        <v>#VALUE!</v>
      </c>
      <c r="GY310" t="e">
        <f>'Printable Overview'!G45+"AM:!1'="</f>
        <v>#VALUE!</v>
      </c>
      <c r="GZ310" t="e">
        <f>'Printable Overview'!H45+"AM:!1'&gt;"</f>
        <v>#VALUE!</v>
      </c>
      <c r="HA310" t="e">
        <f>'Printable Overview'!A46+"AM:!1'?"</f>
        <v>#VALUE!</v>
      </c>
      <c r="HB310" t="e">
        <f>'Printable Overview'!B46+"AM:!1'@"</f>
        <v>#VALUE!</v>
      </c>
      <c r="HC310" t="e">
        <f>'Printable Overview'!C46+"AM:!1'A"</f>
        <v>#VALUE!</v>
      </c>
      <c r="HD310" t="e">
        <f>'Printable Overview'!D46+"AM:!1'B"</f>
        <v>#VALUE!</v>
      </c>
      <c r="HE310" t="e">
        <f>'Printable Overview'!E46+"AM:!1'C"</f>
        <v>#VALUE!</v>
      </c>
      <c r="HF310" t="e">
        <f>'Printable Overview'!F46+"AM:!1'D"</f>
        <v>#VALUE!</v>
      </c>
      <c r="HG310" t="e">
        <f>'Printable Overview'!G46+"AM:!1'E"</f>
        <v>#VALUE!</v>
      </c>
      <c r="HH310" t="e">
        <f>'Printable Overview'!H46+"AM:!1'F"</f>
        <v>#VALUE!</v>
      </c>
      <c r="HI310" t="e">
        <f>'Printable Overview'!A47+"AM:!1'G"</f>
        <v>#VALUE!</v>
      </c>
      <c r="HJ310" t="e">
        <f>'Printable Overview'!B47+"AM:!1'H"</f>
        <v>#VALUE!</v>
      </c>
      <c r="HK310" t="e">
        <f>'Printable Overview'!C47+"AM:!1'I"</f>
        <v>#VALUE!</v>
      </c>
      <c r="HL310" t="e">
        <f>'Printable Overview'!D47+"AM:!1'J"</f>
        <v>#VALUE!</v>
      </c>
      <c r="HM310" t="e">
        <f>'Printable Overview'!E47+"AM:!1'K"</f>
        <v>#VALUE!</v>
      </c>
      <c r="HN310" t="e">
        <f>'Printable Overview'!F47+"AM:!1'L"</f>
        <v>#VALUE!</v>
      </c>
      <c r="HO310" t="e">
        <f>'Printable Overview'!G47+"AM:!1'M"</f>
        <v>#VALUE!</v>
      </c>
      <c r="HP310" t="e">
        <f>'Printable Overview'!H47+"AM:!1'N"</f>
        <v>#VALUE!</v>
      </c>
      <c r="HQ310" t="e">
        <f>'Printable Overview'!A48+"AM:!1'O"</f>
        <v>#VALUE!</v>
      </c>
      <c r="HR310" t="e">
        <f>'Printable Overview'!B48+"AM:!1'P"</f>
        <v>#VALUE!</v>
      </c>
      <c r="HS310" t="e">
        <f>'Printable Overview'!C48+"AM:!1'Q"</f>
        <v>#VALUE!</v>
      </c>
      <c r="HT310" t="e">
        <f>'Printable Overview'!D48+"AM:!1'R"</f>
        <v>#VALUE!</v>
      </c>
      <c r="HU310" t="e">
        <f>'Printable Overview'!E48+"AM:!1'S"</f>
        <v>#VALUE!</v>
      </c>
      <c r="HV310" t="e">
        <f>'Printable Overview'!F48+"AM:!1'T"</f>
        <v>#VALUE!</v>
      </c>
      <c r="HW310" t="e">
        <f>'Printable Overview'!G48+"AM:!1'U"</f>
        <v>#VALUE!</v>
      </c>
      <c r="HX310" t="e">
        <f>'Printable Overview'!H48+"AM:!1'V"</f>
        <v>#VALUE!</v>
      </c>
      <c r="HY310" t="e">
        <f>'Printable Overview'!A49+"AM:!1'W"</f>
        <v>#VALUE!</v>
      </c>
      <c r="HZ310" t="e">
        <f>'Printable Overview'!B49+"AM:!1'X"</f>
        <v>#VALUE!</v>
      </c>
      <c r="IA310" t="e">
        <f>'Printable Overview'!C49+"AM:!1'Y"</f>
        <v>#VALUE!</v>
      </c>
      <c r="IB310" t="e">
        <f>'Printable Overview'!D49+"AM:!1'Z"</f>
        <v>#VALUE!</v>
      </c>
      <c r="IC310" t="e">
        <f>'Printable Overview'!E49+"AM:!1'["</f>
        <v>#VALUE!</v>
      </c>
      <c r="ID310" t="e">
        <f>'Printable Overview'!F49+"AM:!1'\"</f>
        <v>#VALUE!</v>
      </c>
      <c r="IE310" t="e">
        <f>'Printable Overview'!G49+"AM:!1']"</f>
        <v>#VALUE!</v>
      </c>
      <c r="IF310" t="e">
        <f>'Printable Overview'!H49+"AM:!1'^"</f>
        <v>#VALUE!</v>
      </c>
      <c r="IG310" t="e">
        <f>'Printable Overview'!A50+"AM:!1'_"</f>
        <v>#VALUE!</v>
      </c>
      <c r="IH310" t="e">
        <f>'Printable Overview'!B50+"AM:!1'`"</f>
        <v>#VALUE!</v>
      </c>
      <c r="II310" t="e">
        <f>'Printable Overview'!C50+"AM:!1'a"</f>
        <v>#VALUE!</v>
      </c>
      <c r="IJ310" t="e">
        <f>'Printable Overview'!D50+"AM:!1'b"</f>
        <v>#VALUE!</v>
      </c>
      <c r="IK310" t="e">
        <f>'Printable Overview'!E50+"AM:!1'c"</f>
        <v>#VALUE!</v>
      </c>
      <c r="IL310" t="e">
        <f>'Printable Overview'!F50+"AM:!1'd"</f>
        <v>#VALUE!</v>
      </c>
      <c r="IM310" t="e">
        <f>'Printable Overview'!G50+"AM:!1'e"</f>
        <v>#VALUE!</v>
      </c>
      <c r="IN310" t="e">
        <f>'Printable Overview'!H50+"AM:!1'f"</f>
        <v>#VALUE!</v>
      </c>
      <c r="IO310" t="e">
        <f>'Printable Overview'!A56+"AM:!1'g"</f>
        <v>#VALUE!</v>
      </c>
      <c r="IP310" t="e">
        <f>'Printable Overview'!B56+"AM:!1'h"</f>
        <v>#VALUE!</v>
      </c>
      <c r="IQ310" t="e">
        <f>'Printable Overview'!C56+"AM:!1'i"</f>
        <v>#VALUE!</v>
      </c>
      <c r="IR310" t="e">
        <f>'Printable Overview'!D56+"AM:!1'j"</f>
        <v>#VALUE!</v>
      </c>
      <c r="IS310" t="e">
        <f>'Printable Overview'!E56+"AM:!1'k"</f>
        <v>#VALUE!</v>
      </c>
      <c r="IT310" t="e">
        <f>'Printable Overview'!F56+"AM:!1'l"</f>
        <v>#VALUE!</v>
      </c>
      <c r="IU310" t="e">
        <f>'Printable Overview'!G56+"AM:!1'm"</f>
        <v>#VALUE!</v>
      </c>
      <c r="IV310" t="e">
        <f>'Printable Overview'!H56+"AM:!1'n"</f>
        <v>#VALUE!</v>
      </c>
    </row>
    <row r="311" spans="6:256">
      <c r="F311" t="e">
        <f>'Printable Overview'!A58+"AM:!1'o"</f>
        <v>#VALUE!</v>
      </c>
      <c r="G311" t="e">
        <f>'Printable Overview'!B58+"AM:!1'p"</f>
        <v>#VALUE!</v>
      </c>
      <c r="H311" t="e">
        <f>'Printable Overview'!C58+"AM:!1'q"</f>
        <v>#VALUE!</v>
      </c>
      <c r="I311" t="e">
        <f>'Printable Overview'!D58+"AM:!1'r"</f>
        <v>#VALUE!</v>
      </c>
      <c r="J311" t="e">
        <f>'Printable Overview'!E58+"AM:!1's"</f>
        <v>#VALUE!</v>
      </c>
      <c r="K311" t="e">
        <f>'Printable Overview'!F58+"AM:!1't"</f>
        <v>#VALUE!</v>
      </c>
      <c r="L311" t="e">
        <f>'Printable Overview'!G58+"AM:!1'u"</f>
        <v>#VALUE!</v>
      </c>
      <c r="M311" t="e">
        <f>'Printable Overview'!H58+"AM:!1'v"</f>
        <v>#VALUE!</v>
      </c>
      <c r="N311" t="e">
        <f>'Printable Overview'!A59+"AM:!1'w"</f>
        <v>#VALUE!</v>
      </c>
      <c r="O311" t="e">
        <f>'Printable Overview'!B59+"AM:!1'x"</f>
        <v>#VALUE!</v>
      </c>
      <c r="P311" t="e">
        <f>'Printable Overview'!C59+"AM:!1'y"</f>
        <v>#VALUE!</v>
      </c>
      <c r="Q311" t="e">
        <f>'Printable Overview'!D59+"AM:!1'z"</f>
        <v>#VALUE!</v>
      </c>
      <c r="R311" t="e">
        <f>'Printable Overview'!E59+"AM:!1'{"</f>
        <v>#VALUE!</v>
      </c>
      <c r="S311" t="e">
        <f>'Printable Overview'!F59+"AM:!1'|"</f>
        <v>#VALUE!</v>
      </c>
      <c r="T311" t="e">
        <f>'Printable Overview'!G59+"AM:!1'}"</f>
        <v>#VALUE!</v>
      </c>
      <c r="U311" t="e">
        <f>'Printable Overview'!H59+"AM:!1'~"</f>
        <v>#VALUE!</v>
      </c>
      <c r="V311" t="e">
        <f>'Printable Overview'!A60+"AM:!1(#"</f>
        <v>#VALUE!</v>
      </c>
      <c r="W311" t="e">
        <f>'Printable Overview'!B60+"AM:!1($"</f>
        <v>#VALUE!</v>
      </c>
      <c r="X311" t="e">
        <f>'Printable Overview'!C60+"AM:!1(%"</f>
        <v>#VALUE!</v>
      </c>
      <c r="Y311" t="e">
        <f>'Printable Overview'!D60+"AM:!1(&amp;"</f>
        <v>#VALUE!</v>
      </c>
      <c r="Z311" t="e">
        <f>'Printable Overview'!E60+"AM:!1('"</f>
        <v>#VALUE!</v>
      </c>
      <c r="AA311" t="e">
        <f>'Printable Overview'!F60+"AM:!1(("</f>
        <v>#VALUE!</v>
      </c>
      <c r="AB311" t="e">
        <f>'Printable Overview'!G60+"AM:!1()"</f>
        <v>#VALUE!</v>
      </c>
      <c r="AC311" t="e">
        <f>'Printable Overview'!H60+"AM:!1(."</f>
        <v>#VALUE!</v>
      </c>
      <c r="AD311" t="e">
        <f>'Printable Overview'!A61+"AM:!1(/"</f>
        <v>#VALUE!</v>
      </c>
      <c r="AE311" t="e">
        <f>'Printable Overview'!B61+"AM:!1(0"</f>
        <v>#VALUE!</v>
      </c>
      <c r="AF311" t="e">
        <f>'Printable Overview'!C61+"AM:!1(1"</f>
        <v>#VALUE!</v>
      </c>
      <c r="AG311" t="e">
        <f>'Printable Overview'!D61+"AM:!1(2"</f>
        <v>#VALUE!</v>
      </c>
      <c r="AH311" t="e">
        <f>'Printable Overview'!E61+"AM:!1(3"</f>
        <v>#VALUE!</v>
      </c>
      <c r="AI311" t="e">
        <f>'Printable Overview'!F61+"AM:!1(4"</f>
        <v>#VALUE!</v>
      </c>
      <c r="AJ311" t="e">
        <f>'Printable Overview'!G61+"AM:!1(5"</f>
        <v>#VALUE!</v>
      </c>
      <c r="AK311" t="e">
        <f>'Printable Overview'!H61+"AM:!1(6"</f>
        <v>#VALUE!</v>
      </c>
      <c r="AL311" t="e">
        <f>'Printable Overview'!A62+"AM:!1(7"</f>
        <v>#VALUE!</v>
      </c>
      <c r="AM311" t="e">
        <f>'Printable Overview'!B62+"AM:!1(8"</f>
        <v>#VALUE!</v>
      </c>
      <c r="AN311" t="e">
        <f>'Printable Overview'!C62+"AM:!1(9"</f>
        <v>#VALUE!</v>
      </c>
      <c r="AO311" t="e">
        <f>'Printable Overview'!D62+"AM:!1(:"</f>
        <v>#VALUE!</v>
      </c>
      <c r="AP311" t="e">
        <f>'Printable Overview'!E62+"AM:!1(;"</f>
        <v>#VALUE!</v>
      </c>
      <c r="AQ311" t="e">
        <f>'Printable Overview'!F62+"AM:!1(&lt;"</f>
        <v>#VALUE!</v>
      </c>
      <c r="AR311" t="e">
        <f>'Printable Overview'!G62+"AM:!1(="</f>
        <v>#VALUE!</v>
      </c>
      <c r="AS311" t="e">
        <f>'Printable Overview'!H62+"AM:!1(&gt;"</f>
        <v>#VALUE!</v>
      </c>
      <c r="AT311" t="e">
        <f>'Printable Overview'!A63+"AM:!1(?"</f>
        <v>#VALUE!</v>
      </c>
      <c r="AU311" t="e">
        <f>'Printable Overview'!B63+"AM:!1(@"</f>
        <v>#VALUE!</v>
      </c>
      <c r="AV311" t="e">
        <f>'Printable Overview'!C63+"AM:!1(A"</f>
        <v>#VALUE!</v>
      </c>
      <c r="AW311" t="e">
        <f>'Printable Overview'!D63+"AM:!1(B"</f>
        <v>#VALUE!</v>
      </c>
      <c r="AX311" t="e">
        <f>'Printable Overview'!E63+"AM:!1(C"</f>
        <v>#VALUE!</v>
      </c>
      <c r="AY311" t="e">
        <f>'Printable Overview'!F63+"AM:!1(D"</f>
        <v>#VALUE!</v>
      </c>
      <c r="AZ311" t="e">
        <f>'Printable Overview'!G63+"AM:!1(E"</f>
        <v>#VALUE!</v>
      </c>
      <c r="BA311" t="e">
        <f>'Printable Overview'!H63+"AM:!1(F"</f>
        <v>#VALUE!</v>
      </c>
      <c r="BB311" t="e">
        <f>'Printable Overview'!A64+"AM:!1(G"</f>
        <v>#VALUE!</v>
      </c>
      <c r="BC311" t="e">
        <f>'Printable Overview'!B64+"AM:!1(H"</f>
        <v>#VALUE!</v>
      </c>
      <c r="BD311" t="e">
        <f>'Printable Overview'!C64+"AM:!1(I"</f>
        <v>#VALUE!</v>
      </c>
      <c r="BE311" t="e">
        <f>'Printable Overview'!D64+"AM:!1(J"</f>
        <v>#VALUE!</v>
      </c>
      <c r="BF311" t="e">
        <f>'Printable Overview'!E64+"AM:!1(K"</f>
        <v>#VALUE!</v>
      </c>
      <c r="BG311" t="e">
        <f>'Printable Overview'!F64+"AM:!1(L"</f>
        <v>#VALUE!</v>
      </c>
      <c r="BH311" t="e">
        <f>'Printable Overview'!G64+"AM:!1(M"</f>
        <v>#VALUE!</v>
      </c>
      <c r="BI311" t="e">
        <f>'Printable Overview'!H64+"AM:!1(N"</f>
        <v>#VALUE!</v>
      </c>
      <c r="BJ311" t="e">
        <f>'Printable Overview'!A65+"AM:!1(O"</f>
        <v>#VALUE!</v>
      </c>
      <c r="BK311" t="e">
        <f>'Printable Overview'!B65+"AM:!1(P"</f>
        <v>#VALUE!</v>
      </c>
      <c r="BL311" t="e">
        <f>'Printable Overview'!C65+"AM:!1(Q"</f>
        <v>#VALUE!</v>
      </c>
      <c r="BM311" t="e">
        <f>'Printable Overview'!D65+"AM:!1(R"</f>
        <v>#VALUE!</v>
      </c>
      <c r="BN311" t="e">
        <f>'Printable Overview'!E65+"AM:!1(S"</f>
        <v>#VALUE!</v>
      </c>
      <c r="BO311" t="e">
        <f>'Printable Overview'!F65+"AM:!1(T"</f>
        <v>#VALUE!</v>
      </c>
      <c r="BP311" t="e">
        <f>'Printable Overview'!G65+"AM:!1(U"</f>
        <v>#VALUE!</v>
      </c>
      <c r="BQ311" t="e">
        <f>'Printable Overview'!H65+"AM:!1(V"</f>
        <v>#VALUE!</v>
      </c>
      <c r="BR311" t="e">
        <f>'Printable Overview'!A66+"AM:!1(W"</f>
        <v>#VALUE!</v>
      </c>
      <c r="BS311" t="e">
        <f>'Printable Overview'!B66+"AM:!1(X"</f>
        <v>#VALUE!</v>
      </c>
      <c r="BT311" t="e">
        <f>'Printable Overview'!C66+"AM:!1(Y"</f>
        <v>#VALUE!</v>
      </c>
      <c r="BU311" t="e">
        <f>'Printable Overview'!D66+"AM:!1(Z"</f>
        <v>#VALUE!</v>
      </c>
      <c r="BV311" t="e">
        <f>'Printable Overview'!E66+"AM:!1(["</f>
        <v>#VALUE!</v>
      </c>
      <c r="BW311" t="e">
        <f>'Printable Overview'!F66+"AM:!1(\"</f>
        <v>#VALUE!</v>
      </c>
      <c r="BX311" t="e">
        <f>'Printable Overview'!G66+"AM:!1(]"</f>
        <v>#VALUE!</v>
      </c>
      <c r="BY311" t="e">
        <f>'Printable Overview'!H66+"AM:!1(^"</f>
        <v>#VALUE!</v>
      </c>
      <c r="BZ311" t="e">
        <f>'Printable Overview'!A67+"AM:!1(_"</f>
        <v>#VALUE!</v>
      </c>
      <c r="CA311" t="e">
        <f>'Printable Overview'!B67+"AM:!1(`"</f>
        <v>#VALUE!</v>
      </c>
      <c r="CB311" t="e">
        <f>'Printable Overview'!C67+"AM:!1(a"</f>
        <v>#VALUE!</v>
      </c>
      <c r="CC311" t="e">
        <f>'Printable Overview'!D67+"AM:!1(b"</f>
        <v>#VALUE!</v>
      </c>
      <c r="CD311" t="e">
        <f>'Printable Overview'!E67+"AM:!1(c"</f>
        <v>#VALUE!</v>
      </c>
      <c r="CE311" t="e">
        <f>'Printable Overview'!F67+"AM:!1(d"</f>
        <v>#VALUE!</v>
      </c>
      <c r="CF311" t="e">
        <f>'Printable Overview'!G67+"AM:!1(e"</f>
        <v>#VALUE!</v>
      </c>
      <c r="CG311" t="e">
        <f>'Printable Overview'!H67+"AM:!1(f"</f>
        <v>#VALUE!</v>
      </c>
      <c r="CH311" t="e">
        <f>'Printable Overview'!A68+"AM:!1(g"</f>
        <v>#VALUE!</v>
      </c>
      <c r="CI311" t="e">
        <f>'Printable Overview'!B68+"AM:!1(h"</f>
        <v>#VALUE!</v>
      </c>
      <c r="CJ311" t="e">
        <f>'Printable Overview'!C68+"AM:!1(i"</f>
        <v>#VALUE!</v>
      </c>
      <c r="CK311" t="e">
        <f>'Printable Overview'!D68+"AM:!1(j"</f>
        <v>#VALUE!</v>
      </c>
      <c r="CL311" t="e">
        <f>'Printable Overview'!E68+"AM:!1(k"</f>
        <v>#VALUE!</v>
      </c>
      <c r="CM311" t="e">
        <f>'Printable Overview'!F68+"AM:!1(l"</f>
        <v>#VALUE!</v>
      </c>
      <c r="CN311" t="e">
        <f>'Printable Overview'!G68+"AM:!1(m"</f>
        <v>#VALUE!</v>
      </c>
      <c r="CO311" t="e">
        <f>'Printable Overview'!H68+"AM:!1(n"</f>
        <v>#VALUE!</v>
      </c>
      <c r="CP311" t="e">
        <f>'Printable Overview'!A69+"AM:!1(o"</f>
        <v>#VALUE!</v>
      </c>
      <c r="CQ311" t="e">
        <f>'Printable Overview'!B69+"AM:!1(p"</f>
        <v>#VALUE!</v>
      </c>
      <c r="CR311" t="e">
        <f>'Printable Overview'!C69+"AM:!1(q"</f>
        <v>#VALUE!</v>
      </c>
      <c r="CS311" t="e">
        <f>'Printable Overview'!D69+"AM:!1(r"</f>
        <v>#VALUE!</v>
      </c>
      <c r="CT311" t="e">
        <f>'Printable Overview'!E69+"AM:!1(s"</f>
        <v>#VALUE!</v>
      </c>
      <c r="CU311" t="e">
        <f>'Printable Overview'!F69+"AM:!1(t"</f>
        <v>#VALUE!</v>
      </c>
      <c r="CV311" t="e">
        <f>'Printable Overview'!G69+"AM:!1(u"</f>
        <v>#VALUE!</v>
      </c>
      <c r="CW311" t="e">
        <f>'Printable Overview'!H69+"AM:!1(v"</f>
        <v>#VALUE!</v>
      </c>
      <c r="CX311" t="e">
        <f>'Printable Overview'!A70+"AM:!1(w"</f>
        <v>#VALUE!</v>
      </c>
      <c r="CY311" t="e">
        <f>'Printable Overview'!B70+"AM:!1(x"</f>
        <v>#VALUE!</v>
      </c>
      <c r="CZ311" t="e">
        <f>'Printable Overview'!C70+"AM:!1(y"</f>
        <v>#VALUE!</v>
      </c>
      <c r="DA311" t="e">
        <f>'Printable Overview'!D70+"AM:!1(z"</f>
        <v>#VALUE!</v>
      </c>
      <c r="DB311" t="e">
        <f>'Printable Overview'!E70+"AM:!1({"</f>
        <v>#VALUE!</v>
      </c>
      <c r="DC311" t="e">
        <f>'Printable Overview'!F70+"AM:!1(|"</f>
        <v>#VALUE!</v>
      </c>
      <c r="DD311" t="e">
        <f>'Printable Overview'!G70+"AM:!1(}"</f>
        <v>#VALUE!</v>
      </c>
      <c r="DE311" t="e">
        <f>'Printable Overview'!H70+"AM:!1(~"</f>
        <v>#VALUE!</v>
      </c>
      <c r="DF311" t="e">
        <f>'Printable Overview'!A73+"AM:!1)#"</f>
        <v>#VALUE!</v>
      </c>
      <c r="DG311" t="e">
        <f>'Printable Overview'!B73+"AM:!1)$"</f>
        <v>#VALUE!</v>
      </c>
      <c r="DH311" t="e">
        <f>'Printable Overview'!C73+"AM:!1)%"</f>
        <v>#VALUE!</v>
      </c>
      <c r="DI311" t="e">
        <f>'Printable Overview'!D73+"AM:!1)&amp;"</f>
        <v>#VALUE!</v>
      </c>
      <c r="DJ311" t="e">
        <f>'Printable Overview'!E73+"AM:!1)'"</f>
        <v>#VALUE!</v>
      </c>
      <c r="DK311" t="e">
        <f>'Printable Overview'!F73+"AM:!1)("</f>
        <v>#VALUE!</v>
      </c>
      <c r="DL311" t="e">
        <f>'Printable Overview'!G73+"AM:!1))"</f>
        <v>#VALUE!</v>
      </c>
      <c r="DM311" t="e">
        <f>'Printable Overview'!H73+"AM:!1)."</f>
        <v>#VALUE!</v>
      </c>
      <c r="DN311" t="e">
        <f>'Printable Overview'!A105+"AM:!1)/"</f>
        <v>#VALUE!</v>
      </c>
      <c r="DO311" t="e">
        <f>'Printable Overview'!B105+"AM:!1)0"</f>
        <v>#VALUE!</v>
      </c>
      <c r="DP311" t="e">
        <f>'Printable Overview'!C105+"AM:!1)1"</f>
        <v>#VALUE!</v>
      </c>
      <c r="DQ311" t="e">
        <f>'Printable Overview'!D105+"AM:!1)2"</f>
        <v>#VALUE!</v>
      </c>
      <c r="DR311" t="e">
        <f>'Printable Overview'!E105+"AM:!1)3"</f>
        <v>#VALUE!</v>
      </c>
      <c r="DS311" t="e">
        <f>'Printable Overview'!F105+"AM:!1)4"</f>
        <v>#VALUE!</v>
      </c>
      <c r="DT311" t="e">
        <f>'Printable Overview'!G105+"AM:!1)5"</f>
        <v>#VALUE!</v>
      </c>
      <c r="DU311" t="e">
        <f>'Printable Overview'!H105+"AM:!1)6"</f>
        <v>#VALUE!</v>
      </c>
      <c r="DV311" t="e">
        <f>'Printable Overview'!A106+"AM:!1)7"</f>
        <v>#VALUE!</v>
      </c>
      <c r="DW311" t="e">
        <f>'Printable Overview'!B106+"AM:!1)8"</f>
        <v>#VALUE!</v>
      </c>
      <c r="DX311" t="e">
        <f>'Printable Overview'!C106+"AM:!1)9"</f>
        <v>#VALUE!</v>
      </c>
      <c r="DY311" t="e">
        <f>'Printable Overview'!D106+"AM:!1):"</f>
        <v>#VALUE!</v>
      </c>
      <c r="DZ311" t="e">
        <f>'Printable Overview'!E106+"AM:!1);"</f>
        <v>#VALUE!</v>
      </c>
      <c r="EA311" t="e">
        <f>'Printable Overview'!F106+"AM:!1)&lt;"</f>
        <v>#VALUE!</v>
      </c>
      <c r="EB311" t="e">
        <f>'Printable Overview'!G106+"AM:!1)="</f>
        <v>#VALUE!</v>
      </c>
      <c r="EC311" t="e">
        <f>'Printable Overview'!H106+"AM:!1)&gt;"</f>
        <v>#VALUE!</v>
      </c>
      <c r="ED311" t="e">
        <f>'Printable Overview'!A107+"AM:!1)?"</f>
        <v>#VALUE!</v>
      </c>
      <c r="EE311" t="e">
        <f>'Printable Overview'!B107+"AM:!1)@"</f>
        <v>#VALUE!</v>
      </c>
      <c r="EF311" t="e">
        <f>'Printable Overview'!C107+"AM:!1)A"</f>
        <v>#VALUE!</v>
      </c>
      <c r="EG311" t="e">
        <f>'Printable Overview'!D107+"AM:!1)B"</f>
        <v>#VALUE!</v>
      </c>
      <c r="EH311" t="e">
        <f>'Printable Overview'!E107+"AM:!1)C"</f>
        <v>#VALUE!</v>
      </c>
      <c r="EI311" t="e">
        <f>'Printable Overview'!F107+"AM:!1)D"</f>
        <v>#VALUE!</v>
      </c>
      <c r="EJ311" t="e">
        <f>'Printable Overview'!G107+"AM:!1)E"</f>
        <v>#VALUE!</v>
      </c>
      <c r="EK311" t="e">
        <f>'Printable Overview'!H107+"AM:!1)F"</f>
        <v>#VALUE!</v>
      </c>
      <c r="EL311" t="e">
        <f ca="1">'Printable Overview'!A108+"AM:!1)G"</f>
        <v>#VALUE!</v>
      </c>
      <c r="EM311" t="e">
        <f>'Printable Overview'!B108+"AM:!1)H"</f>
        <v>#VALUE!</v>
      </c>
      <c r="EN311" t="e">
        <f>'Printable Overview'!C108+"AM:!1)I"</f>
        <v>#VALUE!</v>
      </c>
      <c r="EO311" t="e">
        <f>'Printable Overview'!D108+"AM:!1)J"</f>
        <v>#VALUE!</v>
      </c>
      <c r="EP311" t="e">
        <f>'Printable Overview'!E108+"AM:!1)K"</f>
        <v>#VALUE!</v>
      </c>
      <c r="EQ311" t="e">
        <f>'Printable Overview'!F108+"AM:!1)L"</f>
        <v>#VALUE!</v>
      </c>
      <c r="ER311" t="e">
        <f>'Printable Overview'!G108+"AM:!1)M"</f>
        <v>#VALUE!</v>
      </c>
      <c r="ES311" t="e">
        <f>'Printable Overview'!H108+"AM:!1)N"</f>
        <v>#VALUE!</v>
      </c>
      <c r="ET311" t="e">
        <f>'Printable Overview'!A110+"AM:!1)O"</f>
        <v>#VALUE!</v>
      </c>
      <c r="EU311" t="e">
        <f>'Printable Overview'!B110+"AM:!1)P"</f>
        <v>#VALUE!</v>
      </c>
      <c r="EV311" t="e">
        <f>'Printable Overview'!C110+"AM:!1)Q"</f>
        <v>#VALUE!</v>
      </c>
      <c r="EW311" t="e">
        <f>'Printable Overview'!D110+"AM:!1)R"</f>
        <v>#VALUE!</v>
      </c>
      <c r="EX311" t="e">
        <f>'Printable Overview'!E110+"AM:!1)S"</f>
        <v>#VALUE!</v>
      </c>
      <c r="EY311" t="e">
        <f>'Printable Overview'!F110+"AM:!1)T"</f>
        <v>#VALUE!</v>
      </c>
      <c r="EZ311" t="e">
        <f>'Printable Overview'!G110+"AM:!1)U"</f>
        <v>#VALUE!</v>
      </c>
      <c r="FA311" t="e">
        <f>'Printable Overview'!H110+"AM:!1)V"</f>
        <v>#VALUE!</v>
      </c>
      <c r="FB311" t="e">
        <f>'Printable Overview'!A112+"AM:!1)W"</f>
        <v>#VALUE!</v>
      </c>
      <c r="FC311" t="e">
        <f>'Printable Overview'!B112+"AM:!1)X"</f>
        <v>#VALUE!</v>
      </c>
      <c r="FD311" t="e">
        <f>'Printable Overview'!C112+"AM:!1)Y"</f>
        <v>#VALUE!</v>
      </c>
      <c r="FE311" t="e">
        <f>'Printable Overview'!D112+"AM:!1)Z"</f>
        <v>#VALUE!</v>
      </c>
      <c r="FF311" t="e">
        <f>'Printable Overview'!E112+"AM:!1)["</f>
        <v>#VALUE!</v>
      </c>
      <c r="FG311" t="e">
        <f>'Printable Overview'!F112+"AM:!1)\"</f>
        <v>#VALUE!</v>
      </c>
      <c r="FH311" t="e">
        <f>'Printable Overview'!G112+"AM:!1)]"</f>
        <v>#VALUE!</v>
      </c>
      <c r="FI311" t="e">
        <f>'Printable Overview'!H112+"AM:!1)^"</f>
        <v>#VALUE!</v>
      </c>
      <c r="FJ311" t="e">
        <f>'Printable Overview'!A113+"AM:!1)_"</f>
        <v>#VALUE!</v>
      </c>
      <c r="FK311" t="e">
        <f>'Printable Overview'!B113+"AM:!1)`"</f>
        <v>#VALUE!</v>
      </c>
      <c r="FL311" t="e">
        <f>'Printable Overview'!C113+"AM:!1)a"</f>
        <v>#VALUE!</v>
      </c>
      <c r="FM311" t="e">
        <f>'Printable Overview'!D113+"AM:!1)b"</f>
        <v>#VALUE!</v>
      </c>
      <c r="FN311" t="e">
        <f>'Printable Overview'!E113+"AM:!1)c"</f>
        <v>#VALUE!</v>
      </c>
      <c r="FO311" t="e">
        <f>'Printable Overview'!F113+"AM:!1)d"</f>
        <v>#VALUE!</v>
      </c>
      <c r="FP311" t="e">
        <f>'Printable Overview'!G113+"AM:!1)e"</f>
        <v>#VALUE!</v>
      </c>
      <c r="FQ311" t="e">
        <f>'Printable Overview'!H113+"AM:!1)f"</f>
        <v>#VALUE!</v>
      </c>
      <c r="FR311" t="e">
        <f>'Printable Overview'!A114+"AM:!1)g"</f>
        <v>#VALUE!</v>
      </c>
      <c r="FS311" t="e">
        <f>'Printable Overview'!B114+"AM:!1)h"</f>
        <v>#VALUE!</v>
      </c>
      <c r="FT311" t="e">
        <f>'Printable Overview'!C114+"AM:!1)i"</f>
        <v>#VALUE!</v>
      </c>
      <c r="FU311" t="e">
        <f>'Printable Overview'!D114+"AM:!1)j"</f>
        <v>#VALUE!</v>
      </c>
      <c r="FV311" t="e">
        <f>'Printable Overview'!E114+"AM:!1)k"</f>
        <v>#VALUE!</v>
      </c>
      <c r="FW311" t="e">
        <f>'Printable Overview'!F114+"AM:!1)l"</f>
        <v>#VALUE!</v>
      </c>
      <c r="FX311" t="e">
        <f>'Printable Overview'!G114+"AM:!1)m"</f>
        <v>#VALUE!</v>
      </c>
      <c r="FY311" t="e">
        <f>'Printable Overview'!H114+"AM:!1)n"</f>
        <v>#VALUE!</v>
      </c>
      <c r="FZ311" t="e">
        <f>'Printable Overview'!A115+"AM:!1)o"</f>
        <v>#VALUE!</v>
      </c>
      <c r="GA311" t="e">
        <f>'Printable Overview'!B115+"AM:!1)p"</f>
        <v>#VALUE!</v>
      </c>
      <c r="GB311" t="e">
        <f ca="1">'Printable Overview'!C115+"AM:!1)q"</f>
        <v>#VALUE!</v>
      </c>
      <c r="GC311" t="e">
        <f>'Printable Overview'!D115+"AM:!1)r"</f>
        <v>#VALUE!</v>
      </c>
      <c r="GD311" t="e">
        <f ca="1">'Printable Overview'!E115+"AM:!1)s"</f>
        <v>#VALUE!</v>
      </c>
      <c r="GE311" t="e">
        <f ca="1">'Printable Overview'!F115+"AM:!1)t"</f>
        <v>#VALUE!</v>
      </c>
      <c r="GF311" t="e">
        <f ca="1">'Printable Overview'!G115+"AM:!1)u"</f>
        <v>#VALUE!</v>
      </c>
      <c r="GG311" t="e">
        <f ca="1">'Printable Overview'!H115+"AM:!1)v"</f>
        <v>#VALUE!</v>
      </c>
      <c r="GH311" t="e">
        <f>'Printable Overview'!A116+"AM:!1)w"</f>
        <v>#VALUE!</v>
      </c>
      <c r="GI311" t="e">
        <f>'Printable Overview'!B116+"AM:!1)x"</f>
        <v>#VALUE!</v>
      </c>
      <c r="GJ311" t="e">
        <f>'Printable Overview'!C116+"AM:!1)y"</f>
        <v>#VALUE!</v>
      </c>
      <c r="GK311" t="e">
        <f>'Printable Overview'!D116+"AM:!1)z"</f>
        <v>#VALUE!</v>
      </c>
      <c r="GL311" t="e">
        <f>'Printable Overview'!E116+"AM:!1){"</f>
        <v>#VALUE!</v>
      </c>
      <c r="GM311" t="e">
        <f>'Printable Overview'!F116+"AM:!1)|"</f>
        <v>#VALUE!</v>
      </c>
      <c r="GN311" t="e">
        <f>'Printable Overview'!G116+"AM:!1)}"</f>
        <v>#VALUE!</v>
      </c>
      <c r="GO311" t="e">
        <f>'Printable Overview'!H116+"AM:!1)~"</f>
        <v>#VALUE!</v>
      </c>
      <c r="GP311" t="e">
        <f>'Printable Overview'!A117+"AM:!1.#"</f>
        <v>#VALUE!</v>
      </c>
      <c r="GQ311" t="e">
        <f>'Printable Overview'!B117+"AM:!1.$"</f>
        <v>#VALUE!</v>
      </c>
      <c r="GR311" t="e">
        <f>'Printable Overview'!C117+"AM:!1.%"</f>
        <v>#VALUE!</v>
      </c>
      <c r="GS311" t="e">
        <f>'Printable Overview'!D117+"AM:!1.&amp;"</f>
        <v>#VALUE!</v>
      </c>
      <c r="GT311" t="e">
        <f>'Printable Overview'!E117+"AM:!1.'"</f>
        <v>#VALUE!</v>
      </c>
      <c r="GU311" t="e">
        <f>'Printable Overview'!F117+"AM:!1.("</f>
        <v>#VALUE!</v>
      </c>
      <c r="GV311" t="e">
        <f>'Printable Overview'!G117+"AM:!1.)"</f>
        <v>#VALUE!</v>
      </c>
      <c r="GW311" t="e">
        <f>'Printable Overview'!H117+"AM:!1.."</f>
        <v>#VALUE!</v>
      </c>
      <c r="GX311" t="e">
        <f>'Printable Overview'!A118+"AM:!1./"</f>
        <v>#VALUE!</v>
      </c>
      <c r="GY311" t="e">
        <f>'Printable Overview'!B118+"AM:!1.0"</f>
        <v>#VALUE!</v>
      </c>
      <c r="GZ311" t="e">
        <f>'Printable Overview'!C118+"AM:!1.1"</f>
        <v>#VALUE!</v>
      </c>
      <c r="HA311" t="e">
        <f>'Printable Overview'!D118+"AM:!1.2"</f>
        <v>#VALUE!</v>
      </c>
      <c r="HB311" t="e">
        <f>'Printable Overview'!E118+"AM:!1.3"</f>
        <v>#VALUE!</v>
      </c>
      <c r="HC311" t="e">
        <f>'Printable Overview'!F118+"AM:!1.4"</f>
        <v>#VALUE!</v>
      </c>
      <c r="HD311" t="e">
        <f>'Printable Overview'!G118+"AM:!1.5"</f>
        <v>#VALUE!</v>
      </c>
      <c r="HE311" t="e">
        <f>'Printable Overview'!H118+"AM:!1.6"</f>
        <v>#VALUE!</v>
      </c>
      <c r="HF311" t="e">
        <f>'Printable Overview'!A119+"AM:!1.7"</f>
        <v>#VALUE!</v>
      </c>
      <c r="HG311" t="e">
        <f>'Printable Overview'!B119+"AM:!1.8"</f>
        <v>#VALUE!</v>
      </c>
      <c r="HH311" t="e">
        <f>'Printable Overview'!C119+"AM:!1.9"</f>
        <v>#VALUE!</v>
      </c>
      <c r="HI311" t="e">
        <f>'Printable Overview'!D119+"AM:!1.:"</f>
        <v>#VALUE!</v>
      </c>
      <c r="HJ311" t="e">
        <f>'Printable Overview'!E119+"AM:!1.;"</f>
        <v>#VALUE!</v>
      </c>
      <c r="HK311" t="e">
        <f>'Printable Overview'!F119+"AM:!1.&lt;"</f>
        <v>#VALUE!</v>
      </c>
      <c r="HL311" t="e">
        <f>'Printable Overview'!G119+"AM:!1.="</f>
        <v>#VALUE!</v>
      </c>
      <c r="HM311" t="e">
        <f>'Printable Overview'!H119+"AM:!1.&gt;"</f>
        <v>#VALUE!</v>
      </c>
      <c r="HN311" t="e">
        <f>'Printable Overview'!A120+"AM:!1.?"</f>
        <v>#VALUE!</v>
      </c>
      <c r="HO311" t="e">
        <f>'Printable Overview'!B120+"AM:!1.@"</f>
        <v>#VALUE!</v>
      </c>
      <c r="HP311" t="e">
        <f ca="1">'Printable Overview'!C120+"AM:!1.A"</f>
        <v>#VALUE!</v>
      </c>
      <c r="HQ311" t="e">
        <f>'Printable Overview'!D120+"AM:!1.B"</f>
        <v>#VALUE!</v>
      </c>
      <c r="HR311" t="e">
        <f ca="1">'Printable Overview'!E120+"AM:!1.C"</f>
        <v>#VALUE!</v>
      </c>
      <c r="HS311" t="e">
        <f ca="1">'Printable Overview'!F120+"AM:!1.D"</f>
        <v>#VALUE!</v>
      </c>
      <c r="HT311" t="e">
        <f ca="1">'Printable Overview'!G120+"AM:!1.E"</f>
        <v>#VALUE!</v>
      </c>
      <c r="HU311" t="e">
        <f ca="1">'Printable Overview'!H120+"AM:!1.F"</f>
        <v>#VALUE!</v>
      </c>
      <c r="HV311" t="e">
        <f>'Printable Overview'!A122+"AM:!1.G"</f>
        <v>#VALUE!</v>
      </c>
      <c r="HW311" t="e">
        <f>'Printable Overview'!B122+"AM:!1.H"</f>
        <v>#VALUE!</v>
      </c>
      <c r="HX311" t="e">
        <f>'Printable Overview'!C122+"AM:!1.I"</f>
        <v>#VALUE!</v>
      </c>
      <c r="HY311" t="e">
        <f>'Printable Overview'!D122+"AM:!1.J"</f>
        <v>#VALUE!</v>
      </c>
      <c r="HZ311" t="e">
        <f>'Printable Overview'!E122+"AM:!1.K"</f>
        <v>#VALUE!</v>
      </c>
      <c r="IA311" t="e">
        <f>'Printable Overview'!F122+"AM:!1.L"</f>
        <v>#VALUE!</v>
      </c>
      <c r="IB311" t="e">
        <f>'Printable Overview'!G122+"AM:!1.M"</f>
        <v>#VALUE!</v>
      </c>
      <c r="IC311" t="e">
        <f>'Printable Overview'!H122+"AM:!1.N"</f>
        <v>#VALUE!</v>
      </c>
      <c r="ID311" t="e">
        <f>'Printable Overview'!A154+"AM:!1.O"</f>
        <v>#VALUE!</v>
      </c>
      <c r="IE311" t="e">
        <f>'Printable Overview'!B154+"AM:!1.P"</f>
        <v>#VALUE!</v>
      </c>
      <c r="IF311" t="e">
        <f>'Printable Overview'!C154+"AM:!1.Q"</f>
        <v>#VALUE!</v>
      </c>
      <c r="IG311" t="e">
        <f>'Printable Overview'!D154+"AM:!1.R"</f>
        <v>#VALUE!</v>
      </c>
      <c r="IH311" t="e">
        <f>'Printable Overview'!E154+"AM:!1.S"</f>
        <v>#VALUE!</v>
      </c>
      <c r="II311" t="e">
        <f>'Printable Overview'!F154+"AM:!1.T"</f>
        <v>#VALUE!</v>
      </c>
      <c r="IJ311" t="e">
        <f>'Printable Overview'!G154+"AM:!1.U"</f>
        <v>#VALUE!</v>
      </c>
      <c r="IK311" t="e">
        <f>'Printable Overview'!H154+"AM:!1.V"</f>
        <v>#VALUE!</v>
      </c>
      <c r="IL311" t="e">
        <f>'Printable Overview'!A155+"AM:!1.W"</f>
        <v>#VALUE!</v>
      </c>
      <c r="IM311" t="e">
        <f>'Printable Overview'!B155+"AM:!1.X"</f>
        <v>#VALUE!</v>
      </c>
      <c r="IN311" t="e">
        <f>'Printable Overview'!C155+"AM:!1.Y"</f>
        <v>#VALUE!</v>
      </c>
      <c r="IO311" t="e">
        <f>'Printable Overview'!D155+"AM:!1.Z"</f>
        <v>#VALUE!</v>
      </c>
      <c r="IP311" t="e">
        <f>'Printable Overview'!E155+"AM:!1.["</f>
        <v>#VALUE!</v>
      </c>
      <c r="IQ311" t="e">
        <f>'Printable Overview'!F155+"AM:!1.\"</f>
        <v>#VALUE!</v>
      </c>
      <c r="IR311" t="e">
        <f>'Printable Overview'!G155+"AM:!1.]"</f>
        <v>#VALUE!</v>
      </c>
      <c r="IS311" t="e">
        <f>'Printable Overview'!H155+"AM:!1.^"</f>
        <v>#VALUE!</v>
      </c>
      <c r="IT311" t="e">
        <f>'Printable Overview'!A156+"AM:!1._"</f>
        <v>#VALUE!</v>
      </c>
      <c r="IU311" t="e">
        <f>'Printable Overview'!B156+"AM:!1.`"</f>
        <v>#VALUE!</v>
      </c>
      <c r="IV311" t="e">
        <f>'Printable Overview'!C156+"AM:!1.a"</f>
        <v>#VALUE!</v>
      </c>
    </row>
    <row r="312" spans="6:256">
      <c r="F312" t="e">
        <f>'Printable Overview'!D156+"AM:!1.b"</f>
        <v>#VALUE!</v>
      </c>
      <c r="G312" t="e">
        <f>'Printable Overview'!E156+"AM:!1.c"</f>
        <v>#VALUE!</v>
      </c>
      <c r="H312" t="e">
        <f>'Printable Overview'!F156+"AM:!1.d"</f>
        <v>#VALUE!</v>
      </c>
      <c r="I312" t="e">
        <f>'Printable Overview'!G156+"AM:!1.e"</f>
        <v>#VALUE!</v>
      </c>
      <c r="J312" t="e">
        <f>'Printable Overview'!H156+"AM:!1.f"</f>
        <v>#VALUE!</v>
      </c>
      <c r="K312" t="e">
        <f>'Printable Overview'!A157+"AM:!1.g"</f>
        <v>#VALUE!</v>
      </c>
      <c r="L312" t="e">
        <f>'Printable Overview'!B157+"AM:!1.h"</f>
        <v>#VALUE!</v>
      </c>
      <c r="M312" t="e">
        <f>'Printable Overview'!C157+"AM:!1.i"</f>
        <v>#VALUE!</v>
      </c>
      <c r="N312" t="e">
        <f>'Printable Overview'!D157+"AM:!1.j"</f>
        <v>#VALUE!</v>
      </c>
      <c r="O312" t="e">
        <f>'Printable Overview'!E157+"AM:!1.k"</f>
        <v>#VALUE!</v>
      </c>
      <c r="P312" s="105" t="e">
        <f>'Printable Overview'!F157+"AM:!1.l"</f>
        <v>#VALUE!</v>
      </c>
      <c r="Q312" t="e">
        <f>'Printable Overview'!G157+"AM:!1.m"</f>
        <v>#VALUE!</v>
      </c>
      <c r="R312" t="e">
        <f>'Printable Overview'!H157+"AM:!1.n"</f>
        <v>#VALUE!</v>
      </c>
      <c r="S312" t="e">
        <f>'Printable Overview'!Q157+"AM:!1.o"</f>
        <v>#VALUE!</v>
      </c>
      <c r="T312" t="e">
        <f>'Printable Overview'!A158+"AM:!1.p"</f>
        <v>#VALUE!</v>
      </c>
      <c r="U312" t="e">
        <f>'Printable Overview'!B158+"AM:!1.q"</f>
        <v>#VALUE!</v>
      </c>
      <c r="V312" t="e">
        <f>'Printable Overview'!C158+"AM:!1.r"</f>
        <v>#VALUE!</v>
      </c>
      <c r="W312" t="e">
        <f>'Printable Overview'!D158+"AM:!1.s"</f>
        <v>#VALUE!</v>
      </c>
      <c r="X312" t="e">
        <f>'Printable Overview'!E158+"AM:!1.t"</f>
        <v>#VALUE!</v>
      </c>
      <c r="Y312" t="e">
        <f>'Printable Overview'!F158+"AM:!1.u"</f>
        <v>#VALUE!</v>
      </c>
      <c r="Z312" t="e">
        <f>'Printable Overview'!G158+"AM:!1.v"</f>
        <v>#VALUE!</v>
      </c>
      <c r="AA312" t="e">
        <f>'Printable Overview'!H158+"AM:!1.w"</f>
        <v>#VALUE!</v>
      </c>
      <c r="AB312" t="e">
        <f>'Printable Overview'!A159+"AM:!1.x"</f>
        <v>#VALUE!</v>
      </c>
      <c r="AC312" t="e">
        <f>'Printable Overview'!B159+"AM:!1.y"</f>
        <v>#VALUE!</v>
      </c>
      <c r="AD312" t="e">
        <f>'Printable Overview'!C159+"AM:!1.z"</f>
        <v>#VALUE!</v>
      </c>
      <c r="AE312" t="e">
        <f>'Printable Overview'!D159+"AM:!1.{"</f>
        <v>#VALUE!</v>
      </c>
      <c r="AF312" t="e">
        <f>'Printable Overview'!E159+"AM:!1.|"</f>
        <v>#VALUE!</v>
      </c>
      <c r="AG312" t="e">
        <f>'Printable Overview'!F159+"AM:!1.}"</f>
        <v>#VALUE!</v>
      </c>
      <c r="AH312" t="e">
        <f>'Printable Overview'!G159+"AM:!1.~"</f>
        <v>#VALUE!</v>
      </c>
      <c r="AI312" t="e">
        <f>'Printable Overview'!H159+"AM:!1/#"</f>
        <v>#VALUE!</v>
      </c>
      <c r="AJ312" t="e">
        <f>'Printable Overview'!A160+"AM:!1/$"</f>
        <v>#VALUE!</v>
      </c>
      <c r="AK312" t="e">
        <f>'Printable Overview'!B160+"AM:!1/%"</f>
        <v>#VALUE!</v>
      </c>
      <c r="AL312" t="e">
        <f>'Printable Overview'!C160+"AM:!1/&amp;"</f>
        <v>#VALUE!</v>
      </c>
      <c r="AM312" t="e">
        <f>'Printable Overview'!D160+"AM:!1/'"</f>
        <v>#VALUE!</v>
      </c>
      <c r="AN312" t="e">
        <f>'Printable Overview'!E160+"AM:!1/("</f>
        <v>#VALUE!</v>
      </c>
      <c r="AO312" t="e">
        <f>'Printable Overview'!F160+"AM:!1/)"</f>
        <v>#VALUE!</v>
      </c>
      <c r="AP312" t="e">
        <f>'Printable Overview'!G160+"AM:!1/."</f>
        <v>#VALUE!</v>
      </c>
      <c r="AQ312" t="e">
        <f>'Printable Overview'!H160+"AM:!1//"</f>
        <v>#VALUE!</v>
      </c>
      <c r="AR312" t="e">
        <f>'Printable Overview'!A161+"AM:!1/0"</f>
        <v>#VALUE!</v>
      </c>
      <c r="AS312" t="e">
        <f>'Printable Overview'!B161+"AM:!1/1"</f>
        <v>#VALUE!</v>
      </c>
      <c r="AT312" t="e">
        <f>'Printable Overview'!C161+"AM:!1/2"</f>
        <v>#VALUE!</v>
      </c>
      <c r="AU312" t="e">
        <f>'Printable Overview'!D161+"AM:!1/3"</f>
        <v>#VALUE!</v>
      </c>
      <c r="AV312" t="e">
        <f>'Printable Overview'!E161+"AM:!1/4"</f>
        <v>#VALUE!</v>
      </c>
      <c r="AW312" t="e">
        <f>'Printable Overview'!F161+"AM:!1/5"</f>
        <v>#VALUE!</v>
      </c>
      <c r="AX312" t="e">
        <f>'Printable Overview'!G161+"AM:!1/6"</f>
        <v>#VALUE!</v>
      </c>
      <c r="AY312" t="e">
        <f>'Printable Overview'!H161+"AM:!1/7"</f>
        <v>#VALUE!</v>
      </c>
      <c r="AZ312" t="e">
        <f>'Printable Overview'!A162+"AM:!1/8"</f>
        <v>#VALUE!</v>
      </c>
      <c r="BA312" t="e">
        <f>'Printable Overview'!B162+"AM:!1/9"</f>
        <v>#VALUE!</v>
      </c>
      <c r="BB312" t="e">
        <f>'Printable Overview'!C162+"AM:!1/:"</f>
        <v>#VALUE!</v>
      </c>
      <c r="BC312" t="e">
        <f>'Printable Overview'!D162+"AM:!1/;"</f>
        <v>#VALUE!</v>
      </c>
      <c r="BD312" t="e">
        <f>'Printable Overview'!E162+"AM:!1/&lt;"</f>
        <v>#VALUE!</v>
      </c>
      <c r="BE312" t="e">
        <f>'Printable Overview'!F162+"AM:!1/="</f>
        <v>#VALUE!</v>
      </c>
      <c r="BF312" t="e">
        <f>'Printable Overview'!G162+"AM:!1/&gt;"</f>
        <v>#VALUE!</v>
      </c>
      <c r="BG312" t="e">
        <f>'Printable Overview'!H162+"AM:!1/?"</f>
        <v>#VALUE!</v>
      </c>
      <c r="BH312" t="e">
        <f>'Printable Overview'!L162+"AM:!1/@"</f>
        <v>#VALUE!</v>
      </c>
      <c r="BI312" t="e">
        <f>'Printable Overview'!N162+"AM:!1/A"</f>
        <v>#VALUE!</v>
      </c>
      <c r="BJ312" t="e">
        <f>'Printable Overview'!Q162+"AM:!1/B"</f>
        <v>#VALUE!</v>
      </c>
      <c r="BK312" t="e">
        <f>'Printable Overview'!A163+"AM:!1/C"</f>
        <v>#VALUE!</v>
      </c>
      <c r="BL312" t="e">
        <f>'Printable Overview'!B163+"AM:!1/D"</f>
        <v>#VALUE!</v>
      </c>
      <c r="BM312" t="e">
        <f>'Printable Overview'!C163+"AM:!1/E"</f>
        <v>#VALUE!</v>
      </c>
      <c r="BN312" t="e">
        <f>'Printable Overview'!D163+"AM:!1/F"</f>
        <v>#VALUE!</v>
      </c>
      <c r="BO312" t="e">
        <f>'Printable Overview'!E163+"AM:!1/G"</f>
        <v>#VALUE!</v>
      </c>
      <c r="BP312" t="e">
        <f>'Printable Overview'!F163+"AM:!1/H"</f>
        <v>#VALUE!</v>
      </c>
      <c r="BQ312" t="e">
        <f>'Printable Overview'!G163+"AM:!1/I"</f>
        <v>#VALUE!</v>
      </c>
      <c r="BR312" t="e">
        <f>'Printable Overview'!H163+"AM:!1/J"</f>
        <v>#VALUE!</v>
      </c>
      <c r="BS312" t="e">
        <f>'Printable Overview'!L163+"AM:!1/K"</f>
        <v>#VALUE!</v>
      </c>
      <c r="BT312" t="e">
        <f>'Printable Overview'!N163+"AM:!1/L"</f>
        <v>#VALUE!</v>
      </c>
      <c r="BU312" t="e">
        <f>'Printable Overview'!Q163+"AM:!1/M"</f>
        <v>#VALUE!</v>
      </c>
      <c r="BV312" t="e">
        <f>'Printable Overview'!A164+"AM:!1/N"</f>
        <v>#VALUE!</v>
      </c>
      <c r="BW312" t="e">
        <f>'Printable Overview'!B164+"AM:!1/O"</f>
        <v>#VALUE!</v>
      </c>
      <c r="BX312" t="e">
        <f>'Printable Overview'!C164+"AM:!1/P"</f>
        <v>#VALUE!</v>
      </c>
      <c r="BY312" t="e">
        <f>'Printable Overview'!D164+"AM:!1/Q"</f>
        <v>#VALUE!</v>
      </c>
      <c r="BZ312" t="e">
        <f>'Printable Overview'!E164+"AM:!1/R"</f>
        <v>#VALUE!</v>
      </c>
      <c r="CA312" t="e">
        <f>'Printable Overview'!F164+"AM:!1/S"</f>
        <v>#VALUE!</v>
      </c>
      <c r="CB312" t="e">
        <f>'Printable Overview'!G164+"AM:!1/T"</f>
        <v>#VALUE!</v>
      </c>
      <c r="CC312" t="e">
        <f>'Printable Overview'!H164+"AM:!1/U"</f>
        <v>#VALUE!</v>
      </c>
      <c r="CD312" t="e">
        <f>'Printable Overview'!L164+"AM:!1/V"</f>
        <v>#VALUE!</v>
      </c>
      <c r="CE312" t="e">
        <f>'Printable Overview'!N164+"AM:!1/W"</f>
        <v>#VALUE!</v>
      </c>
      <c r="CF312" t="e">
        <f>'Printable Overview'!Q164+"AM:!1/X"</f>
        <v>#VALUE!</v>
      </c>
      <c r="CG312" t="e">
        <f>'Printable Overview'!A165+"AM:!1/Y"</f>
        <v>#VALUE!</v>
      </c>
      <c r="CH312" t="e">
        <f>'Printable Overview'!B165+"AM:!1/Z"</f>
        <v>#VALUE!</v>
      </c>
      <c r="CI312" t="e">
        <f>'Printable Overview'!C165+"AM:!1/["</f>
        <v>#VALUE!</v>
      </c>
      <c r="CJ312" t="e">
        <f>'Printable Overview'!D165+"AM:!1/\"</f>
        <v>#VALUE!</v>
      </c>
      <c r="CK312" t="e">
        <f>'Printable Overview'!E165+"AM:!1/]"</f>
        <v>#VALUE!</v>
      </c>
      <c r="CL312" t="e">
        <f>'Printable Overview'!F165+"AM:!1/^"</f>
        <v>#VALUE!</v>
      </c>
      <c r="CM312" t="e">
        <f>'Printable Overview'!G165+"AM:!1/_"</f>
        <v>#VALUE!</v>
      </c>
      <c r="CN312" t="e">
        <f>'Printable Overview'!H165+"AM:!1/`"</f>
        <v>#VALUE!</v>
      </c>
      <c r="CO312" t="e">
        <f>'Printable Overview'!L165+"AM:!1/a"</f>
        <v>#VALUE!</v>
      </c>
      <c r="CP312" t="e">
        <f>'Printable Overview'!N165+"AM:!1/b"</f>
        <v>#VALUE!</v>
      </c>
      <c r="CQ312" t="e">
        <f>'Printable Overview'!Q165+"AM:!1/c"</f>
        <v>#VALUE!</v>
      </c>
      <c r="CR312" t="e">
        <f ca="1">'Printable Overview'!A166+"AM:!1/d"</f>
        <v>#VALUE!</v>
      </c>
      <c r="CS312" t="e">
        <f>'Printable Overview'!B166+"AM:!1/e"</f>
        <v>#VALUE!</v>
      </c>
      <c r="CT312" t="e">
        <f>'Printable Overview'!C166+"AM:!1/f"</f>
        <v>#VALUE!</v>
      </c>
      <c r="CU312" t="e">
        <f ca="1">'Printable Overview'!D166+"AM:!1/g"</f>
        <v>#VALUE!</v>
      </c>
      <c r="CV312" t="e">
        <f ca="1">'Printable Overview'!E166+"AM:!1/h"</f>
        <v>#VALUE!</v>
      </c>
      <c r="CW312" s="105" t="e">
        <f ca="1">'Printable Overview'!F166+"AM:!1/i"</f>
        <v>#VALUE!</v>
      </c>
      <c r="CX312" t="e">
        <f ca="1">'Printable Overview'!G166+"AM:!1/j"</f>
        <v>#VALUE!</v>
      </c>
      <c r="CY312" t="e">
        <f ca="1">'Printable Overview'!H166+"AM:!1/k"</f>
        <v>#VALUE!</v>
      </c>
      <c r="CZ312" t="e">
        <f ca="1">'Printable Overview'!Q166+"AM:!1/l"</f>
        <v>#VALUE!</v>
      </c>
      <c r="DA312" t="e">
        <f>'Printable Overview'!A167+"AM:!1/m"</f>
        <v>#VALUE!</v>
      </c>
      <c r="DB312" t="e">
        <f>'Printable Overview'!B167+"AM:!1/n"</f>
        <v>#VALUE!</v>
      </c>
      <c r="DC312" t="e">
        <f>'Printable Overview'!C167+"AM:!1/o"</f>
        <v>#VALUE!</v>
      </c>
      <c r="DD312" t="e">
        <f>'Printable Overview'!D167+"AM:!1/p"</f>
        <v>#VALUE!</v>
      </c>
      <c r="DE312" t="e">
        <f>'Printable Overview'!E167+"AM:!1/q"</f>
        <v>#VALUE!</v>
      </c>
      <c r="DF312" t="e">
        <f>'Printable Overview'!F167+"AM:!1/r"</f>
        <v>#VALUE!</v>
      </c>
      <c r="DG312" t="e">
        <f>'Printable Overview'!G167+"AM:!1/s"</f>
        <v>#VALUE!</v>
      </c>
      <c r="DH312" t="e">
        <f>'Printable Overview'!H167+"AM:!1/t"</f>
        <v>#VALUE!</v>
      </c>
      <c r="DI312" t="e">
        <f ca="1">'Printable Overview'!A168+"AM:!1/u"</f>
        <v>#VALUE!</v>
      </c>
      <c r="DJ312" t="e">
        <f>'Printable Overview'!B168+"AM:!1/v"</f>
        <v>#VALUE!</v>
      </c>
      <c r="DK312" t="e">
        <f ca="1">'Printable Overview'!C168+"AM:!1/w"</f>
        <v>#VALUE!</v>
      </c>
      <c r="DL312" t="e">
        <f>'Printable Overview'!D168+"AM:!1/x"</f>
        <v>#VALUE!</v>
      </c>
      <c r="DM312" t="e">
        <f ca="1">'Printable Overview'!E168+"AM:!1/y"</f>
        <v>#VALUE!</v>
      </c>
      <c r="DN312" t="e">
        <f>'Printable Overview'!F168+"AM:!1/z"</f>
        <v>#VALUE!</v>
      </c>
      <c r="DO312" t="e">
        <f ca="1">'Printable Overview'!G168+"AM:!1/{"</f>
        <v>#VALUE!</v>
      </c>
      <c r="DP312" t="e">
        <f>'Printable Overview'!H168+"AM:!1/|"</f>
        <v>#VALUE!</v>
      </c>
      <c r="DQ312" t="e">
        <f>'Printable Overview'!A169+"AM:!1/}"</f>
        <v>#VALUE!</v>
      </c>
      <c r="DR312" t="e">
        <f>'Printable Overview'!B169+"AM:!1/~"</f>
        <v>#VALUE!</v>
      </c>
      <c r="DS312" t="e">
        <f>'Printable Overview'!C169+"AM:!10#"</f>
        <v>#VALUE!</v>
      </c>
      <c r="DT312" t="e">
        <f>'Printable Overview'!D169+"AM:!10$"</f>
        <v>#VALUE!</v>
      </c>
      <c r="DU312" t="e">
        <f>'Printable Overview'!E169+"AM:!10%"</f>
        <v>#VALUE!</v>
      </c>
      <c r="DV312" t="e">
        <f>'Printable Overview'!F169+"AM:!10&amp;"</f>
        <v>#VALUE!</v>
      </c>
      <c r="DW312" t="e">
        <f>'Printable Overview'!G169+"AM:!10'"</f>
        <v>#VALUE!</v>
      </c>
      <c r="DX312" t="e">
        <f>'Printable Overview'!H169+"AM:!10("</f>
        <v>#VALUE!</v>
      </c>
      <c r="DY312" t="e">
        <f>'Printable Overview'!A170+"AM:!10)"</f>
        <v>#VALUE!</v>
      </c>
      <c r="DZ312" t="e">
        <f>'Printable Overview'!B170+"AM:!10."</f>
        <v>#VALUE!</v>
      </c>
      <c r="EA312" t="e">
        <f>'Printable Overview'!C170+"AM:!10/"</f>
        <v>#VALUE!</v>
      </c>
      <c r="EB312" t="e">
        <f>'Printable Overview'!D170+"AM:!100"</f>
        <v>#VALUE!</v>
      </c>
      <c r="EC312" t="e">
        <f>'Printable Overview'!E170+"AM:!101"</f>
        <v>#VALUE!</v>
      </c>
      <c r="ED312" t="e">
        <f>'Printable Overview'!F170+"AM:!102"</f>
        <v>#VALUE!</v>
      </c>
      <c r="EE312" t="e">
        <f>'Printable Overview'!G170+"AM:!103"</f>
        <v>#VALUE!</v>
      </c>
      <c r="EF312" t="e">
        <f>'Printable Overview'!H170+"AM:!104"</f>
        <v>#VALUE!</v>
      </c>
      <c r="EG312" t="e">
        <f>'Printable Overview'!A171+"AM:!105"</f>
        <v>#VALUE!</v>
      </c>
      <c r="EH312" t="e">
        <f>'Printable Overview'!B171+"AM:!106"</f>
        <v>#VALUE!</v>
      </c>
      <c r="EI312" t="e">
        <f>'Printable Overview'!C171+"AM:!107"</f>
        <v>#VALUE!</v>
      </c>
      <c r="EJ312" t="e">
        <f>'Printable Overview'!D171+"AM:!108"</f>
        <v>#VALUE!</v>
      </c>
      <c r="EK312" t="e">
        <f>'Printable Overview'!E171+"AM:!109"</f>
        <v>#VALUE!</v>
      </c>
      <c r="EL312" t="e">
        <f>'Printable Overview'!F171+"AM:!10:"</f>
        <v>#VALUE!</v>
      </c>
      <c r="EM312" t="e">
        <f>'Printable Overview'!G171+"AM:!10;"</f>
        <v>#VALUE!</v>
      </c>
      <c r="EN312" t="e">
        <f>'Printable Overview'!H171+"AM:!10&lt;"</f>
        <v>#VALUE!</v>
      </c>
      <c r="EO312" t="e">
        <f>'Printable Overview'!A172+"AM:!10="</f>
        <v>#VALUE!</v>
      </c>
      <c r="EP312" t="e">
        <f>'Printable Overview'!B172+"AM:!10&gt;"</f>
        <v>#VALUE!</v>
      </c>
      <c r="EQ312" t="e">
        <f>'Printable Overview'!C172+"AM:!10?"</f>
        <v>#VALUE!</v>
      </c>
      <c r="ER312" t="e">
        <f>'Printable Overview'!D172+"AM:!10@"</f>
        <v>#VALUE!</v>
      </c>
      <c r="ES312" t="e">
        <f>'Printable Overview'!E172+"AM:!10A"</f>
        <v>#VALUE!</v>
      </c>
      <c r="ET312" t="e">
        <f>'Printable Overview'!F172+"AM:!10B"</f>
        <v>#VALUE!</v>
      </c>
      <c r="EU312" t="e">
        <f>'Printable Overview'!G172+"AM:!10C"</f>
        <v>#VALUE!</v>
      </c>
      <c r="EV312" t="e">
        <f>'Printable Overview'!H172+"AM:!10D"</f>
        <v>#VALUE!</v>
      </c>
      <c r="EW312" t="e">
        <f>'Printable Overview'!A174+"AM:!10E"</f>
        <v>#VALUE!</v>
      </c>
      <c r="EX312" t="e">
        <f>'Printable Overview'!B174+"AM:!10F"</f>
        <v>#VALUE!</v>
      </c>
      <c r="EY312" t="e">
        <f>'Printable Overview'!C174+"AM:!10G"</f>
        <v>#VALUE!</v>
      </c>
      <c r="EZ312" t="e">
        <f>'Printable Overview'!D174+"AM:!10H"</f>
        <v>#VALUE!</v>
      </c>
      <c r="FA312" t="e">
        <f>'Printable Overview'!E174+"AM:!10I"</f>
        <v>#VALUE!</v>
      </c>
      <c r="FB312" t="e">
        <f>'Printable Overview'!F174+"AM:!10J"</f>
        <v>#VALUE!</v>
      </c>
      <c r="FC312" t="e">
        <f>'Printable Overview'!G174+"AM:!10K"</f>
        <v>#VALUE!</v>
      </c>
      <c r="FD312" t="e">
        <f>'Printable Overview'!H174+"AM:!10L"</f>
        <v>#VALUE!</v>
      </c>
      <c r="FE312" t="e">
        <f ca="1">'Printable Overview'!A175+"AM:!10M"</f>
        <v>#VALUE!</v>
      </c>
      <c r="FF312" t="e">
        <f>'Printable Overview'!B175+"AM:!10N"</f>
        <v>#VALUE!</v>
      </c>
      <c r="FG312" t="e">
        <f>'Printable Overview'!C175+"AM:!10O"</f>
        <v>#VALUE!</v>
      </c>
      <c r="FH312" t="e">
        <f ca="1">'Printable Overview'!D175+"AM:!10P"</f>
        <v>#VALUE!</v>
      </c>
      <c r="FI312" t="e">
        <f ca="1">'Printable Overview'!E175+"AM:!10Q"</f>
        <v>#VALUE!</v>
      </c>
      <c r="FJ312" s="105" t="e">
        <f ca="1">'Printable Overview'!F175+"AM:!10R"</f>
        <v>#VALUE!</v>
      </c>
      <c r="FK312" t="e">
        <f ca="1">'Printable Overview'!G175+"AM:!10S"</f>
        <v>#VALUE!</v>
      </c>
      <c r="FL312" t="e">
        <f ca="1">'Printable Overview'!H175+"AM:!10T"</f>
        <v>#VALUE!</v>
      </c>
      <c r="FM312" t="e">
        <f ca="1">'Printable Overview'!Q175+"AM:!10U"</f>
        <v>#VALUE!</v>
      </c>
      <c r="FN312" t="e">
        <f>'Printable Overview'!A176+"AM:!10V"</f>
        <v>#VALUE!</v>
      </c>
      <c r="FO312" t="e">
        <f>'Printable Overview'!B176+"AM:!10W"</f>
        <v>#VALUE!</v>
      </c>
      <c r="FP312" t="e">
        <f>'Printable Overview'!C176+"AM:!10X"</f>
        <v>#VALUE!</v>
      </c>
      <c r="FQ312" t="e">
        <f>'Printable Overview'!D176+"AM:!10Y"</f>
        <v>#VALUE!</v>
      </c>
      <c r="FR312" t="e">
        <f>'Printable Overview'!E176+"AM:!10Z"</f>
        <v>#VALUE!</v>
      </c>
      <c r="FS312" t="e">
        <f>'Printable Overview'!F176+"AM:!10["</f>
        <v>#VALUE!</v>
      </c>
      <c r="FT312" t="e">
        <f>'Printable Overview'!G176+"AM:!10\"</f>
        <v>#VALUE!</v>
      </c>
      <c r="FU312" t="e">
        <f>'Printable Overview'!H176+"AM:!10]"</f>
        <v>#VALUE!</v>
      </c>
      <c r="FV312" t="e">
        <f ca="1">'Printable Overview'!A177+"AM:!10^"</f>
        <v>#VALUE!</v>
      </c>
      <c r="FW312" t="e">
        <f>'Printable Overview'!B177+"AM:!10_"</f>
        <v>#VALUE!</v>
      </c>
      <c r="FX312" t="e">
        <f ca="1">'Printable Overview'!C177+"AM:!10`"</f>
        <v>#VALUE!</v>
      </c>
      <c r="FY312" t="e">
        <f>'Printable Overview'!D177+"AM:!10a"</f>
        <v>#VALUE!</v>
      </c>
      <c r="FZ312" t="e">
        <f ca="1">'Printable Overview'!E177+"AM:!10b"</f>
        <v>#VALUE!</v>
      </c>
      <c r="GA312" t="e">
        <f>'Printable Overview'!F177+"AM:!10c"</f>
        <v>#VALUE!</v>
      </c>
      <c r="GB312" t="e">
        <f ca="1">'Printable Overview'!G177+"AM:!10d"</f>
        <v>#VALUE!</v>
      </c>
      <c r="GC312" t="e">
        <f>'Printable Overview'!H177+"AM:!10e"</f>
        <v>#VALUE!</v>
      </c>
      <c r="GD312" t="e">
        <f>'Printable Overview'!A178+"AM:!10f"</f>
        <v>#VALUE!</v>
      </c>
      <c r="GE312" t="e">
        <f>'Printable Overview'!B178+"AM:!10g"</f>
        <v>#VALUE!</v>
      </c>
      <c r="GF312" t="e">
        <f>'Printable Overview'!C178+"AM:!10h"</f>
        <v>#VALUE!</v>
      </c>
      <c r="GG312" t="e">
        <f>'Printable Overview'!D178+"AM:!10i"</f>
        <v>#VALUE!</v>
      </c>
      <c r="GH312" t="e">
        <f>'Printable Overview'!E178+"AM:!10j"</f>
        <v>#VALUE!</v>
      </c>
      <c r="GI312" t="e">
        <f>'Printable Overview'!F178+"AM:!10k"</f>
        <v>#VALUE!</v>
      </c>
      <c r="GJ312" t="e">
        <f>'Printable Overview'!G178+"AM:!10l"</f>
        <v>#VALUE!</v>
      </c>
      <c r="GK312" t="e">
        <f>'Printable Overview'!H178+"AM:!10m"</f>
        <v>#VALUE!</v>
      </c>
      <c r="GL312" t="e">
        <f>'Printable Overview'!A179+"AM:!10n"</f>
        <v>#VALUE!</v>
      </c>
      <c r="GM312" t="e">
        <f>'Printable Overview'!B179+"AM:!10o"</f>
        <v>#VALUE!</v>
      </c>
      <c r="GN312" t="e">
        <f>'Printable Overview'!C179+"AM:!10p"</f>
        <v>#VALUE!</v>
      </c>
      <c r="GO312" t="e">
        <f>'Printable Overview'!D179+"AM:!10q"</f>
        <v>#VALUE!</v>
      </c>
      <c r="GP312" t="e">
        <f>'Printable Overview'!E179+"AM:!10r"</f>
        <v>#VALUE!</v>
      </c>
      <c r="GQ312" t="e">
        <f>'Printable Overview'!F179+"AM:!10s"</f>
        <v>#VALUE!</v>
      </c>
      <c r="GR312" t="e">
        <f>'Printable Overview'!G179+"AM:!10t"</f>
        <v>#VALUE!</v>
      </c>
      <c r="GS312" t="e">
        <f>'Printable Overview'!H179+"AM:!10u"</f>
        <v>#VALUE!</v>
      </c>
      <c r="GT312" t="e">
        <f>'Printable Overview'!A180+"AM:!10v"</f>
        <v>#VALUE!</v>
      </c>
      <c r="GU312" t="e">
        <f>'Printable Overview'!B180+"AM:!10w"</f>
        <v>#VALUE!</v>
      </c>
      <c r="GV312" t="e">
        <f>'Printable Overview'!C180+"AM:!10x"</f>
        <v>#VALUE!</v>
      </c>
      <c r="GW312" t="e">
        <f>'Printable Overview'!D180+"AM:!10y"</f>
        <v>#VALUE!</v>
      </c>
      <c r="GX312" t="e">
        <f>'Printable Overview'!E180+"AM:!10z"</f>
        <v>#VALUE!</v>
      </c>
      <c r="GY312" t="e">
        <f>'Printable Overview'!F180+"AM:!10{"</f>
        <v>#VALUE!</v>
      </c>
      <c r="GZ312" t="e">
        <f>'Printable Overview'!G180+"AM:!10|"</f>
        <v>#VALUE!</v>
      </c>
      <c r="HA312" t="e">
        <f>'Printable Overview'!H180+"AM:!10}"</f>
        <v>#VALUE!</v>
      </c>
      <c r="HB312" t="e">
        <f>'Printable Overview'!A181+"AM:!10~"</f>
        <v>#VALUE!</v>
      </c>
      <c r="HC312" t="e">
        <f>'Printable Overview'!B181+"AM:!11#"</f>
        <v>#VALUE!</v>
      </c>
      <c r="HD312" t="e">
        <f>'Printable Overview'!C181+"AM:!11$"</f>
        <v>#VALUE!</v>
      </c>
      <c r="HE312" t="e">
        <f>'Printable Overview'!D181+"AM:!11%"</f>
        <v>#VALUE!</v>
      </c>
      <c r="HF312" t="e">
        <f>'Printable Overview'!E181+"AM:!11&amp;"</f>
        <v>#VALUE!</v>
      </c>
      <c r="HG312" t="e">
        <f>'Printable Overview'!F181+"AM:!11'"</f>
        <v>#VALUE!</v>
      </c>
      <c r="HH312" t="e">
        <f>'Printable Overview'!G181+"AM:!11("</f>
        <v>#VALUE!</v>
      </c>
      <c r="HI312" t="e">
        <f>'Printable Overview'!H181+"AM:!11)"</f>
        <v>#VALUE!</v>
      </c>
      <c r="HJ312" t="e">
        <f>'Printable Overview'!A182+"AM:!11."</f>
        <v>#VALUE!</v>
      </c>
      <c r="HK312" t="e">
        <f>'Printable Overview'!B182+"AM:!11/"</f>
        <v>#VALUE!</v>
      </c>
      <c r="HL312" t="e">
        <f>'Printable Overview'!C182+"AM:!110"</f>
        <v>#VALUE!</v>
      </c>
      <c r="HM312" t="e">
        <f>'Printable Overview'!D182+"AM:!111"</f>
        <v>#VALUE!</v>
      </c>
      <c r="HN312" t="e">
        <f>'Printable Overview'!E182+"AM:!112"</f>
        <v>#VALUE!</v>
      </c>
      <c r="HO312" t="e">
        <f>'Printable Overview'!F182+"AM:!113"</f>
        <v>#VALUE!</v>
      </c>
      <c r="HP312" t="e">
        <f>'Printable Overview'!G182+"AM:!114"</f>
        <v>#VALUE!</v>
      </c>
      <c r="HQ312" t="e">
        <f>'Printable Overview'!H182+"AM:!115"</f>
        <v>#VALUE!</v>
      </c>
      <c r="HR312" t="e">
        <f>'Printable Overview'!A183+"AM:!116"</f>
        <v>#VALUE!</v>
      </c>
      <c r="HS312" t="e">
        <f>'Printable Overview'!B183+"AM:!117"</f>
        <v>#VALUE!</v>
      </c>
      <c r="HT312" t="e">
        <f>'Printable Overview'!C183+"AM:!118"</f>
        <v>#VALUE!</v>
      </c>
      <c r="HU312" t="e">
        <f>'Printable Overview'!D183+"AM:!119"</f>
        <v>#VALUE!</v>
      </c>
      <c r="HV312" t="e">
        <f>'Printable Overview'!E183+"AM:!11:"</f>
        <v>#VALUE!</v>
      </c>
      <c r="HW312" t="e">
        <f>'Printable Overview'!F183+"AM:!11;"</f>
        <v>#VALUE!</v>
      </c>
      <c r="HX312" t="e">
        <f>'Printable Overview'!G183+"AM:!11&lt;"</f>
        <v>#VALUE!</v>
      </c>
      <c r="HY312" t="e">
        <f>'Printable Overview'!H183+"AM:!11="</f>
        <v>#VALUE!</v>
      </c>
      <c r="HZ312" t="e">
        <f>'Printable Overview'!A184+"AM:!11&gt;"</f>
        <v>#VALUE!</v>
      </c>
      <c r="IA312" t="e">
        <f>'Printable Overview'!B184+"AM:!11?"</f>
        <v>#VALUE!</v>
      </c>
      <c r="IB312" t="e">
        <f>'Printable Overview'!C184+"AM:!11@"</f>
        <v>#VALUE!</v>
      </c>
      <c r="IC312" t="e">
        <f>'Printable Overview'!D184+"AM:!11A"</f>
        <v>#VALUE!</v>
      </c>
      <c r="ID312" t="e">
        <f>'Printable Overview'!E184+"AM:!11B"</f>
        <v>#VALUE!</v>
      </c>
      <c r="IE312" t="e">
        <f>'Printable Overview'!F184+"AM:!11C"</f>
        <v>#VALUE!</v>
      </c>
      <c r="IF312" t="e">
        <f>'Printable Overview'!G184+"AM:!11D"</f>
        <v>#VALUE!</v>
      </c>
      <c r="IG312" t="e">
        <f>'Printable Overview'!H184+"AM:!11E"</f>
        <v>#VALUE!</v>
      </c>
      <c r="IH312" t="e">
        <f>'Printable Overview'!A185+"AM:!11F"</f>
        <v>#VALUE!</v>
      </c>
      <c r="II312" t="e">
        <f>'Printable Overview'!B185+"AM:!11G"</f>
        <v>#VALUE!</v>
      </c>
      <c r="IJ312" t="e">
        <f>'Printable Overview'!C185+"AM:!11H"</f>
        <v>#VALUE!</v>
      </c>
      <c r="IK312" t="e">
        <f>'Printable Overview'!D185+"AM:!11I"</f>
        <v>#VALUE!</v>
      </c>
      <c r="IL312" t="e">
        <f>'Printable Overview'!E185+"AM:!11J"</f>
        <v>#VALUE!</v>
      </c>
      <c r="IM312" t="e">
        <f>'Printable Overview'!F185+"AM:!11K"</f>
        <v>#VALUE!</v>
      </c>
      <c r="IN312" t="e">
        <f>'Printable Overview'!G185+"AM:!11L"</f>
        <v>#VALUE!</v>
      </c>
      <c r="IO312" t="e">
        <f>'Printable Overview'!H185+"AM:!11M"</f>
        <v>#VALUE!</v>
      </c>
      <c r="IP312" t="e">
        <f>'Printable Overview'!A186+"AM:!11N"</f>
        <v>#VALUE!</v>
      </c>
      <c r="IQ312" t="e">
        <f>'Printable Overview'!B186+"AM:!11O"</f>
        <v>#VALUE!</v>
      </c>
      <c r="IR312" t="e">
        <f>'Printable Overview'!C186+"AM:!11P"</f>
        <v>#VALUE!</v>
      </c>
      <c r="IS312" t="e">
        <f>'Printable Overview'!D186+"AM:!11Q"</f>
        <v>#VALUE!</v>
      </c>
      <c r="IT312" t="e">
        <f>'Printable Overview'!E186+"AM:!11R"</f>
        <v>#VALUE!</v>
      </c>
      <c r="IU312" t="e">
        <f>'Printable Overview'!F186+"AM:!11S"</f>
        <v>#VALUE!</v>
      </c>
      <c r="IV312" t="e">
        <f>'Printable Overview'!G186+"AM:!11T"</f>
        <v>#VALUE!</v>
      </c>
    </row>
    <row r="313" spans="6:256">
      <c r="F313" t="e">
        <f>'Printable Overview'!H186+"AM:!11U"</f>
        <v>#VALUE!</v>
      </c>
      <c r="G313" t="e">
        <f>'Printable Overview'!A187+"AM:!11V"</f>
        <v>#VALUE!</v>
      </c>
      <c r="H313" t="e">
        <f>'Printable Overview'!B187+"AM:!11W"</f>
        <v>#VALUE!</v>
      </c>
      <c r="I313" t="e">
        <f>'Printable Overview'!C187+"AM:!11X"</f>
        <v>#VALUE!</v>
      </c>
      <c r="J313" t="e">
        <f>'Printable Overview'!D187+"AM:!11Y"</f>
        <v>#VALUE!</v>
      </c>
      <c r="K313" t="e">
        <f>'Printable Overview'!E187+"AM:!11Z"</f>
        <v>#VALUE!</v>
      </c>
      <c r="L313" t="e">
        <f>'Printable Overview'!F187+"AM:!11["</f>
        <v>#VALUE!</v>
      </c>
      <c r="M313" t="e">
        <f>'Printable Overview'!G187+"AM:!11\"</f>
        <v>#VALUE!</v>
      </c>
      <c r="N313" t="e">
        <f>'Printable Overview'!H187+"AM:!11]"</f>
        <v>#VALUE!</v>
      </c>
      <c r="O313" t="e">
        <f>'Printable Overview'!A188+"AM:!11^"</f>
        <v>#VALUE!</v>
      </c>
      <c r="P313" t="e">
        <f>'Printable Overview'!B188+"AM:!11_"</f>
        <v>#VALUE!</v>
      </c>
      <c r="Q313" t="e">
        <f>'Printable Overview'!C188+"AM:!11`"</f>
        <v>#VALUE!</v>
      </c>
      <c r="R313" t="e">
        <f>'Printable Overview'!D188+"AM:!11a"</f>
        <v>#VALUE!</v>
      </c>
      <c r="S313" t="e">
        <f>'Printable Overview'!E188+"AM:!11b"</f>
        <v>#VALUE!</v>
      </c>
      <c r="T313" t="e">
        <f>'Printable Overview'!F188+"AM:!11c"</f>
        <v>#VALUE!</v>
      </c>
      <c r="U313" t="e">
        <f>'Printable Overview'!G188+"AM:!11d"</f>
        <v>#VALUE!</v>
      </c>
      <c r="V313" t="e">
        <f>'Printable Overview'!H188+"AM:!11e"</f>
        <v>#VALUE!</v>
      </c>
      <c r="W313" t="e">
        <f>'Printable Overview'!A189+"AM:!11f"</f>
        <v>#VALUE!</v>
      </c>
      <c r="X313" t="e">
        <f>'Printable Overview'!B189+"AM:!11g"</f>
        <v>#VALUE!</v>
      </c>
      <c r="Y313" t="e">
        <f>'Printable Overview'!C189+"AM:!11h"</f>
        <v>#VALUE!</v>
      </c>
      <c r="Z313" t="e">
        <f>'Printable Overview'!D189+"AM:!11i"</f>
        <v>#VALUE!</v>
      </c>
      <c r="AA313" t="e">
        <f>'Printable Overview'!E189+"AM:!11j"</f>
        <v>#VALUE!</v>
      </c>
      <c r="AB313" t="e">
        <f>'Printable Overview'!F189+"AM:!11k"</f>
        <v>#VALUE!</v>
      </c>
      <c r="AC313" t="e">
        <f>'Printable Overview'!G189+"AM:!11l"</f>
        <v>#VALUE!</v>
      </c>
      <c r="AD313" t="e">
        <f>'Printable Overview'!H189+"AM:!11m"</f>
        <v>#VALUE!</v>
      </c>
      <c r="AE313" t="e">
        <f>'Printable Overview'!A190+"AM:!11n"</f>
        <v>#VALUE!</v>
      </c>
      <c r="AF313" t="e">
        <f>'Printable Overview'!B190+"AM:!11o"</f>
        <v>#VALUE!</v>
      </c>
      <c r="AG313" t="e">
        <f>'Printable Overview'!C190+"AM:!11p"</f>
        <v>#VALUE!</v>
      </c>
      <c r="AH313" t="e">
        <f>'Printable Overview'!D190+"AM:!11q"</f>
        <v>#VALUE!</v>
      </c>
      <c r="AI313" t="e">
        <f>'Printable Overview'!E190+"AM:!11r"</f>
        <v>#VALUE!</v>
      </c>
      <c r="AJ313" t="e">
        <f>'Printable Overview'!F190+"AM:!11s"</f>
        <v>#VALUE!</v>
      </c>
      <c r="AK313" t="e">
        <f>'Printable Overview'!G190+"AM:!11t"</f>
        <v>#VALUE!</v>
      </c>
      <c r="AL313" t="e">
        <f>'Printable Overview'!H190+"AM:!11u"</f>
        <v>#VALUE!</v>
      </c>
      <c r="AM313" t="e">
        <f>'Printable Overview'!A192+"AM:!11v"</f>
        <v>#VALUE!</v>
      </c>
      <c r="AN313" t="e">
        <f>'Printable Overview'!B192+"AM:!11w"</f>
        <v>#VALUE!</v>
      </c>
      <c r="AO313" t="e">
        <f>'Printable Overview'!C192+"AM:!11x"</f>
        <v>#VALUE!</v>
      </c>
      <c r="AP313" t="e">
        <f>'Printable Overview'!D192+"AM:!11y"</f>
        <v>#VALUE!</v>
      </c>
      <c r="AQ313" t="e">
        <f>'Printable Overview'!E192+"AM:!11z"</f>
        <v>#VALUE!</v>
      </c>
      <c r="AR313" t="e">
        <f>'Printable Overview'!F192+"AM:!11{"</f>
        <v>#VALUE!</v>
      </c>
      <c r="AS313" t="e">
        <f>'Printable Overview'!G192+"AM:!11|"</f>
        <v>#VALUE!</v>
      </c>
      <c r="AT313" t="e">
        <f>'Printable Overview'!H192+"AM:!11}"</f>
        <v>#VALUE!</v>
      </c>
      <c r="AU313" t="e">
        <f ca="1">'Printable Overview'!A193+"AM:!11~"</f>
        <v>#VALUE!</v>
      </c>
      <c r="AV313" t="e">
        <f>'Printable Overview'!B193+"AM:!12#"</f>
        <v>#VALUE!</v>
      </c>
      <c r="AW313" t="e">
        <f>'Printable Overview'!C193+"AM:!12$"</f>
        <v>#VALUE!</v>
      </c>
      <c r="AX313" t="e">
        <f ca="1">'Printable Overview'!D193+"AM:!12%"</f>
        <v>#VALUE!</v>
      </c>
      <c r="AY313" t="e">
        <f ca="1">'Printable Overview'!E193+"AM:!12&amp;"</f>
        <v>#VALUE!</v>
      </c>
      <c r="AZ313" s="105" t="e">
        <f ca="1">'Printable Overview'!F193+"AM:!12'"</f>
        <v>#VALUE!</v>
      </c>
      <c r="BA313" t="e">
        <f ca="1">'Printable Overview'!G193+"AM:!12("</f>
        <v>#VALUE!</v>
      </c>
      <c r="BB313" t="e">
        <f ca="1">'Printable Overview'!H193+"AM:!12)"</f>
        <v>#VALUE!</v>
      </c>
      <c r="BC313" t="e">
        <f ca="1">'Printable Overview'!Q193+"AM:!12."</f>
        <v>#VALUE!</v>
      </c>
      <c r="BD313" t="e">
        <f>'Printable Overview'!A194+"AM:!12/"</f>
        <v>#VALUE!</v>
      </c>
      <c r="BE313" t="e">
        <f>'Printable Overview'!B194+"AM:!120"</f>
        <v>#VALUE!</v>
      </c>
      <c r="BF313" t="e">
        <f>'Printable Overview'!C194+"AM:!121"</f>
        <v>#VALUE!</v>
      </c>
      <c r="BG313" t="e">
        <f>'Printable Overview'!D194+"AM:!122"</f>
        <v>#VALUE!</v>
      </c>
      <c r="BH313" t="e">
        <f>'Printable Overview'!E194+"AM:!123"</f>
        <v>#VALUE!</v>
      </c>
      <c r="BI313" t="e">
        <f>'Printable Overview'!F194+"AM:!124"</f>
        <v>#VALUE!</v>
      </c>
      <c r="BJ313" t="e">
        <f>'Printable Overview'!G194+"AM:!125"</f>
        <v>#VALUE!</v>
      </c>
      <c r="BK313" t="e">
        <f>'Printable Overview'!H194+"AM:!126"</f>
        <v>#VALUE!</v>
      </c>
      <c r="BL313" t="e">
        <f ca="1">'Printable Overview'!A195+"AM:!127"</f>
        <v>#VALUE!</v>
      </c>
      <c r="BM313" t="e">
        <f>'Printable Overview'!B195+"AM:!128"</f>
        <v>#VALUE!</v>
      </c>
      <c r="BN313" t="e">
        <f ca="1">'Printable Overview'!C195+"AM:!129"</f>
        <v>#VALUE!</v>
      </c>
      <c r="BO313" t="e">
        <f>'Printable Overview'!D195+"AM:!12:"</f>
        <v>#VALUE!</v>
      </c>
      <c r="BP313" t="e">
        <f ca="1">'Printable Overview'!E195+"AM:!12;"</f>
        <v>#VALUE!</v>
      </c>
      <c r="BQ313" t="e">
        <f>'Printable Overview'!F195+"AM:!12&lt;"</f>
        <v>#VALUE!</v>
      </c>
      <c r="BR313" t="e">
        <f ca="1">'Printable Overview'!G195+"AM:!12="</f>
        <v>#VALUE!</v>
      </c>
      <c r="BS313" t="e">
        <f>'Printable Overview'!H195+"AM:!12&gt;"</f>
        <v>#VALUE!</v>
      </c>
      <c r="BT313" t="e">
        <f>'Printable Overview'!A196+"AM:!12?"</f>
        <v>#VALUE!</v>
      </c>
      <c r="BU313" t="e">
        <f>'Printable Overview'!B196+"AM:!12@"</f>
        <v>#VALUE!</v>
      </c>
      <c r="BV313" t="e">
        <f>'Printable Overview'!C196+"AM:!12A"</f>
        <v>#VALUE!</v>
      </c>
      <c r="BW313" t="e">
        <f>'Printable Overview'!D196+"AM:!12B"</f>
        <v>#VALUE!</v>
      </c>
      <c r="BX313" t="e">
        <f>'Printable Overview'!E196+"AM:!12C"</f>
        <v>#VALUE!</v>
      </c>
      <c r="BY313" t="e">
        <f>'Printable Overview'!F196+"AM:!12D"</f>
        <v>#VALUE!</v>
      </c>
      <c r="BZ313" t="e">
        <f>'Printable Overview'!G196+"AM:!12E"</f>
        <v>#VALUE!</v>
      </c>
      <c r="CA313" t="e">
        <f>'Printable Overview'!H196+"AM:!12F"</f>
        <v>#VALUE!</v>
      </c>
      <c r="CB313" t="e">
        <f>'Printable Overview'!A197+"AM:!12G"</f>
        <v>#VALUE!</v>
      </c>
      <c r="CC313" t="e">
        <f>'Printable Overview'!B197+"AM:!12H"</f>
        <v>#VALUE!</v>
      </c>
      <c r="CD313" t="e">
        <f>'Printable Overview'!C197+"AM:!12I"</f>
        <v>#VALUE!</v>
      </c>
      <c r="CE313" t="e">
        <f>'Printable Overview'!D197+"AM:!12J"</f>
        <v>#VALUE!</v>
      </c>
      <c r="CF313" t="e">
        <f>'Printable Overview'!E197+"AM:!12K"</f>
        <v>#VALUE!</v>
      </c>
      <c r="CG313" t="e">
        <f>'Printable Overview'!F197+"AM:!12L"</f>
        <v>#VALUE!</v>
      </c>
      <c r="CH313" t="e">
        <f>'Printable Overview'!G197+"AM:!12M"</f>
        <v>#VALUE!</v>
      </c>
      <c r="CI313" t="e">
        <f>'Printable Overview'!H197+"AM:!12N"</f>
        <v>#VALUE!</v>
      </c>
      <c r="CJ313" t="e">
        <f>'Printable Overview'!A198+"AM:!12O"</f>
        <v>#VALUE!</v>
      </c>
      <c r="CK313" t="e">
        <f>'Printable Overview'!B198+"AM:!12P"</f>
        <v>#VALUE!</v>
      </c>
      <c r="CL313" t="e">
        <f>'Printable Overview'!C198+"AM:!12Q"</f>
        <v>#VALUE!</v>
      </c>
      <c r="CM313" t="e">
        <f>'Printable Overview'!D198+"AM:!12R"</f>
        <v>#VALUE!</v>
      </c>
      <c r="CN313" t="e">
        <f>'Printable Overview'!E198+"AM:!12S"</f>
        <v>#VALUE!</v>
      </c>
      <c r="CO313" t="e">
        <f>'Printable Overview'!F198+"AM:!12T"</f>
        <v>#VALUE!</v>
      </c>
      <c r="CP313" t="e">
        <f>'Printable Overview'!G198+"AM:!12U"</f>
        <v>#VALUE!</v>
      </c>
      <c r="CQ313" t="e">
        <f>'Printable Overview'!H198+"AM:!12V"</f>
        <v>#VALUE!</v>
      </c>
      <c r="CR313" t="e">
        <f>'Printable Overview'!A199+"AM:!12W"</f>
        <v>#VALUE!</v>
      </c>
      <c r="CS313" t="e">
        <f>'Printable Overview'!B199+"AM:!12X"</f>
        <v>#VALUE!</v>
      </c>
      <c r="CT313" t="e">
        <f>'Printable Overview'!C199+"AM:!12Y"</f>
        <v>#VALUE!</v>
      </c>
      <c r="CU313" t="e">
        <f>'Printable Overview'!D199+"AM:!12Z"</f>
        <v>#VALUE!</v>
      </c>
      <c r="CV313" t="e">
        <f>'Printable Overview'!E199+"AM:!12["</f>
        <v>#VALUE!</v>
      </c>
      <c r="CW313" t="e">
        <f>'Printable Overview'!F199+"AM:!12\"</f>
        <v>#VALUE!</v>
      </c>
      <c r="CX313" t="e">
        <f>'Printable Overview'!G199+"AM:!12]"</f>
        <v>#VALUE!</v>
      </c>
      <c r="CY313" t="e">
        <f>'Printable Overview'!H199+"AM:!12^"</f>
        <v>#VALUE!</v>
      </c>
      <c r="CZ313" t="e">
        <f>'Printable Overview'!A201+"AM:!12_"</f>
        <v>#VALUE!</v>
      </c>
      <c r="DA313" t="e">
        <f>'Printable Overview'!B201+"AM:!12`"</f>
        <v>#VALUE!</v>
      </c>
      <c r="DB313" t="e">
        <f>'Printable Overview'!C201+"AM:!12a"</f>
        <v>#VALUE!</v>
      </c>
      <c r="DC313" t="e">
        <f>'Printable Overview'!D201+"AM:!12b"</f>
        <v>#VALUE!</v>
      </c>
      <c r="DD313" t="e">
        <f>'Printable Overview'!E201+"AM:!12c"</f>
        <v>#VALUE!</v>
      </c>
      <c r="DE313" t="e">
        <f>'Printable Overview'!F201+"AM:!12d"</f>
        <v>#VALUE!</v>
      </c>
      <c r="DF313" t="e">
        <f>'Printable Overview'!G201+"AM:!12e"</f>
        <v>#VALUE!</v>
      </c>
      <c r="DG313" t="e">
        <f>'Printable Overview'!H201+"AM:!12f"</f>
        <v>#VALUE!</v>
      </c>
      <c r="DH313" t="e">
        <f ca="1">'Printable Overview'!A202+"AM:!12g"</f>
        <v>#VALUE!</v>
      </c>
      <c r="DI313" t="e">
        <f>'Printable Overview'!B202+"AM:!12h"</f>
        <v>#VALUE!</v>
      </c>
      <c r="DJ313" t="e">
        <f>'Printable Overview'!C202+"AM:!12i"</f>
        <v>#VALUE!</v>
      </c>
      <c r="DK313" t="e">
        <f ca="1">'Printable Overview'!D202+"AM:!12j"</f>
        <v>#VALUE!</v>
      </c>
      <c r="DL313" t="e">
        <f ca="1">'Printable Overview'!E202+"AM:!12k"</f>
        <v>#VALUE!</v>
      </c>
      <c r="DM313" s="105" t="e">
        <f ca="1">'Printable Overview'!F202+"AM:!12l"</f>
        <v>#VALUE!</v>
      </c>
      <c r="DN313" t="e">
        <f ca="1">'Printable Overview'!G202+"AM:!12m"</f>
        <v>#VALUE!</v>
      </c>
      <c r="DO313" t="e">
        <f ca="1">'Printable Overview'!H202+"AM:!12n"</f>
        <v>#VALUE!</v>
      </c>
      <c r="DP313" t="e">
        <f ca="1">'Printable Overview'!Q202+"AM:!12o"</f>
        <v>#VALUE!</v>
      </c>
      <c r="DQ313" t="e">
        <f>'Printable Overview'!A203+"AM:!12p"</f>
        <v>#VALUE!</v>
      </c>
      <c r="DR313" t="e">
        <f>'Printable Overview'!B203+"AM:!12q"</f>
        <v>#VALUE!</v>
      </c>
      <c r="DS313" t="e">
        <f>'Printable Overview'!C203+"AM:!12r"</f>
        <v>#VALUE!</v>
      </c>
      <c r="DT313" t="e">
        <f>'Printable Overview'!D203+"AM:!12s"</f>
        <v>#VALUE!</v>
      </c>
      <c r="DU313" t="e">
        <f>'Printable Overview'!E203+"AM:!12t"</f>
        <v>#VALUE!</v>
      </c>
      <c r="DV313" t="e">
        <f>'Printable Overview'!F203+"AM:!12u"</f>
        <v>#VALUE!</v>
      </c>
      <c r="DW313" t="e">
        <f>'Printable Overview'!G203+"AM:!12v"</f>
        <v>#VALUE!</v>
      </c>
      <c r="DX313" t="e">
        <f>'Printable Overview'!H203+"AM:!12w"</f>
        <v>#VALUE!</v>
      </c>
      <c r="DY313" t="e">
        <f ca="1">'Printable Overview'!A204+"AM:!12x"</f>
        <v>#VALUE!</v>
      </c>
      <c r="DZ313" t="e">
        <f>'Printable Overview'!B204+"AM:!12y"</f>
        <v>#VALUE!</v>
      </c>
      <c r="EA313" t="e">
        <f ca="1">'Printable Overview'!C204+"AM:!12z"</f>
        <v>#VALUE!</v>
      </c>
      <c r="EB313" t="e">
        <f>'Printable Overview'!D204+"AM:!12{"</f>
        <v>#VALUE!</v>
      </c>
      <c r="EC313" t="e">
        <f ca="1">'Printable Overview'!E204+"AM:!12|"</f>
        <v>#VALUE!</v>
      </c>
      <c r="ED313" t="e">
        <f>'Printable Overview'!F204+"AM:!12}"</f>
        <v>#VALUE!</v>
      </c>
      <c r="EE313" t="e">
        <f ca="1">'Printable Overview'!G204+"AM:!12~"</f>
        <v>#VALUE!</v>
      </c>
      <c r="EF313" t="e">
        <f>'Printable Overview'!H204+"AM:!13#"</f>
        <v>#VALUE!</v>
      </c>
      <c r="EG313" t="e">
        <f>'Printable Overview'!A205+"AM:!13$"</f>
        <v>#VALUE!</v>
      </c>
      <c r="EH313" t="e">
        <f>'Printable Overview'!B205+"AM:!13%"</f>
        <v>#VALUE!</v>
      </c>
      <c r="EI313" t="e">
        <f>'Printable Overview'!C205+"AM:!13&amp;"</f>
        <v>#VALUE!</v>
      </c>
      <c r="EJ313" t="e">
        <f>'Printable Overview'!D205+"AM:!13'"</f>
        <v>#VALUE!</v>
      </c>
      <c r="EK313" t="e">
        <f>'Printable Overview'!E205+"AM:!13("</f>
        <v>#VALUE!</v>
      </c>
      <c r="EL313" t="e">
        <f>'Printable Overview'!F205+"AM:!13)"</f>
        <v>#VALUE!</v>
      </c>
      <c r="EM313" t="e">
        <f>'Printable Overview'!G205+"AM:!13."</f>
        <v>#VALUE!</v>
      </c>
      <c r="EN313" t="e">
        <f>'Printable Overview'!H205+"AM:!13/"</f>
        <v>#VALUE!</v>
      </c>
      <c r="EO313" t="e">
        <f>'Printable Overview'!A206+"AM:!130"</f>
        <v>#VALUE!</v>
      </c>
      <c r="EP313" t="e">
        <f>'Printable Overview'!B206+"AM:!131"</f>
        <v>#VALUE!</v>
      </c>
      <c r="EQ313" t="e">
        <f>'Printable Overview'!C206+"AM:!132"</f>
        <v>#VALUE!</v>
      </c>
      <c r="ER313" t="e">
        <f>'Printable Overview'!D206+"AM:!133"</f>
        <v>#VALUE!</v>
      </c>
      <c r="ES313" t="e">
        <f>'Printable Overview'!E206+"AM:!134"</f>
        <v>#VALUE!</v>
      </c>
      <c r="ET313" t="e">
        <f>'Printable Overview'!F206+"AM:!135"</f>
        <v>#VALUE!</v>
      </c>
      <c r="EU313" t="e">
        <f>'Printable Overview'!G206+"AM:!136"</f>
        <v>#VALUE!</v>
      </c>
      <c r="EV313" t="e">
        <f>'Printable Overview'!H206+"AM:!137"</f>
        <v>#VALUE!</v>
      </c>
      <c r="EW313" t="e">
        <f>'Printable Overview'!A207+"AM:!138"</f>
        <v>#VALUE!</v>
      </c>
      <c r="EX313" t="e">
        <f>'Printable Overview'!B207+"AM:!139"</f>
        <v>#VALUE!</v>
      </c>
      <c r="EY313" t="e">
        <f>'Printable Overview'!C207+"AM:!13:"</f>
        <v>#VALUE!</v>
      </c>
      <c r="EZ313" t="e">
        <f>'Printable Overview'!D207+"AM:!13;"</f>
        <v>#VALUE!</v>
      </c>
      <c r="FA313" t="e">
        <f>'Printable Overview'!E207+"AM:!13&lt;"</f>
        <v>#VALUE!</v>
      </c>
      <c r="FB313" t="e">
        <f>'Printable Overview'!F207+"AM:!13="</f>
        <v>#VALUE!</v>
      </c>
      <c r="FC313" t="e">
        <f>'Printable Overview'!G207+"AM:!13&gt;"</f>
        <v>#VALUE!</v>
      </c>
      <c r="FD313" t="e">
        <f>'Printable Overview'!H207+"AM:!13?"</f>
        <v>#VALUE!</v>
      </c>
      <c r="FE313" t="e">
        <f>'Printable Overview'!A208+"AM:!13@"</f>
        <v>#VALUE!</v>
      </c>
      <c r="FF313" t="e">
        <f>'Printable Overview'!B208+"AM:!13A"</f>
        <v>#VALUE!</v>
      </c>
      <c r="FG313" t="e">
        <f>'Printable Overview'!C208+"AM:!13B"</f>
        <v>#VALUE!</v>
      </c>
      <c r="FH313" t="e">
        <f>'Printable Overview'!D208+"AM:!13C"</f>
        <v>#VALUE!</v>
      </c>
      <c r="FI313" t="e">
        <f>'Printable Overview'!E208+"AM:!13D"</f>
        <v>#VALUE!</v>
      </c>
      <c r="FJ313" t="e">
        <f>'Printable Overview'!F208+"AM:!13E"</f>
        <v>#VALUE!</v>
      </c>
      <c r="FK313" t="e">
        <f>'Printable Overview'!G208+"AM:!13F"</f>
        <v>#VALUE!</v>
      </c>
      <c r="FL313" t="e">
        <f>'Printable Overview'!H208+"AM:!13G"</f>
        <v>#VALUE!</v>
      </c>
      <c r="FM313" t="e">
        <f>'Printable Overview'!A209+"AM:!13H"</f>
        <v>#VALUE!</v>
      </c>
      <c r="FN313" t="e">
        <f>'Printable Overview'!B209+"AM:!13I"</f>
        <v>#VALUE!</v>
      </c>
      <c r="FO313" t="e">
        <f>'Printable Overview'!C209+"AM:!13J"</f>
        <v>#VALUE!</v>
      </c>
      <c r="FP313" t="e">
        <f>'Printable Overview'!D209+"AM:!13K"</f>
        <v>#VALUE!</v>
      </c>
      <c r="FQ313" t="e">
        <f>'Printable Overview'!E209+"AM:!13L"</f>
        <v>#VALUE!</v>
      </c>
      <c r="FR313" t="e">
        <f>'Printable Overview'!F209+"AM:!13M"</f>
        <v>#VALUE!</v>
      </c>
      <c r="FS313" t="e">
        <f>'Printable Overview'!G209+"AM:!13N"</f>
        <v>#VALUE!</v>
      </c>
      <c r="FT313" t="e">
        <f>'Printable Overview'!H209+"AM:!13O"</f>
        <v>#VALUE!</v>
      </c>
      <c r="FU313" t="e">
        <f>'Printable Overview'!A210+"AM:!13P"</f>
        <v>#VALUE!</v>
      </c>
      <c r="FV313" t="e">
        <f>'Printable Overview'!B210+"AM:!13Q"</f>
        <v>#VALUE!</v>
      </c>
      <c r="FW313" t="e">
        <f>'Printable Overview'!C210+"AM:!13R"</f>
        <v>#VALUE!</v>
      </c>
      <c r="FX313" t="e">
        <f>'Printable Overview'!D210+"AM:!13S"</f>
        <v>#VALUE!</v>
      </c>
      <c r="FY313" t="e">
        <f>'Printable Overview'!E210+"AM:!13T"</f>
        <v>#VALUE!</v>
      </c>
      <c r="FZ313" t="e">
        <f>'Printable Overview'!F210+"AM:!13U"</f>
        <v>#VALUE!</v>
      </c>
      <c r="GA313" t="e">
        <f>'Printable Overview'!G210+"AM:!13V"</f>
        <v>#VALUE!</v>
      </c>
      <c r="GB313" t="e">
        <f>'Printable Overview'!H210+"AM:!13W"</f>
        <v>#VALUE!</v>
      </c>
      <c r="GC313" t="e">
        <f>'Printable Overview'!A211+"AM:!13X"</f>
        <v>#VALUE!</v>
      </c>
      <c r="GD313" t="e">
        <f>'Printable Overview'!B211+"AM:!13Y"</f>
        <v>#VALUE!</v>
      </c>
      <c r="GE313" t="e">
        <f>'Printable Overview'!C211+"AM:!13Z"</f>
        <v>#VALUE!</v>
      </c>
      <c r="GF313" t="e">
        <f>'Printable Overview'!D211+"AM:!13["</f>
        <v>#VALUE!</v>
      </c>
      <c r="GG313" t="e">
        <f>'Printable Overview'!E211+"AM:!13\"</f>
        <v>#VALUE!</v>
      </c>
      <c r="GH313" t="e">
        <f>'Printable Overview'!F211+"AM:!13]"</f>
        <v>#VALUE!</v>
      </c>
      <c r="GI313" t="e">
        <f>'Printable Overview'!G211+"AM:!13^"</f>
        <v>#VALUE!</v>
      </c>
      <c r="GJ313" t="e">
        <f>'Printable Overview'!H211+"AM:!13_"</f>
        <v>#VALUE!</v>
      </c>
      <c r="GK313" t="e">
        <f>'Printable Overview'!A212+"AM:!13`"</f>
        <v>#VALUE!</v>
      </c>
      <c r="GL313" t="e">
        <f>'Printable Overview'!B212+"AM:!13a"</f>
        <v>#VALUE!</v>
      </c>
      <c r="GM313" t="e">
        <f>'Printable Overview'!C212+"AM:!13b"</f>
        <v>#VALUE!</v>
      </c>
      <c r="GN313" t="e">
        <f>'Printable Overview'!D212+"AM:!13c"</f>
        <v>#VALUE!</v>
      </c>
      <c r="GO313" t="e">
        <f>'Printable Overview'!E212+"AM:!13d"</f>
        <v>#VALUE!</v>
      </c>
      <c r="GP313" t="e">
        <f>'Printable Overview'!F212+"AM:!13e"</f>
        <v>#VALUE!</v>
      </c>
      <c r="GQ313" t="e">
        <f>'Printable Overview'!G212+"AM:!13f"</f>
        <v>#VALUE!</v>
      </c>
      <c r="GR313" t="e">
        <f>'Printable Overview'!H212+"AM:!13g"</f>
        <v>#VALUE!</v>
      </c>
      <c r="GS313" t="e">
        <f>'Printable Overview'!A213+"AM:!13h"</f>
        <v>#VALUE!</v>
      </c>
      <c r="GT313" t="e">
        <f>'Printable Overview'!B213+"AM:!13i"</f>
        <v>#VALUE!</v>
      </c>
      <c r="GU313" t="e">
        <f>'Printable Overview'!C213+"AM:!13j"</f>
        <v>#VALUE!</v>
      </c>
      <c r="GV313" t="e">
        <f>'Printable Overview'!D213+"AM:!13k"</f>
        <v>#VALUE!</v>
      </c>
      <c r="GW313" t="e">
        <f>'Printable Overview'!E213+"AM:!13l"</f>
        <v>#VALUE!</v>
      </c>
      <c r="GX313" t="e">
        <f>'Printable Overview'!F213+"AM:!13m"</f>
        <v>#VALUE!</v>
      </c>
      <c r="GY313" t="e">
        <f>'Printable Overview'!G213+"AM:!13n"</f>
        <v>#VALUE!</v>
      </c>
      <c r="GZ313" t="e">
        <f>'Printable Overview'!H213+"AM:!13o"</f>
        <v>#VALUE!</v>
      </c>
      <c r="HA313" t="e">
        <f>'Printable Overview'!A214+"AM:!13p"</f>
        <v>#VALUE!</v>
      </c>
      <c r="HB313" t="e">
        <f>'Printable Overview'!B214+"AM:!13q"</f>
        <v>#VALUE!</v>
      </c>
      <c r="HC313" t="e">
        <f>'Printable Overview'!C214+"AM:!13r"</f>
        <v>#VALUE!</v>
      </c>
      <c r="HD313" t="e">
        <f>'Printable Overview'!D214+"AM:!13s"</f>
        <v>#VALUE!</v>
      </c>
      <c r="HE313" t="e">
        <f>'Printable Overview'!E214+"AM:!13t"</f>
        <v>#VALUE!</v>
      </c>
      <c r="HF313" t="e">
        <f>'Printable Overview'!F214+"AM:!13u"</f>
        <v>#VALUE!</v>
      </c>
      <c r="HG313" t="e">
        <f>'Printable Overview'!G214+"AM:!13v"</f>
        <v>#VALUE!</v>
      </c>
      <c r="HH313" t="e">
        <f>'Printable Overview'!H214+"AM:!13w"</f>
        <v>#VALUE!</v>
      </c>
      <c r="HI313" t="e">
        <f>'Printable Overview'!A215+"AM:!13x"</f>
        <v>#VALUE!</v>
      </c>
      <c r="HJ313" t="e">
        <f>'Printable Overview'!B215+"AM:!13y"</f>
        <v>#VALUE!</v>
      </c>
      <c r="HK313" t="e">
        <f>'Printable Overview'!C215+"AM:!13z"</f>
        <v>#VALUE!</v>
      </c>
      <c r="HL313" t="e">
        <f>'Printable Overview'!D215+"AM:!13{"</f>
        <v>#VALUE!</v>
      </c>
      <c r="HM313" t="e">
        <f>'Printable Overview'!E215+"AM:!13|"</f>
        <v>#VALUE!</v>
      </c>
      <c r="HN313" t="e">
        <f>'Printable Overview'!F215+"AM:!13}"</f>
        <v>#VALUE!</v>
      </c>
      <c r="HO313" t="e">
        <f>'Printable Overview'!G215+"AM:!13~"</f>
        <v>#VALUE!</v>
      </c>
      <c r="HP313" t="e">
        <f>'Printable Overview'!H215+"AM:!14#"</f>
        <v>#VALUE!</v>
      </c>
      <c r="HQ313" t="e">
        <f>'Printable Overview'!A216+"AM:!14$"</f>
        <v>#VALUE!</v>
      </c>
      <c r="HR313" t="e">
        <f>'Printable Overview'!B216+"AM:!14%"</f>
        <v>#VALUE!</v>
      </c>
      <c r="HS313" t="e">
        <f>'Printable Overview'!C216+"AM:!14&amp;"</f>
        <v>#VALUE!</v>
      </c>
      <c r="HT313" t="e">
        <f>'Printable Overview'!D216+"AM:!14'"</f>
        <v>#VALUE!</v>
      </c>
      <c r="HU313" t="e">
        <f>'Printable Overview'!E216+"AM:!14("</f>
        <v>#VALUE!</v>
      </c>
      <c r="HV313" t="e">
        <f>'Printable Overview'!F216+"AM:!14)"</f>
        <v>#VALUE!</v>
      </c>
      <c r="HW313" t="e">
        <f>'Printable Overview'!G216+"AM:!14."</f>
        <v>#VALUE!</v>
      </c>
      <c r="HX313" t="e">
        <f>'Printable Overview'!H216+"AM:!14/"</f>
        <v>#VALUE!</v>
      </c>
      <c r="HY313" t="e">
        <f>'Printable Overview'!A217+"AM:!140"</f>
        <v>#VALUE!</v>
      </c>
      <c r="HZ313" t="e">
        <f>'Printable Overview'!B217+"AM:!141"</f>
        <v>#VALUE!</v>
      </c>
      <c r="IA313" t="e">
        <f>'Printable Overview'!C217+"AM:!142"</f>
        <v>#VALUE!</v>
      </c>
      <c r="IB313" t="e">
        <f>'Printable Overview'!D217+"AM:!143"</f>
        <v>#VALUE!</v>
      </c>
      <c r="IC313" t="e">
        <f>'Printable Overview'!E217+"AM:!144"</f>
        <v>#VALUE!</v>
      </c>
      <c r="ID313" t="e">
        <f>'Printable Overview'!F217+"AM:!145"</f>
        <v>#VALUE!</v>
      </c>
      <c r="IE313" t="e">
        <f>'Printable Overview'!G217+"AM:!146"</f>
        <v>#VALUE!</v>
      </c>
      <c r="IF313" t="e">
        <f>'Printable Overview'!H217+"AM:!147"</f>
        <v>#VALUE!</v>
      </c>
      <c r="IG313" t="e">
        <f>'Printable Overview'!A218+"AM:!148"</f>
        <v>#VALUE!</v>
      </c>
      <c r="IH313" t="e">
        <f>'Printable Overview'!B218+"AM:!149"</f>
        <v>#VALUE!</v>
      </c>
      <c r="II313" t="e">
        <f>'Printable Overview'!C218+"AM:!14:"</f>
        <v>#VALUE!</v>
      </c>
      <c r="IJ313" t="e">
        <f>'Printable Overview'!D218+"AM:!14;"</f>
        <v>#VALUE!</v>
      </c>
      <c r="IK313" t="e">
        <f>'Printable Overview'!E218+"AM:!14&lt;"</f>
        <v>#VALUE!</v>
      </c>
      <c r="IL313" t="e">
        <f>'Printable Overview'!F218+"AM:!14="</f>
        <v>#VALUE!</v>
      </c>
      <c r="IM313" t="e">
        <f>'Printable Overview'!G218+"AM:!14&gt;"</f>
        <v>#VALUE!</v>
      </c>
      <c r="IN313" t="e">
        <f>'Printable Overview'!H218+"AM:!14?"</f>
        <v>#VALUE!</v>
      </c>
      <c r="IO313" t="e">
        <f>'Printable Overview'!A219+"AM:!14@"</f>
        <v>#VALUE!</v>
      </c>
      <c r="IP313" t="e">
        <f>'Printable Overview'!B219+"AM:!14A"</f>
        <v>#VALUE!</v>
      </c>
      <c r="IQ313" t="e">
        <f>'Printable Overview'!C219+"AM:!14B"</f>
        <v>#VALUE!</v>
      </c>
      <c r="IR313" t="e">
        <f>'Printable Overview'!D219+"AM:!14C"</f>
        <v>#VALUE!</v>
      </c>
      <c r="IS313" t="e">
        <f>'Printable Overview'!E219+"AM:!14D"</f>
        <v>#VALUE!</v>
      </c>
      <c r="IT313" t="e">
        <f>'Printable Overview'!F219+"AM:!14E"</f>
        <v>#VALUE!</v>
      </c>
      <c r="IU313" t="e">
        <f>'Printable Overview'!G219+"AM:!14F"</f>
        <v>#VALUE!</v>
      </c>
      <c r="IV313" t="e">
        <f>'Printable Overview'!H219+"AM:!14G"</f>
        <v>#VALUE!</v>
      </c>
    </row>
    <row r="314" spans="6:256">
      <c r="F314" t="e">
        <f>'Printable Overview'!A220+"AM:!14H"</f>
        <v>#VALUE!</v>
      </c>
      <c r="G314" t="e">
        <f>'Printable Overview'!B220+"AM:!14I"</f>
        <v>#VALUE!</v>
      </c>
      <c r="H314" t="e">
        <f>'Printable Overview'!C220+"AM:!14J"</f>
        <v>#VALUE!</v>
      </c>
      <c r="I314" t="e">
        <f>'Printable Overview'!D220+"AM:!14K"</f>
        <v>#VALUE!</v>
      </c>
      <c r="J314" t="e">
        <f>'Printable Overview'!E220+"AM:!14L"</f>
        <v>#VALUE!</v>
      </c>
      <c r="K314" t="e">
        <f>'Printable Overview'!F220+"AM:!14M"</f>
        <v>#VALUE!</v>
      </c>
      <c r="L314" t="e">
        <f>'Printable Overview'!G220+"AM:!14N"</f>
        <v>#VALUE!</v>
      </c>
      <c r="M314" t="e">
        <f>'Printable Overview'!H220+"AM:!14O"</f>
        <v>#VALUE!</v>
      </c>
      <c r="N314" t="e">
        <f>'Printable Overview'!A221+"AM:!14P"</f>
        <v>#VALUE!</v>
      </c>
      <c r="O314" t="e">
        <f>'Printable Overview'!B221+"AM:!14Q"</f>
        <v>#VALUE!</v>
      </c>
      <c r="P314" t="e">
        <f>'Printable Overview'!C221+"AM:!14R"</f>
        <v>#VALUE!</v>
      </c>
      <c r="Q314" t="e">
        <f>'Printable Overview'!D221+"AM:!14S"</f>
        <v>#VALUE!</v>
      </c>
      <c r="R314" t="e">
        <f>'Printable Overview'!E221+"AM:!14T"</f>
        <v>#VALUE!</v>
      </c>
      <c r="S314" t="e">
        <f>'Printable Overview'!F221+"AM:!14U"</f>
        <v>#VALUE!</v>
      </c>
      <c r="T314" t="e">
        <f>'Printable Overview'!G221+"AM:!14V"</f>
        <v>#VALUE!</v>
      </c>
      <c r="U314" t="e">
        <f>'Printable Overview'!H221+"AM:!14W"</f>
        <v>#VALUE!</v>
      </c>
      <c r="V314" t="e">
        <f>'Printable Overview'!A222+"AM:!14X"</f>
        <v>#VALUE!</v>
      </c>
      <c r="W314" t="e">
        <f>'Printable Overview'!B222+"AM:!14Y"</f>
        <v>#VALUE!</v>
      </c>
      <c r="X314" t="e">
        <f>'Printable Overview'!C222+"AM:!14Z"</f>
        <v>#VALUE!</v>
      </c>
      <c r="Y314" t="e">
        <f>'Printable Overview'!D222+"AM:!14["</f>
        <v>#VALUE!</v>
      </c>
      <c r="Z314" t="e">
        <f>'Printable Overview'!E222+"AM:!14\"</f>
        <v>#VALUE!</v>
      </c>
      <c r="AA314" t="e">
        <f>'Printable Overview'!F222+"AM:!14]"</f>
        <v>#VALUE!</v>
      </c>
      <c r="AB314" t="e">
        <f>'Printable Overview'!G222+"AM:!14^"</f>
        <v>#VALUE!</v>
      </c>
      <c r="AC314" t="e">
        <f>'Printable Overview'!H222+"AM:!14_"</f>
        <v>#VALUE!</v>
      </c>
      <c r="AD314" t="e">
        <f>'Printable Overview'!A223+"AM:!14`"</f>
        <v>#VALUE!</v>
      </c>
      <c r="AE314" t="e">
        <f>'Printable Overview'!B223+"AM:!14a"</f>
        <v>#VALUE!</v>
      </c>
      <c r="AF314" t="e">
        <f>'Printable Overview'!C223+"AM:!14b"</f>
        <v>#VALUE!</v>
      </c>
      <c r="AG314" t="e">
        <f>'Printable Overview'!D223+"AM:!14c"</f>
        <v>#VALUE!</v>
      </c>
      <c r="AH314" t="e">
        <f>'Printable Overview'!E223+"AM:!14d"</f>
        <v>#VALUE!</v>
      </c>
      <c r="AI314" t="e">
        <f>'Printable Overview'!F223+"AM:!14e"</f>
        <v>#VALUE!</v>
      </c>
      <c r="AJ314" t="e">
        <f>'Printable Overview'!G223+"AM:!14f"</f>
        <v>#VALUE!</v>
      </c>
      <c r="AK314" t="e">
        <f>'Printable Overview'!H223+"AM:!14g"</f>
        <v>#VALUE!</v>
      </c>
      <c r="AL314" t="e">
        <f>'Printable Overview'!A224+"AM:!14h"</f>
        <v>#VALUE!</v>
      </c>
      <c r="AM314" t="e">
        <f>'Printable Overview'!B224+"AM:!14i"</f>
        <v>#VALUE!</v>
      </c>
      <c r="AN314" t="e">
        <f>'Printable Overview'!C224+"AM:!14j"</f>
        <v>#VALUE!</v>
      </c>
      <c r="AO314" t="e">
        <f>'Printable Overview'!D224+"AM:!14k"</f>
        <v>#VALUE!</v>
      </c>
      <c r="AP314" t="e">
        <f>'Printable Overview'!E224+"AM:!14l"</f>
        <v>#VALUE!</v>
      </c>
      <c r="AQ314" t="e">
        <f>'Printable Overview'!F224+"AM:!14m"</f>
        <v>#VALUE!</v>
      </c>
      <c r="AR314" t="e">
        <f>'Printable Overview'!G224+"AM:!14n"</f>
        <v>#VALUE!</v>
      </c>
      <c r="AS314" t="e">
        <f>'Printable Overview'!H224+"AM:!14o"</f>
        <v>#VALUE!</v>
      </c>
      <c r="AT314" t="e">
        <f>'Printable Overview'!A225+"AM:!14p"</f>
        <v>#VALUE!</v>
      </c>
      <c r="AU314" t="e">
        <f>'Printable Overview'!B225+"AM:!14q"</f>
        <v>#VALUE!</v>
      </c>
      <c r="AV314" t="e">
        <f>'Printable Overview'!C225+"AM:!14r"</f>
        <v>#VALUE!</v>
      </c>
      <c r="AW314" t="e">
        <f>'Printable Overview'!D225+"AM:!14s"</f>
        <v>#VALUE!</v>
      </c>
      <c r="AX314" t="e">
        <f>'Printable Overview'!E225+"AM:!14t"</f>
        <v>#VALUE!</v>
      </c>
      <c r="AY314" t="e">
        <f>'Printable Overview'!F225+"AM:!14u"</f>
        <v>#VALUE!</v>
      </c>
      <c r="AZ314" t="e">
        <f>'Printable Overview'!G225+"AM:!14v"</f>
        <v>#VALUE!</v>
      </c>
      <c r="BA314" t="e">
        <f>'Printable Overview'!H225+"AM:!14w"</f>
        <v>#VALUE!</v>
      </c>
      <c r="BB314" t="e">
        <f>'Printable Overview'!A226+"AM:!14x"</f>
        <v>#VALUE!</v>
      </c>
      <c r="BC314" t="e">
        <f>'Printable Overview'!B226+"AM:!14y"</f>
        <v>#VALUE!</v>
      </c>
      <c r="BD314" t="e">
        <f>'Printable Overview'!C226+"AM:!14z"</f>
        <v>#VALUE!</v>
      </c>
      <c r="BE314" t="e">
        <f>'Printable Overview'!D226+"AM:!14{"</f>
        <v>#VALUE!</v>
      </c>
      <c r="BF314" t="e">
        <f>'Printable Overview'!E226+"AM:!14|"</f>
        <v>#VALUE!</v>
      </c>
      <c r="BG314" t="e">
        <f>'Printable Overview'!F226+"AM:!14}"</f>
        <v>#VALUE!</v>
      </c>
      <c r="BH314" t="e">
        <f>'Printable Overview'!G226+"AM:!14~"</f>
        <v>#VALUE!</v>
      </c>
      <c r="BI314" t="e">
        <f>'Printable Overview'!H226+"AM:!15#"</f>
        <v>#VALUE!</v>
      </c>
      <c r="BJ314" t="e">
        <f>'Printable Overview'!A227+"AM:!15$"</f>
        <v>#VALUE!</v>
      </c>
      <c r="BK314" t="e">
        <f>'Printable Overview'!B227+"AM:!15%"</f>
        <v>#VALUE!</v>
      </c>
      <c r="BL314" t="e">
        <f>'Printable Overview'!C227+"AM:!15&amp;"</f>
        <v>#VALUE!</v>
      </c>
      <c r="BM314" t="e">
        <f>'Printable Overview'!D227+"AM:!15'"</f>
        <v>#VALUE!</v>
      </c>
      <c r="BN314" t="e">
        <f>'Printable Overview'!E227+"AM:!15("</f>
        <v>#VALUE!</v>
      </c>
      <c r="BO314" t="e">
        <f>'Printable Overview'!F227+"AM:!15)"</f>
        <v>#VALUE!</v>
      </c>
      <c r="BP314" t="e">
        <f>'Printable Overview'!G227+"AM:!15."</f>
        <v>#VALUE!</v>
      </c>
      <c r="BQ314" t="e">
        <f>'Printable Overview'!H227+"AM:!15/"</f>
        <v>#VALUE!</v>
      </c>
      <c r="BR314" t="e">
        <f>'Printable Overview'!A228+"AM:!150"</f>
        <v>#VALUE!</v>
      </c>
      <c r="BS314" t="e">
        <f>'Printable Overview'!B228+"AM:!151"</f>
        <v>#VALUE!</v>
      </c>
      <c r="BT314" t="e">
        <f>'Printable Overview'!C228+"AM:!152"</f>
        <v>#VALUE!</v>
      </c>
      <c r="BU314" t="e">
        <f>'Printable Overview'!D228+"AM:!153"</f>
        <v>#VALUE!</v>
      </c>
      <c r="BV314" t="e">
        <f>'Printable Overview'!E228+"AM:!154"</f>
        <v>#VALUE!</v>
      </c>
      <c r="BW314" t="e">
        <f>'Printable Overview'!F228+"AM:!155"</f>
        <v>#VALUE!</v>
      </c>
      <c r="BX314" t="e">
        <f>'Printable Overview'!G228+"AM:!156"</f>
        <v>#VALUE!</v>
      </c>
      <c r="BY314" t="e">
        <f>'Printable Overview'!H228+"AM:!157"</f>
        <v>#VALUE!</v>
      </c>
      <c r="BZ314" t="e">
        <f>'Printable Overview'!A229+"AM:!158"</f>
        <v>#VALUE!</v>
      </c>
      <c r="CA314" t="e">
        <f>'Printable Overview'!B229+"AM:!159"</f>
        <v>#VALUE!</v>
      </c>
      <c r="CB314" t="e">
        <f>'Printable Overview'!C229+"AM:!15:"</f>
        <v>#VALUE!</v>
      </c>
      <c r="CC314" t="e">
        <f>'Printable Overview'!D229+"AM:!15;"</f>
        <v>#VALUE!</v>
      </c>
      <c r="CD314" t="e">
        <f>'Printable Overview'!E229+"AM:!15&lt;"</f>
        <v>#VALUE!</v>
      </c>
      <c r="CE314" t="e">
        <f>'Printable Overview'!F229+"AM:!15="</f>
        <v>#VALUE!</v>
      </c>
      <c r="CF314" t="e">
        <f>'Printable Overview'!G229+"AM:!15&gt;"</f>
        <v>#VALUE!</v>
      </c>
      <c r="CG314" t="e">
        <f>'Printable Overview'!H229+"AM:!15?"</f>
        <v>#VALUE!</v>
      </c>
      <c r="CH314" t="e">
        <f>'Printable Overview'!A230+"AM:!15@"</f>
        <v>#VALUE!</v>
      </c>
      <c r="CI314" t="e">
        <f>'Printable Overview'!B230+"AM:!15A"</f>
        <v>#VALUE!</v>
      </c>
      <c r="CJ314" t="e">
        <f>'Printable Overview'!C230+"AM:!15B"</f>
        <v>#VALUE!</v>
      </c>
      <c r="CK314" t="e">
        <f>'Printable Overview'!D230+"AM:!15C"</f>
        <v>#VALUE!</v>
      </c>
      <c r="CL314" t="e">
        <f>'Printable Overview'!E230+"AM:!15D"</f>
        <v>#VALUE!</v>
      </c>
      <c r="CM314" t="e">
        <f>'Printable Overview'!F230+"AM:!15E"</f>
        <v>#VALUE!</v>
      </c>
      <c r="CN314" t="e">
        <f>'Printable Overview'!G230+"AM:!15F"</f>
        <v>#VALUE!</v>
      </c>
      <c r="CO314" t="e">
        <f>'Printable Overview'!H230+"AM:!15G"</f>
        <v>#VALUE!</v>
      </c>
      <c r="CP314" t="e">
        <f>'Printable Overview'!A231+"AM:!15H"</f>
        <v>#VALUE!</v>
      </c>
      <c r="CQ314" t="e">
        <f>'Printable Overview'!B231+"AM:!15I"</f>
        <v>#VALUE!</v>
      </c>
      <c r="CR314" t="e">
        <f>'Printable Overview'!C231+"AM:!15J"</f>
        <v>#VALUE!</v>
      </c>
      <c r="CS314" t="e">
        <f>'Printable Overview'!D231+"AM:!15K"</f>
        <v>#VALUE!</v>
      </c>
      <c r="CT314" t="e">
        <f>'Printable Overview'!E231+"AM:!15L"</f>
        <v>#VALUE!</v>
      </c>
      <c r="CU314" t="e">
        <f>'Printable Overview'!F231+"AM:!15M"</f>
        <v>#VALUE!</v>
      </c>
      <c r="CV314" t="e">
        <f>'Printable Overview'!G231+"AM:!15N"</f>
        <v>#VALUE!</v>
      </c>
      <c r="CW314" t="e">
        <f>'Printable Overview'!H231+"AM:!15O"</f>
        <v>#VALUE!</v>
      </c>
      <c r="CX314" t="e">
        <f>'Printable Overview'!A232+"AM:!15P"</f>
        <v>#VALUE!</v>
      </c>
      <c r="CY314" t="e">
        <f>'Printable Overview'!B232+"AM:!15Q"</f>
        <v>#VALUE!</v>
      </c>
      <c r="CZ314" t="e">
        <f>'Printable Overview'!C232+"AM:!15R"</f>
        <v>#VALUE!</v>
      </c>
      <c r="DA314" t="e">
        <f>'Printable Overview'!D232+"AM:!15S"</f>
        <v>#VALUE!</v>
      </c>
      <c r="DB314" t="e">
        <f>'Printable Overview'!E232+"AM:!15T"</f>
        <v>#VALUE!</v>
      </c>
      <c r="DC314" t="e">
        <f>'Printable Overview'!F232+"AM:!15U"</f>
        <v>#VALUE!</v>
      </c>
      <c r="DD314" t="e">
        <f>'Printable Overview'!G232+"AM:!15V"</f>
        <v>#VALUE!</v>
      </c>
      <c r="DE314" t="e">
        <f>'Printable Overview'!H232+"AM:!15W"</f>
        <v>#VALUE!</v>
      </c>
      <c r="DF314" t="e">
        <f>'Printable Overview'!A233+"AM:!15X"</f>
        <v>#VALUE!</v>
      </c>
      <c r="DG314" t="e">
        <f>'Printable Overview'!B233+"AM:!15Y"</f>
        <v>#VALUE!</v>
      </c>
      <c r="DH314" t="e">
        <f>'Printable Overview'!C233+"AM:!15Z"</f>
        <v>#VALUE!</v>
      </c>
      <c r="DI314" t="e">
        <f>'Printable Overview'!D233+"AM:!15["</f>
        <v>#VALUE!</v>
      </c>
      <c r="DJ314" t="e">
        <f>'Printable Overview'!E233+"AM:!15\"</f>
        <v>#VALUE!</v>
      </c>
      <c r="DK314" t="e">
        <f>'Printable Overview'!F233+"AM:!15]"</f>
        <v>#VALUE!</v>
      </c>
      <c r="DL314" t="e">
        <f>'Printable Overview'!G233+"AM:!15^"</f>
        <v>#VALUE!</v>
      </c>
      <c r="DM314" t="e">
        <f>'Printable Overview'!H233+"AM:!15_"</f>
        <v>#VALUE!</v>
      </c>
      <c r="DN314" t="e">
        <f>'Printable Overview'!A234+"AM:!15`"</f>
        <v>#VALUE!</v>
      </c>
      <c r="DO314" t="e">
        <f>'Printable Overview'!B234+"AM:!15a"</f>
        <v>#VALUE!</v>
      </c>
      <c r="DP314" t="e">
        <f>'Printable Overview'!C234+"AM:!15b"</f>
        <v>#VALUE!</v>
      </c>
      <c r="DQ314" t="e">
        <f>'Printable Overview'!D234+"AM:!15c"</f>
        <v>#VALUE!</v>
      </c>
      <c r="DR314" t="e">
        <f>'Printable Overview'!E234+"AM:!15d"</f>
        <v>#VALUE!</v>
      </c>
      <c r="DS314" t="e">
        <f>'Printable Overview'!F234+"AM:!15e"</f>
        <v>#VALUE!</v>
      </c>
      <c r="DT314" t="e">
        <f>'Printable Overview'!G234+"AM:!15f"</f>
        <v>#VALUE!</v>
      </c>
      <c r="DU314" t="e">
        <f>'Printable Overview'!H234+"AM:!15g"</f>
        <v>#VALUE!</v>
      </c>
      <c r="DV314" t="e">
        <f>'Printable Overview'!A235+"AM:!15h"</f>
        <v>#VALUE!</v>
      </c>
      <c r="DW314" t="e">
        <f>'Printable Overview'!B235+"AM:!15i"</f>
        <v>#VALUE!</v>
      </c>
      <c r="DX314" t="e">
        <f>'Printable Overview'!C235+"AM:!15j"</f>
        <v>#VALUE!</v>
      </c>
      <c r="DY314" t="e">
        <f>'Printable Overview'!D235+"AM:!15k"</f>
        <v>#VALUE!</v>
      </c>
      <c r="DZ314" t="e">
        <f>'Printable Overview'!E235+"AM:!15l"</f>
        <v>#VALUE!</v>
      </c>
      <c r="EA314" t="e">
        <f>'Printable Overview'!F235+"AM:!15m"</f>
        <v>#VALUE!</v>
      </c>
      <c r="EB314" t="e">
        <f>'Printable Overview'!G235+"AM:!15n"</f>
        <v>#VALUE!</v>
      </c>
      <c r="EC314" t="e">
        <f>'Printable Overview'!H235+"AM:!15o"</f>
        <v>#VALUE!</v>
      </c>
      <c r="ED314" t="e">
        <f>'Printable Overview'!A236+"AM:!15p"</f>
        <v>#VALUE!</v>
      </c>
      <c r="EE314" t="e">
        <f>'Printable Overview'!B236+"AM:!15q"</f>
        <v>#VALUE!</v>
      </c>
      <c r="EF314" t="e">
        <f>'Printable Overview'!C236+"AM:!15r"</f>
        <v>#VALUE!</v>
      </c>
      <c r="EG314" t="e">
        <f>'Printable Overview'!D236+"AM:!15s"</f>
        <v>#VALUE!</v>
      </c>
      <c r="EH314" t="e">
        <f>'Printable Overview'!E236+"AM:!15t"</f>
        <v>#VALUE!</v>
      </c>
      <c r="EI314" t="e">
        <f>'Printable Overview'!F236+"AM:!15u"</f>
        <v>#VALUE!</v>
      </c>
      <c r="EJ314" t="e">
        <f>'Printable Overview'!G236+"AM:!15v"</f>
        <v>#VALUE!</v>
      </c>
      <c r="EK314" t="e">
        <f>'Printable Overview'!H236+"AM:!15w"</f>
        <v>#VALUE!</v>
      </c>
      <c r="EL314" t="e">
        <f>'Printable Overview'!A237+"AM:!15x"</f>
        <v>#VALUE!</v>
      </c>
      <c r="EM314" t="e">
        <f>'Printable Overview'!B237+"AM:!15y"</f>
        <v>#VALUE!</v>
      </c>
      <c r="EN314" t="e">
        <f>'Printable Overview'!C237+"AM:!15z"</f>
        <v>#VALUE!</v>
      </c>
      <c r="EO314" t="e">
        <f>'Printable Overview'!D237+"AM:!15{"</f>
        <v>#VALUE!</v>
      </c>
      <c r="EP314" t="e">
        <f>'Printable Overview'!E237+"AM:!15|"</f>
        <v>#VALUE!</v>
      </c>
      <c r="EQ314" t="e">
        <f>'Printable Overview'!F237+"AM:!15}"</f>
        <v>#VALUE!</v>
      </c>
      <c r="ER314" t="e">
        <f>'Printable Overview'!G237+"AM:!15~"</f>
        <v>#VALUE!</v>
      </c>
      <c r="ES314" t="e">
        <f>'Printable Overview'!H237+"AM:!16#"</f>
        <v>#VALUE!</v>
      </c>
      <c r="ET314" t="e">
        <f>'Printable Overview'!A238+"AM:!16$"</f>
        <v>#VALUE!</v>
      </c>
      <c r="EU314" t="e">
        <f>'Printable Overview'!B238+"AM:!16%"</f>
        <v>#VALUE!</v>
      </c>
      <c r="EV314" t="e">
        <f>'Printable Overview'!C238+"AM:!16&amp;"</f>
        <v>#VALUE!</v>
      </c>
      <c r="EW314" t="e">
        <f>'Printable Overview'!D238+"AM:!16'"</f>
        <v>#VALUE!</v>
      </c>
      <c r="EX314" t="e">
        <f>'Printable Overview'!E238+"AM:!16("</f>
        <v>#VALUE!</v>
      </c>
      <c r="EY314" t="e">
        <f>'Printable Overview'!F238+"AM:!16)"</f>
        <v>#VALUE!</v>
      </c>
      <c r="EZ314" t="e">
        <f>'Printable Overview'!G238+"AM:!16."</f>
        <v>#VALUE!</v>
      </c>
      <c r="FA314" t="e">
        <f>'Printable Overview'!H238+"AM:!16/"</f>
        <v>#VALUE!</v>
      </c>
      <c r="FB314" t="e">
        <f>'Printable Overview'!A239+"AM:!160"</f>
        <v>#VALUE!</v>
      </c>
      <c r="FC314" t="e">
        <f>'Printable Overview'!B239+"AM:!161"</f>
        <v>#VALUE!</v>
      </c>
      <c r="FD314" t="e">
        <f>'Printable Overview'!C239+"AM:!162"</f>
        <v>#VALUE!</v>
      </c>
      <c r="FE314" t="e">
        <f>'Printable Overview'!D239+"AM:!163"</f>
        <v>#VALUE!</v>
      </c>
      <c r="FF314" t="e">
        <f>'Printable Overview'!E239+"AM:!164"</f>
        <v>#VALUE!</v>
      </c>
      <c r="FG314" t="e">
        <f>'Printable Overview'!F239+"AM:!165"</f>
        <v>#VALUE!</v>
      </c>
      <c r="FH314" t="e">
        <f>'Printable Overview'!G239+"AM:!166"</f>
        <v>#VALUE!</v>
      </c>
      <c r="FI314" t="e">
        <f>'Printable Overview'!H239+"AM:!167"</f>
        <v>#VALUE!</v>
      </c>
      <c r="FJ314" t="e">
        <f>'Printable Overview'!A240+"AM:!168"</f>
        <v>#VALUE!</v>
      </c>
      <c r="FK314" t="e">
        <f>'Printable Overview'!B240+"AM:!169"</f>
        <v>#VALUE!</v>
      </c>
      <c r="FL314" t="e">
        <f>'Printable Overview'!C240+"AM:!16:"</f>
        <v>#VALUE!</v>
      </c>
      <c r="FM314" t="e">
        <f>'Printable Overview'!D240+"AM:!16;"</f>
        <v>#VALUE!</v>
      </c>
      <c r="FN314" t="e">
        <f>'Printable Overview'!E240+"AM:!16&lt;"</f>
        <v>#VALUE!</v>
      </c>
      <c r="FO314" t="e">
        <f>'Printable Overview'!F240+"AM:!16="</f>
        <v>#VALUE!</v>
      </c>
      <c r="FP314" t="e">
        <f>'Printable Overview'!G240+"AM:!16&gt;"</f>
        <v>#VALUE!</v>
      </c>
      <c r="FQ314" t="e">
        <f>'Printable Overview'!H240+"AM:!16?"</f>
        <v>#VALUE!</v>
      </c>
      <c r="FR314" t="e">
        <f>'Printable Overview'!A241+"AM:!16@"</f>
        <v>#VALUE!</v>
      </c>
      <c r="FS314" t="e">
        <f>'Printable Overview'!B241+"AM:!16A"</f>
        <v>#VALUE!</v>
      </c>
      <c r="FT314" t="e">
        <f>'Printable Overview'!C241+"AM:!16B"</f>
        <v>#VALUE!</v>
      </c>
      <c r="FU314" t="e">
        <f>'Printable Overview'!D241+"AM:!16C"</f>
        <v>#VALUE!</v>
      </c>
      <c r="FV314" t="e">
        <f>'Printable Overview'!E241+"AM:!16D"</f>
        <v>#VALUE!</v>
      </c>
      <c r="FW314" t="e">
        <f>'Printable Overview'!F241+"AM:!16E"</f>
        <v>#VALUE!</v>
      </c>
      <c r="FX314" t="e">
        <f>'Printable Overview'!G241+"AM:!16F"</f>
        <v>#VALUE!</v>
      </c>
      <c r="FY314" t="e">
        <f>'Printable Overview'!H241+"AM:!16G"</f>
        <v>#VALUE!</v>
      </c>
      <c r="FZ314" t="e">
        <f>'Printable Overview'!A242+"AM:!16H"</f>
        <v>#VALUE!</v>
      </c>
      <c r="GA314" t="e">
        <f>'Printable Overview'!B242+"AM:!16I"</f>
        <v>#VALUE!</v>
      </c>
      <c r="GB314" t="e">
        <f>'Printable Overview'!C242+"AM:!16J"</f>
        <v>#VALUE!</v>
      </c>
      <c r="GC314" t="e">
        <f>'Printable Overview'!D242+"AM:!16K"</f>
        <v>#VALUE!</v>
      </c>
      <c r="GD314" t="e">
        <f>'Printable Overview'!E242+"AM:!16L"</f>
        <v>#VALUE!</v>
      </c>
      <c r="GE314" t="e">
        <f>'Printable Overview'!F242+"AM:!16M"</f>
        <v>#VALUE!</v>
      </c>
      <c r="GF314" t="e">
        <f>'Printable Overview'!G242+"AM:!16N"</f>
        <v>#VALUE!</v>
      </c>
      <c r="GG314" t="e">
        <f>'Printable Overview'!H242+"AM:!16O"</f>
        <v>#VALUE!</v>
      </c>
      <c r="GH314" t="e">
        <f>'Printable Overview'!A243+"AM:!16P"</f>
        <v>#VALUE!</v>
      </c>
      <c r="GI314" t="e">
        <f>'Printable Overview'!B243+"AM:!16Q"</f>
        <v>#VALUE!</v>
      </c>
      <c r="GJ314" t="e">
        <f>'Printable Overview'!C243+"AM:!16R"</f>
        <v>#VALUE!</v>
      </c>
      <c r="GK314" t="e">
        <f>'Printable Overview'!D243+"AM:!16S"</f>
        <v>#VALUE!</v>
      </c>
      <c r="GL314" t="e">
        <f>'Printable Overview'!E243+"AM:!16T"</f>
        <v>#VALUE!</v>
      </c>
      <c r="GM314" t="e">
        <f>'Printable Overview'!F243+"AM:!16U"</f>
        <v>#VALUE!</v>
      </c>
      <c r="GN314" t="e">
        <f>'Printable Overview'!G243+"AM:!16V"</f>
        <v>#VALUE!</v>
      </c>
      <c r="GO314" t="e">
        <f>'Printable Overview'!H243+"AM:!16W"</f>
        <v>#VALUE!</v>
      </c>
      <c r="GP314" t="e">
        <f>'Printable Overview'!A244+"AM:!16X"</f>
        <v>#VALUE!</v>
      </c>
      <c r="GQ314" t="e">
        <f>'Printable Overview'!B244+"AM:!16Y"</f>
        <v>#VALUE!</v>
      </c>
      <c r="GR314" t="e">
        <f>'Printable Overview'!C244+"AM:!16Z"</f>
        <v>#VALUE!</v>
      </c>
      <c r="GS314" t="e">
        <f>'Printable Overview'!D244+"AM:!16["</f>
        <v>#VALUE!</v>
      </c>
      <c r="GT314" t="e">
        <f>'Printable Overview'!E244+"AM:!16\"</f>
        <v>#VALUE!</v>
      </c>
      <c r="GU314" t="e">
        <f>'Printable Overview'!F244+"AM:!16]"</f>
        <v>#VALUE!</v>
      </c>
      <c r="GV314" t="e">
        <f>'Printable Overview'!G244+"AM:!16^"</f>
        <v>#VALUE!</v>
      </c>
      <c r="GW314" t="e">
        <f>'Printable Overview'!H244+"AM:!16_"</f>
        <v>#VALUE!</v>
      </c>
      <c r="GX314" t="e">
        <f>'Printable Overview'!A246+"AM:!16`"</f>
        <v>#VALUE!</v>
      </c>
      <c r="GY314" t="e">
        <f>'Printable Overview'!B246+"AM:!16a"</f>
        <v>#VALUE!</v>
      </c>
      <c r="GZ314" t="e">
        <f>'Printable Overview'!C246+"AM:!16b"</f>
        <v>#VALUE!</v>
      </c>
      <c r="HA314" t="e">
        <f>'Printable Overview'!D246+"AM:!16c"</f>
        <v>#VALUE!</v>
      </c>
      <c r="HB314" t="e">
        <f>'Printable Overview'!E246+"AM:!16d"</f>
        <v>#VALUE!</v>
      </c>
      <c r="HC314" t="e">
        <f>'Printable Overview'!F246+"AM:!16e"</f>
        <v>#VALUE!</v>
      </c>
      <c r="HD314" t="e">
        <f>'Printable Overview'!G246+"AM:!16f"</f>
        <v>#VALUE!</v>
      </c>
      <c r="HE314" t="e">
        <f>'Printable Overview'!H246+"AM:!16g"</f>
        <v>#VALUE!</v>
      </c>
      <c r="HF314" t="e">
        <f>'Printable Overview'!A247+"AM:!16h"</f>
        <v>#VALUE!</v>
      </c>
      <c r="HG314" t="e">
        <f>'Printable Overview'!B247+"AM:!16i"</f>
        <v>#VALUE!</v>
      </c>
      <c r="HH314" t="e">
        <f>'Printable Overview'!C247+"AM:!16j"</f>
        <v>#VALUE!</v>
      </c>
      <c r="HI314" t="e">
        <f>'Printable Overview'!D247+"AM:!16k"</f>
        <v>#VALUE!</v>
      </c>
      <c r="HJ314" t="e">
        <f>'Printable Overview'!E247+"AM:!16l"</f>
        <v>#VALUE!</v>
      </c>
      <c r="HK314" t="e">
        <f>'Printable Overview'!F247+"AM:!16m"</f>
        <v>#VALUE!</v>
      </c>
      <c r="HL314" t="e">
        <f>'Printable Overview'!G247+"AM:!16n"</f>
        <v>#VALUE!</v>
      </c>
      <c r="HM314" t="e">
        <f>'Printable Overview'!H247+"AM:!16o"</f>
        <v>#VALUE!</v>
      </c>
      <c r="HN314" t="e">
        <f>'Printable Overview'!A248+"AM:!16p"</f>
        <v>#VALUE!</v>
      </c>
      <c r="HO314" t="e">
        <f>'Printable Overview'!B248+"AM:!16q"</f>
        <v>#VALUE!</v>
      </c>
      <c r="HP314" t="e">
        <f>'Printable Overview'!C248+"AM:!16r"</f>
        <v>#VALUE!</v>
      </c>
      <c r="HQ314" t="e">
        <f>'Printable Overview'!D248+"AM:!16s"</f>
        <v>#VALUE!</v>
      </c>
      <c r="HR314" t="e">
        <f>'Printable Overview'!E248+"AM:!16t"</f>
        <v>#VALUE!</v>
      </c>
      <c r="HS314" t="e">
        <f>'Printable Overview'!F248+"AM:!16u"</f>
        <v>#VALUE!</v>
      </c>
      <c r="HT314" t="e">
        <f>'Printable Overview'!G248+"AM:!16v"</f>
        <v>#VALUE!</v>
      </c>
      <c r="HU314" t="e">
        <f>'Printable Overview'!H248+"AM:!16w"</f>
        <v>#VALUE!</v>
      </c>
      <c r="HV314" t="e">
        <f>'Printable Overview'!A249+"AM:!16x"</f>
        <v>#VALUE!</v>
      </c>
      <c r="HW314" t="e">
        <f>'Printable Overview'!B249+"AM:!16y"</f>
        <v>#VALUE!</v>
      </c>
      <c r="HX314" t="e">
        <f>'Printable Overview'!C249+"AM:!16z"</f>
        <v>#VALUE!</v>
      </c>
      <c r="HY314" t="e">
        <f>'Printable Overview'!D249+"AM:!16{"</f>
        <v>#VALUE!</v>
      </c>
      <c r="HZ314" t="e">
        <f>'Printable Overview'!E249+"AM:!16|"</f>
        <v>#VALUE!</v>
      </c>
      <c r="IA314" t="e">
        <f>'Printable Overview'!F249+"AM:!16}"</f>
        <v>#VALUE!</v>
      </c>
      <c r="IB314" t="e">
        <f>'Printable Overview'!G249+"AM:!16~"</f>
        <v>#VALUE!</v>
      </c>
      <c r="IC314" t="e">
        <f>'Printable Overview'!H249+"AM:!17#"</f>
        <v>#VALUE!</v>
      </c>
      <c r="ID314" t="e">
        <f>'Printable Overview'!A250+"AM:!17$"</f>
        <v>#VALUE!</v>
      </c>
      <c r="IE314" t="e">
        <f>'Printable Overview'!B250+"AM:!17%"</f>
        <v>#VALUE!</v>
      </c>
      <c r="IF314" t="e">
        <f>'Printable Overview'!C250+"AM:!17&amp;"</f>
        <v>#VALUE!</v>
      </c>
      <c r="IG314" t="e">
        <f>'Printable Overview'!D250+"AM:!17'"</f>
        <v>#VALUE!</v>
      </c>
      <c r="IH314" t="e">
        <f>'Printable Overview'!E250+"AM:!17("</f>
        <v>#VALUE!</v>
      </c>
      <c r="II314" t="e">
        <f>'Printable Overview'!F250+"AM:!17)"</f>
        <v>#VALUE!</v>
      </c>
      <c r="IJ314" t="e">
        <f>'Printable Overview'!G250+"AM:!17."</f>
        <v>#VALUE!</v>
      </c>
      <c r="IK314" t="e">
        <f>'Printable Overview'!H250+"AM:!17/"</f>
        <v>#VALUE!</v>
      </c>
      <c r="IL314" t="e">
        <f>'Printable Overview'!A251+"AM:!170"</f>
        <v>#VALUE!</v>
      </c>
      <c r="IM314" t="e">
        <f>'Printable Overview'!B251+"AM:!171"</f>
        <v>#VALUE!</v>
      </c>
      <c r="IN314" t="e">
        <f>'Printable Overview'!C251+"AM:!172"</f>
        <v>#VALUE!</v>
      </c>
      <c r="IO314" t="e">
        <f>'Printable Overview'!D251+"AM:!173"</f>
        <v>#VALUE!</v>
      </c>
      <c r="IP314" t="e">
        <f>'Printable Overview'!E251+"AM:!174"</f>
        <v>#VALUE!</v>
      </c>
      <c r="IQ314" t="e">
        <f>'Printable Overview'!F251+"AM:!175"</f>
        <v>#VALUE!</v>
      </c>
      <c r="IR314" t="e">
        <f>'Printable Overview'!G251+"AM:!176"</f>
        <v>#VALUE!</v>
      </c>
      <c r="IS314" t="e">
        <f>'Printable Overview'!H251+"AM:!177"</f>
        <v>#VALUE!</v>
      </c>
      <c r="IT314" t="e">
        <f>'Printable Overview'!A253+"AM:!178"</f>
        <v>#VALUE!</v>
      </c>
      <c r="IU314" t="e">
        <f>'Printable Overview'!B253+"AM:!179"</f>
        <v>#VALUE!</v>
      </c>
      <c r="IV314" t="e">
        <f>'Printable Overview'!C253+"AM:!17:"</f>
        <v>#VALUE!</v>
      </c>
    </row>
    <row r="315" spans="6:256">
      <c r="F315" t="e">
        <f>'Printable Overview'!D253+"AM:!17;"</f>
        <v>#VALUE!</v>
      </c>
      <c r="G315" t="e">
        <f>'Printable Overview'!E253+"AM:!17&lt;"</f>
        <v>#VALUE!</v>
      </c>
      <c r="H315" t="e">
        <f>'Printable Overview'!F253+"AM:!17="</f>
        <v>#VALUE!</v>
      </c>
      <c r="I315" t="e">
        <f>'Printable Overview'!G253+"AM:!17&gt;"</f>
        <v>#VALUE!</v>
      </c>
      <c r="J315" t="e">
        <f>'Printable Overview'!H253+"AM:!17?"</f>
        <v>#VALUE!</v>
      </c>
      <c r="K315" t="e">
        <f>'Printable Overview'!A254+"AM:!17@"</f>
        <v>#VALUE!</v>
      </c>
      <c r="L315" t="e">
        <f>'Printable Overview'!B254+"AM:!17A"</f>
        <v>#VALUE!</v>
      </c>
      <c r="M315" t="e">
        <f>'Printable Overview'!C254+"AM:!17B"</f>
        <v>#VALUE!</v>
      </c>
      <c r="N315" t="e">
        <f>'Printable Overview'!D254+"AM:!17C"</f>
        <v>#VALUE!</v>
      </c>
      <c r="O315" t="e">
        <f>'Printable Overview'!E254+"AM:!17D"</f>
        <v>#VALUE!</v>
      </c>
      <c r="P315" t="e">
        <f>'Printable Overview'!F254+"AM:!17E"</f>
        <v>#VALUE!</v>
      </c>
      <c r="Q315" t="e">
        <f>'Printable Overview'!G254+"AM:!17F"</f>
        <v>#VALUE!</v>
      </c>
      <c r="R315" t="e">
        <f>'Printable Overview'!H254+"AM:!17G"</f>
        <v>#VALUE!</v>
      </c>
      <c r="S315" t="e">
        <f>'Printable Overview'!A255+"AM:!17H"</f>
        <v>#VALUE!</v>
      </c>
      <c r="T315" t="e">
        <f>'Printable Overview'!B255+"AM:!17I"</f>
        <v>#VALUE!</v>
      </c>
      <c r="U315" t="e">
        <f>'Printable Overview'!C255+"AM:!17J"</f>
        <v>#VALUE!</v>
      </c>
      <c r="V315" t="e">
        <f>'Printable Overview'!D255+"AM:!17K"</f>
        <v>#VALUE!</v>
      </c>
      <c r="W315" t="e">
        <f>'Printable Overview'!E255+"AM:!17L"</f>
        <v>#VALUE!</v>
      </c>
      <c r="X315" t="e">
        <f>'Printable Overview'!F255+"AM:!17M"</f>
        <v>#VALUE!</v>
      </c>
      <c r="Y315" t="e">
        <f>'Printable Overview'!G255+"AM:!17N"</f>
        <v>#VALUE!</v>
      </c>
      <c r="Z315" t="e">
        <f>'Printable Overview'!H255+"AM:!17O"</f>
        <v>#VALUE!</v>
      </c>
      <c r="AA315" t="e">
        <f>'Printable Overview'!A256+"AM:!17P"</f>
        <v>#VALUE!</v>
      </c>
      <c r="AB315" t="e">
        <f>'Printable Overview'!B256+"AM:!17Q"</f>
        <v>#VALUE!</v>
      </c>
      <c r="AC315" t="e">
        <f>'Printable Overview'!C256+"AM:!17R"</f>
        <v>#VALUE!</v>
      </c>
      <c r="AD315" t="e">
        <f>'Printable Overview'!D256+"AM:!17S"</f>
        <v>#VALUE!</v>
      </c>
      <c r="AE315" t="e">
        <f>'Printable Overview'!E256+"AM:!17T"</f>
        <v>#VALUE!</v>
      </c>
      <c r="AF315" t="e">
        <f>'Printable Overview'!F256+"AM:!17U"</f>
        <v>#VALUE!</v>
      </c>
      <c r="AG315" t="e">
        <f>'Printable Overview'!G256+"AM:!17V"</f>
        <v>#VALUE!</v>
      </c>
      <c r="AH315" t="e">
        <f>'Printable Overview'!H256+"AM:!17W"</f>
        <v>#VALUE!</v>
      </c>
      <c r="AI315" t="e">
        <f>'Printable Overview'!A257+"AM:!17X"</f>
        <v>#VALUE!</v>
      </c>
      <c r="AJ315" t="e">
        <f>'Printable Overview'!B257+"AM:!17Y"</f>
        <v>#VALUE!</v>
      </c>
      <c r="AK315" t="e">
        <f>'Printable Overview'!C257+"AM:!17Z"</f>
        <v>#VALUE!</v>
      </c>
      <c r="AL315" t="e">
        <f>'Printable Overview'!D257+"AM:!17["</f>
        <v>#VALUE!</v>
      </c>
      <c r="AM315" t="e">
        <f>'Printable Overview'!E257+"AM:!17\"</f>
        <v>#VALUE!</v>
      </c>
      <c r="AN315" t="e">
        <f>'Printable Overview'!F257+"AM:!17]"</f>
        <v>#VALUE!</v>
      </c>
      <c r="AO315" t="e">
        <f>'Printable Overview'!G257+"AM:!17^"</f>
        <v>#VALUE!</v>
      </c>
      <c r="AP315" t="e">
        <f>'Printable Overview'!H257+"AM:!17_"</f>
        <v>#VALUE!</v>
      </c>
      <c r="AQ315" t="e">
        <f>'Printable Overview'!A258+"AM:!17`"</f>
        <v>#VALUE!</v>
      </c>
      <c r="AR315" t="e">
        <f>'Printable Overview'!B258+"AM:!17a"</f>
        <v>#VALUE!</v>
      </c>
      <c r="AS315" t="e">
        <f>'Printable Overview'!C258+"AM:!17b"</f>
        <v>#VALUE!</v>
      </c>
      <c r="AT315" t="e">
        <f>'Printable Overview'!D258+"AM:!17c"</f>
        <v>#VALUE!</v>
      </c>
      <c r="AU315" t="e">
        <f>'Printable Overview'!E258+"AM:!17d"</f>
        <v>#VALUE!</v>
      </c>
      <c r="AV315" t="e">
        <f>'Printable Overview'!F258+"AM:!17e"</f>
        <v>#VALUE!</v>
      </c>
      <c r="AW315" t="e">
        <f>'Printable Overview'!G258+"AM:!17f"</f>
        <v>#VALUE!</v>
      </c>
      <c r="AX315" t="e">
        <f>'Printable Overview'!H258+"AM:!17g"</f>
        <v>#VALUE!</v>
      </c>
      <c r="AY315" t="e">
        <f>'Printable Overview'!A260+"AM:!17h"</f>
        <v>#VALUE!</v>
      </c>
      <c r="AZ315" t="e">
        <f>'Printable Overview'!B260+"AM:!17i"</f>
        <v>#VALUE!</v>
      </c>
      <c r="BA315" t="e">
        <f>'Printable Overview'!C260+"AM:!17j"</f>
        <v>#VALUE!</v>
      </c>
      <c r="BB315" t="e">
        <f>'Printable Overview'!D260+"AM:!17k"</f>
        <v>#VALUE!</v>
      </c>
      <c r="BC315" t="e">
        <f>'Printable Overview'!E260+"AM:!17l"</f>
        <v>#VALUE!</v>
      </c>
      <c r="BD315" t="e">
        <f>'Printable Overview'!F260+"AM:!17m"</f>
        <v>#VALUE!</v>
      </c>
      <c r="BE315" t="e">
        <f>'Printable Overview'!G260+"AM:!17n"</f>
        <v>#VALUE!</v>
      </c>
      <c r="BF315" t="e">
        <f>'Printable Overview'!H260+"AM:!17o"</f>
        <v>#VALUE!</v>
      </c>
      <c r="BG315" t="e">
        <f>'Printable Overview'!A261+"AM:!17p"</f>
        <v>#VALUE!</v>
      </c>
      <c r="BH315" t="e">
        <f>'Printable Overview'!B261+"AM:!17q"</f>
        <v>#VALUE!</v>
      </c>
      <c r="BI315" t="e">
        <f>'Printable Overview'!C261+"AM:!17r"</f>
        <v>#VALUE!</v>
      </c>
      <c r="BJ315" t="e">
        <f>'Printable Overview'!D261+"AM:!17s"</f>
        <v>#VALUE!</v>
      </c>
      <c r="BK315" t="e">
        <f>'Printable Overview'!E261+"AM:!17t"</f>
        <v>#VALUE!</v>
      </c>
      <c r="BL315" t="e">
        <f>'Printable Overview'!F261+"AM:!17u"</f>
        <v>#VALUE!</v>
      </c>
      <c r="BM315" t="e">
        <f>'Printable Overview'!G261+"AM:!17v"</f>
        <v>#VALUE!</v>
      </c>
      <c r="BN315" t="e">
        <f>'Printable Overview'!H261+"AM:!17w"</f>
        <v>#VALUE!</v>
      </c>
      <c r="BO315" t="e">
        <f>'Printable Overview'!A262+"AM:!17x"</f>
        <v>#VALUE!</v>
      </c>
      <c r="BP315" t="e">
        <f>'Printable Overview'!B262+"AM:!17y"</f>
        <v>#VALUE!</v>
      </c>
      <c r="BQ315" t="e">
        <f>'Printable Overview'!C262+"AM:!17z"</f>
        <v>#VALUE!</v>
      </c>
      <c r="BR315" t="e">
        <f>'Printable Overview'!D262+"AM:!17{"</f>
        <v>#VALUE!</v>
      </c>
      <c r="BS315" t="e">
        <f>'Printable Overview'!E262+"AM:!17|"</f>
        <v>#VALUE!</v>
      </c>
      <c r="BT315" t="e">
        <f>'Printable Overview'!F262+"AM:!17}"</f>
        <v>#VALUE!</v>
      </c>
      <c r="BU315" t="e">
        <f>'Printable Overview'!G262+"AM:!17~"</f>
        <v>#VALUE!</v>
      </c>
      <c r="BV315" t="e">
        <f>'Printable Overview'!H262+"AM:!18#"</f>
        <v>#VALUE!</v>
      </c>
      <c r="BW315" t="e">
        <f>'Printable Overview'!A263+"AM:!18$"</f>
        <v>#VALUE!</v>
      </c>
      <c r="BX315" t="e">
        <f>'Printable Overview'!B263+"AM:!18%"</f>
        <v>#VALUE!</v>
      </c>
      <c r="BY315" t="e">
        <f>'Printable Overview'!C263+"AM:!18&amp;"</f>
        <v>#VALUE!</v>
      </c>
      <c r="BZ315" t="e">
        <f>'Printable Overview'!D263+"AM:!18'"</f>
        <v>#VALUE!</v>
      </c>
      <c r="CA315" t="e">
        <f>'Printable Overview'!E263+"AM:!18("</f>
        <v>#VALUE!</v>
      </c>
      <c r="CB315" t="e">
        <f>'Printable Overview'!F263+"AM:!18)"</f>
        <v>#VALUE!</v>
      </c>
      <c r="CC315" t="e">
        <f>'Printable Overview'!G263+"AM:!18."</f>
        <v>#VALUE!</v>
      </c>
      <c r="CD315" t="e">
        <f>'Printable Overview'!H263+"AM:!18/"</f>
        <v>#VALUE!</v>
      </c>
      <c r="CE315" t="e">
        <f>'Printable Overview'!A264+"AM:!180"</f>
        <v>#VALUE!</v>
      </c>
      <c r="CF315" t="e">
        <f>'Printable Overview'!B264+"AM:!181"</f>
        <v>#VALUE!</v>
      </c>
      <c r="CG315" t="e">
        <f>'Printable Overview'!C264+"AM:!182"</f>
        <v>#VALUE!</v>
      </c>
      <c r="CH315" t="e">
        <f>'Printable Overview'!D264+"AM:!183"</f>
        <v>#VALUE!</v>
      </c>
      <c r="CI315" t="e">
        <f>'Printable Overview'!E264+"AM:!184"</f>
        <v>#VALUE!</v>
      </c>
      <c r="CJ315" t="e">
        <f>'Printable Overview'!F264+"AM:!185"</f>
        <v>#VALUE!</v>
      </c>
      <c r="CK315" t="e">
        <f>'Printable Overview'!G264+"AM:!186"</f>
        <v>#VALUE!</v>
      </c>
      <c r="CL315" t="e">
        <f>'Printable Overview'!H264+"AM:!187"</f>
        <v>#VALUE!</v>
      </c>
      <c r="CM315" t="e">
        <f>'Printable Overview'!A265+"AM:!188"</f>
        <v>#VALUE!</v>
      </c>
      <c r="CN315" t="e">
        <f>'Printable Overview'!B265+"AM:!189"</f>
        <v>#VALUE!</v>
      </c>
      <c r="CO315" t="e">
        <f>'Printable Overview'!C265+"AM:!18:"</f>
        <v>#VALUE!</v>
      </c>
      <c r="CP315" t="e">
        <f>'Printable Overview'!D265+"AM:!18;"</f>
        <v>#VALUE!</v>
      </c>
      <c r="CQ315" t="e">
        <f>'Printable Overview'!E265+"AM:!18&lt;"</f>
        <v>#VALUE!</v>
      </c>
      <c r="CR315" t="e">
        <f>'Printable Overview'!F265+"AM:!18="</f>
        <v>#VALUE!</v>
      </c>
      <c r="CS315" t="e">
        <f>'Printable Overview'!G265+"AM:!18&gt;"</f>
        <v>#VALUE!</v>
      </c>
      <c r="CT315" t="e">
        <f>'Printable Overview'!H265+"AM:!18?"</f>
        <v>#VALUE!</v>
      </c>
      <c r="CU315" t="e">
        <f>'Printable Overview'!A266+"AM:!18@"</f>
        <v>#VALUE!</v>
      </c>
      <c r="CV315" t="e">
        <f>'Printable Overview'!B266+"AM:!18A"</f>
        <v>#VALUE!</v>
      </c>
      <c r="CW315" t="e">
        <f>'Printable Overview'!C266+"AM:!18B"</f>
        <v>#VALUE!</v>
      </c>
      <c r="CX315" t="e">
        <f>'Printable Overview'!D266+"AM:!18C"</f>
        <v>#VALUE!</v>
      </c>
      <c r="CY315" t="e">
        <f>'Printable Overview'!E266+"AM:!18D"</f>
        <v>#VALUE!</v>
      </c>
      <c r="CZ315" t="e">
        <f>'Printable Overview'!F266+"AM:!18E"</f>
        <v>#VALUE!</v>
      </c>
      <c r="DA315" t="e">
        <f>'Printable Overview'!G266+"AM:!18F"</f>
        <v>#VALUE!</v>
      </c>
      <c r="DB315" t="e">
        <f>'Printable Overview'!H266+"AM:!18G"</f>
        <v>#VALUE!</v>
      </c>
      <c r="DC315" t="e">
        <f>'Printable Customer Report'!A:A*"AM:!18J"</f>
        <v>#VALUE!</v>
      </c>
      <c r="DD315" t="e">
        <f>'Printable Customer Report'!B:B*"AM:!18K"</f>
        <v>#VALUE!</v>
      </c>
      <c r="DE315" t="e">
        <f>'Printable Customer Report'!C:C*"AM:!18L"</f>
        <v>#VALUE!</v>
      </c>
      <c r="DF315" t="e">
        <f>'Printable Customer Report'!D:D*"AM:!18M"</f>
        <v>#VALUE!</v>
      </c>
      <c r="DG315" t="e">
        <f>'Printable Customer Report'!E:E*"AM:!18N"</f>
        <v>#VALUE!</v>
      </c>
      <c r="DH315" t="e">
        <f>'Printable Customer Report'!F:F*"AM:!18O"</f>
        <v>#VALUE!</v>
      </c>
      <c r="DI315" t="e">
        <f>'Printable Customer Report'!G:G*"AM:!18P"</f>
        <v>#VALUE!</v>
      </c>
      <c r="DJ315" t="e">
        <f>'Printable Customer Report'!H:H*"AM:!18Q"</f>
        <v>#VALUE!</v>
      </c>
      <c r="DK315" t="e">
        <f>'Printable Customer Report'!I:I*"AM:!18R"</f>
        <v>#VALUE!</v>
      </c>
      <c r="DL315" t="e">
        <f>'Printable Customer Report'!J:J*"AM:!18S"</f>
        <v>#VALUE!</v>
      </c>
      <c r="DM315" t="e">
        <f>'Printable Customer Report'!K:K*"AM:!18T"</f>
        <v>#VALUE!</v>
      </c>
      <c r="DN315" t="e">
        <f>'Printable Customer Report'!L:L*"AM:!18U"</f>
        <v>#VALUE!</v>
      </c>
      <c r="DO315" t="e">
        <f>'Printable Customer Report'!M:M*"AM:!18V"</f>
        <v>#VALUE!</v>
      </c>
      <c r="DP315" t="e">
        <f>'Printable Customer Report'!N:N*"AM:!18W"</f>
        <v>#VALUE!</v>
      </c>
      <c r="DQ315" t="e">
        <f>'Printable Customer Report'!O:O*"AM:!18X"</f>
        <v>#VALUE!</v>
      </c>
      <c r="DR315" t="e">
        <f>'Printable Customer Report'!P:P*"AM:!18Y"</f>
        <v>#VALUE!</v>
      </c>
      <c r="DS315" t="e">
        <f>'Printable Customer Report'!Q:Q*"AM:!18Z"</f>
        <v>#VALUE!</v>
      </c>
      <c r="DT315" t="e">
        <f>'Printable Customer Report'!R:R*"AM:!18["</f>
        <v>#VALUE!</v>
      </c>
      <c r="DU315" t="e">
        <f>'Printable Customer Report'!S:S*"AM:!18\"</f>
        <v>#VALUE!</v>
      </c>
      <c r="DV315" t="e">
        <f>'Printable Customer Report'!T:T*"AM:!18]"</f>
        <v>#VALUE!</v>
      </c>
      <c r="DW315" t="e">
        <f>'Printable Customer Report'!U:U*"AM:!18^"</f>
        <v>#VALUE!</v>
      </c>
      <c r="DX315" t="e">
        <f>'Printable Customer Report'!V:V*"AM:!18_"</f>
        <v>#VALUE!</v>
      </c>
      <c r="DY315" t="e">
        <f>'Printable Customer Report'!W:W*"AM:!18`"</f>
        <v>#VALUE!</v>
      </c>
      <c r="DZ315" t="e">
        <f>'Printable Customer Report'!X:X*"AM:!18a"</f>
        <v>#VALUE!</v>
      </c>
      <c r="EA315" t="e">
        <f>'Printable Customer Report'!Y:Y*"AM:!18b"</f>
        <v>#VALUE!</v>
      </c>
      <c r="EB315" t="e">
        <f>'Printable Customer Report'!Z:Z*"AM:!18c"</f>
        <v>#VALUE!</v>
      </c>
      <c r="EC315" t="e">
        <f>'Printable Customer Report'!AA:AA*"AM:!18d"</f>
        <v>#VALUE!</v>
      </c>
      <c r="ED315" t="e">
        <f>'Printable Customer Report'!AB:AB*"AM:!18e"</f>
        <v>#VALUE!</v>
      </c>
      <c r="EE315" t="e">
        <f>'Printable Customer Report'!AC:AC*"AM:!18f"</f>
        <v>#VALUE!</v>
      </c>
      <c r="EF315" t="e">
        <f>'Printable Customer Report'!AD:AD*"AM:!18g"</f>
        <v>#VALUE!</v>
      </c>
      <c r="EG315" t="e">
        <f>'Printable Customer Report'!AE:AE*"AM:!18h"</f>
        <v>#VALUE!</v>
      </c>
      <c r="EH315" t="e">
        <f>'Printable Customer Report'!AF:AF*"AM:!18i"</f>
        <v>#VALUE!</v>
      </c>
      <c r="EI315" t="e">
        <f>'Printable Customer Report'!AG:AG*"AM:!18j"</f>
        <v>#VALUE!</v>
      </c>
      <c r="EJ315" t="e">
        <f>'Printable Customer Report'!AH:AH*"AM:!18k"</f>
        <v>#VALUE!</v>
      </c>
      <c r="EK315" t="e">
        <f>'Printable Customer Report'!AI:AI*"AM:!18l"</f>
        <v>#VALUE!</v>
      </c>
      <c r="EL315" t="e">
        <f>'Printable Customer Report'!AJ:AJ*"AM:!18m"</f>
        <v>#VALUE!</v>
      </c>
      <c r="EM315" t="e">
        <f>'Printable Customer Report'!AK:AK*"AM:!18n"</f>
        <v>#VALUE!</v>
      </c>
      <c r="EN315" t="e">
        <f>'Printable Customer Report'!AL:AL*"AM:!18o"</f>
        <v>#VALUE!</v>
      </c>
      <c r="EO315" t="e">
        <f>'Printable Customer Report'!AM:AM*"AM:!18p"</f>
        <v>#VALUE!</v>
      </c>
      <c r="EP315" t="e">
        <f>'Printable Customer Report'!AN:AN*"AM:!18q"</f>
        <v>#VALUE!</v>
      </c>
      <c r="EQ315" t="e">
        <f>'Printable Customer Report'!AO:AO*"AM:!18r"</f>
        <v>#VALUE!</v>
      </c>
      <c r="ER315" t="e">
        <f>'Printable Customer Report'!AP:AP*"AM:!18s"</f>
        <v>#VALUE!</v>
      </c>
      <c r="ES315" t="e">
        <f>'Printable Customer Report'!AQ:AQ*"AM:!18t"</f>
        <v>#VALUE!</v>
      </c>
      <c r="ET315" t="e">
        <f>'Printable Customer Report'!AR:AR*"AM:!18u"</f>
        <v>#VALUE!</v>
      </c>
      <c r="EU315" t="e">
        <f>'Printable Customer Report'!AS:AS*"AM:!18v"</f>
        <v>#VALUE!</v>
      </c>
      <c r="EV315" t="e">
        <f>'Printable Customer Report'!AT:AT*"AM:!18w"</f>
        <v>#VALUE!</v>
      </c>
      <c r="EW315" t="e">
        <f>'Printable Customer Report'!AU:AU*"AM:!18x"</f>
        <v>#VALUE!</v>
      </c>
      <c r="EX315" t="e">
        <f>'Printable Customer Report'!AV:AV*"AM:!18y"</f>
        <v>#VALUE!</v>
      </c>
      <c r="EY315" t="e">
        <f>'Printable Customer Report'!AW:AW*"AM:!18z"</f>
        <v>#VALUE!</v>
      </c>
      <c r="EZ315" t="e">
        <f>'Printable Customer Report'!AX:AX*"AM:!18{"</f>
        <v>#VALUE!</v>
      </c>
      <c r="FA315" t="e">
        <f>'Printable Customer Report'!AY:AY*"AM:!18|"</f>
        <v>#VALUE!</v>
      </c>
      <c r="FB315" t="e">
        <f>'Printable Customer Report'!AZ:AZ*"AM:!18}"</f>
        <v>#VALUE!</v>
      </c>
      <c r="FC315" t="e">
        <f>'Printable Customer Report'!BA:BA*"AM:!18~"</f>
        <v>#VALUE!</v>
      </c>
      <c r="FD315" t="e">
        <f>'Printable Customer Report'!BB:BB*"AM:!19#"</f>
        <v>#VALUE!</v>
      </c>
      <c r="FE315" t="e">
        <f>'Printable Customer Report'!BC:BC*"AM:!19$"</f>
        <v>#VALUE!</v>
      </c>
      <c r="FF315" t="e">
        <f>'Printable Customer Report'!BD:BD*"AM:!19%"</f>
        <v>#VALUE!</v>
      </c>
      <c r="FG315" t="e">
        <f>'Printable Customer Report'!BE:BE*"AM:!19&amp;"</f>
        <v>#VALUE!</v>
      </c>
      <c r="FH315" t="e">
        <f>'Printable Customer Report'!BF:BF*"AM:!19'"</f>
        <v>#VALUE!</v>
      </c>
      <c r="FI315" t="e">
        <f>'Printable Customer Report'!BG:BG*"AM:!19("</f>
        <v>#VALUE!</v>
      </c>
      <c r="FJ315" t="e">
        <f>'Printable Customer Report'!BH:BH*"AM:!19)"</f>
        <v>#VALUE!</v>
      </c>
      <c r="FK315" t="e">
        <f>'Printable Customer Report'!BI:BI*"AM:!19."</f>
        <v>#VALUE!</v>
      </c>
      <c r="FL315" t="e">
        <f>'Printable Customer Report'!BJ:BJ*"AM:!19/"</f>
        <v>#VALUE!</v>
      </c>
      <c r="FM315" t="e">
        <f>'Printable Customer Report'!BK:BK*"AM:!190"</f>
        <v>#VALUE!</v>
      </c>
      <c r="FN315" t="e">
        <f>'Printable Customer Report'!BL:BL*"AM:!191"</f>
        <v>#VALUE!</v>
      </c>
      <c r="FO315" t="e">
        <f>'Printable Customer Report'!BM:BM*"AM:!192"</f>
        <v>#VALUE!</v>
      </c>
      <c r="FP315" t="e">
        <f>'Printable Customer Report'!BN:BN*"AM:!193"</f>
        <v>#VALUE!</v>
      </c>
      <c r="FQ315" t="e">
        <f>'Printable Customer Report'!BO:BO*"AM:!194"</f>
        <v>#VALUE!</v>
      </c>
      <c r="FR315" t="e">
        <f>'Printable Customer Report'!BP:BP*"AM:!195"</f>
        <v>#VALUE!</v>
      </c>
      <c r="FS315" t="e">
        <f>'Printable Customer Report'!BQ:BQ*"AM:!196"</f>
        <v>#VALUE!</v>
      </c>
      <c r="FT315" t="e">
        <f>'Printable Customer Report'!BR:BR*"AM:!197"</f>
        <v>#VALUE!</v>
      </c>
      <c r="FU315" t="e">
        <f>'Printable Customer Report'!1:1-"AM:!198"</f>
        <v>#VALUE!</v>
      </c>
      <c r="FV315" t="e">
        <f>'Printable Customer Report'!2:2-"AM:!199"</f>
        <v>#VALUE!</v>
      </c>
      <c r="FW315" t="e">
        <f>'Printable Customer Report'!3:3-"AM:!19:"</f>
        <v>#VALUE!</v>
      </c>
      <c r="FX315" t="e">
        <f>'Printable Customer Report'!4:4-"AM:!19;"</f>
        <v>#VALUE!</v>
      </c>
      <c r="FY315" t="e">
        <f>'Printable Customer Report'!5:5-"AM:!19&lt;"</f>
        <v>#VALUE!</v>
      </c>
      <c r="FZ315" t="e">
        <f>'Printable Customer Report'!6:6-"AM:!19="</f>
        <v>#VALUE!</v>
      </c>
      <c r="GA315" t="e">
        <f>'Printable Customer Report'!7:7-"AM:!19&gt;"</f>
        <v>#VALUE!</v>
      </c>
      <c r="GB315" t="e">
        <f>'Printable Customer Report'!8:8-"AM:!19?"</f>
        <v>#VALUE!</v>
      </c>
      <c r="GC315" t="e">
        <f>'Printable Customer Report'!9:9-"AM:!19@"</f>
        <v>#VALUE!</v>
      </c>
      <c r="GD315" t="e">
        <f>'Printable Customer Report'!10:10-"AM:!19A"</f>
        <v>#VALUE!</v>
      </c>
      <c r="GE315" t="e">
        <f>'Printable Customer Report'!11:11-"AM:!19B"</f>
        <v>#VALUE!</v>
      </c>
      <c r="GF315" t="e">
        <f>'Printable Customer Report'!12:12-"AM:!19C"</f>
        <v>#VALUE!</v>
      </c>
      <c r="GG315" t="e">
        <f>'Printable Customer Report'!13:13-"AM:!19D"</f>
        <v>#VALUE!</v>
      </c>
      <c r="GH315" t="e">
        <f>'Printable Customer Report'!14:14-"AM:!19E"</f>
        <v>#VALUE!</v>
      </c>
      <c r="GI315" t="e">
        <f>'Printable Customer Report'!15:15-"AM:!19F"</f>
        <v>#VALUE!</v>
      </c>
      <c r="GJ315" t="e">
        <f>'Printable Customer Report'!16:16-"AM:!19G"</f>
        <v>#VALUE!</v>
      </c>
      <c r="GK315" t="e">
        <f>'Printable Customer Report'!17:17-"AM:!19H"</f>
        <v>#VALUE!</v>
      </c>
      <c r="GL315" t="e">
        <f>'Printable Customer Report'!18:18-"AM:!19I"</f>
        <v>#VALUE!</v>
      </c>
      <c r="GM315" t="e">
        <f>'Printable Customer Report'!19:19-"AM:!19J"</f>
        <v>#VALUE!</v>
      </c>
      <c r="GN315" t="e">
        <f>'Printable Customer Report'!20:20-"AM:!19K"</f>
        <v>#VALUE!</v>
      </c>
      <c r="GO315" t="e">
        <f>'Printable Customer Report'!21:21-"AM:!19L"</f>
        <v>#VALUE!</v>
      </c>
      <c r="GP315" t="e">
        <f>'Printable Customer Report'!22:22-"AM:!19M"</f>
        <v>#VALUE!</v>
      </c>
      <c r="GQ315" t="e">
        <f>'Printable Customer Report'!23:23-"AM:!19N"</f>
        <v>#VALUE!</v>
      </c>
      <c r="GR315" t="e">
        <f>'Printable Customer Report'!24:24-"AM:!19O"</f>
        <v>#VALUE!</v>
      </c>
      <c r="GS315" t="e">
        <f>'Printable Customer Report'!25:25-"AM:!19P"</f>
        <v>#VALUE!</v>
      </c>
      <c r="GT315" t="e">
        <f>'Printable Customer Report'!26:26-"AM:!19Q"</f>
        <v>#VALUE!</v>
      </c>
      <c r="GU315" t="e">
        <f>'Printable Customer Report'!27:27-"AM:!19R"</f>
        <v>#VALUE!</v>
      </c>
      <c r="GV315" t="e">
        <f>'Printable Customer Report'!28:28-"AM:!19S"</f>
        <v>#VALUE!</v>
      </c>
      <c r="GW315" t="e">
        <f>'Printable Customer Report'!29:29-"AM:!19T"</f>
        <v>#VALUE!</v>
      </c>
      <c r="GX315" t="e">
        <f>'Printable Customer Report'!30:30-"AM:!19U"</f>
        <v>#VALUE!</v>
      </c>
      <c r="GY315" t="e">
        <f>'Printable Customer Report'!31:31-"AM:!19V"</f>
        <v>#VALUE!</v>
      </c>
      <c r="GZ315" t="e">
        <f>'Printable Customer Report'!32:32-"AM:!19W"</f>
        <v>#VALUE!</v>
      </c>
      <c r="HA315" t="e">
        <f>'Printable Customer Report'!33:33-"AM:!19X"</f>
        <v>#VALUE!</v>
      </c>
      <c r="HB315" t="e">
        <f>'Printable Customer Report'!34:34-"AM:!19Y"</f>
        <v>#VALUE!</v>
      </c>
      <c r="HC315" t="e">
        <f>'Printable Customer Report'!35:35-"AM:!19Z"</f>
        <v>#VALUE!</v>
      </c>
      <c r="HD315" t="e">
        <f>'Printable Customer Report'!36:36-"AM:!19["</f>
        <v>#VALUE!</v>
      </c>
      <c r="HE315" t="e">
        <f>'Printable Customer Report'!37:37-"AM:!19\"</f>
        <v>#VALUE!</v>
      </c>
      <c r="HF315" t="e">
        <f>'Printable Customer Report'!38:38-"AM:!19]"</f>
        <v>#VALUE!</v>
      </c>
      <c r="HG315" t="e">
        <f>'Printable Customer Report'!39:39-"AM:!19^"</f>
        <v>#VALUE!</v>
      </c>
      <c r="HH315" t="e">
        <f>'Printable Customer Report'!40:40-"AM:!19_"</f>
        <v>#VALUE!</v>
      </c>
      <c r="HI315" t="e">
        <f>'Printable Customer Report'!41:41-"AM:!19`"</f>
        <v>#VALUE!</v>
      </c>
      <c r="HJ315" t="e">
        <f>'Printable Customer Report'!42:42-"AM:!19a"</f>
        <v>#VALUE!</v>
      </c>
      <c r="HK315" t="e">
        <f>'Printable Customer Report'!43:43-"AM:!19b"</f>
        <v>#VALUE!</v>
      </c>
      <c r="HL315" t="e">
        <f>'Printable Customer Report'!44:44-"AM:!19c"</f>
        <v>#VALUE!</v>
      </c>
      <c r="HM315" t="e">
        <f>'Printable Customer Report'!45:45-"AM:!19d"</f>
        <v>#VALUE!</v>
      </c>
      <c r="HN315" t="e">
        <f>'Printable Customer Report'!46:46-"AM:!19e"</f>
        <v>#VALUE!</v>
      </c>
      <c r="HO315" t="e">
        <f>'Printable Customer Report'!47:47-"AM:!19f"</f>
        <v>#VALUE!</v>
      </c>
      <c r="HP315" t="e">
        <f>'Printable Customer Report'!48:48-"AM:!19g"</f>
        <v>#VALUE!</v>
      </c>
      <c r="HQ315" t="e">
        <f>'Printable Customer Report'!49:49-"AM:!19h"</f>
        <v>#VALUE!</v>
      </c>
      <c r="HR315" t="e">
        <f>'Printable Customer Report'!50:50-"AM:!19i"</f>
        <v>#VALUE!</v>
      </c>
      <c r="HS315" t="e">
        <f>'Printable Customer Report'!51:51-"AM:!19j"</f>
        <v>#VALUE!</v>
      </c>
      <c r="HT315" t="e">
        <f>'Printable Customer Report'!52:52-"AM:!19k"</f>
        <v>#VALUE!</v>
      </c>
      <c r="HU315" t="e">
        <f>'Printable Customer Report'!53:53-"AM:!19l"</f>
        <v>#VALUE!</v>
      </c>
      <c r="HV315" t="e">
        <f>'Printable Customer Report'!54:54-"AM:!19m"</f>
        <v>#VALUE!</v>
      </c>
      <c r="HW315" t="e">
        <f>'Printable Customer Report'!55:55-"AM:!19n"</f>
        <v>#VALUE!</v>
      </c>
      <c r="HX315" t="e">
        <f>'Printable Customer Report'!56:56-"AM:!19o"</f>
        <v>#VALUE!</v>
      </c>
      <c r="HY315" t="e">
        <f>'Printable Customer Report'!57:57-"AM:!19p"</f>
        <v>#VALUE!</v>
      </c>
      <c r="HZ315" t="e">
        <f>'Printable Customer Report'!58:58-"AM:!19q"</f>
        <v>#VALUE!</v>
      </c>
      <c r="IA315" t="e">
        <f>'Printable Customer Report'!59:59-"AM:!19r"</f>
        <v>#VALUE!</v>
      </c>
      <c r="IB315" t="e">
        <f>'Printable Customer Report'!60:60-"AM:!19s"</f>
        <v>#VALUE!</v>
      </c>
      <c r="IC315" t="e">
        <f>'Printable Customer Report'!61:61-"AM:!19t"</f>
        <v>#VALUE!</v>
      </c>
      <c r="ID315" t="e">
        <f>'Printable Customer Report'!62:62-"AM:!19u"</f>
        <v>#VALUE!</v>
      </c>
      <c r="IE315" t="e">
        <f>'Printable Customer Report'!63:63-"AM:!19v"</f>
        <v>#VALUE!</v>
      </c>
      <c r="IF315" t="e">
        <f>'Printable Customer Report'!64:64-"AM:!19w"</f>
        <v>#VALUE!</v>
      </c>
      <c r="IG315" t="e">
        <f>'Printable Customer Report'!65:65-"AM:!19x"</f>
        <v>#VALUE!</v>
      </c>
      <c r="IH315" t="e">
        <f>'Printable Customer Report'!66:66-"AM:!19y"</f>
        <v>#VALUE!</v>
      </c>
      <c r="II315" t="e">
        <f>'Printable Customer Report'!67:67-"AM:!19z"</f>
        <v>#VALUE!</v>
      </c>
      <c r="IJ315" t="e">
        <f>'Printable Customer Report'!68:68-"AM:!19{"</f>
        <v>#VALUE!</v>
      </c>
      <c r="IK315" t="e">
        <f>'Printable Customer Report'!69:69-"AM:!19|"</f>
        <v>#VALUE!</v>
      </c>
      <c r="IL315" t="e">
        <f>'Printable Customer Report'!70:70-"AM:!19}"</f>
        <v>#VALUE!</v>
      </c>
      <c r="IM315" t="e">
        <f>'Printable Customer Report'!71:71-"AM:!19~"</f>
        <v>#VALUE!</v>
      </c>
      <c r="IN315" t="e">
        <f>'Printable Customer Report'!72:72-"AM:!1:#"</f>
        <v>#VALUE!</v>
      </c>
      <c r="IO315" t="e">
        <f>'Printable Customer Report'!73:73-"AM:!1:$"</f>
        <v>#VALUE!</v>
      </c>
      <c r="IP315" t="e">
        <f>'Printable Customer Report'!74:74-"AM:!1:%"</f>
        <v>#VALUE!</v>
      </c>
      <c r="IQ315" t="e">
        <f>'Printable Customer Report'!75:75-"AM:!1:&amp;"</f>
        <v>#VALUE!</v>
      </c>
      <c r="IR315" t="e">
        <f>'Printable Customer Report'!76:76-"AM:!1:'"</f>
        <v>#VALUE!</v>
      </c>
      <c r="IS315" t="e">
        <f>'Printable Customer Report'!77:77-"AM:!1:("</f>
        <v>#VALUE!</v>
      </c>
      <c r="IT315" t="e">
        <f>'Printable Customer Report'!78:78-"AM:!1:)"</f>
        <v>#VALUE!</v>
      </c>
      <c r="IU315" t="e">
        <f>'Printable Customer Report'!79:79-"AM:!1:."</f>
        <v>#VALUE!</v>
      </c>
      <c r="IV315" t="e">
        <f>'Printable Customer Report'!80:80-"AM:!1:/"</f>
        <v>#VALUE!</v>
      </c>
    </row>
    <row r="316" spans="6:256">
      <c r="F316" t="e">
        <f>'Printable Customer Report'!81:81-"AM:!1:0"</f>
        <v>#VALUE!</v>
      </c>
      <c r="G316" t="e">
        <f>'Printable Customer Report'!82:82-"AM:!1:1"</f>
        <v>#VALUE!</v>
      </c>
      <c r="H316" t="e">
        <f>'Printable Customer Report'!83:83-"AM:!1:2"</f>
        <v>#VALUE!</v>
      </c>
      <c r="I316" t="e">
        <f>'Printable Customer Report'!84:84-"AM:!1:3"</f>
        <v>#VALUE!</v>
      </c>
      <c r="J316" t="e">
        <f>'Printable Customer Report'!85:85-"AM:!1:4"</f>
        <v>#VALUE!</v>
      </c>
      <c r="K316" t="e">
        <f>'Printable Customer Report'!86:86-"AM:!1:5"</f>
        <v>#VALUE!</v>
      </c>
      <c r="L316" t="e">
        <f>'Printable Customer Report'!87:87-"AM:!1:6"</f>
        <v>#VALUE!</v>
      </c>
      <c r="M316" t="e">
        <f>'Printable Customer Report'!88:88-"AM:!1:7"</f>
        <v>#VALUE!</v>
      </c>
      <c r="N316" t="e">
        <f>'Printable Customer Report'!89:89-"AM:!1:8"</f>
        <v>#VALUE!</v>
      </c>
      <c r="O316" t="e">
        <f>'Printable Customer Report'!90:90-"AM:!1:9"</f>
        <v>#VALUE!</v>
      </c>
      <c r="P316" t="e">
        <f>'Printable Customer Report'!91:91-"AM:!1::"</f>
        <v>#VALUE!</v>
      </c>
      <c r="Q316" t="e">
        <f>'Printable Customer Report'!92:92-"AM:!1:;"</f>
        <v>#VALUE!</v>
      </c>
      <c r="R316" t="e">
        <f>'Printable Customer Report'!93:93-"AM:!1:&lt;"</f>
        <v>#VALUE!</v>
      </c>
      <c r="S316" t="e">
        <f>'Printable Customer Report'!94:94-"AM:!1:="</f>
        <v>#VALUE!</v>
      </c>
      <c r="T316" t="e">
        <f>'Printable Customer Report'!95:95-"AM:!1:&gt;"</f>
        <v>#VALUE!</v>
      </c>
      <c r="U316" t="e">
        <f>'Printable Customer Report'!96:96-"AM:!1:?"</f>
        <v>#VALUE!</v>
      </c>
      <c r="V316" t="e">
        <f>'Printable Customer Report'!97:97-"AM:!1:@"</f>
        <v>#VALUE!</v>
      </c>
      <c r="W316" t="e">
        <f>'Printable Customer Report'!98:98-"AM:!1:A"</f>
        <v>#VALUE!</v>
      </c>
      <c r="X316" t="e">
        <f>'Printable Customer Report'!99:99-"AM:!1:B"</f>
        <v>#VALUE!</v>
      </c>
      <c r="Y316" t="e">
        <f>'Printable Customer Report'!100:100-"AM:!1:C"</f>
        <v>#VALUE!</v>
      </c>
      <c r="Z316" t="e">
        <f>'Printable Customer Report'!101:101-"AM:!1:D"</f>
        <v>#VALUE!</v>
      </c>
      <c r="AA316" t="e">
        <f>'Printable Customer Report'!102:102-"AM:!1:E"</f>
        <v>#VALUE!</v>
      </c>
      <c r="AB316" t="e">
        <f>'Printable Customer Report'!103:103-"AM:!1:F"</f>
        <v>#VALUE!</v>
      </c>
      <c r="AC316" t="e">
        <f>'Printable Customer Report'!104:104-"AM:!1:G"</f>
        <v>#VALUE!</v>
      </c>
      <c r="AD316" t="e">
        <f>'Printable Customer Report'!105:105-"AM:!1:H"</f>
        <v>#VALUE!</v>
      </c>
      <c r="AE316" t="e">
        <f>'Printable Customer Report'!106:106-"AM:!1:I"</f>
        <v>#VALUE!</v>
      </c>
      <c r="AF316" t="e">
        <f>'Printable Customer Report'!107:107-"AM:!1:J"</f>
        <v>#VALUE!</v>
      </c>
      <c r="AG316" t="e">
        <f>'Printable Customer Report'!108:108-"AM:!1:K"</f>
        <v>#VALUE!</v>
      </c>
      <c r="AH316" t="e">
        <f>'Printable Customer Report'!109:109-"AM:!1:L"</f>
        <v>#VALUE!</v>
      </c>
      <c r="AI316" t="e">
        <f>'Printable Customer Report'!110:110-"AM:!1:M"</f>
        <v>#VALUE!</v>
      </c>
      <c r="AJ316" t="e">
        <f>'Printable Customer Report'!111:111-"AM:!1:N"</f>
        <v>#VALUE!</v>
      </c>
      <c r="AK316" t="e">
        <f>'Printable Customer Report'!112:112-"AM:!1:O"</f>
        <v>#VALUE!</v>
      </c>
      <c r="AL316" t="e">
        <f>'Printable Customer Report'!113:113-"AM:!1:P"</f>
        <v>#VALUE!</v>
      </c>
      <c r="AM316" t="e">
        <f>'Printable Customer Report'!114:114-"AM:!1:Q"</f>
        <v>#VALUE!</v>
      </c>
      <c r="AN316" t="e">
        <f>'Printable Customer Report'!115:115-"AM:!1:R"</f>
        <v>#VALUE!</v>
      </c>
      <c r="AO316" t="e">
        <f>'Printable Customer Report'!116:116-"AM:!1:S"</f>
        <v>#VALUE!</v>
      </c>
      <c r="AP316" t="e">
        <f>'Printable Customer Report'!117:117-"AM:!1:T"</f>
        <v>#VALUE!</v>
      </c>
      <c r="AQ316" t="e">
        <f>'Printable Customer Report'!118:118-"AM:!1:U"</f>
        <v>#VALUE!</v>
      </c>
      <c r="AR316" t="e">
        <f>'Printable Customer Report'!119:119-"AM:!1:V"</f>
        <v>#VALUE!</v>
      </c>
      <c r="AS316" t="e">
        <f>'Printable Customer Report'!120:120-"AM:!1:W"</f>
        <v>#VALUE!</v>
      </c>
      <c r="AT316" t="e">
        <f>'Printable Customer Report'!121:121-"AM:!1:X"</f>
        <v>#VALUE!</v>
      </c>
      <c r="AU316" t="e">
        <f>'Printable Customer Report'!122:122-"AM:!1:Y"</f>
        <v>#VALUE!</v>
      </c>
      <c r="AV316" t="e">
        <f>'Printable Customer Report'!123:123-"AM:!1:Z"</f>
        <v>#VALUE!</v>
      </c>
      <c r="AW316" t="e">
        <f>'Printable Customer Report'!124:124-"AM:!1:["</f>
        <v>#VALUE!</v>
      </c>
      <c r="AX316" t="e">
        <f>'Printable Customer Report'!125:125-"AM:!1:\"</f>
        <v>#VALUE!</v>
      </c>
      <c r="AY316" t="e">
        <f>'Printable Customer Report'!126:126-"AM:!1:]"</f>
        <v>#VALUE!</v>
      </c>
      <c r="AZ316" t="e">
        <f>'Printable Customer Report'!127:127-"AM:!1:^"</f>
        <v>#VALUE!</v>
      </c>
      <c r="BA316" t="e">
        <f>'Printable Customer Report'!128:128-"AM:!1:_"</f>
        <v>#VALUE!</v>
      </c>
      <c r="BB316" t="e">
        <f>'Printable Customer Report'!129:129-"AM:!1:`"</f>
        <v>#VALUE!</v>
      </c>
      <c r="BC316" t="e">
        <f>'Printable Customer Report'!130:130-"AM:!1:a"</f>
        <v>#VALUE!</v>
      </c>
      <c r="BD316" t="e">
        <f>'Printable Customer Report'!131:131-"AM:!1:b"</f>
        <v>#VALUE!</v>
      </c>
      <c r="BE316" t="e">
        <f>'Printable Customer Report'!132:132-"AM:!1:c"</f>
        <v>#VALUE!</v>
      </c>
      <c r="BF316" t="e">
        <f>'Printable Customer Report'!133:133-"AM:!1:d"</f>
        <v>#VALUE!</v>
      </c>
      <c r="BG316" t="e">
        <f>'Printable Customer Report'!134:134-"AM:!1:e"</f>
        <v>#VALUE!</v>
      </c>
      <c r="BH316" t="e">
        <f>'Printable Customer Report'!135:135-"AM:!1:f"</f>
        <v>#VALUE!</v>
      </c>
      <c r="BI316" t="e">
        <f>'Printable Customer Report'!#REF!-"AM:!1:g"</f>
        <v>#REF!</v>
      </c>
      <c r="BJ316" t="e">
        <f>'Printable Customer Report'!#REF!-"AM:!1:h"</f>
        <v>#REF!</v>
      </c>
      <c r="BK316" t="e">
        <f>'Printable Customer Report'!#REF!-"AM:!1:i"</f>
        <v>#REF!</v>
      </c>
      <c r="BL316" t="e">
        <f>'Printable Customer Report'!#REF!-"AM:!1:j"</f>
        <v>#REF!</v>
      </c>
      <c r="BM316" t="e">
        <f>'Printable Customer Report'!#REF!-"AM:!1:k"</f>
        <v>#REF!</v>
      </c>
      <c r="BN316" t="e">
        <f>'Printable Customer Report'!#REF!-"AM:!1:l"</f>
        <v>#REF!</v>
      </c>
      <c r="BO316" t="e">
        <f>'Printable Customer Report'!136:136-"AM:!1:m"</f>
        <v>#VALUE!</v>
      </c>
      <c r="BP316" t="e">
        <f>'Printable Customer Report'!137:137-"AM:!1:n"</f>
        <v>#VALUE!</v>
      </c>
      <c r="BQ316" t="e">
        <f>'Printable Customer Report'!138:138-"AM:!1:o"</f>
        <v>#VALUE!</v>
      </c>
      <c r="BR316" t="e">
        <f>'Printable Customer Report'!139:139-"AM:!1:p"</f>
        <v>#VALUE!</v>
      </c>
      <c r="BS316" t="e">
        <f>'Printable Customer Report'!140:140-"AM:!1:q"</f>
        <v>#VALUE!</v>
      </c>
      <c r="BT316" t="e">
        <f>'Printable Customer Report'!141:141-"AM:!1:r"</f>
        <v>#VALUE!</v>
      </c>
      <c r="BU316" t="e">
        <f>'Printable Customer Report'!142:142-"AM:!1:s"</f>
        <v>#VALUE!</v>
      </c>
      <c r="BV316" t="e">
        <f>'Printable Customer Report'!143:143-"AM:!1:t"</f>
        <v>#VALUE!</v>
      </c>
      <c r="BW316" t="e">
        <f>'Printable Customer Report'!144:144-"AM:!1:u"</f>
        <v>#VALUE!</v>
      </c>
      <c r="BX316" t="e">
        <f>'Printable Customer Report'!145:145-"AM:!1:v"</f>
        <v>#VALUE!</v>
      </c>
      <c r="BY316" t="e">
        <f>'Printable Customer Report'!146:146-"AM:!1:w"</f>
        <v>#VALUE!</v>
      </c>
      <c r="BZ316" t="e">
        <f>'Printable Customer Report'!147:147-"AM:!1:x"</f>
        <v>#VALUE!</v>
      </c>
      <c r="CA316" t="e">
        <f>'Printable Customer Report'!148:148-"AM:!1:y"</f>
        <v>#VALUE!</v>
      </c>
      <c r="CB316" t="e">
        <f>'Printable Customer Report'!149:149-"AM:!1:z"</f>
        <v>#VALUE!</v>
      </c>
      <c r="CC316" t="e">
        <f>'Printable Customer Report'!150:150-"AM:!1:{"</f>
        <v>#VALUE!</v>
      </c>
      <c r="CD316" t="e">
        <f>'Printable Customer Report'!151:151-"AM:!1:|"</f>
        <v>#VALUE!</v>
      </c>
      <c r="CE316" t="e">
        <f>'Printable Customer Report'!152:152-"AM:!1:}"</f>
        <v>#VALUE!</v>
      </c>
      <c r="CF316" t="e">
        <f>'Printable Customer Report'!153:153-"AM:!1:~"</f>
        <v>#VALUE!</v>
      </c>
      <c r="CG316" t="e">
        <f>'Printable Customer Report'!154:154-"AM:!1;#"</f>
        <v>#VALUE!</v>
      </c>
      <c r="CH316" t="e">
        <f>'Printable Customer Report'!155:155-"AM:!1;$"</f>
        <v>#VALUE!</v>
      </c>
      <c r="CI316" t="e">
        <f>'Printable Customer Report'!156:156-"AM:!1;%"</f>
        <v>#VALUE!</v>
      </c>
      <c r="CJ316" t="e">
        <f>'Printable Customer Report'!157:157-"AM:!1;&amp;"</f>
        <v>#VALUE!</v>
      </c>
      <c r="CK316" t="e">
        <f>'Printable Customer Report'!158:158-"AM:!1;'"</f>
        <v>#VALUE!</v>
      </c>
      <c r="CL316" t="e">
        <f>'Printable Customer Report'!159:159-"AM:!1;("</f>
        <v>#VALUE!</v>
      </c>
      <c r="CM316" t="e">
        <f>'Printable Customer Report'!160:160-"AM:!1;)"</f>
        <v>#VALUE!</v>
      </c>
      <c r="CN316" t="e">
        <f>'Printable Customer Report'!161:161-"AM:!1;."</f>
        <v>#VALUE!</v>
      </c>
      <c r="CO316" t="e">
        <f>'Printable Customer Report'!162:162-"AM:!1;/"</f>
        <v>#VALUE!</v>
      </c>
      <c r="CP316" t="e">
        <f>'Printable Customer Report'!163:163-"AM:!1;0"</f>
        <v>#VALUE!</v>
      </c>
      <c r="CQ316" t="e">
        <f>'Printable Customer Report'!164:164-"AM:!1;1"</f>
        <v>#VALUE!</v>
      </c>
      <c r="CR316" t="e">
        <f>'Printable Customer Report'!165:165-"AM:!1;2"</f>
        <v>#VALUE!</v>
      </c>
      <c r="CS316" t="e">
        <f>'Printable Customer Report'!166:166-"AM:!1;3"</f>
        <v>#VALUE!</v>
      </c>
      <c r="CT316" t="e">
        <f>'Printable Customer Report'!167:167-"AM:!1;4"</f>
        <v>#VALUE!</v>
      </c>
      <c r="CU316" t="e">
        <f>'Printable Customer Report'!168:168-"AM:!1;5"</f>
        <v>#VALUE!</v>
      </c>
      <c r="CV316" t="e">
        <f>'Printable Customer Report'!169:169-"AM:!1;6"</f>
        <v>#VALUE!</v>
      </c>
      <c r="CW316" t="e">
        <f>'Printable Customer Report'!170:170-"AM:!1;7"</f>
        <v>#VALUE!</v>
      </c>
      <c r="CX316" t="e">
        <f>'Printable Customer Report'!171:171-"AM:!1;8"</f>
        <v>#VALUE!</v>
      </c>
      <c r="CY316" t="e">
        <f>'Printable Customer Report'!172:172-"AM:!1;9"</f>
        <v>#VALUE!</v>
      </c>
      <c r="CZ316" t="e">
        <f>'Printable Customer Report'!173:173-"AM:!1;:"</f>
        <v>#VALUE!</v>
      </c>
      <c r="DA316" t="e">
        <f>'Printable Customer Report'!174:174-"AM:!1;;"</f>
        <v>#VALUE!</v>
      </c>
      <c r="DB316" t="e">
        <f>'Printable Customer Report'!175:175-"AM:!1;&lt;"</f>
        <v>#VALUE!</v>
      </c>
      <c r="DC316" t="e">
        <f>'Printable Customer Report'!176:176-"AM:!1;="</f>
        <v>#VALUE!</v>
      </c>
      <c r="DD316" t="e">
        <f>'Printable Customer Report'!177:177-"AM:!1;&gt;"</f>
        <v>#VALUE!</v>
      </c>
      <c r="DE316" t="e">
        <f>'Printable Customer Report'!178:178-"AM:!1;?"</f>
        <v>#VALUE!</v>
      </c>
      <c r="DF316" t="e">
        <f>'Printable Customer Report'!179:179-"AM:!1;@"</f>
        <v>#VALUE!</v>
      </c>
      <c r="DG316" t="e">
        <f>'Printable Customer Report'!180:180-"AM:!1;A"</f>
        <v>#VALUE!</v>
      </c>
      <c r="DH316" t="e">
        <f>'Printable Customer Report'!181:181-"AM:!1;B"</f>
        <v>#VALUE!</v>
      </c>
      <c r="DI316" t="e">
        <f>'Printable Customer Report'!182:182-"AM:!1;C"</f>
        <v>#VALUE!</v>
      </c>
      <c r="DJ316" t="e">
        <f>'Printable Customer Report'!183:183-"AM:!1;D"</f>
        <v>#VALUE!</v>
      </c>
      <c r="DK316" t="e">
        <f>'Printable Customer Report'!184:184-"AM:!1;E"</f>
        <v>#VALUE!</v>
      </c>
      <c r="DL316" t="e">
        <f>'Printable Customer Report'!185:185-"AM:!1;F"</f>
        <v>#VALUE!</v>
      </c>
      <c r="DM316" t="e">
        <f>'Printable Customer Report'!186:186-"AM:!1;G"</f>
        <v>#VALUE!</v>
      </c>
      <c r="DN316" t="e">
        <f>'Printable Customer Report'!187:187-"AM:!1;H"</f>
        <v>#VALUE!</v>
      </c>
      <c r="DO316" t="e">
        <f>'Printable Customer Report'!188:188-"AM:!1;I"</f>
        <v>#VALUE!</v>
      </c>
      <c r="DP316" t="e">
        <f>'Printable Customer Report'!189:189-"AM:!1;J"</f>
        <v>#VALUE!</v>
      </c>
      <c r="DQ316" t="e">
        <f>'Printable Customer Report'!190:190-"AM:!1;K"</f>
        <v>#VALUE!</v>
      </c>
      <c r="DR316" t="e">
        <f>'Printable Customer Report'!191:191-"AM:!1;L"</f>
        <v>#VALUE!</v>
      </c>
      <c r="DS316" t="e">
        <f>'Printable Customer Report'!192:192-"AM:!1;M"</f>
        <v>#VALUE!</v>
      </c>
      <c r="DT316" t="e">
        <f>'Printable Customer Report'!193:193-"AM:!1;N"</f>
        <v>#VALUE!</v>
      </c>
      <c r="DU316" t="e">
        <f>'Printable Customer Report'!194:194-"AM:!1;O"</f>
        <v>#VALUE!</v>
      </c>
      <c r="DV316" t="e">
        <f>'Printable Customer Report'!195:195-"AM:!1;P"</f>
        <v>#VALUE!</v>
      </c>
      <c r="DW316" t="e">
        <f>'Printable Customer Report'!196:196-"AM:!1;Q"</f>
        <v>#VALUE!</v>
      </c>
      <c r="DX316" t="e">
        <f>'Printable Customer Report'!197:197-"AM:!1;R"</f>
        <v>#VALUE!</v>
      </c>
      <c r="DY316" t="e">
        <f>'Printable Customer Report'!198:198-"AM:!1;S"</f>
        <v>#VALUE!</v>
      </c>
      <c r="DZ316" t="e">
        <f>'Printable Customer Report'!199:199-"AM:!1;T"</f>
        <v>#VALUE!</v>
      </c>
      <c r="EA316" t="e">
        <f>'Printable Customer Report'!200:200-"AM:!1;U"</f>
        <v>#VALUE!</v>
      </c>
      <c r="EB316" t="e">
        <f>'Printable Customer Report'!201:201-"AM:!1;V"</f>
        <v>#VALUE!</v>
      </c>
      <c r="EC316" t="e">
        <f>'Printable Customer Report'!202:202-"AM:!1;W"</f>
        <v>#VALUE!</v>
      </c>
      <c r="ED316" t="e">
        <f>'Printable Customer Report'!203:203-"AM:!1;X"</f>
        <v>#VALUE!</v>
      </c>
      <c r="EE316" t="e">
        <f>'Printable Customer Report'!204:204-"AM:!1;Y"</f>
        <v>#VALUE!</v>
      </c>
      <c r="EF316" t="e">
        <f>'Printable Customer Report'!205:205-"AM:!1;Z"</f>
        <v>#VALUE!</v>
      </c>
      <c r="EG316" t="e">
        <f>'Printable Customer Report'!206:206-"AM:!1;["</f>
        <v>#VALUE!</v>
      </c>
      <c r="EH316" t="e">
        <f>'Printable Customer Report'!207:207-"AM:!1;\"</f>
        <v>#VALUE!</v>
      </c>
      <c r="EI316" t="e">
        <f>'Printable Customer Report'!208:208-"AM:!1;]"</f>
        <v>#VALUE!</v>
      </c>
      <c r="EJ316" t="e">
        <f>'Printable Customer Report'!209:209-"AM:!1;^"</f>
        <v>#VALUE!</v>
      </c>
      <c r="EK316" t="e">
        <f>'Printable Customer Report'!210:210-"AM:!1;_"</f>
        <v>#VALUE!</v>
      </c>
      <c r="EL316" t="e">
        <f>'Printable Customer Report'!211:211-"AM:!1;`"</f>
        <v>#VALUE!</v>
      </c>
      <c r="EM316" t="e">
        <f>'Printable Customer Report'!212:212-"AM:!1;a"</f>
        <v>#VALUE!</v>
      </c>
      <c r="EN316" t="e">
        <f>'Printable Customer Report'!213:213-"AM:!1;b"</f>
        <v>#VALUE!</v>
      </c>
      <c r="EO316" t="e">
        <f>'Printable Customer Report'!214:214-"AM:!1;c"</f>
        <v>#VALUE!</v>
      </c>
      <c r="EP316" t="e">
        <f>'Printable Customer Report'!215:215-"AM:!1;d"</f>
        <v>#VALUE!</v>
      </c>
      <c r="EQ316" t="e">
        <f>'Printable Customer Report'!216:216-"AM:!1;e"</f>
        <v>#VALUE!</v>
      </c>
      <c r="ER316" t="e">
        <f>'Printable Customer Report'!217:217-"AM:!1;f"</f>
        <v>#VALUE!</v>
      </c>
      <c r="ES316" t="e">
        <f>'Printable Customer Report'!218:218-"AM:!1;g"</f>
        <v>#VALUE!</v>
      </c>
      <c r="ET316" t="e">
        <f>'Printable Customer Report'!219:219-"AM:!1;h"</f>
        <v>#VALUE!</v>
      </c>
      <c r="EU316" t="e">
        <f>'Printable Customer Report'!220:220-"AM:!1;i"</f>
        <v>#VALUE!</v>
      </c>
      <c r="EV316" t="e">
        <f>'Printable Customer Report'!221:221-"AM:!1;j"</f>
        <v>#VALUE!</v>
      </c>
      <c r="EW316" t="e">
        <f>'Printable Customer Report'!222:222-"AM:!1;k"</f>
        <v>#VALUE!</v>
      </c>
      <c r="EX316" t="e">
        <f>'Printable Customer Report'!223:223-"AM:!1;l"</f>
        <v>#VALUE!</v>
      </c>
      <c r="EY316" t="e">
        <f>'Printable Customer Report'!224:224-"AM:!1;m"</f>
        <v>#VALUE!</v>
      </c>
      <c r="EZ316" t="e">
        <f>'Printable Customer Report'!225:225-"AM:!1;n"</f>
        <v>#VALUE!</v>
      </c>
      <c r="FA316" t="e">
        <f>'Printable Customer Report'!226:226-"AM:!1;o"</f>
        <v>#VALUE!</v>
      </c>
      <c r="FB316" t="e">
        <f>'Printable Customer Report'!227:227-"AM:!1;p"</f>
        <v>#VALUE!</v>
      </c>
      <c r="FC316" t="e">
        <f>'Printable Customer Report'!228:228-"AM:!1;q"</f>
        <v>#VALUE!</v>
      </c>
      <c r="FD316" t="e">
        <f>'Printable Customer Report'!229:229-"AM:!1;r"</f>
        <v>#VALUE!</v>
      </c>
      <c r="FE316" t="e">
        <f>'Printable Customer Report'!230:230-"AM:!1;s"</f>
        <v>#VALUE!</v>
      </c>
      <c r="FF316" t="e">
        <f>'Printable Customer Report'!231:231-"AM:!1;t"</f>
        <v>#VALUE!</v>
      </c>
      <c r="FG316" t="e">
        <f>'Printable Customer Report'!232:232-"AM:!1;u"</f>
        <v>#VALUE!</v>
      </c>
      <c r="FH316" t="e">
        <f>'Printable Customer Report'!233:233-"AM:!1;v"</f>
        <v>#VALUE!</v>
      </c>
      <c r="FI316" t="e">
        <f>'Printable Customer Report'!234:234-"AM:!1;w"</f>
        <v>#VALUE!</v>
      </c>
      <c r="FJ316" t="e">
        <f>'Printable Customer Report'!235:235-"AM:!1;x"</f>
        <v>#VALUE!</v>
      </c>
      <c r="FK316" t="e">
        <f>'Printable Customer Report'!236:236-"AM:!1;y"</f>
        <v>#VALUE!</v>
      </c>
      <c r="FL316" t="e">
        <f>'Printable Customer Report'!237:237-"AM:!1;z"</f>
        <v>#VALUE!</v>
      </c>
      <c r="FM316" t="e">
        <f>'Printable Customer Report'!238:238-"AM:!1;{"</f>
        <v>#VALUE!</v>
      </c>
      <c r="FN316" t="e">
        <f>'Printable Customer Report'!239:239-"AM:!1;|"</f>
        <v>#VALUE!</v>
      </c>
      <c r="FO316" t="e">
        <f>'Printable Customer Report'!240:240-"AM:!1;}"</f>
        <v>#VALUE!</v>
      </c>
      <c r="FP316" t="e">
        <f>'Printable Customer Report'!241:241-"AM:!1;~"</f>
        <v>#VALUE!</v>
      </c>
      <c r="FQ316" t="e">
        <f>'Printable Customer Report'!242:242-"AM:!1&lt;#"</f>
        <v>#VALUE!</v>
      </c>
      <c r="FR316" t="e">
        <f>'Printable Customer Report'!243:243-"AM:!1&lt;$"</f>
        <v>#VALUE!</v>
      </c>
      <c r="FS316" t="e">
        <f>'Printable Customer Report'!244:244-"AM:!1&lt;%"</f>
        <v>#VALUE!</v>
      </c>
      <c r="FT316" t="e">
        <f>'Printable Customer Report'!245:245-"AM:!1&lt;&amp;"</f>
        <v>#VALUE!</v>
      </c>
      <c r="FU316" t="e">
        <f>'Printable Customer Report'!246:246-"AM:!1&lt;'"</f>
        <v>#VALUE!</v>
      </c>
      <c r="FV316" t="e">
        <f>'Printable Customer Report'!247:247-"AM:!1&lt;("</f>
        <v>#VALUE!</v>
      </c>
      <c r="FW316" t="e">
        <f>'Printable Customer Report'!248:248-"AM:!1&lt;)"</f>
        <v>#VALUE!</v>
      </c>
      <c r="FX316" t="e">
        <f>'Printable Customer Report'!249:249-"AM:!1&lt;."</f>
        <v>#VALUE!</v>
      </c>
      <c r="FY316" t="e">
        <f>'Printable Customer Report'!250:250-"AM:!1&lt;/"</f>
        <v>#VALUE!</v>
      </c>
      <c r="FZ316" t="e">
        <f>'Printable Customer Report'!251:251-"AM:!1&lt;0"</f>
        <v>#VALUE!</v>
      </c>
      <c r="GA316" t="e">
        <f>'Printable Customer Report'!252:252-"AM:!1&lt;1"</f>
        <v>#VALUE!</v>
      </c>
      <c r="GB316" t="e">
        <f>'Printable Customer Report'!253:253-"AM:!1&lt;2"</f>
        <v>#VALUE!</v>
      </c>
      <c r="GC316" t="e">
        <f>'Printable Customer Report'!254:254-"AM:!1&lt;3"</f>
        <v>#VALUE!</v>
      </c>
      <c r="GD316" t="e">
        <f>'Printable Customer Report'!255:255-"AM:!1&lt;4"</f>
        <v>#VALUE!</v>
      </c>
      <c r="GE316" t="e">
        <f>'Printable Customer Report'!256:256-"AM:!1&lt;5"</f>
        <v>#VALUE!</v>
      </c>
      <c r="GF316" t="e">
        <f>'Printable Customer Report'!257:257-"AM:!1&lt;6"</f>
        <v>#VALUE!</v>
      </c>
      <c r="GG316" t="e">
        <f>'Printable Customer Report'!258:258-"AM:!1&lt;7"</f>
        <v>#VALUE!</v>
      </c>
      <c r="GH316" t="e">
        <f>'Printable Customer Report'!259:259-"AM:!1&lt;8"</f>
        <v>#VALUE!</v>
      </c>
      <c r="GI316" t="e">
        <f>'Printable Customer Report'!260:260-"AM:!1&lt;9"</f>
        <v>#VALUE!</v>
      </c>
      <c r="GJ316" t="e">
        <f>'Printable Customer Report'!261:261-"AM:!1&lt;:"</f>
        <v>#VALUE!</v>
      </c>
      <c r="GK316" t="e">
        <f>'Printable Customer Report'!262:262-"AM:!1&lt;;"</f>
        <v>#VALUE!</v>
      </c>
      <c r="GL316" t="e">
        <f>'Printable Customer Report'!263:263-"AM:!1&lt;&lt;"</f>
        <v>#VALUE!</v>
      </c>
      <c r="GM316" t="e">
        <f>'Printable Customer Report'!264:264-"AM:!1&lt;="</f>
        <v>#VALUE!</v>
      </c>
      <c r="GN316" t="e">
        <f>'Printable Customer Report'!265:265-"AM:!1&lt;&gt;"</f>
        <v>#VALUE!</v>
      </c>
      <c r="GO316" t="e">
        <f>'Printable Customer Report'!266:266-"AM:!1&lt;?"</f>
        <v>#VALUE!</v>
      </c>
      <c r="GP316" t="e">
        <f>'Printable Customer Report'!267:267-"AM:!1&lt;@"</f>
        <v>#VALUE!</v>
      </c>
      <c r="GQ316" t="e">
        <f>'Printable Customer Report'!268:268-"AM:!1&lt;A"</f>
        <v>#VALUE!</v>
      </c>
      <c r="GR316" t="e">
        <f>'Printable Customer Report'!269:269-"AM:!1&lt;B"</f>
        <v>#VALUE!</v>
      </c>
      <c r="GS316" t="e">
        <f>'Printable Customer Report'!270:270-"AM:!1&lt;C"</f>
        <v>#VALUE!</v>
      </c>
      <c r="GT316" t="e">
        <f>'Printable Customer Report'!271:271-"AM:!1&lt;D"</f>
        <v>#VALUE!</v>
      </c>
      <c r="GU316" t="e">
        <f>'Printable Customer Report'!272:272-"AM:!1&lt;E"</f>
        <v>#VALUE!</v>
      </c>
      <c r="GV316" t="e">
        <f>'Printable Customer Report'!273:273-"AM:!1&lt;F"</f>
        <v>#VALUE!</v>
      </c>
      <c r="GW316" t="e">
        <f>'Printable Customer Report'!274:274-"AM:!1&lt;G"</f>
        <v>#VALUE!</v>
      </c>
      <c r="GX316" t="e">
        <f>'Printable Customer Report'!275:275-"AM:!1&lt;H"</f>
        <v>#VALUE!</v>
      </c>
      <c r="GY316" t="e">
        <f>'Printable Customer Report'!276:276-"AM:!1&lt;I"</f>
        <v>#VALUE!</v>
      </c>
      <c r="GZ316" t="e">
        <f>'Printable Customer Report'!277:277-"AM:!1&lt;J"</f>
        <v>#VALUE!</v>
      </c>
      <c r="HA316" t="e">
        <f>'Printable Customer Report'!278:278-"AM:!1&lt;K"</f>
        <v>#VALUE!</v>
      </c>
      <c r="HB316" t="e">
        <f>'Printable Customer Report'!279:279-"AM:!1&lt;L"</f>
        <v>#VALUE!</v>
      </c>
      <c r="HC316" t="e">
        <f>'Printable Customer Report'!280:280-"AM:!1&lt;M"</f>
        <v>#VALUE!</v>
      </c>
      <c r="HD316" t="e">
        <f>'Printable Customer Report'!281:281-"AM:!1&lt;N"</f>
        <v>#VALUE!</v>
      </c>
      <c r="HE316" t="e">
        <f>'Printable Customer Report'!282:282-"AM:!1&lt;O"</f>
        <v>#VALUE!</v>
      </c>
      <c r="HF316" t="e">
        <f>'Printable Customer Report'!283:283-"AM:!1&lt;P"</f>
        <v>#VALUE!</v>
      </c>
      <c r="HG316" t="e">
        <f>'Printable Customer Report'!284:284-"AM:!1&lt;Q"</f>
        <v>#VALUE!</v>
      </c>
      <c r="HH316" t="e">
        <f>'Printable Customer Report'!285:285-"AM:!1&lt;R"</f>
        <v>#VALUE!</v>
      </c>
      <c r="HI316" t="e">
        <f>'Printable Customer Report'!286:286-"AM:!1&lt;S"</f>
        <v>#VALUE!</v>
      </c>
      <c r="HJ316" t="e">
        <f>'Printable Customer Report'!287:287-"AM:!1&lt;T"</f>
        <v>#VALUE!</v>
      </c>
      <c r="HK316" t="e">
        <f>'Printable Customer Report'!288:288-"AM:!1&lt;U"</f>
        <v>#VALUE!</v>
      </c>
      <c r="HL316" t="e">
        <f>'Printable Customer Report'!289:289-"AM:!1&lt;V"</f>
        <v>#VALUE!</v>
      </c>
      <c r="HM316" t="e">
        <f>'Printable Customer Report'!290:290-"AM:!1&lt;W"</f>
        <v>#VALUE!</v>
      </c>
      <c r="HN316" t="e">
        <f>'Printable Customer Report'!291:291-"AM:!1&lt;X"</f>
        <v>#VALUE!</v>
      </c>
      <c r="HO316" t="e">
        <f>'Printable Customer Report'!292:292-"AM:!1&lt;Y"</f>
        <v>#VALUE!</v>
      </c>
      <c r="HP316" t="e">
        <f>'Printable Customer Report'!293:293-"AM:!1&lt;Z"</f>
        <v>#VALUE!</v>
      </c>
      <c r="HQ316" t="e">
        <f>'Printable Customer Report'!294:294-"AM:!1&lt;["</f>
        <v>#VALUE!</v>
      </c>
      <c r="HR316" t="e">
        <f>'Printable Customer Report'!295:295-"AM:!1&lt;\"</f>
        <v>#VALUE!</v>
      </c>
      <c r="HS316" t="e">
        <f>'Printable Customer Report'!296:296-"AM:!1&lt;]"</f>
        <v>#VALUE!</v>
      </c>
      <c r="HT316" t="e">
        <f>'Printable Customer Report'!297:297-"AM:!1&lt;^"</f>
        <v>#VALUE!</v>
      </c>
      <c r="HU316" t="e">
        <f>'Printable Customer Report'!298:298-"AM:!1&lt;_"</f>
        <v>#VALUE!</v>
      </c>
      <c r="HV316" t="e">
        <f>'Printable Customer Report'!299:299-"AM:!1&lt;`"</f>
        <v>#VALUE!</v>
      </c>
      <c r="HW316" t="e">
        <f>'Printable Customer Report'!300:300-"AM:!1&lt;a"</f>
        <v>#VALUE!</v>
      </c>
      <c r="HX316" t="e">
        <f>'Printable Customer Report'!301:301-"AM:!1&lt;b"</f>
        <v>#VALUE!</v>
      </c>
      <c r="HY316" t="e">
        <f>'Printable Customer Report'!302:302-"AM:!1&lt;c"</f>
        <v>#VALUE!</v>
      </c>
      <c r="HZ316" t="e">
        <f>'Printable Customer Report'!303:303-"AM:!1&lt;d"</f>
        <v>#VALUE!</v>
      </c>
      <c r="IA316" t="e">
        <f>'Printable Customer Report'!304:304-"AM:!1&lt;e"</f>
        <v>#VALUE!</v>
      </c>
      <c r="IB316" t="e">
        <f>'Printable Customer Report'!305:305-"AM:!1&lt;f"</f>
        <v>#VALUE!</v>
      </c>
      <c r="IC316" t="e">
        <f>'Printable Customer Report'!306:306-"AM:!1&lt;g"</f>
        <v>#VALUE!</v>
      </c>
      <c r="ID316" t="e">
        <f>'Printable Customer Report'!307:307-"AM:!1&lt;h"</f>
        <v>#VALUE!</v>
      </c>
      <c r="IE316" t="e">
        <f>'Printable Customer Report'!308:308-"AM:!1&lt;i"</f>
        <v>#VALUE!</v>
      </c>
      <c r="IF316" t="e">
        <f>'Printable Customer Report'!309:309-"AM:!1&lt;j"</f>
        <v>#VALUE!</v>
      </c>
      <c r="IG316" t="e">
        <f>'Printable Customer Report'!310:310-"AM:!1&lt;k"</f>
        <v>#VALUE!</v>
      </c>
      <c r="IH316" t="e">
        <f>'Printable Customer Report'!311:311-"AM:!1&lt;l"</f>
        <v>#VALUE!</v>
      </c>
      <c r="II316" t="e">
        <f>'Printable Customer Report'!312:312-"AM:!1&lt;m"</f>
        <v>#VALUE!</v>
      </c>
      <c r="IJ316" t="e">
        <f>'Printable Customer Report'!313:313-"AM:!1&lt;n"</f>
        <v>#VALUE!</v>
      </c>
      <c r="IK316" t="e">
        <f>'Printable Customer Report'!314:314-"AM:!1&lt;o"</f>
        <v>#VALUE!</v>
      </c>
      <c r="IL316" t="e">
        <f>'Printable Customer Report'!315:315-"AM:!1&lt;p"</f>
        <v>#VALUE!</v>
      </c>
      <c r="IM316" t="e">
        <f>'Printable Customer Report'!316:316-"AM:!1&lt;q"</f>
        <v>#VALUE!</v>
      </c>
      <c r="IN316" t="e">
        <f>'Printable Customer Report'!317:317-"AM:!1&lt;r"</f>
        <v>#VALUE!</v>
      </c>
      <c r="IO316" t="e">
        <f>'Printable Customer Report'!318:318-"AM:!1&lt;s"</f>
        <v>#VALUE!</v>
      </c>
      <c r="IP316" t="e">
        <f>'Printable Customer Report'!319:319-"AM:!1&lt;t"</f>
        <v>#VALUE!</v>
      </c>
      <c r="IQ316" t="e">
        <f>'Printable Customer Report'!320:320-"AM:!1&lt;u"</f>
        <v>#VALUE!</v>
      </c>
      <c r="IR316" t="e">
        <f>'Printable Customer Report'!321:321-"AM:!1&lt;v"</f>
        <v>#VALUE!</v>
      </c>
      <c r="IS316" t="e">
        <f>'Printable Customer Report'!322:322-"AM:!1&lt;w"</f>
        <v>#VALUE!</v>
      </c>
      <c r="IT316" t="e">
        <f>'Printable Customer Report'!323:323-"AM:!1&lt;x"</f>
        <v>#VALUE!</v>
      </c>
      <c r="IU316" t="e">
        <f>'Printable Customer Report'!324:324-"AM:!1&lt;y"</f>
        <v>#VALUE!</v>
      </c>
      <c r="IV316" t="e">
        <f>'Printable Customer Report'!325:325-"AM:!1&lt;z"</f>
        <v>#VALUE!</v>
      </c>
    </row>
    <row r="317" spans="6:256">
      <c r="F317" t="e">
        <f>'Printable Customer Report'!326:326-"AM:!1&lt;{"</f>
        <v>#VALUE!</v>
      </c>
      <c r="G317" t="e">
        <f>'Printable Customer Report'!327:327-"AM:!1&lt;|"</f>
        <v>#VALUE!</v>
      </c>
      <c r="H317" t="e">
        <f>'Printable Customer Report'!328:328-"AM:!1&lt;}"</f>
        <v>#VALUE!</v>
      </c>
      <c r="I317" t="e">
        <f>'Printable Customer Report'!329:329-"AM:!1&lt;~"</f>
        <v>#VALUE!</v>
      </c>
      <c r="J317" t="e">
        <f>'Printable Customer Report'!330:330-"AM:!1=#"</f>
        <v>#VALUE!</v>
      </c>
      <c r="K317" t="e">
        <f>'Printable Customer Report'!331:331-"AM:!1=$"</f>
        <v>#VALUE!</v>
      </c>
      <c r="L317" t="e">
        <f>'Printable Customer Report'!332:332-"AM:!1=%"</f>
        <v>#VALUE!</v>
      </c>
      <c r="M317" t="e">
        <f>'Printable Customer Report'!333:333-"AM:!1=&amp;"</f>
        <v>#VALUE!</v>
      </c>
      <c r="N317" t="e">
        <f>'Printable Customer Report'!334:334-"AM:!1='"</f>
        <v>#VALUE!</v>
      </c>
      <c r="O317" t="e">
        <f>'Printable Customer Report'!335:335-"AM:!1=("</f>
        <v>#VALUE!</v>
      </c>
      <c r="P317" t="e">
        <f>'Printable Customer Report'!336:336-"AM:!1=)"</f>
        <v>#VALUE!</v>
      </c>
      <c r="Q317" t="e">
        <f>'Printable Customer Report'!337:337-"AM:!1=."</f>
        <v>#VALUE!</v>
      </c>
      <c r="R317" t="e">
        <f>'Printable Customer Report'!338:338-"AM:!1=/"</f>
        <v>#VALUE!</v>
      </c>
      <c r="S317" t="e">
        <f>'Printable Customer Report'!339:339-"AM:!1=0"</f>
        <v>#VALUE!</v>
      </c>
      <c r="T317" t="e">
        <f>'Printable Customer Report'!340:340-"AM:!1=1"</f>
        <v>#VALUE!</v>
      </c>
      <c r="U317" t="e">
        <f>'Printable Customer Report'!341:341-"AM:!1=2"</f>
        <v>#VALUE!</v>
      </c>
      <c r="V317" t="e">
        <f>'Printable Customer Report'!342:342-"AM:!1=3"</f>
        <v>#VALUE!</v>
      </c>
      <c r="W317" t="e">
        <f>'Printable Customer Report'!343:343-"AM:!1=4"</f>
        <v>#VALUE!</v>
      </c>
      <c r="X317" t="e">
        <f>'Printable Customer Report'!344:344-"AM:!1=5"</f>
        <v>#VALUE!</v>
      </c>
      <c r="Y317" t="e">
        <f>'Printable Customer Report'!345:345-"AM:!1=6"</f>
        <v>#VALUE!</v>
      </c>
      <c r="Z317" t="e">
        <f>'Printable Customer Report'!346:346-"AM:!1=7"</f>
        <v>#VALUE!</v>
      </c>
      <c r="AA317" t="e">
        <f>'Printable Customer Report'!347:347-"AM:!1=8"</f>
        <v>#VALUE!</v>
      </c>
      <c r="AB317" t="e">
        <f>'Printable Customer Report'!348:348-"AM:!1=9"</f>
        <v>#VALUE!</v>
      </c>
      <c r="AC317" t="e">
        <f>'Printable Customer Report'!349:349-"AM:!1=:"</f>
        <v>#VALUE!</v>
      </c>
      <c r="AD317" t="e">
        <f>'Printable Customer Report'!350:350-"AM:!1=;"</f>
        <v>#VALUE!</v>
      </c>
      <c r="AE317" t="e">
        <f>'Printable Customer Report'!351:351-"AM:!1=&lt;"</f>
        <v>#VALUE!</v>
      </c>
      <c r="AF317" t="e">
        <f>'Printable Customer Report'!352:352-"AM:!1=="</f>
        <v>#VALUE!</v>
      </c>
      <c r="AG317" t="e">
        <f>'Printable Customer Report'!353:353-"AM:!1=&gt;"</f>
        <v>#VALUE!</v>
      </c>
      <c r="AH317" t="e">
        <f>'Printable Customer Report'!354:354-"AM:!1=?"</f>
        <v>#VALUE!</v>
      </c>
      <c r="AI317" t="e">
        <f>'Printable Customer Report'!355:355-"AM:!1=@"</f>
        <v>#VALUE!</v>
      </c>
      <c r="AJ317" t="e">
        <f>'Printable Customer Report'!356:356-"AM:!1=A"</f>
        <v>#VALUE!</v>
      </c>
      <c r="AK317" t="e">
        <f>'Printable Customer Report'!A1+"AM:!1=B"</f>
        <v>#VALUE!</v>
      </c>
      <c r="AL317" t="e">
        <f>'Printable Customer Report'!B1+"AM:!1=C"</f>
        <v>#VALUE!</v>
      </c>
      <c r="AM317" t="e">
        <f>'Printable Customer Report'!C1+"AM:!1=D"</f>
        <v>#VALUE!</v>
      </c>
      <c r="AN317" t="e">
        <f>'Printable Customer Report'!D1+"AM:!1=E"</f>
        <v>#VALUE!</v>
      </c>
      <c r="AO317" t="e">
        <f>'Printable Customer Report'!E1+"AM:!1=F"</f>
        <v>#VALUE!</v>
      </c>
      <c r="AP317" t="e">
        <f>'Printable Customer Report'!F1+"AM:!1=G"</f>
        <v>#VALUE!</v>
      </c>
      <c r="AQ317" t="e">
        <f>'Printable Customer Report'!G1+"AM:!1=H"</f>
        <v>#VALUE!</v>
      </c>
      <c r="AR317" t="e">
        <f>'Printable Customer Report'!H1+"AM:!1=I"</f>
        <v>#VALUE!</v>
      </c>
      <c r="AS317" t="e">
        <f>'Printable Customer Report'!I1+"AM:!1=J"</f>
        <v>#VALUE!</v>
      </c>
      <c r="AT317" t="e">
        <f>'Printable Customer Report'!J1+"AM:!1=K"</f>
        <v>#VALUE!</v>
      </c>
      <c r="AU317" t="e">
        <f>'Printable Customer Report'!K1+"AM:!1=L"</f>
        <v>#VALUE!</v>
      </c>
      <c r="AV317" t="e">
        <f>'Printable Customer Report'!L1+"AM:!1=M"</f>
        <v>#VALUE!</v>
      </c>
      <c r="AW317" t="e">
        <f>'Printable Customer Report'!M1+"AM:!1=N"</f>
        <v>#VALUE!</v>
      </c>
      <c r="AX317" t="e">
        <f>'Printable Customer Report'!N1+"AM:!1=O"</f>
        <v>#VALUE!</v>
      </c>
      <c r="AY317" t="e">
        <f>'Printable Customer Report'!O1+"AM:!1=P"</f>
        <v>#VALUE!</v>
      </c>
      <c r="AZ317" t="e">
        <f>'Printable Customer Report'!P1+"AM:!1=Q"</f>
        <v>#VALUE!</v>
      </c>
      <c r="BA317" t="e">
        <f>'Printable Customer Report'!Q1+"AM:!1=R"</f>
        <v>#VALUE!</v>
      </c>
      <c r="BB317" t="e">
        <f>'Printable Customer Report'!R1+"AM:!1=S"</f>
        <v>#VALUE!</v>
      </c>
      <c r="BC317" t="e">
        <f>'Printable Customer Report'!S1+"AM:!1=T"</f>
        <v>#VALUE!</v>
      </c>
      <c r="BD317" t="e">
        <f>'Printable Customer Report'!T1+"AM:!1=U"</f>
        <v>#VALUE!</v>
      </c>
      <c r="BE317" t="e">
        <f>'Printable Customer Report'!A2+"AM:!1=V"</f>
        <v>#VALUE!</v>
      </c>
      <c r="BF317" t="e">
        <f>'Printable Customer Report'!B2+"AM:!1=W"</f>
        <v>#VALUE!</v>
      </c>
      <c r="BG317" t="e">
        <f>'Printable Customer Report'!C2+"AM:!1=X"</f>
        <v>#VALUE!</v>
      </c>
      <c r="BH317" t="e">
        <f>'Printable Customer Report'!D2+"AM:!1=Y"</f>
        <v>#VALUE!</v>
      </c>
      <c r="BI317" t="e">
        <f>'Printable Customer Report'!E2+"AM:!1=Z"</f>
        <v>#VALUE!</v>
      </c>
      <c r="BJ317" t="e">
        <f>'Printable Customer Report'!F2+"AM:!1=["</f>
        <v>#VALUE!</v>
      </c>
      <c r="BK317" t="e">
        <f>'Printable Customer Report'!H2+"AM:!1=\"</f>
        <v>#VALUE!</v>
      </c>
      <c r="BL317" t="e">
        <f>'Printable Customer Report'!I2+"AM:!1=]"</f>
        <v>#VALUE!</v>
      </c>
      <c r="BM317" t="e">
        <f>'Printable Customer Report'!J2+"AM:!1=^"</f>
        <v>#VALUE!</v>
      </c>
      <c r="BN317" t="e">
        <f>'Printable Customer Report'!K2+"AM:!1=_"</f>
        <v>#VALUE!</v>
      </c>
      <c r="BO317" t="e">
        <f>'Printable Customer Report'!L2+"AM:!1=`"</f>
        <v>#VALUE!</v>
      </c>
      <c r="BP317" t="e">
        <f>'Printable Customer Report'!M2+"AM:!1=a"</f>
        <v>#VALUE!</v>
      </c>
      <c r="BQ317" t="e">
        <f>'Printable Customer Report'!N2+"AM:!1=b"</f>
        <v>#VALUE!</v>
      </c>
      <c r="BR317" t="e">
        <f>'Printable Customer Report'!O2+"AM:!1=c"</f>
        <v>#VALUE!</v>
      </c>
      <c r="BS317" t="e">
        <f>'Printable Customer Report'!P2+"AM:!1=d"</f>
        <v>#VALUE!</v>
      </c>
      <c r="BT317" t="e">
        <f>'Printable Customer Report'!Q2+"AM:!1=e"</f>
        <v>#VALUE!</v>
      </c>
      <c r="BU317" t="e">
        <f>'Printable Customer Report'!R2+"AM:!1=f"</f>
        <v>#VALUE!</v>
      </c>
      <c r="BV317" t="e">
        <f>'Printable Customer Report'!S2+"AM:!1=g"</f>
        <v>#VALUE!</v>
      </c>
      <c r="BW317" t="e">
        <f>'Printable Customer Report'!T2+"AM:!1=h"</f>
        <v>#VALUE!</v>
      </c>
      <c r="BX317" t="e">
        <f>'Printable Customer Report'!A3+"AM:!1=i"</f>
        <v>#VALUE!</v>
      </c>
      <c r="BY317" t="e">
        <f>'Printable Customer Report'!B3+"AM:!1=j"</f>
        <v>#VALUE!</v>
      </c>
      <c r="BZ317" t="e">
        <f>'Printable Customer Report'!C3+"AM:!1=k"</f>
        <v>#VALUE!</v>
      </c>
      <c r="CA317" t="e">
        <f>'Printable Customer Report'!D3+"AM:!1=l"</f>
        <v>#VALUE!</v>
      </c>
      <c r="CB317" t="e">
        <f>'Printable Customer Report'!E3+"AM:!1=m"</f>
        <v>#VALUE!</v>
      </c>
      <c r="CC317" t="e">
        <f>'Printable Customer Report'!F3+"AM:!1=n"</f>
        <v>#VALUE!</v>
      </c>
      <c r="CD317" t="e">
        <f>'Printable Customer Report'!H3+"AM:!1=o"</f>
        <v>#VALUE!</v>
      </c>
      <c r="CE317" t="e">
        <f>'Printable Customer Report'!I3+"AM:!1=p"</f>
        <v>#VALUE!</v>
      </c>
      <c r="CF317" t="e">
        <f>'Printable Customer Report'!J3+"AM:!1=q"</f>
        <v>#VALUE!</v>
      </c>
      <c r="CG317" t="e">
        <f>'Printable Customer Report'!K3+"AM:!1=r"</f>
        <v>#VALUE!</v>
      </c>
      <c r="CH317" t="e">
        <f>'Printable Customer Report'!L3+"AM:!1=s"</f>
        <v>#VALUE!</v>
      </c>
      <c r="CI317" t="e">
        <f>'Printable Customer Report'!M3+"AM:!1=t"</f>
        <v>#VALUE!</v>
      </c>
      <c r="CJ317" t="e">
        <f>'Printable Customer Report'!N3+"AM:!1=u"</f>
        <v>#VALUE!</v>
      </c>
      <c r="CK317" t="e">
        <f>'Printable Customer Report'!O3+"AM:!1=v"</f>
        <v>#VALUE!</v>
      </c>
      <c r="CL317" t="e">
        <f>'Printable Customer Report'!P3+"AM:!1=w"</f>
        <v>#VALUE!</v>
      </c>
      <c r="CM317" t="e">
        <f>'Printable Customer Report'!Q3+"AM:!1=x"</f>
        <v>#VALUE!</v>
      </c>
      <c r="CN317" t="e">
        <f>'Printable Customer Report'!R3+"AM:!1=y"</f>
        <v>#VALUE!</v>
      </c>
      <c r="CO317" t="e">
        <f>'Printable Customer Report'!S3+"AM:!1=z"</f>
        <v>#VALUE!</v>
      </c>
      <c r="CP317" t="e">
        <f>'Printable Customer Report'!T3+"AM:!1={"</f>
        <v>#VALUE!</v>
      </c>
      <c r="CQ317" t="e">
        <f>'Printable Customer Report'!A4+"AM:!1=|"</f>
        <v>#VALUE!</v>
      </c>
      <c r="CR317" t="e">
        <f>'Printable Customer Report'!B4+"AM:!1=}"</f>
        <v>#VALUE!</v>
      </c>
      <c r="CS317" t="e">
        <f>'Printable Customer Report'!C4+"AM:!1=~"</f>
        <v>#VALUE!</v>
      </c>
      <c r="CT317" t="e">
        <f>'Printable Customer Report'!D4+"AM:!1&gt;#"</f>
        <v>#VALUE!</v>
      </c>
      <c r="CU317" t="e">
        <f>'Printable Customer Report'!E4+"AM:!1&gt;$"</f>
        <v>#VALUE!</v>
      </c>
      <c r="CV317" t="e">
        <f>'Printable Customer Report'!F4+"AM:!1&gt;%"</f>
        <v>#VALUE!</v>
      </c>
      <c r="CW317" t="e">
        <f>'Printable Customer Report'!G4+"AM:!1&gt;&amp;"</f>
        <v>#VALUE!</v>
      </c>
      <c r="CX317" t="e">
        <f>'Printable Customer Report'!H4+"AM:!1&gt;'"</f>
        <v>#VALUE!</v>
      </c>
      <c r="CY317" t="e">
        <f>'Printable Customer Report'!I4+"AM:!1&gt;("</f>
        <v>#VALUE!</v>
      </c>
      <c r="CZ317" t="e">
        <f>'Printable Customer Report'!J4+"AM:!1&gt;)"</f>
        <v>#VALUE!</v>
      </c>
      <c r="DA317" t="e">
        <f>'Printable Customer Report'!K4+"AM:!1&gt;."</f>
        <v>#VALUE!</v>
      </c>
      <c r="DB317" t="e">
        <f>'Printable Customer Report'!L4+"AM:!1&gt;/"</f>
        <v>#VALUE!</v>
      </c>
      <c r="DC317" t="e">
        <f>'Printable Customer Report'!M4+"AM:!1&gt;0"</f>
        <v>#VALUE!</v>
      </c>
      <c r="DD317" t="e">
        <f>'Printable Customer Report'!N4+"AM:!1&gt;1"</f>
        <v>#VALUE!</v>
      </c>
      <c r="DE317" t="e">
        <f>'Printable Customer Report'!O4+"AM:!1&gt;2"</f>
        <v>#VALUE!</v>
      </c>
      <c r="DF317" t="e">
        <f>'Printable Customer Report'!P4+"AM:!1&gt;3"</f>
        <v>#VALUE!</v>
      </c>
      <c r="DG317" t="e">
        <f>'Printable Customer Report'!Q4+"AM:!1&gt;4"</f>
        <v>#VALUE!</v>
      </c>
      <c r="DH317" t="e">
        <f>'Printable Customer Report'!R4+"AM:!1&gt;5"</f>
        <v>#VALUE!</v>
      </c>
      <c r="DI317" t="e">
        <f>'Printable Customer Report'!S4+"AM:!1&gt;6"</f>
        <v>#VALUE!</v>
      </c>
      <c r="DJ317" t="e">
        <f>'Printable Customer Report'!T4+"AM:!1&gt;7"</f>
        <v>#VALUE!</v>
      </c>
      <c r="DK317" t="e">
        <f>'Printable Customer Report'!A6+"AM:!1&gt;8"</f>
        <v>#VALUE!</v>
      </c>
      <c r="DL317" t="e">
        <f>'Printable Customer Report'!B6+"AM:!1&gt;9"</f>
        <v>#VALUE!</v>
      </c>
      <c r="DM317" t="e">
        <f>'Printable Customer Report'!C6+"AM:!1&gt;:"</f>
        <v>#VALUE!</v>
      </c>
      <c r="DN317" t="e">
        <f>'Printable Customer Report'!D6+"AM:!1&gt;;"</f>
        <v>#VALUE!</v>
      </c>
      <c r="DO317" t="e">
        <f>'Printable Customer Report'!E6+"AM:!1&gt;&lt;"</f>
        <v>#VALUE!</v>
      </c>
      <c r="DP317" t="e">
        <f>'Printable Customer Report'!F6+"AM:!1&gt;="</f>
        <v>#VALUE!</v>
      </c>
      <c r="DQ317" t="e">
        <f>'Printable Customer Report'!G6+"AM:!1&gt;&gt;"</f>
        <v>#VALUE!</v>
      </c>
      <c r="DR317" t="e">
        <f>'Printable Customer Report'!H6+"AM:!1&gt;?"</f>
        <v>#VALUE!</v>
      </c>
      <c r="DS317" t="e">
        <f>'Printable Customer Report'!I6+"AM:!1&gt;@"</f>
        <v>#VALUE!</v>
      </c>
      <c r="DT317" t="e">
        <f>'Printable Customer Report'!J6+"AM:!1&gt;A"</f>
        <v>#VALUE!</v>
      </c>
      <c r="DU317" t="e">
        <f>'Printable Customer Report'!K6+"AM:!1&gt;B"</f>
        <v>#VALUE!</v>
      </c>
      <c r="DV317" t="e">
        <f>'Printable Customer Report'!L6+"AM:!1&gt;C"</f>
        <v>#VALUE!</v>
      </c>
      <c r="DW317" t="e">
        <f>'Printable Customer Report'!A7+"AM:!1&gt;D"</f>
        <v>#VALUE!</v>
      </c>
      <c r="DX317" t="e">
        <f>'Printable Customer Report'!B7+"AM:!1&gt;E"</f>
        <v>#VALUE!</v>
      </c>
      <c r="DY317" t="e">
        <f>'Printable Customer Report'!C7+"AM:!1&gt;F"</f>
        <v>#VALUE!</v>
      </c>
      <c r="DZ317" t="e">
        <f>'Printable Customer Report'!D7+"AM:!1&gt;G"</f>
        <v>#VALUE!</v>
      </c>
      <c r="EA317" t="e">
        <f>'Printable Customer Report'!E7+"AM:!1&gt;H"</f>
        <v>#VALUE!</v>
      </c>
      <c r="EB317" t="e">
        <f>'Printable Customer Report'!F7+"AM:!1&gt;I"</f>
        <v>#VALUE!</v>
      </c>
      <c r="EC317" t="e">
        <f>'Printable Customer Report'!G7+"AM:!1&gt;J"</f>
        <v>#VALUE!</v>
      </c>
      <c r="ED317" t="e">
        <f>'Printable Customer Report'!H7+"AM:!1&gt;K"</f>
        <v>#VALUE!</v>
      </c>
      <c r="EE317" t="e">
        <f>'Printable Customer Report'!I7+"AM:!1&gt;L"</f>
        <v>#VALUE!</v>
      </c>
      <c r="EF317" t="e">
        <f>'Printable Customer Report'!J7+"AM:!1&gt;M"</f>
        <v>#VALUE!</v>
      </c>
      <c r="EG317" t="e">
        <f>'Printable Customer Report'!K7+"AM:!1&gt;N"</f>
        <v>#VALUE!</v>
      </c>
      <c r="EH317" t="e">
        <f>'Printable Customer Report'!L7+"AM:!1&gt;O"</f>
        <v>#VALUE!</v>
      </c>
      <c r="EI317" t="e">
        <f>'Printable Customer Report'!A8+"AM:!1&gt;P"</f>
        <v>#VALUE!</v>
      </c>
      <c r="EJ317" t="e">
        <f>'Printable Customer Report'!B8+"AM:!1&gt;Q"</f>
        <v>#VALUE!</v>
      </c>
      <c r="EK317" t="e">
        <f>'Printable Customer Report'!C8+"AM:!1&gt;R"</f>
        <v>#VALUE!</v>
      </c>
      <c r="EL317" t="e">
        <f>'Printable Customer Report'!D8+"AM:!1&gt;S"</f>
        <v>#VALUE!</v>
      </c>
      <c r="EM317" t="e">
        <f>'Printable Customer Report'!E8+"AM:!1&gt;T"</f>
        <v>#VALUE!</v>
      </c>
      <c r="EN317" t="e">
        <f>'Printable Customer Report'!F8+"AM:!1&gt;U"</f>
        <v>#VALUE!</v>
      </c>
      <c r="EO317" t="e">
        <f>'Printable Customer Report'!G8+"AM:!1&gt;V"</f>
        <v>#VALUE!</v>
      </c>
      <c r="EP317" t="e">
        <f>'Printable Customer Report'!H8+"AM:!1&gt;W"</f>
        <v>#VALUE!</v>
      </c>
      <c r="EQ317" t="e">
        <f>'Printable Customer Report'!J8+"AM:!1&gt;X"</f>
        <v>#VALUE!</v>
      </c>
      <c r="ER317" t="e">
        <f>'Printable Customer Report'!K8+"AM:!1&gt;Y"</f>
        <v>#VALUE!</v>
      </c>
      <c r="ES317" t="e">
        <f>'Printable Customer Report'!L8+"AM:!1&gt;Z"</f>
        <v>#VALUE!</v>
      </c>
      <c r="ET317" t="e">
        <f>'Printable Customer Report'!A9+"AM:!1&gt;["</f>
        <v>#VALUE!</v>
      </c>
      <c r="EU317" t="e">
        <f>'Printable Customer Report'!B9+"AM:!1&gt;\"</f>
        <v>#VALUE!</v>
      </c>
      <c r="EV317" t="e">
        <f>'Printable Customer Report'!C9+"AM:!1&gt;]"</f>
        <v>#VALUE!</v>
      </c>
      <c r="EW317" t="e">
        <f>'Printable Customer Report'!D9+"AM:!1&gt;^"</f>
        <v>#VALUE!</v>
      </c>
      <c r="EX317" t="e">
        <f>'Printable Customer Report'!E9+"AM:!1&gt;_"</f>
        <v>#VALUE!</v>
      </c>
      <c r="EY317" t="e">
        <f>'Printable Customer Report'!F9+"AM:!1&gt;`"</f>
        <v>#VALUE!</v>
      </c>
      <c r="EZ317" t="e">
        <f>'Printable Customer Report'!G9+"AM:!1&gt;a"</f>
        <v>#VALUE!</v>
      </c>
      <c r="FA317" t="e">
        <f>'Printable Customer Report'!H9+"AM:!1&gt;b"</f>
        <v>#VALUE!</v>
      </c>
      <c r="FB317" t="e">
        <f>'Printable Customer Report'!A10+"AM:!1&gt;c"</f>
        <v>#VALUE!</v>
      </c>
      <c r="FC317" t="e">
        <f>'Printable Customer Report'!B10+"AM:!1&gt;d"</f>
        <v>#VALUE!</v>
      </c>
      <c r="FD317" t="e">
        <f>'Printable Customer Report'!C10+"AM:!1&gt;e"</f>
        <v>#VALUE!</v>
      </c>
      <c r="FE317" t="e">
        <f>'Printable Customer Report'!D10+"AM:!1&gt;f"</f>
        <v>#VALUE!</v>
      </c>
      <c r="FF317" t="e">
        <f>'Printable Customer Report'!E10+"AM:!1&gt;g"</f>
        <v>#VALUE!</v>
      </c>
      <c r="FG317" t="e">
        <f>'Printable Customer Report'!F10+"AM:!1&gt;h"</f>
        <v>#VALUE!</v>
      </c>
      <c r="FH317" t="e">
        <f>'Printable Customer Report'!G10+"AM:!1&gt;i"</f>
        <v>#VALUE!</v>
      </c>
      <c r="FI317" t="e">
        <f>'Printable Customer Report'!H10+"AM:!1&gt;j"</f>
        <v>#VALUE!</v>
      </c>
      <c r="FJ317" t="e">
        <f>'Printable Customer Report'!A11+"AM:!1&gt;k"</f>
        <v>#VALUE!</v>
      </c>
      <c r="FK317" t="e">
        <f>'Printable Customer Report'!B11+"AM:!1&gt;l"</f>
        <v>#VALUE!</v>
      </c>
      <c r="FL317" t="e">
        <f>'Printable Customer Report'!C11+"AM:!1&gt;m"</f>
        <v>#VALUE!</v>
      </c>
      <c r="FM317" t="e">
        <f>'Printable Customer Report'!D11+"AM:!1&gt;n"</f>
        <v>#VALUE!</v>
      </c>
      <c r="FN317" t="e">
        <f>'Printable Customer Report'!E11+"AM:!1&gt;o"</f>
        <v>#VALUE!</v>
      </c>
      <c r="FO317" t="e">
        <f>'Printable Customer Report'!F11+"AM:!1&gt;p"</f>
        <v>#VALUE!</v>
      </c>
      <c r="FP317" t="e">
        <f>'Printable Customer Report'!G11+"AM:!1&gt;q"</f>
        <v>#VALUE!</v>
      </c>
      <c r="FQ317" t="e">
        <f>'Printable Customer Report'!H11+"AM:!1&gt;r"</f>
        <v>#VALUE!</v>
      </c>
      <c r="FR317" t="e">
        <f>'Printable Customer Report'!A12+"AM:!1&gt;s"</f>
        <v>#VALUE!</v>
      </c>
      <c r="FS317" t="e">
        <f>'Printable Customer Report'!B12+"AM:!1&gt;t"</f>
        <v>#VALUE!</v>
      </c>
      <c r="FT317" t="e">
        <f>'Printable Customer Report'!C12+"AM:!1&gt;u"</f>
        <v>#VALUE!</v>
      </c>
      <c r="FU317" t="e">
        <f>'Printable Customer Report'!D12+"AM:!1&gt;v"</f>
        <v>#VALUE!</v>
      </c>
      <c r="FV317" t="e">
        <f>'Printable Customer Report'!E12+"AM:!1&gt;w"</f>
        <v>#VALUE!</v>
      </c>
      <c r="FW317" t="e">
        <f>'Printable Customer Report'!F12+"AM:!1&gt;x"</f>
        <v>#VALUE!</v>
      </c>
      <c r="FX317" t="e">
        <f>'Printable Customer Report'!G12+"AM:!1&gt;y"</f>
        <v>#VALUE!</v>
      </c>
      <c r="FY317" t="e">
        <f>'Printable Customer Report'!H12+"AM:!1&gt;z"</f>
        <v>#VALUE!</v>
      </c>
      <c r="FZ317" t="e">
        <f>'Printable Customer Report'!A13+"AM:!1&gt;{"</f>
        <v>#VALUE!</v>
      </c>
      <c r="GA317" t="e">
        <f>'Printable Customer Report'!B13+"AM:!1&gt;|"</f>
        <v>#VALUE!</v>
      </c>
      <c r="GB317" t="e">
        <f>'Printable Customer Report'!C13+"AM:!1&gt;}"</f>
        <v>#VALUE!</v>
      </c>
      <c r="GC317" t="e">
        <f>'Printable Customer Report'!D13+"AM:!1&gt;~"</f>
        <v>#VALUE!</v>
      </c>
      <c r="GD317" t="e">
        <f>'Printable Customer Report'!E13+"AM:!1?#"</f>
        <v>#VALUE!</v>
      </c>
      <c r="GE317" t="e">
        <f>'Printable Customer Report'!F13+"AM:!1?$"</f>
        <v>#VALUE!</v>
      </c>
      <c r="GF317" t="e">
        <f>'Printable Customer Report'!G13+"AM:!1?%"</f>
        <v>#VALUE!</v>
      </c>
      <c r="GG317" t="e">
        <f>'Printable Customer Report'!H13+"AM:!1?&amp;"</f>
        <v>#VALUE!</v>
      </c>
      <c r="GH317" t="e">
        <f>'Printable Customer Report'!A14+"AM:!1?'"</f>
        <v>#VALUE!</v>
      </c>
      <c r="GI317" t="e">
        <f>'Printable Customer Report'!B14+"AM:!1?("</f>
        <v>#VALUE!</v>
      </c>
      <c r="GJ317" t="e">
        <f>'Printable Customer Report'!C14+"AM:!1?)"</f>
        <v>#VALUE!</v>
      </c>
      <c r="GK317" t="e">
        <f>'Printable Customer Report'!D14+"AM:!1?."</f>
        <v>#VALUE!</v>
      </c>
      <c r="GL317" t="e">
        <f>'Printable Customer Report'!E14+"AM:!1?/"</f>
        <v>#VALUE!</v>
      </c>
      <c r="GM317" t="e">
        <f>'Printable Customer Report'!F14+"AM:!1?0"</f>
        <v>#VALUE!</v>
      </c>
      <c r="GN317" t="e">
        <f>'Printable Customer Report'!G14+"AM:!1?1"</f>
        <v>#VALUE!</v>
      </c>
      <c r="GO317" t="e">
        <f>'Printable Customer Report'!H14+"AM:!1?2"</f>
        <v>#VALUE!</v>
      </c>
      <c r="GP317" t="e">
        <f>'Printable Customer Report'!A15+"AM:!1?3"</f>
        <v>#VALUE!</v>
      </c>
      <c r="GQ317" t="e">
        <f>'Printable Customer Report'!B15+"AM:!1?4"</f>
        <v>#VALUE!</v>
      </c>
      <c r="GR317" t="e">
        <f>'Printable Customer Report'!C15+"AM:!1?5"</f>
        <v>#VALUE!</v>
      </c>
      <c r="GS317" t="e">
        <f>'Printable Customer Report'!D15+"AM:!1?6"</f>
        <v>#VALUE!</v>
      </c>
      <c r="GT317" t="e">
        <f>'Printable Customer Report'!E15+"AM:!1?7"</f>
        <v>#VALUE!</v>
      </c>
      <c r="GU317" t="e">
        <f>'Printable Customer Report'!F15+"AM:!1?8"</f>
        <v>#VALUE!</v>
      </c>
      <c r="GV317" t="e">
        <f>'Printable Customer Report'!G15+"AM:!1?9"</f>
        <v>#VALUE!</v>
      </c>
      <c r="GW317" t="e">
        <f>'Printable Customer Report'!H15+"AM:!1?:"</f>
        <v>#VALUE!</v>
      </c>
      <c r="GX317" t="e">
        <f>'Printable Customer Report'!A16+"AM:!1?;"</f>
        <v>#VALUE!</v>
      </c>
      <c r="GY317" t="e">
        <f>'Printable Customer Report'!B16+"AM:!1?&lt;"</f>
        <v>#VALUE!</v>
      </c>
      <c r="GZ317" t="e">
        <f>'Printable Customer Report'!C16+"AM:!1?="</f>
        <v>#VALUE!</v>
      </c>
      <c r="HA317" t="e">
        <f>'Printable Customer Report'!D16+"AM:!1?&gt;"</f>
        <v>#VALUE!</v>
      </c>
      <c r="HB317" t="e">
        <f>'Printable Customer Report'!E16+"AM:!1??"</f>
        <v>#VALUE!</v>
      </c>
      <c r="HC317" t="e">
        <f>'Printable Customer Report'!F16+"AM:!1?@"</f>
        <v>#VALUE!</v>
      </c>
      <c r="HD317" t="e">
        <f>'Printable Customer Report'!G16+"AM:!1?A"</f>
        <v>#VALUE!</v>
      </c>
      <c r="HE317" t="e">
        <f>'Printable Customer Report'!H16+"AM:!1?B"</f>
        <v>#VALUE!</v>
      </c>
      <c r="HF317" t="e">
        <f>'Printable Customer Report'!A17+"AM:!1?C"</f>
        <v>#VALUE!</v>
      </c>
      <c r="HG317" t="e">
        <f>'Printable Customer Report'!B17+"AM:!1?D"</f>
        <v>#VALUE!</v>
      </c>
      <c r="HH317" t="e">
        <f>'Printable Customer Report'!C17+"AM:!1?E"</f>
        <v>#VALUE!</v>
      </c>
      <c r="HI317" t="e">
        <f>'Printable Customer Report'!D17+"AM:!1?F"</f>
        <v>#VALUE!</v>
      </c>
      <c r="HJ317" t="e">
        <f>'Printable Customer Report'!E17+"AM:!1?G"</f>
        <v>#VALUE!</v>
      </c>
      <c r="HK317" t="e">
        <f>'Printable Customer Report'!F17+"AM:!1?H"</f>
        <v>#VALUE!</v>
      </c>
      <c r="HL317" t="e">
        <f>'Printable Customer Report'!G17+"AM:!1?I"</f>
        <v>#VALUE!</v>
      </c>
      <c r="HM317" t="e">
        <f>'Printable Customer Report'!H17+"AM:!1?J"</f>
        <v>#VALUE!</v>
      </c>
      <c r="HN317" t="e">
        <f>'Printable Customer Report'!A18+"AM:!1?K"</f>
        <v>#VALUE!</v>
      </c>
      <c r="HO317" t="e">
        <f>'Printable Customer Report'!B18+"AM:!1?L"</f>
        <v>#VALUE!</v>
      </c>
      <c r="HP317" t="e">
        <f>'Printable Customer Report'!C18+"AM:!1?M"</f>
        <v>#VALUE!</v>
      </c>
      <c r="HQ317" t="e">
        <f>'Printable Customer Report'!D18+"AM:!1?N"</f>
        <v>#VALUE!</v>
      </c>
      <c r="HR317" t="e">
        <f>'Printable Customer Report'!E18+"AM:!1?O"</f>
        <v>#VALUE!</v>
      </c>
      <c r="HS317" t="e">
        <f>'Printable Customer Report'!F18+"AM:!1?P"</f>
        <v>#VALUE!</v>
      </c>
      <c r="HT317" t="e">
        <f>'Printable Customer Report'!G18+"AM:!1?Q"</f>
        <v>#VALUE!</v>
      </c>
      <c r="HU317" t="e">
        <f>'Printable Customer Report'!H18+"AM:!1?R"</f>
        <v>#VALUE!</v>
      </c>
      <c r="HV317" t="e">
        <f>'Printable Customer Report'!A19+"AM:!1?S"</f>
        <v>#VALUE!</v>
      </c>
      <c r="HW317" t="e">
        <f>'Printable Customer Report'!C19+"AM:!1?T"</f>
        <v>#VALUE!</v>
      </c>
      <c r="HX317" t="e">
        <f>'Printable Customer Report'!D19+"AM:!1?U"</f>
        <v>#VALUE!</v>
      </c>
      <c r="HY317" t="e">
        <f>'Printable Customer Report'!E19+"AM:!1?V"</f>
        <v>#VALUE!</v>
      </c>
      <c r="HZ317" t="e">
        <f>'Printable Customer Report'!F19+"AM:!1?W"</f>
        <v>#VALUE!</v>
      </c>
      <c r="IA317" t="e">
        <f>'Printable Customer Report'!G19+"AM:!1?X"</f>
        <v>#VALUE!</v>
      </c>
      <c r="IB317" t="e">
        <f>'Printable Customer Report'!H19+"AM:!1?Y"</f>
        <v>#VALUE!</v>
      </c>
      <c r="IC317" t="e">
        <f>'Printable Customer Report'!A20+"AM:!1?Z"</f>
        <v>#VALUE!</v>
      </c>
      <c r="ID317" t="e">
        <f>'Printable Customer Report'!B20+"AM:!1?["</f>
        <v>#VALUE!</v>
      </c>
      <c r="IE317" t="e">
        <f>'Printable Customer Report'!C20+"AM:!1?\"</f>
        <v>#VALUE!</v>
      </c>
      <c r="IF317" t="e">
        <f>'Printable Customer Report'!D20+"AM:!1?]"</f>
        <v>#VALUE!</v>
      </c>
      <c r="IG317" t="e">
        <f>'Printable Customer Report'!E20+"AM:!1?^"</f>
        <v>#VALUE!</v>
      </c>
      <c r="IH317" t="e">
        <f>'Printable Customer Report'!F20+"AM:!1?_"</f>
        <v>#VALUE!</v>
      </c>
      <c r="II317" t="e">
        <f>'Printable Customer Report'!G20+"AM:!1?`"</f>
        <v>#VALUE!</v>
      </c>
      <c r="IJ317" t="e">
        <f>'Printable Customer Report'!H20+"AM:!1?a"</f>
        <v>#VALUE!</v>
      </c>
      <c r="IK317" t="e">
        <f>'Printable Customer Report'!A21+"AM:!1?b"</f>
        <v>#VALUE!</v>
      </c>
      <c r="IL317" t="e">
        <f>'Printable Customer Report'!B21+"AM:!1?c"</f>
        <v>#VALUE!</v>
      </c>
      <c r="IM317" t="e">
        <f>'Printable Customer Report'!C21+"AM:!1?d"</f>
        <v>#VALUE!</v>
      </c>
      <c r="IN317" t="e">
        <f>'Printable Customer Report'!D21+"AM:!1?e"</f>
        <v>#VALUE!</v>
      </c>
      <c r="IO317" t="e">
        <f>'Printable Customer Report'!E21+"AM:!1?f"</f>
        <v>#VALUE!</v>
      </c>
      <c r="IP317" t="e">
        <f>'Printable Customer Report'!F21+"AM:!1?g"</f>
        <v>#VALUE!</v>
      </c>
      <c r="IQ317" t="e">
        <f>'Printable Customer Report'!G21+"AM:!1?h"</f>
        <v>#VALUE!</v>
      </c>
      <c r="IR317" t="e">
        <f>'Printable Customer Report'!H21+"AM:!1?i"</f>
        <v>#VALUE!</v>
      </c>
      <c r="IS317" t="e">
        <f>'Printable Customer Report'!A22+"AM:!1?j"</f>
        <v>#VALUE!</v>
      </c>
      <c r="IT317" t="e">
        <f>'Printable Customer Report'!B22+"AM:!1?k"</f>
        <v>#VALUE!</v>
      </c>
      <c r="IU317" t="e">
        <f>'Printable Customer Report'!C22+"AM:!1?l"</f>
        <v>#VALUE!</v>
      </c>
      <c r="IV317" t="e">
        <f>'Printable Customer Report'!D22+"AM:!1?m"</f>
        <v>#VALUE!</v>
      </c>
    </row>
    <row r="318" spans="6:256">
      <c r="F318" t="e">
        <f>'Printable Customer Report'!E22+"AM:!1?n"</f>
        <v>#VALUE!</v>
      </c>
      <c r="G318" t="e">
        <f>'Printable Customer Report'!F22+"AM:!1?o"</f>
        <v>#VALUE!</v>
      </c>
      <c r="H318" t="e">
        <f>'Printable Customer Report'!G22+"AM:!1?p"</f>
        <v>#VALUE!</v>
      </c>
      <c r="I318" t="e">
        <f>'Printable Customer Report'!H22+"AM:!1?q"</f>
        <v>#VALUE!</v>
      </c>
      <c r="J318" t="e">
        <f>'Printable Customer Report'!A25+"AM:!1?r"</f>
        <v>#VALUE!</v>
      </c>
      <c r="K318" t="e">
        <f>'Printable Customer Report'!B25+"AM:!1?s"</f>
        <v>#VALUE!</v>
      </c>
      <c r="L318" t="e">
        <f>'Printable Customer Report'!C25+"AM:!1?t"</f>
        <v>#VALUE!</v>
      </c>
      <c r="M318" t="e">
        <f>'Printable Customer Report'!D25+"AM:!1?u"</f>
        <v>#VALUE!</v>
      </c>
      <c r="N318" t="e">
        <f>'Printable Customer Report'!E25+"AM:!1?v"</f>
        <v>#VALUE!</v>
      </c>
      <c r="O318" t="e">
        <f>'Printable Customer Report'!F25+"AM:!1?w"</f>
        <v>#VALUE!</v>
      </c>
      <c r="P318" t="e">
        <f>'Printable Customer Report'!G25+"AM:!1?x"</f>
        <v>#VALUE!</v>
      </c>
      <c r="Q318" t="e">
        <f>'Printable Customer Report'!H25+"AM:!1?y"</f>
        <v>#VALUE!</v>
      </c>
      <c r="R318" t="e">
        <f>'Printable Customer Report'!A27+"AM:!1?z"</f>
        <v>#VALUE!</v>
      </c>
      <c r="S318" t="e">
        <f>'Printable Customer Report'!B27+"AM:!1?{"</f>
        <v>#VALUE!</v>
      </c>
      <c r="T318" t="e">
        <f>'Printable Customer Report'!C27+"AM:!1?|"</f>
        <v>#VALUE!</v>
      </c>
      <c r="U318" t="e">
        <f>'Printable Customer Report'!D27+"AM:!1?}"</f>
        <v>#VALUE!</v>
      </c>
      <c r="V318" t="e">
        <f>'Printable Customer Report'!E27+"AM:!1?~"</f>
        <v>#VALUE!</v>
      </c>
      <c r="W318" t="e">
        <f>'Printable Customer Report'!F27+"AM:!1@#"</f>
        <v>#VALUE!</v>
      </c>
      <c r="X318" t="e">
        <f>'Printable Customer Report'!G27+"AM:!1@$"</f>
        <v>#VALUE!</v>
      </c>
      <c r="Y318" t="e">
        <f>'Printable Customer Report'!H27+"AM:!1@%"</f>
        <v>#VALUE!</v>
      </c>
      <c r="Z318" t="e">
        <f>'Printable Customer Report'!A28+"AM:!1@&amp;"</f>
        <v>#VALUE!</v>
      </c>
      <c r="AA318" t="e">
        <f>'Printable Customer Report'!B28+"AM:!1@'"</f>
        <v>#VALUE!</v>
      </c>
      <c r="AB318" t="e">
        <f>'Printable Customer Report'!C28+"AM:!1@("</f>
        <v>#VALUE!</v>
      </c>
      <c r="AC318" t="e">
        <f>'Printable Customer Report'!D28+"AM:!1@)"</f>
        <v>#VALUE!</v>
      </c>
      <c r="AD318" t="e">
        <f>'Printable Customer Report'!E28+"AM:!1@."</f>
        <v>#VALUE!</v>
      </c>
      <c r="AE318" t="e">
        <f>'Printable Customer Report'!F28+"AM:!1@/"</f>
        <v>#VALUE!</v>
      </c>
      <c r="AF318" t="e">
        <f>'Printable Customer Report'!G28+"AM:!1@0"</f>
        <v>#VALUE!</v>
      </c>
      <c r="AG318" t="e">
        <f>'Printable Customer Report'!H28+"AM:!1@1"</f>
        <v>#VALUE!</v>
      </c>
      <c r="AH318" t="e">
        <f>'Printable Customer Report'!A29+"AM:!1@2"</f>
        <v>#VALUE!</v>
      </c>
      <c r="AI318" t="e">
        <f>'Printable Customer Report'!B29+"AM:!1@3"</f>
        <v>#VALUE!</v>
      </c>
      <c r="AJ318" t="e">
        <f>'Printable Customer Report'!C29+"AM:!1@4"</f>
        <v>#VALUE!</v>
      </c>
      <c r="AK318" t="e">
        <f>'Printable Customer Report'!D29+"AM:!1@5"</f>
        <v>#VALUE!</v>
      </c>
      <c r="AL318" t="e">
        <f>'Printable Customer Report'!E29+"AM:!1@6"</f>
        <v>#VALUE!</v>
      </c>
      <c r="AM318" t="e">
        <f>'Printable Customer Report'!F29+"AM:!1@7"</f>
        <v>#VALUE!</v>
      </c>
      <c r="AN318" t="e">
        <f>'Printable Customer Report'!G29+"AM:!1@8"</f>
        <v>#VALUE!</v>
      </c>
      <c r="AO318" t="e">
        <f>'Printable Customer Report'!H29+"AM:!1@9"</f>
        <v>#VALUE!</v>
      </c>
      <c r="AP318" t="e">
        <f>'Printable Customer Report'!A30+"AM:!1@:"</f>
        <v>#VALUE!</v>
      </c>
      <c r="AQ318" t="e">
        <f>'Printable Customer Report'!B30+"AM:!1@;"</f>
        <v>#VALUE!</v>
      </c>
      <c r="AR318" t="e">
        <f>'Printable Customer Report'!C30+"AM:!1@&lt;"</f>
        <v>#VALUE!</v>
      </c>
      <c r="AS318" t="e">
        <f>'Printable Customer Report'!D30+"AM:!1@="</f>
        <v>#VALUE!</v>
      </c>
      <c r="AT318" t="e">
        <f>'Printable Customer Report'!E30+"AM:!1@&gt;"</f>
        <v>#VALUE!</v>
      </c>
      <c r="AU318" t="e">
        <f>'Printable Customer Report'!F30+"AM:!1@?"</f>
        <v>#VALUE!</v>
      </c>
      <c r="AV318" t="e">
        <f>'Printable Customer Report'!G30+"AM:!1@@"</f>
        <v>#VALUE!</v>
      </c>
      <c r="AW318" t="e">
        <f>'Printable Customer Report'!H30+"AM:!1@A"</f>
        <v>#VALUE!</v>
      </c>
      <c r="AX318" t="e">
        <f>'Printable Customer Report'!A31+"AM:!1@B"</f>
        <v>#VALUE!</v>
      </c>
      <c r="AY318" t="e">
        <f>'Printable Customer Report'!B31+"AM:!1@C"</f>
        <v>#VALUE!</v>
      </c>
      <c r="AZ318" t="e">
        <f>'Printable Customer Report'!C31+"AM:!1@D"</f>
        <v>#VALUE!</v>
      </c>
      <c r="BA318" t="e">
        <f>'Printable Customer Report'!D31+"AM:!1@E"</f>
        <v>#VALUE!</v>
      </c>
      <c r="BB318" t="e">
        <f>'Printable Customer Report'!E31+"AM:!1@F"</f>
        <v>#VALUE!</v>
      </c>
      <c r="BC318" t="e">
        <f>'Printable Customer Report'!F31+"AM:!1@G"</f>
        <v>#VALUE!</v>
      </c>
      <c r="BD318" t="e">
        <f>'Printable Customer Report'!G31+"AM:!1@H"</f>
        <v>#VALUE!</v>
      </c>
      <c r="BE318" t="e">
        <f>'Printable Customer Report'!H31+"AM:!1@I"</f>
        <v>#VALUE!</v>
      </c>
      <c r="BF318" t="e">
        <f>'Printable Customer Report'!A32+"AM:!1@J"</f>
        <v>#VALUE!</v>
      </c>
      <c r="BG318" t="e">
        <f>'Printable Customer Report'!B32+"AM:!1@K"</f>
        <v>#VALUE!</v>
      </c>
      <c r="BH318" t="e">
        <f>'Printable Customer Report'!C32+"AM:!1@L"</f>
        <v>#VALUE!</v>
      </c>
      <c r="BI318" t="e">
        <f>'Printable Customer Report'!D32+"AM:!1@M"</f>
        <v>#VALUE!</v>
      </c>
      <c r="BJ318" t="e">
        <f>'Printable Customer Report'!E32+"AM:!1@N"</f>
        <v>#VALUE!</v>
      </c>
      <c r="BK318" t="e">
        <f>'Printable Customer Report'!F32+"AM:!1@O"</f>
        <v>#VALUE!</v>
      </c>
      <c r="BL318" t="e">
        <f>'Printable Customer Report'!G32+"AM:!1@P"</f>
        <v>#VALUE!</v>
      </c>
      <c r="BM318" t="e">
        <f>'Printable Customer Report'!H32+"AM:!1@Q"</f>
        <v>#VALUE!</v>
      </c>
      <c r="BN318" t="e">
        <f>'Printable Customer Report'!A33+"AM:!1@R"</f>
        <v>#VALUE!</v>
      </c>
      <c r="BO318" t="e">
        <f>'Printable Customer Report'!B33+"AM:!1@S"</f>
        <v>#VALUE!</v>
      </c>
      <c r="BP318" t="e">
        <f>'Printable Customer Report'!C33+"AM:!1@T"</f>
        <v>#VALUE!</v>
      </c>
      <c r="BQ318" t="e">
        <f>'Printable Customer Report'!D33+"AM:!1@U"</f>
        <v>#VALUE!</v>
      </c>
      <c r="BR318" t="e">
        <f>'Printable Customer Report'!E33+"AM:!1@V"</f>
        <v>#VALUE!</v>
      </c>
      <c r="BS318" t="e">
        <f>'Printable Customer Report'!F33+"AM:!1@W"</f>
        <v>#VALUE!</v>
      </c>
      <c r="BT318" t="e">
        <f>'Printable Customer Report'!G33+"AM:!1@X"</f>
        <v>#VALUE!</v>
      </c>
      <c r="BU318" t="e">
        <f>'Printable Customer Report'!H33+"AM:!1@Y"</f>
        <v>#VALUE!</v>
      </c>
      <c r="BV318" t="e">
        <f>'Printable Customer Report'!A34+"AM:!1@Z"</f>
        <v>#VALUE!</v>
      </c>
      <c r="BW318" t="e">
        <f>'Printable Customer Report'!B34+"AM:!1@["</f>
        <v>#VALUE!</v>
      </c>
      <c r="BX318" t="e">
        <f>'Printable Customer Report'!C34+"AM:!1@\"</f>
        <v>#VALUE!</v>
      </c>
      <c r="BY318" t="e">
        <f>'Printable Customer Report'!D34+"AM:!1@]"</f>
        <v>#VALUE!</v>
      </c>
      <c r="BZ318" t="e">
        <f>'Printable Customer Report'!E34+"AM:!1@^"</f>
        <v>#VALUE!</v>
      </c>
      <c r="CA318" t="e">
        <f>'Printable Customer Report'!F34+"AM:!1@_"</f>
        <v>#VALUE!</v>
      </c>
      <c r="CB318" t="e">
        <f>'Printable Customer Report'!G34+"AM:!1@`"</f>
        <v>#VALUE!</v>
      </c>
      <c r="CC318" t="e">
        <f>'Printable Customer Report'!H34+"AM:!1@a"</f>
        <v>#VALUE!</v>
      </c>
      <c r="CD318" t="e">
        <f>'Printable Customer Report'!A36+"AM:!1@b"</f>
        <v>#VALUE!</v>
      </c>
      <c r="CE318" t="e">
        <f>'Printable Customer Report'!B36+"AM:!1@c"</f>
        <v>#VALUE!</v>
      </c>
      <c r="CF318" t="e">
        <f>'Printable Customer Report'!C36+"AM:!1@d"</f>
        <v>#VALUE!</v>
      </c>
      <c r="CG318" t="e">
        <f>'Printable Customer Report'!D36+"AM:!1@e"</f>
        <v>#VALUE!</v>
      </c>
      <c r="CH318" t="e">
        <f>'Printable Customer Report'!E36+"AM:!1@f"</f>
        <v>#VALUE!</v>
      </c>
      <c r="CI318" t="e">
        <f>'Printable Customer Report'!F36+"AM:!1@g"</f>
        <v>#VALUE!</v>
      </c>
      <c r="CJ318" t="e">
        <f>'Printable Customer Report'!G36+"AM:!1@h"</f>
        <v>#VALUE!</v>
      </c>
      <c r="CK318" t="e">
        <f>'Printable Customer Report'!H36+"AM:!1@i"</f>
        <v>#VALUE!</v>
      </c>
      <c r="CL318" t="e">
        <f>'Printable Customer Report'!A37+"AM:!1@j"</f>
        <v>#VALUE!</v>
      </c>
      <c r="CM318" t="e">
        <f>'Printable Customer Report'!B37+"AM:!1@k"</f>
        <v>#VALUE!</v>
      </c>
      <c r="CN318" t="e">
        <f>'Printable Customer Report'!C37+"AM:!1@l"</f>
        <v>#VALUE!</v>
      </c>
      <c r="CO318" t="e">
        <f>'Printable Customer Report'!D37+"AM:!1@m"</f>
        <v>#VALUE!</v>
      </c>
      <c r="CP318" t="e">
        <f>'Printable Customer Report'!E37+"AM:!1@n"</f>
        <v>#VALUE!</v>
      </c>
      <c r="CQ318" t="e">
        <f>'Printable Customer Report'!F37+"AM:!1@o"</f>
        <v>#VALUE!</v>
      </c>
      <c r="CR318" t="e">
        <f>'Printable Customer Report'!G37+"AM:!1@p"</f>
        <v>#VALUE!</v>
      </c>
      <c r="CS318" t="e">
        <f>'Printable Customer Report'!H37+"AM:!1@q"</f>
        <v>#VALUE!</v>
      </c>
      <c r="CT318" t="e">
        <f>'Printable Customer Report'!A38+"AM:!1@r"</f>
        <v>#VALUE!</v>
      </c>
      <c r="CU318" t="e">
        <f>'Printable Customer Report'!B38+"AM:!1@s"</f>
        <v>#VALUE!</v>
      </c>
      <c r="CV318" t="e">
        <f>'Printable Customer Report'!C38+"AM:!1@t"</f>
        <v>#VALUE!</v>
      </c>
      <c r="CW318" t="e">
        <f>'Printable Customer Report'!D38+"AM:!1@u"</f>
        <v>#VALUE!</v>
      </c>
      <c r="CX318" t="e">
        <f>'Printable Customer Report'!E38+"AM:!1@v"</f>
        <v>#VALUE!</v>
      </c>
      <c r="CY318" t="e">
        <f>'Printable Customer Report'!F38+"AM:!1@w"</f>
        <v>#VALUE!</v>
      </c>
      <c r="CZ318" t="e">
        <f>'Printable Customer Report'!G38+"AM:!1@x"</f>
        <v>#VALUE!</v>
      </c>
      <c r="DA318" t="e">
        <f>'Printable Customer Report'!H38+"AM:!1@y"</f>
        <v>#VALUE!</v>
      </c>
      <c r="DB318" t="e">
        <f>'Printable Customer Report'!A39+"AM:!1@z"</f>
        <v>#VALUE!</v>
      </c>
      <c r="DC318" t="e">
        <f>'Printable Customer Report'!B39+"AM:!1@{"</f>
        <v>#VALUE!</v>
      </c>
      <c r="DD318" t="e">
        <f>'Printable Customer Report'!C39+"AM:!1@|"</f>
        <v>#VALUE!</v>
      </c>
      <c r="DE318" t="e">
        <f>'Printable Customer Report'!D39+"AM:!1@}"</f>
        <v>#VALUE!</v>
      </c>
      <c r="DF318" t="e">
        <f>'Printable Customer Report'!E39+"AM:!1@~"</f>
        <v>#VALUE!</v>
      </c>
      <c r="DG318" t="e">
        <f>'Printable Customer Report'!F39+"AM:!1A#"</f>
        <v>#VALUE!</v>
      </c>
      <c r="DH318" t="e">
        <f>'Printable Customer Report'!G39+"AM:!1A$"</f>
        <v>#VALUE!</v>
      </c>
      <c r="DI318" t="e">
        <f>'Printable Customer Report'!H39+"AM:!1A%"</f>
        <v>#VALUE!</v>
      </c>
      <c r="DJ318" t="e">
        <f>'Printable Customer Report'!A40+"AM:!1A&amp;"</f>
        <v>#VALUE!</v>
      </c>
      <c r="DK318" t="e">
        <f>'Printable Customer Report'!B40+"AM:!1A'"</f>
        <v>#VALUE!</v>
      </c>
      <c r="DL318" t="e">
        <f>'Printable Customer Report'!C40+"AM:!1A("</f>
        <v>#VALUE!</v>
      </c>
      <c r="DM318" t="e">
        <f>'Printable Customer Report'!D40+"AM:!1A)"</f>
        <v>#VALUE!</v>
      </c>
      <c r="DN318" t="e">
        <f>'Printable Customer Report'!E40+"AM:!1A."</f>
        <v>#VALUE!</v>
      </c>
      <c r="DO318" t="e">
        <f>'Printable Customer Report'!F40+"AM:!1A/"</f>
        <v>#VALUE!</v>
      </c>
      <c r="DP318" t="e">
        <f>'Printable Customer Report'!G40+"AM:!1A0"</f>
        <v>#VALUE!</v>
      </c>
      <c r="DQ318" t="e">
        <f>'Printable Customer Report'!H40+"AM:!1A1"</f>
        <v>#VALUE!</v>
      </c>
      <c r="DR318" t="e">
        <f>'Printable Customer Report'!A41+"AM:!1A2"</f>
        <v>#VALUE!</v>
      </c>
      <c r="DS318" t="e">
        <f>'Printable Customer Report'!B41+"AM:!1A3"</f>
        <v>#VALUE!</v>
      </c>
      <c r="DT318" t="e">
        <f>'Printable Customer Report'!C41+"AM:!1A4"</f>
        <v>#VALUE!</v>
      </c>
      <c r="DU318" t="e">
        <f>'Printable Customer Report'!D41+"AM:!1A5"</f>
        <v>#VALUE!</v>
      </c>
      <c r="DV318" t="e">
        <f>'Printable Customer Report'!E41+"AM:!1A6"</f>
        <v>#VALUE!</v>
      </c>
      <c r="DW318" t="e">
        <f>'Printable Customer Report'!F41+"AM:!1A7"</f>
        <v>#VALUE!</v>
      </c>
      <c r="DX318" t="e">
        <f>'Printable Customer Report'!G41+"AM:!1A8"</f>
        <v>#VALUE!</v>
      </c>
      <c r="DY318" t="e">
        <f>'Printable Customer Report'!H41+"AM:!1A9"</f>
        <v>#VALUE!</v>
      </c>
      <c r="DZ318" t="e">
        <f>'Printable Customer Report'!A42+"AM:!1A:"</f>
        <v>#VALUE!</v>
      </c>
      <c r="EA318" t="e">
        <f>'Printable Customer Report'!B42+"AM:!1A;"</f>
        <v>#VALUE!</v>
      </c>
      <c r="EB318" t="e">
        <f>'Printable Customer Report'!C42+"AM:!1A&lt;"</f>
        <v>#VALUE!</v>
      </c>
      <c r="EC318" t="e">
        <f>'Printable Customer Report'!D42+"AM:!1A="</f>
        <v>#VALUE!</v>
      </c>
      <c r="ED318" t="e">
        <f>'Printable Customer Report'!E42+"AM:!1A&gt;"</f>
        <v>#VALUE!</v>
      </c>
      <c r="EE318" t="e">
        <f>'Printable Customer Report'!F42+"AM:!1A?"</f>
        <v>#VALUE!</v>
      </c>
      <c r="EF318" t="e">
        <f>'Printable Customer Report'!G42+"AM:!1A@"</f>
        <v>#VALUE!</v>
      </c>
      <c r="EG318" t="e">
        <f>'Printable Customer Report'!H42+"AM:!1AA"</f>
        <v>#VALUE!</v>
      </c>
      <c r="EH318" t="e">
        <f>'Printable Customer Report'!A43+"AM:!1AB"</f>
        <v>#VALUE!</v>
      </c>
      <c r="EI318" t="e">
        <f>'Printable Customer Report'!B43+"AM:!1AC"</f>
        <v>#VALUE!</v>
      </c>
      <c r="EJ318" t="e">
        <f>'Printable Customer Report'!C43+"AM:!1AD"</f>
        <v>#VALUE!</v>
      </c>
      <c r="EK318" t="e">
        <f>'Printable Customer Report'!D43+"AM:!1AE"</f>
        <v>#VALUE!</v>
      </c>
      <c r="EL318" t="e">
        <f>'Printable Customer Report'!E43+"AM:!1AF"</f>
        <v>#VALUE!</v>
      </c>
      <c r="EM318" t="e">
        <f>'Printable Customer Report'!F43+"AM:!1AG"</f>
        <v>#VALUE!</v>
      </c>
      <c r="EN318" t="e">
        <f>'Printable Customer Report'!G43+"AM:!1AH"</f>
        <v>#VALUE!</v>
      </c>
      <c r="EO318" t="e">
        <f>'Printable Customer Report'!H43+"AM:!1AI"</f>
        <v>#VALUE!</v>
      </c>
      <c r="EP318" t="e">
        <f>'Printable Customer Report'!A45+"AM:!1AJ"</f>
        <v>#VALUE!</v>
      </c>
      <c r="EQ318" t="e">
        <f>'Printable Customer Report'!B45+"AM:!1AK"</f>
        <v>#VALUE!</v>
      </c>
      <c r="ER318" t="e">
        <f>'Printable Customer Report'!C45+"AM:!1AL"</f>
        <v>#VALUE!</v>
      </c>
      <c r="ES318" t="e">
        <f>'Printable Customer Report'!D45+"AM:!1AM"</f>
        <v>#VALUE!</v>
      </c>
      <c r="ET318" t="e">
        <f>'Printable Customer Report'!E45+"AM:!1AN"</f>
        <v>#VALUE!</v>
      </c>
      <c r="EU318" t="e">
        <f>'Printable Customer Report'!F45+"AM:!1AO"</f>
        <v>#VALUE!</v>
      </c>
      <c r="EV318" t="e">
        <f>'Printable Customer Report'!G45+"AM:!1AP"</f>
        <v>#VALUE!</v>
      </c>
      <c r="EW318" t="e">
        <f>'Printable Customer Report'!H45+"AM:!1AQ"</f>
        <v>#VALUE!</v>
      </c>
      <c r="EX318" t="e">
        <f>'Printable Customer Report'!A46+"AM:!1AR"</f>
        <v>#VALUE!</v>
      </c>
      <c r="EY318" t="e">
        <f>'Printable Customer Report'!B46+"AM:!1AS"</f>
        <v>#VALUE!</v>
      </c>
      <c r="EZ318" t="e">
        <f>'Printable Customer Report'!C46+"AM:!1AT"</f>
        <v>#VALUE!</v>
      </c>
      <c r="FA318" t="e">
        <f>'Printable Customer Report'!D46+"AM:!1AU"</f>
        <v>#VALUE!</v>
      </c>
      <c r="FB318" t="e">
        <f>'Printable Customer Report'!E46+"AM:!1AV"</f>
        <v>#VALUE!</v>
      </c>
      <c r="FC318" t="e">
        <f>'Printable Customer Report'!F46+"AM:!1AW"</f>
        <v>#VALUE!</v>
      </c>
      <c r="FD318" t="e">
        <f>'Printable Customer Report'!G46+"AM:!1AX"</f>
        <v>#VALUE!</v>
      </c>
      <c r="FE318" t="e">
        <f>'Printable Customer Report'!H46+"AM:!1AY"</f>
        <v>#VALUE!</v>
      </c>
      <c r="FF318" t="e">
        <f>'Printable Customer Report'!A47+"AM:!1AZ"</f>
        <v>#VALUE!</v>
      </c>
      <c r="FG318" t="e">
        <f>'Printable Customer Report'!B47+"AM:!1A["</f>
        <v>#VALUE!</v>
      </c>
      <c r="FH318" t="e">
        <f>'Printable Customer Report'!C47+"AM:!1A\"</f>
        <v>#VALUE!</v>
      </c>
      <c r="FI318" t="e">
        <f>'Printable Customer Report'!D47+"AM:!1A]"</f>
        <v>#VALUE!</v>
      </c>
      <c r="FJ318" t="e">
        <f>'Printable Customer Report'!E47+"AM:!1A^"</f>
        <v>#VALUE!</v>
      </c>
      <c r="FK318" t="e">
        <f>'Printable Customer Report'!F47+"AM:!1A_"</f>
        <v>#VALUE!</v>
      </c>
      <c r="FL318" t="e">
        <f>'Printable Customer Report'!G47+"AM:!1A`"</f>
        <v>#VALUE!</v>
      </c>
      <c r="FM318" t="e">
        <f>'Printable Customer Report'!H47+"AM:!1Aa"</f>
        <v>#VALUE!</v>
      </c>
      <c r="FN318" t="e">
        <f>'Printable Customer Report'!A48+"AM:!1Ab"</f>
        <v>#VALUE!</v>
      </c>
      <c r="FO318" t="e">
        <f>'Printable Customer Report'!B48+"AM:!1Ac"</f>
        <v>#VALUE!</v>
      </c>
      <c r="FP318" t="e">
        <f>'Printable Customer Report'!C48+"AM:!1Ad"</f>
        <v>#VALUE!</v>
      </c>
      <c r="FQ318" t="e">
        <f>'Printable Customer Report'!D48+"AM:!1Ae"</f>
        <v>#VALUE!</v>
      </c>
      <c r="FR318" t="e">
        <f>'Printable Customer Report'!E48+"AM:!1Af"</f>
        <v>#VALUE!</v>
      </c>
      <c r="FS318" t="e">
        <f>'Printable Customer Report'!F48+"AM:!1Ag"</f>
        <v>#VALUE!</v>
      </c>
      <c r="FT318" t="e">
        <f>'Printable Customer Report'!G48+"AM:!1Ah"</f>
        <v>#VALUE!</v>
      </c>
      <c r="FU318" t="e">
        <f>'Printable Customer Report'!H48+"AM:!1Ai"</f>
        <v>#VALUE!</v>
      </c>
      <c r="FV318" t="e">
        <f>'Printable Customer Report'!A49+"AM:!1Aj"</f>
        <v>#VALUE!</v>
      </c>
      <c r="FW318" t="e">
        <f>'Printable Customer Report'!B49+"AM:!1Ak"</f>
        <v>#VALUE!</v>
      </c>
      <c r="FX318" t="e">
        <f>'Printable Customer Report'!C49+"AM:!1Al"</f>
        <v>#VALUE!</v>
      </c>
      <c r="FY318" t="e">
        <f>'Printable Customer Report'!D49+"AM:!1Am"</f>
        <v>#VALUE!</v>
      </c>
      <c r="FZ318" t="e">
        <f>'Printable Customer Report'!E49+"AM:!1An"</f>
        <v>#VALUE!</v>
      </c>
      <c r="GA318" t="e">
        <f>'Printable Customer Report'!F49+"AM:!1Ao"</f>
        <v>#VALUE!</v>
      </c>
      <c r="GB318" t="e">
        <f>'Printable Customer Report'!G49+"AM:!1Ap"</f>
        <v>#VALUE!</v>
      </c>
      <c r="GC318" t="e">
        <f>'Printable Customer Report'!H49+"AM:!1Aq"</f>
        <v>#VALUE!</v>
      </c>
      <c r="GD318" t="e">
        <f>'Printable Customer Report'!A50+"AM:!1Ar"</f>
        <v>#VALUE!</v>
      </c>
      <c r="GE318" t="e">
        <f>'Printable Customer Report'!B50+"AM:!1As"</f>
        <v>#VALUE!</v>
      </c>
      <c r="GF318" t="e">
        <f>'Printable Customer Report'!C50+"AM:!1At"</f>
        <v>#VALUE!</v>
      </c>
      <c r="GG318" t="e">
        <f>'Printable Customer Report'!D50+"AM:!1Au"</f>
        <v>#VALUE!</v>
      </c>
      <c r="GH318" t="e">
        <f>'Printable Customer Report'!E50+"AM:!1Av"</f>
        <v>#VALUE!</v>
      </c>
      <c r="GI318" t="e">
        <f>'Printable Customer Report'!F50+"AM:!1Aw"</f>
        <v>#VALUE!</v>
      </c>
      <c r="GJ318" t="e">
        <f>'Printable Customer Report'!G50+"AM:!1Ax"</f>
        <v>#VALUE!</v>
      </c>
      <c r="GK318" t="e">
        <f>'Printable Customer Report'!H50+"AM:!1Ay"</f>
        <v>#VALUE!</v>
      </c>
      <c r="GL318" t="e">
        <f>'Printable Customer Report'!A51+"AM:!1Az"</f>
        <v>#VALUE!</v>
      </c>
      <c r="GM318" t="e">
        <f>'Printable Customer Report'!B51+"AM:!1A{"</f>
        <v>#VALUE!</v>
      </c>
      <c r="GN318" t="e">
        <f>'Printable Customer Report'!C51+"AM:!1A|"</f>
        <v>#VALUE!</v>
      </c>
      <c r="GO318" t="e">
        <f>'Printable Customer Report'!D51+"AM:!1A}"</f>
        <v>#VALUE!</v>
      </c>
      <c r="GP318" t="e">
        <f>'Printable Customer Report'!E51+"AM:!1A~"</f>
        <v>#VALUE!</v>
      </c>
      <c r="GQ318" t="e">
        <f>'Printable Customer Report'!F51+"AM:!1B#"</f>
        <v>#VALUE!</v>
      </c>
      <c r="GR318" t="e">
        <f>'Printable Customer Report'!G51+"AM:!1B$"</f>
        <v>#VALUE!</v>
      </c>
      <c r="GS318" t="e">
        <f>'Printable Customer Report'!H51+"AM:!1B%"</f>
        <v>#VALUE!</v>
      </c>
      <c r="GT318" t="e">
        <f>'Printable Customer Report'!A52+"AM:!1B&amp;"</f>
        <v>#VALUE!</v>
      </c>
      <c r="GU318" t="e">
        <f>'Printable Customer Report'!B52+"AM:!1B'"</f>
        <v>#VALUE!</v>
      </c>
      <c r="GV318" t="e">
        <f>'Printable Customer Report'!C52+"AM:!1B("</f>
        <v>#VALUE!</v>
      </c>
      <c r="GW318" t="e">
        <f>'Printable Customer Report'!D52+"AM:!1B)"</f>
        <v>#VALUE!</v>
      </c>
      <c r="GX318" t="e">
        <f>'Printable Customer Report'!E52+"AM:!1B."</f>
        <v>#VALUE!</v>
      </c>
      <c r="GY318" t="e">
        <f>'Printable Customer Report'!F52+"AM:!1B/"</f>
        <v>#VALUE!</v>
      </c>
      <c r="GZ318" t="e">
        <f>'Printable Customer Report'!G52+"AM:!1B0"</f>
        <v>#VALUE!</v>
      </c>
      <c r="HA318" t="e">
        <f>'Printable Customer Report'!H52+"AM:!1B1"</f>
        <v>#VALUE!</v>
      </c>
      <c r="HB318" t="e">
        <f>'Printable Customer Report'!A58+"AM:!1B2"</f>
        <v>#VALUE!</v>
      </c>
      <c r="HC318" t="e">
        <f>'Printable Customer Report'!B58+"AM:!1B3"</f>
        <v>#VALUE!</v>
      </c>
      <c r="HD318" t="e">
        <f>'Printable Customer Report'!C58+"AM:!1B4"</f>
        <v>#VALUE!</v>
      </c>
      <c r="HE318" t="e">
        <f>'Printable Customer Report'!D58+"AM:!1B5"</f>
        <v>#VALUE!</v>
      </c>
      <c r="HF318" t="e">
        <f>'Printable Customer Report'!E58+"AM:!1B6"</f>
        <v>#VALUE!</v>
      </c>
      <c r="HG318" t="e">
        <f>'Printable Customer Report'!F58+"AM:!1B7"</f>
        <v>#VALUE!</v>
      </c>
      <c r="HH318" t="e">
        <f>'Printable Customer Report'!G58+"AM:!1B8"</f>
        <v>#VALUE!</v>
      </c>
      <c r="HI318" t="e">
        <f>'Printable Customer Report'!H58+"AM:!1B9"</f>
        <v>#VALUE!</v>
      </c>
      <c r="HJ318" t="e">
        <f>'Printable Customer Report'!A60+"AM:!1B:"</f>
        <v>#VALUE!</v>
      </c>
      <c r="HK318" t="e">
        <f>'Printable Customer Report'!B60+"AM:!1B;"</f>
        <v>#VALUE!</v>
      </c>
      <c r="HL318" t="e">
        <f>'Printable Customer Report'!C60+"AM:!1B&lt;"</f>
        <v>#VALUE!</v>
      </c>
      <c r="HM318" t="e">
        <f>'Printable Customer Report'!D60+"AM:!1B="</f>
        <v>#VALUE!</v>
      </c>
      <c r="HN318" t="e">
        <f>'Printable Customer Report'!E60+"AM:!1B&gt;"</f>
        <v>#VALUE!</v>
      </c>
      <c r="HO318" t="e">
        <f>'Printable Customer Report'!F60+"AM:!1B?"</f>
        <v>#VALUE!</v>
      </c>
      <c r="HP318" t="e">
        <f>'Printable Customer Report'!G60+"AM:!1B@"</f>
        <v>#VALUE!</v>
      </c>
      <c r="HQ318" t="e">
        <f>'Printable Customer Report'!H60+"AM:!1BA"</f>
        <v>#VALUE!</v>
      </c>
      <c r="HR318" t="e">
        <f>'Printable Customer Report'!A61+"AM:!1BB"</f>
        <v>#VALUE!</v>
      </c>
      <c r="HS318" t="e">
        <f>'Printable Customer Report'!B61+"AM:!1BC"</f>
        <v>#VALUE!</v>
      </c>
      <c r="HT318" t="e">
        <f>'Printable Customer Report'!C61+"AM:!1BD"</f>
        <v>#VALUE!</v>
      </c>
      <c r="HU318" t="e">
        <f>'Printable Customer Report'!D61+"AM:!1BE"</f>
        <v>#VALUE!</v>
      </c>
      <c r="HV318" t="e">
        <f>'Printable Customer Report'!E61+"AM:!1BF"</f>
        <v>#VALUE!</v>
      </c>
      <c r="HW318" t="e">
        <f>'Printable Customer Report'!F61+"AM:!1BG"</f>
        <v>#VALUE!</v>
      </c>
      <c r="HX318" t="e">
        <f>'Printable Customer Report'!G61+"AM:!1BH"</f>
        <v>#VALUE!</v>
      </c>
      <c r="HY318" t="e">
        <f>'Printable Customer Report'!H61+"AM:!1BI"</f>
        <v>#VALUE!</v>
      </c>
      <c r="HZ318" t="e">
        <f>'Printable Customer Report'!A62+"AM:!1BJ"</f>
        <v>#VALUE!</v>
      </c>
      <c r="IA318" t="e">
        <f>'Printable Customer Report'!B62+"AM:!1BK"</f>
        <v>#VALUE!</v>
      </c>
      <c r="IB318" t="e">
        <f>'Printable Customer Report'!C62+"AM:!1BL"</f>
        <v>#VALUE!</v>
      </c>
      <c r="IC318" t="e">
        <f>'Printable Customer Report'!D62+"AM:!1BM"</f>
        <v>#VALUE!</v>
      </c>
      <c r="ID318" t="e">
        <f>'Printable Customer Report'!E62+"AM:!1BN"</f>
        <v>#VALUE!</v>
      </c>
      <c r="IE318" t="e">
        <f>'Printable Customer Report'!F62+"AM:!1BO"</f>
        <v>#VALUE!</v>
      </c>
      <c r="IF318" t="e">
        <f>'Printable Customer Report'!G62+"AM:!1BP"</f>
        <v>#VALUE!</v>
      </c>
      <c r="IG318" t="e">
        <f>'Printable Customer Report'!H62+"AM:!1BQ"</f>
        <v>#VALUE!</v>
      </c>
      <c r="IH318" t="e">
        <f>'Printable Customer Report'!A63+"AM:!1BR"</f>
        <v>#VALUE!</v>
      </c>
      <c r="II318" t="e">
        <f>'Printable Customer Report'!B63+"AM:!1BS"</f>
        <v>#VALUE!</v>
      </c>
      <c r="IJ318" t="e">
        <f>'Printable Customer Report'!C63+"AM:!1BT"</f>
        <v>#VALUE!</v>
      </c>
      <c r="IK318" t="e">
        <f>'Printable Customer Report'!D63+"AM:!1BU"</f>
        <v>#VALUE!</v>
      </c>
      <c r="IL318" t="e">
        <f>'Printable Customer Report'!E63+"AM:!1BV"</f>
        <v>#VALUE!</v>
      </c>
      <c r="IM318" t="e">
        <f>'Printable Customer Report'!F63+"AM:!1BW"</f>
        <v>#VALUE!</v>
      </c>
      <c r="IN318" t="e">
        <f>'Printable Customer Report'!G63+"AM:!1BX"</f>
        <v>#VALUE!</v>
      </c>
      <c r="IO318" t="e">
        <f>'Printable Customer Report'!H63+"AM:!1BY"</f>
        <v>#VALUE!</v>
      </c>
      <c r="IP318" t="e">
        <f>'Printable Customer Report'!A64+"AM:!1BZ"</f>
        <v>#VALUE!</v>
      </c>
      <c r="IQ318" t="e">
        <f>'Printable Customer Report'!B64+"AM:!1B["</f>
        <v>#VALUE!</v>
      </c>
      <c r="IR318" t="e">
        <f>'Printable Customer Report'!C64+"AM:!1B\"</f>
        <v>#VALUE!</v>
      </c>
      <c r="IS318" t="e">
        <f>'Printable Customer Report'!D64+"AM:!1B]"</f>
        <v>#VALUE!</v>
      </c>
      <c r="IT318" t="e">
        <f>'Printable Customer Report'!E64+"AM:!1B^"</f>
        <v>#VALUE!</v>
      </c>
      <c r="IU318" t="e">
        <f>'Printable Customer Report'!F64+"AM:!1B_"</f>
        <v>#VALUE!</v>
      </c>
      <c r="IV318" t="e">
        <f>'Printable Customer Report'!G64+"AM:!1B`"</f>
        <v>#VALUE!</v>
      </c>
    </row>
    <row r="319" spans="6:256">
      <c r="F319" t="e">
        <f>'Printable Customer Report'!H64+"AM:!1Ba"</f>
        <v>#VALUE!</v>
      </c>
      <c r="G319" t="e">
        <f>'Printable Customer Report'!A65+"AM:!1Bb"</f>
        <v>#VALUE!</v>
      </c>
      <c r="H319" t="e">
        <f>'Printable Customer Report'!B65+"AM:!1Bc"</f>
        <v>#VALUE!</v>
      </c>
      <c r="I319" t="e">
        <f>'Printable Customer Report'!C65+"AM:!1Bd"</f>
        <v>#VALUE!</v>
      </c>
      <c r="J319" t="e">
        <f>'Printable Customer Report'!D65+"AM:!1Be"</f>
        <v>#VALUE!</v>
      </c>
      <c r="K319" t="e">
        <f>'Printable Customer Report'!E65+"AM:!1Bf"</f>
        <v>#VALUE!</v>
      </c>
      <c r="L319" t="e">
        <f>'Printable Customer Report'!F65+"AM:!1Bg"</f>
        <v>#VALUE!</v>
      </c>
      <c r="M319" t="e">
        <f>'Printable Customer Report'!G65+"AM:!1Bh"</f>
        <v>#VALUE!</v>
      </c>
      <c r="N319" t="e">
        <f>'Printable Customer Report'!H65+"AM:!1Bi"</f>
        <v>#VALUE!</v>
      </c>
      <c r="O319" t="e">
        <f>'Printable Customer Report'!A66+"AM:!1Bj"</f>
        <v>#VALUE!</v>
      </c>
      <c r="P319" t="e">
        <f>'Printable Customer Report'!B66+"AM:!1Bk"</f>
        <v>#VALUE!</v>
      </c>
      <c r="Q319" t="e">
        <f>'Printable Customer Report'!C66+"AM:!1Bl"</f>
        <v>#VALUE!</v>
      </c>
      <c r="R319" t="e">
        <f>'Printable Customer Report'!D66+"AM:!1Bm"</f>
        <v>#VALUE!</v>
      </c>
      <c r="S319" t="e">
        <f>'Printable Customer Report'!E66+"AM:!1Bn"</f>
        <v>#VALUE!</v>
      </c>
      <c r="T319" t="e">
        <f>'Printable Customer Report'!F66+"AM:!1Bo"</f>
        <v>#VALUE!</v>
      </c>
      <c r="U319" t="e">
        <f>'Printable Customer Report'!G66+"AM:!1Bp"</f>
        <v>#VALUE!</v>
      </c>
      <c r="V319" t="e">
        <f>'Printable Customer Report'!H66+"AM:!1Bq"</f>
        <v>#VALUE!</v>
      </c>
      <c r="W319" t="e">
        <f>'Printable Customer Report'!A67+"AM:!1Br"</f>
        <v>#VALUE!</v>
      </c>
      <c r="X319" t="e">
        <f>'Printable Customer Report'!B67+"AM:!1Bs"</f>
        <v>#VALUE!</v>
      </c>
      <c r="Y319" t="e">
        <f>'Printable Customer Report'!C67+"AM:!1Bt"</f>
        <v>#VALUE!</v>
      </c>
      <c r="Z319" t="e">
        <f>'Printable Customer Report'!D67+"AM:!1Bu"</f>
        <v>#VALUE!</v>
      </c>
      <c r="AA319" t="e">
        <f>'Printable Customer Report'!E67+"AM:!1Bv"</f>
        <v>#VALUE!</v>
      </c>
      <c r="AB319" t="e">
        <f>'Printable Customer Report'!F67+"AM:!1Bw"</f>
        <v>#VALUE!</v>
      </c>
      <c r="AC319" t="e">
        <f>'Printable Customer Report'!G67+"AM:!1Bx"</f>
        <v>#VALUE!</v>
      </c>
      <c r="AD319" t="e">
        <f>'Printable Customer Report'!H67+"AM:!1By"</f>
        <v>#VALUE!</v>
      </c>
      <c r="AE319" t="e">
        <f>'Printable Customer Report'!A68+"AM:!1Bz"</f>
        <v>#VALUE!</v>
      </c>
      <c r="AF319" t="e">
        <f>'Printable Customer Report'!B68+"AM:!1B{"</f>
        <v>#VALUE!</v>
      </c>
      <c r="AG319" t="e">
        <f>'Printable Customer Report'!C68+"AM:!1B|"</f>
        <v>#VALUE!</v>
      </c>
      <c r="AH319" t="e">
        <f>'Printable Customer Report'!D68+"AM:!1B}"</f>
        <v>#VALUE!</v>
      </c>
      <c r="AI319" t="e">
        <f>'Printable Customer Report'!E68+"AM:!1B~"</f>
        <v>#VALUE!</v>
      </c>
      <c r="AJ319" t="e">
        <f>'Printable Customer Report'!F68+"AM:!1C#"</f>
        <v>#VALUE!</v>
      </c>
      <c r="AK319" t="e">
        <f>'Printable Customer Report'!G68+"AM:!1C$"</f>
        <v>#VALUE!</v>
      </c>
      <c r="AL319" t="e">
        <f>'Printable Customer Report'!H68+"AM:!1C%"</f>
        <v>#VALUE!</v>
      </c>
      <c r="AM319" t="e">
        <f>'Printable Customer Report'!A69+"AM:!1C&amp;"</f>
        <v>#VALUE!</v>
      </c>
      <c r="AN319" t="e">
        <f>'Printable Customer Report'!B69+"AM:!1C'"</f>
        <v>#VALUE!</v>
      </c>
      <c r="AO319" t="e">
        <f>'Printable Customer Report'!C69+"AM:!1C("</f>
        <v>#VALUE!</v>
      </c>
      <c r="AP319" t="e">
        <f>'Printable Customer Report'!D69+"AM:!1C)"</f>
        <v>#VALUE!</v>
      </c>
      <c r="AQ319" t="e">
        <f>'Printable Customer Report'!E69+"AM:!1C."</f>
        <v>#VALUE!</v>
      </c>
      <c r="AR319" t="e">
        <f>'Printable Customer Report'!F69+"AM:!1C/"</f>
        <v>#VALUE!</v>
      </c>
      <c r="AS319" t="e">
        <f>'Printable Customer Report'!G69+"AM:!1C0"</f>
        <v>#VALUE!</v>
      </c>
      <c r="AT319" t="e">
        <f>'Printable Customer Report'!H69+"AM:!1C1"</f>
        <v>#VALUE!</v>
      </c>
      <c r="AU319" t="e">
        <f>'Printable Customer Report'!A70+"AM:!1C2"</f>
        <v>#VALUE!</v>
      </c>
      <c r="AV319" t="e">
        <f>'Printable Customer Report'!B70+"AM:!1C3"</f>
        <v>#VALUE!</v>
      </c>
      <c r="AW319" t="e">
        <f>'Printable Customer Report'!C70+"AM:!1C4"</f>
        <v>#VALUE!</v>
      </c>
      <c r="AX319" t="e">
        <f>'Printable Customer Report'!D70+"AM:!1C5"</f>
        <v>#VALUE!</v>
      </c>
      <c r="AY319" t="e">
        <f>'Printable Customer Report'!E70+"AM:!1C6"</f>
        <v>#VALUE!</v>
      </c>
      <c r="AZ319" t="e">
        <f>'Printable Customer Report'!F70+"AM:!1C7"</f>
        <v>#VALUE!</v>
      </c>
      <c r="BA319" t="e">
        <f>'Printable Customer Report'!G70+"AM:!1C8"</f>
        <v>#VALUE!</v>
      </c>
      <c r="BB319" t="e">
        <f>'Printable Customer Report'!H70+"AM:!1C9"</f>
        <v>#VALUE!</v>
      </c>
      <c r="BC319" t="e">
        <f>'Printable Customer Report'!A71+"AM:!1C:"</f>
        <v>#VALUE!</v>
      </c>
      <c r="BD319" t="e">
        <f>'Printable Customer Report'!B71+"AM:!1C;"</f>
        <v>#VALUE!</v>
      </c>
      <c r="BE319" t="e">
        <f>'Printable Customer Report'!C71+"AM:!1C&lt;"</f>
        <v>#VALUE!</v>
      </c>
      <c r="BF319" t="e">
        <f>'Printable Customer Report'!D71+"AM:!1C="</f>
        <v>#VALUE!</v>
      </c>
      <c r="BG319" t="e">
        <f>'Printable Customer Report'!E71+"AM:!1C&gt;"</f>
        <v>#VALUE!</v>
      </c>
      <c r="BH319" t="e">
        <f>'Printable Customer Report'!F71+"AM:!1C?"</f>
        <v>#VALUE!</v>
      </c>
      <c r="BI319" t="e">
        <f>'Printable Customer Report'!G71+"AM:!1C@"</f>
        <v>#VALUE!</v>
      </c>
      <c r="BJ319" t="e">
        <f>'Printable Customer Report'!H71+"AM:!1CA"</f>
        <v>#VALUE!</v>
      </c>
      <c r="BK319" t="e">
        <f>'Printable Customer Report'!A72+"AM:!1CB"</f>
        <v>#VALUE!</v>
      </c>
      <c r="BL319" t="e">
        <f>'Printable Customer Report'!B72+"AM:!1CC"</f>
        <v>#VALUE!</v>
      </c>
      <c r="BM319" t="e">
        <f>'Printable Customer Report'!C72+"AM:!1CD"</f>
        <v>#VALUE!</v>
      </c>
      <c r="BN319" t="e">
        <f>'Printable Customer Report'!D72+"AM:!1CE"</f>
        <v>#VALUE!</v>
      </c>
      <c r="BO319" t="e">
        <f>'Printable Customer Report'!E72+"AM:!1CF"</f>
        <v>#VALUE!</v>
      </c>
      <c r="BP319" t="e">
        <f>'Printable Customer Report'!F72+"AM:!1CG"</f>
        <v>#VALUE!</v>
      </c>
      <c r="BQ319" t="e">
        <f>'Printable Customer Report'!G72+"AM:!1CH"</f>
        <v>#VALUE!</v>
      </c>
      <c r="BR319" t="e">
        <f>'Printable Customer Report'!H72+"AM:!1CI"</f>
        <v>#VALUE!</v>
      </c>
      <c r="BS319" t="e">
        <f>'Printable Customer Report'!A75+"AM:!1CJ"</f>
        <v>#VALUE!</v>
      </c>
      <c r="BT319" t="e">
        <f>'Printable Customer Report'!B75+"AM:!1CK"</f>
        <v>#VALUE!</v>
      </c>
      <c r="BU319" t="e">
        <f>'Printable Customer Report'!C75+"AM:!1CL"</f>
        <v>#VALUE!</v>
      </c>
      <c r="BV319" t="e">
        <f>'Printable Customer Report'!D75+"AM:!1CM"</f>
        <v>#VALUE!</v>
      </c>
      <c r="BW319" t="e">
        <f>'Printable Customer Report'!E75+"AM:!1CN"</f>
        <v>#VALUE!</v>
      </c>
      <c r="BX319" t="e">
        <f>'Printable Customer Report'!F75+"AM:!1CO"</f>
        <v>#VALUE!</v>
      </c>
      <c r="BY319" t="e">
        <f>'Printable Customer Report'!G75+"AM:!1CP"</f>
        <v>#VALUE!</v>
      </c>
      <c r="BZ319" t="e">
        <f>'Printable Customer Report'!H75+"AM:!1CQ"</f>
        <v>#VALUE!</v>
      </c>
      <c r="CA319" t="e">
        <f>'Printable Customer Report'!A107+"AM:!1CR"</f>
        <v>#VALUE!</v>
      </c>
      <c r="CB319" t="e">
        <f>'Printable Customer Report'!B107+"AM:!1CS"</f>
        <v>#VALUE!</v>
      </c>
      <c r="CC319" t="e">
        <f>'Printable Customer Report'!C107+"AM:!1CT"</f>
        <v>#VALUE!</v>
      </c>
      <c r="CD319" t="e">
        <f>'Printable Customer Report'!D107+"AM:!1CU"</f>
        <v>#VALUE!</v>
      </c>
      <c r="CE319" t="e">
        <f>'Printable Customer Report'!E107+"AM:!1CV"</f>
        <v>#VALUE!</v>
      </c>
      <c r="CF319" t="e">
        <f>'Printable Customer Report'!F107+"AM:!1CW"</f>
        <v>#VALUE!</v>
      </c>
      <c r="CG319" t="e">
        <f>'Printable Customer Report'!G107+"AM:!1CX"</f>
        <v>#VALUE!</v>
      </c>
      <c r="CH319" t="e">
        <f>'Printable Customer Report'!H107+"AM:!1CY"</f>
        <v>#VALUE!</v>
      </c>
      <c r="CI319" t="e">
        <f>'Printable Customer Report'!A108+"AM:!1CZ"</f>
        <v>#VALUE!</v>
      </c>
      <c r="CJ319" t="e">
        <f>'Printable Customer Report'!B108+"AM:!1C["</f>
        <v>#VALUE!</v>
      </c>
      <c r="CK319" t="e">
        <f>'Printable Customer Report'!C108+"AM:!1C\"</f>
        <v>#VALUE!</v>
      </c>
      <c r="CL319" t="e">
        <f>'Printable Customer Report'!D108+"AM:!1C]"</f>
        <v>#VALUE!</v>
      </c>
      <c r="CM319" t="e">
        <f>'Printable Customer Report'!E108+"AM:!1C^"</f>
        <v>#VALUE!</v>
      </c>
      <c r="CN319" t="e">
        <f>'Printable Customer Report'!F108+"AM:!1C_"</f>
        <v>#VALUE!</v>
      </c>
      <c r="CO319" t="e">
        <f>'Printable Customer Report'!G108+"AM:!1C`"</f>
        <v>#VALUE!</v>
      </c>
      <c r="CP319" t="e">
        <f>'Printable Customer Report'!H108+"AM:!1Ca"</f>
        <v>#VALUE!</v>
      </c>
      <c r="CQ319" t="e">
        <f>'Printable Customer Report'!A109+"AM:!1Cb"</f>
        <v>#VALUE!</v>
      </c>
      <c r="CR319" t="e">
        <f>'Printable Customer Report'!B109+"AM:!1Cc"</f>
        <v>#VALUE!</v>
      </c>
      <c r="CS319" t="e">
        <f>'Printable Customer Report'!C109+"AM:!1Cd"</f>
        <v>#VALUE!</v>
      </c>
      <c r="CT319" t="e">
        <f>'Printable Customer Report'!D109+"AM:!1Ce"</f>
        <v>#VALUE!</v>
      </c>
      <c r="CU319" t="e">
        <f>'Printable Customer Report'!E109+"AM:!1Cf"</f>
        <v>#VALUE!</v>
      </c>
      <c r="CV319" t="e">
        <f>'Printable Customer Report'!F109+"AM:!1Cg"</f>
        <v>#VALUE!</v>
      </c>
      <c r="CW319" t="e">
        <f>'Printable Customer Report'!G109+"AM:!1Ch"</f>
        <v>#VALUE!</v>
      </c>
      <c r="CX319" t="e">
        <f>'Printable Customer Report'!H109+"AM:!1Ci"</f>
        <v>#VALUE!</v>
      </c>
      <c r="CY319" t="e">
        <f>'Printable Customer Report'!A110+"AM:!1Cj"</f>
        <v>#VALUE!</v>
      </c>
      <c r="CZ319" t="e">
        <f>'Printable Customer Report'!B110+"AM:!1Ck"</f>
        <v>#VALUE!</v>
      </c>
      <c r="DA319" t="e">
        <f>'Printable Customer Report'!C110+"AM:!1Cl"</f>
        <v>#VALUE!</v>
      </c>
      <c r="DB319" t="e">
        <f>'Printable Customer Report'!D110+"AM:!1Cm"</f>
        <v>#VALUE!</v>
      </c>
      <c r="DC319" s="97" t="e">
        <f>'Printable Customer Report'!E110+"AM:!1Cn"</f>
        <v>#VALUE!</v>
      </c>
      <c r="DD319" s="105" t="e">
        <f>'Printable Customer Report'!F110+"AM:!1Co"</f>
        <v>#VALUE!</v>
      </c>
      <c r="DE319" t="e">
        <f>'Printable Customer Report'!G110+"AM:!1Cp"</f>
        <v>#VALUE!</v>
      </c>
      <c r="DF319" t="e">
        <f>'Printable Customer Report'!H110+"AM:!1Cq"</f>
        <v>#VALUE!</v>
      </c>
      <c r="DG319" t="e">
        <f>'Printable Customer Report'!A111+"AM:!1Cr"</f>
        <v>#VALUE!</v>
      </c>
      <c r="DH319" t="e">
        <f>'Printable Customer Report'!B111+"AM:!1Cs"</f>
        <v>#VALUE!</v>
      </c>
      <c r="DI319" t="e">
        <f>'Printable Customer Report'!C111+"AM:!1Ct"</f>
        <v>#VALUE!</v>
      </c>
      <c r="DJ319" t="e">
        <f>'Printable Customer Report'!D111+"AM:!1Cu"</f>
        <v>#VALUE!</v>
      </c>
      <c r="DK319" t="e">
        <f>'Printable Customer Report'!E111+"AM:!1Cv"</f>
        <v>#VALUE!</v>
      </c>
      <c r="DL319" t="e">
        <f>'Printable Customer Report'!F111+"AM:!1Cw"</f>
        <v>#VALUE!</v>
      </c>
      <c r="DM319" t="e">
        <f>'Printable Customer Report'!G111+"AM:!1Cx"</f>
        <v>#VALUE!</v>
      </c>
      <c r="DN319" t="e">
        <f>'Printable Customer Report'!H111+"AM:!1Cy"</f>
        <v>#VALUE!</v>
      </c>
      <c r="DO319" t="e">
        <f>'Printable Customer Report'!A112+"AM:!1Cz"</f>
        <v>#VALUE!</v>
      </c>
      <c r="DP319" t="e">
        <f>'Printable Customer Report'!B112+"AM:!1C{"</f>
        <v>#VALUE!</v>
      </c>
      <c r="DQ319" t="e">
        <f>'Printable Customer Report'!C112+"AM:!1C|"</f>
        <v>#VALUE!</v>
      </c>
      <c r="DR319" t="e">
        <f>'Printable Customer Report'!D112+"AM:!1C}"</f>
        <v>#VALUE!</v>
      </c>
      <c r="DS319" t="e">
        <f>'Printable Customer Report'!E112+"AM:!1C~"</f>
        <v>#VALUE!</v>
      </c>
      <c r="DT319" t="e">
        <f>'Printable Customer Report'!F112+"AM:!1D#"</f>
        <v>#VALUE!</v>
      </c>
      <c r="DU319" t="e">
        <f>'Printable Customer Report'!G112+"AM:!1D$"</f>
        <v>#VALUE!</v>
      </c>
      <c r="DV319" t="e">
        <f>'Printable Customer Report'!H112+"AM:!1D%"</f>
        <v>#VALUE!</v>
      </c>
      <c r="DW319" t="e">
        <f>'Printable Customer Report'!A113+"AM:!1D&amp;"</f>
        <v>#VALUE!</v>
      </c>
      <c r="DX319" t="e">
        <f>'Printable Customer Report'!B113+"AM:!1D'"</f>
        <v>#VALUE!</v>
      </c>
      <c r="DY319" t="e">
        <f>'Printable Customer Report'!C113+"AM:!1D("</f>
        <v>#VALUE!</v>
      </c>
      <c r="DZ319" t="e">
        <f>'Printable Customer Report'!D113+"AM:!1D)"</f>
        <v>#VALUE!</v>
      </c>
      <c r="EA319" t="e">
        <f>'Printable Customer Report'!E113+"AM:!1D."</f>
        <v>#VALUE!</v>
      </c>
      <c r="EB319" t="e">
        <f>'Printable Customer Report'!F113+"AM:!1D/"</f>
        <v>#VALUE!</v>
      </c>
      <c r="EC319" t="e">
        <f>'Printable Customer Report'!G113+"AM:!1D0"</f>
        <v>#VALUE!</v>
      </c>
      <c r="ED319" t="e">
        <f>'Printable Customer Report'!H113+"AM:!1D1"</f>
        <v>#VALUE!</v>
      </c>
      <c r="EE319" t="e">
        <f>'Printable Customer Report'!A114+"AM:!1D2"</f>
        <v>#VALUE!</v>
      </c>
      <c r="EF319" t="e">
        <f>'Printable Customer Report'!B114+"AM:!1D3"</f>
        <v>#VALUE!</v>
      </c>
      <c r="EG319" t="e">
        <f>'Printable Customer Report'!C114+"AM:!1D4"</f>
        <v>#VALUE!</v>
      </c>
      <c r="EH319" t="e">
        <f>'Printable Customer Report'!D114+"AM:!1D5"</f>
        <v>#VALUE!</v>
      </c>
      <c r="EI319" t="e">
        <f>'Printable Customer Report'!E114+"AM:!1D6"</f>
        <v>#VALUE!</v>
      </c>
      <c r="EJ319" t="e">
        <f>'Printable Customer Report'!F114+"AM:!1D7"</f>
        <v>#VALUE!</v>
      </c>
      <c r="EK319" t="e">
        <f>'Printable Customer Report'!G114+"AM:!1D8"</f>
        <v>#VALUE!</v>
      </c>
      <c r="EL319" t="e">
        <f>'Printable Customer Report'!H114+"AM:!1D9"</f>
        <v>#VALUE!</v>
      </c>
      <c r="EM319" t="e">
        <f>'Printable Customer Report'!A115+"AM:!1D:"</f>
        <v>#VALUE!</v>
      </c>
      <c r="EN319" t="e">
        <f>'Printable Customer Report'!B115+"AM:!1D;"</f>
        <v>#VALUE!</v>
      </c>
      <c r="EO319" t="e">
        <f>'Printable Customer Report'!C115+"AM:!1D&lt;"</f>
        <v>#VALUE!</v>
      </c>
      <c r="EP319" t="e">
        <f>'Printable Customer Report'!D115+"AM:!1D="</f>
        <v>#VALUE!</v>
      </c>
      <c r="EQ319" t="e">
        <f>'Printable Customer Report'!E115+"AM:!1D&gt;"</f>
        <v>#VALUE!</v>
      </c>
      <c r="ER319" t="e">
        <f>'Printable Customer Report'!F115+"AM:!1D?"</f>
        <v>#VALUE!</v>
      </c>
      <c r="ES319" t="e">
        <f>'Printable Customer Report'!G115+"AM:!1D@"</f>
        <v>#VALUE!</v>
      </c>
      <c r="ET319" t="e">
        <f>'Printable Customer Report'!H115+"AM:!1DA"</f>
        <v>#VALUE!</v>
      </c>
      <c r="EU319" t="e">
        <f>'Printable Customer Report'!A116+"AM:!1DB"</f>
        <v>#VALUE!</v>
      </c>
      <c r="EV319" t="e">
        <f>'Printable Customer Report'!B116+"AM:!1DC"</f>
        <v>#VALUE!</v>
      </c>
      <c r="EW319" t="e">
        <f>'Printable Customer Report'!C116+"AM:!1DD"</f>
        <v>#VALUE!</v>
      </c>
      <c r="EX319" t="e">
        <f>'Printable Customer Report'!D116+"AM:!1DE"</f>
        <v>#VALUE!</v>
      </c>
      <c r="EY319" t="e">
        <f>'Printable Customer Report'!E116+"AM:!1DF"</f>
        <v>#VALUE!</v>
      </c>
      <c r="EZ319" t="e">
        <f>'Printable Customer Report'!F116+"AM:!1DG"</f>
        <v>#VALUE!</v>
      </c>
      <c r="FA319" t="e">
        <f>'Printable Customer Report'!G116+"AM:!1DH"</f>
        <v>#VALUE!</v>
      </c>
      <c r="FB319" t="e">
        <f>'Printable Customer Report'!H116+"AM:!1DI"</f>
        <v>#VALUE!</v>
      </c>
      <c r="FC319" t="e">
        <f>'Printable Customer Report'!A117+"AM:!1DJ"</f>
        <v>#VALUE!</v>
      </c>
      <c r="FD319" t="e">
        <f>'Printable Customer Report'!B117+"AM:!1DK"</f>
        <v>#VALUE!</v>
      </c>
      <c r="FE319" t="e">
        <f>'Printable Customer Report'!C117+"AM:!1DL"</f>
        <v>#VALUE!</v>
      </c>
      <c r="FF319" t="e">
        <f>'Printable Customer Report'!D117+"AM:!1DM"</f>
        <v>#VALUE!</v>
      </c>
      <c r="FG319" t="e">
        <f>'Printable Customer Report'!E117+"AM:!1DN"</f>
        <v>#VALUE!</v>
      </c>
      <c r="FH319" t="e">
        <f>'Printable Customer Report'!F117+"AM:!1DO"</f>
        <v>#VALUE!</v>
      </c>
      <c r="FI319" t="e">
        <f>'Printable Customer Report'!G117+"AM:!1DP"</f>
        <v>#VALUE!</v>
      </c>
      <c r="FJ319" t="e">
        <f>'Printable Customer Report'!H117+"AM:!1DQ"</f>
        <v>#VALUE!</v>
      </c>
      <c r="FK319" t="e">
        <f>'Printable Customer Report'!J117+"AM:!1DR"</f>
        <v>#VALUE!</v>
      </c>
      <c r="FL319" t="e">
        <f>'Printable Customer Report'!L117+"AM:!1DS"</f>
        <v>#VALUE!</v>
      </c>
      <c r="FM319" t="e">
        <f>'Printable Customer Report'!N117+"AM:!1DT"</f>
        <v>#VALUE!</v>
      </c>
      <c r="FN319" t="e">
        <f>'Printable Customer Report'!A118+"AM:!1DU"</f>
        <v>#VALUE!</v>
      </c>
      <c r="FO319" t="e">
        <f>'Printable Customer Report'!B118+"AM:!1DV"</f>
        <v>#VALUE!</v>
      </c>
      <c r="FP319" t="e">
        <f>'Printable Customer Report'!C118+"AM:!1DW"</f>
        <v>#VALUE!</v>
      </c>
      <c r="FQ319" t="e">
        <f>'Printable Customer Report'!D118+"AM:!1DX"</f>
        <v>#VALUE!</v>
      </c>
      <c r="FR319" t="e">
        <f>'Printable Customer Report'!E118+"AM:!1DY"</f>
        <v>#VALUE!</v>
      </c>
      <c r="FS319" t="e">
        <f>'Printable Customer Report'!F118+"AM:!1DZ"</f>
        <v>#VALUE!</v>
      </c>
      <c r="FT319" t="e">
        <f>'Printable Customer Report'!G118+"AM:!1D["</f>
        <v>#VALUE!</v>
      </c>
      <c r="FU319" t="e">
        <f>'Printable Customer Report'!H118+"AM:!1D\"</f>
        <v>#VALUE!</v>
      </c>
      <c r="FV319" t="e">
        <f>'Printable Customer Report'!J118+"AM:!1D]"</f>
        <v>#VALUE!</v>
      </c>
      <c r="FW319" t="e">
        <f>'Printable Customer Report'!L118+"AM:!1D^"</f>
        <v>#VALUE!</v>
      </c>
      <c r="FX319" t="e">
        <f>'Printable Customer Report'!N118+"AM:!1D_"</f>
        <v>#VALUE!</v>
      </c>
      <c r="FY319" t="e">
        <f ca="1">'Printable Customer Report'!A119+"AM:!1D`"</f>
        <v>#VALUE!</v>
      </c>
      <c r="FZ319" t="e">
        <f>'Printable Customer Report'!B119+"AM:!1Da"</f>
        <v>#VALUE!</v>
      </c>
      <c r="GA319" t="e">
        <f>'Printable Customer Report'!C119+"AM:!1Db"</f>
        <v>#VALUE!</v>
      </c>
      <c r="GB319" t="e">
        <f ca="1">'Printable Customer Report'!D119+"AM:!1Dc"</f>
        <v>#VALUE!</v>
      </c>
      <c r="GC319" s="97" t="e">
        <f ca="1">'Printable Customer Report'!E119+"AM:!1Dd"</f>
        <v>#VALUE!</v>
      </c>
      <c r="GD319" s="105" t="e">
        <f ca="1">'Printable Customer Report'!F119+"AM:!1De"</f>
        <v>#VALUE!</v>
      </c>
      <c r="GE319" t="e">
        <f ca="1">'Printable Customer Report'!G119+"AM:!1Df"</f>
        <v>#VALUE!</v>
      </c>
      <c r="GF319" t="e">
        <f ca="1">'Printable Customer Report'!H119+"AM:!1Dg"</f>
        <v>#VALUE!</v>
      </c>
      <c r="GG319" t="e">
        <f>'Printable Customer Report'!J119+"AM:!1Dh"</f>
        <v>#VALUE!</v>
      </c>
      <c r="GH319" t="e">
        <f>'Printable Customer Report'!L119+"AM:!1Di"</f>
        <v>#VALUE!</v>
      </c>
      <c r="GI319" t="e">
        <f>'Printable Customer Report'!N119+"AM:!1Dj"</f>
        <v>#VALUE!</v>
      </c>
      <c r="GJ319" t="e">
        <f>'Printable Customer Report'!A120+"AM:!1Dk"</f>
        <v>#VALUE!</v>
      </c>
      <c r="GK319" t="e">
        <f>'Printable Customer Report'!B120+"AM:!1Dl"</f>
        <v>#VALUE!</v>
      </c>
      <c r="GL319" t="e">
        <f>'Printable Customer Report'!C120+"AM:!1Dm"</f>
        <v>#VALUE!</v>
      </c>
      <c r="GM319" t="e">
        <f>'Printable Customer Report'!D120+"AM:!1Dn"</f>
        <v>#VALUE!</v>
      </c>
      <c r="GN319" t="e">
        <f>'Printable Customer Report'!E120+"AM:!1Do"</f>
        <v>#VALUE!</v>
      </c>
      <c r="GO319" t="e">
        <f>'Printable Customer Report'!F120+"AM:!1Dp"</f>
        <v>#VALUE!</v>
      </c>
      <c r="GP319" t="e">
        <f>'Printable Customer Report'!G120+"AM:!1Dq"</f>
        <v>#VALUE!</v>
      </c>
      <c r="GQ319" t="e">
        <f>'Printable Customer Report'!H120+"AM:!1Dr"</f>
        <v>#VALUE!</v>
      </c>
      <c r="GR319" t="e">
        <f>'Printable Customer Report'!J120+"AM:!1Ds"</f>
        <v>#VALUE!</v>
      </c>
      <c r="GS319" t="e">
        <f>'Printable Customer Report'!L120+"AM:!1Dt"</f>
        <v>#VALUE!</v>
      </c>
      <c r="GT319" t="e">
        <f>'Printable Customer Report'!N120+"AM:!1Du"</f>
        <v>#VALUE!</v>
      </c>
      <c r="GU319" t="e">
        <f ca="1">'Printable Customer Report'!A121+"AM:!1Dv"</f>
        <v>#VALUE!</v>
      </c>
      <c r="GV319" t="e">
        <f>'Printable Customer Report'!B121+"AM:!1Dw"</f>
        <v>#VALUE!</v>
      </c>
      <c r="GW319" t="e">
        <f ca="1">'Printable Customer Report'!C121+"AM:!1Dx"</f>
        <v>#VALUE!</v>
      </c>
      <c r="GX319" t="e">
        <f>'Printable Customer Report'!D121+"AM:!1Dy"</f>
        <v>#VALUE!</v>
      </c>
      <c r="GY319" t="e">
        <f ca="1">'Printable Customer Report'!E121+"AM:!1Dz"</f>
        <v>#VALUE!</v>
      </c>
      <c r="GZ319" t="e">
        <f>'Printable Customer Report'!F121+"AM:!1D{"</f>
        <v>#VALUE!</v>
      </c>
      <c r="HA319" t="e">
        <f ca="1">'Printable Customer Report'!G121+"AM:!1D|"</f>
        <v>#VALUE!</v>
      </c>
      <c r="HB319" t="e">
        <f>'Printable Customer Report'!H121+"AM:!1D}"</f>
        <v>#VALUE!</v>
      </c>
      <c r="HC319" t="e">
        <f>'Printable Customer Report'!A122+"AM:!1D~"</f>
        <v>#VALUE!</v>
      </c>
      <c r="HD319" t="e">
        <f>'Printable Customer Report'!B122+"AM:!1E#"</f>
        <v>#VALUE!</v>
      </c>
      <c r="HE319" t="e">
        <f>'Printable Customer Report'!C122+"AM:!1E$"</f>
        <v>#VALUE!</v>
      </c>
      <c r="HF319" t="e">
        <f>'Printable Customer Report'!D122+"AM:!1E%"</f>
        <v>#VALUE!</v>
      </c>
      <c r="HG319" t="e">
        <f>'Printable Customer Report'!E122+"AM:!1E&amp;"</f>
        <v>#VALUE!</v>
      </c>
      <c r="HH319" t="e">
        <f>'Printable Customer Report'!F122+"AM:!1E'"</f>
        <v>#VALUE!</v>
      </c>
      <c r="HI319" t="e">
        <f>'Printable Customer Report'!G122+"AM:!1E("</f>
        <v>#VALUE!</v>
      </c>
      <c r="HJ319" t="e">
        <f>'Printable Customer Report'!H122+"AM:!1E)"</f>
        <v>#VALUE!</v>
      </c>
      <c r="HK319" t="e">
        <f>'Printable Customer Report'!A123+"AM:!1E."</f>
        <v>#VALUE!</v>
      </c>
      <c r="HL319" t="e">
        <f>'Printable Customer Report'!B123+"AM:!1E/"</f>
        <v>#VALUE!</v>
      </c>
      <c r="HM319" t="e">
        <f>'Printable Customer Report'!C123+"AM:!1E0"</f>
        <v>#VALUE!</v>
      </c>
      <c r="HN319" t="e">
        <f>'Printable Customer Report'!D123+"AM:!1E1"</f>
        <v>#VALUE!</v>
      </c>
      <c r="HO319" t="e">
        <f>'Printable Customer Report'!E123+"AM:!1E2"</f>
        <v>#VALUE!</v>
      </c>
      <c r="HP319" t="e">
        <f>'Printable Customer Report'!F123+"AM:!1E3"</f>
        <v>#VALUE!</v>
      </c>
      <c r="HQ319" t="e">
        <f>'Printable Customer Report'!G123+"AM:!1E4"</f>
        <v>#VALUE!</v>
      </c>
      <c r="HR319" t="e">
        <f>'Printable Customer Report'!H123+"AM:!1E5"</f>
        <v>#VALUE!</v>
      </c>
      <c r="HS319" t="e">
        <f>'Printable Customer Report'!A124+"AM:!1E6"</f>
        <v>#VALUE!</v>
      </c>
      <c r="HT319" t="e">
        <f>'Printable Customer Report'!B124+"AM:!1E7"</f>
        <v>#VALUE!</v>
      </c>
      <c r="HU319" t="e">
        <f>'Printable Customer Report'!C124+"AM:!1E8"</f>
        <v>#VALUE!</v>
      </c>
      <c r="HV319" t="e">
        <f>'Printable Customer Report'!D124+"AM:!1E9"</f>
        <v>#VALUE!</v>
      </c>
      <c r="HW319" t="e">
        <f>'Printable Customer Report'!E124+"AM:!1E:"</f>
        <v>#VALUE!</v>
      </c>
      <c r="HX319" t="e">
        <f>'Printable Customer Report'!F124+"AM:!1E;"</f>
        <v>#VALUE!</v>
      </c>
      <c r="HY319" t="e">
        <f>'Printable Customer Report'!G124+"AM:!1E&lt;"</f>
        <v>#VALUE!</v>
      </c>
      <c r="HZ319" t="e">
        <f>'Printable Customer Report'!H124+"AM:!1E="</f>
        <v>#VALUE!</v>
      </c>
      <c r="IA319" t="e">
        <f>'Printable Customer Report'!A125+"AM:!1E&gt;"</f>
        <v>#VALUE!</v>
      </c>
      <c r="IB319" t="e">
        <f>'Printable Customer Report'!B125+"AM:!1E?"</f>
        <v>#VALUE!</v>
      </c>
      <c r="IC319" t="e">
        <f>'Printable Customer Report'!C125+"AM:!1E@"</f>
        <v>#VALUE!</v>
      </c>
      <c r="ID319" t="e">
        <f>'Printable Customer Report'!D125+"AM:!1EA"</f>
        <v>#VALUE!</v>
      </c>
      <c r="IE319" t="e">
        <f>'Printable Customer Report'!E125+"AM:!1EB"</f>
        <v>#VALUE!</v>
      </c>
      <c r="IF319" t="e">
        <f>'Printable Customer Report'!F125+"AM:!1EC"</f>
        <v>#VALUE!</v>
      </c>
      <c r="IG319" t="e">
        <f>'Printable Customer Report'!G125+"AM:!1ED"</f>
        <v>#VALUE!</v>
      </c>
      <c r="IH319" t="e">
        <f>'Printable Customer Report'!H125+"AM:!1EE"</f>
        <v>#VALUE!</v>
      </c>
      <c r="II319" t="e">
        <f>'Printable Customer Report'!A127+"AM:!1EF"</f>
        <v>#VALUE!</v>
      </c>
      <c r="IJ319" t="e">
        <f>'Printable Customer Report'!B127+"AM:!1EG"</f>
        <v>#VALUE!</v>
      </c>
      <c r="IK319" t="e">
        <f>'Printable Customer Report'!C127+"AM:!1EH"</f>
        <v>#VALUE!</v>
      </c>
      <c r="IL319" t="e">
        <f>'Printable Customer Report'!D127+"AM:!1EI"</f>
        <v>#VALUE!</v>
      </c>
      <c r="IM319" t="e">
        <f>'Printable Customer Report'!E127+"AM:!1EJ"</f>
        <v>#VALUE!</v>
      </c>
      <c r="IN319" t="e">
        <f>'Printable Customer Report'!F127+"AM:!1EK"</f>
        <v>#VALUE!</v>
      </c>
      <c r="IO319" t="e">
        <f>'Printable Customer Report'!G127+"AM:!1EL"</f>
        <v>#VALUE!</v>
      </c>
      <c r="IP319" t="e">
        <f>'Printable Customer Report'!H127+"AM:!1EM"</f>
        <v>#VALUE!</v>
      </c>
      <c r="IQ319" t="e">
        <f ca="1">'Printable Customer Report'!A128+"AM:!1EN"</f>
        <v>#VALUE!</v>
      </c>
      <c r="IR319" t="e">
        <f>'Printable Customer Report'!B128+"AM:!1EO"</f>
        <v>#VALUE!</v>
      </c>
      <c r="IS319" t="e">
        <f>'Printable Customer Report'!C128+"AM:!1EP"</f>
        <v>#VALUE!</v>
      </c>
      <c r="IT319" t="e">
        <f ca="1">'Printable Customer Report'!D128+"AM:!1EQ"</f>
        <v>#VALUE!</v>
      </c>
      <c r="IU319" s="97" t="e">
        <f ca="1">'Printable Customer Report'!E128+"AM:!1ER"</f>
        <v>#VALUE!</v>
      </c>
      <c r="IV319" s="105" t="e">
        <f ca="1">'Printable Customer Report'!F128+"AM:!1ES"</f>
        <v>#VALUE!</v>
      </c>
    </row>
    <row r="320" spans="6:256">
      <c r="F320" t="e">
        <f ca="1">'Printable Customer Report'!G128+"AM:!1ET"</f>
        <v>#VALUE!</v>
      </c>
      <c r="G320" t="e">
        <f ca="1">'Printable Customer Report'!H128+"AM:!1EU"</f>
        <v>#VALUE!</v>
      </c>
      <c r="H320" t="e">
        <f>'Printable Customer Report'!A129+"AM:!1EV"</f>
        <v>#VALUE!</v>
      </c>
      <c r="I320" t="e">
        <f>'Printable Customer Report'!B129+"AM:!1EW"</f>
        <v>#VALUE!</v>
      </c>
      <c r="J320" t="e">
        <f>'Printable Customer Report'!C129+"AM:!1EX"</f>
        <v>#VALUE!</v>
      </c>
      <c r="K320" t="e">
        <f>'Printable Customer Report'!D129+"AM:!1EY"</f>
        <v>#VALUE!</v>
      </c>
      <c r="L320" t="e">
        <f>'Printable Customer Report'!E129+"AM:!1EZ"</f>
        <v>#VALUE!</v>
      </c>
      <c r="M320" t="e">
        <f>'Printable Customer Report'!F129+"AM:!1E["</f>
        <v>#VALUE!</v>
      </c>
      <c r="N320" t="e">
        <f>'Printable Customer Report'!G129+"AM:!1E\"</f>
        <v>#VALUE!</v>
      </c>
      <c r="O320" t="e">
        <f>'Printable Customer Report'!H129+"AM:!1E]"</f>
        <v>#VALUE!</v>
      </c>
      <c r="P320" t="e">
        <f ca="1">'Printable Customer Report'!A130+"AM:!1E^"</f>
        <v>#VALUE!</v>
      </c>
      <c r="Q320" t="e">
        <f>'Printable Customer Report'!B130+"AM:!1E_"</f>
        <v>#VALUE!</v>
      </c>
      <c r="R320" t="e">
        <f ca="1">'Printable Customer Report'!C130+"AM:!1E`"</f>
        <v>#VALUE!</v>
      </c>
      <c r="S320" t="e">
        <f>'Printable Customer Report'!D130+"AM:!1Ea"</f>
        <v>#VALUE!</v>
      </c>
      <c r="T320" t="e">
        <f ca="1">'Printable Customer Report'!E130+"AM:!1Eb"</f>
        <v>#VALUE!</v>
      </c>
      <c r="U320" t="e">
        <f>'Printable Customer Report'!F130+"AM:!1Ec"</f>
        <v>#VALUE!</v>
      </c>
      <c r="V320" t="e">
        <f ca="1">'Printable Customer Report'!G130+"AM:!1Ed"</f>
        <v>#VALUE!</v>
      </c>
      <c r="W320" t="e">
        <f>'Printable Customer Report'!H130+"AM:!1Ee"</f>
        <v>#VALUE!</v>
      </c>
      <c r="X320" t="e">
        <f>'Printable Customer Report'!A131+"AM:!1Ef"</f>
        <v>#VALUE!</v>
      </c>
      <c r="Y320" t="e">
        <f>'Printable Customer Report'!B131+"AM:!1Eg"</f>
        <v>#VALUE!</v>
      </c>
      <c r="Z320" t="e">
        <f>'Printable Customer Report'!C131+"AM:!1Eh"</f>
        <v>#VALUE!</v>
      </c>
      <c r="AA320" t="e">
        <f>'Printable Customer Report'!D131+"AM:!1Ei"</f>
        <v>#VALUE!</v>
      </c>
      <c r="AB320" t="e">
        <f>'Printable Customer Report'!E131+"AM:!1Ej"</f>
        <v>#VALUE!</v>
      </c>
      <c r="AC320" t="e">
        <f>'Printable Customer Report'!F131+"AM:!1Ek"</f>
        <v>#VALUE!</v>
      </c>
      <c r="AD320" t="e">
        <f>'Printable Customer Report'!G131+"AM:!1El"</f>
        <v>#VALUE!</v>
      </c>
      <c r="AE320" t="e">
        <f>'Printable Customer Report'!H131+"AM:!1Em"</f>
        <v>#VALUE!</v>
      </c>
      <c r="AF320" t="e">
        <f>'Printable Customer Report'!A132+"AM:!1En"</f>
        <v>#VALUE!</v>
      </c>
      <c r="AG320" t="e">
        <f>'Printable Customer Report'!B132+"AM:!1Eo"</f>
        <v>#VALUE!</v>
      </c>
      <c r="AH320" t="e">
        <f>'Printable Customer Report'!C132+"AM:!1Ep"</f>
        <v>#VALUE!</v>
      </c>
      <c r="AI320" t="e">
        <f>'Printable Customer Report'!D132+"AM:!1Eq"</f>
        <v>#VALUE!</v>
      </c>
      <c r="AJ320" t="e">
        <f>'Printable Customer Report'!E132+"AM:!1Er"</f>
        <v>#VALUE!</v>
      </c>
      <c r="AK320" t="e">
        <f>'Printable Customer Report'!F132+"AM:!1Es"</f>
        <v>#VALUE!</v>
      </c>
      <c r="AL320" t="e">
        <f>'Printable Customer Report'!G132+"AM:!1Et"</f>
        <v>#VALUE!</v>
      </c>
      <c r="AM320" t="e">
        <f>'Printable Customer Report'!H132+"AM:!1Eu"</f>
        <v>#VALUE!</v>
      </c>
      <c r="AN320" t="e">
        <f>'Printable Customer Report'!A133+"AM:!1Ev"</f>
        <v>#VALUE!</v>
      </c>
      <c r="AO320" t="e">
        <f>'Printable Customer Report'!B133+"AM:!1Ew"</f>
        <v>#VALUE!</v>
      </c>
      <c r="AP320" t="e">
        <f>'Printable Customer Report'!C133+"AM:!1Ex"</f>
        <v>#VALUE!</v>
      </c>
      <c r="AQ320" t="e">
        <f>'Printable Customer Report'!D133+"AM:!1Ey"</f>
        <v>#VALUE!</v>
      </c>
      <c r="AR320" t="e">
        <f>'Printable Customer Report'!E133+"AM:!1Ez"</f>
        <v>#VALUE!</v>
      </c>
      <c r="AS320" t="e">
        <f>'Printable Customer Report'!F133+"AM:!1E{"</f>
        <v>#VALUE!</v>
      </c>
      <c r="AT320" t="e">
        <f>'Printable Customer Report'!G133+"AM:!1E|"</f>
        <v>#VALUE!</v>
      </c>
      <c r="AU320" t="e">
        <f>'Printable Customer Report'!H133+"AM:!1E}"</f>
        <v>#VALUE!</v>
      </c>
      <c r="AV320" t="e">
        <f>'Printable Customer Report'!A134+"AM:!1E~"</f>
        <v>#VALUE!</v>
      </c>
      <c r="AW320" t="e">
        <f>'Printable Customer Report'!B134+"AM:!1F#"</f>
        <v>#VALUE!</v>
      </c>
      <c r="AX320" t="e">
        <f>'Printable Customer Report'!C134+"AM:!1F$"</f>
        <v>#VALUE!</v>
      </c>
      <c r="AY320" t="e">
        <f>'Printable Customer Report'!D134+"AM:!1F%"</f>
        <v>#VALUE!</v>
      </c>
      <c r="AZ320" t="e">
        <f>'Printable Customer Report'!E134+"AM:!1F&amp;"</f>
        <v>#VALUE!</v>
      </c>
      <c r="BA320" t="e">
        <f>'Printable Customer Report'!F134+"AM:!1F'"</f>
        <v>#VALUE!</v>
      </c>
      <c r="BB320" t="e">
        <f>'Printable Customer Report'!G134+"AM:!1F("</f>
        <v>#VALUE!</v>
      </c>
      <c r="BC320" t="e">
        <f>'Printable Customer Report'!H134+"AM:!1F)"</f>
        <v>#VALUE!</v>
      </c>
      <c r="BD320" t="e">
        <f>'Printable Customer Report'!A135+"AM:!1F."</f>
        <v>#VALUE!</v>
      </c>
      <c r="BE320" t="e">
        <f>'Printable Customer Report'!B135+"AM:!1F/"</f>
        <v>#VALUE!</v>
      </c>
      <c r="BF320" t="e">
        <f>'Printable Customer Report'!C135+"AM:!1F0"</f>
        <v>#VALUE!</v>
      </c>
      <c r="BG320" t="e">
        <f>'Printable Customer Report'!D135+"AM:!1F1"</f>
        <v>#VALUE!</v>
      </c>
      <c r="BH320" t="e">
        <f>'Printable Customer Report'!E135+"AM:!1F2"</f>
        <v>#VALUE!</v>
      </c>
      <c r="BI320" t="e">
        <f>'Printable Customer Report'!F135+"AM:!1F3"</f>
        <v>#VALUE!</v>
      </c>
      <c r="BJ320" t="e">
        <f>'Printable Customer Report'!G135+"AM:!1F4"</f>
        <v>#VALUE!</v>
      </c>
      <c r="BK320" t="e">
        <f>'Printable Customer Report'!H135+"AM:!1F5"</f>
        <v>#VALUE!</v>
      </c>
      <c r="BL320" t="e">
        <f>'Printable Customer Report'!#REF!+"AM:!1F6"</f>
        <v>#REF!</v>
      </c>
      <c r="BM320" t="e">
        <f>'Printable Customer Report'!#REF!+"AM:!1F7"</f>
        <v>#REF!</v>
      </c>
      <c r="BN320" t="e">
        <f>'Printable Customer Report'!#REF!+"AM:!1F8"</f>
        <v>#REF!</v>
      </c>
      <c r="BO320" t="e">
        <f>'Printable Customer Report'!#REF!+"AM:!1F9"</f>
        <v>#REF!</v>
      </c>
      <c r="BP320" t="e">
        <f>'Printable Customer Report'!#REF!+"AM:!1F:"</f>
        <v>#REF!</v>
      </c>
      <c r="BQ320" t="e">
        <f>'Printable Customer Report'!#REF!+"AM:!1F;"</f>
        <v>#REF!</v>
      </c>
      <c r="BR320" t="e">
        <f>'Printable Customer Report'!#REF!+"AM:!1F&lt;"</f>
        <v>#REF!</v>
      </c>
      <c r="BS320" t="e">
        <f>'Printable Customer Report'!#REF!+"AM:!1F="</f>
        <v>#REF!</v>
      </c>
      <c r="BT320" t="e">
        <f>'Printable Customer Report'!#REF!+"AM:!1F&gt;"</f>
        <v>#REF!</v>
      </c>
      <c r="BU320" t="e">
        <f>'Printable Customer Report'!#REF!+"AM:!1F?"</f>
        <v>#REF!</v>
      </c>
      <c r="BV320" t="e">
        <f>'Printable Customer Report'!#REF!+"AM:!1F@"</f>
        <v>#REF!</v>
      </c>
      <c r="BW320" t="e">
        <f>'Printable Customer Report'!#REF!+"AM:!1FA"</f>
        <v>#REF!</v>
      </c>
      <c r="BX320" t="e">
        <f>'Printable Customer Report'!#REF!+"AM:!1FB"</f>
        <v>#REF!</v>
      </c>
      <c r="BY320" t="e">
        <f>'Printable Customer Report'!#REF!+"AM:!1FC"</f>
        <v>#REF!</v>
      </c>
      <c r="BZ320" t="e">
        <f>'Printable Customer Report'!#REF!+"AM:!1FD"</f>
        <v>#REF!</v>
      </c>
      <c r="CA320" t="e">
        <f>'Printable Customer Report'!#REF!+"AM:!1FE"</f>
        <v>#REF!</v>
      </c>
      <c r="CB320" t="e">
        <f>'Printable Customer Report'!#REF!+"AM:!1FF"</f>
        <v>#REF!</v>
      </c>
      <c r="CC320" t="e">
        <f>'Printable Customer Report'!#REF!+"AM:!1FG"</f>
        <v>#REF!</v>
      </c>
      <c r="CD320" t="e">
        <f>'Printable Customer Report'!#REF!+"AM:!1FH"</f>
        <v>#REF!</v>
      </c>
      <c r="CE320" t="e">
        <f>'Printable Customer Report'!#REF!+"AM:!1FI"</f>
        <v>#REF!</v>
      </c>
      <c r="CF320" t="e">
        <f>'Printable Customer Report'!#REF!+"AM:!1FJ"</f>
        <v>#REF!</v>
      </c>
      <c r="CG320" t="e">
        <f>'Printable Customer Report'!#REF!+"AM:!1FK"</f>
        <v>#REF!</v>
      </c>
      <c r="CH320" t="e">
        <f>'Printable Customer Report'!#REF!+"AM:!1FL"</f>
        <v>#REF!</v>
      </c>
      <c r="CI320" t="e">
        <f>'Printable Customer Report'!#REF!+"AM:!1FM"</f>
        <v>#REF!</v>
      </c>
      <c r="CJ320" t="e">
        <f>'Printable Customer Report'!#REF!+"AM:!1FN"</f>
        <v>#REF!</v>
      </c>
      <c r="CK320" t="e">
        <f>'Printable Customer Report'!#REF!+"AM:!1FO"</f>
        <v>#REF!</v>
      </c>
      <c r="CL320" t="e">
        <f>'Printable Customer Report'!#REF!+"AM:!1FP"</f>
        <v>#REF!</v>
      </c>
      <c r="CM320" t="e">
        <f>'Printable Customer Report'!#REF!+"AM:!1FQ"</f>
        <v>#REF!</v>
      </c>
      <c r="CN320" t="e">
        <f>'Printable Customer Report'!#REF!+"AM:!1FR"</f>
        <v>#REF!</v>
      </c>
      <c r="CO320" t="e">
        <f>'Printable Customer Report'!#REF!+"AM:!1FS"</f>
        <v>#REF!</v>
      </c>
      <c r="CP320" t="e">
        <f>'Printable Customer Report'!#REF!+"AM:!1FT"</f>
        <v>#REF!</v>
      </c>
      <c r="CQ320" t="e">
        <f>'Printable Customer Report'!#REF!+"AM:!1FU"</f>
        <v>#REF!</v>
      </c>
      <c r="CR320" t="e">
        <f>'Printable Customer Report'!#REF!+"AM:!1FV"</f>
        <v>#REF!</v>
      </c>
      <c r="CS320" t="e">
        <f>'Printable Customer Report'!#REF!+"AM:!1FW"</f>
        <v>#REF!</v>
      </c>
      <c r="CT320" t="e">
        <f>'Printable Customer Report'!#REF!+"AM:!1FX"</f>
        <v>#REF!</v>
      </c>
      <c r="CU320" t="e">
        <f>'Printable Customer Report'!#REF!+"AM:!1FY"</f>
        <v>#REF!</v>
      </c>
      <c r="CV320" t="e">
        <f>'Printable Customer Report'!#REF!+"AM:!1FZ"</f>
        <v>#REF!</v>
      </c>
      <c r="CW320" t="e">
        <f>'Printable Customer Report'!#REF!+"AM:!1F["</f>
        <v>#REF!</v>
      </c>
      <c r="CX320" t="e">
        <f>'Printable Customer Report'!#REF!+"AM:!1F\"</f>
        <v>#REF!</v>
      </c>
      <c r="CY320" t="e">
        <f>'Printable Customer Report'!#REF!+"AM:!1F]"</f>
        <v>#REF!</v>
      </c>
      <c r="CZ320" t="e">
        <f>'Printable Customer Report'!A136+"AM:!1F^"</f>
        <v>#VALUE!</v>
      </c>
      <c r="DA320" t="e">
        <f>'Printable Customer Report'!B136+"AM:!1F_"</f>
        <v>#VALUE!</v>
      </c>
      <c r="DB320" t="e">
        <f>'Printable Customer Report'!C136+"AM:!1F`"</f>
        <v>#VALUE!</v>
      </c>
      <c r="DC320" t="e">
        <f>'Printable Customer Report'!D136+"AM:!1Fa"</f>
        <v>#VALUE!</v>
      </c>
      <c r="DD320" t="e">
        <f>'Printable Customer Report'!E136+"AM:!1Fb"</f>
        <v>#VALUE!</v>
      </c>
      <c r="DE320" t="e">
        <f>'Printable Customer Report'!F136+"AM:!1Fc"</f>
        <v>#VALUE!</v>
      </c>
      <c r="DF320" t="e">
        <f>'Printable Customer Report'!G136+"AM:!1Fd"</f>
        <v>#VALUE!</v>
      </c>
      <c r="DG320" t="e">
        <f>'Printable Customer Report'!H136+"AM:!1Fe"</f>
        <v>#VALUE!</v>
      </c>
      <c r="DH320" t="e">
        <f ca="1">'Printable Customer Report'!A137+"AM:!1Ff"</f>
        <v>#VALUE!</v>
      </c>
      <c r="DI320" t="e">
        <f>'Printable Customer Report'!B137+"AM:!1Fg"</f>
        <v>#VALUE!</v>
      </c>
      <c r="DJ320" t="e">
        <f>'Printable Customer Report'!C137+"AM:!1Fh"</f>
        <v>#VALUE!</v>
      </c>
      <c r="DK320" t="e">
        <f ca="1">'Printable Customer Report'!D137+"AM:!1Fi"</f>
        <v>#VALUE!</v>
      </c>
      <c r="DL320" s="97" t="e">
        <f ca="1">'Printable Customer Report'!E137+"AM:!1Fj"</f>
        <v>#VALUE!</v>
      </c>
      <c r="DM320" s="105" t="e">
        <f ca="1">'Printable Customer Report'!F137+"AM:!1Fk"</f>
        <v>#VALUE!</v>
      </c>
      <c r="DN320" t="e">
        <f ca="1">'Printable Customer Report'!G137+"AM:!1Fl"</f>
        <v>#VALUE!</v>
      </c>
      <c r="DO320" t="e">
        <f ca="1">'Printable Customer Report'!H137+"AM:!1Fm"</f>
        <v>#VALUE!</v>
      </c>
      <c r="DP320" t="e">
        <f>'Printable Customer Report'!A138+"AM:!1Fn"</f>
        <v>#VALUE!</v>
      </c>
      <c r="DQ320" t="e">
        <f>'Printable Customer Report'!B138+"AM:!1Fo"</f>
        <v>#VALUE!</v>
      </c>
      <c r="DR320" t="e">
        <f>'Printable Customer Report'!C138+"AM:!1Fp"</f>
        <v>#VALUE!</v>
      </c>
      <c r="DS320" t="e">
        <f>'Printable Customer Report'!D138+"AM:!1Fq"</f>
        <v>#VALUE!</v>
      </c>
      <c r="DT320" t="e">
        <f>'Printable Customer Report'!E138+"AM:!1Fr"</f>
        <v>#VALUE!</v>
      </c>
      <c r="DU320" t="e">
        <f>'Printable Customer Report'!F138+"AM:!1Fs"</f>
        <v>#VALUE!</v>
      </c>
      <c r="DV320" t="e">
        <f>'Printable Customer Report'!G138+"AM:!1Ft"</f>
        <v>#VALUE!</v>
      </c>
      <c r="DW320" t="e">
        <f>'Printable Customer Report'!H138+"AM:!1Fu"</f>
        <v>#VALUE!</v>
      </c>
      <c r="DX320" t="e">
        <f ca="1">'Printable Customer Report'!A139+"AM:!1Fv"</f>
        <v>#VALUE!</v>
      </c>
      <c r="DY320" t="e">
        <f>'Printable Customer Report'!B139+"AM:!1Fw"</f>
        <v>#VALUE!</v>
      </c>
      <c r="DZ320" t="e">
        <f ca="1">'Printable Customer Report'!C139+"AM:!1Fx"</f>
        <v>#VALUE!</v>
      </c>
      <c r="EA320" t="e">
        <f>'Printable Customer Report'!D139+"AM:!1Fy"</f>
        <v>#VALUE!</v>
      </c>
      <c r="EB320" t="e">
        <f ca="1">'Printable Customer Report'!E139+"AM:!1Fz"</f>
        <v>#VALUE!</v>
      </c>
      <c r="EC320" t="e">
        <f>'Printable Customer Report'!F139+"AM:!1F{"</f>
        <v>#VALUE!</v>
      </c>
      <c r="ED320" t="e">
        <f ca="1">'Printable Customer Report'!G139+"AM:!1F|"</f>
        <v>#VALUE!</v>
      </c>
      <c r="EE320" t="e">
        <f>'Printable Customer Report'!H139+"AM:!1F}"</f>
        <v>#VALUE!</v>
      </c>
      <c r="EF320" t="e">
        <f>'Printable Customer Report'!A140+"AM:!1F~"</f>
        <v>#VALUE!</v>
      </c>
      <c r="EG320" t="e">
        <f>'Printable Customer Report'!B140+"AM:!1G#"</f>
        <v>#VALUE!</v>
      </c>
      <c r="EH320" t="e">
        <f>'Printable Customer Report'!C140+"AM:!1G$"</f>
        <v>#VALUE!</v>
      </c>
      <c r="EI320" t="e">
        <f>'Printable Customer Report'!D140+"AM:!1G%"</f>
        <v>#VALUE!</v>
      </c>
      <c r="EJ320" t="e">
        <f>'Printable Customer Report'!E140+"AM:!1G&amp;"</f>
        <v>#VALUE!</v>
      </c>
      <c r="EK320" t="e">
        <f>'Printable Customer Report'!F140+"AM:!1G'"</f>
        <v>#VALUE!</v>
      </c>
      <c r="EL320" t="e">
        <f>'Printable Customer Report'!G140+"AM:!1G("</f>
        <v>#VALUE!</v>
      </c>
      <c r="EM320" t="e">
        <f>'Printable Customer Report'!H140+"AM:!1G)"</f>
        <v>#VALUE!</v>
      </c>
      <c r="EN320" t="e">
        <f>'Printable Customer Report'!A141+"AM:!1G."</f>
        <v>#VALUE!</v>
      </c>
      <c r="EO320" t="e">
        <f>'Printable Customer Report'!B141+"AM:!1G/"</f>
        <v>#VALUE!</v>
      </c>
      <c r="EP320" t="e">
        <f>'Printable Customer Report'!C141+"AM:!1G0"</f>
        <v>#VALUE!</v>
      </c>
      <c r="EQ320" t="e">
        <f>'Printable Customer Report'!D141+"AM:!1G1"</f>
        <v>#VALUE!</v>
      </c>
      <c r="ER320" t="e">
        <f>'Printable Customer Report'!E141+"AM:!1G2"</f>
        <v>#VALUE!</v>
      </c>
      <c r="ES320" t="e">
        <f>'Printable Customer Report'!F141+"AM:!1G3"</f>
        <v>#VALUE!</v>
      </c>
      <c r="ET320" t="e">
        <f>'Printable Customer Report'!G141+"AM:!1G4"</f>
        <v>#VALUE!</v>
      </c>
      <c r="EU320" t="e">
        <f>'Printable Customer Report'!H141+"AM:!1G5"</f>
        <v>#VALUE!</v>
      </c>
      <c r="EV320" t="e">
        <f>'Printable Customer Report'!A142+"AM:!1G6"</f>
        <v>#VALUE!</v>
      </c>
      <c r="EW320" t="e">
        <f>'Printable Customer Report'!B142+"AM:!1G7"</f>
        <v>#VALUE!</v>
      </c>
      <c r="EX320" t="e">
        <f>'Printable Customer Report'!C142+"AM:!1G8"</f>
        <v>#VALUE!</v>
      </c>
      <c r="EY320" t="e">
        <f>'Printable Customer Report'!D142+"AM:!1G9"</f>
        <v>#VALUE!</v>
      </c>
      <c r="EZ320" t="e">
        <f>'Printable Customer Report'!E142+"AM:!1G:"</f>
        <v>#VALUE!</v>
      </c>
      <c r="FA320" t="e">
        <f>'Printable Customer Report'!F142+"AM:!1G;"</f>
        <v>#VALUE!</v>
      </c>
      <c r="FB320" t="e">
        <f>'Printable Customer Report'!G142+"AM:!1G&lt;"</f>
        <v>#VALUE!</v>
      </c>
      <c r="FC320" t="e">
        <f>'Printable Customer Report'!H142+"AM:!1G="</f>
        <v>#VALUE!</v>
      </c>
      <c r="FD320" t="e">
        <f>'Printable Customer Report'!A143+"AM:!1G&gt;"</f>
        <v>#VALUE!</v>
      </c>
      <c r="FE320" t="e">
        <f>'Printable Customer Report'!B143+"AM:!1G?"</f>
        <v>#VALUE!</v>
      </c>
      <c r="FF320" t="e">
        <f>'Printable Customer Report'!C143+"AM:!1G@"</f>
        <v>#VALUE!</v>
      </c>
      <c r="FG320" t="e">
        <f>'Printable Customer Report'!D143+"AM:!1GA"</f>
        <v>#VALUE!</v>
      </c>
      <c r="FH320" t="e">
        <f>'Printable Customer Report'!E143+"AM:!1GB"</f>
        <v>#VALUE!</v>
      </c>
      <c r="FI320" t="e">
        <f>'Printable Customer Report'!F143+"AM:!1GC"</f>
        <v>#VALUE!</v>
      </c>
      <c r="FJ320" t="e">
        <f>'Printable Customer Report'!G143+"AM:!1GD"</f>
        <v>#VALUE!</v>
      </c>
      <c r="FK320" t="e">
        <f>'Printable Customer Report'!H143+"AM:!1GE"</f>
        <v>#VALUE!</v>
      </c>
      <c r="FL320" t="e">
        <f>'Printable Customer Report'!A145+"AM:!1GF"</f>
        <v>#VALUE!</v>
      </c>
      <c r="FM320" t="e">
        <f>'Printable Customer Report'!B145+"AM:!1GG"</f>
        <v>#VALUE!</v>
      </c>
      <c r="FN320" t="e">
        <f>'Printable Customer Report'!C145+"AM:!1GH"</f>
        <v>#VALUE!</v>
      </c>
      <c r="FO320" t="e">
        <f>'Printable Customer Report'!D145+"AM:!1GI"</f>
        <v>#VALUE!</v>
      </c>
      <c r="FP320" t="e">
        <f>'Printable Customer Report'!E145+"AM:!1GJ"</f>
        <v>#VALUE!</v>
      </c>
      <c r="FQ320" t="e">
        <f>'Printable Customer Report'!F145+"AM:!1GK"</f>
        <v>#VALUE!</v>
      </c>
      <c r="FR320" t="e">
        <f>'Printable Customer Report'!G145+"AM:!1GL"</f>
        <v>#VALUE!</v>
      </c>
      <c r="FS320" t="e">
        <f>'Printable Customer Report'!H145+"AM:!1GM"</f>
        <v>#VALUE!</v>
      </c>
      <c r="FT320" t="e">
        <f ca="1">'Printable Customer Report'!A146+"AM:!1GN"</f>
        <v>#VALUE!</v>
      </c>
      <c r="FU320" t="e">
        <f>'Printable Customer Report'!B146+"AM:!1GO"</f>
        <v>#VALUE!</v>
      </c>
      <c r="FV320" t="e">
        <f>'Printable Customer Report'!C146+"AM:!1GP"</f>
        <v>#VALUE!</v>
      </c>
      <c r="FW320" t="e">
        <f ca="1">'Printable Customer Report'!D146+"AM:!1GQ"</f>
        <v>#VALUE!</v>
      </c>
      <c r="FX320" s="97" t="e">
        <f ca="1">'Printable Customer Report'!E146+"AM:!1GR"</f>
        <v>#VALUE!</v>
      </c>
      <c r="FY320" s="105" t="e">
        <f ca="1">'Printable Customer Report'!F146+"AM:!1GS"</f>
        <v>#VALUE!</v>
      </c>
      <c r="FZ320" t="e">
        <f ca="1">'Printable Customer Report'!G146+"AM:!1GT"</f>
        <v>#VALUE!</v>
      </c>
      <c r="GA320" t="e">
        <f ca="1">'Printable Customer Report'!H146+"AM:!1GU"</f>
        <v>#VALUE!</v>
      </c>
      <c r="GB320" t="e">
        <f>'Printable Customer Report'!A147+"AM:!1GV"</f>
        <v>#VALUE!</v>
      </c>
      <c r="GC320" t="e">
        <f>'Printable Customer Report'!B147+"AM:!1GW"</f>
        <v>#VALUE!</v>
      </c>
      <c r="GD320" t="e">
        <f>'Printable Customer Report'!C147+"AM:!1GX"</f>
        <v>#VALUE!</v>
      </c>
      <c r="GE320" t="e">
        <f>'Printable Customer Report'!D147+"AM:!1GY"</f>
        <v>#VALUE!</v>
      </c>
      <c r="GF320" t="e">
        <f>'Printable Customer Report'!E147+"AM:!1GZ"</f>
        <v>#VALUE!</v>
      </c>
      <c r="GG320" t="e">
        <f>'Printable Customer Report'!F147+"AM:!1G["</f>
        <v>#VALUE!</v>
      </c>
      <c r="GH320" t="e">
        <f>'Printable Customer Report'!G147+"AM:!1G\"</f>
        <v>#VALUE!</v>
      </c>
      <c r="GI320" t="e">
        <f>'Printable Customer Report'!H147+"AM:!1G]"</f>
        <v>#VALUE!</v>
      </c>
      <c r="GJ320" t="e">
        <f ca="1">'Printable Customer Report'!A148+"AM:!1G^"</f>
        <v>#VALUE!</v>
      </c>
      <c r="GK320" t="e">
        <f>'Printable Customer Report'!B148+"AM:!1G_"</f>
        <v>#VALUE!</v>
      </c>
      <c r="GL320" t="e">
        <f ca="1">'Printable Customer Report'!C148+"AM:!1G`"</f>
        <v>#VALUE!</v>
      </c>
      <c r="GM320" t="e">
        <f>'Printable Customer Report'!D148+"AM:!1Ga"</f>
        <v>#VALUE!</v>
      </c>
      <c r="GN320" t="e">
        <f ca="1">'Printable Customer Report'!E148+"AM:!1Gb"</f>
        <v>#VALUE!</v>
      </c>
      <c r="GO320" t="e">
        <f>'Printable Customer Report'!F148+"AM:!1Gc"</f>
        <v>#VALUE!</v>
      </c>
      <c r="GP320" t="e">
        <f ca="1">'Printable Customer Report'!G148+"AM:!1Gd"</f>
        <v>#VALUE!</v>
      </c>
      <c r="GQ320" t="e">
        <f>'Printable Customer Report'!H148+"AM:!1Ge"</f>
        <v>#VALUE!</v>
      </c>
      <c r="GR320" t="e">
        <f>'Printable Customer Report'!A149+"AM:!1Gf"</f>
        <v>#VALUE!</v>
      </c>
      <c r="GS320" t="e">
        <f>'Printable Customer Report'!B149+"AM:!1Gg"</f>
        <v>#VALUE!</v>
      </c>
      <c r="GT320" t="e">
        <f>'Printable Customer Report'!C149+"AM:!1Gh"</f>
        <v>#VALUE!</v>
      </c>
      <c r="GU320" t="e">
        <f>'Printable Customer Report'!D149+"AM:!1Gi"</f>
        <v>#VALUE!</v>
      </c>
      <c r="GV320" t="e">
        <f>'Printable Customer Report'!E149+"AM:!1Gj"</f>
        <v>#VALUE!</v>
      </c>
      <c r="GW320" t="e">
        <f>'Printable Customer Report'!F149+"AM:!1Gk"</f>
        <v>#VALUE!</v>
      </c>
      <c r="GX320" t="e">
        <f>'Printable Customer Report'!G149+"AM:!1Gl"</f>
        <v>#VALUE!</v>
      </c>
      <c r="GY320" t="e">
        <f>'Printable Customer Report'!H149+"AM:!1Gm"</f>
        <v>#VALUE!</v>
      </c>
      <c r="GZ320" t="e">
        <f>'Printable Customer Report'!A150+"AM:!1Gn"</f>
        <v>#VALUE!</v>
      </c>
      <c r="HA320" t="e">
        <f>'Printable Customer Report'!B150+"AM:!1Go"</f>
        <v>#VALUE!</v>
      </c>
      <c r="HB320" t="e">
        <f>'Printable Customer Report'!C150+"AM:!1Gp"</f>
        <v>#VALUE!</v>
      </c>
      <c r="HC320" t="e">
        <f>'Printable Customer Report'!D150+"AM:!1Gq"</f>
        <v>#VALUE!</v>
      </c>
      <c r="HD320" t="e">
        <f>'Printable Customer Report'!E150+"AM:!1Gr"</f>
        <v>#VALUE!</v>
      </c>
      <c r="HE320" t="e">
        <f>'Printable Customer Report'!F150+"AM:!1Gs"</f>
        <v>#VALUE!</v>
      </c>
      <c r="HF320" t="e">
        <f>'Printable Customer Report'!G150+"AM:!1Gt"</f>
        <v>#VALUE!</v>
      </c>
      <c r="HG320" t="e">
        <f>'Printable Customer Report'!H150+"AM:!1Gu"</f>
        <v>#VALUE!</v>
      </c>
      <c r="HH320" t="e">
        <f>'Printable Customer Report'!A151+"AM:!1Gv"</f>
        <v>#VALUE!</v>
      </c>
      <c r="HI320" t="e">
        <f>'Printable Customer Report'!B151+"AM:!1Gw"</f>
        <v>#VALUE!</v>
      </c>
      <c r="HJ320" t="e">
        <f>'Printable Customer Report'!C151+"AM:!1Gx"</f>
        <v>#VALUE!</v>
      </c>
      <c r="HK320" t="e">
        <f>'Printable Customer Report'!D151+"AM:!1Gy"</f>
        <v>#VALUE!</v>
      </c>
      <c r="HL320" t="e">
        <f>'Printable Customer Report'!E151+"AM:!1Gz"</f>
        <v>#VALUE!</v>
      </c>
      <c r="HM320" t="e">
        <f>'Printable Customer Report'!F151+"AM:!1G{"</f>
        <v>#VALUE!</v>
      </c>
      <c r="HN320" t="e">
        <f>'Printable Customer Report'!G151+"AM:!1G|"</f>
        <v>#VALUE!</v>
      </c>
      <c r="HO320" t="e">
        <f>'Printable Customer Report'!H151+"AM:!1G}"</f>
        <v>#VALUE!</v>
      </c>
      <c r="HP320" t="e">
        <f>'Printable Customer Report'!A152+"AM:!1G~"</f>
        <v>#VALUE!</v>
      </c>
      <c r="HQ320" t="e">
        <f>'Printable Customer Report'!B152+"AM:!1H#"</f>
        <v>#VALUE!</v>
      </c>
      <c r="HR320" t="e">
        <f>'Printable Customer Report'!C152+"AM:!1H$"</f>
        <v>#VALUE!</v>
      </c>
      <c r="HS320" t="e">
        <f>'Printable Customer Report'!D152+"AM:!1H%"</f>
        <v>#VALUE!</v>
      </c>
      <c r="HT320" t="e">
        <f>'Printable Customer Report'!E152+"AM:!1H&amp;"</f>
        <v>#VALUE!</v>
      </c>
      <c r="HU320" t="e">
        <f>'Printable Customer Report'!F152+"AM:!1H'"</f>
        <v>#VALUE!</v>
      </c>
      <c r="HV320" t="e">
        <f>'Printable Customer Report'!G152+"AM:!1H("</f>
        <v>#VALUE!</v>
      </c>
      <c r="HW320" t="e">
        <f>'Printable Customer Report'!H152+"AM:!1H)"</f>
        <v>#VALUE!</v>
      </c>
      <c r="HX320" t="e">
        <f>'OP-Summary'!A:A*"AM:!1H0"</f>
        <v>#VALUE!</v>
      </c>
      <c r="HY320" t="e">
        <f>'OP-Summary'!B:B*"AM:!1H1"</f>
        <v>#VALUE!</v>
      </c>
      <c r="HZ320" t="e">
        <f>'OP-Summary'!C:C*"AM:!1H2"</f>
        <v>#VALUE!</v>
      </c>
      <c r="IA320" t="e">
        <f>'OP-Summary'!D:D*"AM:!1H3"</f>
        <v>#VALUE!</v>
      </c>
      <c r="IB320" t="e">
        <f>'OP-Summary'!E:E*"AM:!1H4"</f>
        <v>#VALUE!</v>
      </c>
      <c r="IC320" t="e">
        <f>'OP-Summary'!F:F*"AM:!1H5"</f>
        <v>#VALUE!</v>
      </c>
      <c r="ID320" t="e">
        <f>'OP-Summary'!G:G*"AM:!1H6"</f>
        <v>#VALUE!</v>
      </c>
      <c r="IE320" t="e">
        <f>'OP-Summary'!H:H*"AM:!1H7"</f>
        <v>#VALUE!</v>
      </c>
      <c r="IF320" t="e">
        <f>'OP-Summary'!I:I*"AM:!1H8"</f>
        <v>#VALUE!</v>
      </c>
      <c r="IG320" t="e">
        <f>'OP-Summary'!J:J*"AM:!1H9"</f>
        <v>#VALUE!</v>
      </c>
      <c r="IH320" t="e">
        <f>'OP-Summary'!K:K*"AM:!1H:"</f>
        <v>#VALUE!</v>
      </c>
      <c r="II320" t="e">
        <f>'OP-Summary'!L:L*"AM:!1H;"</f>
        <v>#VALUE!</v>
      </c>
      <c r="IJ320" t="e">
        <f>'OP-Summary'!M:M*"AM:!1H&lt;"</f>
        <v>#VALUE!</v>
      </c>
      <c r="IK320" t="e">
        <f>'OP-Summary'!N:N*"AM:!1H="</f>
        <v>#VALUE!</v>
      </c>
      <c r="IL320" t="e">
        <f>'OP-Summary'!O:O*"AM:!1H&gt;"</f>
        <v>#VALUE!</v>
      </c>
      <c r="IM320" t="e">
        <f>'OP-Summary'!P:P*"AM:!1H?"</f>
        <v>#VALUE!</v>
      </c>
      <c r="IN320" t="e">
        <f>'OP-Summary'!Q:Q*"AM:!1H@"</f>
        <v>#VALUE!</v>
      </c>
      <c r="IO320" t="e">
        <f>'OP-Summary'!R:R*"AM:!1HA"</f>
        <v>#VALUE!</v>
      </c>
      <c r="IP320" t="e">
        <f>'OP-Summary'!S:S*"AM:!1HB"</f>
        <v>#VALUE!</v>
      </c>
      <c r="IQ320" t="e">
        <f>'OP-Summary'!T:T*"AM:!1HC"</f>
        <v>#VALUE!</v>
      </c>
      <c r="IR320" t="e">
        <f>'OP-Summary'!U:U*"AM:!1HD"</f>
        <v>#VALUE!</v>
      </c>
      <c r="IS320" t="e">
        <f>'OP-Summary'!V:V*"AM:!1HE"</f>
        <v>#VALUE!</v>
      </c>
      <c r="IT320" t="e">
        <f>'OP-Summary'!W:W*"AM:!1HF"</f>
        <v>#VALUE!</v>
      </c>
      <c r="IU320" t="e">
        <f>'OP-Summary'!X:X*"AM:!1HG"</f>
        <v>#VALUE!</v>
      </c>
      <c r="IV320" t="e">
        <f>'OP-Summary'!Y:Y*"AM:!1HH"</f>
        <v>#VALUE!</v>
      </c>
    </row>
    <row r="321" spans="6:256">
      <c r="F321" t="e">
        <f>'OP-Summary'!Z:Z*"AM:!1HI"</f>
        <v>#VALUE!</v>
      </c>
      <c r="G321" t="e">
        <f>'OP-Summary'!AA:AA*"AM:!1HJ"</f>
        <v>#VALUE!</v>
      </c>
      <c r="H321" t="e">
        <f>'OP-Summary'!AB:AB*"AM:!1HK"</f>
        <v>#VALUE!</v>
      </c>
      <c r="I321" t="e">
        <f>'OP-Summary'!AC:AC*"AM:!1HL"</f>
        <v>#VALUE!</v>
      </c>
      <c r="J321" t="e">
        <f>'OP-Summary'!AD:AD*"AM:!1HM"</f>
        <v>#VALUE!</v>
      </c>
      <c r="K321" t="e">
        <f>'OP-Summary'!AE:AE*"AM:!1HN"</f>
        <v>#VALUE!</v>
      </c>
      <c r="L321" t="e">
        <f>'OP-Summary'!AF:AF*"AM:!1HO"</f>
        <v>#VALUE!</v>
      </c>
      <c r="M321" t="e">
        <f>'OP-Summary'!AG:AG*"AM:!1HP"</f>
        <v>#VALUE!</v>
      </c>
      <c r="N321" t="e">
        <f>'OP-Summary'!AH:AH*"AM:!1HQ"</f>
        <v>#VALUE!</v>
      </c>
      <c r="O321" t="e">
        <f>'OP-Summary'!AI:AI*"AM:!1HR"</f>
        <v>#VALUE!</v>
      </c>
      <c r="P321" t="e">
        <f>'OP-Summary'!AJ:AJ*"AM:!1HS"</f>
        <v>#VALUE!</v>
      </c>
      <c r="Q321" t="e">
        <f>'OP-Summary'!AK:AK*"AM:!1HT"</f>
        <v>#VALUE!</v>
      </c>
      <c r="R321" t="e">
        <f>'OP-Summary'!AL:AL*"AM:!1HU"</f>
        <v>#VALUE!</v>
      </c>
      <c r="S321" t="e">
        <f>'OP-Summary'!AM:AM*"AM:!1HV"</f>
        <v>#VALUE!</v>
      </c>
      <c r="T321" t="e">
        <f>'OP-Summary'!AN:AN*"AM:!1HW"</f>
        <v>#VALUE!</v>
      </c>
      <c r="U321" t="e">
        <f>'OP-Summary'!AO:AO*"AM:!1HX"</f>
        <v>#VALUE!</v>
      </c>
      <c r="V321" t="e">
        <f>'OP-Summary'!AP:AP*"AM:!1HY"</f>
        <v>#VALUE!</v>
      </c>
      <c r="W321" t="e">
        <f>'OP-Summary'!AQ:AQ*"AM:!1HZ"</f>
        <v>#VALUE!</v>
      </c>
      <c r="X321" t="e">
        <f>'OP-Summary'!AR:AR*"AM:!1H["</f>
        <v>#VALUE!</v>
      </c>
      <c r="Y321" t="e">
        <f>'OP-Summary'!AS:AS*"AM:!1H\"</f>
        <v>#VALUE!</v>
      </c>
      <c r="Z321" t="e">
        <f>'OP-Summary'!AT:AT*"AM:!1H]"</f>
        <v>#VALUE!</v>
      </c>
      <c r="AA321" t="e">
        <f>'OP-Summary'!AU:AU*"AM:!1H^"</f>
        <v>#VALUE!</v>
      </c>
      <c r="AB321" t="e">
        <f>'OP-Summary'!AV:AV*"AM:!1H_"</f>
        <v>#VALUE!</v>
      </c>
      <c r="AC321" t="e">
        <f>'OP-Summary'!AW:AW*"AM:!1H`"</f>
        <v>#VALUE!</v>
      </c>
      <c r="AD321" t="e">
        <f>'OP-Summary'!AX:AX*"AM:!1Ha"</f>
        <v>#VALUE!</v>
      </c>
      <c r="AE321" t="e">
        <f>'OP-Summary'!AY:AY*"AM:!1Hb"</f>
        <v>#VALUE!</v>
      </c>
      <c r="AF321" t="e">
        <f>'OP-Summary'!AZ:AZ*"AM:!1Hc"</f>
        <v>#VALUE!</v>
      </c>
      <c r="AG321" t="e">
        <f>'OP-Summary'!BA:BA*"AM:!1Hd"</f>
        <v>#VALUE!</v>
      </c>
      <c r="AH321" t="e">
        <f>'OP-Summary'!BB:BB*"AM:!1He"</f>
        <v>#VALUE!</v>
      </c>
      <c r="AI321" t="e">
        <f>'OP-Summary'!BC:BC*"AM:!1Hf"</f>
        <v>#VALUE!</v>
      </c>
      <c r="AJ321" t="e">
        <f>'OP-Summary'!BD:BD*"AM:!1Hg"</f>
        <v>#VALUE!</v>
      </c>
      <c r="AK321" t="e">
        <f>'OP-Summary'!BE:BE*"AM:!1Hh"</f>
        <v>#VALUE!</v>
      </c>
      <c r="AL321" t="e">
        <f>'OP-Summary'!BF:BF*"AM:!1Hi"</f>
        <v>#VALUE!</v>
      </c>
      <c r="AM321" t="e">
        <f>'OP-Summary'!BG:BG*"AM:!1Hj"</f>
        <v>#VALUE!</v>
      </c>
      <c r="AN321" t="e">
        <f>'OP-Summary'!BH:BH*"AM:!1Hk"</f>
        <v>#VALUE!</v>
      </c>
      <c r="AO321" t="e">
        <f>'OP-Summary'!BI:BI*"AM:!1Hl"</f>
        <v>#VALUE!</v>
      </c>
      <c r="AP321" t="e">
        <f>'OP-Summary'!BJ:BJ*"AM:!1Hm"</f>
        <v>#VALUE!</v>
      </c>
      <c r="AQ321" t="e">
        <f>'OP-Summary'!BK:BK*"AM:!1Hn"</f>
        <v>#VALUE!</v>
      </c>
      <c r="AR321" t="e">
        <f>'OP-Summary'!BL:BL*"AM:!1Ho"</f>
        <v>#VALUE!</v>
      </c>
      <c r="AS321" t="e">
        <f>'OP-Summary'!BM:BM*"AM:!1Hp"</f>
        <v>#VALUE!</v>
      </c>
      <c r="AT321" t="e">
        <f>'OP-Summary'!BN:BN*"AM:!1Hq"</f>
        <v>#VALUE!</v>
      </c>
      <c r="AU321" t="e">
        <f>'OP-Summary'!BO:BO*"AM:!1Hr"</f>
        <v>#VALUE!</v>
      </c>
      <c r="AV321" t="e">
        <f>'OP-Summary'!BP:BP*"AM:!1Hs"</f>
        <v>#VALUE!</v>
      </c>
      <c r="AW321" t="e">
        <f>'OP-Summary'!BQ:BQ*"AM:!1Ht"</f>
        <v>#VALUE!</v>
      </c>
      <c r="AX321" t="e">
        <f>'OP-Summary'!BR:BR*"AM:!1Hu"</f>
        <v>#VALUE!</v>
      </c>
      <c r="AY321" t="e">
        <f>'OP-Summary'!1:1-"AM:!1Hv"</f>
        <v>#VALUE!</v>
      </c>
      <c r="AZ321" t="e">
        <f>'OP-Summary'!2:2-"AM:!1Hw"</f>
        <v>#VALUE!</v>
      </c>
      <c r="BA321" t="e">
        <f>'OP-Summary'!3:3-"AM:!1Hx"</f>
        <v>#VALUE!</v>
      </c>
      <c r="BB321" t="e">
        <f>'OP-Summary'!4:4-"AM:!1Hy"</f>
        <v>#VALUE!</v>
      </c>
      <c r="BC321" t="e">
        <f>'OP-Summary'!5:5-"AM:!1Hz"</f>
        <v>#VALUE!</v>
      </c>
      <c r="BD321" t="e">
        <f>'OP-Summary'!6:6-"AM:!1H{"</f>
        <v>#VALUE!</v>
      </c>
      <c r="BE321" t="e">
        <f>'OP-Summary'!7:7-"AM:!1H|"</f>
        <v>#VALUE!</v>
      </c>
      <c r="BF321" t="e">
        <f>'OP-Summary'!8:8-"AM:!1H}"</f>
        <v>#VALUE!</v>
      </c>
      <c r="BG321" t="e">
        <f>'OP-Summary'!9:9-"AM:!1H~"</f>
        <v>#VALUE!</v>
      </c>
      <c r="BH321" t="e">
        <f>'OP-Summary'!10:10-"AM:!1I#"</f>
        <v>#VALUE!</v>
      </c>
      <c r="BI321" t="e">
        <f>'OP-Summary'!11:11-"AM:!1I$"</f>
        <v>#VALUE!</v>
      </c>
      <c r="BJ321" t="e">
        <f>'OP-Summary'!12:12-"AM:!1I%"</f>
        <v>#VALUE!</v>
      </c>
      <c r="BK321" t="e">
        <f>'OP-Summary'!13:13-"AM:!1I&amp;"</f>
        <v>#VALUE!</v>
      </c>
      <c r="BL321" t="e">
        <f>'OP-Summary'!14:14-"AM:!1I'"</f>
        <v>#VALUE!</v>
      </c>
      <c r="BM321" t="e">
        <f>'OP-Summary'!15:15-"AM:!1I("</f>
        <v>#VALUE!</v>
      </c>
      <c r="BN321" t="e">
        <f>'OP-Summary'!16:16-"AM:!1I)"</f>
        <v>#VALUE!</v>
      </c>
      <c r="BO321" t="e">
        <f>'OP-Summary'!17:17-"AM:!1I."</f>
        <v>#VALUE!</v>
      </c>
      <c r="BP321" t="e">
        <f>'OP-Summary'!18:18-"AM:!1I/"</f>
        <v>#VALUE!</v>
      </c>
      <c r="BQ321" t="e">
        <f>'OP-Summary'!19:19-"AM:!1I0"</f>
        <v>#VALUE!</v>
      </c>
      <c r="BR321" t="e">
        <f>'OP-Summary'!20:20-"AM:!1I1"</f>
        <v>#VALUE!</v>
      </c>
      <c r="BS321" t="e">
        <f>'OP-Summary'!21:21-"AM:!1I2"</f>
        <v>#VALUE!</v>
      </c>
      <c r="BT321" t="e">
        <f>'OP-Summary'!22:22-"AM:!1I3"</f>
        <v>#VALUE!</v>
      </c>
      <c r="BU321" t="e">
        <f>'OP-Summary'!23:23-"AM:!1I4"</f>
        <v>#VALUE!</v>
      </c>
      <c r="BV321" t="e">
        <f>'OP-Summary'!24:24-"AM:!1I5"</f>
        <v>#VALUE!</v>
      </c>
      <c r="BW321" t="e">
        <f>'OP-Summary'!25:25-"AM:!1I6"</f>
        <v>#VALUE!</v>
      </c>
      <c r="BX321" t="e">
        <f>'OP-Summary'!26:26-"AM:!1I7"</f>
        <v>#VALUE!</v>
      </c>
      <c r="BY321" t="e">
        <f>'OP-Summary'!27:27-"AM:!1I8"</f>
        <v>#VALUE!</v>
      </c>
      <c r="BZ321" t="e">
        <f>'OP-Summary'!28:28-"AM:!1I9"</f>
        <v>#VALUE!</v>
      </c>
      <c r="CA321" t="e">
        <f>'OP-Summary'!29:29-"AM:!1I:"</f>
        <v>#VALUE!</v>
      </c>
      <c r="CB321" t="e">
        <f>'OP-Summary'!30:30-"AM:!1I;"</f>
        <v>#VALUE!</v>
      </c>
      <c r="CC321" t="e">
        <f>'OP-Summary'!31:31-"AM:!1I&lt;"</f>
        <v>#VALUE!</v>
      </c>
      <c r="CD321" t="e">
        <f>'OP-Summary'!32:32-"AM:!1I="</f>
        <v>#VALUE!</v>
      </c>
      <c r="CE321" t="e">
        <f>'OP-Summary'!33:33-"AM:!1I&gt;"</f>
        <v>#VALUE!</v>
      </c>
      <c r="CF321" t="e">
        <f>'OP-Summary'!34:34-"AM:!1I?"</f>
        <v>#VALUE!</v>
      </c>
      <c r="CG321" t="e">
        <f>'OP-Summary'!35:35-"AM:!1I@"</f>
        <v>#VALUE!</v>
      </c>
      <c r="CH321" t="e">
        <f>'OP-Summary'!36:36-"AM:!1IA"</f>
        <v>#VALUE!</v>
      </c>
      <c r="CI321" t="e">
        <f>'OP-Summary'!37:37-"AM:!1IB"</f>
        <v>#VALUE!</v>
      </c>
      <c r="CJ321" t="e">
        <f>'OP-Summary'!38:38-"AM:!1IC"</f>
        <v>#VALUE!</v>
      </c>
      <c r="CK321" t="e">
        <f>'OP-Summary'!39:39-"AM:!1ID"</f>
        <v>#VALUE!</v>
      </c>
      <c r="CL321" t="e">
        <f>'OP-Summary'!40:40-"AM:!1IE"</f>
        <v>#VALUE!</v>
      </c>
      <c r="CM321" t="e">
        <f>'OP-Summary'!41:41-"AM:!1IF"</f>
        <v>#VALUE!</v>
      </c>
      <c r="CN321" t="e">
        <f>'OP-Summary'!42:42-"AM:!1IG"</f>
        <v>#VALUE!</v>
      </c>
      <c r="CO321" t="e">
        <f>'OP-Summary'!43:43-"AM:!1IH"</f>
        <v>#VALUE!</v>
      </c>
      <c r="CP321" t="e">
        <f>'OP-Summary'!44:44-"AM:!1II"</f>
        <v>#VALUE!</v>
      </c>
      <c r="CQ321" t="e">
        <f>'OP-Summary'!45:45-"AM:!1IJ"</f>
        <v>#VALUE!</v>
      </c>
      <c r="CR321" t="e">
        <f>'OP-Summary'!46:46-"AM:!1IK"</f>
        <v>#VALUE!</v>
      </c>
      <c r="CS321" t="e">
        <f>'OP-Summary'!47:47-"AM:!1IL"</f>
        <v>#VALUE!</v>
      </c>
      <c r="CT321" t="e">
        <f>'OP-Summary'!48:48-"AM:!1IM"</f>
        <v>#VALUE!</v>
      </c>
      <c r="CU321" t="e">
        <f>'OP-Summary'!49:49-"AM:!1IN"</f>
        <v>#VALUE!</v>
      </c>
      <c r="CV321" t="e">
        <f>'OP-Summary'!50:50-"AM:!1IO"</f>
        <v>#VALUE!</v>
      </c>
      <c r="CW321" t="e">
        <f>'OP-Summary'!51:51-"AM:!1IP"</f>
        <v>#VALUE!</v>
      </c>
      <c r="CX321" t="e">
        <f>'OP-Summary'!52:52-"AM:!1IQ"</f>
        <v>#VALUE!</v>
      </c>
      <c r="CY321" t="e">
        <f>'OP-Summary'!53:53-"AM:!1IR"</f>
        <v>#VALUE!</v>
      </c>
      <c r="CZ321" t="e">
        <f>'OP-Summary'!54:54-"AM:!1IS"</f>
        <v>#VALUE!</v>
      </c>
      <c r="DA321" t="e">
        <f>'OP-Summary'!55:55-"AM:!1IT"</f>
        <v>#VALUE!</v>
      </c>
      <c r="DB321" t="e">
        <f>'OP-Summary'!56:56-"AM:!1IU"</f>
        <v>#VALUE!</v>
      </c>
      <c r="DC321" t="e">
        <f>'OP-Summary'!57:57-"AM:!1IV"</f>
        <v>#VALUE!</v>
      </c>
      <c r="DD321" t="e">
        <f>'OP-Summary'!58:58-"AM:!1IW"</f>
        <v>#VALUE!</v>
      </c>
      <c r="DE321" t="e">
        <f>'OP-Summary'!59:59-"AM:!1IX"</f>
        <v>#VALUE!</v>
      </c>
      <c r="DF321" t="e">
        <f>'OP-Summary'!60:60-"AM:!1IY"</f>
        <v>#VALUE!</v>
      </c>
      <c r="DG321" t="e">
        <f>'OP-Summary'!61:61-"AM:!1IZ"</f>
        <v>#VALUE!</v>
      </c>
      <c r="DH321" t="e">
        <f>'OP-Summary'!62:62-"AM:!1I["</f>
        <v>#VALUE!</v>
      </c>
      <c r="DI321" t="e">
        <f>'OP-Summary'!63:63-"AM:!1I\"</f>
        <v>#VALUE!</v>
      </c>
      <c r="DJ321" t="e">
        <f>'OP-Summary'!64:64-"AM:!1I]"</f>
        <v>#VALUE!</v>
      </c>
      <c r="DK321" t="e">
        <f>'OP-Summary'!65:65-"AM:!1I^"</f>
        <v>#VALUE!</v>
      </c>
      <c r="DL321" t="e">
        <f>'OP-Summary'!66:66-"AM:!1I_"</f>
        <v>#VALUE!</v>
      </c>
      <c r="DM321" t="e">
        <f>'OP-Summary'!67:67-"AM:!1I`"</f>
        <v>#VALUE!</v>
      </c>
      <c r="DN321" t="e">
        <f>'OP-Summary'!68:68-"AM:!1Ia"</f>
        <v>#VALUE!</v>
      </c>
      <c r="DO321" t="e">
        <f>'OP-Summary'!69:69-"AM:!1Ib"</f>
        <v>#VALUE!</v>
      </c>
      <c r="DP321" t="e">
        <f>'OP-Summary'!70:70-"AM:!1Ic"</f>
        <v>#VALUE!</v>
      </c>
      <c r="DQ321" t="e">
        <f>'OP-Summary'!71:71-"AM:!1Id"</f>
        <v>#VALUE!</v>
      </c>
      <c r="DR321" t="e">
        <f>'OP-Summary'!72:72-"AM:!1Ie"</f>
        <v>#VALUE!</v>
      </c>
      <c r="DS321" t="e">
        <f>'OP-Summary'!73:73-"AM:!1If"</f>
        <v>#VALUE!</v>
      </c>
      <c r="DT321" t="e">
        <f>'OP-Summary'!74:74-"AM:!1Ig"</f>
        <v>#VALUE!</v>
      </c>
      <c r="DU321" t="e">
        <f>'OP-Summary'!75:75-"AM:!1Ih"</f>
        <v>#VALUE!</v>
      </c>
      <c r="DV321" t="e">
        <f>'OP-Summary'!76:76-"AM:!1Ii"</f>
        <v>#VALUE!</v>
      </c>
      <c r="DW321" t="e">
        <f>'OP-Summary'!77:77-"AM:!1Ij"</f>
        <v>#VALUE!</v>
      </c>
      <c r="DX321" t="e">
        <f>'OP-Summary'!78:78-"AM:!1Ik"</f>
        <v>#VALUE!</v>
      </c>
      <c r="DY321" t="e">
        <f>'OP-Summary'!79:79-"AM:!1Il"</f>
        <v>#VALUE!</v>
      </c>
      <c r="DZ321" t="e">
        <f>'OP-Summary'!80:80-"AM:!1Im"</f>
        <v>#VALUE!</v>
      </c>
      <c r="EA321" t="e">
        <f>'OP-Summary'!81:81-"AM:!1In"</f>
        <v>#VALUE!</v>
      </c>
      <c r="EB321" t="e">
        <f>'OP-Summary'!82:82-"AM:!1Io"</f>
        <v>#VALUE!</v>
      </c>
      <c r="EC321" t="e">
        <f>'OP-Summary'!83:83-"AM:!1Ip"</f>
        <v>#VALUE!</v>
      </c>
      <c r="ED321" t="e">
        <f>'OP-Summary'!84:84-"AM:!1Iq"</f>
        <v>#VALUE!</v>
      </c>
      <c r="EE321" t="e">
        <f>'OP-Summary'!85:85-"AM:!1Ir"</f>
        <v>#VALUE!</v>
      </c>
      <c r="EF321" t="e">
        <f>'OP-Summary'!86:86-"AM:!1Is"</f>
        <v>#VALUE!</v>
      </c>
      <c r="EG321" t="e">
        <f>'OP-Summary'!87:87-"AM:!1It"</f>
        <v>#VALUE!</v>
      </c>
      <c r="EH321" t="e">
        <f>'OP-Summary'!88:88-"AM:!1Iu"</f>
        <v>#VALUE!</v>
      </c>
      <c r="EI321" t="e">
        <f>'OP-Summary'!89:89-"AM:!1Iv"</f>
        <v>#VALUE!</v>
      </c>
      <c r="EJ321" t="e">
        <f>'OP-Summary'!90:90-"AM:!1Iw"</f>
        <v>#VALUE!</v>
      </c>
      <c r="EK321" t="e">
        <f>'OP-Summary'!91:91-"AM:!1Ix"</f>
        <v>#VALUE!</v>
      </c>
      <c r="EL321" t="e">
        <f>'OP-Summary'!92:92-"AM:!1Iy"</f>
        <v>#VALUE!</v>
      </c>
      <c r="EM321" t="e">
        <f>'OP-Summary'!93:93-"AM:!1Iz"</f>
        <v>#VALUE!</v>
      </c>
      <c r="EN321" t="e">
        <f>'OP-Summary'!94:94-"AM:!1I{"</f>
        <v>#VALUE!</v>
      </c>
      <c r="EO321" t="e">
        <f>'OP-Summary'!95:95-"AM:!1I|"</f>
        <v>#VALUE!</v>
      </c>
      <c r="EP321" t="e">
        <f>'OP-Summary'!96:96-"AM:!1I}"</f>
        <v>#VALUE!</v>
      </c>
      <c r="EQ321" t="e">
        <f>'OP-Summary'!97:97-"AM:!1I~"</f>
        <v>#VALUE!</v>
      </c>
      <c r="ER321" t="e">
        <f>'OP-Summary'!98:98-"AM:!1J#"</f>
        <v>#VALUE!</v>
      </c>
      <c r="ES321" t="e">
        <f>'OP-Summary'!99:99-"AM:!1J$"</f>
        <v>#VALUE!</v>
      </c>
      <c r="ET321" t="e">
        <f>'OP-Summary'!100:100-"AM:!1J%"</f>
        <v>#VALUE!</v>
      </c>
      <c r="EU321" t="e">
        <f>'OP-Summary'!101:101-"AM:!1J&amp;"</f>
        <v>#VALUE!</v>
      </c>
      <c r="EV321" t="e">
        <f>'OP-Summary'!102:102-"AM:!1J'"</f>
        <v>#VALUE!</v>
      </c>
      <c r="EW321" t="e">
        <f>'OP-Summary'!103:103-"AM:!1J("</f>
        <v>#VALUE!</v>
      </c>
      <c r="EX321" t="e">
        <f>'OP-Summary'!104:104-"AM:!1J)"</f>
        <v>#VALUE!</v>
      </c>
      <c r="EY321" t="e">
        <f>'OP-Summary'!105:105-"AM:!1J."</f>
        <v>#VALUE!</v>
      </c>
      <c r="EZ321" t="e">
        <f>'OP-Summary'!106:106-"AM:!1J/"</f>
        <v>#VALUE!</v>
      </c>
      <c r="FA321" t="e">
        <f>'OP-Summary'!107:107-"AM:!1J0"</f>
        <v>#VALUE!</v>
      </c>
      <c r="FB321" t="e">
        <f>'OP-Summary'!108:108-"AM:!1J1"</f>
        <v>#VALUE!</v>
      </c>
      <c r="FC321" t="e">
        <f>'OP-Summary'!109:109-"AM:!1J2"</f>
        <v>#VALUE!</v>
      </c>
      <c r="FD321" t="e">
        <f>'OP-Summary'!110:110-"AM:!1J3"</f>
        <v>#VALUE!</v>
      </c>
      <c r="FE321" t="e">
        <f>'OP-Summary'!111:111-"AM:!1J4"</f>
        <v>#VALUE!</v>
      </c>
      <c r="FF321" t="e">
        <f>'OP-Summary'!112:112-"AM:!1J5"</f>
        <v>#VALUE!</v>
      </c>
      <c r="FG321" t="e">
        <f>'OP-Summary'!113:113-"AM:!1J6"</f>
        <v>#VALUE!</v>
      </c>
      <c r="FH321" t="e">
        <f>'OP-Summary'!114:114-"AM:!1J7"</f>
        <v>#VALUE!</v>
      </c>
      <c r="FI321" t="e">
        <f>'OP-Summary'!115:115-"AM:!1J8"</f>
        <v>#VALUE!</v>
      </c>
      <c r="FJ321" t="e">
        <f>'OP-Summary'!116:116-"AM:!1J9"</f>
        <v>#VALUE!</v>
      </c>
      <c r="FK321" t="e">
        <f>'OP-Summary'!117:117-"AM:!1J:"</f>
        <v>#VALUE!</v>
      </c>
      <c r="FL321" t="e">
        <f>'OP-Summary'!118:118-"AM:!1J;"</f>
        <v>#VALUE!</v>
      </c>
      <c r="FM321" t="e">
        <f>'OP-Summary'!119:119-"AM:!1J&lt;"</f>
        <v>#VALUE!</v>
      </c>
      <c r="FN321" t="e">
        <f>'OP-Summary'!120:120-"AM:!1J="</f>
        <v>#VALUE!</v>
      </c>
      <c r="FO321" t="e">
        <f>'OP-Summary'!121:121-"AM:!1J&gt;"</f>
        <v>#VALUE!</v>
      </c>
      <c r="FP321" t="e">
        <f>'OP-Summary'!122:122-"AM:!1J?"</f>
        <v>#VALUE!</v>
      </c>
      <c r="FQ321" t="e">
        <f>'OP-Summary'!123:123-"AM:!1J@"</f>
        <v>#VALUE!</v>
      </c>
      <c r="FR321" t="e">
        <f>'OP-Summary'!124:124-"AM:!1JA"</f>
        <v>#VALUE!</v>
      </c>
      <c r="FS321" t="e">
        <f>'OP-Summary'!125:125-"AM:!1JB"</f>
        <v>#VALUE!</v>
      </c>
      <c r="FT321" t="e">
        <f>'OP-Summary'!126:126-"AM:!1JC"</f>
        <v>#VALUE!</v>
      </c>
      <c r="FU321" t="e">
        <f>'OP-Summary'!127:127-"AM:!1JD"</f>
        <v>#VALUE!</v>
      </c>
      <c r="FV321" t="e">
        <f>'OP-Summary'!128:128-"AM:!1JE"</f>
        <v>#VALUE!</v>
      </c>
      <c r="FW321" t="e">
        <f>'OP-Summary'!129:129-"AM:!1JF"</f>
        <v>#VALUE!</v>
      </c>
      <c r="FX321" t="e">
        <f>'OP-Summary'!130:130-"AM:!1JG"</f>
        <v>#VALUE!</v>
      </c>
      <c r="FY321" t="e">
        <f>'OP-Summary'!131:131-"AM:!1JH"</f>
        <v>#VALUE!</v>
      </c>
      <c r="FZ321" t="e">
        <f>'OP-Summary'!132:132-"AM:!1JI"</f>
        <v>#VALUE!</v>
      </c>
      <c r="GA321" t="e">
        <f>'OP-Summary'!133:133-"AM:!1JJ"</f>
        <v>#VALUE!</v>
      </c>
      <c r="GB321" t="e">
        <f>'OP-Summary'!134:134-"AM:!1JK"</f>
        <v>#VALUE!</v>
      </c>
      <c r="GC321" t="e">
        <f>'OP-Summary'!135:135-"AM:!1JL"</f>
        <v>#VALUE!</v>
      </c>
      <c r="GD321" t="e">
        <f>'OP-Summary'!136:136-"AM:!1JM"</f>
        <v>#VALUE!</v>
      </c>
      <c r="GE321" t="e">
        <f>'OP-Summary'!137:137-"AM:!1JN"</f>
        <v>#VALUE!</v>
      </c>
      <c r="GF321" t="e">
        <f>'OP-Summary'!138:138-"AM:!1JO"</f>
        <v>#VALUE!</v>
      </c>
      <c r="GG321" t="e">
        <f>'OP-Summary'!139:139-"AM:!1JP"</f>
        <v>#VALUE!</v>
      </c>
      <c r="GH321" t="e">
        <f>'OP-Summary'!140:140-"AM:!1JQ"</f>
        <v>#VALUE!</v>
      </c>
      <c r="GI321" t="e">
        <f>'OP-Summary'!141:141-"AM:!1JR"</f>
        <v>#VALUE!</v>
      </c>
      <c r="GJ321" t="e">
        <f>'OP-Summary'!142:142-"AM:!1JS"</f>
        <v>#VALUE!</v>
      </c>
      <c r="GK321" t="e">
        <f>'OP-Summary'!143:143-"AM:!1JT"</f>
        <v>#VALUE!</v>
      </c>
      <c r="GL321" t="e">
        <f>'OP-Summary'!144:144-"AM:!1JU"</f>
        <v>#VALUE!</v>
      </c>
      <c r="GM321" t="e">
        <f>'OP-Summary'!145:145-"AM:!1JV"</f>
        <v>#VALUE!</v>
      </c>
      <c r="GN321" t="e">
        <f>'OP-Summary'!146:146-"AM:!1JW"</f>
        <v>#VALUE!</v>
      </c>
      <c r="GO321" t="e">
        <f>'OP-Summary'!147:147-"AM:!1JX"</f>
        <v>#VALUE!</v>
      </c>
      <c r="GP321" t="e">
        <f>'OP-Summary'!148:148-"AM:!1JY"</f>
        <v>#VALUE!</v>
      </c>
      <c r="GQ321" t="e">
        <f>'OP-Summary'!149:149-"AM:!1JZ"</f>
        <v>#VALUE!</v>
      </c>
      <c r="GR321" t="e">
        <f>'OP-Summary'!150:150-"AM:!1J["</f>
        <v>#VALUE!</v>
      </c>
      <c r="GS321" t="e">
        <f>'OP-Summary'!151:151-"AM:!1J\"</f>
        <v>#VALUE!</v>
      </c>
      <c r="GT321" t="e">
        <f>'OP-Summary'!152:152-"AM:!1J]"</f>
        <v>#VALUE!</v>
      </c>
      <c r="GU321" t="e">
        <f>'OP-Summary'!153:153-"AM:!1J^"</f>
        <v>#VALUE!</v>
      </c>
      <c r="GV321" t="e">
        <f>'OP-Summary'!154:154-"AM:!1J_"</f>
        <v>#VALUE!</v>
      </c>
      <c r="GW321" t="e">
        <f>'OP-Summary'!155:155-"AM:!1J`"</f>
        <v>#VALUE!</v>
      </c>
      <c r="GX321" t="e">
        <f>'OP-Summary'!156:156-"AM:!1Ja"</f>
        <v>#VALUE!</v>
      </c>
      <c r="GY321" t="e">
        <f>'OP-Summary'!157:157-"AM:!1Jb"</f>
        <v>#VALUE!</v>
      </c>
      <c r="GZ321" t="e">
        <f>'OP-Summary'!158:158-"AM:!1Jc"</f>
        <v>#VALUE!</v>
      </c>
      <c r="HA321" t="e">
        <f>'OP-Summary'!159:159-"AM:!1Jd"</f>
        <v>#VALUE!</v>
      </c>
      <c r="HB321" t="e">
        <f>'OP-Summary'!160:160-"AM:!1Je"</f>
        <v>#VALUE!</v>
      </c>
      <c r="HC321" t="e">
        <f>'OP-Summary'!161:161-"AM:!1Jf"</f>
        <v>#VALUE!</v>
      </c>
      <c r="HD321" t="e">
        <f>'OP-Summary'!162:162-"AM:!1Jg"</f>
        <v>#VALUE!</v>
      </c>
      <c r="HE321" t="e">
        <f>'OP-Summary'!163:163-"AM:!1Jh"</f>
        <v>#VALUE!</v>
      </c>
      <c r="HF321" t="e">
        <f>'OP-Summary'!164:164-"AM:!1Ji"</f>
        <v>#VALUE!</v>
      </c>
      <c r="HG321" t="e">
        <f>'OP-Summary'!165:165-"AM:!1Jj"</f>
        <v>#VALUE!</v>
      </c>
      <c r="HH321" t="e">
        <f>'OP-Summary'!166:166-"AM:!1Jk"</f>
        <v>#VALUE!</v>
      </c>
      <c r="HI321" t="e">
        <f>'OP-Summary'!167:167-"AM:!1Jl"</f>
        <v>#VALUE!</v>
      </c>
      <c r="HJ321" t="e">
        <f>'OP-Summary'!168:168-"AM:!1Jm"</f>
        <v>#VALUE!</v>
      </c>
      <c r="HK321" t="e">
        <f>'OP-Summary'!169:169-"AM:!1Jn"</f>
        <v>#VALUE!</v>
      </c>
      <c r="HL321" t="e">
        <f>'OP-Summary'!170:170-"AM:!1Jo"</f>
        <v>#VALUE!</v>
      </c>
      <c r="HM321" t="e">
        <f>'OP-Summary'!171:171-"AM:!1Jp"</f>
        <v>#VALUE!</v>
      </c>
      <c r="HN321" t="e">
        <f>'OP-Summary'!172:172-"AM:!1Jq"</f>
        <v>#VALUE!</v>
      </c>
      <c r="HO321" t="e">
        <f>'OP-Summary'!173:173-"AM:!1Jr"</f>
        <v>#VALUE!</v>
      </c>
      <c r="HP321" t="e">
        <f>'OP-Summary'!174:174-"AM:!1Js"</f>
        <v>#VALUE!</v>
      </c>
      <c r="HQ321" t="e">
        <f>'OP-Summary'!175:175-"AM:!1Jt"</f>
        <v>#VALUE!</v>
      </c>
      <c r="HR321" t="e">
        <f>'OP-Summary'!176:176-"AM:!1Ju"</f>
        <v>#VALUE!</v>
      </c>
      <c r="HS321" t="e">
        <f>'OP-Summary'!177:177-"AM:!1Jv"</f>
        <v>#VALUE!</v>
      </c>
      <c r="HT321" t="e">
        <f>'OP-Summary'!178:178-"AM:!1Jw"</f>
        <v>#VALUE!</v>
      </c>
      <c r="HU321" t="e">
        <f>'OP-Summary'!179:179-"AM:!1Jx"</f>
        <v>#VALUE!</v>
      </c>
      <c r="HV321" t="e">
        <f>'OP-Summary'!180:180-"AM:!1Jy"</f>
        <v>#VALUE!</v>
      </c>
      <c r="HW321" t="e">
        <f>'OP-Summary'!181:181-"AM:!1Jz"</f>
        <v>#VALUE!</v>
      </c>
      <c r="HX321" t="e">
        <f>'OP-Summary'!182:182-"AM:!1J{"</f>
        <v>#VALUE!</v>
      </c>
      <c r="HY321" t="e">
        <f>'OP-Summary'!183:183-"AM:!1J|"</f>
        <v>#VALUE!</v>
      </c>
      <c r="HZ321" t="e">
        <f>'OP-Summary'!184:184-"AM:!1J}"</f>
        <v>#VALUE!</v>
      </c>
      <c r="IA321" t="e">
        <f>'OP-Summary'!185:185-"AM:!1J~"</f>
        <v>#VALUE!</v>
      </c>
      <c r="IB321" t="e">
        <f>'OP-Summary'!186:186-"AM:!1K#"</f>
        <v>#VALUE!</v>
      </c>
      <c r="IC321" t="e">
        <f>'OP-Summary'!187:187-"AM:!1K$"</f>
        <v>#VALUE!</v>
      </c>
      <c r="ID321" t="e">
        <f>'OP-Summary'!188:188-"AM:!1K%"</f>
        <v>#VALUE!</v>
      </c>
      <c r="IE321" t="e">
        <f>'OP-Summary'!189:189-"AM:!1K&amp;"</f>
        <v>#VALUE!</v>
      </c>
      <c r="IF321" t="e">
        <f>'OP-Summary'!190:190-"AM:!1K'"</f>
        <v>#VALUE!</v>
      </c>
      <c r="IG321" t="e">
        <f>'OP-Summary'!191:191-"AM:!1K("</f>
        <v>#VALUE!</v>
      </c>
      <c r="IH321" t="e">
        <f>'OP-Summary'!192:192-"AM:!1K)"</f>
        <v>#VALUE!</v>
      </c>
      <c r="II321" t="e">
        <f>'OP-Summary'!193:193-"AM:!1K."</f>
        <v>#VALUE!</v>
      </c>
      <c r="IJ321" t="e">
        <f>'OP-Summary'!194:194-"AM:!1K/"</f>
        <v>#VALUE!</v>
      </c>
      <c r="IK321" t="e">
        <f>'OP-Summary'!195:195-"AM:!1K0"</f>
        <v>#VALUE!</v>
      </c>
      <c r="IL321" t="e">
        <f>'OP-Summary'!196:196-"AM:!1K1"</f>
        <v>#VALUE!</v>
      </c>
      <c r="IM321" t="e">
        <f>'OP-Summary'!197:197-"AM:!1K2"</f>
        <v>#VALUE!</v>
      </c>
      <c r="IN321" t="e">
        <f>'OP-Summary'!198:198-"AM:!1K3"</f>
        <v>#VALUE!</v>
      </c>
      <c r="IO321" t="e">
        <f>'OP-Summary'!199:199-"AM:!1K4"</f>
        <v>#VALUE!</v>
      </c>
      <c r="IP321" t="e">
        <f>'OP-Summary'!200:200-"AM:!1K5"</f>
        <v>#VALUE!</v>
      </c>
      <c r="IQ321" t="e">
        <f>'OP-Summary'!201:201-"AM:!1K6"</f>
        <v>#VALUE!</v>
      </c>
      <c r="IR321" t="e">
        <f>'OP-Summary'!202:202-"AM:!1K7"</f>
        <v>#VALUE!</v>
      </c>
      <c r="IS321" t="e">
        <f>'OP-Summary'!203:203-"AM:!1K8"</f>
        <v>#VALUE!</v>
      </c>
      <c r="IT321" t="e">
        <f>'OP-Summary'!204:204-"AM:!1K9"</f>
        <v>#VALUE!</v>
      </c>
      <c r="IU321" t="e">
        <f>'OP-Summary'!205:205-"AM:!1K:"</f>
        <v>#VALUE!</v>
      </c>
      <c r="IV321" t="e">
        <f>'OP-Summary'!206:206-"AM:!1K;"</f>
        <v>#VALUE!</v>
      </c>
    </row>
    <row r="322" spans="6:256">
      <c r="F322" t="e">
        <f>'OP-Summary'!207:207-"AM:!1K&lt;"</f>
        <v>#VALUE!</v>
      </c>
      <c r="G322" t="e">
        <f>'OP-Summary'!208:208-"AM:!1K="</f>
        <v>#VALUE!</v>
      </c>
      <c r="H322" t="e">
        <f>'OP-Summary'!209:209-"AM:!1K&gt;"</f>
        <v>#VALUE!</v>
      </c>
      <c r="I322" t="e">
        <f>'OP-Summary'!210:210-"AM:!1K?"</f>
        <v>#VALUE!</v>
      </c>
      <c r="J322" t="e">
        <f>'OP-Summary'!211:211-"AM:!1K@"</f>
        <v>#VALUE!</v>
      </c>
      <c r="K322" t="e">
        <f>'OP-Summary'!212:212-"AM:!1KA"</f>
        <v>#VALUE!</v>
      </c>
      <c r="L322" t="e">
        <f>'OP-Summary'!213:213-"AM:!1KB"</f>
        <v>#VALUE!</v>
      </c>
      <c r="M322" t="e">
        <f>'OP-Summary'!214:214-"AM:!1KC"</f>
        <v>#VALUE!</v>
      </c>
      <c r="N322" t="e">
        <f>'OP-Summary'!215:215-"AM:!1KD"</f>
        <v>#VALUE!</v>
      </c>
      <c r="O322" t="e">
        <f>'OP-Summary'!216:216-"AM:!1KE"</f>
        <v>#VALUE!</v>
      </c>
      <c r="P322" t="e">
        <f>'OP-Summary'!217:217-"AM:!1KF"</f>
        <v>#VALUE!</v>
      </c>
      <c r="Q322" t="e">
        <f>'OP-Summary'!218:218-"AM:!1KG"</f>
        <v>#VALUE!</v>
      </c>
      <c r="R322" t="e">
        <f>'OP-Summary'!219:219-"AM:!1KH"</f>
        <v>#VALUE!</v>
      </c>
      <c r="S322" t="e">
        <f>'OP-Summary'!220:220-"AM:!1KI"</f>
        <v>#VALUE!</v>
      </c>
      <c r="T322" t="e">
        <f>'OP-Summary'!221:221-"AM:!1KJ"</f>
        <v>#VALUE!</v>
      </c>
      <c r="U322" t="e">
        <f>'OP-Summary'!222:222-"AM:!1KK"</f>
        <v>#VALUE!</v>
      </c>
      <c r="V322" t="e">
        <f>'OP-Summary'!223:223-"AM:!1KL"</f>
        <v>#VALUE!</v>
      </c>
      <c r="W322" t="e">
        <f>'OP-Summary'!224:224-"AM:!1KM"</f>
        <v>#VALUE!</v>
      </c>
      <c r="X322" t="e">
        <f>'OP-Summary'!225:225-"AM:!1KN"</f>
        <v>#VALUE!</v>
      </c>
      <c r="Y322" t="e">
        <f>'OP-Summary'!226:226-"AM:!1KO"</f>
        <v>#VALUE!</v>
      </c>
      <c r="Z322" t="e">
        <f>'OP-Summary'!227:227-"AM:!1KP"</f>
        <v>#VALUE!</v>
      </c>
      <c r="AA322" t="e">
        <f>'OP-Summary'!228:228-"AM:!1KQ"</f>
        <v>#VALUE!</v>
      </c>
      <c r="AB322" t="e">
        <f>'OP-Summary'!229:229-"AM:!1KR"</f>
        <v>#VALUE!</v>
      </c>
      <c r="AC322" t="e">
        <f>'OP-Summary'!230:230-"AM:!1KS"</f>
        <v>#VALUE!</v>
      </c>
      <c r="AD322" t="e">
        <f>'OP-Summary'!231:231-"AM:!1KT"</f>
        <v>#VALUE!</v>
      </c>
      <c r="AE322" t="e">
        <f>'OP-Summary'!232:232-"AM:!1KU"</f>
        <v>#VALUE!</v>
      </c>
      <c r="AF322" t="e">
        <f>'OP-Summary'!233:233-"AM:!1KV"</f>
        <v>#VALUE!</v>
      </c>
      <c r="AG322" t="e">
        <f>'OP-Summary'!234:234-"AM:!1KW"</f>
        <v>#VALUE!</v>
      </c>
      <c r="AH322" t="e">
        <f>'OP-Summary'!235:235-"AM:!1KX"</f>
        <v>#VALUE!</v>
      </c>
      <c r="AI322" t="e">
        <f>'OP-Summary'!A1+"AM:!1KY"</f>
        <v>#VALUE!</v>
      </c>
      <c r="AJ322" t="e">
        <f>'OP-Summary'!B1+"AM:!1KZ"</f>
        <v>#VALUE!</v>
      </c>
      <c r="AK322" t="e">
        <f>'OP-Summary'!C1+"AM:!1K["</f>
        <v>#VALUE!</v>
      </c>
      <c r="AL322" t="e">
        <f>'OP-Summary'!D1+"AM:!1K\"</f>
        <v>#VALUE!</v>
      </c>
      <c r="AM322" t="e">
        <f>'OP-Summary'!E1+"AM:!1K]"</f>
        <v>#VALUE!</v>
      </c>
      <c r="AN322" t="e">
        <f>'OP-Summary'!F1+"AM:!1K^"</f>
        <v>#VALUE!</v>
      </c>
      <c r="AO322" t="e">
        <f>'OP-Summary'!G1+"AM:!1K_"</f>
        <v>#VALUE!</v>
      </c>
      <c r="AP322" t="e">
        <f>'OP-Summary'!H1+"AM:!1K`"</f>
        <v>#VALUE!</v>
      </c>
      <c r="AQ322" t="e">
        <f>'OP-Summary'!I1+"AM:!1Ka"</f>
        <v>#VALUE!</v>
      </c>
      <c r="AR322" t="e">
        <f>'OP-Summary'!J1+"AM:!1Kb"</f>
        <v>#VALUE!</v>
      </c>
      <c r="AS322" t="e">
        <f>'OP-Summary'!K1+"AM:!1Kc"</f>
        <v>#VALUE!</v>
      </c>
      <c r="AT322" t="e">
        <f>'OP-Summary'!L1+"AM:!1Kd"</f>
        <v>#VALUE!</v>
      </c>
      <c r="AU322" t="e">
        <f>'OP-Summary'!M1+"AM:!1Ke"</f>
        <v>#VALUE!</v>
      </c>
      <c r="AV322" t="e">
        <f>'OP-Summary'!N1+"AM:!1Kf"</f>
        <v>#VALUE!</v>
      </c>
      <c r="AW322" t="e">
        <f>'OP-Summary'!O1+"AM:!1Kg"</f>
        <v>#VALUE!</v>
      </c>
      <c r="AX322" t="e">
        <f>'OP-Summary'!P1+"AM:!1Kh"</f>
        <v>#VALUE!</v>
      </c>
      <c r="AY322" t="e">
        <f>'OP-Summary'!Q1+"AM:!1Ki"</f>
        <v>#VALUE!</v>
      </c>
      <c r="AZ322" t="e">
        <f>'OP-Summary'!R1+"AM:!1Kj"</f>
        <v>#VALUE!</v>
      </c>
      <c r="BA322" t="e">
        <f>'OP-Summary'!S1+"AM:!1Kk"</f>
        <v>#VALUE!</v>
      </c>
      <c r="BB322" t="e">
        <f>'OP-Summary'!T1+"AM:!1Kl"</f>
        <v>#VALUE!</v>
      </c>
      <c r="BC322" t="e">
        <f>'OP-Summary'!A2+"AM:!1Km"</f>
        <v>#VALUE!</v>
      </c>
      <c r="BD322" t="e">
        <f>'OP-Summary'!B2+"AM:!1Kn"</f>
        <v>#VALUE!</v>
      </c>
      <c r="BE322" t="e">
        <f>'OP-Summary'!C2+"AM:!1Ko"</f>
        <v>#VALUE!</v>
      </c>
      <c r="BF322" t="e">
        <f>'OP-Summary'!D2+"AM:!1Kp"</f>
        <v>#VALUE!</v>
      </c>
      <c r="BG322" t="e">
        <f>'OP-Summary'!E2+"AM:!1Kq"</f>
        <v>#VALUE!</v>
      </c>
      <c r="BH322" t="e">
        <f>'OP-Summary'!F2+"AM:!1Kr"</f>
        <v>#VALUE!</v>
      </c>
      <c r="BI322" t="e">
        <f>'OP-Summary'!H2+"AM:!1Ks"</f>
        <v>#VALUE!</v>
      </c>
      <c r="BJ322" t="e">
        <f>'OP-Summary'!I2+"AM:!1Kt"</f>
        <v>#VALUE!</v>
      </c>
      <c r="BK322" t="e">
        <f>'OP-Summary'!J2+"AM:!1Ku"</f>
        <v>#VALUE!</v>
      </c>
      <c r="BL322" t="e">
        <f>'OP-Summary'!K2+"AM:!1Kv"</f>
        <v>#VALUE!</v>
      </c>
      <c r="BM322" t="e">
        <f>'OP-Summary'!L2+"AM:!1Kw"</f>
        <v>#VALUE!</v>
      </c>
      <c r="BN322" t="e">
        <f>'OP-Summary'!M2+"AM:!1Kx"</f>
        <v>#VALUE!</v>
      </c>
      <c r="BO322" t="e">
        <f>'OP-Summary'!N2+"AM:!1Ky"</f>
        <v>#VALUE!</v>
      </c>
      <c r="BP322" t="e">
        <f>'OP-Summary'!O2+"AM:!1Kz"</f>
        <v>#VALUE!</v>
      </c>
      <c r="BQ322" t="e">
        <f>'OP-Summary'!P2+"AM:!1K{"</f>
        <v>#VALUE!</v>
      </c>
      <c r="BR322" t="e">
        <f>'OP-Summary'!Q2+"AM:!1K|"</f>
        <v>#VALUE!</v>
      </c>
      <c r="BS322" t="e">
        <f>'OP-Summary'!R2+"AM:!1K}"</f>
        <v>#VALUE!</v>
      </c>
      <c r="BT322" t="e">
        <f>'OP-Summary'!S2+"AM:!1K~"</f>
        <v>#VALUE!</v>
      </c>
      <c r="BU322" t="e">
        <f>'OP-Summary'!T2+"AM:!1L#"</f>
        <v>#VALUE!</v>
      </c>
      <c r="BV322" t="e">
        <f>'OP-Summary'!A3+"AM:!1L$"</f>
        <v>#VALUE!</v>
      </c>
      <c r="BW322" t="e">
        <f>'OP-Summary'!B3+"AM:!1L%"</f>
        <v>#VALUE!</v>
      </c>
      <c r="BX322" t="e">
        <f>'OP-Summary'!C3+"AM:!1L&amp;"</f>
        <v>#VALUE!</v>
      </c>
      <c r="BY322" t="e">
        <f>'OP-Summary'!D3+"AM:!1L'"</f>
        <v>#VALUE!</v>
      </c>
      <c r="BZ322" t="e">
        <f>'OP-Summary'!E3+"AM:!1L("</f>
        <v>#VALUE!</v>
      </c>
      <c r="CA322" t="e">
        <f>'OP-Summary'!F3+"AM:!1L)"</f>
        <v>#VALUE!</v>
      </c>
      <c r="CB322" t="e">
        <f>'OP-Summary'!H3+"AM:!1L."</f>
        <v>#VALUE!</v>
      </c>
      <c r="CC322" t="e">
        <f>'OP-Summary'!I3+"AM:!1L/"</f>
        <v>#VALUE!</v>
      </c>
      <c r="CD322" t="e">
        <f>'OP-Summary'!J3+"AM:!1L0"</f>
        <v>#VALUE!</v>
      </c>
      <c r="CE322" t="e">
        <f>'OP-Summary'!K3+"AM:!1L1"</f>
        <v>#VALUE!</v>
      </c>
      <c r="CF322" t="e">
        <f>'OP-Summary'!L3+"AM:!1L2"</f>
        <v>#VALUE!</v>
      </c>
      <c r="CG322" t="e">
        <f>'OP-Summary'!M3+"AM:!1L3"</f>
        <v>#VALUE!</v>
      </c>
      <c r="CH322" t="e">
        <f>'OP-Summary'!N3+"AM:!1L4"</f>
        <v>#VALUE!</v>
      </c>
      <c r="CI322" t="e">
        <f>'OP-Summary'!O3+"AM:!1L5"</f>
        <v>#VALUE!</v>
      </c>
      <c r="CJ322" t="e">
        <f>'OP-Summary'!P3+"AM:!1L6"</f>
        <v>#VALUE!</v>
      </c>
      <c r="CK322" t="e">
        <f>'OP-Summary'!Q3+"AM:!1L7"</f>
        <v>#VALUE!</v>
      </c>
      <c r="CL322" t="e">
        <f>'OP-Summary'!R3+"AM:!1L8"</f>
        <v>#VALUE!</v>
      </c>
      <c r="CM322" t="e">
        <f>'OP-Summary'!S3+"AM:!1L9"</f>
        <v>#VALUE!</v>
      </c>
      <c r="CN322" t="e">
        <f>'OP-Summary'!T3+"AM:!1L:"</f>
        <v>#VALUE!</v>
      </c>
      <c r="CO322" t="e">
        <f>'OP-Summary'!A4+"AM:!1L;"</f>
        <v>#VALUE!</v>
      </c>
      <c r="CP322" t="e">
        <f>'OP-Summary'!B4+"AM:!1L&lt;"</f>
        <v>#VALUE!</v>
      </c>
      <c r="CQ322" t="e">
        <f>'OP-Summary'!C4+"AM:!1L="</f>
        <v>#VALUE!</v>
      </c>
      <c r="CR322" t="e">
        <f>'OP-Summary'!D4+"AM:!1L&gt;"</f>
        <v>#VALUE!</v>
      </c>
      <c r="CS322" t="e">
        <f>'OP-Summary'!E4+"AM:!1L?"</f>
        <v>#VALUE!</v>
      </c>
      <c r="CT322" t="e">
        <f>'OP-Summary'!F4+"AM:!1L@"</f>
        <v>#VALUE!</v>
      </c>
      <c r="CU322" t="e">
        <f>'OP-Summary'!G4+"AM:!1LA"</f>
        <v>#VALUE!</v>
      </c>
      <c r="CV322" t="e">
        <f>'OP-Summary'!H4+"AM:!1LB"</f>
        <v>#VALUE!</v>
      </c>
      <c r="CW322" t="e">
        <f>'OP-Summary'!I4+"AM:!1LC"</f>
        <v>#VALUE!</v>
      </c>
      <c r="CX322" t="e">
        <f>'OP-Summary'!J4+"AM:!1LD"</f>
        <v>#VALUE!</v>
      </c>
      <c r="CY322" t="e">
        <f>'OP-Summary'!K4+"AM:!1LE"</f>
        <v>#VALUE!</v>
      </c>
      <c r="CZ322" t="e">
        <f>'OP-Summary'!L4+"AM:!1LF"</f>
        <v>#VALUE!</v>
      </c>
      <c r="DA322" t="e">
        <f>'OP-Summary'!M4+"AM:!1LG"</f>
        <v>#VALUE!</v>
      </c>
      <c r="DB322" t="e">
        <f>'OP-Summary'!N4+"AM:!1LH"</f>
        <v>#VALUE!</v>
      </c>
      <c r="DC322" t="e">
        <f>'OP-Summary'!O4+"AM:!1LI"</f>
        <v>#VALUE!</v>
      </c>
      <c r="DD322" t="e">
        <f>'OP-Summary'!P4+"AM:!1LJ"</f>
        <v>#VALUE!</v>
      </c>
      <c r="DE322" t="e">
        <f>'OP-Summary'!Q4+"AM:!1LK"</f>
        <v>#VALUE!</v>
      </c>
      <c r="DF322" t="e">
        <f>'OP-Summary'!R4+"AM:!1LL"</f>
        <v>#VALUE!</v>
      </c>
      <c r="DG322" t="e">
        <f>'OP-Summary'!S4+"AM:!1LM"</f>
        <v>#VALUE!</v>
      </c>
      <c r="DH322" t="e">
        <f>'OP-Summary'!T4+"AM:!1LN"</f>
        <v>#VALUE!</v>
      </c>
      <c r="DI322" t="e">
        <f>'OP-Summary'!A5+"AM:!1LO"</f>
        <v>#VALUE!</v>
      </c>
      <c r="DJ322" t="e">
        <f>'OP-Summary'!B5+"AM:!1LP"</f>
        <v>#VALUE!</v>
      </c>
      <c r="DK322" t="e">
        <f>'OP-Summary'!C5+"AM:!1LQ"</f>
        <v>#VALUE!</v>
      </c>
      <c r="DL322" t="e">
        <f>'OP-Summary'!D5+"AM:!1LR"</f>
        <v>#VALUE!</v>
      </c>
      <c r="DM322" t="e">
        <f>'OP-Summary'!E5+"AM:!1LS"</f>
        <v>#VALUE!</v>
      </c>
      <c r="DN322" t="e">
        <f>'OP-Summary'!F5+"AM:!1LT"</f>
        <v>#VALUE!</v>
      </c>
      <c r="DO322" t="e">
        <f>'OP-Summary'!G5+"AM:!1LU"</f>
        <v>#VALUE!</v>
      </c>
      <c r="DP322" t="e">
        <f>'OP-Summary'!H5+"AM:!1LV"</f>
        <v>#VALUE!</v>
      </c>
      <c r="DQ322" t="e">
        <f>'OP-Summary'!I5+"AM:!1LW"</f>
        <v>#VALUE!</v>
      </c>
      <c r="DR322" t="e">
        <f>'OP-Summary'!A6+"AM:!1LX"</f>
        <v>#VALUE!</v>
      </c>
      <c r="DS322" t="e">
        <f>'OP-Summary'!B6+"AM:!1LY"</f>
        <v>#VALUE!</v>
      </c>
      <c r="DT322" t="e">
        <f>'OP-Summary'!C6+"AM:!1LZ"</f>
        <v>#VALUE!</v>
      </c>
      <c r="DU322" t="e">
        <f>'OP-Summary'!D6+"AM:!1L["</f>
        <v>#VALUE!</v>
      </c>
      <c r="DV322" t="e">
        <f>'OP-Summary'!E6+"AM:!1L\"</f>
        <v>#VALUE!</v>
      </c>
      <c r="DW322" t="e">
        <f>'OP-Summary'!F6+"AM:!1L]"</f>
        <v>#VALUE!</v>
      </c>
      <c r="DX322" s="103" t="e">
        <f ca="1">'OP-Summary'!G6+"AM:!1L^"</f>
        <v>#VALUE!</v>
      </c>
      <c r="DY322" t="e">
        <f>'OP-Summary'!H6+"AM:!1L_"</f>
        <v>#VALUE!</v>
      </c>
      <c r="DZ322" s="103" t="e">
        <f>'OP-Summary'!I6+"AM:!1L`"</f>
        <v>#VALUE!</v>
      </c>
      <c r="EA322" t="e">
        <f>'OP-Summary'!A7+"AM:!1La"</f>
        <v>#VALUE!</v>
      </c>
      <c r="EB322" t="e">
        <f>'OP-Summary'!B7+"AM:!1Lb"</f>
        <v>#VALUE!</v>
      </c>
      <c r="EC322" t="e">
        <f>'OP-Summary'!C7+"AM:!1Lc"</f>
        <v>#VALUE!</v>
      </c>
      <c r="ED322" t="e">
        <f>'OP-Summary'!D7+"AM:!1Ld"</f>
        <v>#VALUE!</v>
      </c>
      <c r="EE322" t="e">
        <f>'OP-Summary'!E7+"AM:!1Le"</f>
        <v>#VALUE!</v>
      </c>
      <c r="EF322" t="e">
        <f>'OP-Summary'!F7+"AM:!1Lf"</f>
        <v>#VALUE!</v>
      </c>
      <c r="EG322" s="103" t="e">
        <f>'OP-Summary'!G7+"AM:!1Lg"</f>
        <v>#VALUE!</v>
      </c>
      <c r="EH322" t="e">
        <f>'OP-Summary'!H7+"AM:!1Lh"</f>
        <v>#VALUE!</v>
      </c>
      <c r="EI322" s="103" t="e">
        <f>'OP-Summary'!I7+"AM:!1Li"</f>
        <v>#VALUE!</v>
      </c>
      <c r="EJ322" t="e">
        <f>'OP-Summary'!A8+"AM:!1Lj"</f>
        <v>#VALUE!</v>
      </c>
      <c r="EK322" t="e">
        <f>'OP-Summary'!B8+"AM:!1Lk"</f>
        <v>#VALUE!</v>
      </c>
      <c r="EL322" t="e">
        <f>'OP-Summary'!C8+"AM:!1Ll"</f>
        <v>#VALUE!</v>
      </c>
      <c r="EM322" t="e">
        <f>'OP-Summary'!D8+"AM:!1Lm"</f>
        <v>#VALUE!</v>
      </c>
      <c r="EN322" t="e">
        <f>'OP-Summary'!E8+"AM:!1Ln"</f>
        <v>#VALUE!</v>
      </c>
      <c r="EO322" t="e">
        <f>'OP-Summary'!F8+"AM:!1Lo"</f>
        <v>#VALUE!</v>
      </c>
      <c r="EP322" s="103" t="e">
        <f>'OP-Summary'!G8+"AM:!1Lp"</f>
        <v>#VALUE!</v>
      </c>
      <c r="EQ322" t="e">
        <f>'OP-Summary'!H8+"AM:!1Lq"</f>
        <v>#VALUE!</v>
      </c>
      <c r="ER322" s="103" t="e">
        <f>'OP-Summary'!I8+"AM:!1Lr"</f>
        <v>#VALUE!</v>
      </c>
      <c r="ES322" t="e">
        <f>'OP-Summary'!A9+"AM:!1Ls"</f>
        <v>#VALUE!</v>
      </c>
      <c r="ET322" t="e">
        <f>'OP-Summary'!B9+"AM:!1Lt"</f>
        <v>#VALUE!</v>
      </c>
      <c r="EU322" t="e">
        <f>'OP-Summary'!C9+"AM:!1Lu"</f>
        <v>#VALUE!</v>
      </c>
      <c r="EV322" t="e">
        <f>'OP-Summary'!D9+"AM:!1Lv"</f>
        <v>#VALUE!</v>
      </c>
      <c r="EW322" t="e">
        <f>'OP-Summary'!E9+"AM:!1Lw"</f>
        <v>#VALUE!</v>
      </c>
      <c r="EX322" t="e">
        <f>'OP-Summary'!F9+"AM:!1Lx"</f>
        <v>#VALUE!</v>
      </c>
      <c r="EY322" s="103" t="e">
        <f>'OP-Summary'!G9+"AM:!1Ly"</f>
        <v>#VALUE!</v>
      </c>
      <c r="EZ322" t="e">
        <f>'OP-Summary'!H9+"AM:!1Lz"</f>
        <v>#VALUE!</v>
      </c>
      <c r="FA322" s="103" t="e">
        <f>'OP-Summary'!I9+"AM:!1L{"</f>
        <v>#VALUE!</v>
      </c>
      <c r="FB322" t="e">
        <f>'OP-Summary'!A10+"AM:!1L|"</f>
        <v>#VALUE!</v>
      </c>
      <c r="FC322" t="e">
        <f>'OP-Summary'!B10+"AM:!1L}"</f>
        <v>#VALUE!</v>
      </c>
      <c r="FD322" t="e">
        <f>'OP-Summary'!C10+"AM:!1L~"</f>
        <v>#VALUE!</v>
      </c>
      <c r="FE322" t="e">
        <f>'OP-Summary'!D10+"AM:!1M#"</f>
        <v>#VALUE!</v>
      </c>
      <c r="FF322" t="e">
        <f>'OP-Summary'!E10+"AM:!1M$"</f>
        <v>#VALUE!</v>
      </c>
      <c r="FG322" t="e">
        <f>'OP-Summary'!F10+"AM:!1M%"</f>
        <v>#VALUE!</v>
      </c>
      <c r="FH322" s="103" t="e">
        <f>'OP-Summary'!G10+"AM:!1M&amp;"</f>
        <v>#VALUE!</v>
      </c>
      <c r="FI322" t="e">
        <f>'OP-Summary'!H10+"AM:!1M'"</f>
        <v>#VALUE!</v>
      </c>
      <c r="FJ322" s="103" t="e">
        <f>'OP-Summary'!I10+"AM:!1M("</f>
        <v>#VALUE!</v>
      </c>
      <c r="FK322" t="e">
        <f>'OP-Summary'!A11+"AM:!1M)"</f>
        <v>#VALUE!</v>
      </c>
      <c r="FL322" t="e">
        <f>'OP-Summary'!B11+"AM:!1M."</f>
        <v>#VALUE!</v>
      </c>
      <c r="FM322" t="e">
        <f>'OP-Summary'!C11+"AM:!1M/"</f>
        <v>#VALUE!</v>
      </c>
      <c r="FN322" t="e">
        <f>'OP-Summary'!D11+"AM:!1M0"</f>
        <v>#VALUE!</v>
      </c>
      <c r="FO322" t="e">
        <f>'OP-Summary'!E11+"AM:!1M1"</f>
        <v>#VALUE!</v>
      </c>
      <c r="FP322" t="e">
        <f>'OP-Summary'!F11+"AM:!1M2"</f>
        <v>#VALUE!</v>
      </c>
      <c r="FQ322" s="103" t="e">
        <f>'OP-Summary'!G11+"AM:!1M3"</f>
        <v>#VALUE!</v>
      </c>
      <c r="FR322" t="e">
        <f>'OP-Summary'!H11+"AM:!1M4"</f>
        <v>#VALUE!</v>
      </c>
      <c r="FS322" s="103" t="e">
        <f>'OP-Summary'!I11+"AM:!1M5"</f>
        <v>#VALUE!</v>
      </c>
      <c r="FT322" t="e">
        <f>'OP-Summary'!A12+"AM:!1M6"</f>
        <v>#VALUE!</v>
      </c>
      <c r="FU322" t="e">
        <f>'OP-Summary'!B12+"AM:!1M7"</f>
        <v>#VALUE!</v>
      </c>
      <c r="FV322" t="e">
        <f>'OP-Summary'!C12+"AM:!1M8"</f>
        <v>#VALUE!</v>
      </c>
      <c r="FW322" t="e">
        <f>'OP-Summary'!D12+"AM:!1M9"</f>
        <v>#VALUE!</v>
      </c>
      <c r="FX322" t="e">
        <f>'OP-Summary'!E12+"AM:!1M:"</f>
        <v>#VALUE!</v>
      </c>
      <c r="FY322" t="e">
        <f>'OP-Summary'!F12+"AM:!1M;"</f>
        <v>#VALUE!</v>
      </c>
      <c r="FZ322" s="103" t="e">
        <f>'OP-Summary'!G12+"AM:!1M&lt;"</f>
        <v>#VALUE!</v>
      </c>
      <c r="GA322" t="e">
        <f>'OP-Summary'!H12+"AM:!1M="</f>
        <v>#VALUE!</v>
      </c>
      <c r="GB322" s="103" t="e">
        <f>'OP-Summary'!I12+"AM:!1M&gt;"</f>
        <v>#VALUE!</v>
      </c>
      <c r="GC322" t="e">
        <f>'OP-Summary'!A13+"AM:!1M?"</f>
        <v>#VALUE!</v>
      </c>
      <c r="GD322" t="e">
        <f>'OP-Summary'!B13+"AM:!1M@"</f>
        <v>#VALUE!</v>
      </c>
      <c r="GE322" t="e">
        <f>'OP-Summary'!C13+"AM:!1MA"</f>
        <v>#VALUE!</v>
      </c>
      <c r="GF322" t="e">
        <f>'OP-Summary'!D13+"AM:!1MB"</f>
        <v>#VALUE!</v>
      </c>
      <c r="GG322" t="e">
        <f>'OP-Summary'!E13+"AM:!1MC"</f>
        <v>#VALUE!</v>
      </c>
      <c r="GH322" t="e">
        <f>'OP-Summary'!F13+"AM:!1MD"</f>
        <v>#VALUE!</v>
      </c>
      <c r="GI322" s="103" t="e">
        <f>'OP-Summary'!G13+"AM:!1ME"</f>
        <v>#VALUE!</v>
      </c>
      <c r="GJ322" t="e">
        <f>'OP-Summary'!H13+"AM:!1MF"</f>
        <v>#VALUE!</v>
      </c>
      <c r="GK322" s="103" t="e">
        <f>'OP-Summary'!I13+"AM:!1MG"</f>
        <v>#VALUE!</v>
      </c>
      <c r="GL322" t="e">
        <f>'OP-Summary'!A14+"AM:!1MH"</f>
        <v>#VALUE!</v>
      </c>
      <c r="GM322" t="e">
        <f>'OP-Summary'!B14+"AM:!1MI"</f>
        <v>#VALUE!</v>
      </c>
      <c r="GN322" t="e">
        <f>'OP-Summary'!C14+"AM:!1MJ"</f>
        <v>#VALUE!</v>
      </c>
      <c r="GO322" t="e">
        <f>'OP-Summary'!D14+"AM:!1MK"</f>
        <v>#VALUE!</v>
      </c>
      <c r="GP322" t="e">
        <f>'OP-Summary'!E14+"AM:!1ML"</f>
        <v>#VALUE!</v>
      </c>
      <c r="GQ322" t="e">
        <f>'OP-Summary'!F14+"AM:!1MM"</f>
        <v>#VALUE!</v>
      </c>
      <c r="GR322" s="103" t="e">
        <f>'OP-Summary'!G14+"AM:!1MN"</f>
        <v>#VALUE!</v>
      </c>
      <c r="GS322" t="e">
        <f>'OP-Summary'!H14+"AM:!1MO"</f>
        <v>#VALUE!</v>
      </c>
      <c r="GT322" s="103" t="e">
        <f>'OP-Summary'!I14+"AM:!1MP"</f>
        <v>#VALUE!</v>
      </c>
      <c r="GU322" t="e">
        <f>'OP-Summary'!A15+"AM:!1MQ"</f>
        <v>#VALUE!</v>
      </c>
      <c r="GV322" t="e">
        <f>'OP-Summary'!B15+"AM:!1MR"</f>
        <v>#VALUE!</v>
      </c>
      <c r="GW322" t="e">
        <f>'OP-Summary'!C15+"AM:!1MS"</f>
        <v>#VALUE!</v>
      </c>
      <c r="GX322" t="e">
        <f>'OP-Summary'!D15+"AM:!1MT"</f>
        <v>#VALUE!</v>
      </c>
      <c r="GY322" t="e">
        <f>'OP-Summary'!E15+"AM:!1MU"</f>
        <v>#VALUE!</v>
      </c>
      <c r="GZ322" t="e">
        <f>'OP-Summary'!F15+"AM:!1MV"</f>
        <v>#VALUE!</v>
      </c>
      <c r="HA322" s="103" t="e">
        <f>'OP-Summary'!G15+"AM:!1MW"</f>
        <v>#VALUE!</v>
      </c>
      <c r="HB322" t="e">
        <f>'OP-Summary'!H15+"AM:!1MX"</f>
        <v>#VALUE!</v>
      </c>
      <c r="HC322" s="103" t="e">
        <f>'OP-Summary'!I15+"AM:!1MY"</f>
        <v>#VALUE!</v>
      </c>
      <c r="HD322" t="e">
        <f>'OP-Summary'!A16+"AM:!1MZ"</f>
        <v>#VALUE!</v>
      </c>
      <c r="HE322" t="e">
        <f>'OP-Summary'!B16+"AM:!1M["</f>
        <v>#VALUE!</v>
      </c>
      <c r="HF322" t="e">
        <f>'OP-Summary'!C16+"AM:!1M\"</f>
        <v>#VALUE!</v>
      </c>
      <c r="HG322" t="e">
        <f>'OP-Summary'!D16+"AM:!1M]"</f>
        <v>#VALUE!</v>
      </c>
      <c r="HH322" t="e">
        <f>'OP-Summary'!E16+"AM:!1M^"</f>
        <v>#VALUE!</v>
      </c>
      <c r="HI322" t="e">
        <f>'OP-Summary'!F16+"AM:!1M_"</f>
        <v>#VALUE!</v>
      </c>
      <c r="HJ322" s="103" t="e">
        <f>'OP-Summary'!G16+"AM:!1M`"</f>
        <v>#VALUE!</v>
      </c>
      <c r="HK322" t="e">
        <f>'OP-Summary'!H16+"AM:!1Ma"</f>
        <v>#VALUE!</v>
      </c>
      <c r="HL322" s="103" t="e">
        <f>'OP-Summary'!I16+"AM:!1Mb"</f>
        <v>#VALUE!</v>
      </c>
      <c r="HM322" t="e">
        <f>'OP-Summary'!A17+"AM:!1Mc"</f>
        <v>#VALUE!</v>
      </c>
      <c r="HN322" t="e">
        <f>'OP-Summary'!B17+"AM:!1Md"</f>
        <v>#VALUE!</v>
      </c>
      <c r="HO322" t="e">
        <f>'OP-Summary'!C17+"AM:!1Me"</f>
        <v>#VALUE!</v>
      </c>
      <c r="HP322" t="e">
        <f>'OP-Summary'!D17+"AM:!1Mf"</f>
        <v>#VALUE!</v>
      </c>
      <c r="HQ322" t="e">
        <f>'OP-Summary'!E17+"AM:!1Mg"</f>
        <v>#VALUE!</v>
      </c>
      <c r="HR322" t="e">
        <f>'OP-Summary'!F17+"AM:!1Mh"</f>
        <v>#VALUE!</v>
      </c>
      <c r="HS322" s="103" t="e">
        <f>'OP-Summary'!G17+"AM:!1Mi"</f>
        <v>#VALUE!</v>
      </c>
      <c r="HT322" t="e">
        <f>'OP-Summary'!H17+"AM:!1Mj"</f>
        <v>#VALUE!</v>
      </c>
      <c r="HU322" s="103" t="e">
        <f>'OP-Summary'!I17+"AM:!1Mk"</f>
        <v>#VALUE!</v>
      </c>
      <c r="HV322" t="e">
        <f>'OP-Summary'!A18+"AM:!1Ml"</f>
        <v>#VALUE!</v>
      </c>
      <c r="HW322" t="e">
        <f>'OP-Summary'!B18+"AM:!1Mm"</f>
        <v>#VALUE!</v>
      </c>
      <c r="HX322" t="e">
        <f>'OP-Summary'!C18+"AM:!1Mn"</f>
        <v>#VALUE!</v>
      </c>
      <c r="HY322" t="e">
        <f>'OP-Summary'!D18+"AM:!1Mo"</f>
        <v>#VALUE!</v>
      </c>
      <c r="HZ322" t="e">
        <f>'OP-Summary'!E18+"AM:!1Mp"</f>
        <v>#VALUE!</v>
      </c>
      <c r="IA322" t="e">
        <f>'OP-Summary'!F18+"AM:!1Mq"</f>
        <v>#VALUE!</v>
      </c>
      <c r="IB322" s="103" t="e">
        <f>'OP-Summary'!G18+"AM:!1Mr"</f>
        <v>#VALUE!</v>
      </c>
      <c r="IC322" t="e">
        <f>'OP-Summary'!H18+"AM:!1Ms"</f>
        <v>#VALUE!</v>
      </c>
      <c r="ID322" s="103" t="e">
        <f>'OP-Summary'!I18+"AM:!1Mt"</f>
        <v>#VALUE!</v>
      </c>
      <c r="IE322" t="e">
        <f>'OP-Summary'!A19+"AM:!1Mu"</f>
        <v>#VALUE!</v>
      </c>
      <c r="IF322" t="e">
        <f>'OP-Summary'!B19+"AM:!1Mv"</f>
        <v>#VALUE!</v>
      </c>
      <c r="IG322" t="e">
        <f>'OP-Summary'!C19+"AM:!1Mw"</f>
        <v>#VALUE!</v>
      </c>
      <c r="IH322" t="e">
        <f>'OP-Summary'!D19+"AM:!1Mx"</f>
        <v>#VALUE!</v>
      </c>
      <c r="II322" t="e">
        <f>'OP-Summary'!E19+"AM:!1My"</f>
        <v>#VALUE!</v>
      </c>
      <c r="IJ322" t="e">
        <f>'OP-Summary'!F19+"AM:!1Mz"</f>
        <v>#VALUE!</v>
      </c>
      <c r="IK322" s="103" t="e">
        <f>'OP-Summary'!G19+"AM:!1M{"</f>
        <v>#VALUE!</v>
      </c>
      <c r="IL322" t="e">
        <f>'OP-Summary'!H19+"AM:!1M|"</f>
        <v>#VALUE!</v>
      </c>
      <c r="IM322" s="103" t="e">
        <f>'OP-Summary'!I19+"AM:!1M}"</f>
        <v>#VALUE!</v>
      </c>
      <c r="IN322" t="e">
        <f>'OP-Summary'!A20+"AM:!1M~"</f>
        <v>#VALUE!</v>
      </c>
      <c r="IO322" t="e">
        <f>'OP-Summary'!B20+"AM:!1N#"</f>
        <v>#VALUE!</v>
      </c>
      <c r="IP322" t="e">
        <f>'OP-Summary'!C20+"AM:!1N$"</f>
        <v>#VALUE!</v>
      </c>
      <c r="IQ322" t="e">
        <f>'OP-Summary'!D20+"AM:!1N%"</f>
        <v>#VALUE!</v>
      </c>
      <c r="IR322" t="e">
        <f>'OP-Summary'!E20+"AM:!1N&amp;"</f>
        <v>#VALUE!</v>
      </c>
      <c r="IS322" t="e">
        <f>'OP-Summary'!F20+"AM:!1N'"</f>
        <v>#VALUE!</v>
      </c>
      <c r="IT322" s="103" t="e">
        <f>'OP-Summary'!G20+"AM:!1N("</f>
        <v>#VALUE!</v>
      </c>
      <c r="IU322" t="e">
        <f>'OP-Summary'!H20+"AM:!1N)"</f>
        <v>#VALUE!</v>
      </c>
      <c r="IV322" s="103" t="e">
        <f>'OP-Summary'!I20+"AM:!1N."</f>
        <v>#VALUE!</v>
      </c>
    </row>
    <row r="323" spans="6:256">
      <c r="F323" t="e">
        <f>'OP-Summary'!A21+"AM:!1N/"</f>
        <v>#VALUE!</v>
      </c>
      <c r="G323" t="e">
        <f>'OP-Summary'!B21+"AM:!1N0"</f>
        <v>#VALUE!</v>
      </c>
      <c r="H323" t="e">
        <f>'OP-Summary'!C21+"AM:!1N1"</f>
        <v>#VALUE!</v>
      </c>
      <c r="I323" t="e">
        <f>'OP-Summary'!D21+"AM:!1N2"</f>
        <v>#VALUE!</v>
      </c>
      <c r="J323" t="e">
        <f>'OP-Summary'!E21+"AM:!1N3"</f>
        <v>#VALUE!</v>
      </c>
      <c r="K323" t="e">
        <f>'OP-Summary'!F21+"AM:!1N4"</f>
        <v>#VALUE!</v>
      </c>
      <c r="L323" s="103" t="e">
        <f>'OP-Summary'!G21+"AM:!1N5"</f>
        <v>#VALUE!</v>
      </c>
      <c r="M323" t="e">
        <f>'OP-Summary'!H21+"AM:!1N6"</f>
        <v>#VALUE!</v>
      </c>
      <c r="N323" s="103" t="e">
        <f>'OP-Summary'!I21+"AM:!1N7"</f>
        <v>#VALUE!</v>
      </c>
      <c r="O323" t="e">
        <f>'OP-Summary'!A22+"AM:!1N8"</f>
        <v>#VALUE!</v>
      </c>
      <c r="P323" t="e">
        <f>'OP-Summary'!B22+"AM:!1N9"</f>
        <v>#VALUE!</v>
      </c>
      <c r="Q323" t="e">
        <f>'OP-Summary'!C22+"AM:!1N:"</f>
        <v>#VALUE!</v>
      </c>
      <c r="R323" t="e">
        <f>'OP-Summary'!D22+"AM:!1N;"</f>
        <v>#VALUE!</v>
      </c>
      <c r="S323" t="e">
        <f>'OP-Summary'!E22+"AM:!1N&lt;"</f>
        <v>#VALUE!</v>
      </c>
      <c r="T323" t="e">
        <f>'OP-Summary'!F22+"AM:!1N="</f>
        <v>#VALUE!</v>
      </c>
      <c r="U323" s="103" t="e">
        <f>'OP-Summary'!G22+"AM:!1N&gt;"</f>
        <v>#VALUE!</v>
      </c>
      <c r="V323" t="e">
        <f>'OP-Summary'!H22+"AM:!1N?"</f>
        <v>#VALUE!</v>
      </c>
      <c r="W323" s="103" t="e">
        <f>'OP-Summary'!I22+"AM:!1N@"</f>
        <v>#VALUE!</v>
      </c>
      <c r="X323" t="e">
        <f>'OP-Summary'!A23+"AM:!1NA"</f>
        <v>#VALUE!</v>
      </c>
      <c r="Y323" t="e">
        <f>'OP-Summary'!B23+"AM:!1NB"</f>
        <v>#VALUE!</v>
      </c>
      <c r="Z323" t="e">
        <f>'OP-Summary'!C23+"AM:!1NC"</f>
        <v>#VALUE!</v>
      </c>
      <c r="AA323" t="e">
        <f>'OP-Summary'!D23+"AM:!1ND"</f>
        <v>#VALUE!</v>
      </c>
      <c r="AB323" t="e">
        <f>'OP-Summary'!E23+"AM:!1NE"</f>
        <v>#VALUE!</v>
      </c>
      <c r="AC323" t="e">
        <f>'OP-Summary'!F23+"AM:!1NF"</f>
        <v>#VALUE!</v>
      </c>
      <c r="AD323" s="103" t="e">
        <f>'OP-Summary'!G23+"AM:!1NG"</f>
        <v>#VALUE!</v>
      </c>
      <c r="AE323" t="e">
        <f>'OP-Summary'!H23+"AM:!1NH"</f>
        <v>#VALUE!</v>
      </c>
      <c r="AF323" s="103" t="e">
        <f>'OP-Summary'!I23+"AM:!1NI"</f>
        <v>#VALUE!</v>
      </c>
      <c r="AG323" t="e">
        <f>'OP-Summary'!A24+"AM:!1NJ"</f>
        <v>#VALUE!</v>
      </c>
      <c r="AH323" t="e">
        <f>'OP-Summary'!B24+"AM:!1NK"</f>
        <v>#VALUE!</v>
      </c>
      <c r="AI323" t="e">
        <f>'OP-Summary'!C24+"AM:!1NL"</f>
        <v>#VALUE!</v>
      </c>
      <c r="AJ323" t="e">
        <f>'OP-Summary'!D24+"AM:!1NM"</f>
        <v>#VALUE!</v>
      </c>
      <c r="AK323" t="e">
        <f>'OP-Summary'!E24+"AM:!1NN"</f>
        <v>#VALUE!</v>
      </c>
      <c r="AL323" t="e">
        <f>'OP-Summary'!F24+"AM:!1NO"</f>
        <v>#VALUE!</v>
      </c>
      <c r="AM323" s="103" t="e">
        <f>'OP-Summary'!G24+"AM:!1NP"</f>
        <v>#VALUE!</v>
      </c>
      <c r="AN323" t="e">
        <f>'OP-Summary'!H24+"AM:!1NQ"</f>
        <v>#VALUE!</v>
      </c>
      <c r="AO323" s="103" t="e">
        <f>'OP-Summary'!I24+"AM:!1NR"</f>
        <v>#VALUE!</v>
      </c>
      <c r="AP323" t="e">
        <f>'OP-Summary'!A25+"AM:!1NS"</f>
        <v>#VALUE!</v>
      </c>
      <c r="AQ323" t="e">
        <f>'OP-Summary'!B25+"AM:!1NT"</f>
        <v>#VALUE!</v>
      </c>
      <c r="AR323" t="e">
        <f>'OP-Summary'!C25+"AM:!1NU"</f>
        <v>#VALUE!</v>
      </c>
      <c r="AS323" t="e">
        <f>'OP-Summary'!D25+"AM:!1NV"</f>
        <v>#VALUE!</v>
      </c>
      <c r="AT323" t="e">
        <f>'OP-Summary'!E25+"AM:!1NW"</f>
        <v>#VALUE!</v>
      </c>
      <c r="AU323" t="e">
        <f>'OP-Summary'!F25+"AM:!1NX"</f>
        <v>#VALUE!</v>
      </c>
      <c r="AV323" s="103" t="e">
        <f>'OP-Summary'!G25+"AM:!1NY"</f>
        <v>#VALUE!</v>
      </c>
      <c r="AW323" t="e">
        <f>'OP-Summary'!H25+"AM:!1NZ"</f>
        <v>#VALUE!</v>
      </c>
      <c r="AX323" s="103" t="e">
        <f>'OP-Summary'!I25+"AM:!1N["</f>
        <v>#VALUE!</v>
      </c>
      <c r="AY323" t="e">
        <f>'OP-Summary'!A26+"AM:!1N\"</f>
        <v>#VALUE!</v>
      </c>
      <c r="AZ323" t="e">
        <f>'OP-Summary'!B26+"AM:!1N]"</f>
        <v>#VALUE!</v>
      </c>
      <c r="BA323" t="e">
        <f>'OP-Summary'!C26+"AM:!1N^"</f>
        <v>#VALUE!</v>
      </c>
      <c r="BB323" t="e">
        <f>'OP-Summary'!D26+"AM:!1N_"</f>
        <v>#VALUE!</v>
      </c>
      <c r="BC323" t="e">
        <f>'OP-Summary'!E26+"AM:!1N`"</f>
        <v>#VALUE!</v>
      </c>
      <c r="BD323" t="e">
        <f>'OP-Summary'!F26+"AM:!1Na"</f>
        <v>#VALUE!</v>
      </c>
      <c r="BE323" s="103" t="e">
        <f>'OP-Summary'!G26+"AM:!1Nb"</f>
        <v>#VALUE!</v>
      </c>
      <c r="BF323" t="e">
        <f>'OP-Summary'!H26+"AM:!1Nc"</f>
        <v>#VALUE!</v>
      </c>
      <c r="BG323" s="103" t="e">
        <f>'OP-Summary'!I26+"AM:!1Nd"</f>
        <v>#VALUE!</v>
      </c>
      <c r="BH323" t="e">
        <f>'OP-Summary'!A27+"AM:!1Ne"</f>
        <v>#VALUE!</v>
      </c>
      <c r="BI323" t="e">
        <f>'OP-Summary'!B27+"AM:!1Nf"</f>
        <v>#VALUE!</v>
      </c>
      <c r="BJ323" t="e">
        <f>'OP-Summary'!C27+"AM:!1Ng"</f>
        <v>#VALUE!</v>
      </c>
      <c r="BK323" t="e">
        <f>'OP-Summary'!D27+"AM:!1Nh"</f>
        <v>#VALUE!</v>
      </c>
      <c r="BL323" t="e">
        <f>'OP-Summary'!E27+"AM:!1Ni"</f>
        <v>#VALUE!</v>
      </c>
      <c r="BM323" t="e">
        <f>'OP-Summary'!F27+"AM:!1Nj"</f>
        <v>#VALUE!</v>
      </c>
      <c r="BN323" s="103" t="e">
        <f>'OP-Summary'!G27+"AM:!1Nk"</f>
        <v>#VALUE!</v>
      </c>
      <c r="BO323" t="e">
        <f>'OP-Summary'!H27+"AM:!1Nl"</f>
        <v>#VALUE!</v>
      </c>
      <c r="BP323" s="103" t="e">
        <f>'OP-Summary'!I27+"AM:!1Nm"</f>
        <v>#VALUE!</v>
      </c>
      <c r="BQ323" t="e">
        <f>'OP-Summary'!A28+"AM:!1Nn"</f>
        <v>#VALUE!</v>
      </c>
      <c r="BR323" t="e">
        <f>'OP-Summary'!B28+"AM:!1No"</f>
        <v>#VALUE!</v>
      </c>
      <c r="BS323" t="e">
        <f>'OP-Summary'!C28+"AM:!1Np"</f>
        <v>#VALUE!</v>
      </c>
      <c r="BT323" t="e">
        <f>'OP-Summary'!D28+"AM:!1Nq"</f>
        <v>#VALUE!</v>
      </c>
      <c r="BU323" t="e">
        <f>'OP-Summary'!E28+"AM:!1Nr"</f>
        <v>#VALUE!</v>
      </c>
      <c r="BV323" t="e">
        <f>'OP-Summary'!F28+"AM:!1Ns"</f>
        <v>#VALUE!</v>
      </c>
      <c r="BW323" s="103" t="e">
        <f>'OP-Summary'!G28+"AM:!1Nt"</f>
        <v>#VALUE!</v>
      </c>
      <c r="BX323" t="e">
        <f>'OP-Summary'!H28+"AM:!1Nu"</f>
        <v>#VALUE!</v>
      </c>
      <c r="BY323" s="103" t="e">
        <f>'OP-Summary'!I28+"AM:!1Nv"</f>
        <v>#VALUE!</v>
      </c>
      <c r="BZ323" t="e">
        <f>'OP-Summary'!A29+"AM:!1Nw"</f>
        <v>#VALUE!</v>
      </c>
      <c r="CA323" t="e">
        <f>'OP-Summary'!B29+"AM:!1Nx"</f>
        <v>#VALUE!</v>
      </c>
      <c r="CB323" t="e">
        <f>'OP-Summary'!C29+"AM:!1Ny"</f>
        <v>#VALUE!</v>
      </c>
      <c r="CC323" t="e">
        <f>'OP-Summary'!D29+"AM:!1Nz"</f>
        <v>#VALUE!</v>
      </c>
      <c r="CD323" t="e">
        <f>'OP-Summary'!E29+"AM:!1N{"</f>
        <v>#VALUE!</v>
      </c>
      <c r="CE323" t="e">
        <f>'OP-Summary'!F29+"AM:!1N|"</f>
        <v>#VALUE!</v>
      </c>
      <c r="CF323" s="103" t="e">
        <f>'OP-Summary'!G29+"AM:!1N}"</f>
        <v>#VALUE!</v>
      </c>
      <c r="CG323" t="e">
        <f>'OP-Summary'!H29+"AM:!1N~"</f>
        <v>#VALUE!</v>
      </c>
      <c r="CH323" s="103" t="e">
        <f>'OP-Summary'!I29+"AM:!1O#"</f>
        <v>#VALUE!</v>
      </c>
      <c r="CI323" t="e">
        <f>'OP-Summary'!A30+"AM:!1O$"</f>
        <v>#VALUE!</v>
      </c>
      <c r="CJ323" t="e">
        <f>'OP-Summary'!B30+"AM:!1O%"</f>
        <v>#VALUE!</v>
      </c>
      <c r="CK323" t="e">
        <f>'OP-Summary'!C30+"AM:!1O&amp;"</f>
        <v>#VALUE!</v>
      </c>
      <c r="CL323" t="e">
        <f>'OP-Summary'!D30+"AM:!1O'"</f>
        <v>#VALUE!</v>
      </c>
      <c r="CM323" t="e">
        <f>'OP-Summary'!E30+"AM:!1O("</f>
        <v>#VALUE!</v>
      </c>
      <c r="CN323" t="e">
        <f>'OP-Summary'!F30+"AM:!1O)"</f>
        <v>#VALUE!</v>
      </c>
      <c r="CO323" s="103" t="e">
        <f>'OP-Summary'!G30+"AM:!1O."</f>
        <v>#VALUE!</v>
      </c>
      <c r="CP323" t="e">
        <f>'OP-Summary'!H30+"AM:!1O/"</f>
        <v>#VALUE!</v>
      </c>
      <c r="CQ323" s="103" t="e">
        <f>'OP-Summary'!I30+"AM:!1O0"</f>
        <v>#VALUE!</v>
      </c>
      <c r="CR323" t="e">
        <f>'OP-Summary'!A31+"AM:!1O1"</f>
        <v>#VALUE!</v>
      </c>
      <c r="CS323" t="e">
        <f>'OP-Summary'!B31+"AM:!1O2"</f>
        <v>#VALUE!</v>
      </c>
      <c r="CT323" t="e">
        <f>'OP-Summary'!C31+"AM:!1O3"</f>
        <v>#VALUE!</v>
      </c>
      <c r="CU323" t="e">
        <f>'OP-Summary'!D31+"AM:!1O4"</f>
        <v>#VALUE!</v>
      </c>
      <c r="CV323" t="e">
        <f>'OP-Summary'!E31+"AM:!1O5"</f>
        <v>#VALUE!</v>
      </c>
      <c r="CW323" t="e">
        <f>'OP-Summary'!F31+"AM:!1O6"</f>
        <v>#VALUE!</v>
      </c>
      <c r="CX323" s="103" t="e">
        <f>'OP-Summary'!G31+"AM:!1O7"</f>
        <v>#VALUE!</v>
      </c>
      <c r="CY323" t="e">
        <f>'OP-Summary'!H31+"AM:!1O8"</f>
        <v>#VALUE!</v>
      </c>
      <c r="CZ323" s="103" t="e">
        <f>'OP-Summary'!I31+"AM:!1O9"</f>
        <v>#VALUE!</v>
      </c>
      <c r="DA323" t="e">
        <f>'OP-Summary'!A32+"AM:!1O:"</f>
        <v>#VALUE!</v>
      </c>
      <c r="DB323" t="e">
        <f>'OP-Summary'!B32+"AM:!1O;"</f>
        <v>#VALUE!</v>
      </c>
      <c r="DC323" t="e">
        <f>'OP-Summary'!C32+"AM:!1O&lt;"</f>
        <v>#VALUE!</v>
      </c>
      <c r="DD323" t="e">
        <f>'OP-Summary'!D32+"AM:!1O="</f>
        <v>#VALUE!</v>
      </c>
      <c r="DE323" t="e">
        <f>'OP-Summary'!E32+"AM:!1O&gt;"</f>
        <v>#VALUE!</v>
      </c>
      <c r="DF323" t="e">
        <f>'OP-Summary'!F32+"AM:!1O?"</f>
        <v>#VALUE!</v>
      </c>
      <c r="DG323" s="103" t="e">
        <f>'OP-Summary'!G32+"AM:!1O@"</f>
        <v>#VALUE!</v>
      </c>
      <c r="DH323" t="e">
        <f>'OP-Summary'!H32+"AM:!1OA"</f>
        <v>#VALUE!</v>
      </c>
      <c r="DI323" s="103" t="e">
        <f>'OP-Summary'!I32+"AM:!1OB"</f>
        <v>#VALUE!</v>
      </c>
      <c r="DJ323" t="e">
        <f>'OP-Summary'!A33+"AM:!1OC"</f>
        <v>#VALUE!</v>
      </c>
      <c r="DK323" t="e">
        <f>'OP-Summary'!B33+"AM:!1OD"</f>
        <v>#VALUE!</v>
      </c>
      <c r="DL323" t="e">
        <f>'OP-Summary'!C33+"AM:!1OE"</f>
        <v>#VALUE!</v>
      </c>
      <c r="DM323" t="e">
        <f>'OP-Summary'!D33+"AM:!1OF"</f>
        <v>#VALUE!</v>
      </c>
      <c r="DN323" t="e">
        <f>'OP-Summary'!E33+"AM:!1OG"</f>
        <v>#VALUE!</v>
      </c>
      <c r="DO323" t="e">
        <f>'OP-Summary'!F33+"AM:!1OH"</f>
        <v>#VALUE!</v>
      </c>
      <c r="DP323" s="103" t="e">
        <f>'OP-Summary'!G33+"AM:!1OI"</f>
        <v>#VALUE!</v>
      </c>
      <c r="DQ323" t="e">
        <f>'OP-Summary'!H33+"AM:!1OJ"</f>
        <v>#VALUE!</v>
      </c>
      <c r="DR323" s="103" t="e">
        <f>'OP-Summary'!I33+"AM:!1OK"</f>
        <v>#VALUE!</v>
      </c>
      <c r="DS323" t="e">
        <f>'OP-Summary'!A34+"AM:!1OL"</f>
        <v>#VALUE!</v>
      </c>
      <c r="DT323" t="e">
        <f>'OP-Summary'!B34+"AM:!1OM"</f>
        <v>#VALUE!</v>
      </c>
      <c r="DU323" t="e">
        <f>'OP-Summary'!C34+"AM:!1ON"</f>
        <v>#VALUE!</v>
      </c>
      <c r="DV323" t="e">
        <f>'OP-Summary'!D34+"AM:!1OO"</f>
        <v>#VALUE!</v>
      </c>
      <c r="DW323" t="e">
        <f>'OP-Summary'!E34+"AM:!1OP"</f>
        <v>#VALUE!</v>
      </c>
      <c r="DX323" t="e">
        <f>'OP-Summary'!F34+"AM:!1OQ"</f>
        <v>#VALUE!</v>
      </c>
      <c r="DY323" s="103" t="e">
        <f>'OP-Summary'!G34+"AM:!1OR"</f>
        <v>#VALUE!</v>
      </c>
      <c r="DZ323" t="e">
        <f>'OP-Summary'!H34+"AM:!1OS"</f>
        <v>#VALUE!</v>
      </c>
      <c r="EA323" s="103" t="e">
        <f>'OP-Summary'!I34+"AM:!1OT"</f>
        <v>#VALUE!</v>
      </c>
      <c r="EB323" t="e">
        <f>'OP-Summary'!A35+"AM:!1OU"</f>
        <v>#VALUE!</v>
      </c>
      <c r="EC323" t="e">
        <f>'OP-Summary'!B35+"AM:!1OV"</f>
        <v>#VALUE!</v>
      </c>
      <c r="ED323" t="e">
        <f>'OP-Summary'!C35+"AM:!1OW"</f>
        <v>#VALUE!</v>
      </c>
      <c r="EE323" t="e">
        <f>'OP-Summary'!D35+"AM:!1OX"</f>
        <v>#VALUE!</v>
      </c>
      <c r="EF323" t="e">
        <f>'OP-Summary'!E35+"AM:!1OY"</f>
        <v>#VALUE!</v>
      </c>
      <c r="EG323" t="e">
        <f>'OP-Summary'!F35+"AM:!1OZ"</f>
        <v>#VALUE!</v>
      </c>
      <c r="EH323" s="103" t="e">
        <f>'OP-Summary'!G35+"AM:!1O["</f>
        <v>#VALUE!</v>
      </c>
      <c r="EI323" t="e">
        <f>'OP-Summary'!H35+"AM:!1O\"</f>
        <v>#VALUE!</v>
      </c>
      <c r="EJ323" s="103" t="e">
        <f>'OP-Summary'!I35+"AM:!1O]"</f>
        <v>#VALUE!</v>
      </c>
      <c r="EK323" t="e">
        <f>'Project Business Checklist'!A:A*"AM:!1O`"</f>
        <v>#VALUE!</v>
      </c>
      <c r="EL323" t="e">
        <f>'Project Business Checklist'!B:B*"AM:!1Oa"</f>
        <v>#VALUE!</v>
      </c>
      <c r="EM323" t="e">
        <f>'Project Business Checklist'!C:C*"AM:!1Ob"</f>
        <v>#VALUE!</v>
      </c>
      <c r="EN323" t="e">
        <f>'Project Business Checklist'!D:D*"AM:!1Oc"</f>
        <v>#VALUE!</v>
      </c>
      <c r="EO323" t="e">
        <f>'Project Business Checklist'!E:E*"AM:!1Od"</f>
        <v>#VALUE!</v>
      </c>
      <c r="EP323" t="e">
        <f>'Project Business Checklist'!F:F*"AM:!1Oe"</f>
        <v>#VALUE!</v>
      </c>
      <c r="EQ323" t="e">
        <f>'Project Business Checklist'!G:G*"AM:!1Of"</f>
        <v>#VALUE!</v>
      </c>
      <c r="ER323" t="e">
        <f>'Project Business Checklist'!H:H*"AM:!1Og"</f>
        <v>#VALUE!</v>
      </c>
      <c r="ES323" t="e">
        <f>'Project Business Checklist'!I:I*"AM:!1Oh"</f>
        <v>#VALUE!</v>
      </c>
      <c r="ET323" t="e">
        <f>'Project Business Checklist'!J:J*"AM:!1Oi"</f>
        <v>#VALUE!</v>
      </c>
      <c r="EU323" t="e">
        <f>'Project Business Checklist'!K:K*"AM:!1Oj"</f>
        <v>#VALUE!</v>
      </c>
      <c r="EV323" t="e">
        <f>'Project Business Checklist'!L:L*"AM:!1Ok"</f>
        <v>#VALUE!</v>
      </c>
      <c r="EW323" t="e">
        <f>'Project Business Checklist'!M:M*"AM:!1Ol"</f>
        <v>#VALUE!</v>
      </c>
      <c r="EX323" t="e">
        <f>'Project Business Checklist'!N:N*"AM:!1Om"</f>
        <v>#VALUE!</v>
      </c>
      <c r="EY323" t="e">
        <f>'Project Business Checklist'!O:O*"AM:!1On"</f>
        <v>#VALUE!</v>
      </c>
      <c r="EZ323" t="e">
        <f>'Project Business Checklist'!P:P*"AM:!1Oo"</f>
        <v>#VALUE!</v>
      </c>
      <c r="FA323" t="e">
        <f>'Project Business Checklist'!Q:Q*"AM:!1Op"</f>
        <v>#VALUE!</v>
      </c>
      <c r="FB323" t="e">
        <f>'Project Business Checklist'!R:R*"AM:!1Oq"</f>
        <v>#VALUE!</v>
      </c>
      <c r="FC323" t="e">
        <f>'Project Business Checklist'!S:S*"AM:!1Or"</f>
        <v>#VALUE!</v>
      </c>
      <c r="FD323" t="e">
        <f>'Project Business Checklist'!T:T*"AM:!1Os"</f>
        <v>#VALUE!</v>
      </c>
      <c r="FE323" t="e">
        <f>'Project Business Checklist'!U:U*"AM:!1Ot"</f>
        <v>#VALUE!</v>
      </c>
      <c r="FF323" t="e">
        <f>'Project Business Checklist'!V:V*"AM:!1Ou"</f>
        <v>#VALUE!</v>
      </c>
      <c r="FG323" t="e">
        <f>'Project Business Checklist'!W:W*"AM:!1Ov"</f>
        <v>#VALUE!</v>
      </c>
      <c r="FH323" t="e">
        <f>'Project Business Checklist'!X:X*"AM:!1Ow"</f>
        <v>#VALUE!</v>
      </c>
      <c r="FI323" t="e">
        <f>'Project Business Checklist'!Y:Y*"AM:!1Ox"</f>
        <v>#VALUE!</v>
      </c>
      <c r="FJ323" t="e">
        <f>'Project Business Checklist'!Z:Z*"AM:!1Oy"</f>
        <v>#VALUE!</v>
      </c>
      <c r="FK323" t="e">
        <f>'Project Business Checklist'!AA:AA*"AM:!1Oz"</f>
        <v>#VALUE!</v>
      </c>
      <c r="FL323" t="e">
        <f>'Project Business Checklist'!AB:AB*"AM:!1O{"</f>
        <v>#VALUE!</v>
      </c>
      <c r="FM323" t="e">
        <f>'Project Business Checklist'!AC:AC*"AM:!1O|"</f>
        <v>#VALUE!</v>
      </c>
      <c r="FN323" t="e">
        <f>'Project Business Checklist'!AD:AD*"AM:!1O}"</f>
        <v>#VALUE!</v>
      </c>
      <c r="FO323" t="e">
        <f>'Project Business Checklist'!AE:AE*"AM:!1O~"</f>
        <v>#VALUE!</v>
      </c>
      <c r="FP323" t="e">
        <f>'Project Business Checklist'!AF:AF*"AM:!1P#"</f>
        <v>#VALUE!</v>
      </c>
      <c r="FQ323" t="e">
        <f>'Project Business Checklist'!AG:AG*"AM:!1P$"</f>
        <v>#VALUE!</v>
      </c>
      <c r="FR323" t="e">
        <f>'Project Business Checklist'!AH:AH*"AM:!1P%"</f>
        <v>#VALUE!</v>
      </c>
      <c r="FS323" t="e">
        <f>'Project Business Checklist'!AI:AI*"AM:!1P&amp;"</f>
        <v>#VALUE!</v>
      </c>
      <c r="FT323" t="e">
        <f>'Project Business Checklist'!AJ:AJ*"AM:!1P'"</f>
        <v>#VALUE!</v>
      </c>
      <c r="FU323" t="e">
        <f>'Project Business Checklist'!AK:AK*"AM:!1P("</f>
        <v>#VALUE!</v>
      </c>
      <c r="FV323" t="e">
        <f>'Project Business Checklist'!AL:AL*"AM:!1P)"</f>
        <v>#VALUE!</v>
      </c>
      <c r="FW323" t="e">
        <f>'Project Business Checklist'!AM:AM*"AM:!1P."</f>
        <v>#VALUE!</v>
      </c>
      <c r="FX323" t="e">
        <f>'Project Business Checklist'!AN:AN*"AM:!1P/"</f>
        <v>#VALUE!</v>
      </c>
      <c r="FY323" t="e">
        <f>'Project Business Checklist'!AO:AO*"AM:!1P0"</f>
        <v>#VALUE!</v>
      </c>
      <c r="FZ323" t="e">
        <f>'Project Business Checklist'!AP:AP*"AM:!1P1"</f>
        <v>#VALUE!</v>
      </c>
      <c r="GA323" t="e">
        <f>'Project Business Checklist'!AQ:AQ*"AM:!1P2"</f>
        <v>#VALUE!</v>
      </c>
      <c r="GB323" t="e">
        <f>'Project Business Checklist'!AR:AR*"AM:!1P3"</f>
        <v>#VALUE!</v>
      </c>
      <c r="GC323" t="e">
        <f>'Project Business Checklist'!AS:AS*"AM:!1P4"</f>
        <v>#VALUE!</v>
      </c>
      <c r="GD323" t="e">
        <f>'Project Business Checklist'!AT:AT*"AM:!1P5"</f>
        <v>#VALUE!</v>
      </c>
      <c r="GE323" t="e">
        <f>'Project Business Checklist'!AU:AU*"AM:!1P6"</f>
        <v>#VALUE!</v>
      </c>
      <c r="GF323" t="e">
        <f>'Project Business Checklist'!AV:AV*"AM:!1P7"</f>
        <v>#VALUE!</v>
      </c>
      <c r="GG323" t="e">
        <f>'Project Business Checklist'!AW:AW*"AM:!1P8"</f>
        <v>#VALUE!</v>
      </c>
      <c r="GH323" t="e">
        <f>'Project Business Checklist'!AX:AX*"AM:!1P9"</f>
        <v>#VALUE!</v>
      </c>
      <c r="GI323" t="e">
        <f>'Project Business Checklist'!AY:AY*"AM:!1P:"</f>
        <v>#VALUE!</v>
      </c>
      <c r="GJ323" t="e">
        <f>'Project Business Checklist'!AZ:AZ*"AM:!1P;"</f>
        <v>#VALUE!</v>
      </c>
      <c r="GK323" t="e">
        <f>'Project Business Checklist'!BA:BA*"AM:!1P&lt;"</f>
        <v>#VALUE!</v>
      </c>
      <c r="GL323" t="e">
        <f>'Project Business Checklist'!BB:BB*"AM:!1P="</f>
        <v>#VALUE!</v>
      </c>
      <c r="GM323" t="e">
        <f>'Project Business Checklist'!BC:BC*"AM:!1P&gt;"</f>
        <v>#VALUE!</v>
      </c>
      <c r="GN323" t="e">
        <f>'Project Business Checklist'!BD:BD*"AM:!1P?"</f>
        <v>#VALUE!</v>
      </c>
      <c r="GO323" t="e">
        <f>'Project Business Checklist'!BE:BE*"AM:!1P@"</f>
        <v>#VALUE!</v>
      </c>
      <c r="GP323" t="e">
        <f>'Project Business Checklist'!BF:BF*"AM:!1PA"</f>
        <v>#VALUE!</v>
      </c>
      <c r="GQ323" t="e">
        <f>'Project Business Checklist'!BG:BG*"AM:!1PB"</f>
        <v>#VALUE!</v>
      </c>
      <c r="GR323" t="e">
        <f>'Project Business Checklist'!BH:BH*"AM:!1PC"</f>
        <v>#VALUE!</v>
      </c>
      <c r="GS323" t="e">
        <f>'Project Business Checklist'!BI:BI*"AM:!1PD"</f>
        <v>#VALUE!</v>
      </c>
      <c r="GT323" t="e">
        <f>'Project Business Checklist'!BJ:BJ*"AM:!1PE"</f>
        <v>#VALUE!</v>
      </c>
      <c r="GU323" t="e">
        <f>'Project Business Checklist'!BK:BK*"AM:!1PF"</f>
        <v>#VALUE!</v>
      </c>
      <c r="GV323" t="e">
        <f>'Project Business Checklist'!BL:BL*"AM:!1PG"</f>
        <v>#VALUE!</v>
      </c>
      <c r="GW323" t="e">
        <f>'Project Business Checklist'!BM:BM*"AM:!1PH"</f>
        <v>#VALUE!</v>
      </c>
      <c r="GX323" t="e">
        <f>'Project Business Checklist'!BN:BN*"AM:!1PI"</f>
        <v>#VALUE!</v>
      </c>
      <c r="GY323" t="e">
        <f>'Project Business Checklist'!BO:BO*"AM:!1PJ"</f>
        <v>#VALUE!</v>
      </c>
      <c r="GZ323" t="e">
        <f>'Project Business Checklist'!BP:BP*"AM:!1PK"</f>
        <v>#VALUE!</v>
      </c>
      <c r="HA323" t="e">
        <f>'Project Business Checklist'!BQ:BQ*"AM:!1PL"</f>
        <v>#VALUE!</v>
      </c>
      <c r="HB323" t="e">
        <f>'Project Business Checklist'!BR:BR*"AM:!1PM"</f>
        <v>#VALUE!</v>
      </c>
      <c r="HC323" t="e">
        <f>'Project Business Checklist'!1:1-"AM:!1PN"</f>
        <v>#VALUE!</v>
      </c>
      <c r="HD323" t="e">
        <f>'Project Business Checklist'!2:2-"AM:!1PO"</f>
        <v>#VALUE!</v>
      </c>
      <c r="HE323" t="e">
        <f>'Project Business Checklist'!3:3-"AM:!1PP"</f>
        <v>#VALUE!</v>
      </c>
      <c r="HF323" t="e">
        <f>'Project Business Checklist'!4:4-"AM:!1PQ"</f>
        <v>#VALUE!</v>
      </c>
      <c r="HG323" t="e">
        <f>'Project Business Checklist'!5:5-"AM:!1PR"</f>
        <v>#VALUE!</v>
      </c>
      <c r="HH323" t="e">
        <f>'Project Business Checklist'!6:6-"AM:!1PS"</f>
        <v>#VALUE!</v>
      </c>
      <c r="HI323" t="e">
        <f>'Project Business Checklist'!7:7-"AM:!1PT"</f>
        <v>#VALUE!</v>
      </c>
      <c r="HJ323" t="e">
        <f>'Project Business Checklist'!8:8-"AM:!1PU"</f>
        <v>#VALUE!</v>
      </c>
      <c r="HK323" t="e">
        <f>'Project Business Checklist'!9:9-"AM:!1PV"</f>
        <v>#VALUE!</v>
      </c>
      <c r="HL323" t="e">
        <f>'Project Business Checklist'!10:10-"AM:!1PW"</f>
        <v>#VALUE!</v>
      </c>
      <c r="HM323" t="e">
        <f>'Project Business Checklist'!11:11-"AM:!1PX"</f>
        <v>#VALUE!</v>
      </c>
      <c r="HN323" t="e">
        <f>'Project Business Checklist'!12:12-"AM:!1PY"</f>
        <v>#VALUE!</v>
      </c>
      <c r="HO323" t="e">
        <f>'Project Business Checklist'!13:13-"AM:!1PZ"</f>
        <v>#VALUE!</v>
      </c>
      <c r="HP323" t="e">
        <f>'Project Business Checklist'!14:14-"AM:!1P["</f>
        <v>#VALUE!</v>
      </c>
      <c r="HQ323" t="e">
        <f>'Project Business Checklist'!15:15-"AM:!1P\"</f>
        <v>#VALUE!</v>
      </c>
      <c r="HR323" t="e">
        <f>'Project Business Checklist'!16:16-"AM:!1P]"</f>
        <v>#VALUE!</v>
      </c>
      <c r="HS323" t="e">
        <f>'Project Business Checklist'!17:17-"AM:!1P^"</f>
        <v>#VALUE!</v>
      </c>
      <c r="HT323" t="e">
        <f>'Project Business Checklist'!18:18-"AM:!1P_"</f>
        <v>#VALUE!</v>
      </c>
      <c r="HU323" t="e">
        <f>'Project Business Checklist'!19:19-"AM:!1P`"</f>
        <v>#VALUE!</v>
      </c>
      <c r="HV323" t="e">
        <f>'Project Business Checklist'!20:20-"AM:!1Pa"</f>
        <v>#VALUE!</v>
      </c>
      <c r="HW323" t="e">
        <f>'Project Business Checklist'!21:21-"AM:!1Pb"</f>
        <v>#VALUE!</v>
      </c>
      <c r="HX323" t="e">
        <f>'Project Business Checklist'!22:22-"AM:!1Pc"</f>
        <v>#VALUE!</v>
      </c>
      <c r="HY323" t="e">
        <f>'Project Business Checklist'!23:23-"AM:!1Pd"</f>
        <v>#VALUE!</v>
      </c>
      <c r="HZ323" t="e">
        <f>'Project Business Checklist'!24:24-"AM:!1Pe"</f>
        <v>#VALUE!</v>
      </c>
      <c r="IA323" t="e">
        <f>'Project Business Checklist'!25:25-"AM:!1Pf"</f>
        <v>#VALUE!</v>
      </c>
      <c r="IB323" t="e">
        <f>'Project Business Checklist'!26:26-"AM:!1Pg"</f>
        <v>#VALUE!</v>
      </c>
      <c r="IC323" t="e">
        <f>'Project Business Checklist'!27:27-"AM:!1Ph"</f>
        <v>#VALUE!</v>
      </c>
      <c r="ID323" t="e">
        <f>'Project Business Checklist'!28:28-"AM:!1Pi"</f>
        <v>#VALUE!</v>
      </c>
      <c r="IE323" t="e">
        <f>'Project Business Checklist'!29:29-"AM:!1Pj"</f>
        <v>#VALUE!</v>
      </c>
      <c r="IF323" t="e">
        <f>'Project Business Checklist'!30:30-"AM:!1Pk"</f>
        <v>#VALUE!</v>
      </c>
      <c r="IG323" t="e">
        <f>'Project Business Checklist'!31:31-"AM:!1Pl"</f>
        <v>#VALUE!</v>
      </c>
      <c r="IH323" t="e">
        <f>'Project Business Checklist'!32:32-"AM:!1Pm"</f>
        <v>#VALUE!</v>
      </c>
      <c r="II323" t="e">
        <f>'Project Business Checklist'!33:33-"AM:!1Pn"</f>
        <v>#VALUE!</v>
      </c>
      <c r="IJ323" t="e">
        <f>'Project Business Checklist'!34:34-"AM:!1Po"</f>
        <v>#VALUE!</v>
      </c>
      <c r="IK323" t="e">
        <f>'Project Business Checklist'!35:35-"AM:!1Pp"</f>
        <v>#VALUE!</v>
      </c>
      <c r="IL323" t="e">
        <f>'Project Business Checklist'!36:36-"AM:!1Pq"</f>
        <v>#VALUE!</v>
      </c>
      <c r="IM323" t="e">
        <f>'Project Business Checklist'!37:37-"AM:!1Pr"</f>
        <v>#VALUE!</v>
      </c>
      <c r="IN323" t="e">
        <f>'Project Business Checklist'!38:38-"AM:!1Ps"</f>
        <v>#VALUE!</v>
      </c>
      <c r="IO323" t="e">
        <f>'Project Business Checklist'!39:39-"AM:!1Pt"</f>
        <v>#VALUE!</v>
      </c>
      <c r="IP323" t="e">
        <f>'Project Business Checklist'!40:40-"AM:!1Pu"</f>
        <v>#VALUE!</v>
      </c>
      <c r="IQ323" t="e">
        <f>'Project Business Checklist'!41:41-"AM:!1Pv"</f>
        <v>#VALUE!</v>
      </c>
      <c r="IR323" t="e">
        <f>'Project Business Checklist'!42:42-"AM:!1Pw"</f>
        <v>#VALUE!</v>
      </c>
      <c r="IS323" t="e">
        <f>'Project Business Checklist'!43:43-"AM:!1Px"</f>
        <v>#VALUE!</v>
      </c>
      <c r="IT323" t="e">
        <f>'Project Business Checklist'!44:44-"AM:!1Py"</f>
        <v>#VALUE!</v>
      </c>
      <c r="IU323" t="e">
        <f>'Project Business Checklist'!45:45-"AM:!1Pz"</f>
        <v>#VALUE!</v>
      </c>
      <c r="IV323" t="e">
        <f>'Project Business Checklist'!46:46-"AM:!1P{"</f>
        <v>#VALUE!</v>
      </c>
    </row>
    <row r="324" spans="6:256">
      <c r="F324" t="e">
        <f>'Project Business Checklist'!47:47-"AM:!1P|"</f>
        <v>#VALUE!</v>
      </c>
      <c r="G324" t="e">
        <f>'Project Business Checklist'!48:48-"AM:!1P}"</f>
        <v>#VALUE!</v>
      </c>
      <c r="H324" t="e">
        <f>'Project Business Checklist'!49:49-"AM:!1P~"</f>
        <v>#VALUE!</v>
      </c>
      <c r="I324" t="e">
        <f>'Project Business Checklist'!50:50-"AM:!1Q#"</f>
        <v>#VALUE!</v>
      </c>
      <c r="J324" t="e">
        <f>'Project Business Checklist'!51:51-"AM:!1Q$"</f>
        <v>#VALUE!</v>
      </c>
      <c r="K324" t="e">
        <f>'Project Business Checklist'!52:52-"AM:!1Q%"</f>
        <v>#VALUE!</v>
      </c>
      <c r="L324" t="e">
        <f>'Project Business Checklist'!53:53-"AM:!1Q&amp;"</f>
        <v>#VALUE!</v>
      </c>
      <c r="M324" t="e">
        <f>'Project Business Checklist'!54:54-"AM:!1Q'"</f>
        <v>#VALUE!</v>
      </c>
      <c r="N324" t="e">
        <f>'Project Business Checklist'!55:55-"AM:!1Q("</f>
        <v>#VALUE!</v>
      </c>
      <c r="O324" t="e">
        <f>'Project Business Checklist'!56:56-"AM:!1Q)"</f>
        <v>#VALUE!</v>
      </c>
      <c r="P324" t="e">
        <f>'Project Business Checklist'!57:57-"AM:!1Q."</f>
        <v>#VALUE!</v>
      </c>
      <c r="Q324" t="e">
        <f>'Project Business Checklist'!58:58-"AM:!1Q/"</f>
        <v>#VALUE!</v>
      </c>
      <c r="R324" t="e">
        <f>'Project Business Checklist'!59:59-"AM:!1Q0"</f>
        <v>#VALUE!</v>
      </c>
      <c r="S324" t="e">
        <f>'Project Business Checklist'!60:60-"AM:!1Q1"</f>
        <v>#VALUE!</v>
      </c>
      <c r="T324" t="e">
        <f>'Project Business Checklist'!61:61-"AM:!1Q2"</f>
        <v>#VALUE!</v>
      </c>
      <c r="U324" t="e">
        <f>'Project Business Checklist'!62:62-"AM:!1Q3"</f>
        <v>#VALUE!</v>
      </c>
      <c r="V324" t="e">
        <f>'Project Business Checklist'!63:63-"AM:!1Q4"</f>
        <v>#VALUE!</v>
      </c>
      <c r="W324" t="e">
        <f>'Project Business Checklist'!64:64-"AM:!1Q5"</f>
        <v>#VALUE!</v>
      </c>
      <c r="X324" t="e">
        <f>'Project Business Checklist'!65:65-"AM:!1Q6"</f>
        <v>#VALUE!</v>
      </c>
      <c r="Y324" t="e">
        <f>'Project Business Checklist'!66:66-"AM:!1Q7"</f>
        <v>#VALUE!</v>
      </c>
      <c r="Z324" t="e">
        <f>'Project Business Checklist'!67:67-"AM:!1Q8"</f>
        <v>#VALUE!</v>
      </c>
      <c r="AA324" t="e">
        <f>'Project Business Checklist'!68:68-"AM:!1Q9"</f>
        <v>#VALUE!</v>
      </c>
      <c r="AB324" t="e">
        <f>'Project Business Checklist'!69:69-"AM:!1Q:"</f>
        <v>#VALUE!</v>
      </c>
      <c r="AC324" t="e">
        <f>'Project Business Checklist'!70:70-"AM:!1Q;"</f>
        <v>#VALUE!</v>
      </c>
      <c r="AD324" t="e">
        <f>'Project Business Checklist'!71:71-"AM:!1Q&lt;"</f>
        <v>#VALUE!</v>
      </c>
      <c r="AE324" t="e">
        <f>'Project Business Checklist'!72:72-"AM:!1Q="</f>
        <v>#VALUE!</v>
      </c>
      <c r="AF324" t="e">
        <f>'Project Business Checklist'!73:73-"AM:!1Q&gt;"</f>
        <v>#VALUE!</v>
      </c>
      <c r="AG324" t="e">
        <f>'Project Business Checklist'!74:74-"AM:!1Q?"</f>
        <v>#VALUE!</v>
      </c>
      <c r="AH324" t="e">
        <f>'Project Business Checklist'!75:75-"AM:!1Q@"</f>
        <v>#VALUE!</v>
      </c>
      <c r="AI324" t="e">
        <f>'Project Business Checklist'!76:76-"AM:!1QA"</f>
        <v>#VALUE!</v>
      </c>
      <c r="AJ324" t="e">
        <f>'Project Business Checklist'!77:77-"AM:!1QB"</f>
        <v>#VALUE!</v>
      </c>
      <c r="AK324" t="e">
        <f>'Project Business Checklist'!78:78-"AM:!1QC"</f>
        <v>#VALUE!</v>
      </c>
      <c r="AL324" t="e">
        <f>'Project Business Checklist'!79:79-"AM:!1QD"</f>
        <v>#VALUE!</v>
      </c>
      <c r="AM324" t="e">
        <f>'Project Business Checklist'!80:80-"AM:!1QE"</f>
        <v>#VALUE!</v>
      </c>
      <c r="AN324" t="e">
        <f>'Project Business Checklist'!81:81-"AM:!1QF"</f>
        <v>#VALUE!</v>
      </c>
      <c r="AO324" t="e">
        <f>'Project Business Checklist'!82:82-"AM:!1QG"</f>
        <v>#VALUE!</v>
      </c>
      <c r="AP324" t="e">
        <f>'Project Business Checklist'!83:83-"AM:!1QH"</f>
        <v>#VALUE!</v>
      </c>
      <c r="AQ324" t="e">
        <f>'Project Business Checklist'!84:84-"AM:!1QI"</f>
        <v>#VALUE!</v>
      </c>
      <c r="AR324" t="e">
        <f>'Project Business Checklist'!85:85-"AM:!1QJ"</f>
        <v>#VALUE!</v>
      </c>
      <c r="AS324" t="e">
        <f>'Project Business Checklist'!86:86-"AM:!1QK"</f>
        <v>#VALUE!</v>
      </c>
      <c r="AT324" t="e">
        <f>'Project Business Checklist'!87:87-"AM:!1QL"</f>
        <v>#VALUE!</v>
      </c>
      <c r="AU324" t="e">
        <f>'Project Business Checklist'!88:88-"AM:!1QM"</f>
        <v>#VALUE!</v>
      </c>
      <c r="AV324" t="e">
        <f>'Project Business Checklist'!89:89-"AM:!1QN"</f>
        <v>#VALUE!</v>
      </c>
      <c r="AW324" t="e">
        <f>'Project Business Checklist'!90:90-"AM:!1QO"</f>
        <v>#VALUE!</v>
      </c>
      <c r="AX324" t="e">
        <f>'Project Business Checklist'!91:91-"AM:!1QP"</f>
        <v>#VALUE!</v>
      </c>
      <c r="AY324" t="e">
        <f>'Project Business Checklist'!92:92-"AM:!1QQ"</f>
        <v>#VALUE!</v>
      </c>
      <c r="AZ324" t="e">
        <f>'Project Business Checklist'!93:93-"AM:!1QR"</f>
        <v>#VALUE!</v>
      </c>
      <c r="BA324" t="e">
        <f>'Project Business Checklist'!94:94-"AM:!1QS"</f>
        <v>#VALUE!</v>
      </c>
      <c r="BB324" t="e">
        <f>'Project Business Checklist'!95:95-"AM:!1QT"</f>
        <v>#VALUE!</v>
      </c>
      <c r="BC324" t="e">
        <f>'Project Business Checklist'!96:96-"AM:!1QU"</f>
        <v>#VALUE!</v>
      </c>
      <c r="BD324" t="e">
        <f>'Project Business Checklist'!97:97-"AM:!1QV"</f>
        <v>#VALUE!</v>
      </c>
      <c r="BE324" t="e">
        <f>'Project Business Checklist'!98:98-"AM:!1QW"</f>
        <v>#VALUE!</v>
      </c>
      <c r="BF324" t="e">
        <f>'Project Business Checklist'!99:99-"AM:!1QX"</f>
        <v>#VALUE!</v>
      </c>
      <c r="BG324" t="e">
        <f>'Project Business Checklist'!100:100-"AM:!1QY"</f>
        <v>#VALUE!</v>
      </c>
      <c r="BH324" t="e">
        <f>'Project Business Checklist'!101:101-"AM:!1QZ"</f>
        <v>#VALUE!</v>
      </c>
      <c r="BI324" t="e">
        <f>'Project Business Checklist'!102:102-"AM:!1Q["</f>
        <v>#VALUE!</v>
      </c>
      <c r="BJ324" t="e">
        <f>'Project Business Checklist'!103:103-"AM:!1Q\"</f>
        <v>#VALUE!</v>
      </c>
      <c r="BK324" t="e">
        <f>'Project Business Checklist'!104:104-"AM:!1Q]"</f>
        <v>#VALUE!</v>
      </c>
      <c r="BL324" t="e">
        <f>'Project Business Checklist'!105:105-"AM:!1Q^"</f>
        <v>#VALUE!</v>
      </c>
      <c r="BM324" t="e">
        <f>'Project Business Checklist'!106:106-"AM:!1Q_"</f>
        <v>#VALUE!</v>
      </c>
      <c r="BN324" t="e">
        <f>'Project Business Checklist'!107:107-"AM:!1Q`"</f>
        <v>#VALUE!</v>
      </c>
      <c r="BO324" t="e">
        <f>'Project Business Checklist'!108:108-"AM:!1Qa"</f>
        <v>#VALUE!</v>
      </c>
      <c r="BP324" t="e">
        <f>'Project Business Checklist'!109:109-"AM:!1Qb"</f>
        <v>#VALUE!</v>
      </c>
      <c r="BQ324" t="e">
        <f>'Project Business Checklist'!110:110-"AM:!1Qc"</f>
        <v>#VALUE!</v>
      </c>
      <c r="BR324" t="e">
        <f>'Project Business Checklist'!111:111-"AM:!1Qd"</f>
        <v>#VALUE!</v>
      </c>
      <c r="BS324" t="e">
        <f>'Project Business Checklist'!112:112-"AM:!1Qe"</f>
        <v>#VALUE!</v>
      </c>
      <c r="BT324" t="e">
        <f>'Project Business Checklist'!113:113-"AM:!1Qf"</f>
        <v>#VALUE!</v>
      </c>
      <c r="BU324" t="e">
        <f>'Project Business Checklist'!114:114-"AM:!1Qg"</f>
        <v>#VALUE!</v>
      </c>
      <c r="BV324" t="e">
        <f>'Project Business Checklist'!115:115-"AM:!1Qh"</f>
        <v>#VALUE!</v>
      </c>
      <c r="BW324" t="e">
        <f>'Project Business Checklist'!116:116-"AM:!1Qi"</f>
        <v>#VALUE!</v>
      </c>
      <c r="BX324" t="e">
        <f>'Project Business Checklist'!117:117-"AM:!1Qj"</f>
        <v>#VALUE!</v>
      </c>
      <c r="BY324" t="e">
        <f>'Project Business Checklist'!118:118-"AM:!1Qk"</f>
        <v>#VALUE!</v>
      </c>
      <c r="BZ324" t="e">
        <f>'Project Business Checklist'!119:119-"AM:!1Ql"</f>
        <v>#VALUE!</v>
      </c>
      <c r="CA324" t="e">
        <f>'Project Business Checklist'!120:120-"AM:!1Qm"</f>
        <v>#VALUE!</v>
      </c>
      <c r="CB324" t="e">
        <f>'Project Business Checklist'!121:121-"AM:!1Qn"</f>
        <v>#VALUE!</v>
      </c>
      <c r="CC324" t="e">
        <f>'Project Business Checklist'!122:122-"AM:!1Qo"</f>
        <v>#VALUE!</v>
      </c>
      <c r="CD324" t="e">
        <f>'Project Business Checklist'!123:123-"AM:!1Qp"</f>
        <v>#VALUE!</v>
      </c>
      <c r="CE324" t="e">
        <f>'Project Business Checklist'!124:124-"AM:!1Qq"</f>
        <v>#VALUE!</v>
      </c>
      <c r="CF324" t="e">
        <f>'Project Business Checklist'!125:125-"AM:!1Qr"</f>
        <v>#VALUE!</v>
      </c>
      <c r="CG324" t="e">
        <f>'Project Business Checklist'!126:126-"AM:!1Qs"</f>
        <v>#VALUE!</v>
      </c>
      <c r="CH324" t="e">
        <f>'Project Business Checklist'!127:127-"AM:!1Qt"</f>
        <v>#VALUE!</v>
      </c>
      <c r="CI324" t="e">
        <f>'Project Business Checklist'!128:128-"AM:!1Qu"</f>
        <v>#VALUE!</v>
      </c>
      <c r="CJ324" t="e">
        <f>'Project Business Checklist'!129:129-"AM:!1Qv"</f>
        <v>#VALUE!</v>
      </c>
      <c r="CK324" t="e">
        <f>'Project Business Checklist'!130:130-"AM:!1Qw"</f>
        <v>#VALUE!</v>
      </c>
      <c r="CL324" t="e">
        <f>'Project Business Checklist'!131:131-"AM:!1Qx"</f>
        <v>#VALUE!</v>
      </c>
      <c r="CM324" t="e">
        <f>'Project Business Checklist'!132:132-"AM:!1Qy"</f>
        <v>#VALUE!</v>
      </c>
      <c r="CN324" t="e">
        <f>'Project Business Checklist'!133:133-"AM:!1Qz"</f>
        <v>#VALUE!</v>
      </c>
      <c r="CO324" t="e">
        <f>'Project Business Checklist'!134:134-"AM:!1Q{"</f>
        <v>#VALUE!</v>
      </c>
      <c r="CP324" t="e">
        <f>'Project Business Checklist'!135:135-"AM:!1Q|"</f>
        <v>#VALUE!</v>
      </c>
      <c r="CQ324" t="e">
        <f>'Project Business Checklist'!136:136-"AM:!1Q}"</f>
        <v>#VALUE!</v>
      </c>
      <c r="CR324" t="e">
        <f>'Project Business Checklist'!137:137-"AM:!1Q~"</f>
        <v>#VALUE!</v>
      </c>
      <c r="CS324" t="e">
        <f>'Project Business Checklist'!138:138-"AM:!1R#"</f>
        <v>#VALUE!</v>
      </c>
      <c r="CT324" t="e">
        <f>'Project Business Checklist'!139:139-"AM:!1R$"</f>
        <v>#VALUE!</v>
      </c>
      <c r="CU324" t="e">
        <f>'Project Business Checklist'!140:140-"AM:!1R%"</f>
        <v>#VALUE!</v>
      </c>
      <c r="CV324" t="e">
        <f>'Project Business Checklist'!141:141-"AM:!1R&amp;"</f>
        <v>#VALUE!</v>
      </c>
      <c r="CW324" t="e">
        <f>'Project Business Checklist'!142:142-"AM:!1R'"</f>
        <v>#VALUE!</v>
      </c>
      <c r="CX324" t="e">
        <f>'Project Business Checklist'!143:143-"AM:!1R("</f>
        <v>#VALUE!</v>
      </c>
      <c r="CY324" t="e">
        <f>'Project Business Checklist'!144:144-"AM:!1R)"</f>
        <v>#VALUE!</v>
      </c>
      <c r="CZ324" t="e">
        <f>'Project Business Checklist'!145:145-"AM:!1R."</f>
        <v>#VALUE!</v>
      </c>
      <c r="DA324" t="e">
        <f>'Project Business Checklist'!146:146-"AM:!1R/"</f>
        <v>#VALUE!</v>
      </c>
      <c r="DB324" t="e">
        <f>'Project Business Checklist'!147:147-"AM:!1R0"</f>
        <v>#VALUE!</v>
      </c>
      <c r="DC324" t="e">
        <f>'Project Business Checklist'!148:148-"AM:!1R1"</f>
        <v>#VALUE!</v>
      </c>
      <c r="DD324" t="e">
        <f>'Project Business Checklist'!149:149-"AM:!1R2"</f>
        <v>#VALUE!</v>
      </c>
      <c r="DE324" t="e">
        <f>'Project Business Checklist'!150:150-"AM:!1R3"</f>
        <v>#VALUE!</v>
      </c>
      <c r="DF324" t="e">
        <f>'Project Business Checklist'!151:151-"AM:!1R4"</f>
        <v>#VALUE!</v>
      </c>
      <c r="DG324" t="e">
        <f>'Project Business Checklist'!152:152-"AM:!1R5"</f>
        <v>#VALUE!</v>
      </c>
      <c r="DH324" t="e">
        <f>'Project Business Checklist'!153:153-"AM:!1R6"</f>
        <v>#VALUE!</v>
      </c>
      <c r="DI324" t="e">
        <f>'Project Business Checklist'!154:154-"AM:!1R7"</f>
        <v>#VALUE!</v>
      </c>
      <c r="DJ324" t="e">
        <f>'Project Business Checklist'!155:155-"AM:!1R8"</f>
        <v>#VALUE!</v>
      </c>
      <c r="DK324" t="e">
        <f>'Project Business Checklist'!156:156-"AM:!1R9"</f>
        <v>#VALUE!</v>
      </c>
      <c r="DL324" t="e">
        <f>'Project Business Checklist'!157:157-"AM:!1R:"</f>
        <v>#VALUE!</v>
      </c>
      <c r="DM324" t="e">
        <f>'Project Business Checklist'!158:158-"AM:!1R;"</f>
        <v>#VALUE!</v>
      </c>
      <c r="DN324" t="e">
        <f>'Project Business Checklist'!159:159-"AM:!1R&lt;"</f>
        <v>#VALUE!</v>
      </c>
      <c r="DO324" t="e">
        <f>'Project Business Checklist'!160:160-"AM:!1R="</f>
        <v>#VALUE!</v>
      </c>
      <c r="DP324" t="e">
        <f>'Project Business Checklist'!161:161-"AM:!1R&gt;"</f>
        <v>#VALUE!</v>
      </c>
      <c r="DQ324" t="e">
        <f>'Project Business Checklist'!162:162-"AM:!1R?"</f>
        <v>#VALUE!</v>
      </c>
      <c r="DR324" t="e">
        <f>'Project Business Checklist'!163:163-"AM:!1R@"</f>
        <v>#VALUE!</v>
      </c>
      <c r="DS324" t="e">
        <f>'Project Business Checklist'!164:164-"AM:!1RA"</f>
        <v>#VALUE!</v>
      </c>
      <c r="DT324" t="e">
        <f>'Project Business Checklist'!165:165-"AM:!1RB"</f>
        <v>#VALUE!</v>
      </c>
      <c r="DU324" t="e">
        <f>'Project Business Checklist'!166:166-"AM:!1RC"</f>
        <v>#VALUE!</v>
      </c>
      <c r="DV324" t="e">
        <f>'Project Business Checklist'!167:167-"AM:!1RD"</f>
        <v>#VALUE!</v>
      </c>
      <c r="DW324" t="e">
        <f>'Project Business Checklist'!168:168-"AM:!1RE"</f>
        <v>#VALUE!</v>
      </c>
      <c r="DX324" t="e">
        <f>'Project Business Checklist'!169:169-"AM:!1RF"</f>
        <v>#VALUE!</v>
      </c>
      <c r="DY324" t="e">
        <f>'Project Business Checklist'!170:170-"AM:!1RG"</f>
        <v>#VALUE!</v>
      </c>
      <c r="DZ324" t="e">
        <f>'Project Business Checklist'!171:171-"AM:!1RH"</f>
        <v>#VALUE!</v>
      </c>
      <c r="EA324" t="e">
        <f>'Project Business Checklist'!172:172-"AM:!1RI"</f>
        <v>#VALUE!</v>
      </c>
      <c r="EB324" t="e">
        <f>'Project Business Checklist'!173:173-"AM:!1RJ"</f>
        <v>#VALUE!</v>
      </c>
      <c r="EC324" t="e">
        <f>'Project Business Checklist'!174:174-"AM:!1RK"</f>
        <v>#VALUE!</v>
      </c>
      <c r="ED324" t="e">
        <f>'Project Business Checklist'!175:175-"AM:!1RL"</f>
        <v>#VALUE!</v>
      </c>
      <c r="EE324" t="e">
        <f>'Project Business Checklist'!176:176-"AM:!1RM"</f>
        <v>#VALUE!</v>
      </c>
      <c r="EF324" t="e">
        <f>'Project Business Checklist'!177:177-"AM:!1RN"</f>
        <v>#VALUE!</v>
      </c>
      <c r="EG324" t="e">
        <f>'Project Business Checklist'!178:178-"AM:!1RO"</f>
        <v>#VALUE!</v>
      </c>
      <c r="EH324" t="e">
        <f>'Project Business Checklist'!179:179-"AM:!1RP"</f>
        <v>#VALUE!</v>
      </c>
      <c r="EI324" t="e">
        <f>'Project Business Checklist'!180:180-"AM:!1RQ"</f>
        <v>#VALUE!</v>
      </c>
      <c r="EJ324" t="e">
        <f>'Project Business Checklist'!181:181-"AM:!1RR"</f>
        <v>#VALUE!</v>
      </c>
      <c r="EK324" t="e">
        <f>'Project Business Checklist'!182:182-"AM:!1RS"</f>
        <v>#VALUE!</v>
      </c>
      <c r="EL324" t="e">
        <f>'Project Business Checklist'!183:183-"AM:!1RT"</f>
        <v>#VALUE!</v>
      </c>
      <c r="EM324" t="e">
        <f>'Project Business Checklist'!184:184-"AM:!1RU"</f>
        <v>#VALUE!</v>
      </c>
      <c r="EN324" t="e">
        <f>'Project Business Checklist'!185:185-"AM:!1RV"</f>
        <v>#VALUE!</v>
      </c>
      <c r="EO324" t="e">
        <f>'Project Business Checklist'!186:186-"AM:!1RW"</f>
        <v>#VALUE!</v>
      </c>
      <c r="EP324" t="e">
        <f>'Project Business Checklist'!187:187-"AM:!1RX"</f>
        <v>#VALUE!</v>
      </c>
      <c r="EQ324" t="e">
        <f>'Project Business Checklist'!188:188-"AM:!1RY"</f>
        <v>#VALUE!</v>
      </c>
      <c r="ER324" t="e">
        <f>'Project Business Checklist'!189:189-"AM:!1RZ"</f>
        <v>#VALUE!</v>
      </c>
      <c r="ES324" t="e">
        <f>'Project Business Checklist'!190:190-"AM:!1R["</f>
        <v>#VALUE!</v>
      </c>
      <c r="ET324" t="e">
        <f>'Project Business Checklist'!191:191-"AM:!1R\"</f>
        <v>#VALUE!</v>
      </c>
      <c r="EU324" t="e">
        <f>'Project Business Checklist'!192:192-"AM:!1R]"</f>
        <v>#VALUE!</v>
      </c>
      <c r="EV324" t="e">
        <f>'Project Business Checklist'!193:193-"AM:!1R^"</f>
        <v>#VALUE!</v>
      </c>
      <c r="EW324" t="e">
        <f>'Project Business Checklist'!194:194-"AM:!1R_"</f>
        <v>#VALUE!</v>
      </c>
      <c r="EX324" t="e">
        <f>'Project Business Checklist'!195:195-"AM:!1R`"</f>
        <v>#VALUE!</v>
      </c>
      <c r="EY324" t="e">
        <f>'Project Business Checklist'!196:196-"AM:!1Ra"</f>
        <v>#VALUE!</v>
      </c>
      <c r="EZ324" t="e">
        <f>'Project Business Checklist'!197:197-"AM:!1Rb"</f>
        <v>#VALUE!</v>
      </c>
      <c r="FA324" t="e">
        <f>'Project Business Checklist'!198:198-"AM:!1Rc"</f>
        <v>#VALUE!</v>
      </c>
      <c r="FB324" t="e">
        <f>'Project Business Checklist'!199:199-"AM:!1Rd"</f>
        <v>#VALUE!</v>
      </c>
      <c r="FC324" t="e">
        <f>'Project Business Checklist'!200:200-"AM:!1Re"</f>
        <v>#VALUE!</v>
      </c>
      <c r="FD324" t="e">
        <f>'Project Business Checklist'!201:201-"AM:!1Rf"</f>
        <v>#VALUE!</v>
      </c>
      <c r="FE324" t="e">
        <f>'Project Business Checklist'!202:202-"AM:!1Rg"</f>
        <v>#VALUE!</v>
      </c>
      <c r="FF324" t="e">
        <f>'Project Business Checklist'!203:203-"AM:!1Rh"</f>
        <v>#VALUE!</v>
      </c>
      <c r="FG324" t="e">
        <f>'Project Business Checklist'!204:204-"AM:!1Ri"</f>
        <v>#VALUE!</v>
      </c>
      <c r="FH324" t="e">
        <f>'Project Business Checklist'!205:205-"AM:!1Rj"</f>
        <v>#VALUE!</v>
      </c>
      <c r="FI324" t="e">
        <f>'Project Business Checklist'!206:206-"AM:!1Rk"</f>
        <v>#VALUE!</v>
      </c>
      <c r="FJ324" t="e">
        <f>'Project Business Checklist'!207:207-"AM:!1Rl"</f>
        <v>#VALUE!</v>
      </c>
      <c r="FK324" t="e">
        <f>'Project Business Checklist'!208:208-"AM:!1Rm"</f>
        <v>#VALUE!</v>
      </c>
      <c r="FL324" t="e">
        <f>'Project Business Checklist'!209:209-"AM:!1Rn"</f>
        <v>#VALUE!</v>
      </c>
      <c r="FM324" t="e">
        <f>'Project Business Checklist'!210:210-"AM:!1Ro"</f>
        <v>#VALUE!</v>
      </c>
      <c r="FN324" t="e">
        <f>'Project Business Checklist'!211:211-"AM:!1Rp"</f>
        <v>#VALUE!</v>
      </c>
      <c r="FO324" t="e">
        <f>'Project Business Checklist'!212:212-"AM:!1Rq"</f>
        <v>#VALUE!</v>
      </c>
      <c r="FP324" t="e">
        <f>'Project Business Checklist'!213:213-"AM:!1Rr"</f>
        <v>#VALUE!</v>
      </c>
      <c r="FQ324" t="e">
        <f>'Project Business Checklist'!214:214-"AM:!1Rs"</f>
        <v>#VALUE!</v>
      </c>
      <c r="FR324" t="e">
        <f>'Project Business Checklist'!215:215-"AM:!1Rt"</f>
        <v>#VALUE!</v>
      </c>
      <c r="FS324" t="e">
        <f>'Project Business Checklist'!216:216-"AM:!1Ru"</f>
        <v>#VALUE!</v>
      </c>
      <c r="FT324" t="e">
        <f>'Project Business Checklist'!217:217-"AM:!1Rv"</f>
        <v>#VALUE!</v>
      </c>
      <c r="FU324" t="e">
        <f>'Project Business Checklist'!218:218-"AM:!1Rw"</f>
        <v>#VALUE!</v>
      </c>
      <c r="FV324" t="e">
        <f>'Project Business Checklist'!219:219-"AM:!1Rx"</f>
        <v>#VALUE!</v>
      </c>
      <c r="FW324" t="e">
        <f>'Project Business Checklist'!220:220-"AM:!1Ry"</f>
        <v>#VALUE!</v>
      </c>
      <c r="FX324" t="e">
        <f>'Project Business Checklist'!221:221-"AM:!1Rz"</f>
        <v>#VALUE!</v>
      </c>
      <c r="FY324" t="e">
        <f>'Project Business Checklist'!222:222-"AM:!1R{"</f>
        <v>#VALUE!</v>
      </c>
      <c r="FZ324" t="e">
        <f>'Project Business Checklist'!223:223-"AM:!1R|"</f>
        <v>#VALUE!</v>
      </c>
      <c r="GA324" t="e">
        <f>'Project Business Checklist'!224:224-"AM:!1R}"</f>
        <v>#VALUE!</v>
      </c>
      <c r="GB324" t="e">
        <f>'Project Business Checklist'!225:225-"AM:!1R~"</f>
        <v>#VALUE!</v>
      </c>
      <c r="GC324" t="e">
        <f>'Project Business Checklist'!226:226-"AM:!1S#"</f>
        <v>#VALUE!</v>
      </c>
      <c r="GD324" t="e">
        <f>'Project Business Checklist'!227:227-"AM:!1S$"</f>
        <v>#VALUE!</v>
      </c>
      <c r="GE324" t="e">
        <f>'Project Business Checklist'!228:228-"AM:!1S%"</f>
        <v>#VALUE!</v>
      </c>
      <c r="GF324" t="e">
        <f>'Project Business Checklist'!229:229-"AM:!1S&amp;"</f>
        <v>#VALUE!</v>
      </c>
      <c r="GG324" t="e">
        <f>'Project Business Checklist'!230:230-"AM:!1S'"</f>
        <v>#VALUE!</v>
      </c>
      <c r="GH324" t="e">
        <f>'Project Business Checklist'!231:231-"AM:!1S("</f>
        <v>#VALUE!</v>
      </c>
      <c r="GI324" t="e">
        <f>'Project Business Checklist'!232:232-"AM:!1S)"</f>
        <v>#VALUE!</v>
      </c>
      <c r="GJ324" t="e">
        <f>'Project Business Checklist'!233:233-"AM:!1S."</f>
        <v>#VALUE!</v>
      </c>
      <c r="GK324" t="e">
        <f>'Project Business Checklist'!234:234-"AM:!1S/"</f>
        <v>#VALUE!</v>
      </c>
      <c r="GL324" t="e">
        <f>'Project Business Checklist'!235:235-"AM:!1S0"</f>
        <v>#VALUE!</v>
      </c>
      <c r="GM324" t="e">
        <f>'Project Business Checklist'!236:236-"AM:!1S1"</f>
        <v>#VALUE!</v>
      </c>
      <c r="GN324" t="e">
        <f>'Project Business Checklist'!237:237-"AM:!1S2"</f>
        <v>#VALUE!</v>
      </c>
      <c r="GO324" t="e">
        <f>'Project Business Checklist'!238:238-"AM:!1S3"</f>
        <v>#VALUE!</v>
      </c>
      <c r="GP324" t="e">
        <f>'Project Business Checklist'!239:239-"AM:!1S4"</f>
        <v>#VALUE!</v>
      </c>
      <c r="GQ324" t="e">
        <f>'Project Business Checklist'!240:240-"AM:!1S5"</f>
        <v>#VALUE!</v>
      </c>
      <c r="GR324" t="e">
        <f>'Project Business Checklist'!241:241-"AM:!1S6"</f>
        <v>#VALUE!</v>
      </c>
      <c r="GS324" t="e">
        <f>'Project Business Checklist'!242:242-"AM:!1S7"</f>
        <v>#VALUE!</v>
      </c>
      <c r="GT324" t="e">
        <f>'Project Business Checklist'!243:243-"AM:!1S8"</f>
        <v>#VALUE!</v>
      </c>
      <c r="GU324" t="e">
        <f>'Project Business Checklist'!244:244-"AM:!1S9"</f>
        <v>#VALUE!</v>
      </c>
      <c r="GV324" t="e">
        <f>'Project Business Checklist'!245:245-"AM:!1S:"</f>
        <v>#VALUE!</v>
      </c>
      <c r="GW324" t="e">
        <f>'Project Business Checklist'!246:246-"AM:!1S;"</f>
        <v>#VALUE!</v>
      </c>
      <c r="GX324" t="e">
        <f>'Project Business Checklist'!247:247-"AM:!1S&lt;"</f>
        <v>#VALUE!</v>
      </c>
      <c r="GY324" t="e">
        <f>'Project Business Checklist'!248:248-"AM:!1S="</f>
        <v>#VALUE!</v>
      </c>
      <c r="GZ324" t="e">
        <f>'Project Business Checklist'!249:249-"AM:!1S&gt;"</f>
        <v>#VALUE!</v>
      </c>
      <c r="HA324" t="e">
        <f>'Project Business Checklist'!250:250-"AM:!1S?"</f>
        <v>#VALUE!</v>
      </c>
      <c r="HB324" t="e">
        <f>'Project Business Checklist'!251:251-"AM:!1S@"</f>
        <v>#VALUE!</v>
      </c>
      <c r="HC324" t="e">
        <f>'Project Business Checklist'!252:252-"AM:!1SA"</f>
        <v>#VALUE!</v>
      </c>
      <c r="HD324" t="e">
        <f>'Project Business Checklist'!253:253-"AM:!1SB"</f>
        <v>#VALUE!</v>
      </c>
      <c r="HE324" t="e">
        <f>'Project Business Checklist'!254:254-"AM:!1SC"</f>
        <v>#VALUE!</v>
      </c>
      <c r="HF324" t="e">
        <f>'Project Business Checklist'!255:255-"AM:!1SD"</f>
        <v>#VALUE!</v>
      </c>
      <c r="HG324" t="e">
        <f>'Project Business Checklist'!256:256-"AM:!1SE"</f>
        <v>#VALUE!</v>
      </c>
      <c r="HH324" t="e">
        <f>'Project Business Checklist'!257:257-"AM:!1SF"</f>
        <v>#VALUE!</v>
      </c>
      <c r="HI324" t="e">
        <f>'Project Business Checklist'!258:258-"AM:!1SG"</f>
        <v>#VALUE!</v>
      </c>
      <c r="HJ324" t="e">
        <f>'Project Business Checklist'!259:259-"AM:!1SH"</f>
        <v>#VALUE!</v>
      </c>
      <c r="HK324" t="e">
        <f>'Project Business Checklist'!260:260-"AM:!1SI"</f>
        <v>#VALUE!</v>
      </c>
      <c r="HL324" t="e">
        <f>'Project Business Checklist'!261:261-"AM:!1SJ"</f>
        <v>#VALUE!</v>
      </c>
      <c r="HM324" t="e">
        <f>'Project Business Checklist'!262:262-"AM:!1SK"</f>
        <v>#VALUE!</v>
      </c>
      <c r="HN324" t="e">
        <f>'Project Business Checklist'!263:263-"AM:!1SL"</f>
        <v>#VALUE!</v>
      </c>
      <c r="HO324" t="e">
        <f>'Project Business Checklist'!264:264-"AM:!1SM"</f>
        <v>#VALUE!</v>
      </c>
      <c r="HP324" t="e">
        <f>'Project Business Checklist'!265:265-"AM:!1SN"</f>
        <v>#VALUE!</v>
      </c>
      <c r="HQ324" t="e">
        <f>'Project Business Checklist'!266:266-"AM:!1SO"</f>
        <v>#VALUE!</v>
      </c>
      <c r="HR324" t="e">
        <f>'Project Business Checklist'!267:267-"AM:!1SP"</f>
        <v>#VALUE!</v>
      </c>
      <c r="HS324" t="e">
        <f>'Project Business Checklist'!268:268-"AM:!1SQ"</f>
        <v>#VALUE!</v>
      </c>
      <c r="HT324" t="e">
        <f>'Project Business Checklist'!269:269-"AM:!1SR"</f>
        <v>#VALUE!</v>
      </c>
      <c r="HU324" t="e">
        <f>'Project Business Checklist'!270:270-"AM:!1SS"</f>
        <v>#VALUE!</v>
      </c>
      <c r="HV324" t="e">
        <f>'Project Business Checklist'!271:271-"AM:!1ST"</f>
        <v>#VALUE!</v>
      </c>
      <c r="HW324" t="e">
        <f>'Project Business Checklist'!272:272-"AM:!1SU"</f>
        <v>#VALUE!</v>
      </c>
      <c r="HX324" t="e">
        <f>'Project Business Checklist'!273:273-"AM:!1SV"</f>
        <v>#VALUE!</v>
      </c>
      <c r="HY324" t="e">
        <f>'Project Business Checklist'!274:274-"AM:!1SW"</f>
        <v>#VALUE!</v>
      </c>
      <c r="HZ324" t="e">
        <f>'Project Business Checklist'!275:275-"AM:!1SX"</f>
        <v>#VALUE!</v>
      </c>
      <c r="IA324" t="e">
        <f>'Project Business Checklist'!276:276-"AM:!1SY"</f>
        <v>#VALUE!</v>
      </c>
      <c r="IB324" t="e">
        <f>'Project Business Checklist'!277:277-"AM:!1SZ"</f>
        <v>#VALUE!</v>
      </c>
      <c r="IC324" t="e">
        <f>'Project Business Checklist'!278:278-"AM:!1S["</f>
        <v>#VALUE!</v>
      </c>
      <c r="ID324" t="e">
        <f>'Project Business Checklist'!279:279-"AM:!1S\"</f>
        <v>#VALUE!</v>
      </c>
      <c r="IE324" t="e">
        <f>'Project Business Checklist'!280:280-"AM:!1S]"</f>
        <v>#VALUE!</v>
      </c>
      <c r="IF324" t="e">
        <f>'Project Business Checklist'!281:281-"AM:!1S^"</f>
        <v>#VALUE!</v>
      </c>
      <c r="IG324" t="e">
        <f>'Project Business Checklist'!282:282-"AM:!1S_"</f>
        <v>#VALUE!</v>
      </c>
      <c r="IH324" t="e">
        <f>'Project Business Checklist'!283:283-"AM:!1S`"</f>
        <v>#VALUE!</v>
      </c>
      <c r="II324" t="e">
        <f>'Project Business Checklist'!284:284-"AM:!1Sa"</f>
        <v>#VALUE!</v>
      </c>
      <c r="IJ324" t="e">
        <f>'Project Business Checklist'!285:285-"AM:!1Sb"</f>
        <v>#VALUE!</v>
      </c>
      <c r="IK324" t="e">
        <f>'Project Business Checklist'!286:286-"AM:!1Sc"</f>
        <v>#VALUE!</v>
      </c>
      <c r="IL324" t="e">
        <f>'Project Business Checklist'!287:287-"AM:!1Sd"</f>
        <v>#VALUE!</v>
      </c>
      <c r="IM324" t="e">
        <f>'Project Business Checklist'!288:288-"AM:!1Se"</f>
        <v>#VALUE!</v>
      </c>
      <c r="IN324" t="e">
        <f>'Project Business Checklist'!289:289-"AM:!1Sf"</f>
        <v>#VALUE!</v>
      </c>
      <c r="IO324" t="e">
        <f>'Project Business Checklist'!290:290-"AM:!1Sg"</f>
        <v>#VALUE!</v>
      </c>
      <c r="IP324" t="e">
        <f>'Project Business Checklist'!291:291-"AM:!1Sh"</f>
        <v>#VALUE!</v>
      </c>
      <c r="IQ324" t="e">
        <f>'Project Business Checklist'!292:292-"AM:!1Si"</f>
        <v>#VALUE!</v>
      </c>
      <c r="IR324" t="e">
        <f>'Project Business Checklist'!293:293-"AM:!1Sj"</f>
        <v>#VALUE!</v>
      </c>
      <c r="IS324" t="e">
        <f>'Project Business Checklist'!294:294-"AM:!1Sk"</f>
        <v>#VALUE!</v>
      </c>
      <c r="IT324" t="e">
        <f>'Project Business Checklist'!295:295-"AM:!1Sl"</f>
        <v>#VALUE!</v>
      </c>
      <c r="IU324" t="e">
        <f>'Project Business Checklist'!296:296-"AM:!1Sm"</f>
        <v>#VALUE!</v>
      </c>
      <c r="IV324" t="e">
        <f>'Project Business Checklist'!297:297-"AM:!1Sn"</f>
        <v>#VALUE!</v>
      </c>
    </row>
    <row r="325" spans="6:256">
      <c r="F325" t="e">
        <f>'Project Business Checklist'!298:298-"AM:!1So"</f>
        <v>#VALUE!</v>
      </c>
      <c r="G325" t="e">
        <f>'Project Business Checklist'!299:299-"AM:!1Sp"</f>
        <v>#VALUE!</v>
      </c>
      <c r="H325" t="e">
        <f>'Project Business Checklist'!300:300-"AM:!1Sq"</f>
        <v>#VALUE!</v>
      </c>
      <c r="I325" t="e">
        <f>'Project Business Checklist'!301:301-"AM:!1Sr"</f>
        <v>#VALUE!</v>
      </c>
      <c r="J325" t="e">
        <f>'Project Business Checklist'!302:302-"AM:!1Ss"</f>
        <v>#VALUE!</v>
      </c>
      <c r="K325" t="e">
        <f>'Project Business Checklist'!303:303-"AM:!1St"</f>
        <v>#VALUE!</v>
      </c>
      <c r="L325" t="e">
        <f>'Project Business Checklist'!304:304-"AM:!1Su"</f>
        <v>#VALUE!</v>
      </c>
      <c r="M325" t="e">
        <f>'Project Business Checklist'!305:305-"AM:!1Sv"</f>
        <v>#VALUE!</v>
      </c>
      <c r="N325" t="e">
        <f>'Project Business Checklist'!306:306-"AM:!1Sw"</f>
        <v>#VALUE!</v>
      </c>
      <c r="O325" t="e">
        <f>'Project Business Checklist'!307:307-"AM:!1Sx"</f>
        <v>#VALUE!</v>
      </c>
      <c r="P325" t="e">
        <f>'Project Business Checklist'!308:308-"AM:!1Sy"</f>
        <v>#VALUE!</v>
      </c>
      <c r="Q325" t="e">
        <f>'Project Business Checklist'!309:309-"AM:!1Sz"</f>
        <v>#VALUE!</v>
      </c>
      <c r="R325" t="e">
        <f>'Project Business Checklist'!310:310-"AM:!1S{"</f>
        <v>#VALUE!</v>
      </c>
      <c r="S325" t="e">
        <f>'Project Business Checklist'!311:311-"AM:!1S|"</f>
        <v>#VALUE!</v>
      </c>
      <c r="T325" t="e">
        <f>'Project Business Checklist'!312:312-"AM:!1S}"</f>
        <v>#VALUE!</v>
      </c>
      <c r="U325" t="e">
        <f>'Project Business Checklist'!313:313-"AM:!1S~"</f>
        <v>#VALUE!</v>
      </c>
      <c r="V325" t="e">
        <f>'Project Business Checklist'!314:314-"AM:!1T#"</f>
        <v>#VALUE!</v>
      </c>
      <c r="W325" t="e">
        <f>'Project Business Checklist'!315:315-"AM:!1T$"</f>
        <v>#VALUE!</v>
      </c>
      <c r="X325" t="e">
        <f>'Project Business Checklist'!316:316-"AM:!1T%"</f>
        <v>#VALUE!</v>
      </c>
      <c r="Y325" t="e">
        <f>'Project Business Checklist'!317:317-"AM:!1T&amp;"</f>
        <v>#VALUE!</v>
      </c>
      <c r="Z325" t="e">
        <f>'Project Business Checklist'!318:318-"AM:!1T'"</f>
        <v>#VALUE!</v>
      </c>
      <c r="AA325" t="e">
        <f>'Project Business Checklist'!319:319-"AM:!1T("</f>
        <v>#VALUE!</v>
      </c>
      <c r="AB325" t="e">
        <f>'Project Business Checklist'!320:320-"AM:!1T)"</f>
        <v>#VALUE!</v>
      </c>
      <c r="AC325" t="e">
        <f>'Project Business Checklist'!321:321-"AM:!1T."</f>
        <v>#VALUE!</v>
      </c>
      <c r="AD325" t="e">
        <f>'Project Business Checklist'!322:322-"AM:!1T/"</f>
        <v>#VALUE!</v>
      </c>
      <c r="AE325" t="e">
        <f>'Project Business Checklist'!323:323-"AM:!1T0"</f>
        <v>#VALUE!</v>
      </c>
      <c r="AF325" t="e">
        <f>'Project Business Checklist'!324:324-"AM:!1T1"</f>
        <v>#VALUE!</v>
      </c>
      <c r="AG325" t="e">
        <f>'Project Business Checklist'!325:325-"AM:!1T2"</f>
        <v>#VALUE!</v>
      </c>
      <c r="AH325" t="e">
        <f>'Project Business Checklist'!326:326-"AM:!1T3"</f>
        <v>#VALUE!</v>
      </c>
      <c r="AI325" t="e">
        <f>'Project Business Checklist'!327:327-"AM:!1T4"</f>
        <v>#VALUE!</v>
      </c>
      <c r="AJ325" t="e">
        <f>'Project Business Checklist'!328:328-"AM:!1T5"</f>
        <v>#VALUE!</v>
      </c>
      <c r="AK325" t="e">
        <f>'Project Business Checklist'!329:329-"AM:!1T6"</f>
        <v>#VALUE!</v>
      </c>
      <c r="AL325" t="e">
        <f>'Project Business Checklist'!330:330-"AM:!1T7"</f>
        <v>#VALUE!</v>
      </c>
      <c r="AM325" t="e">
        <f>'Project Business Checklist'!331:331-"AM:!1T8"</f>
        <v>#VALUE!</v>
      </c>
      <c r="AN325" t="e">
        <f>'Project Business Checklist'!332:332-"AM:!1T9"</f>
        <v>#VALUE!</v>
      </c>
      <c r="AO325" t="e">
        <f>'Project Business Checklist'!333:333-"AM:!1T:"</f>
        <v>#VALUE!</v>
      </c>
      <c r="AP325" t="e">
        <f>'Project Business Checklist'!334:334-"AM:!1T;"</f>
        <v>#VALUE!</v>
      </c>
      <c r="AQ325" t="e">
        <f>'Project Business Checklist'!335:335-"AM:!1T&lt;"</f>
        <v>#VALUE!</v>
      </c>
      <c r="AR325" t="e">
        <f>'Project Business Checklist'!336:336-"AM:!1T="</f>
        <v>#VALUE!</v>
      </c>
      <c r="AS325" t="e">
        <f>'Project Business Checklist'!337:337-"AM:!1T&gt;"</f>
        <v>#VALUE!</v>
      </c>
      <c r="AT325" t="e">
        <f>'Project Business Checklist'!338:338-"AM:!1T?"</f>
        <v>#VALUE!</v>
      </c>
      <c r="AU325" t="e">
        <f>'Project Business Checklist'!339:339-"AM:!1T@"</f>
        <v>#VALUE!</v>
      </c>
      <c r="AV325" t="e">
        <f>'Project Business Checklist'!340:340-"AM:!1TA"</f>
        <v>#VALUE!</v>
      </c>
      <c r="AW325" t="e">
        <f>'Project Business Checklist'!341:341-"AM:!1TB"</f>
        <v>#VALUE!</v>
      </c>
      <c r="AX325" t="e">
        <f>'Project Business Checklist'!342:342-"AM:!1TC"</f>
        <v>#VALUE!</v>
      </c>
      <c r="AY325" t="e">
        <f>'Project Business Checklist'!343:343-"AM:!1TD"</f>
        <v>#VALUE!</v>
      </c>
      <c r="AZ325" t="e">
        <f>'Project Business Checklist'!344:344-"AM:!1TE"</f>
        <v>#VALUE!</v>
      </c>
      <c r="BA325" t="e">
        <f>'Project Business Checklist'!345:345-"AM:!1TF"</f>
        <v>#VALUE!</v>
      </c>
      <c r="BB325" t="e">
        <f>'Project Business Checklist'!346:346-"AM:!1TG"</f>
        <v>#VALUE!</v>
      </c>
      <c r="BC325" t="e">
        <f>'Project Business Checklist'!347:347-"AM:!1TH"</f>
        <v>#VALUE!</v>
      </c>
      <c r="BD325" t="e">
        <f>'Project Business Checklist'!348:348-"AM:!1TI"</f>
        <v>#VALUE!</v>
      </c>
      <c r="BE325" t="e">
        <f>'Project Business Checklist'!349:349-"AM:!1TJ"</f>
        <v>#VALUE!</v>
      </c>
      <c r="BF325" t="e">
        <f>'Project Business Checklist'!350:350-"AM:!1TK"</f>
        <v>#VALUE!</v>
      </c>
      <c r="BG325" t="e">
        <f>'Project Business Checklist'!351:351-"AM:!1TL"</f>
        <v>#VALUE!</v>
      </c>
      <c r="BH325" t="e">
        <f>'Project Business Checklist'!352:352-"AM:!1TM"</f>
        <v>#VALUE!</v>
      </c>
      <c r="BI325" t="e">
        <f>'Project Business Checklist'!353:353-"AM:!1TN"</f>
        <v>#VALUE!</v>
      </c>
      <c r="BJ325" t="e">
        <f>'Project Business Checklist'!354:354-"AM:!1TO"</f>
        <v>#VALUE!</v>
      </c>
      <c r="BK325" t="e">
        <f>'Project Business Checklist'!355:355-"AM:!1TP"</f>
        <v>#VALUE!</v>
      </c>
      <c r="BL325" t="e">
        <f>'Project Business Checklist'!356:356-"AM:!1TQ"</f>
        <v>#VALUE!</v>
      </c>
      <c r="BM325" t="e">
        <f>'Project Business Checklist'!357:357-"AM:!1TR"</f>
        <v>#VALUE!</v>
      </c>
      <c r="BN325" t="e">
        <f>'Project Business Checklist'!358:358-"AM:!1TS"</f>
        <v>#VALUE!</v>
      </c>
      <c r="BO325" t="e">
        <f>'Project Business Checklist'!359:359-"AM:!1TT"</f>
        <v>#VALUE!</v>
      </c>
      <c r="BP325" t="e">
        <f>'Project Business Checklist'!360:360-"AM:!1TU"</f>
        <v>#VALUE!</v>
      </c>
      <c r="BQ325" t="e">
        <f>'Project Business Checklist'!361:361-"AM:!1TV"</f>
        <v>#VALUE!</v>
      </c>
      <c r="BR325" t="e">
        <f>'Project Business Checklist'!362:362-"AM:!1TW"</f>
        <v>#VALUE!</v>
      </c>
      <c r="BS325" t="e">
        <f>'Project Business Checklist'!363:363-"AM:!1TX"</f>
        <v>#VALUE!</v>
      </c>
      <c r="BT325" t="e">
        <f>'Project Business Checklist'!364:364-"AM:!1TY"</f>
        <v>#VALUE!</v>
      </c>
      <c r="BU325" t="e">
        <f>'Project Business Checklist'!365:365-"AM:!1TZ"</f>
        <v>#VALUE!</v>
      </c>
      <c r="BV325" t="e">
        <f>'Project Business Checklist'!366:366-"AM:!1T["</f>
        <v>#VALUE!</v>
      </c>
      <c r="BW325" t="e">
        <f>'Project Business Checklist'!367:367-"AM:!1T\"</f>
        <v>#VALUE!</v>
      </c>
      <c r="BX325" t="e">
        <f>'Project Business Checklist'!368:368-"AM:!1T]"</f>
        <v>#VALUE!</v>
      </c>
      <c r="BY325" t="e">
        <f>'Project Business Checklist'!369:369-"AM:!1T^"</f>
        <v>#VALUE!</v>
      </c>
      <c r="BZ325" t="e">
        <f>'Project Business Checklist'!370:370-"AM:!1T_"</f>
        <v>#VALUE!</v>
      </c>
      <c r="CA325" t="e">
        <f>'Project Business Checklist'!371:371-"AM:!1T`"</f>
        <v>#VALUE!</v>
      </c>
      <c r="CB325" t="e">
        <f>'Project Business Checklist'!372:372-"AM:!1Ta"</f>
        <v>#VALUE!</v>
      </c>
      <c r="CC325" t="e">
        <f>'Project Business Checklist'!373:373-"AM:!1Tb"</f>
        <v>#VALUE!</v>
      </c>
      <c r="CD325" t="e">
        <f>'Project Business Checklist'!374:374-"AM:!1Tc"</f>
        <v>#VALUE!</v>
      </c>
      <c r="CE325" t="e">
        <f>'Project Business Checklist'!375:375-"AM:!1Td"</f>
        <v>#VALUE!</v>
      </c>
      <c r="CF325" t="e">
        <f>'Project Business Checklist'!376:376-"AM:!1Te"</f>
        <v>#VALUE!</v>
      </c>
      <c r="CG325" t="e">
        <f>'Project Business Checklist'!377:377-"AM:!1Tf"</f>
        <v>#VALUE!</v>
      </c>
      <c r="CH325" t="e">
        <f>'Project Business Checklist'!378:378-"AM:!1Tg"</f>
        <v>#VALUE!</v>
      </c>
      <c r="CI325" t="e">
        <f>'Project Business Checklist'!379:379-"AM:!1Th"</f>
        <v>#VALUE!</v>
      </c>
      <c r="CJ325" t="e">
        <f>'Project Business Checklist'!380:380-"AM:!1Ti"</f>
        <v>#VALUE!</v>
      </c>
      <c r="CK325" t="e">
        <f>'Project Business Checklist'!381:381-"AM:!1Tj"</f>
        <v>#VALUE!</v>
      </c>
      <c r="CL325" t="e">
        <f>'Project Business Checklist'!382:382-"AM:!1Tk"</f>
        <v>#VALUE!</v>
      </c>
      <c r="CM325" t="e">
        <f>'Project Business Checklist'!383:383-"AM:!1Tl"</f>
        <v>#VALUE!</v>
      </c>
      <c r="CN325" t="e">
        <f>'Project Business Checklist'!384:384-"AM:!1Tm"</f>
        <v>#VALUE!</v>
      </c>
      <c r="CO325" t="e">
        <f>'Project Business Checklist'!385:385-"AM:!1Tn"</f>
        <v>#VALUE!</v>
      </c>
      <c r="CP325" t="e">
        <f>'Project Business Checklist'!386:386-"AM:!1To"</f>
        <v>#VALUE!</v>
      </c>
      <c r="CQ325" t="e">
        <f>'Project Business Checklist'!387:387-"AM:!1Tp"</f>
        <v>#VALUE!</v>
      </c>
      <c r="CR325" t="e">
        <f>'Project Business Checklist'!388:388-"AM:!1Tq"</f>
        <v>#VALUE!</v>
      </c>
      <c r="CS325" t="e">
        <f>'Project Business Checklist'!389:389-"AM:!1Tr"</f>
        <v>#VALUE!</v>
      </c>
      <c r="CT325" t="e">
        <f>'Project Business Checklist'!390:390-"AM:!1Ts"</f>
        <v>#VALUE!</v>
      </c>
      <c r="CU325" t="e">
        <f>'Project Business Checklist'!391:391-"AM:!1Tt"</f>
        <v>#VALUE!</v>
      </c>
      <c r="CV325" t="e">
        <f>'Project Business Checklist'!392:392-"AM:!1Tu"</f>
        <v>#VALUE!</v>
      </c>
      <c r="CW325" t="e">
        <f>'Project Business Checklist'!393:393-"AM:!1Tv"</f>
        <v>#VALUE!</v>
      </c>
      <c r="CX325" t="e">
        <f>'Project Business Checklist'!394:394-"AM:!1Tw"</f>
        <v>#VALUE!</v>
      </c>
      <c r="CY325" t="e">
        <f>'Project Business Checklist'!395:395-"AM:!1Tx"</f>
        <v>#VALUE!</v>
      </c>
      <c r="CZ325" t="e">
        <f>'Project Business Checklist'!396:396-"AM:!1Ty"</f>
        <v>#VALUE!</v>
      </c>
      <c r="DA325" t="e">
        <f>'Project Business Checklist'!397:397-"AM:!1Tz"</f>
        <v>#VALUE!</v>
      </c>
      <c r="DB325" t="e">
        <f>'Project Business Checklist'!398:398-"AM:!1T{"</f>
        <v>#VALUE!</v>
      </c>
      <c r="DC325" t="e">
        <f>'Project Business Checklist'!399:399-"AM:!1T|"</f>
        <v>#VALUE!</v>
      </c>
      <c r="DD325" t="e">
        <f>'Project Business Checklist'!400:400-"AM:!1T}"</f>
        <v>#VALUE!</v>
      </c>
      <c r="DE325" t="e">
        <f>'Project Business Checklist'!401:401-"AM:!1T~"</f>
        <v>#VALUE!</v>
      </c>
      <c r="DF325" t="e">
        <f>'Project Business Checklist'!402:402-"AM:!1U#"</f>
        <v>#VALUE!</v>
      </c>
      <c r="DG325" t="e">
        <f>'Project Business Checklist'!403:403-"AM:!1U$"</f>
        <v>#VALUE!</v>
      </c>
      <c r="DH325" t="e">
        <f>'Project Business Checklist'!404:404-"AM:!1U%"</f>
        <v>#VALUE!</v>
      </c>
      <c r="DI325" t="e">
        <f>'Project Business Checklist'!405:405-"AM:!1U&amp;"</f>
        <v>#VALUE!</v>
      </c>
      <c r="DJ325" t="e">
        <f>'Project Business Checklist'!406:406-"AM:!1U'"</f>
        <v>#VALUE!</v>
      </c>
      <c r="DK325" t="e">
        <f>'Project Business Checklist'!407:407-"AM:!1U("</f>
        <v>#VALUE!</v>
      </c>
      <c r="DL325" t="e">
        <f>'Project Business Checklist'!408:408-"AM:!1U)"</f>
        <v>#VALUE!</v>
      </c>
      <c r="DM325" t="e">
        <f>'Project Business Checklist'!409:409-"AM:!1U."</f>
        <v>#VALUE!</v>
      </c>
      <c r="DN325" t="e">
        <f>'Project Business Checklist'!410:410-"AM:!1U/"</f>
        <v>#VALUE!</v>
      </c>
      <c r="DO325" t="e">
        <f>'Project Business Checklist'!411:411-"AM:!1U0"</f>
        <v>#VALUE!</v>
      </c>
      <c r="DP325" t="e">
        <f>'Project Business Checklist'!412:412-"AM:!1U1"</f>
        <v>#VALUE!</v>
      </c>
      <c r="DQ325" t="e">
        <f>'Project Business Checklist'!413:413-"AM:!1U2"</f>
        <v>#VALUE!</v>
      </c>
      <c r="DR325" t="e">
        <f>'Project Business Checklist'!414:414-"AM:!1U3"</f>
        <v>#VALUE!</v>
      </c>
      <c r="DS325" t="e">
        <f>'Project Business Checklist'!A1+"AM:!1U4"</f>
        <v>#VALUE!</v>
      </c>
      <c r="DT325" t="e">
        <f>'Project Business Checklist'!B1+"AM:!1U5"</f>
        <v>#VALUE!</v>
      </c>
      <c r="DU325" t="e">
        <f>'Project Business Checklist'!C1+"AM:!1U6"</f>
        <v>#VALUE!</v>
      </c>
      <c r="DV325" t="e">
        <f>'Project Business Checklist'!D1+"AM:!1U7"</f>
        <v>#VALUE!</v>
      </c>
      <c r="DW325" t="e">
        <f>'Project Business Checklist'!E1+"AM:!1U8"</f>
        <v>#VALUE!</v>
      </c>
      <c r="DX325" t="e">
        <f>'Project Business Checklist'!F1+"AM:!1U9"</f>
        <v>#VALUE!</v>
      </c>
      <c r="DY325" t="e">
        <f>'Project Business Checklist'!G1+"AM:!1U:"</f>
        <v>#VALUE!</v>
      </c>
      <c r="DZ325" t="e">
        <f>'Project Business Checklist'!H1+"AM:!1U;"</f>
        <v>#VALUE!</v>
      </c>
      <c r="EA325" t="e">
        <f>'Project Business Checklist'!I1+"AM:!1U&lt;"</f>
        <v>#VALUE!</v>
      </c>
      <c r="EB325" t="e">
        <f>'Project Business Checklist'!J1+"AM:!1U="</f>
        <v>#VALUE!</v>
      </c>
      <c r="EC325" t="e">
        <f>'Project Business Checklist'!K1+"AM:!1U&gt;"</f>
        <v>#VALUE!</v>
      </c>
      <c r="ED325" t="e">
        <f>'Project Business Checklist'!L1+"AM:!1U?"</f>
        <v>#VALUE!</v>
      </c>
      <c r="EE325" t="e">
        <f>'Project Business Checklist'!M1+"AM:!1U@"</f>
        <v>#VALUE!</v>
      </c>
      <c r="EF325" t="e">
        <f>'Project Business Checklist'!N1+"AM:!1UA"</f>
        <v>#VALUE!</v>
      </c>
      <c r="EG325" t="e">
        <f>'Project Business Checklist'!O1+"AM:!1UB"</f>
        <v>#VALUE!</v>
      </c>
      <c r="EH325" t="e">
        <f>'Project Business Checklist'!P1+"AM:!1UC"</f>
        <v>#VALUE!</v>
      </c>
      <c r="EI325" t="e">
        <f>'Project Business Checklist'!Q1+"AM:!1UD"</f>
        <v>#VALUE!</v>
      </c>
      <c r="EJ325" t="e">
        <f>'Project Business Checklist'!R1+"AM:!1UE"</f>
        <v>#VALUE!</v>
      </c>
      <c r="EK325" t="e">
        <f>'Project Business Checklist'!S1+"AM:!1UF"</f>
        <v>#VALUE!</v>
      </c>
      <c r="EL325" t="e">
        <f>'Project Business Checklist'!T1+"AM:!1UG"</f>
        <v>#VALUE!</v>
      </c>
      <c r="EM325" t="e">
        <f>'Project Business Checklist'!A2+"AM:!1UH"</f>
        <v>#VALUE!</v>
      </c>
      <c r="EN325" t="e">
        <f>'Project Business Checklist'!B2+"AM:!1UI"</f>
        <v>#VALUE!</v>
      </c>
      <c r="EO325" t="e">
        <f>'Project Business Checklist'!C2+"AM:!1UJ"</f>
        <v>#VALUE!</v>
      </c>
      <c r="EP325" t="e">
        <f>'Project Business Checklist'!D2+"AM:!1UK"</f>
        <v>#VALUE!</v>
      </c>
      <c r="EQ325" t="e">
        <f>'Project Business Checklist'!E2+"AM:!1UL"</f>
        <v>#VALUE!</v>
      </c>
      <c r="ER325" t="e">
        <f>'Project Business Checklist'!F2+"AM:!1UM"</f>
        <v>#VALUE!</v>
      </c>
      <c r="ES325" t="e">
        <f>'Project Business Checklist'!H2+"AM:!1UN"</f>
        <v>#VALUE!</v>
      </c>
      <c r="ET325" t="e">
        <f>'Project Business Checklist'!I2+"AM:!1UO"</f>
        <v>#VALUE!</v>
      </c>
      <c r="EU325" t="e">
        <f>'Project Business Checklist'!J2+"AM:!1UP"</f>
        <v>#VALUE!</v>
      </c>
      <c r="EV325" t="e">
        <f>'Project Business Checklist'!K2+"AM:!1UQ"</f>
        <v>#VALUE!</v>
      </c>
      <c r="EW325" t="e">
        <f>'Project Business Checklist'!L2+"AM:!1UR"</f>
        <v>#VALUE!</v>
      </c>
      <c r="EX325" t="e">
        <f>'Project Business Checklist'!M2+"AM:!1US"</f>
        <v>#VALUE!</v>
      </c>
      <c r="EY325" t="e">
        <f>'Project Business Checklist'!N2+"AM:!1UT"</f>
        <v>#VALUE!</v>
      </c>
      <c r="EZ325" t="e">
        <f>'Project Business Checklist'!O2+"AM:!1UU"</f>
        <v>#VALUE!</v>
      </c>
      <c r="FA325" t="e">
        <f>'Project Business Checklist'!P2+"AM:!1UV"</f>
        <v>#VALUE!</v>
      </c>
      <c r="FB325" t="e">
        <f>'Project Business Checklist'!Q2+"AM:!1UW"</f>
        <v>#VALUE!</v>
      </c>
      <c r="FC325" t="e">
        <f>'Project Business Checklist'!R2+"AM:!1UX"</f>
        <v>#VALUE!</v>
      </c>
      <c r="FD325" t="e">
        <f>'Project Business Checklist'!S2+"AM:!1UY"</f>
        <v>#VALUE!</v>
      </c>
      <c r="FE325" t="e">
        <f>'Project Business Checklist'!T2+"AM:!1UZ"</f>
        <v>#VALUE!</v>
      </c>
      <c r="FF325" t="e">
        <f>'Project Business Checklist'!A3+"AM:!1U["</f>
        <v>#VALUE!</v>
      </c>
      <c r="FG325" t="e">
        <f>'Project Business Checklist'!B3+"AM:!1U\"</f>
        <v>#VALUE!</v>
      </c>
      <c r="FH325" t="e">
        <f>'Project Business Checklist'!C3+"AM:!1U]"</f>
        <v>#VALUE!</v>
      </c>
      <c r="FI325" t="e">
        <f>'Project Business Checklist'!D3+"AM:!1U^"</f>
        <v>#VALUE!</v>
      </c>
      <c r="FJ325" t="e">
        <f>'Project Business Checklist'!E3+"AM:!1U_"</f>
        <v>#VALUE!</v>
      </c>
      <c r="FK325" t="e">
        <f>'Project Business Checklist'!F3+"AM:!1U`"</f>
        <v>#VALUE!</v>
      </c>
      <c r="FL325" t="e">
        <f>'Project Business Checklist'!H3+"AM:!1Ua"</f>
        <v>#VALUE!</v>
      </c>
      <c r="FM325" t="e">
        <f>'Project Business Checklist'!I3+"AM:!1Ub"</f>
        <v>#VALUE!</v>
      </c>
      <c r="FN325" t="e">
        <f>'Project Business Checklist'!J3+"AM:!1Uc"</f>
        <v>#VALUE!</v>
      </c>
      <c r="FO325" t="e">
        <f>'Project Business Checklist'!K3+"AM:!1Ud"</f>
        <v>#VALUE!</v>
      </c>
      <c r="FP325" t="e">
        <f>'Project Business Checklist'!L3+"AM:!1Ue"</f>
        <v>#VALUE!</v>
      </c>
      <c r="FQ325" t="e">
        <f>'Project Business Checklist'!M3+"AM:!1Uf"</f>
        <v>#VALUE!</v>
      </c>
      <c r="FR325" t="e">
        <f>'Project Business Checklist'!N3+"AM:!1Ug"</f>
        <v>#VALUE!</v>
      </c>
      <c r="FS325" t="e">
        <f>'Project Business Checklist'!O3+"AM:!1Uh"</f>
        <v>#VALUE!</v>
      </c>
      <c r="FT325" t="e">
        <f>'Project Business Checklist'!P3+"AM:!1Ui"</f>
        <v>#VALUE!</v>
      </c>
      <c r="FU325" t="e">
        <f>'Project Business Checklist'!Q3+"AM:!1Uj"</f>
        <v>#VALUE!</v>
      </c>
      <c r="FV325" t="e">
        <f>'Project Business Checklist'!R3+"AM:!1Uk"</f>
        <v>#VALUE!</v>
      </c>
      <c r="FW325" t="e">
        <f>'Project Business Checklist'!S3+"AM:!1Ul"</f>
        <v>#VALUE!</v>
      </c>
      <c r="FX325" t="e">
        <f>'Project Business Checklist'!T3+"AM:!1Um"</f>
        <v>#VALUE!</v>
      </c>
      <c r="FY325" t="e">
        <f>'Project Business Checklist'!A4+"AM:!1Un"</f>
        <v>#VALUE!</v>
      </c>
      <c r="FZ325" t="e">
        <f>'Project Business Checklist'!B4+"AM:!1Uo"</f>
        <v>#VALUE!</v>
      </c>
      <c r="GA325" t="e">
        <f>'Project Business Checklist'!C4+"AM:!1Up"</f>
        <v>#VALUE!</v>
      </c>
      <c r="GB325" t="e">
        <f>'Project Business Checklist'!D4+"AM:!1Uq"</f>
        <v>#VALUE!</v>
      </c>
      <c r="GC325" t="e">
        <f>'Project Business Checklist'!E4+"AM:!1Ur"</f>
        <v>#VALUE!</v>
      </c>
      <c r="GD325" t="e">
        <f>'Project Business Checklist'!F4+"AM:!1Us"</f>
        <v>#VALUE!</v>
      </c>
      <c r="GE325" t="e">
        <f>'Project Business Checklist'!G4+"AM:!1Ut"</f>
        <v>#VALUE!</v>
      </c>
      <c r="GF325" t="e">
        <f>'Project Business Checklist'!H4+"AM:!1Uu"</f>
        <v>#VALUE!</v>
      </c>
      <c r="GG325" t="e">
        <f>'Project Business Checklist'!I4+"AM:!1Uv"</f>
        <v>#VALUE!</v>
      </c>
      <c r="GH325" t="e">
        <f>'Project Business Checklist'!J4+"AM:!1Uw"</f>
        <v>#VALUE!</v>
      </c>
      <c r="GI325" t="e">
        <f>'Project Business Checklist'!K4+"AM:!1Ux"</f>
        <v>#VALUE!</v>
      </c>
      <c r="GJ325" t="e">
        <f>'Project Business Checklist'!L4+"AM:!1Uy"</f>
        <v>#VALUE!</v>
      </c>
      <c r="GK325" t="e">
        <f>'Project Business Checklist'!M4+"AM:!1Uz"</f>
        <v>#VALUE!</v>
      </c>
      <c r="GL325" t="e">
        <f>'Project Business Checklist'!N4+"AM:!1U{"</f>
        <v>#VALUE!</v>
      </c>
      <c r="GM325" t="e">
        <f>'Project Business Checklist'!O4+"AM:!1U|"</f>
        <v>#VALUE!</v>
      </c>
      <c r="GN325" t="e">
        <f>'Project Business Checklist'!P4+"AM:!1U}"</f>
        <v>#VALUE!</v>
      </c>
      <c r="GO325" t="e">
        <f>'Project Business Checklist'!Q4+"AM:!1U~"</f>
        <v>#VALUE!</v>
      </c>
      <c r="GP325" t="e">
        <f>'Project Business Checklist'!R4+"AM:!1V#"</f>
        <v>#VALUE!</v>
      </c>
      <c r="GQ325" t="e">
        <f>'Project Business Checklist'!S4+"AM:!1V$"</f>
        <v>#VALUE!</v>
      </c>
      <c r="GR325" t="e">
        <f>'Project Business Checklist'!T4+"AM:!1V%"</f>
        <v>#VALUE!</v>
      </c>
      <c r="GS325" t="e">
        <f>'Project Business Checklist'!A5+"AM:!1V&amp;"</f>
        <v>#VALUE!</v>
      </c>
      <c r="GT325" t="e">
        <f>'Project Business Checklist'!B5+"AM:!1V'"</f>
        <v>#VALUE!</v>
      </c>
      <c r="GU325" t="e">
        <f>'Project Business Checklist'!C5+"AM:!1V("</f>
        <v>#VALUE!</v>
      </c>
      <c r="GV325" t="e">
        <f>'Project Business Checklist'!D5+"AM:!1V)"</f>
        <v>#VALUE!</v>
      </c>
      <c r="GW325" t="e">
        <f>'Project Business Checklist'!E5+"AM:!1V."</f>
        <v>#VALUE!</v>
      </c>
      <c r="GX325" t="e">
        <f>'Project Business Checklist'!F5+"AM:!1V/"</f>
        <v>#VALUE!</v>
      </c>
      <c r="GY325" t="e">
        <f>'Project Business Checklist'!G5+"AM:!1V0"</f>
        <v>#VALUE!</v>
      </c>
      <c r="GZ325" t="e">
        <f>'Project Business Checklist'!H5+"AM:!1V1"</f>
        <v>#VALUE!</v>
      </c>
      <c r="HA325" t="e">
        <f>'Project Business Checklist'!I5+"AM:!1V2"</f>
        <v>#VALUE!</v>
      </c>
      <c r="HB325" t="e">
        <f>'Project Business Checklist'!J5+"AM:!1V3"</f>
        <v>#VALUE!</v>
      </c>
      <c r="HC325" t="e">
        <f>'Project Business Checklist'!K5+"AM:!1V4"</f>
        <v>#VALUE!</v>
      </c>
      <c r="HD325" t="e">
        <f>'Project Business Checklist'!L5+"AM:!1V5"</f>
        <v>#VALUE!</v>
      </c>
      <c r="HE325" t="e">
        <f>'Project Business Checklist'!M5+"AM:!1V6"</f>
        <v>#VALUE!</v>
      </c>
      <c r="HF325" t="e">
        <f>'Project Business Checklist'!O5+"AM:!1V7"</f>
        <v>#VALUE!</v>
      </c>
      <c r="HG325" t="e">
        <f>'Project Business Checklist'!P5+"AM:!1V8"</f>
        <v>#VALUE!</v>
      </c>
      <c r="HH325" t="e">
        <f>'Project Business Checklist'!Q5+"AM:!1V9"</f>
        <v>#VALUE!</v>
      </c>
      <c r="HI325" t="e">
        <f>'Project Business Checklist'!R5+"AM:!1V:"</f>
        <v>#VALUE!</v>
      </c>
      <c r="HJ325" t="e">
        <f>'Project Business Checklist'!A6+"AM:!1V;"</f>
        <v>#VALUE!</v>
      </c>
      <c r="HK325" t="e">
        <f>'Project Business Checklist'!B6+"AM:!1V&lt;"</f>
        <v>#VALUE!</v>
      </c>
      <c r="HL325" t="e">
        <f>'Project Business Checklist'!C6+"AM:!1V="</f>
        <v>#VALUE!</v>
      </c>
      <c r="HM325" t="e">
        <f>'Project Business Checklist'!D6+"AM:!1V&gt;"</f>
        <v>#VALUE!</v>
      </c>
      <c r="HN325" t="e">
        <f>'Project Business Checklist'!E6+"AM:!1V?"</f>
        <v>#VALUE!</v>
      </c>
      <c r="HO325" t="e">
        <f>'Project Business Checklist'!F6+"AM:!1V@"</f>
        <v>#VALUE!</v>
      </c>
      <c r="HP325" t="e">
        <f>'Project Business Checklist'!G6+"AM:!1VA"</f>
        <v>#VALUE!</v>
      </c>
      <c r="HQ325" t="e">
        <f>'Project Business Checklist'!H6+"AM:!1VB"</f>
        <v>#VALUE!</v>
      </c>
      <c r="HR325" t="e">
        <f>'Project Business Checklist'!I6+"AM:!1VC"</f>
        <v>#VALUE!</v>
      </c>
      <c r="HS325" t="e">
        <f>'Project Business Checklist'!J6+"AM:!1VD"</f>
        <v>#VALUE!</v>
      </c>
      <c r="HT325" t="e">
        <f>'Project Business Checklist'!K6+"AM:!1VE"</f>
        <v>#VALUE!</v>
      </c>
      <c r="HU325" t="e">
        <f>'Project Business Checklist'!L6+"AM:!1VF"</f>
        <v>#VALUE!</v>
      </c>
      <c r="HV325" t="e">
        <f>'Project Business Checklist'!M6+"AM:!1VG"</f>
        <v>#VALUE!</v>
      </c>
      <c r="HW325" t="e">
        <f>'Project Business Checklist'!O6+"AM:!1VH"</f>
        <v>#VALUE!</v>
      </c>
      <c r="HX325" t="e">
        <f>'Project Business Checklist'!P6+"AM:!1VI"</f>
        <v>#VALUE!</v>
      </c>
      <c r="HY325" t="e">
        <f>'Project Business Checklist'!Q6+"AM:!1VJ"</f>
        <v>#VALUE!</v>
      </c>
      <c r="HZ325" t="e">
        <f>'Project Business Checklist'!R6+"AM:!1VK"</f>
        <v>#VALUE!</v>
      </c>
      <c r="IA325" t="e">
        <f>'Project Business Checklist'!A7+"AM:!1VL"</f>
        <v>#VALUE!</v>
      </c>
      <c r="IB325" t="e">
        <f>'Project Business Checklist'!B7+"AM:!1VM"</f>
        <v>#VALUE!</v>
      </c>
      <c r="IC325" t="e">
        <f>'Project Business Checklist'!C7+"AM:!1VN"</f>
        <v>#VALUE!</v>
      </c>
      <c r="ID325" t="e">
        <f>'Project Business Checklist'!D7+"AM:!1VO"</f>
        <v>#VALUE!</v>
      </c>
      <c r="IE325" t="e">
        <f>'Project Business Checklist'!E7+"AM:!1VP"</f>
        <v>#VALUE!</v>
      </c>
      <c r="IF325" t="e">
        <f>'Project Business Checklist'!F7+"AM:!1VQ"</f>
        <v>#VALUE!</v>
      </c>
      <c r="IG325" t="e">
        <f>'Project Business Checklist'!G7+"AM:!1VR"</f>
        <v>#VALUE!</v>
      </c>
      <c r="IH325" t="e">
        <f>'Project Business Checklist'!H7+"AM:!1VS"</f>
        <v>#VALUE!</v>
      </c>
      <c r="II325" t="e">
        <f>'Project Business Checklist'!I7+"AM:!1VT"</f>
        <v>#VALUE!</v>
      </c>
      <c r="IJ325" t="e">
        <f>'Project Business Checklist'!J7+"AM:!1VU"</f>
        <v>#VALUE!</v>
      </c>
      <c r="IK325" t="e">
        <f>'Project Business Checklist'!K7+"AM:!1VV"</f>
        <v>#VALUE!</v>
      </c>
      <c r="IL325" t="e">
        <f>'Project Business Checklist'!L7+"AM:!1VW"</f>
        <v>#VALUE!</v>
      </c>
      <c r="IM325" t="e">
        <f>'Project Business Checklist'!M7+"AM:!1VX"</f>
        <v>#VALUE!</v>
      </c>
      <c r="IN325" t="e">
        <f>'Project Business Checklist'!O7+"AM:!1VY"</f>
        <v>#VALUE!</v>
      </c>
      <c r="IO325" t="e">
        <f>'Project Business Checklist'!P7+"AM:!1VZ"</f>
        <v>#VALUE!</v>
      </c>
      <c r="IP325" t="e">
        <f>'Project Business Checklist'!Q7+"AM:!1V["</f>
        <v>#VALUE!</v>
      </c>
      <c r="IQ325" t="e">
        <f>'Project Business Checklist'!R7+"AM:!1V\"</f>
        <v>#VALUE!</v>
      </c>
      <c r="IR325" t="e">
        <f>'Project Business Checklist'!A8+"AM:!1V]"</f>
        <v>#VALUE!</v>
      </c>
      <c r="IS325" t="e">
        <f>'Project Business Checklist'!B8+"AM:!1V^"</f>
        <v>#VALUE!</v>
      </c>
      <c r="IT325" t="e">
        <f>'Project Business Checklist'!C8+"AM:!1V_"</f>
        <v>#VALUE!</v>
      </c>
      <c r="IU325" t="e">
        <f>'Project Business Checklist'!D8+"AM:!1V`"</f>
        <v>#VALUE!</v>
      </c>
      <c r="IV325" t="e">
        <f>'Project Business Checklist'!E8+"AM:!1Va"</f>
        <v>#VALUE!</v>
      </c>
    </row>
    <row r="326" spans="6:256">
      <c r="F326" t="e">
        <f>'Project Business Checklist'!F8+"AM:!1Vb"</f>
        <v>#VALUE!</v>
      </c>
      <c r="G326" t="e">
        <f>'Project Business Checklist'!G8+"AM:!1Vc"</f>
        <v>#VALUE!</v>
      </c>
      <c r="H326" t="e">
        <f>'Project Business Checklist'!H8+"AM:!1Vd"</f>
        <v>#VALUE!</v>
      </c>
      <c r="I326" t="e">
        <f>'Project Business Checklist'!I8+"AM:!1Ve"</f>
        <v>#VALUE!</v>
      </c>
      <c r="J326" t="e">
        <f>'Project Business Checklist'!J8+"AM:!1Vf"</f>
        <v>#VALUE!</v>
      </c>
      <c r="K326" t="e">
        <f>'Project Business Checklist'!K8+"AM:!1Vg"</f>
        <v>#VALUE!</v>
      </c>
      <c r="L326" t="e">
        <f>'Project Business Checklist'!L8+"AM:!1Vh"</f>
        <v>#VALUE!</v>
      </c>
      <c r="M326" t="e">
        <f>'Project Business Checklist'!M8+"AM:!1Vi"</f>
        <v>#VALUE!</v>
      </c>
      <c r="N326" t="e">
        <f>'Project Business Checklist'!O8+"AM:!1Vj"</f>
        <v>#VALUE!</v>
      </c>
      <c r="O326" t="e">
        <f>'Project Business Checklist'!P8+"AM:!1Vk"</f>
        <v>#VALUE!</v>
      </c>
      <c r="P326" t="e">
        <f>'Project Business Checklist'!Q8+"AM:!1Vl"</f>
        <v>#VALUE!</v>
      </c>
      <c r="Q326" t="e">
        <f>'Project Business Checklist'!R8+"AM:!1Vm"</f>
        <v>#VALUE!</v>
      </c>
      <c r="R326" t="e">
        <f>'Project Business Checklist'!A9+"AM:!1Vn"</f>
        <v>#VALUE!</v>
      </c>
      <c r="S326" t="e">
        <f>'Project Business Checklist'!B9+"AM:!1Vo"</f>
        <v>#VALUE!</v>
      </c>
      <c r="T326" t="e">
        <f>'Project Business Checklist'!C9+"AM:!1Vp"</f>
        <v>#VALUE!</v>
      </c>
      <c r="U326" t="e">
        <f>'Project Business Checklist'!D9+"AM:!1Vq"</f>
        <v>#VALUE!</v>
      </c>
      <c r="V326" t="e">
        <f>'Project Business Checklist'!E9+"AM:!1Vr"</f>
        <v>#VALUE!</v>
      </c>
      <c r="W326" t="e">
        <f>'Project Business Checklist'!F9+"AM:!1Vs"</f>
        <v>#VALUE!</v>
      </c>
      <c r="X326" t="e">
        <f>'Project Business Checklist'!G9+"AM:!1Vt"</f>
        <v>#VALUE!</v>
      </c>
      <c r="Y326" t="e">
        <f>'Project Business Checklist'!H9+"AM:!1Vu"</f>
        <v>#VALUE!</v>
      </c>
      <c r="Z326" t="e">
        <f>'Project Business Checklist'!I9+"AM:!1Vv"</f>
        <v>#VALUE!</v>
      </c>
      <c r="AA326" t="e">
        <f>'Project Business Checklist'!J9+"AM:!1Vw"</f>
        <v>#VALUE!</v>
      </c>
      <c r="AB326" t="e">
        <f>'Project Business Checklist'!K9+"AM:!1Vx"</f>
        <v>#VALUE!</v>
      </c>
      <c r="AC326" t="e">
        <f>'Project Business Checklist'!L9+"AM:!1Vy"</f>
        <v>#VALUE!</v>
      </c>
      <c r="AD326" t="e">
        <f>'Project Business Checklist'!M9+"AM:!1Vz"</f>
        <v>#VALUE!</v>
      </c>
      <c r="AE326" t="e">
        <f>'Project Business Checklist'!O9+"AM:!1V{"</f>
        <v>#VALUE!</v>
      </c>
      <c r="AF326" t="e">
        <f>'Project Business Checklist'!P9+"AM:!1V|"</f>
        <v>#VALUE!</v>
      </c>
      <c r="AG326" t="e">
        <f>'Project Business Checklist'!R9+"AM:!1V}"</f>
        <v>#VALUE!</v>
      </c>
      <c r="AH326" t="e">
        <f>'Project Business Checklist'!A10+"AM:!1V~"</f>
        <v>#VALUE!</v>
      </c>
      <c r="AI326" t="e">
        <f>'Project Business Checklist'!B10+"AM:!1W#"</f>
        <v>#VALUE!</v>
      </c>
      <c r="AJ326" t="e">
        <f>'Project Business Checklist'!C10+"AM:!1W$"</f>
        <v>#VALUE!</v>
      </c>
      <c r="AK326" t="e">
        <f>'Project Business Checklist'!D10+"AM:!1W%"</f>
        <v>#VALUE!</v>
      </c>
      <c r="AL326" t="e">
        <f>'Project Business Checklist'!E10+"AM:!1W&amp;"</f>
        <v>#VALUE!</v>
      </c>
      <c r="AM326" t="e">
        <f>'Project Business Checklist'!F10+"AM:!1W'"</f>
        <v>#VALUE!</v>
      </c>
      <c r="AN326" t="e">
        <f>'Project Business Checklist'!G10+"AM:!1W("</f>
        <v>#VALUE!</v>
      </c>
      <c r="AO326" t="e">
        <f>'Project Business Checklist'!H10+"AM:!1W)"</f>
        <v>#VALUE!</v>
      </c>
      <c r="AP326" t="e">
        <f>'Project Business Checklist'!I10+"AM:!1W."</f>
        <v>#VALUE!</v>
      </c>
      <c r="AQ326" t="e">
        <f>'Project Business Checklist'!J10+"AM:!1W/"</f>
        <v>#VALUE!</v>
      </c>
      <c r="AR326" t="e">
        <f>'Project Business Checklist'!K10+"AM:!1W0"</f>
        <v>#VALUE!</v>
      </c>
      <c r="AS326" t="e">
        <f>'Project Business Checklist'!L10+"AM:!1W1"</f>
        <v>#VALUE!</v>
      </c>
      <c r="AT326" t="e">
        <f>'Project Business Checklist'!M10+"AM:!1W2"</f>
        <v>#VALUE!</v>
      </c>
      <c r="AU326" t="e">
        <f>'Project Business Checklist'!O10+"AM:!1W3"</f>
        <v>#VALUE!</v>
      </c>
      <c r="AV326" t="e">
        <f>'Project Business Checklist'!P10+"AM:!1W4"</f>
        <v>#VALUE!</v>
      </c>
      <c r="AW326" t="e">
        <f>'Project Business Checklist'!Q10+"AM:!1W5"</f>
        <v>#VALUE!</v>
      </c>
      <c r="AX326" t="e">
        <f>'Project Business Checklist'!R10+"AM:!1W6"</f>
        <v>#VALUE!</v>
      </c>
      <c r="AY326" t="e">
        <f>'Project Business Checklist'!A11+"AM:!1W7"</f>
        <v>#VALUE!</v>
      </c>
      <c r="AZ326" t="e">
        <f>'Project Business Checklist'!B11+"AM:!1W8"</f>
        <v>#VALUE!</v>
      </c>
      <c r="BA326" t="e">
        <f>'Project Business Checklist'!C11+"AM:!1W9"</f>
        <v>#VALUE!</v>
      </c>
      <c r="BB326" t="e">
        <f>'Project Business Checklist'!D11+"AM:!1W:"</f>
        <v>#VALUE!</v>
      </c>
      <c r="BC326" t="e">
        <f>'Project Business Checklist'!E11+"AM:!1W;"</f>
        <v>#VALUE!</v>
      </c>
      <c r="BD326" t="e">
        <f>'Project Business Checklist'!F11+"AM:!1W&lt;"</f>
        <v>#VALUE!</v>
      </c>
      <c r="BE326" t="e">
        <f>'Project Business Checklist'!G11+"AM:!1W="</f>
        <v>#VALUE!</v>
      </c>
      <c r="BF326" t="e">
        <f>'Project Business Checklist'!H11+"AM:!1W&gt;"</f>
        <v>#VALUE!</v>
      </c>
      <c r="BG326" t="e">
        <f>'Project Business Checklist'!I11+"AM:!1W?"</f>
        <v>#VALUE!</v>
      </c>
      <c r="BH326" t="e">
        <f>'Project Business Checklist'!J11+"AM:!1W@"</f>
        <v>#VALUE!</v>
      </c>
      <c r="BI326" t="e">
        <f>'Project Business Checklist'!K11+"AM:!1WA"</f>
        <v>#VALUE!</v>
      </c>
      <c r="BJ326" t="e">
        <f>'Project Business Checklist'!L11+"AM:!1WB"</f>
        <v>#VALUE!</v>
      </c>
      <c r="BK326" t="e">
        <f>'Project Business Checklist'!M11+"AM:!1WC"</f>
        <v>#VALUE!</v>
      </c>
      <c r="BL326" t="e">
        <f>'Project Business Checklist'!O11+"AM:!1WD"</f>
        <v>#VALUE!</v>
      </c>
      <c r="BM326" t="e">
        <f>'Project Business Checklist'!P11+"AM:!1WE"</f>
        <v>#VALUE!</v>
      </c>
      <c r="BN326" t="e">
        <f>'Project Business Checklist'!Q11+"AM:!1WF"</f>
        <v>#VALUE!</v>
      </c>
      <c r="BO326" t="e">
        <f>'Project Business Checklist'!R11+"AM:!1WG"</f>
        <v>#VALUE!</v>
      </c>
      <c r="BP326" t="e">
        <f>'Project Business Checklist'!A12+"AM:!1WH"</f>
        <v>#VALUE!</v>
      </c>
      <c r="BQ326" t="e">
        <f>'Project Business Checklist'!B12+"AM:!1WI"</f>
        <v>#VALUE!</v>
      </c>
      <c r="BR326" t="e">
        <f>'Project Business Checklist'!C12+"AM:!1WJ"</f>
        <v>#VALUE!</v>
      </c>
      <c r="BS326" t="e">
        <f>'Project Business Checklist'!D12+"AM:!1WK"</f>
        <v>#VALUE!</v>
      </c>
      <c r="BT326" t="e">
        <f>'Project Business Checklist'!E12+"AM:!1WL"</f>
        <v>#VALUE!</v>
      </c>
      <c r="BU326" t="e">
        <f>'Project Business Checklist'!F12+"AM:!1WM"</f>
        <v>#VALUE!</v>
      </c>
      <c r="BV326" t="e">
        <f>'Project Business Checklist'!G12+"AM:!1WN"</f>
        <v>#VALUE!</v>
      </c>
      <c r="BW326" t="e">
        <f>'Project Business Checklist'!H12+"AM:!1WO"</f>
        <v>#VALUE!</v>
      </c>
      <c r="BX326" t="e">
        <f>'Project Business Checklist'!I12+"AM:!1WP"</f>
        <v>#VALUE!</v>
      </c>
      <c r="BY326" t="e">
        <f>'Project Business Checklist'!J12+"AM:!1WQ"</f>
        <v>#VALUE!</v>
      </c>
      <c r="BZ326" t="e">
        <f>'Project Business Checklist'!K12+"AM:!1WR"</f>
        <v>#VALUE!</v>
      </c>
      <c r="CA326" t="e">
        <f>'Project Business Checklist'!L12+"AM:!1WS"</f>
        <v>#VALUE!</v>
      </c>
      <c r="CB326" t="e">
        <f>'Project Business Checklist'!M12+"AM:!1WT"</f>
        <v>#VALUE!</v>
      </c>
      <c r="CC326" t="e">
        <f>'Project Business Checklist'!O12+"AM:!1WU"</f>
        <v>#VALUE!</v>
      </c>
      <c r="CD326" t="e">
        <f>'Project Business Checklist'!P12+"AM:!1WV"</f>
        <v>#VALUE!</v>
      </c>
      <c r="CE326" t="e">
        <f>'Project Business Checklist'!Q12+"AM:!1WW"</f>
        <v>#VALUE!</v>
      </c>
      <c r="CF326" t="e">
        <f>'Project Business Checklist'!R12+"AM:!1WX"</f>
        <v>#VALUE!</v>
      </c>
      <c r="CG326" t="e">
        <f>'Project Business Checklist'!A13+"AM:!1WY"</f>
        <v>#VALUE!</v>
      </c>
      <c r="CH326" t="e">
        <f>'Project Business Checklist'!B13+"AM:!1WZ"</f>
        <v>#VALUE!</v>
      </c>
      <c r="CI326" t="e">
        <f>'Project Business Checklist'!C13+"AM:!1W["</f>
        <v>#VALUE!</v>
      </c>
      <c r="CJ326" t="e">
        <f>'Project Business Checklist'!D13+"AM:!1W\"</f>
        <v>#VALUE!</v>
      </c>
      <c r="CK326" t="e">
        <f>'Project Business Checklist'!E13+"AM:!1W]"</f>
        <v>#VALUE!</v>
      </c>
      <c r="CL326" t="e">
        <f>'Project Business Checklist'!F13+"AM:!1W^"</f>
        <v>#VALUE!</v>
      </c>
      <c r="CM326" t="e">
        <f>'Project Business Checklist'!G13+"AM:!1W_"</f>
        <v>#VALUE!</v>
      </c>
      <c r="CN326" t="e">
        <f>'Project Business Checklist'!H13+"AM:!1W`"</f>
        <v>#VALUE!</v>
      </c>
      <c r="CO326" t="e">
        <f>'Project Business Checklist'!I13+"AM:!1Wa"</f>
        <v>#VALUE!</v>
      </c>
      <c r="CP326" t="e">
        <f>'Project Business Checklist'!J13+"AM:!1Wb"</f>
        <v>#VALUE!</v>
      </c>
      <c r="CQ326" t="e">
        <f>'Project Business Checklist'!K13+"AM:!1Wc"</f>
        <v>#VALUE!</v>
      </c>
      <c r="CR326" t="e">
        <f>'Project Business Checklist'!L13+"AM:!1Wd"</f>
        <v>#VALUE!</v>
      </c>
      <c r="CS326" t="e">
        <f>'Project Business Checklist'!M13+"AM:!1We"</f>
        <v>#VALUE!</v>
      </c>
      <c r="CT326" t="e">
        <f>'Project Business Checklist'!O13+"AM:!1Wf"</f>
        <v>#VALUE!</v>
      </c>
      <c r="CU326" t="e">
        <f>'Project Business Checklist'!P13+"AM:!1Wg"</f>
        <v>#VALUE!</v>
      </c>
      <c r="CV326" t="e">
        <f>'Project Business Checklist'!Q13+"AM:!1Wh"</f>
        <v>#VALUE!</v>
      </c>
      <c r="CW326" t="e">
        <f>'Project Business Checklist'!R13+"AM:!1Wi"</f>
        <v>#VALUE!</v>
      </c>
      <c r="CX326" t="e">
        <f>'Project Business Checklist'!A14+"AM:!1Wj"</f>
        <v>#VALUE!</v>
      </c>
      <c r="CY326" t="e">
        <f>'Project Business Checklist'!B14+"AM:!1Wk"</f>
        <v>#VALUE!</v>
      </c>
      <c r="CZ326" t="e">
        <f>'Project Business Checklist'!C14+"AM:!1Wl"</f>
        <v>#VALUE!</v>
      </c>
      <c r="DA326" t="e">
        <f>'Project Business Checklist'!D14+"AM:!1Wm"</f>
        <v>#VALUE!</v>
      </c>
      <c r="DB326" t="e">
        <f>'Project Business Checklist'!E14+"AM:!1Wn"</f>
        <v>#VALUE!</v>
      </c>
      <c r="DC326" t="e">
        <f>'Project Business Checklist'!F14+"AM:!1Wo"</f>
        <v>#VALUE!</v>
      </c>
      <c r="DD326" t="e">
        <f>'Project Business Checklist'!G14+"AM:!1Wp"</f>
        <v>#VALUE!</v>
      </c>
      <c r="DE326" t="e">
        <f>'Project Business Checklist'!H14+"AM:!1Wq"</f>
        <v>#VALUE!</v>
      </c>
      <c r="DF326" t="e">
        <f>'Project Business Checklist'!I14+"AM:!1Wr"</f>
        <v>#VALUE!</v>
      </c>
      <c r="DG326" t="e">
        <f>'Project Business Checklist'!J14+"AM:!1Ws"</f>
        <v>#VALUE!</v>
      </c>
      <c r="DH326" t="e">
        <f>'Project Business Checklist'!K14+"AM:!1Wt"</f>
        <v>#VALUE!</v>
      </c>
      <c r="DI326" t="e">
        <f>'Project Business Checklist'!L14+"AM:!1Wu"</f>
        <v>#VALUE!</v>
      </c>
      <c r="DJ326" t="e">
        <f>'Project Business Checklist'!M14+"AM:!1Wv"</f>
        <v>#VALUE!</v>
      </c>
      <c r="DK326" t="e">
        <f>'Project Business Checklist'!O14+"AM:!1Ww"</f>
        <v>#VALUE!</v>
      </c>
      <c r="DL326" t="e">
        <f>'Project Business Checklist'!P14+"AM:!1Wx"</f>
        <v>#VALUE!</v>
      </c>
      <c r="DM326" t="e">
        <f>'Project Business Checklist'!Q14+"AM:!1Wy"</f>
        <v>#VALUE!</v>
      </c>
      <c r="DN326" t="e">
        <f>'Project Business Checklist'!R14+"AM:!1Wz"</f>
        <v>#VALUE!</v>
      </c>
      <c r="DO326" t="e">
        <f>'Project Business Checklist'!A15+"AM:!1W{"</f>
        <v>#VALUE!</v>
      </c>
      <c r="DP326" t="e">
        <f>'Project Business Checklist'!B15+"AM:!1W|"</f>
        <v>#VALUE!</v>
      </c>
      <c r="DQ326" t="e">
        <f>'Project Business Checklist'!C15+"AM:!1W}"</f>
        <v>#VALUE!</v>
      </c>
      <c r="DR326" t="e">
        <f>'Project Business Checklist'!D15+"AM:!1W~"</f>
        <v>#VALUE!</v>
      </c>
      <c r="DS326" t="e">
        <f>'Project Business Checklist'!E15+"AM:!1X#"</f>
        <v>#VALUE!</v>
      </c>
      <c r="DT326" t="e">
        <f>'Project Business Checklist'!G15+"AM:!1X$"</f>
        <v>#VALUE!</v>
      </c>
      <c r="DU326" t="e">
        <f>'Project Business Checklist'!H15+"AM:!1X%"</f>
        <v>#VALUE!</v>
      </c>
      <c r="DV326" t="e">
        <f>'Project Business Checklist'!I15+"AM:!1X&amp;"</f>
        <v>#VALUE!</v>
      </c>
      <c r="DW326" t="e">
        <f>'Project Business Checklist'!J15+"AM:!1X'"</f>
        <v>#VALUE!</v>
      </c>
      <c r="DX326" t="e">
        <f>'Project Business Checklist'!K15+"AM:!1X("</f>
        <v>#VALUE!</v>
      </c>
      <c r="DY326" t="e">
        <f>'Project Business Checklist'!L15+"AM:!1X)"</f>
        <v>#VALUE!</v>
      </c>
      <c r="DZ326" t="e">
        <f>'Project Business Checklist'!M15+"AM:!1X."</f>
        <v>#VALUE!</v>
      </c>
      <c r="EA326" t="e">
        <f>'Project Business Checklist'!O15+"AM:!1X/"</f>
        <v>#VALUE!</v>
      </c>
      <c r="EB326" t="e">
        <f>'Project Business Checklist'!P15+"AM:!1X0"</f>
        <v>#VALUE!</v>
      </c>
      <c r="EC326" t="e">
        <f>'Project Business Checklist'!Q15+"AM:!1X1"</f>
        <v>#VALUE!</v>
      </c>
      <c r="ED326" t="e">
        <f>'Project Business Checklist'!R15+"AM:!1X2"</f>
        <v>#VALUE!</v>
      </c>
      <c r="EE326" t="e">
        <f>'Project Business Checklist'!A16+"AM:!1X3"</f>
        <v>#VALUE!</v>
      </c>
      <c r="EF326" t="e">
        <f>'Project Business Checklist'!B16+"AM:!1X4"</f>
        <v>#VALUE!</v>
      </c>
      <c r="EG326" t="e">
        <f>'Project Business Checklist'!C16+"AM:!1X5"</f>
        <v>#VALUE!</v>
      </c>
      <c r="EH326" t="e">
        <f>'Project Business Checklist'!D16+"AM:!1X6"</f>
        <v>#VALUE!</v>
      </c>
      <c r="EI326" t="e">
        <f>'Project Business Checklist'!E16+"AM:!1X7"</f>
        <v>#VALUE!</v>
      </c>
      <c r="EJ326" t="e">
        <f>'Project Business Checklist'!F16+"AM:!1X8"</f>
        <v>#VALUE!</v>
      </c>
      <c r="EK326" t="e">
        <f>'Project Business Checklist'!G16+"AM:!1X9"</f>
        <v>#VALUE!</v>
      </c>
      <c r="EL326" t="e">
        <f>'Project Business Checklist'!H16+"AM:!1X:"</f>
        <v>#VALUE!</v>
      </c>
      <c r="EM326" t="e">
        <f>'Project Business Checklist'!I16+"AM:!1X;"</f>
        <v>#VALUE!</v>
      </c>
      <c r="EN326" t="e">
        <f>'Project Business Checklist'!J16+"AM:!1X&lt;"</f>
        <v>#VALUE!</v>
      </c>
      <c r="EO326" t="e">
        <f>'Project Business Checklist'!K16+"AM:!1X="</f>
        <v>#VALUE!</v>
      </c>
      <c r="EP326" t="e">
        <f>'Project Business Checklist'!L16+"AM:!1X&gt;"</f>
        <v>#VALUE!</v>
      </c>
      <c r="EQ326" t="e">
        <f>'Project Business Checklist'!M16+"AM:!1X?"</f>
        <v>#VALUE!</v>
      </c>
      <c r="ER326" t="e">
        <f>'Project Business Checklist'!O16+"AM:!1X@"</f>
        <v>#VALUE!</v>
      </c>
      <c r="ES326" t="e">
        <f>'Project Business Checklist'!P16+"AM:!1XA"</f>
        <v>#VALUE!</v>
      </c>
      <c r="ET326" t="e">
        <f>'Project Business Checklist'!Q16+"AM:!1XB"</f>
        <v>#VALUE!</v>
      </c>
      <c r="EU326" t="e">
        <f>'Project Business Checklist'!R16+"AM:!1XC"</f>
        <v>#VALUE!</v>
      </c>
      <c r="EV326" t="e">
        <f>'Project Business Checklist'!A17+"AM:!1XD"</f>
        <v>#VALUE!</v>
      </c>
      <c r="EW326" t="e">
        <f>'Project Business Checklist'!B17+"AM:!1XE"</f>
        <v>#VALUE!</v>
      </c>
      <c r="EX326" t="e">
        <f>'Project Business Checklist'!C17+"AM:!1XF"</f>
        <v>#VALUE!</v>
      </c>
      <c r="EY326" t="e">
        <f>'Project Business Checklist'!D17+"AM:!1XG"</f>
        <v>#VALUE!</v>
      </c>
      <c r="EZ326" t="e">
        <f>'Project Business Checklist'!E17+"AM:!1XH"</f>
        <v>#VALUE!</v>
      </c>
      <c r="FA326" t="e">
        <f>'Project Business Checklist'!F17+"AM:!1XI"</f>
        <v>#VALUE!</v>
      </c>
      <c r="FB326" t="e">
        <f>'Project Business Checklist'!G17+"AM:!1XJ"</f>
        <v>#VALUE!</v>
      </c>
      <c r="FC326" t="e">
        <f>'Project Business Checklist'!H17+"AM:!1XK"</f>
        <v>#VALUE!</v>
      </c>
      <c r="FD326" t="e">
        <f>'Project Business Checklist'!I17+"AM:!1XL"</f>
        <v>#VALUE!</v>
      </c>
      <c r="FE326" t="e">
        <f>'Project Business Checklist'!J17+"AM:!1XM"</f>
        <v>#VALUE!</v>
      </c>
      <c r="FF326" t="e">
        <f>'Project Business Checklist'!K17+"AM:!1XN"</f>
        <v>#VALUE!</v>
      </c>
      <c r="FG326" t="e">
        <f>'Project Business Checklist'!L17+"AM:!1XO"</f>
        <v>#VALUE!</v>
      </c>
      <c r="FH326" t="e">
        <f>'Project Business Checklist'!M17+"AM:!1XP"</f>
        <v>#VALUE!</v>
      </c>
      <c r="FI326" t="e">
        <f>'Project Business Checklist'!O17+"AM:!1XQ"</f>
        <v>#VALUE!</v>
      </c>
      <c r="FJ326" t="e">
        <f>'Project Business Checklist'!P17+"AM:!1XR"</f>
        <v>#VALUE!</v>
      </c>
      <c r="FK326" t="e">
        <f>'Project Business Checklist'!Q17+"AM:!1XS"</f>
        <v>#VALUE!</v>
      </c>
      <c r="FL326" t="e">
        <f>'Project Business Checklist'!R17+"AM:!1XT"</f>
        <v>#VALUE!</v>
      </c>
      <c r="FM326" t="e">
        <f>'Project Business Checklist'!A18+"AM:!1XU"</f>
        <v>#VALUE!</v>
      </c>
      <c r="FN326" t="e">
        <f>'Project Business Checklist'!B18+"AM:!1XV"</f>
        <v>#VALUE!</v>
      </c>
      <c r="FO326" t="e">
        <f>'Project Business Checklist'!C18+"AM:!1XW"</f>
        <v>#VALUE!</v>
      </c>
      <c r="FP326" t="e">
        <f>'Project Business Checklist'!D18+"AM:!1XX"</f>
        <v>#VALUE!</v>
      </c>
      <c r="FQ326" t="e">
        <f>'Project Business Checklist'!E18+"AM:!1XY"</f>
        <v>#VALUE!</v>
      </c>
      <c r="FR326" t="e">
        <f>'Project Business Checklist'!F18+"AM:!1XZ"</f>
        <v>#VALUE!</v>
      </c>
      <c r="FS326" t="e">
        <f>'Project Business Checklist'!G18+"AM:!1X["</f>
        <v>#VALUE!</v>
      </c>
      <c r="FT326" t="e">
        <f>'Project Business Checklist'!H18+"AM:!1X\"</f>
        <v>#VALUE!</v>
      </c>
      <c r="FU326" t="e">
        <f>'Project Business Checklist'!I18+"AM:!1X]"</f>
        <v>#VALUE!</v>
      </c>
      <c r="FV326" t="e">
        <f>'Project Business Checklist'!J18+"AM:!1X^"</f>
        <v>#VALUE!</v>
      </c>
      <c r="FW326" t="e">
        <f>'Project Business Checklist'!K18+"AM:!1X_"</f>
        <v>#VALUE!</v>
      </c>
      <c r="FX326" t="e">
        <f>'Project Business Checklist'!L18+"AM:!1X`"</f>
        <v>#VALUE!</v>
      </c>
      <c r="FY326" t="e">
        <f>'Project Business Checklist'!M18+"AM:!1Xa"</f>
        <v>#VALUE!</v>
      </c>
      <c r="FZ326" t="e">
        <f>'Project Business Checklist'!O18+"AM:!1Xb"</f>
        <v>#VALUE!</v>
      </c>
      <c r="GA326" t="e">
        <f>'Project Business Checklist'!P18+"AM:!1Xc"</f>
        <v>#VALUE!</v>
      </c>
      <c r="GB326" t="e">
        <f>'Project Business Checklist'!Q18+"AM:!1Xd"</f>
        <v>#VALUE!</v>
      </c>
      <c r="GC326" t="e">
        <f>'Project Business Checklist'!R18+"AM:!1Xe"</f>
        <v>#VALUE!</v>
      </c>
      <c r="GD326" t="e">
        <f>'Project Business Checklist'!A19+"AM:!1Xf"</f>
        <v>#VALUE!</v>
      </c>
      <c r="GE326" t="e">
        <f>'Project Business Checklist'!B19+"AM:!1Xg"</f>
        <v>#VALUE!</v>
      </c>
      <c r="GF326" t="e">
        <f>'Project Business Checklist'!C19+"AM:!1Xh"</f>
        <v>#VALUE!</v>
      </c>
      <c r="GG326" t="e">
        <f>'Project Business Checklist'!D19+"AM:!1Xi"</f>
        <v>#VALUE!</v>
      </c>
      <c r="GH326" t="e">
        <f>'Project Business Checklist'!E19+"AM:!1Xj"</f>
        <v>#VALUE!</v>
      </c>
      <c r="GI326" t="e">
        <f>'Project Business Checklist'!G19+"AM:!1Xk"</f>
        <v>#VALUE!</v>
      </c>
      <c r="GJ326" t="e">
        <f>'Project Business Checklist'!H19+"AM:!1Xl"</f>
        <v>#VALUE!</v>
      </c>
      <c r="GK326" t="e">
        <f>'Project Business Checklist'!I19+"AM:!1Xm"</f>
        <v>#VALUE!</v>
      </c>
      <c r="GL326" t="e">
        <f>'Project Business Checklist'!J19+"AM:!1Xn"</f>
        <v>#VALUE!</v>
      </c>
      <c r="GM326" t="e">
        <f>'Project Business Checklist'!K19+"AM:!1Xo"</f>
        <v>#VALUE!</v>
      </c>
      <c r="GN326" t="e">
        <f>'Project Business Checklist'!L19+"AM:!1Xp"</f>
        <v>#VALUE!</v>
      </c>
      <c r="GO326" t="e">
        <f>'Project Business Checklist'!M19+"AM:!1Xq"</f>
        <v>#VALUE!</v>
      </c>
      <c r="GP326" t="e">
        <f>'Project Business Checklist'!O19+"AM:!1Xr"</f>
        <v>#VALUE!</v>
      </c>
      <c r="GQ326" t="e">
        <f>'Project Business Checklist'!P19+"AM:!1Xs"</f>
        <v>#VALUE!</v>
      </c>
      <c r="GR326" t="e">
        <f>'Project Business Checklist'!Q19+"AM:!1Xt"</f>
        <v>#VALUE!</v>
      </c>
      <c r="GS326" t="e">
        <f>'Project Business Checklist'!R19+"AM:!1Xu"</f>
        <v>#VALUE!</v>
      </c>
      <c r="GT326" t="e">
        <f>'Project Business Checklist'!A20+"AM:!1Xv"</f>
        <v>#VALUE!</v>
      </c>
      <c r="GU326" t="e">
        <f>'Project Business Checklist'!B20+"AM:!1Xw"</f>
        <v>#VALUE!</v>
      </c>
      <c r="GV326" t="e">
        <f>'Project Business Checklist'!C20+"AM:!1Xx"</f>
        <v>#VALUE!</v>
      </c>
      <c r="GW326" t="e">
        <f>'Project Business Checklist'!D20+"AM:!1Xy"</f>
        <v>#VALUE!</v>
      </c>
      <c r="GX326" t="e">
        <f>'Project Business Checklist'!E20+"AM:!1Xz"</f>
        <v>#VALUE!</v>
      </c>
      <c r="GY326" t="e">
        <f>'Project Business Checklist'!F20+"AM:!1X{"</f>
        <v>#VALUE!</v>
      </c>
      <c r="GZ326" t="e">
        <f>'Project Business Checklist'!G20+"AM:!1X|"</f>
        <v>#VALUE!</v>
      </c>
      <c r="HA326" t="e">
        <f>'Project Business Checklist'!H20+"AM:!1X}"</f>
        <v>#VALUE!</v>
      </c>
      <c r="HB326" t="e">
        <f>'Project Business Checklist'!I20+"AM:!1X~"</f>
        <v>#VALUE!</v>
      </c>
      <c r="HC326" t="e">
        <f>'Project Business Checklist'!J20+"AM:!1Y#"</f>
        <v>#VALUE!</v>
      </c>
      <c r="HD326" t="e">
        <f>'Project Business Checklist'!K20+"AM:!1Y$"</f>
        <v>#VALUE!</v>
      </c>
      <c r="HE326" t="e">
        <f>'Project Business Checklist'!L20+"AM:!1Y%"</f>
        <v>#VALUE!</v>
      </c>
      <c r="HF326" t="e">
        <f>'Project Business Checklist'!M20+"AM:!1Y&amp;"</f>
        <v>#VALUE!</v>
      </c>
      <c r="HG326" t="e">
        <f>'Project Business Checklist'!O20+"AM:!1Y'"</f>
        <v>#VALUE!</v>
      </c>
      <c r="HH326" t="e">
        <f>'Project Business Checklist'!P20+"AM:!1Y("</f>
        <v>#VALUE!</v>
      </c>
      <c r="HI326" t="e">
        <f>'Project Business Checklist'!Q20+"AM:!1Y)"</f>
        <v>#VALUE!</v>
      </c>
      <c r="HJ326" t="e">
        <f>'Project Business Checklist'!R20+"AM:!1Y."</f>
        <v>#VALUE!</v>
      </c>
      <c r="HK326" t="e">
        <f>'Project Business Checklist'!A21+"AM:!1Y/"</f>
        <v>#VALUE!</v>
      </c>
      <c r="HL326" t="e">
        <f>'Project Business Checklist'!B21+"AM:!1Y0"</f>
        <v>#VALUE!</v>
      </c>
      <c r="HM326" t="e">
        <f>'Project Business Checklist'!C21+"AM:!1Y1"</f>
        <v>#VALUE!</v>
      </c>
      <c r="HN326" t="e">
        <f>'Project Business Checklist'!D21+"AM:!1Y2"</f>
        <v>#VALUE!</v>
      </c>
      <c r="HO326" t="e">
        <f>'Project Business Checklist'!E21+"AM:!1Y3"</f>
        <v>#VALUE!</v>
      </c>
      <c r="HP326" t="e">
        <f>'Project Business Checklist'!F21+"AM:!1Y4"</f>
        <v>#VALUE!</v>
      </c>
      <c r="HQ326" t="e">
        <f>'Project Business Checklist'!G21+"AM:!1Y5"</f>
        <v>#VALUE!</v>
      </c>
      <c r="HR326" t="e">
        <f>'Project Business Checklist'!H21+"AM:!1Y6"</f>
        <v>#VALUE!</v>
      </c>
      <c r="HS326" t="e">
        <f>'Project Business Checklist'!I21+"AM:!1Y7"</f>
        <v>#VALUE!</v>
      </c>
      <c r="HT326" t="e">
        <f>'Project Business Checklist'!J21+"AM:!1Y8"</f>
        <v>#VALUE!</v>
      </c>
      <c r="HU326" t="e">
        <f>'Project Business Checklist'!K21+"AM:!1Y9"</f>
        <v>#VALUE!</v>
      </c>
      <c r="HV326" t="e">
        <f>'Project Business Checklist'!L21+"AM:!1Y:"</f>
        <v>#VALUE!</v>
      </c>
      <c r="HW326" t="e">
        <f>'Project Business Checklist'!M21+"AM:!1Y;"</f>
        <v>#VALUE!</v>
      </c>
      <c r="HX326" t="e">
        <f>'Project Business Checklist'!O21+"AM:!1Y&lt;"</f>
        <v>#VALUE!</v>
      </c>
      <c r="HY326" t="e">
        <f>'Project Business Checklist'!P21+"AM:!1Y="</f>
        <v>#VALUE!</v>
      </c>
      <c r="HZ326" t="e">
        <f>'Project Business Checklist'!Q21+"AM:!1Y&gt;"</f>
        <v>#VALUE!</v>
      </c>
      <c r="IA326" t="e">
        <f>'Project Business Checklist'!R21+"AM:!1Y?"</f>
        <v>#VALUE!</v>
      </c>
      <c r="IB326" t="e">
        <f>'Project Business Checklist'!A22+"AM:!1Y@"</f>
        <v>#VALUE!</v>
      </c>
      <c r="IC326" t="e">
        <f>'Project Business Checklist'!B22+"AM:!1YA"</f>
        <v>#VALUE!</v>
      </c>
      <c r="ID326" t="e">
        <f>'Project Business Checklist'!C22+"AM:!1YB"</f>
        <v>#VALUE!</v>
      </c>
      <c r="IE326" t="e">
        <f>'Project Business Checklist'!D22+"AM:!1YC"</f>
        <v>#VALUE!</v>
      </c>
      <c r="IF326" t="e">
        <f>'Project Business Checklist'!E22+"AM:!1YD"</f>
        <v>#VALUE!</v>
      </c>
      <c r="IG326" t="e">
        <f>'Project Business Checklist'!G22+"AM:!1YE"</f>
        <v>#VALUE!</v>
      </c>
      <c r="IH326" t="e">
        <f>'Project Business Checklist'!H22+"AM:!1YF"</f>
        <v>#VALUE!</v>
      </c>
      <c r="II326" t="e">
        <f>'Project Business Checklist'!I22+"AM:!1YG"</f>
        <v>#VALUE!</v>
      </c>
      <c r="IJ326" t="e">
        <f>'Project Business Checklist'!J22+"AM:!1YH"</f>
        <v>#VALUE!</v>
      </c>
      <c r="IK326" t="e">
        <f>'Project Business Checklist'!K22+"AM:!1YI"</f>
        <v>#VALUE!</v>
      </c>
      <c r="IL326" t="e">
        <f>'Project Business Checklist'!L22+"AM:!1YJ"</f>
        <v>#VALUE!</v>
      </c>
      <c r="IM326" t="e">
        <f>'Project Business Checklist'!M22+"AM:!1YK"</f>
        <v>#VALUE!</v>
      </c>
      <c r="IN326" t="e">
        <f>'Project Business Checklist'!O22+"AM:!1YL"</f>
        <v>#VALUE!</v>
      </c>
      <c r="IO326" t="e">
        <f>'Project Business Checklist'!P22+"AM:!1YM"</f>
        <v>#VALUE!</v>
      </c>
      <c r="IP326" t="e">
        <f>'Project Business Checklist'!Q22+"AM:!1YN"</f>
        <v>#VALUE!</v>
      </c>
      <c r="IQ326" t="e">
        <f>'Project Business Checklist'!R22+"AM:!1YO"</f>
        <v>#VALUE!</v>
      </c>
      <c r="IR326" t="e">
        <f>'Project Business Checklist'!A23+"AM:!1YP"</f>
        <v>#VALUE!</v>
      </c>
      <c r="IS326" t="e">
        <f>'Project Business Checklist'!B23+"AM:!1YQ"</f>
        <v>#VALUE!</v>
      </c>
      <c r="IT326" t="e">
        <f>'Project Business Checklist'!C23+"AM:!1YR"</f>
        <v>#VALUE!</v>
      </c>
      <c r="IU326" t="e">
        <f>'Project Business Checklist'!D23+"AM:!1YS"</f>
        <v>#VALUE!</v>
      </c>
      <c r="IV326" t="e">
        <f>'Project Business Checklist'!E23+"AM:!1YT"</f>
        <v>#VALUE!</v>
      </c>
    </row>
    <row r="327" spans="6:256">
      <c r="F327" t="e">
        <f>'Project Business Checklist'!F23+"AM:!1YU"</f>
        <v>#VALUE!</v>
      </c>
      <c r="G327" t="e">
        <f>'Project Business Checklist'!G23+"AM:!1YV"</f>
        <v>#VALUE!</v>
      </c>
      <c r="H327" t="e">
        <f>'Project Business Checklist'!H23+"AM:!1YW"</f>
        <v>#VALUE!</v>
      </c>
      <c r="I327" t="e">
        <f>'Project Business Checklist'!I23+"AM:!1YX"</f>
        <v>#VALUE!</v>
      </c>
      <c r="J327" t="e">
        <f>'Project Business Checklist'!J23+"AM:!1YY"</f>
        <v>#VALUE!</v>
      </c>
      <c r="K327" t="e">
        <f>'Project Business Checklist'!K23+"AM:!1YZ"</f>
        <v>#VALUE!</v>
      </c>
      <c r="L327" t="e">
        <f>'Project Business Checklist'!L23+"AM:!1Y["</f>
        <v>#VALUE!</v>
      </c>
      <c r="M327" t="e">
        <f>'Project Business Checklist'!M23+"AM:!1Y\"</f>
        <v>#VALUE!</v>
      </c>
      <c r="N327" t="e">
        <f>'Project Business Checklist'!O23+"AM:!1Y]"</f>
        <v>#VALUE!</v>
      </c>
      <c r="O327" t="e">
        <f>'Project Business Checklist'!P23+"AM:!1Y^"</f>
        <v>#VALUE!</v>
      </c>
      <c r="P327" t="e">
        <f>'Project Business Checklist'!Q23+"AM:!1Y_"</f>
        <v>#VALUE!</v>
      </c>
      <c r="Q327" t="e">
        <f>'Project Business Checklist'!R23+"AM:!1Y`"</f>
        <v>#VALUE!</v>
      </c>
      <c r="R327" t="e">
        <f>'Project Business Checklist'!A24+"AM:!1Ya"</f>
        <v>#VALUE!</v>
      </c>
      <c r="S327" t="e">
        <f>'Project Business Checklist'!B24+"AM:!1Yb"</f>
        <v>#VALUE!</v>
      </c>
      <c r="T327" t="e">
        <f>'Project Business Checklist'!C24+"AM:!1Yc"</f>
        <v>#VALUE!</v>
      </c>
      <c r="U327" t="e">
        <f>'Project Business Checklist'!D24+"AM:!1Yd"</f>
        <v>#VALUE!</v>
      </c>
      <c r="V327" t="e">
        <f>'Project Business Checklist'!E24+"AM:!1Ye"</f>
        <v>#VALUE!</v>
      </c>
      <c r="W327" t="e">
        <f>'Project Business Checklist'!F24+"AM:!1Yf"</f>
        <v>#VALUE!</v>
      </c>
      <c r="X327" t="e">
        <f>'Project Business Checklist'!G24+"AM:!1Yg"</f>
        <v>#VALUE!</v>
      </c>
      <c r="Y327" t="e">
        <f>'Project Business Checklist'!H24+"AM:!1Yh"</f>
        <v>#VALUE!</v>
      </c>
      <c r="Z327" t="e">
        <f>'Project Business Checklist'!I24+"AM:!1Yi"</f>
        <v>#VALUE!</v>
      </c>
      <c r="AA327" t="e">
        <f>'Project Business Checklist'!J24+"AM:!1Yj"</f>
        <v>#VALUE!</v>
      </c>
      <c r="AB327" t="e">
        <f>'Project Business Checklist'!K24+"AM:!1Yk"</f>
        <v>#VALUE!</v>
      </c>
      <c r="AC327" t="e">
        <f>'Project Business Checklist'!L24+"AM:!1Yl"</f>
        <v>#VALUE!</v>
      </c>
      <c r="AD327" t="e">
        <f>'Project Business Checklist'!M24+"AM:!1Ym"</f>
        <v>#VALUE!</v>
      </c>
      <c r="AE327" t="e">
        <f>'Project Business Checklist'!O24+"AM:!1Yn"</f>
        <v>#VALUE!</v>
      </c>
      <c r="AF327" t="e">
        <f>'Project Business Checklist'!P24+"AM:!1Yo"</f>
        <v>#VALUE!</v>
      </c>
      <c r="AG327" t="e">
        <f>'Project Business Checklist'!Q24+"AM:!1Yp"</f>
        <v>#VALUE!</v>
      </c>
      <c r="AH327" t="e">
        <f>'Project Business Checklist'!R24+"AM:!1Yq"</f>
        <v>#VALUE!</v>
      </c>
      <c r="AI327" t="e">
        <f>'Project Business Checklist'!A25+"AM:!1Yr"</f>
        <v>#VALUE!</v>
      </c>
      <c r="AJ327" t="e">
        <f>'Project Business Checklist'!B25+"AM:!1Ys"</f>
        <v>#VALUE!</v>
      </c>
      <c r="AK327" t="e">
        <f>'Project Business Checklist'!C25+"AM:!1Yt"</f>
        <v>#VALUE!</v>
      </c>
      <c r="AL327" t="e">
        <f>'Project Business Checklist'!D25+"AM:!1Yu"</f>
        <v>#VALUE!</v>
      </c>
      <c r="AM327" t="e">
        <f>'Project Business Checklist'!E25+"AM:!1Yv"</f>
        <v>#VALUE!</v>
      </c>
      <c r="AN327" t="e">
        <f>'Project Business Checklist'!F25+"AM:!1Yw"</f>
        <v>#VALUE!</v>
      </c>
      <c r="AO327" t="e">
        <f>'Project Business Checklist'!G25+"AM:!1Yx"</f>
        <v>#VALUE!</v>
      </c>
      <c r="AP327" t="e">
        <f>'Project Business Checklist'!H25+"AM:!1Yy"</f>
        <v>#VALUE!</v>
      </c>
      <c r="AQ327" t="e">
        <f>'Project Business Checklist'!I25+"AM:!1Yz"</f>
        <v>#VALUE!</v>
      </c>
      <c r="AR327" t="e">
        <f>'Project Business Checklist'!J25+"AM:!1Y{"</f>
        <v>#VALUE!</v>
      </c>
      <c r="AS327" t="e">
        <f>'Project Business Checklist'!K25+"AM:!1Y|"</f>
        <v>#VALUE!</v>
      </c>
      <c r="AT327" t="e">
        <f>'Project Business Checklist'!L25+"AM:!1Y}"</f>
        <v>#VALUE!</v>
      </c>
      <c r="AU327" t="e">
        <f>'Project Business Checklist'!M25+"AM:!1Y~"</f>
        <v>#VALUE!</v>
      </c>
      <c r="AV327" t="e">
        <f>'Project Business Checklist'!O25+"AM:!1Z#"</f>
        <v>#VALUE!</v>
      </c>
      <c r="AW327" t="e">
        <f>'Project Business Checklist'!P25+"AM:!1Z$"</f>
        <v>#VALUE!</v>
      </c>
      <c r="AX327" t="e">
        <f>'Project Business Checklist'!Q25+"AM:!1Z%"</f>
        <v>#VALUE!</v>
      </c>
      <c r="AY327" t="e">
        <f>'Project Business Checklist'!R25+"AM:!1Z&amp;"</f>
        <v>#VALUE!</v>
      </c>
      <c r="AZ327" t="e">
        <f>'Project Business Checklist'!A26+"AM:!1Z'"</f>
        <v>#VALUE!</v>
      </c>
      <c r="BA327" t="e">
        <f>'Project Business Checklist'!B26+"AM:!1Z("</f>
        <v>#VALUE!</v>
      </c>
      <c r="BB327" t="e">
        <f>'Project Business Checklist'!C26+"AM:!1Z)"</f>
        <v>#VALUE!</v>
      </c>
      <c r="BC327" t="e">
        <f>'Project Business Checklist'!D26+"AM:!1Z."</f>
        <v>#VALUE!</v>
      </c>
      <c r="BD327" t="e">
        <f>'Project Business Checklist'!E26+"AM:!1Z/"</f>
        <v>#VALUE!</v>
      </c>
      <c r="BE327" t="e">
        <f>'Project Business Checklist'!F26+"AM:!1Z0"</f>
        <v>#VALUE!</v>
      </c>
      <c r="BF327" t="e">
        <f>'Project Business Checklist'!G26+"AM:!1Z1"</f>
        <v>#VALUE!</v>
      </c>
      <c r="BG327" t="e">
        <f>'Project Business Checklist'!H26+"AM:!1Z2"</f>
        <v>#VALUE!</v>
      </c>
      <c r="BH327" t="e">
        <f>'Project Business Checklist'!I26+"AM:!1Z3"</f>
        <v>#VALUE!</v>
      </c>
      <c r="BI327" t="e">
        <f>'Project Business Checklist'!J26+"AM:!1Z4"</f>
        <v>#VALUE!</v>
      </c>
      <c r="BJ327" t="e">
        <f>'Project Business Checklist'!K26+"AM:!1Z5"</f>
        <v>#VALUE!</v>
      </c>
      <c r="BK327" t="e">
        <f>'Project Business Checklist'!L26+"AM:!1Z6"</f>
        <v>#VALUE!</v>
      </c>
      <c r="BL327" t="e">
        <f>'Project Business Checklist'!M26+"AM:!1Z7"</f>
        <v>#VALUE!</v>
      </c>
      <c r="BM327" t="e">
        <f>'Project Business Checklist'!O26+"AM:!1Z8"</f>
        <v>#VALUE!</v>
      </c>
      <c r="BN327" t="e">
        <f>'Project Business Checklist'!P26+"AM:!1Z9"</f>
        <v>#VALUE!</v>
      </c>
      <c r="BO327" t="e">
        <f>'Project Business Checklist'!Q26+"AM:!1Z:"</f>
        <v>#VALUE!</v>
      </c>
      <c r="BP327" t="e">
        <f>'Project Business Checklist'!R26+"AM:!1Z;"</f>
        <v>#VALUE!</v>
      </c>
      <c r="BQ327" t="e">
        <f>'Project Business Checklist'!A27+"AM:!1Z&lt;"</f>
        <v>#VALUE!</v>
      </c>
      <c r="BR327" t="e">
        <f>'Project Business Checklist'!B27+"AM:!1Z="</f>
        <v>#VALUE!</v>
      </c>
      <c r="BS327" t="e">
        <f>'Project Business Checklist'!C27+"AM:!1Z&gt;"</f>
        <v>#VALUE!</v>
      </c>
      <c r="BT327" t="e">
        <f>'Project Business Checklist'!D27+"AM:!1Z?"</f>
        <v>#VALUE!</v>
      </c>
      <c r="BU327" t="e">
        <f>'Project Business Checklist'!E27+"AM:!1Z@"</f>
        <v>#VALUE!</v>
      </c>
      <c r="BV327" t="e">
        <f>'Project Business Checklist'!F27+"AM:!1ZA"</f>
        <v>#VALUE!</v>
      </c>
      <c r="BW327" t="e">
        <f>'Project Business Checklist'!G27+"AM:!1ZB"</f>
        <v>#VALUE!</v>
      </c>
      <c r="BX327" t="e">
        <f>'Project Business Checklist'!H27+"AM:!1ZC"</f>
        <v>#VALUE!</v>
      </c>
      <c r="BY327" t="e">
        <f>'Project Business Checklist'!I27+"AM:!1ZD"</f>
        <v>#VALUE!</v>
      </c>
      <c r="BZ327" t="e">
        <f>'Project Business Checklist'!J27+"AM:!1ZE"</f>
        <v>#VALUE!</v>
      </c>
      <c r="CA327" t="e">
        <f>'Project Business Checklist'!K27+"AM:!1ZF"</f>
        <v>#VALUE!</v>
      </c>
      <c r="CB327" t="e">
        <f>'Project Business Checklist'!L27+"AM:!1ZG"</f>
        <v>#VALUE!</v>
      </c>
      <c r="CC327" t="e">
        <f>'Project Business Checklist'!M27+"AM:!1ZH"</f>
        <v>#VALUE!</v>
      </c>
      <c r="CD327" t="e">
        <f>'Project Business Checklist'!O27+"AM:!1ZI"</f>
        <v>#VALUE!</v>
      </c>
      <c r="CE327" t="e">
        <f>'Project Business Checklist'!P27+"AM:!1ZJ"</f>
        <v>#VALUE!</v>
      </c>
      <c r="CF327" t="e">
        <f>'Project Business Checklist'!Q27+"AM:!1ZK"</f>
        <v>#VALUE!</v>
      </c>
      <c r="CG327" t="e">
        <f>'Project Business Checklist'!R27+"AM:!1ZL"</f>
        <v>#VALUE!</v>
      </c>
      <c r="CH327" t="e">
        <f>'Project Business Checklist'!A28+"AM:!1ZM"</f>
        <v>#VALUE!</v>
      </c>
      <c r="CI327" t="e">
        <f>'Project Business Checklist'!B28+"AM:!1ZN"</f>
        <v>#VALUE!</v>
      </c>
      <c r="CJ327" t="e">
        <f>'Project Business Checklist'!C28+"AM:!1ZO"</f>
        <v>#VALUE!</v>
      </c>
      <c r="CK327" t="e">
        <f>'Project Business Checklist'!D28+"AM:!1ZP"</f>
        <v>#VALUE!</v>
      </c>
      <c r="CL327" t="e">
        <f>'Project Business Checklist'!E28+"AM:!1ZQ"</f>
        <v>#VALUE!</v>
      </c>
      <c r="CM327" t="e">
        <f>'Project Business Checklist'!G28+"AM:!1ZR"</f>
        <v>#VALUE!</v>
      </c>
      <c r="CN327" t="e">
        <f>'Project Business Checklist'!H28+"AM:!1ZS"</f>
        <v>#VALUE!</v>
      </c>
      <c r="CO327" t="e">
        <f>'Project Business Checklist'!I28+"AM:!1ZT"</f>
        <v>#VALUE!</v>
      </c>
      <c r="CP327" t="e">
        <f>'Project Business Checklist'!J28+"AM:!1ZU"</f>
        <v>#VALUE!</v>
      </c>
      <c r="CQ327" t="e">
        <f>'Project Business Checklist'!K28+"AM:!1ZV"</f>
        <v>#VALUE!</v>
      </c>
      <c r="CR327" t="e">
        <f>'Project Business Checklist'!L28+"AM:!1ZW"</f>
        <v>#VALUE!</v>
      </c>
      <c r="CS327" t="e">
        <f>'Project Business Checklist'!M28+"AM:!1ZX"</f>
        <v>#VALUE!</v>
      </c>
      <c r="CT327" t="e">
        <f>'Project Business Checklist'!O28+"AM:!1ZY"</f>
        <v>#VALUE!</v>
      </c>
      <c r="CU327" t="e">
        <f>'Project Business Checklist'!P28+"AM:!1ZZ"</f>
        <v>#VALUE!</v>
      </c>
      <c r="CV327" t="e">
        <f>'Project Business Checklist'!Q28+"AM:!1Z["</f>
        <v>#VALUE!</v>
      </c>
      <c r="CW327" t="e">
        <f>'Project Business Checklist'!R28+"AM:!1Z\"</f>
        <v>#VALUE!</v>
      </c>
      <c r="CX327" t="e">
        <f>'Project Business Checklist'!A29+"AM:!1Z]"</f>
        <v>#VALUE!</v>
      </c>
      <c r="CY327" t="e">
        <f>'Project Business Checklist'!B29+"AM:!1Z^"</f>
        <v>#VALUE!</v>
      </c>
      <c r="CZ327" t="e">
        <f>'Project Business Checklist'!C29+"AM:!1Z_"</f>
        <v>#VALUE!</v>
      </c>
      <c r="DA327" t="e">
        <f>'Project Business Checklist'!D29+"AM:!1Z`"</f>
        <v>#VALUE!</v>
      </c>
      <c r="DB327" t="e">
        <f>'Project Business Checklist'!E29+"AM:!1Za"</f>
        <v>#VALUE!</v>
      </c>
      <c r="DC327" t="e">
        <f>'Project Business Checklist'!F29+"AM:!1Zb"</f>
        <v>#VALUE!</v>
      </c>
      <c r="DD327" t="e">
        <f>'Project Business Checklist'!G29+"AM:!1Zc"</f>
        <v>#VALUE!</v>
      </c>
      <c r="DE327" t="e">
        <f>'Project Business Checklist'!H29+"AM:!1Zd"</f>
        <v>#VALUE!</v>
      </c>
      <c r="DF327" t="e">
        <f>'Project Business Checklist'!I29+"AM:!1Ze"</f>
        <v>#VALUE!</v>
      </c>
      <c r="DG327" t="e">
        <f>'Project Business Checklist'!J29+"AM:!1Zf"</f>
        <v>#VALUE!</v>
      </c>
      <c r="DH327" t="e">
        <f>'Project Business Checklist'!K29+"AM:!1Zg"</f>
        <v>#VALUE!</v>
      </c>
      <c r="DI327" t="e">
        <f>'Project Business Checklist'!L29+"AM:!1Zh"</f>
        <v>#VALUE!</v>
      </c>
      <c r="DJ327" t="e">
        <f>'Project Business Checklist'!M29+"AM:!1Zi"</f>
        <v>#VALUE!</v>
      </c>
      <c r="DK327" t="e">
        <f>'Project Business Checklist'!O29+"AM:!1Zj"</f>
        <v>#VALUE!</v>
      </c>
      <c r="DL327" t="e">
        <f>'Project Business Checklist'!P29+"AM:!1Zk"</f>
        <v>#VALUE!</v>
      </c>
      <c r="DM327" t="e">
        <f>'Project Business Checklist'!Q29+"AM:!1Zl"</f>
        <v>#VALUE!</v>
      </c>
      <c r="DN327" t="e">
        <f>'Project Business Checklist'!R29+"AM:!1Zm"</f>
        <v>#VALUE!</v>
      </c>
      <c r="DO327" t="e">
        <f>'Project Business Checklist'!A30+"AM:!1Zn"</f>
        <v>#VALUE!</v>
      </c>
      <c r="DP327" t="e">
        <f>'Project Business Checklist'!B30+"AM:!1Zo"</f>
        <v>#VALUE!</v>
      </c>
      <c r="DQ327" t="e">
        <f>'Project Business Checklist'!C30+"AM:!1Zp"</f>
        <v>#VALUE!</v>
      </c>
      <c r="DR327" t="e">
        <f>'Project Business Checklist'!D30+"AM:!1Zq"</f>
        <v>#VALUE!</v>
      </c>
      <c r="DS327" t="e">
        <f>'Project Business Checklist'!E30+"AM:!1Zr"</f>
        <v>#VALUE!</v>
      </c>
      <c r="DT327" t="e">
        <f>'Project Business Checklist'!F30+"AM:!1Zs"</f>
        <v>#VALUE!</v>
      </c>
      <c r="DU327" t="e">
        <f>'Project Business Checklist'!G30+"AM:!1Zt"</f>
        <v>#VALUE!</v>
      </c>
      <c r="DV327" t="e">
        <f>'Project Business Checklist'!H30+"AM:!1Zu"</f>
        <v>#VALUE!</v>
      </c>
      <c r="DW327" t="e">
        <f>'Project Business Checklist'!I30+"AM:!1Zv"</f>
        <v>#VALUE!</v>
      </c>
      <c r="DX327" t="e">
        <f>'Project Business Checklist'!J30+"AM:!1Zw"</f>
        <v>#VALUE!</v>
      </c>
      <c r="DY327" t="e">
        <f>'Project Business Checklist'!K30+"AM:!1Zx"</f>
        <v>#VALUE!</v>
      </c>
      <c r="DZ327" t="e">
        <f>'Project Business Checklist'!L30+"AM:!1Zy"</f>
        <v>#VALUE!</v>
      </c>
      <c r="EA327" t="e">
        <f>'Project Business Checklist'!M30+"AM:!1Zz"</f>
        <v>#VALUE!</v>
      </c>
      <c r="EB327" t="e">
        <f>'Project Business Checklist'!O30+"AM:!1Z{"</f>
        <v>#VALUE!</v>
      </c>
      <c r="EC327" t="e">
        <f>'Project Business Checklist'!P30+"AM:!1Z|"</f>
        <v>#VALUE!</v>
      </c>
      <c r="ED327" t="e">
        <f>'Project Business Checklist'!Q30+"AM:!1Z}"</f>
        <v>#VALUE!</v>
      </c>
      <c r="EE327" t="e">
        <f>'Project Business Checklist'!R30+"AM:!1Z~"</f>
        <v>#VALUE!</v>
      </c>
      <c r="EF327" t="e">
        <f>'Project Business Checklist'!F31+"AM:!1[#"</f>
        <v>#VALUE!</v>
      </c>
      <c r="EG327" t="e">
        <f>'Project Business Checklist'!A32+"AM:!1[$"</f>
        <v>#VALUE!</v>
      </c>
      <c r="EH327" t="e">
        <f>'Project Business Checklist'!B32+"AM:!1[%"</f>
        <v>#VALUE!</v>
      </c>
      <c r="EI327" t="e">
        <f>'Project Business Checklist'!C32+"AM:!1[&amp;"</f>
        <v>#VALUE!</v>
      </c>
      <c r="EJ327" t="e">
        <f>'Project Business Checklist'!D32+"AM:!1['"</f>
        <v>#VALUE!</v>
      </c>
      <c r="EK327" t="e">
        <f>'Project Business Checklist'!E32+"AM:!1[("</f>
        <v>#VALUE!</v>
      </c>
      <c r="EL327" t="e">
        <f>'Project Business Checklist'!F32+"AM:!1[)"</f>
        <v>#VALUE!</v>
      </c>
      <c r="EM327" t="e">
        <f>'Project Business Checklist'!G32+"AM:!1[."</f>
        <v>#VALUE!</v>
      </c>
      <c r="EN327" t="e">
        <f>'Project Business Checklist'!H32+"AM:!1[/"</f>
        <v>#VALUE!</v>
      </c>
      <c r="EO327" t="e">
        <f>'Project Business Checklist'!I32+"AM:!1[0"</f>
        <v>#VALUE!</v>
      </c>
      <c r="EP327" t="e">
        <f>'Project Business Checklist'!J32+"AM:!1[1"</f>
        <v>#VALUE!</v>
      </c>
      <c r="EQ327" t="e">
        <f>'Project Business Checklist'!K32+"AM:!1[2"</f>
        <v>#VALUE!</v>
      </c>
      <c r="ER327" t="e">
        <f>'Project Business Checklist'!L32+"AM:!1[3"</f>
        <v>#VALUE!</v>
      </c>
      <c r="ES327" t="e">
        <f>'Project Business Checklist'!M32+"AM:!1[4"</f>
        <v>#VALUE!</v>
      </c>
      <c r="ET327" t="e">
        <f>'Project Business Checklist'!O32+"AM:!1[5"</f>
        <v>#VALUE!</v>
      </c>
      <c r="EU327" t="e">
        <f>'Project Business Checklist'!P32+"AM:!1[6"</f>
        <v>#VALUE!</v>
      </c>
      <c r="EV327" t="e">
        <f>'Project Business Checklist'!Q32+"AM:!1[7"</f>
        <v>#VALUE!</v>
      </c>
      <c r="EW327" t="e">
        <f>'Project Business Checklist'!A33+"AM:!1[8"</f>
        <v>#VALUE!</v>
      </c>
      <c r="EX327" t="e">
        <f>'Project Business Checklist'!B33+"AM:!1[9"</f>
        <v>#VALUE!</v>
      </c>
      <c r="EY327" t="e">
        <f>'Project Business Checklist'!C33+"AM:!1[:"</f>
        <v>#VALUE!</v>
      </c>
      <c r="EZ327" t="e">
        <f>'Project Business Checklist'!D33+"AM:!1[;"</f>
        <v>#VALUE!</v>
      </c>
      <c r="FA327" t="e">
        <f>'Project Business Checklist'!E33+"AM:!1[&lt;"</f>
        <v>#VALUE!</v>
      </c>
      <c r="FB327" t="e">
        <f>'Project Business Checklist'!F33+"AM:!1[="</f>
        <v>#VALUE!</v>
      </c>
      <c r="FC327" t="e">
        <f>'Project Business Checklist'!G33+"AM:!1[&gt;"</f>
        <v>#VALUE!</v>
      </c>
      <c r="FD327" t="e">
        <f>'Project Business Checklist'!H33+"AM:!1[?"</f>
        <v>#VALUE!</v>
      </c>
      <c r="FE327" t="e">
        <f>'Project Business Checklist'!I33+"AM:!1[@"</f>
        <v>#VALUE!</v>
      </c>
      <c r="FF327" t="e">
        <f>'Project Business Checklist'!J33+"AM:!1[A"</f>
        <v>#VALUE!</v>
      </c>
      <c r="FG327" t="e">
        <f>'Project Business Checklist'!K33+"AM:!1[B"</f>
        <v>#VALUE!</v>
      </c>
      <c r="FH327" t="e">
        <f>'Project Business Checklist'!L33+"AM:!1[C"</f>
        <v>#VALUE!</v>
      </c>
      <c r="FI327" t="e">
        <f>'Project Business Checklist'!M33+"AM:!1[D"</f>
        <v>#VALUE!</v>
      </c>
      <c r="FJ327" t="e">
        <f>'Project Business Checklist'!O33+"AM:!1[E"</f>
        <v>#VALUE!</v>
      </c>
      <c r="FK327" t="e">
        <f>'Project Business Checklist'!P33+"AM:!1[F"</f>
        <v>#VALUE!</v>
      </c>
      <c r="FL327" t="e">
        <f>'Project Business Checklist'!Q33+"AM:!1[G"</f>
        <v>#VALUE!</v>
      </c>
      <c r="FM327" t="e">
        <f>'Project Business Checklist'!A34+"AM:!1[H"</f>
        <v>#VALUE!</v>
      </c>
      <c r="FN327" t="e">
        <f>'Project Business Checklist'!B34+"AM:!1[I"</f>
        <v>#VALUE!</v>
      </c>
      <c r="FO327" t="e">
        <f>'Project Business Checklist'!C34+"AM:!1[J"</f>
        <v>#VALUE!</v>
      </c>
      <c r="FP327" t="e">
        <f>'Project Business Checklist'!D34+"AM:!1[K"</f>
        <v>#VALUE!</v>
      </c>
      <c r="FQ327" t="e">
        <f>'Project Business Checklist'!E34+"AM:!1[L"</f>
        <v>#VALUE!</v>
      </c>
      <c r="FR327" t="e">
        <f>'Project Business Checklist'!F34+"AM:!1[M"</f>
        <v>#VALUE!</v>
      </c>
      <c r="FS327" t="e">
        <f>'Project Business Checklist'!G34+"AM:!1[N"</f>
        <v>#VALUE!</v>
      </c>
      <c r="FT327" t="e">
        <f>'Project Business Checklist'!H34+"AM:!1[O"</f>
        <v>#VALUE!</v>
      </c>
      <c r="FU327" t="e">
        <f>'Project Business Checklist'!I34+"AM:!1[P"</f>
        <v>#VALUE!</v>
      </c>
      <c r="FV327" t="e">
        <f>'Project Business Checklist'!J34+"AM:!1[Q"</f>
        <v>#VALUE!</v>
      </c>
      <c r="FW327" t="e">
        <f>'Project Business Checklist'!K34+"AM:!1[R"</f>
        <v>#VALUE!</v>
      </c>
      <c r="FX327" t="e">
        <f>'Project Business Checklist'!L34+"AM:!1[S"</f>
        <v>#VALUE!</v>
      </c>
      <c r="FY327" t="e">
        <f>'Project Business Checklist'!M34+"AM:!1[T"</f>
        <v>#VALUE!</v>
      </c>
      <c r="FZ327" t="e">
        <f>'Project Business Checklist'!O34+"AM:!1[U"</f>
        <v>#VALUE!</v>
      </c>
      <c r="GA327" t="e">
        <f>'Project Business Checklist'!P34+"AM:!1[V"</f>
        <v>#VALUE!</v>
      </c>
      <c r="GB327" t="e">
        <f>'Project Business Checklist'!Q34+"AM:!1[W"</f>
        <v>#VALUE!</v>
      </c>
      <c r="GC327" t="e">
        <f>'Project Business Checklist'!A35+"AM:!1[X"</f>
        <v>#VALUE!</v>
      </c>
      <c r="GD327" t="e">
        <f>'Project Business Checklist'!B35+"AM:!1[Y"</f>
        <v>#VALUE!</v>
      </c>
      <c r="GE327" t="e">
        <f>'Project Business Checklist'!C35+"AM:!1[Z"</f>
        <v>#VALUE!</v>
      </c>
      <c r="GF327" t="e">
        <f>'Project Business Checklist'!D35+"AM:!1[["</f>
        <v>#VALUE!</v>
      </c>
      <c r="GG327" t="e">
        <f>'Project Business Checklist'!E35+"AM:!1[\"</f>
        <v>#VALUE!</v>
      </c>
      <c r="GH327" t="e">
        <f>'Project Business Checklist'!F35+"AM:!1[]"</f>
        <v>#VALUE!</v>
      </c>
      <c r="GI327" t="e">
        <f>'Project Business Checklist'!G35+"AM:!1[^"</f>
        <v>#VALUE!</v>
      </c>
      <c r="GJ327" t="e">
        <f>'Project Business Checklist'!H35+"AM:!1[_"</f>
        <v>#VALUE!</v>
      </c>
      <c r="GK327" t="e">
        <f>'Project Business Checklist'!I35+"AM:!1[`"</f>
        <v>#VALUE!</v>
      </c>
      <c r="GL327" t="e">
        <f>'Project Business Checklist'!J35+"AM:!1[a"</f>
        <v>#VALUE!</v>
      </c>
      <c r="GM327" t="e">
        <f>'Project Business Checklist'!K35+"AM:!1[b"</f>
        <v>#VALUE!</v>
      </c>
      <c r="GN327" t="e">
        <f>'Project Business Checklist'!L35+"AM:!1[c"</f>
        <v>#VALUE!</v>
      </c>
      <c r="GO327" t="e">
        <f>'Project Business Checklist'!M35+"AM:!1[d"</f>
        <v>#VALUE!</v>
      </c>
      <c r="GP327" t="e">
        <f>'Project Business Checklist'!O35+"AM:!1[e"</f>
        <v>#VALUE!</v>
      </c>
      <c r="GQ327" t="e">
        <f>'Project Business Checklist'!P35+"AM:!1[f"</f>
        <v>#VALUE!</v>
      </c>
      <c r="GR327" t="e">
        <f>'Project Business Checklist'!Q35+"AM:!1[g"</f>
        <v>#VALUE!</v>
      </c>
      <c r="GS327" t="e">
        <f>'Project Business Checklist'!F36+"AM:!1[h"</f>
        <v>#VALUE!</v>
      </c>
      <c r="GT327" t="e">
        <f>'Project Business Checklist'!F37+"AM:!1[i"</f>
        <v>#VALUE!</v>
      </c>
      <c r="GU327" t="e">
        <f>'Project Business Checklist'!F38+"AM:!1[j"</f>
        <v>#VALUE!</v>
      </c>
      <c r="GV327" t="e">
        <f>'Project Business Checklist'!F39+"AM:!1[k"</f>
        <v>#VALUE!</v>
      </c>
      <c r="GW327" t="e">
        <f>'Project Business Checklist'!F40+"AM:!1[l"</f>
        <v>#VALUE!</v>
      </c>
      <c r="GX327" t="e">
        <f>'Project Business Checklist'!F41+"AM:!1[m"</f>
        <v>#VALUE!</v>
      </c>
      <c r="GY327" t="e">
        <f>'Project Business Checklist'!F42+"AM:!1[n"</f>
        <v>#VALUE!</v>
      </c>
      <c r="GZ327" t="e">
        <f>'Project Business Checklist'!F43+"AM:!1[o"</f>
        <v>#VALUE!</v>
      </c>
      <c r="HA327" t="e">
        <f>'Project Business Checklist'!F44+"AM:!1[p"</f>
        <v>#VALUE!</v>
      </c>
      <c r="HB327" t="e">
        <f>'Project Business Checklist'!F45+"AM:!1[q"</f>
        <v>#VALUE!</v>
      </c>
      <c r="HC327" t="e">
        <f>'Project Business Checklist'!F46+"AM:!1[r"</f>
        <v>#VALUE!</v>
      </c>
      <c r="HD327" t="e">
        <f>'Project Business Checklist'!F47+"AM:!1[s"</f>
        <v>#VALUE!</v>
      </c>
      <c r="HE327" t="e">
        <f>'Project Business Checklist'!F48+"AM:!1[t"</f>
        <v>#VALUE!</v>
      </c>
      <c r="HF327" t="e">
        <f>'Project Business Checklist'!F49+"AM:!1[u"</f>
        <v>#VALUE!</v>
      </c>
      <c r="HG327" t="e">
        <f>'Project Business Checklist'!F50+"AM:!1[v"</f>
        <v>#VALUE!</v>
      </c>
      <c r="HH327" t="e">
        <f>'Project Business Checklist'!F51+"AM:!1[w"</f>
        <v>#VALUE!</v>
      </c>
      <c r="HI327" t="e">
        <f>'Project Business Checklist'!F52+"AM:!1[x"</f>
        <v>#VALUE!</v>
      </c>
      <c r="HJ327" t="e">
        <f>'Project Business Checklist'!F53+"AM:!1[y"</f>
        <v>#VALUE!</v>
      </c>
      <c r="HK327" t="e">
        <f>'Project Business Checklist'!F54+"AM:!1[z"</f>
        <v>#VALUE!</v>
      </c>
      <c r="HL327" t="e">
        <f>'Project Business Checklist'!F55+"AM:!1[{"</f>
        <v>#VALUE!</v>
      </c>
      <c r="HM327" t="e">
        <f>'Project Business Checklist'!F56+"AM:!1[|"</f>
        <v>#VALUE!</v>
      </c>
      <c r="HN327" t="e">
        <f>'Project Business Checklist'!F57+"AM:!1[}"</f>
        <v>#VALUE!</v>
      </c>
      <c r="HO327" t="e">
        <f>'Project Business Checklist'!F58+"AM:!1[~"</f>
        <v>#VALUE!</v>
      </c>
      <c r="HP327" t="e">
        <f>'Project Business Checklist'!F59+"AM:!1\#"</f>
        <v>#VALUE!</v>
      </c>
      <c r="HQ327" t="e">
        <f>'Project Business Checklist'!F60+"AM:!1\$"</f>
        <v>#VALUE!</v>
      </c>
      <c r="HR327" t="e">
        <f>'Project Business Checklist'!F61+"AM:!1\%"</f>
        <v>#VALUE!</v>
      </c>
      <c r="HS327" t="e">
        <f>'Project Business Checklist'!F62+"AM:!1\&amp;"</f>
        <v>#VALUE!</v>
      </c>
      <c r="HT327" t="e">
        <f>'Project Business Checklist'!F63+"AM:!1\'"</f>
        <v>#VALUE!</v>
      </c>
      <c r="HU327" t="e">
        <f>'Project Business Checklist'!F64+"AM:!1\("</f>
        <v>#VALUE!</v>
      </c>
      <c r="HV327" t="e">
        <f>'Project Business Checklist'!F65+"AM:!1\)"</f>
        <v>#VALUE!</v>
      </c>
      <c r="HW327" t="e">
        <f>'Project Business Checklist'!F66+"AM:!1\."</f>
        <v>#VALUE!</v>
      </c>
      <c r="HX327" t="e">
        <f>'Project Business Checklist'!F67+"AM:!1\/"</f>
        <v>#VALUE!</v>
      </c>
      <c r="HY327" t="e">
        <f>'Project Business Checklist'!F68+"AM:!1\0"</f>
        <v>#VALUE!</v>
      </c>
      <c r="HZ327" t="e">
        <f>'Project Business Checklist'!F69+"AM:!1\1"</f>
        <v>#VALUE!</v>
      </c>
      <c r="IA327" t="e">
        <f>'Project Business Checklist'!F70+"AM:!1\2"</f>
        <v>#VALUE!</v>
      </c>
      <c r="IB327" t="e">
        <f>'Project Business Checklist'!F71+"AM:!1\3"</f>
        <v>#VALUE!</v>
      </c>
      <c r="IC327" t="e">
        <f>'Project Business Checklist'!F72+"AM:!1\4"</f>
        <v>#VALUE!</v>
      </c>
      <c r="ID327" t="e">
        <f>'Project Business Checklist'!F73+"AM:!1\5"</f>
        <v>#VALUE!</v>
      </c>
      <c r="IE327" t="e">
        <f>'Project Business Checklist'!F74+"AM:!1\6"</f>
        <v>#VALUE!</v>
      </c>
      <c r="IF327" t="e">
        <f>'Project Business Checklist'!F75+"AM:!1\7"</f>
        <v>#VALUE!</v>
      </c>
      <c r="IG327" t="e">
        <f>'Project Business Checklist'!F76+"AM:!1\8"</f>
        <v>#VALUE!</v>
      </c>
      <c r="IH327" t="e">
        <f>'Project Business Checklist'!F77+"AM:!1\9"</f>
        <v>#VALUE!</v>
      </c>
      <c r="II327" t="e">
        <f>'Project Business Checklist'!F78+"AM:!1\:"</f>
        <v>#VALUE!</v>
      </c>
      <c r="IJ327" t="e">
        <f>'Project Business Checklist'!F79+"AM:!1\;"</f>
        <v>#VALUE!</v>
      </c>
      <c r="IK327" t="e">
        <f>'Project Business Checklist'!F80+"AM:!1\&lt;"</f>
        <v>#VALUE!</v>
      </c>
      <c r="IL327" t="e">
        <f>'Project Business Checklist'!F81+"AM:!1\="</f>
        <v>#VALUE!</v>
      </c>
      <c r="IM327" t="e">
        <f>'Project Business Checklist'!F82+"AM:!1\&gt;"</f>
        <v>#VALUE!</v>
      </c>
      <c r="IN327" t="e">
        <f>'Project Business Checklist'!F83+"AM:!1\?"</f>
        <v>#VALUE!</v>
      </c>
      <c r="IO327" t="e">
        <f>'Project Business Checklist'!F84+"AM:!1\@"</f>
        <v>#VALUE!</v>
      </c>
      <c r="IP327" t="e">
        <f>'Project Business Checklist'!F85+"AM:!1\A"</f>
        <v>#VALUE!</v>
      </c>
      <c r="IQ327" t="e">
        <f>'Project Business Checklist'!F86+"AM:!1\B"</f>
        <v>#VALUE!</v>
      </c>
      <c r="IR327" t="e">
        <f>'Project Business Checklist'!F87+"AM:!1\C"</f>
        <v>#VALUE!</v>
      </c>
      <c r="IS327" t="e">
        <f>'Project Business Checklist'!F88+"AM:!1\D"</f>
        <v>#VALUE!</v>
      </c>
      <c r="IT327" t="e">
        <f>'Project Business Checklist'!F89+"AM:!1\E"</f>
        <v>#VALUE!</v>
      </c>
      <c r="IU327" t="e">
        <f>'Project Business Checklist'!F90+"AM:!1\F"</f>
        <v>#VALUE!</v>
      </c>
      <c r="IV327" t="e">
        <f>'Project Business Checklist'!F91+"AM:!1\G"</f>
        <v>#VALUE!</v>
      </c>
    </row>
    <row r="328" spans="6:256">
      <c r="F328" t="e">
        <f>'Project Business Checklist'!F92+"AM:!1\H"</f>
        <v>#VALUE!</v>
      </c>
      <c r="G328" t="e">
        <f>'Project Business Checklist'!F93+"AM:!1\I"</f>
        <v>#VALUE!</v>
      </c>
      <c r="H328" t="e">
        <f>'Project Business Checklist'!F94+"AM:!1\J"</f>
        <v>#VALUE!</v>
      </c>
      <c r="I328" t="e">
        <f>'Project Business Checklist'!F95+"AM:!1\K"</f>
        <v>#VALUE!</v>
      </c>
      <c r="J328" t="e">
        <f>'Project Business Checklist'!F96+"AM:!1\L"</f>
        <v>#VALUE!</v>
      </c>
      <c r="K328" t="e">
        <f>'Project Business Checklist'!F97+"AM:!1\M"</f>
        <v>#VALUE!</v>
      </c>
      <c r="L328" t="e">
        <f>'Project Business Checklist'!F98+"AM:!1\N"</f>
        <v>#VALUE!</v>
      </c>
      <c r="M328" t="e">
        <f>'Project Business Checklist'!F99+"AM:!1\O"</f>
        <v>#VALUE!</v>
      </c>
      <c r="N328" t="e">
        <f>'Project Business Checklist'!F100+"AM:!1\P"</f>
        <v>#VALUE!</v>
      </c>
      <c r="O328" t="e">
        <f>'Project Business Checklist'!F101+"AM:!1\Q"</f>
        <v>#VALUE!</v>
      </c>
      <c r="P328" t="e">
        <f>'Project Business Checklist'!F102+"AM:!1\R"</f>
        <v>#VALUE!</v>
      </c>
      <c r="Q328" t="e">
        <f>'Project Business Checklist'!F103+"AM:!1\S"</f>
        <v>#VALUE!</v>
      </c>
      <c r="R328" t="e">
        <f>'Project Business Checklist'!F104+"AM:!1\T"</f>
        <v>#VALUE!</v>
      </c>
      <c r="S328" t="e">
        <f>'Project Business Checklist'!F105+"AM:!1\U"</f>
        <v>#VALUE!</v>
      </c>
      <c r="T328" t="e">
        <f>'Project Business Checklist'!F106+"AM:!1\V"</f>
        <v>#VALUE!</v>
      </c>
      <c r="U328" t="e">
        <f>'Project Business Checklist'!F107+"AM:!1\W"</f>
        <v>#VALUE!</v>
      </c>
      <c r="V328" t="e">
        <f>'Project Business Checklist'!F108+"AM:!1\X"</f>
        <v>#VALUE!</v>
      </c>
      <c r="W328" t="e">
        <f>'Project Business Checklist'!F109+"AM:!1\Y"</f>
        <v>#VALUE!</v>
      </c>
      <c r="X328" t="e">
        <f>'Project Business Checklist'!F110+"AM:!1\Z"</f>
        <v>#VALUE!</v>
      </c>
      <c r="Y328" t="e">
        <f>'Project Business Checklist'!F111+"AM:!1\["</f>
        <v>#VALUE!</v>
      </c>
      <c r="Z328" t="e">
        <f>'Project Business Checklist'!F112+"AM:!1\\"</f>
        <v>#VALUE!</v>
      </c>
      <c r="AA328" t="e">
        <f>'Project Business Checklist'!F113+"AM:!1\]"</f>
        <v>#VALUE!</v>
      </c>
      <c r="AB328" t="e">
        <f>'Project Business Checklist'!F114+"AM:!1\^"</f>
        <v>#VALUE!</v>
      </c>
      <c r="AC328" t="e">
        <f>'Project Business Checklist'!F115+"AM:!1\_"</f>
        <v>#VALUE!</v>
      </c>
      <c r="AD328" t="e">
        <f>'Project Business Checklist'!F116+"AM:!1\`"</f>
        <v>#VALUE!</v>
      </c>
      <c r="AE328" t="e">
        <f>'Project Business Checklist'!F117+"AM:!1\a"</f>
        <v>#VALUE!</v>
      </c>
      <c r="AF328" t="e">
        <f>'Project Business Checklist'!F118+"AM:!1\b"</f>
        <v>#VALUE!</v>
      </c>
      <c r="AG328" t="e">
        <f>'Project Business Checklist'!F119+"AM:!1\c"</f>
        <v>#VALUE!</v>
      </c>
      <c r="AH328" t="e">
        <f>'Project Business Checklist'!F120+"AM:!1\d"</f>
        <v>#VALUE!</v>
      </c>
      <c r="AI328" t="e">
        <f>'Project Business Checklist'!F121+"AM:!1\e"</f>
        <v>#VALUE!</v>
      </c>
      <c r="AJ328" t="e">
        <f>'Project Business Checklist'!F122+"AM:!1\f"</f>
        <v>#VALUE!</v>
      </c>
      <c r="AK328" t="e">
        <f>'Project Business Checklist'!F123+"AM:!1\g"</f>
        <v>#VALUE!</v>
      </c>
      <c r="AL328" t="e">
        <f>'Project Business Checklist'!F124+"AM:!1\h"</f>
        <v>#VALUE!</v>
      </c>
      <c r="AM328" t="e">
        <f>'Project Business Checklist'!F125+"AM:!1\i"</f>
        <v>#VALUE!</v>
      </c>
      <c r="AN328" t="e">
        <f>'Project Business Checklist'!F126+"AM:!1\j"</f>
        <v>#VALUE!</v>
      </c>
      <c r="AO328" t="e">
        <f>'Project Business Checklist'!F127+"AM:!1\k"</f>
        <v>#VALUE!</v>
      </c>
      <c r="AP328" t="e">
        <f>'Project Business Checklist'!F128+"AM:!1\l"</f>
        <v>#VALUE!</v>
      </c>
      <c r="AQ328" t="e">
        <f>'Project Business Checklist'!F129+"AM:!1\m"</f>
        <v>#VALUE!</v>
      </c>
      <c r="AR328" t="e">
        <f>'Project Business Checklist'!F130+"AM:!1\n"</f>
        <v>#VALUE!</v>
      </c>
      <c r="AS328" t="e">
        <f>'Project Business Checklist'!F131+"AM:!1\o"</f>
        <v>#VALUE!</v>
      </c>
      <c r="AT328" t="e">
        <f>'Project Business Checklist'!F132+"AM:!1\p"</f>
        <v>#VALUE!</v>
      </c>
      <c r="AU328" t="e">
        <f>'Project Business Checklist'!F133+"AM:!1\q"</f>
        <v>#VALUE!</v>
      </c>
      <c r="AV328" t="e">
        <f>'Project Business Checklist'!F134+"AM:!1\r"</f>
        <v>#VALUE!</v>
      </c>
      <c r="AW328" t="e">
        <f>'Project Business Checklist'!F135+"AM:!1\s"</f>
        <v>#VALUE!</v>
      </c>
      <c r="AX328" t="e">
        <f>'Project Business Checklist'!F136+"AM:!1\t"</f>
        <v>#VALUE!</v>
      </c>
      <c r="AY328" t="e">
        <f>'Project Business Checklist'!F137+"AM:!1\u"</f>
        <v>#VALUE!</v>
      </c>
      <c r="AZ328" t="e">
        <f>'Project Business Checklist'!F138+"AM:!1\v"</f>
        <v>#VALUE!</v>
      </c>
      <c r="BA328" t="e">
        <f>'Project Business Checklist'!F139+"AM:!1\w"</f>
        <v>#VALUE!</v>
      </c>
      <c r="BB328" t="e">
        <f>'Project Business Checklist'!F140+"AM:!1\x"</f>
        <v>#VALUE!</v>
      </c>
      <c r="BC328" t="e">
        <f>'Project Business Checklist'!F141+"AM:!1\y"</f>
        <v>#VALUE!</v>
      </c>
      <c r="BD328" t="e">
        <f>'Project Business Checklist'!F142+"AM:!1\z"</f>
        <v>#VALUE!</v>
      </c>
      <c r="BE328" t="e">
        <f>'Project Business Checklist'!F143+"AM:!1\{"</f>
        <v>#VALUE!</v>
      </c>
      <c r="BF328" t="e">
        <f>'Project Business Checklist'!F144+"AM:!1\|"</f>
        <v>#VALUE!</v>
      </c>
      <c r="BG328" t="e">
        <f>'Project Business Checklist'!F145+"AM:!1\}"</f>
        <v>#VALUE!</v>
      </c>
      <c r="BH328" t="e">
        <f>'Project Business Checklist'!F146+"AM:!1\~"</f>
        <v>#VALUE!</v>
      </c>
      <c r="BI328" t="e">
        <f>'Project Business Checklist'!F147+"AM:!1]#"</f>
        <v>#VALUE!</v>
      </c>
      <c r="BJ328" t="e">
        <f>'Project Business Checklist'!F148+"AM:!1]$"</f>
        <v>#VALUE!</v>
      </c>
      <c r="BK328" t="e">
        <f>'Project Business Checklist'!F149+"AM:!1]%"</f>
        <v>#VALUE!</v>
      </c>
      <c r="BL328" t="e">
        <f>'Project Business Checklist'!F150+"AM:!1]&amp;"</f>
        <v>#VALUE!</v>
      </c>
      <c r="BM328" t="e">
        <f>'Project Business Checklist'!F151+"AM:!1]'"</f>
        <v>#VALUE!</v>
      </c>
      <c r="BN328" t="e">
        <f>'Project Business Checklist'!F152+"AM:!1]("</f>
        <v>#VALUE!</v>
      </c>
      <c r="BO328" t="e">
        <f>'Project Business Checklist'!F153+"AM:!1])"</f>
        <v>#VALUE!</v>
      </c>
      <c r="BP328" t="e">
        <f>'Project Business Checklist'!F154+"AM:!1]."</f>
        <v>#VALUE!</v>
      </c>
      <c r="BQ328" t="e">
        <f>'Project Business Checklist'!F155+"AM:!1]/"</f>
        <v>#VALUE!</v>
      </c>
      <c r="BR328" t="e">
        <f>'Project Business Checklist'!F156+"AM:!1]0"</f>
        <v>#VALUE!</v>
      </c>
      <c r="BS328" t="e">
        <f>'Project Business Checklist'!F157+"AM:!1]1"</f>
        <v>#VALUE!</v>
      </c>
      <c r="BT328" t="e">
        <f>'Project Business Checklist'!F158+"AM:!1]2"</f>
        <v>#VALUE!</v>
      </c>
      <c r="BU328" t="e">
        <f>'Project Business Checklist'!F159+"AM:!1]3"</f>
        <v>#VALUE!</v>
      </c>
      <c r="BV328" t="e">
        <f>'Project Business Checklist'!F160+"AM:!1]4"</f>
        <v>#VALUE!</v>
      </c>
      <c r="BW328" t="e">
        <f>'Project Business Checklist'!F161+"AM:!1]5"</f>
        <v>#VALUE!</v>
      </c>
      <c r="BX328" t="e">
        <f>'Project Business Checklist'!F162+"AM:!1]6"</f>
        <v>#VALUE!</v>
      </c>
      <c r="BY328" t="e">
        <f>'Project Business Checklist'!F163+"AM:!1]7"</f>
        <v>#VALUE!</v>
      </c>
      <c r="BZ328" t="e">
        <f>'Project Business Checklist'!F164+"AM:!1]8"</f>
        <v>#VALUE!</v>
      </c>
      <c r="CA328" t="e">
        <f>'Project Business Checklist'!F165+"AM:!1]9"</f>
        <v>#VALUE!</v>
      </c>
      <c r="CB328" t="e">
        <f>'Project Business Checklist'!F166+"AM:!1]:"</f>
        <v>#VALUE!</v>
      </c>
      <c r="CC328" t="e">
        <f>'Project Business Checklist'!F167+"AM:!1];"</f>
        <v>#VALUE!</v>
      </c>
      <c r="CD328" t="e">
        <f>'Project Business Checklist'!F168+"AM:!1]&lt;"</f>
        <v>#VALUE!</v>
      </c>
      <c r="CE328" t="e">
        <f>'Project Business Checklist'!F169+"AM:!1]="</f>
        <v>#VALUE!</v>
      </c>
      <c r="CF328" t="e">
        <f>'Project Business Checklist'!F170+"AM:!1]&gt;"</f>
        <v>#VALUE!</v>
      </c>
      <c r="CG328" t="e">
        <f>'Project Business Checklist'!F171+"AM:!1]?"</f>
        <v>#VALUE!</v>
      </c>
      <c r="CH328" t="e">
        <f>'Project Business Checklist'!F172+"AM:!1]@"</f>
        <v>#VALUE!</v>
      </c>
      <c r="CI328" t="e">
        <f>'Project Business Checklist'!F173+"AM:!1]A"</f>
        <v>#VALUE!</v>
      </c>
      <c r="CJ328" t="e">
        <f>'Project Business Checklist'!F174+"AM:!1]B"</f>
        <v>#VALUE!</v>
      </c>
      <c r="CK328" t="e">
        <f>'Project Business Checklist'!F175+"AM:!1]C"</f>
        <v>#VALUE!</v>
      </c>
      <c r="CL328" t="e">
        <f>'Project Business Checklist'!F176+"AM:!1]D"</f>
        <v>#VALUE!</v>
      </c>
      <c r="CM328" t="e">
        <f>'Project Business Checklist'!F177+"AM:!1]E"</f>
        <v>#VALUE!</v>
      </c>
      <c r="CN328" t="e">
        <f>'Project Business Checklist'!F178+"AM:!1]F"</f>
        <v>#VALUE!</v>
      </c>
      <c r="CO328" t="e">
        <f>'Project Business Checklist'!F179+"AM:!1]G"</f>
        <v>#VALUE!</v>
      </c>
      <c r="CP328" t="e">
        <f>'Project Business Checklist'!F180+"AM:!1]H"</f>
        <v>#VALUE!</v>
      </c>
      <c r="CQ328" t="e">
        <f>'Project Business Checklist'!F181+"AM:!1]I"</f>
        <v>#VALUE!</v>
      </c>
      <c r="CR328" t="e">
        <f>'Project Business Checklist'!F182+"AM:!1]J"</f>
        <v>#VALUE!</v>
      </c>
      <c r="CS328" t="e">
        <f>'Project Business Checklist'!F183+"AM:!1]K"</f>
        <v>#VALUE!</v>
      </c>
      <c r="CT328" t="e">
        <f>'Project Business Checklist'!F184+"AM:!1]L"</f>
        <v>#VALUE!</v>
      </c>
      <c r="CU328" t="e">
        <f>'Project Business Checklist'!F185+"AM:!1]M"</f>
        <v>#VALUE!</v>
      </c>
      <c r="CV328" t="e">
        <f>'Project Business Checklist'!F186+"AM:!1]N"</f>
        <v>#VALUE!</v>
      </c>
      <c r="CW328" t="e">
        <f>'Project Business Checklist'!F187+"AM:!1]O"</f>
        <v>#VALUE!</v>
      </c>
      <c r="CX328" t="e">
        <f>'Project Business Checklist'!F188+"AM:!1]P"</f>
        <v>#VALUE!</v>
      </c>
      <c r="CY328" t="e">
        <f>'Project Business Checklist'!F189+"AM:!1]Q"</f>
        <v>#VALUE!</v>
      </c>
      <c r="CZ328" t="e">
        <f>'Project Business Checklist'!F190+"AM:!1]R"</f>
        <v>#VALUE!</v>
      </c>
      <c r="DA328" t="e">
        <f>'Project Business Checklist'!F191+"AM:!1]S"</f>
        <v>#VALUE!</v>
      </c>
      <c r="DB328" t="e">
        <f>'Project Business Checklist'!F192+"AM:!1]T"</f>
        <v>#VALUE!</v>
      </c>
      <c r="DC328" t="e">
        <f>'Project Business Checklist'!F193+"AM:!1]U"</f>
        <v>#VALUE!</v>
      </c>
      <c r="DD328" t="e">
        <f>'Project Business Checklist'!F194+"AM:!1]V"</f>
        <v>#VALUE!</v>
      </c>
      <c r="DE328" t="e">
        <f>'Project Business Checklist'!F195+"AM:!1]W"</f>
        <v>#VALUE!</v>
      </c>
      <c r="DF328" t="e">
        <f>'Project Business Checklist'!F196+"AM:!1]X"</f>
        <v>#VALUE!</v>
      </c>
      <c r="DG328" t="e">
        <f>'Project Business Checklist'!F197+"AM:!1]Y"</f>
        <v>#VALUE!</v>
      </c>
      <c r="DH328" t="e">
        <f>'Project Business Checklist'!F198+"AM:!1]Z"</f>
        <v>#VALUE!</v>
      </c>
      <c r="DI328" t="e">
        <f>'Project Business Checklist'!F199+"AM:!1]["</f>
        <v>#VALUE!</v>
      </c>
      <c r="DJ328" t="e">
        <f>'Project Business Checklist'!F200+"AM:!1]\"</f>
        <v>#VALUE!</v>
      </c>
      <c r="DK328" t="e">
        <f>'Project Business Checklist'!F201+"AM:!1]]"</f>
        <v>#VALUE!</v>
      </c>
      <c r="DL328" t="e">
        <f>'Project Business Checklist'!F202+"AM:!1]^"</f>
        <v>#VALUE!</v>
      </c>
      <c r="DM328" t="e">
        <f>'Project Business Checklist'!F203+"AM:!1]_"</f>
        <v>#VALUE!</v>
      </c>
      <c r="DN328" t="e">
        <f>'Project Business Checklist'!F204+"AM:!1]`"</f>
        <v>#VALUE!</v>
      </c>
      <c r="DO328" t="e">
        <f>'Project Business Checklist'!F205+"AM:!1]a"</f>
        <v>#VALUE!</v>
      </c>
      <c r="DP328" t="e">
        <f>'Project Business Checklist'!F206+"AM:!1]b"</f>
        <v>#VALUE!</v>
      </c>
      <c r="DQ328" t="e">
        <f>'Project Business Checklist'!F207+"AM:!1]c"</f>
        <v>#VALUE!</v>
      </c>
      <c r="DR328" t="e">
        <f>'Project Business Checklist'!F208+"AM:!1]d"</f>
        <v>#VALUE!</v>
      </c>
      <c r="DS328" t="e">
        <f>'Project Business Checklist'!F209+"AM:!1]e"</f>
        <v>#VALUE!</v>
      </c>
      <c r="DT328" t="e">
        <f>'Project Business Checklist'!F210+"AM:!1]f"</f>
        <v>#VALUE!</v>
      </c>
      <c r="DU328" t="e">
        <f>'Project Business Checklist'!F211+"AM:!1]g"</f>
        <v>#VALUE!</v>
      </c>
      <c r="DV328" t="e">
        <f>'Project Business Checklist'!F212+"AM:!1]h"</f>
        <v>#VALUE!</v>
      </c>
      <c r="DW328" t="e">
        <f>'Project Business Checklist'!F213+"AM:!1]i"</f>
        <v>#VALUE!</v>
      </c>
      <c r="DX328" t="e">
        <f>'Project Business Checklist'!F214+"AM:!1]j"</f>
        <v>#VALUE!</v>
      </c>
      <c r="DY328" t="e">
        <f>EVM!A:A*"AM:!1]m"</f>
        <v>#VALUE!</v>
      </c>
      <c r="DZ328" t="e">
        <f>EVM!B:B*"AM:!1]n"</f>
        <v>#VALUE!</v>
      </c>
      <c r="EA328" t="e">
        <f>EVM!C:C*"AM:!1]o"</f>
        <v>#VALUE!</v>
      </c>
      <c r="EB328" t="e">
        <f>EVM!D:D*"AM:!1]p"</f>
        <v>#VALUE!</v>
      </c>
      <c r="EC328" t="e">
        <f>EVM!E:E*"AM:!1]q"</f>
        <v>#VALUE!</v>
      </c>
      <c r="ED328" t="e">
        <f>EVM!F:F*"AM:!1]r"</f>
        <v>#VALUE!</v>
      </c>
      <c r="EE328" t="e">
        <f>EVM!G:G*"AM:!1]s"</f>
        <v>#VALUE!</v>
      </c>
      <c r="EF328" t="e">
        <f>EVM!H:H*"AM:!1]t"</f>
        <v>#VALUE!</v>
      </c>
      <c r="EG328" t="e">
        <f>EVM!I:I*"AM:!1]u"</f>
        <v>#VALUE!</v>
      </c>
      <c r="EH328" t="e">
        <f>EVM!J:J*"AM:!1]v"</f>
        <v>#VALUE!</v>
      </c>
      <c r="EI328" t="e">
        <f>EVM!K:K*"AM:!1]w"</f>
        <v>#VALUE!</v>
      </c>
      <c r="EJ328" t="e">
        <f>EVM!L:L*"AM:!1]x"</f>
        <v>#VALUE!</v>
      </c>
      <c r="EK328" t="e">
        <f>EVM!M:M*"AM:!1]y"</f>
        <v>#VALUE!</v>
      </c>
      <c r="EL328" t="e">
        <f>EVM!N:N*"AM:!1]z"</f>
        <v>#VALUE!</v>
      </c>
      <c r="EM328" t="e">
        <f>EVM!O:O*"AM:!1]{"</f>
        <v>#VALUE!</v>
      </c>
      <c r="EN328" t="e">
        <f>EVM!P:P*"AM:!1]|"</f>
        <v>#VALUE!</v>
      </c>
      <c r="EO328" t="e">
        <f>EVM!Q:Q*"AM:!1]}"</f>
        <v>#VALUE!</v>
      </c>
      <c r="EP328" t="e">
        <f>EVM!R:R*"AM:!1]~"</f>
        <v>#VALUE!</v>
      </c>
      <c r="EQ328" t="e">
        <f>EVM!S:S*"AM:!1^#"</f>
        <v>#VALUE!</v>
      </c>
      <c r="ER328" t="e">
        <f>EVM!T:T*"AM:!1^$"</f>
        <v>#VALUE!</v>
      </c>
      <c r="ES328" t="e">
        <f>EVM!U:U*"AM:!1^%"</f>
        <v>#VALUE!</v>
      </c>
      <c r="ET328" t="e">
        <f>EVM!V:V*"AM:!1^&amp;"</f>
        <v>#VALUE!</v>
      </c>
      <c r="EU328" t="e">
        <f>EVM!W:W*"AM:!1^'"</f>
        <v>#VALUE!</v>
      </c>
      <c r="EV328" t="e">
        <f>EVM!X:X*"AM:!1^("</f>
        <v>#VALUE!</v>
      </c>
      <c r="EW328" t="e">
        <f>EVM!Y:Y*"AM:!1^)"</f>
        <v>#VALUE!</v>
      </c>
      <c r="EX328" t="e">
        <f>EVM!Z:Z*"AM:!1^."</f>
        <v>#VALUE!</v>
      </c>
      <c r="EY328" t="e">
        <f>EVM!AA:AA*"AM:!1^/"</f>
        <v>#VALUE!</v>
      </c>
      <c r="EZ328" t="e">
        <f>EVM!AB:AB*"AM:!1^0"</f>
        <v>#VALUE!</v>
      </c>
      <c r="FA328" t="e">
        <f>EVM!AC:AC*"AM:!1^1"</f>
        <v>#VALUE!</v>
      </c>
      <c r="FB328" t="e">
        <f>EVM!AD:AD*"AM:!1^2"</f>
        <v>#VALUE!</v>
      </c>
      <c r="FC328" t="e">
        <f>EVM!AE:AE*"AM:!1^3"</f>
        <v>#VALUE!</v>
      </c>
      <c r="FD328" t="e">
        <f>EVM!AF:AF*"AM:!1^4"</f>
        <v>#VALUE!</v>
      </c>
      <c r="FE328" t="e">
        <f>EVM!AG:AG*"AM:!1^5"</f>
        <v>#VALUE!</v>
      </c>
      <c r="FF328" t="e">
        <f>EVM!AH:AH*"AM:!1^6"</f>
        <v>#VALUE!</v>
      </c>
      <c r="FG328" t="e">
        <f>EVM!AI:AI*"AM:!1^7"</f>
        <v>#VALUE!</v>
      </c>
      <c r="FH328" t="e">
        <f>EVM!AJ:AJ*"AM:!1^8"</f>
        <v>#VALUE!</v>
      </c>
      <c r="FI328" t="e">
        <f>EVM!AK:AK*"AM:!1^9"</f>
        <v>#VALUE!</v>
      </c>
      <c r="FJ328" t="e">
        <f>EVM!AL:AL*"AM:!1^:"</f>
        <v>#VALUE!</v>
      </c>
      <c r="FK328" t="e">
        <f>EVM!AM:AM*"AM:!1^;"</f>
        <v>#VALUE!</v>
      </c>
      <c r="FL328" t="e">
        <f>EVM!AN:AN*"AM:!1^&lt;"</f>
        <v>#VALUE!</v>
      </c>
      <c r="FM328" t="e">
        <f>EVM!AO:AO*"AM:!1^="</f>
        <v>#VALUE!</v>
      </c>
      <c r="FN328" t="e">
        <f>EVM!AP:AP*"AM:!1^&gt;"</f>
        <v>#VALUE!</v>
      </c>
      <c r="FO328" t="e">
        <f>EVM!AQ:AQ*"AM:!1^?"</f>
        <v>#VALUE!</v>
      </c>
      <c r="FP328" t="e">
        <f>EVM!AR:AR*"AM:!1^@"</f>
        <v>#VALUE!</v>
      </c>
      <c r="FQ328" t="e">
        <f>EVM!AS:AS*"AM:!1^A"</f>
        <v>#VALUE!</v>
      </c>
      <c r="FR328" t="e">
        <f>EVM!AT:AT*"AM:!1^B"</f>
        <v>#VALUE!</v>
      </c>
      <c r="FS328" t="e">
        <f>EVM!AU:AU*"AM:!1^C"</f>
        <v>#VALUE!</v>
      </c>
      <c r="FT328" t="e">
        <f>EVM!AV:AV*"AM:!1^D"</f>
        <v>#VALUE!</v>
      </c>
      <c r="FU328" t="e">
        <f>EVM!AW:AW*"AM:!1^E"</f>
        <v>#VALUE!</v>
      </c>
      <c r="FV328" t="e">
        <f>EVM!AX:AX*"AM:!1^F"</f>
        <v>#VALUE!</v>
      </c>
      <c r="FW328" t="e">
        <f>EVM!AY:AY*"AM:!1^G"</f>
        <v>#VALUE!</v>
      </c>
      <c r="FX328" t="e">
        <f>EVM!AZ:AZ*"AM:!1^H"</f>
        <v>#VALUE!</v>
      </c>
      <c r="FY328" t="e">
        <f>EVM!BA:BA*"AM:!1^I"</f>
        <v>#VALUE!</v>
      </c>
      <c r="FZ328" t="e">
        <f>EVM!BB:BB*"AM:!1^J"</f>
        <v>#VALUE!</v>
      </c>
      <c r="GA328" t="e">
        <f>EVM!BC:BC*"AM:!1^K"</f>
        <v>#VALUE!</v>
      </c>
      <c r="GB328" t="e">
        <f>EVM!BD:BD*"AM:!1^L"</f>
        <v>#VALUE!</v>
      </c>
      <c r="GC328" t="e">
        <f>EVM!BE:BE*"AM:!1^M"</f>
        <v>#VALUE!</v>
      </c>
      <c r="GD328" t="e">
        <f>EVM!BF:BF*"AM:!1^N"</f>
        <v>#VALUE!</v>
      </c>
      <c r="GE328" t="e">
        <f>EVM!BG:BG*"AM:!1^O"</f>
        <v>#VALUE!</v>
      </c>
      <c r="GF328" t="e">
        <f>EVM!BH:BH*"AM:!1^P"</f>
        <v>#VALUE!</v>
      </c>
      <c r="GG328" t="e">
        <f>EVM!BI:BI*"AM:!1^Q"</f>
        <v>#VALUE!</v>
      </c>
      <c r="GH328" t="e">
        <f>EVM!BJ:BJ*"AM:!1^R"</f>
        <v>#VALUE!</v>
      </c>
      <c r="GI328" t="e">
        <f>EVM!BK:BK*"AM:!1^S"</f>
        <v>#VALUE!</v>
      </c>
      <c r="GJ328" t="e">
        <f>EVM!BL:BL*"AM:!1^T"</f>
        <v>#VALUE!</v>
      </c>
      <c r="GK328" t="e">
        <f>EVM!BM:BM*"AM:!1^U"</f>
        <v>#VALUE!</v>
      </c>
      <c r="GL328" t="e">
        <f>EVM!BN:BN*"AM:!1^V"</f>
        <v>#VALUE!</v>
      </c>
      <c r="GM328" t="e">
        <f>EVM!BO:BO*"AM:!1^W"</f>
        <v>#VALUE!</v>
      </c>
      <c r="GN328" t="e">
        <f>EVM!BP:BP*"AM:!1^X"</f>
        <v>#VALUE!</v>
      </c>
      <c r="GO328" t="e">
        <f>EVM!BQ:BQ*"AM:!1^Y"</f>
        <v>#VALUE!</v>
      </c>
      <c r="GP328" t="e">
        <f>EVM!BR:BR*"AM:!1^Z"</f>
        <v>#VALUE!</v>
      </c>
      <c r="GQ328" t="e">
        <f>EVM!1:1-"AM:!1^["</f>
        <v>#VALUE!</v>
      </c>
      <c r="GR328" t="e">
        <f>EVM!2:2-"AM:!1^\"</f>
        <v>#VALUE!</v>
      </c>
      <c r="GS328" t="e">
        <f>EVM!3:3-"AM:!1^]"</f>
        <v>#VALUE!</v>
      </c>
      <c r="GT328" t="e">
        <f>EVM!4:4-"AM:!1^^"</f>
        <v>#VALUE!</v>
      </c>
      <c r="GU328" t="e">
        <f>EVM!5:5-"AM:!1^_"</f>
        <v>#VALUE!</v>
      </c>
      <c r="GV328" t="e">
        <f>EVM!6:6-"AM:!1^`"</f>
        <v>#VALUE!</v>
      </c>
      <c r="GW328" t="e">
        <f>EVM!7:7-"AM:!1^a"</f>
        <v>#VALUE!</v>
      </c>
      <c r="GX328" t="e">
        <f>EVM!8:8-"AM:!1^b"</f>
        <v>#VALUE!</v>
      </c>
      <c r="GY328" t="e">
        <f>EVM!9:9-"AM:!1^c"</f>
        <v>#VALUE!</v>
      </c>
      <c r="GZ328" t="e">
        <f>EVM!10:10-"AM:!1^d"</f>
        <v>#VALUE!</v>
      </c>
      <c r="HA328" t="e">
        <f>EVM!11:11-"AM:!1^e"</f>
        <v>#VALUE!</v>
      </c>
      <c r="HB328" t="e">
        <f>EVM!12:12-"AM:!1^f"</f>
        <v>#VALUE!</v>
      </c>
      <c r="HC328" t="e">
        <f>EVM!13:13-"AM:!1^g"</f>
        <v>#VALUE!</v>
      </c>
      <c r="HD328" t="e">
        <f>EVM!14:14-"AM:!1^h"</f>
        <v>#VALUE!</v>
      </c>
      <c r="HE328" t="e">
        <f>EVM!15:15-"AM:!1^i"</f>
        <v>#VALUE!</v>
      </c>
      <c r="HF328" t="e">
        <f>EVM!16:16-"AM:!1^j"</f>
        <v>#VALUE!</v>
      </c>
      <c r="HG328" t="e">
        <f>EVM!17:17-"AM:!1^k"</f>
        <v>#VALUE!</v>
      </c>
      <c r="HH328" t="e">
        <f>EVM!18:18-"AM:!1^l"</f>
        <v>#VALUE!</v>
      </c>
      <c r="HI328" t="e">
        <f>EVM!19:19-"AM:!1^m"</f>
        <v>#VALUE!</v>
      </c>
      <c r="HJ328" t="e">
        <f>EVM!20:20-"AM:!1^n"</f>
        <v>#VALUE!</v>
      </c>
      <c r="HK328" t="e">
        <f>EVM!21:21-"AM:!1^o"</f>
        <v>#VALUE!</v>
      </c>
      <c r="HL328" t="e">
        <f>EVM!22:22-"AM:!1^p"</f>
        <v>#VALUE!</v>
      </c>
      <c r="HM328" t="e">
        <f>EVM!23:23-"AM:!1^q"</f>
        <v>#VALUE!</v>
      </c>
      <c r="HN328" t="e">
        <f>EVM!24:24-"AM:!1^r"</f>
        <v>#VALUE!</v>
      </c>
      <c r="HO328" t="e">
        <f>EVM!25:25-"AM:!1^s"</f>
        <v>#VALUE!</v>
      </c>
      <c r="HP328" t="e">
        <f>EVM!26:26-"AM:!1^t"</f>
        <v>#VALUE!</v>
      </c>
      <c r="HQ328" t="e">
        <f>EVM!27:27-"AM:!1^u"</f>
        <v>#VALUE!</v>
      </c>
      <c r="HR328" t="e">
        <f>EVM!28:28-"AM:!1^v"</f>
        <v>#VALUE!</v>
      </c>
      <c r="HS328" t="e">
        <f>EVM!29:29-"AM:!1^w"</f>
        <v>#VALUE!</v>
      </c>
      <c r="HT328" t="e">
        <f>EVM!30:30-"AM:!1^x"</f>
        <v>#VALUE!</v>
      </c>
      <c r="HU328" t="e">
        <f>EVM!31:31-"AM:!1^y"</f>
        <v>#VALUE!</v>
      </c>
      <c r="HV328" t="e">
        <f>EVM!32:32-"AM:!1^z"</f>
        <v>#VALUE!</v>
      </c>
      <c r="HW328" t="e">
        <f>EVM!33:33-"AM:!1^{"</f>
        <v>#VALUE!</v>
      </c>
      <c r="HX328" t="e">
        <f>EVM!34:34-"AM:!1^|"</f>
        <v>#VALUE!</v>
      </c>
      <c r="HY328" t="e">
        <f>EVM!35:35-"AM:!1^}"</f>
        <v>#VALUE!</v>
      </c>
      <c r="HZ328" t="e">
        <f>EVM!36:36-"AM:!1^~"</f>
        <v>#VALUE!</v>
      </c>
      <c r="IA328" t="e">
        <f>EVM!37:37-"AM:!1_#"</f>
        <v>#VALUE!</v>
      </c>
      <c r="IB328" t="e">
        <f>EVM!38:38-"AM:!1_$"</f>
        <v>#VALUE!</v>
      </c>
      <c r="IC328" t="e">
        <f>EVM!39:39-"AM:!1_%"</f>
        <v>#VALUE!</v>
      </c>
      <c r="ID328" t="e">
        <f>EVM!40:40-"AM:!1_&amp;"</f>
        <v>#VALUE!</v>
      </c>
      <c r="IE328" t="e">
        <f>EVM!41:41-"AM:!1_'"</f>
        <v>#VALUE!</v>
      </c>
      <c r="IF328" t="e">
        <f>EVM!42:42-"AM:!1_("</f>
        <v>#VALUE!</v>
      </c>
      <c r="IG328" t="e">
        <f>EVM!43:43-"AM:!1_)"</f>
        <v>#VALUE!</v>
      </c>
      <c r="IH328" t="e">
        <f>EVM!44:44-"AM:!1_."</f>
        <v>#VALUE!</v>
      </c>
      <c r="II328" t="e">
        <f>EVM!45:45-"AM:!1_/"</f>
        <v>#VALUE!</v>
      </c>
      <c r="IJ328" t="e">
        <f>EVM!46:46-"AM:!1_0"</f>
        <v>#VALUE!</v>
      </c>
      <c r="IK328" t="e">
        <f>EVM!47:47-"AM:!1_1"</f>
        <v>#VALUE!</v>
      </c>
      <c r="IL328" t="e">
        <f>EVM!48:48-"AM:!1_2"</f>
        <v>#VALUE!</v>
      </c>
      <c r="IM328" t="e">
        <f>EVM!49:49-"AM:!1_3"</f>
        <v>#VALUE!</v>
      </c>
      <c r="IN328" t="e">
        <f>EVM!50:50-"AM:!1_4"</f>
        <v>#VALUE!</v>
      </c>
      <c r="IO328" t="e">
        <f>EVM!51:51-"AM:!1_5"</f>
        <v>#VALUE!</v>
      </c>
      <c r="IP328" t="e">
        <f>EVM!52:52-"AM:!1_6"</f>
        <v>#VALUE!</v>
      </c>
      <c r="IQ328" t="e">
        <f>EVM!53:53-"AM:!1_7"</f>
        <v>#VALUE!</v>
      </c>
      <c r="IR328" t="e">
        <f>EVM!54:54-"AM:!1_8"</f>
        <v>#VALUE!</v>
      </c>
      <c r="IS328" t="e">
        <f>EVM!55:55-"AM:!1_9"</f>
        <v>#VALUE!</v>
      </c>
      <c r="IT328" t="e">
        <f>EVM!56:56-"AM:!1_:"</f>
        <v>#VALUE!</v>
      </c>
      <c r="IU328" t="e">
        <f>EVM!57:57-"AM:!1_;"</f>
        <v>#VALUE!</v>
      </c>
      <c r="IV328" t="e">
        <f>EVM!58:58-"AM:!1_&lt;"</f>
        <v>#VALUE!</v>
      </c>
    </row>
    <row r="329" spans="6:256">
      <c r="F329" t="e">
        <f>EVM!59:59-"AM:!1_="</f>
        <v>#VALUE!</v>
      </c>
      <c r="G329" t="e">
        <f>EVM!60:60-"AM:!1_&gt;"</f>
        <v>#VALUE!</v>
      </c>
      <c r="H329" t="e">
        <f>EVM!61:61-"AM:!1_?"</f>
        <v>#VALUE!</v>
      </c>
      <c r="I329" t="e">
        <f>EVM!62:62-"AM:!1_@"</f>
        <v>#VALUE!</v>
      </c>
      <c r="J329" t="e">
        <f>EVM!63:63-"AM:!1_A"</f>
        <v>#VALUE!</v>
      </c>
      <c r="K329" t="e">
        <f>EVM!64:64-"AM:!1_B"</f>
        <v>#VALUE!</v>
      </c>
      <c r="L329" t="e">
        <f>EVM!65:65-"AM:!1_C"</f>
        <v>#VALUE!</v>
      </c>
      <c r="M329" t="e">
        <f>EVM!66:66-"AM:!1_D"</f>
        <v>#VALUE!</v>
      </c>
      <c r="N329" t="e">
        <f>EVM!67:67-"AM:!1_E"</f>
        <v>#VALUE!</v>
      </c>
      <c r="O329" t="e">
        <f>EVM!68:68-"AM:!1_F"</f>
        <v>#VALUE!</v>
      </c>
      <c r="P329" t="e">
        <f>EVM!69:69-"AM:!1_G"</f>
        <v>#VALUE!</v>
      </c>
      <c r="Q329" t="e">
        <f>EVM!70:70-"AM:!1_H"</f>
        <v>#VALUE!</v>
      </c>
      <c r="R329" t="e">
        <f>EVM!71:71-"AM:!1_I"</f>
        <v>#VALUE!</v>
      </c>
      <c r="S329" t="e">
        <f>EVM!72:72-"AM:!1_J"</f>
        <v>#VALUE!</v>
      </c>
      <c r="T329" t="e">
        <f>EVM!73:73-"AM:!1_K"</f>
        <v>#VALUE!</v>
      </c>
      <c r="U329" t="e">
        <f>EVM!74:74-"AM:!1_L"</f>
        <v>#VALUE!</v>
      </c>
      <c r="V329" t="e">
        <f>EVM!75:75-"AM:!1_M"</f>
        <v>#VALUE!</v>
      </c>
      <c r="W329" t="e">
        <f>EVM!76:76-"AM:!1_N"</f>
        <v>#VALUE!</v>
      </c>
      <c r="X329" t="e">
        <f>EVM!77:77-"AM:!1_O"</f>
        <v>#VALUE!</v>
      </c>
      <c r="Y329" t="e">
        <f>EVM!78:78-"AM:!1_P"</f>
        <v>#VALUE!</v>
      </c>
      <c r="Z329" t="e">
        <f>EVM!79:79-"AM:!1_Q"</f>
        <v>#VALUE!</v>
      </c>
      <c r="AA329" t="e">
        <f>EVM!80:80-"AM:!1_R"</f>
        <v>#VALUE!</v>
      </c>
      <c r="AB329" t="e">
        <f>EVM!81:81-"AM:!1_S"</f>
        <v>#VALUE!</v>
      </c>
      <c r="AC329" t="e">
        <f>EVM!82:82-"AM:!1_T"</f>
        <v>#VALUE!</v>
      </c>
      <c r="AD329" t="e">
        <f>EVM!83:83-"AM:!1_U"</f>
        <v>#VALUE!</v>
      </c>
      <c r="AE329" t="e">
        <f>EVM!84:84-"AM:!1_V"</f>
        <v>#VALUE!</v>
      </c>
      <c r="AF329" t="e">
        <f>EVM!85:85-"AM:!1_W"</f>
        <v>#VALUE!</v>
      </c>
      <c r="AG329" t="e">
        <f>EVM!86:86-"AM:!1_X"</f>
        <v>#VALUE!</v>
      </c>
      <c r="AH329" t="e">
        <f>EVM!87:87-"AM:!1_Y"</f>
        <v>#VALUE!</v>
      </c>
      <c r="AI329" t="e">
        <f>EVM!88:88-"AM:!1_Z"</f>
        <v>#VALUE!</v>
      </c>
      <c r="AJ329" t="e">
        <f>EVM!89:89-"AM:!1_["</f>
        <v>#VALUE!</v>
      </c>
      <c r="AK329" t="e">
        <f>EVM!90:90-"AM:!1_\"</f>
        <v>#VALUE!</v>
      </c>
      <c r="AL329" t="e">
        <f>EVM!91:91-"AM:!1_]"</f>
        <v>#VALUE!</v>
      </c>
      <c r="AM329" t="e">
        <f>EVM!92:92-"AM:!1_^"</f>
        <v>#VALUE!</v>
      </c>
      <c r="AN329" t="e">
        <f>EVM!93:93-"AM:!1__"</f>
        <v>#VALUE!</v>
      </c>
      <c r="AO329" t="e">
        <f>EVM!94:94-"AM:!1_`"</f>
        <v>#VALUE!</v>
      </c>
      <c r="AP329" t="e">
        <f>EVM!95:95-"AM:!1_a"</f>
        <v>#VALUE!</v>
      </c>
      <c r="AQ329" t="e">
        <f>EVM!96:96-"AM:!1_b"</f>
        <v>#VALUE!</v>
      </c>
      <c r="AR329" t="e">
        <f>EVM!97:97-"AM:!1_c"</f>
        <v>#VALUE!</v>
      </c>
      <c r="AS329" t="e">
        <f>EVM!98:98-"AM:!1_d"</f>
        <v>#VALUE!</v>
      </c>
      <c r="AT329" t="e">
        <f>EVM!99:99-"AM:!1_e"</f>
        <v>#VALUE!</v>
      </c>
      <c r="AU329" t="e">
        <f>EVM!100:100-"AM:!1_f"</f>
        <v>#VALUE!</v>
      </c>
      <c r="AV329" t="e">
        <f>EVM!101:101-"AM:!1_g"</f>
        <v>#VALUE!</v>
      </c>
      <c r="AW329" t="e">
        <f>EVM!102:102-"AM:!1_h"</f>
        <v>#VALUE!</v>
      </c>
      <c r="AX329" t="e">
        <f>EVM!103:103-"AM:!1_i"</f>
        <v>#VALUE!</v>
      </c>
      <c r="AY329" t="e">
        <f>EVM!104:104-"AM:!1_j"</f>
        <v>#VALUE!</v>
      </c>
      <c r="AZ329" t="e">
        <f>EVM!105:105-"AM:!1_k"</f>
        <v>#VALUE!</v>
      </c>
      <c r="BA329" t="e">
        <f>EVM!106:106-"AM:!1_l"</f>
        <v>#VALUE!</v>
      </c>
      <c r="BB329" t="e">
        <f>EVM!107:107-"AM:!1_m"</f>
        <v>#VALUE!</v>
      </c>
      <c r="BC329" t="e">
        <f>EVM!108:108-"AM:!1_n"</f>
        <v>#VALUE!</v>
      </c>
      <c r="BD329" t="e">
        <f>EVM!109:109-"AM:!1_o"</f>
        <v>#VALUE!</v>
      </c>
      <c r="BE329" t="e">
        <f>EVM!110:110-"AM:!1_p"</f>
        <v>#VALUE!</v>
      </c>
      <c r="BF329" t="e">
        <f>EVM!111:111-"AM:!1_q"</f>
        <v>#VALUE!</v>
      </c>
      <c r="BG329" t="e">
        <f>EVM!112:112-"AM:!1_r"</f>
        <v>#VALUE!</v>
      </c>
      <c r="BH329" t="e">
        <f>EVM!113:113-"AM:!1_s"</f>
        <v>#VALUE!</v>
      </c>
      <c r="BI329" t="e">
        <f>EVM!114:114-"AM:!1_t"</f>
        <v>#VALUE!</v>
      </c>
      <c r="BJ329" t="e">
        <f>EVM!115:115-"AM:!1_u"</f>
        <v>#VALUE!</v>
      </c>
      <c r="BK329" t="e">
        <f>EVM!116:116-"AM:!1_v"</f>
        <v>#VALUE!</v>
      </c>
      <c r="BL329" t="e">
        <f>EVM!117:117-"AM:!1_w"</f>
        <v>#VALUE!</v>
      </c>
      <c r="BM329" t="e">
        <f>EVM!118:118-"AM:!1_x"</f>
        <v>#VALUE!</v>
      </c>
      <c r="BN329" t="e">
        <f>EVM!119:119-"AM:!1_y"</f>
        <v>#VALUE!</v>
      </c>
      <c r="BO329" t="e">
        <f>EVM!120:120-"AM:!1_z"</f>
        <v>#VALUE!</v>
      </c>
      <c r="BP329" t="e">
        <f>EVM!121:121-"AM:!1_{"</f>
        <v>#VALUE!</v>
      </c>
      <c r="BQ329" t="e">
        <f>EVM!122:122-"AM:!1_|"</f>
        <v>#VALUE!</v>
      </c>
      <c r="BR329" t="e">
        <f>EVM!123:123-"AM:!1_}"</f>
        <v>#VALUE!</v>
      </c>
      <c r="BS329" t="e">
        <f>EVM!124:124-"AM:!1_~"</f>
        <v>#VALUE!</v>
      </c>
      <c r="BT329" t="e">
        <f>EVM!125:125-"AM:!1`#"</f>
        <v>#VALUE!</v>
      </c>
      <c r="BU329" t="e">
        <f>EVM!126:126-"AM:!1`$"</f>
        <v>#VALUE!</v>
      </c>
      <c r="BV329" t="e">
        <f>EVM!127:127-"AM:!1`%"</f>
        <v>#VALUE!</v>
      </c>
      <c r="BW329" t="e">
        <f>EVM!128:128-"AM:!1`&amp;"</f>
        <v>#VALUE!</v>
      </c>
      <c r="BX329" t="e">
        <f>EVM!129:129-"AM:!1`'"</f>
        <v>#VALUE!</v>
      </c>
      <c r="BY329" t="e">
        <f>EVM!130:130-"AM:!1`("</f>
        <v>#VALUE!</v>
      </c>
      <c r="BZ329" t="e">
        <f>EVM!131:131-"AM:!1`)"</f>
        <v>#VALUE!</v>
      </c>
      <c r="CA329" t="e">
        <f>EVM!132:132-"AM:!1`."</f>
        <v>#VALUE!</v>
      </c>
      <c r="CB329" t="e">
        <f>EVM!133:133-"AM:!1`/"</f>
        <v>#VALUE!</v>
      </c>
      <c r="CC329" t="e">
        <f>EVM!134:134-"AM:!1`0"</f>
        <v>#VALUE!</v>
      </c>
      <c r="CD329" t="e">
        <f>EVM!135:135-"AM:!1`1"</f>
        <v>#VALUE!</v>
      </c>
      <c r="CE329" t="e">
        <f>EVM!136:136-"AM:!1`2"</f>
        <v>#VALUE!</v>
      </c>
      <c r="CF329" t="e">
        <f>EVM!137:137-"AM:!1`3"</f>
        <v>#VALUE!</v>
      </c>
      <c r="CG329" t="e">
        <f>EVM!138:138-"AM:!1`4"</f>
        <v>#VALUE!</v>
      </c>
      <c r="CH329" t="e">
        <f>EVM!139:139-"AM:!1`5"</f>
        <v>#VALUE!</v>
      </c>
      <c r="CI329" t="e">
        <f>EVM!140:140-"AM:!1`6"</f>
        <v>#VALUE!</v>
      </c>
      <c r="CJ329" t="e">
        <f>EVM!141:141-"AM:!1`7"</f>
        <v>#VALUE!</v>
      </c>
      <c r="CK329" t="e">
        <f>EVM!142:142-"AM:!1`8"</f>
        <v>#VALUE!</v>
      </c>
      <c r="CL329" t="e">
        <f>EVM!143:143-"AM:!1`9"</f>
        <v>#VALUE!</v>
      </c>
      <c r="CM329" t="e">
        <f>EVM!144:144-"AM:!1`:"</f>
        <v>#VALUE!</v>
      </c>
      <c r="CN329" t="e">
        <f>EVM!145:145-"AM:!1`;"</f>
        <v>#VALUE!</v>
      </c>
      <c r="CO329" t="e">
        <f>EVM!146:146-"AM:!1`&lt;"</f>
        <v>#VALUE!</v>
      </c>
      <c r="CP329" t="e">
        <f>EVM!147:147-"AM:!1`="</f>
        <v>#VALUE!</v>
      </c>
      <c r="CQ329" t="e">
        <f>EVM!148:148-"AM:!1`&gt;"</f>
        <v>#VALUE!</v>
      </c>
      <c r="CR329" t="e">
        <f>EVM!149:149-"AM:!1`?"</f>
        <v>#VALUE!</v>
      </c>
      <c r="CS329" t="e">
        <f>EVM!150:150-"AM:!1`@"</f>
        <v>#VALUE!</v>
      </c>
      <c r="CT329" t="e">
        <f>EVM!151:151-"AM:!1`A"</f>
        <v>#VALUE!</v>
      </c>
      <c r="CU329" t="e">
        <f>EVM!152:152-"AM:!1`B"</f>
        <v>#VALUE!</v>
      </c>
      <c r="CV329" t="e">
        <f>EVM!153:153-"AM:!1`C"</f>
        <v>#VALUE!</v>
      </c>
      <c r="CW329" t="e">
        <f>EVM!154:154-"AM:!1`D"</f>
        <v>#VALUE!</v>
      </c>
      <c r="CX329" t="e">
        <f>EVM!155:155-"AM:!1`E"</f>
        <v>#VALUE!</v>
      </c>
      <c r="CY329" t="e">
        <f>EVM!156:156-"AM:!1`F"</f>
        <v>#VALUE!</v>
      </c>
      <c r="CZ329" t="e">
        <f>EVM!157:157-"AM:!1`G"</f>
        <v>#VALUE!</v>
      </c>
      <c r="DA329" t="e">
        <f>EVM!158:158-"AM:!1`H"</f>
        <v>#VALUE!</v>
      </c>
      <c r="DB329" t="e">
        <f>EVM!159:159-"AM:!1`I"</f>
        <v>#VALUE!</v>
      </c>
      <c r="DC329" t="e">
        <f>EVM!160:160-"AM:!1`J"</f>
        <v>#VALUE!</v>
      </c>
      <c r="DD329" t="e">
        <f>EVM!161:161-"AM:!1`K"</f>
        <v>#VALUE!</v>
      </c>
      <c r="DE329" t="e">
        <f>EVM!162:162-"AM:!1`L"</f>
        <v>#VALUE!</v>
      </c>
      <c r="DF329" t="e">
        <f>EVM!163:163-"AM:!1`M"</f>
        <v>#VALUE!</v>
      </c>
      <c r="DG329" t="e">
        <f>EVM!164:164-"AM:!1`N"</f>
        <v>#VALUE!</v>
      </c>
      <c r="DH329" t="e">
        <f>EVM!165:165-"AM:!1`O"</f>
        <v>#VALUE!</v>
      </c>
      <c r="DI329" t="e">
        <f>EVM!166:166-"AM:!1`P"</f>
        <v>#VALUE!</v>
      </c>
      <c r="DJ329" t="e">
        <f>EVM!167:167-"AM:!1`Q"</f>
        <v>#VALUE!</v>
      </c>
      <c r="DK329" t="e">
        <f>EVM!168:168-"AM:!1`R"</f>
        <v>#VALUE!</v>
      </c>
      <c r="DL329" t="e">
        <f>EVM!169:169-"AM:!1`S"</f>
        <v>#VALUE!</v>
      </c>
      <c r="DM329" t="e">
        <f>EVM!170:170-"AM:!1`T"</f>
        <v>#VALUE!</v>
      </c>
      <c r="DN329" t="e">
        <f>EVM!171:171-"AM:!1`U"</f>
        <v>#VALUE!</v>
      </c>
      <c r="DO329" t="e">
        <f>EVM!172:172-"AM:!1`V"</f>
        <v>#VALUE!</v>
      </c>
      <c r="DP329" t="e">
        <f>EVM!173:173-"AM:!1`W"</f>
        <v>#VALUE!</v>
      </c>
      <c r="DQ329" t="e">
        <f>EVM!174:174-"AM:!1`X"</f>
        <v>#VALUE!</v>
      </c>
      <c r="DR329" t="e">
        <f>EVM!175:175-"AM:!1`Y"</f>
        <v>#VALUE!</v>
      </c>
      <c r="DS329" t="e">
        <f>EVM!176:176-"AM:!1`Z"</f>
        <v>#VALUE!</v>
      </c>
      <c r="DT329" t="e">
        <f>EVM!177:177-"AM:!1`["</f>
        <v>#VALUE!</v>
      </c>
      <c r="DU329" t="e">
        <f>EVM!178:178-"AM:!1`\"</f>
        <v>#VALUE!</v>
      </c>
      <c r="DV329" t="e">
        <f>EVM!179:179-"AM:!1`]"</f>
        <v>#VALUE!</v>
      </c>
      <c r="DW329" t="e">
        <f>EVM!180:180-"AM:!1`^"</f>
        <v>#VALUE!</v>
      </c>
      <c r="DX329" t="e">
        <f>EVM!181:181-"AM:!1`_"</f>
        <v>#VALUE!</v>
      </c>
      <c r="DY329" t="e">
        <f>EVM!182:182-"AM:!1``"</f>
        <v>#VALUE!</v>
      </c>
      <c r="DZ329" t="e">
        <f>EVM!183:183-"AM:!1`a"</f>
        <v>#VALUE!</v>
      </c>
      <c r="EA329" t="e">
        <f>EVM!184:184-"AM:!1`b"</f>
        <v>#VALUE!</v>
      </c>
      <c r="EB329" t="e">
        <f>EVM!185:185-"AM:!1`c"</f>
        <v>#VALUE!</v>
      </c>
      <c r="EC329" t="e">
        <f>EVM!186:186-"AM:!1`d"</f>
        <v>#VALUE!</v>
      </c>
      <c r="ED329" t="e">
        <f>EVM!187:187-"AM:!1`e"</f>
        <v>#VALUE!</v>
      </c>
      <c r="EE329" t="e">
        <f>EVM!188:188-"AM:!1`f"</f>
        <v>#VALUE!</v>
      </c>
      <c r="EF329" t="e">
        <f>EVM!189:189-"AM:!1`g"</f>
        <v>#VALUE!</v>
      </c>
      <c r="EG329" t="e">
        <f>EVM!190:190-"AM:!1`h"</f>
        <v>#VALUE!</v>
      </c>
      <c r="EH329" t="e">
        <f>EVM!191:191-"AM:!1`i"</f>
        <v>#VALUE!</v>
      </c>
      <c r="EI329" t="e">
        <f>EVM!192:192-"AM:!1`j"</f>
        <v>#VALUE!</v>
      </c>
      <c r="EJ329" t="e">
        <f>EVM!193:193-"AM:!1`k"</f>
        <v>#VALUE!</v>
      </c>
      <c r="EK329" t="e">
        <f>EVM!194:194-"AM:!1`l"</f>
        <v>#VALUE!</v>
      </c>
      <c r="EL329" t="e">
        <f>EVM!195:195-"AM:!1`m"</f>
        <v>#VALUE!</v>
      </c>
      <c r="EM329" t="e">
        <f>EVM!196:196-"AM:!1`n"</f>
        <v>#VALUE!</v>
      </c>
      <c r="EN329" t="e">
        <f>EVM!197:197-"AM:!1`o"</f>
        <v>#VALUE!</v>
      </c>
      <c r="EO329" t="e">
        <f>EVM!198:198-"AM:!1`p"</f>
        <v>#VALUE!</v>
      </c>
      <c r="EP329" t="e">
        <f>EVM!199:199-"AM:!1`q"</f>
        <v>#VALUE!</v>
      </c>
      <c r="EQ329" t="e">
        <f>EVM!200:200-"AM:!1`r"</f>
        <v>#VALUE!</v>
      </c>
      <c r="ER329" t="e">
        <f>EVM!201:201-"AM:!1`s"</f>
        <v>#VALUE!</v>
      </c>
      <c r="ES329" t="e">
        <f>EVM!202:202-"AM:!1`t"</f>
        <v>#VALUE!</v>
      </c>
      <c r="ET329" t="e">
        <f>EVM!203:203-"AM:!1`u"</f>
        <v>#VALUE!</v>
      </c>
      <c r="EU329" t="e">
        <f>EVM!204:204-"AM:!1`v"</f>
        <v>#VALUE!</v>
      </c>
      <c r="EV329" t="e">
        <f>EVM!205:205-"AM:!1`w"</f>
        <v>#VALUE!</v>
      </c>
      <c r="EW329" t="e">
        <f>EVM!206:206-"AM:!1`x"</f>
        <v>#VALUE!</v>
      </c>
      <c r="EX329" t="e">
        <f>EVM!207:207-"AM:!1`y"</f>
        <v>#VALUE!</v>
      </c>
      <c r="EY329" t="e">
        <f>EVM!208:208-"AM:!1`z"</f>
        <v>#VALUE!</v>
      </c>
      <c r="EZ329" t="e">
        <f>EVM!209:209-"AM:!1`{"</f>
        <v>#VALUE!</v>
      </c>
      <c r="FA329" t="e">
        <f>EVM!210:210-"AM:!1`|"</f>
        <v>#VALUE!</v>
      </c>
      <c r="FB329" t="e">
        <f>EVM!211:211-"AM:!1`}"</f>
        <v>#VALUE!</v>
      </c>
      <c r="FC329" t="e">
        <f>EVM!212:212-"AM:!1`~"</f>
        <v>#VALUE!</v>
      </c>
      <c r="FD329" t="e">
        <f>EVM!213:213-"AM:!1a#"</f>
        <v>#VALUE!</v>
      </c>
      <c r="FE329" t="e">
        <f>EVM!214:214-"AM:!1a$"</f>
        <v>#VALUE!</v>
      </c>
      <c r="FF329" t="e">
        <f>EVM!215:215-"AM:!1a%"</f>
        <v>#VALUE!</v>
      </c>
      <c r="FG329" t="e">
        <f>EVM!216:216-"AM:!1a&amp;"</f>
        <v>#VALUE!</v>
      </c>
      <c r="FH329" t="e">
        <f>EVM!217:217-"AM:!1a'"</f>
        <v>#VALUE!</v>
      </c>
      <c r="FI329" t="e">
        <f>EVM!218:218-"AM:!1a("</f>
        <v>#VALUE!</v>
      </c>
      <c r="FJ329" t="e">
        <f>EVM!219:219-"AM:!1a)"</f>
        <v>#VALUE!</v>
      </c>
      <c r="FK329" t="e">
        <f>EVM!220:220-"AM:!1a."</f>
        <v>#VALUE!</v>
      </c>
      <c r="FL329" t="e">
        <f>EVM!221:221-"AM:!1a/"</f>
        <v>#VALUE!</v>
      </c>
      <c r="FM329" t="e">
        <f>EVM!222:222-"AM:!1a0"</f>
        <v>#VALUE!</v>
      </c>
      <c r="FN329" t="e">
        <f>EVM!223:223-"AM:!1a1"</f>
        <v>#VALUE!</v>
      </c>
      <c r="FO329" t="e">
        <f>EVM!224:224-"AM:!1a2"</f>
        <v>#VALUE!</v>
      </c>
      <c r="FP329" t="e">
        <f>EVM!225:225-"AM:!1a3"</f>
        <v>#VALUE!</v>
      </c>
      <c r="FQ329" t="e">
        <f>EVM!226:226-"AM:!1a4"</f>
        <v>#VALUE!</v>
      </c>
      <c r="FR329" t="e">
        <f>EVM!227:227-"AM:!1a5"</f>
        <v>#VALUE!</v>
      </c>
      <c r="FS329" t="e">
        <f>EVM!228:228-"AM:!1a6"</f>
        <v>#VALUE!</v>
      </c>
      <c r="FT329" t="e">
        <f>EVM!229:229-"AM:!1a7"</f>
        <v>#VALUE!</v>
      </c>
      <c r="FU329" t="e">
        <f>EVM!230:230-"AM:!1a8"</f>
        <v>#VALUE!</v>
      </c>
      <c r="FV329" t="e">
        <f>EVM!231:231-"AM:!1a9"</f>
        <v>#VALUE!</v>
      </c>
      <c r="FW329" t="e">
        <f>EVM!232:232-"AM:!1a:"</f>
        <v>#VALUE!</v>
      </c>
      <c r="FX329" t="e">
        <f>EVM!233:233-"AM:!1a;"</f>
        <v>#VALUE!</v>
      </c>
      <c r="FY329" t="e">
        <f>EVM!234:234-"AM:!1a&lt;"</f>
        <v>#VALUE!</v>
      </c>
      <c r="FZ329" t="e">
        <f>EVM!235:235-"AM:!1a="</f>
        <v>#VALUE!</v>
      </c>
      <c r="GA329" t="e">
        <f>EVM!236:236-"AM:!1a&gt;"</f>
        <v>#VALUE!</v>
      </c>
      <c r="GB329" t="e">
        <f>EVM!237:237-"AM:!1a?"</f>
        <v>#VALUE!</v>
      </c>
      <c r="GC329" t="e">
        <f>EVM!238:238-"AM:!1a@"</f>
        <v>#VALUE!</v>
      </c>
      <c r="GD329" t="e">
        <f>EVM!239:239-"AM:!1aA"</f>
        <v>#VALUE!</v>
      </c>
      <c r="GE329" t="e">
        <f>EVM!240:240-"AM:!1aB"</f>
        <v>#VALUE!</v>
      </c>
      <c r="GF329" t="e">
        <f>EVM!241:241-"AM:!1aC"</f>
        <v>#VALUE!</v>
      </c>
      <c r="GG329" t="e">
        <f>EVM!242:242-"AM:!1aD"</f>
        <v>#VALUE!</v>
      </c>
      <c r="GH329" t="e">
        <f>EVM!243:243-"AM:!1aE"</f>
        <v>#VALUE!</v>
      </c>
      <c r="GI329" t="e">
        <f>EVM!244:244-"AM:!1aF"</f>
        <v>#VALUE!</v>
      </c>
      <c r="GJ329" t="e">
        <f>EVM!245:245-"AM:!1aG"</f>
        <v>#VALUE!</v>
      </c>
      <c r="GK329" t="e">
        <f>EVM!246:246-"AM:!1aH"</f>
        <v>#VALUE!</v>
      </c>
      <c r="GL329" t="e">
        <f>EVM!247:247-"AM:!1aI"</f>
        <v>#VALUE!</v>
      </c>
      <c r="GM329" t="e">
        <f>EVM!248:248-"AM:!1aJ"</f>
        <v>#VALUE!</v>
      </c>
      <c r="GN329" t="e">
        <f>EVM!A1+"AM:!1aK"</f>
        <v>#VALUE!</v>
      </c>
      <c r="GO329" t="e">
        <f>EVM!B1+"AM:!1aL"</f>
        <v>#VALUE!</v>
      </c>
      <c r="GP329" t="e">
        <f>EVM!C1+"AM:!1aM"</f>
        <v>#VALUE!</v>
      </c>
      <c r="GQ329" t="e">
        <f>EVM!D1+"AM:!1aN"</f>
        <v>#VALUE!</v>
      </c>
      <c r="GR329" t="e">
        <f>EVM!E1+"AM:!1aO"</f>
        <v>#VALUE!</v>
      </c>
      <c r="GS329" t="e">
        <f>EVM!F1+"AM:!1aP"</f>
        <v>#VALUE!</v>
      </c>
      <c r="GT329" t="e">
        <f>EVM!G1+"AM:!1aQ"</f>
        <v>#VALUE!</v>
      </c>
      <c r="GU329" t="e">
        <f>EVM!H1+"AM:!1aR"</f>
        <v>#VALUE!</v>
      </c>
      <c r="GV329" t="e">
        <f>EVM!I1+"AM:!1aS"</f>
        <v>#VALUE!</v>
      </c>
      <c r="GW329" t="e">
        <f>EVM!J1+"AM:!1aT"</f>
        <v>#VALUE!</v>
      </c>
      <c r="GX329" t="e">
        <f>EVM!K1+"AM:!1aU"</f>
        <v>#VALUE!</v>
      </c>
      <c r="GY329" t="e">
        <f>EVM!L1+"AM:!1aV"</f>
        <v>#VALUE!</v>
      </c>
      <c r="GZ329" t="e">
        <f>EVM!M1+"AM:!1aW"</f>
        <v>#VALUE!</v>
      </c>
      <c r="HA329" t="e">
        <f>EVM!N1+"AM:!1aX"</f>
        <v>#VALUE!</v>
      </c>
      <c r="HB329" t="e">
        <f>EVM!O1+"AM:!1aY"</f>
        <v>#VALUE!</v>
      </c>
      <c r="HC329" t="e">
        <f>EVM!P1+"AM:!1aZ"</f>
        <v>#VALUE!</v>
      </c>
      <c r="HD329" t="e">
        <f>EVM!Q1+"AM:!1a["</f>
        <v>#VALUE!</v>
      </c>
      <c r="HE329" t="e">
        <f>EVM!R1+"AM:!1a\"</f>
        <v>#VALUE!</v>
      </c>
      <c r="HF329" t="e">
        <f>EVM!S1+"AM:!1a]"</f>
        <v>#VALUE!</v>
      </c>
      <c r="HG329" t="e">
        <f>EVM!T1+"AM:!1a^"</f>
        <v>#VALUE!</v>
      </c>
      <c r="HH329" t="e">
        <f>EVM!A2+"AM:!1a_"</f>
        <v>#VALUE!</v>
      </c>
      <c r="HI329" t="e">
        <f>EVM!B2+"AM:!1a`"</f>
        <v>#VALUE!</v>
      </c>
      <c r="HJ329" t="e">
        <f>EVM!C2+"AM:!1aa"</f>
        <v>#VALUE!</v>
      </c>
      <c r="HK329" t="e">
        <f>EVM!D2+"AM:!1ab"</f>
        <v>#VALUE!</v>
      </c>
      <c r="HL329" t="e">
        <f>EVM!E2+"AM:!1ac"</f>
        <v>#VALUE!</v>
      </c>
      <c r="HM329" t="e">
        <f>EVM!F2+"AM:!1ad"</f>
        <v>#VALUE!</v>
      </c>
      <c r="HN329" t="e">
        <f>EVM!H2+"AM:!1ae"</f>
        <v>#VALUE!</v>
      </c>
      <c r="HO329" t="e">
        <f>EVM!I2+"AM:!1af"</f>
        <v>#VALUE!</v>
      </c>
      <c r="HP329" t="e">
        <f>EVM!J2+"AM:!1ag"</f>
        <v>#VALUE!</v>
      </c>
      <c r="HQ329" t="e">
        <f>EVM!K2+"AM:!1ah"</f>
        <v>#VALUE!</v>
      </c>
      <c r="HR329" t="e">
        <f>EVM!L2+"AM:!1ai"</f>
        <v>#VALUE!</v>
      </c>
      <c r="HS329" t="e">
        <f>EVM!M2+"AM:!1aj"</f>
        <v>#VALUE!</v>
      </c>
      <c r="HT329" t="e">
        <f>EVM!N2+"AM:!1ak"</f>
        <v>#VALUE!</v>
      </c>
      <c r="HU329" t="e">
        <f>EVM!O2+"AM:!1al"</f>
        <v>#VALUE!</v>
      </c>
      <c r="HV329" t="e">
        <f>EVM!P2+"AM:!1am"</f>
        <v>#VALUE!</v>
      </c>
      <c r="HW329" t="e">
        <f>EVM!Q2+"AM:!1an"</f>
        <v>#VALUE!</v>
      </c>
      <c r="HX329" t="e">
        <f>EVM!R2+"AM:!1ao"</f>
        <v>#VALUE!</v>
      </c>
      <c r="HY329" t="e">
        <f>EVM!S2+"AM:!1ap"</f>
        <v>#VALUE!</v>
      </c>
      <c r="HZ329" t="e">
        <f>EVM!T2+"AM:!1aq"</f>
        <v>#VALUE!</v>
      </c>
      <c r="IA329" t="e">
        <f>EVM!A3+"AM:!1ar"</f>
        <v>#VALUE!</v>
      </c>
      <c r="IB329" t="e">
        <f>EVM!B3+"AM:!1as"</f>
        <v>#VALUE!</v>
      </c>
      <c r="IC329" t="e">
        <f>EVM!C3+"AM:!1at"</f>
        <v>#VALUE!</v>
      </c>
      <c r="ID329" t="e">
        <f>EVM!D3+"AM:!1au"</f>
        <v>#VALUE!</v>
      </c>
      <c r="IE329" t="e">
        <f>EVM!E3+"AM:!1av"</f>
        <v>#VALUE!</v>
      </c>
      <c r="IF329" t="e">
        <f>EVM!F3+"AM:!1aw"</f>
        <v>#VALUE!</v>
      </c>
      <c r="IG329" t="e">
        <f>EVM!H3+"AM:!1ax"</f>
        <v>#VALUE!</v>
      </c>
      <c r="IH329" t="e">
        <f>EVM!I3+"AM:!1ay"</f>
        <v>#VALUE!</v>
      </c>
      <c r="II329" t="e">
        <f>EVM!J3+"AM:!1az"</f>
        <v>#VALUE!</v>
      </c>
      <c r="IJ329" t="e">
        <f>EVM!K3+"AM:!1a{"</f>
        <v>#VALUE!</v>
      </c>
      <c r="IK329" t="e">
        <f>EVM!L3+"AM:!1a|"</f>
        <v>#VALUE!</v>
      </c>
      <c r="IL329" t="e">
        <f>EVM!M3+"AM:!1a}"</f>
        <v>#VALUE!</v>
      </c>
      <c r="IM329" t="e">
        <f>EVM!N3+"AM:!1a~"</f>
        <v>#VALUE!</v>
      </c>
      <c r="IN329" t="e">
        <f>EVM!O3+"AM:!1b#"</f>
        <v>#VALUE!</v>
      </c>
      <c r="IO329" t="e">
        <f>EVM!P3+"AM:!1b$"</f>
        <v>#VALUE!</v>
      </c>
      <c r="IP329" t="e">
        <f>EVM!Q3+"AM:!1b%"</f>
        <v>#VALUE!</v>
      </c>
      <c r="IQ329" t="e">
        <f>EVM!R3+"AM:!1b&amp;"</f>
        <v>#VALUE!</v>
      </c>
      <c r="IR329" t="e">
        <f>EVM!S3+"AM:!1b'"</f>
        <v>#VALUE!</v>
      </c>
      <c r="IS329" t="e">
        <f>EVM!T3+"AM:!1b("</f>
        <v>#VALUE!</v>
      </c>
      <c r="IT329" t="e">
        <f>EVM!A4+"AM:!1b)"</f>
        <v>#VALUE!</v>
      </c>
      <c r="IU329" t="e">
        <f>EVM!B4+"AM:!1b."</f>
        <v>#VALUE!</v>
      </c>
      <c r="IV329" t="e">
        <f>EVM!C4+"AM:!1b/"</f>
        <v>#VALUE!</v>
      </c>
    </row>
    <row r="330" spans="6:256">
      <c r="F330" t="e">
        <f>EVM!D4+"AM:!1b0"</f>
        <v>#VALUE!</v>
      </c>
      <c r="G330" t="e">
        <f>EVM!E4+"AM:!1b1"</f>
        <v>#VALUE!</v>
      </c>
      <c r="H330" t="e">
        <f>EVM!F4+"AM:!1b2"</f>
        <v>#VALUE!</v>
      </c>
      <c r="I330" t="e">
        <f>EVM!G4+"AM:!1b3"</f>
        <v>#VALUE!</v>
      </c>
      <c r="J330" t="e">
        <f>EVM!H4+"AM:!1b4"</f>
        <v>#VALUE!</v>
      </c>
      <c r="K330" t="e">
        <f>EVM!I4+"AM:!1b5"</f>
        <v>#VALUE!</v>
      </c>
      <c r="L330" t="e">
        <f>EVM!J4+"AM:!1b6"</f>
        <v>#VALUE!</v>
      </c>
      <c r="M330" t="e">
        <f>EVM!K4+"AM:!1b7"</f>
        <v>#VALUE!</v>
      </c>
      <c r="N330" t="e">
        <f>EVM!L4+"AM:!1b8"</f>
        <v>#VALUE!</v>
      </c>
      <c r="O330" t="e">
        <f>EVM!M4+"AM:!1b9"</f>
        <v>#VALUE!</v>
      </c>
      <c r="P330" t="e">
        <f>EVM!N4+"AM:!1b:"</f>
        <v>#VALUE!</v>
      </c>
      <c r="Q330" t="e">
        <f>EVM!O4+"AM:!1b;"</f>
        <v>#VALUE!</v>
      </c>
      <c r="R330" t="e">
        <f>EVM!P4+"AM:!1b&lt;"</f>
        <v>#VALUE!</v>
      </c>
      <c r="S330" t="e">
        <f>EVM!Q4+"AM:!1b="</f>
        <v>#VALUE!</v>
      </c>
      <c r="T330" t="e">
        <f>EVM!R4+"AM:!1b&gt;"</f>
        <v>#VALUE!</v>
      </c>
      <c r="U330" t="e">
        <f>EVM!S4+"AM:!1b?"</f>
        <v>#VALUE!</v>
      </c>
      <c r="V330" t="e">
        <f>EVM!T4+"AM:!1b@"</f>
        <v>#VALUE!</v>
      </c>
      <c r="W330" t="e">
        <f>EVM!E9+"AM:!1bA"</f>
        <v>#VALUE!</v>
      </c>
      <c r="X330" t="e">
        <f>EVM!E10+"AM:!1bB"</f>
        <v>#VALUE!</v>
      </c>
      <c r="Y330" t="e">
        <f>EVM!E11+"AM:!1bC"</f>
        <v>#VALUE!</v>
      </c>
      <c r="Z330" t="e">
        <f>EVM!B32+"AM:!1bD"</f>
        <v>#VALUE!</v>
      </c>
      <c r="AA330" t="e">
        <f>EVM!C32+"AM:!1bE"</f>
        <v>#VALUE!</v>
      </c>
      <c r="AB330" t="e">
        <f>EVM!D32+"AM:!1bF"</f>
        <v>#VALUE!</v>
      </c>
      <c r="AC330" t="e">
        <f>EVM!E32+"AM:!1bG"</f>
        <v>#VALUE!</v>
      </c>
      <c r="AD330" t="e">
        <f>EVM!F32+"AM:!1bH"</f>
        <v>#VALUE!</v>
      </c>
      <c r="AE330" t="e">
        <f>EVM!G32+"AM:!1bI"</f>
        <v>#VALUE!</v>
      </c>
      <c r="AF330" t="e">
        <f>EVM!H32+"AM:!1bJ"</f>
        <v>#VALUE!</v>
      </c>
      <c r="AG330" t="e">
        <f>EVM!I32+"AM:!1bK"</f>
        <v>#VALUE!</v>
      </c>
      <c r="AH330" t="e">
        <f>EVM!J32+"AM:!1bL"</f>
        <v>#VALUE!</v>
      </c>
      <c r="AI330" t="e">
        <f>EVM!K32+"AM:!1bM"</f>
        <v>#VALUE!</v>
      </c>
      <c r="AJ330" t="e">
        <f>EVM!L32+"AM:!1bN"</f>
        <v>#VALUE!</v>
      </c>
      <c r="AK330" t="e">
        <f>EVM!M32+"AM:!1bO"</f>
        <v>#VALUE!</v>
      </c>
      <c r="AL330" t="e">
        <f>EVM!N32+"AM:!1bP"</f>
        <v>#VALUE!</v>
      </c>
      <c r="AM330" t="e">
        <f>EVM!B33+"AM:!1bQ"</f>
        <v>#VALUE!</v>
      </c>
      <c r="AN330" t="e">
        <f>EVM!C33+"AM:!1bR"</f>
        <v>#VALUE!</v>
      </c>
      <c r="AO330" t="e">
        <f>EVM!D33+"AM:!1bS"</f>
        <v>#VALUE!</v>
      </c>
      <c r="AP330" t="e">
        <f>EVM!E33+"AM:!1bT"</f>
        <v>#VALUE!</v>
      </c>
      <c r="AQ330" t="e">
        <f>EVM!F33+"AM:!1bU"</f>
        <v>#VALUE!</v>
      </c>
      <c r="AR330" t="e">
        <f>EVM!G33+"AM:!1bV"</f>
        <v>#VALUE!</v>
      </c>
      <c r="AS330" t="e">
        <f>EVM!H33+"AM:!1bW"</f>
        <v>#VALUE!</v>
      </c>
      <c r="AT330" t="e">
        <f>EVM!I33+"AM:!1bX"</f>
        <v>#VALUE!</v>
      </c>
      <c r="AU330" t="e">
        <f>EVM!J33+"AM:!1bY"</f>
        <v>#VALUE!</v>
      </c>
      <c r="AV330" t="e">
        <f>EVM!K33+"AM:!1bZ"</f>
        <v>#VALUE!</v>
      </c>
      <c r="AW330" t="e">
        <f>EVM!L33+"AM:!1b["</f>
        <v>#VALUE!</v>
      </c>
      <c r="AX330" t="e">
        <f>EVM!M33+"AM:!1b\"</f>
        <v>#VALUE!</v>
      </c>
      <c r="AY330" t="e">
        <f>EVM!N33+"AM:!1b]"</f>
        <v>#VALUE!</v>
      </c>
      <c r="AZ330" t="e">
        <f>EVM!B34+"AM:!1b^"</f>
        <v>#VALUE!</v>
      </c>
      <c r="BA330" t="e">
        <f>EVM!C34+"AM:!1b_"</f>
        <v>#VALUE!</v>
      </c>
      <c r="BB330" t="e">
        <f>EVM!D34+"AM:!1b`"</f>
        <v>#VALUE!</v>
      </c>
      <c r="BC330" t="e">
        <f>EVM!E34+"AM:!1ba"</f>
        <v>#VALUE!</v>
      </c>
      <c r="BD330" t="e">
        <f>EVM!F34+"AM:!1bb"</f>
        <v>#VALUE!</v>
      </c>
      <c r="BE330" t="e">
        <f>EVM!G34+"AM:!1bc"</f>
        <v>#VALUE!</v>
      </c>
      <c r="BF330" t="e">
        <f>EVM!H34+"AM:!1bd"</f>
        <v>#VALUE!</v>
      </c>
      <c r="BG330" t="e">
        <f>EVM!I34+"AM:!1be"</f>
        <v>#VALUE!</v>
      </c>
      <c r="BH330" t="e">
        <f>EVM!J34+"AM:!1bf"</f>
        <v>#VALUE!</v>
      </c>
      <c r="BI330" t="e">
        <f>EVM!K34+"AM:!1bg"</f>
        <v>#VALUE!</v>
      </c>
      <c r="BJ330" t="e">
        <f>EVM!L34+"AM:!1bh"</f>
        <v>#VALUE!</v>
      </c>
      <c r="BK330" t="e">
        <f>EVM!M34+"AM:!1bi"</f>
        <v>#VALUE!</v>
      </c>
      <c r="BL330" t="e">
        <f>EVM!N34+"AM:!1bj"</f>
        <v>#VALUE!</v>
      </c>
      <c r="BM330" t="e">
        <f>EVM!B36+"AM:!1bk"</f>
        <v>#VALUE!</v>
      </c>
      <c r="BN330" t="e">
        <f>EVM!C36+"AM:!1bl"</f>
        <v>#VALUE!</v>
      </c>
      <c r="BO330" t="e">
        <f>EVM!D36+"AM:!1bm"</f>
        <v>#VALUE!</v>
      </c>
      <c r="BP330" t="e">
        <f>EVM!E36+"AM:!1bn"</f>
        <v>#VALUE!</v>
      </c>
      <c r="BQ330" t="e">
        <f>EVM!F36+"AM:!1bo"</f>
        <v>#VALUE!</v>
      </c>
      <c r="BR330" t="e">
        <f>EVM!G36+"AM:!1bp"</f>
        <v>#VALUE!</v>
      </c>
      <c r="BS330" t="e">
        <f>EVM!H36+"AM:!1bq"</f>
        <v>#VALUE!</v>
      </c>
      <c r="BT330" t="e">
        <f>EVM!I36+"AM:!1br"</f>
        <v>#VALUE!</v>
      </c>
      <c r="BU330" t="e">
        <f>EVM!J36+"AM:!1bs"</f>
        <v>#VALUE!</v>
      </c>
      <c r="BV330" t="e">
        <f>EVM!K36+"AM:!1bt"</f>
        <v>#VALUE!</v>
      </c>
      <c r="BW330" t="e">
        <f>EVM!L36+"AM:!1bu"</f>
        <v>#VALUE!</v>
      </c>
      <c r="BX330" t="e">
        <f>EVM!M36+"AM:!1bv"</f>
        <v>#VALUE!</v>
      </c>
      <c r="BY330" t="e">
        <f>EVM!N36+"AM:!1bw"</f>
        <v>#VALUE!</v>
      </c>
      <c r="BZ330" t="e">
        <f>EVM!P36+"AM:!1bx"</f>
        <v>#VALUE!</v>
      </c>
      <c r="CA330" t="e">
        <f>EVM!B37+"AM:!1by"</f>
        <v>#VALUE!</v>
      </c>
      <c r="CB330" t="e">
        <f>EVM!C37+"AM:!1bz"</f>
        <v>#VALUE!</v>
      </c>
      <c r="CC330" t="e">
        <f>EVM!D37+"AM:!1b{"</f>
        <v>#VALUE!</v>
      </c>
      <c r="CD330" t="e">
        <f>EVM!E37+"AM:!1b|"</f>
        <v>#VALUE!</v>
      </c>
      <c r="CE330" t="e">
        <f>EVM!F37+"AM:!1b}"</f>
        <v>#VALUE!</v>
      </c>
      <c r="CF330" t="e">
        <f>EVM!G37+"AM:!1b~"</f>
        <v>#VALUE!</v>
      </c>
      <c r="CG330" t="e">
        <f>EVM!H37+"AM:!1c#"</f>
        <v>#VALUE!</v>
      </c>
      <c r="CH330" t="e">
        <f>EVM!I37+"AM:!1c$"</f>
        <v>#VALUE!</v>
      </c>
      <c r="CI330" t="e">
        <f>EVM!J37+"AM:!1c%"</f>
        <v>#VALUE!</v>
      </c>
      <c r="CJ330" t="e">
        <f>EVM!K37+"AM:!1c&amp;"</f>
        <v>#VALUE!</v>
      </c>
      <c r="CK330" t="e">
        <f>EVM!L37+"AM:!1c'"</f>
        <v>#VALUE!</v>
      </c>
      <c r="CL330" t="e">
        <f>EVM!M37+"AM:!1c("</f>
        <v>#VALUE!</v>
      </c>
      <c r="CM330" t="e">
        <f>EVM!N37+"AM:!1c)"</f>
        <v>#VALUE!</v>
      </c>
      <c r="CN330" t="e">
        <f>EVM!P37+"AM:!1c."</f>
        <v>#VALUE!</v>
      </c>
      <c r="CO330" t="e">
        <f>EVM!B38+"AM:!1c/"</f>
        <v>#VALUE!</v>
      </c>
      <c r="CP330" t="e">
        <f>EVM!C38+"AM:!1c0"</f>
        <v>#VALUE!</v>
      </c>
      <c r="CQ330" t="e">
        <f>EVM!D38+"AM:!1c1"</f>
        <v>#VALUE!</v>
      </c>
      <c r="CR330" t="e">
        <f>EVM!E38+"AM:!1c2"</f>
        <v>#VALUE!</v>
      </c>
      <c r="CS330" t="e">
        <f>EVM!F38+"AM:!1c3"</f>
        <v>#VALUE!</v>
      </c>
      <c r="CT330" t="e">
        <f>EVM!G38+"AM:!1c4"</f>
        <v>#VALUE!</v>
      </c>
      <c r="CU330" t="e">
        <f>EVM!H38+"AM:!1c5"</f>
        <v>#VALUE!</v>
      </c>
      <c r="CV330" t="e">
        <f>EVM!I38+"AM:!1c6"</f>
        <v>#VALUE!</v>
      </c>
      <c r="CW330" t="e">
        <f>EVM!J38+"AM:!1c7"</f>
        <v>#VALUE!</v>
      </c>
      <c r="CX330" t="e">
        <f>EVM!K38+"AM:!1c8"</f>
        <v>#VALUE!</v>
      </c>
      <c r="CY330" t="e">
        <f>EVM!L38+"AM:!1c9"</f>
        <v>#VALUE!</v>
      </c>
      <c r="CZ330" t="e">
        <f>EVM!M38+"AM:!1c:"</f>
        <v>#VALUE!</v>
      </c>
      <c r="DA330" t="e">
        <f>EVM!N38+"AM:!1c;"</f>
        <v>#VALUE!</v>
      </c>
      <c r="DB330" t="e">
        <f>EVM!O38+"AM:!1c&lt;"</f>
        <v>#VALUE!</v>
      </c>
      <c r="DC330" t="e">
        <f>EVM!B39+"AM:!1c="</f>
        <v>#VALUE!</v>
      </c>
      <c r="DD330" t="e">
        <f>EVM!C39+"AM:!1c&gt;"</f>
        <v>#VALUE!</v>
      </c>
      <c r="DE330" t="e">
        <f>EVM!D39+"AM:!1c?"</f>
        <v>#VALUE!</v>
      </c>
      <c r="DF330" t="e">
        <f>EVM!E39+"AM:!1c@"</f>
        <v>#VALUE!</v>
      </c>
      <c r="DG330" t="e">
        <f>EVM!F39+"AM:!1cA"</f>
        <v>#VALUE!</v>
      </c>
      <c r="DH330" t="e">
        <f>EVM!G39+"AM:!1cB"</f>
        <v>#VALUE!</v>
      </c>
      <c r="DI330" t="e">
        <f>EVM!H39+"AM:!1cC"</f>
        <v>#VALUE!</v>
      </c>
      <c r="DJ330" t="e">
        <f>EVM!I39+"AM:!1cD"</f>
        <v>#VALUE!</v>
      </c>
      <c r="DK330" t="e">
        <f>EVM!J39+"AM:!1cE"</f>
        <v>#VALUE!</v>
      </c>
      <c r="DL330" t="e">
        <f>EVM!K39+"AM:!1cF"</f>
        <v>#VALUE!</v>
      </c>
      <c r="DM330" t="e">
        <f>EVM!L39+"AM:!1cG"</f>
        <v>#VALUE!</v>
      </c>
      <c r="DN330" t="e">
        <f>EVM!M39+"AM:!1cH"</f>
        <v>#VALUE!</v>
      </c>
      <c r="DO330" t="e">
        <f>EVM!N39+"AM:!1cI"</f>
        <v>#VALUE!</v>
      </c>
      <c r="DP330" t="e">
        <f>EVM!O39+"AM:!1cJ"</f>
        <v>#VALUE!</v>
      </c>
      <c r="DQ330" t="e">
        <f>EVM!B40+"AM:!1cK"</f>
        <v>#VALUE!</v>
      </c>
      <c r="DR330" t="e">
        <f>EVM!C40+"AM:!1cL"</f>
        <v>#VALUE!</v>
      </c>
      <c r="DS330" t="e">
        <f>EVM!D40+"AM:!1cM"</f>
        <v>#VALUE!</v>
      </c>
      <c r="DT330" t="e">
        <f>EVM!E40+"AM:!1cN"</f>
        <v>#VALUE!</v>
      </c>
      <c r="DU330" t="e">
        <f>EVM!F40+"AM:!1cO"</f>
        <v>#VALUE!</v>
      </c>
      <c r="DV330" t="e">
        <f>EVM!G40+"AM:!1cP"</f>
        <v>#VALUE!</v>
      </c>
      <c r="DW330" t="e">
        <f>EVM!H40+"AM:!1cQ"</f>
        <v>#VALUE!</v>
      </c>
      <c r="DX330" t="e">
        <f>EVM!I40+"AM:!1cR"</f>
        <v>#VALUE!</v>
      </c>
      <c r="DY330" t="e">
        <f>EVM!J40+"AM:!1cS"</f>
        <v>#VALUE!</v>
      </c>
      <c r="DZ330" t="e">
        <f>EVM!K40+"AM:!1cT"</f>
        <v>#VALUE!</v>
      </c>
      <c r="EA330" t="e">
        <f>EVM!L40+"AM:!1cU"</f>
        <v>#VALUE!</v>
      </c>
      <c r="EB330" t="e">
        <f>EVM!M40+"AM:!1cV"</f>
        <v>#VALUE!</v>
      </c>
      <c r="EC330" t="e">
        <f>EVM!N40+"AM:!1cW"</f>
        <v>#VALUE!</v>
      </c>
      <c r="ED330" t="e">
        <f>EVM!O40+"AM:!1cX"</f>
        <v>#VALUE!</v>
      </c>
      <c r="EE330" t="e">
        <f>EVM!B41+"AM:!1cY"</f>
        <v>#VALUE!</v>
      </c>
      <c r="EF330" t="e">
        <f>EVM!C41+"AM:!1cZ"</f>
        <v>#VALUE!</v>
      </c>
      <c r="EG330" t="e">
        <f>EVM!D41+"AM:!1c["</f>
        <v>#VALUE!</v>
      </c>
      <c r="EH330" t="e">
        <f>EVM!E41+"AM:!1c\"</f>
        <v>#VALUE!</v>
      </c>
      <c r="EI330" t="e">
        <f>EVM!F41+"AM:!1c]"</f>
        <v>#VALUE!</v>
      </c>
      <c r="EJ330" t="e">
        <f>EVM!G41+"AM:!1c^"</f>
        <v>#VALUE!</v>
      </c>
      <c r="EK330" t="e">
        <f>EVM!H41+"AM:!1c_"</f>
        <v>#VALUE!</v>
      </c>
      <c r="EL330" t="e">
        <f>EVM!I41+"AM:!1c`"</f>
        <v>#VALUE!</v>
      </c>
      <c r="EM330" t="e">
        <f>EVM!J41+"AM:!1ca"</f>
        <v>#VALUE!</v>
      </c>
      <c r="EN330" t="e">
        <f>EVM!K41+"AM:!1cb"</f>
        <v>#VALUE!</v>
      </c>
      <c r="EO330" t="e">
        <f>EVM!L41+"AM:!1cc"</f>
        <v>#VALUE!</v>
      </c>
      <c r="EP330" t="e">
        <f>EVM!M41+"AM:!1cd"</f>
        <v>#VALUE!</v>
      </c>
      <c r="EQ330" t="e">
        <f>EVM!N41+"AM:!1ce"</f>
        <v>#VALUE!</v>
      </c>
      <c r="ER330" t="e">
        <f>EVM!O41+"AM:!1cf"</f>
        <v>#VALUE!</v>
      </c>
      <c r="ES330" t="e">
        <f>EVM!B42+"AM:!1cg"</f>
        <v>#VALUE!</v>
      </c>
      <c r="ET330" t="e">
        <f>EVM!C42+"AM:!1ch"</f>
        <v>#VALUE!</v>
      </c>
      <c r="EU330" t="e">
        <f>EVM!D42+"AM:!1ci"</f>
        <v>#VALUE!</v>
      </c>
      <c r="EV330" t="e">
        <f>EVM!E42+"AM:!1cj"</f>
        <v>#VALUE!</v>
      </c>
      <c r="EW330" t="e">
        <f>EVM!F42+"AM:!1ck"</f>
        <v>#VALUE!</v>
      </c>
      <c r="EX330" t="e">
        <f>EVM!G42+"AM:!1cl"</f>
        <v>#VALUE!</v>
      </c>
      <c r="EY330" t="e">
        <f>EVM!H42+"AM:!1cm"</f>
        <v>#VALUE!</v>
      </c>
      <c r="EZ330" t="e">
        <f>EVM!I42+"AM:!1cn"</f>
        <v>#VALUE!</v>
      </c>
      <c r="FA330" t="e">
        <f>EVM!J42+"AM:!1co"</f>
        <v>#VALUE!</v>
      </c>
      <c r="FB330" t="e">
        <f>EVM!K42+"AM:!1cp"</f>
        <v>#VALUE!</v>
      </c>
      <c r="FC330" t="e">
        <f>EVM!L42+"AM:!1cq"</f>
        <v>#VALUE!</v>
      </c>
      <c r="FD330" t="e">
        <f>EVM!M42+"AM:!1cr"</f>
        <v>#VALUE!</v>
      </c>
      <c r="FE330" t="e">
        <f>EVM!N42+"AM:!1cs"</f>
        <v>#VALUE!</v>
      </c>
      <c r="FF330" t="e">
        <f>EVM!O42+"AM:!1ct"</f>
        <v>#VALUE!</v>
      </c>
      <c r="FG330" t="e">
        <f>EVM!B43+"AM:!1cu"</f>
        <v>#VALUE!</v>
      </c>
      <c r="FH330" t="e">
        <f>EVM!C43+"AM:!1cv"</f>
        <v>#VALUE!</v>
      </c>
      <c r="FI330" t="e">
        <f>EVM!D43+"AM:!1cw"</f>
        <v>#VALUE!</v>
      </c>
      <c r="FJ330" t="e">
        <f>EVM!E43+"AM:!1cx"</f>
        <v>#VALUE!</v>
      </c>
      <c r="FK330" t="e">
        <f>EVM!F43+"AM:!1cy"</f>
        <v>#VALUE!</v>
      </c>
      <c r="FL330" t="e">
        <f>EVM!G43+"AM:!1cz"</f>
        <v>#VALUE!</v>
      </c>
      <c r="FM330" t="e">
        <f>EVM!H43+"AM:!1c{"</f>
        <v>#VALUE!</v>
      </c>
      <c r="FN330" t="e">
        <f>EVM!I43+"AM:!1c|"</f>
        <v>#VALUE!</v>
      </c>
      <c r="FO330" t="e">
        <f>EVM!J43+"AM:!1c}"</f>
        <v>#VALUE!</v>
      </c>
      <c r="FP330" t="e">
        <f>EVM!K43+"AM:!1c~"</f>
        <v>#VALUE!</v>
      </c>
      <c r="FQ330" t="e">
        <f>EVM!L43+"AM:!1d#"</f>
        <v>#VALUE!</v>
      </c>
      <c r="FR330" t="e">
        <f>EVM!M43+"AM:!1d$"</f>
        <v>#VALUE!</v>
      </c>
      <c r="FS330" t="e">
        <f>EVM!N43+"AM:!1d%"</f>
        <v>#VALUE!</v>
      </c>
      <c r="FT330" t="e">
        <f>EVM!O43+"AM:!1d&amp;"</f>
        <v>#VALUE!</v>
      </c>
      <c r="FU330" t="e">
        <f>EVM!B44+"AM:!1d'"</f>
        <v>#VALUE!</v>
      </c>
      <c r="FV330" t="e">
        <f>EVM!C44+"AM:!1d("</f>
        <v>#VALUE!</v>
      </c>
      <c r="FW330" t="e">
        <f>EVM!D44+"AM:!1d)"</f>
        <v>#VALUE!</v>
      </c>
      <c r="FX330" t="e">
        <f>EVM!E44+"AM:!1d."</f>
        <v>#VALUE!</v>
      </c>
      <c r="FY330" t="e">
        <f>EVM!F44+"AM:!1d/"</f>
        <v>#VALUE!</v>
      </c>
      <c r="FZ330" t="e">
        <f>EVM!G44+"AM:!1d0"</f>
        <v>#VALUE!</v>
      </c>
      <c r="GA330" t="e">
        <f>EVM!H44+"AM:!1d1"</f>
        <v>#VALUE!</v>
      </c>
      <c r="GB330" t="e">
        <f>EVM!I44+"AM:!1d2"</f>
        <v>#VALUE!</v>
      </c>
      <c r="GC330" t="e">
        <f>EVM!J44+"AM:!1d3"</f>
        <v>#VALUE!</v>
      </c>
      <c r="GD330" t="e">
        <f>EVM!K44+"AM:!1d4"</f>
        <v>#VALUE!</v>
      </c>
      <c r="GE330" t="e">
        <f>EVM!L44+"AM:!1d5"</f>
        <v>#VALUE!</v>
      </c>
      <c r="GF330" t="e">
        <f>EVM!M44+"AM:!1d6"</f>
        <v>#VALUE!</v>
      </c>
      <c r="GG330" t="e">
        <f>EVM!N44+"AM:!1d7"</f>
        <v>#VALUE!</v>
      </c>
      <c r="GH330" t="e">
        <f>EVM!O44+"AM:!1d8"</f>
        <v>#VALUE!</v>
      </c>
      <c r="GI330" t="e">
        <f>EVM!B45+"AM:!1d9"</f>
        <v>#VALUE!</v>
      </c>
      <c r="GJ330" t="e">
        <f>EVM!C45+"AM:!1d:"</f>
        <v>#VALUE!</v>
      </c>
      <c r="GK330" t="e">
        <f>EVM!D45+"AM:!1d;"</f>
        <v>#VALUE!</v>
      </c>
      <c r="GL330" t="e">
        <f>EVM!E45+"AM:!1d&lt;"</f>
        <v>#VALUE!</v>
      </c>
      <c r="GM330" t="e">
        <f>EVM!F45+"AM:!1d="</f>
        <v>#VALUE!</v>
      </c>
      <c r="GN330" t="e">
        <f>EVM!G45+"AM:!1d&gt;"</f>
        <v>#VALUE!</v>
      </c>
      <c r="GO330" t="e">
        <f>EVM!H45+"AM:!1d?"</f>
        <v>#VALUE!</v>
      </c>
      <c r="GP330" t="e">
        <f>EVM!I45+"AM:!1d@"</f>
        <v>#VALUE!</v>
      </c>
      <c r="GQ330" t="e">
        <f>EVM!J45+"AM:!1dA"</f>
        <v>#VALUE!</v>
      </c>
      <c r="GR330" t="e">
        <f>EVM!K45+"AM:!1dB"</f>
        <v>#VALUE!</v>
      </c>
      <c r="GS330" t="e">
        <f>EVM!L45+"AM:!1dC"</f>
        <v>#VALUE!</v>
      </c>
      <c r="GT330" t="e">
        <f>EVM!M45+"AM:!1dD"</f>
        <v>#VALUE!</v>
      </c>
      <c r="GU330" t="e">
        <f>EVM!N45+"AM:!1dE"</f>
        <v>#VALUE!</v>
      </c>
      <c r="GV330" t="e">
        <f>EVM!O45+"AM:!1dF"</f>
        <v>#VALUE!</v>
      </c>
      <c r="GW330" t="e">
        <f>EVM!B46+"AM:!1dG"</f>
        <v>#VALUE!</v>
      </c>
      <c r="GX330" t="e">
        <f>EVM!C46+"AM:!1dH"</f>
        <v>#VALUE!</v>
      </c>
      <c r="GY330" t="e">
        <f>EVM!D46+"AM:!1dI"</f>
        <v>#VALUE!</v>
      </c>
      <c r="GZ330" t="e">
        <f>EVM!E46+"AM:!1dJ"</f>
        <v>#VALUE!</v>
      </c>
      <c r="HA330" t="e">
        <f>EVM!F46+"AM:!1dK"</f>
        <v>#VALUE!</v>
      </c>
      <c r="HB330" t="e">
        <f>EVM!G46+"AM:!1dL"</f>
        <v>#VALUE!</v>
      </c>
      <c r="HC330" t="e">
        <f>EVM!H46+"AM:!1dM"</f>
        <v>#VALUE!</v>
      </c>
      <c r="HD330" t="e">
        <f>EVM!I46+"AM:!1dN"</f>
        <v>#VALUE!</v>
      </c>
      <c r="HE330" t="e">
        <f>EVM!J46+"AM:!1dO"</f>
        <v>#VALUE!</v>
      </c>
      <c r="HF330" t="e">
        <f>EVM!K46+"AM:!1dP"</f>
        <v>#VALUE!</v>
      </c>
      <c r="HG330" t="e">
        <f>EVM!L46+"AM:!1dQ"</f>
        <v>#VALUE!</v>
      </c>
      <c r="HH330" t="e">
        <f>EVM!M46+"AM:!1dR"</f>
        <v>#VALUE!</v>
      </c>
      <c r="HI330" t="e">
        <f>EVM!N46+"AM:!1dS"</f>
        <v>#VALUE!</v>
      </c>
      <c r="HJ330" t="e">
        <f>EVM!O46+"AM:!1dT"</f>
        <v>#VALUE!</v>
      </c>
      <c r="HK330" t="e">
        <f>EVM!B47+"AM:!1dU"</f>
        <v>#VALUE!</v>
      </c>
      <c r="HL330" t="e">
        <f>EVM!C47+"AM:!1dV"</f>
        <v>#VALUE!</v>
      </c>
      <c r="HM330" t="e">
        <f>EVM!D47+"AM:!1dW"</f>
        <v>#VALUE!</v>
      </c>
      <c r="HN330" t="e">
        <f>EVM!E47+"AM:!1dX"</f>
        <v>#VALUE!</v>
      </c>
      <c r="HO330" t="e">
        <f>EVM!F47+"AM:!1dY"</f>
        <v>#VALUE!</v>
      </c>
      <c r="HP330" t="e">
        <f>EVM!G47+"AM:!1dZ"</f>
        <v>#VALUE!</v>
      </c>
      <c r="HQ330" t="e">
        <f>EVM!H47+"AM:!1d["</f>
        <v>#VALUE!</v>
      </c>
      <c r="HR330" t="e">
        <f>EVM!I47+"AM:!1d\"</f>
        <v>#VALUE!</v>
      </c>
      <c r="HS330" t="e">
        <f>EVM!J47+"AM:!1d]"</f>
        <v>#VALUE!</v>
      </c>
      <c r="HT330" t="e">
        <f>EVM!K47+"AM:!1d^"</f>
        <v>#VALUE!</v>
      </c>
      <c r="HU330" t="e">
        <f>EVM!L47+"AM:!1d_"</f>
        <v>#VALUE!</v>
      </c>
      <c r="HV330" t="e">
        <f>EVM!M47+"AM:!1d`"</f>
        <v>#VALUE!</v>
      </c>
      <c r="HW330" t="e">
        <f>EVM!N47+"AM:!1da"</f>
        <v>#VALUE!</v>
      </c>
      <c r="HX330" t="e">
        <f>EVM!O47+"AM:!1db"</f>
        <v>#VALUE!</v>
      </c>
      <c r="HY330" t="e">
        <f>EVM!B48+"AM:!1dc"</f>
        <v>#VALUE!</v>
      </c>
      <c r="HZ330" t="e">
        <f>EVM!C48+"AM:!1dd"</f>
        <v>#VALUE!</v>
      </c>
      <c r="IA330" t="e">
        <f>EVM!D48+"AM:!1de"</f>
        <v>#VALUE!</v>
      </c>
      <c r="IB330" t="e">
        <f>EVM!E48+"AM:!1df"</f>
        <v>#VALUE!</v>
      </c>
      <c r="IC330" t="e">
        <f>EVM!F48+"AM:!1dg"</f>
        <v>#VALUE!</v>
      </c>
      <c r="ID330" t="e">
        <f>EVM!G48+"AM:!1dh"</f>
        <v>#VALUE!</v>
      </c>
      <c r="IE330" t="e">
        <f>EVM!H48+"AM:!1di"</f>
        <v>#VALUE!</v>
      </c>
      <c r="IF330" t="e">
        <f>EVM!I48+"AM:!1dj"</f>
        <v>#VALUE!</v>
      </c>
      <c r="IG330" t="e">
        <f>EVM!J48+"AM:!1dk"</f>
        <v>#VALUE!</v>
      </c>
      <c r="IH330" t="e">
        <f>EVM!K48+"AM:!1dl"</f>
        <v>#VALUE!</v>
      </c>
      <c r="II330" t="e">
        <f>EVM!L48+"AM:!1dm"</f>
        <v>#VALUE!</v>
      </c>
      <c r="IJ330" t="e">
        <f>EVM!M48+"AM:!1dn"</f>
        <v>#VALUE!</v>
      </c>
      <c r="IK330" t="e">
        <f>EVM!N48+"AM:!1do"</f>
        <v>#VALUE!</v>
      </c>
      <c r="IL330" t="e">
        <f>EVM!O48+"AM:!1dp"</f>
        <v>#VALUE!</v>
      </c>
      <c r="IM330" t="e">
        <f>'Performance Risikobewertung'!A:A*"AM:!1dq"</f>
        <v>#VALUE!</v>
      </c>
      <c r="IN330" t="e">
        <f>'Performance Risikobewertung'!B:B*"AM:!1dr"</f>
        <v>#VALUE!</v>
      </c>
      <c r="IO330" t="e">
        <f>'Performance Risikobewertung'!C:C*"AM:!1ds"</f>
        <v>#VALUE!</v>
      </c>
      <c r="IP330" t="e">
        <f>'Performance Risikobewertung'!D:D*"AM:!1dt"</f>
        <v>#VALUE!</v>
      </c>
      <c r="IQ330" t="e">
        <f>'Performance Risikobewertung'!E:E*"AM:!1du"</f>
        <v>#VALUE!</v>
      </c>
      <c r="IR330" t="e">
        <f>'Performance Risikobewertung'!F:F*"AM:!1dv"</f>
        <v>#VALUE!</v>
      </c>
      <c r="IS330" t="e">
        <f>'Performance Risikobewertung'!G:G*"AM:!1dw"</f>
        <v>#VALUE!</v>
      </c>
      <c r="IT330" t="e">
        <f>'Performance Risikobewertung'!H:H*"AM:!1dx"</f>
        <v>#VALUE!</v>
      </c>
      <c r="IU330" t="e">
        <f>'Performance Risikobewertung'!I:I*"AM:!1dy"</f>
        <v>#VALUE!</v>
      </c>
      <c r="IV330" t="e">
        <f>'Performance Risikobewertung'!J:J*"AM:!1dz"</f>
        <v>#VALUE!</v>
      </c>
    </row>
    <row r="331" spans="6:256">
      <c r="F331" t="e">
        <f>'Performance Risikobewertung'!K:K*"AM:!1d{"</f>
        <v>#VALUE!</v>
      </c>
      <c r="G331" t="e">
        <f>'Performance Risikobewertung'!L:L*"AM:!1d|"</f>
        <v>#VALUE!</v>
      </c>
      <c r="H331" t="e">
        <f>'Performance Risikobewertung'!M:M*"AM:!1d}"</f>
        <v>#VALUE!</v>
      </c>
      <c r="I331" t="e">
        <f>'Performance Risikobewertung'!N:N*"AM:!1d~"</f>
        <v>#VALUE!</v>
      </c>
      <c r="J331" t="e">
        <f>'Performance Risikobewertung'!O:O*"AM:!1e#"</f>
        <v>#VALUE!</v>
      </c>
      <c r="K331" t="e">
        <f>'Performance Risikobewertung'!P:P*"AM:!1e$"</f>
        <v>#VALUE!</v>
      </c>
      <c r="L331" t="e">
        <f>'Performance Risikobewertung'!Q:Q*"AM:!1e%"</f>
        <v>#VALUE!</v>
      </c>
      <c r="M331" t="e">
        <f>'Performance Risikobewertung'!R:R*"AM:!1e&amp;"</f>
        <v>#VALUE!</v>
      </c>
      <c r="N331" t="e">
        <f>'Performance Risikobewertung'!S:S*"AM:!1e'"</f>
        <v>#VALUE!</v>
      </c>
      <c r="O331" t="e">
        <f>'Performance Risikobewertung'!T:T*"AM:!1e("</f>
        <v>#VALUE!</v>
      </c>
      <c r="P331" t="e">
        <f>'Performance Risikobewertung'!U:U*"AM:!1e)"</f>
        <v>#VALUE!</v>
      </c>
      <c r="Q331" t="e">
        <f>'Performance Risikobewertung'!V:V*"AM:!1e."</f>
        <v>#VALUE!</v>
      </c>
      <c r="R331" t="e">
        <f>'Performance Risikobewertung'!W:W*"AM:!1e/"</f>
        <v>#VALUE!</v>
      </c>
      <c r="S331" t="e">
        <f>'Performance Risikobewertung'!X:X*"AM:!1e0"</f>
        <v>#VALUE!</v>
      </c>
      <c r="T331" t="e">
        <f>'Performance Risikobewertung'!Y:Y*"AM:!1e1"</f>
        <v>#VALUE!</v>
      </c>
      <c r="U331" t="e">
        <f>'Performance Risikobewertung'!Z:Z*"AM:!1e2"</f>
        <v>#VALUE!</v>
      </c>
      <c r="V331" t="e">
        <f>'Performance Risikobewertung'!AA:AA*"AM:!1e3"</f>
        <v>#VALUE!</v>
      </c>
      <c r="W331" t="e">
        <f>'Performance Risikobewertung'!AB:AB*"AM:!1e4"</f>
        <v>#VALUE!</v>
      </c>
      <c r="X331" t="e">
        <f>'Performance Risikobewertung'!AC:AC*"AM:!1e5"</f>
        <v>#VALUE!</v>
      </c>
      <c r="Y331" t="e">
        <f>'Performance Risikobewertung'!AD:AD*"AM:!1e6"</f>
        <v>#VALUE!</v>
      </c>
      <c r="Z331" t="e">
        <f>'Performance Risikobewertung'!AE:AE*"AM:!1e7"</f>
        <v>#VALUE!</v>
      </c>
      <c r="AA331" t="e">
        <f>'Performance Risikobewertung'!AF:AF*"AM:!1e8"</f>
        <v>#VALUE!</v>
      </c>
      <c r="AB331" t="e">
        <f>'Performance Risikobewertung'!AG:AG*"AM:!1e9"</f>
        <v>#VALUE!</v>
      </c>
      <c r="AC331" t="e">
        <f>'Performance Risikobewertung'!AH:AH*"AM:!1e:"</f>
        <v>#VALUE!</v>
      </c>
      <c r="AD331" t="e">
        <f>'Performance Risikobewertung'!AI:AI*"AM:!1e;"</f>
        <v>#VALUE!</v>
      </c>
      <c r="AE331" t="e">
        <f>'Performance Risikobewertung'!AJ:AJ*"AM:!1e&lt;"</f>
        <v>#VALUE!</v>
      </c>
      <c r="AF331" t="e">
        <f>'Performance Risikobewertung'!AK:AK*"AM:!1e="</f>
        <v>#VALUE!</v>
      </c>
      <c r="AG331" t="e">
        <f>'Performance Risikobewertung'!AL:AL*"AM:!1e&gt;"</f>
        <v>#VALUE!</v>
      </c>
      <c r="AH331" t="e">
        <f>'Performance Risikobewertung'!AM:AM*"AM:!1e?"</f>
        <v>#VALUE!</v>
      </c>
      <c r="AI331" t="e">
        <f>'Performance Risikobewertung'!AN:AN*"AM:!1e@"</f>
        <v>#VALUE!</v>
      </c>
      <c r="AJ331" t="e">
        <f>'Performance Risikobewertung'!AO:AO*"AM:!1eA"</f>
        <v>#VALUE!</v>
      </c>
      <c r="AK331" t="e">
        <f>'Performance Risikobewertung'!AP:AP*"AM:!1eB"</f>
        <v>#VALUE!</v>
      </c>
      <c r="AL331" t="e">
        <f>'Performance Risikobewertung'!AQ:AQ*"AM:!1eC"</f>
        <v>#VALUE!</v>
      </c>
      <c r="AM331" t="e">
        <f>'Performance Risikobewertung'!AR:AR*"AM:!1eD"</f>
        <v>#VALUE!</v>
      </c>
      <c r="AN331" t="e">
        <f>'Performance Risikobewertung'!AS:AS*"AM:!1eE"</f>
        <v>#VALUE!</v>
      </c>
      <c r="AO331" t="e">
        <f>'Performance Risikobewertung'!AT:AT*"AM:!1eF"</f>
        <v>#VALUE!</v>
      </c>
      <c r="AP331" t="e">
        <f>'Performance Risikobewertung'!AU:AU*"AM:!1eG"</f>
        <v>#VALUE!</v>
      </c>
      <c r="AQ331" t="e">
        <f>'Performance Risikobewertung'!AV:AV*"AM:!1eH"</f>
        <v>#VALUE!</v>
      </c>
      <c r="AR331" t="e">
        <f>'Performance Risikobewertung'!AW:AW*"AM:!1eI"</f>
        <v>#VALUE!</v>
      </c>
      <c r="AS331" t="e">
        <f>'Performance Risikobewertung'!AX:AX*"AM:!1eJ"</f>
        <v>#VALUE!</v>
      </c>
      <c r="AT331" t="e">
        <f>'Performance Risikobewertung'!AY:AY*"AM:!1eK"</f>
        <v>#VALUE!</v>
      </c>
      <c r="AU331" t="e">
        <f>'Performance Risikobewertung'!AZ:AZ*"AM:!1eL"</f>
        <v>#VALUE!</v>
      </c>
      <c r="AV331" t="e">
        <f>'Performance Risikobewertung'!BA:BA*"AM:!1eM"</f>
        <v>#VALUE!</v>
      </c>
      <c r="AW331" t="e">
        <f>'Performance Risikobewertung'!BB:BB*"AM:!1eN"</f>
        <v>#VALUE!</v>
      </c>
      <c r="AX331" t="e">
        <f>'Performance Risikobewertung'!BC:BC*"AM:!1eO"</f>
        <v>#VALUE!</v>
      </c>
      <c r="AY331" t="e">
        <f>'Performance Risikobewertung'!BD:BD*"AM:!1eP"</f>
        <v>#VALUE!</v>
      </c>
      <c r="AZ331" t="e">
        <f>'Performance Risikobewertung'!1:1-"AM:!1eQ"</f>
        <v>#VALUE!</v>
      </c>
      <c r="BA331" t="e">
        <f>'Performance Risikobewertung'!2:2-"AM:!1eR"</f>
        <v>#VALUE!</v>
      </c>
      <c r="BB331" t="e">
        <f>'Performance Risikobewertung'!3:3-"AM:!1eS"</f>
        <v>#VALUE!</v>
      </c>
      <c r="BC331" t="e">
        <f>'Performance Risikobewertung'!4:4-"AM:!1eT"</f>
        <v>#VALUE!</v>
      </c>
      <c r="BD331" t="e">
        <f>'Performance Risikobewertung'!5:5-"AM:!1eU"</f>
        <v>#VALUE!</v>
      </c>
      <c r="BE331" t="e">
        <f>'Performance Risikobewertung'!6:6-"AM:!1eV"</f>
        <v>#VALUE!</v>
      </c>
      <c r="BF331" t="e">
        <f>'Performance Risikobewertung'!7:7-"AM:!1eW"</f>
        <v>#VALUE!</v>
      </c>
      <c r="BG331" t="e">
        <f>'Performance Risikobewertung'!8:8-"AM:!1eX"</f>
        <v>#VALUE!</v>
      </c>
      <c r="BH331" t="e">
        <f>'Performance Risikobewertung'!9:9-"AM:!1eY"</f>
        <v>#VALUE!</v>
      </c>
      <c r="BI331" t="e">
        <f>'Performance Risikobewertung'!10:10-"AM:!1eZ"</f>
        <v>#VALUE!</v>
      </c>
      <c r="BJ331" t="e">
        <f>'Performance Risikobewertung'!11:11-"AM:!1e["</f>
        <v>#VALUE!</v>
      </c>
      <c r="BK331" t="e">
        <f>'Performance Risikobewertung'!12:12-"AM:!1e\"</f>
        <v>#VALUE!</v>
      </c>
      <c r="BL331" t="e">
        <f>'Performance Risikobewertung'!13:13-"AM:!1e]"</f>
        <v>#VALUE!</v>
      </c>
      <c r="BM331" t="e">
        <f>'Performance Risikobewertung'!14:14-"AM:!1e^"</f>
        <v>#VALUE!</v>
      </c>
      <c r="BN331" t="e">
        <f>'Performance Risikobewertung'!15:15-"AM:!1e_"</f>
        <v>#VALUE!</v>
      </c>
      <c r="BO331" t="e">
        <f>'Performance Risikobewertung'!16:16-"AM:!1e`"</f>
        <v>#VALUE!</v>
      </c>
      <c r="BP331" t="e">
        <f>'Performance Risikobewertung'!17:17-"AM:!1ea"</f>
        <v>#VALUE!</v>
      </c>
      <c r="BQ331" t="e">
        <f>'Performance Risikobewertung'!18:18-"AM:!1eb"</f>
        <v>#VALUE!</v>
      </c>
      <c r="BR331" t="e">
        <f>'Performance Risikobewertung'!19:19-"AM:!1ec"</f>
        <v>#VALUE!</v>
      </c>
      <c r="BS331" t="e">
        <f>'Performance Risikobewertung'!20:20-"AM:!1ed"</f>
        <v>#VALUE!</v>
      </c>
      <c r="BT331" t="e">
        <f>'Performance Risikobewertung'!21:21-"AM:!1ee"</f>
        <v>#VALUE!</v>
      </c>
      <c r="BU331" t="e">
        <f>'Performance Risikobewertung'!22:22-"AM:!1ef"</f>
        <v>#VALUE!</v>
      </c>
      <c r="BV331" t="e">
        <f>'Performance Risikobewertung'!23:23-"AM:!1eg"</f>
        <v>#VALUE!</v>
      </c>
      <c r="BW331" t="e">
        <f>'Performance Risikobewertung'!24:24-"AM:!1eh"</f>
        <v>#VALUE!</v>
      </c>
      <c r="BX331" t="e">
        <f>'Performance Risikobewertung'!25:25-"AM:!1ei"</f>
        <v>#VALUE!</v>
      </c>
      <c r="BY331" t="e">
        <f>'Performance Risikobewertung'!26:26-"AM:!1ej"</f>
        <v>#VALUE!</v>
      </c>
      <c r="BZ331" t="e">
        <f>'Performance Risikobewertung'!27:27-"AM:!1ek"</f>
        <v>#VALUE!</v>
      </c>
      <c r="CA331" t="e">
        <f>'Performance Risikobewertung'!28:28-"AM:!1el"</f>
        <v>#VALUE!</v>
      </c>
      <c r="CB331" t="e">
        <f>'Performance Risikobewertung'!29:29-"AM:!1em"</f>
        <v>#VALUE!</v>
      </c>
      <c r="CC331" t="e">
        <f>'Performance Risikobewertung'!30:30-"AM:!1en"</f>
        <v>#VALUE!</v>
      </c>
      <c r="CD331" t="e">
        <f>'Performance Risikobewertung'!31:31-"AM:!1eo"</f>
        <v>#VALUE!</v>
      </c>
      <c r="CE331" t="e">
        <f>'Performance Risikobewertung'!32:32-"AM:!1ep"</f>
        <v>#VALUE!</v>
      </c>
      <c r="CF331" t="e">
        <f>'Performance Risikobewertung'!33:33-"AM:!1eq"</f>
        <v>#VALUE!</v>
      </c>
      <c r="CG331" t="e">
        <f>'Performance Risikobewertung'!34:34-"AM:!1er"</f>
        <v>#VALUE!</v>
      </c>
      <c r="CH331" t="e">
        <f>'Performance Risikobewertung'!35:35-"AM:!1es"</f>
        <v>#VALUE!</v>
      </c>
      <c r="CI331" t="e">
        <f>'Performance Risikobewertung'!36:36-"AM:!1et"</f>
        <v>#VALUE!</v>
      </c>
      <c r="CJ331" t="e">
        <f>'Performance Risikobewertung'!37:37-"AM:!1eu"</f>
        <v>#VALUE!</v>
      </c>
      <c r="CK331" t="e">
        <f>'Performance Risikobewertung'!38:38-"AM:!1ev"</f>
        <v>#VALUE!</v>
      </c>
      <c r="CL331" t="e">
        <f>'Performance Risikobewertung'!39:39-"AM:!1ew"</f>
        <v>#VALUE!</v>
      </c>
      <c r="CM331" t="e">
        <f>'Performance Risikobewertung'!40:40-"AM:!1ex"</f>
        <v>#VALUE!</v>
      </c>
      <c r="CN331" t="e">
        <f>'Performance Risikobewertung'!41:41-"AM:!1ey"</f>
        <v>#VALUE!</v>
      </c>
      <c r="CO331" t="e">
        <f>'Performance Risikobewertung'!42:42-"AM:!1ez"</f>
        <v>#VALUE!</v>
      </c>
      <c r="CP331" t="e">
        <f>'Performance Risikobewertung'!43:43-"AM:!1e{"</f>
        <v>#VALUE!</v>
      </c>
      <c r="CQ331" t="e">
        <f>'Performance Risikobewertung'!44:44-"AM:!1e|"</f>
        <v>#VALUE!</v>
      </c>
      <c r="CR331" t="e">
        <f>'Performance Risikobewertung'!45:45-"AM:!1e}"</f>
        <v>#VALUE!</v>
      </c>
      <c r="CS331" t="e">
        <f>'Performance Risikobewertung'!46:46-"AM:!1e~"</f>
        <v>#VALUE!</v>
      </c>
      <c r="CT331" t="e">
        <f>'Performance Risikobewertung'!47:47-"AM:!1f#"</f>
        <v>#VALUE!</v>
      </c>
      <c r="CU331" t="e">
        <f>'Performance Risikobewertung'!48:48-"AM:!1f$"</f>
        <v>#VALUE!</v>
      </c>
      <c r="CV331" t="e">
        <f>'Performance Risikobewertung'!49:49-"AM:!1f%"</f>
        <v>#VALUE!</v>
      </c>
      <c r="CW331" t="e">
        <f>'Performance Risikobewertung'!50:50-"AM:!1f&amp;"</f>
        <v>#VALUE!</v>
      </c>
      <c r="CX331" t="e">
        <f>'Performance Risikobewertung'!51:51-"AM:!1f'"</f>
        <v>#VALUE!</v>
      </c>
      <c r="CY331" t="e">
        <f>'Performance Risikobewertung'!52:52-"AM:!1f("</f>
        <v>#VALUE!</v>
      </c>
      <c r="CZ331" t="e">
        <f>'Performance Risikobewertung'!53:53-"AM:!1f)"</f>
        <v>#VALUE!</v>
      </c>
      <c r="DA331" t="e">
        <f>'Performance Risikobewertung'!54:54-"AM:!1f."</f>
        <v>#VALUE!</v>
      </c>
      <c r="DB331" t="e">
        <f>'Performance Risikobewertung'!55:55-"AM:!1f/"</f>
        <v>#VALUE!</v>
      </c>
      <c r="DC331" t="e">
        <f>'Performance Risikobewertung'!56:56-"AM:!1f0"</f>
        <v>#VALUE!</v>
      </c>
      <c r="DD331" t="e">
        <f>'Performance Risikobewertung'!57:57-"AM:!1f1"</f>
        <v>#VALUE!</v>
      </c>
      <c r="DE331" t="e">
        <f>'Performance Risikobewertung'!58:58-"AM:!1f2"</f>
        <v>#VALUE!</v>
      </c>
      <c r="DF331" t="e">
        <f>'Performance Risikobewertung'!59:59-"AM:!1f3"</f>
        <v>#VALUE!</v>
      </c>
      <c r="DG331" t="e">
        <f>'Performance Risikobewertung'!60:60-"AM:!1f4"</f>
        <v>#VALUE!</v>
      </c>
      <c r="DH331" t="e">
        <f>'Performance Risikobewertung'!61:61-"AM:!1f5"</f>
        <v>#VALUE!</v>
      </c>
      <c r="DI331" t="e">
        <f>'Performance Risikobewertung'!62:62-"AM:!1f6"</f>
        <v>#VALUE!</v>
      </c>
      <c r="DJ331" t="e">
        <f>'Performance Risikobewertung'!63:63-"AM:!1f7"</f>
        <v>#VALUE!</v>
      </c>
      <c r="DK331" t="e">
        <f>'Performance Risikobewertung'!64:64-"AM:!1f8"</f>
        <v>#VALUE!</v>
      </c>
      <c r="DL331" t="e">
        <f>'Performance Risikobewertung'!65:65-"AM:!1f9"</f>
        <v>#VALUE!</v>
      </c>
      <c r="DM331" t="e">
        <f>'Performance Risikobewertung'!66:66-"AM:!1f:"</f>
        <v>#VALUE!</v>
      </c>
      <c r="DN331" t="e">
        <f>'Performance Risikobewertung'!67:67-"AM:!1f;"</f>
        <v>#VALUE!</v>
      </c>
      <c r="DO331" t="e">
        <f>'Performance Risikobewertung'!68:68-"AM:!1f&lt;"</f>
        <v>#VALUE!</v>
      </c>
      <c r="DP331" t="e">
        <f>'Performance Risikobewertung'!69:69-"AM:!1f="</f>
        <v>#VALUE!</v>
      </c>
      <c r="DQ331" t="e">
        <f>'Performance Risikobewertung'!70:70-"AM:!1f&gt;"</f>
        <v>#VALUE!</v>
      </c>
      <c r="DR331" t="e">
        <f>'Performance Risikobewertung'!71:71-"AM:!1f?"</f>
        <v>#VALUE!</v>
      </c>
      <c r="DS331" t="e">
        <f>'Performance Risikobewertung'!72:72-"AM:!1f@"</f>
        <v>#VALUE!</v>
      </c>
      <c r="DT331" t="e">
        <f>'Performance Risikobewertung'!73:73-"AM:!1fA"</f>
        <v>#VALUE!</v>
      </c>
      <c r="DU331" t="e">
        <f>'Performance Risikobewertung'!74:74-"AM:!1fB"</f>
        <v>#VALUE!</v>
      </c>
      <c r="DV331" t="e">
        <f>'Performance Risikobewertung'!75:75-"AM:!1fC"</f>
        <v>#VALUE!</v>
      </c>
      <c r="DW331" t="e">
        <f>'Performance Risikobewertung'!76:76-"AM:!1fD"</f>
        <v>#VALUE!</v>
      </c>
      <c r="DX331" t="e">
        <f>'Performance Risikobewertung'!77:77-"AM:!1fE"</f>
        <v>#VALUE!</v>
      </c>
      <c r="DY331" t="e">
        <f>'Performance Risikobewertung'!78:78-"AM:!1fF"</f>
        <v>#VALUE!</v>
      </c>
      <c r="DZ331" t="e">
        <f>'Performance Risikobewertung'!79:79-"AM:!1fG"</f>
        <v>#VALUE!</v>
      </c>
      <c r="EA331" t="e">
        <f>'Performance Risikobewertung'!80:80-"AM:!1fH"</f>
        <v>#VALUE!</v>
      </c>
      <c r="EB331" t="e">
        <f>'Performance Risikobewertung'!81:81-"AM:!1fI"</f>
        <v>#VALUE!</v>
      </c>
      <c r="EC331" t="e">
        <f>'Performance Risikobewertung'!82:82-"AM:!1fJ"</f>
        <v>#VALUE!</v>
      </c>
      <c r="ED331" t="e">
        <f>'Performance Risikobewertung'!83:83-"AM:!1fK"</f>
        <v>#VALUE!</v>
      </c>
      <c r="EE331" t="e">
        <f>'Performance Risikobewertung'!84:84-"AM:!1fL"</f>
        <v>#VALUE!</v>
      </c>
      <c r="EF331" t="e">
        <f>'Performance Risikobewertung'!85:85-"AM:!1fM"</f>
        <v>#VALUE!</v>
      </c>
      <c r="EG331" t="e">
        <f>'Performance Risikobewertung'!86:86-"AM:!1fN"</f>
        <v>#VALUE!</v>
      </c>
      <c r="EH331" t="e">
        <f>'Performance Risikobewertung'!87:87-"AM:!1fO"</f>
        <v>#VALUE!</v>
      </c>
      <c r="EI331" t="e">
        <f>'Performance Risikobewertung'!88:88-"AM:!1fP"</f>
        <v>#VALUE!</v>
      </c>
      <c r="EJ331" t="e">
        <f>'Performance Risikobewertung'!89:89-"AM:!1fQ"</f>
        <v>#VALUE!</v>
      </c>
      <c r="EK331" t="e">
        <f>'Performance Risikobewertung'!90:90-"AM:!1fR"</f>
        <v>#VALUE!</v>
      </c>
      <c r="EL331" t="e">
        <f>'Performance Risikobewertung'!91:91-"AM:!1fS"</f>
        <v>#VALUE!</v>
      </c>
      <c r="EM331" t="e">
        <f>'Performance Risikobewertung'!92:92-"AM:!1fT"</f>
        <v>#VALUE!</v>
      </c>
      <c r="EN331" t="e">
        <f>'Performance Risikobewertung'!93:93-"AM:!1fU"</f>
        <v>#VALUE!</v>
      </c>
      <c r="EO331" t="e">
        <f>'Performance Risikobewertung'!94:94-"AM:!1fV"</f>
        <v>#VALUE!</v>
      </c>
      <c r="EP331" t="e">
        <f>'Performance Risikobewertung'!95:95-"AM:!1fW"</f>
        <v>#VALUE!</v>
      </c>
      <c r="EQ331" t="e">
        <f>'Performance Risikobewertung'!96:96-"AM:!1fX"</f>
        <v>#VALUE!</v>
      </c>
      <c r="ER331" t="e">
        <f>'Performance Risikobewertung'!97:97-"AM:!1fY"</f>
        <v>#VALUE!</v>
      </c>
      <c r="ES331" t="e">
        <f>'Performance Risikobewertung'!98:98-"AM:!1fZ"</f>
        <v>#VALUE!</v>
      </c>
      <c r="ET331" t="e">
        <f>'Performance Risikobewertung'!99:99-"AM:!1f["</f>
        <v>#VALUE!</v>
      </c>
      <c r="EU331" t="e">
        <f>'Performance Risikobewertung'!100:100-"AM:!1f\"</f>
        <v>#VALUE!</v>
      </c>
      <c r="EV331" t="e">
        <f>'Performance Risikobewertung'!101:101-"AM:!1f]"</f>
        <v>#VALUE!</v>
      </c>
      <c r="EW331" t="e">
        <f>'Performance Risikobewertung'!102:102-"AM:!1f^"</f>
        <v>#VALUE!</v>
      </c>
      <c r="EX331" t="e">
        <f>'Performance Risikobewertung'!103:103-"AM:!1f_"</f>
        <v>#VALUE!</v>
      </c>
      <c r="EY331" t="e">
        <f>'Performance Risikobewertung'!104:104-"AM:!1f`"</f>
        <v>#VALUE!</v>
      </c>
      <c r="EZ331" t="e">
        <f>'Performance Risikobewertung'!105:105-"AM:!1fa"</f>
        <v>#VALUE!</v>
      </c>
      <c r="FA331" t="e">
        <f>'Performance Risikobewertung'!106:106-"AM:!1fb"</f>
        <v>#VALUE!</v>
      </c>
      <c r="FB331" t="e">
        <f>'Performance Risikobewertung'!107:107-"AM:!1fc"</f>
        <v>#VALUE!</v>
      </c>
      <c r="FC331" t="e">
        <f>'Performance Risikobewertung'!108:108-"AM:!1fd"</f>
        <v>#VALUE!</v>
      </c>
      <c r="FD331" t="e">
        <f>'Performance Risikobewertung'!109:109-"AM:!1fe"</f>
        <v>#VALUE!</v>
      </c>
      <c r="FE331" t="e">
        <f>'Performance Risikobewertung'!110:110-"AM:!1ff"</f>
        <v>#VALUE!</v>
      </c>
      <c r="FF331" t="e">
        <f>'Performance Risikobewertung'!111:111-"AM:!1fg"</f>
        <v>#VALUE!</v>
      </c>
      <c r="FG331" t="e">
        <f>'Performance Risikobewertung'!112:112-"AM:!1fh"</f>
        <v>#VALUE!</v>
      </c>
      <c r="FH331" t="e">
        <f>'Performance Risikobewertung'!113:113-"AM:!1fi"</f>
        <v>#VALUE!</v>
      </c>
      <c r="FI331" t="e">
        <f>'Performance Risikobewertung'!114:114-"AM:!1fj"</f>
        <v>#VALUE!</v>
      </c>
      <c r="FJ331" t="e">
        <f>'Performance Risikobewertung'!115:115-"AM:!1fk"</f>
        <v>#VALUE!</v>
      </c>
      <c r="FK331" t="e">
        <f>'Performance Risikobewertung'!116:116-"AM:!1fl"</f>
        <v>#VALUE!</v>
      </c>
      <c r="FL331" t="e">
        <f>'Performance Risikobewertung'!117:117-"AM:!1fm"</f>
        <v>#VALUE!</v>
      </c>
      <c r="FM331" t="e">
        <f>'Performance Risikobewertung'!118:118-"AM:!1fn"</f>
        <v>#VALUE!</v>
      </c>
      <c r="FN331" t="e">
        <f>'Performance Risikobewertung'!119:119-"AM:!1fo"</f>
        <v>#VALUE!</v>
      </c>
      <c r="FO331" t="e">
        <f>'Performance Risikobewertung'!120:120-"AM:!1fp"</f>
        <v>#VALUE!</v>
      </c>
      <c r="FP331" t="e">
        <f>'Performance Risikobewertung'!121:121-"AM:!1fq"</f>
        <v>#VALUE!</v>
      </c>
      <c r="FQ331" t="e">
        <f>'Performance Risikobewertung'!122:122-"AM:!1fr"</f>
        <v>#VALUE!</v>
      </c>
      <c r="FR331" t="e">
        <f>'Performance Risikobewertung'!123:123-"AM:!1fs"</f>
        <v>#VALUE!</v>
      </c>
      <c r="FS331" t="e">
        <f>'Performance Risikobewertung'!124:124-"AM:!1ft"</f>
        <v>#VALUE!</v>
      </c>
      <c r="FT331" t="e">
        <f>'Performance Risikobewertung'!125:125-"AM:!1fu"</f>
        <v>#VALUE!</v>
      </c>
      <c r="FU331" t="e">
        <f>'Performance Risikobewertung'!126:126-"AM:!1fv"</f>
        <v>#VALUE!</v>
      </c>
      <c r="FV331" t="e">
        <f>'Performance Risikobewertung'!127:127-"AM:!1fw"</f>
        <v>#VALUE!</v>
      </c>
      <c r="FW331" t="e">
        <f>'Performance Risikobewertung'!128:128-"AM:!1fx"</f>
        <v>#VALUE!</v>
      </c>
      <c r="FX331" t="e">
        <f>'Performance Risikobewertung'!129:129-"AM:!1fy"</f>
        <v>#VALUE!</v>
      </c>
      <c r="FY331" t="e">
        <f>'Performance Risikobewertung'!130:130-"AM:!1fz"</f>
        <v>#VALUE!</v>
      </c>
      <c r="FZ331" t="e">
        <f>'Performance Risikobewertung'!131:131-"AM:!1f{"</f>
        <v>#VALUE!</v>
      </c>
      <c r="GA331" t="e">
        <f>'Performance Risikobewertung'!132:132-"AM:!1f|"</f>
        <v>#VALUE!</v>
      </c>
      <c r="GB331" t="e">
        <f>'Performance Risikobewertung'!133:133-"AM:!1f}"</f>
        <v>#VALUE!</v>
      </c>
      <c r="GC331" t="e">
        <f>'Performance Risikobewertung'!134:134-"AM:!1f~"</f>
        <v>#VALUE!</v>
      </c>
      <c r="GD331" t="e">
        <f>'Performance Risikobewertung'!135:135-"AM:!1g#"</f>
        <v>#VALUE!</v>
      </c>
      <c r="GE331" t="e">
        <f>'Performance Risikobewertung'!136:136-"AM:!1g$"</f>
        <v>#VALUE!</v>
      </c>
      <c r="GF331" t="e">
        <f>'Performance Risikobewertung'!137:137-"AM:!1g%"</f>
        <v>#VALUE!</v>
      </c>
      <c r="GG331" t="e">
        <f>'Performance Risikobewertung'!138:138-"AM:!1g&amp;"</f>
        <v>#VALUE!</v>
      </c>
      <c r="GH331" t="e">
        <f>'Performance Risikobewertung'!139:139-"AM:!1g'"</f>
        <v>#VALUE!</v>
      </c>
      <c r="GI331" t="e">
        <f>'Performance Risikobewertung'!140:140-"AM:!1g("</f>
        <v>#VALUE!</v>
      </c>
      <c r="GJ331" t="e">
        <f>'Performance Risikobewertung'!141:141-"AM:!1g)"</f>
        <v>#VALUE!</v>
      </c>
      <c r="GK331" t="e">
        <f>'Performance Risikobewertung'!142:142-"AM:!1g."</f>
        <v>#VALUE!</v>
      </c>
      <c r="GL331" t="e">
        <f>'Performance Risikobewertung'!143:143-"AM:!1g/"</f>
        <v>#VALUE!</v>
      </c>
      <c r="GM331" t="e">
        <f>'Performance Risikobewertung'!144:144-"AM:!1g0"</f>
        <v>#VALUE!</v>
      </c>
      <c r="GN331" t="e">
        <f>'Performance Risikobewertung'!145:145-"AM:!1g1"</f>
        <v>#VALUE!</v>
      </c>
      <c r="GO331" t="e">
        <f>'Performance Risikobewertung'!146:146-"AM:!1g2"</f>
        <v>#VALUE!</v>
      </c>
      <c r="GP331" t="e">
        <f>'Performance Risikobewertung'!147:147-"AM:!1g3"</f>
        <v>#VALUE!</v>
      </c>
      <c r="GQ331" t="e">
        <f>'Performance Risikobewertung'!148:148-"AM:!1g4"</f>
        <v>#VALUE!</v>
      </c>
      <c r="GR331" t="e">
        <f>'Performance Risikobewertung'!149:149-"AM:!1g5"</f>
        <v>#VALUE!</v>
      </c>
      <c r="GS331" t="e">
        <f>'Performance Risikobewertung'!150:150-"AM:!1g6"</f>
        <v>#VALUE!</v>
      </c>
      <c r="GT331" t="e">
        <f>'Performance Risikobewertung'!151:151-"AM:!1g7"</f>
        <v>#VALUE!</v>
      </c>
      <c r="GU331" t="e">
        <f>'Performance Risikobewertung'!152:152-"AM:!1g8"</f>
        <v>#VALUE!</v>
      </c>
      <c r="GV331" t="e">
        <f>'Performance Risikobewertung'!153:153-"AM:!1g9"</f>
        <v>#VALUE!</v>
      </c>
      <c r="GW331" t="e">
        <f>'Performance Risikobewertung'!154:154-"AM:!1g:"</f>
        <v>#VALUE!</v>
      </c>
      <c r="GX331" t="e">
        <f>'Performance Risikobewertung'!155:155-"AM:!1g;"</f>
        <v>#VALUE!</v>
      </c>
      <c r="GY331" t="e">
        <f>'Performance Risikobewertung'!156:156-"AM:!1g&lt;"</f>
        <v>#VALUE!</v>
      </c>
      <c r="GZ331" t="e">
        <f>'Performance Risikobewertung'!157:157-"AM:!1g="</f>
        <v>#VALUE!</v>
      </c>
      <c r="HA331" t="e">
        <f>'Performance Risikobewertung'!158:158-"AM:!1g&gt;"</f>
        <v>#VALUE!</v>
      </c>
      <c r="HB331" t="e">
        <f>'Performance Risikobewertung'!159:159-"AM:!1g?"</f>
        <v>#VALUE!</v>
      </c>
      <c r="HC331" t="e">
        <f>'Performance Risikobewertung'!160:160-"AM:!1g@"</f>
        <v>#VALUE!</v>
      </c>
      <c r="HD331" t="e">
        <f>'Performance Risikobewertung'!161:161-"AM:!1gA"</f>
        <v>#VALUE!</v>
      </c>
      <c r="HE331" t="e">
        <f>'Performance Risikobewertung'!162:162-"AM:!1gB"</f>
        <v>#VALUE!</v>
      </c>
      <c r="HF331" t="e">
        <f>'Performance Risikobewertung'!163:163-"AM:!1gC"</f>
        <v>#VALUE!</v>
      </c>
      <c r="HG331" t="e">
        <f>'Performance Risikobewertung'!164:164-"AM:!1gD"</f>
        <v>#VALUE!</v>
      </c>
      <c r="HH331" t="e">
        <f>'Performance Risikobewertung'!165:165-"AM:!1gE"</f>
        <v>#VALUE!</v>
      </c>
      <c r="HI331" t="e">
        <f>'Performance Risikobewertung'!166:166-"AM:!1gF"</f>
        <v>#VALUE!</v>
      </c>
      <c r="HJ331" t="e">
        <f>'Performance Risikobewertung'!167:167-"AM:!1gG"</f>
        <v>#VALUE!</v>
      </c>
      <c r="HK331" t="e">
        <f>'Performance Risikobewertung'!168:168-"AM:!1gH"</f>
        <v>#VALUE!</v>
      </c>
      <c r="HL331" t="e">
        <f>'Performance Risikobewertung'!169:169-"AM:!1gI"</f>
        <v>#VALUE!</v>
      </c>
      <c r="HM331" t="e">
        <f>'Performance Risikobewertung'!170:170-"AM:!1gJ"</f>
        <v>#VALUE!</v>
      </c>
      <c r="HN331" t="e">
        <f>'Performance Risikobewertung'!171:171-"AM:!1gK"</f>
        <v>#VALUE!</v>
      </c>
      <c r="HO331" t="e">
        <f>'Performance Risikobewertung'!172:172-"AM:!1gL"</f>
        <v>#VALUE!</v>
      </c>
      <c r="HP331" t="e">
        <f>'Performance Risikobewertung'!173:173-"AM:!1gM"</f>
        <v>#VALUE!</v>
      </c>
      <c r="HQ331" t="e">
        <f>'Performance Risikobewertung'!174:174-"AM:!1gN"</f>
        <v>#VALUE!</v>
      </c>
      <c r="HR331" t="e">
        <f>'Performance Risikobewertung'!175:175-"AM:!1gO"</f>
        <v>#VALUE!</v>
      </c>
      <c r="HS331" t="e">
        <f>'Performance Risikobewertung'!176:176-"AM:!1gP"</f>
        <v>#VALUE!</v>
      </c>
      <c r="HT331" t="e">
        <f>'Performance Risikobewertung'!177:177-"AM:!1gQ"</f>
        <v>#VALUE!</v>
      </c>
      <c r="HU331" t="e">
        <f>'Performance Risikobewertung'!178:178-"AM:!1gR"</f>
        <v>#VALUE!</v>
      </c>
      <c r="HV331" t="e">
        <f>'Performance Risikobewertung'!179:179-"AM:!1gS"</f>
        <v>#VALUE!</v>
      </c>
      <c r="HW331" t="e">
        <f>'Performance Risikobewertung'!180:180-"AM:!1gT"</f>
        <v>#VALUE!</v>
      </c>
      <c r="HX331" t="e">
        <f>'Performance Risikobewertung'!181:181-"AM:!1gU"</f>
        <v>#VALUE!</v>
      </c>
      <c r="HY331" t="e">
        <f>'Performance Risikobewertung'!182:182-"AM:!1gV"</f>
        <v>#VALUE!</v>
      </c>
      <c r="HZ331" t="e">
        <f>'Performance Risikobewertung'!183:183-"AM:!1gW"</f>
        <v>#VALUE!</v>
      </c>
      <c r="IA331" t="e">
        <f>'Performance Risikobewertung'!184:184-"AM:!1gX"</f>
        <v>#VALUE!</v>
      </c>
      <c r="IB331" t="e">
        <f>'Performance Risikobewertung'!185:185-"AM:!1gY"</f>
        <v>#VALUE!</v>
      </c>
      <c r="IC331" t="e">
        <f>'Performance Risikobewertung'!186:186-"AM:!1gZ"</f>
        <v>#VALUE!</v>
      </c>
      <c r="ID331" t="e">
        <f>'Performance Risikobewertung'!187:187-"AM:!1g["</f>
        <v>#VALUE!</v>
      </c>
      <c r="IE331" t="e">
        <f>'Performance Risikobewertung'!188:188-"AM:!1g\"</f>
        <v>#VALUE!</v>
      </c>
      <c r="IF331" t="e">
        <f>'Performance Risikobewertung'!189:189-"AM:!1g]"</f>
        <v>#VALUE!</v>
      </c>
      <c r="IG331" t="e">
        <f>'Performance Risikobewertung'!190:190-"AM:!1g^"</f>
        <v>#VALUE!</v>
      </c>
      <c r="IH331" t="e">
        <f>'Performance Risikobewertung'!191:191-"AM:!1g_"</f>
        <v>#VALUE!</v>
      </c>
      <c r="II331" t="e">
        <f>'Performance Risikobewertung'!192:192-"AM:!1g`"</f>
        <v>#VALUE!</v>
      </c>
      <c r="IJ331" t="e">
        <f>'Performance Risikobewertung'!193:193-"AM:!1ga"</f>
        <v>#VALUE!</v>
      </c>
      <c r="IK331" t="e">
        <f>'Performance Risikobewertung'!194:194-"AM:!1gb"</f>
        <v>#VALUE!</v>
      </c>
      <c r="IL331" t="e">
        <f>'Performance Risikobewertung'!195:195-"AM:!1gc"</f>
        <v>#VALUE!</v>
      </c>
      <c r="IM331" t="e">
        <f>'Performance Risikobewertung'!196:196-"AM:!1gd"</f>
        <v>#VALUE!</v>
      </c>
      <c r="IN331" t="e">
        <f>'Performance Risikobewertung'!197:197-"AM:!1ge"</f>
        <v>#VALUE!</v>
      </c>
      <c r="IO331" t="e">
        <f>'Performance Risikobewertung'!198:198-"AM:!1gf"</f>
        <v>#VALUE!</v>
      </c>
      <c r="IP331" t="e">
        <f>'Performance Risikobewertung'!199:199-"AM:!1gg"</f>
        <v>#VALUE!</v>
      </c>
      <c r="IQ331" t="e">
        <f>'Performance Risikobewertung'!200:200-"AM:!1gh"</f>
        <v>#VALUE!</v>
      </c>
      <c r="IR331" t="e">
        <f>'Performance Risikobewertung'!201:201-"AM:!1gi"</f>
        <v>#VALUE!</v>
      </c>
      <c r="IS331" t="e">
        <f>'Performance Risikobewertung'!202:202-"AM:!1gj"</f>
        <v>#VALUE!</v>
      </c>
      <c r="IT331" t="e">
        <f>'Performance Risikobewertung'!203:203-"AM:!1gk"</f>
        <v>#VALUE!</v>
      </c>
      <c r="IU331" t="e">
        <f>'Performance Risikobewertung'!204:204-"AM:!1gl"</f>
        <v>#VALUE!</v>
      </c>
      <c r="IV331" t="e">
        <f>'Performance Risikobewertung'!205:205-"AM:!1gm"</f>
        <v>#VALUE!</v>
      </c>
    </row>
    <row r="332" spans="6:256">
      <c r="F332" t="e">
        <f>'Performance Risikobewertung'!206:206-"AM:!1gn"</f>
        <v>#VALUE!</v>
      </c>
      <c r="G332" t="e">
        <f>'Performance Risikobewertung'!207:207-"AM:!1go"</f>
        <v>#VALUE!</v>
      </c>
      <c r="H332" t="e">
        <f>'Performance Risikobewertung'!208:208-"AM:!1gp"</f>
        <v>#VALUE!</v>
      </c>
      <c r="I332" t="e">
        <f>'Performance Risikobewertung'!209:209-"AM:!1gq"</f>
        <v>#VALUE!</v>
      </c>
      <c r="J332" t="e">
        <f>'Performance Risikobewertung'!210:210-"AM:!1gr"</f>
        <v>#VALUE!</v>
      </c>
      <c r="K332" t="e">
        <f>'Performance Risikobewertung'!211:211-"AM:!1gs"</f>
        <v>#VALUE!</v>
      </c>
      <c r="L332" t="e">
        <f>'Performance Risikobewertung'!212:212-"AM:!1gt"</f>
        <v>#VALUE!</v>
      </c>
      <c r="M332" t="e">
        <f>'Performance Risikobewertung'!213:213-"AM:!1gu"</f>
        <v>#VALUE!</v>
      </c>
      <c r="N332" t="e">
        <f>'Performance Risikobewertung'!214:214-"AM:!1gv"</f>
        <v>#VALUE!</v>
      </c>
      <c r="O332" t="e">
        <f>'Performance Risikobewertung'!215:215-"AM:!1gw"</f>
        <v>#VALUE!</v>
      </c>
      <c r="P332" t="e">
        <f>'Performance Risikobewertung'!216:216-"AM:!1gx"</f>
        <v>#VALUE!</v>
      </c>
      <c r="Q332" t="e">
        <f>'Performance Risikobewertung'!217:217-"AM:!1gy"</f>
        <v>#VALUE!</v>
      </c>
      <c r="R332" t="e">
        <f>'Performance Risikobewertung'!218:218-"AM:!1gz"</f>
        <v>#VALUE!</v>
      </c>
      <c r="S332" t="e">
        <f>'Performance Risikobewertung'!219:219-"AM:!1g{"</f>
        <v>#VALUE!</v>
      </c>
      <c r="T332" t="e">
        <f>'Performance Risikobewertung'!220:220-"AM:!1g|"</f>
        <v>#VALUE!</v>
      </c>
      <c r="U332" t="e">
        <f>'Performance Risikobewertung'!221:221-"AM:!1g}"</f>
        <v>#VALUE!</v>
      </c>
      <c r="V332" t="e">
        <f>'Performance Risikobewertung'!222:222-"AM:!1g~"</f>
        <v>#VALUE!</v>
      </c>
      <c r="W332" t="e">
        <f>'Performance Risikobewertung'!223:223-"AM:!1h#"</f>
        <v>#VALUE!</v>
      </c>
      <c r="X332" t="e">
        <f>'Performance Risikobewertung'!224:224-"AM:!1h$"</f>
        <v>#VALUE!</v>
      </c>
      <c r="Y332" t="e">
        <f>'Performance Risikobewertung'!225:225-"AM:!1h%"</f>
        <v>#VALUE!</v>
      </c>
      <c r="Z332" t="e">
        <f>'Performance Risikobewertung'!226:226-"AM:!1h&amp;"</f>
        <v>#VALUE!</v>
      </c>
      <c r="AA332" t="e">
        <f>'Performance Risikobewertung'!227:227-"AM:!1h'"</f>
        <v>#VALUE!</v>
      </c>
      <c r="AB332" t="e">
        <f>'Performance Risikobewertung'!228:228-"AM:!1h("</f>
        <v>#VALUE!</v>
      </c>
      <c r="AC332" t="e">
        <f>'Performance Risikobewertung'!A1+"AM:!1h)"</f>
        <v>#VALUE!</v>
      </c>
      <c r="AD332" t="e">
        <f>'Performance Risikobewertung'!B1+"AM:!1h."</f>
        <v>#VALUE!</v>
      </c>
      <c r="AE332" t="e">
        <f>'Performance Risikobewertung'!C1+"AM:!1h/"</f>
        <v>#VALUE!</v>
      </c>
      <c r="AF332" t="e">
        <f>'Performance Risikobewertung'!D1+"AM:!1h0"</f>
        <v>#VALUE!</v>
      </c>
      <c r="AG332" t="e">
        <f>'Performance Risikobewertung'!E1+"AM:!1h1"</f>
        <v>#VALUE!</v>
      </c>
      <c r="AH332" t="e">
        <f>'Performance Risikobewertung'!F1+"AM:!1h2"</f>
        <v>#VALUE!</v>
      </c>
      <c r="AI332" t="e">
        <f>'Performance Risikobewertung'!A2+"AM:!1h3"</f>
        <v>#VALUE!</v>
      </c>
      <c r="AJ332" t="e">
        <f>'Performance Risikobewertung'!B2+"AM:!1h4"</f>
        <v>#VALUE!</v>
      </c>
      <c r="AK332" t="e">
        <f>'Performance Risikobewertung'!C2+"AM:!1h5"</f>
        <v>#VALUE!</v>
      </c>
      <c r="AL332" t="e">
        <f>'Performance Risikobewertung'!D2+"AM:!1h6"</f>
        <v>#VALUE!</v>
      </c>
      <c r="AM332" t="e">
        <f>'Performance Risikobewertung'!E2+"AM:!1h7"</f>
        <v>#VALUE!</v>
      </c>
      <c r="AN332" t="e">
        <f>'Performance Risikobewertung'!F2+"AM:!1h8"</f>
        <v>#VALUE!</v>
      </c>
      <c r="AO332" t="e">
        <f>'Performance Risikobewertung'!A3+"AM:!1h9"</f>
        <v>#VALUE!</v>
      </c>
      <c r="AP332" t="e">
        <f>'Performance Risikobewertung'!B3+"AM:!1h:"</f>
        <v>#VALUE!</v>
      </c>
      <c r="AQ332" t="e">
        <f>'Performance Risikobewertung'!C3+"AM:!1h;"</f>
        <v>#VALUE!</v>
      </c>
      <c r="AR332" t="e">
        <f>'Performance Risikobewertung'!D3+"AM:!1h&lt;"</f>
        <v>#VALUE!</v>
      </c>
      <c r="AS332" t="e">
        <f>'Performance Risikobewertung'!E3+"AM:!1h="</f>
        <v>#VALUE!</v>
      </c>
      <c r="AT332" t="e">
        <f>'Performance Risikobewertung'!F3+"AM:!1h&gt;"</f>
        <v>#VALUE!</v>
      </c>
      <c r="AU332" t="e">
        <f>'Performance Risikobewertung'!A4+"AM:!1h?"</f>
        <v>#VALUE!</v>
      </c>
      <c r="AV332" t="e">
        <f>'Performance Risikobewertung'!B4+"AM:!1h@"</f>
        <v>#VALUE!</v>
      </c>
      <c r="AW332" t="e">
        <f>'Performance Risikobewertung'!C4+"AM:!1hA"</f>
        <v>#VALUE!</v>
      </c>
      <c r="AX332" t="e">
        <f>'Performance Risikobewertung'!D4+"AM:!1hB"</f>
        <v>#VALUE!</v>
      </c>
      <c r="AY332" t="e">
        <f>'Performance Risikobewertung'!E4+"AM:!1hC"</f>
        <v>#VALUE!</v>
      </c>
      <c r="AZ332" t="e">
        <f>'Performance Risikobewertung'!F4+"AM:!1hD"</f>
        <v>#VALUE!</v>
      </c>
      <c r="BA332" t="e">
        <f>'Performance Risikobewertung'!A5+"AM:!1hE"</f>
        <v>#VALUE!</v>
      </c>
      <c r="BB332" t="e">
        <f>'Performance Risikobewertung'!B5+"AM:!1hF"</f>
        <v>#VALUE!</v>
      </c>
      <c r="BC332" t="e">
        <f>'Performance Risikobewertung'!C5+"AM:!1hG"</f>
        <v>#VALUE!</v>
      </c>
      <c r="BD332" t="e">
        <f>'Performance Risikobewertung'!D5+"AM:!1hH"</f>
        <v>#VALUE!</v>
      </c>
      <c r="BE332" t="e">
        <f>'Performance Risikobewertung'!E5+"AM:!1hI"</f>
        <v>#VALUE!</v>
      </c>
      <c r="BF332" t="e">
        <f>'Performance Risikobewertung'!F5+"AM:!1hJ"</f>
        <v>#VALUE!</v>
      </c>
      <c r="BG332" t="e">
        <f>'Performance Risikobewertung'!A6+"AM:!1hK"</f>
        <v>#VALUE!</v>
      </c>
      <c r="BH332" t="e">
        <f>'Performance Risikobewertung'!B6+"AM:!1hL"</f>
        <v>#VALUE!</v>
      </c>
      <c r="BI332" t="e">
        <f>'Performance Risikobewertung'!C6+"AM:!1hM"</f>
        <v>#VALUE!</v>
      </c>
      <c r="BJ332" t="e">
        <f>'Performance Risikobewertung'!D6+"AM:!1hN"</f>
        <v>#VALUE!</v>
      </c>
      <c r="BK332" t="e">
        <f>'Performance Risikobewertung'!E6+"AM:!1hO"</f>
        <v>#VALUE!</v>
      </c>
      <c r="BL332" t="e">
        <f>'Performance Risikobewertung'!F6+"AM:!1hP"</f>
        <v>#VALUE!</v>
      </c>
      <c r="BM332" t="e">
        <f>'Performance Risikobewertung'!A7+"AM:!1hQ"</f>
        <v>#VALUE!</v>
      </c>
      <c r="BN332" t="e">
        <f>'Performance Risikobewertung'!B7+"AM:!1hR"</f>
        <v>#VALUE!</v>
      </c>
      <c r="BO332" t="e">
        <f>'Performance Risikobewertung'!C7+"AM:!1hS"</f>
        <v>#VALUE!</v>
      </c>
      <c r="BP332" t="e">
        <f>'Performance Risikobewertung'!D7+"AM:!1hT"</f>
        <v>#VALUE!</v>
      </c>
      <c r="BQ332" t="e">
        <f>'Performance Risikobewertung'!E7+"AM:!1hU"</f>
        <v>#VALUE!</v>
      </c>
      <c r="BR332" t="e">
        <f>'Performance Risikobewertung'!F7+"AM:!1hV"</f>
        <v>#VALUE!</v>
      </c>
      <c r="BS332" t="e">
        <f>'Performance Risikobewertung'!A8+"AM:!1hW"</f>
        <v>#VALUE!</v>
      </c>
      <c r="BT332" t="e">
        <f>'Performance Risikobewertung'!B8+"AM:!1hX"</f>
        <v>#VALUE!</v>
      </c>
      <c r="BU332" t="e">
        <f>'Performance Risikobewertung'!C8+"AM:!1hY"</f>
        <v>#VALUE!</v>
      </c>
      <c r="BV332" t="e">
        <f>'Performance Risikobewertung'!D8+"AM:!1hZ"</f>
        <v>#VALUE!</v>
      </c>
      <c r="BW332" t="e">
        <f>'Performance Risikobewertung'!E8+"AM:!1h["</f>
        <v>#VALUE!</v>
      </c>
      <c r="BX332" t="e">
        <f>'Performance Risikobewertung'!F8+"AM:!1h\"</f>
        <v>#VALUE!</v>
      </c>
      <c r="BY332" t="e">
        <f>'Performance Risikobewertung'!A9+"AM:!1h]"</f>
        <v>#VALUE!</v>
      </c>
      <c r="BZ332" t="e">
        <f>'Performance Risikobewertung'!B9+"AM:!1h^"</f>
        <v>#VALUE!</v>
      </c>
      <c r="CA332" t="e">
        <f>'Performance Risikobewertung'!C9+"AM:!1h_"</f>
        <v>#VALUE!</v>
      </c>
      <c r="CB332" t="e">
        <f>'Performance Risikobewertung'!D9+"AM:!1h`"</f>
        <v>#VALUE!</v>
      </c>
      <c r="CC332" t="e">
        <f>'Performance Risikobewertung'!E9+"AM:!1ha"</f>
        <v>#VALUE!</v>
      </c>
      <c r="CD332" t="e">
        <f>'Performance Risikobewertung'!F9+"AM:!1hb"</f>
        <v>#VALUE!</v>
      </c>
      <c r="CE332" t="e">
        <f>'Performance Risikobewertung'!A10+"AM:!1hc"</f>
        <v>#VALUE!</v>
      </c>
      <c r="CF332" t="e">
        <f>'Performance Risikobewertung'!B10+"AM:!1hd"</f>
        <v>#VALUE!</v>
      </c>
      <c r="CG332" t="e">
        <f>'Performance Risikobewertung'!C10+"AM:!1he"</f>
        <v>#VALUE!</v>
      </c>
      <c r="CH332" t="e">
        <f>'Performance Risikobewertung'!D10+"AM:!1hf"</f>
        <v>#VALUE!</v>
      </c>
      <c r="CI332" t="e">
        <f>'Performance Risikobewertung'!E10+"AM:!1hg"</f>
        <v>#VALUE!</v>
      </c>
      <c r="CJ332" t="e">
        <f>'Performance Risikobewertung'!F10+"AM:!1hh"</f>
        <v>#VALUE!</v>
      </c>
      <c r="CK332" t="e">
        <f>'Performance Risikobewertung'!A11+"AM:!1hi"</f>
        <v>#VALUE!</v>
      </c>
      <c r="CL332" t="e">
        <f>'Performance Risikobewertung'!B11+"AM:!1hj"</f>
        <v>#VALUE!</v>
      </c>
      <c r="CM332" t="e">
        <f>'Performance Risikobewertung'!C11+"AM:!1hk"</f>
        <v>#VALUE!</v>
      </c>
      <c r="CN332" t="e">
        <f>'Performance Risikobewertung'!D11+"AM:!1hl"</f>
        <v>#VALUE!</v>
      </c>
      <c r="CO332" t="e">
        <f>'Performance Risikobewertung'!E11+"AM:!1hm"</f>
        <v>#VALUE!</v>
      </c>
      <c r="CP332" t="e">
        <f>'Performance Risikobewertung'!F11+"AM:!1hn"</f>
        <v>#VALUE!</v>
      </c>
      <c r="CQ332" t="e">
        <f>'Performance Risikobewertung'!A12+"AM:!1ho"</f>
        <v>#VALUE!</v>
      </c>
      <c r="CR332" t="e">
        <f>'Performance Risikobewertung'!B12+"AM:!1hp"</f>
        <v>#VALUE!</v>
      </c>
      <c r="CS332" t="e">
        <f>'Performance Risikobewertung'!C12+"AM:!1hq"</f>
        <v>#VALUE!</v>
      </c>
      <c r="CT332" t="e">
        <f>'Performance Risikobewertung'!D12+"AM:!1hr"</f>
        <v>#VALUE!</v>
      </c>
      <c r="CU332" t="e">
        <f>'Performance Risikobewertung'!E12+"AM:!1hs"</f>
        <v>#VALUE!</v>
      </c>
      <c r="CV332" t="e">
        <f>'Performance Risikobewertung'!F12+"AM:!1ht"</f>
        <v>#VALUE!</v>
      </c>
      <c r="CW332" t="e">
        <f>'Performance Risikobewertung'!A13+"AM:!1hu"</f>
        <v>#VALUE!</v>
      </c>
      <c r="CX332" t="e">
        <f>'Performance Risikobewertung'!B13+"AM:!1hv"</f>
        <v>#VALUE!</v>
      </c>
      <c r="CY332" t="e">
        <f>'Performance Risikobewertung'!C13+"AM:!1hw"</f>
        <v>#VALUE!</v>
      </c>
      <c r="CZ332" t="e">
        <f>'Performance Risikobewertung'!D13+"AM:!1hx"</f>
        <v>#VALUE!</v>
      </c>
      <c r="DA332" t="e">
        <f>'Performance Risikobewertung'!E13+"AM:!1hy"</f>
        <v>#VALUE!</v>
      </c>
      <c r="DB332" t="e">
        <f>'Performance Risikobewertung'!F13+"AM:!1hz"</f>
        <v>#VALUE!</v>
      </c>
      <c r="DC332" t="e">
        <f>'Performance Risikobewertung'!A14+"AM:!1h{"</f>
        <v>#VALUE!</v>
      </c>
      <c r="DD332" t="e">
        <f>'Performance Risikobewertung'!B14+"AM:!1h|"</f>
        <v>#VALUE!</v>
      </c>
      <c r="DE332" t="e">
        <f>'Performance Risikobewertung'!C14+"AM:!1h}"</f>
        <v>#VALUE!</v>
      </c>
      <c r="DF332" t="e">
        <f>'Performance Risikobewertung'!D14+"AM:!1h~"</f>
        <v>#VALUE!</v>
      </c>
      <c r="DG332" t="e">
        <f>'Performance Risikobewertung'!E14+"AM:!1i#"</f>
        <v>#VALUE!</v>
      </c>
      <c r="DH332" t="e">
        <f>'Performance Risikobewertung'!F14+"AM:!1i$"</f>
        <v>#VALUE!</v>
      </c>
      <c r="DI332" t="e">
        <f>'Performance Risikobewertung'!A15+"AM:!1i%"</f>
        <v>#VALUE!</v>
      </c>
      <c r="DJ332" t="e">
        <f>'Performance Risikobewertung'!B15+"AM:!1i&amp;"</f>
        <v>#VALUE!</v>
      </c>
      <c r="DK332" t="e">
        <f>'Performance Risikobewertung'!C15+"AM:!1i'"</f>
        <v>#VALUE!</v>
      </c>
      <c r="DL332" t="e">
        <f>'Performance Risikobewertung'!D15+"AM:!1i("</f>
        <v>#VALUE!</v>
      </c>
      <c r="DM332" t="e">
        <f>'Performance Risikobewertung'!E15+"AM:!1i)"</f>
        <v>#VALUE!</v>
      </c>
      <c r="DN332" t="e">
        <f>'Performance Risikobewertung'!F15+"AM:!1i."</f>
        <v>#VALUE!</v>
      </c>
      <c r="DO332" t="e">
        <f>'Performance Risikobewertung'!A16+"AM:!1i/"</f>
        <v>#VALUE!</v>
      </c>
      <c r="DP332" t="e">
        <f>'Performance Risikobewertung'!B16+"AM:!1i0"</f>
        <v>#VALUE!</v>
      </c>
      <c r="DQ332" t="e">
        <f>'Performance Risikobewertung'!C16+"AM:!1i1"</f>
        <v>#VALUE!</v>
      </c>
      <c r="DR332" t="e">
        <f>'Performance Risikobewertung'!D16+"AM:!1i2"</f>
        <v>#VALUE!</v>
      </c>
      <c r="DS332" t="e">
        <f>'Performance Risikobewertung'!E16+"AM:!1i3"</f>
        <v>#VALUE!</v>
      </c>
      <c r="DT332" t="e">
        <f>'Performance Risikobewertung'!F16+"AM:!1i4"</f>
        <v>#VALUE!</v>
      </c>
      <c r="DU332" t="e">
        <f>'Performance Risikobewertung'!A17+"AM:!1i5"</f>
        <v>#VALUE!</v>
      </c>
      <c r="DV332" t="e">
        <f>'Performance Risikobewertung'!B17+"AM:!1i6"</f>
        <v>#VALUE!</v>
      </c>
      <c r="DW332" t="e">
        <f>'Performance Risikobewertung'!C17+"AM:!1i7"</f>
        <v>#VALUE!</v>
      </c>
      <c r="DX332" t="e">
        <f>'Performance Risikobewertung'!D17+"AM:!1i8"</f>
        <v>#VALUE!</v>
      </c>
      <c r="DY332" t="e">
        <f>'Performance Risikobewertung'!E17+"AM:!1i9"</f>
        <v>#VALUE!</v>
      </c>
      <c r="DZ332" t="e">
        <f>'Performance Risikobewertung'!F17+"AM:!1i:"</f>
        <v>#VALUE!</v>
      </c>
      <c r="EA332" t="e">
        <f>'Performance Risikobewertung'!A18+"AM:!1i;"</f>
        <v>#VALUE!</v>
      </c>
      <c r="EB332" t="e">
        <f>'Performance Risikobewertung'!B18+"AM:!1i&lt;"</f>
        <v>#VALUE!</v>
      </c>
      <c r="EC332" t="e">
        <f>'Performance Risikobewertung'!C18+"AM:!1i="</f>
        <v>#VALUE!</v>
      </c>
      <c r="ED332" t="e">
        <f>'Performance Risikobewertung'!D18+"AM:!1i&gt;"</f>
        <v>#VALUE!</v>
      </c>
      <c r="EE332" t="e">
        <f>'Performance Risikobewertung'!E18+"AM:!1i?"</f>
        <v>#VALUE!</v>
      </c>
      <c r="EF332" t="e">
        <f>'Performance Risikobewertung'!F18+"AM:!1i@"</f>
        <v>#VALUE!</v>
      </c>
      <c r="EG332" t="e">
        <f>'Performance Risikobewertung'!A19+"AM:!1iA"</f>
        <v>#VALUE!</v>
      </c>
      <c r="EH332" t="e">
        <f>'Performance Risikobewertung'!B19+"AM:!1iB"</f>
        <v>#VALUE!</v>
      </c>
      <c r="EI332" t="e">
        <f>'Performance Risikobewertung'!C19+"AM:!1iC"</f>
        <v>#VALUE!</v>
      </c>
      <c r="EJ332" t="e">
        <f>'Performance Risikobewertung'!D19+"AM:!1iD"</f>
        <v>#VALUE!</v>
      </c>
      <c r="EK332" t="e">
        <f>'Performance Risikobewertung'!E19+"AM:!1iE"</f>
        <v>#VALUE!</v>
      </c>
      <c r="EL332" t="e">
        <f>'Performance Risikobewertung'!F19+"AM:!1iF"</f>
        <v>#VALUE!</v>
      </c>
      <c r="EM332" t="e">
        <f>'Performance Risikobewertung'!A20+"AM:!1iG"</f>
        <v>#VALUE!</v>
      </c>
      <c r="EN332" t="e">
        <f>'Performance Risikobewertung'!B20+"AM:!1iH"</f>
        <v>#VALUE!</v>
      </c>
      <c r="EO332" t="e">
        <f>'Performance Risikobewertung'!C20+"AM:!1iI"</f>
        <v>#VALUE!</v>
      </c>
      <c r="EP332" t="e">
        <f>'Performance Risikobewertung'!D20+"AM:!1iJ"</f>
        <v>#VALUE!</v>
      </c>
      <c r="EQ332" t="e">
        <f>'Performance Risikobewertung'!E20+"AM:!1iK"</f>
        <v>#VALUE!</v>
      </c>
      <c r="ER332" t="e">
        <f>'Performance Risikobewertung'!F20+"AM:!1iL"</f>
        <v>#VALUE!</v>
      </c>
      <c r="ES332" t="e">
        <f>'Performance Risikobewertung'!A21+"AM:!1iM"</f>
        <v>#VALUE!</v>
      </c>
      <c r="ET332" t="e">
        <f>'Performance Risikobewertung'!B21+"AM:!1iN"</f>
        <v>#VALUE!</v>
      </c>
      <c r="EU332" t="e">
        <f>'Performance Risikobewertung'!C21+"AM:!1iO"</f>
        <v>#VALUE!</v>
      </c>
      <c r="EV332" t="e">
        <f>'Performance Risikobewertung'!D21+"AM:!1iP"</f>
        <v>#VALUE!</v>
      </c>
      <c r="EW332" t="e">
        <f>'Performance Risikobewertung'!E21+"AM:!1iQ"</f>
        <v>#VALUE!</v>
      </c>
      <c r="EX332" t="e">
        <f>'Performance Risikobewertung'!F21+"AM:!1iR"</f>
        <v>#VALUE!</v>
      </c>
      <c r="EY332" t="e">
        <f>'Performance Risikobewertung'!A22+"AM:!1iS"</f>
        <v>#VALUE!</v>
      </c>
      <c r="EZ332" t="e">
        <f>'Performance Risikobewertung'!B22+"AM:!1iT"</f>
        <v>#VALUE!</v>
      </c>
      <c r="FA332" t="e">
        <f>'Performance Risikobewertung'!C22+"AM:!1iU"</f>
        <v>#VALUE!</v>
      </c>
      <c r="FB332" t="e">
        <f>'Performance Risikobewertung'!D22+"AM:!1iV"</f>
        <v>#VALUE!</v>
      </c>
      <c r="FC332" t="e">
        <f>'Performance Risikobewertung'!E22+"AM:!1iW"</f>
        <v>#VALUE!</v>
      </c>
      <c r="FD332" t="e">
        <f>'Performance Risikobewertung'!F22+"AM:!1iX"</f>
        <v>#VALUE!</v>
      </c>
      <c r="FE332" t="e">
        <f>'Performance Risikobewertung'!A23+"AM:!1iY"</f>
        <v>#VALUE!</v>
      </c>
      <c r="FF332" t="e">
        <f>'Performance Risikobewertung'!B23+"AM:!1iZ"</f>
        <v>#VALUE!</v>
      </c>
      <c r="FG332" t="e">
        <f>'Performance Risikobewertung'!C23+"AM:!1i["</f>
        <v>#VALUE!</v>
      </c>
      <c r="FH332" t="e">
        <f>'Performance Risikobewertung'!D23+"AM:!1i\"</f>
        <v>#VALUE!</v>
      </c>
      <c r="FI332" t="e">
        <f>'Performance Risikobewertung'!E23+"AM:!1i]"</f>
        <v>#VALUE!</v>
      </c>
      <c r="FJ332" t="e">
        <f>'Performance Risikobewertung'!F23+"AM:!1i^"</f>
        <v>#VALUE!</v>
      </c>
      <c r="FK332" t="e">
        <f>'Performance Risikobewertung'!A24+"AM:!1i_"</f>
        <v>#VALUE!</v>
      </c>
      <c r="FL332" t="e">
        <f>'Performance Risikobewertung'!B24+"AM:!1i`"</f>
        <v>#VALUE!</v>
      </c>
      <c r="FM332" t="e">
        <f>'Performance Risikobewertung'!C24+"AM:!1ia"</f>
        <v>#VALUE!</v>
      </c>
      <c r="FN332" t="e">
        <f>'Performance Risikobewertung'!D24+"AM:!1ib"</f>
        <v>#VALUE!</v>
      </c>
      <c r="FO332" t="e">
        <f>'Performance Risikobewertung'!E24+"AM:!1ic"</f>
        <v>#VALUE!</v>
      </c>
      <c r="FP332" t="e">
        <f>'Performance Risikobewertung'!F24+"AM:!1id"</f>
        <v>#VALUE!</v>
      </c>
      <c r="FQ332" t="e">
        <f>'Performance Risikobewertung'!A25+"AM:!1ie"</f>
        <v>#VALUE!</v>
      </c>
      <c r="FR332" t="e">
        <f>'Performance Risikobewertung'!B25+"AM:!1if"</f>
        <v>#VALUE!</v>
      </c>
      <c r="FS332" t="e">
        <f>'Performance Risikobewertung'!C25+"AM:!1ig"</f>
        <v>#VALUE!</v>
      </c>
      <c r="FT332" t="e">
        <f>'Performance Risikobewertung'!D25+"AM:!1ih"</f>
        <v>#VALUE!</v>
      </c>
      <c r="FU332" t="e">
        <f>'Performance Risikobewertung'!E25+"AM:!1ii"</f>
        <v>#VALUE!</v>
      </c>
      <c r="FV332" t="e">
        <f>'Performance Risikobewertung'!F25+"AM:!1ij"</f>
        <v>#VALUE!</v>
      </c>
      <c r="FW332" t="e">
        <f>'Performance Risikobewertung'!A26+"AM:!1ik"</f>
        <v>#VALUE!</v>
      </c>
      <c r="FX332" t="e">
        <f>'Performance Risikobewertung'!B26+"AM:!1il"</f>
        <v>#VALUE!</v>
      </c>
      <c r="FY332" t="e">
        <f>'Performance Risikobewertung'!C26+"AM:!1im"</f>
        <v>#VALUE!</v>
      </c>
      <c r="FZ332" t="e">
        <f>'Performance Risikobewertung'!D26+"AM:!1in"</f>
        <v>#VALUE!</v>
      </c>
      <c r="GA332" t="e">
        <f>'Performance Risikobewertung'!E26+"AM:!1io"</f>
        <v>#VALUE!</v>
      </c>
      <c r="GB332" t="e">
        <f>'Performance Risikobewertung'!F26+"AM:!1ip"</f>
        <v>#VALUE!</v>
      </c>
      <c r="GC332" t="e">
        <f>'Performance Risikobewertung'!A27+"AM:!1iq"</f>
        <v>#VALUE!</v>
      </c>
      <c r="GD332" t="e">
        <f>'Performance Risikobewertung'!B27+"AM:!1ir"</f>
        <v>#VALUE!</v>
      </c>
      <c r="GE332" t="e">
        <f>'Performance Risikobewertung'!C27+"AM:!1is"</f>
        <v>#VALUE!</v>
      </c>
      <c r="GF332" t="e">
        <f>'Performance Risikobewertung'!D27+"AM:!1it"</f>
        <v>#VALUE!</v>
      </c>
      <c r="GG332" t="e">
        <f>'Performance Risikobewertung'!E27+"AM:!1iu"</f>
        <v>#VALUE!</v>
      </c>
      <c r="GH332" t="e">
        <f>'Performance Risikobewertung'!F27+"AM:!1iv"</f>
        <v>#VALUE!</v>
      </c>
      <c r="GI332" t="e">
        <f>'Performance Risikobewertung'!A28+"AM:!1iw"</f>
        <v>#VALUE!</v>
      </c>
      <c r="GJ332" t="e">
        <f>'Performance Risikobewertung'!B28+"AM:!1ix"</f>
        <v>#VALUE!</v>
      </c>
      <c r="GK332" t="e">
        <f>'Performance Risikobewertung'!C28+"AM:!1iy"</f>
        <v>#VALUE!</v>
      </c>
      <c r="GL332" t="e">
        <f>'Performance Risikobewertung'!D28+"AM:!1iz"</f>
        <v>#VALUE!</v>
      </c>
      <c r="GM332" t="e">
        <f>'Performance Risikobewertung'!E28+"AM:!1i{"</f>
        <v>#VALUE!</v>
      </c>
      <c r="GN332" t="e">
        <f>'Performance Risikobewertung'!F28+"AM:!1i|"</f>
        <v>#VALUE!</v>
      </c>
      <c r="GO332" t="e">
        <f>Trimaran!A:A*"AM:!1j#"</f>
        <v>#VALUE!</v>
      </c>
      <c r="GP332" t="e">
        <f>Trimaran!B:B*"AM:!1j$"</f>
        <v>#VALUE!</v>
      </c>
      <c r="GQ332" t="e">
        <f>Trimaran!C:C*"AM:!1j%"</f>
        <v>#VALUE!</v>
      </c>
      <c r="GR332" t="e">
        <f>Trimaran!D:D*"AM:!1j&amp;"</f>
        <v>#VALUE!</v>
      </c>
      <c r="GS332" t="e">
        <f>Trimaran!E:E*"AM:!1j'"</f>
        <v>#VALUE!</v>
      </c>
      <c r="GT332" t="e">
        <f>Trimaran!F:F*"AM:!1j("</f>
        <v>#VALUE!</v>
      </c>
      <c r="GU332" t="e">
        <f>Trimaran!G:G*"AM:!1j)"</f>
        <v>#VALUE!</v>
      </c>
      <c r="GV332" t="e">
        <f>Trimaran!H:H*"AM:!1j."</f>
        <v>#VALUE!</v>
      </c>
      <c r="GW332" t="e">
        <f>Trimaran!I:I*"AM:!1j/"</f>
        <v>#VALUE!</v>
      </c>
      <c r="GX332" t="e">
        <f>Trimaran!J:J*"AM:!1j0"</f>
        <v>#VALUE!</v>
      </c>
      <c r="GY332" t="e">
        <f>Trimaran!K:K*"AM:!1j1"</f>
        <v>#VALUE!</v>
      </c>
      <c r="GZ332" t="e">
        <f>Trimaran!L:L*"AM:!1j2"</f>
        <v>#VALUE!</v>
      </c>
      <c r="HA332" t="e">
        <f>Trimaran!M:M*"AM:!1j3"</f>
        <v>#VALUE!</v>
      </c>
      <c r="HB332" t="e">
        <f>Trimaran!N:N*"AM:!1j4"</f>
        <v>#VALUE!</v>
      </c>
      <c r="HC332" t="e">
        <f>Trimaran!O:O*"AM:!1j5"</f>
        <v>#VALUE!</v>
      </c>
      <c r="HD332" t="e">
        <f>Trimaran!P:P*"AM:!1j6"</f>
        <v>#VALUE!</v>
      </c>
      <c r="HE332" t="e">
        <f>Trimaran!Q:Q*"AM:!1j7"</f>
        <v>#VALUE!</v>
      </c>
      <c r="HF332" t="e">
        <f>Trimaran!R:R*"AM:!1j8"</f>
        <v>#VALUE!</v>
      </c>
      <c r="HG332" t="e">
        <f>Trimaran!S:S*"AM:!1j9"</f>
        <v>#VALUE!</v>
      </c>
      <c r="HH332" t="e">
        <f>Trimaran!T:T*"AM:!1j:"</f>
        <v>#VALUE!</v>
      </c>
      <c r="HI332" t="e">
        <f>Trimaran!U:U*"AM:!1j;"</f>
        <v>#VALUE!</v>
      </c>
      <c r="HJ332" t="e">
        <f>Trimaran!V:V*"AM:!1j&lt;"</f>
        <v>#VALUE!</v>
      </c>
      <c r="HK332" t="e">
        <f>Trimaran!W:W*"AM:!1j="</f>
        <v>#VALUE!</v>
      </c>
      <c r="HL332" t="e">
        <f>Trimaran!X:X*"AM:!1j&gt;"</f>
        <v>#VALUE!</v>
      </c>
      <c r="HM332" t="e">
        <f>Trimaran!Y:Y*"AM:!1j?"</f>
        <v>#VALUE!</v>
      </c>
      <c r="HN332" t="e">
        <f>Trimaran!Z:Z*"AM:!1j@"</f>
        <v>#VALUE!</v>
      </c>
      <c r="HO332" t="e">
        <f>Trimaran!AA:AA*"AM:!1jA"</f>
        <v>#VALUE!</v>
      </c>
      <c r="HP332" t="e">
        <f>Trimaran!AB:AB*"AM:!1jB"</f>
        <v>#VALUE!</v>
      </c>
      <c r="HQ332" t="e">
        <f>Trimaran!AC:AC*"AM:!1jC"</f>
        <v>#VALUE!</v>
      </c>
      <c r="HR332" t="e">
        <f>Trimaran!AD:AD*"AM:!1jD"</f>
        <v>#VALUE!</v>
      </c>
      <c r="HS332" t="e">
        <f>Trimaran!AE:AE*"AM:!1jE"</f>
        <v>#VALUE!</v>
      </c>
      <c r="HT332" t="e">
        <f>Trimaran!AF:AF*"AM:!1jF"</f>
        <v>#VALUE!</v>
      </c>
      <c r="HU332" t="e">
        <f>Trimaran!AG:AG*"AM:!1jG"</f>
        <v>#VALUE!</v>
      </c>
      <c r="HV332" t="e">
        <f>Trimaran!AH:AH*"AM:!1jH"</f>
        <v>#VALUE!</v>
      </c>
      <c r="HW332" t="e">
        <f>Trimaran!AI:AI*"AM:!1jI"</f>
        <v>#VALUE!</v>
      </c>
      <c r="HX332" t="e">
        <f>Trimaran!AJ:AJ*"AM:!1jJ"</f>
        <v>#VALUE!</v>
      </c>
      <c r="HY332" t="e">
        <f>Trimaran!AK:AK*"AM:!1jK"</f>
        <v>#VALUE!</v>
      </c>
      <c r="HZ332" t="e">
        <f>Trimaran!AL:AL*"AM:!1jL"</f>
        <v>#VALUE!</v>
      </c>
      <c r="IA332" t="e">
        <f>Trimaran!AM:AM*"AM:!1jM"</f>
        <v>#VALUE!</v>
      </c>
      <c r="IB332" t="e">
        <f>Trimaran!AN:AN*"AM:!1jN"</f>
        <v>#VALUE!</v>
      </c>
      <c r="IC332" t="e">
        <f>Trimaran!AO:AO*"AM:!1jO"</f>
        <v>#VALUE!</v>
      </c>
      <c r="ID332" t="e">
        <f>Trimaran!AP:AP*"AM:!1jP"</f>
        <v>#VALUE!</v>
      </c>
      <c r="IE332" t="e">
        <f>Trimaran!AQ:AQ*"AM:!1jQ"</f>
        <v>#VALUE!</v>
      </c>
      <c r="IF332" t="e">
        <f>Trimaran!AR:AR*"AM:!1jR"</f>
        <v>#VALUE!</v>
      </c>
      <c r="IG332" t="e">
        <f>Trimaran!AS:AS*"AM:!1jS"</f>
        <v>#VALUE!</v>
      </c>
      <c r="IH332" t="e">
        <f>Trimaran!AT:AT*"AM:!1jT"</f>
        <v>#VALUE!</v>
      </c>
      <c r="II332" t="e">
        <f>Trimaran!AU:AU*"AM:!1jU"</f>
        <v>#VALUE!</v>
      </c>
      <c r="IJ332" t="e">
        <f>Trimaran!AV:AV*"AM:!1jV"</f>
        <v>#VALUE!</v>
      </c>
      <c r="IK332" t="e">
        <f>Trimaran!AW:AW*"AM:!1jW"</f>
        <v>#VALUE!</v>
      </c>
      <c r="IL332" t="e">
        <f>Trimaran!AX:AX*"AM:!1jX"</f>
        <v>#VALUE!</v>
      </c>
      <c r="IM332" t="e">
        <f>Trimaran!AY:AY*"AM:!1jY"</f>
        <v>#VALUE!</v>
      </c>
      <c r="IN332" t="e">
        <f>Trimaran!AZ:AZ*"AM:!1jZ"</f>
        <v>#VALUE!</v>
      </c>
      <c r="IO332" t="e">
        <f>Trimaran!BA:BA*"AM:!1j["</f>
        <v>#VALUE!</v>
      </c>
      <c r="IP332" t="e">
        <f>Trimaran!BB:BB*"AM:!1j\"</f>
        <v>#VALUE!</v>
      </c>
      <c r="IQ332" t="e">
        <f>Trimaran!BC:BC*"AM:!1j]"</f>
        <v>#VALUE!</v>
      </c>
      <c r="IR332" t="e">
        <f>Trimaran!BD:BD*"AM:!1j^"</f>
        <v>#VALUE!</v>
      </c>
      <c r="IS332" t="e">
        <f>Trimaran!BE:BE*"AM:!1j_"</f>
        <v>#VALUE!</v>
      </c>
      <c r="IT332" t="e">
        <f>Trimaran!BF:BF*"AM:!1j`"</f>
        <v>#VALUE!</v>
      </c>
      <c r="IU332" t="e">
        <f>Trimaran!BG:BG*"AM:!1ja"</f>
        <v>#VALUE!</v>
      </c>
      <c r="IV332" t="e">
        <f>Trimaran!BH:BH*"AM:!1jb"</f>
        <v>#VALUE!</v>
      </c>
    </row>
    <row r="333" spans="6:256">
      <c r="F333" t="e">
        <f>Trimaran!BI:BI*"AM:!1jc"</f>
        <v>#VALUE!</v>
      </c>
      <c r="G333" t="e">
        <f>Trimaran!BJ:BJ*"AM:!1jd"</f>
        <v>#VALUE!</v>
      </c>
      <c r="H333" t="e">
        <f>Trimaran!BK:BK*"AM:!1je"</f>
        <v>#VALUE!</v>
      </c>
      <c r="I333" t="e">
        <f>Trimaran!BL:BL*"AM:!1jf"</f>
        <v>#VALUE!</v>
      </c>
      <c r="J333" t="e">
        <f>Trimaran!BM:BM*"AM:!1jg"</f>
        <v>#VALUE!</v>
      </c>
      <c r="K333" t="e">
        <f>Trimaran!BN:BN*"AM:!1jh"</f>
        <v>#VALUE!</v>
      </c>
      <c r="L333" t="e">
        <f>Trimaran!BO:BO*"AM:!1ji"</f>
        <v>#VALUE!</v>
      </c>
      <c r="M333" t="e">
        <f>Trimaran!BP:BP*"AM:!1jj"</f>
        <v>#VALUE!</v>
      </c>
      <c r="N333" t="e">
        <f>Trimaran!BQ:BQ*"AM:!1jk"</f>
        <v>#VALUE!</v>
      </c>
      <c r="O333" t="e">
        <f>Trimaran!BR:BR*"AM:!1jl"</f>
        <v>#VALUE!</v>
      </c>
      <c r="P333" t="e">
        <f>Trimaran!BS:BS*"AM:!1jm"</f>
        <v>#VALUE!</v>
      </c>
      <c r="Q333" t="e">
        <f>Trimaran!BT:BT*"AM:!1jn"</f>
        <v>#VALUE!</v>
      </c>
      <c r="R333" t="e">
        <f>Trimaran!BU:BU*"AM:!1jo"</f>
        <v>#VALUE!</v>
      </c>
      <c r="S333" t="e">
        <f>Trimaran!BV:BV*"AM:!1jp"</f>
        <v>#VALUE!</v>
      </c>
      <c r="T333" t="e">
        <f>Trimaran!BW:BW*"AM:!1jq"</f>
        <v>#VALUE!</v>
      </c>
      <c r="U333" t="e">
        <f>Trimaran!BX:BX*"AM:!1jr"</f>
        <v>#VALUE!</v>
      </c>
      <c r="V333" t="e">
        <f>Trimaran!BY:BY*"AM:!1js"</f>
        <v>#VALUE!</v>
      </c>
      <c r="W333" t="e">
        <f>Trimaran!BZ:BZ*"AM:!1jt"</f>
        <v>#VALUE!</v>
      </c>
      <c r="X333" t="e">
        <f>Trimaran!CA:CA*"AM:!1ju"</f>
        <v>#VALUE!</v>
      </c>
      <c r="Y333" t="e">
        <f>Trimaran!CB:CB*"AM:!1jv"</f>
        <v>#VALUE!</v>
      </c>
      <c r="Z333" t="e">
        <f>Trimaran!1:1-"AM:!1jw"</f>
        <v>#VALUE!</v>
      </c>
      <c r="AA333" t="e">
        <f>Trimaran!2:2-"AM:!1jx"</f>
        <v>#VALUE!</v>
      </c>
      <c r="AB333" t="e">
        <f>Trimaran!3:3-"AM:!1jy"</f>
        <v>#VALUE!</v>
      </c>
      <c r="AC333" t="e">
        <f>Trimaran!4:4-"AM:!1jz"</f>
        <v>#VALUE!</v>
      </c>
      <c r="AD333" t="e">
        <f>Trimaran!5:5-"AM:!1j{"</f>
        <v>#VALUE!</v>
      </c>
      <c r="AE333" t="e">
        <f>Trimaran!6:6-"AM:!1j|"</f>
        <v>#VALUE!</v>
      </c>
      <c r="AF333" t="e">
        <f>Trimaran!7:7-"AM:!1j}"</f>
        <v>#VALUE!</v>
      </c>
      <c r="AG333" t="e">
        <f>Trimaran!8:8-"AM:!1j~"</f>
        <v>#VALUE!</v>
      </c>
      <c r="AH333" t="e">
        <f>Trimaran!9:9-"AM:!1k#"</f>
        <v>#VALUE!</v>
      </c>
      <c r="AI333" t="e">
        <f>Trimaran!10:10-"AM:!1k$"</f>
        <v>#VALUE!</v>
      </c>
      <c r="AJ333" t="e">
        <f>Trimaran!11:11-"AM:!1k%"</f>
        <v>#VALUE!</v>
      </c>
      <c r="AK333" t="e">
        <f>Trimaran!12:12-"AM:!1k&amp;"</f>
        <v>#VALUE!</v>
      </c>
      <c r="AL333" t="e">
        <f>Trimaran!13:13-"AM:!1k'"</f>
        <v>#VALUE!</v>
      </c>
      <c r="AM333" t="e">
        <f>Trimaran!14:14-"AM:!1k("</f>
        <v>#VALUE!</v>
      </c>
      <c r="AN333" t="e">
        <f>Trimaran!15:15-"AM:!1k)"</f>
        <v>#VALUE!</v>
      </c>
      <c r="AO333" t="e">
        <f>Trimaran!16:16-"AM:!1k."</f>
        <v>#VALUE!</v>
      </c>
      <c r="AP333" t="e">
        <f>Trimaran!17:17-"AM:!1k/"</f>
        <v>#VALUE!</v>
      </c>
      <c r="AQ333" t="e">
        <f>Trimaran!18:18-"AM:!1k0"</f>
        <v>#VALUE!</v>
      </c>
      <c r="AR333" t="e">
        <f>Trimaran!19:19-"AM:!1k1"</f>
        <v>#VALUE!</v>
      </c>
      <c r="AS333" t="e">
        <f>Trimaran!20:20-"AM:!1k2"</f>
        <v>#VALUE!</v>
      </c>
      <c r="AT333" t="e">
        <f>Trimaran!21:21-"AM:!1k3"</f>
        <v>#VALUE!</v>
      </c>
      <c r="AU333" t="e">
        <f>Trimaran!22:22-"AM:!1k4"</f>
        <v>#VALUE!</v>
      </c>
      <c r="AV333" t="e">
        <f>Trimaran!23:23-"AM:!1k5"</f>
        <v>#VALUE!</v>
      </c>
      <c r="AW333" t="e">
        <f>Trimaran!24:24-"AM:!1k6"</f>
        <v>#VALUE!</v>
      </c>
      <c r="AX333" t="e">
        <f>Trimaran!25:25-"AM:!1k7"</f>
        <v>#VALUE!</v>
      </c>
      <c r="AY333" t="e">
        <f>Trimaran!26:26-"AM:!1k8"</f>
        <v>#VALUE!</v>
      </c>
      <c r="AZ333" t="e">
        <f>Trimaran!27:27-"AM:!1k9"</f>
        <v>#VALUE!</v>
      </c>
      <c r="BA333" t="e">
        <f>Trimaran!28:28-"AM:!1k:"</f>
        <v>#VALUE!</v>
      </c>
      <c r="BB333" t="e">
        <f>Trimaran!29:29-"AM:!1k;"</f>
        <v>#VALUE!</v>
      </c>
      <c r="BC333" t="e">
        <f>Trimaran!30:30-"AM:!1k&lt;"</f>
        <v>#VALUE!</v>
      </c>
      <c r="BD333" t="e">
        <f>Trimaran!31:31-"AM:!1k="</f>
        <v>#VALUE!</v>
      </c>
      <c r="BE333" t="e">
        <f>Trimaran!32:32-"AM:!1k&gt;"</f>
        <v>#VALUE!</v>
      </c>
      <c r="BF333" t="e">
        <f>Trimaran!33:33-"AM:!1k?"</f>
        <v>#VALUE!</v>
      </c>
      <c r="BG333" t="e">
        <f>Trimaran!34:34-"AM:!1k@"</f>
        <v>#VALUE!</v>
      </c>
      <c r="BH333" t="e">
        <f>Trimaran!35:35-"AM:!1kA"</f>
        <v>#VALUE!</v>
      </c>
      <c r="BI333" t="e">
        <f>Trimaran!36:36-"AM:!1kB"</f>
        <v>#VALUE!</v>
      </c>
      <c r="BJ333" t="e">
        <f>Trimaran!37:37-"AM:!1kC"</f>
        <v>#VALUE!</v>
      </c>
      <c r="BK333" t="e">
        <f>Trimaran!38:38-"AM:!1kD"</f>
        <v>#VALUE!</v>
      </c>
      <c r="BL333" t="e">
        <f>Trimaran!39:39-"AM:!1kE"</f>
        <v>#VALUE!</v>
      </c>
      <c r="BM333" t="e">
        <f>Trimaran!40:40-"AM:!1kF"</f>
        <v>#VALUE!</v>
      </c>
      <c r="BN333" t="e">
        <f>Trimaran!41:41-"AM:!1kG"</f>
        <v>#VALUE!</v>
      </c>
      <c r="BO333" t="e">
        <f>Trimaran!42:42-"AM:!1kH"</f>
        <v>#VALUE!</v>
      </c>
      <c r="BP333" t="e">
        <f>Trimaran!43:43-"AM:!1kI"</f>
        <v>#VALUE!</v>
      </c>
      <c r="BQ333" t="e">
        <f>Trimaran!44:44-"AM:!1kJ"</f>
        <v>#VALUE!</v>
      </c>
      <c r="BR333" t="e">
        <f>Trimaran!45:45-"AM:!1kK"</f>
        <v>#VALUE!</v>
      </c>
      <c r="BS333" t="e">
        <f>Trimaran!46:46-"AM:!1kL"</f>
        <v>#VALUE!</v>
      </c>
      <c r="BT333" t="e">
        <f>Trimaran!47:47-"AM:!1kM"</f>
        <v>#VALUE!</v>
      </c>
      <c r="BU333" t="e">
        <f>Trimaran!48:48-"AM:!1kN"</f>
        <v>#VALUE!</v>
      </c>
      <c r="BV333" t="e">
        <f>Trimaran!49:49-"AM:!1kO"</f>
        <v>#VALUE!</v>
      </c>
      <c r="BW333" t="e">
        <f>Trimaran!50:50-"AM:!1kP"</f>
        <v>#VALUE!</v>
      </c>
      <c r="BX333" t="e">
        <f>Trimaran!51:51-"AM:!1kQ"</f>
        <v>#VALUE!</v>
      </c>
      <c r="BY333" t="e">
        <f>Trimaran!52:52-"AM:!1kR"</f>
        <v>#VALUE!</v>
      </c>
      <c r="BZ333" t="e">
        <f>Trimaran!53:53-"AM:!1kS"</f>
        <v>#VALUE!</v>
      </c>
      <c r="CA333" t="e">
        <f>Trimaran!54:54-"AM:!1kT"</f>
        <v>#VALUE!</v>
      </c>
      <c r="CB333" t="e">
        <f>Trimaran!55:55-"AM:!1kU"</f>
        <v>#VALUE!</v>
      </c>
      <c r="CC333" t="e">
        <f>Trimaran!56:56-"AM:!1kV"</f>
        <v>#VALUE!</v>
      </c>
      <c r="CD333" t="e">
        <f>Trimaran!57:57-"AM:!1kW"</f>
        <v>#VALUE!</v>
      </c>
      <c r="CE333" t="e">
        <f>Trimaran!58:58-"AM:!1kX"</f>
        <v>#VALUE!</v>
      </c>
      <c r="CF333" t="e">
        <f>Trimaran!59:59-"AM:!1kY"</f>
        <v>#VALUE!</v>
      </c>
      <c r="CG333" t="e">
        <f>Trimaran!60:60-"AM:!1kZ"</f>
        <v>#VALUE!</v>
      </c>
      <c r="CH333" t="e">
        <f>Trimaran!61:61-"AM:!1k["</f>
        <v>#VALUE!</v>
      </c>
      <c r="CI333" t="e">
        <f>Trimaran!62:62-"AM:!1k\"</f>
        <v>#VALUE!</v>
      </c>
      <c r="CJ333" t="e">
        <f>Trimaran!63:63-"AM:!1k]"</f>
        <v>#VALUE!</v>
      </c>
      <c r="CK333" t="e">
        <f>Trimaran!64:64-"AM:!1k^"</f>
        <v>#VALUE!</v>
      </c>
      <c r="CL333" t="e">
        <f>Trimaran!65:65-"AM:!1k_"</f>
        <v>#VALUE!</v>
      </c>
      <c r="CM333" t="e">
        <f>Trimaran!66:66-"AM:!1k`"</f>
        <v>#VALUE!</v>
      </c>
      <c r="CN333" t="e">
        <f>Trimaran!67:67-"AM:!1ka"</f>
        <v>#VALUE!</v>
      </c>
      <c r="CO333" t="e">
        <f>Trimaran!68:68-"AM:!1kb"</f>
        <v>#VALUE!</v>
      </c>
      <c r="CP333" t="e">
        <f>Trimaran!69:69-"AM:!1kc"</f>
        <v>#VALUE!</v>
      </c>
      <c r="CQ333" t="e">
        <f>Trimaran!70:70-"AM:!1kd"</f>
        <v>#VALUE!</v>
      </c>
      <c r="CR333" t="e">
        <f>Trimaran!71:71-"AM:!1ke"</f>
        <v>#VALUE!</v>
      </c>
      <c r="CS333" t="e">
        <f>Trimaran!72:72-"AM:!1kf"</f>
        <v>#VALUE!</v>
      </c>
      <c r="CT333" t="e">
        <f>Trimaran!73:73-"AM:!1kg"</f>
        <v>#VALUE!</v>
      </c>
      <c r="CU333" t="e">
        <f>Trimaran!74:74-"AM:!1kh"</f>
        <v>#VALUE!</v>
      </c>
      <c r="CV333" t="e">
        <f>Trimaran!75:75-"AM:!1ki"</f>
        <v>#VALUE!</v>
      </c>
      <c r="CW333" t="e">
        <f>Trimaran!76:76-"AM:!1kj"</f>
        <v>#VALUE!</v>
      </c>
      <c r="CX333" t="e">
        <f>Trimaran!77:77-"AM:!1kk"</f>
        <v>#VALUE!</v>
      </c>
      <c r="CY333" t="e">
        <f>Trimaran!78:78-"AM:!1kl"</f>
        <v>#VALUE!</v>
      </c>
      <c r="CZ333" t="e">
        <f>Trimaran!79:79-"AM:!1km"</f>
        <v>#VALUE!</v>
      </c>
      <c r="DA333" t="e">
        <f>Trimaran!80:80-"AM:!1kn"</f>
        <v>#VALUE!</v>
      </c>
      <c r="DB333" t="e">
        <f>Trimaran!81:81-"AM:!1ko"</f>
        <v>#VALUE!</v>
      </c>
      <c r="DC333" t="e">
        <f>Trimaran!82:82-"AM:!1kp"</f>
        <v>#VALUE!</v>
      </c>
      <c r="DD333" t="e">
        <f>Trimaran!83:83-"AM:!1kq"</f>
        <v>#VALUE!</v>
      </c>
      <c r="DE333" t="e">
        <f>Trimaran!84:84-"AM:!1kr"</f>
        <v>#VALUE!</v>
      </c>
      <c r="DF333" t="e">
        <f>Trimaran!85:85-"AM:!1ks"</f>
        <v>#VALUE!</v>
      </c>
      <c r="DG333" t="e">
        <f>Trimaran!86:86-"AM:!1kt"</f>
        <v>#VALUE!</v>
      </c>
      <c r="DH333" t="e">
        <f>Trimaran!87:87-"AM:!1ku"</f>
        <v>#VALUE!</v>
      </c>
      <c r="DI333" t="e">
        <f>Trimaran!88:88-"AM:!1kv"</f>
        <v>#VALUE!</v>
      </c>
      <c r="DJ333" t="e">
        <f>Trimaran!89:89-"AM:!1kw"</f>
        <v>#VALUE!</v>
      </c>
      <c r="DK333" t="e">
        <f>Trimaran!90:90-"AM:!1kx"</f>
        <v>#VALUE!</v>
      </c>
      <c r="DL333" t="e">
        <f>Trimaran!91:91-"AM:!1ky"</f>
        <v>#VALUE!</v>
      </c>
      <c r="DM333" t="e">
        <f>Trimaran!92:92-"AM:!1kz"</f>
        <v>#VALUE!</v>
      </c>
      <c r="DN333" t="e">
        <f>Trimaran!93:93-"AM:!1k{"</f>
        <v>#VALUE!</v>
      </c>
      <c r="DO333" t="e">
        <f>Trimaran!94:94-"AM:!1k|"</f>
        <v>#VALUE!</v>
      </c>
      <c r="DP333" t="e">
        <f>Trimaran!95:95-"AM:!1k}"</f>
        <v>#VALUE!</v>
      </c>
      <c r="DQ333" t="e">
        <f>Trimaran!96:96-"AM:!1k~"</f>
        <v>#VALUE!</v>
      </c>
      <c r="DR333" t="e">
        <f>Trimaran!97:97-"AM:!1l#"</f>
        <v>#VALUE!</v>
      </c>
      <c r="DS333" t="e">
        <f>Trimaran!98:98-"AM:!1l$"</f>
        <v>#VALUE!</v>
      </c>
      <c r="DT333" t="e">
        <f>Trimaran!99:99-"AM:!1l%"</f>
        <v>#VALUE!</v>
      </c>
      <c r="DU333" t="e">
        <f>Trimaran!100:100-"AM:!1l&amp;"</f>
        <v>#VALUE!</v>
      </c>
      <c r="DV333" t="e">
        <f>Trimaran!101:101-"AM:!1l'"</f>
        <v>#VALUE!</v>
      </c>
      <c r="DW333" t="e">
        <f>Trimaran!102:102-"AM:!1l("</f>
        <v>#VALUE!</v>
      </c>
      <c r="DX333" t="e">
        <f>Trimaran!103:103-"AM:!1l)"</f>
        <v>#VALUE!</v>
      </c>
      <c r="DY333" t="e">
        <f>Trimaran!104:104-"AM:!1l."</f>
        <v>#VALUE!</v>
      </c>
      <c r="DZ333" t="e">
        <f>Trimaran!105:105-"AM:!1l/"</f>
        <v>#VALUE!</v>
      </c>
      <c r="EA333" t="e">
        <f>Trimaran!106:106-"AM:!1l0"</f>
        <v>#VALUE!</v>
      </c>
      <c r="EB333" t="e">
        <f>Trimaran!107:107-"AM:!1l1"</f>
        <v>#VALUE!</v>
      </c>
      <c r="EC333" t="e">
        <f>Trimaran!108:108-"AM:!1l2"</f>
        <v>#VALUE!</v>
      </c>
      <c r="ED333" t="e">
        <f>Trimaran!109:109-"AM:!1l3"</f>
        <v>#VALUE!</v>
      </c>
      <c r="EE333" t="e">
        <f>Trimaran!110:110-"AM:!1l4"</f>
        <v>#VALUE!</v>
      </c>
      <c r="EF333" t="e">
        <f>Trimaran!111:111-"AM:!1l5"</f>
        <v>#VALUE!</v>
      </c>
      <c r="EG333" t="e">
        <f>Trimaran!112:112-"AM:!1l6"</f>
        <v>#VALUE!</v>
      </c>
      <c r="EH333" t="e">
        <f>Trimaran!113:113-"AM:!1l7"</f>
        <v>#VALUE!</v>
      </c>
      <c r="EI333" t="e">
        <f>Trimaran!114:114-"AM:!1l8"</f>
        <v>#VALUE!</v>
      </c>
      <c r="EJ333" t="e">
        <f>Trimaran!115:115-"AM:!1l9"</f>
        <v>#VALUE!</v>
      </c>
      <c r="EK333" t="e">
        <f>Trimaran!116:116-"AM:!1l:"</f>
        <v>#VALUE!</v>
      </c>
      <c r="EL333" t="e">
        <f>Trimaran!117:117-"AM:!1l;"</f>
        <v>#VALUE!</v>
      </c>
      <c r="EM333" t="e">
        <f>Trimaran!118:118-"AM:!1l&lt;"</f>
        <v>#VALUE!</v>
      </c>
      <c r="EN333" t="e">
        <f>Trimaran!119:119-"AM:!1l="</f>
        <v>#VALUE!</v>
      </c>
      <c r="EO333" t="e">
        <f>Trimaran!120:120-"AM:!1l&gt;"</f>
        <v>#VALUE!</v>
      </c>
      <c r="EP333" t="e">
        <f>Trimaran!121:121-"AM:!1l?"</f>
        <v>#VALUE!</v>
      </c>
      <c r="EQ333" t="e">
        <f>Trimaran!122:122-"AM:!1l@"</f>
        <v>#VALUE!</v>
      </c>
      <c r="ER333" t="e">
        <f>Trimaran!123:123-"AM:!1lA"</f>
        <v>#VALUE!</v>
      </c>
      <c r="ES333" t="e">
        <f>Trimaran!124:124-"AM:!1lB"</f>
        <v>#VALUE!</v>
      </c>
      <c r="ET333" t="e">
        <f>Trimaran!125:125-"AM:!1lC"</f>
        <v>#VALUE!</v>
      </c>
      <c r="EU333" t="e">
        <f>Trimaran!126:126-"AM:!1lD"</f>
        <v>#VALUE!</v>
      </c>
      <c r="EV333" t="e">
        <f>Trimaran!127:127-"AM:!1lE"</f>
        <v>#VALUE!</v>
      </c>
      <c r="EW333" t="e">
        <f>Trimaran!128:128-"AM:!1lF"</f>
        <v>#VALUE!</v>
      </c>
      <c r="EX333" t="e">
        <f>Trimaran!129:129-"AM:!1lG"</f>
        <v>#VALUE!</v>
      </c>
      <c r="EY333" t="e">
        <f>Trimaran!130:130-"AM:!1lH"</f>
        <v>#VALUE!</v>
      </c>
      <c r="EZ333" t="e">
        <f>Trimaran!131:131-"AM:!1lI"</f>
        <v>#VALUE!</v>
      </c>
      <c r="FA333" t="e">
        <f>Trimaran!132:132-"AM:!1lJ"</f>
        <v>#VALUE!</v>
      </c>
      <c r="FB333" t="e">
        <f>Trimaran!133:133-"AM:!1lK"</f>
        <v>#VALUE!</v>
      </c>
      <c r="FC333" t="e">
        <f>Trimaran!134:134-"AM:!1lL"</f>
        <v>#VALUE!</v>
      </c>
      <c r="FD333" t="e">
        <f>Trimaran!135:135-"AM:!1lM"</f>
        <v>#VALUE!</v>
      </c>
      <c r="FE333" t="e">
        <f>Trimaran!136:136-"AM:!1lN"</f>
        <v>#VALUE!</v>
      </c>
      <c r="FF333" t="e">
        <f>Trimaran!137:137-"AM:!1lO"</f>
        <v>#VALUE!</v>
      </c>
      <c r="FG333" t="e">
        <f>Trimaran!138:138-"AM:!1lP"</f>
        <v>#VALUE!</v>
      </c>
      <c r="FH333" t="e">
        <f>Trimaran!139:139-"AM:!1lQ"</f>
        <v>#VALUE!</v>
      </c>
      <c r="FI333" t="e">
        <f>Trimaran!140:140-"AM:!1lR"</f>
        <v>#VALUE!</v>
      </c>
      <c r="FJ333" t="e">
        <f>Trimaran!141:141-"AM:!1lS"</f>
        <v>#VALUE!</v>
      </c>
      <c r="FK333" t="e">
        <f>Trimaran!142:142-"AM:!1lT"</f>
        <v>#VALUE!</v>
      </c>
      <c r="FL333" t="e">
        <f>Trimaran!143:143-"AM:!1lU"</f>
        <v>#VALUE!</v>
      </c>
      <c r="FM333" t="e">
        <f>Trimaran!144:144-"AM:!1lV"</f>
        <v>#VALUE!</v>
      </c>
      <c r="FN333" t="e">
        <f>Trimaran!145:145-"AM:!1lW"</f>
        <v>#VALUE!</v>
      </c>
      <c r="FO333" t="e">
        <f>Trimaran!146:146-"AM:!1lX"</f>
        <v>#VALUE!</v>
      </c>
      <c r="FP333" t="e">
        <f>Trimaran!147:147-"AM:!1lY"</f>
        <v>#VALUE!</v>
      </c>
      <c r="FQ333" t="e">
        <f>Trimaran!148:148-"AM:!1lZ"</f>
        <v>#VALUE!</v>
      </c>
      <c r="FR333" t="e">
        <f>Trimaran!149:149-"AM:!1l["</f>
        <v>#VALUE!</v>
      </c>
      <c r="FS333" t="e">
        <f>Trimaran!150:150-"AM:!1l\"</f>
        <v>#VALUE!</v>
      </c>
      <c r="FT333" t="e">
        <f>Trimaran!151:151-"AM:!1l]"</f>
        <v>#VALUE!</v>
      </c>
      <c r="FU333" t="e">
        <f>Trimaran!152:152-"AM:!1l^"</f>
        <v>#VALUE!</v>
      </c>
      <c r="FV333" t="e">
        <f>Trimaran!153:153-"AM:!1l_"</f>
        <v>#VALUE!</v>
      </c>
      <c r="FW333" t="e">
        <f>Trimaran!154:154-"AM:!1l`"</f>
        <v>#VALUE!</v>
      </c>
      <c r="FX333" t="e">
        <f>Trimaran!155:155-"AM:!1la"</f>
        <v>#VALUE!</v>
      </c>
      <c r="FY333" t="e">
        <f>Trimaran!156:156-"AM:!1lb"</f>
        <v>#VALUE!</v>
      </c>
      <c r="FZ333" t="e">
        <f>Trimaran!157:157-"AM:!1lc"</f>
        <v>#VALUE!</v>
      </c>
      <c r="GA333" t="e">
        <f>Trimaran!158:158-"AM:!1ld"</f>
        <v>#VALUE!</v>
      </c>
      <c r="GB333" t="e">
        <f>Trimaran!159:159-"AM:!1le"</f>
        <v>#VALUE!</v>
      </c>
      <c r="GC333" t="e">
        <f>Trimaran!160:160-"AM:!1lf"</f>
        <v>#VALUE!</v>
      </c>
      <c r="GD333" t="e">
        <f>Trimaran!161:161-"AM:!1lg"</f>
        <v>#VALUE!</v>
      </c>
      <c r="GE333" t="e">
        <f>Trimaran!162:162-"AM:!1lh"</f>
        <v>#VALUE!</v>
      </c>
      <c r="GF333" t="e">
        <f>Trimaran!163:163-"AM:!1li"</f>
        <v>#VALUE!</v>
      </c>
      <c r="GG333" t="e">
        <f>Trimaran!164:164-"AM:!1lj"</f>
        <v>#VALUE!</v>
      </c>
      <c r="GH333" t="e">
        <f>Trimaran!165:165-"AM:!1lk"</f>
        <v>#VALUE!</v>
      </c>
      <c r="GI333" t="e">
        <f>Trimaran!166:166-"AM:!1ll"</f>
        <v>#VALUE!</v>
      </c>
      <c r="GJ333" t="e">
        <f>Trimaran!167:167-"AM:!1lm"</f>
        <v>#VALUE!</v>
      </c>
      <c r="GK333" t="e">
        <f>Trimaran!168:168-"AM:!1ln"</f>
        <v>#VALUE!</v>
      </c>
      <c r="GL333" t="e">
        <f>Trimaran!169:169-"AM:!1lo"</f>
        <v>#VALUE!</v>
      </c>
      <c r="GM333" t="e">
        <f>Trimaran!170:170-"AM:!1lp"</f>
        <v>#VALUE!</v>
      </c>
      <c r="GN333" t="e">
        <f>Trimaran!171:171-"AM:!1lq"</f>
        <v>#VALUE!</v>
      </c>
      <c r="GO333" t="e">
        <f>Trimaran!172:172-"AM:!1lr"</f>
        <v>#VALUE!</v>
      </c>
      <c r="GP333" t="e">
        <f>Trimaran!173:173-"AM:!1ls"</f>
        <v>#VALUE!</v>
      </c>
      <c r="GQ333" t="e">
        <f>Trimaran!174:174-"AM:!1lt"</f>
        <v>#VALUE!</v>
      </c>
      <c r="GR333" t="e">
        <f>Trimaran!175:175-"AM:!1lu"</f>
        <v>#VALUE!</v>
      </c>
      <c r="GS333" t="e">
        <f>Trimaran!176:176-"AM:!1lv"</f>
        <v>#VALUE!</v>
      </c>
      <c r="GT333" t="e">
        <f>Trimaran!177:177-"AM:!1lw"</f>
        <v>#VALUE!</v>
      </c>
      <c r="GU333" t="e">
        <f>Trimaran!178:178-"AM:!1lx"</f>
        <v>#VALUE!</v>
      </c>
      <c r="GV333" t="e">
        <f>Trimaran!179:179-"AM:!1ly"</f>
        <v>#VALUE!</v>
      </c>
      <c r="GW333" t="e">
        <f>Trimaran!180:180-"AM:!1lz"</f>
        <v>#VALUE!</v>
      </c>
      <c r="GX333" t="e">
        <f>Trimaran!181:181-"AM:!1l{"</f>
        <v>#VALUE!</v>
      </c>
      <c r="GY333" t="e">
        <f>Trimaran!182:182-"AM:!1l|"</f>
        <v>#VALUE!</v>
      </c>
      <c r="GZ333" t="e">
        <f>Trimaran!183:183-"AM:!1l}"</f>
        <v>#VALUE!</v>
      </c>
      <c r="HA333" t="e">
        <f>Trimaran!184:184-"AM:!1l~"</f>
        <v>#VALUE!</v>
      </c>
      <c r="HB333" t="e">
        <f>Trimaran!185:185-"AM:!1m#"</f>
        <v>#VALUE!</v>
      </c>
      <c r="HC333" t="e">
        <f>Trimaran!186:186-"AM:!1m$"</f>
        <v>#VALUE!</v>
      </c>
      <c r="HD333" t="e">
        <f>Trimaran!187:187-"AM:!1m%"</f>
        <v>#VALUE!</v>
      </c>
      <c r="HE333" t="e">
        <f>Trimaran!188:188-"AM:!1m&amp;"</f>
        <v>#VALUE!</v>
      </c>
      <c r="HF333" t="e">
        <f>Trimaran!189:189-"AM:!1m'"</f>
        <v>#VALUE!</v>
      </c>
      <c r="HG333" t="e">
        <f>Trimaran!190:190-"AM:!1m("</f>
        <v>#VALUE!</v>
      </c>
      <c r="HH333" t="e">
        <f>Trimaran!191:191-"AM:!1m)"</f>
        <v>#VALUE!</v>
      </c>
      <c r="HI333" t="e">
        <f>Trimaran!192:192-"AM:!1m."</f>
        <v>#VALUE!</v>
      </c>
      <c r="HJ333" t="e">
        <f>Trimaran!193:193-"AM:!1m/"</f>
        <v>#VALUE!</v>
      </c>
      <c r="HK333" t="e">
        <f>Trimaran!194:194-"AM:!1m0"</f>
        <v>#VALUE!</v>
      </c>
      <c r="HL333" t="e">
        <f>Trimaran!195:195-"AM:!1m1"</f>
        <v>#VALUE!</v>
      </c>
      <c r="HM333" t="e">
        <f>Trimaran!196:196-"AM:!1m2"</f>
        <v>#VALUE!</v>
      </c>
      <c r="HN333" t="e">
        <f>Trimaran!197:197-"AM:!1m3"</f>
        <v>#VALUE!</v>
      </c>
      <c r="HO333" t="e">
        <f>Trimaran!198:198-"AM:!1m4"</f>
        <v>#VALUE!</v>
      </c>
      <c r="HP333" t="e">
        <f>Trimaran!199:199-"AM:!1m5"</f>
        <v>#VALUE!</v>
      </c>
      <c r="HQ333" t="e">
        <f>Trimaran!200:200-"AM:!1m6"</f>
        <v>#VALUE!</v>
      </c>
      <c r="HR333" t="e">
        <f>Trimaran!201:201-"AM:!1m7"</f>
        <v>#VALUE!</v>
      </c>
      <c r="HS333" t="e">
        <f>Trimaran!202:202-"AM:!1m8"</f>
        <v>#VALUE!</v>
      </c>
      <c r="HT333" t="e">
        <f>Trimaran!203:203-"AM:!1m9"</f>
        <v>#VALUE!</v>
      </c>
      <c r="HU333" t="e">
        <f>Trimaran!204:204-"AM:!1m:"</f>
        <v>#VALUE!</v>
      </c>
      <c r="HV333" t="e">
        <f>Trimaran!205:205-"AM:!1m;"</f>
        <v>#VALUE!</v>
      </c>
      <c r="HW333" t="e">
        <f>Trimaran!206:206-"AM:!1m&lt;"</f>
        <v>#VALUE!</v>
      </c>
      <c r="HX333" t="e">
        <f>Trimaran!207:207-"AM:!1m="</f>
        <v>#VALUE!</v>
      </c>
      <c r="HY333" t="e">
        <f>Trimaran!208:208-"AM:!1m&gt;"</f>
        <v>#VALUE!</v>
      </c>
      <c r="HZ333" t="e">
        <f>Trimaran!209:209-"AM:!1m?"</f>
        <v>#VALUE!</v>
      </c>
      <c r="IA333" t="e">
        <f>Trimaran!210:210-"AM:!1m@"</f>
        <v>#VALUE!</v>
      </c>
      <c r="IB333" t="e">
        <f>Trimaran!211:211-"AM:!1mA"</f>
        <v>#VALUE!</v>
      </c>
      <c r="IC333" t="e">
        <f>Trimaran!212:212-"AM:!1mB"</f>
        <v>#VALUE!</v>
      </c>
      <c r="ID333" t="e">
        <f>Trimaran!213:213-"AM:!1mC"</f>
        <v>#VALUE!</v>
      </c>
      <c r="IE333" t="e">
        <f>Trimaran!214:214-"AM:!1mD"</f>
        <v>#VALUE!</v>
      </c>
      <c r="IF333" t="e">
        <f>Trimaran!215:215-"AM:!1mE"</f>
        <v>#VALUE!</v>
      </c>
      <c r="IG333" t="e">
        <f>Trimaran!216:216-"AM:!1mF"</f>
        <v>#VALUE!</v>
      </c>
      <c r="IH333" t="e">
        <f>Trimaran!217:217-"AM:!1mG"</f>
        <v>#VALUE!</v>
      </c>
      <c r="II333" t="e">
        <f>Trimaran!218:218-"AM:!1mH"</f>
        <v>#VALUE!</v>
      </c>
      <c r="IJ333" t="e">
        <f>Trimaran!219:219-"AM:!1mI"</f>
        <v>#VALUE!</v>
      </c>
      <c r="IK333" t="e">
        <f>Trimaran!220:220-"AM:!1mJ"</f>
        <v>#VALUE!</v>
      </c>
      <c r="IL333" t="e">
        <f>Trimaran!221:221-"AM:!1mK"</f>
        <v>#VALUE!</v>
      </c>
      <c r="IM333" t="e">
        <f>Trimaran!222:222-"AM:!1mL"</f>
        <v>#VALUE!</v>
      </c>
      <c r="IN333" t="e">
        <f>Trimaran!223:223-"AM:!1mM"</f>
        <v>#VALUE!</v>
      </c>
      <c r="IO333" t="e">
        <f>Trimaran!224:224-"AM:!1mN"</f>
        <v>#VALUE!</v>
      </c>
      <c r="IP333" t="e">
        <f>Trimaran!225:225-"AM:!1mO"</f>
        <v>#VALUE!</v>
      </c>
      <c r="IQ333" t="e">
        <f>Trimaran!226:226-"AM:!1mP"</f>
        <v>#VALUE!</v>
      </c>
      <c r="IR333" t="e">
        <f>Trimaran!227:227-"AM:!1mQ"</f>
        <v>#VALUE!</v>
      </c>
      <c r="IS333" t="e">
        <f>Trimaran!228:228-"AM:!1mR"</f>
        <v>#VALUE!</v>
      </c>
      <c r="IT333" t="e">
        <f>Trimaran!229:229-"AM:!1mS"</f>
        <v>#VALUE!</v>
      </c>
      <c r="IU333" t="e">
        <f>Trimaran!230:230-"AM:!1mT"</f>
        <v>#VALUE!</v>
      </c>
      <c r="IV333" t="e">
        <f>Trimaran!231:231-"AM:!1mU"</f>
        <v>#VALUE!</v>
      </c>
    </row>
    <row r="334" spans="6:256">
      <c r="F334" t="e">
        <f>Trimaran!232:232-"AM:!1mV"</f>
        <v>#VALUE!</v>
      </c>
      <c r="G334" t="e">
        <f>Trimaran!233:233-"AM:!1mW"</f>
        <v>#VALUE!</v>
      </c>
      <c r="H334" t="e">
        <f>Trimaran!234:234-"AM:!1mX"</f>
        <v>#VALUE!</v>
      </c>
      <c r="I334" t="e">
        <f>Trimaran!235:235-"AM:!1mY"</f>
        <v>#VALUE!</v>
      </c>
      <c r="J334" t="e">
        <f>Trimaran!236:236-"AM:!1mZ"</f>
        <v>#VALUE!</v>
      </c>
      <c r="K334" t="e">
        <f>Trimaran!237:237-"AM:!1m["</f>
        <v>#VALUE!</v>
      </c>
      <c r="L334" t="e">
        <f>Trimaran!238:238-"AM:!1m\"</f>
        <v>#VALUE!</v>
      </c>
      <c r="M334" t="e">
        <f>Trimaran!239:239-"AM:!1m]"</f>
        <v>#VALUE!</v>
      </c>
      <c r="N334" t="e">
        <f>Trimaran!240:240-"AM:!1m^"</f>
        <v>#VALUE!</v>
      </c>
      <c r="O334" t="e">
        <f>Trimaran!241:241-"AM:!1m_"</f>
        <v>#VALUE!</v>
      </c>
      <c r="P334" t="e">
        <f>Trimaran!242:242-"AM:!1m`"</f>
        <v>#VALUE!</v>
      </c>
      <c r="Q334" t="e">
        <f>Trimaran!243:243-"AM:!1ma"</f>
        <v>#VALUE!</v>
      </c>
      <c r="R334" t="e">
        <f>Trimaran!244:244-"AM:!1mb"</f>
        <v>#VALUE!</v>
      </c>
      <c r="S334" t="e">
        <f>Trimaran!245:245-"AM:!1mc"</f>
        <v>#VALUE!</v>
      </c>
      <c r="T334" t="e">
        <f>Trimaran!246:246-"AM:!1md"</f>
        <v>#VALUE!</v>
      </c>
      <c r="U334" t="e">
        <f>Trimaran!247:247-"AM:!1me"</f>
        <v>#VALUE!</v>
      </c>
      <c r="V334" t="e">
        <f>Trimaran!248:248-"AM:!1mf"</f>
        <v>#VALUE!</v>
      </c>
      <c r="W334" t="e">
        <f>Trimaran!A1+"AM:!1mg"</f>
        <v>#VALUE!</v>
      </c>
      <c r="X334" t="e">
        <f>Trimaran!B1+"AM:!1mh"</f>
        <v>#VALUE!</v>
      </c>
      <c r="Y334" t="e">
        <f>Trimaran!C1+"AM:!1mi"</f>
        <v>#VALUE!</v>
      </c>
      <c r="Z334" t="e">
        <f>Trimaran!D1+"AM:!1mj"</f>
        <v>#VALUE!</v>
      </c>
      <c r="AA334" t="e">
        <f>Trimaran!E1+"AM:!1mk"</f>
        <v>#VALUE!</v>
      </c>
      <c r="AB334" t="e">
        <f>Trimaran!F1+"AM:!1ml"</f>
        <v>#VALUE!</v>
      </c>
      <c r="AC334" t="e">
        <f>Trimaran!G1+"AM:!1mm"</f>
        <v>#VALUE!</v>
      </c>
      <c r="AD334" t="e">
        <f>Trimaran!R1+"AM:!1mn"</f>
        <v>#VALUE!</v>
      </c>
      <c r="AE334" t="e">
        <f>Trimaran!S1+"AM:!1mo"</f>
        <v>#VALUE!</v>
      </c>
      <c r="AF334" t="e">
        <f>Trimaran!T1+"AM:!1mp"</f>
        <v>#VALUE!</v>
      </c>
      <c r="AG334" t="e">
        <f>Trimaran!U1+"AM:!1mq"</f>
        <v>#VALUE!</v>
      </c>
      <c r="AH334" t="e">
        <f>Trimaran!V1+"AM:!1mr"</f>
        <v>#VALUE!</v>
      </c>
      <c r="AI334" t="e">
        <f>Trimaran!W1+"AM:!1ms"</f>
        <v>#VALUE!</v>
      </c>
      <c r="AJ334" t="e">
        <f>Trimaran!X1+"AM:!1mt"</f>
        <v>#VALUE!</v>
      </c>
      <c r="AK334" t="e">
        <f>Trimaran!Y1+"AM:!1mu"</f>
        <v>#VALUE!</v>
      </c>
      <c r="AL334" t="e">
        <f>Trimaran!Z1+"AM:!1mv"</f>
        <v>#VALUE!</v>
      </c>
      <c r="AM334" t="e">
        <f>Trimaran!AA1+"AM:!1mw"</f>
        <v>#VALUE!</v>
      </c>
      <c r="AN334" t="e">
        <f>Trimaran!AB1+"AM:!1mx"</f>
        <v>#VALUE!</v>
      </c>
      <c r="AO334" t="e">
        <f>Trimaran!AC1+"AM:!1my"</f>
        <v>#VALUE!</v>
      </c>
      <c r="AP334" t="e">
        <f>Trimaran!AD1+"AM:!1mz"</f>
        <v>#VALUE!</v>
      </c>
      <c r="AQ334" t="e">
        <f>Trimaran!A2+"AM:!1m{"</f>
        <v>#VALUE!</v>
      </c>
      <c r="AR334" t="e">
        <f>Trimaran!B2+"AM:!1m|"</f>
        <v>#VALUE!</v>
      </c>
      <c r="AS334" t="e">
        <f>Trimaran!C2+"AM:!1m}"</f>
        <v>#VALUE!</v>
      </c>
      <c r="AT334" t="e">
        <f>Trimaran!D2+"AM:!1m~"</f>
        <v>#VALUE!</v>
      </c>
      <c r="AU334" t="e">
        <f>Trimaran!E2+"AM:!1n#"</f>
        <v>#VALUE!</v>
      </c>
      <c r="AV334" t="e">
        <f>Trimaran!F2+"AM:!1n$"</f>
        <v>#VALUE!</v>
      </c>
      <c r="AW334" t="e">
        <f>Trimaran!S2+"AM:!1n%"</f>
        <v>#VALUE!</v>
      </c>
      <c r="AX334" t="e">
        <f>Trimaran!T2+"AM:!1n&amp;"</f>
        <v>#VALUE!</v>
      </c>
      <c r="AY334" t="e">
        <f>Trimaran!U2+"AM:!1n'"</f>
        <v>#VALUE!</v>
      </c>
      <c r="AZ334" t="e">
        <f>Trimaran!V2+"AM:!1n("</f>
        <v>#VALUE!</v>
      </c>
      <c r="BA334" t="e">
        <f>Trimaran!W2+"AM:!1n)"</f>
        <v>#VALUE!</v>
      </c>
      <c r="BB334" t="e">
        <f>Trimaran!X2+"AM:!1n."</f>
        <v>#VALUE!</v>
      </c>
      <c r="BC334" t="e">
        <f>Trimaran!Y2+"AM:!1n/"</f>
        <v>#VALUE!</v>
      </c>
      <c r="BD334" t="e">
        <f>Trimaran!Z2+"AM:!1n0"</f>
        <v>#VALUE!</v>
      </c>
      <c r="BE334" t="e">
        <f>Trimaran!AA2+"AM:!1n1"</f>
        <v>#VALUE!</v>
      </c>
      <c r="BF334" t="e">
        <f>Trimaran!AB2+"AM:!1n2"</f>
        <v>#VALUE!</v>
      </c>
      <c r="BG334" t="e">
        <f>Trimaran!AC2+"AM:!1n3"</f>
        <v>#VALUE!</v>
      </c>
      <c r="BH334" t="e">
        <f>Trimaran!AD2+"AM:!1n4"</f>
        <v>#VALUE!</v>
      </c>
      <c r="BI334" t="e">
        <f>Trimaran!D3+"AM:!1n5"</f>
        <v>#VALUE!</v>
      </c>
      <c r="BJ334" t="e">
        <f>Trimaran!E3+"AM:!1n6"</f>
        <v>#VALUE!</v>
      </c>
      <c r="BK334" t="e">
        <f>Trimaran!F3+"AM:!1n7"</f>
        <v>#VALUE!</v>
      </c>
      <c r="BL334" t="e">
        <f>Trimaran!G3+"AM:!1n8"</f>
        <v>#VALUE!</v>
      </c>
      <c r="BM334" t="e">
        <f>Trimaran!S3+"AM:!1n9"</f>
        <v>#VALUE!</v>
      </c>
      <c r="BN334" t="e">
        <f>Trimaran!T3+"AM:!1n:"</f>
        <v>#VALUE!</v>
      </c>
      <c r="BO334" t="e">
        <f>Trimaran!U3+"AM:!1n;"</f>
        <v>#VALUE!</v>
      </c>
      <c r="BP334" t="e">
        <f>Trimaran!V3+"AM:!1n&lt;"</f>
        <v>#VALUE!</v>
      </c>
      <c r="BQ334" t="e">
        <f>Trimaran!W3+"AM:!1n="</f>
        <v>#VALUE!</v>
      </c>
      <c r="BR334" t="e">
        <f>Trimaran!X3+"AM:!1n&gt;"</f>
        <v>#VALUE!</v>
      </c>
      <c r="BS334" t="e">
        <f>Trimaran!Y3+"AM:!1n?"</f>
        <v>#VALUE!</v>
      </c>
      <c r="BT334" t="e">
        <f>Trimaran!Z3+"AM:!1n@"</f>
        <v>#VALUE!</v>
      </c>
      <c r="BU334" t="e">
        <f>Trimaran!AA3+"AM:!1nA"</f>
        <v>#VALUE!</v>
      </c>
      <c r="BV334" t="e">
        <f>Trimaran!AB3+"AM:!1nB"</f>
        <v>#VALUE!</v>
      </c>
      <c r="BW334" t="e">
        <f>Trimaran!AC3+"AM:!1nC"</f>
        <v>#VALUE!</v>
      </c>
      <c r="BX334" t="e">
        <f>Trimaran!AD3+"AM:!1nD"</f>
        <v>#VALUE!</v>
      </c>
      <c r="BY334" t="e">
        <f>Trimaran!D4+"AM:!1nE"</f>
        <v>#VALUE!</v>
      </c>
      <c r="BZ334" t="e">
        <f>Trimaran!E4+"AM:!1nF"</f>
        <v>#VALUE!</v>
      </c>
      <c r="CA334" t="e">
        <f>Trimaran!F4+"AM:!1nG"</f>
        <v>#VALUE!</v>
      </c>
      <c r="CB334" t="e">
        <f>Trimaran!G4+"AM:!1nH"</f>
        <v>#VALUE!</v>
      </c>
      <c r="CC334" t="e">
        <f>Trimaran!R4+"AM:!1nI"</f>
        <v>#VALUE!</v>
      </c>
      <c r="CD334" t="e">
        <f>Trimaran!S4+"AM:!1nJ"</f>
        <v>#VALUE!</v>
      </c>
      <c r="CE334" t="e">
        <f>Trimaran!U4+"AM:!1nK"</f>
        <v>#VALUE!</v>
      </c>
      <c r="CF334" t="e">
        <f>Trimaran!V4+"AM:!1nL"</f>
        <v>#VALUE!</v>
      </c>
      <c r="CG334" t="e">
        <f>Trimaran!W4+"AM:!1nM"</f>
        <v>#VALUE!</v>
      </c>
      <c r="CH334" t="e">
        <f>Trimaran!X4+"AM:!1nN"</f>
        <v>#VALUE!</v>
      </c>
      <c r="CI334" t="e">
        <f>Trimaran!Y4+"AM:!1nO"</f>
        <v>#VALUE!</v>
      </c>
      <c r="CJ334" t="e">
        <f>Trimaran!Z4+"AM:!1nP"</f>
        <v>#VALUE!</v>
      </c>
      <c r="CK334" t="e">
        <f>Trimaran!AA4+"AM:!1nQ"</f>
        <v>#VALUE!</v>
      </c>
      <c r="CL334" t="e">
        <f>Trimaran!AB4+"AM:!1nR"</f>
        <v>#VALUE!</v>
      </c>
      <c r="CM334" t="e">
        <f>Trimaran!AC4+"AM:!1nS"</f>
        <v>#VALUE!</v>
      </c>
      <c r="CN334" t="e">
        <f>Trimaran!AD4+"AM:!1nT"</f>
        <v>#VALUE!</v>
      </c>
      <c r="CO334" t="e">
        <f>Trimaran!B5+"AM:!1nU"</f>
        <v>#VALUE!</v>
      </c>
      <c r="CP334" t="e">
        <f>Trimaran!C5+"AM:!1nV"</f>
        <v>#VALUE!</v>
      </c>
      <c r="CQ334" t="e">
        <f>Trimaran!D5+"AM:!1nW"</f>
        <v>#VALUE!</v>
      </c>
      <c r="CR334" t="e">
        <f>Trimaran!E5+"AM:!1nX"</f>
        <v>#VALUE!</v>
      </c>
      <c r="CS334" t="e">
        <f>Trimaran!F5+"AM:!1nY"</f>
        <v>#VALUE!</v>
      </c>
      <c r="CT334" t="e">
        <f>Trimaran!G5+"AM:!1nZ"</f>
        <v>#VALUE!</v>
      </c>
      <c r="CU334" t="e">
        <f>Trimaran!H5+"AM:!1n["</f>
        <v>#VALUE!</v>
      </c>
      <c r="CV334" t="e">
        <f>Trimaran!I5+"AM:!1n\"</f>
        <v>#VALUE!</v>
      </c>
      <c r="CW334" t="e">
        <f>Trimaran!J5+"AM:!1n]"</f>
        <v>#VALUE!</v>
      </c>
      <c r="CX334" t="e">
        <f>Trimaran!M5+"AM:!1n^"</f>
        <v>#VALUE!</v>
      </c>
      <c r="CY334" t="e">
        <f>Trimaran!N5+"AM:!1n_"</f>
        <v>#VALUE!</v>
      </c>
      <c r="CZ334" t="e">
        <f>Trimaran!O5+"AM:!1n`"</f>
        <v>#VALUE!</v>
      </c>
      <c r="DA334" t="e">
        <f>Trimaran!P5+"AM:!1na"</f>
        <v>#VALUE!</v>
      </c>
      <c r="DB334" t="e">
        <f>Trimaran!D6+"AM:!1nb"</f>
        <v>#VALUE!</v>
      </c>
      <c r="DC334" t="e">
        <f>Trimaran!E6+"AM:!1nc"</f>
        <v>#VALUE!</v>
      </c>
      <c r="DD334" t="e">
        <f>Trimaran!F6+"AM:!1nd"</f>
        <v>#VALUE!</v>
      </c>
      <c r="DE334" t="e">
        <f>Trimaran!G6+"AM:!1ne"</f>
        <v>#VALUE!</v>
      </c>
      <c r="DF334" t="e">
        <f>Trimaran!H6+"AM:!1nf"</f>
        <v>#VALUE!</v>
      </c>
      <c r="DG334" t="e">
        <f>Trimaran!I6+"AM:!1ng"</f>
        <v>#VALUE!</v>
      </c>
      <c r="DH334" t="e">
        <f>Trimaran!J6+"AM:!1nh"</f>
        <v>#VALUE!</v>
      </c>
      <c r="DI334" t="e">
        <f>Trimaran!M6+"AM:!1ni"</f>
        <v>#VALUE!</v>
      </c>
      <c r="DJ334" t="e">
        <f>Trimaran!N6+"AM:!1nj"</f>
        <v>#VALUE!</v>
      </c>
      <c r="DK334" t="e">
        <f>Trimaran!O6+"AM:!1nk"</f>
        <v>#VALUE!</v>
      </c>
      <c r="DL334" t="e">
        <f>Trimaran!P6+"AM:!1nl"</f>
        <v>#VALUE!</v>
      </c>
      <c r="DM334" t="e">
        <f>Trimaran!B7+"AM:!1nm"</f>
        <v>#VALUE!</v>
      </c>
      <c r="DN334" t="e">
        <f>Trimaran!C7+"AM:!1nn"</f>
        <v>#VALUE!</v>
      </c>
      <c r="DO334" t="e">
        <f>Trimaran!D7+"AM:!1no"</f>
        <v>#VALUE!</v>
      </c>
      <c r="DP334" t="e">
        <f>Trimaran!E7+"AM:!1np"</f>
        <v>#VALUE!</v>
      </c>
      <c r="DQ334" t="e">
        <f>Trimaran!F7+"AM:!1nq"</f>
        <v>#VALUE!</v>
      </c>
      <c r="DR334" t="e">
        <f>Trimaran!G7+"AM:!1nr"</f>
        <v>#VALUE!</v>
      </c>
      <c r="DS334" t="e">
        <f>Trimaran!H7+"AM:!1ns"</f>
        <v>#VALUE!</v>
      </c>
      <c r="DT334" t="e">
        <f>Trimaran!I7+"AM:!1nt"</f>
        <v>#VALUE!</v>
      </c>
      <c r="DU334" t="e">
        <f>Trimaran!J7+"AM:!1nu"</f>
        <v>#VALUE!</v>
      </c>
      <c r="DV334" t="e">
        <f>Trimaran!M7+"AM:!1nv"</f>
        <v>#VALUE!</v>
      </c>
      <c r="DW334" t="e">
        <f>Trimaran!N7+"AM:!1nw"</f>
        <v>#VALUE!</v>
      </c>
      <c r="DX334" t="e">
        <f>Trimaran!O7+"AM:!1nx"</f>
        <v>#VALUE!</v>
      </c>
      <c r="DY334" t="e">
        <f>Trimaran!P7+"AM:!1ny"</f>
        <v>#VALUE!</v>
      </c>
      <c r="DZ334" t="e">
        <f>Trimaran!B8+"AM:!1nz"</f>
        <v>#VALUE!</v>
      </c>
      <c r="EA334" t="e">
        <f>Trimaran!C8+"AM:!1n{"</f>
        <v>#VALUE!</v>
      </c>
      <c r="EB334" t="e">
        <f>Trimaran!D8+"AM:!1n|"</f>
        <v>#VALUE!</v>
      </c>
      <c r="EC334" t="e">
        <f>Trimaran!E8+"AM:!1n}"</f>
        <v>#VALUE!</v>
      </c>
      <c r="ED334" t="e">
        <f>Trimaran!F8+"AM:!1n~"</f>
        <v>#VALUE!</v>
      </c>
      <c r="EE334" t="e">
        <f>Trimaran!G8+"AM:!1o#"</f>
        <v>#VALUE!</v>
      </c>
      <c r="EF334" t="e">
        <f>Trimaran!H8+"AM:!1o$"</f>
        <v>#VALUE!</v>
      </c>
      <c r="EG334" t="e">
        <f>Trimaran!I8+"AM:!1o%"</f>
        <v>#VALUE!</v>
      </c>
      <c r="EH334" t="e">
        <f>Trimaran!J8+"AM:!1o&amp;"</f>
        <v>#VALUE!</v>
      </c>
      <c r="EI334" t="e">
        <f>Trimaran!M8+"AM:!1o'"</f>
        <v>#VALUE!</v>
      </c>
      <c r="EJ334" t="e">
        <f>Trimaran!N8+"AM:!1o("</f>
        <v>#VALUE!</v>
      </c>
      <c r="EK334" t="e">
        <f>Trimaran!O8+"AM:!1o)"</f>
        <v>#VALUE!</v>
      </c>
      <c r="EL334" t="e">
        <f>Trimaran!P8+"AM:!1o."</f>
        <v>#VALUE!</v>
      </c>
      <c r="EM334" t="e">
        <f>Trimaran!B9+"AM:!1o/"</f>
        <v>#VALUE!</v>
      </c>
      <c r="EN334" t="e">
        <f>Trimaran!C9+"AM:!1o0"</f>
        <v>#VALUE!</v>
      </c>
      <c r="EO334" t="e">
        <f>Trimaran!D9+"AM:!1o1"</f>
        <v>#VALUE!</v>
      </c>
      <c r="EP334" t="e">
        <f>Trimaran!E9+"AM:!1o2"</f>
        <v>#VALUE!</v>
      </c>
      <c r="EQ334" t="e">
        <f>Trimaran!F9+"AM:!1o3"</f>
        <v>#VALUE!</v>
      </c>
      <c r="ER334" t="e">
        <f>Trimaran!B10+"AM:!1o4"</f>
        <v>#VALUE!</v>
      </c>
      <c r="ES334" t="e">
        <f>Trimaran!C10+"AM:!1o5"</f>
        <v>#VALUE!</v>
      </c>
      <c r="ET334" t="e">
        <f>Trimaran!D10+"AM:!1o6"</f>
        <v>#VALUE!</v>
      </c>
      <c r="EU334" t="e">
        <f>Trimaran!E10+"AM:!1o7"</f>
        <v>#VALUE!</v>
      </c>
      <c r="EV334" t="e">
        <f>Trimaran!F10+"AM:!1o8"</f>
        <v>#VALUE!</v>
      </c>
      <c r="EW334" t="e">
        <f>Trimaran!B11+"AM:!1o9"</f>
        <v>#VALUE!</v>
      </c>
      <c r="EX334" t="e">
        <f>Trimaran!C11+"AM:!1o:"</f>
        <v>#VALUE!</v>
      </c>
      <c r="EY334" t="e">
        <f>Trimaran!D11+"AM:!1o;"</f>
        <v>#VALUE!</v>
      </c>
      <c r="EZ334" t="e">
        <f>Trimaran!E11+"AM:!1o&lt;"</f>
        <v>#VALUE!</v>
      </c>
      <c r="FA334" t="e">
        <f>Trimaran!F11+"AM:!1o="</f>
        <v>#VALUE!</v>
      </c>
      <c r="FB334" t="e">
        <f>Trimaran!B12+"AM:!1o&gt;"</f>
        <v>#VALUE!</v>
      </c>
      <c r="FC334" t="e">
        <f>Trimaran!C12+"AM:!1o?"</f>
        <v>#VALUE!</v>
      </c>
      <c r="FD334" t="e">
        <f>Trimaran!D12+"AM:!1o@"</f>
        <v>#VALUE!</v>
      </c>
      <c r="FE334" t="e">
        <f>Trimaran!E12+"AM:!1oA"</f>
        <v>#VALUE!</v>
      </c>
      <c r="FF334" t="e">
        <f>Trimaran!F12+"AM:!1oB"</f>
        <v>#VALUE!</v>
      </c>
      <c r="FG334" t="e">
        <f>Trimaran!B13+"AM:!1oC"</f>
        <v>#VALUE!</v>
      </c>
      <c r="FH334" t="e">
        <f>Trimaran!C13+"AM:!1oD"</f>
        <v>#VALUE!</v>
      </c>
      <c r="FI334" t="e">
        <f>Trimaran!D13+"AM:!1oE"</f>
        <v>#VALUE!</v>
      </c>
      <c r="FJ334" t="e">
        <f>Trimaran!E13+"AM:!1oF"</f>
        <v>#VALUE!</v>
      </c>
      <c r="FK334" t="e">
        <f>Trimaran!F13+"AM:!1oG"</f>
        <v>#VALUE!</v>
      </c>
      <c r="FL334" t="e">
        <f>Trimaran!B14+"AM:!1oH"</f>
        <v>#VALUE!</v>
      </c>
      <c r="FM334" t="e">
        <f>Trimaran!C14+"AM:!1oI"</f>
        <v>#VALUE!</v>
      </c>
      <c r="FN334" t="e">
        <f>Trimaran!D14+"AM:!1oJ"</f>
        <v>#VALUE!</v>
      </c>
      <c r="FO334" t="e">
        <f>Trimaran!E14+"AM:!1oK"</f>
        <v>#VALUE!</v>
      </c>
      <c r="FP334" t="e">
        <f>Trimaran!F14+"AM:!1oL"</f>
        <v>#VALUE!</v>
      </c>
      <c r="FQ334" t="e">
        <f>Trimaran!B15+"AM:!1oM"</f>
        <v>#VALUE!</v>
      </c>
      <c r="FR334" t="e">
        <f>Trimaran!C15+"AM:!1oN"</f>
        <v>#VALUE!</v>
      </c>
      <c r="FS334" t="e">
        <f>Trimaran!D15+"AM:!1oO"</f>
        <v>#VALUE!</v>
      </c>
      <c r="FT334" t="e">
        <f>Trimaran!E15+"AM:!1oP"</f>
        <v>#VALUE!</v>
      </c>
      <c r="FU334" t="e">
        <f>Trimaran!F15+"AM:!1oQ"</f>
        <v>#VALUE!</v>
      </c>
      <c r="FV334" t="e">
        <f>Trimaran!B16+"AM:!1oR"</f>
        <v>#VALUE!</v>
      </c>
      <c r="FW334" t="e">
        <f>Trimaran!C16+"AM:!1oS"</f>
        <v>#VALUE!</v>
      </c>
      <c r="FX334" t="e">
        <f>Trimaran!D16+"AM:!1oT"</f>
        <v>#VALUE!</v>
      </c>
      <c r="FY334" t="e">
        <f>Trimaran!E16+"AM:!1oU"</f>
        <v>#VALUE!</v>
      </c>
      <c r="FZ334" t="e">
        <f>Trimaran!F16+"AM:!1oV"</f>
        <v>#VALUE!</v>
      </c>
      <c r="GA334" t="e">
        <f>Trimaran!B17+"AM:!1oW"</f>
        <v>#VALUE!</v>
      </c>
      <c r="GB334" t="e">
        <f>Trimaran!C17+"AM:!1oX"</f>
        <v>#VALUE!</v>
      </c>
      <c r="GC334" t="e">
        <f>Trimaran!D17+"AM:!1oY"</f>
        <v>#VALUE!</v>
      </c>
      <c r="GD334" t="e">
        <f>Trimaran!E17+"AM:!1oZ"</f>
        <v>#VALUE!</v>
      </c>
      <c r="GE334" t="e">
        <f>Trimaran!F17+"AM:!1o["</f>
        <v>#VALUE!</v>
      </c>
      <c r="GF334" t="e">
        <f>Trimaran!B18+"AM:!1o\"</f>
        <v>#VALUE!</v>
      </c>
      <c r="GG334" t="e">
        <f>Trimaran!C18+"AM:!1o]"</f>
        <v>#VALUE!</v>
      </c>
      <c r="GH334" t="e">
        <f>Trimaran!D18+"AM:!1o^"</f>
        <v>#VALUE!</v>
      </c>
      <c r="GI334" t="e">
        <f>Trimaran!E18+"AM:!1o_"</f>
        <v>#VALUE!</v>
      </c>
      <c r="GJ334" t="e">
        <f>Trimaran!F18+"AM:!1o`"</f>
        <v>#VALUE!</v>
      </c>
      <c r="GK334" t="e">
        <f>Trimaran!B19+"AM:!1oa"</f>
        <v>#VALUE!</v>
      </c>
      <c r="GL334" t="e">
        <f>Trimaran!C19+"AM:!1ob"</f>
        <v>#VALUE!</v>
      </c>
      <c r="GM334" t="e">
        <f>Trimaran!D19+"AM:!1oc"</f>
        <v>#VALUE!</v>
      </c>
      <c r="GN334" t="e">
        <f>Trimaran!E19+"AM:!1od"</f>
        <v>#VALUE!</v>
      </c>
      <c r="GO334" t="e">
        <f>Trimaran!F19+"AM:!1oe"</f>
        <v>#VALUE!</v>
      </c>
      <c r="GP334" t="e">
        <f>Trimaran!B20+"AM:!1of"</f>
        <v>#VALUE!</v>
      </c>
      <c r="GQ334" t="e">
        <f>Trimaran!C20+"AM:!1og"</f>
        <v>#VALUE!</v>
      </c>
      <c r="GR334" t="e">
        <f>Trimaran!D20+"AM:!1oh"</f>
        <v>#VALUE!</v>
      </c>
      <c r="GS334" t="e">
        <f>Trimaran!E20+"AM:!1oi"</f>
        <v>#VALUE!</v>
      </c>
      <c r="GT334" t="e">
        <f>Trimaran!F20+"AM:!1oj"</f>
        <v>#VALUE!</v>
      </c>
      <c r="GU334" t="e">
        <f>Trimaran!B21+"AM:!1ok"</f>
        <v>#VALUE!</v>
      </c>
      <c r="GV334" t="e">
        <f>Trimaran!C21+"AM:!1ol"</f>
        <v>#VALUE!</v>
      </c>
      <c r="GW334" t="e">
        <f>Trimaran!D21+"AM:!1om"</f>
        <v>#VALUE!</v>
      </c>
      <c r="GX334" t="e">
        <f>Trimaran!E21+"AM:!1on"</f>
        <v>#VALUE!</v>
      </c>
      <c r="GY334" t="e">
        <f>Trimaran!F21+"AM:!1oo"</f>
        <v>#VALUE!</v>
      </c>
      <c r="GZ334" t="e">
        <f>Trimaran!B22+"AM:!1op"</f>
        <v>#VALUE!</v>
      </c>
      <c r="HA334" t="e">
        <f>Trimaran!C22+"AM:!1oq"</f>
        <v>#VALUE!</v>
      </c>
      <c r="HB334" t="e">
        <f>Trimaran!D22+"AM:!1or"</f>
        <v>#VALUE!</v>
      </c>
      <c r="HC334" t="e">
        <f>Trimaran!E22+"AM:!1os"</f>
        <v>#VALUE!</v>
      </c>
      <c r="HD334" t="e">
        <f>Trimaran!F22+"AM:!1ot"</f>
        <v>#VALUE!</v>
      </c>
      <c r="HE334" t="e">
        <f>Trimaran!G22+"AM:!1ou"</f>
        <v>#VALUE!</v>
      </c>
      <c r="HF334" t="e">
        <f>Trimaran!B23+"AM:!1ov"</f>
        <v>#VALUE!</v>
      </c>
      <c r="HG334" t="e">
        <f>Trimaran!C23+"AM:!1ow"</f>
        <v>#VALUE!</v>
      </c>
      <c r="HH334" t="e">
        <f>Trimaran!D23+"AM:!1ox"</f>
        <v>#VALUE!</v>
      </c>
      <c r="HI334" t="e">
        <f>Trimaran!E23+"AM:!1oy"</f>
        <v>#VALUE!</v>
      </c>
      <c r="HJ334" t="e">
        <f>Trimaran!F23+"AM:!1oz"</f>
        <v>#VALUE!</v>
      </c>
      <c r="HK334" t="e">
        <f>Trimaran!B24+"AM:!1o{"</f>
        <v>#VALUE!</v>
      </c>
      <c r="HL334" t="e">
        <f>Trimaran!C24+"AM:!1o|"</f>
        <v>#VALUE!</v>
      </c>
      <c r="HM334" t="e">
        <f>Trimaran!D24+"AM:!1o}"</f>
        <v>#VALUE!</v>
      </c>
      <c r="HN334" t="e">
        <f>Trimaran!E24+"AM:!1o~"</f>
        <v>#VALUE!</v>
      </c>
      <c r="HO334" t="e">
        <f>Trimaran!F24+"AM:!1p#"</f>
        <v>#VALUE!</v>
      </c>
      <c r="HP334" t="e">
        <f>Trimaran!B25+"AM:!1p$"</f>
        <v>#VALUE!</v>
      </c>
      <c r="HQ334" t="e">
        <f>Trimaran!C25+"AM:!1p%"</f>
        <v>#VALUE!</v>
      </c>
      <c r="HR334" t="e">
        <f>Trimaran!D25+"AM:!1p&amp;"</f>
        <v>#VALUE!</v>
      </c>
      <c r="HS334" t="e">
        <f>Trimaran!E25+"AM:!1p'"</f>
        <v>#VALUE!</v>
      </c>
      <c r="HT334" t="e">
        <f>Trimaran!F25+"AM:!1p("</f>
        <v>#VALUE!</v>
      </c>
      <c r="HU334" t="e">
        <f>Trimaran!B26+"AM:!1p)"</f>
        <v>#VALUE!</v>
      </c>
      <c r="HV334" t="e">
        <f>Trimaran!C26+"AM:!1p."</f>
        <v>#VALUE!</v>
      </c>
      <c r="HW334" t="e">
        <f>Trimaran!D26+"AM:!1p/"</f>
        <v>#VALUE!</v>
      </c>
      <c r="HX334" t="e">
        <f>Trimaran!E26+"AM:!1p0"</f>
        <v>#VALUE!</v>
      </c>
      <c r="HY334" t="e">
        <f>Trimaran!F26+"AM:!1p1"</f>
        <v>#VALUE!</v>
      </c>
      <c r="HZ334" t="e">
        <f>Trimaran!B27+"AM:!1p2"</f>
        <v>#VALUE!</v>
      </c>
      <c r="IA334" t="e">
        <f>Trimaran!C27+"AM:!1p3"</f>
        <v>#VALUE!</v>
      </c>
      <c r="IB334" t="e">
        <f>Trimaran!D27+"AM:!1p4"</f>
        <v>#VALUE!</v>
      </c>
      <c r="IC334" t="e">
        <f>Trimaran!E27+"AM:!1p5"</f>
        <v>#VALUE!</v>
      </c>
      <c r="ID334" t="e">
        <f>Trimaran!F27+"AM:!1p6"</f>
        <v>#VALUE!</v>
      </c>
      <c r="IE334" t="e">
        <f>Trimaran!B28+"AM:!1p7"</f>
        <v>#VALUE!</v>
      </c>
      <c r="IF334" t="e">
        <f>Trimaran!C28+"AM:!1p8"</f>
        <v>#VALUE!</v>
      </c>
      <c r="IG334" t="e">
        <f>Trimaran!D28+"AM:!1p9"</f>
        <v>#VALUE!</v>
      </c>
      <c r="IH334" t="e">
        <f>Trimaran!B29+"AM:!1p:"</f>
        <v>#VALUE!</v>
      </c>
      <c r="II334" t="e">
        <f>Trimaran!C29+"AM:!1p;"</f>
        <v>#VALUE!</v>
      </c>
      <c r="IJ334" t="e">
        <f>Trimaran!D29+"AM:!1p&lt;"</f>
        <v>#VALUE!</v>
      </c>
      <c r="IK334" t="e">
        <f>Trimaran!B30+"AM:!1p="</f>
        <v>#VALUE!</v>
      </c>
      <c r="IL334" t="e">
        <f>Trimaran!C30+"AM:!1p&gt;"</f>
        <v>#VALUE!</v>
      </c>
      <c r="IM334" t="e">
        <f>Trimaran!D30+"AM:!1p?"</f>
        <v>#VALUE!</v>
      </c>
      <c r="IN334" t="e">
        <f>Trimaran!B31+"AM:!1p@"</f>
        <v>#VALUE!</v>
      </c>
      <c r="IO334" t="e">
        <f>Trimaran!C31+"AM:!1pA"</f>
        <v>#VALUE!</v>
      </c>
      <c r="IP334" t="e">
        <f>Trimaran!D31+"AM:!1pB"</f>
        <v>#VALUE!</v>
      </c>
      <c r="IQ334" t="e">
        <f>Trimaran!B32+"AM:!1pC"</f>
        <v>#VALUE!</v>
      </c>
      <c r="IR334" t="e">
        <f>Trimaran!C32+"AM:!1pD"</f>
        <v>#VALUE!</v>
      </c>
      <c r="IS334" t="e">
        <f>Trimaran!D32+"AM:!1pE"</f>
        <v>#VALUE!</v>
      </c>
      <c r="IT334" t="e">
        <f>Trimaran!B33+"AM:!1pF"</f>
        <v>#VALUE!</v>
      </c>
      <c r="IU334" t="e">
        <f>Trimaran!C33+"AM:!1pG"</f>
        <v>#VALUE!</v>
      </c>
      <c r="IV334" t="e">
        <f>Trimaran!D33+"AM:!1pH"</f>
        <v>#VALUE!</v>
      </c>
    </row>
    <row r="335" spans="6:256">
      <c r="F335" t="e">
        <f>Trimaran!B34+"AM:!1pI"</f>
        <v>#VALUE!</v>
      </c>
      <c r="G335" t="e">
        <f>Trimaran!C34+"AM:!1pJ"</f>
        <v>#VALUE!</v>
      </c>
      <c r="H335" t="e">
        <f>Trimaran!D34+"AM:!1pK"</f>
        <v>#VALUE!</v>
      </c>
      <c r="I335" t="e">
        <f>Trimaran!B35+"AM:!1pL"</f>
        <v>#VALUE!</v>
      </c>
      <c r="J335" t="e">
        <f>Trimaran!C35+"AM:!1pM"</f>
        <v>#VALUE!</v>
      </c>
      <c r="K335" t="e">
        <f>Trimaran!D35+"AM:!1pN"</f>
        <v>#VALUE!</v>
      </c>
      <c r="L335" t="e">
        <f>Trimaran!B36+"AM:!1pO"</f>
        <v>#VALUE!</v>
      </c>
      <c r="M335" t="e">
        <f>Trimaran!C36+"AM:!1pP"</f>
        <v>#VALUE!</v>
      </c>
      <c r="N335" t="e">
        <f>Trimaran!D36+"AM:!1pQ"</f>
        <v>#VALUE!</v>
      </c>
      <c r="O335" t="e">
        <f>Trimaran!B37+"AM:!1pR"</f>
        <v>#VALUE!</v>
      </c>
      <c r="P335" t="e">
        <f>Trimaran!C37+"AM:!1pS"</f>
        <v>#VALUE!</v>
      </c>
      <c r="Q335" t="e">
        <f>Trimaran!D37+"AM:!1pT"</f>
        <v>#VALUE!</v>
      </c>
      <c r="R335" t="e">
        <f>Trimaran!B38+"AM:!1pU"</f>
        <v>#VALUE!</v>
      </c>
      <c r="S335" t="e">
        <f>Trimaran!C38+"AM:!1pV"</f>
        <v>#VALUE!</v>
      </c>
      <c r="T335" t="e">
        <f>Trimaran!D38+"AM:!1pW"</f>
        <v>#VALUE!</v>
      </c>
      <c r="U335" t="e">
        <f>Trimaran!B39+"AM:!1pX"</f>
        <v>#VALUE!</v>
      </c>
      <c r="V335" t="e">
        <f>Trimaran!C39+"AM:!1pY"</f>
        <v>#VALUE!</v>
      </c>
      <c r="W335" t="e">
        <f>Trimaran!D39+"AM:!1pZ"</f>
        <v>#VALUE!</v>
      </c>
      <c r="X335" t="e">
        <f>Trimaran!B40+"AM:!1p["</f>
        <v>#VALUE!</v>
      </c>
      <c r="Y335" t="e">
        <f>Trimaran!C40+"AM:!1p\"</f>
        <v>#VALUE!</v>
      </c>
      <c r="Z335" t="e">
        <f>Trimaran!D40+"AM:!1p]"</f>
        <v>#VALUE!</v>
      </c>
      <c r="AA335" t="e">
        <f>Trimaran!B41+"AM:!1p^"</f>
        <v>#VALUE!</v>
      </c>
      <c r="AB335" t="e">
        <f>Trimaran!C41+"AM:!1p_"</f>
        <v>#VALUE!</v>
      </c>
      <c r="AC335" t="e">
        <f>Trimaran!D41+"AM:!1p`"</f>
        <v>#VALUE!</v>
      </c>
      <c r="AD335" t="e">
        <f>Trimaran!B42+"AM:!1pa"</f>
        <v>#VALUE!</v>
      </c>
      <c r="AE335" t="e">
        <f>Trimaran!C42+"AM:!1pb"</f>
        <v>#VALUE!</v>
      </c>
      <c r="AF335" t="e">
        <f>Trimaran!D42+"AM:!1pc"</f>
        <v>#VALUE!</v>
      </c>
      <c r="AG335" t="e">
        <f>Trimaran!B43+"AM:!1pd"</f>
        <v>#VALUE!</v>
      </c>
      <c r="AH335" t="e">
        <f>Trimaran!C43+"AM:!1pe"</f>
        <v>#VALUE!</v>
      </c>
      <c r="AI335" t="e">
        <f>Trimaran!D43+"AM:!1pf"</f>
        <v>#VALUE!</v>
      </c>
      <c r="AJ335" t="e">
        <f>Trimaran!B44+"AM:!1pg"</f>
        <v>#VALUE!</v>
      </c>
      <c r="AK335" t="e">
        <f>Trimaran!C44+"AM:!1ph"</f>
        <v>#VALUE!</v>
      </c>
      <c r="AL335" t="e">
        <f>Trimaran!D44+"AM:!1pi"</f>
        <v>#VALUE!</v>
      </c>
      <c r="AM335" t="e">
        <f>Trimaran!B45+"AM:!1pj"</f>
        <v>#VALUE!</v>
      </c>
      <c r="AN335" t="e">
        <f>Trimaran!C45+"AM:!1pk"</f>
        <v>#VALUE!</v>
      </c>
      <c r="AO335" t="e">
        <f>Trimaran!D45+"AM:!1pl"</f>
        <v>#VALUE!</v>
      </c>
      <c r="AP335" t="e">
        <f>Trimaran!B46+"AM:!1pm"</f>
        <v>#VALUE!</v>
      </c>
      <c r="AQ335" t="e">
        <f>Trimaran!C46+"AM:!1pn"</f>
        <v>#VALUE!</v>
      </c>
      <c r="AR335" t="e">
        <f>Trimaran!D46+"AM:!1po"</f>
        <v>#VALUE!</v>
      </c>
      <c r="AS335" t="e">
        <f>Trimaran!B47+"AM:!1pp"</f>
        <v>#VALUE!</v>
      </c>
      <c r="AT335" t="e">
        <f>Trimaran!C47+"AM:!1pq"</f>
        <v>#VALUE!</v>
      </c>
      <c r="AU335" t="e">
        <f>Trimaran!D47+"AM:!1pr"</f>
        <v>#VALUE!</v>
      </c>
      <c r="AV335" t="e">
        <f>Trimaran!B48+"AM:!1ps"</f>
        <v>#VALUE!</v>
      </c>
      <c r="AW335" t="e">
        <f>Trimaran!C48+"AM:!1pt"</f>
        <v>#VALUE!</v>
      </c>
      <c r="AX335" t="e">
        <f>Trimaran!D48+"AM:!1pu"</f>
        <v>#VALUE!</v>
      </c>
      <c r="AY335" t="e">
        <f>'Technical Master Data'!A:A*"AM:!1pv"</f>
        <v>#VALUE!</v>
      </c>
      <c r="AZ335" t="e">
        <f>'Technical Master Data'!B:B*"AM:!1pw"</f>
        <v>#VALUE!</v>
      </c>
      <c r="BA335" t="e">
        <f>'Technical Master Data'!C:C*"AM:!1px"</f>
        <v>#VALUE!</v>
      </c>
      <c r="BB335" t="e">
        <f>'Technical Master Data'!D:D*"AM:!1py"</f>
        <v>#VALUE!</v>
      </c>
      <c r="BC335" t="e">
        <f>'Technical Master Data'!E:E*"AM:!1pz"</f>
        <v>#VALUE!</v>
      </c>
      <c r="BD335" t="e">
        <f>'Technical Master Data'!F:F*"AM:!1p{"</f>
        <v>#VALUE!</v>
      </c>
      <c r="BE335" t="e">
        <f>'Technical Master Data'!G:G*"AM:!1p|"</f>
        <v>#VALUE!</v>
      </c>
      <c r="BF335" t="e">
        <f>'Technical Master Data'!H:H*"AM:!1p}"</f>
        <v>#VALUE!</v>
      </c>
      <c r="BG335" t="e">
        <f>'Technical Master Data'!I:I*"AM:!1p~"</f>
        <v>#VALUE!</v>
      </c>
      <c r="BH335" t="e">
        <f>'Technical Master Data'!J:J*"AM:!1q#"</f>
        <v>#VALUE!</v>
      </c>
      <c r="BI335" t="e">
        <f>'Technical Master Data'!K:K*"AM:!1q$"</f>
        <v>#VALUE!</v>
      </c>
      <c r="BJ335" t="e">
        <f>'Technical Master Data'!L:L*"AM:!1q%"</f>
        <v>#VALUE!</v>
      </c>
      <c r="BK335" t="e">
        <f>'Technical Master Data'!M:M*"AM:!1q&amp;"</f>
        <v>#VALUE!</v>
      </c>
      <c r="BL335" t="e">
        <f>'Technical Master Data'!N:N*"AM:!1q'"</f>
        <v>#VALUE!</v>
      </c>
      <c r="BM335" t="e">
        <f>'Technical Master Data'!O:O*"AM:!1q("</f>
        <v>#VALUE!</v>
      </c>
      <c r="BN335" t="e">
        <f>'Technical Master Data'!P:P*"AM:!1q)"</f>
        <v>#VALUE!</v>
      </c>
      <c r="BO335" t="e">
        <f>'Technical Master Data'!Q:Q*"AM:!1q."</f>
        <v>#VALUE!</v>
      </c>
      <c r="BP335" t="e">
        <f>'Technical Master Data'!R:R*"AM:!1q/"</f>
        <v>#VALUE!</v>
      </c>
      <c r="BQ335" t="e">
        <f>'Technical Master Data'!S:S*"AM:!1q0"</f>
        <v>#VALUE!</v>
      </c>
      <c r="BR335" t="e">
        <f>'Technical Master Data'!T:T*"AM:!1q1"</f>
        <v>#VALUE!</v>
      </c>
      <c r="BS335" t="e">
        <f>'Technical Master Data'!U:U*"AM:!1q2"</f>
        <v>#VALUE!</v>
      </c>
      <c r="BT335" t="e">
        <f>'Technical Master Data'!V:V*"AM:!1q3"</f>
        <v>#VALUE!</v>
      </c>
      <c r="BU335" t="e">
        <f>'Technical Master Data'!W:W*"AM:!1q4"</f>
        <v>#VALUE!</v>
      </c>
      <c r="BV335" t="e">
        <f>'Technical Master Data'!X:X*"AM:!1q5"</f>
        <v>#VALUE!</v>
      </c>
      <c r="BW335" t="e">
        <f>'Technical Master Data'!Y:Y*"AM:!1q6"</f>
        <v>#VALUE!</v>
      </c>
      <c r="BX335" t="e">
        <f>'Technical Master Data'!Z:Z*"AM:!1q7"</f>
        <v>#VALUE!</v>
      </c>
      <c r="BY335" t="e">
        <f>'Technical Master Data'!AA:AA*"AM:!1q8"</f>
        <v>#VALUE!</v>
      </c>
      <c r="BZ335" t="e">
        <f>'Technical Master Data'!AB:AB*"AM:!1q9"</f>
        <v>#VALUE!</v>
      </c>
      <c r="CA335" t="e">
        <f>'Technical Master Data'!AC:AC*"AM:!1q:"</f>
        <v>#VALUE!</v>
      </c>
      <c r="CB335" t="e">
        <f>'Technical Master Data'!AD:AD*"AM:!1q;"</f>
        <v>#VALUE!</v>
      </c>
      <c r="CC335" t="e">
        <f>'Technical Master Data'!AE:AE*"AM:!1q&lt;"</f>
        <v>#VALUE!</v>
      </c>
      <c r="CD335" t="e">
        <f>'Technical Master Data'!AF:AF*"AM:!1q="</f>
        <v>#VALUE!</v>
      </c>
      <c r="CE335" t="e">
        <f>'Technical Master Data'!AG:AG*"AM:!1q&gt;"</f>
        <v>#VALUE!</v>
      </c>
      <c r="CF335" t="e">
        <f>'Technical Master Data'!AH:AH*"AM:!1q?"</f>
        <v>#VALUE!</v>
      </c>
      <c r="CG335" t="e">
        <f>'Technical Master Data'!AI:AI*"AM:!1q@"</f>
        <v>#VALUE!</v>
      </c>
      <c r="CH335" t="e">
        <f>'Technical Master Data'!AJ:AJ*"AM:!1qA"</f>
        <v>#VALUE!</v>
      </c>
      <c r="CI335" t="e">
        <f>'Technical Master Data'!AK:AK*"AM:!1qB"</f>
        <v>#VALUE!</v>
      </c>
      <c r="CJ335" t="e">
        <f>'Technical Master Data'!AL:AL*"AM:!1qC"</f>
        <v>#VALUE!</v>
      </c>
      <c r="CK335" t="e">
        <f>'Technical Master Data'!AM:AM*"AM:!1qD"</f>
        <v>#VALUE!</v>
      </c>
      <c r="CL335" t="e">
        <f>'Technical Master Data'!AN:AN*"AM:!1qE"</f>
        <v>#VALUE!</v>
      </c>
      <c r="CM335" t="e">
        <f>'Technical Master Data'!AO:AO*"AM:!1qF"</f>
        <v>#VALUE!</v>
      </c>
      <c r="CN335" t="e">
        <f>'Technical Master Data'!AP:AP*"AM:!1qG"</f>
        <v>#VALUE!</v>
      </c>
      <c r="CO335" t="e">
        <f>'Technical Master Data'!AQ:AQ*"AM:!1qH"</f>
        <v>#VALUE!</v>
      </c>
      <c r="CP335" t="e">
        <f>'Technical Master Data'!AR:AR*"AM:!1qI"</f>
        <v>#VALUE!</v>
      </c>
      <c r="CQ335" t="e">
        <f>'Technical Master Data'!AS:AS*"AM:!1qJ"</f>
        <v>#VALUE!</v>
      </c>
      <c r="CR335" t="e">
        <f>'Technical Master Data'!AT:AT*"AM:!1qK"</f>
        <v>#VALUE!</v>
      </c>
      <c r="CS335" t="e">
        <f>'Technical Master Data'!AU:AU*"AM:!1qL"</f>
        <v>#VALUE!</v>
      </c>
      <c r="CT335" t="e">
        <f>'Technical Master Data'!AV:AV*"AM:!1qM"</f>
        <v>#VALUE!</v>
      </c>
      <c r="CU335" t="e">
        <f>'Technical Master Data'!AW:AW*"AM:!1qN"</f>
        <v>#VALUE!</v>
      </c>
      <c r="CV335" t="e">
        <f>'Technical Master Data'!AX:AX*"AM:!1qO"</f>
        <v>#VALUE!</v>
      </c>
      <c r="CW335" t="e">
        <f>'Technical Master Data'!AY:AY*"AM:!1qP"</f>
        <v>#VALUE!</v>
      </c>
      <c r="CX335" t="e">
        <f>'Technical Master Data'!AZ:AZ*"AM:!1qQ"</f>
        <v>#VALUE!</v>
      </c>
      <c r="CY335" t="e">
        <f>'Technical Master Data'!BA:BA*"AM:!1qR"</f>
        <v>#VALUE!</v>
      </c>
      <c r="CZ335" t="e">
        <f>'Technical Master Data'!BB:BB*"AM:!1qS"</f>
        <v>#VALUE!</v>
      </c>
      <c r="DA335" t="e">
        <f>'Technical Master Data'!BC:BC*"AM:!1qT"</f>
        <v>#VALUE!</v>
      </c>
      <c r="DB335" t="e">
        <f>'Technical Master Data'!BD:BD*"AM:!1qU"</f>
        <v>#VALUE!</v>
      </c>
      <c r="DC335" t="e">
        <f>'Technical Master Data'!BE:BE*"AM:!1qV"</f>
        <v>#VALUE!</v>
      </c>
      <c r="DD335" t="e">
        <f>'Technical Master Data'!BF:BF*"AM:!1qW"</f>
        <v>#VALUE!</v>
      </c>
      <c r="DE335" t="e">
        <f>'Technical Master Data'!BG:BG*"AM:!1qX"</f>
        <v>#VALUE!</v>
      </c>
      <c r="DF335" t="e">
        <f>'Technical Master Data'!BH:BH*"AM:!1qY"</f>
        <v>#VALUE!</v>
      </c>
      <c r="DG335" t="e">
        <f>'Technical Master Data'!BI:BI*"AM:!1qZ"</f>
        <v>#VALUE!</v>
      </c>
      <c r="DH335" t="e">
        <f>'Technical Master Data'!BJ:BJ*"AM:!1q["</f>
        <v>#VALUE!</v>
      </c>
      <c r="DI335" t="e">
        <f>'Technical Master Data'!BK:BK*"AM:!1q\"</f>
        <v>#VALUE!</v>
      </c>
      <c r="DJ335" t="e">
        <f>'Technical Master Data'!BL:BL*"AM:!1q]"</f>
        <v>#VALUE!</v>
      </c>
      <c r="DK335" t="e">
        <f>'Technical Master Data'!BM:BM*"AM:!1q^"</f>
        <v>#VALUE!</v>
      </c>
      <c r="DL335" t="e">
        <f>'Technical Master Data'!BN:BN*"AM:!1q_"</f>
        <v>#VALUE!</v>
      </c>
      <c r="DM335" t="e">
        <f>'Technical Master Data'!BO:BO*"AM:!1q`"</f>
        <v>#VALUE!</v>
      </c>
      <c r="DN335" t="e">
        <f>'Technical Master Data'!BP:BP*"AM:!1qa"</f>
        <v>#VALUE!</v>
      </c>
      <c r="DO335" t="e">
        <f>'Technical Master Data'!BQ:BQ*"AM:!1qb"</f>
        <v>#VALUE!</v>
      </c>
      <c r="DP335" t="e">
        <f>'Technical Master Data'!BR:BR*"AM:!1qc"</f>
        <v>#VALUE!</v>
      </c>
      <c r="DQ335" t="e">
        <f>'Technical Master Data'!1:1-"AM:!1qd"</f>
        <v>#VALUE!</v>
      </c>
      <c r="DR335" t="e">
        <f>'Technical Master Data'!2:2-"AM:!1qe"</f>
        <v>#VALUE!</v>
      </c>
      <c r="DS335" t="e">
        <f>'Technical Master Data'!3:3-"AM:!1qf"</f>
        <v>#VALUE!</v>
      </c>
      <c r="DT335" t="e">
        <f>'Technical Master Data'!4:4-"AM:!1qg"</f>
        <v>#VALUE!</v>
      </c>
      <c r="DU335" t="e">
        <f>'Technical Master Data'!5:5-"AM:!1qh"</f>
        <v>#VALUE!</v>
      </c>
      <c r="DV335" t="e">
        <f>'Technical Master Data'!6:6-"AM:!1qi"</f>
        <v>#VALUE!</v>
      </c>
      <c r="DW335" t="e">
        <f>'Technical Master Data'!7:7-"AM:!1qj"</f>
        <v>#VALUE!</v>
      </c>
      <c r="DX335" t="e">
        <f>'Technical Master Data'!8:8-"AM:!1qk"</f>
        <v>#VALUE!</v>
      </c>
      <c r="DY335" t="e">
        <f>'Technical Master Data'!9:9-"AM:!1ql"</f>
        <v>#VALUE!</v>
      </c>
      <c r="DZ335" t="e">
        <f>'Technical Master Data'!10:10-"AM:!1qm"</f>
        <v>#VALUE!</v>
      </c>
      <c r="EA335" t="e">
        <f>'Technical Master Data'!11:11-"AM:!1qn"</f>
        <v>#VALUE!</v>
      </c>
      <c r="EB335" t="e">
        <f>'Technical Master Data'!12:12-"AM:!1qo"</f>
        <v>#VALUE!</v>
      </c>
      <c r="EC335" t="e">
        <f>'Technical Master Data'!13:13-"AM:!1qp"</f>
        <v>#VALUE!</v>
      </c>
      <c r="ED335" t="e">
        <f>'Technical Master Data'!14:14-"AM:!1qq"</f>
        <v>#VALUE!</v>
      </c>
      <c r="EE335" t="e">
        <f>'Technical Master Data'!15:15-"AM:!1qr"</f>
        <v>#VALUE!</v>
      </c>
      <c r="EF335" t="e">
        <f>'Technical Master Data'!16:16-"AM:!1qs"</f>
        <v>#VALUE!</v>
      </c>
      <c r="EG335" t="e">
        <f>'Technical Master Data'!17:17-"AM:!1qt"</f>
        <v>#VALUE!</v>
      </c>
      <c r="EH335" t="e">
        <f>'Technical Master Data'!18:18-"AM:!1qu"</f>
        <v>#VALUE!</v>
      </c>
      <c r="EI335" t="e">
        <f>'Technical Master Data'!19:19-"AM:!1qv"</f>
        <v>#VALUE!</v>
      </c>
      <c r="EJ335" t="e">
        <f>'Technical Master Data'!20:20-"AM:!1qw"</f>
        <v>#VALUE!</v>
      </c>
      <c r="EK335" t="e">
        <f>'Technical Master Data'!21:21-"AM:!1qx"</f>
        <v>#VALUE!</v>
      </c>
      <c r="EL335" t="e">
        <f>'Technical Master Data'!22:22-"AM:!1qy"</f>
        <v>#VALUE!</v>
      </c>
      <c r="EM335" t="e">
        <f>'Technical Master Data'!23:23-"AM:!1qz"</f>
        <v>#VALUE!</v>
      </c>
      <c r="EN335" t="e">
        <f>'Technical Master Data'!24:24-"AM:!1q{"</f>
        <v>#VALUE!</v>
      </c>
      <c r="EO335" t="e">
        <f>'Technical Master Data'!25:25-"AM:!1q|"</f>
        <v>#VALUE!</v>
      </c>
      <c r="EP335" t="e">
        <f>'Technical Master Data'!26:26-"AM:!1q}"</f>
        <v>#VALUE!</v>
      </c>
      <c r="EQ335" t="e">
        <f>'Technical Master Data'!27:27-"AM:!1q~"</f>
        <v>#VALUE!</v>
      </c>
      <c r="ER335" t="e">
        <f>'Technical Master Data'!28:28-"AM:!1r#"</f>
        <v>#VALUE!</v>
      </c>
      <c r="ES335" t="e">
        <f>'Technical Master Data'!29:29-"AM:!1r$"</f>
        <v>#VALUE!</v>
      </c>
      <c r="ET335" t="e">
        <f>'Technical Master Data'!30:30-"AM:!1r%"</f>
        <v>#VALUE!</v>
      </c>
      <c r="EU335" t="e">
        <f>'Technical Master Data'!31:31-"AM:!1r&amp;"</f>
        <v>#VALUE!</v>
      </c>
      <c r="EV335" t="e">
        <f>'Technical Master Data'!32:32-"AM:!1r'"</f>
        <v>#VALUE!</v>
      </c>
      <c r="EW335" t="e">
        <f>'Technical Master Data'!33:33-"AM:!1r("</f>
        <v>#VALUE!</v>
      </c>
      <c r="EX335" t="e">
        <f>'Technical Master Data'!34:34-"AM:!1r)"</f>
        <v>#VALUE!</v>
      </c>
      <c r="EY335" t="e">
        <f>'Technical Master Data'!35:35-"AM:!1r."</f>
        <v>#VALUE!</v>
      </c>
      <c r="EZ335" t="e">
        <f>'Technical Master Data'!36:36-"AM:!1r/"</f>
        <v>#VALUE!</v>
      </c>
      <c r="FA335" t="e">
        <f>'Technical Master Data'!37:37-"AM:!1r0"</f>
        <v>#VALUE!</v>
      </c>
      <c r="FB335" t="e">
        <f>'Technical Master Data'!38:38-"AM:!1r1"</f>
        <v>#VALUE!</v>
      </c>
      <c r="FC335" t="e">
        <f>'Technical Master Data'!39:39-"AM:!1r2"</f>
        <v>#VALUE!</v>
      </c>
      <c r="FD335" t="e">
        <f>'Technical Master Data'!40:40-"AM:!1r3"</f>
        <v>#VALUE!</v>
      </c>
      <c r="FE335" t="e">
        <f>'Technical Master Data'!41:41-"AM:!1r4"</f>
        <v>#VALUE!</v>
      </c>
      <c r="FF335" t="e">
        <f>'Technical Master Data'!42:42-"AM:!1r5"</f>
        <v>#VALUE!</v>
      </c>
      <c r="FG335" t="e">
        <f>'Technical Master Data'!43:43-"AM:!1r6"</f>
        <v>#VALUE!</v>
      </c>
      <c r="FH335" t="e">
        <f>'Technical Master Data'!44:44-"AM:!1r7"</f>
        <v>#VALUE!</v>
      </c>
      <c r="FI335" t="e">
        <f>'Technical Master Data'!45:45-"AM:!1r8"</f>
        <v>#VALUE!</v>
      </c>
      <c r="FJ335" t="e">
        <f>'Technical Master Data'!46:46-"AM:!1r9"</f>
        <v>#VALUE!</v>
      </c>
      <c r="FK335" t="e">
        <f>'Technical Master Data'!47:47-"AM:!1r:"</f>
        <v>#VALUE!</v>
      </c>
      <c r="FL335" t="e">
        <f>'Technical Master Data'!48:48-"AM:!1r;"</f>
        <v>#VALUE!</v>
      </c>
      <c r="FM335" t="e">
        <f>'Technical Master Data'!49:49-"AM:!1r&lt;"</f>
        <v>#VALUE!</v>
      </c>
      <c r="FN335" t="e">
        <f>'Technical Master Data'!50:50-"AM:!1r="</f>
        <v>#VALUE!</v>
      </c>
      <c r="FO335" t="e">
        <f>'Technical Master Data'!51:51-"AM:!1r&gt;"</f>
        <v>#VALUE!</v>
      </c>
      <c r="FP335" t="e">
        <f>'Technical Master Data'!52:52-"AM:!1r?"</f>
        <v>#VALUE!</v>
      </c>
      <c r="FQ335" t="e">
        <f>'Technical Master Data'!53:53-"AM:!1r@"</f>
        <v>#VALUE!</v>
      </c>
      <c r="FR335" t="e">
        <f>'Technical Master Data'!54:54-"AM:!1rA"</f>
        <v>#VALUE!</v>
      </c>
      <c r="FS335" t="e">
        <f>'Technical Master Data'!55:55-"AM:!1rB"</f>
        <v>#VALUE!</v>
      </c>
      <c r="FT335" t="e">
        <f>'Technical Master Data'!56:56-"AM:!1rC"</f>
        <v>#VALUE!</v>
      </c>
      <c r="FU335" t="e">
        <f>'Technical Master Data'!57:57-"AM:!1rD"</f>
        <v>#VALUE!</v>
      </c>
      <c r="FV335" t="e">
        <f>'Technical Master Data'!58:58-"AM:!1rE"</f>
        <v>#VALUE!</v>
      </c>
      <c r="FW335" t="e">
        <f>'Technical Master Data'!59:59-"AM:!1rF"</f>
        <v>#VALUE!</v>
      </c>
      <c r="FX335" t="e">
        <f>'Technical Master Data'!60:60-"AM:!1rG"</f>
        <v>#VALUE!</v>
      </c>
      <c r="FY335" t="e">
        <f>'Technical Master Data'!61:61-"AM:!1rH"</f>
        <v>#VALUE!</v>
      </c>
      <c r="FZ335" t="e">
        <f>'Technical Master Data'!62:62-"AM:!1rI"</f>
        <v>#VALUE!</v>
      </c>
      <c r="GA335" t="e">
        <f>'Technical Master Data'!63:63-"AM:!1rJ"</f>
        <v>#VALUE!</v>
      </c>
      <c r="GB335" t="e">
        <f>'Technical Master Data'!64:64-"AM:!1rK"</f>
        <v>#VALUE!</v>
      </c>
      <c r="GC335" t="e">
        <f>'Technical Master Data'!65:65-"AM:!1rL"</f>
        <v>#VALUE!</v>
      </c>
      <c r="GD335" t="e">
        <f>'Technical Master Data'!66:66-"AM:!1rM"</f>
        <v>#VALUE!</v>
      </c>
      <c r="GE335" t="e">
        <f>'Technical Master Data'!67:67-"AM:!1rN"</f>
        <v>#VALUE!</v>
      </c>
      <c r="GF335" t="e">
        <f>'Technical Master Data'!68:68-"AM:!1rO"</f>
        <v>#VALUE!</v>
      </c>
      <c r="GG335" t="e">
        <f>'Technical Master Data'!69:69-"AM:!1rP"</f>
        <v>#VALUE!</v>
      </c>
      <c r="GH335" t="e">
        <f>'Technical Master Data'!70:70-"AM:!1rQ"</f>
        <v>#VALUE!</v>
      </c>
      <c r="GI335" t="e">
        <f>'Technical Master Data'!71:71-"AM:!1rR"</f>
        <v>#VALUE!</v>
      </c>
      <c r="GJ335" t="e">
        <f>'Technical Master Data'!72:72-"AM:!1rS"</f>
        <v>#VALUE!</v>
      </c>
      <c r="GK335" t="e">
        <f>'Technical Master Data'!73:73-"AM:!1rT"</f>
        <v>#VALUE!</v>
      </c>
      <c r="GL335" t="e">
        <f>'Technical Master Data'!74:74-"AM:!1rU"</f>
        <v>#VALUE!</v>
      </c>
      <c r="GM335" t="e">
        <f>'Technical Master Data'!75:75-"AM:!1rV"</f>
        <v>#VALUE!</v>
      </c>
      <c r="GN335" t="e">
        <f>'Technical Master Data'!76:76-"AM:!1rW"</f>
        <v>#VALUE!</v>
      </c>
      <c r="GO335" t="e">
        <f>'Technical Master Data'!77:77-"AM:!1rX"</f>
        <v>#VALUE!</v>
      </c>
      <c r="GP335" t="e">
        <f>'Technical Master Data'!78:78-"AM:!1rY"</f>
        <v>#VALUE!</v>
      </c>
      <c r="GQ335" t="e">
        <f>'Technical Master Data'!79:79-"AM:!1rZ"</f>
        <v>#VALUE!</v>
      </c>
      <c r="GR335" t="e">
        <f>'Technical Master Data'!80:80-"AM:!1r["</f>
        <v>#VALUE!</v>
      </c>
      <c r="GS335" t="e">
        <f>'Technical Master Data'!81:81-"AM:!1r\"</f>
        <v>#VALUE!</v>
      </c>
      <c r="GT335" t="e">
        <f>'Technical Master Data'!82:82-"AM:!1r]"</f>
        <v>#VALUE!</v>
      </c>
      <c r="GU335" t="e">
        <f>'Technical Master Data'!83:83-"AM:!1r^"</f>
        <v>#VALUE!</v>
      </c>
      <c r="GV335" t="e">
        <f>'Technical Master Data'!84:84-"AM:!1r_"</f>
        <v>#VALUE!</v>
      </c>
      <c r="GW335" t="e">
        <f>'Technical Master Data'!85:85-"AM:!1r`"</f>
        <v>#VALUE!</v>
      </c>
      <c r="GX335" t="e">
        <f>'Technical Master Data'!86:86-"AM:!1ra"</f>
        <v>#VALUE!</v>
      </c>
      <c r="GY335" t="e">
        <f>'Technical Master Data'!87:87-"AM:!1rb"</f>
        <v>#VALUE!</v>
      </c>
      <c r="GZ335" t="e">
        <f>'Technical Master Data'!88:88-"AM:!1rc"</f>
        <v>#VALUE!</v>
      </c>
      <c r="HA335" t="e">
        <f>'Technical Master Data'!89:89-"AM:!1rd"</f>
        <v>#VALUE!</v>
      </c>
      <c r="HB335" t="e">
        <f>'Technical Master Data'!90:90-"AM:!1re"</f>
        <v>#VALUE!</v>
      </c>
      <c r="HC335" t="e">
        <f>'Technical Master Data'!91:91-"AM:!1rf"</f>
        <v>#VALUE!</v>
      </c>
      <c r="HD335" t="e">
        <f>'Technical Master Data'!92:92-"AM:!1rg"</f>
        <v>#VALUE!</v>
      </c>
      <c r="HE335" t="e">
        <f>'Technical Master Data'!93:93-"AM:!1rh"</f>
        <v>#VALUE!</v>
      </c>
      <c r="HF335" t="e">
        <f>'Technical Master Data'!94:94-"AM:!1ri"</f>
        <v>#VALUE!</v>
      </c>
      <c r="HG335" t="e">
        <f>'Technical Master Data'!95:95-"AM:!1rj"</f>
        <v>#VALUE!</v>
      </c>
      <c r="HH335" t="e">
        <f>'Technical Master Data'!96:96-"AM:!1rk"</f>
        <v>#VALUE!</v>
      </c>
      <c r="HI335" t="e">
        <f>'Technical Master Data'!97:97-"AM:!1rl"</f>
        <v>#VALUE!</v>
      </c>
      <c r="HJ335" t="e">
        <f>'Technical Master Data'!98:98-"AM:!1rm"</f>
        <v>#VALUE!</v>
      </c>
      <c r="HK335" t="e">
        <f>'Technical Master Data'!99:99-"AM:!1rn"</f>
        <v>#VALUE!</v>
      </c>
      <c r="HL335" t="e">
        <f>'Technical Master Data'!100:100-"AM:!1ro"</f>
        <v>#VALUE!</v>
      </c>
      <c r="HM335" t="e">
        <f>'Technical Master Data'!101:101-"AM:!1rp"</f>
        <v>#VALUE!</v>
      </c>
      <c r="HN335" t="e">
        <f>'Technical Master Data'!102:102-"AM:!1rq"</f>
        <v>#VALUE!</v>
      </c>
      <c r="HO335" t="e">
        <f>'Technical Master Data'!103:103-"AM:!1rr"</f>
        <v>#VALUE!</v>
      </c>
      <c r="HP335" t="e">
        <f>'Technical Master Data'!104:104-"AM:!1rs"</f>
        <v>#VALUE!</v>
      </c>
      <c r="HQ335" t="e">
        <f>'Technical Master Data'!105:105-"AM:!1rt"</f>
        <v>#VALUE!</v>
      </c>
      <c r="HR335" t="e">
        <f>'Technical Master Data'!106:106-"AM:!1ru"</f>
        <v>#VALUE!</v>
      </c>
      <c r="HS335" t="e">
        <f>'Technical Master Data'!107:107-"AM:!1rv"</f>
        <v>#VALUE!</v>
      </c>
      <c r="HT335" t="e">
        <f>'Technical Master Data'!108:108-"AM:!1rw"</f>
        <v>#VALUE!</v>
      </c>
      <c r="HU335" t="e">
        <f>'Technical Master Data'!109:109-"AM:!1rx"</f>
        <v>#VALUE!</v>
      </c>
      <c r="HV335" t="e">
        <f>'Technical Master Data'!110:110-"AM:!1ry"</f>
        <v>#VALUE!</v>
      </c>
      <c r="HW335" t="e">
        <f>'Technical Master Data'!111:111-"AM:!1rz"</f>
        <v>#VALUE!</v>
      </c>
      <c r="HX335" t="e">
        <f>'Technical Master Data'!112:112-"AM:!1r{"</f>
        <v>#VALUE!</v>
      </c>
      <c r="HY335" t="e">
        <f>'Technical Master Data'!113:113-"AM:!1r|"</f>
        <v>#VALUE!</v>
      </c>
      <c r="HZ335" t="e">
        <f>'Technical Master Data'!114:114-"AM:!1r}"</f>
        <v>#VALUE!</v>
      </c>
      <c r="IA335" t="e">
        <f>'Technical Master Data'!115:115-"AM:!1r~"</f>
        <v>#VALUE!</v>
      </c>
      <c r="IB335" t="e">
        <f>'Technical Master Data'!116:116-"AM:!1s#"</f>
        <v>#VALUE!</v>
      </c>
      <c r="IC335" t="e">
        <f>'Technical Master Data'!117:117-"AM:!1s$"</f>
        <v>#VALUE!</v>
      </c>
      <c r="ID335" t="e">
        <f>'Technical Master Data'!118:118-"AM:!1s%"</f>
        <v>#VALUE!</v>
      </c>
      <c r="IE335" t="e">
        <f>'Technical Master Data'!119:119-"AM:!1s&amp;"</f>
        <v>#VALUE!</v>
      </c>
      <c r="IF335" t="e">
        <f>'Technical Master Data'!120:120-"AM:!1s'"</f>
        <v>#VALUE!</v>
      </c>
      <c r="IG335" t="e">
        <f>'Technical Master Data'!121:121-"AM:!1s("</f>
        <v>#VALUE!</v>
      </c>
      <c r="IH335" t="e">
        <f>'Technical Master Data'!122:122-"AM:!1s)"</f>
        <v>#VALUE!</v>
      </c>
      <c r="II335" t="e">
        <f>'Technical Master Data'!123:123-"AM:!1s."</f>
        <v>#VALUE!</v>
      </c>
      <c r="IJ335" t="e">
        <f>'Technical Master Data'!124:124-"AM:!1s/"</f>
        <v>#VALUE!</v>
      </c>
      <c r="IK335" t="e">
        <f>'Technical Master Data'!125:125-"AM:!1s0"</f>
        <v>#VALUE!</v>
      </c>
      <c r="IL335" t="e">
        <f>'Technical Master Data'!126:126-"AM:!1s1"</f>
        <v>#VALUE!</v>
      </c>
      <c r="IM335" t="e">
        <f>'Technical Master Data'!127:127-"AM:!1s2"</f>
        <v>#VALUE!</v>
      </c>
      <c r="IN335" t="e">
        <f>'Technical Master Data'!128:128-"AM:!1s3"</f>
        <v>#VALUE!</v>
      </c>
      <c r="IO335" t="e">
        <f>'Technical Master Data'!129:129-"AM:!1s4"</f>
        <v>#VALUE!</v>
      </c>
      <c r="IP335" t="e">
        <f>'Technical Master Data'!130:130-"AM:!1s5"</f>
        <v>#VALUE!</v>
      </c>
      <c r="IQ335" t="e">
        <f>'Technical Master Data'!131:131-"AM:!1s6"</f>
        <v>#VALUE!</v>
      </c>
      <c r="IR335" t="e">
        <f>'Technical Master Data'!132:132-"AM:!1s7"</f>
        <v>#VALUE!</v>
      </c>
      <c r="IS335" t="e">
        <f>'Technical Master Data'!133:133-"AM:!1s8"</f>
        <v>#VALUE!</v>
      </c>
      <c r="IT335" t="e">
        <f>'Technical Master Data'!134:134-"AM:!1s9"</f>
        <v>#VALUE!</v>
      </c>
      <c r="IU335" t="e">
        <f>'Technical Master Data'!135:135-"AM:!1s:"</f>
        <v>#VALUE!</v>
      </c>
      <c r="IV335" t="e">
        <f>'Technical Master Data'!136:136-"AM:!1s;"</f>
        <v>#VALUE!</v>
      </c>
    </row>
    <row r="336" spans="6:256">
      <c r="F336" t="e">
        <f>'Technical Master Data'!137:137-"AM:!1s&lt;"</f>
        <v>#VALUE!</v>
      </c>
      <c r="G336" t="e">
        <f>'Technical Master Data'!138:138-"AM:!1s="</f>
        <v>#VALUE!</v>
      </c>
      <c r="H336" t="e">
        <f>'Technical Master Data'!139:139-"AM:!1s&gt;"</f>
        <v>#VALUE!</v>
      </c>
      <c r="I336" t="e">
        <f>'Technical Master Data'!140:140-"AM:!1s?"</f>
        <v>#VALUE!</v>
      </c>
      <c r="J336" t="e">
        <f>'Technical Master Data'!141:141-"AM:!1s@"</f>
        <v>#VALUE!</v>
      </c>
      <c r="K336" t="e">
        <f>'Technical Master Data'!142:142-"AM:!1sA"</f>
        <v>#VALUE!</v>
      </c>
      <c r="L336" t="e">
        <f>'Technical Master Data'!143:143-"AM:!1sB"</f>
        <v>#VALUE!</v>
      </c>
      <c r="M336" t="e">
        <f>'Technical Master Data'!144:144-"AM:!1sC"</f>
        <v>#VALUE!</v>
      </c>
      <c r="N336" t="e">
        <f>'Technical Master Data'!145:145-"AM:!1sD"</f>
        <v>#VALUE!</v>
      </c>
      <c r="O336" t="e">
        <f>'Technical Master Data'!146:146-"AM:!1sE"</f>
        <v>#VALUE!</v>
      </c>
      <c r="P336" t="e">
        <f>'Technical Master Data'!147:147-"AM:!1sF"</f>
        <v>#VALUE!</v>
      </c>
      <c r="Q336" t="e">
        <f>'Technical Master Data'!148:148-"AM:!1sG"</f>
        <v>#VALUE!</v>
      </c>
      <c r="R336" t="e">
        <f>'Technical Master Data'!149:149-"AM:!1sH"</f>
        <v>#VALUE!</v>
      </c>
      <c r="S336" t="e">
        <f>'Technical Master Data'!150:150-"AM:!1sI"</f>
        <v>#VALUE!</v>
      </c>
      <c r="T336" t="e">
        <f>'Technical Master Data'!151:151-"AM:!1sJ"</f>
        <v>#VALUE!</v>
      </c>
      <c r="U336" t="e">
        <f>'Technical Master Data'!152:152-"AM:!1sK"</f>
        <v>#VALUE!</v>
      </c>
      <c r="V336" t="e">
        <f>'Technical Master Data'!153:153-"AM:!1sL"</f>
        <v>#VALUE!</v>
      </c>
      <c r="W336" t="e">
        <f>'Technical Master Data'!154:154-"AM:!1sM"</f>
        <v>#VALUE!</v>
      </c>
      <c r="X336" t="e">
        <f>'Technical Master Data'!155:155-"AM:!1sN"</f>
        <v>#VALUE!</v>
      </c>
      <c r="Y336" t="e">
        <f>'Technical Master Data'!156:156-"AM:!1sO"</f>
        <v>#VALUE!</v>
      </c>
      <c r="Z336" t="e">
        <f>'Technical Master Data'!157:157-"AM:!1sP"</f>
        <v>#VALUE!</v>
      </c>
      <c r="AA336" t="e">
        <f>'Technical Master Data'!158:158-"AM:!1sQ"</f>
        <v>#VALUE!</v>
      </c>
      <c r="AB336" t="e">
        <f>'Technical Master Data'!159:159-"AM:!1sR"</f>
        <v>#VALUE!</v>
      </c>
      <c r="AC336" t="e">
        <f>'Technical Master Data'!160:160-"AM:!1sS"</f>
        <v>#VALUE!</v>
      </c>
      <c r="AD336" t="e">
        <f>'Technical Master Data'!161:161-"AM:!1sT"</f>
        <v>#VALUE!</v>
      </c>
      <c r="AE336" t="e">
        <f>'Technical Master Data'!162:162-"AM:!1sU"</f>
        <v>#VALUE!</v>
      </c>
      <c r="AF336" t="e">
        <f>'Technical Master Data'!163:163-"AM:!1sV"</f>
        <v>#VALUE!</v>
      </c>
      <c r="AG336" t="e">
        <f>'Technical Master Data'!164:164-"AM:!1sW"</f>
        <v>#VALUE!</v>
      </c>
      <c r="AH336" t="e">
        <f>'Technical Master Data'!165:165-"AM:!1sX"</f>
        <v>#VALUE!</v>
      </c>
      <c r="AI336" t="e">
        <f>'Technical Master Data'!166:166-"AM:!1sY"</f>
        <v>#VALUE!</v>
      </c>
      <c r="AJ336" t="e">
        <f>'Technical Master Data'!167:167-"AM:!1sZ"</f>
        <v>#VALUE!</v>
      </c>
      <c r="AK336" t="e">
        <f>'Technical Master Data'!168:168-"AM:!1s["</f>
        <v>#VALUE!</v>
      </c>
      <c r="AL336" t="e">
        <f>'Technical Master Data'!169:169-"AM:!1s\"</f>
        <v>#VALUE!</v>
      </c>
      <c r="AM336" t="e">
        <f>'Technical Master Data'!170:170-"AM:!1s]"</f>
        <v>#VALUE!</v>
      </c>
      <c r="AN336" t="e">
        <f>'Technical Master Data'!171:171-"AM:!1s^"</f>
        <v>#VALUE!</v>
      </c>
      <c r="AO336" t="e">
        <f>'Technical Master Data'!172:172-"AM:!1s_"</f>
        <v>#VALUE!</v>
      </c>
      <c r="AP336" t="e">
        <f>'Technical Master Data'!173:173-"AM:!1s`"</f>
        <v>#VALUE!</v>
      </c>
      <c r="AQ336" t="e">
        <f>'Technical Master Data'!174:174-"AM:!1sa"</f>
        <v>#VALUE!</v>
      </c>
      <c r="AR336" t="e">
        <f>'Technical Master Data'!175:175-"AM:!1sb"</f>
        <v>#VALUE!</v>
      </c>
      <c r="AS336" t="e">
        <f>'Technical Master Data'!176:176-"AM:!1sc"</f>
        <v>#VALUE!</v>
      </c>
      <c r="AT336" t="e">
        <f>'Technical Master Data'!177:177-"AM:!1sd"</f>
        <v>#VALUE!</v>
      </c>
      <c r="AU336" t="e">
        <f>'Technical Master Data'!178:178-"AM:!1se"</f>
        <v>#VALUE!</v>
      </c>
      <c r="AV336" t="e">
        <f>'Technical Master Data'!179:179-"AM:!1sf"</f>
        <v>#VALUE!</v>
      </c>
      <c r="AW336" t="e">
        <f>'Technical Master Data'!180:180-"AM:!1sg"</f>
        <v>#VALUE!</v>
      </c>
      <c r="AX336" t="e">
        <f>'Technical Master Data'!181:181-"AM:!1sh"</f>
        <v>#VALUE!</v>
      </c>
      <c r="AY336" t="e">
        <f>'Technical Master Data'!182:182-"AM:!1si"</f>
        <v>#VALUE!</v>
      </c>
      <c r="AZ336" t="e">
        <f>'Technical Master Data'!183:183-"AM:!1sj"</f>
        <v>#VALUE!</v>
      </c>
      <c r="BA336" t="e">
        <f>'Technical Master Data'!184:184-"AM:!1sk"</f>
        <v>#VALUE!</v>
      </c>
      <c r="BB336" t="e">
        <f>'Technical Master Data'!185:185-"AM:!1sl"</f>
        <v>#VALUE!</v>
      </c>
      <c r="BC336" t="e">
        <f>'Technical Master Data'!186:186-"AM:!1sm"</f>
        <v>#VALUE!</v>
      </c>
      <c r="BD336" t="e">
        <f>'Technical Master Data'!187:187-"AM:!1sn"</f>
        <v>#VALUE!</v>
      </c>
      <c r="BE336" t="e">
        <f>'Technical Master Data'!188:188-"AM:!1so"</f>
        <v>#VALUE!</v>
      </c>
      <c r="BF336" t="e">
        <f>'Technical Master Data'!189:189-"AM:!1sp"</f>
        <v>#VALUE!</v>
      </c>
      <c r="BG336" t="e">
        <f>'Technical Master Data'!190:190-"AM:!1sq"</f>
        <v>#VALUE!</v>
      </c>
      <c r="BH336" t="e">
        <f>'Technical Master Data'!191:191-"AM:!1sr"</f>
        <v>#VALUE!</v>
      </c>
      <c r="BI336" t="e">
        <f>'Technical Master Data'!192:192-"AM:!1ss"</f>
        <v>#VALUE!</v>
      </c>
      <c r="BJ336" t="e">
        <f>'Technical Master Data'!193:193-"AM:!1st"</f>
        <v>#VALUE!</v>
      </c>
      <c r="BK336" t="e">
        <f>'Technical Master Data'!194:194-"AM:!1su"</f>
        <v>#VALUE!</v>
      </c>
      <c r="BL336" t="e">
        <f>'Technical Master Data'!195:195-"AM:!1sv"</f>
        <v>#VALUE!</v>
      </c>
      <c r="BM336" t="e">
        <f>'Technical Master Data'!196:196-"AM:!1sw"</f>
        <v>#VALUE!</v>
      </c>
      <c r="BN336" t="e">
        <f>'Technical Master Data'!197:197-"AM:!1sx"</f>
        <v>#VALUE!</v>
      </c>
      <c r="BO336" t="e">
        <f>'Technical Master Data'!198:198-"AM:!1sy"</f>
        <v>#VALUE!</v>
      </c>
      <c r="BP336" t="e">
        <f>'Technical Master Data'!199:199-"AM:!1sz"</f>
        <v>#VALUE!</v>
      </c>
      <c r="BQ336" t="e">
        <f>'Technical Master Data'!200:200-"AM:!1s{"</f>
        <v>#VALUE!</v>
      </c>
      <c r="BR336" t="e">
        <f>'Technical Master Data'!201:201-"AM:!1s|"</f>
        <v>#VALUE!</v>
      </c>
      <c r="BS336" t="e">
        <f>'Technical Master Data'!202:202-"AM:!1s}"</f>
        <v>#VALUE!</v>
      </c>
      <c r="BT336" t="e">
        <f>'Technical Master Data'!203:203-"AM:!1s~"</f>
        <v>#VALUE!</v>
      </c>
      <c r="BU336" t="e">
        <f>'Technical Master Data'!204:204-"AM:!1t#"</f>
        <v>#VALUE!</v>
      </c>
      <c r="BV336" t="e">
        <f>'Technical Master Data'!205:205-"AM:!1t$"</f>
        <v>#VALUE!</v>
      </c>
      <c r="BW336" t="e">
        <f>'Technical Master Data'!206:206-"AM:!1t%"</f>
        <v>#VALUE!</v>
      </c>
      <c r="BX336" t="e">
        <f>'Technical Master Data'!207:207-"AM:!1t&amp;"</f>
        <v>#VALUE!</v>
      </c>
      <c r="BY336" t="e">
        <f>'Technical Master Data'!208:208-"AM:!1t'"</f>
        <v>#VALUE!</v>
      </c>
      <c r="BZ336" t="e">
        <f>'Technical Master Data'!209:209-"AM:!1t("</f>
        <v>#VALUE!</v>
      </c>
      <c r="CA336" t="e">
        <f>'Technical Master Data'!210:210-"AM:!1t)"</f>
        <v>#VALUE!</v>
      </c>
      <c r="CB336" t="e">
        <f>'Technical Master Data'!211:211-"AM:!1t."</f>
        <v>#VALUE!</v>
      </c>
      <c r="CC336" t="e">
        <f>'Technical Master Data'!212:212-"AM:!1t/"</f>
        <v>#VALUE!</v>
      </c>
      <c r="CD336" t="e">
        <f>'Technical Master Data'!213:213-"AM:!1t0"</f>
        <v>#VALUE!</v>
      </c>
      <c r="CE336" t="e">
        <f>'Technical Master Data'!214:214-"AM:!1t1"</f>
        <v>#VALUE!</v>
      </c>
      <c r="CF336" t="e">
        <f>'Technical Master Data'!215:215-"AM:!1t2"</f>
        <v>#VALUE!</v>
      </c>
      <c r="CG336" t="e">
        <f>'Technical Master Data'!216:216-"AM:!1t3"</f>
        <v>#VALUE!</v>
      </c>
      <c r="CH336" t="e">
        <f>'Technical Master Data'!217:217-"AM:!1t4"</f>
        <v>#VALUE!</v>
      </c>
      <c r="CI336" t="e">
        <f>'Technical Master Data'!218:218-"AM:!1t5"</f>
        <v>#VALUE!</v>
      </c>
      <c r="CJ336" t="e">
        <f>'Technical Master Data'!219:219-"AM:!1t6"</f>
        <v>#VALUE!</v>
      </c>
      <c r="CK336" t="e">
        <f>'Technical Master Data'!220:220-"AM:!1t7"</f>
        <v>#VALUE!</v>
      </c>
      <c r="CL336" t="e">
        <f>'Technical Master Data'!221:221-"AM:!1t8"</f>
        <v>#VALUE!</v>
      </c>
      <c r="CM336" t="e">
        <f>'Technical Master Data'!222:222-"AM:!1t9"</f>
        <v>#VALUE!</v>
      </c>
      <c r="CN336" t="e">
        <f>'Technical Master Data'!223:223-"AM:!1t:"</f>
        <v>#VALUE!</v>
      </c>
      <c r="CO336" t="e">
        <f>'Technical Master Data'!224:224-"AM:!1t;"</f>
        <v>#VALUE!</v>
      </c>
      <c r="CP336" t="e">
        <f>'Technical Master Data'!225:225-"AM:!1t&lt;"</f>
        <v>#VALUE!</v>
      </c>
      <c r="CQ336" t="e">
        <f>'Technical Master Data'!226:226-"AM:!1t="</f>
        <v>#VALUE!</v>
      </c>
      <c r="CR336" t="e">
        <f>'Technical Master Data'!227:227-"AM:!1t&gt;"</f>
        <v>#VALUE!</v>
      </c>
      <c r="CS336" t="e">
        <f>'Technical Master Data'!228:228-"AM:!1t?"</f>
        <v>#VALUE!</v>
      </c>
      <c r="CT336" t="e">
        <f>'Technical Master Data'!229:229-"AM:!1t@"</f>
        <v>#VALUE!</v>
      </c>
      <c r="CU336" t="e">
        <f>'Technical Master Data'!230:230-"AM:!1tA"</f>
        <v>#VALUE!</v>
      </c>
      <c r="CV336" t="e">
        <f>'Technical Master Data'!231:231-"AM:!1tB"</f>
        <v>#VALUE!</v>
      </c>
      <c r="CW336" t="e">
        <f>'Technical Master Data'!232:232-"AM:!1tC"</f>
        <v>#VALUE!</v>
      </c>
      <c r="CX336" t="e">
        <f>'Technical Master Data'!233:233-"AM:!1tD"</f>
        <v>#VALUE!</v>
      </c>
      <c r="CY336" t="e">
        <f>'Technical Master Data'!234:234-"AM:!1tE"</f>
        <v>#VALUE!</v>
      </c>
      <c r="CZ336" t="e">
        <f>'Technical Master Data'!235:235-"AM:!1tF"</f>
        <v>#VALUE!</v>
      </c>
      <c r="DA336" t="e">
        <f>'Technical Master Data'!236:236-"AM:!1tG"</f>
        <v>#VALUE!</v>
      </c>
      <c r="DB336" t="e">
        <f>'Technical Master Data'!237:237-"AM:!1tH"</f>
        <v>#VALUE!</v>
      </c>
      <c r="DC336" t="e">
        <f>'Technical Master Data'!238:238-"AM:!1tI"</f>
        <v>#VALUE!</v>
      </c>
      <c r="DD336" t="e">
        <f>'Technical Master Data'!239:239-"AM:!1tJ"</f>
        <v>#VALUE!</v>
      </c>
      <c r="DE336" t="e">
        <f>'Technical Master Data'!240:240-"AM:!1tK"</f>
        <v>#VALUE!</v>
      </c>
      <c r="DF336" t="e">
        <f>'Technical Master Data'!241:241-"AM:!1tL"</f>
        <v>#VALUE!</v>
      </c>
      <c r="DG336" t="e">
        <f>'Technical Master Data'!242:242-"AM:!1tM"</f>
        <v>#VALUE!</v>
      </c>
      <c r="DH336" t="e">
        <f>'Technical Master Data'!243:243-"AM:!1tN"</f>
        <v>#VALUE!</v>
      </c>
      <c r="DI336" t="e">
        <f>'Technical Master Data'!244:244-"AM:!1tO"</f>
        <v>#VALUE!</v>
      </c>
      <c r="DJ336" t="e">
        <f>'Technical Master Data'!245:245-"AM:!1tP"</f>
        <v>#VALUE!</v>
      </c>
      <c r="DK336" t="e">
        <f>'Technical Master Data'!246:246-"AM:!1tQ"</f>
        <v>#VALUE!</v>
      </c>
      <c r="DL336" t="e">
        <f>'Technical Master Data'!247:247-"AM:!1tR"</f>
        <v>#VALUE!</v>
      </c>
      <c r="DM336" t="e">
        <f>'Technical Master Data'!248:248-"AM:!1tS"</f>
        <v>#VALUE!</v>
      </c>
      <c r="DN336" t="e">
        <f>'Technical Master Data'!249:249-"AM:!1tT"</f>
        <v>#VALUE!</v>
      </c>
      <c r="DO336" t="e">
        <f>'Technical Master Data'!250:250-"AM:!1tU"</f>
        <v>#VALUE!</v>
      </c>
      <c r="DP336" t="e">
        <f>'Technical Master Data'!251:251-"AM:!1tV"</f>
        <v>#VALUE!</v>
      </c>
      <c r="DQ336" t="e">
        <f>'Technical Master Data'!252:252-"AM:!1tW"</f>
        <v>#VALUE!</v>
      </c>
      <c r="DR336" t="e">
        <f>'Technical Master Data'!253:253-"AM:!1tX"</f>
        <v>#VALUE!</v>
      </c>
      <c r="DS336" t="e">
        <f>'Technical Master Data'!254:254-"AM:!1tY"</f>
        <v>#VALUE!</v>
      </c>
      <c r="DT336" t="e">
        <f>'Technical Master Data'!255:255-"AM:!1tZ"</f>
        <v>#VALUE!</v>
      </c>
      <c r="DU336" t="e">
        <f>'Technical Master Data'!256:256-"AM:!1t["</f>
        <v>#VALUE!</v>
      </c>
      <c r="DV336" t="e">
        <f>'Technical Master Data'!257:257-"AM:!1t\"</f>
        <v>#VALUE!</v>
      </c>
      <c r="DW336" t="e">
        <f>'Technical Master Data'!258:258-"AM:!1t]"</f>
        <v>#VALUE!</v>
      </c>
      <c r="DX336" t="e">
        <f>'Technical Master Data'!259:259-"AM:!1t^"</f>
        <v>#VALUE!</v>
      </c>
      <c r="DY336" t="e">
        <f>'Technical Master Data'!260:260-"AM:!1t_"</f>
        <v>#VALUE!</v>
      </c>
      <c r="DZ336" t="e">
        <f>'Technical Master Data'!261:261-"AM:!1t`"</f>
        <v>#VALUE!</v>
      </c>
      <c r="EA336" t="e">
        <f>'Technical Master Data'!262:262-"AM:!1ta"</f>
        <v>#VALUE!</v>
      </c>
      <c r="EB336" t="e">
        <f>'Technical Master Data'!263:263-"AM:!1tb"</f>
        <v>#VALUE!</v>
      </c>
      <c r="EC336" t="e">
        <f>'Technical Master Data'!264:264-"AM:!1tc"</f>
        <v>#VALUE!</v>
      </c>
      <c r="ED336" t="e">
        <f>'Technical Master Data'!265:265-"AM:!1td"</f>
        <v>#VALUE!</v>
      </c>
      <c r="EE336" t="e">
        <f>'Technical Master Data'!266:266-"AM:!1te"</f>
        <v>#VALUE!</v>
      </c>
      <c r="EF336" t="e">
        <f>'Technical Master Data'!267:267-"AM:!1tf"</f>
        <v>#VALUE!</v>
      </c>
      <c r="EG336" t="e">
        <f>'Technical Master Data'!268:268-"AM:!1tg"</f>
        <v>#VALUE!</v>
      </c>
      <c r="EH336" t="e">
        <f>'Technical Master Data'!269:269-"AM:!1th"</f>
        <v>#VALUE!</v>
      </c>
      <c r="EI336" t="e">
        <f>'Technical Master Data'!270:270-"AM:!1ti"</f>
        <v>#VALUE!</v>
      </c>
      <c r="EJ336" t="e">
        <f>'Technical Master Data'!271:271-"AM:!1tj"</f>
        <v>#VALUE!</v>
      </c>
      <c r="EK336" t="e">
        <f>'Technical Master Data'!272:272-"AM:!1tk"</f>
        <v>#VALUE!</v>
      </c>
      <c r="EL336" t="e">
        <f>'Technical Master Data'!273:273-"AM:!1tl"</f>
        <v>#VALUE!</v>
      </c>
      <c r="EM336" t="e">
        <f>'Technical Master Data'!274:274-"AM:!1tm"</f>
        <v>#VALUE!</v>
      </c>
      <c r="EN336" t="e">
        <f>'Technical Master Data'!275:275-"AM:!1tn"</f>
        <v>#VALUE!</v>
      </c>
      <c r="EO336" t="e">
        <f>'Technical Master Data'!276:276-"AM:!1to"</f>
        <v>#VALUE!</v>
      </c>
      <c r="EP336" t="e">
        <f>'Technical Master Data'!277:277-"AM:!1tp"</f>
        <v>#VALUE!</v>
      </c>
      <c r="EQ336" t="e">
        <f>'Technical Master Data'!278:278-"AM:!1tq"</f>
        <v>#VALUE!</v>
      </c>
      <c r="ER336" t="e">
        <f>'Technical Master Data'!279:279-"AM:!1tr"</f>
        <v>#VALUE!</v>
      </c>
      <c r="ES336" t="e">
        <f>'Technical Master Data'!280:280-"AM:!1ts"</f>
        <v>#VALUE!</v>
      </c>
      <c r="ET336" t="e">
        <f>'Technical Master Data'!281:281-"AM:!1tt"</f>
        <v>#VALUE!</v>
      </c>
      <c r="EU336" t="e">
        <f>'Technical Master Data'!282:282-"AM:!1tu"</f>
        <v>#VALUE!</v>
      </c>
      <c r="EV336" t="e">
        <f>'Technical Master Data'!283:283-"AM:!1tv"</f>
        <v>#VALUE!</v>
      </c>
      <c r="EW336" t="e">
        <f>'Technical Master Data'!284:284-"AM:!1tw"</f>
        <v>#VALUE!</v>
      </c>
      <c r="EX336" t="e">
        <f>'Technical Master Data'!285:285-"AM:!1tx"</f>
        <v>#VALUE!</v>
      </c>
      <c r="EY336" t="e">
        <f>'Technical Master Data'!286:286-"AM:!1ty"</f>
        <v>#VALUE!</v>
      </c>
      <c r="EZ336" t="e">
        <f>'Technical Master Data'!287:287-"AM:!1tz"</f>
        <v>#VALUE!</v>
      </c>
      <c r="FA336" t="e">
        <f>'Technical Master Data'!288:288-"AM:!1t{"</f>
        <v>#VALUE!</v>
      </c>
      <c r="FB336" t="e">
        <f>'Technical Master Data'!289:289-"AM:!1t|"</f>
        <v>#VALUE!</v>
      </c>
      <c r="FC336" t="e">
        <f>'Technical Master Data'!290:290-"AM:!1t}"</f>
        <v>#VALUE!</v>
      </c>
      <c r="FD336" t="e">
        <f>'Technical Master Data'!291:291-"AM:!1t~"</f>
        <v>#VALUE!</v>
      </c>
      <c r="FE336" t="e">
        <f>'Technical Master Data'!292:292-"AM:!1u#"</f>
        <v>#VALUE!</v>
      </c>
      <c r="FF336" t="e">
        <f>'Technical Master Data'!293:293-"AM:!1u$"</f>
        <v>#VALUE!</v>
      </c>
      <c r="FG336" t="e">
        <f>'Technical Master Data'!294:294-"AM:!1u%"</f>
        <v>#VALUE!</v>
      </c>
      <c r="FH336" t="e">
        <f>'Technical Master Data'!295:295-"AM:!1u&amp;"</f>
        <v>#VALUE!</v>
      </c>
      <c r="FI336" t="e">
        <f>'Technical Master Data'!296:296-"AM:!1u'"</f>
        <v>#VALUE!</v>
      </c>
      <c r="FJ336" t="e">
        <f>'Technical Master Data'!297:297-"AM:!1u("</f>
        <v>#VALUE!</v>
      </c>
      <c r="FK336" t="e">
        <f>'Technical Master Data'!298:298-"AM:!1u)"</f>
        <v>#VALUE!</v>
      </c>
      <c r="FL336" t="e">
        <f>'Technical Master Data'!299:299-"AM:!1u."</f>
        <v>#VALUE!</v>
      </c>
      <c r="FM336" t="e">
        <f>'Technical Master Data'!300:300-"AM:!1u/"</f>
        <v>#VALUE!</v>
      </c>
      <c r="FN336" t="e">
        <f>'Technical Master Data'!301:301-"AM:!1u0"</f>
        <v>#VALUE!</v>
      </c>
      <c r="FO336" t="e">
        <f>'Technical Master Data'!302:302-"AM:!1u1"</f>
        <v>#VALUE!</v>
      </c>
      <c r="FP336" t="e">
        <f>'Technical Master Data'!303:303-"AM:!1u2"</f>
        <v>#VALUE!</v>
      </c>
      <c r="FQ336" t="e">
        <f>'Technical Master Data'!304:304-"AM:!1u3"</f>
        <v>#VALUE!</v>
      </c>
      <c r="FR336" t="e">
        <f>'Technical Master Data'!305:305-"AM:!1u4"</f>
        <v>#VALUE!</v>
      </c>
      <c r="FS336" t="e">
        <f>'Technical Master Data'!306:306-"AM:!1u5"</f>
        <v>#VALUE!</v>
      </c>
      <c r="FT336" t="e">
        <f>'Technical Master Data'!307:307-"AM:!1u6"</f>
        <v>#VALUE!</v>
      </c>
      <c r="FU336" t="e">
        <f>'Technical Master Data'!308:308-"AM:!1u7"</f>
        <v>#VALUE!</v>
      </c>
      <c r="FV336" t="e">
        <f>'Technical Master Data'!309:309-"AM:!1u8"</f>
        <v>#VALUE!</v>
      </c>
      <c r="FW336" t="e">
        <f>'Technical Master Data'!310:310-"AM:!1u9"</f>
        <v>#VALUE!</v>
      </c>
      <c r="FX336" t="e">
        <f>'Technical Master Data'!311:311-"AM:!1u:"</f>
        <v>#VALUE!</v>
      </c>
      <c r="FY336" t="e">
        <f>'Technical Master Data'!312:312-"AM:!1u;"</f>
        <v>#VALUE!</v>
      </c>
      <c r="FZ336" t="e">
        <f>'Technical Master Data'!313:313-"AM:!1u&lt;"</f>
        <v>#VALUE!</v>
      </c>
      <c r="GA336" t="e">
        <f>'Technical Master Data'!314:314-"AM:!1u="</f>
        <v>#VALUE!</v>
      </c>
      <c r="GB336" t="e">
        <f>'Technical Master Data'!315:315-"AM:!1u&gt;"</f>
        <v>#VALUE!</v>
      </c>
      <c r="GC336" t="e">
        <f>'Technical Master Data'!316:316-"AM:!1u?"</f>
        <v>#VALUE!</v>
      </c>
      <c r="GD336" t="e">
        <f>'Technical Master Data'!317:317-"AM:!1u@"</f>
        <v>#VALUE!</v>
      </c>
      <c r="GE336" t="e">
        <f>'Technical Master Data'!318:318-"AM:!1uA"</f>
        <v>#VALUE!</v>
      </c>
      <c r="GF336" t="e">
        <f>'Technical Master Data'!319:319-"AM:!1uB"</f>
        <v>#VALUE!</v>
      </c>
      <c r="GG336" t="e">
        <f>'Technical Master Data'!320:320-"AM:!1uC"</f>
        <v>#VALUE!</v>
      </c>
      <c r="GH336" t="e">
        <f>'Technical Master Data'!321:321-"AM:!1uD"</f>
        <v>#VALUE!</v>
      </c>
      <c r="GI336" t="e">
        <f>'Technical Master Data'!322:322-"AM:!1uE"</f>
        <v>#VALUE!</v>
      </c>
      <c r="GJ336" t="e">
        <f>'Technical Master Data'!323:323-"AM:!1uF"</f>
        <v>#VALUE!</v>
      </c>
      <c r="GK336" t="e">
        <f>'Technical Master Data'!324:324-"AM:!1uG"</f>
        <v>#VALUE!</v>
      </c>
      <c r="GL336" t="e">
        <f>'Technical Master Data'!325:325-"AM:!1uH"</f>
        <v>#VALUE!</v>
      </c>
      <c r="GM336" t="e">
        <f>'Technical Master Data'!326:326-"AM:!1uI"</f>
        <v>#VALUE!</v>
      </c>
      <c r="GN336" t="e">
        <f>'Technical Master Data'!327:327-"AM:!1uJ"</f>
        <v>#VALUE!</v>
      </c>
      <c r="GO336" t="e">
        <f>'Technical Master Data'!328:328-"AM:!1uK"</f>
        <v>#VALUE!</v>
      </c>
      <c r="GP336" t="e">
        <f>'Technical Master Data'!329:329-"AM:!1uL"</f>
        <v>#VALUE!</v>
      </c>
      <c r="GQ336" t="e">
        <f>'Technical Master Data'!330:330-"AM:!1uM"</f>
        <v>#VALUE!</v>
      </c>
      <c r="GR336" t="e">
        <f>'Technical Master Data'!331:331-"AM:!1uN"</f>
        <v>#VALUE!</v>
      </c>
      <c r="GS336" t="e">
        <f>'Technical Master Data'!332:332-"AM:!1uO"</f>
        <v>#VALUE!</v>
      </c>
      <c r="GT336" t="e">
        <f>'Technical Master Data'!333:333-"AM:!1uP"</f>
        <v>#VALUE!</v>
      </c>
      <c r="GU336" t="e">
        <f>'Technical Master Data'!334:334-"AM:!1uQ"</f>
        <v>#VALUE!</v>
      </c>
      <c r="GV336" t="e">
        <f>'Technical Master Data'!335:335-"AM:!1uR"</f>
        <v>#VALUE!</v>
      </c>
      <c r="GW336" t="e">
        <f>'Technical Master Data'!336:336-"AM:!1uS"</f>
        <v>#VALUE!</v>
      </c>
      <c r="GX336" t="e">
        <f>'Technical Master Data'!337:337-"AM:!1uT"</f>
        <v>#VALUE!</v>
      </c>
      <c r="GY336" t="e">
        <f>'Technical Master Data'!338:338-"AM:!1uU"</f>
        <v>#VALUE!</v>
      </c>
      <c r="GZ336" t="e">
        <f>'Technical Master Data'!339:339-"AM:!1uV"</f>
        <v>#VALUE!</v>
      </c>
      <c r="HA336" t="e">
        <f>'Technical Master Data'!340:340-"AM:!1uW"</f>
        <v>#VALUE!</v>
      </c>
      <c r="HB336" t="e">
        <f>'Technical Master Data'!341:341-"AM:!1uX"</f>
        <v>#VALUE!</v>
      </c>
      <c r="HC336" t="e">
        <f>'Technical Master Data'!342:342-"AM:!1uY"</f>
        <v>#VALUE!</v>
      </c>
      <c r="HD336" t="e">
        <f>'Technical Master Data'!343:343-"AM:!1uZ"</f>
        <v>#VALUE!</v>
      </c>
      <c r="HE336" t="e">
        <f>'Technical Master Data'!344:344-"AM:!1u["</f>
        <v>#VALUE!</v>
      </c>
      <c r="HF336" t="e">
        <f>'Technical Master Data'!345:345-"AM:!1u\"</f>
        <v>#VALUE!</v>
      </c>
      <c r="HG336" t="e">
        <f>'Technical Master Data'!346:346-"AM:!1u]"</f>
        <v>#VALUE!</v>
      </c>
      <c r="HH336" t="e">
        <f>'Technical Master Data'!347:347-"AM:!1u^"</f>
        <v>#VALUE!</v>
      </c>
      <c r="HI336" t="e">
        <f>'Technical Master Data'!348:348-"AM:!1u_"</f>
        <v>#VALUE!</v>
      </c>
      <c r="HJ336" t="e">
        <f>'Technical Master Data'!349:349-"AM:!1u`"</f>
        <v>#VALUE!</v>
      </c>
      <c r="HK336" t="e">
        <f>'Technical Master Data'!350:350-"AM:!1ua"</f>
        <v>#VALUE!</v>
      </c>
      <c r="HL336" t="e">
        <f>'Technical Master Data'!351:351-"AM:!1ub"</f>
        <v>#VALUE!</v>
      </c>
      <c r="HM336" t="e">
        <f>'Technical Master Data'!352:352-"AM:!1uc"</f>
        <v>#VALUE!</v>
      </c>
      <c r="HN336" t="e">
        <f>'Technical Master Data'!353:353-"AM:!1ud"</f>
        <v>#VALUE!</v>
      </c>
      <c r="HO336" t="e">
        <f>'Technical Master Data'!354:354-"AM:!1ue"</f>
        <v>#VALUE!</v>
      </c>
      <c r="HP336" t="e">
        <f>'Technical Master Data'!355:355-"AM:!1uf"</f>
        <v>#VALUE!</v>
      </c>
      <c r="HQ336" t="e">
        <f>'Technical Master Data'!356:356-"AM:!1ug"</f>
        <v>#VALUE!</v>
      </c>
      <c r="HR336" t="e">
        <f>'Technical Master Data'!357:357-"AM:!1uh"</f>
        <v>#VALUE!</v>
      </c>
      <c r="HS336" t="e">
        <f>'Technical Master Data'!358:358-"AM:!1ui"</f>
        <v>#VALUE!</v>
      </c>
      <c r="HT336" t="e">
        <f>'Technical Master Data'!359:359-"AM:!1uj"</f>
        <v>#VALUE!</v>
      </c>
      <c r="HU336" t="e">
        <f>'Technical Master Data'!360:360-"AM:!1uk"</f>
        <v>#VALUE!</v>
      </c>
      <c r="HV336" t="e">
        <f>'Technical Master Data'!361:361-"AM:!1ul"</f>
        <v>#VALUE!</v>
      </c>
      <c r="HW336" t="e">
        <f>'Technical Master Data'!362:362-"AM:!1um"</f>
        <v>#VALUE!</v>
      </c>
      <c r="HX336" t="e">
        <f>'Technical Master Data'!363:363-"AM:!1un"</f>
        <v>#VALUE!</v>
      </c>
      <c r="HY336" t="e">
        <f>'Technical Master Data'!364:364-"AM:!1uo"</f>
        <v>#VALUE!</v>
      </c>
      <c r="HZ336" t="e">
        <f>'Technical Master Data'!365:365-"AM:!1up"</f>
        <v>#VALUE!</v>
      </c>
      <c r="IA336" t="e">
        <f>'Technical Master Data'!366:366-"AM:!1uq"</f>
        <v>#VALUE!</v>
      </c>
      <c r="IB336" t="e">
        <f>'Technical Master Data'!367:367-"AM:!1ur"</f>
        <v>#VALUE!</v>
      </c>
      <c r="IC336" t="e">
        <f>'Technical Master Data'!368:368-"AM:!1us"</f>
        <v>#VALUE!</v>
      </c>
      <c r="ID336" t="e">
        <f>'Technical Master Data'!369:369-"AM:!1ut"</f>
        <v>#VALUE!</v>
      </c>
      <c r="IE336" t="e">
        <f>'Technical Master Data'!370:370-"AM:!1uu"</f>
        <v>#VALUE!</v>
      </c>
      <c r="IF336" t="e">
        <f>'Technical Master Data'!371:371-"AM:!1uv"</f>
        <v>#VALUE!</v>
      </c>
      <c r="IG336" t="e">
        <f>'Technical Master Data'!372:372-"AM:!1uw"</f>
        <v>#VALUE!</v>
      </c>
      <c r="IH336" t="e">
        <f>'Technical Master Data'!373:373-"AM:!1ux"</f>
        <v>#VALUE!</v>
      </c>
      <c r="II336" t="e">
        <f>'Technical Master Data'!374:374-"AM:!1uy"</f>
        <v>#VALUE!</v>
      </c>
      <c r="IJ336" t="e">
        <f>'Technical Master Data'!375:375-"AM:!1uz"</f>
        <v>#VALUE!</v>
      </c>
      <c r="IK336" t="e">
        <f>'Technical Master Data'!376:376-"AM:!1u{"</f>
        <v>#VALUE!</v>
      </c>
      <c r="IL336" t="e">
        <f>'Technical Master Data'!377:377-"AM:!1u|"</f>
        <v>#VALUE!</v>
      </c>
      <c r="IM336" t="e">
        <f>'Technical Master Data'!378:378-"AM:!1u}"</f>
        <v>#VALUE!</v>
      </c>
      <c r="IN336" t="e">
        <f>'Technical Master Data'!379:379-"AM:!1u~"</f>
        <v>#VALUE!</v>
      </c>
      <c r="IO336" t="e">
        <f>'Technical Master Data'!380:380-"AM:!1v#"</f>
        <v>#VALUE!</v>
      </c>
      <c r="IP336" t="e">
        <f>'Technical Master Data'!381:381-"AM:!1v$"</f>
        <v>#VALUE!</v>
      </c>
      <c r="IQ336" t="e">
        <f>'Technical Master Data'!382:382-"AM:!1v%"</f>
        <v>#VALUE!</v>
      </c>
      <c r="IR336" t="e">
        <f>'Technical Master Data'!383:383-"AM:!1v&amp;"</f>
        <v>#VALUE!</v>
      </c>
      <c r="IS336" t="e">
        <f>'Technical Master Data'!384:384-"AM:!1v'"</f>
        <v>#VALUE!</v>
      </c>
      <c r="IT336" t="e">
        <f>'Technical Master Data'!385:385-"AM:!1v("</f>
        <v>#VALUE!</v>
      </c>
      <c r="IU336" t="e">
        <f>'Technical Master Data'!386:386-"AM:!1v)"</f>
        <v>#VALUE!</v>
      </c>
      <c r="IV336" t="e">
        <f>'Technical Master Data'!387:387-"AM:!1v."</f>
        <v>#VALUE!</v>
      </c>
    </row>
    <row r="337" spans="6:256">
      <c r="F337" t="e">
        <f>'Technical Master Data'!388:388-"AM:!1v/"</f>
        <v>#VALUE!</v>
      </c>
      <c r="G337" t="e">
        <f>'Technical Master Data'!389:389-"AM:!1v0"</f>
        <v>#VALUE!</v>
      </c>
      <c r="H337" t="e">
        <f>'Technical Master Data'!390:390-"AM:!1v1"</f>
        <v>#VALUE!</v>
      </c>
      <c r="I337" t="e">
        <f>'Technical Master Data'!391:391-"AM:!1v2"</f>
        <v>#VALUE!</v>
      </c>
      <c r="J337" t="e">
        <f>'Technical Master Data'!392:392-"AM:!1v3"</f>
        <v>#VALUE!</v>
      </c>
      <c r="K337" t="e">
        <f>'Technical Master Data'!393:393-"AM:!1v4"</f>
        <v>#VALUE!</v>
      </c>
      <c r="L337" t="e">
        <f>'Technical Master Data'!394:394-"AM:!1v5"</f>
        <v>#VALUE!</v>
      </c>
      <c r="M337" t="e">
        <f>'Technical Master Data'!395:395-"AM:!1v6"</f>
        <v>#VALUE!</v>
      </c>
      <c r="N337" t="e">
        <f>'Technical Master Data'!396:396-"AM:!1v7"</f>
        <v>#VALUE!</v>
      </c>
      <c r="O337" t="e">
        <f>'Technical Master Data'!397:397-"AM:!1v8"</f>
        <v>#VALUE!</v>
      </c>
      <c r="P337" t="e">
        <f>'Technical Master Data'!398:398-"AM:!1v9"</f>
        <v>#VALUE!</v>
      </c>
      <c r="Q337" t="e">
        <f>'Technical Master Data'!399:399-"AM:!1v:"</f>
        <v>#VALUE!</v>
      </c>
      <c r="R337" t="e">
        <f>'Technical Master Data'!400:400-"AM:!1v;"</f>
        <v>#VALUE!</v>
      </c>
      <c r="S337" t="e">
        <f>'Technical Master Data'!401:401-"AM:!1v&lt;"</f>
        <v>#VALUE!</v>
      </c>
      <c r="T337" t="e">
        <f>'Technical Master Data'!402:402-"AM:!1v="</f>
        <v>#VALUE!</v>
      </c>
      <c r="U337" t="e">
        <f>'Technical Master Data'!403:403-"AM:!1v&gt;"</f>
        <v>#VALUE!</v>
      </c>
      <c r="V337" t="e">
        <f>'Technical Master Data'!404:404-"AM:!1v?"</f>
        <v>#VALUE!</v>
      </c>
      <c r="W337" t="e">
        <f>'Technical Master Data'!405:405-"AM:!1v@"</f>
        <v>#VALUE!</v>
      </c>
      <c r="X337" t="e">
        <f>'Technical Master Data'!406:406-"AM:!1vA"</f>
        <v>#VALUE!</v>
      </c>
      <c r="Y337" t="e">
        <f>'Technical Master Data'!407:407-"AM:!1vB"</f>
        <v>#VALUE!</v>
      </c>
      <c r="Z337" t="e">
        <f>'Technical Master Data'!408:408-"AM:!1vC"</f>
        <v>#VALUE!</v>
      </c>
      <c r="AA337" t="e">
        <f>'Technical Master Data'!409:409-"AM:!1vD"</f>
        <v>#VALUE!</v>
      </c>
      <c r="AB337" t="e">
        <f>'Technical Master Data'!410:410-"AM:!1vE"</f>
        <v>#VALUE!</v>
      </c>
      <c r="AC337" t="e">
        <f>'Technical Master Data'!411:411-"AM:!1vF"</f>
        <v>#VALUE!</v>
      </c>
      <c r="AD337" t="e">
        <f>'Technical Master Data'!412:412-"AM:!1vG"</f>
        <v>#VALUE!</v>
      </c>
      <c r="AE337" t="e">
        <f>'Technical Master Data'!413:413-"AM:!1vH"</f>
        <v>#VALUE!</v>
      </c>
      <c r="AF337" t="e">
        <f>'Technical Master Data'!414:414-"AM:!1vI"</f>
        <v>#VALUE!</v>
      </c>
      <c r="AG337" t="e">
        <f>'Technical Master Data'!415:415-"AM:!1vJ"</f>
        <v>#VALUE!</v>
      </c>
      <c r="AH337" t="e">
        <f>'Technical Master Data'!416:416-"AM:!1vK"</f>
        <v>#VALUE!</v>
      </c>
      <c r="AI337" t="e">
        <f>'Technical Master Data'!417:417-"AM:!1vL"</f>
        <v>#VALUE!</v>
      </c>
      <c r="AJ337" t="e">
        <f>'Technical Master Data'!418:418-"AM:!1vM"</f>
        <v>#VALUE!</v>
      </c>
      <c r="AK337" t="e">
        <f>'Technical Master Data'!419:419-"AM:!1vN"</f>
        <v>#VALUE!</v>
      </c>
      <c r="AL337" t="e">
        <f>'Technical Master Data'!420:420-"AM:!1vO"</f>
        <v>#VALUE!</v>
      </c>
      <c r="AM337" t="e">
        <f>'Technical Master Data'!421:421-"AM:!1vP"</f>
        <v>#VALUE!</v>
      </c>
      <c r="AN337" t="e">
        <f>'Technical Master Data'!422:422-"AM:!1vQ"</f>
        <v>#VALUE!</v>
      </c>
      <c r="AO337" t="e">
        <f>'Technical Master Data'!423:423-"AM:!1vR"</f>
        <v>#VALUE!</v>
      </c>
      <c r="AP337" t="e">
        <f>'Technical Master Data'!424:424-"AM:!1vS"</f>
        <v>#VALUE!</v>
      </c>
      <c r="AQ337" t="e">
        <f>'Technical Master Data'!425:425-"AM:!1vT"</f>
        <v>#VALUE!</v>
      </c>
      <c r="AR337" t="e">
        <f>'Technical Master Data'!426:426-"AM:!1vU"</f>
        <v>#VALUE!</v>
      </c>
      <c r="AS337" t="e">
        <f>'Technical Master Data'!427:427-"AM:!1vV"</f>
        <v>#VALUE!</v>
      </c>
      <c r="AT337" t="e">
        <f>'Technical Master Data'!428:428-"AM:!1vW"</f>
        <v>#VALUE!</v>
      </c>
      <c r="AU337" t="e">
        <f>'Technical Master Data'!429:429-"AM:!1vX"</f>
        <v>#VALUE!</v>
      </c>
      <c r="AV337" t="e">
        <f>'Technical Master Data'!430:430-"AM:!1vY"</f>
        <v>#VALUE!</v>
      </c>
      <c r="AW337" t="e">
        <f>'Technical Master Data'!431:431-"AM:!1vZ"</f>
        <v>#VALUE!</v>
      </c>
      <c r="AX337" t="e">
        <f>'Technical Master Data'!432:432-"AM:!1v["</f>
        <v>#VALUE!</v>
      </c>
      <c r="AY337" t="e">
        <f>'Technical Master Data'!433:433-"AM:!1v\"</f>
        <v>#VALUE!</v>
      </c>
      <c r="AZ337" t="e">
        <f>'Technical Master Data'!434:434-"AM:!1v]"</f>
        <v>#VALUE!</v>
      </c>
      <c r="BA337" t="e">
        <f>'Technical Master Data'!435:435-"AM:!1v^"</f>
        <v>#VALUE!</v>
      </c>
      <c r="BB337" t="e">
        <f>'Technical Master Data'!436:436-"AM:!1v_"</f>
        <v>#VALUE!</v>
      </c>
      <c r="BC337" t="e">
        <f>'Technical Master Data'!437:437-"AM:!1v`"</f>
        <v>#VALUE!</v>
      </c>
      <c r="BD337" t="e">
        <f>'Technical Master Data'!438:438-"AM:!1va"</f>
        <v>#VALUE!</v>
      </c>
      <c r="BE337" t="e">
        <f>'Technical Master Data'!439:439-"AM:!1vb"</f>
        <v>#VALUE!</v>
      </c>
      <c r="BF337" t="e">
        <f>'Technical Master Data'!440:440-"AM:!1vc"</f>
        <v>#VALUE!</v>
      </c>
      <c r="BG337" t="e">
        <f>'Technical Master Data'!441:441-"AM:!1vd"</f>
        <v>#VALUE!</v>
      </c>
      <c r="BH337" t="e">
        <f>'Technical Master Data'!442:442-"AM:!1ve"</f>
        <v>#VALUE!</v>
      </c>
      <c r="BI337" t="e">
        <f>'Technical Master Data'!443:443-"AM:!1vf"</f>
        <v>#VALUE!</v>
      </c>
      <c r="BJ337" t="e">
        <f>'Technical Master Data'!444:444-"AM:!1vg"</f>
        <v>#VALUE!</v>
      </c>
      <c r="BK337" t="e">
        <f>'Technical Master Data'!445:445-"AM:!1vh"</f>
        <v>#VALUE!</v>
      </c>
      <c r="BL337" t="e">
        <f>'Technical Master Data'!446:446-"AM:!1vi"</f>
        <v>#VALUE!</v>
      </c>
      <c r="BM337" t="e">
        <f>'Technical Master Data'!447:447-"AM:!1vj"</f>
        <v>#VALUE!</v>
      </c>
      <c r="BN337" t="e">
        <f>'Technical Master Data'!448:448-"AM:!1vk"</f>
        <v>#VALUE!</v>
      </c>
      <c r="BO337" t="e">
        <f>'Technical Master Data'!449:449-"AM:!1vl"</f>
        <v>#VALUE!</v>
      </c>
      <c r="BP337" t="e">
        <f>'Technical Master Data'!450:450-"AM:!1vm"</f>
        <v>#VALUE!</v>
      </c>
      <c r="BQ337" t="e">
        <f>'Technical Master Data'!451:451-"AM:!1vn"</f>
        <v>#VALUE!</v>
      </c>
      <c r="BR337" t="e">
        <f>'Technical Master Data'!452:452-"AM:!1vo"</f>
        <v>#VALUE!</v>
      </c>
      <c r="BS337" t="e">
        <f>'Technical Master Data'!453:453-"AM:!1vp"</f>
        <v>#VALUE!</v>
      </c>
      <c r="BT337" t="e">
        <f>'Technical Master Data'!454:454-"AM:!1vq"</f>
        <v>#VALUE!</v>
      </c>
      <c r="BU337" t="e">
        <f>'Technical Master Data'!455:455-"AM:!1vr"</f>
        <v>#VALUE!</v>
      </c>
      <c r="BV337" t="e">
        <f>'Technical Master Data'!456:456-"AM:!1vs"</f>
        <v>#VALUE!</v>
      </c>
      <c r="BW337" t="e">
        <f>'Technical Master Data'!457:457-"AM:!1vt"</f>
        <v>#VALUE!</v>
      </c>
      <c r="BX337" t="e">
        <f>'Technical Master Data'!458:458-"AM:!1vu"</f>
        <v>#VALUE!</v>
      </c>
      <c r="BY337" t="e">
        <f>'Technical Master Data'!459:459-"AM:!1vv"</f>
        <v>#VALUE!</v>
      </c>
      <c r="BZ337" t="e">
        <f>'Technical Master Data'!460:460-"AM:!1vw"</f>
        <v>#VALUE!</v>
      </c>
      <c r="CA337" t="e">
        <f>'Technical Master Data'!461:461-"AM:!1vx"</f>
        <v>#VALUE!</v>
      </c>
      <c r="CB337" t="e">
        <f>'Technical Master Data'!462:462-"AM:!1vy"</f>
        <v>#VALUE!</v>
      </c>
      <c r="CC337" t="e">
        <f>'Technical Master Data'!463:463-"AM:!1vz"</f>
        <v>#VALUE!</v>
      </c>
      <c r="CD337" t="e">
        <f>'Technical Master Data'!464:464-"AM:!1v{"</f>
        <v>#VALUE!</v>
      </c>
      <c r="CE337" t="e">
        <f>'Technical Master Data'!465:465-"AM:!1v|"</f>
        <v>#VALUE!</v>
      </c>
      <c r="CF337" t="e">
        <f>'Technical Master Data'!466:466-"AM:!1v}"</f>
        <v>#VALUE!</v>
      </c>
      <c r="CG337" t="e">
        <f>'Technical Master Data'!467:467-"AM:!1v~"</f>
        <v>#VALUE!</v>
      </c>
      <c r="CH337" t="e">
        <f>'Technical Master Data'!468:468-"AM:!1w#"</f>
        <v>#VALUE!</v>
      </c>
      <c r="CI337" t="e">
        <f>'Technical Master Data'!469:469-"AM:!1w$"</f>
        <v>#VALUE!</v>
      </c>
      <c r="CJ337" t="e">
        <f>'Technical Master Data'!470:470-"AM:!1w%"</f>
        <v>#VALUE!</v>
      </c>
      <c r="CK337" t="e">
        <f>'Technical Master Data'!471:471-"AM:!1w&amp;"</f>
        <v>#VALUE!</v>
      </c>
      <c r="CL337" t="e">
        <f>'Technical Master Data'!472:472-"AM:!1w'"</f>
        <v>#VALUE!</v>
      </c>
      <c r="CM337" t="e">
        <f>'Technical Master Data'!473:473-"AM:!1w("</f>
        <v>#VALUE!</v>
      </c>
      <c r="CN337" t="e">
        <f>'Technical Master Data'!474:474-"AM:!1w)"</f>
        <v>#VALUE!</v>
      </c>
      <c r="CO337" t="e">
        <f>'Technical Master Data'!475:475-"AM:!1w."</f>
        <v>#VALUE!</v>
      </c>
      <c r="CP337" t="e">
        <f>'Technical Master Data'!476:476-"AM:!1w/"</f>
        <v>#VALUE!</v>
      </c>
      <c r="CQ337" t="e">
        <f>'Technical Master Data'!477:477-"AM:!1w0"</f>
        <v>#VALUE!</v>
      </c>
      <c r="CR337" t="e">
        <f>'Technical Master Data'!478:478-"AM:!1w1"</f>
        <v>#VALUE!</v>
      </c>
      <c r="CS337" t="e">
        <f>'Technical Master Data'!479:479-"AM:!1w2"</f>
        <v>#VALUE!</v>
      </c>
      <c r="CT337" t="e">
        <f>'Technical Master Data'!480:480-"AM:!1w3"</f>
        <v>#VALUE!</v>
      </c>
      <c r="CU337" t="e">
        <f>'Technical Master Data'!481:481-"AM:!1w4"</f>
        <v>#VALUE!</v>
      </c>
      <c r="CV337" t="e">
        <f>'Technical Master Data'!482:482-"AM:!1w5"</f>
        <v>#VALUE!</v>
      </c>
      <c r="CW337" t="e">
        <f>'Technical Master Data'!483:483-"AM:!1w6"</f>
        <v>#VALUE!</v>
      </c>
      <c r="CX337" t="e">
        <f>'Technical Master Data'!484:484-"AM:!1w7"</f>
        <v>#VALUE!</v>
      </c>
      <c r="CY337" t="e">
        <f>'Technical Master Data'!485:485-"AM:!1w8"</f>
        <v>#VALUE!</v>
      </c>
      <c r="CZ337" t="e">
        <f>'Technical Master Data'!486:486-"AM:!1w9"</f>
        <v>#VALUE!</v>
      </c>
      <c r="DA337" t="e">
        <f>'Technical Master Data'!487:487-"AM:!1w:"</f>
        <v>#VALUE!</v>
      </c>
      <c r="DB337" t="e">
        <f>'Technical Master Data'!488:488-"AM:!1w;"</f>
        <v>#VALUE!</v>
      </c>
      <c r="DC337" t="e">
        <f>'Technical Master Data'!489:489-"AM:!1w&lt;"</f>
        <v>#VALUE!</v>
      </c>
      <c r="DD337" t="e">
        <f>'Technical Master Data'!490:490-"AM:!1w="</f>
        <v>#VALUE!</v>
      </c>
      <c r="DE337" t="e">
        <f>'Technical Master Data'!491:491-"AM:!1w&gt;"</f>
        <v>#VALUE!</v>
      </c>
      <c r="DF337" t="e">
        <f>'Technical Master Data'!492:492-"AM:!1w?"</f>
        <v>#VALUE!</v>
      </c>
      <c r="DG337" t="e">
        <f>'Technical Master Data'!493:493-"AM:!1w@"</f>
        <v>#VALUE!</v>
      </c>
      <c r="DH337" t="e">
        <f>'Technical Master Data'!494:494-"AM:!1wA"</f>
        <v>#VALUE!</v>
      </c>
      <c r="DI337" t="e">
        <f>'Technical Master Data'!495:495-"AM:!1wB"</f>
        <v>#VALUE!</v>
      </c>
      <c r="DJ337" t="e">
        <f>'Technical Master Data'!496:496-"AM:!1wC"</f>
        <v>#VALUE!</v>
      </c>
      <c r="DK337" t="e">
        <f>'Technical Master Data'!497:497-"AM:!1wD"</f>
        <v>#VALUE!</v>
      </c>
      <c r="DL337" t="e">
        <f>'Technical Master Data'!498:498-"AM:!1wE"</f>
        <v>#VALUE!</v>
      </c>
      <c r="DM337" t="e">
        <f>'Technical Master Data'!499:499-"AM:!1wF"</f>
        <v>#VALUE!</v>
      </c>
      <c r="DN337" t="e">
        <f>'Technical Master Data'!500:500-"AM:!1wG"</f>
        <v>#VALUE!</v>
      </c>
      <c r="DO337" t="e">
        <f>'Technical Master Data'!501:501-"AM:!1wH"</f>
        <v>#VALUE!</v>
      </c>
      <c r="DP337" t="e">
        <f>'Technical Master Data'!502:502-"AM:!1wI"</f>
        <v>#VALUE!</v>
      </c>
      <c r="DQ337" t="e">
        <f>'Technical Master Data'!503:503-"AM:!1wJ"</f>
        <v>#VALUE!</v>
      </c>
      <c r="DR337" t="e">
        <f>'Technical Master Data'!504:504-"AM:!1wK"</f>
        <v>#VALUE!</v>
      </c>
      <c r="DS337" t="e">
        <f>'Technical Master Data'!505:505-"AM:!1wL"</f>
        <v>#VALUE!</v>
      </c>
      <c r="DT337" t="e">
        <f>'Technical Master Data'!506:506-"AM:!1wM"</f>
        <v>#VALUE!</v>
      </c>
      <c r="DU337" t="e">
        <f>'Technical Master Data'!507:507-"AM:!1wN"</f>
        <v>#VALUE!</v>
      </c>
      <c r="DV337" t="e">
        <f>'Technical Master Data'!508:508-"AM:!1wO"</f>
        <v>#VALUE!</v>
      </c>
      <c r="DW337" t="e">
        <f>'Technical Master Data'!509:509-"AM:!1wP"</f>
        <v>#VALUE!</v>
      </c>
      <c r="DX337" t="e">
        <f>'Technical Master Data'!510:510-"AM:!1wQ"</f>
        <v>#VALUE!</v>
      </c>
      <c r="DY337" t="e">
        <f>'Technical Master Data'!511:511-"AM:!1wR"</f>
        <v>#VALUE!</v>
      </c>
      <c r="DZ337" t="e">
        <f>'Technical Master Data'!512:512-"AM:!1wS"</f>
        <v>#VALUE!</v>
      </c>
      <c r="EA337" t="e">
        <f>'Technical Master Data'!513:513-"AM:!1wT"</f>
        <v>#VALUE!</v>
      </c>
      <c r="EB337" t="e">
        <f>'Technical Master Data'!514:514-"AM:!1wU"</f>
        <v>#VALUE!</v>
      </c>
      <c r="EC337" t="e">
        <f>'Technical Master Data'!515:515-"AM:!1wV"</f>
        <v>#VALUE!</v>
      </c>
      <c r="ED337" t="e">
        <f>'Technical Master Data'!516:516-"AM:!1wW"</f>
        <v>#VALUE!</v>
      </c>
      <c r="EE337" t="e">
        <f>'Technical Master Data'!517:517-"AM:!1wX"</f>
        <v>#VALUE!</v>
      </c>
      <c r="EF337" t="e">
        <f>'Technical Master Data'!518:518-"AM:!1wY"</f>
        <v>#VALUE!</v>
      </c>
      <c r="EG337" t="e">
        <f>'Technical Master Data'!519:519-"AM:!1wZ"</f>
        <v>#VALUE!</v>
      </c>
      <c r="EH337" t="e">
        <f>'Technical Master Data'!520:520-"AM:!1w["</f>
        <v>#VALUE!</v>
      </c>
      <c r="EI337" t="e">
        <f>'Technical Master Data'!521:521-"AM:!1w\"</f>
        <v>#VALUE!</v>
      </c>
      <c r="EJ337" t="e">
        <f>'Technical Master Data'!522:522-"AM:!1w]"</f>
        <v>#VALUE!</v>
      </c>
      <c r="EK337" t="e">
        <f>'Technical Master Data'!523:523-"AM:!1w^"</f>
        <v>#VALUE!</v>
      </c>
      <c r="EL337" t="e">
        <f>'Technical Master Data'!524:524-"AM:!1w_"</f>
        <v>#VALUE!</v>
      </c>
      <c r="EM337" t="e">
        <f>'Technical Master Data'!525:525-"AM:!1w`"</f>
        <v>#VALUE!</v>
      </c>
      <c r="EN337" t="e">
        <f>'Technical Master Data'!526:526-"AM:!1wa"</f>
        <v>#VALUE!</v>
      </c>
      <c r="EO337" t="e">
        <f>'Technical Master Data'!527:527-"AM:!1wb"</f>
        <v>#VALUE!</v>
      </c>
      <c r="EP337" t="e">
        <f>'Technical Master Data'!528:528-"AM:!1wc"</f>
        <v>#VALUE!</v>
      </c>
      <c r="EQ337" t="e">
        <f>'Technical Master Data'!529:529-"AM:!1wd"</f>
        <v>#VALUE!</v>
      </c>
      <c r="ER337" t="e">
        <f>'Technical Master Data'!530:530-"AM:!1we"</f>
        <v>#VALUE!</v>
      </c>
      <c r="ES337" t="e">
        <f>'Technical Master Data'!531:531-"AM:!1wf"</f>
        <v>#VALUE!</v>
      </c>
      <c r="ET337" t="e">
        <f>'Technical Master Data'!532:532-"AM:!1wg"</f>
        <v>#VALUE!</v>
      </c>
      <c r="EU337" t="e">
        <f>'Technical Master Data'!533:533-"AM:!1wh"</f>
        <v>#VALUE!</v>
      </c>
      <c r="EV337" t="e">
        <f>'Technical Master Data'!534:534-"AM:!1wi"</f>
        <v>#VALUE!</v>
      </c>
      <c r="EW337" t="e">
        <f>'Technical Master Data'!535:535-"AM:!1wj"</f>
        <v>#VALUE!</v>
      </c>
      <c r="EX337" t="e">
        <f>'Technical Master Data'!536:536-"AM:!1wk"</f>
        <v>#VALUE!</v>
      </c>
      <c r="EY337" t="e">
        <f>'Technical Master Data'!537:537-"AM:!1wl"</f>
        <v>#VALUE!</v>
      </c>
      <c r="EZ337" t="e">
        <f>'Technical Master Data'!538:538-"AM:!1wm"</f>
        <v>#VALUE!</v>
      </c>
      <c r="FA337" t="e">
        <f>'Technical Master Data'!539:539-"AM:!1wn"</f>
        <v>#VALUE!</v>
      </c>
      <c r="FB337" t="e">
        <f>'Technical Master Data'!540:540-"AM:!1wo"</f>
        <v>#VALUE!</v>
      </c>
      <c r="FC337" t="e">
        <f>'Technical Master Data'!541:541-"AM:!1wp"</f>
        <v>#VALUE!</v>
      </c>
      <c r="FD337" t="e">
        <f>'Technical Master Data'!542:542-"AM:!1wq"</f>
        <v>#VALUE!</v>
      </c>
      <c r="FE337" t="e">
        <f>'Technical Master Data'!543:543-"AM:!1wr"</f>
        <v>#VALUE!</v>
      </c>
      <c r="FF337" t="e">
        <f>'Technical Master Data'!544:544-"AM:!1ws"</f>
        <v>#VALUE!</v>
      </c>
      <c r="FG337" t="e">
        <f>'Technical Master Data'!545:545-"AM:!1wt"</f>
        <v>#VALUE!</v>
      </c>
      <c r="FH337" t="e">
        <f>'Technical Master Data'!546:546-"AM:!1wu"</f>
        <v>#VALUE!</v>
      </c>
      <c r="FI337" t="e">
        <f>'Technical Master Data'!547:547-"AM:!1wv"</f>
        <v>#VALUE!</v>
      </c>
      <c r="FJ337" t="e">
        <f>'Technical Master Data'!548:548-"AM:!1ww"</f>
        <v>#VALUE!</v>
      </c>
      <c r="FK337" t="e">
        <f>'Technical Master Data'!549:549-"AM:!1wx"</f>
        <v>#VALUE!</v>
      </c>
      <c r="FL337" t="e">
        <f>'Technical Master Data'!550:550-"AM:!1wy"</f>
        <v>#VALUE!</v>
      </c>
      <c r="FM337" t="e">
        <f>'Technical Master Data'!551:551-"AM:!1wz"</f>
        <v>#VALUE!</v>
      </c>
      <c r="FN337" t="e">
        <f>'Technical Master Data'!552:552-"AM:!1w{"</f>
        <v>#VALUE!</v>
      </c>
      <c r="FO337" t="e">
        <f>'Technical Master Data'!553:553-"AM:!1w|"</f>
        <v>#VALUE!</v>
      </c>
      <c r="FP337" t="e">
        <f>'Technical Master Data'!554:554-"AM:!1w}"</f>
        <v>#VALUE!</v>
      </c>
      <c r="FQ337" t="e">
        <f>'Technical Master Data'!555:555-"AM:!1w~"</f>
        <v>#VALUE!</v>
      </c>
      <c r="FR337" t="e">
        <f>'Technical Master Data'!556:556-"AM:!1x#"</f>
        <v>#VALUE!</v>
      </c>
      <c r="FS337" t="e">
        <f>'Technical Master Data'!557:557-"AM:!1x$"</f>
        <v>#VALUE!</v>
      </c>
      <c r="FT337" t="e">
        <f>'Technical Master Data'!558:558-"AM:!1x%"</f>
        <v>#VALUE!</v>
      </c>
      <c r="FU337" t="e">
        <f>'Technical Master Data'!559:559-"AM:!1x&amp;"</f>
        <v>#VALUE!</v>
      </c>
      <c r="FV337" t="e">
        <f>'Technical Master Data'!560:560-"AM:!1x'"</f>
        <v>#VALUE!</v>
      </c>
      <c r="FW337" t="e">
        <f>'Technical Master Data'!561:561-"AM:!1x("</f>
        <v>#VALUE!</v>
      </c>
      <c r="FX337" t="e">
        <f>'Technical Master Data'!562:562-"AM:!1x)"</f>
        <v>#VALUE!</v>
      </c>
      <c r="FY337" t="e">
        <f>'Technical Master Data'!563:563-"AM:!1x."</f>
        <v>#VALUE!</v>
      </c>
      <c r="FZ337" t="e">
        <f>'Technical Master Data'!564:564-"AM:!1x/"</f>
        <v>#VALUE!</v>
      </c>
      <c r="GA337" t="e">
        <f>'Technical Master Data'!565:565-"AM:!1x0"</f>
        <v>#VALUE!</v>
      </c>
      <c r="GB337" t="e">
        <f>'Technical Master Data'!566:566-"AM:!1x1"</f>
        <v>#VALUE!</v>
      </c>
      <c r="GC337" t="e">
        <f>'Technical Master Data'!567:567-"AM:!1x2"</f>
        <v>#VALUE!</v>
      </c>
      <c r="GD337" t="e">
        <f>'Technical Master Data'!568:568-"AM:!1x3"</f>
        <v>#VALUE!</v>
      </c>
      <c r="GE337" t="e">
        <f>'Technical Master Data'!569:569-"AM:!1x4"</f>
        <v>#VALUE!</v>
      </c>
      <c r="GF337" t="e">
        <f>'Technical Master Data'!570:570-"AM:!1x5"</f>
        <v>#VALUE!</v>
      </c>
      <c r="GG337" t="e">
        <f>'Technical Master Data'!571:571-"AM:!1x6"</f>
        <v>#VALUE!</v>
      </c>
      <c r="GH337" t="e">
        <f>'Technical Master Data'!572:572-"AM:!1x7"</f>
        <v>#VALUE!</v>
      </c>
      <c r="GI337" t="e">
        <f>'Technical Master Data'!573:573-"AM:!1x8"</f>
        <v>#VALUE!</v>
      </c>
      <c r="GJ337" t="e">
        <f>'Technical Master Data'!574:574-"AM:!1x9"</f>
        <v>#VALUE!</v>
      </c>
      <c r="GK337" t="e">
        <f>'Technical Master Data'!575:575-"AM:!1x:"</f>
        <v>#VALUE!</v>
      </c>
      <c r="GL337" t="e">
        <f>'Technical Master Data'!576:576-"AM:!1x;"</f>
        <v>#VALUE!</v>
      </c>
      <c r="GM337" t="e">
        <f>'Technical Master Data'!577:577-"AM:!1x&lt;"</f>
        <v>#VALUE!</v>
      </c>
      <c r="GN337" t="e">
        <f>'Technical Master Data'!578:578-"AM:!1x="</f>
        <v>#VALUE!</v>
      </c>
      <c r="GO337" t="e">
        <f>'Technical Master Data'!579:579-"AM:!1x&gt;"</f>
        <v>#VALUE!</v>
      </c>
      <c r="GP337" t="e">
        <f>'Technical Master Data'!580:580-"AM:!1x?"</f>
        <v>#VALUE!</v>
      </c>
      <c r="GQ337" t="e">
        <f>'Technical Master Data'!581:581-"AM:!1x@"</f>
        <v>#VALUE!</v>
      </c>
      <c r="GR337" t="e">
        <f>'Technical Master Data'!582:582-"AM:!1xA"</f>
        <v>#VALUE!</v>
      </c>
      <c r="GS337" t="e">
        <f>'Technical Master Data'!583:583-"AM:!1xB"</f>
        <v>#VALUE!</v>
      </c>
      <c r="GT337" t="e">
        <f>'Technical Master Data'!584:584-"AM:!1xC"</f>
        <v>#VALUE!</v>
      </c>
      <c r="GU337" t="e">
        <f>'Technical Master Data'!585:585-"AM:!1xD"</f>
        <v>#VALUE!</v>
      </c>
      <c r="GV337" t="e">
        <f>'Technical Master Data'!586:586-"AM:!1xE"</f>
        <v>#VALUE!</v>
      </c>
      <c r="GW337" t="e">
        <f>'Technical Master Data'!587:587-"AM:!1xF"</f>
        <v>#VALUE!</v>
      </c>
      <c r="GX337" t="e">
        <f>'Technical Master Data'!588:588-"AM:!1xG"</f>
        <v>#VALUE!</v>
      </c>
      <c r="GY337" t="e">
        <f>'Technical Master Data'!589:589-"AM:!1xH"</f>
        <v>#VALUE!</v>
      </c>
      <c r="GZ337" t="e">
        <f>'Technical Master Data'!590:590-"AM:!1xI"</f>
        <v>#VALUE!</v>
      </c>
      <c r="HA337" t="e">
        <f>'Technical Master Data'!591:591-"AM:!1xJ"</f>
        <v>#VALUE!</v>
      </c>
      <c r="HB337" t="e">
        <f>'Technical Master Data'!592:592-"AM:!1xK"</f>
        <v>#VALUE!</v>
      </c>
      <c r="HC337" t="e">
        <f>'Technical Master Data'!593:593-"AM:!1xL"</f>
        <v>#VALUE!</v>
      </c>
      <c r="HD337" t="e">
        <f>'Technical Master Data'!594:594-"AM:!1xM"</f>
        <v>#VALUE!</v>
      </c>
      <c r="HE337" t="e">
        <f>'Technical Master Data'!595:595-"AM:!1xN"</f>
        <v>#VALUE!</v>
      </c>
      <c r="HF337" t="e">
        <f>'Technical Master Data'!596:596-"AM:!1xO"</f>
        <v>#VALUE!</v>
      </c>
      <c r="HG337" t="e">
        <f>'Technical Master Data'!597:597-"AM:!1xP"</f>
        <v>#VALUE!</v>
      </c>
      <c r="HH337" t="e">
        <f>'Technical Master Data'!598:598-"AM:!1xQ"</f>
        <v>#VALUE!</v>
      </c>
      <c r="HI337" t="e">
        <f>'Technical Master Data'!599:599-"AM:!1xR"</f>
        <v>#VALUE!</v>
      </c>
      <c r="HJ337" t="e">
        <f>'Technical Master Data'!600:600-"AM:!1xS"</f>
        <v>#VALUE!</v>
      </c>
      <c r="HK337" t="e">
        <f>'Technical Master Data'!601:601-"AM:!1xT"</f>
        <v>#VALUE!</v>
      </c>
      <c r="HL337" t="e">
        <f>'Technical Master Data'!602:602-"AM:!1xU"</f>
        <v>#VALUE!</v>
      </c>
      <c r="HM337" t="e">
        <f>'Technical Master Data'!603:603-"AM:!1xV"</f>
        <v>#VALUE!</v>
      </c>
      <c r="HN337" t="e">
        <f>'Technical Master Data'!604:604-"AM:!1xW"</f>
        <v>#VALUE!</v>
      </c>
      <c r="HO337" t="e">
        <f>'Technical Master Data'!605:605-"AM:!1xX"</f>
        <v>#VALUE!</v>
      </c>
      <c r="HP337" t="e">
        <f>'Technical Master Data'!606:606-"AM:!1xY"</f>
        <v>#VALUE!</v>
      </c>
      <c r="HQ337" t="e">
        <f>'Technical Master Data'!607:607-"AM:!1xZ"</f>
        <v>#VALUE!</v>
      </c>
      <c r="HR337" t="e">
        <f>'Technical Master Data'!608:608-"AM:!1x["</f>
        <v>#VALUE!</v>
      </c>
      <c r="HS337" t="e">
        <f>'Technical Master Data'!609:609-"AM:!1x\"</f>
        <v>#VALUE!</v>
      </c>
      <c r="HT337" t="e">
        <f>'Technical Master Data'!610:610-"AM:!1x]"</f>
        <v>#VALUE!</v>
      </c>
      <c r="HU337" t="e">
        <f>'Technical Master Data'!611:611-"AM:!1x^"</f>
        <v>#VALUE!</v>
      </c>
      <c r="HV337" t="e">
        <f>'Technical Master Data'!612:612-"AM:!1x_"</f>
        <v>#VALUE!</v>
      </c>
      <c r="HW337" t="e">
        <f>'Technical Master Data'!613:613-"AM:!1x`"</f>
        <v>#VALUE!</v>
      </c>
      <c r="HX337" t="e">
        <f>'Technical Master Data'!614:614-"AM:!1xa"</f>
        <v>#VALUE!</v>
      </c>
      <c r="HY337" t="e">
        <f>'Technical Master Data'!615:615-"AM:!1xb"</f>
        <v>#VALUE!</v>
      </c>
      <c r="HZ337" t="e">
        <f>'Technical Master Data'!616:616-"AM:!1xc"</f>
        <v>#VALUE!</v>
      </c>
      <c r="IA337" t="e">
        <f>'Technical Master Data'!617:617-"AM:!1xd"</f>
        <v>#VALUE!</v>
      </c>
      <c r="IB337" t="e">
        <f>'Technical Master Data'!618:618-"AM:!1xe"</f>
        <v>#VALUE!</v>
      </c>
      <c r="IC337" t="e">
        <f>'Technical Master Data'!619:619-"AM:!1xf"</f>
        <v>#VALUE!</v>
      </c>
      <c r="ID337" t="e">
        <f>'Technical Master Data'!620:620-"AM:!1xg"</f>
        <v>#VALUE!</v>
      </c>
      <c r="IE337" t="e">
        <f>'Technical Master Data'!621:621-"AM:!1xh"</f>
        <v>#VALUE!</v>
      </c>
      <c r="IF337" t="e">
        <f>'Technical Master Data'!622:622-"AM:!1xi"</f>
        <v>#VALUE!</v>
      </c>
      <c r="IG337" t="e">
        <f>'Technical Master Data'!623:623-"AM:!1xj"</f>
        <v>#VALUE!</v>
      </c>
      <c r="IH337" t="e">
        <f>'Technical Master Data'!624:624-"AM:!1xk"</f>
        <v>#VALUE!</v>
      </c>
      <c r="II337" t="e">
        <f>'Technical Master Data'!625:625-"AM:!1xl"</f>
        <v>#VALUE!</v>
      </c>
      <c r="IJ337" t="e">
        <f>'Technical Master Data'!626:626-"AM:!1xm"</f>
        <v>#VALUE!</v>
      </c>
      <c r="IK337" t="e">
        <f>'Technical Master Data'!627:627-"AM:!1xn"</f>
        <v>#VALUE!</v>
      </c>
      <c r="IL337" t="e">
        <f>'Technical Master Data'!628:628-"AM:!1xo"</f>
        <v>#VALUE!</v>
      </c>
      <c r="IM337" t="e">
        <f>'Technical Master Data'!629:629-"AM:!1xp"</f>
        <v>#VALUE!</v>
      </c>
      <c r="IN337" t="e">
        <f>'Technical Master Data'!630:630-"AM:!1xq"</f>
        <v>#VALUE!</v>
      </c>
      <c r="IO337" t="e">
        <f>'Technical Master Data'!631:631-"AM:!1xr"</f>
        <v>#VALUE!</v>
      </c>
      <c r="IP337" t="e">
        <f>'Technical Master Data'!632:632-"AM:!1xs"</f>
        <v>#VALUE!</v>
      </c>
      <c r="IQ337" t="e">
        <f>'Technical Master Data'!633:633-"AM:!1xt"</f>
        <v>#VALUE!</v>
      </c>
      <c r="IR337" t="e">
        <f>'Technical Master Data'!634:634-"AM:!1xu"</f>
        <v>#VALUE!</v>
      </c>
      <c r="IS337" t="e">
        <f>'Technical Master Data'!635:635-"AM:!1xv"</f>
        <v>#VALUE!</v>
      </c>
      <c r="IT337" t="e">
        <f>'Technical Master Data'!636:636-"AM:!1xw"</f>
        <v>#VALUE!</v>
      </c>
      <c r="IU337" t="e">
        <f>'Technical Master Data'!637:637-"AM:!1xx"</f>
        <v>#VALUE!</v>
      </c>
      <c r="IV337" t="e">
        <f>'Technical Master Data'!638:638-"AM:!1xy"</f>
        <v>#VALUE!</v>
      </c>
    </row>
    <row r="338" spans="6:256">
      <c r="F338" t="e">
        <f>'Technical Master Data'!639:639-"AM:!1xz"</f>
        <v>#VALUE!</v>
      </c>
      <c r="G338" t="e">
        <f>'Technical Master Data'!640:640-"AM:!1x{"</f>
        <v>#VALUE!</v>
      </c>
      <c r="H338" t="e">
        <f>'Technical Master Data'!641:641-"AM:!1x|"</f>
        <v>#VALUE!</v>
      </c>
      <c r="I338" t="e">
        <f>'Technical Master Data'!642:642-"AM:!1x}"</f>
        <v>#VALUE!</v>
      </c>
      <c r="J338" t="e">
        <f>'Technical Master Data'!643:643-"AM:!1x~"</f>
        <v>#VALUE!</v>
      </c>
      <c r="K338" t="e">
        <f>'Technical Master Data'!644:644-"AM:!1y#"</f>
        <v>#VALUE!</v>
      </c>
      <c r="L338" t="e">
        <f>'Technical Master Data'!645:645-"AM:!1y$"</f>
        <v>#VALUE!</v>
      </c>
      <c r="M338" t="e">
        <f>'Technical Master Data'!646:646-"AM:!1y%"</f>
        <v>#VALUE!</v>
      </c>
      <c r="N338" t="e">
        <f>'Technical Master Data'!647:647-"AM:!1y&amp;"</f>
        <v>#VALUE!</v>
      </c>
      <c r="O338" t="e">
        <f>'Technical Master Data'!648:648-"AM:!1y'"</f>
        <v>#VALUE!</v>
      </c>
      <c r="P338" t="e">
        <f>'Technical Master Data'!649:649-"AM:!1y("</f>
        <v>#VALUE!</v>
      </c>
      <c r="Q338" t="e">
        <f>'Technical Master Data'!650:650-"AM:!1y)"</f>
        <v>#VALUE!</v>
      </c>
      <c r="R338" t="e">
        <f>'Technical Master Data'!651:651-"AM:!1y."</f>
        <v>#VALUE!</v>
      </c>
      <c r="S338" t="e">
        <f>'Technical Master Data'!652:652-"AM:!1y/"</f>
        <v>#VALUE!</v>
      </c>
      <c r="T338" t="e">
        <f>'Technical Master Data'!653:653-"AM:!1y0"</f>
        <v>#VALUE!</v>
      </c>
      <c r="U338" t="e">
        <f>'Technical Master Data'!654:654-"AM:!1y1"</f>
        <v>#VALUE!</v>
      </c>
      <c r="V338" t="e">
        <f>'Technical Master Data'!655:655-"AM:!1y2"</f>
        <v>#VALUE!</v>
      </c>
      <c r="W338" t="e">
        <f>'Technical Master Data'!656:656-"AM:!1y3"</f>
        <v>#VALUE!</v>
      </c>
      <c r="X338" t="e">
        <f>'Technical Master Data'!657:657-"AM:!1y4"</f>
        <v>#VALUE!</v>
      </c>
      <c r="Y338" t="e">
        <f>'Technical Master Data'!658:658-"AM:!1y5"</f>
        <v>#VALUE!</v>
      </c>
      <c r="Z338" t="e">
        <f>'Technical Master Data'!659:659-"AM:!1y6"</f>
        <v>#VALUE!</v>
      </c>
      <c r="AA338" t="e">
        <f>'Technical Master Data'!660:660-"AM:!1y7"</f>
        <v>#VALUE!</v>
      </c>
      <c r="AB338" t="e">
        <f>'Technical Master Data'!661:661-"AM:!1y8"</f>
        <v>#VALUE!</v>
      </c>
      <c r="AC338" t="e">
        <f>'Technical Master Data'!662:662-"AM:!1y9"</f>
        <v>#VALUE!</v>
      </c>
      <c r="AD338" t="e">
        <f>'Technical Master Data'!663:663-"AM:!1y:"</f>
        <v>#VALUE!</v>
      </c>
      <c r="AE338" t="e">
        <f>'Technical Master Data'!664:664-"AM:!1y;"</f>
        <v>#VALUE!</v>
      </c>
      <c r="AF338" t="e">
        <f>'Technical Master Data'!665:665-"AM:!1y&lt;"</f>
        <v>#VALUE!</v>
      </c>
      <c r="AG338" t="e">
        <f>'Technical Master Data'!666:666-"AM:!1y="</f>
        <v>#VALUE!</v>
      </c>
      <c r="AH338" t="e">
        <f>'Technical Master Data'!667:667-"AM:!1y&gt;"</f>
        <v>#VALUE!</v>
      </c>
      <c r="AI338" t="e">
        <f>'Technical Master Data'!668:668-"AM:!1y?"</f>
        <v>#VALUE!</v>
      </c>
      <c r="AJ338" t="e">
        <f>'Technical Master Data'!669:669-"AM:!1y@"</f>
        <v>#VALUE!</v>
      </c>
      <c r="AK338" t="e">
        <f>'Technical Master Data'!670:670-"AM:!1yA"</f>
        <v>#VALUE!</v>
      </c>
      <c r="AL338" t="e">
        <f>'Technical Master Data'!671:671-"AM:!1yB"</f>
        <v>#VALUE!</v>
      </c>
      <c r="AM338" t="e">
        <f>'Technical Master Data'!672:672-"AM:!1yC"</f>
        <v>#VALUE!</v>
      </c>
      <c r="AN338" t="e">
        <f>'Technical Master Data'!673:673-"AM:!1yD"</f>
        <v>#VALUE!</v>
      </c>
      <c r="AO338" t="e">
        <f>'Technical Master Data'!674:674-"AM:!1yE"</f>
        <v>#VALUE!</v>
      </c>
      <c r="AP338" t="e">
        <f>'Technical Master Data'!675:675-"AM:!1yF"</f>
        <v>#VALUE!</v>
      </c>
      <c r="AQ338" t="e">
        <f>'Technical Master Data'!676:676-"AM:!1yG"</f>
        <v>#VALUE!</v>
      </c>
      <c r="AR338" t="e">
        <f>'Technical Master Data'!677:677-"AM:!1yH"</f>
        <v>#VALUE!</v>
      </c>
      <c r="AS338" t="e">
        <f>'Technical Master Data'!678:678-"AM:!1yI"</f>
        <v>#VALUE!</v>
      </c>
      <c r="AT338" t="e">
        <f>'Technical Master Data'!679:679-"AM:!1yJ"</f>
        <v>#VALUE!</v>
      </c>
      <c r="AU338" t="e">
        <f>'Technical Master Data'!680:680-"AM:!1yK"</f>
        <v>#VALUE!</v>
      </c>
      <c r="AV338" t="e">
        <f>'Technical Master Data'!681:681-"AM:!1yL"</f>
        <v>#VALUE!</v>
      </c>
      <c r="AW338" t="e">
        <f>'Technical Master Data'!682:682-"AM:!1yM"</f>
        <v>#VALUE!</v>
      </c>
      <c r="AX338" t="e">
        <f>'Technical Master Data'!683:683-"AM:!1yN"</f>
        <v>#VALUE!</v>
      </c>
      <c r="AY338" t="e">
        <f>'Technical Master Data'!684:684-"AM:!1yO"</f>
        <v>#VALUE!</v>
      </c>
      <c r="AZ338" t="e">
        <f>'Technical Master Data'!685:685-"AM:!1yP"</f>
        <v>#VALUE!</v>
      </c>
      <c r="BA338" t="e">
        <f>'Technical Master Data'!686:686-"AM:!1yQ"</f>
        <v>#VALUE!</v>
      </c>
      <c r="BB338" t="e">
        <f>'Technical Master Data'!687:687-"AM:!1yR"</f>
        <v>#VALUE!</v>
      </c>
      <c r="BC338" t="e">
        <f>'Technical Master Data'!688:688-"AM:!1yS"</f>
        <v>#VALUE!</v>
      </c>
      <c r="BD338" t="e">
        <f>'Technical Master Data'!689:689-"AM:!1yT"</f>
        <v>#VALUE!</v>
      </c>
      <c r="BE338" t="e">
        <f>'Technical Master Data'!690:690-"AM:!1yU"</f>
        <v>#VALUE!</v>
      </c>
      <c r="BF338" t="e">
        <f>'Technical Master Data'!691:691-"AM:!1yV"</f>
        <v>#VALUE!</v>
      </c>
      <c r="BG338" t="e">
        <f>'Technical Master Data'!692:692-"AM:!1yW"</f>
        <v>#VALUE!</v>
      </c>
      <c r="BH338" t="e">
        <f>'Technical Master Data'!693:693-"AM:!1yX"</f>
        <v>#VALUE!</v>
      </c>
      <c r="BI338" t="e">
        <f>'Technical Master Data'!694:694-"AM:!1yY"</f>
        <v>#VALUE!</v>
      </c>
      <c r="BJ338" t="e">
        <f>'Technical Master Data'!695:695-"AM:!1yZ"</f>
        <v>#VALUE!</v>
      </c>
      <c r="BK338" t="e">
        <f>'Technical Master Data'!696:696-"AM:!1y["</f>
        <v>#VALUE!</v>
      </c>
      <c r="BL338" t="e">
        <f>'Technical Master Data'!697:697-"AM:!1y\"</f>
        <v>#VALUE!</v>
      </c>
      <c r="BM338" t="e">
        <f>'Technical Master Data'!698:698-"AM:!1y]"</f>
        <v>#VALUE!</v>
      </c>
      <c r="BN338" t="e">
        <f>'Technical Master Data'!699:699-"AM:!1y^"</f>
        <v>#VALUE!</v>
      </c>
      <c r="BO338" t="e">
        <f>'Technical Master Data'!700:700-"AM:!1y_"</f>
        <v>#VALUE!</v>
      </c>
      <c r="BP338" t="e">
        <f>'Technical Master Data'!701:701-"AM:!1y`"</f>
        <v>#VALUE!</v>
      </c>
      <c r="BQ338" t="e">
        <f>'Technical Master Data'!702:702-"AM:!1ya"</f>
        <v>#VALUE!</v>
      </c>
      <c r="BR338" t="e">
        <f>'Technical Master Data'!703:703-"AM:!1yb"</f>
        <v>#VALUE!</v>
      </c>
      <c r="BS338" t="e">
        <f>'Technical Master Data'!704:704-"AM:!1yc"</f>
        <v>#VALUE!</v>
      </c>
      <c r="BT338" t="e">
        <f>'Technical Master Data'!705:705-"AM:!1yd"</f>
        <v>#VALUE!</v>
      </c>
      <c r="BU338" t="e">
        <f>'Technical Master Data'!706:706-"AM:!1ye"</f>
        <v>#VALUE!</v>
      </c>
      <c r="BV338" t="e">
        <f>'Technical Master Data'!707:707-"AM:!1yf"</f>
        <v>#VALUE!</v>
      </c>
      <c r="BW338" t="e">
        <f>'Technical Master Data'!708:708-"AM:!1yg"</f>
        <v>#VALUE!</v>
      </c>
      <c r="BX338" t="e">
        <f>'Technical Master Data'!709:709-"AM:!1yh"</f>
        <v>#VALUE!</v>
      </c>
      <c r="BY338" t="e">
        <f>'Technical Master Data'!710:710-"AM:!1yi"</f>
        <v>#VALUE!</v>
      </c>
      <c r="BZ338" t="e">
        <f>'Technical Master Data'!711:711-"AM:!1yj"</f>
        <v>#VALUE!</v>
      </c>
      <c r="CA338" t="e">
        <f>'Technical Master Data'!712:712-"AM:!1yk"</f>
        <v>#VALUE!</v>
      </c>
      <c r="CB338" t="e">
        <f>'Technical Master Data'!713:713-"AM:!1yl"</f>
        <v>#VALUE!</v>
      </c>
      <c r="CC338" t="e">
        <f>'Technical Master Data'!714:714-"AM:!1ym"</f>
        <v>#VALUE!</v>
      </c>
      <c r="CD338" t="e">
        <f>'Technical Master Data'!715:715-"AM:!1yn"</f>
        <v>#VALUE!</v>
      </c>
      <c r="CE338" t="e">
        <f>'Technical Master Data'!716:716-"AM:!1yo"</f>
        <v>#VALUE!</v>
      </c>
      <c r="CF338" t="e">
        <f>'Technical Master Data'!717:717-"AM:!1yp"</f>
        <v>#VALUE!</v>
      </c>
      <c r="CG338" t="e">
        <f>'Technical Master Data'!718:718-"AM:!1yq"</f>
        <v>#VALUE!</v>
      </c>
      <c r="CH338" t="e">
        <f>'Technical Master Data'!719:719-"AM:!1yr"</f>
        <v>#VALUE!</v>
      </c>
      <c r="CI338" t="e">
        <f>'Technical Master Data'!720:720-"AM:!1ys"</f>
        <v>#VALUE!</v>
      </c>
      <c r="CJ338" t="e">
        <f>'Technical Master Data'!721:721-"AM:!1yt"</f>
        <v>#VALUE!</v>
      </c>
      <c r="CK338" t="e">
        <f>'Technical Master Data'!722:722-"AM:!1yu"</f>
        <v>#VALUE!</v>
      </c>
      <c r="CL338" t="e">
        <f>'Technical Master Data'!723:723-"AM:!1yv"</f>
        <v>#VALUE!</v>
      </c>
      <c r="CM338" t="e">
        <f>'Technical Master Data'!724:724-"AM:!1yw"</f>
        <v>#VALUE!</v>
      </c>
      <c r="CN338" t="e">
        <f>'Technical Master Data'!725:725-"AM:!1yx"</f>
        <v>#VALUE!</v>
      </c>
      <c r="CO338" t="e">
        <f>'Technical Master Data'!726:726-"AM:!1yy"</f>
        <v>#VALUE!</v>
      </c>
      <c r="CP338" t="e">
        <f>'Technical Master Data'!727:727-"AM:!1yz"</f>
        <v>#VALUE!</v>
      </c>
      <c r="CQ338" t="e">
        <f>'Technical Master Data'!728:728-"AM:!1y{"</f>
        <v>#VALUE!</v>
      </c>
      <c r="CR338" t="e">
        <f>'Technical Master Data'!729:729-"AM:!1y|"</f>
        <v>#VALUE!</v>
      </c>
      <c r="CS338" t="e">
        <f>'Technical Master Data'!730:730-"AM:!1y}"</f>
        <v>#VALUE!</v>
      </c>
      <c r="CT338" t="e">
        <f>'Technical Master Data'!731:731-"AM:!1y~"</f>
        <v>#VALUE!</v>
      </c>
      <c r="CU338" t="e">
        <f>'Technical Master Data'!A1+"AM:!1z#"</f>
        <v>#VALUE!</v>
      </c>
      <c r="CV338" t="e">
        <f>'Technical Master Data'!B1+"AM:!1z$"</f>
        <v>#VALUE!</v>
      </c>
      <c r="CW338" t="e">
        <f>'Technical Master Data'!C1+"AM:!1z%"</f>
        <v>#VALUE!</v>
      </c>
      <c r="CX338" t="e">
        <f>'Technical Master Data'!D1+"AM:!1z&amp;"</f>
        <v>#VALUE!</v>
      </c>
      <c r="CY338" t="e">
        <f>'Technical Master Data'!E1+"AM:!1z'"</f>
        <v>#VALUE!</v>
      </c>
      <c r="CZ338" t="e">
        <f>'Technical Master Data'!F1+"AM:!1z("</f>
        <v>#VALUE!</v>
      </c>
      <c r="DA338" t="e">
        <f>'Technical Master Data'!G1+"AM:!1z)"</f>
        <v>#VALUE!</v>
      </c>
      <c r="DB338" t="e">
        <f>'Technical Master Data'!H1+"AM:!1z."</f>
        <v>#VALUE!</v>
      </c>
      <c r="DC338" t="e">
        <f>'Technical Master Data'!I1+"AM:!1z/"</f>
        <v>#VALUE!</v>
      </c>
      <c r="DD338" t="e">
        <f>'Technical Master Data'!J1+"AM:!1z0"</f>
        <v>#VALUE!</v>
      </c>
      <c r="DE338" t="e">
        <f>'Technical Master Data'!K1+"AM:!1z1"</f>
        <v>#VALUE!</v>
      </c>
      <c r="DF338" t="e">
        <f>'Technical Master Data'!L1+"AM:!1z2"</f>
        <v>#VALUE!</v>
      </c>
      <c r="DG338" t="e">
        <f>'Technical Master Data'!M1+"AM:!1z3"</f>
        <v>#VALUE!</v>
      </c>
      <c r="DH338" t="e">
        <f>'Technical Master Data'!N1+"AM:!1z4"</f>
        <v>#VALUE!</v>
      </c>
      <c r="DI338" t="e">
        <f>'Technical Master Data'!O1+"AM:!1z5"</f>
        <v>#VALUE!</v>
      </c>
      <c r="DJ338" t="e">
        <f>'Technical Master Data'!P1+"AM:!1z6"</f>
        <v>#VALUE!</v>
      </c>
      <c r="DK338" t="e">
        <f>'Technical Master Data'!Q1+"AM:!1z7"</f>
        <v>#VALUE!</v>
      </c>
      <c r="DL338" t="e">
        <f>'Technical Master Data'!R1+"AM:!1z8"</f>
        <v>#VALUE!</v>
      </c>
      <c r="DM338" t="e">
        <f>'Technical Master Data'!S1+"AM:!1z9"</f>
        <v>#VALUE!</v>
      </c>
      <c r="DN338" t="e">
        <f>'Technical Master Data'!A2+"AM:!1z:"</f>
        <v>#VALUE!</v>
      </c>
      <c r="DO338" t="e">
        <f>'Technical Master Data'!B2+"AM:!1z;"</f>
        <v>#VALUE!</v>
      </c>
      <c r="DP338" t="e">
        <f>'Technical Master Data'!C2+"AM:!1z&lt;"</f>
        <v>#VALUE!</v>
      </c>
      <c r="DQ338" t="e">
        <f>'Technical Master Data'!D2+"AM:!1z="</f>
        <v>#VALUE!</v>
      </c>
      <c r="DR338" t="e">
        <f>'Technical Master Data'!E2+"AM:!1z&gt;"</f>
        <v>#VALUE!</v>
      </c>
      <c r="DS338" t="e">
        <f>'Technical Master Data'!F2+"AM:!1z?"</f>
        <v>#VALUE!</v>
      </c>
      <c r="DT338" t="e">
        <f>'Technical Master Data'!G2+"AM:!1z@"</f>
        <v>#VALUE!</v>
      </c>
      <c r="DU338" t="e">
        <f>'Technical Master Data'!H2+"AM:!1zA"</f>
        <v>#VALUE!</v>
      </c>
      <c r="DV338" t="e">
        <f>'Technical Master Data'!I2+"AM:!1zB"</f>
        <v>#VALUE!</v>
      </c>
      <c r="DW338" t="e">
        <f>'Technical Master Data'!J2+"AM:!1zC"</f>
        <v>#VALUE!</v>
      </c>
      <c r="DX338" t="e">
        <f>'Technical Master Data'!K2+"AM:!1zD"</f>
        <v>#VALUE!</v>
      </c>
      <c r="DY338" t="e">
        <f>'Technical Master Data'!L2+"AM:!1zE"</f>
        <v>#VALUE!</v>
      </c>
      <c r="DZ338" t="e">
        <f>'Technical Master Data'!M2+"AM:!1zF"</f>
        <v>#VALUE!</v>
      </c>
      <c r="EA338" t="e">
        <f>'Technical Master Data'!N2+"AM:!1zG"</f>
        <v>#VALUE!</v>
      </c>
      <c r="EB338" t="e">
        <f>'Technical Master Data'!O2+"AM:!1zH"</f>
        <v>#VALUE!</v>
      </c>
      <c r="EC338" t="e">
        <f>'Technical Master Data'!P2+"AM:!1zI"</f>
        <v>#VALUE!</v>
      </c>
      <c r="ED338" t="e">
        <f>'Technical Master Data'!Q2+"AM:!1zJ"</f>
        <v>#VALUE!</v>
      </c>
      <c r="EE338" t="e">
        <f>'Technical Master Data'!R2+"AM:!1zK"</f>
        <v>#VALUE!</v>
      </c>
      <c r="EF338" t="e">
        <f>'Technical Master Data'!S2+"AM:!1zL"</f>
        <v>#VALUE!</v>
      </c>
      <c r="EG338" t="e">
        <f>'Technical Master Data'!A3+"AM:!1zM"</f>
        <v>#VALUE!</v>
      </c>
      <c r="EH338" t="e">
        <f>'Technical Master Data'!B3+"AM:!1zN"</f>
        <v>#VALUE!</v>
      </c>
      <c r="EI338" t="e">
        <f>'Technical Master Data'!C3+"AM:!1zO"</f>
        <v>#VALUE!</v>
      </c>
      <c r="EJ338" t="e">
        <f>'Technical Master Data'!D3+"AM:!1zP"</f>
        <v>#VALUE!</v>
      </c>
      <c r="EK338" t="e">
        <f>'Technical Master Data'!E3+"AM:!1zQ"</f>
        <v>#VALUE!</v>
      </c>
      <c r="EL338" t="e">
        <f>'Technical Master Data'!F3+"AM:!1zR"</f>
        <v>#VALUE!</v>
      </c>
      <c r="EM338" t="e">
        <f>'Technical Master Data'!G3+"AM:!1zS"</f>
        <v>#VALUE!</v>
      </c>
      <c r="EN338" t="e">
        <f>'Technical Master Data'!H3+"AM:!1zT"</f>
        <v>#VALUE!</v>
      </c>
      <c r="EO338" t="e">
        <f>'Technical Master Data'!I3+"AM:!1zU"</f>
        <v>#VALUE!</v>
      </c>
      <c r="EP338" t="e">
        <f>'Technical Master Data'!J3+"AM:!1zV"</f>
        <v>#VALUE!</v>
      </c>
      <c r="EQ338" t="e">
        <f>'Technical Master Data'!K3+"AM:!1zW"</f>
        <v>#VALUE!</v>
      </c>
      <c r="ER338" t="e">
        <f>'Technical Master Data'!L3+"AM:!1zX"</f>
        <v>#VALUE!</v>
      </c>
      <c r="ES338" t="e">
        <f>'Technical Master Data'!M3+"AM:!1zY"</f>
        <v>#VALUE!</v>
      </c>
      <c r="ET338" t="e">
        <f>'Technical Master Data'!N3+"AM:!1zZ"</f>
        <v>#VALUE!</v>
      </c>
      <c r="EU338" t="e">
        <f>'Technical Master Data'!O3+"AM:!1z["</f>
        <v>#VALUE!</v>
      </c>
      <c r="EV338" t="e">
        <f>'Technical Master Data'!P3+"AM:!1z\"</f>
        <v>#VALUE!</v>
      </c>
      <c r="EW338" t="e">
        <f>'Technical Master Data'!Q3+"AM:!1z]"</f>
        <v>#VALUE!</v>
      </c>
      <c r="EX338" t="e">
        <f>'Technical Master Data'!R3+"AM:!1z^"</f>
        <v>#VALUE!</v>
      </c>
      <c r="EY338" t="e">
        <f>'Technical Master Data'!S3+"AM:!1z_"</f>
        <v>#VALUE!</v>
      </c>
      <c r="EZ338" t="e">
        <f>'Technical Master Data'!A4+"AM:!1z`"</f>
        <v>#VALUE!</v>
      </c>
      <c r="FA338" t="e">
        <f>'Technical Master Data'!B4+"AM:!1za"</f>
        <v>#VALUE!</v>
      </c>
      <c r="FB338" t="e">
        <f>'Technical Master Data'!C4+"AM:!1zb"</f>
        <v>#VALUE!</v>
      </c>
      <c r="FC338" t="e">
        <f>'Technical Master Data'!D4+"AM:!1zc"</f>
        <v>#VALUE!</v>
      </c>
      <c r="FD338" t="e">
        <f>'Technical Master Data'!E4+"AM:!1zd"</f>
        <v>#VALUE!</v>
      </c>
      <c r="FE338" t="e">
        <f>'Technical Master Data'!F4+"AM:!1ze"</f>
        <v>#VALUE!</v>
      </c>
      <c r="FF338" t="e">
        <f>'Technical Master Data'!G4+"AM:!1zf"</f>
        <v>#VALUE!</v>
      </c>
      <c r="FG338" t="e">
        <f>'Technical Master Data'!H4+"AM:!1zg"</f>
        <v>#VALUE!</v>
      </c>
      <c r="FH338" t="e">
        <f>'Technical Master Data'!I4+"AM:!1zh"</f>
        <v>#VALUE!</v>
      </c>
      <c r="FI338" t="e">
        <f>'Technical Master Data'!J4+"AM:!1zi"</f>
        <v>#VALUE!</v>
      </c>
      <c r="FJ338" t="e">
        <f>'Technical Master Data'!K4+"AM:!1zj"</f>
        <v>#VALUE!</v>
      </c>
      <c r="FK338" t="e">
        <f>'Technical Master Data'!L4+"AM:!1zk"</f>
        <v>#VALUE!</v>
      </c>
      <c r="FL338" t="e">
        <f>'Technical Master Data'!M4+"AM:!1zl"</f>
        <v>#VALUE!</v>
      </c>
      <c r="FM338" t="e">
        <f>'Technical Master Data'!N4+"AM:!1zm"</f>
        <v>#VALUE!</v>
      </c>
      <c r="FN338" t="e">
        <f>'Technical Master Data'!O4+"AM:!1zn"</f>
        <v>#VALUE!</v>
      </c>
      <c r="FO338" t="e">
        <f>'Technical Master Data'!P4+"AM:!1zo"</f>
        <v>#VALUE!</v>
      </c>
      <c r="FP338" t="e">
        <f>'Technical Master Data'!Q4+"AM:!1zp"</f>
        <v>#VALUE!</v>
      </c>
      <c r="FQ338" t="e">
        <f>'Technical Master Data'!R4+"AM:!1zq"</f>
        <v>#VALUE!</v>
      </c>
      <c r="FR338" t="e">
        <f>'Technical Master Data'!S4+"AM:!1zr"</f>
        <v>#VALUE!</v>
      </c>
      <c r="FS338" t="e">
        <f>'Technical Master Data'!A5+"AM:!1zs"</f>
        <v>#VALUE!</v>
      </c>
      <c r="FT338" t="e">
        <f>'Technical Master Data'!B5+"AM:!1zt"</f>
        <v>#VALUE!</v>
      </c>
      <c r="FU338" t="e">
        <f>'Technical Master Data'!C5+"AM:!1zu"</f>
        <v>#VALUE!</v>
      </c>
      <c r="FV338" t="e">
        <f>'Technical Master Data'!D5+"AM:!1zv"</f>
        <v>#VALUE!</v>
      </c>
      <c r="FW338" t="e">
        <f>'Technical Master Data'!E5+"AM:!1zw"</f>
        <v>#VALUE!</v>
      </c>
      <c r="FX338" t="e">
        <f>'Technical Master Data'!F5+"AM:!1zx"</f>
        <v>#VALUE!</v>
      </c>
      <c r="FY338" t="e">
        <f>'Technical Master Data'!G5+"AM:!1zy"</f>
        <v>#VALUE!</v>
      </c>
      <c r="FZ338" t="e">
        <f>'Technical Master Data'!H5+"AM:!1zz"</f>
        <v>#VALUE!</v>
      </c>
      <c r="GA338" t="e">
        <f>'Technical Master Data'!I5+"AM:!1z{"</f>
        <v>#VALUE!</v>
      </c>
      <c r="GB338" t="e">
        <f>'Technical Master Data'!J5+"AM:!1z|"</f>
        <v>#VALUE!</v>
      </c>
      <c r="GC338" t="e">
        <f>'Technical Master Data'!K5+"AM:!1z}"</f>
        <v>#VALUE!</v>
      </c>
      <c r="GD338" t="e">
        <f>'Technical Master Data'!L5+"AM:!1z~"</f>
        <v>#VALUE!</v>
      </c>
      <c r="GE338" t="e">
        <f>'Technical Master Data'!M5+"AM:!1{#"</f>
        <v>#VALUE!</v>
      </c>
      <c r="GF338" t="e">
        <f>'Technical Master Data'!N5+"AM:!1{$"</f>
        <v>#VALUE!</v>
      </c>
      <c r="GG338" t="e">
        <f>'Technical Master Data'!O5+"AM:!1{%"</f>
        <v>#VALUE!</v>
      </c>
      <c r="GH338" t="e">
        <f>'Technical Master Data'!P5+"AM:!1{&amp;"</f>
        <v>#VALUE!</v>
      </c>
      <c r="GI338" t="e">
        <f>'Technical Master Data'!Q5+"AM:!1{'"</f>
        <v>#VALUE!</v>
      </c>
      <c r="GJ338" t="e">
        <f>'Technical Master Data'!R5+"AM:!1{("</f>
        <v>#VALUE!</v>
      </c>
      <c r="GK338" t="e">
        <f>'Technical Master Data'!S5+"AM:!1{)"</f>
        <v>#VALUE!</v>
      </c>
      <c r="GL338" t="e">
        <f>'Technical Master Data'!A6+"AM:!1{."</f>
        <v>#VALUE!</v>
      </c>
      <c r="GM338" t="e">
        <f>'Technical Master Data'!B6+"AM:!1{/"</f>
        <v>#VALUE!</v>
      </c>
      <c r="GN338" t="e">
        <f>'Technical Master Data'!C6+"AM:!1{0"</f>
        <v>#VALUE!</v>
      </c>
      <c r="GO338" t="e">
        <f>'Technical Master Data'!D6+"AM:!1{1"</f>
        <v>#VALUE!</v>
      </c>
      <c r="GP338" t="e">
        <f>'Technical Master Data'!E6+"AM:!1{2"</f>
        <v>#VALUE!</v>
      </c>
      <c r="GQ338" t="e">
        <f>'Technical Master Data'!F6+"AM:!1{3"</f>
        <v>#VALUE!</v>
      </c>
      <c r="GR338" t="e">
        <f>'Technical Master Data'!G6+"AM:!1{4"</f>
        <v>#VALUE!</v>
      </c>
      <c r="GS338" t="e">
        <f>'Technical Master Data'!H6+"AM:!1{5"</f>
        <v>#VALUE!</v>
      </c>
      <c r="GT338" t="e">
        <f>'Technical Master Data'!I6+"AM:!1{6"</f>
        <v>#VALUE!</v>
      </c>
      <c r="GU338" t="e">
        <f>'Technical Master Data'!J6+"AM:!1{7"</f>
        <v>#VALUE!</v>
      </c>
      <c r="GV338" s="105" t="e">
        <f>'Technical Master Data'!K6+"AM:!1{8"</f>
        <v>#VALUE!</v>
      </c>
      <c r="GW338" s="105" t="e">
        <f>'Technical Master Data'!L6+"AM:!1{9"</f>
        <v>#VALUE!</v>
      </c>
      <c r="GX338" s="105" t="e">
        <f>'Technical Master Data'!M6+"AM:!1{:"</f>
        <v>#VALUE!</v>
      </c>
      <c r="GY338" s="105" t="e">
        <f>'Technical Master Data'!N6+"AM:!1{;"</f>
        <v>#VALUE!</v>
      </c>
      <c r="GZ338" s="105" t="e">
        <f>'Technical Master Data'!O6+"AM:!1{&lt;"</f>
        <v>#VALUE!</v>
      </c>
      <c r="HA338" s="105" t="e">
        <f>'Technical Master Data'!P6+"AM:!1{="</f>
        <v>#VALUE!</v>
      </c>
      <c r="HB338" t="e">
        <f>'Technical Master Data'!Q6+"AM:!1{&gt;"</f>
        <v>#VALUE!</v>
      </c>
      <c r="HC338" t="e">
        <f>'Technical Master Data'!R6+"AM:!1{?"</f>
        <v>#VALUE!</v>
      </c>
      <c r="HD338" t="e">
        <f>'Technical Master Data'!S6+"AM:!1{@"</f>
        <v>#VALUE!</v>
      </c>
      <c r="HE338" t="e">
        <f>'Technical Master Data'!A7+"AM:!1{A"</f>
        <v>#VALUE!</v>
      </c>
      <c r="HF338" t="e">
        <f>'Technical Master Data'!B7+"AM:!1{B"</f>
        <v>#VALUE!</v>
      </c>
      <c r="HG338" t="e">
        <f>'Technical Master Data'!C7+"AM:!1{C"</f>
        <v>#VALUE!</v>
      </c>
      <c r="HH338" t="e">
        <f>'Technical Master Data'!D7+"AM:!1{D"</f>
        <v>#VALUE!</v>
      </c>
      <c r="HI338" t="e">
        <f>'Technical Master Data'!E7+"AM:!1{E"</f>
        <v>#VALUE!</v>
      </c>
      <c r="HJ338" t="e">
        <f>'Technical Master Data'!F7+"AM:!1{F"</f>
        <v>#VALUE!</v>
      </c>
      <c r="HK338" t="e">
        <f>'Technical Master Data'!G7+"AM:!1{G"</f>
        <v>#VALUE!</v>
      </c>
      <c r="HL338" t="e">
        <f>'Technical Master Data'!H7+"AM:!1{H"</f>
        <v>#VALUE!</v>
      </c>
      <c r="HM338" t="e">
        <f>'Technical Master Data'!I7+"AM:!1{I"</f>
        <v>#VALUE!</v>
      </c>
      <c r="HN338" t="e">
        <f>'Technical Master Data'!J7+"AM:!1{J"</f>
        <v>#VALUE!</v>
      </c>
      <c r="HO338" s="105" t="e">
        <f>'Technical Master Data'!K7+"AM:!1{K"</f>
        <v>#VALUE!</v>
      </c>
      <c r="HP338" s="105" t="e">
        <f>'Technical Master Data'!L7+"AM:!1{L"</f>
        <v>#VALUE!</v>
      </c>
      <c r="HQ338" s="105" t="e">
        <f>'Technical Master Data'!M7+"AM:!1{M"</f>
        <v>#VALUE!</v>
      </c>
      <c r="HR338" s="105" t="e">
        <f>'Technical Master Data'!N7+"AM:!1{N"</f>
        <v>#VALUE!</v>
      </c>
      <c r="HS338" s="105" t="e">
        <f>'Technical Master Data'!O7+"AM:!1{O"</f>
        <v>#VALUE!</v>
      </c>
      <c r="HT338" s="105" t="e">
        <f>'Technical Master Data'!P7+"AM:!1{P"</f>
        <v>#VALUE!</v>
      </c>
      <c r="HU338" t="e">
        <f>'Technical Master Data'!Q7+"AM:!1{Q"</f>
        <v>#VALUE!</v>
      </c>
      <c r="HV338" t="e">
        <f>'Technical Master Data'!R7+"AM:!1{R"</f>
        <v>#VALUE!</v>
      </c>
      <c r="HW338" t="e">
        <f>'Technical Master Data'!S7+"AM:!1{S"</f>
        <v>#VALUE!</v>
      </c>
      <c r="HX338" t="e">
        <f>'Technical Master Data'!A8+"AM:!1{T"</f>
        <v>#VALUE!</v>
      </c>
      <c r="HY338" t="e">
        <f>'Technical Master Data'!B8+"AM:!1{U"</f>
        <v>#VALUE!</v>
      </c>
      <c r="HZ338" t="e">
        <f>'Technical Master Data'!C8+"AM:!1{V"</f>
        <v>#VALUE!</v>
      </c>
      <c r="IA338" t="e">
        <f>'Technical Master Data'!D8+"AM:!1{W"</f>
        <v>#VALUE!</v>
      </c>
      <c r="IB338" t="e">
        <f>'Technical Master Data'!E8+"AM:!1{X"</f>
        <v>#VALUE!</v>
      </c>
      <c r="IC338" t="e">
        <f>'Technical Master Data'!F8+"AM:!1{Y"</f>
        <v>#VALUE!</v>
      </c>
      <c r="ID338" t="e">
        <f>'Technical Master Data'!G8+"AM:!1{Z"</f>
        <v>#VALUE!</v>
      </c>
      <c r="IE338" t="e">
        <f>'Technical Master Data'!H8+"AM:!1{["</f>
        <v>#VALUE!</v>
      </c>
      <c r="IF338" t="e">
        <f>'Technical Master Data'!I8+"AM:!1{\"</f>
        <v>#VALUE!</v>
      </c>
      <c r="IG338" t="e">
        <f>'Technical Master Data'!J8+"AM:!1{]"</f>
        <v>#VALUE!</v>
      </c>
      <c r="IH338" s="105" t="e">
        <f>'Technical Master Data'!K8+"AM:!1{^"</f>
        <v>#VALUE!</v>
      </c>
      <c r="II338" s="105" t="e">
        <f>'Technical Master Data'!L8+"AM:!1{_"</f>
        <v>#VALUE!</v>
      </c>
      <c r="IJ338" s="105" t="e">
        <f>'Technical Master Data'!M8+"AM:!1{`"</f>
        <v>#VALUE!</v>
      </c>
      <c r="IK338" s="105" t="e">
        <f>'Technical Master Data'!N8+"AM:!1{a"</f>
        <v>#VALUE!</v>
      </c>
      <c r="IL338" s="105" t="e">
        <f>'Technical Master Data'!O8+"AM:!1{b"</f>
        <v>#VALUE!</v>
      </c>
      <c r="IM338" s="105" t="e">
        <f>'Technical Master Data'!P8+"AM:!1{c"</f>
        <v>#VALUE!</v>
      </c>
      <c r="IN338" t="e">
        <f>'Technical Master Data'!Q8+"AM:!1{d"</f>
        <v>#VALUE!</v>
      </c>
      <c r="IO338" t="e">
        <f>'Technical Master Data'!R8+"AM:!1{e"</f>
        <v>#VALUE!</v>
      </c>
      <c r="IP338" t="e">
        <f>'Technical Master Data'!S8+"AM:!1{f"</f>
        <v>#VALUE!</v>
      </c>
      <c r="IQ338" t="e">
        <f>'Technical Master Data'!A9+"AM:!1{g"</f>
        <v>#VALUE!</v>
      </c>
      <c r="IR338" t="e">
        <f>'Technical Master Data'!B9+"AM:!1{h"</f>
        <v>#VALUE!</v>
      </c>
      <c r="IS338" t="e">
        <f>'Technical Master Data'!C9+"AM:!1{i"</f>
        <v>#VALUE!</v>
      </c>
      <c r="IT338" t="e">
        <f>'Technical Master Data'!D9+"AM:!1{j"</f>
        <v>#VALUE!</v>
      </c>
      <c r="IU338" t="e">
        <f>'Technical Master Data'!E9+"AM:!1{k"</f>
        <v>#VALUE!</v>
      </c>
      <c r="IV338" t="e">
        <f>'Technical Master Data'!F9+"AM:!1{l"</f>
        <v>#VALUE!</v>
      </c>
    </row>
    <row r="339" spans="6:256">
      <c r="F339" t="e">
        <f>'Technical Master Data'!G9+"AM:!1{m"</f>
        <v>#VALUE!</v>
      </c>
      <c r="G339" t="e">
        <f>'Technical Master Data'!H9+"AM:!1{n"</f>
        <v>#VALUE!</v>
      </c>
      <c r="H339" t="e">
        <f>'Technical Master Data'!I9+"AM:!1{o"</f>
        <v>#VALUE!</v>
      </c>
      <c r="I339" t="e">
        <f>'Technical Master Data'!J9+"AM:!1{p"</f>
        <v>#VALUE!</v>
      </c>
      <c r="J339" s="105" t="e">
        <f>'Technical Master Data'!K9+"AM:!1{q"</f>
        <v>#VALUE!</v>
      </c>
      <c r="K339" s="105" t="e">
        <f>'Technical Master Data'!L9+"AM:!1{r"</f>
        <v>#VALUE!</v>
      </c>
      <c r="L339" s="105" t="e">
        <f>'Technical Master Data'!M9+"AM:!1{s"</f>
        <v>#VALUE!</v>
      </c>
      <c r="M339" s="105" t="e">
        <f>'Technical Master Data'!N9+"AM:!1{t"</f>
        <v>#VALUE!</v>
      </c>
      <c r="N339" s="105" t="e">
        <f>'Technical Master Data'!O9+"AM:!1{u"</f>
        <v>#VALUE!</v>
      </c>
      <c r="O339" s="105" t="e">
        <f>'Technical Master Data'!P9+"AM:!1{v"</f>
        <v>#VALUE!</v>
      </c>
      <c r="P339" t="e">
        <f>'Technical Master Data'!Q9+"AM:!1{w"</f>
        <v>#VALUE!</v>
      </c>
      <c r="Q339" t="e">
        <f>'Technical Master Data'!R9+"AM:!1{x"</f>
        <v>#VALUE!</v>
      </c>
      <c r="R339" t="e">
        <f>'Technical Master Data'!S9+"AM:!1{y"</f>
        <v>#VALUE!</v>
      </c>
      <c r="S339" t="e">
        <f>'Technical Master Data'!A10+"AM:!1{z"</f>
        <v>#VALUE!</v>
      </c>
      <c r="T339" t="e">
        <f>'Technical Master Data'!B10+"AM:!1{{"</f>
        <v>#VALUE!</v>
      </c>
      <c r="U339" t="e">
        <f>'Technical Master Data'!C10+"AM:!1{|"</f>
        <v>#VALUE!</v>
      </c>
      <c r="V339" t="e">
        <f>'Technical Master Data'!D10+"AM:!1{}"</f>
        <v>#VALUE!</v>
      </c>
      <c r="W339" t="e">
        <f>'Technical Master Data'!E10+"AM:!1{~"</f>
        <v>#VALUE!</v>
      </c>
      <c r="X339" t="e">
        <f>'Technical Master Data'!F10+"AM:!1|#"</f>
        <v>#VALUE!</v>
      </c>
      <c r="Y339" t="e">
        <f>'Technical Master Data'!G10+"AM:!1|$"</f>
        <v>#VALUE!</v>
      </c>
      <c r="Z339" t="e">
        <f>'Technical Master Data'!H10+"AM:!1|%"</f>
        <v>#VALUE!</v>
      </c>
      <c r="AA339" t="e">
        <f>'Technical Master Data'!I10+"AM:!1|&amp;"</f>
        <v>#VALUE!</v>
      </c>
      <c r="AB339" t="e">
        <f>'Technical Master Data'!J10+"AM:!1|'"</f>
        <v>#VALUE!</v>
      </c>
      <c r="AC339" s="105" t="e">
        <f>'Technical Master Data'!K10+"AM:!1|("</f>
        <v>#VALUE!</v>
      </c>
      <c r="AD339" s="105" t="e">
        <f>'Technical Master Data'!L10+"AM:!1|)"</f>
        <v>#VALUE!</v>
      </c>
      <c r="AE339" s="105" t="e">
        <f>'Technical Master Data'!M10+"AM:!1|."</f>
        <v>#VALUE!</v>
      </c>
      <c r="AF339" s="105" t="e">
        <f>'Technical Master Data'!N10+"AM:!1|/"</f>
        <v>#VALUE!</v>
      </c>
      <c r="AG339" s="105" t="e">
        <f>'Technical Master Data'!O10+"AM:!1|0"</f>
        <v>#VALUE!</v>
      </c>
      <c r="AH339" s="105" t="e">
        <f>'Technical Master Data'!P10+"AM:!1|1"</f>
        <v>#VALUE!</v>
      </c>
      <c r="AI339" t="e">
        <f>'Technical Master Data'!Q10+"AM:!1|2"</f>
        <v>#VALUE!</v>
      </c>
      <c r="AJ339" t="e">
        <f>'Technical Master Data'!R10+"AM:!1|3"</f>
        <v>#VALUE!</v>
      </c>
      <c r="AK339" t="e">
        <f>'Technical Master Data'!S10+"AM:!1|4"</f>
        <v>#VALUE!</v>
      </c>
      <c r="AL339" t="e">
        <f>'Technical Master Data'!A11+"AM:!1|5"</f>
        <v>#VALUE!</v>
      </c>
      <c r="AM339" t="e">
        <f>'Technical Master Data'!B11+"AM:!1|6"</f>
        <v>#VALUE!</v>
      </c>
      <c r="AN339" t="e">
        <f>'Technical Master Data'!C11+"AM:!1|7"</f>
        <v>#VALUE!</v>
      </c>
      <c r="AO339" t="e">
        <f>'Technical Master Data'!D11+"AM:!1|8"</f>
        <v>#VALUE!</v>
      </c>
      <c r="AP339" t="e">
        <f>'Technical Master Data'!E11+"AM:!1|9"</f>
        <v>#VALUE!</v>
      </c>
      <c r="AQ339" t="e">
        <f>'Technical Master Data'!F11+"AM:!1|:"</f>
        <v>#VALUE!</v>
      </c>
      <c r="AR339" t="e">
        <f>'Technical Master Data'!G11+"AM:!1|;"</f>
        <v>#VALUE!</v>
      </c>
      <c r="AS339" t="e">
        <f>'Technical Master Data'!H11+"AM:!1|&lt;"</f>
        <v>#VALUE!</v>
      </c>
      <c r="AT339" t="e">
        <f>'Technical Master Data'!I11+"AM:!1|="</f>
        <v>#VALUE!</v>
      </c>
      <c r="AU339" t="e">
        <f>'Technical Master Data'!J11+"AM:!1|&gt;"</f>
        <v>#VALUE!</v>
      </c>
      <c r="AV339" s="105" t="e">
        <f>'Technical Master Data'!K11+"AM:!1|?"</f>
        <v>#VALUE!</v>
      </c>
      <c r="AW339" s="105" t="e">
        <f>'Technical Master Data'!L11+"AM:!1|@"</f>
        <v>#VALUE!</v>
      </c>
      <c r="AX339" s="105" t="e">
        <f>'Technical Master Data'!M11+"AM:!1|A"</f>
        <v>#VALUE!</v>
      </c>
      <c r="AY339" s="105" t="e">
        <f>'Technical Master Data'!N11+"AM:!1|B"</f>
        <v>#VALUE!</v>
      </c>
      <c r="AZ339" s="105" t="e">
        <f>'Technical Master Data'!O11+"AM:!1|C"</f>
        <v>#VALUE!</v>
      </c>
      <c r="BA339" s="105" t="e">
        <f>'Technical Master Data'!P11+"AM:!1|D"</f>
        <v>#VALUE!</v>
      </c>
      <c r="BB339" t="e">
        <f>'Technical Master Data'!Q11+"AM:!1|E"</f>
        <v>#VALUE!</v>
      </c>
      <c r="BC339" t="e">
        <f>'Technical Master Data'!R11+"AM:!1|F"</f>
        <v>#VALUE!</v>
      </c>
      <c r="BD339" t="e">
        <f>'Technical Master Data'!S11+"AM:!1|G"</f>
        <v>#VALUE!</v>
      </c>
      <c r="BE339" t="e">
        <f>'Technical Master Data'!A12+"AM:!1|H"</f>
        <v>#VALUE!</v>
      </c>
      <c r="BF339" t="e">
        <f>'Technical Master Data'!B12+"AM:!1|I"</f>
        <v>#VALUE!</v>
      </c>
      <c r="BG339" t="e">
        <f>'Technical Master Data'!C12+"AM:!1|J"</f>
        <v>#VALUE!</v>
      </c>
      <c r="BH339" t="e">
        <f>'Technical Master Data'!D12+"AM:!1|K"</f>
        <v>#VALUE!</v>
      </c>
      <c r="BI339" t="e">
        <f>'Technical Master Data'!E12+"AM:!1|L"</f>
        <v>#VALUE!</v>
      </c>
      <c r="BJ339" t="e">
        <f>'Technical Master Data'!F12+"AM:!1|M"</f>
        <v>#VALUE!</v>
      </c>
      <c r="BK339" t="e">
        <f>'Technical Master Data'!G12+"AM:!1|N"</f>
        <v>#VALUE!</v>
      </c>
      <c r="BL339" t="e">
        <f>'Technical Master Data'!H12+"AM:!1|O"</f>
        <v>#VALUE!</v>
      </c>
      <c r="BM339" t="e">
        <f>'Technical Master Data'!I12+"AM:!1|P"</f>
        <v>#VALUE!</v>
      </c>
      <c r="BN339" t="e">
        <f>'Technical Master Data'!J12+"AM:!1|Q"</f>
        <v>#VALUE!</v>
      </c>
      <c r="BO339" s="105" t="e">
        <f>'Technical Master Data'!K12+"AM:!1|R"</f>
        <v>#VALUE!</v>
      </c>
      <c r="BP339" t="e">
        <f>'Technical Master Data'!L12+"AM:!1|S"</f>
        <v>#VALUE!</v>
      </c>
      <c r="BQ339" t="e">
        <f>'Technical Master Data'!M12+"AM:!1|T"</f>
        <v>#VALUE!</v>
      </c>
      <c r="BR339" t="e">
        <f>'Technical Master Data'!N12+"AM:!1|U"</f>
        <v>#VALUE!</v>
      </c>
      <c r="BS339" t="e">
        <f>'Technical Master Data'!O12+"AM:!1|V"</f>
        <v>#VALUE!</v>
      </c>
      <c r="BT339" t="e">
        <f>'Technical Master Data'!P12+"AM:!1|W"</f>
        <v>#VALUE!</v>
      </c>
      <c r="BU339" t="e">
        <f>'Technical Master Data'!Q12+"AM:!1|X"</f>
        <v>#VALUE!</v>
      </c>
      <c r="BV339" t="e">
        <f>'Technical Master Data'!R12+"AM:!1|Y"</f>
        <v>#VALUE!</v>
      </c>
      <c r="BW339" t="e">
        <f>'Technical Master Data'!S12+"AM:!1|Z"</f>
        <v>#VALUE!</v>
      </c>
      <c r="BX339" t="e">
        <f>'Technical Master Data'!A13+"AM:!1|["</f>
        <v>#VALUE!</v>
      </c>
      <c r="BY339" t="e">
        <f>'Technical Master Data'!B13+"AM:!1|\"</f>
        <v>#VALUE!</v>
      </c>
      <c r="BZ339" t="e">
        <f>'Technical Master Data'!C13+"AM:!1|]"</f>
        <v>#VALUE!</v>
      </c>
      <c r="CA339" t="e">
        <f>'Technical Master Data'!D13+"AM:!1|^"</f>
        <v>#VALUE!</v>
      </c>
      <c r="CB339" t="e">
        <f>'Technical Master Data'!E13+"AM:!1|_"</f>
        <v>#VALUE!</v>
      </c>
      <c r="CC339" t="e">
        <f>'Technical Master Data'!F13+"AM:!1|`"</f>
        <v>#VALUE!</v>
      </c>
      <c r="CD339" t="e">
        <f>'Technical Master Data'!G13+"AM:!1|a"</f>
        <v>#VALUE!</v>
      </c>
      <c r="CE339" t="e">
        <f>'Technical Master Data'!H13+"AM:!1|b"</f>
        <v>#VALUE!</v>
      </c>
      <c r="CF339" t="e">
        <f>'Technical Master Data'!I13+"AM:!1|c"</f>
        <v>#VALUE!</v>
      </c>
      <c r="CG339" t="e">
        <f>'Technical Master Data'!J13+"AM:!1|d"</f>
        <v>#VALUE!</v>
      </c>
      <c r="CH339" t="e">
        <f>'Technical Master Data'!K13+"AM:!1|e"</f>
        <v>#VALUE!</v>
      </c>
      <c r="CI339" t="e">
        <f>'Technical Master Data'!L13+"AM:!1|f"</f>
        <v>#VALUE!</v>
      </c>
      <c r="CJ339" t="e">
        <f>'Technical Master Data'!M13+"AM:!1|g"</f>
        <v>#VALUE!</v>
      </c>
      <c r="CK339" t="e">
        <f>'Technical Master Data'!N13+"AM:!1|h"</f>
        <v>#VALUE!</v>
      </c>
      <c r="CL339" t="e">
        <f>'Technical Master Data'!O13+"AM:!1|i"</f>
        <v>#VALUE!</v>
      </c>
      <c r="CM339" t="e">
        <f>'Technical Master Data'!P13+"AM:!1|j"</f>
        <v>#VALUE!</v>
      </c>
      <c r="CN339" t="e">
        <f>'Technical Master Data'!Q13+"AM:!1|k"</f>
        <v>#VALUE!</v>
      </c>
      <c r="CO339" t="e">
        <f>'Technical Master Data'!R13+"AM:!1|l"</f>
        <v>#VALUE!</v>
      </c>
      <c r="CP339" t="e">
        <f>'Technical Master Data'!S13+"AM:!1|m"</f>
        <v>#VALUE!</v>
      </c>
      <c r="CQ339" t="e">
        <f>'Technical Master Data'!A14+"AM:!1|n"</f>
        <v>#VALUE!</v>
      </c>
      <c r="CR339" t="e">
        <f>'Technical Master Data'!B14+"AM:!1|o"</f>
        <v>#VALUE!</v>
      </c>
      <c r="CS339" t="e">
        <f>'Technical Master Data'!C14+"AM:!1|p"</f>
        <v>#VALUE!</v>
      </c>
      <c r="CT339" t="e">
        <f>'Technical Master Data'!D14+"AM:!1|q"</f>
        <v>#VALUE!</v>
      </c>
      <c r="CU339" t="e">
        <f>'Technical Master Data'!E14+"AM:!1|r"</f>
        <v>#VALUE!</v>
      </c>
      <c r="CV339" t="e">
        <f>'Technical Master Data'!F14+"AM:!1|s"</f>
        <v>#VALUE!</v>
      </c>
      <c r="CW339" t="e">
        <f>'Technical Master Data'!G14+"AM:!1|t"</f>
        <v>#VALUE!</v>
      </c>
      <c r="CX339" t="e">
        <f>'Technical Master Data'!H14+"AM:!1|u"</f>
        <v>#VALUE!</v>
      </c>
      <c r="CY339" t="e">
        <f>'Technical Master Data'!I14+"AM:!1|v"</f>
        <v>#VALUE!</v>
      </c>
      <c r="CZ339" t="e">
        <f>'Technical Master Data'!J14+"AM:!1|w"</f>
        <v>#VALUE!</v>
      </c>
      <c r="DA339" t="e">
        <f>'Technical Master Data'!K14+"AM:!1|x"</f>
        <v>#VALUE!</v>
      </c>
      <c r="DB339" t="e">
        <f>'Technical Master Data'!L14+"AM:!1|y"</f>
        <v>#VALUE!</v>
      </c>
      <c r="DC339" t="e">
        <f>'Technical Master Data'!M14+"AM:!1|z"</f>
        <v>#VALUE!</v>
      </c>
      <c r="DD339" t="e">
        <f>'Technical Master Data'!N14+"AM:!1|{"</f>
        <v>#VALUE!</v>
      </c>
      <c r="DE339" t="e">
        <f>'Technical Master Data'!O14+"AM:!1||"</f>
        <v>#VALUE!</v>
      </c>
      <c r="DF339" t="e">
        <f>'Technical Master Data'!P14+"AM:!1|}"</f>
        <v>#VALUE!</v>
      </c>
      <c r="DG339" t="e">
        <f>'Technical Master Data'!Q14+"AM:!1|~"</f>
        <v>#VALUE!</v>
      </c>
      <c r="DH339" t="e">
        <f>'Technical Master Data'!R14+"AM:!1}#"</f>
        <v>#VALUE!</v>
      </c>
      <c r="DI339" t="e">
        <f>'Technical Master Data'!S14+"AM:!1}$"</f>
        <v>#VALUE!</v>
      </c>
      <c r="DJ339" t="e">
        <f>'Technical Master Data'!A15+"AM:!1}%"</f>
        <v>#VALUE!</v>
      </c>
      <c r="DK339" t="e">
        <f>'Technical Master Data'!B15+"AM:!1}&amp;"</f>
        <v>#VALUE!</v>
      </c>
      <c r="DL339" t="e">
        <f>'Technical Master Data'!C15+"AM:!1}'"</f>
        <v>#VALUE!</v>
      </c>
      <c r="DM339" t="e">
        <f>'Technical Master Data'!D15+"AM:!1}("</f>
        <v>#VALUE!</v>
      </c>
      <c r="DN339" t="e">
        <f>'Technical Master Data'!E15+"AM:!1})"</f>
        <v>#VALUE!</v>
      </c>
      <c r="DO339" t="e">
        <f>'Technical Master Data'!F15+"AM:!1}."</f>
        <v>#VALUE!</v>
      </c>
      <c r="DP339" t="e">
        <f>'Technical Master Data'!G15+"AM:!1}/"</f>
        <v>#VALUE!</v>
      </c>
      <c r="DQ339" t="e">
        <f>'Technical Master Data'!H15+"AM:!1}0"</f>
        <v>#VALUE!</v>
      </c>
      <c r="DR339" t="e">
        <f>'Technical Master Data'!I15+"AM:!1}1"</f>
        <v>#VALUE!</v>
      </c>
      <c r="DS339" t="e">
        <f>'Technical Master Data'!J15+"AM:!1}2"</f>
        <v>#VALUE!</v>
      </c>
      <c r="DT339" t="e">
        <f>'Technical Master Data'!K15+"AM:!1}3"</f>
        <v>#VALUE!</v>
      </c>
      <c r="DU339" t="e">
        <f>'Technical Master Data'!L15+"AM:!1}4"</f>
        <v>#VALUE!</v>
      </c>
      <c r="DV339" t="e">
        <f>'Technical Master Data'!M15+"AM:!1}5"</f>
        <v>#VALUE!</v>
      </c>
      <c r="DW339" t="e">
        <f>'Technical Master Data'!N15+"AM:!1}6"</f>
        <v>#VALUE!</v>
      </c>
      <c r="DX339" t="e">
        <f>'Technical Master Data'!O15+"AM:!1}7"</f>
        <v>#VALUE!</v>
      </c>
      <c r="DY339" t="e">
        <f>'Technical Master Data'!P15+"AM:!1}8"</f>
        <v>#VALUE!</v>
      </c>
      <c r="DZ339" t="e">
        <f>'Technical Master Data'!Q15+"AM:!1}9"</f>
        <v>#VALUE!</v>
      </c>
      <c r="EA339" t="e">
        <f>'Technical Master Data'!R15+"AM:!1}:"</f>
        <v>#VALUE!</v>
      </c>
      <c r="EB339" t="e">
        <f>'Technical Master Data'!S15+"AM:!1};"</f>
        <v>#VALUE!</v>
      </c>
      <c r="EC339" t="e">
        <f>'Technical Master Data'!A16+"AM:!1}&lt;"</f>
        <v>#VALUE!</v>
      </c>
      <c r="ED339" t="e">
        <f>'Technical Master Data'!B16+"AM:!1}="</f>
        <v>#VALUE!</v>
      </c>
      <c r="EE339" t="e">
        <f>'Technical Master Data'!C16+"AM:!1}&gt;"</f>
        <v>#VALUE!</v>
      </c>
      <c r="EF339" t="e">
        <f>'Technical Master Data'!D16+"AM:!1}?"</f>
        <v>#VALUE!</v>
      </c>
      <c r="EG339" t="e">
        <f>'Technical Master Data'!E16+"AM:!1}@"</f>
        <v>#VALUE!</v>
      </c>
      <c r="EH339" t="e">
        <f>'Technical Master Data'!F16+"AM:!1}A"</f>
        <v>#VALUE!</v>
      </c>
      <c r="EI339" t="e">
        <f>'Technical Master Data'!G16+"AM:!1}B"</f>
        <v>#VALUE!</v>
      </c>
      <c r="EJ339" t="e">
        <f>'Technical Master Data'!H16+"AM:!1}C"</f>
        <v>#VALUE!</v>
      </c>
      <c r="EK339" t="e">
        <f>'Technical Master Data'!I16+"AM:!1}D"</f>
        <v>#VALUE!</v>
      </c>
      <c r="EL339" t="e">
        <f>'Technical Master Data'!J16+"AM:!1}E"</f>
        <v>#VALUE!</v>
      </c>
      <c r="EM339" t="e">
        <f>'Technical Master Data'!K16+"AM:!1}F"</f>
        <v>#VALUE!</v>
      </c>
      <c r="EN339" t="e">
        <f>'Technical Master Data'!L16+"AM:!1}G"</f>
        <v>#VALUE!</v>
      </c>
      <c r="EO339" t="e">
        <f>'Technical Master Data'!M16+"AM:!1}H"</f>
        <v>#VALUE!</v>
      </c>
      <c r="EP339" t="e">
        <f>'Technical Master Data'!N16+"AM:!1}I"</f>
        <v>#VALUE!</v>
      </c>
      <c r="EQ339" t="e">
        <f>'Technical Master Data'!O16+"AM:!1}J"</f>
        <v>#VALUE!</v>
      </c>
      <c r="ER339" s="105" t="e">
        <f>'Technical Master Data'!P16+"AM:!1}K"</f>
        <v>#VALUE!</v>
      </c>
      <c r="ES339" t="e">
        <f>'Technical Master Data'!Q16+"AM:!1}L"</f>
        <v>#VALUE!</v>
      </c>
      <c r="ET339" t="e">
        <f>'Technical Master Data'!R16+"AM:!1}M"</f>
        <v>#VALUE!</v>
      </c>
      <c r="EU339" t="e">
        <f>'Technical Master Data'!S16+"AM:!1}N"</f>
        <v>#VALUE!</v>
      </c>
      <c r="EV339" t="e">
        <f>'Technical Master Data'!A17+"AM:!1}O"</f>
        <v>#VALUE!</v>
      </c>
      <c r="EW339" t="e">
        <f>'Technical Master Data'!B17+"AM:!1}P"</f>
        <v>#VALUE!</v>
      </c>
      <c r="EX339" t="e">
        <f>'Technical Master Data'!C17+"AM:!1}Q"</f>
        <v>#VALUE!</v>
      </c>
      <c r="EY339" t="e">
        <f>'Technical Master Data'!D17+"AM:!1}R"</f>
        <v>#VALUE!</v>
      </c>
      <c r="EZ339" t="e">
        <f>'Technical Master Data'!E17+"AM:!1}S"</f>
        <v>#VALUE!</v>
      </c>
      <c r="FA339" t="e">
        <f>'Technical Master Data'!F17+"AM:!1}T"</f>
        <v>#VALUE!</v>
      </c>
      <c r="FB339" t="e">
        <f>'Technical Master Data'!G17+"AM:!1}U"</f>
        <v>#VALUE!</v>
      </c>
      <c r="FC339" t="e">
        <f>'Technical Master Data'!H17+"AM:!1}V"</f>
        <v>#VALUE!</v>
      </c>
      <c r="FD339" t="e">
        <f>'Technical Master Data'!I17+"AM:!1}W"</f>
        <v>#VALUE!</v>
      </c>
      <c r="FE339" t="e">
        <f>'Technical Master Data'!J17+"AM:!1}X"</f>
        <v>#VALUE!</v>
      </c>
      <c r="FF339" t="e">
        <f>'Technical Master Data'!K17+"AM:!1}Y"</f>
        <v>#VALUE!</v>
      </c>
      <c r="FG339" t="e">
        <f>'Technical Master Data'!L17+"AM:!1}Z"</f>
        <v>#VALUE!</v>
      </c>
      <c r="FH339" t="e">
        <f>'Technical Master Data'!M17+"AM:!1}["</f>
        <v>#VALUE!</v>
      </c>
      <c r="FI339" t="e">
        <f>'Technical Master Data'!N17+"AM:!1}\"</f>
        <v>#VALUE!</v>
      </c>
      <c r="FJ339" t="e">
        <f>'Technical Master Data'!O17+"AM:!1}]"</f>
        <v>#VALUE!</v>
      </c>
      <c r="FK339" s="105" t="e">
        <f>'Technical Master Data'!P17+"AM:!1}^"</f>
        <v>#VALUE!</v>
      </c>
      <c r="FL339" t="e">
        <f>'Technical Master Data'!Q17+"AM:!1}_"</f>
        <v>#VALUE!</v>
      </c>
      <c r="FM339" t="e">
        <f>'Technical Master Data'!R17+"AM:!1}`"</f>
        <v>#VALUE!</v>
      </c>
      <c r="FN339" t="e">
        <f>'Technical Master Data'!S17+"AM:!1}a"</f>
        <v>#VALUE!</v>
      </c>
      <c r="FO339" t="e">
        <f>'Technical Master Data'!A18+"AM:!1}b"</f>
        <v>#VALUE!</v>
      </c>
      <c r="FP339" t="e">
        <f>'Technical Master Data'!B18+"AM:!1}c"</f>
        <v>#VALUE!</v>
      </c>
      <c r="FQ339" t="e">
        <f>'Technical Master Data'!C18+"AM:!1}d"</f>
        <v>#VALUE!</v>
      </c>
      <c r="FR339" t="e">
        <f>'Technical Master Data'!D18+"AM:!1}e"</f>
        <v>#VALUE!</v>
      </c>
      <c r="FS339" t="e">
        <f>'Technical Master Data'!E18+"AM:!1}f"</f>
        <v>#VALUE!</v>
      </c>
      <c r="FT339" t="e">
        <f>'Technical Master Data'!F18+"AM:!1}g"</f>
        <v>#VALUE!</v>
      </c>
      <c r="FU339" t="e">
        <f>'Technical Master Data'!G18+"AM:!1}h"</f>
        <v>#VALUE!</v>
      </c>
      <c r="FV339" t="e">
        <f>'Technical Master Data'!H18+"AM:!1}i"</f>
        <v>#VALUE!</v>
      </c>
      <c r="FW339" t="e">
        <f>'Technical Master Data'!I18+"AM:!1}j"</f>
        <v>#VALUE!</v>
      </c>
      <c r="FX339" t="e">
        <f>'Technical Master Data'!J18+"AM:!1}k"</f>
        <v>#VALUE!</v>
      </c>
      <c r="FY339" t="e">
        <f>'Technical Master Data'!K18+"AM:!1}l"</f>
        <v>#VALUE!</v>
      </c>
      <c r="FZ339" t="e">
        <f>'Technical Master Data'!L18+"AM:!1}m"</f>
        <v>#VALUE!</v>
      </c>
      <c r="GA339" t="e">
        <f>'Technical Master Data'!M18+"AM:!1}n"</f>
        <v>#VALUE!</v>
      </c>
      <c r="GB339" s="105" t="e">
        <f>'Technical Master Data'!N18+"AM:!1}o"</f>
        <v>#VALUE!</v>
      </c>
      <c r="GC339" t="e">
        <f>'Technical Master Data'!O18+"AM:!1}p"</f>
        <v>#VALUE!</v>
      </c>
      <c r="GD339" s="105" t="e">
        <f>'Technical Master Data'!P18+"AM:!1}q"</f>
        <v>#VALUE!</v>
      </c>
      <c r="GE339" t="e">
        <f>'Technical Master Data'!Q18+"AM:!1}r"</f>
        <v>#VALUE!</v>
      </c>
      <c r="GF339" t="e">
        <f>'Technical Master Data'!R18+"AM:!1}s"</f>
        <v>#VALUE!</v>
      </c>
      <c r="GG339" t="e">
        <f>'Technical Master Data'!S18+"AM:!1}t"</f>
        <v>#VALUE!</v>
      </c>
      <c r="GH339" t="e">
        <f>'Technical Master Data'!A19+"AM:!1}u"</f>
        <v>#VALUE!</v>
      </c>
      <c r="GI339" t="e">
        <f>'Technical Master Data'!B19+"AM:!1}v"</f>
        <v>#VALUE!</v>
      </c>
      <c r="GJ339" t="e">
        <f>'Technical Master Data'!C19+"AM:!1}w"</f>
        <v>#VALUE!</v>
      </c>
      <c r="GK339" t="e">
        <f>'Technical Master Data'!D19+"AM:!1}x"</f>
        <v>#VALUE!</v>
      </c>
      <c r="GL339" t="e">
        <f>'Technical Master Data'!E19+"AM:!1}y"</f>
        <v>#VALUE!</v>
      </c>
      <c r="GM339" t="e">
        <f>'Technical Master Data'!F19+"AM:!1}z"</f>
        <v>#VALUE!</v>
      </c>
      <c r="GN339" t="e">
        <f>'Technical Master Data'!G19+"AM:!1}{"</f>
        <v>#VALUE!</v>
      </c>
      <c r="GO339" t="e">
        <f>'Technical Master Data'!H19+"AM:!1}|"</f>
        <v>#VALUE!</v>
      </c>
      <c r="GP339" t="e">
        <f>'Technical Master Data'!I19+"AM:!1}}"</f>
        <v>#VALUE!</v>
      </c>
      <c r="GQ339" t="e">
        <f>'Technical Master Data'!J19+"AM:!1}~"</f>
        <v>#VALUE!</v>
      </c>
      <c r="GR339" t="e">
        <f>'Technical Master Data'!K19+"AM:!1~#"</f>
        <v>#VALUE!</v>
      </c>
      <c r="GS339" t="e">
        <f>'Technical Master Data'!L19+"AM:!1~$"</f>
        <v>#VALUE!</v>
      </c>
      <c r="GT339" t="e">
        <f>'Technical Master Data'!M19+"AM:!1~%"</f>
        <v>#VALUE!</v>
      </c>
      <c r="GU339" t="e">
        <f>'Technical Master Data'!N19+"AM:!1~&amp;"</f>
        <v>#VALUE!</v>
      </c>
      <c r="GV339" t="e">
        <f>'Technical Master Data'!O19+"AM:!1~'"</f>
        <v>#VALUE!</v>
      </c>
      <c r="GW339" s="105" t="e">
        <f>'Technical Master Data'!P19+"AM:!1~("</f>
        <v>#VALUE!</v>
      </c>
      <c r="GX339" t="e">
        <f>'Technical Master Data'!Q19+"AM:!1~)"</f>
        <v>#VALUE!</v>
      </c>
      <c r="GY339" t="e">
        <f>'Technical Master Data'!R19+"AM:!1~."</f>
        <v>#VALUE!</v>
      </c>
      <c r="GZ339" t="e">
        <f>'Technical Master Data'!S19+"AM:!1~/"</f>
        <v>#VALUE!</v>
      </c>
      <c r="HA339" t="e">
        <f>'Technical Master Data'!A20+"AM:!1~0"</f>
        <v>#VALUE!</v>
      </c>
      <c r="HB339" t="e">
        <f>'Technical Master Data'!B20+"AM:!1~1"</f>
        <v>#VALUE!</v>
      </c>
      <c r="HC339" t="e">
        <f>'Technical Master Data'!C20+"AM:!1~2"</f>
        <v>#VALUE!</v>
      </c>
      <c r="HD339" t="e">
        <f>'Technical Master Data'!D20+"AM:!1~3"</f>
        <v>#VALUE!</v>
      </c>
      <c r="HE339" t="e">
        <f>'Technical Master Data'!E20+"AM:!1~4"</f>
        <v>#VALUE!</v>
      </c>
      <c r="HF339" t="e">
        <f>'Technical Master Data'!F20+"AM:!1~5"</f>
        <v>#VALUE!</v>
      </c>
      <c r="HG339" t="e">
        <f>'Technical Master Data'!G20+"AM:!1~6"</f>
        <v>#VALUE!</v>
      </c>
      <c r="HH339" t="e">
        <f>'Technical Master Data'!H20+"AM:!1~7"</f>
        <v>#VALUE!</v>
      </c>
      <c r="HI339" t="e">
        <f>'Technical Master Data'!I20+"AM:!1~8"</f>
        <v>#VALUE!</v>
      </c>
      <c r="HJ339" t="e">
        <f>'Technical Master Data'!J20+"AM:!1~9"</f>
        <v>#VALUE!</v>
      </c>
      <c r="HK339" t="e">
        <f>'Technical Master Data'!K20+"AM:!1~:"</f>
        <v>#VALUE!</v>
      </c>
      <c r="HL339" t="e">
        <f>'Technical Master Data'!L20+"AM:!1~;"</f>
        <v>#VALUE!</v>
      </c>
      <c r="HM339" t="e">
        <f>'Technical Master Data'!M20+"AM:!1~&lt;"</f>
        <v>#VALUE!</v>
      </c>
      <c r="HN339" t="e">
        <f>'Technical Master Data'!N20+"AM:!1~="</f>
        <v>#VALUE!</v>
      </c>
      <c r="HO339" t="e">
        <f>'Technical Master Data'!O20+"AM:!1~&gt;"</f>
        <v>#VALUE!</v>
      </c>
      <c r="HP339" t="e">
        <f>'Technical Master Data'!P20+"AM:!1~?"</f>
        <v>#VALUE!</v>
      </c>
      <c r="HQ339" t="e">
        <f>'Technical Master Data'!Q20+"AM:!1~@"</f>
        <v>#VALUE!</v>
      </c>
      <c r="HR339" t="e">
        <f>'Technical Master Data'!R20+"AM:!1~A"</f>
        <v>#VALUE!</v>
      </c>
      <c r="HS339" t="e">
        <f>'Technical Master Data'!S20+"AM:!1~B"</f>
        <v>#VALUE!</v>
      </c>
      <c r="HT339" t="e">
        <f>'Technical Master Data'!A21+"AM:!1~C"</f>
        <v>#VALUE!</v>
      </c>
      <c r="HU339" t="e">
        <f>'Technical Master Data'!B21+"AM:!1~D"</f>
        <v>#VALUE!</v>
      </c>
      <c r="HV339" t="e">
        <f>'Technical Master Data'!C21+"AM:!1~E"</f>
        <v>#VALUE!</v>
      </c>
      <c r="HW339" t="e">
        <f>'Technical Master Data'!D21+"AM:!1~F"</f>
        <v>#VALUE!</v>
      </c>
      <c r="HX339" t="e">
        <f>'Technical Master Data'!E21+"AM:!1~G"</f>
        <v>#VALUE!</v>
      </c>
      <c r="HY339" t="e">
        <f>'Technical Master Data'!F21+"AM:!1~H"</f>
        <v>#VALUE!</v>
      </c>
      <c r="HZ339" t="e">
        <f>'Technical Master Data'!G21+"AM:!1~I"</f>
        <v>#VALUE!</v>
      </c>
      <c r="IA339" t="e">
        <f>'Technical Master Data'!H21+"AM:!1~J"</f>
        <v>#VALUE!</v>
      </c>
      <c r="IB339" t="e">
        <f>'Technical Master Data'!I21+"AM:!1~K"</f>
        <v>#VALUE!</v>
      </c>
      <c r="IC339" t="e">
        <f>'Technical Master Data'!J21+"AM:!1~L"</f>
        <v>#VALUE!</v>
      </c>
      <c r="ID339" t="e">
        <f>'Technical Master Data'!K21+"AM:!1~M"</f>
        <v>#VALUE!</v>
      </c>
      <c r="IE339" t="e">
        <f>'Technical Master Data'!L21+"AM:!1~N"</f>
        <v>#VALUE!</v>
      </c>
      <c r="IF339" t="e">
        <f>'Technical Master Data'!M21+"AM:!1~O"</f>
        <v>#VALUE!</v>
      </c>
      <c r="IG339" t="e">
        <f>'Technical Master Data'!N21+"AM:!1~P"</f>
        <v>#VALUE!</v>
      </c>
      <c r="IH339" t="e">
        <f>'Technical Master Data'!O21+"AM:!1~Q"</f>
        <v>#VALUE!</v>
      </c>
      <c r="II339" t="e">
        <f>'Technical Master Data'!P21+"AM:!1~R"</f>
        <v>#VALUE!</v>
      </c>
      <c r="IJ339" t="e">
        <f>'Technical Master Data'!Q21+"AM:!1~S"</f>
        <v>#VALUE!</v>
      </c>
      <c r="IK339" t="e">
        <f>'Technical Master Data'!R21+"AM:!1~T"</f>
        <v>#VALUE!</v>
      </c>
      <c r="IL339" t="e">
        <f>'Technical Master Data'!S21+"AM:!1~U"</f>
        <v>#VALUE!</v>
      </c>
      <c r="IM339" t="e">
        <f>'Technical Master Data'!A22+"AM:!1~V"</f>
        <v>#VALUE!</v>
      </c>
      <c r="IN339" t="e">
        <f>'Technical Master Data'!B22+"AM:!1~W"</f>
        <v>#VALUE!</v>
      </c>
      <c r="IO339" t="e">
        <f>'Technical Master Data'!C22+"AM:!1~X"</f>
        <v>#VALUE!</v>
      </c>
      <c r="IP339" t="e">
        <f>'Technical Master Data'!D22+"AM:!1~Y"</f>
        <v>#VALUE!</v>
      </c>
      <c r="IQ339" t="e">
        <f>'Technical Master Data'!E22+"AM:!1~Z"</f>
        <v>#VALUE!</v>
      </c>
      <c r="IR339" t="e">
        <f>'Technical Master Data'!F22+"AM:!1~["</f>
        <v>#VALUE!</v>
      </c>
      <c r="IS339" t="e">
        <f>'Technical Master Data'!G22+"AM:!1~\"</f>
        <v>#VALUE!</v>
      </c>
      <c r="IT339" t="e">
        <f>'Technical Master Data'!H22+"AM:!1~]"</f>
        <v>#VALUE!</v>
      </c>
      <c r="IU339" t="e">
        <f>'Technical Master Data'!I22+"AM:!1~^"</f>
        <v>#VALUE!</v>
      </c>
      <c r="IV339" t="e">
        <f>'Technical Master Data'!J22+"AM:!1~_"</f>
        <v>#VALUE!</v>
      </c>
    </row>
    <row r="340" spans="6:256">
      <c r="F340" t="e">
        <f>'Technical Master Data'!K22+"AM:!1~`"</f>
        <v>#VALUE!</v>
      </c>
      <c r="G340" t="e">
        <f>'Technical Master Data'!L22+"AM:!1~a"</f>
        <v>#VALUE!</v>
      </c>
      <c r="H340" t="e">
        <f>'Technical Master Data'!M22+"AM:!1~b"</f>
        <v>#VALUE!</v>
      </c>
      <c r="I340" t="e">
        <f>'Technical Master Data'!N22+"AM:!1~c"</f>
        <v>#VALUE!</v>
      </c>
      <c r="J340" t="e">
        <f>'Technical Master Data'!O22+"AM:!1~d"</f>
        <v>#VALUE!</v>
      </c>
      <c r="K340" t="e">
        <f>'Technical Master Data'!P22+"AM:!1~e"</f>
        <v>#VALUE!</v>
      </c>
      <c r="L340" t="e">
        <f>'Technical Master Data'!Q22+"AM:!1~f"</f>
        <v>#VALUE!</v>
      </c>
      <c r="M340" t="e">
        <f>'Technical Master Data'!R22+"AM:!1~g"</f>
        <v>#VALUE!</v>
      </c>
      <c r="N340" t="e">
        <f>'Technical Master Data'!S22+"AM:!1~h"</f>
        <v>#VALUE!</v>
      </c>
      <c r="O340" t="e">
        <f>'Technical Master Data'!A23+"AM:!1~i"</f>
        <v>#VALUE!</v>
      </c>
      <c r="P340" t="e">
        <f>'Technical Master Data'!B23+"AM:!1~j"</f>
        <v>#VALUE!</v>
      </c>
      <c r="Q340" t="e">
        <f>'Technical Master Data'!C23+"AM:!1~k"</f>
        <v>#VALUE!</v>
      </c>
      <c r="R340" t="e">
        <f>'Technical Master Data'!D23+"AM:!1~l"</f>
        <v>#VALUE!</v>
      </c>
      <c r="S340" t="e">
        <f>'Technical Master Data'!E23+"AM:!1~m"</f>
        <v>#VALUE!</v>
      </c>
      <c r="T340" t="e">
        <f>'Technical Master Data'!F23+"AM:!1~n"</f>
        <v>#VALUE!</v>
      </c>
      <c r="U340" t="e">
        <f>'Technical Master Data'!G23+"AM:!1~o"</f>
        <v>#VALUE!</v>
      </c>
      <c r="V340" t="e">
        <f>'Technical Master Data'!H23+"AM:!1~p"</f>
        <v>#VALUE!</v>
      </c>
      <c r="W340" t="e">
        <f>'Technical Master Data'!I23+"AM:!1~q"</f>
        <v>#VALUE!</v>
      </c>
      <c r="X340" t="e">
        <f>'Technical Master Data'!J23+"AM:!1~r"</f>
        <v>#VALUE!</v>
      </c>
      <c r="Y340" t="e">
        <f>'Technical Master Data'!K23+"AM:!1~s"</f>
        <v>#VALUE!</v>
      </c>
      <c r="Z340" t="e">
        <f>'Technical Master Data'!L23+"AM:!1~t"</f>
        <v>#VALUE!</v>
      </c>
      <c r="AA340" t="e">
        <f>'Technical Master Data'!M23+"AM:!1~u"</f>
        <v>#VALUE!</v>
      </c>
      <c r="AB340" t="e">
        <f>'Technical Master Data'!N23+"AM:!1~v"</f>
        <v>#VALUE!</v>
      </c>
      <c r="AC340" t="e">
        <f>'Technical Master Data'!O23+"AM:!1~w"</f>
        <v>#VALUE!</v>
      </c>
      <c r="AD340" t="e">
        <f>'Technical Master Data'!P23+"AM:!1~x"</f>
        <v>#VALUE!</v>
      </c>
      <c r="AE340" t="e">
        <f>'Technical Master Data'!Q23+"AM:!1~y"</f>
        <v>#VALUE!</v>
      </c>
      <c r="AF340" t="e">
        <f>'Technical Master Data'!R23+"AM:!1~z"</f>
        <v>#VALUE!</v>
      </c>
      <c r="AG340" t="e">
        <f>'Technical Master Data'!S23+"AM:!1~{"</f>
        <v>#VALUE!</v>
      </c>
      <c r="AH340" t="e">
        <f>'Technical Master Data'!A24+"AM:!1~|"</f>
        <v>#VALUE!</v>
      </c>
      <c r="AI340" t="e">
        <f>'Technical Master Data'!B24+"AM:!1~}"</f>
        <v>#VALUE!</v>
      </c>
      <c r="AJ340" t="e">
        <f>'Technical Master Data'!C24+"AM:!1~~"</f>
        <v>#VALUE!</v>
      </c>
      <c r="AK340" t="e">
        <f>'Technical Master Data'!D24+"AM:!2##"</f>
        <v>#VALUE!</v>
      </c>
      <c r="AL340" t="e">
        <f>'Technical Master Data'!E24+"AM:!2#$"</f>
        <v>#VALUE!</v>
      </c>
      <c r="AM340" t="e">
        <f>'Technical Master Data'!F24+"AM:!2#%"</f>
        <v>#VALUE!</v>
      </c>
      <c r="AN340" t="e">
        <f>'Technical Master Data'!G24+"AM:!2#&amp;"</f>
        <v>#VALUE!</v>
      </c>
      <c r="AO340" t="e">
        <f>'Technical Master Data'!H24+"AM:!2#'"</f>
        <v>#VALUE!</v>
      </c>
      <c r="AP340" t="e">
        <f>'Technical Master Data'!I24+"AM:!2#("</f>
        <v>#VALUE!</v>
      </c>
      <c r="AQ340" t="e">
        <f>'Technical Master Data'!J24+"AM:!2#)"</f>
        <v>#VALUE!</v>
      </c>
      <c r="AR340" t="e">
        <f>'Technical Master Data'!K24+"AM:!2#."</f>
        <v>#VALUE!</v>
      </c>
      <c r="AS340" t="e">
        <f>'Technical Master Data'!L24+"AM:!2#/"</f>
        <v>#VALUE!</v>
      </c>
      <c r="AT340" t="e">
        <f>'Technical Master Data'!M24+"AM:!2#0"</f>
        <v>#VALUE!</v>
      </c>
      <c r="AU340" t="e">
        <f>'Technical Master Data'!N24+"AM:!2#1"</f>
        <v>#VALUE!</v>
      </c>
      <c r="AV340" t="e">
        <f>'Technical Master Data'!O24+"AM:!2#2"</f>
        <v>#VALUE!</v>
      </c>
      <c r="AW340" t="e">
        <f>'Technical Master Data'!P24+"AM:!2#3"</f>
        <v>#VALUE!</v>
      </c>
      <c r="AX340" t="e">
        <f>'Technical Master Data'!Q24+"AM:!2#4"</f>
        <v>#VALUE!</v>
      </c>
      <c r="AY340" t="e">
        <f>'Technical Master Data'!R24+"AM:!2#5"</f>
        <v>#VALUE!</v>
      </c>
      <c r="AZ340" t="e">
        <f>'Technical Master Data'!S24+"AM:!2#6"</f>
        <v>#VALUE!</v>
      </c>
      <c r="BA340" t="e">
        <f>'Technical Master Data'!A25+"AM:!2#7"</f>
        <v>#VALUE!</v>
      </c>
      <c r="BB340" t="e">
        <f>'Technical Master Data'!B25+"AM:!2#8"</f>
        <v>#VALUE!</v>
      </c>
      <c r="BC340" t="e">
        <f>'Technical Master Data'!C25+"AM:!2#9"</f>
        <v>#VALUE!</v>
      </c>
      <c r="BD340" t="e">
        <f>'Technical Master Data'!D25+"AM:!2#:"</f>
        <v>#VALUE!</v>
      </c>
      <c r="BE340" t="e">
        <f>'Technical Master Data'!E25+"AM:!2#;"</f>
        <v>#VALUE!</v>
      </c>
      <c r="BF340" t="e">
        <f>'Technical Master Data'!F25+"AM:!2#&lt;"</f>
        <v>#VALUE!</v>
      </c>
      <c r="BG340" t="e">
        <f>'Technical Master Data'!G25+"AM:!2#="</f>
        <v>#VALUE!</v>
      </c>
      <c r="BH340" t="e">
        <f>'Technical Master Data'!H25+"AM:!2#&gt;"</f>
        <v>#VALUE!</v>
      </c>
      <c r="BI340" t="e">
        <f>'Technical Master Data'!I25+"AM:!2#?"</f>
        <v>#VALUE!</v>
      </c>
      <c r="BJ340" t="e">
        <f>'Technical Master Data'!J25+"AM:!2#@"</f>
        <v>#VALUE!</v>
      </c>
      <c r="BK340" t="e">
        <f>'Technical Master Data'!K25+"AM:!2#A"</f>
        <v>#VALUE!</v>
      </c>
      <c r="BL340" t="e">
        <f>'Technical Master Data'!L25+"AM:!2#B"</f>
        <v>#VALUE!</v>
      </c>
      <c r="BM340" t="e">
        <f>'Technical Master Data'!M25+"AM:!2#C"</f>
        <v>#VALUE!</v>
      </c>
      <c r="BN340" t="e">
        <f>'Technical Master Data'!N25+"AM:!2#D"</f>
        <v>#VALUE!</v>
      </c>
      <c r="BO340" t="e">
        <f>'Technical Master Data'!O25+"AM:!2#E"</f>
        <v>#VALUE!</v>
      </c>
      <c r="BP340" t="e">
        <f>'Technical Master Data'!P25+"AM:!2#F"</f>
        <v>#VALUE!</v>
      </c>
      <c r="BQ340" t="e">
        <f>'Technical Master Data'!Q25+"AM:!2#G"</f>
        <v>#VALUE!</v>
      </c>
      <c r="BR340" t="e">
        <f>'Technical Master Data'!R25+"AM:!2#H"</f>
        <v>#VALUE!</v>
      </c>
      <c r="BS340" t="e">
        <f>'Technical Master Data'!S25+"AM:!2#I"</f>
        <v>#VALUE!</v>
      </c>
      <c r="BT340" t="e">
        <f>'Technical Master Data'!A26+"AM:!2#J"</f>
        <v>#VALUE!</v>
      </c>
      <c r="BU340" t="e">
        <f>'Technical Master Data'!B26+"AM:!2#K"</f>
        <v>#VALUE!</v>
      </c>
      <c r="BV340" t="e">
        <f>'Technical Master Data'!C26+"AM:!2#L"</f>
        <v>#VALUE!</v>
      </c>
      <c r="BW340" t="e">
        <f>'Technical Master Data'!D26+"AM:!2#M"</f>
        <v>#VALUE!</v>
      </c>
      <c r="BX340" t="e">
        <f>'Technical Master Data'!E26+"AM:!2#N"</f>
        <v>#VALUE!</v>
      </c>
      <c r="BY340" t="e">
        <f>'Technical Master Data'!F26+"AM:!2#O"</f>
        <v>#VALUE!</v>
      </c>
      <c r="BZ340" t="e">
        <f>'Technical Master Data'!G26+"AM:!2#P"</f>
        <v>#VALUE!</v>
      </c>
      <c r="CA340" s="100" t="e">
        <f>'Technical Master Data'!H26+"AM:!2#Q"</f>
        <v>#VALUE!</v>
      </c>
      <c r="CB340" s="100" t="e">
        <f>'Technical Master Data'!I26+"AM:!2#R"</f>
        <v>#VALUE!</v>
      </c>
      <c r="CC340" t="e">
        <f>'Technical Master Data'!J26+"AM:!2#S"</f>
        <v>#VALUE!</v>
      </c>
      <c r="CD340" s="100" t="e">
        <f>'Technical Master Data'!K26+"AM:!2#T"</f>
        <v>#VALUE!</v>
      </c>
      <c r="CE340" t="e">
        <f>'Technical Master Data'!L26+"AM:!2#U"</f>
        <v>#VALUE!</v>
      </c>
      <c r="CF340" t="e">
        <f>'Technical Master Data'!M26+"AM:!2#V"</f>
        <v>#VALUE!</v>
      </c>
      <c r="CG340" s="100" t="e">
        <f>'Technical Master Data'!N26+"AM:!2#W"</f>
        <v>#VALUE!</v>
      </c>
      <c r="CH340" t="e">
        <f>'Technical Master Data'!O26+"AM:!2#X"</f>
        <v>#VALUE!</v>
      </c>
      <c r="CI340" t="e">
        <f>'Technical Master Data'!P26+"AM:!2#Y"</f>
        <v>#VALUE!</v>
      </c>
      <c r="CJ340" t="e">
        <f>'Technical Master Data'!Q26+"AM:!2#Z"</f>
        <v>#VALUE!</v>
      </c>
      <c r="CK340" t="e">
        <f>'Technical Master Data'!R26+"AM:!2#["</f>
        <v>#VALUE!</v>
      </c>
      <c r="CL340" t="e">
        <f>'Technical Master Data'!S26+"AM:!2#\"</f>
        <v>#VALUE!</v>
      </c>
      <c r="CM340" t="e">
        <f>'Technical Master Data'!A27+"AM:!2#]"</f>
        <v>#VALUE!</v>
      </c>
      <c r="CN340" t="e">
        <f>'Technical Master Data'!B27+"AM:!2#^"</f>
        <v>#VALUE!</v>
      </c>
      <c r="CO340" t="e">
        <f>'Technical Master Data'!C27+"AM:!2#_"</f>
        <v>#VALUE!</v>
      </c>
      <c r="CP340" t="e">
        <f>'Technical Master Data'!D27+"AM:!2#`"</f>
        <v>#VALUE!</v>
      </c>
      <c r="CQ340" t="e">
        <f>'Technical Master Data'!E27+"AM:!2#a"</f>
        <v>#VALUE!</v>
      </c>
      <c r="CR340" t="e">
        <f>'Technical Master Data'!F27+"AM:!2#b"</f>
        <v>#VALUE!</v>
      </c>
      <c r="CS340" t="e">
        <f>'Technical Master Data'!G27+"AM:!2#c"</f>
        <v>#VALUE!</v>
      </c>
      <c r="CT340" s="100" t="e">
        <f>'Technical Master Data'!H27+"AM:!2#d"</f>
        <v>#VALUE!</v>
      </c>
      <c r="CU340" s="100" t="e">
        <f>'Technical Master Data'!I27+"AM:!2#e"</f>
        <v>#VALUE!</v>
      </c>
      <c r="CV340" t="e">
        <f>'Technical Master Data'!J27+"AM:!2#f"</f>
        <v>#VALUE!</v>
      </c>
      <c r="CW340" s="100" t="e">
        <f>'Technical Master Data'!K27+"AM:!2#g"</f>
        <v>#VALUE!</v>
      </c>
      <c r="CX340" t="e">
        <f>'Technical Master Data'!L27+"AM:!2#h"</f>
        <v>#VALUE!</v>
      </c>
      <c r="CY340" t="e">
        <f>'Technical Master Data'!M27+"AM:!2#i"</f>
        <v>#VALUE!</v>
      </c>
      <c r="CZ340" s="100" t="e">
        <f>'Technical Master Data'!N27+"AM:!2#j"</f>
        <v>#VALUE!</v>
      </c>
      <c r="DA340" t="e">
        <f>'Technical Master Data'!O27+"AM:!2#k"</f>
        <v>#VALUE!</v>
      </c>
      <c r="DB340" t="e">
        <f>'Technical Master Data'!P27+"AM:!2#l"</f>
        <v>#VALUE!</v>
      </c>
      <c r="DC340" t="e">
        <f>'Technical Master Data'!Q27+"AM:!2#m"</f>
        <v>#VALUE!</v>
      </c>
      <c r="DD340" t="e">
        <f>'Technical Master Data'!R27+"AM:!2#n"</f>
        <v>#VALUE!</v>
      </c>
      <c r="DE340" t="e">
        <f>'Technical Master Data'!S27+"AM:!2#o"</f>
        <v>#VALUE!</v>
      </c>
      <c r="DF340" t="e">
        <f>'Technical Master Data'!A28+"AM:!2#p"</f>
        <v>#VALUE!</v>
      </c>
      <c r="DG340" t="e">
        <f>'Technical Master Data'!B28+"AM:!2#q"</f>
        <v>#VALUE!</v>
      </c>
      <c r="DH340" t="e">
        <f>'Technical Master Data'!C28+"AM:!2#r"</f>
        <v>#VALUE!</v>
      </c>
      <c r="DI340" t="e">
        <f>'Technical Master Data'!D28+"AM:!2#s"</f>
        <v>#VALUE!</v>
      </c>
      <c r="DJ340" t="e">
        <f>'Technical Master Data'!E28+"AM:!2#t"</f>
        <v>#VALUE!</v>
      </c>
      <c r="DK340" t="e">
        <f>'Technical Master Data'!F28+"AM:!2#u"</f>
        <v>#VALUE!</v>
      </c>
      <c r="DL340" t="e">
        <f>'Technical Master Data'!G28+"AM:!2#v"</f>
        <v>#VALUE!</v>
      </c>
      <c r="DM340" t="e">
        <f>'Technical Master Data'!H28+"AM:!2#w"</f>
        <v>#VALUE!</v>
      </c>
      <c r="DN340" t="e">
        <f>'Technical Master Data'!I28+"AM:!2#x"</f>
        <v>#VALUE!</v>
      </c>
      <c r="DO340" t="e">
        <f>'Technical Master Data'!J28+"AM:!2#y"</f>
        <v>#VALUE!</v>
      </c>
      <c r="DP340" t="e">
        <f>'Technical Master Data'!K28+"AM:!2#z"</f>
        <v>#VALUE!</v>
      </c>
      <c r="DQ340" t="e">
        <f>'Technical Master Data'!L28+"AM:!2#{"</f>
        <v>#VALUE!</v>
      </c>
      <c r="DR340" t="e">
        <f>'Technical Master Data'!M28+"AM:!2#|"</f>
        <v>#VALUE!</v>
      </c>
      <c r="DS340" t="e">
        <f>'Technical Master Data'!N28+"AM:!2#}"</f>
        <v>#VALUE!</v>
      </c>
      <c r="DT340" t="e">
        <f>'Technical Master Data'!O28+"AM:!2#~"</f>
        <v>#VALUE!</v>
      </c>
      <c r="DU340" t="e">
        <f>'Technical Master Data'!P28+"AM:!2$#"</f>
        <v>#VALUE!</v>
      </c>
      <c r="DV340" t="e">
        <f>'Technical Master Data'!Q28+"AM:!2$$"</f>
        <v>#VALUE!</v>
      </c>
      <c r="DW340" t="e">
        <f>'Technical Master Data'!R28+"AM:!2$%"</f>
        <v>#VALUE!</v>
      </c>
      <c r="DX340" t="e">
        <f>'Technical Master Data'!S28+"AM:!2$&amp;"</f>
        <v>#VALUE!</v>
      </c>
      <c r="DY340" t="e">
        <f>'Technical Master Data'!A29+"AM:!2$'"</f>
        <v>#VALUE!</v>
      </c>
      <c r="DZ340" t="e">
        <f>'Technical Master Data'!B29+"AM:!2$("</f>
        <v>#VALUE!</v>
      </c>
      <c r="EA340" t="e">
        <f>'Technical Master Data'!C29+"AM:!2$)"</f>
        <v>#VALUE!</v>
      </c>
      <c r="EB340" t="e">
        <f>'Technical Master Data'!D29+"AM:!2$."</f>
        <v>#VALUE!</v>
      </c>
      <c r="EC340" t="e">
        <f>'Technical Master Data'!E29+"AM:!2$/"</f>
        <v>#VALUE!</v>
      </c>
      <c r="ED340" t="e">
        <f>'Technical Master Data'!F29+"AM:!2$0"</f>
        <v>#VALUE!</v>
      </c>
      <c r="EE340" t="e">
        <f>'Technical Master Data'!G29+"AM:!2$1"</f>
        <v>#VALUE!</v>
      </c>
      <c r="EF340" t="e">
        <f>'Technical Master Data'!H29+"AM:!2$2"</f>
        <v>#VALUE!</v>
      </c>
      <c r="EG340" t="e">
        <f>'Technical Master Data'!I29+"AM:!2$3"</f>
        <v>#VALUE!</v>
      </c>
      <c r="EH340" t="e">
        <f>'Technical Master Data'!J29+"AM:!2$4"</f>
        <v>#VALUE!</v>
      </c>
      <c r="EI340" t="e">
        <f>'Technical Master Data'!K29+"AM:!2$5"</f>
        <v>#VALUE!</v>
      </c>
      <c r="EJ340" t="e">
        <f>'Technical Master Data'!L29+"AM:!2$6"</f>
        <v>#VALUE!</v>
      </c>
      <c r="EK340" t="e">
        <f>'Technical Master Data'!M29+"AM:!2$7"</f>
        <v>#VALUE!</v>
      </c>
      <c r="EL340" t="e">
        <f>'Technical Master Data'!N29+"AM:!2$8"</f>
        <v>#VALUE!</v>
      </c>
      <c r="EM340" t="e">
        <f>'Technical Master Data'!O29+"AM:!2$9"</f>
        <v>#VALUE!</v>
      </c>
      <c r="EN340" t="e">
        <f>'Technical Master Data'!P29+"AM:!2$:"</f>
        <v>#VALUE!</v>
      </c>
      <c r="EO340" t="e">
        <f>'Technical Master Data'!Q29+"AM:!2$;"</f>
        <v>#VALUE!</v>
      </c>
      <c r="EP340" t="e">
        <f>'Technical Master Data'!R29+"AM:!2$&lt;"</f>
        <v>#VALUE!</v>
      </c>
      <c r="EQ340" t="e">
        <f>'Technical Master Data'!S29+"AM:!2$="</f>
        <v>#VALUE!</v>
      </c>
      <c r="ER340" t="e">
        <f>'Technical Master Data'!A30+"AM:!2$&gt;"</f>
        <v>#VALUE!</v>
      </c>
      <c r="ES340" t="e">
        <f>'Technical Master Data'!B30+"AM:!2$?"</f>
        <v>#VALUE!</v>
      </c>
      <c r="ET340" t="e">
        <f>'Technical Master Data'!C30+"AM:!2$@"</f>
        <v>#VALUE!</v>
      </c>
      <c r="EU340" t="e">
        <f>'Technical Master Data'!D30+"AM:!2$A"</f>
        <v>#VALUE!</v>
      </c>
      <c r="EV340" t="e">
        <f>'Technical Master Data'!E30+"AM:!2$B"</f>
        <v>#VALUE!</v>
      </c>
      <c r="EW340" t="e">
        <f>'Technical Master Data'!F30+"AM:!2$C"</f>
        <v>#VALUE!</v>
      </c>
      <c r="EX340" t="e">
        <f>'Technical Master Data'!G30+"AM:!2$D"</f>
        <v>#VALUE!</v>
      </c>
      <c r="EY340" t="e">
        <f>'Technical Master Data'!H30+"AM:!2$E"</f>
        <v>#VALUE!</v>
      </c>
      <c r="EZ340" t="e">
        <f>'Technical Master Data'!I30+"AM:!2$F"</f>
        <v>#VALUE!</v>
      </c>
      <c r="FA340" t="e">
        <f>'Technical Master Data'!J30+"AM:!2$G"</f>
        <v>#VALUE!</v>
      </c>
      <c r="FB340" t="e">
        <f>'Technical Master Data'!K30+"AM:!2$H"</f>
        <v>#VALUE!</v>
      </c>
      <c r="FC340" t="e">
        <f>'Technical Master Data'!L30+"AM:!2$I"</f>
        <v>#VALUE!</v>
      </c>
      <c r="FD340" t="e">
        <f>'Technical Master Data'!M30+"AM:!2$J"</f>
        <v>#VALUE!</v>
      </c>
      <c r="FE340" t="e">
        <f>'Technical Master Data'!N30+"AM:!2$K"</f>
        <v>#VALUE!</v>
      </c>
      <c r="FF340" t="e">
        <f>'Technical Master Data'!O30+"AM:!2$L"</f>
        <v>#VALUE!</v>
      </c>
      <c r="FG340" t="e">
        <f>'Technical Master Data'!P30+"AM:!2$M"</f>
        <v>#VALUE!</v>
      </c>
      <c r="FH340" t="e">
        <f>'Technical Master Data'!Q30+"AM:!2$N"</f>
        <v>#VALUE!</v>
      </c>
      <c r="FI340" t="e">
        <f>'Technical Master Data'!R30+"AM:!2$O"</f>
        <v>#VALUE!</v>
      </c>
      <c r="FJ340" t="e">
        <f>'Technical Master Data'!S30+"AM:!2$P"</f>
        <v>#VALUE!</v>
      </c>
      <c r="FK340" t="e">
        <f>'Technical Master Data'!A31+"AM:!2$Q"</f>
        <v>#VALUE!</v>
      </c>
      <c r="FL340" t="e">
        <f>'Technical Master Data'!B31+"AM:!2$R"</f>
        <v>#VALUE!</v>
      </c>
      <c r="FM340" t="e">
        <f>'Technical Master Data'!C31+"AM:!2$S"</f>
        <v>#VALUE!</v>
      </c>
      <c r="FN340" t="e">
        <f>'Technical Master Data'!D31+"AM:!2$T"</f>
        <v>#VALUE!</v>
      </c>
      <c r="FO340" t="e">
        <f>'Technical Master Data'!E31+"AM:!2$U"</f>
        <v>#VALUE!</v>
      </c>
      <c r="FP340" t="e">
        <f>'Technical Master Data'!F31+"AM:!2$V"</f>
        <v>#VALUE!</v>
      </c>
      <c r="FQ340" t="e">
        <f>'Technical Master Data'!G31+"AM:!2$W"</f>
        <v>#VALUE!</v>
      </c>
      <c r="FR340" t="e">
        <f>'Technical Master Data'!H31+"AM:!2$X"</f>
        <v>#VALUE!</v>
      </c>
      <c r="FS340" t="e">
        <f>'Technical Master Data'!I31+"AM:!2$Y"</f>
        <v>#VALUE!</v>
      </c>
      <c r="FT340" t="e">
        <f>'Technical Master Data'!J31+"AM:!2$Z"</f>
        <v>#VALUE!</v>
      </c>
      <c r="FU340" t="e">
        <f>'Technical Master Data'!K31+"AM:!2$["</f>
        <v>#VALUE!</v>
      </c>
      <c r="FV340" t="e">
        <f>'Technical Master Data'!L31+"AM:!2$\"</f>
        <v>#VALUE!</v>
      </c>
      <c r="FW340" t="e">
        <f>'Technical Master Data'!M31+"AM:!2$]"</f>
        <v>#VALUE!</v>
      </c>
      <c r="FX340" t="e">
        <f>'Technical Master Data'!N31+"AM:!2$^"</f>
        <v>#VALUE!</v>
      </c>
      <c r="FY340" t="e">
        <f>'Technical Master Data'!O31+"AM:!2$_"</f>
        <v>#VALUE!</v>
      </c>
      <c r="FZ340" t="e">
        <f>'Technical Master Data'!#REF!+"AM:!2$`"</f>
        <v>#REF!</v>
      </c>
      <c r="GA340" t="e">
        <f>'Technical Master Data'!#REF!+"AM:!2$a"</f>
        <v>#REF!</v>
      </c>
      <c r="GB340" t="e">
        <f>'Technical Master Data'!#REF!+"AM:!2$b"</f>
        <v>#REF!</v>
      </c>
      <c r="GC340" t="e">
        <f>'Technical Master Data'!#REF!+"AM:!2$c"</f>
        <v>#REF!</v>
      </c>
      <c r="GD340" t="e">
        <f>'Technical Master Data'!#REF!+"AM:!2$d"</f>
        <v>#REF!</v>
      </c>
      <c r="GE340" t="e">
        <f>'Technical Master Data'!A32+"AM:!2$e"</f>
        <v>#VALUE!</v>
      </c>
      <c r="GF340" t="e">
        <f>'Technical Master Data'!B32+"AM:!2$f"</f>
        <v>#VALUE!</v>
      </c>
      <c r="GG340" t="e">
        <f>'Technical Master Data'!C32+"AM:!2$g"</f>
        <v>#VALUE!</v>
      </c>
      <c r="GH340" t="e">
        <f>'Technical Master Data'!D32+"AM:!2$h"</f>
        <v>#VALUE!</v>
      </c>
      <c r="GI340" t="e">
        <f>'Technical Master Data'!E32+"AM:!2$i"</f>
        <v>#VALUE!</v>
      </c>
      <c r="GJ340" t="e">
        <f>'Technical Master Data'!F32+"AM:!2$j"</f>
        <v>#VALUE!</v>
      </c>
      <c r="GK340" t="e">
        <f>'Technical Master Data'!G32+"AM:!2$k"</f>
        <v>#VALUE!</v>
      </c>
      <c r="GL340" t="e">
        <f>'Technical Master Data'!H32+"AM:!2$l"</f>
        <v>#VALUE!</v>
      </c>
      <c r="GM340" t="e">
        <f>'Technical Master Data'!I32+"AM:!2$m"</f>
        <v>#VALUE!</v>
      </c>
      <c r="GN340" t="e">
        <f>'Technical Master Data'!J32+"AM:!2$n"</f>
        <v>#VALUE!</v>
      </c>
      <c r="GO340" t="e">
        <f>'Technical Master Data'!K32+"AM:!2$o"</f>
        <v>#VALUE!</v>
      </c>
      <c r="GP340" t="e">
        <f>'Technical Master Data'!L32+"AM:!2$p"</f>
        <v>#VALUE!</v>
      </c>
      <c r="GQ340" t="e">
        <f>'Technical Master Data'!M32+"AM:!2$q"</f>
        <v>#VALUE!</v>
      </c>
      <c r="GR340" t="e">
        <f>'Technical Master Data'!N32+"AM:!2$r"</f>
        <v>#VALUE!</v>
      </c>
      <c r="GS340" t="e">
        <f>'Technical Master Data'!O32+"AM:!2$s"</f>
        <v>#VALUE!</v>
      </c>
      <c r="GT340" t="e">
        <f>'Technical Master Data'!#REF!+"AM:!2$t"</f>
        <v>#REF!</v>
      </c>
      <c r="GU340" t="e">
        <f>'Technical Master Data'!#REF!+"AM:!2$u"</f>
        <v>#REF!</v>
      </c>
      <c r="GV340" t="e">
        <f>'Technical Master Data'!#REF!+"AM:!2$v"</f>
        <v>#REF!</v>
      </c>
      <c r="GW340" t="e">
        <f>'Technical Master Data'!#REF!+"AM:!2$w"</f>
        <v>#REF!</v>
      </c>
      <c r="GX340" t="e">
        <f>'Technical Master Data'!#REF!+"AM:!2$x"</f>
        <v>#REF!</v>
      </c>
      <c r="GY340" t="e">
        <f>'Technical Master Data'!A33+"AM:!2$y"</f>
        <v>#VALUE!</v>
      </c>
      <c r="GZ340" t="e">
        <f>'Technical Master Data'!B33+"AM:!2$z"</f>
        <v>#VALUE!</v>
      </c>
      <c r="HA340" t="e">
        <f>'Technical Master Data'!C33+"AM:!2${"</f>
        <v>#VALUE!</v>
      </c>
      <c r="HB340" t="e">
        <f>'Technical Master Data'!D33+"AM:!2$|"</f>
        <v>#VALUE!</v>
      </c>
      <c r="HC340" t="e">
        <f>'Technical Master Data'!E33+"AM:!2$}"</f>
        <v>#VALUE!</v>
      </c>
      <c r="HD340" t="e">
        <f>'Technical Master Data'!F33+"AM:!2$~"</f>
        <v>#VALUE!</v>
      </c>
      <c r="HE340" t="e">
        <f>'Technical Master Data'!G33+"AM:!2%#"</f>
        <v>#VALUE!</v>
      </c>
      <c r="HF340" t="e">
        <f>'Technical Master Data'!H33+"AM:!2%$"</f>
        <v>#VALUE!</v>
      </c>
      <c r="HG340" t="e">
        <f>'Technical Master Data'!I33+"AM:!2%%"</f>
        <v>#VALUE!</v>
      </c>
      <c r="HH340" t="e">
        <f>'Technical Master Data'!J33+"AM:!2%&amp;"</f>
        <v>#VALUE!</v>
      </c>
      <c r="HI340" t="e">
        <f>'Technical Master Data'!K33+"AM:!2%'"</f>
        <v>#VALUE!</v>
      </c>
      <c r="HJ340" t="e">
        <f>'Technical Master Data'!L33+"AM:!2%("</f>
        <v>#VALUE!</v>
      </c>
      <c r="HK340" t="e">
        <f>'Technical Master Data'!M33+"AM:!2%)"</f>
        <v>#VALUE!</v>
      </c>
      <c r="HL340" t="e">
        <f>'Technical Master Data'!N33+"AM:!2%."</f>
        <v>#VALUE!</v>
      </c>
      <c r="HM340" t="e">
        <f>'Technical Master Data'!O33+"AM:!2%/"</f>
        <v>#VALUE!</v>
      </c>
      <c r="HN340" t="e">
        <f>'Technical Master Data'!#REF!+"AM:!2%0"</f>
        <v>#REF!</v>
      </c>
      <c r="HO340" t="e">
        <f>'Technical Master Data'!#REF!+"AM:!2%1"</f>
        <v>#REF!</v>
      </c>
      <c r="HP340" t="e">
        <f>'Technical Master Data'!#REF!+"AM:!2%2"</f>
        <v>#REF!</v>
      </c>
      <c r="HQ340" t="e">
        <f>'Technical Master Data'!#REF!+"AM:!2%3"</f>
        <v>#REF!</v>
      </c>
      <c r="HR340" t="e">
        <f>'Technical Master Data'!#REF!+"AM:!2%4"</f>
        <v>#REF!</v>
      </c>
      <c r="HS340" t="e">
        <f>'Technical Master Data'!A34+"AM:!2%5"</f>
        <v>#VALUE!</v>
      </c>
      <c r="HT340" t="e">
        <f>'Technical Master Data'!B34+"AM:!2%6"</f>
        <v>#VALUE!</v>
      </c>
      <c r="HU340" t="e">
        <f>'Technical Master Data'!C34+"AM:!2%7"</f>
        <v>#VALUE!</v>
      </c>
      <c r="HV340" t="e">
        <f>'Technical Master Data'!D34+"AM:!2%8"</f>
        <v>#VALUE!</v>
      </c>
      <c r="HW340" t="e">
        <f>'Technical Master Data'!E34+"AM:!2%9"</f>
        <v>#VALUE!</v>
      </c>
      <c r="HX340" t="e">
        <f>'Technical Master Data'!F34+"AM:!2%:"</f>
        <v>#VALUE!</v>
      </c>
      <c r="HY340" t="e">
        <f>'Technical Master Data'!G34+"AM:!2%;"</f>
        <v>#VALUE!</v>
      </c>
      <c r="HZ340" t="e">
        <f>'Technical Master Data'!H34+"AM:!2%&lt;"</f>
        <v>#VALUE!</v>
      </c>
      <c r="IA340" t="e">
        <f>'Technical Master Data'!I34+"AM:!2%="</f>
        <v>#VALUE!</v>
      </c>
      <c r="IB340" t="e">
        <f>'Technical Master Data'!J34+"AM:!2%&gt;"</f>
        <v>#VALUE!</v>
      </c>
      <c r="IC340" t="e">
        <f>'Technical Master Data'!K34+"AM:!2%?"</f>
        <v>#VALUE!</v>
      </c>
      <c r="ID340" s="97" t="e">
        <f>'Technical Master Data'!L34+"AM:!2%@"</f>
        <v>#VALUE!</v>
      </c>
      <c r="IE340" s="97" t="e">
        <f>'Technical Master Data'!M34+"AM:!2%A"</f>
        <v>#VALUE!</v>
      </c>
      <c r="IF340" s="97" t="e">
        <f>'Technical Master Data'!N34+"AM:!2%B"</f>
        <v>#VALUE!</v>
      </c>
      <c r="IG340" t="e">
        <f>'Technical Master Data'!O34+"AM:!2%C"</f>
        <v>#VALUE!</v>
      </c>
      <c r="IH340" t="e">
        <f>'Technical Master Data'!#REF!+"AM:!2%D"</f>
        <v>#REF!</v>
      </c>
      <c r="II340" t="e">
        <f>'Technical Master Data'!#REF!+"AM:!2%E"</f>
        <v>#REF!</v>
      </c>
      <c r="IJ340" t="e">
        <f>'Technical Master Data'!#REF!+"AM:!2%F"</f>
        <v>#REF!</v>
      </c>
      <c r="IK340" t="e">
        <f>'Technical Master Data'!#REF!+"AM:!2%G"</f>
        <v>#REF!</v>
      </c>
      <c r="IL340" t="e">
        <f>'Technical Master Data'!#REF!+"AM:!2%H"</f>
        <v>#REF!</v>
      </c>
      <c r="IM340" t="e">
        <f>'Technical Master Data'!A35+"AM:!2%I"</f>
        <v>#VALUE!</v>
      </c>
      <c r="IN340" t="e">
        <f>'Technical Master Data'!B35+"AM:!2%J"</f>
        <v>#VALUE!</v>
      </c>
      <c r="IO340" t="e">
        <f>'Technical Master Data'!C35+"AM:!2%K"</f>
        <v>#VALUE!</v>
      </c>
      <c r="IP340" t="e">
        <f>'Technical Master Data'!D35+"AM:!2%L"</f>
        <v>#VALUE!</v>
      </c>
      <c r="IQ340" t="e">
        <f>'Technical Master Data'!E35+"AM:!2%M"</f>
        <v>#VALUE!</v>
      </c>
      <c r="IR340" t="e">
        <f>'Technical Master Data'!F35+"AM:!2%N"</f>
        <v>#VALUE!</v>
      </c>
      <c r="IS340" t="e">
        <f>'Technical Master Data'!G35+"AM:!2%O"</f>
        <v>#VALUE!</v>
      </c>
      <c r="IT340" t="e">
        <f>'Technical Master Data'!H35+"AM:!2%P"</f>
        <v>#VALUE!</v>
      </c>
      <c r="IU340" t="e">
        <f>'Technical Master Data'!I35+"AM:!2%Q"</f>
        <v>#VALUE!</v>
      </c>
      <c r="IV340" t="e">
        <f>'Technical Master Data'!J35+"AM:!2%R"</f>
        <v>#VALUE!</v>
      </c>
    </row>
    <row r="341" spans="6:256">
      <c r="F341" t="e">
        <f>'Technical Master Data'!K35+"AM:!2%S"</f>
        <v>#VALUE!</v>
      </c>
      <c r="G341" s="97" t="e">
        <f>'Technical Master Data'!L35+"AM:!2%T"</f>
        <v>#VALUE!</v>
      </c>
      <c r="H341" s="97" t="e">
        <f>'Technical Master Data'!M35+"AM:!2%U"</f>
        <v>#VALUE!</v>
      </c>
      <c r="I341" s="97" t="e">
        <f>'Technical Master Data'!N35+"AM:!2%V"</f>
        <v>#VALUE!</v>
      </c>
      <c r="J341" t="e">
        <f>'Technical Master Data'!O35+"AM:!2%W"</f>
        <v>#VALUE!</v>
      </c>
      <c r="K341" t="e">
        <f>'Technical Master Data'!#REF!+"AM:!2%X"</f>
        <v>#REF!</v>
      </c>
      <c r="L341" t="e">
        <f>'Technical Master Data'!#REF!+"AM:!2%Y"</f>
        <v>#REF!</v>
      </c>
      <c r="M341" t="e">
        <f>'Technical Master Data'!#REF!+"AM:!2%Z"</f>
        <v>#REF!</v>
      </c>
      <c r="N341" t="e">
        <f>'Technical Master Data'!#REF!+"AM:!2%["</f>
        <v>#REF!</v>
      </c>
      <c r="O341" t="e">
        <f>'Technical Master Data'!#REF!+"AM:!2%\"</f>
        <v>#REF!</v>
      </c>
      <c r="P341" t="e">
        <f>'Technical Master Data'!A36+"AM:!2%]"</f>
        <v>#VALUE!</v>
      </c>
      <c r="Q341" t="e">
        <f>'Technical Master Data'!B36+"AM:!2%^"</f>
        <v>#VALUE!</v>
      </c>
      <c r="R341" t="e">
        <f>'Technical Master Data'!C36+"AM:!2%_"</f>
        <v>#VALUE!</v>
      </c>
      <c r="S341" t="e">
        <f>'Technical Master Data'!D36+"AM:!2%`"</f>
        <v>#VALUE!</v>
      </c>
      <c r="T341" t="e">
        <f>'Technical Master Data'!E36+"AM:!2%a"</f>
        <v>#VALUE!</v>
      </c>
      <c r="U341" t="e">
        <f>'Technical Master Data'!F36+"AM:!2%b"</f>
        <v>#VALUE!</v>
      </c>
      <c r="V341" t="e">
        <f>'Technical Master Data'!G36+"AM:!2%c"</f>
        <v>#VALUE!</v>
      </c>
      <c r="W341" t="e">
        <f>'Technical Master Data'!H36+"AM:!2%d"</f>
        <v>#VALUE!</v>
      </c>
      <c r="X341" t="e">
        <f>'Technical Master Data'!I36+"AM:!2%e"</f>
        <v>#VALUE!</v>
      </c>
      <c r="Y341" t="e">
        <f>'Technical Master Data'!J36+"AM:!2%f"</f>
        <v>#VALUE!</v>
      </c>
      <c r="Z341" t="e">
        <f>'Technical Master Data'!K36+"AM:!2%g"</f>
        <v>#VALUE!</v>
      </c>
      <c r="AA341" s="97" t="e">
        <f>'Technical Master Data'!L36+"AM:!2%h"</f>
        <v>#VALUE!</v>
      </c>
      <c r="AB341" s="97" t="e">
        <f>'Technical Master Data'!M36+"AM:!2%i"</f>
        <v>#VALUE!</v>
      </c>
      <c r="AC341" s="97" t="e">
        <f>'Technical Master Data'!N36+"AM:!2%j"</f>
        <v>#VALUE!</v>
      </c>
      <c r="AD341" t="e">
        <f>'Technical Master Data'!O36+"AM:!2%k"</f>
        <v>#VALUE!</v>
      </c>
      <c r="AE341" t="e">
        <f>'Technical Master Data'!#REF!+"AM:!2%l"</f>
        <v>#REF!</v>
      </c>
      <c r="AF341" t="e">
        <f>'Technical Master Data'!#REF!+"AM:!2%m"</f>
        <v>#REF!</v>
      </c>
      <c r="AG341" t="e">
        <f>'Technical Master Data'!#REF!+"AM:!2%n"</f>
        <v>#REF!</v>
      </c>
      <c r="AH341" t="e">
        <f>'Technical Master Data'!#REF!+"AM:!2%o"</f>
        <v>#REF!</v>
      </c>
      <c r="AI341" t="e">
        <f>'Technical Master Data'!#REF!+"AM:!2%p"</f>
        <v>#REF!</v>
      </c>
      <c r="AJ341" t="e">
        <f>'Technical Master Data'!A37+"AM:!2%q"</f>
        <v>#VALUE!</v>
      </c>
      <c r="AK341" t="e">
        <f>'Technical Master Data'!B37+"AM:!2%r"</f>
        <v>#VALUE!</v>
      </c>
      <c r="AL341" t="e">
        <f>'Technical Master Data'!C37+"AM:!2%s"</f>
        <v>#VALUE!</v>
      </c>
      <c r="AM341" t="e">
        <f>'Technical Master Data'!D37+"AM:!2%t"</f>
        <v>#VALUE!</v>
      </c>
      <c r="AN341" t="e">
        <f>'Technical Master Data'!E37+"AM:!2%u"</f>
        <v>#VALUE!</v>
      </c>
      <c r="AO341" t="e">
        <f>'Technical Master Data'!F37+"AM:!2%v"</f>
        <v>#VALUE!</v>
      </c>
      <c r="AP341" t="e">
        <f>'Technical Master Data'!G37+"AM:!2%w"</f>
        <v>#VALUE!</v>
      </c>
      <c r="AQ341" t="e">
        <f>'Technical Master Data'!H37+"AM:!2%x"</f>
        <v>#VALUE!</v>
      </c>
      <c r="AR341" t="e">
        <f>'Technical Master Data'!I37+"AM:!2%y"</f>
        <v>#VALUE!</v>
      </c>
      <c r="AS341" t="e">
        <f>'Technical Master Data'!J37+"AM:!2%z"</f>
        <v>#VALUE!</v>
      </c>
      <c r="AT341" t="e">
        <f>'Technical Master Data'!K37+"AM:!2%{"</f>
        <v>#VALUE!</v>
      </c>
      <c r="AU341" t="e">
        <f>'Technical Master Data'!L37+"AM:!2%|"</f>
        <v>#VALUE!</v>
      </c>
      <c r="AV341" t="e">
        <f>'Technical Master Data'!M37+"AM:!2%}"</f>
        <v>#VALUE!</v>
      </c>
      <c r="AW341" t="e">
        <f>'Technical Master Data'!N37+"AM:!2%~"</f>
        <v>#VALUE!</v>
      </c>
      <c r="AX341" t="e">
        <f>'Technical Master Data'!O37+"AM:!2&amp;#"</f>
        <v>#VALUE!</v>
      </c>
      <c r="AY341" t="e">
        <f>'Technical Master Data'!#REF!+"AM:!2&amp;$"</f>
        <v>#REF!</v>
      </c>
      <c r="AZ341" t="e">
        <f>'Technical Master Data'!#REF!+"AM:!2&amp;%"</f>
        <v>#REF!</v>
      </c>
      <c r="BA341" t="e">
        <f>'Technical Master Data'!#REF!+"AM:!2&amp;&amp;"</f>
        <v>#REF!</v>
      </c>
      <c r="BB341" t="e">
        <f>'Technical Master Data'!#REF!+"AM:!2&amp;'"</f>
        <v>#REF!</v>
      </c>
      <c r="BC341" t="e">
        <f>'Technical Master Data'!A38+"AM:!2&amp;("</f>
        <v>#VALUE!</v>
      </c>
      <c r="BD341" t="e">
        <f>'Technical Master Data'!B38+"AM:!2&amp;)"</f>
        <v>#VALUE!</v>
      </c>
      <c r="BE341" t="e">
        <f>'Technical Master Data'!C38+"AM:!2&amp;."</f>
        <v>#VALUE!</v>
      </c>
      <c r="BF341" t="e">
        <f>'Technical Master Data'!D38+"AM:!2&amp;/"</f>
        <v>#VALUE!</v>
      </c>
      <c r="BG341" t="e">
        <f>'Technical Master Data'!E38+"AM:!2&amp;0"</f>
        <v>#VALUE!</v>
      </c>
      <c r="BH341" t="e">
        <f>'Technical Master Data'!F38+"AM:!2&amp;1"</f>
        <v>#VALUE!</v>
      </c>
      <c r="BI341" t="e">
        <f>'Technical Master Data'!G38+"AM:!2&amp;2"</f>
        <v>#VALUE!</v>
      </c>
      <c r="BJ341" t="e">
        <f>'Technical Master Data'!H38+"AM:!2&amp;3"</f>
        <v>#VALUE!</v>
      </c>
      <c r="BK341" t="e">
        <f>'Technical Master Data'!I38+"AM:!2&amp;4"</f>
        <v>#VALUE!</v>
      </c>
      <c r="BL341" t="e">
        <f>'Technical Master Data'!J38+"AM:!2&amp;5"</f>
        <v>#VALUE!</v>
      </c>
      <c r="BM341" t="e">
        <f>'Technical Master Data'!K38+"AM:!2&amp;6"</f>
        <v>#VALUE!</v>
      </c>
      <c r="BN341" t="e">
        <f>'Technical Master Data'!L38+"AM:!2&amp;7"</f>
        <v>#VALUE!</v>
      </c>
      <c r="BO341" t="e">
        <f>'Technical Master Data'!M38+"AM:!2&amp;8"</f>
        <v>#VALUE!</v>
      </c>
      <c r="BP341" t="e">
        <f>'Technical Master Data'!N38+"AM:!2&amp;9"</f>
        <v>#VALUE!</v>
      </c>
      <c r="BQ341" t="e">
        <f>'Technical Master Data'!O38+"AM:!2&amp;:"</f>
        <v>#VALUE!</v>
      </c>
      <c r="BR341" t="e">
        <f>'Technical Master Data'!P38+"AM:!2&amp;;"</f>
        <v>#VALUE!</v>
      </c>
      <c r="BS341" t="e">
        <f>'Technical Master Data'!Q38+"AM:!2&amp;&lt;"</f>
        <v>#VALUE!</v>
      </c>
      <c r="BT341" t="e">
        <f>'Technical Master Data'!R38+"AM:!2&amp;="</f>
        <v>#VALUE!</v>
      </c>
      <c r="BU341" t="e">
        <f>'Technical Master Data'!S38+"AM:!2&amp;&gt;"</f>
        <v>#VALUE!</v>
      </c>
      <c r="BV341" t="e">
        <f>'Technical Master Data'!A39+"AM:!2&amp;?"</f>
        <v>#VALUE!</v>
      </c>
      <c r="BW341" t="e">
        <f>'Technical Master Data'!B39+"AM:!2&amp;@"</f>
        <v>#VALUE!</v>
      </c>
      <c r="BX341" t="e">
        <f>'Technical Master Data'!C39+"AM:!2&amp;A"</f>
        <v>#VALUE!</v>
      </c>
      <c r="BY341" t="e">
        <f>'Technical Master Data'!D39+"AM:!2&amp;B"</f>
        <v>#VALUE!</v>
      </c>
      <c r="BZ341" t="e">
        <f>'Technical Master Data'!E39+"AM:!2&amp;C"</f>
        <v>#VALUE!</v>
      </c>
      <c r="CA341" t="e">
        <f>'Technical Master Data'!F39+"AM:!2&amp;D"</f>
        <v>#VALUE!</v>
      </c>
      <c r="CB341" t="e">
        <f>'Technical Master Data'!G39+"AM:!2&amp;E"</f>
        <v>#VALUE!</v>
      </c>
      <c r="CC341" t="e">
        <f>'Technical Master Data'!H39+"AM:!2&amp;F"</f>
        <v>#VALUE!</v>
      </c>
      <c r="CD341" t="e">
        <f>'Technical Master Data'!I39+"AM:!2&amp;G"</f>
        <v>#VALUE!</v>
      </c>
      <c r="CE341" t="e">
        <f>'Technical Master Data'!J39+"AM:!2&amp;H"</f>
        <v>#VALUE!</v>
      </c>
      <c r="CF341" t="e">
        <f>'Technical Master Data'!K39+"AM:!2&amp;I"</f>
        <v>#VALUE!</v>
      </c>
      <c r="CG341" t="e">
        <f>'Technical Master Data'!L39+"AM:!2&amp;J"</f>
        <v>#VALUE!</v>
      </c>
      <c r="CH341" t="e">
        <f>'Technical Master Data'!M39+"AM:!2&amp;K"</f>
        <v>#VALUE!</v>
      </c>
      <c r="CI341" t="e">
        <f>'Technical Master Data'!N39+"AM:!2&amp;L"</f>
        <v>#VALUE!</v>
      </c>
      <c r="CJ341" t="e">
        <f>'Technical Master Data'!O39+"AM:!2&amp;M"</f>
        <v>#VALUE!</v>
      </c>
      <c r="CK341" t="e">
        <f>'Technical Master Data'!P39+"AM:!2&amp;N"</f>
        <v>#VALUE!</v>
      </c>
      <c r="CL341" t="e">
        <f>'Technical Master Data'!Q39+"AM:!2&amp;O"</f>
        <v>#VALUE!</v>
      </c>
      <c r="CM341" t="e">
        <f>'Technical Master Data'!R39+"AM:!2&amp;P"</f>
        <v>#VALUE!</v>
      </c>
      <c r="CN341" t="e">
        <f>'Technical Master Data'!S39+"AM:!2&amp;Q"</f>
        <v>#VALUE!</v>
      </c>
      <c r="CO341" t="e">
        <f>'Technical Master Data'!A40+"AM:!2&amp;R"</f>
        <v>#VALUE!</v>
      </c>
      <c r="CP341" t="e">
        <f>'Technical Master Data'!B40+"AM:!2&amp;S"</f>
        <v>#VALUE!</v>
      </c>
      <c r="CQ341" t="e">
        <f>'Technical Master Data'!C40+"AM:!2&amp;T"</f>
        <v>#VALUE!</v>
      </c>
      <c r="CR341" t="e">
        <f>'Technical Master Data'!D40+"AM:!2&amp;U"</f>
        <v>#VALUE!</v>
      </c>
      <c r="CS341" t="e">
        <f>'Technical Master Data'!E40+"AM:!2&amp;V"</f>
        <v>#VALUE!</v>
      </c>
      <c r="CT341" t="e">
        <f>'Technical Master Data'!F40+"AM:!2&amp;W"</f>
        <v>#VALUE!</v>
      </c>
      <c r="CU341" t="e">
        <f>'Technical Master Data'!G40+"AM:!2&amp;X"</f>
        <v>#VALUE!</v>
      </c>
      <c r="CV341" t="e">
        <f>'Technical Master Data'!H40+"AM:!2&amp;Y"</f>
        <v>#VALUE!</v>
      </c>
      <c r="CW341" t="e">
        <f>'Technical Master Data'!I40+"AM:!2&amp;Z"</f>
        <v>#VALUE!</v>
      </c>
      <c r="CX341" t="e">
        <f>'Technical Master Data'!J40+"AM:!2&amp;["</f>
        <v>#VALUE!</v>
      </c>
      <c r="CY341" t="e">
        <f>'Technical Master Data'!K40+"AM:!2&amp;\"</f>
        <v>#VALUE!</v>
      </c>
      <c r="CZ341" t="e">
        <f>'Technical Master Data'!L40+"AM:!2&amp;]"</f>
        <v>#VALUE!</v>
      </c>
      <c r="DA341" t="e">
        <f>'Technical Master Data'!M40+"AM:!2&amp;^"</f>
        <v>#VALUE!</v>
      </c>
      <c r="DB341" t="e">
        <f>'Technical Master Data'!N40+"AM:!2&amp;_"</f>
        <v>#VALUE!</v>
      </c>
      <c r="DC341" t="e">
        <f>'Technical Master Data'!O40+"AM:!2&amp;`"</f>
        <v>#VALUE!</v>
      </c>
      <c r="DD341" t="e">
        <f>'Technical Master Data'!P40+"AM:!2&amp;a"</f>
        <v>#VALUE!</v>
      </c>
      <c r="DE341" t="e">
        <f>'Technical Master Data'!Q40+"AM:!2&amp;b"</f>
        <v>#VALUE!</v>
      </c>
      <c r="DF341" t="e">
        <f>'Technical Master Data'!R40+"AM:!2&amp;c"</f>
        <v>#VALUE!</v>
      </c>
      <c r="DG341" t="e">
        <f>'Technical Master Data'!S40+"AM:!2&amp;d"</f>
        <v>#VALUE!</v>
      </c>
      <c r="DH341" t="e">
        <f>'Technical Master Data'!A41+"AM:!2&amp;e"</f>
        <v>#VALUE!</v>
      </c>
      <c r="DI341" t="e">
        <f>'Technical Master Data'!B41+"AM:!2&amp;f"</f>
        <v>#VALUE!</v>
      </c>
      <c r="DJ341" t="e">
        <f>'Technical Master Data'!C41+"AM:!2&amp;g"</f>
        <v>#VALUE!</v>
      </c>
      <c r="DK341" t="e">
        <f>'Technical Master Data'!D41+"AM:!2&amp;h"</f>
        <v>#VALUE!</v>
      </c>
      <c r="DL341" t="e">
        <f>'Technical Master Data'!E41+"AM:!2&amp;i"</f>
        <v>#VALUE!</v>
      </c>
      <c r="DM341" t="e">
        <f>'Technical Master Data'!F41+"AM:!2&amp;j"</f>
        <v>#VALUE!</v>
      </c>
      <c r="DN341" t="e">
        <f>'Technical Master Data'!G41+"AM:!2&amp;k"</f>
        <v>#VALUE!</v>
      </c>
      <c r="DO341" t="e">
        <f>'Technical Master Data'!H41+"AM:!2&amp;l"</f>
        <v>#VALUE!</v>
      </c>
      <c r="DP341" t="e">
        <f>'Technical Master Data'!I41+"AM:!2&amp;m"</f>
        <v>#VALUE!</v>
      </c>
      <c r="DQ341" t="e">
        <f>'Technical Master Data'!J41+"AM:!2&amp;n"</f>
        <v>#VALUE!</v>
      </c>
      <c r="DR341" t="e">
        <f>'Technical Master Data'!K41+"AM:!2&amp;o"</f>
        <v>#VALUE!</v>
      </c>
      <c r="DS341" t="e">
        <f>'Technical Master Data'!L41+"AM:!2&amp;p"</f>
        <v>#VALUE!</v>
      </c>
      <c r="DT341" t="e">
        <f>'Technical Master Data'!M41+"AM:!2&amp;q"</f>
        <v>#VALUE!</v>
      </c>
      <c r="DU341" t="e">
        <f>'Technical Master Data'!N41+"AM:!2&amp;r"</f>
        <v>#VALUE!</v>
      </c>
      <c r="DV341" t="e">
        <f>'Technical Master Data'!O41+"AM:!2&amp;s"</f>
        <v>#VALUE!</v>
      </c>
      <c r="DW341" t="e">
        <f>'Technical Master Data'!P41+"AM:!2&amp;t"</f>
        <v>#VALUE!</v>
      </c>
      <c r="DX341" t="e">
        <f>'Technical Master Data'!Q41+"AM:!2&amp;u"</f>
        <v>#VALUE!</v>
      </c>
      <c r="DY341" t="e">
        <f>'Technical Master Data'!R41+"AM:!2&amp;v"</f>
        <v>#VALUE!</v>
      </c>
      <c r="DZ341" t="e">
        <f>'Technical Master Data'!S41+"AM:!2&amp;w"</f>
        <v>#VALUE!</v>
      </c>
      <c r="EA341" t="e">
        <f>'Technical Master Data'!A42+"AM:!2&amp;x"</f>
        <v>#VALUE!</v>
      </c>
      <c r="EB341" t="e">
        <f>'Technical Master Data'!B42+"AM:!2&amp;y"</f>
        <v>#VALUE!</v>
      </c>
      <c r="EC341" t="e">
        <f>'Technical Master Data'!C42+"AM:!2&amp;z"</f>
        <v>#VALUE!</v>
      </c>
      <c r="ED341" t="e">
        <f>'Technical Master Data'!D42+"AM:!2&amp;{"</f>
        <v>#VALUE!</v>
      </c>
      <c r="EE341" t="e">
        <f>'Technical Master Data'!E42+"AM:!2&amp;|"</f>
        <v>#VALUE!</v>
      </c>
      <c r="EF341" t="e">
        <f>'Technical Master Data'!F42+"AM:!2&amp;}"</f>
        <v>#VALUE!</v>
      </c>
      <c r="EG341" s="106" t="e">
        <f>'Technical Master Data'!G42+"AM:!2&amp;~"</f>
        <v>#VALUE!</v>
      </c>
      <c r="EH341" s="98" t="e">
        <f>'Technical Master Data'!H42+"AM:!2'#"</f>
        <v>#VALUE!</v>
      </c>
      <c r="EI341" t="e">
        <f>'Technical Master Data'!J42+"AM:!2'$"</f>
        <v>#VALUE!</v>
      </c>
      <c r="EJ341" t="e">
        <f>'Technical Master Data'!#REF!+"AM:!2'%"</f>
        <v>#REF!</v>
      </c>
      <c r="EK341" t="e">
        <f>'Technical Master Data'!K42+"AM:!2'&amp;"</f>
        <v>#VALUE!</v>
      </c>
      <c r="EL341" t="e">
        <f>'Technical Master Data'!L42+"AM:!2''"</f>
        <v>#VALUE!</v>
      </c>
      <c r="EM341" t="e">
        <f>'Technical Master Data'!M42+"AM:!2'("</f>
        <v>#VALUE!</v>
      </c>
      <c r="EN341" t="e">
        <f>'Technical Master Data'!N42+"AM:!2')"</f>
        <v>#VALUE!</v>
      </c>
      <c r="EO341" t="e">
        <f>'Technical Master Data'!O42+"AM:!2'."</f>
        <v>#VALUE!</v>
      </c>
      <c r="EP341" t="e">
        <f>'Technical Master Data'!P42+"AM:!2'/"</f>
        <v>#VALUE!</v>
      </c>
      <c r="EQ341" t="e">
        <f>'Technical Master Data'!Q42+"AM:!2'0"</f>
        <v>#VALUE!</v>
      </c>
      <c r="ER341" t="e">
        <f>'Technical Master Data'!R42+"AM:!2'1"</f>
        <v>#VALUE!</v>
      </c>
      <c r="ES341" t="e">
        <f>'Technical Master Data'!S42+"AM:!2'2"</f>
        <v>#VALUE!</v>
      </c>
      <c r="ET341" t="e">
        <f>'Technical Master Data'!A43+"AM:!2'3"</f>
        <v>#VALUE!</v>
      </c>
      <c r="EU341" t="e">
        <f>'Technical Master Data'!B43+"AM:!2'4"</f>
        <v>#VALUE!</v>
      </c>
      <c r="EV341" t="e">
        <f>'Technical Master Data'!C43+"AM:!2'5"</f>
        <v>#VALUE!</v>
      </c>
      <c r="EW341" t="e">
        <f>'Technical Master Data'!D43+"AM:!2'6"</f>
        <v>#VALUE!</v>
      </c>
      <c r="EX341" t="e">
        <f>'Technical Master Data'!E43+"AM:!2'7"</f>
        <v>#VALUE!</v>
      </c>
      <c r="EY341" t="e">
        <f>'Technical Master Data'!F43+"AM:!2'8"</f>
        <v>#VALUE!</v>
      </c>
      <c r="EZ341" t="e">
        <f>'Technical Master Data'!G43+"AM:!2'9"</f>
        <v>#VALUE!</v>
      </c>
      <c r="FA341" s="98" t="e">
        <f>'Technical Master Data'!H43+"AM:!2':"</f>
        <v>#VALUE!</v>
      </c>
      <c r="FB341" t="e">
        <f>'Technical Master Data'!J43+"AM:!2';"</f>
        <v>#VALUE!</v>
      </c>
      <c r="FC341" t="e">
        <f>'Technical Master Data'!#REF!+"AM:!2'&lt;"</f>
        <v>#REF!</v>
      </c>
      <c r="FD341" t="e">
        <f>'Technical Master Data'!K43+"AM:!2'="</f>
        <v>#VALUE!</v>
      </c>
      <c r="FE341" t="e">
        <f>'Technical Master Data'!L43+"AM:!2'&gt;"</f>
        <v>#VALUE!</v>
      </c>
      <c r="FF341" t="e">
        <f>'Technical Master Data'!M43+"AM:!2'?"</f>
        <v>#VALUE!</v>
      </c>
      <c r="FG341" t="e">
        <f>'Technical Master Data'!N43+"AM:!2'@"</f>
        <v>#VALUE!</v>
      </c>
      <c r="FH341" t="e">
        <f>'Technical Master Data'!O43+"AM:!2'A"</f>
        <v>#VALUE!</v>
      </c>
      <c r="FI341" t="e">
        <f>'Technical Master Data'!P43+"AM:!2'B"</f>
        <v>#VALUE!</v>
      </c>
      <c r="FJ341" t="e">
        <f>'Technical Master Data'!Q43+"AM:!2'C"</f>
        <v>#VALUE!</v>
      </c>
      <c r="FK341" t="e">
        <f>'Technical Master Data'!R43+"AM:!2'D"</f>
        <v>#VALUE!</v>
      </c>
      <c r="FL341" t="e">
        <f>'Technical Master Data'!S43+"AM:!2'E"</f>
        <v>#VALUE!</v>
      </c>
      <c r="FM341" t="e">
        <f>'Technical Master Data'!A44+"AM:!2'F"</f>
        <v>#VALUE!</v>
      </c>
      <c r="FN341" t="e">
        <f>'Technical Master Data'!B44+"AM:!2'G"</f>
        <v>#VALUE!</v>
      </c>
      <c r="FO341" t="e">
        <f>'Technical Master Data'!C44+"AM:!2'H"</f>
        <v>#VALUE!</v>
      </c>
      <c r="FP341" t="e">
        <f>'Technical Master Data'!D44+"AM:!2'I"</f>
        <v>#VALUE!</v>
      </c>
      <c r="FQ341" t="e">
        <f>'Technical Master Data'!E44+"AM:!2'J"</f>
        <v>#VALUE!</v>
      </c>
      <c r="FR341" t="e">
        <f>'Technical Master Data'!F44+"AM:!2'K"</f>
        <v>#VALUE!</v>
      </c>
      <c r="FS341" t="e">
        <f>'Technical Master Data'!G44+"AM:!2'L"</f>
        <v>#VALUE!</v>
      </c>
      <c r="FT341" s="98" t="e">
        <f>'Technical Master Data'!H44+"AM:!2'M"</f>
        <v>#VALUE!</v>
      </c>
      <c r="FU341" t="e">
        <f>'Technical Master Data'!J44+"AM:!2'N"</f>
        <v>#VALUE!</v>
      </c>
      <c r="FV341" t="e">
        <f>'Technical Master Data'!#REF!+"AM:!2'O"</f>
        <v>#REF!</v>
      </c>
      <c r="FW341" t="e">
        <f>'Technical Master Data'!K44+"AM:!2'P"</f>
        <v>#VALUE!</v>
      </c>
      <c r="FX341" t="e">
        <f>'Technical Master Data'!L44+"AM:!2'Q"</f>
        <v>#VALUE!</v>
      </c>
      <c r="FY341" t="e">
        <f>'Technical Master Data'!M44+"AM:!2'R"</f>
        <v>#VALUE!</v>
      </c>
      <c r="FZ341" t="e">
        <f>'Technical Master Data'!N44+"AM:!2'S"</f>
        <v>#VALUE!</v>
      </c>
      <c r="GA341" t="e">
        <f>'Technical Master Data'!O44+"AM:!2'T"</f>
        <v>#VALUE!</v>
      </c>
      <c r="GB341" t="e">
        <f>'Technical Master Data'!P44+"AM:!2'U"</f>
        <v>#VALUE!</v>
      </c>
      <c r="GC341" t="e">
        <f>'Technical Master Data'!Q44+"AM:!2'V"</f>
        <v>#VALUE!</v>
      </c>
      <c r="GD341" t="e">
        <f>'Technical Master Data'!R44+"AM:!2'W"</f>
        <v>#VALUE!</v>
      </c>
      <c r="GE341" t="e">
        <f>'Technical Master Data'!S44+"AM:!2'X"</f>
        <v>#VALUE!</v>
      </c>
      <c r="GF341" t="e">
        <f>'Technical Master Data'!A45+"AM:!2'Y"</f>
        <v>#VALUE!</v>
      </c>
      <c r="GG341" t="e">
        <f>'Technical Master Data'!B45+"AM:!2'Z"</f>
        <v>#VALUE!</v>
      </c>
      <c r="GH341" t="e">
        <f>'Technical Master Data'!C45+"AM:!2'["</f>
        <v>#VALUE!</v>
      </c>
      <c r="GI341" t="e">
        <f>'Technical Master Data'!D45+"AM:!2'\"</f>
        <v>#VALUE!</v>
      </c>
      <c r="GJ341" t="e">
        <f>'Technical Master Data'!E45+"AM:!2']"</f>
        <v>#VALUE!</v>
      </c>
      <c r="GK341" t="e">
        <f>'Technical Master Data'!F45+"AM:!2'^"</f>
        <v>#VALUE!</v>
      </c>
      <c r="GL341" t="e">
        <f>'Technical Master Data'!G45+"AM:!2'_"</f>
        <v>#VALUE!</v>
      </c>
      <c r="GM341" t="e">
        <f>'Technical Master Data'!H45+"AM:!2'`"</f>
        <v>#VALUE!</v>
      </c>
      <c r="GN341" t="e">
        <f>'Technical Master Data'!J45+"AM:!2'a"</f>
        <v>#VALUE!</v>
      </c>
      <c r="GO341" t="e">
        <f>'Technical Master Data'!#REF!+"AM:!2'b"</f>
        <v>#REF!</v>
      </c>
      <c r="GP341" t="e">
        <f>'Technical Master Data'!K45+"AM:!2'c"</f>
        <v>#VALUE!</v>
      </c>
      <c r="GQ341" t="e">
        <f>'Technical Master Data'!L45+"AM:!2'd"</f>
        <v>#VALUE!</v>
      </c>
      <c r="GR341" t="e">
        <f>'Technical Master Data'!M45+"AM:!2'e"</f>
        <v>#VALUE!</v>
      </c>
      <c r="GS341" t="e">
        <f>'Technical Master Data'!N45+"AM:!2'f"</f>
        <v>#VALUE!</v>
      </c>
      <c r="GT341" t="e">
        <f>'Technical Master Data'!O45+"AM:!2'g"</f>
        <v>#VALUE!</v>
      </c>
      <c r="GU341" t="e">
        <f>'Technical Master Data'!P45+"AM:!2'h"</f>
        <v>#VALUE!</v>
      </c>
      <c r="GV341" t="e">
        <f>'Technical Master Data'!Q45+"AM:!2'i"</f>
        <v>#VALUE!</v>
      </c>
      <c r="GW341" t="e">
        <f>'Technical Master Data'!R45+"AM:!2'j"</f>
        <v>#VALUE!</v>
      </c>
      <c r="GX341" t="e">
        <f>'Technical Master Data'!S45+"AM:!2'k"</f>
        <v>#VALUE!</v>
      </c>
      <c r="GY341" t="e">
        <f>'Technical Master Data'!A46+"AM:!2'l"</f>
        <v>#VALUE!</v>
      </c>
      <c r="GZ341" t="e">
        <f>'Technical Master Data'!B46+"AM:!2'm"</f>
        <v>#VALUE!</v>
      </c>
      <c r="HA341" t="e">
        <f>'Technical Master Data'!C46+"AM:!2'n"</f>
        <v>#VALUE!</v>
      </c>
      <c r="HB341" t="e">
        <f>'Technical Master Data'!D46+"AM:!2'o"</f>
        <v>#VALUE!</v>
      </c>
      <c r="HC341" t="e">
        <f>'Technical Master Data'!E46+"AM:!2'p"</f>
        <v>#VALUE!</v>
      </c>
      <c r="HD341" t="e">
        <f>'Technical Master Data'!F46+"AM:!2'q"</f>
        <v>#VALUE!</v>
      </c>
      <c r="HE341" t="e">
        <f>'Technical Master Data'!G46+"AM:!2'r"</f>
        <v>#VALUE!</v>
      </c>
      <c r="HF341" t="e">
        <f>'Technical Master Data'!H46+"AM:!2's"</f>
        <v>#VALUE!</v>
      </c>
      <c r="HG341" t="e">
        <f>'Technical Master Data'!J46+"AM:!2't"</f>
        <v>#VALUE!</v>
      </c>
      <c r="HH341" t="e">
        <f>'Technical Master Data'!#REF!+"AM:!2'u"</f>
        <v>#REF!</v>
      </c>
      <c r="HI341" t="e">
        <f>'Technical Master Data'!K46+"AM:!2'v"</f>
        <v>#VALUE!</v>
      </c>
      <c r="HJ341" t="e">
        <f>'Technical Master Data'!L46+"AM:!2'w"</f>
        <v>#VALUE!</v>
      </c>
      <c r="HK341" t="e">
        <f>'Technical Master Data'!M46+"AM:!2'x"</f>
        <v>#VALUE!</v>
      </c>
      <c r="HL341" t="e">
        <f>'Technical Master Data'!N46+"AM:!2'y"</f>
        <v>#VALUE!</v>
      </c>
      <c r="HM341" t="e">
        <f>'Technical Master Data'!O46+"AM:!2'z"</f>
        <v>#VALUE!</v>
      </c>
      <c r="HN341" t="e">
        <f>'Technical Master Data'!P46+"AM:!2'{"</f>
        <v>#VALUE!</v>
      </c>
      <c r="HO341" t="e">
        <f>'Technical Master Data'!A47+"AM:!2'|"</f>
        <v>#VALUE!</v>
      </c>
      <c r="HP341" t="e">
        <f>'Technical Master Data'!B47+"AM:!2'}"</f>
        <v>#VALUE!</v>
      </c>
      <c r="HQ341" t="e">
        <f>'Technical Master Data'!C47+"AM:!2'~"</f>
        <v>#VALUE!</v>
      </c>
      <c r="HR341" t="e">
        <f>'Technical Master Data'!D47+"AM:!2(#"</f>
        <v>#VALUE!</v>
      </c>
      <c r="HS341" t="e">
        <f>'Technical Master Data'!E47+"AM:!2($"</f>
        <v>#VALUE!</v>
      </c>
      <c r="HT341" t="e">
        <f>'Technical Master Data'!F47+"AM:!2(%"</f>
        <v>#VALUE!</v>
      </c>
      <c r="HU341" t="e">
        <f>'Technical Master Data'!G47+"AM:!2(&amp;"</f>
        <v>#VALUE!</v>
      </c>
      <c r="HV341" t="e">
        <f>'Technical Master Data'!H47+"AM:!2('"</f>
        <v>#VALUE!</v>
      </c>
      <c r="HW341" t="e">
        <f>'Technical Master Data'!J47+"AM:!2(("</f>
        <v>#VALUE!</v>
      </c>
      <c r="HX341" t="e">
        <f>'Technical Master Data'!#REF!+"AM:!2()"</f>
        <v>#REF!</v>
      </c>
      <c r="HY341" t="e">
        <f>'Technical Master Data'!K47+"AM:!2(."</f>
        <v>#VALUE!</v>
      </c>
      <c r="HZ341" t="e">
        <f>'Technical Master Data'!L47+"AM:!2(/"</f>
        <v>#VALUE!</v>
      </c>
      <c r="IA341" t="e">
        <f>'Technical Master Data'!M47+"AM:!2(0"</f>
        <v>#VALUE!</v>
      </c>
      <c r="IB341" t="e">
        <f>'Technical Master Data'!N47+"AM:!2(1"</f>
        <v>#VALUE!</v>
      </c>
      <c r="IC341" t="e">
        <f>'Technical Master Data'!O47+"AM:!2(2"</f>
        <v>#VALUE!</v>
      </c>
      <c r="ID341" t="e">
        <f>'Technical Master Data'!P47+"AM:!2(3"</f>
        <v>#VALUE!</v>
      </c>
      <c r="IE341" t="e">
        <f>'Technical Master Data'!A48+"AM:!2(4"</f>
        <v>#VALUE!</v>
      </c>
      <c r="IF341" t="e">
        <f>'Technical Master Data'!B48+"AM:!2(5"</f>
        <v>#VALUE!</v>
      </c>
      <c r="IG341" t="e">
        <f>'Technical Master Data'!C48+"AM:!2(6"</f>
        <v>#VALUE!</v>
      </c>
      <c r="IH341" t="e">
        <f>'Technical Master Data'!D48+"AM:!2(7"</f>
        <v>#VALUE!</v>
      </c>
      <c r="II341" t="e">
        <f>'Technical Master Data'!E48+"AM:!2(8"</f>
        <v>#VALUE!</v>
      </c>
      <c r="IJ341" t="e">
        <f>'Technical Master Data'!F48+"AM:!2(9"</f>
        <v>#VALUE!</v>
      </c>
      <c r="IK341" t="e">
        <f>'Technical Master Data'!G48+"AM:!2(:"</f>
        <v>#VALUE!</v>
      </c>
      <c r="IL341" t="e">
        <f>'Technical Master Data'!H48+"AM:!2(;"</f>
        <v>#VALUE!</v>
      </c>
      <c r="IM341" t="e">
        <f>'Technical Master Data'!J48+"AM:!2(&lt;"</f>
        <v>#VALUE!</v>
      </c>
      <c r="IN341" t="e">
        <f>'Technical Master Data'!#REF!+"AM:!2(="</f>
        <v>#REF!</v>
      </c>
      <c r="IO341" t="e">
        <f>'Technical Master Data'!K48+"AM:!2(&gt;"</f>
        <v>#VALUE!</v>
      </c>
      <c r="IP341" t="e">
        <f>'Technical Master Data'!L48+"AM:!2(?"</f>
        <v>#VALUE!</v>
      </c>
      <c r="IQ341" t="e">
        <f>'Technical Master Data'!M48+"AM:!2(@"</f>
        <v>#VALUE!</v>
      </c>
      <c r="IR341" t="e">
        <f>'Technical Master Data'!N48+"AM:!2(A"</f>
        <v>#VALUE!</v>
      </c>
      <c r="IS341" t="e">
        <f>'Technical Master Data'!O48+"AM:!2(B"</f>
        <v>#VALUE!</v>
      </c>
      <c r="IT341" t="e">
        <f>'Technical Master Data'!P48+"AM:!2(C"</f>
        <v>#VALUE!</v>
      </c>
      <c r="IU341" t="e">
        <f>'Technical Master Data'!A49+"AM:!2(D"</f>
        <v>#VALUE!</v>
      </c>
      <c r="IV341" t="e">
        <f>'Technical Master Data'!B49+"AM:!2(E"</f>
        <v>#VALUE!</v>
      </c>
    </row>
    <row r="342" spans="6:256">
      <c r="F342" t="e">
        <f>'Technical Master Data'!C49+"AM:!2(F"</f>
        <v>#VALUE!</v>
      </c>
      <c r="G342" t="e">
        <f>'Technical Master Data'!D49+"AM:!2(G"</f>
        <v>#VALUE!</v>
      </c>
      <c r="H342" t="e">
        <f>'Technical Master Data'!E49+"AM:!2(H"</f>
        <v>#VALUE!</v>
      </c>
      <c r="I342" t="e">
        <f>'Technical Master Data'!F49+"AM:!2(I"</f>
        <v>#VALUE!</v>
      </c>
      <c r="J342" t="e">
        <f>'Technical Master Data'!G49+"AM:!2(J"</f>
        <v>#VALUE!</v>
      </c>
      <c r="K342" t="e">
        <f>'Technical Master Data'!H49+"AM:!2(K"</f>
        <v>#VALUE!</v>
      </c>
      <c r="L342" t="e">
        <f>'Technical Master Data'!J49+"AM:!2(L"</f>
        <v>#VALUE!</v>
      </c>
      <c r="M342" t="e">
        <f>'Technical Master Data'!#REF!+"AM:!2(M"</f>
        <v>#REF!</v>
      </c>
      <c r="N342" t="e">
        <f>'Technical Master Data'!K49+"AM:!2(N"</f>
        <v>#VALUE!</v>
      </c>
      <c r="O342" t="e">
        <f>'Technical Master Data'!L49+"AM:!2(O"</f>
        <v>#VALUE!</v>
      </c>
      <c r="P342" t="e">
        <f>'Technical Master Data'!M49+"AM:!2(P"</f>
        <v>#VALUE!</v>
      </c>
      <c r="Q342" t="e">
        <f>'Technical Master Data'!N49+"AM:!2(Q"</f>
        <v>#VALUE!</v>
      </c>
      <c r="R342" t="e">
        <f>'Technical Master Data'!O49+"AM:!2(R"</f>
        <v>#VALUE!</v>
      </c>
      <c r="S342" t="e">
        <f>'Technical Master Data'!P49+"AM:!2(S"</f>
        <v>#VALUE!</v>
      </c>
      <c r="T342" t="e">
        <f>'Technical Master Data'!A50+"AM:!2(T"</f>
        <v>#VALUE!</v>
      </c>
      <c r="U342" t="e">
        <f>'Technical Master Data'!B50+"AM:!2(U"</f>
        <v>#VALUE!</v>
      </c>
      <c r="V342" t="e">
        <f>'Technical Master Data'!C50+"AM:!2(V"</f>
        <v>#VALUE!</v>
      </c>
      <c r="W342" t="e">
        <f>'Technical Master Data'!D50+"AM:!2(W"</f>
        <v>#VALUE!</v>
      </c>
      <c r="X342" t="e">
        <f>'Technical Master Data'!E50+"AM:!2(X"</f>
        <v>#VALUE!</v>
      </c>
      <c r="Y342" t="e">
        <f>'Technical Master Data'!F50+"AM:!2(Y"</f>
        <v>#VALUE!</v>
      </c>
      <c r="Z342" t="e">
        <f>'Technical Master Data'!G50+"AM:!2(Z"</f>
        <v>#VALUE!</v>
      </c>
      <c r="AA342" t="e">
        <f>'Technical Master Data'!H50+"AM:!2(["</f>
        <v>#VALUE!</v>
      </c>
      <c r="AB342" t="e">
        <f>'Technical Master Data'!I50+"AM:!2(\"</f>
        <v>#VALUE!</v>
      </c>
      <c r="AC342" t="e">
        <f>'Technical Master Data'!J50+"AM:!2(]"</f>
        <v>#VALUE!</v>
      </c>
      <c r="AD342" t="e">
        <f>'Technical Master Data'!K50+"AM:!2(^"</f>
        <v>#VALUE!</v>
      </c>
      <c r="AE342" t="e">
        <f>'Technical Master Data'!L50+"AM:!2(_"</f>
        <v>#VALUE!</v>
      </c>
      <c r="AF342" t="e">
        <f>'Technical Master Data'!M50+"AM:!2(`"</f>
        <v>#VALUE!</v>
      </c>
      <c r="AG342" t="e">
        <f>'Technical Master Data'!N50+"AM:!2(a"</f>
        <v>#VALUE!</v>
      </c>
      <c r="AH342" t="e">
        <f>'Technical Master Data'!O50+"AM:!2(b"</f>
        <v>#VALUE!</v>
      </c>
      <c r="AI342" t="e">
        <f>'Technical Master Data'!P50+"AM:!2(c"</f>
        <v>#VALUE!</v>
      </c>
      <c r="AJ342" t="e">
        <f>'Technical Master Data'!Q50+"AM:!2(d"</f>
        <v>#VALUE!</v>
      </c>
      <c r="AK342" t="e">
        <f>'Technical Master Data'!R50+"AM:!2(e"</f>
        <v>#VALUE!</v>
      </c>
      <c r="AL342" t="e">
        <f>'Technical Master Data'!S50+"AM:!2(f"</f>
        <v>#VALUE!</v>
      </c>
      <c r="AM342" t="e">
        <f>'Technical Master Data'!A51+"AM:!2(g"</f>
        <v>#VALUE!</v>
      </c>
      <c r="AN342" t="e">
        <f>'Technical Master Data'!B51+"AM:!2(h"</f>
        <v>#VALUE!</v>
      </c>
      <c r="AO342" t="e">
        <f>'Technical Master Data'!C51+"AM:!2(i"</f>
        <v>#VALUE!</v>
      </c>
      <c r="AP342" t="e">
        <f>'Technical Master Data'!D51+"AM:!2(j"</f>
        <v>#VALUE!</v>
      </c>
      <c r="AQ342" t="e">
        <f>'Technical Master Data'!E51+"AM:!2(k"</f>
        <v>#VALUE!</v>
      </c>
      <c r="AR342" t="e">
        <f>'Technical Master Data'!F51+"AM:!2(l"</f>
        <v>#VALUE!</v>
      </c>
      <c r="AS342" t="e">
        <f>'Technical Master Data'!G51+"AM:!2(m"</f>
        <v>#VALUE!</v>
      </c>
      <c r="AT342" t="e">
        <f>'Technical Master Data'!H51+"AM:!2(n"</f>
        <v>#VALUE!</v>
      </c>
      <c r="AU342" t="e">
        <f>'Technical Master Data'!I51+"AM:!2(o"</f>
        <v>#VALUE!</v>
      </c>
      <c r="AV342" t="e">
        <f>'Technical Master Data'!J51+"AM:!2(p"</f>
        <v>#VALUE!</v>
      </c>
      <c r="AW342" t="e">
        <f>'Technical Master Data'!K51+"AM:!2(q"</f>
        <v>#VALUE!</v>
      </c>
      <c r="AX342" t="e">
        <f>'Technical Master Data'!L51+"AM:!2(r"</f>
        <v>#VALUE!</v>
      </c>
      <c r="AY342" t="e">
        <f>'Technical Master Data'!M51+"AM:!2(s"</f>
        <v>#VALUE!</v>
      </c>
      <c r="AZ342" t="e">
        <f>'Technical Master Data'!N51+"AM:!2(t"</f>
        <v>#VALUE!</v>
      </c>
      <c r="BA342" t="e">
        <f>'Technical Master Data'!O51+"AM:!2(u"</f>
        <v>#VALUE!</v>
      </c>
      <c r="BB342" t="e">
        <f>'Technical Master Data'!P51+"AM:!2(v"</f>
        <v>#VALUE!</v>
      </c>
      <c r="BC342" t="e">
        <f>'Technical Master Data'!Q51+"AM:!2(w"</f>
        <v>#VALUE!</v>
      </c>
      <c r="BD342" t="e">
        <f>'Technical Master Data'!R51+"AM:!2(x"</f>
        <v>#VALUE!</v>
      </c>
      <c r="BE342" t="e">
        <f>'Technical Master Data'!S51+"AM:!2(y"</f>
        <v>#VALUE!</v>
      </c>
      <c r="BF342" t="e">
        <f>'Technical Master Data'!A52+"AM:!2(z"</f>
        <v>#VALUE!</v>
      </c>
      <c r="BG342" t="e">
        <f>'Technical Master Data'!B52+"AM:!2({"</f>
        <v>#VALUE!</v>
      </c>
      <c r="BH342" t="e">
        <f>'Technical Master Data'!C52+"AM:!2(|"</f>
        <v>#VALUE!</v>
      </c>
      <c r="BI342" t="e">
        <f>'Technical Master Data'!D52+"AM:!2(}"</f>
        <v>#VALUE!</v>
      </c>
      <c r="BJ342" t="e">
        <f>'Technical Master Data'!E52+"AM:!2(~"</f>
        <v>#VALUE!</v>
      </c>
      <c r="BK342" t="e">
        <f>'Technical Master Data'!F52+"AM:!2)#"</f>
        <v>#VALUE!</v>
      </c>
      <c r="BL342" t="e">
        <f>'Technical Master Data'!G52+"AM:!2)$"</f>
        <v>#VALUE!</v>
      </c>
      <c r="BM342" t="e">
        <f>'Technical Master Data'!H52+"AM:!2)%"</f>
        <v>#VALUE!</v>
      </c>
      <c r="BN342" t="e">
        <f>'Technical Master Data'!I52+"AM:!2)&amp;"</f>
        <v>#VALUE!</v>
      </c>
      <c r="BO342" t="e">
        <f>'Technical Master Data'!J52+"AM:!2)'"</f>
        <v>#VALUE!</v>
      </c>
      <c r="BP342" t="e">
        <f>'Technical Master Data'!K52+"AM:!2)("</f>
        <v>#VALUE!</v>
      </c>
      <c r="BQ342" t="e">
        <f>'Technical Master Data'!L52+"AM:!2))"</f>
        <v>#VALUE!</v>
      </c>
      <c r="BR342" t="e">
        <f>'Technical Master Data'!M52+"AM:!2)."</f>
        <v>#VALUE!</v>
      </c>
      <c r="BS342" t="e">
        <f>'Technical Master Data'!N52+"AM:!2)/"</f>
        <v>#VALUE!</v>
      </c>
      <c r="BT342" t="e">
        <f>'Technical Master Data'!O52+"AM:!2)0"</f>
        <v>#VALUE!</v>
      </c>
      <c r="BU342" t="e">
        <f>'Technical Master Data'!P52+"AM:!2)1"</f>
        <v>#VALUE!</v>
      </c>
      <c r="BV342" t="e">
        <f>'Technical Master Data'!Q52+"AM:!2)2"</f>
        <v>#VALUE!</v>
      </c>
      <c r="BW342" t="e">
        <f>'Technical Master Data'!R52+"AM:!2)3"</f>
        <v>#VALUE!</v>
      </c>
      <c r="BX342" t="e">
        <f>'Technical Master Data'!S52+"AM:!2)4"</f>
        <v>#VALUE!</v>
      </c>
      <c r="BY342" t="e">
        <f>'Technical Master Data'!A53+"AM:!2)5"</f>
        <v>#VALUE!</v>
      </c>
      <c r="BZ342" t="e">
        <f>'Technical Master Data'!B53+"AM:!2)6"</f>
        <v>#VALUE!</v>
      </c>
      <c r="CA342" t="e">
        <f>'Technical Master Data'!C53+"AM:!2)7"</f>
        <v>#VALUE!</v>
      </c>
      <c r="CB342" t="e">
        <f>'Technical Master Data'!D53+"AM:!2)8"</f>
        <v>#VALUE!</v>
      </c>
      <c r="CC342" t="e">
        <f>'Technical Master Data'!E53+"AM:!2)9"</f>
        <v>#VALUE!</v>
      </c>
      <c r="CD342" t="e">
        <f>'Technical Master Data'!F53+"AM:!2):"</f>
        <v>#VALUE!</v>
      </c>
      <c r="CE342" t="e">
        <f>'Technical Master Data'!G53+"AM:!2);"</f>
        <v>#VALUE!</v>
      </c>
      <c r="CF342" t="e">
        <f>'Technical Master Data'!H53+"AM:!2)&lt;"</f>
        <v>#VALUE!</v>
      </c>
      <c r="CG342" t="e">
        <f>'Technical Master Data'!I53+"AM:!2)="</f>
        <v>#VALUE!</v>
      </c>
      <c r="CH342" t="e">
        <f>'Technical Master Data'!J53+"AM:!2)&gt;"</f>
        <v>#VALUE!</v>
      </c>
      <c r="CI342" t="e">
        <f>'Technical Master Data'!K53+"AM:!2)?"</f>
        <v>#VALUE!</v>
      </c>
      <c r="CJ342" t="e">
        <f>'Technical Master Data'!L53+"AM:!2)@"</f>
        <v>#VALUE!</v>
      </c>
      <c r="CK342" t="e">
        <f>'Technical Master Data'!M53+"AM:!2)A"</f>
        <v>#VALUE!</v>
      </c>
      <c r="CL342" t="e">
        <f>'Technical Master Data'!N53+"AM:!2)B"</f>
        <v>#VALUE!</v>
      </c>
      <c r="CM342" t="e">
        <f>'Technical Master Data'!O53+"AM:!2)C"</f>
        <v>#VALUE!</v>
      </c>
      <c r="CN342" t="e">
        <f>'Technical Master Data'!P53+"AM:!2)D"</f>
        <v>#VALUE!</v>
      </c>
      <c r="CO342" t="e">
        <f>'Technical Master Data'!Q53+"AM:!2)E"</f>
        <v>#VALUE!</v>
      </c>
      <c r="CP342" t="e">
        <f>'Technical Master Data'!R53+"AM:!2)F"</f>
        <v>#VALUE!</v>
      </c>
      <c r="CQ342" t="e">
        <f>'Technical Master Data'!S53+"AM:!2)G"</f>
        <v>#VALUE!</v>
      </c>
      <c r="CR342" t="e">
        <f>'Technical Master Data'!A54+"AM:!2)H"</f>
        <v>#VALUE!</v>
      </c>
      <c r="CS342" t="e">
        <f>'Technical Master Data'!B54+"AM:!2)I"</f>
        <v>#VALUE!</v>
      </c>
      <c r="CT342" t="e">
        <f>'Technical Master Data'!C54+"AM:!2)J"</f>
        <v>#VALUE!</v>
      </c>
      <c r="CU342" t="e">
        <f>'Technical Master Data'!D54+"AM:!2)K"</f>
        <v>#VALUE!</v>
      </c>
      <c r="CV342" t="e">
        <f>'Technical Master Data'!E54+"AM:!2)L"</f>
        <v>#VALUE!</v>
      </c>
      <c r="CW342" t="e">
        <f>'Technical Master Data'!F54+"AM:!2)M"</f>
        <v>#VALUE!</v>
      </c>
      <c r="CX342" t="e">
        <f>'Technical Master Data'!G54+"AM:!2)N"</f>
        <v>#VALUE!</v>
      </c>
      <c r="CY342" t="e">
        <f>'Technical Master Data'!H54+"AM:!2)O"</f>
        <v>#VALUE!</v>
      </c>
      <c r="CZ342" t="e">
        <f>'Technical Master Data'!I54+"AM:!2)P"</f>
        <v>#VALUE!</v>
      </c>
      <c r="DA342" t="e">
        <f>'Technical Master Data'!J54+"AM:!2)Q"</f>
        <v>#VALUE!</v>
      </c>
      <c r="DB342" t="e">
        <f>'Technical Master Data'!K54+"AM:!2)R"</f>
        <v>#VALUE!</v>
      </c>
      <c r="DC342" t="e">
        <f>'Technical Master Data'!L54+"AM:!2)S"</f>
        <v>#VALUE!</v>
      </c>
      <c r="DD342" t="e">
        <f>'Technical Master Data'!M54+"AM:!2)T"</f>
        <v>#VALUE!</v>
      </c>
      <c r="DE342" t="e">
        <f>'Technical Master Data'!N54+"AM:!2)U"</f>
        <v>#VALUE!</v>
      </c>
      <c r="DF342" t="e">
        <f>'Technical Master Data'!O54+"AM:!2)V"</f>
        <v>#VALUE!</v>
      </c>
      <c r="DG342" t="e">
        <f>'Technical Master Data'!P54+"AM:!2)W"</f>
        <v>#VALUE!</v>
      </c>
      <c r="DH342" t="e">
        <f>'Technical Master Data'!Q54+"AM:!2)X"</f>
        <v>#VALUE!</v>
      </c>
      <c r="DI342" t="e">
        <f>'Technical Master Data'!R54+"AM:!2)Y"</f>
        <v>#VALUE!</v>
      </c>
      <c r="DJ342" t="e">
        <f>'Technical Master Data'!S54+"AM:!2)Z"</f>
        <v>#VALUE!</v>
      </c>
      <c r="DK342" t="e">
        <f>'Technical Master Data'!A55+"AM:!2)["</f>
        <v>#VALUE!</v>
      </c>
      <c r="DL342" t="e">
        <f>'Technical Master Data'!B55+"AM:!2)\"</f>
        <v>#VALUE!</v>
      </c>
      <c r="DM342" t="e">
        <f>'Technical Master Data'!C55+"AM:!2)]"</f>
        <v>#VALUE!</v>
      </c>
      <c r="DN342" t="e">
        <f>'Technical Master Data'!D55+"AM:!2)^"</f>
        <v>#VALUE!</v>
      </c>
      <c r="DO342" t="e">
        <f>'Technical Master Data'!E55+"AM:!2)_"</f>
        <v>#VALUE!</v>
      </c>
      <c r="DP342" t="e">
        <f>'Technical Master Data'!F55+"AM:!2)`"</f>
        <v>#VALUE!</v>
      </c>
      <c r="DQ342" t="e">
        <f>'Technical Master Data'!G55+"AM:!2)a"</f>
        <v>#VALUE!</v>
      </c>
      <c r="DR342" t="e">
        <f>'Technical Master Data'!H55+"AM:!2)b"</f>
        <v>#VALUE!</v>
      </c>
      <c r="DS342" t="e">
        <f>'Technical Master Data'!I55+"AM:!2)c"</f>
        <v>#VALUE!</v>
      </c>
      <c r="DT342" t="e">
        <f>'Technical Master Data'!J55+"AM:!2)d"</f>
        <v>#VALUE!</v>
      </c>
      <c r="DU342" t="e">
        <f>'Technical Master Data'!K55+"AM:!2)e"</f>
        <v>#VALUE!</v>
      </c>
      <c r="DV342" t="e">
        <f>'Technical Master Data'!L55+"AM:!2)f"</f>
        <v>#VALUE!</v>
      </c>
      <c r="DW342" t="e">
        <f>'Technical Master Data'!M55+"AM:!2)g"</f>
        <v>#VALUE!</v>
      </c>
      <c r="DX342" t="e">
        <f>'Technical Master Data'!N55+"AM:!2)h"</f>
        <v>#VALUE!</v>
      </c>
      <c r="DY342" t="e">
        <f>'Technical Master Data'!O55+"AM:!2)i"</f>
        <v>#VALUE!</v>
      </c>
      <c r="DZ342" t="e">
        <f>'Technical Master Data'!P55+"AM:!2)j"</f>
        <v>#VALUE!</v>
      </c>
      <c r="EA342" t="e">
        <f>'Technical Master Data'!Q55+"AM:!2)k"</f>
        <v>#VALUE!</v>
      </c>
      <c r="EB342" t="e">
        <f>'Technical Master Data'!R55+"AM:!2)l"</f>
        <v>#VALUE!</v>
      </c>
      <c r="EC342" t="e">
        <f>'Technical Master Data'!S55+"AM:!2)m"</f>
        <v>#VALUE!</v>
      </c>
      <c r="ED342" t="e">
        <f>'Technical Master Data'!A56+"AM:!2)n"</f>
        <v>#VALUE!</v>
      </c>
      <c r="EE342" t="e">
        <f>'Technical Master Data'!B56+"AM:!2)o"</f>
        <v>#VALUE!</v>
      </c>
      <c r="EF342" t="e">
        <f>'Technical Master Data'!C56+"AM:!2)p"</f>
        <v>#VALUE!</v>
      </c>
      <c r="EG342" t="e">
        <f>'Technical Master Data'!D56+"AM:!2)q"</f>
        <v>#VALUE!</v>
      </c>
      <c r="EH342" t="e">
        <f>'Technical Master Data'!E56+"AM:!2)r"</f>
        <v>#VALUE!</v>
      </c>
      <c r="EI342" t="e">
        <f>'Technical Master Data'!F56+"AM:!2)s"</f>
        <v>#VALUE!</v>
      </c>
      <c r="EJ342" t="e">
        <f>'Technical Master Data'!G56+"AM:!2)t"</f>
        <v>#VALUE!</v>
      </c>
      <c r="EK342" t="e">
        <f>'Technical Master Data'!H56+"AM:!2)u"</f>
        <v>#VALUE!</v>
      </c>
      <c r="EL342" t="e">
        <f>'Technical Master Data'!I56+"AM:!2)v"</f>
        <v>#VALUE!</v>
      </c>
      <c r="EM342" t="e">
        <f>'Technical Master Data'!J56+"AM:!2)w"</f>
        <v>#VALUE!</v>
      </c>
      <c r="EN342" t="e">
        <f>'Technical Master Data'!K56+"AM:!2)x"</f>
        <v>#VALUE!</v>
      </c>
      <c r="EO342" t="e">
        <f>'Technical Master Data'!L56+"AM:!2)y"</f>
        <v>#VALUE!</v>
      </c>
      <c r="EP342" t="e">
        <f>'Technical Master Data'!M56+"AM:!2)z"</f>
        <v>#VALUE!</v>
      </c>
      <c r="EQ342" t="e">
        <f>'Technical Master Data'!N56+"AM:!2){"</f>
        <v>#VALUE!</v>
      </c>
      <c r="ER342" t="e">
        <f>'Technical Master Data'!O56+"AM:!2)|"</f>
        <v>#VALUE!</v>
      </c>
      <c r="ES342" t="e">
        <f>'Technical Master Data'!P56+"AM:!2)}"</f>
        <v>#VALUE!</v>
      </c>
      <c r="ET342" t="e">
        <f>'Technical Master Data'!Q56+"AM:!2)~"</f>
        <v>#VALUE!</v>
      </c>
      <c r="EU342" t="e">
        <f>'Technical Master Data'!R56+"AM:!2.#"</f>
        <v>#VALUE!</v>
      </c>
      <c r="EV342" t="e">
        <f>'Technical Master Data'!S56+"AM:!2.$"</f>
        <v>#VALUE!</v>
      </c>
      <c r="EW342" t="e">
        <f>'Technical Master Data'!A57+"AM:!2.%"</f>
        <v>#VALUE!</v>
      </c>
      <c r="EX342" t="e">
        <f>'Technical Master Data'!B57+"AM:!2.&amp;"</f>
        <v>#VALUE!</v>
      </c>
      <c r="EY342" t="e">
        <f>'Technical Master Data'!C57+"AM:!2.'"</f>
        <v>#VALUE!</v>
      </c>
      <c r="EZ342" t="e">
        <f>'Technical Master Data'!D57+"AM:!2.("</f>
        <v>#VALUE!</v>
      </c>
      <c r="FA342" t="e">
        <f>'Technical Master Data'!E57+"AM:!2.)"</f>
        <v>#VALUE!</v>
      </c>
      <c r="FB342" t="e">
        <f>'Technical Master Data'!F57+"AM:!2.."</f>
        <v>#VALUE!</v>
      </c>
      <c r="FC342" t="e">
        <f>'Technical Master Data'!G57+"AM:!2./"</f>
        <v>#VALUE!</v>
      </c>
      <c r="FD342" t="e">
        <f>'Technical Master Data'!H57+"AM:!2.0"</f>
        <v>#VALUE!</v>
      </c>
      <c r="FE342" t="e">
        <f>'Technical Master Data'!I57+"AM:!2.1"</f>
        <v>#VALUE!</v>
      </c>
      <c r="FF342" t="e">
        <f>'Technical Master Data'!J57+"AM:!2.2"</f>
        <v>#VALUE!</v>
      </c>
      <c r="FG342" t="e">
        <f>'Technical Master Data'!K57+"AM:!2.3"</f>
        <v>#VALUE!</v>
      </c>
      <c r="FH342" t="e">
        <f>'Technical Master Data'!L57+"AM:!2.4"</f>
        <v>#VALUE!</v>
      </c>
      <c r="FI342" t="e">
        <f>'Technical Master Data'!M57+"AM:!2.5"</f>
        <v>#VALUE!</v>
      </c>
      <c r="FJ342" t="e">
        <f>'Technical Master Data'!N57+"AM:!2.6"</f>
        <v>#VALUE!</v>
      </c>
      <c r="FK342" t="e">
        <f>'Technical Master Data'!O57+"AM:!2.7"</f>
        <v>#VALUE!</v>
      </c>
      <c r="FL342" t="e">
        <f>'Technical Master Data'!P57+"AM:!2.8"</f>
        <v>#VALUE!</v>
      </c>
      <c r="FM342" t="e">
        <f>'Technical Master Data'!Q57+"AM:!2.9"</f>
        <v>#VALUE!</v>
      </c>
      <c r="FN342" t="e">
        <f>'Technical Master Data'!R57+"AM:!2.:"</f>
        <v>#VALUE!</v>
      </c>
      <c r="FO342" t="e">
        <f>'Technical Master Data'!S57+"AM:!2.;"</f>
        <v>#VALUE!</v>
      </c>
      <c r="FP342" t="e">
        <f>'Technical Master Data'!A58+"AM:!2.&lt;"</f>
        <v>#VALUE!</v>
      </c>
      <c r="FQ342" t="e">
        <f>'Technical Master Data'!B58+"AM:!2.="</f>
        <v>#VALUE!</v>
      </c>
      <c r="FR342" t="e">
        <f>'Technical Master Data'!C58+"AM:!2.&gt;"</f>
        <v>#VALUE!</v>
      </c>
      <c r="FS342" t="e">
        <f>'Technical Master Data'!D58+"AM:!2.?"</f>
        <v>#VALUE!</v>
      </c>
      <c r="FT342" t="e">
        <f>'Technical Master Data'!E58+"AM:!2.@"</f>
        <v>#VALUE!</v>
      </c>
      <c r="FU342" t="e">
        <f>'Technical Master Data'!F58+"AM:!2.A"</f>
        <v>#VALUE!</v>
      </c>
      <c r="FV342" t="e">
        <f>'Technical Master Data'!G58+"AM:!2.B"</f>
        <v>#VALUE!</v>
      </c>
      <c r="FW342" t="e">
        <f>'Technical Master Data'!H58+"AM:!2.C"</f>
        <v>#VALUE!</v>
      </c>
      <c r="FX342" t="e">
        <f>'Technical Master Data'!I58+"AM:!2.D"</f>
        <v>#VALUE!</v>
      </c>
      <c r="FY342" t="e">
        <f>'Technical Master Data'!J58+"AM:!2.E"</f>
        <v>#VALUE!</v>
      </c>
      <c r="FZ342" t="e">
        <f>'Technical Master Data'!K58+"AM:!2.F"</f>
        <v>#VALUE!</v>
      </c>
      <c r="GA342" t="e">
        <f>'Technical Master Data'!L58+"AM:!2.G"</f>
        <v>#VALUE!</v>
      </c>
      <c r="GB342" t="e">
        <f>'Technical Master Data'!M58+"AM:!2.H"</f>
        <v>#VALUE!</v>
      </c>
      <c r="GC342" t="e">
        <f>'Technical Master Data'!N58+"AM:!2.I"</f>
        <v>#VALUE!</v>
      </c>
      <c r="GD342" t="e">
        <f>'Technical Master Data'!O58+"AM:!2.J"</f>
        <v>#VALUE!</v>
      </c>
      <c r="GE342" t="e">
        <f>'Technical Master Data'!P58+"AM:!2.K"</f>
        <v>#VALUE!</v>
      </c>
      <c r="GF342" t="e">
        <f>'Technical Master Data'!Q58+"AM:!2.L"</f>
        <v>#VALUE!</v>
      </c>
      <c r="GG342" t="e">
        <f>'Technical Master Data'!R58+"AM:!2.M"</f>
        <v>#VALUE!</v>
      </c>
      <c r="GH342" t="e">
        <f>'Technical Master Data'!S58+"AM:!2.N"</f>
        <v>#VALUE!</v>
      </c>
      <c r="GI342" t="e">
        <f>'Technical Master Data'!A59+"AM:!2.O"</f>
        <v>#VALUE!</v>
      </c>
      <c r="GJ342" t="e">
        <f>'Technical Master Data'!B59+"AM:!2.P"</f>
        <v>#VALUE!</v>
      </c>
      <c r="GK342" t="e">
        <f>'Technical Master Data'!C59+"AM:!2.Q"</f>
        <v>#VALUE!</v>
      </c>
      <c r="GL342" t="e">
        <f>'Technical Master Data'!D59+"AM:!2.R"</f>
        <v>#VALUE!</v>
      </c>
      <c r="GM342" t="e">
        <f>'Technical Master Data'!E59+"AM:!2.S"</f>
        <v>#VALUE!</v>
      </c>
      <c r="GN342" t="e">
        <f>'Technical Master Data'!F59+"AM:!2.T"</f>
        <v>#VALUE!</v>
      </c>
      <c r="GO342" t="e">
        <f>'Technical Master Data'!G59+"AM:!2.U"</f>
        <v>#VALUE!</v>
      </c>
      <c r="GP342" t="e">
        <f>'Technical Master Data'!H59+"AM:!2.V"</f>
        <v>#VALUE!</v>
      </c>
      <c r="GQ342" t="e">
        <f>'Technical Master Data'!I59+"AM:!2.W"</f>
        <v>#VALUE!</v>
      </c>
      <c r="GR342" t="e">
        <f>'Technical Master Data'!J59+"AM:!2.X"</f>
        <v>#VALUE!</v>
      </c>
      <c r="GS342" t="e">
        <f>'Technical Master Data'!K59+"AM:!2.Y"</f>
        <v>#VALUE!</v>
      </c>
      <c r="GT342" t="e">
        <f>'Technical Master Data'!L59+"AM:!2.Z"</f>
        <v>#VALUE!</v>
      </c>
      <c r="GU342" t="e">
        <f>'Technical Master Data'!M59+"AM:!2.["</f>
        <v>#VALUE!</v>
      </c>
      <c r="GV342" t="e">
        <f>'Technical Master Data'!N59+"AM:!2.\"</f>
        <v>#VALUE!</v>
      </c>
      <c r="GW342" t="e">
        <f>'Technical Master Data'!O59+"AM:!2.]"</f>
        <v>#VALUE!</v>
      </c>
      <c r="GX342" t="e">
        <f>'Technical Master Data'!P59+"AM:!2.^"</f>
        <v>#VALUE!</v>
      </c>
      <c r="GY342" t="e">
        <f>'Technical Master Data'!Q59+"AM:!2._"</f>
        <v>#VALUE!</v>
      </c>
      <c r="GZ342" t="e">
        <f>'Technical Master Data'!R59+"AM:!2.`"</f>
        <v>#VALUE!</v>
      </c>
      <c r="HA342" t="e">
        <f>'Technical Master Data'!S59+"AM:!2.a"</f>
        <v>#VALUE!</v>
      </c>
      <c r="HB342" t="e">
        <f>'Technical Master Data'!A60+"AM:!2.b"</f>
        <v>#VALUE!</v>
      </c>
      <c r="HC342" t="e">
        <f>'Technical Master Data'!B60+"AM:!2.c"</f>
        <v>#VALUE!</v>
      </c>
      <c r="HD342" t="e">
        <f>'Technical Master Data'!C60+"AM:!2.d"</f>
        <v>#VALUE!</v>
      </c>
      <c r="HE342" t="e">
        <f>'Technical Master Data'!D60+"AM:!2.e"</f>
        <v>#VALUE!</v>
      </c>
      <c r="HF342" t="e">
        <f>'Technical Master Data'!E60+"AM:!2.f"</f>
        <v>#VALUE!</v>
      </c>
      <c r="HG342" t="e">
        <f>'Technical Master Data'!F60+"AM:!2.g"</f>
        <v>#VALUE!</v>
      </c>
      <c r="HH342" t="e">
        <f>'Technical Master Data'!G60+"AM:!2.h"</f>
        <v>#VALUE!</v>
      </c>
      <c r="HI342" t="e">
        <f>'Technical Master Data'!H60+"AM:!2.i"</f>
        <v>#VALUE!</v>
      </c>
      <c r="HJ342" t="e">
        <f>'Technical Master Data'!I60+"AM:!2.j"</f>
        <v>#VALUE!</v>
      </c>
      <c r="HK342" t="e">
        <f>'Technical Master Data'!J60+"AM:!2.k"</f>
        <v>#VALUE!</v>
      </c>
      <c r="HL342" t="e">
        <f>'Technical Master Data'!K60+"AM:!2.l"</f>
        <v>#VALUE!</v>
      </c>
      <c r="HM342" t="e">
        <f>'Technical Master Data'!L60+"AM:!2.m"</f>
        <v>#VALUE!</v>
      </c>
      <c r="HN342" t="e">
        <f>'Technical Master Data'!M60+"AM:!2.n"</f>
        <v>#VALUE!</v>
      </c>
      <c r="HO342" t="e">
        <f>'Technical Master Data'!N60+"AM:!2.o"</f>
        <v>#VALUE!</v>
      </c>
      <c r="HP342" t="e">
        <f>'Technical Master Data'!O60+"AM:!2.p"</f>
        <v>#VALUE!</v>
      </c>
      <c r="HQ342" t="e">
        <f>'Technical Master Data'!P60+"AM:!2.q"</f>
        <v>#VALUE!</v>
      </c>
      <c r="HR342" t="e">
        <f>'Technical Master Data'!Q60+"AM:!2.r"</f>
        <v>#VALUE!</v>
      </c>
      <c r="HS342" t="e">
        <f>'Technical Master Data'!R60+"AM:!2.s"</f>
        <v>#VALUE!</v>
      </c>
      <c r="HT342" t="e">
        <f>'Technical Master Data'!S60+"AM:!2.t"</f>
        <v>#VALUE!</v>
      </c>
      <c r="HU342" t="e">
        <f>'Technical Master Data'!A61+"AM:!2.u"</f>
        <v>#VALUE!</v>
      </c>
      <c r="HV342" t="e">
        <f>'Technical Master Data'!B61+"AM:!2.v"</f>
        <v>#VALUE!</v>
      </c>
      <c r="HW342" t="e">
        <f>'Technical Master Data'!C61+"AM:!2.w"</f>
        <v>#VALUE!</v>
      </c>
      <c r="HX342" t="e">
        <f>'Technical Master Data'!D61+"AM:!2.x"</f>
        <v>#VALUE!</v>
      </c>
      <c r="HY342" t="e">
        <f>'Technical Master Data'!E61+"AM:!2.y"</f>
        <v>#VALUE!</v>
      </c>
      <c r="HZ342" t="e">
        <f>'Technical Master Data'!F61+"AM:!2.z"</f>
        <v>#VALUE!</v>
      </c>
      <c r="IA342" t="e">
        <f>'Technical Master Data'!G61+"AM:!2.{"</f>
        <v>#VALUE!</v>
      </c>
      <c r="IB342" t="e">
        <f>'Technical Master Data'!H61+"AM:!2.|"</f>
        <v>#VALUE!</v>
      </c>
      <c r="IC342" t="e">
        <f>'Technical Master Data'!I61+"AM:!2.}"</f>
        <v>#VALUE!</v>
      </c>
      <c r="ID342" t="e">
        <f>'Technical Master Data'!J61+"AM:!2.~"</f>
        <v>#VALUE!</v>
      </c>
      <c r="IE342" t="e">
        <f>'Technical Master Data'!K61+"AM:!2/#"</f>
        <v>#VALUE!</v>
      </c>
      <c r="IF342" t="e">
        <f>'Technical Master Data'!L61+"AM:!2/$"</f>
        <v>#VALUE!</v>
      </c>
      <c r="IG342" t="e">
        <f>'Technical Master Data'!M61+"AM:!2/%"</f>
        <v>#VALUE!</v>
      </c>
      <c r="IH342" t="e">
        <f>'Technical Master Data'!N61+"AM:!2/&amp;"</f>
        <v>#VALUE!</v>
      </c>
      <c r="II342" t="e">
        <f>'Technical Master Data'!O61+"AM:!2/'"</f>
        <v>#VALUE!</v>
      </c>
      <c r="IJ342" t="e">
        <f>'Technical Master Data'!P61+"AM:!2/("</f>
        <v>#VALUE!</v>
      </c>
      <c r="IK342" t="e">
        <f>'Technical Master Data'!Q61+"AM:!2/)"</f>
        <v>#VALUE!</v>
      </c>
      <c r="IL342" t="e">
        <f>'Technical Master Data'!R61+"AM:!2/."</f>
        <v>#VALUE!</v>
      </c>
      <c r="IM342" t="e">
        <f>'Technical Master Data'!S61+"AM:!2//"</f>
        <v>#VALUE!</v>
      </c>
      <c r="IN342" t="e">
        <f>'Technical Master Data'!A62+"AM:!2/0"</f>
        <v>#VALUE!</v>
      </c>
      <c r="IO342" t="e">
        <f>'Technical Master Data'!B62+"AM:!2/1"</f>
        <v>#VALUE!</v>
      </c>
      <c r="IP342" t="e">
        <f>'Technical Master Data'!C62+"AM:!2/2"</f>
        <v>#VALUE!</v>
      </c>
      <c r="IQ342" t="e">
        <f>'Technical Master Data'!D62+"AM:!2/3"</f>
        <v>#VALUE!</v>
      </c>
      <c r="IR342" t="e">
        <f>'Technical Master Data'!E62+"AM:!2/4"</f>
        <v>#VALUE!</v>
      </c>
      <c r="IS342" t="e">
        <f>'Technical Master Data'!F62+"AM:!2/5"</f>
        <v>#VALUE!</v>
      </c>
      <c r="IT342" t="e">
        <f>'Technical Master Data'!G62+"AM:!2/6"</f>
        <v>#VALUE!</v>
      </c>
      <c r="IU342" t="e">
        <f>'Technical Master Data'!H62+"AM:!2/7"</f>
        <v>#VALUE!</v>
      </c>
      <c r="IV342" t="e">
        <f>'Technical Master Data'!I62+"AM:!2/8"</f>
        <v>#VALUE!</v>
      </c>
    </row>
    <row r="343" spans="6:256">
      <c r="F343" t="e">
        <f>'Technical Master Data'!J62+"AM:!2/9"</f>
        <v>#VALUE!</v>
      </c>
      <c r="G343" t="e">
        <f>'Technical Master Data'!K62+"AM:!2/:"</f>
        <v>#VALUE!</v>
      </c>
      <c r="H343" t="e">
        <f>'Technical Master Data'!L62+"AM:!2/;"</f>
        <v>#VALUE!</v>
      </c>
      <c r="I343" t="e">
        <f>'Technical Master Data'!M62+"AM:!2/&lt;"</f>
        <v>#VALUE!</v>
      </c>
      <c r="J343" t="e">
        <f>'Technical Master Data'!N62+"AM:!2/="</f>
        <v>#VALUE!</v>
      </c>
      <c r="K343" t="e">
        <f>'Technical Master Data'!O62+"AM:!2/&gt;"</f>
        <v>#VALUE!</v>
      </c>
      <c r="L343" t="e">
        <f>'Technical Master Data'!P62+"AM:!2/?"</f>
        <v>#VALUE!</v>
      </c>
      <c r="M343" t="e">
        <f>'Technical Master Data'!Q62+"AM:!2/@"</f>
        <v>#VALUE!</v>
      </c>
      <c r="N343" t="e">
        <f>'Technical Master Data'!R62+"AM:!2/A"</f>
        <v>#VALUE!</v>
      </c>
      <c r="O343" t="e">
        <f>'Technical Master Data'!S62+"AM:!2/B"</f>
        <v>#VALUE!</v>
      </c>
      <c r="P343" t="e">
        <f>'Technical Master Data'!A63+"AM:!2/C"</f>
        <v>#VALUE!</v>
      </c>
      <c r="Q343" t="e">
        <f>'Technical Master Data'!B63+"AM:!2/D"</f>
        <v>#VALUE!</v>
      </c>
      <c r="R343" t="e">
        <f>'Technical Master Data'!C63+"AM:!2/E"</f>
        <v>#VALUE!</v>
      </c>
      <c r="S343" t="e">
        <f>'Technical Master Data'!D63+"AM:!2/F"</f>
        <v>#VALUE!</v>
      </c>
      <c r="T343" t="e">
        <f>'Technical Master Data'!E63+"AM:!2/G"</f>
        <v>#VALUE!</v>
      </c>
      <c r="U343" t="e">
        <f>'Technical Master Data'!F63+"AM:!2/H"</f>
        <v>#VALUE!</v>
      </c>
      <c r="V343" t="e">
        <f>'Technical Master Data'!G63+"AM:!2/I"</f>
        <v>#VALUE!</v>
      </c>
      <c r="W343" t="e">
        <f>'Technical Master Data'!H63+"AM:!2/J"</f>
        <v>#VALUE!</v>
      </c>
      <c r="X343" t="e">
        <f>'Technical Master Data'!I63+"AM:!2/K"</f>
        <v>#VALUE!</v>
      </c>
      <c r="Y343" t="e">
        <f>'Technical Master Data'!J63+"AM:!2/L"</f>
        <v>#VALUE!</v>
      </c>
      <c r="Z343" t="e">
        <f>'Technical Master Data'!K63+"AM:!2/M"</f>
        <v>#VALUE!</v>
      </c>
      <c r="AA343" t="e">
        <f>'Technical Master Data'!L63+"AM:!2/N"</f>
        <v>#VALUE!</v>
      </c>
      <c r="AB343" t="e">
        <f>'Technical Master Data'!M63+"AM:!2/O"</f>
        <v>#VALUE!</v>
      </c>
      <c r="AC343" t="e">
        <f>'Technical Master Data'!N63+"AM:!2/P"</f>
        <v>#VALUE!</v>
      </c>
      <c r="AD343" t="e">
        <f>'Technical Master Data'!O63+"AM:!2/Q"</f>
        <v>#VALUE!</v>
      </c>
      <c r="AE343" t="e">
        <f>'Technical Master Data'!P63+"AM:!2/R"</f>
        <v>#VALUE!</v>
      </c>
      <c r="AF343" t="e">
        <f>'Technical Master Data'!Q63+"AM:!2/S"</f>
        <v>#VALUE!</v>
      </c>
      <c r="AG343" t="e">
        <f>'Technical Master Data'!R63+"AM:!2/T"</f>
        <v>#VALUE!</v>
      </c>
      <c r="AH343" t="e">
        <f>'Technical Master Data'!S63+"AM:!2/U"</f>
        <v>#VALUE!</v>
      </c>
      <c r="AI343" t="e">
        <f>'Technical Master Data'!A64+"AM:!2/V"</f>
        <v>#VALUE!</v>
      </c>
      <c r="AJ343" t="e">
        <f>'Technical Master Data'!B64+"AM:!2/W"</f>
        <v>#VALUE!</v>
      </c>
      <c r="AK343" t="e">
        <f>'Technical Master Data'!C64+"AM:!2/X"</f>
        <v>#VALUE!</v>
      </c>
      <c r="AL343" t="e">
        <f>'Technical Master Data'!D64+"AM:!2/Y"</f>
        <v>#VALUE!</v>
      </c>
      <c r="AM343" t="e">
        <f>'Technical Master Data'!E64+"AM:!2/Z"</f>
        <v>#VALUE!</v>
      </c>
      <c r="AN343" t="e">
        <f>'Technical Master Data'!F64+"AM:!2/["</f>
        <v>#VALUE!</v>
      </c>
      <c r="AO343" t="e">
        <f>'Technical Master Data'!G64+"AM:!2/\"</f>
        <v>#VALUE!</v>
      </c>
      <c r="AP343" t="e">
        <f>'Technical Master Data'!H64+"AM:!2/]"</f>
        <v>#VALUE!</v>
      </c>
      <c r="AQ343" t="e">
        <f>'Technical Master Data'!I64+"AM:!2/^"</f>
        <v>#VALUE!</v>
      </c>
      <c r="AR343" t="e">
        <f>'Technical Master Data'!J64+"AM:!2/_"</f>
        <v>#VALUE!</v>
      </c>
      <c r="AS343" t="e">
        <f>'Technical Master Data'!K64+"AM:!2/`"</f>
        <v>#VALUE!</v>
      </c>
      <c r="AT343" t="e">
        <f>'Technical Master Data'!L64+"AM:!2/a"</f>
        <v>#VALUE!</v>
      </c>
      <c r="AU343" t="e">
        <f>'Technical Master Data'!M64+"AM:!2/b"</f>
        <v>#VALUE!</v>
      </c>
      <c r="AV343" t="e">
        <f>'Technical Master Data'!N64+"AM:!2/c"</f>
        <v>#VALUE!</v>
      </c>
      <c r="AW343" t="e">
        <f>'Technical Master Data'!O64+"AM:!2/d"</f>
        <v>#VALUE!</v>
      </c>
      <c r="AX343" t="e">
        <f>'Technical Master Data'!P64+"AM:!2/e"</f>
        <v>#VALUE!</v>
      </c>
      <c r="AY343" t="e">
        <f>'Technical Master Data'!Q64+"AM:!2/f"</f>
        <v>#VALUE!</v>
      </c>
      <c r="AZ343" t="e">
        <f>'Technical Master Data'!R64+"AM:!2/g"</f>
        <v>#VALUE!</v>
      </c>
      <c r="BA343" t="e">
        <f>'Technical Master Data'!S64+"AM:!2/h"</f>
        <v>#VALUE!</v>
      </c>
      <c r="BB343" t="e">
        <f>'Technical Master Data'!A65+"AM:!2/i"</f>
        <v>#VALUE!</v>
      </c>
      <c r="BC343" t="e">
        <f>'Technical Master Data'!B65+"AM:!2/j"</f>
        <v>#VALUE!</v>
      </c>
      <c r="BD343" t="e">
        <f>'Technical Master Data'!C65+"AM:!2/k"</f>
        <v>#VALUE!</v>
      </c>
      <c r="BE343" t="e">
        <f>'Technical Master Data'!D65+"AM:!2/l"</f>
        <v>#VALUE!</v>
      </c>
      <c r="BF343" t="e">
        <f>'Technical Master Data'!E65+"AM:!2/m"</f>
        <v>#VALUE!</v>
      </c>
      <c r="BG343" t="e">
        <f>'Technical Master Data'!F65+"AM:!2/n"</f>
        <v>#VALUE!</v>
      </c>
      <c r="BH343" t="e">
        <f>'Technical Master Data'!G65+"AM:!2/o"</f>
        <v>#VALUE!</v>
      </c>
      <c r="BI343" t="e">
        <f>'Technical Master Data'!H65+"AM:!2/p"</f>
        <v>#VALUE!</v>
      </c>
      <c r="BJ343" t="e">
        <f>'Technical Master Data'!I65+"AM:!2/q"</f>
        <v>#VALUE!</v>
      </c>
      <c r="BK343" t="e">
        <f>'Technical Master Data'!J65+"AM:!2/r"</f>
        <v>#VALUE!</v>
      </c>
      <c r="BL343" t="e">
        <f>'Technical Master Data'!K65+"AM:!2/s"</f>
        <v>#VALUE!</v>
      </c>
      <c r="BM343" t="e">
        <f>'Technical Master Data'!L65+"AM:!2/t"</f>
        <v>#VALUE!</v>
      </c>
      <c r="BN343" t="e">
        <f>'Technical Master Data'!M65+"AM:!2/u"</f>
        <v>#VALUE!</v>
      </c>
      <c r="BO343" t="e">
        <f>'Technical Master Data'!N65+"AM:!2/v"</f>
        <v>#VALUE!</v>
      </c>
      <c r="BP343" t="e">
        <f>'Technical Master Data'!O65+"AM:!2/w"</f>
        <v>#VALUE!</v>
      </c>
      <c r="BQ343" t="e">
        <f>'Technical Master Data'!P65+"AM:!2/x"</f>
        <v>#VALUE!</v>
      </c>
      <c r="BR343" t="e">
        <f>'Technical Master Data'!Q65+"AM:!2/y"</f>
        <v>#VALUE!</v>
      </c>
      <c r="BS343" t="e">
        <f>'Technical Master Data'!R65+"AM:!2/z"</f>
        <v>#VALUE!</v>
      </c>
      <c r="BT343" t="e">
        <f>'Technical Master Data'!S65+"AM:!2/{"</f>
        <v>#VALUE!</v>
      </c>
      <c r="BU343" t="e">
        <f>'Technical Master Data'!A66+"AM:!2/|"</f>
        <v>#VALUE!</v>
      </c>
      <c r="BV343" t="e">
        <f>'Technical Master Data'!B66+"AM:!2/}"</f>
        <v>#VALUE!</v>
      </c>
      <c r="BW343" t="e">
        <f>'Technical Master Data'!C66+"AM:!2/~"</f>
        <v>#VALUE!</v>
      </c>
      <c r="BX343" t="e">
        <f>'Technical Master Data'!D66+"AM:!20#"</f>
        <v>#VALUE!</v>
      </c>
      <c r="BY343" t="e">
        <f>'Technical Master Data'!E66+"AM:!20$"</f>
        <v>#VALUE!</v>
      </c>
      <c r="BZ343" t="e">
        <f>'Technical Master Data'!F66+"AM:!20%"</f>
        <v>#VALUE!</v>
      </c>
      <c r="CA343" t="e">
        <f>'Technical Master Data'!G66+"AM:!20&amp;"</f>
        <v>#VALUE!</v>
      </c>
      <c r="CB343" t="e">
        <f>'Technical Master Data'!H66+"AM:!20'"</f>
        <v>#VALUE!</v>
      </c>
      <c r="CC343" t="e">
        <f>'Technical Master Data'!I66+"AM:!20("</f>
        <v>#VALUE!</v>
      </c>
      <c r="CD343" t="e">
        <f>'Technical Master Data'!J66+"AM:!20)"</f>
        <v>#VALUE!</v>
      </c>
      <c r="CE343" t="e">
        <f>'Technical Master Data'!K66+"AM:!20."</f>
        <v>#VALUE!</v>
      </c>
      <c r="CF343" t="e">
        <f>'Technical Master Data'!L66+"AM:!20/"</f>
        <v>#VALUE!</v>
      </c>
      <c r="CG343" t="e">
        <f>'Technical Master Data'!M66+"AM:!200"</f>
        <v>#VALUE!</v>
      </c>
      <c r="CH343" t="e">
        <f>'Technical Master Data'!N66+"AM:!201"</f>
        <v>#VALUE!</v>
      </c>
      <c r="CI343" t="e">
        <f>'Technical Master Data'!O66+"AM:!202"</f>
        <v>#VALUE!</v>
      </c>
      <c r="CJ343" t="e">
        <f>'Technical Master Data'!P66+"AM:!203"</f>
        <v>#VALUE!</v>
      </c>
      <c r="CK343" t="e">
        <f>'Technical Master Data'!Q66+"AM:!204"</f>
        <v>#VALUE!</v>
      </c>
      <c r="CL343" t="e">
        <f>'Technical Master Data'!R66+"AM:!205"</f>
        <v>#VALUE!</v>
      </c>
      <c r="CM343" t="e">
        <f>'Technical Master Data'!S66+"AM:!206"</f>
        <v>#VALUE!</v>
      </c>
      <c r="CN343" t="e">
        <f>'Technical Master Data'!A67+"AM:!207"</f>
        <v>#VALUE!</v>
      </c>
      <c r="CO343" t="e">
        <f>'Technical Master Data'!B67+"AM:!208"</f>
        <v>#VALUE!</v>
      </c>
      <c r="CP343" t="e">
        <f>'Technical Master Data'!C67+"AM:!209"</f>
        <v>#VALUE!</v>
      </c>
      <c r="CQ343" t="e">
        <f>'Technical Master Data'!D67+"AM:!20:"</f>
        <v>#VALUE!</v>
      </c>
      <c r="CR343" t="e">
        <f>'Technical Master Data'!E67+"AM:!20;"</f>
        <v>#VALUE!</v>
      </c>
      <c r="CS343" t="e">
        <f>'Technical Master Data'!F67+"AM:!20&lt;"</f>
        <v>#VALUE!</v>
      </c>
      <c r="CT343" t="e">
        <f>'Technical Master Data'!G67+"AM:!20="</f>
        <v>#VALUE!</v>
      </c>
      <c r="CU343" t="e">
        <f>'Technical Master Data'!H67+"AM:!20&gt;"</f>
        <v>#VALUE!</v>
      </c>
      <c r="CV343" t="e">
        <f>'Technical Master Data'!I67+"AM:!20?"</f>
        <v>#VALUE!</v>
      </c>
      <c r="CW343" t="e">
        <f>'Technical Master Data'!J67+"AM:!20@"</f>
        <v>#VALUE!</v>
      </c>
      <c r="CX343" t="e">
        <f>'Technical Master Data'!K67+"AM:!20A"</f>
        <v>#VALUE!</v>
      </c>
      <c r="CY343" t="e">
        <f>'Technical Master Data'!L67+"AM:!20B"</f>
        <v>#VALUE!</v>
      </c>
      <c r="CZ343" t="e">
        <f>'Technical Master Data'!M67+"AM:!20C"</f>
        <v>#VALUE!</v>
      </c>
      <c r="DA343" t="e">
        <f>'Technical Master Data'!N67+"AM:!20D"</f>
        <v>#VALUE!</v>
      </c>
      <c r="DB343" t="e">
        <f>'Technical Master Data'!O67+"AM:!20E"</f>
        <v>#VALUE!</v>
      </c>
      <c r="DC343" t="e">
        <f>'Technical Master Data'!P67+"AM:!20F"</f>
        <v>#VALUE!</v>
      </c>
      <c r="DD343" t="e">
        <f>'Technical Master Data'!Q67+"AM:!20G"</f>
        <v>#VALUE!</v>
      </c>
      <c r="DE343" t="e">
        <f>'Technical Master Data'!R67+"AM:!20H"</f>
        <v>#VALUE!</v>
      </c>
      <c r="DF343" t="e">
        <f>'Technical Master Data'!S67+"AM:!20I"</f>
        <v>#VALUE!</v>
      </c>
      <c r="DG343" t="e">
        <f>'Technical Master Data'!A68+"AM:!20J"</f>
        <v>#VALUE!</v>
      </c>
      <c r="DH343" t="e">
        <f>'Technical Master Data'!B68+"AM:!20K"</f>
        <v>#VALUE!</v>
      </c>
      <c r="DI343" t="e">
        <f>'Technical Master Data'!C68+"AM:!20L"</f>
        <v>#VALUE!</v>
      </c>
      <c r="DJ343" t="e">
        <f>'Technical Master Data'!D68+"AM:!20M"</f>
        <v>#VALUE!</v>
      </c>
      <c r="DK343" t="e">
        <f>'Technical Master Data'!E68+"AM:!20N"</f>
        <v>#VALUE!</v>
      </c>
      <c r="DL343" t="e">
        <f>'Technical Master Data'!F68+"AM:!20O"</f>
        <v>#VALUE!</v>
      </c>
      <c r="DM343" t="e">
        <f>'Technical Master Data'!G68+"AM:!20P"</f>
        <v>#VALUE!</v>
      </c>
      <c r="DN343" t="e">
        <f>'Technical Master Data'!H68+"AM:!20Q"</f>
        <v>#VALUE!</v>
      </c>
      <c r="DO343" t="e">
        <f>'Technical Master Data'!I68+"AM:!20R"</f>
        <v>#VALUE!</v>
      </c>
      <c r="DP343" t="e">
        <f>'Technical Master Data'!J68+"AM:!20S"</f>
        <v>#VALUE!</v>
      </c>
      <c r="DQ343" t="e">
        <f>'Technical Master Data'!K68+"AM:!20T"</f>
        <v>#VALUE!</v>
      </c>
      <c r="DR343" t="e">
        <f>'Technical Master Data'!L68+"AM:!20U"</f>
        <v>#VALUE!</v>
      </c>
      <c r="DS343" t="e">
        <f>'Technical Master Data'!M68+"AM:!20V"</f>
        <v>#VALUE!</v>
      </c>
      <c r="DT343" t="e">
        <f>'Technical Master Data'!N68+"AM:!20W"</f>
        <v>#VALUE!</v>
      </c>
      <c r="DU343" t="e">
        <f>'Technical Master Data'!O68+"AM:!20X"</f>
        <v>#VALUE!</v>
      </c>
      <c r="DV343" t="e">
        <f>'Technical Master Data'!P68+"AM:!20Y"</f>
        <v>#VALUE!</v>
      </c>
      <c r="DW343" t="e">
        <f>'Technical Master Data'!Q68+"AM:!20Z"</f>
        <v>#VALUE!</v>
      </c>
      <c r="DX343" t="e">
        <f>'Technical Master Data'!R68+"AM:!20["</f>
        <v>#VALUE!</v>
      </c>
      <c r="DY343" t="e">
        <f>'Technical Master Data'!S68+"AM:!20\"</f>
        <v>#VALUE!</v>
      </c>
      <c r="DZ343" t="e">
        <f>'Technical Master Data'!A69+"AM:!20]"</f>
        <v>#VALUE!</v>
      </c>
      <c r="EA343" t="e">
        <f>'Technical Master Data'!B69+"AM:!20^"</f>
        <v>#VALUE!</v>
      </c>
      <c r="EB343" t="e">
        <f>'Technical Master Data'!C69+"AM:!20_"</f>
        <v>#VALUE!</v>
      </c>
      <c r="EC343" t="e">
        <f>'Technical Master Data'!D69+"AM:!20`"</f>
        <v>#VALUE!</v>
      </c>
      <c r="ED343" t="e">
        <f>'Technical Master Data'!E69+"AM:!20a"</f>
        <v>#VALUE!</v>
      </c>
      <c r="EE343" t="e">
        <f>'Technical Master Data'!F69+"AM:!20b"</f>
        <v>#VALUE!</v>
      </c>
      <c r="EF343" t="e">
        <f>'Technical Master Data'!G69+"AM:!20c"</f>
        <v>#VALUE!</v>
      </c>
      <c r="EG343" t="e">
        <f>'Technical Master Data'!H69+"AM:!20d"</f>
        <v>#VALUE!</v>
      </c>
      <c r="EH343" t="e">
        <f>'Technical Master Data'!I69+"AM:!20e"</f>
        <v>#VALUE!</v>
      </c>
      <c r="EI343" t="e">
        <f>'Technical Master Data'!J69+"AM:!20f"</f>
        <v>#VALUE!</v>
      </c>
      <c r="EJ343" t="e">
        <f>'Technical Master Data'!K69+"AM:!20g"</f>
        <v>#VALUE!</v>
      </c>
      <c r="EK343" t="e">
        <f>'Technical Master Data'!L69+"AM:!20h"</f>
        <v>#VALUE!</v>
      </c>
      <c r="EL343" t="e">
        <f>'Technical Master Data'!M69+"AM:!20i"</f>
        <v>#VALUE!</v>
      </c>
      <c r="EM343" t="e">
        <f>'Technical Master Data'!N69+"AM:!20j"</f>
        <v>#VALUE!</v>
      </c>
      <c r="EN343" t="e">
        <f>'Technical Master Data'!O69+"AM:!20k"</f>
        <v>#VALUE!</v>
      </c>
      <c r="EO343" t="e">
        <f>'Technical Master Data'!P69+"AM:!20l"</f>
        <v>#VALUE!</v>
      </c>
      <c r="EP343" t="e">
        <f>'Technical Master Data'!Q69+"AM:!20m"</f>
        <v>#VALUE!</v>
      </c>
      <c r="EQ343" t="e">
        <f>'Technical Master Data'!R69+"AM:!20n"</f>
        <v>#VALUE!</v>
      </c>
      <c r="ER343" t="e">
        <f>'Technical Master Data'!S69+"AM:!20o"</f>
        <v>#VALUE!</v>
      </c>
      <c r="ES343" t="e">
        <f>'Technical Master Data'!A70+"AM:!20p"</f>
        <v>#VALUE!</v>
      </c>
      <c r="ET343" t="e">
        <f>'Technical Master Data'!B70+"AM:!20q"</f>
        <v>#VALUE!</v>
      </c>
      <c r="EU343" t="e">
        <f>'Technical Master Data'!C70+"AM:!20r"</f>
        <v>#VALUE!</v>
      </c>
      <c r="EV343" t="e">
        <f>'Technical Master Data'!D70+"AM:!20s"</f>
        <v>#VALUE!</v>
      </c>
      <c r="EW343" t="e">
        <f>'Technical Master Data'!E70+"AM:!20t"</f>
        <v>#VALUE!</v>
      </c>
      <c r="EX343" t="e">
        <f>'Technical Master Data'!F70+"AM:!20u"</f>
        <v>#VALUE!</v>
      </c>
      <c r="EY343" t="e">
        <f>'Technical Master Data'!G70+"AM:!20v"</f>
        <v>#VALUE!</v>
      </c>
      <c r="EZ343" t="e">
        <f>'Technical Master Data'!H70+"AM:!20w"</f>
        <v>#VALUE!</v>
      </c>
      <c r="FA343" t="e">
        <f>'Technical Master Data'!I70+"AM:!20x"</f>
        <v>#VALUE!</v>
      </c>
      <c r="FB343" t="e">
        <f>'Technical Master Data'!J70+"AM:!20y"</f>
        <v>#VALUE!</v>
      </c>
      <c r="FC343" t="e">
        <f>'Technical Master Data'!K70+"AM:!20z"</f>
        <v>#VALUE!</v>
      </c>
      <c r="FD343" t="e">
        <f>'Technical Master Data'!L70+"AM:!20{"</f>
        <v>#VALUE!</v>
      </c>
      <c r="FE343" t="e">
        <f>'Technical Master Data'!M70+"AM:!20|"</f>
        <v>#VALUE!</v>
      </c>
      <c r="FF343" t="e">
        <f>'Technical Master Data'!N70+"AM:!20}"</f>
        <v>#VALUE!</v>
      </c>
      <c r="FG343" t="e">
        <f>'Technical Master Data'!O70+"AM:!20~"</f>
        <v>#VALUE!</v>
      </c>
      <c r="FH343" t="e">
        <f>'Technical Master Data'!P70+"AM:!21#"</f>
        <v>#VALUE!</v>
      </c>
      <c r="FI343" t="e">
        <f>'Technical Master Data'!Q70+"AM:!21$"</f>
        <v>#VALUE!</v>
      </c>
      <c r="FJ343" t="e">
        <f>'Technical Master Data'!R70+"AM:!21%"</f>
        <v>#VALUE!</v>
      </c>
      <c r="FK343" t="e">
        <f>'Technical Master Data'!S70+"AM:!21&amp;"</f>
        <v>#VALUE!</v>
      </c>
      <c r="FL343" t="e">
        <f>'Technical Master Data'!A71+"AM:!21'"</f>
        <v>#VALUE!</v>
      </c>
      <c r="FM343" t="e">
        <f>'Technical Master Data'!B71+"AM:!21("</f>
        <v>#VALUE!</v>
      </c>
      <c r="FN343" t="e">
        <f>'Technical Master Data'!C71+"AM:!21)"</f>
        <v>#VALUE!</v>
      </c>
      <c r="FO343" t="e">
        <f>'Technical Master Data'!D71+"AM:!21."</f>
        <v>#VALUE!</v>
      </c>
      <c r="FP343" t="e">
        <f>'Technical Master Data'!E71+"AM:!21/"</f>
        <v>#VALUE!</v>
      </c>
      <c r="FQ343" t="e">
        <f>'Technical Master Data'!F71+"AM:!210"</f>
        <v>#VALUE!</v>
      </c>
      <c r="FR343" t="e">
        <f>'Technical Master Data'!G71+"AM:!211"</f>
        <v>#VALUE!</v>
      </c>
      <c r="FS343" t="e">
        <f>'Technical Master Data'!H71+"AM:!212"</f>
        <v>#VALUE!</v>
      </c>
      <c r="FT343" t="e">
        <f>'Technical Master Data'!I71+"AM:!213"</f>
        <v>#VALUE!</v>
      </c>
      <c r="FU343" t="e">
        <f>'Technical Master Data'!J71+"AM:!214"</f>
        <v>#VALUE!</v>
      </c>
      <c r="FV343" t="e">
        <f>'Technical Master Data'!K71+"AM:!215"</f>
        <v>#VALUE!</v>
      </c>
      <c r="FW343" t="e">
        <f>'Technical Master Data'!L71+"AM:!216"</f>
        <v>#VALUE!</v>
      </c>
      <c r="FX343" t="e">
        <f>'Technical Master Data'!M71+"AM:!217"</f>
        <v>#VALUE!</v>
      </c>
      <c r="FY343" t="e">
        <f>'Technical Master Data'!N71+"AM:!218"</f>
        <v>#VALUE!</v>
      </c>
      <c r="FZ343" t="e">
        <f>'Technical Master Data'!O71+"AM:!219"</f>
        <v>#VALUE!</v>
      </c>
      <c r="GA343" t="e">
        <f>'Technical Master Data'!P71+"AM:!21:"</f>
        <v>#VALUE!</v>
      </c>
      <c r="GB343" t="e">
        <f>'Technical Master Data'!Q71+"AM:!21;"</f>
        <v>#VALUE!</v>
      </c>
      <c r="GC343" t="e">
        <f>'Technical Master Data'!R71+"AM:!21&lt;"</f>
        <v>#VALUE!</v>
      </c>
      <c r="GD343" t="e">
        <f>'Technical Master Data'!S71+"AM:!21="</f>
        <v>#VALUE!</v>
      </c>
      <c r="GE343" t="e">
        <f>'Technical Master Data'!A72+"AM:!21&gt;"</f>
        <v>#VALUE!</v>
      </c>
      <c r="GF343" t="e">
        <f>'Technical Master Data'!B72+"AM:!21?"</f>
        <v>#VALUE!</v>
      </c>
      <c r="GG343" t="e">
        <f>'Technical Master Data'!C72+"AM:!21@"</f>
        <v>#VALUE!</v>
      </c>
      <c r="GH343" t="e">
        <f>'Technical Master Data'!D72+"AM:!21A"</f>
        <v>#VALUE!</v>
      </c>
      <c r="GI343" t="e">
        <f>'Technical Master Data'!E72+"AM:!21B"</f>
        <v>#VALUE!</v>
      </c>
      <c r="GJ343" t="e">
        <f>'Technical Master Data'!F72+"AM:!21C"</f>
        <v>#VALUE!</v>
      </c>
      <c r="GK343" t="e">
        <f>'Technical Master Data'!G72+"AM:!21D"</f>
        <v>#VALUE!</v>
      </c>
      <c r="GL343" t="e">
        <f>'Technical Master Data'!H72+"AM:!21E"</f>
        <v>#VALUE!</v>
      </c>
      <c r="GM343" t="e">
        <f>'Technical Master Data'!I72+"AM:!21F"</f>
        <v>#VALUE!</v>
      </c>
      <c r="GN343" t="e">
        <f>'Technical Master Data'!J72+"AM:!21G"</f>
        <v>#VALUE!</v>
      </c>
      <c r="GO343" t="e">
        <f>'Technical Master Data'!K72+"AM:!21H"</f>
        <v>#VALUE!</v>
      </c>
      <c r="GP343" t="e">
        <f>'Technical Master Data'!L72+"AM:!21I"</f>
        <v>#VALUE!</v>
      </c>
      <c r="GQ343" t="e">
        <f>'Technical Master Data'!M72+"AM:!21J"</f>
        <v>#VALUE!</v>
      </c>
      <c r="GR343" t="e">
        <f>'Technical Master Data'!N72+"AM:!21K"</f>
        <v>#VALUE!</v>
      </c>
      <c r="GS343" t="e">
        <f>'Technical Master Data'!O72+"AM:!21L"</f>
        <v>#VALUE!</v>
      </c>
      <c r="GT343" t="e">
        <f>'Technical Master Data'!P72+"AM:!21M"</f>
        <v>#VALUE!</v>
      </c>
      <c r="GU343" t="e">
        <f>'Technical Master Data'!Q72+"AM:!21N"</f>
        <v>#VALUE!</v>
      </c>
      <c r="GV343" t="e">
        <f>'Technical Master Data'!R72+"AM:!21O"</f>
        <v>#VALUE!</v>
      </c>
      <c r="GW343" t="e">
        <f>'Technical Master Data'!S72+"AM:!21P"</f>
        <v>#VALUE!</v>
      </c>
      <c r="GX343" t="e">
        <f>'Technical Master Data'!A73+"AM:!21Q"</f>
        <v>#VALUE!</v>
      </c>
      <c r="GY343" t="e">
        <f>'Technical Master Data'!B73+"AM:!21R"</f>
        <v>#VALUE!</v>
      </c>
      <c r="GZ343" t="e">
        <f>'Technical Master Data'!C73+"AM:!21S"</f>
        <v>#VALUE!</v>
      </c>
      <c r="HA343" t="e">
        <f>'Technical Master Data'!D73+"AM:!21T"</f>
        <v>#VALUE!</v>
      </c>
      <c r="HB343" t="e">
        <f>'Technical Master Data'!E73+"AM:!21U"</f>
        <v>#VALUE!</v>
      </c>
      <c r="HC343" t="e">
        <f>'Technical Master Data'!F73+"AM:!21V"</f>
        <v>#VALUE!</v>
      </c>
      <c r="HD343" t="e">
        <f>'Technical Master Data'!G73+"AM:!21W"</f>
        <v>#VALUE!</v>
      </c>
      <c r="HE343" t="e">
        <f>'Technical Master Data'!H73+"AM:!21X"</f>
        <v>#VALUE!</v>
      </c>
      <c r="HF343" t="e">
        <f>'Technical Master Data'!I73+"AM:!21Y"</f>
        <v>#VALUE!</v>
      </c>
      <c r="HG343" t="e">
        <f>'Technical Master Data'!J73+"AM:!21Z"</f>
        <v>#VALUE!</v>
      </c>
      <c r="HH343" t="e">
        <f>'Technical Master Data'!K73+"AM:!21["</f>
        <v>#VALUE!</v>
      </c>
      <c r="HI343" t="e">
        <f>'Technical Master Data'!L73+"AM:!21\"</f>
        <v>#VALUE!</v>
      </c>
      <c r="HJ343" t="e">
        <f>'Technical Master Data'!M73+"AM:!21]"</f>
        <v>#VALUE!</v>
      </c>
      <c r="HK343" t="e">
        <f>'Technical Master Data'!N73+"AM:!21^"</f>
        <v>#VALUE!</v>
      </c>
      <c r="HL343" t="e">
        <f>'Technical Master Data'!O73+"AM:!21_"</f>
        <v>#VALUE!</v>
      </c>
      <c r="HM343" t="e">
        <f>'Technical Master Data'!P73+"AM:!21`"</f>
        <v>#VALUE!</v>
      </c>
      <c r="HN343" t="e">
        <f>'Technical Master Data'!Q73+"AM:!21a"</f>
        <v>#VALUE!</v>
      </c>
      <c r="HO343" t="e">
        <f>'Technical Master Data'!R73+"AM:!21b"</f>
        <v>#VALUE!</v>
      </c>
      <c r="HP343" t="e">
        <f>'Technical Master Data'!S73+"AM:!21c"</f>
        <v>#VALUE!</v>
      </c>
      <c r="HQ343" t="e">
        <f>'Technical Master Data'!A74+"AM:!21d"</f>
        <v>#VALUE!</v>
      </c>
      <c r="HR343" t="e">
        <f>'Technical Master Data'!B74+"AM:!21e"</f>
        <v>#VALUE!</v>
      </c>
      <c r="HS343" t="e">
        <f>'Technical Master Data'!C74+"AM:!21f"</f>
        <v>#VALUE!</v>
      </c>
      <c r="HT343" t="e">
        <f>'Technical Master Data'!D74+"AM:!21g"</f>
        <v>#VALUE!</v>
      </c>
      <c r="HU343" t="e">
        <f>'Technical Master Data'!E74+"AM:!21h"</f>
        <v>#VALUE!</v>
      </c>
      <c r="HV343" t="e">
        <f>'Technical Master Data'!F74+"AM:!21i"</f>
        <v>#VALUE!</v>
      </c>
      <c r="HW343" t="e">
        <f>'Technical Master Data'!G74+"AM:!21j"</f>
        <v>#VALUE!</v>
      </c>
      <c r="HX343" t="e">
        <f>'Technical Master Data'!H74+"AM:!21k"</f>
        <v>#VALUE!</v>
      </c>
      <c r="HY343" t="e">
        <f>'Technical Master Data'!I74+"AM:!21l"</f>
        <v>#VALUE!</v>
      </c>
      <c r="HZ343" t="e">
        <f>'Technical Master Data'!J74+"AM:!21m"</f>
        <v>#VALUE!</v>
      </c>
      <c r="IA343" t="e">
        <f>'Technical Master Data'!K74+"AM:!21n"</f>
        <v>#VALUE!</v>
      </c>
      <c r="IB343" t="e">
        <f>'Technical Master Data'!L74+"AM:!21o"</f>
        <v>#VALUE!</v>
      </c>
      <c r="IC343" t="e">
        <f>'Technical Master Data'!M74+"AM:!21p"</f>
        <v>#VALUE!</v>
      </c>
      <c r="ID343" t="e">
        <f>'Technical Master Data'!N74+"AM:!21q"</f>
        <v>#VALUE!</v>
      </c>
      <c r="IE343" t="e">
        <f>'Technical Master Data'!O74+"AM:!21r"</f>
        <v>#VALUE!</v>
      </c>
      <c r="IF343" t="e">
        <f>'Technical Master Data'!P74+"AM:!21s"</f>
        <v>#VALUE!</v>
      </c>
      <c r="IG343" t="e">
        <f>'Technical Master Data'!Q74+"AM:!21t"</f>
        <v>#VALUE!</v>
      </c>
      <c r="IH343" t="e">
        <f>'Technical Master Data'!R74+"AM:!21u"</f>
        <v>#VALUE!</v>
      </c>
      <c r="II343" t="e">
        <f>'Technical Master Data'!S74+"AM:!21v"</f>
        <v>#VALUE!</v>
      </c>
      <c r="IJ343" t="e">
        <f>'Technical Master Data'!A75+"AM:!21w"</f>
        <v>#VALUE!</v>
      </c>
      <c r="IK343" t="e">
        <f>'Technical Master Data'!B75+"AM:!21x"</f>
        <v>#VALUE!</v>
      </c>
      <c r="IL343" t="e">
        <f>'Technical Master Data'!C75+"AM:!21y"</f>
        <v>#VALUE!</v>
      </c>
      <c r="IM343" t="e">
        <f>'Technical Master Data'!D75+"AM:!21z"</f>
        <v>#VALUE!</v>
      </c>
      <c r="IN343" t="e">
        <f>'Technical Master Data'!E75+"AM:!21{"</f>
        <v>#VALUE!</v>
      </c>
      <c r="IO343" t="e">
        <f>'Technical Master Data'!F75+"AM:!21|"</f>
        <v>#VALUE!</v>
      </c>
      <c r="IP343" t="e">
        <f>'Technical Master Data'!G75+"AM:!21}"</f>
        <v>#VALUE!</v>
      </c>
      <c r="IQ343" t="e">
        <f>'Technical Master Data'!H75+"AM:!21~"</f>
        <v>#VALUE!</v>
      </c>
      <c r="IR343" t="e">
        <f>'Technical Master Data'!I75+"AM:!22#"</f>
        <v>#VALUE!</v>
      </c>
      <c r="IS343" t="e">
        <f>'Technical Master Data'!J75+"AM:!22$"</f>
        <v>#VALUE!</v>
      </c>
      <c r="IT343" t="e">
        <f>'Technical Master Data'!K75+"AM:!22%"</f>
        <v>#VALUE!</v>
      </c>
      <c r="IU343" t="e">
        <f>'Technical Master Data'!L75+"AM:!22&amp;"</f>
        <v>#VALUE!</v>
      </c>
      <c r="IV343" t="e">
        <f>'Technical Master Data'!M75+"AM:!22'"</f>
        <v>#VALUE!</v>
      </c>
    </row>
    <row r="344" spans="6:256">
      <c r="F344" t="e">
        <f>'Technical Master Data'!N75+"AM:!22("</f>
        <v>#VALUE!</v>
      </c>
      <c r="G344" t="e">
        <f>'Technical Master Data'!O75+"AM:!22)"</f>
        <v>#VALUE!</v>
      </c>
      <c r="H344" t="e">
        <f>'Technical Master Data'!P75+"AM:!22."</f>
        <v>#VALUE!</v>
      </c>
      <c r="I344" t="e">
        <f>'Technical Master Data'!Q75+"AM:!22/"</f>
        <v>#VALUE!</v>
      </c>
      <c r="J344" t="e">
        <f>'Technical Master Data'!R75+"AM:!220"</f>
        <v>#VALUE!</v>
      </c>
      <c r="K344" t="e">
        <f>'Technical Master Data'!S75+"AM:!221"</f>
        <v>#VALUE!</v>
      </c>
      <c r="L344" t="e">
        <f>'Technical Master Data'!A76+"AM:!222"</f>
        <v>#VALUE!</v>
      </c>
      <c r="M344" t="e">
        <f>'Technical Master Data'!B76+"AM:!223"</f>
        <v>#VALUE!</v>
      </c>
      <c r="N344" t="e">
        <f>'Technical Master Data'!C76+"AM:!224"</f>
        <v>#VALUE!</v>
      </c>
      <c r="O344" t="e">
        <f>'Technical Master Data'!D76+"AM:!225"</f>
        <v>#VALUE!</v>
      </c>
      <c r="P344" t="e">
        <f>'Technical Master Data'!E76+"AM:!226"</f>
        <v>#VALUE!</v>
      </c>
      <c r="Q344" t="e">
        <f>'Technical Master Data'!F76+"AM:!227"</f>
        <v>#VALUE!</v>
      </c>
      <c r="R344" t="e">
        <f>'Technical Master Data'!G76+"AM:!228"</f>
        <v>#VALUE!</v>
      </c>
      <c r="S344" t="e">
        <f>'Technical Master Data'!H76+"AM:!229"</f>
        <v>#VALUE!</v>
      </c>
      <c r="T344" t="e">
        <f>'Technical Master Data'!I76+"AM:!22:"</f>
        <v>#VALUE!</v>
      </c>
      <c r="U344" t="e">
        <f>'Technical Master Data'!J76+"AM:!22;"</f>
        <v>#VALUE!</v>
      </c>
      <c r="V344" t="e">
        <f>'Technical Master Data'!K76+"AM:!22&lt;"</f>
        <v>#VALUE!</v>
      </c>
      <c r="W344" t="e">
        <f>'Technical Master Data'!L76+"AM:!22="</f>
        <v>#VALUE!</v>
      </c>
      <c r="X344" t="e">
        <f>'Technical Master Data'!M76+"AM:!22&gt;"</f>
        <v>#VALUE!</v>
      </c>
      <c r="Y344" t="e">
        <f>'Technical Master Data'!N76+"AM:!22?"</f>
        <v>#VALUE!</v>
      </c>
      <c r="Z344" t="e">
        <f>'Technical Master Data'!O76+"AM:!22@"</f>
        <v>#VALUE!</v>
      </c>
      <c r="AA344" t="e">
        <f>'Technical Master Data'!P76+"AM:!22A"</f>
        <v>#VALUE!</v>
      </c>
      <c r="AB344" t="e">
        <f>'Technical Master Data'!Q76+"AM:!22B"</f>
        <v>#VALUE!</v>
      </c>
      <c r="AC344" t="e">
        <f>'Technical Master Data'!R76+"AM:!22C"</f>
        <v>#VALUE!</v>
      </c>
      <c r="AD344" t="e">
        <f>'Technical Master Data'!S76+"AM:!22D"</f>
        <v>#VALUE!</v>
      </c>
      <c r="AE344" t="e">
        <f>'Technical Master Data'!A77+"AM:!22E"</f>
        <v>#VALUE!</v>
      </c>
      <c r="AF344" t="e">
        <f>'Technical Master Data'!B77+"AM:!22F"</f>
        <v>#VALUE!</v>
      </c>
      <c r="AG344" t="e">
        <f>'Technical Master Data'!C77+"AM:!22G"</f>
        <v>#VALUE!</v>
      </c>
      <c r="AH344" t="e">
        <f>'Technical Master Data'!D77+"AM:!22H"</f>
        <v>#VALUE!</v>
      </c>
      <c r="AI344" t="e">
        <f>'Technical Master Data'!E77+"AM:!22I"</f>
        <v>#VALUE!</v>
      </c>
      <c r="AJ344" t="e">
        <f>'Technical Master Data'!F77+"AM:!22J"</f>
        <v>#VALUE!</v>
      </c>
      <c r="AK344" t="e">
        <f>'Technical Master Data'!G77+"AM:!22K"</f>
        <v>#VALUE!</v>
      </c>
      <c r="AL344" t="e">
        <f>'Technical Master Data'!H77+"AM:!22L"</f>
        <v>#VALUE!</v>
      </c>
      <c r="AM344" t="e">
        <f>'Technical Master Data'!I77+"AM:!22M"</f>
        <v>#VALUE!</v>
      </c>
      <c r="AN344" t="e">
        <f>'Technical Master Data'!J77+"AM:!22N"</f>
        <v>#VALUE!</v>
      </c>
      <c r="AO344" t="e">
        <f>'Technical Master Data'!K77+"AM:!22O"</f>
        <v>#VALUE!</v>
      </c>
      <c r="AP344" t="e">
        <f>'Technical Master Data'!L77+"AM:!22P"</f>
        <v>#VALUE!</v>
      </c>
      <c r="AQ344" t="e">
        <f>'Technical Master Data'!M77+"AM:!22Q"</f>
        <v>#VALUE!</v>
      </c>
      <c r="AR344" t="e">
        <f>'Technical Master Data'!N77+"AM:!22R"</f>
        <v>#VALUE!</v>
      </c>
      <c r="AS344" t="e">
        <f>'Technical Master Data'!O77+"AM:!22S"</f>
        <v>#VALUE!</v>
      </c>
      <c r="AT344" t="e">
        <f>'Technical Master Data'!P77+"AM:!22T"</f>
        <v>#VALUE!</v>
      </c>
      <c r="AU344" t="e">
        <f>'Technical Master Data'!Q77+"AM:!22U"</f>
        <v>#VALUE!</v>
      </c>
      <c r="AV344" t="e">
        <f>'Technical Master Data'!R77+"AM:!22V"</f>
        <v>#VALUE!</v>
      </c>
      <c r="AW344" t="e">
        <f>'Technical Master Data'!S77+"AM:!22W"</f>
        <v>#VALUE!</v>
      </c>
      <c r="AX344" t="e">
        <f>'Technical Master Data'!A78+"AM:!22X"</f>
        <v>#VALUE!</v>
      </c>
      <c r="AY344" t="e">
        <f>'Technical Master Data'!B78+"AM:!22Y"</f>
        <v>#VALUE!</v>
      </c>
      <c r="AZ344" t="e">
        <f>'Technical Master Data'!C78+"AM:!22Z"</f>
        <v>#VALUE!</v>
      </c>
      <c r="BA344" t="e">
        <f>'Technical Master Data'!D78+"AM:!22["</f>
        <v>#VALUE!</v>
      </c>
      <c r="BB344" t="e">
        <f>'Technical Master Data'!E78+"AM:!22\"</f>
        <v>#VALUE!</v>
      </c>
      <c r="BC344" t="e">
        <f>'Technical Master Data'!F78+"AM:!22]"</f>
        <v>#VALUE!</v>
      </c>
      <c r="BD344" t="e">
        <f>'Technical Master Data'!G78+"AM:!22^"</f>
        <v>#VALUE!</v>
      </c>
      <c r="BE344" t="e">
        <f>'Technical Master Data'!H78+"AM:!22_"</f>
        <v>#VALUE!</v>
      </c>
      <c r="BF344" t="e">
        <f>'Technical Master Data'!I78+"AM:!22`"</f>
        <v>#VALUE!</v>
      </c>
      <c r="BG344" t="e">
        <f>'Technical Master Data'!J78+"AM:!22a"</f>
        <v>#VALUE!</v>
      </c>
      <c r="BH344" t="e">
        <f>'Technical Master Data'!K78+"AM:!22b"</f>
        <v>#VALUE!</v>
      </c>
      <c r="BI344" t="e">
        <f>'Technical Master Data'!L78+"AM:!22c"</f>
        <v>#VALUE!</v>
      </c>
      <c r="BJ344" t="e">
        <f>'Technical Master Data'!M78+"AM:!22d"</f>
        <v>#VALUE!</v>
      </c>
      <c r="BK344" t="e">
        <f>'Technical Master Data'!N78+"AM:!22e"</f>
        <v>#VALUE!</v>
      </c>
      <c r="BL344" t="e">
        <f>'Technical Master Data'!O78+"AM:!22f"</f>
        <v>#VALUE!</v>
      </c>
      <c r="BM344" t="e">
        <f>'Technical Master Data'!P78+"AM:!22g"</f>
        <v>#VALUE!</v>
      </c>
      <c r="BN344" t="e">
        <f>'Technical Master Data'!Q78+"AM:!22h"</f>
        <v>#VALUE!</v>
      </c>
      <c r="BO344" t="e">
        <f>'Technical Master Data'!R78+"AM:!22i"</f>
        <v>#VALUE!</v>
      </c>
      <c r="BP344" t="e">
        <f>'Technical Master Data'!S78+"AM:!22j"</f>
        <v>#VALUE!</v>
      </c>
      <c r="BQ344" t="e">
        <f>'Technical Master Data'!A79+"AM:!22k"</f>
        <v>#VALUE!</v>
      </c>
      <c r="BR344" t="e">
        <f>'Technical Master Data'!B79+"AM:!22l"</f>
        <v>#VALUE!</v>
      </c>
      <c r="BS344" t="e">
        <f>'Technical Master Data'!C79+"AM:!22m"</f>
        <v>#VALUE!</v>
      </c>
      <c r="BT344" t="e">
        <f>'Technical Master Data'!D79+"AM:!22n"</f>
        <v>#VALUE!</v>
      </c>
      <c r="BU344" t="e">
        <f>'Technical Master Data'!E79+"AM:!22o"</f>
        <v>#VALUE!</v>
      </c>
      <c r="BV344" t="e">
        <f>'Technical Master Data'!F79+"AM:!22p"</f>
        <v>#VALUE!</v>
      </c>
      <c r="BW344" t="e">
        <f>'Technical Master Data'!G79+"AM:!22q"</f>
        <v>#VALUE!</v>
      </c>
      <c r="BX344" t="e">
        <f>'Technical Master Data'!H79+"AM:!22r"</f>
        <v>#VALUE!</v>
      </c>
      <c r="BY344" t="e">
        <f>'Technical Master Data'!I79+"AM:!22s"</f>
        <v>#VALUE!</v>
      </c>
      <c r="BZ344" t="e">
        <f>'Technical Master Data'!J79+"AM:!22t"</f>
        <v>#VALUE!</v>
      </c>
      <c r="CA344" t="e">
        <f>'Technical Master Data'!K79+"AM:!22u"</f>
        <v>#VALUE!</v>
      </c>
      <c r="CB344" t="e">
        <f>'Technical Master Data'!L79+"AM:!22v"</f>
        <v>#VALUE!</v>
      </c>
      <c r="CC344" t="e">
        <f>'Technical Master Data'!M79+"AM:!22w"</f>
        <v>#VALUE!</v>
      </c>
      <c r="CD344" t="e">
        <f>'Technical Master Data'!N79+"AM:!22x"</f>
        <v>#VALUE!</v>
      </c>
      <c r="CE344" t="e">
        <f>'Technical Master Data'!O79+"AM:!22y"</f>
        <v>#VALUE!</v>
      </c>
      <c r="CF344" t="e">
        <f>'Technical Master Data'!P79+"AM:!22z"</f>
        <v>#VALUE!</v>
      </c>
      <c r="CG344" t="e">
        <f>'Technical Master Data'!Q79+"AM:!22{"</f>
        <v>#VALUE!</v>
      </c>
      <c r="CH344" t="e">
        <f>'Technical Master Data'!R79+"AM:!22|"</f>
        <v>#VALUE!</v>
      </c>
      <c r="CI344" t="e">
        <f>'Technical Master Data'!S79+"AM:!22}"</f>
        <v>#VALUE!</v>
      </c>
      <c r="CJ344" t="e">
        <f>'Technical Master Data'!A80+"AM:!22~"</f>
        <v>#VALUE!</v>
      </c>
      <c r="CK344" t="e">
        <f>'Technical Master Data'!B80+"AM:!23#"</f>
        <v>#VALUE!</v>
      </c>
      <c r="CL344" t="e">
        <f>'Technical Master Data'!C80+"AM:!23$"</f>
        <v>#VALUE!</v>
      </c>
      <c r="CM344" t="e">
        <f>'Technical Master Data'!D80+"AM:!23%"</f>
        <v>#VALUE!</v>
      </c>
      <c r="CN344" t="e">
        <f>'Technical Master Data'!E80+"AM:!23&amp;"</f>
        <v>#VALUE!</v>
      </c>
      <c r="CO344" t="e">
        <f>'Technical Master Data'!F80+"AM:!23'"</f>
        <v>#VALUE!</v>
      </c>
      <c r="CP344" t="e">
        <f>'Technical Master Data'!G80+"AM:!23("</f>
        <v>#VALUE!</v>
      </c>
      <c r="CQ344" t="e">
        <f>'Technical Master Data'!H80+"AM:!23)"</f>
        <v>#VALUE!</v>
      </c>
      <c r="CR344" t="e">
        <f>'Technical Master Data'!I80+"AM:!23."</f>
        <v>#VALUE!</v>
      </c>
      <c r="CS344" t="e">
        <f>'Technical Master Data'!J80+"AM:!23/"</f>
        <v>#VALUE!</v>
      </c>
      <c r="CT344" t="e">
        <f>'Technical Master Data'!K80+"AM:!230"</f>
        <v>#VALUE!</v>
      </c>
      <c r="CU344" t="e">
        <f>'Technical Master Data'!L80+"AM:!231"</f>
        <v>#VALUE!</v>
      </c>
      <c r="CV344" t="e">
        <f>'Technical Master Data'!M80+"AM:!232"</f>
        <v>#VALUE!</v>
      </c>
      <c r="CW344" t="e">
        <f>'Technical Master Data'!N80+"AM:!233"</f>
        <v>#VALUE!</v>
      </c>
      <c r="CX344" t="e">
        <f>'Technical Master Data'!O80+"AM:!234"</f>
        <v>#VALUE!</v>
      </c>
      <c r="CY344" t="e">
        <f>'Technical Master Data'!P80+"AM:!235"</f>
        <v>#VALUE!</v>
      </c>
      <c r="CZ344" t="e">
        <f>'Technical Master Data'!Q80+"AM:!236"</f>
        <v>#VALUE!</v>
      </c>
      <c r="DA344" t="e">
        <f>'Technical Master Data'!R80+"AM:!237"</f>
        <v>#VALUE!</v>
      </c>
      <c r="DB344" t="e">
        <f>'Technical Master Data'!S80+"AM:!238"</f>
        <v>#VALUE!</v>
      </c>
      <c r="DC344" t="e">
        <f>'Technical Master Data'!A81+"AM:!239"</f>
        <v>#VALUE!</v>
      </c>
      <c r="DD344" t="e">
        <f>'Technical Master Data'!B81+"AM:!23:"</f>
        <v>#VALUE!</v>
      </c>
      <c r="DE344" t="e">
        <f>'Technical Master Data'!C81+"AM:!23;"</f>
        <v>#VALUE!</v>
      </c>
      <c r="DF344" t="e">
        <f>'Technical Master Data'!D81+"AM:!23&lt;"</f>
        <v>#VALUE!</v>
      </c>
      <c r="DG344" t="e">
        <f>'Technical Master Data'!E81+"AM:!23="</f>
        <v>#VALUE!</v>
      </c>
      <c r="DH344" t="e">
        <f>'Technical Master Data'!F81+"AM:!23&gt;"</f>
        <v>#VALUE!</v>
      </c>
      <c r="DI344" t="e">
        <f>'Technical Master Data'!G81+"AM:!23?"</f>
        <v>#VALUE!</v>
      </c>
      <c r="DJ344" t="e">
        <f>'Technical Master Data'!H81+"AM:!23@"</f>
        <v>#VALUE!</v>
      </c>
      <c r="DK344" t="e">
        <f>'Technical Master Data'!I81+"AM:!23A"</f>
        <v>#VALUE!</v>
      </c>
      <c r="DL344" t="e">
        <f>'Technical Master Data'!J81+"AM:!23B"</f>
        <v>#VALUE!</v>
      </c>
      <c r="DM344" t="e">
        <f>'Technical Master Data'!K81+"AM:!23C"</f>
        <v>#VALUE!</v>
      </c>
      <c r="DN344" t="e">
        <f>'Technical Master Data'!L81+"AM:!23D"</f>
        <v>#VALUE!</v>
      </c>
      <c r="DO344" t="e">
        <f>'Technical Master Data'!M81+"AM:!23E"</f>
        <v>#VALUE!</v>
      </c>
      <c r="DP344" t="e">
        <f>'Technical Master Data'!N81+"AM:!23F"</f>
        <v>#VALUE!</v>
      </c>
      <c r="DQ344" t="e">
        <f>'Technical Master Data'!O81+"AM:!23G"</f>
        <v>#VALUE!</v>
      </c>
      <c r="DR344" t="e">
        <f>'Technical Master Data'!P81+"AM:!23H"</f>
        <v>#VALUE!</v>
      </c>
      <c r="DS344" t="e">
        <f>'Technical Master Data'!Q81+"AM:!23I"</f>
        <v>#VALUE!</v>
      </c>
      <c r="DT344" t="e">
        <f>'Technical Master Data'!R81+"AM:!23J"</f>
        <v>#VALUE!</v>
      </c>
      <c r="DU344" t="e">
        <f>'Technical Master Data'!S81+"AM:!23K"</f>
        <v>#VALUE!</v>
      </c>
      <c r="DV344" t="e">
        <f>'Technical Master Data'!A82+"AM:!23L"</f>
        <v>#VALUE!</v>
      </c>
      <c r="DW344" t="e">
        <f>'Technical Master Data'!B82+"AM:!23M"</f>
        <v>#VALUE!</v>
      </c>
      <c r="DX344" t="e">
        <f>'Technical Master Data'!C82+"AM:!23N"</f>
        <v>#VALUE!</v>
      </c>
      <c r="DY344" t="e">
        <f>'Technical Master Data'!D82+"AM:!23O"</f>
        <v>#VALUE!</v>
      </c>
      <c r="DZ344" t="e">
        <f>'Technical Master Data'!E82+"AM:!23P"</f>
        <v>#VALUE!</v>
      </c>
      <c r="EA344" t="e">
        <f>'Technical Master Data'!F82+"AM:!23Q"</f>
        <v>#VALUE!</v>
      </c>
      <c r="EB344" t="e">
        <f>'Technical Master Data'!G82+"AM:!23R"</f>
        <v>#VALUE!</v>
      </c>
      <c r="EC344" t="e">
        <f>'Technical Master Data'!H82+"AM:!23S"</f>
        <v>#VALUE!</v>
      </c>
      <c r="ED344" t="e">
        <f>'Technical Master Data'!I82+"AM:!23T"</f>
        <v>#VALUE!</v>
      </c>
      <c r="EE344" t="e">
        <f>'Technical Master Data'!J82+"AM:!23U"</f>
        <v>#VALUE!</v>
      </c>
      <c r="EF344" t="e">
        <f>'Technical Master Data'!K82+"AM:!23V"</f>
        <v>#VALUE!</v>
      </c>
      <c r="EG344" t="e">
        <f>'Technical Master Data'!L82+"AM:!23W"</f>
        <v>#VALUE!</v>
      </c>
      <c r="EH344" t="e">
        <f>'Technical Master Data'!M82+"AM:!23X"</f>
        <v>#VALUE!</v>
      </c>
      <c r="EI344" t="e">
        <f>'Technical Master Data'!N82+"AM:!23Y"</f>
        <v>#VALUE!</v>
      </c>
      <c r="EJ344" t="e">
        <f>'Technical Master Data'!O82+"AM:!23Z"</f>
        <v>#VALUE!</v>
      </c>
      <c r="EK344" t="e">
        <f>'Technical Master Data'!P82+"AM:!23["</f>
        <v>#VALUE!</v>
      </c>
      <c r="EL344" t="e">
        <f>'Technical Master Data'!Q82+"AM:!23\"</f>
        <v>#VALUE!</v>
      </c>
      <c r="EM344" t="e">
        <f>'Technical Master Data'!R82+"AM:!23]"</f>
        <v>#VALUE!</v>
      </c>
      <c r="EN344" t="e">
        <f>'Technical Master Data'!S82+"AM:!23^"</f>
        <v>#VALUE!</v>
      </c>
      <c r="EO344" t="e">
        <f>'Technical Master Data'!A83+"AM:!23_"</f>
        <v>#VALUE!</v>
      </c>
      <c r="EP344" t="e">
        <f>'Technical Master Data'!B83+"AM:!23`"</f>
        <v>#VALUE!</v>
      </c>
      <c r="EQ344" t="e">
        <f>'Technical Master Data'!C83+"AM:!23a"</f>
        <v>#VALUE!</v>
      </c>
      <c r="ER344" t="e">
        <f>'Technical Master Data'!D83+"AM:!23b"</f>
        <v>#VALUE!</v>
      </c>
      <c r="ES344" t="e">
        <f>'Technical Master Data'!E83+"AM:!23c"</f>
        <v>#VALUE!</v>
      </c>
      <c r="ET344" t="e">
        <f>'Technical Master Data'!F83+"AM:!23d"</f>
        <v>#VALUE!</v>
      </c>
      <c r="EU344" t="e">
        <f>'Technical Master Data'!G83+"AM:!23e"</f>
        <v>#VALUE!</v>
      </c>
      <c r="EV344" t="e">
        <f>'Technical Master Data'!H83+"AM:!23f"</f>
        <v>#VALUE!</v>
      </c>
      <c r="EW344" t="e">
        <f>'Technical Master Data'!I83+"AM:!23g"</f>
        <v>#VALUE!</v>
      </c>
      <c r="EX344" t="e">
        <f>'Technical Master Data'!J83+"AM:!23h"</f>
        <v>#VALUE!</v>
      </c>
      <c r="EY344" t="e">
        <f>'Technical Master Data'!K83+"AM:!23i"</f>
        <v>#VALUE!</v>
      </c>
      <c r="EZ344" t="e">
        <f>'Technical Master Data'!L83+"AM:!23j"</f>
        <v>#VALUE!</v>
      </c>
      <c r="FA344" t="e">
        <f>'Technical Master Data'!M83+"AM:!23k"</f>
        <v>#VALUE!</v>
      </c>
      <c r="FB344" t="e">
        <f>'Technical Master Data'!N83+"AM:!23l"</f>
        <v>#VALUE!</v>
      </c>
      <c r="FC344" t="e">
        <f>'Technical Master Data'!O83+"AM:!23m"</f>
        <v>#VALUE!</v>
      </c>
      <c r="FD344" t="e">
        <f>'Technical Master Data'!P83+"AM:!23n"</f>
        <v>#VALUE!</v>
      </c>
      <c r="FE344" t="e">
        <f>'Technical Master Data'!Q83+"AM:!23o"</f>
        <v>#VALUE!</v>
      </c>
      <c r="FF344" t="e">
        <f>'Technical Master Data'!R83+"AM:!23p"</f>
        <v>#VALUE!</v>
      </c>
      <c r="FG344" t="e">
        <f>'Technical Master Data'!S83+"AM:!23q"</f>
        <v>#VALUE!</v>
      </c>
      <c r="FH344" t="e">
        <f>'Technical Master Data'!A84+"AM:!23r"</f>
        <v>#VALUE!</v>
      </c>
      <c r="FI344" t="e">
        <f>'Technical Master Data'!B84+"AM:!23s"</f>
        <v>#VALUE!</v>
      </c>
      <c r="FJ344" t="e">
        <f>'Technical Master Data'!C84+"AM:!23t"</f>
        <v>#VALUE!</v>
      </c>
      <c r="FK344" t="e">
        <f>'Technical Master Data'!D84+"AM:!23u"</f>
        <v>#VALUE!</v>
      </c>
      <c r="FL344" t="e">
        <f>'Technical Master Data'!E84+"AM:!23v"</f>
        <v>#VALUE!</v>
      </c>
      <c r="FM344" t="e">
        <f>'Technical Master Data'!F84+"AM:!23w"</f>
        <v>#VALUE!</v>
      </c>
      <c r="FN344" t="e">
        <f>'Technical Master Data'!G84+"AM:!23x"</f>
        <v>#VALUE!</v>
      </c>
      <c r="FO344" t="e">
        <f>'Technical Master Data'!H84+"AM:!23y"</f>
        <v>#VALUE!</v>
      </c>
      <c r="FP344" t="e">
        <f>'Technical Master Data'!I84+"AM:!23z"</f>
        <v>#VALUE!</v>
      </c>
      <c r="FQ344" t="e">
        <f>'Technical Master Data'!J84+"AM:!23{"</f>
        <v>#VALUE!</v>
      </c>
      <c r="FR344" t="e">
        <f>'Technical Master Data'!K84+"AM:!23|"</f>
        <v>#VALUE!</v>
      </c>
      <c r="FS344" t="e">
        <f>'Technical Master Data'!L84+"AM:!23}"</f>
        <v>#VALUE!</v>
      </c>
      <c r="FT344" t="e">
        <f>'Technical Master Data'!M84+"AM:!23~"</f>
        <v>#VALUE!</v>
      </c>
      <c r="FU344" t="e">
        <f>'Technical Master Data'!N84+"AM:!24#"</f>
        <v>#VALUE!</v>
      </c>
      <c r="FV344" t="e">
        <f>'Technical Master Data'!O84+"AM:!24$"</f>
        <v>#VALUE!</v>
      </c>
      <c r="FW344" t="e">
        <f>'Technical Master Data'!P84+"AM:!24%"</f>
        <v>#VALUE!</v>
      </c>
      <c r="FX344" t="e">
        <f>'Technical Master Data'!Q84+"AM:!24&amp;"</f>
        <v>#VALUE!</v>
      </c>
      <c r="FY344" t="e">
        <f>'Technical Master Data'!R84+"AM:!24'"</f>
        <v>#VALUE!</v>
      </c>
      <c r="FZ344" t="e">
        <f>'Technical Master Data'!S84+"AM:!24("</f>
        <v>#VALUE!</v>
      </c>
      <c r="GA344" t="e">
        <f>'Technical Master Data'!A85+"AM:!24)"</f>
        <v>#VALUE!</v>
      </c>
      <c r="GB344" t="e">
        <f>'Technical Master Data'!B85+"AM:!24."</f>
        <v>#VALUE!</v>
      </c>
      <c r="GC344" t="e">
        <f>'Technical Master Data'!C85+"AM:!24/"</f>
        <v>#VALUE!</v>
      </c>
      <c r="GD344" t="e">
        <f>'Technical Master Data'!D85+"AM:!240"</f>
        <v>#VALUE!</v>
      </c>
      <c r="GE344" t="e">
        <f>'Technical Master Data'!E85+"AM:!241"</f>
        <v>#VALUE!</v>
      </c>
      <c r="GF344" t="e">
        <f>'Technical Master Data'!F85+"AM:!242"</f>
        <v>#VALUE!</v>
      </c>
      <c r="GG344" t="e">
        <f>'Technical Master Data'!G85+"AM:!243"</f>
        <v>#VALUE!</v>
      </c>
      <c r="GH344" t="e">
        <f>'Technical Master Data'!H85+"AM:!244"</f>
        <v>#VALUE!</v>
      </c>
      <c r="GI344" t="e">
        <f>'Technical Master Data'!I85+"AM:!245"</f>
        <v>#VALUE!</v>
      </c>
      <c r="GJ344" t="e">
        <f>'Technical Master Data'!J85+"AM:!246"</f>
        <v>#VALUE!</v>
      </c>
      <c r="GK344" t="e">
        <f>'Technical Master Data'!K85+"AM:!247"</f>
        <v>#VALUE!</v>
      </c>
      <c r="GL344" t="e">
        <f>'Technical Master Data'!L85+"AM:!248"</f>
        <v>#VALUE!</v>
      </c>
      <c r="GM344" t="e">
        <f>'Technical Master Data'!M85+"AM:!249"</f>
        <v>#VALUE!</v>
      </c>
      <c r="GN344" t="e">
        <f>'Technical Master Data'!N85+"AM:!24:"</f>
        <v>#VALUE!</v>
      </c>
      <c r="GO344" t="e">
        <f>'Technical Master Data'!O85+"AM:!24;"</f>
        <v>#VALUE!</v>
      </c>
      <c r="GP344" t="e">
        <f>'Technical Master Data'!P85+"AM:!24&lt;"</f>
        <v>#VALUE!</v>
      </c>
      <c r="GQ344" t="e">
        <f>'Technical Master Data'!Q85+"AM:!24="</f>
        <v>#VALUE!</v>
      </c>
      <c r="GR344" t="e">
        <f>'Technical Master Data'!R85+"AM:!24&gt;"</f>
        <v>#VALUE!</v>
      </c>
      <c r="GS344" t="e">
        <f>'Technical Master Data'!S85+"AM:!24?"</f>
        <v>#VALUE!</v>
      </c>
      <c r="GT344" t="e">
        <f>'Technical Master Data'!A86+"AM:!24@"</f>
        <v>#VALUE!</v>
      </c>
      <c r="GU344" t="e">
        <f>'Technical Master Data'!B86+"AM:!24A"</f>
        <v>#VALUE!</v>
      </c>
      <c r="GV344" t="e">
        <f>'Technical Master Data'!C86+"AM:!24B"</f>
        <v>#VALUE!</v>
      </c>
      <c r="GW344" t="e">
        <f>'Technical Master Data'!D86+"AM:!24C"</f>
        <v>#VALUE!</v>
      </c>
      <c r="GX344" t="e">
        <f>'Technical Master Data'!E86+"AM:!24D"</f>
        <v>#VALUE!</v>
      </c>
      <c r="GY344" t="e">
        <f>'Technical Master Data'!F86+"AM:!24E"</f>
        <v>#VALUE!</v>
      </c>
      <c r="GZ344" t="e">
        <f>'Technical Master Data'!G86+"AM:!24F"</f>
        <v>#VALUE!</v>
      </c>
      <c r="HA344" t="e">
        <f>'Technical Master Data'!H86+"AM:!24G"</f>
        <v>#VALUE!</v>
      </c>
      <c r="HB344" t="e">
        <f>'Technical Master Data'!I86+"AM:!24H"</f>
        <v>#VALUE!</v>
      </c>
      <c r="HC344" t="e">
        <f>'Technical Master Data'!J86+"AM:!24I"</f>
        <v>#VALUE!</v>
      </c>
      <c r="HD344" t="e">
        <f>'Technical Master Data'!K86+"AM:!24J"</f>
        <v>#VALUE!</v>
      </c>
      <c r="HE344" t="e">
        <f>'Technical Master Data'!L86+"AM:!24K"</f>
        <v>#VALUE!</v>
      </c>
      <c r="HF344" t="e">
        <f>'Technical Master Data'!M86+"AM:!24L"</f>
        <v>#VALUE!</v>
      </c>
      <c r="HG344" t="e">
        <f>'Technical Master Data'!N86+"AM:!24M"</f>
        <v>#VALUE!</v>
      </c>
      <c r="HH344" t="e">
        <f>'Technical Master Data'!O86+"AM:!24N"</f>
        <v>#VALUE!</v>
      </c>
      <c r="HI344" t="e">
        <f>'Technical Master Data'!P86+"AM:!24O"</f>
        <v>#VALUE!</v>
      </c>
      <c r="HJ344" t="e">
        <f>'Technical Master Data'!Q86+"AM:!24P"</f>
        <v>#VALUE!</v>
      </c>
      <c r="HK344" t="e">
        <f>'Technical Master Data'!R86+"AM:!24Q"</f>
        <v>#VALUE!</v>
      </c>
      <c r="HL344" t="e">
        <f>'Technical Master Data'!S86+"AM:!24R"</f>
        <v>#VALUE!</v>
      </c>
      <c r="HM344" t="e">
        <f>'Technical Master Data'!A87+"AM:!24S"</f>
        <v>#VALUE!</v>
      </c>
      <c r="HN344" t="e">
        <f>'Technical Master Data'!B87+"AM:!24T"</f>
        <v>#VALUE!</v>
      </c>
      <c r="HO344" t="e">
        <f>'Technical Master Data'!C87+"AM:!24U"</f>
        <v>#VALUE!</v>
      </c>
      <c r="HP344" t="e">
        <f>'Technical Master Data'!D87+"AM:!24V"</f>
        <v>#VALUE!</v>
      </c>
      <c r="HQ344" t="e">
        <f>'Technical Master Data'!E87+"AM:!24W"</f>
        <v>#VALUE!</v>
      </c>
      <c r="HR344" t="e">
        <f>'Technical Master Data'!F87+"AM:!24X"</f>
        <v>#VALUE!</v>
      </c>
      <c r="HS344" t="e">
        <f>'Technical Master Data'!G87+"AM:!24Y"</f>
        <v>#VALUE!</v>
      </c>
      <c r="HT344" t="e">
        <f>'Technical Master Data'!H87+"AM:!24Z"</f>
        <v>#VALUE!</v>
      </c>
      <c r="HU344" t="e">
        <f>'Technical Master Data'!I87+"AM:!24["</f>
        <v>#VALUE!</v>
      </c>
      <c r="HV344" t="e">
        <f>'Technical Master Data'!J87+"AM:!24\"</f>
        <v>#VALUE!</v>
      </c>
      <c r="HW344" t="e">
        <f>'Technical Master Data'!K87+"AM:!24]"</f>
        <v>#VALUE!</v>
      </c>
      <c r="HX344" t="e">
        <f>'Technical Master Data'!L87+"AM:!24^"</f>
        <v>#VALUE!</v>
      </c>
      <c r="HY344" t="e">
        <f>'Technical Master Data'!M87+"AM:!24_"</f>
        <v>#VALUE!</v>
      </c>
      <c r="HZ344" t="e">
        <f>'Technical Master Data'!N87+"AM:!24`"</f>
        <v>#VALUE!</v>
      </c>
      <c r="IA344" t="e">
        <f>'Technical Master Data'!O87+"AM:!24a"</f>
        <v>#VALUE!</v>
      </c>
      <c r="IB344" t="e">
        <f>'Technical Master Data'!P87+"AM:!24b"</f>
        <v>#VALUE!</v>
      </c>
      <c r="IC344" t="e">
        <f>'Technical Master Data'!Q87+"AM:!24c"</f>
        <v>#VALUE!</v>
      </c>
      <c r="ID344" t="e">
        <f>'Technical Master Data'!R87+"AM:!24d"</f>
        <v>#VALUE!</v>
      </c>
      <c r="IE344" t="e">
        <f>'Technical Master Data'!S87+"AM:!24e"</f>
        <v>#VALUE!</v>
      </c>
      <c r="IF344" t="e">
        <f>'Technical Master Data'!A88+"AM:!24f"</f>
        <v>#VALUE!</v>
      </c>
      <c r="IG344" t="e">
        <f>'Technical Master Data'!B88+"AM:!24g"</f>
        <v>#VALUE!</v>
      </c>
      <c r="IH344" t="e">
        <f>'Technical Master Data'!C88+"AM:!24h"</f>
        <v>#VALUE!</v>
      </c>
      <c r="II344" t="e">
        <f>'Technical Master Data'!D88+"AM:!24i"</f>
        <v>#VALUE!</v>
      </c>
      <c r="IJ344" t="e">
        <f>'Technical Master Data'!E88+"AM:!24j"</f>
        <v>#VALUE!</v>
      </c>
      <c r="IK344" t="e">
        <f>'Technical Master Data'!F88+"AM:!24k"</f>
        <v>#VALUE!</v>
      </c>
      <c r="IL344" t="e">
        <f>'Technical Master Data'!G88+"AM:!24l"</f>
        <v>#VALUE!</v>
      </c>
      <c r="IM344" t="e">
        <f>'Technical Master Data'!H88+"AM:!24m"</f>
        <v>#VALUE!</v>
      </c>
      <c r="IN344" t="e">
        <f>'Technical Master Data'!I88+"AM:!24n"</f>
        <v>#VALUE!</v>
      </c>
      <c r="IO344" t="e">
        <f>'Technical Master Data'!J88+"AM:!24o"</f>
        <v>#VALUE!</v>
      </c>
      <c r="IP344" t="e">
        <f>'Technical Master Data'!K88+"AM:!24p"</f>
        <v>#VALUE!</v>
      </c>
      <c r="IQ344" t="e">
        <f>'Technical Master Data'!L88+"AM:!24q"</f>
        <v>#VALUE!</v>
      </c>
      <c r="IR344" t="e">
        <f>'Technical Master Data'!M88+"AM:!24r"</f>
        <v>#VALUE!</v>
      </c>
      <c r="IS344" t="e">
        <f>'Technical Master Data'!N88+"AM:!24s"</f>
        <v>#VALUE!</v>
      </c>
      <c r="IT344" t="e">
        <f>'Technical Master Data'!O88+"AM:!24t"</f>
        <v>#VALUE!</v>
      </c>
      <c r="IU344" t="e">
        <f>'Technical Master Data'!P88+"AM:!24u"</f>
        <v>#VALUE!</v>
      </c>
      <c r="IV344" t="e">
        <f>'Technical Master Data'!Q88+"AM:!24v"</f>
        <v>#VALUE!</v>
      </c>
    </row>
    <row r="345" spans="6:256">
      <c r="F345" t="e">
        <f>'Technical Master Data'!R88+"AM:!24w"</f>
        <v>#VALUE!</v>
      </c>
      <c r="G345" t="e">
        <f>'Technical Master Data'!S88+"AM:!24x"</f>
        <v>#VALUE!</v>
      </c>
      <c r="H345" t="e">
        <f>'Technical Master Data'!A89+"AM:!24y"</f>
        <v>#VALUE!</v>
      </c>
      <c r="I345" t="e">
        <f>'Technical Master Data'!B89+"AM:!24z"</f>
        <v>#VALUE!</v>
      </c>
      <c r="J345" t="e">
        <f>'Technical Master Data'!C89+"AM:!24{"</f>
        <v>#VALUE!</v>
      </c>
      <c r="K345" t="e">
        <f>'Technical Master Data'!D89+"AM:!24|"</f>
        <v>#VALUE!</v>
      </c>
      <c r="L345" t="e">
        <f>'Technical Master Data'!E89+"AM:!24}"</f>
        <v>#VALUE!</v>
      </c>
      <c r="M345" t="e">
        <f>'Technical Master Data'!F89+"AM:!24~"</f>
        <v>#VALUE!</v>
      </c>
      <c r="N345" t="e">
        <f>'Technical Master Data'!G89+"AM:!25#"</f>
        <v>#VALUE!</v>
      </c>
      <c r="O345" t="e">
        <f>'Technical Master Data'!H89+"AM:!25$"</f>
        <v>#VALUE!</v>
      </c>
      <c r="P345" t="e">
        <f>'Technical Master Data'!I89+"AM:!25%"</f>
        <v>#VALUE!</v>
      </c>
      <c r="Q345" t="e">
        <f>'Technical Master Data'!J89+"AM:!25&amp;"</f>
        <v>#VALUE!</v>
      </c>
      <c r="R345" t="e">
        <f>'Technical Master Data'!K89+"AM:!25'"</f>
        <v>#VALUE!</v>
      </c>
      <c r="S345" t="e">
        <f>'Technical Master Data'!L89+"AM:!25("</f>
        <v>#VALUE!</v>
      </c>
      <c r="T345" t="e">
        <f>'Technical Master Data'!M89+"AM:!25)"</f>
        <v>#VALUE!</v>
      </c>
      <c r="U345" t="e">
        <f>'Technical Master Data'!N89+"AM:!25."</f>
        <v>#VALUE!</v>
      </c>
      <c r="V345" t="e">
        <f>'Technical Master Data'!O89+"AM:!25/"</f>
        <v>#VALUE!</v>
      </c>
      <c r="W345" t="e">
        <f>'Technical Master Data'!P89+"AM:!250"</f>
        <v>#VALUE!</v>
      </c>
      <c r="X345" t="e">
        <f>'Technical Master Data'!Q89+"AM:!251"</f>
        <v>#VALUE!</v>
      </c>
      <c r="Y345" t="e">
        <f>'Technical Master Data'!R89+"AM:!252"</f>
        <v>#VALUE!</v>
      </c>
      <c r="Z345" t="e">
        <f>'Technical Master Data'!S89+"AM:!253"</f>
        <v>#VALUE!</v>
      </c>
      <c r="AA345" t="e">
        <f>'Technical Master Data'!A90+"AM:!254"</f>
        <v>#VALUE!</v>
      </c>
      <c r="AB345" t="e">
        <f>'Technical Master Data'!B90+"AM:!255"</f>
        <v>#VALUE!</v>
      </c>
      <c r="AC345" t="e">
        <f>'Technical Master Data'!C90+"AM:!256"</f>
        <v>#VALUE!</v>
      </c>
      <c r="AD345" t="e">
        <f>'Technical Master Data'!D90+"AM:!257"</f>
        <v>#VALUE!</v>
      </c>
      <c r="AE345" t="e">
        <f>'Technical Master Data'!E90+"AM:!258"</f>
        <v>#VALUE!</v>
      </c>
      <c r="AF345" t="e">
        <f>'Technical Master Data'!F90+"AM:!259"</f>
        <v>#VALUE!</v>
      </c>
      <c r="AG345" t="e">
        <f>'Technical Master Data'!G90+"AM:!25:"</f>
        <v>#VALUE!</v>
      </c>
      <c r="AH345" t="e">
        <f>'Technical Master Data'!H90+"AM:!25;"</f>
        <v>#VALUE!</v>
      </c>
      <c r="AI345" t="e">
        <f>'Technical Master Data'!I90+"AM:!25&lt;"</f>
        <v>#VALUE!</v>
      </c>
      <c r="AJ345" t="e">
        <f>'Technical Master Data'!J90+"AM:!25="</f>
        <v>#VALUE!</v>
      </c>
      <c r="AK345" t="e">
        <f>'Technical Master Data'!K90+"AM:!25&gt;"</f>
        <v>#VALUE!</v>
      </c>
      <c r="AL345" t="e">
        <f>'Technical Master Data'!L90+"AM:!25?"</f>
        <v>#VALUE!</v>
      </c>
      <c r="AM345" t="e">
        <f>'Technical Master Data'!M90+"AM:!25@"</f>
        <v>#VALUE!</v>
      </c>
      <c r="AN345" t="e">
        <f>'Technical Master Data'!N90+"AM:!25A"</f>
        <v>#VALUE!</v>
      </c>
      <c r="AO345" t="e">
        <f>'Technical Master Data'!O90+"AM:!25B"</f>
        <v>#VALUE!</v>
      </c>
      <c r="AP345" t="e">
        <f>'Technical Master Data'!P90+"AM:!25C"</f>
        <v>#VALUE!</v>
      </c>
      <c r="AQ345" t="e">
        <f>'Technical Master Data'!Q90+"AM:!25D"</f>
        <v>#VALUE!</v>
      </c>
      <c r="AR345" t="e">
        <f>'Technical Master Data'!R90+"AM:!25E"</f>
        <v>#VALUE!</v>
      </c>
      <c r="AS345" t="e">
        <f>'Technical Master Data'!S90+"AM:!25F"</f>
        <v>#VALUE!</v>
      </c>
      <c r="AT345" t="e">
        <f>'Technical Master Data'!A91+"AM:!25G"</f>
        <v>#VALUE!</v>
      </c>
      <c r="AU345" t="e">
        <f>'Technical Master Data'!B91+"AM:!25H"</f>
        <v>#VALUE!</v>
      </c>
      <c r="AV345" t="e">
        <f>'Technical Master Data'!C91+"AM:!25I"</f>
        <v>#VALUE!</v>
      </c>
      <c r="AW345" t="e">
        <f>'Technical Master Data'!D91+"AM:!25J"</f>
        <v>#VALUE!</v>
      </c>
      <c r="AX345" t="e">
        <f>'Technical Master Data'!#REF!+"AM:!25K"</f>
        <v>#REF!</v>
      </c>
      <c r="AY345" t="e">
        <f>'Technical Master Data'!E91+"AM:!25L"</f>
        <v>#VALUE!</v>
      </c>
      <c r="AZ345" t="e">
        <f>'Technical Master Data'!F91+"AM:!25M"</f>
        <v>#VALUE!</v>
      </c>
      <c r="BA345" t="e">
        <f>'Technical Master Data'!G91+"AM:!25N"</f>
        <v>#VALUE!</v>
      </c>
      <c r="BB345" t="e">
        <f>'Technical Master Data'!H91+"AM:!25O"</f>
        <v>#VALUE!</v>
      </c>
      <c r="BC345" t="e">
        <f>'Technical Master Data'!I91+"AM:!25P"</f>
        <v>#VALUE!</v>
      </c>
      <c r="BD345" t="e">
        <f>'Technical Master Data'!J91+"AM:!25Q"</f>
        <v>#VALUE!</v>
      </c>
      <c r="BE345" t="e">
        <f>'Technical Master Data'!K91+"AM:!25R"</f>
        <v>#VALUE!</v>
      </c>
      <c r="BF345" t="e">
        <f>'Technical Master Data'!L91+"AM:!25S"</f>
        <v>#VALUE!</v>
      </c>
      <c r="BG345" t="e">
        <f>'Technical Master Data'!M91+"AM:!25T"</f>
        <v>#VALUE!</v>
      </c>
      <c r="BH345" t="e">
        <f>'Technical Master Data'!N91+"AM:!25U"</f>
        <v>#VALUE!</v>
      </c>
      <c r="BI345" t="e">
        <f>'Technical Master Data'!O91+"AM:!25V"</f>
        <v>#VALUE!</v>
      </c>
      <c r="BJ345" t="e">
        <f>'Technical Master Data'!P91+"AM:!25W"</f>
        <v>#VALUE!</v>
      </c>
      <c r="BK345" t="e">
        <f>'Technical Master Data'!Q91+"AM:!25X"</f>
        <v>#VALUE!</v>
      </c>
      <c r="BL345" t="e">
        <f>'Technical Master Data'!R91+"AM:!25Y"</f>
        <v>#VALUE!</v>
      </c>
      <c r="BM345" t="e">
        <f>'Technical Master Data'!A92+"AM:!25Z"</f>
        <v>#VALUE!</v>
      </c>
      <c r="BN345" t="e">
        <f>'Technical Master Data'!B92+"AM:!25["</f>
        <v>#VALUE!</v>
      </c>
      <c r="BO345" t="e">
        <f>'Technical Master Data'!C92+"AM:!25\"</f>
        <v>#VALUE!</v>
      </c>
      <c r="BP345" t="e">
        <f>'Technical Master Data'!D92+"AM:!25]"</f>
        <v>#VALUE!</v>
      </c>
      <c r="BQ345" t="e">
        <f>'Technical Master Data'!#REF!+"AM:!25^"</f>
        <v>#REF!</v>
      </c>
      <c r="BR345" t="e">
        <f>'Technical Master Data'!E92+"AM:!25_"</f>
        <v>#VALUE!</v>
      </c>
      <c r="BS345" t="e">
        <f>'Technical Master Data'!F92+"AM:!25`"</f>
        <v>#VALUE!</v>
      </c>
      <c r="BT345" t="e">
        <f>'Technical Master Data'!G92+"AM:!25a"</f>
        <v>#VALUE!</v>
      </c>
      <c r="BU345" t="e">
        <f>'Technical Master Data'!H92+"AM:!25b"</f>
        <v>#VALUE!</v>
      </c>
      <c r="BV345" t="e">
        <f>'Technical Master Data'!I92+"AM:!25c"</f>
        <v>#VALUE!</v>
      </c>
      <c r="BW345" t="e">
        <f>'Technical Master Data'!J92+"AM:!25d"</f>
        <v>#VALUE!</v>
      </c>
      <c r="BX345" t="e">
        <f>'Technical Master Data'!K92+"AM:!25e"</f>
        <v>#VALUE!</v>
      </c>
      <c r="BY345" t="e">
        <f>'Technical Master Data'!L92+"AM:!25f"</f>
        <v>#VALUE!</v>
      </c>
      <c r="BZ345" t="e">
        <f>'Technical Master Data'!M92+"AM:!25g"</f>
        <v>#VALUE!</v>
      </c>
      <c r="CA345" t="e">
        <f>'Technical Master Data'!N92+"AM:!25h"</f>
        <v>#VALUE!</v>
      </c>
      <c r="CB345" t="e">
        <f>'Technical Master Data'!O92+"AM:!25i"</f>
        <v>#VALUE!</v>
      </c>
      <c r="CC345" t="e">
        <f>'Technical Master Data'!P92+"AM:!25j"</f>
        <v>#VALUE!</v>
      </c>
      <c r="CD345" t="e">
        <f>'Technical Master Data'!Q92+"AM:!25k"</f>
        <v>#VALUE!</v>
      </c>
      <c r="CE345" t="e">
        <f>'Technical Master Data'!R92+"AM:!25l"</f>
        <v>#VALUE!</v>
      </c>
      <c r="CF345" t="e">
        <f>'Technical Master Data'!A93+"AM:!25m"</f>
        <v>#VALUE!</v>
      </c>
      <c r="CG345" t="e">
        <f>'Technical Master Data'!B93+"AM:!25n"</f>
        <v>#VALUE!</v>
      </c>
      <c r="CH345" t="e">
        <f>'Technical Master Data'!C93+"AM:!25o"</f>
        <v>#VALUE!</v>
      </c>
      <c r="CI345" t="e">
        <f>'Technical Master Data'!D93+"AM:!25p"</f>
        <v>#VALUE!</v>
      </c>
      <c r="CJ345" t="e">
        <f>'Technical Master Data'!#REF!+"AM:!25q"</f>
        <v>#REF!</v>
      </c>
      <c r="CK345" t="e">
        <f>'Technical Master Data'!E93+"AM:!25r"</f>
        <v>#VALUE!</v>
      </c>
      <c r="CL345" t="e">
        <f>'Technical Master Data'!F93+"AM:!25s"</f>
        <v>#VALUE!</v>
      </c>
      <c r="CM345" t="e">
        <f>'Technical Master Data'!G93+"AM:!25t"</f>
        <v>#VALUE!</v>
      </c>
      <c r="CN345" t="e">
        <f>'Technical Master Data'!H93+"AM:!25u"</f>
        <v>#VALUE!</v>
      </c>
      <c r="CO345" t="e">
        <f>'Technical Master Data'!I93+"AM:!25v"</f>
        <v>#VALUE!</v>
      </c>
      <c r="CP345" t="e">
        <f>'Technical Master Data'!J93+"AM:!25w"</f>
        <v>#VALUE!</v>
      </c>
      <c r="CQ345" t="e">
        <f>'Technical Master Data'!K93+"AM:!25x"</f>
        <v>#VALUE!</v>
      </c>
      <c r="CR345" t="e">
        <f>'Technical Master Data'!L93+"AM:!25y"</f>
        <v>#VALUE!</v>
      </c>
      <c r="CS345" t="e">
        <f>'Technical Master Data'!M93+"AM:!25z"</f>
        <v>#VALUE!</v>
      </c>
      <c r="CT345" t="e">
        <f>'Technical Master Data'!N93+"AM:!25{"</f>
        <v>#VALUE!</v>
      </c>
      <c r="CU345" t="e">
        <f>'Technical Master Data'!O93+"AM:!25|"</f>
        <v>#VALUE!</v>
      </c>
      <c r="CV345" t="e">
        <f>'Technical Master Data'!P93+"AM:!25}"</f>
        <v>#VALUE!</v>
      </c>
      <c r="CW345" t="e">
        <f>'Technical Master Data'!Q93+"AM:!25~"</f>
        <v>#VALUE!</v>
      </c>
      <c r="CX345" t="e">
        <f>'Technical Master Data'!R93+"AM:!26#"</f>
        <v>#VALUE!</v>
      </c>
      <c r="CY345" t="e">
        <f>'Technical Master Data'!A94+"AM:!26$"</f>
        <v>#VALUE!</v>
      </c>
      <c r="CZ345" t="e">
        <f>'Technical Master Data'!B94+"AM:!26%"</f>
        <v>#VALUE!</v>
      </c>
      <c r="DA345" t="e">
        <f>'Technical Master Data'!C94+"AM:!26&amp;"</f>
        <v>#VALUE!</v>
      </c>
      <c r="DB345" t="e">
        <f>'Technical Master Data'!D94+"AM:!26'"</f>
        <v>#VALUE!</v>
      </c>
      <c r="DC345" t="e">
        <f>'Technical Master Data'!E94+"AM:!26("</f>
        <v>#VALUE!</v>
      </c>
      <c r="DD345" t="e">
        <f>'Technical Master Data'!F94+"AM:!26)"</f>
        <v>#VALUE!</v>
      </c>
      <c r="DE345" t="e">
        <f>'Technical Master Data'!G94+"AM:!26."</f>
        <v>#VALUE!</v>
      </c>
      <c r="DF345" t="e">
        <f>'Technical Master Data'!H94+"AM:!26/"</f>
        <v>#VALUE!</v>
      </c>
      <c r="DG345" t="e">
        <f>'Technical Master Data'!I94+"AM:!260"</f>
        <v>#VALUE!</v>
      </c>
      <c r="DH345" t="e">
        <f>'Technical Master Data'!J94+"AM:!261"</f>
        <v>#VALUE!</v>
      </c>
      <c r="DI345" t="e">
        <f>'Technical Master Data'!K94+"AM:!262"</f>
        <v>#VALUE!</v>
      </c>
      <c r="DJ345" t="e">
        <f>'Technical Master Data'!L94+"AM:!263"</f>
        <v>#VALUE!</v>
      </c>
      <c r="DK345" t="e">
        <f>'Technical Master Data'!M94+"AM:!264"</f>
        <v>#VALUE!</v>
      </c>
      <c r="DL345" t="e">
        <f>'Technical Master Data'!N94+"AM:!265"</f>
        <v>#VALUE!</v>
      </c>
      <c r="DM345" t="e">
        <f>'Technical Master Data'!O94+"AM:!266"</f>
        <v>#VALUE!</v>
      </c>
      <c r="DN345" t="e">
        <f>'Technical Master Data'!P94+"AM:!267"</f>
        <v>#VALUE!</v>
      </c>
      <c r="DO345" t="e">
        <f>'Technical Master Data'!Q94+"AM:!268"</f>
        <v>#VALUE!</v>
      </c>
      <c r="DP345" t="e">
        <f>'Technical Master Data'!R94+"AM:!269"</f>
        <v>#VALUE!</v>
      </c>
      <c r="DQ345" t="e">
        <f>'Technical Master Data'!S94+"AM:!26:"</f>
        <v>#VALUE!</v>
      </c>
      <c r="DR345" t="e">
        <f>'Technical Master Data'!A95+"AM:!26;"</f>
        <v>#VALUE!</v>
      </c>
      <c r="DS345" t="e">
        <f>'Technical Master Data'!B95+"AM:!26&lt;"</f>
        <v>#VALUE!</v>
      </c>
      <c r="DT345" t="e">
        <f>'Technical Master Data'!C95+"AM:!26="</f>
        <v>#VALUE!</v>
      </c>
      <c r="DU345" t="e">
        <f>'Technical Master Data'!D95+"AM:!26&gt;"</f>
        <v>#VALUE!</v>
      </c>
      <c r="DV345" t="e">
        <f>'Technical Master Data'!E95+"AM:!26?"</f>
        <v>#VALUE!</v>
      </c>
      <c r="DW345" t="e">
        <f>'Technical Master Data'!F95+"AM:!26@"</f>
        <v>#VALUE!</v>
      </c>
      <c r="DX345" t="e">
        <f>'Technical Master Data'!G95+"AM:!26A"</f>
        <v>#VALUE!</v>
      </c>
      <c r="DY345" t="e">
        <f>'Technical Master Data'!H95+"AM:!26B"</f>
        <v>#VALUE!</v>
      </c>
      <c r="DZ345" t="e">
        <f>'Technical Master Data'!I95+"AM:!26C"</f>
        <v>#VALUE!</v>
      </c>
      <c r="EA345" t="e">
        <f>'Technical Master Data'!J95+"AM:!26D"</f>
        <v>#VALUE!</v>
      </c>
      <c r="EB345" t="e">
        <f>'Technical Master Data'!K95+"AM:!26E"</f>
        <v>#VALUE!</v>
      </c>
      <c r="EC345" t="e">
        <f>'Technical Master Data'!L95+"AM:!26F"</f>
        <v>#VALUE!</v>
      </c>
      <c r="ED345" t="e">
        <f>'Technical Master Data'!M95+"AM:!26G"</f>
        <v>#VALUE!</v>
      </c>
      <c r="EE345" t="e">
        <f>'Technical Master Data'!N95+"AM:!26H"</f>
        <v>#VALUE!</v>
      </c>
      <c r="EF345" t="e">
        <f>'Technical Master Data'!O95+"AM:!26I"</f>
        <v>#VALUE!</v>
      </c>
      <c r="EG345" t="e">
        <f>'Technical Master Data'!P95+"AM:!26J"</f>
        <v>#VALUE!</v>
      </c>
      <c r="EH345" t="e">
        <f>'Technical Master Data'!Q95+"AM:!26K"</f>
        <v>#VALUE!</v>
      </c>
      <c r="EI345" t="e">
        <f>'Technical Master Data'!R95+"AM:!26L"</f>
        <v>#VALUE!</v>
      </c>
      <c r="EJ345" t="e">
        <f>'Technical Master Data'!S95+"AM:!26M"</f>
        <v>#VALUE!</v>
      </c>
      <c r="EK345" t="e">
        <f>'Technical Master Data'!A96+"AM:!26N"</f>
        <v>#VALUE!</v>
      </c>
      <c r="EL345" t="e">
        <f>'Technical Master Data'!B96+"AM:!26O"</f>
        <v>#VALUE!</v>
      </c>
      <c r="EM345" t="e">
        <f>'Technical Master Data'!C96+"AM:!26P"</f>
        <v>#VALUE!</v>
      </c>
      <c r="EN345" t="e">
        <f>'Technical Master Data'!D96+"AM:!26Q"</f>
        <v>#VALUE!</v>
      </c>
      <c r="EO345" t="e">
        <f>'Technical Master Data'!E96+"AM:!26R"</f>
        <v>#VALUE!</v>
      </c>
      <c r="EP345" t="e">
        <f>'Technical Master Data'!F96+"AM:!26S"</f>
        <v>#VALUE!</v>
      </c>
      <c r="EQ345" t="e">
        <f>'Technical Master Data'!G96+"AM:!26T"</f>
        <v>#VALUE!</v>
      </c>
      <c r="ER345" t="e">
        <f>'Technical Master Data'!H96+"AM:!26U"</f>
        <v>#VALUE!</v>
      </c>
      <c r="ES345" t="e">
        <f>'Technical Master Data'!I96+"AM:!26V"</f>
        <v>#VALUE!</v>
      </c>
      <c r="ET345" t="e">
        <f>'Technical Master Data'!J96+"AM:!26W"</f>
        <v>#VALUE!</v>
      </c>
      <c r="EU345" t="e">
        <f>'Technical Master Data'!K96+"AM:!26X"</f>
        <v>#VALUE!</v>
      </c>
      <c r="EV345" t="e">
        <f>'Technical Master Data'!L96+"AM:!26Y"</f>
        <v>#VALUE!</v>
      </c>
      <c r="EW345" t="e">
        <f>'Technical Master Data'!M96+"AM:!26Z"</f>
        <v>#VALUE!</v>
      </c>
      <c r="EX345" t="e">
        <f>'Technical Master Data'!N96+"AM:!26["</f>
        <v>#VALUE!</v>
      </c>
      <c r="EY345" t="e">
        <f>'Technical Master Data'!O96+"AM:!26\"</f>
        <v>#VALUE!</v>
      </c>
      <c r="EZ345" t="e">
        <f>'Technical Master Data'!P96+"AM:!26]"</f>
        <v>#VALUE!</v>
      </c>
      <c r="FA345" t="e">
        <f>'Technical Master Data'!Q96+"AM:!26^"</f>
        <v>#VALUE!</v>
      </c>
      <c r="FB345" t="e">
        <f>'Technical Master Data'!R96+"AM:!26_"</f>
        <v>#VALUE!</v>
      </c>
      <c r="FC345" t="e">
        <f>'Technical Master Data'!S96+"AM:!26`"</f>
        <v>#VALUE!</v>
      </c>
      <c r="FD345" t="e">
        <f>'Technical Master Data'!A97+"AM:!26a"</f>
        <v>#VALUE!</v>
      </c>
      <c r="FE345" t="e">
        <f>'Technical Master Data'!B97+"AM:!26b"</f>
        <v>#VALUE!</v>
      </c>
      <c r="FF345" t="e">
        <f>'Technical Master Data'!C97+"AM:!26c"</f>
        <v>#VALUE!</v>
      </c>
      <c r="FG345" t="e">
        <f>'Technical Master Data'!D97+"AM:!26d"</f>
        <v>#VALUE!</v>
      </c>
      <c r="FH345" t="e">
        <f>'Technical Master Data'!E97+"AM:!26e"</f>
        <v>#VALUE!</v>
      </c>
      <c r="FI345" t="e">
        <f>'Technical Master Data'!F97+"AM:!26f"</f>
        <v>#VALUE!</v>
      </c>
      <c r="FJ345" t="e">
        <f>'Technical Master Data'!G97+"AM:!26g"</f>
        <v>#VALUE!</v>
      </c>
      <c r="FK345" t="e">
        <f>'Technical Master Data'!H97+"AM:!26h"</f>
        <v>#VALUE!</v>
      </c>
      <c r="FL345" t="e">
        <f>'Technical Master Data'!I97+"AM:!26i"</f>
        <v>#VALUE!</v>
      </c>
      <c r="FM345" t="e">
        <f>'Technical Master Data'!J97+"AM:!26j"</f>
        <v>#VALUE!</v>
      </c>
      <c r="FN345" t="e">
        <f>'Technical Master Data'!K97+"AM:!26k"</f>
        <v>#VALUE!</v>
      </c>
      <c r="FO345" t="e">
        <f>'Technical Master Data'!L97+"AM:!26l"</f>
        <v>#VALUE!</v>
      </c>
      <c r="FP345" t="e">
        <f>'Technical Master Data'!M97+"AM:!26m"</f>
        <v>#VALUE!</v>
      </c>
      <c r="FQ345" t="e">
        <f>'Technical Master Data'!N97+"AM:!26n"</f>
        <v>#VALUE!</v>
      </c>
      <c r="FR345" t="e">
        <f>'Technical Master Data'!O97+"AM:!26o"</f>
        <v>#VALUE!</v>
      </c>
      <c r="FS345" t="e">
        <f>'Technical Master Data'!P97+"AM:!26p"</f>
        <v>#VALUE!</v>
      </c>
      <c r="FT345" t="e">
        <f>'Technical Master Data'!Q97+"AM:!26q"</f>
        <v>#VALUE!</v>
      </c>
      <c r="FU345" t="e">
        <f>'Technical Master Data'!R97+"AM:!26r"</f>
        <v>#VALUE!</v>
      </c>
      <c r="FV345" t="e">
        <f>'Technical Master Data'!S97+"AM:!26s"</f>
        <v>#VALUE!</v>
      </c>
      <c r="FW345" t="e">
        <f>'Technical Master Data'!A98+"AM:!26t"</f>
        <v>#VALUE!</v>
      </c>
      <c r="FX345" t="e">
        <f>'Technical Master Data'!B98+"AM:!26u"</f>
        <v>#VALUE!</v>
      </c>
      <c r="FY345" t="e">
        <f>'Technical Master Data'!C98+"AM:!26v"</f>
        <v>#VALUE!</v>
      </c>
      <c r="FZ345" t="e">
        <f>'Technical Master Data'!D98+"AM:!26w"</f>
        <v>#VALUE!</v>
      </c>
      <c r="GA345" t="e">
        <f>'Technical Master Data'!E98+"AM:!26x"</f>
        <v>#VALUE!</v>
      </c>
      <c r="GB345" t="e">
        <f>'Technical Master Data'!F98+"AM:!26y"</f>
        <v>#VALUE!</v>
      </c>
      <c r="GC345" t="e">
        <f>'Technical Master Data'!G98+"AM:!26z"</f>
        <v>#VALUE!</v>
      </c>
      <c r="GD345" t="e">
        <f>'Technical Master Data'!H98+"AM:!26{"</f>
        <v>#VALUE!</v>
      </c>
      <c r="GE345" t="e">
        <f>'Technical Master Data'!I98+"AM:!26|"</f>
        <v>#VALUE!</v>
      </c>
      <c r="GF345" t="e">
        <f>'Technical Master Data'!J98+"AM:!26}"</f>
        <v>#VALUE!</v>
      </c>
      <c r="GG345" t="e">
        <f>'Technical Master Data'!K98+"AM:!26~"</f>
        <v>#VALUE!</v>
      </c>
      <c r="GH345" t="e">
        <f>'Technical Master Data'!L98+"AM:!27#"</f>
        <v>#VALUE!</v>
      </c>
      <c r="GI345" t="e">
        <f>'Technical Master Data'!M98+"AM:!27$"</f>
        <v>#VALUE!</v>
      </c>
      <c r="GJ345" t="e">
        <f>'Technical Master Data'!N98+"AM:!27%"</f>
        <v>#VALUE!</v>
      </c>
      <c r="GK345" t="e">
        <f>'Technical Master Data'!O98+"AM:!27&amp;"</f>
        <v>#VALUE!</v>
      </c>
      <c r="GL345" t="e">
        <f>'Technical Master Data'!P98+"AM:!27'"</f>
        <v>#VALUE!</v>
      </c>
      <c r="GM345" t="e">
        <f>'Technical Master Data'!Q98+"AM:!27("</f>
        <v>#VALUE!</v>
      </c>
      <c r="GN345" t="e">
        <f>'Technical Master Data'!R98+"AM:!27)"</f>
        <v>#VALUE!</v>
      </c>
      <c r="GO345" t="e">
        <f>'Technical Master Data'!S98+"AM:!27."</f>
        <v>#VALUE!</v>
      </c>
      <c r="GP345" t="e">
        <f>'Technical Master Data'!A99+"AM:!27/"</f>
        <v>#VALUE!</v>
      </c>
      <c r="GQ345" t="e">
        <f>'Technical Master Data'!B99+"AM:!270"</f>
        <v>#VALUE!</v>
      </c>
      <c r="GR345" t="e">
        <f>'Technical Master Data'!C99+"AM:!271"</f>
        <v>#VALUE!</v>
      </c>
      <c r="GS345" t="e">
        <f>'Technical Master Data'!D99+"AM:!272"</f>
        <v>#VALUE!</v>
      </c>
      <c r="GT345" t="e">
        <f>'Technical Master Data'!E99+"AM:!273"</f>
        <v>#VALUE!</v>
      </c>
      <c r="GU345" t="e">
        <f>'Technical Master Data'!F99+"AM:!274"</f>
        <v>#VALUE!</v>
      </c>
      <c r="GV345" t="e">
        <f>'Technical Master Data'!G99+"AM:!275"</f>
        <v>#VALUE!</v>
      </c>
      <c r="GW345" t="e">
        <f>'Technical Master Data'!H99+"AM:!276"</f>
        <v>#VALUE!</v>
      </c>
      <c r="GX345" t="e">
        <f>'Technical Master Data'!I99+"AM:!277"</f>
        <v>#VALUE!</v>
      </c>
      <c r="GY345" t="e">
        <f>'Technical Master Data'!J99+"AM:!278"</f>
        <v>#VALUE!</v>
      </c>
      <c r="GZ345" t="e">
        <f>'Technical Master Data'!K99+"AM:!279"</f>
        <v>#VALUE!</v>
      </c>
      <c r="HA345" t="e">
        <f>'Technical Master Data'!L99+"AM:!27:"</f>
        <v>#VALUE!</v>
      </c>
      <c r="HB345" t="e">
        <f>'Technical Master Data'!M99+"AM:!27;"</f>
        <v>#VALUE!</v>
      </c>
      <c r="HC345" t="e">
        <f>'Technical Master Data'!N99+"AM:!27&lt;"</f>
        <v>#VALUE!</v>
      </c>
      <c r="HD345" t="e">
        <f>'Technical Master Data'!O99+"AM:!27="</f>
        <v>#VALUE!</v>
      </c>
      <c r="HE345" t="e">
        <f>'Technical Master Data'!P99+"AM:!27&gt;"</f>
        <v>#VALUE!</v>
      </c>
      <c r="HF345" t="e">
        <f>'Technical Master Data'!Q99+"AM:!27?"</f>
        <v>#VALUE!</v>
      </c>
      <c r="HG345" t="e">
        <f>'Technical Master Data'!R99+"AM:!27@"</f>
        <v>#VALUE!</v>
      </c>
      <c r="HH345" t="e">
        <f>'Technical Master Data'!S99+"AM:!27A"</f>
        <v>#VALUE!</v>
      </c>
      <c r="HI345" t="e">
        <f>'Technical Master Data'!A100+"AM:!27B"</f>
        <v>#VALUE!</v>
      </c>
      <c r="HJ345" t="e">
        <f>'Technical Master Data'!B100+"AM:!27C"</f>
        <v>#VALUE!</v>
      </c>
      <c r="HK345" t="e">
        <f>'Technical Master Data'!C100+"AM:!27D"</f>
        <v>#VALUE!</v>
      </c>
      <c r="HL345" t="e">
        <f>'Technical Master Data'!D100+"AM:!27E"</f>
        <v>#VALUE!</v>
      </c>
      <c r="HM345" t="e">
        <f>'Technical Master Data'!E100+"AM:!27F"</f>
        <v>#VALUE!</v>
      </c>
      <c r="HN345" t="e">
        <f>'Technical Master Data'!F100+"AM:!27G"</f>
        <v>#VALUE!</v>
      </c>
      <c r="HO345" t="e">
        <f>'Technical Master Data'!G100+"AM:!27H"</f>
        <v>#VALUE!</v>
      </c>
      <c r="HP345" t="e">
        <f>'Technical Master Data'!H100+"AM:!27I"</f>
        <v>#VALUE!</v>
      </c>
      <c r="HQ345" t="e">
        <f>'Technical Master Data'!I100+"AM:!27J"</f>
        <v>#VALUE!</v>
      </c>
      <c r="HR345" t="e">
        <f>'Technical Master Data'!J100+"AM:!27K"</f>
        <v>#VALUE!</v>
      </c>
      <c r="HS345" t="e">
        <f>'Technical Master Data'!K100+"AM:!27L"</f>
        <v>#VALUE!</v>
      </c>
      <c r="HT345" t="e">
        <f>'Technical Master Data'!L100+"AM:!27M"</f>
        <v>#VALUE!</v>
      </c>
      <c r="HU345" t="e">
        <f>'Technical Master Data'!M100+"AM:!27N"</f>
        <v>#VALUE!</v>
      </c>
      <c r="HV345" t="e">
        <f>'Technical Master Data'!N100+"AM:!27O"</f>
        <v>#VALUE!</v>
      </c>
      <c r="HW345" t="e">
        <f>'Technical Master Data'!O100+"AM:!27P"</f>
        <v>#VALUE!</v>
      </c>
      <c r="HX345" t="e">
        <f>'Technical Master Data'!P100+"AM:!27Q"</f>
        <v>#VALUE!</v>
      </c>
      <c r="HY345" t="e">
        <f>'Technical Master Data'!Q100+"AM:!27R"</f>
        <v>#VALUE!</v>
      </c>
      <c r="HZ345" t="e">
        <f>'Technical Master Data'!R100+"AM:!27S"</f>
        <v>#VALUE!</v>
      </c>
      <c r="IA345" t="e">
        <f>'Technical Master Data'!S100+"AM:!27T"</f>
        <v>#VALUE!</v>
      </c>
      <c r="IB345" t="e">
        <f>'Technical Master Data'!A101+"AM:!27U"</f>
        <v>#VALUE!</v>
      </c>
      <c r="IC345" t="e">
        <f>'Technical Master Data'!B101+"AM:!27V"</f>
        <v>#VALUE!</v>
      </c>
      <c r="ID345" t="e">
        <f>'Technical Master Data'!C101+"AM:!27W"</f>
        <v>#VALUE!</v>
      </c>
      <c r="IE345" t="e">
        <f>'Technical Master Data'!D101+"AM:!27X"</f>
        <v>#VALUE!</v>
      </c>
      <c r="IF345" t="e">
        <f>'Technical Master Data'!E101+"AM:!27Y"</f>
        <v>#VALUE!</v>
      </c>
      <c r="IG345" t="e">
        <f>'Technical Master Data'!F101+"AM:!27Z"</f>
        <v>#VALUE!</v>
      </c>
      <c r="IH345" t="e">
        <f>'Technical Master Data'!G101+"AM:!27["</f>
        <v>#VALUE!</v>
      </c>
      <c r="II345" t="e">
        <f>'Technical Master Data'!H101+"AM:!27\"</f>
        <v>#VALUE!</v>
      </c>
      <c r="IJ345" t="e">
        <f>'Technical Master Data'!I101+"AM:!27]"</f>
        <v>#VALUE!</v>
      </c>
      <c r="IK345" t="e">
        <f>'Technical Master Data'!J101+"AM:!27^"</f>
        <v>#VALUE!</v>
      </c>
      <c r="IL345" t="e">
        <f>'Technical Master Data'!K101+"AM:!27_"</f>
        <v>#VALUE!</v>
      </c>
      <c r="IM345" t="e">
        <f>'Technical Master Data'!L101+"AM:!27`"</f>
        <v>#VALUE!</v>
      </c>
      <c r="IN345" t="e">
        <f>'Technical Master Data'!M101+"AM:!27a"</f>
        <v>#VALUE!</v>
      </c>
      <c r="IO345" t="e">
        <f>'Technical Master Data'!N101+"AM:!27b"</f>
        <v>#VALUE!</v>
      </c>
      <c r="IP345" t="e">
        <f>'Technical Master Data'!O101+"AM:!27c"</f>
        <v>#VALUE!</v>
      </c>
      <c r="IQ345" t="e">
        <f>'Technical Master Data'!P101+"AM:!27d"</f>
        <v>#VALUE!</v>
      </c>
      <c r="IR345" t="e">
        <f>'Technical Master Data'!Q101+"AM:!27e"</f>
        <v>#VALUE!</v>
      </c>
      <c r="IS345" t="e">
        <f>'Technical Master Data'!R101+"AM:!27f"</f>
        <v>#VALUE!</v>
      </c>
      <c r="IT345" t="e">
        <f>'Technical Master Data'!S101+"AM:!27g"</f>
        <v>#VALUE!</v>
      </c>
      <c r="IU345" t="e">
        <f>'Technical Master Data'!A102+"AM:!27h"</f>
        <v>#VALUE!</v>
      </c>
      <c r="IV345" t="e">
        <f>'Technical Master Data'!B102+"AM:!27i"</f>
        <v>#VALUE!</v>
      </c>
    </row>
    <row r="346" spans="6:256">
      <c r="F346" t="e">
        <f>'Technical Master Data'!C102+"AM:!27j"</f>
        <v>#VALUE!</v>
      </c>
      <c r="G346" t="e">
        <f>'Technical Master Data'!D102+"AM:!27k"</f>
        <v>#VALUE!</v>
      </c>
      <c r="H346" t="e">
        <f>'Technical Master Data'!E102+"AM:!27l"</f>
        <v>#VALUE!</v>
      </c>
      <c r="I346" t="e">
        <f>'Technical Master Data'!F102+"AM:!27m"</f>
        <v>#VALUE!</v>
      </c>
      <c r="J346" t="e">
        <f>'Technical Master Data'!G102+"AM:!27n"</f>
        <v>#VALUE!</v>
      </c>
      <c r="K346" t="e">
        <f>'Technical Master Data'!H102+"AM:!27o"</f>
        <v>#VALUE!</v>
      </c>
      <c r="L346" t="e">
        <f>'Technical Master Data'!I102+"AM:!27p"</f>
        <v>#VALUE!</v>
      </c>
      <c r="M346" t="e">
        <f>'Technical Master Data'!J102+"AM:!27q"</f>
        <v>#VALUE!</v>
      </c>
      <c r="N346" t="e">
        <f>'Technical Master Data'!K102+"AM:!27r"</f>
        <v>#VALUE!</v>
      </c>
      <c r="O346" t="e">
        <f>'Technical Master Data'!L102+"AM:!27s"</f>
        <v>#VALUE!</v>
      </c>
      <c r="P346" t="e">
        <f>'Technical Master Data'!M102+"AM:!27t"</f>
        <v>#VALUE!</v>
      </c>
      <c r="Q346" t="e">
        <f>'Technical Master Data'!N102+"AM:!27u"</f>
        <v>#VALUE!</v>
      </c>
      <c r="R346" t="e">
        <f>'Technical Master Data'!O102+"AM:!27v"</f>
        <v>#VALUE!</v>
      </c>
      <c r="S346" t="e">
        <f>'Technical Master Data'!P102+"AM:!27w"</f>
        <v>#VALUE!</v>
      </c>
      <c r="T346" t="e">
        <f>'Technical Master Data'!Q102+"AM:!27x"</f>
        <v>#VALUE!</v>
      </c>
      <c r="U346" t="e">
        <f>'Technical Master Data'!R102+"AM:!27y"</f>
        <v>#VALUE!</v>
      </c>
      <c r="V346" t="e">
        <f>'Technical Master Data'!S102+"AM:!27z"</f>
        <v>#VALUE!</v>
      </c>
      <c r="W346" t="e">
        <f>'Technical Master Data'!A103+"AM:!27{"</f>
        <v>#VALUE!</v>
      </c>
      <c r="X346" t="e">
        <f>'Technical Master Data'!B103+"AM:!27|"</f>
        <v>#VALUE!</v>
      </c>
      <c r="Y346" t="e">
        <f>'Technical Master Data'!C103+"AM:!27}"</f>
        <v>#VALUE!</v>
      </c>
      <c r="Z346" t="e">
        <f>'Technical Master Data'!D103+"AM:!27~"</f>
        <v>#VALUE!</v>
      </c>
      <c r="AA346" t="e">
        <f>'Technical Master Data'!E103+"AM:!28#"</f>
        <v>#VALUE!</v>
      </c>
      <c r="AB346" t="e">
        <f>'Technical Master Data'!F103+"AM:!28$"</f>
        <v>#VALUE!</v>
      </c>
      <c r="AC346" t="e">
        <f>'Technical Master Data'!G103+"AM:!28%"</f>
        <v>#VALUE!</v>
      </c>
      <c r="AD346" t="e">
        <f>'Technical Master Data'!H103+"AM:!28&amp;"</f>
        <v>#VALUE!</v>
      </c>
      <c r="AE346" t="e">
        <f>'Technical Master Data'!I103+"AM:!28'"</f>
        <v>#VALUE!</v>
      </c>
      <c r="AF346" t="e">
        <f>'Technical Master Data'!J103+"AM:!28("</f>
        <v>#VALUE!</v>
      </c>
      <c r="AG346" t="e">
        <f>'Technical Master Data'!K103+"AM:!28)"</f>
        <v>#VALUE!</v>
      </c>
      <c r="AH346" t="e">
        <f>'Technical Master Data'!L103+"AM:!28."</f>
        <v>#VALUE!</v>
      </c>
      <c r="AI346" t="e">
        <f>'Technical Master Data'!M103+"AM:!28/"</f>
        <v>#VALUE!</v>
      </c>
      <c r="AJ346" t="e">
        <f>'Technical Master Data'!N103+"AM:!280"</f>
        <v>#VALUE!</v>
      </c>
      <c r="AK346" t="e">
        <f>'Technical Master Data'!O103+"AM:!281"</f>
        <v>#VALUE!</v>
      </c>
      <c r="AL346" t="e">
        <f>'Technical Master Data'!P103+"AM:!282"</f>
        <v>#VALUE!</v>
      </c>
      <c r="AM346" t="e">
        <f>'Technical Master Data'!Q103+"AM:!283"</f>
        <v>#VALUE!</v>
      </c>
      <c r="AN346" t="e">
        <f>'Technical Master Data'!R103+"AM:!284"</f>
        <v>#VALUE!</v>
      </c>
      <c r="AO346" t="e">
        <f>'Technical Master Data'!S103+"AM:!285"</f>
        <v>#VALUE!</v>
      </c>
      <c r="AP346" t="e">
        <f>'Technical Master Data'!A104+"AM:!286"</f>
        <v>#VALUE!</v>
      </c>
      <c r="AQ346" t="e">
        <f>'Technical Master Data'!B104+"AM:!287"</f>
        <v>#VALUE!</v>
      </c>
      <c r="AR346" t="e">
        <f>'Technical Master Data'!C104+"AM:!288"</f>
        <v>#VALUE!</v>
      </c>
      <c r="AS346" t="e">
        <f>'Technical Master Data'!D104+"AM:!289"</f>
        <v>#VALUE!</v>
      </c>
      <c r="AT346" t="e">
        <f>'Technical Master Data'!E104+"AM:!28:"</f>
        <v>#VALUE!</v>
      </c>
      <c r="AU346" t="e">
        <f>'Technical Master Data'!F104+"AM:!28;"</f>
        <v>#VALUE!</v>
      </c>
      <c r="AV346" t="e">
        <f>'Technical Master Data'!G104+"AM:!28&lt;"</f>
        <v>#VALUE!</v>
      </c>
      <c r="AW346" t="e">
        <f>'Technical Master Data'!H104+"AM:!28="</f>
        <v>#VALUE!</v>
      </c>
      <c r="AX346" t="e">
        <f>'Technical Master Data'!I104+"AM:!28&gt;"</f>
        <v>#VALUE!</v>
      </c>
      <c r="AY346" t="e">
        <f>'Technical Master Data'!J104+"AM:!28?"</f>
        <v>#VALUE!</v>
      </c>
      <c r="AZ346" t="e">
        <f>'Technical Master Data'!K104+"AM:!28@"</f>
        <v>#VALUE!</v>
      </c>
      <c r="BA346" t="e">
        <f>'Technical Master Data'!L104+"AM:!28A"</f>
        <v>#VALUE!</v>
      </c>
      <c r="BB346" t="e">
        <f>'Technical Master Data'!M104+"AM:!28B"</f>
        <v>#VALUE!</v>
      </c>
      <c r="BC346" t="e">
        <f>'Technical Master Data'!N104+"AM:!28C"</f>
        <v>#VALUE!</v>
      </c>
      <c r="BD346" t="e">
        <f>'Technical Master Data'!O104+"AM:!28D"</f>
        <v>#VALUE!</v>
      </c>
      <c r="BE346" t="e">
        <f>'Technical Master Data'!P104+"AM:!28E"</f>
        <v>#VALUE!</v>
      </c>
      <c r="BF346" t="e">
        <f>'Technical Master Data'!Q104+"AM:!28F"</f>
        <v>#VALUE!</v>
      </c>
      <c r="BG346" t="e">
        <f>'Technical Master Data'!R104+"AM:!28G"</f>
        <v>#VALUE!</v>
      </c>
      <c r="BH346" t="e">
        <f>'Technical Master Data'!S104+"AM:!28H"</f>
        <v>#VALUE!</v>
      </c>
      <c r="BI346" t="e">
        <f>'Technical Master Data'!A105+"AM:!28I"</f>
        <v>#VALUE!</v>
      </c>
      <c r="BJ346" t="e">
        <f>'Technical Master Data'!B105+"AM:!28J"</f>
        <v>#VALUE!</v>
      </c>
      <c r="BK346" t="e">
        <f>'Technical Master Data'!C105+"AM:!28K"</f>
        <v>#VALUE!</v>
      </c>
      <c r="BL346" t="e">
        <f>'Technical Master Data'!D105+"AM:!28L"</f>
        <v>#VALUE!</v>
      </c>
      <c r="BM346" t="e">
        <f>'Technical Master Data'!E105+"AM:!28M"</f>
        <v>#VALUE!</v>
      </c>
      <c r="BN346" t="e">
        <f>'Technical Master Data'!F105+"AM:!28N"</f>
        <v>#VALUE!</v>
      </c>
      <c r="BO346" t="e">
        <f>'Technical Master Data'!G105+"AM:!28O"</f>
        <v>#VALUE!</v>
      </c>
      <c r="BP346" t="e">
        <f>'Technical Master Data'!H105+"AM:!28P"</f>
        <v>#VALUE!</v>
      </c>
      <c r="BQ346" t="e">
        <f>'Technical Master Data'!I105+"AM:!28Q"</f>
        <v>#VALUE!</v>
      </c>
      <c r="BR346" t="e">
        <f>'Technical Master Data'!J105+"AM:!28R"</f>
        <v>#VALUE!</v>
      </c>
      <c r="BS346" t="e">
        <f>'Technical Master Data'!K105+"AM:!28S"</f>
        <v>#VALUE!</v>
      </c>
      <c r="BT346" t="e">
        <f>'Technical Master Data'!L105+"AM:!28T"</f>
        <v>#VALUE!</v>
      </c>
      <c r="BU346" t="e">
        <f>'Technical Master Data'!M105+"AM:!28U"</f>
        <v>#VALUE!</v>
      </c>
      <c r="BV346" t="e">
        <f>'Technical Master Data'!N105+"AM:!28V"</f>
        <v>#VALUE!</v>
      </c>
      <c r="BW346" t="e">
        <f>'Technical Master Data'!O105+"AM:!28W"</f>
        <v>#VALUE!</v>
      </c>
      <c r="BX346" t="e">
        <f>'Technical Master Data'!P105+"AM:!28X"</f>
        <v>#VALUE!</v>
      </c>
      <c r="BY346" t="e">
        <f>'Technical Master Data'!Q105+"AM:!28Y"</f>
        <v>#VALUE!</v>
      </c>
      <c r="BZ346" t="e">
        <f>'Technical Master Data'!R105+"AM:!28Z"</f>
        <v>#VALUE!</v>
      </c>
      <c r="CA346" t="e">
        <f>'Technical Master Data'!S105+"AM:!28["</f>
        <v>#VALUE!</v>
      </c>
      <c r="CB346" t="e">
        <f>'Technical Master Data'!A106+"AM:!28\"</f>
        <v>#VALUE!</v>
      </c>
      <c r="CC346" t="e">
        <f>'Technical Master Data'!B106+"AM:!28]"</f>
        <v>#VALUE!</v>
      </c>
      <c r="CD346" t="e">
        <f>'Technical Master Data'!C106+"AM:!28^"</f>
        <v>#VALUE!</v>
      </c>
      <c r="CE346" t="e">
        <f>'Technical Master Data'!D106+"AM:!28_"</f>
        <v>#VALUE!</v>
      </c>
      <c r="CF346" t="e">
        <f>'Technical Master Data'!E106+"AM:!28`"</f>
        <v>#VALUE!</v>
      </c>
      <c r="CG346" t="e">
        <f>'Technical Master Data'!F106+"AM:!28a"</f>
        <v>#VALUE!</v>
      </c>
      <c r="CH346" t="e">
        <f>'Technical Master Data'!G106+"AM:!28b"</f>
        <v>#VALUE!</v>
      </c>
      <c r="CI346" t="e">
        <f>'Technical Master Data'!H106+"AM:!28c"</f>
        <v>#VALUE!</v>
      </c>
      <c r="CJ346" t="e">
        <f>'Technical Master Data'!I106+"AM:!28d"</f>
        <v>#VALUE!</v>
      </c>
      <c r="CK346" t="e">
        <f>'Technical Master Data'!J106+"AM:!28e"</f>
        <v>#VALUE!</v>
      </c>
      <c r="CL346" t="e">
        <f>'Technical Master Data'!K106+"AM:!28f"</f>
        <v>#VALUE!</v>
      </c>
      <c r="CM346" t="e">
        <f>'Technical Master Data'!L106+"AM:!28g"</f>
        <v>#VALUE!</v>
      </c>
      <c r="CN346" t="e">
        <f>'Technical Master Data'!M106+"AM:!28h"</f>
        <v>#VALUE!</v>
      </c>
      <c r="CO346" t="e">
        <f>'Technical Master Data'!N106+"AM:!28i"</f>
        <v>#VALUE!</v>
      </c>
      <c r="CP346" t="e">
        <f>'Technical Master Data'!O106+"AM:!28j"</f>
        <v>#VALUE!</v>
      </c>
      <c r="CQ346" t="e">
        <f>'Technical Master Data'!P106+"AM:!28k"</f>
        <v>#VALUE!</v>
      </c>
      <c r="CR346" t="e">
        <f>'Technical Master Data'!Q106+"AM:!28l"</f>
        <v>#VALUE!</v>
      </c>
      <c r="CS346" t="e">
        <f>'Technical Master Data'!R106+"AM:!28m"</f>
        <v>#VALUE!</v>
      </c>
      <c r="CT346" t="e">
        <f>'Technical Master Data'!S106+"AM:!28n"</f>
        <v>#VALUE!</v>
      </c>
      <c r="CU346" t="e">
        <f>'Technical Master Data'!A107+"AM:!28o"</f>
        <v>#VALUE!</v>
      </c>
      <c r="CV346" t="e">
        <f>'Technical Master Data'!B107+"AM:!28p"</f>
        <v>#VALUE!</v>
      </c>
      <c r="CW346" t="e">
        <f>'Technical Master Data'!C107+"AM:!28q"</f>
        <v>#VALUE!</v>
      </c>
      <c r="CX346" t="e">
        <f>'Technical Master Data'!D107+"AM:!28r"</f>
        <v>#VALUE!</v>
      </c>
      <c r="CY346" t="e">
        <f>'Technical Master Data'!E107+"AM:!28s"</f>
        <v>#VALUE!</v>
      </c>
      <c r="CZ346" t="e">
        <f>'Technical Master Data'!F107+"AM:!28t"</f>
        <v>#VALUE!</v>
      </c>
      <c r="DA346" t="e">
        <f>'Technical Master Data'!G107+"AM:!28u"</f>
        <v>#VALUE!</v>
      </c>
      <c r="DB346" t="e">
        <f>'Technical Master Data'!H107+"AM:!28v"</f>
        <v>#VALUE!</v>
      </c>
      <c r="DC346" t="e">
        <f>'Technical Master Data'!I107+"AM:!28w"</f>
        <v>#VALUE!</v>
      </c>
      <c r="DD346" t="e">
        <f>'Technical Master Data'!J107+"AM:!28x"</f>
        <v>#VALUE!</v>
      </c>
      <c r="DE346" t="e">
        <f>'Technical Master Data'!K107+"AM:!28y"</f>
        <v>#VALUE!</v>
      </c>
      <c r="DF346" t="e">
        <f>'Technical Master Data'!L107+"AM:!28z"</f>
        <v>#VALUE!</v>
      </c>
      <c r="DG346" t="e">
        <f>'Technical Master Data'!M107+"AM:!28{"</f>
        <v>#VALUE!</v>
      </c>
      <c r="DH346" t="e">
        <f>'Technical Master Data'!N107+"AM:!28|"</f>
        <v>#VALUE!</v>
      </c>
      <c r="DI346" t="e">
        <f>'Technical Master Data'!O107+"AM:!28}"</f>
        <v>#VALUE!</v>
      </c>
      <c r="DJ346" t="e">
        <f>'Technical Master Data'!P107+"AM:!28~"</f>
        <v>#VALUE!</v>
      </c>
      <c r="DK346" t="e">
        <f>'Technical Master Data'!Q107+"AM:!29#"</f>
        <v>#VALUE!</v>
      </c>
      <c r="DL346" t="e">
        <f>'Technical Master Data'!R107+"AM:!29$"</f>
        <v>#VALUE!</v>
      </c>
      <c r="DM346" t="e">
        <f>'Technical Master Data'!S107+"AM:!29%"</f>
        <v>#VALUE!</v>
      </c>
      <c r="DN346" t="e">
        <f>'Technical Master Data'!A108+"AM:!29&amp;"</f>
        <v>#VALUE!</v>
      </c>
      <c r="DO346" t="e">
        <f>'Technical Master Data'!B108+"AM:!29'"</f>
        <v>#VALUE!</v>
      </c>
      <c r="DP346" t="e">
        <f>'Technical Master Data'!C108+"AM:!29("</f>
        <v>#VALUE!</v>
      </c>
      <c r="DQ346" t="e">
        <f>'Technical Master Data'!D108+"AM:!29)"</f>
        <v>#VALUE!</v>
      </c>
      <c r="DR346" t="e">
        <f>'Technical Master Data'!E108+"AM:!29."</f>
        <v>#VALUE!</v>
      </c>
      <c r="DS346" t="e">
        <f>'Technical Master Data'!F108+"AM:!29/"</f>
        <v>#VALUE!</v>
      </c>
      <c r="DT346" t="e">
        <f>'Technical Master Data'!G108+"AM:!290"</f>
        <v>#VALUE!</v>
      </c>
      <c r="DU346" t="e">
        <f>'Technical Master Data'!H108+"AM:!291"</f>
        <v>#VALUE!</v>
      </c>
      <c r="DV346" t="e">
        <f>'Technical Master Data'!I108+"AM:!292"</f>
        <v>#VALUE!</v>
      </c>
      <c r="DW346" t="e">
        <f>'Technical Master Data'!J108+"AM:!293"</f>
        <v>#VALUE!</v>
      </c>
      <c r="DX346" t="e">
        <f>'Technical Master Data'!K108+"AM:!294"</f>
        <v>#VALUE!</v>
      </c>
      <c r="DY346" t="e">
        <f>'Technical Master Data'!L108+"AM:!295"</f>
        <v>#VALUE!</v>
      </c>
      <c r="DZ346" t="e">
        <f>'Technical Master Data'!M108+"AM:!296"</f>
        <v>#VALUE!</v>
      </c>
      <c r="EA346" t="e">
        <f>'Technical Master Data'!N108+"AM:!297"</f>
        <v>#VALUE!</v>
      </c>
      <c r="EB346" t="e">
        <f>'Technical Master Data'!O108+"AM:!298"</f>
        <v>#VALUE!</v>
      </c>
      <c r="EC346" t="e">
        <f>'Technical Master Data'!P108+"AM:!299"</f>
        <v>#VALUE!</v>
      </c>
      <c r="ED346" t="e">
        <f>'Technical Master Data'!Q108+"AM:!29:"</f>
        <v>#VALUE!</v>
      </c>
      <c r="EE346" t="e">
        <f>'Technical Master Data'!R108+"AM:!29;"</f>
        <v>#VALUE!</v>
      </c>
      <c r="EF346" t="e">
        <f>'Technical Master Data'!S108+"AM:!29&lt;"</f>
        <v>#VALUE!</v>
      </c>
      <c r="EG346" t="e">
        <f>'Technical Master Data'!A109+"AM:!29="</f>
        <v>#VALUE!</v>
      </c>
      <c r="EH346" t="e">
        <f>'Technical Master Data'!B109+"AM:!29&gt;"</f>
        <v>#VALUE!</v>
      </c>
      <c r="EI346" t="e">
        <f>'Technical Master Data'!C109+"AM:!29?"</f>
        <v>#VALUE!</v>
      </c>
      <c r="EJ346" t="e">
        <f>'Technical Master Data'!D109+"AM:!29@"</f>
        <v>#VALUE!</v>
      </c>
      <c r="EK346" t="e">
        <f>'Technical Master Data'!E109+"AM:!29A"</f>
        <v>#VALUE!</v>
      </c>
      <c r="EL346" t="e">
        <f>'Technical Master Data'!F109+"AM:!29B"</f>
        <v>#VALUE!</v>
      </c>
      <c r="EM346" t="e">
        <f>'Technical Master Data'!G109+"AM:!29C"</f>
        <v>#VALUE!</v>
      </c>
      <c r="EN346" t="e">
        <f>'Technical Master Data'!H109+"AM:!29D"</f>
        <v>#VALUE!</v>
      </c>
      <c r="EO346" t="e">
        <f>'Technical Master Data'!I109+"AM:!29E"</f>
        <v>#VALUE!</v>
      </c>
      <c r="EP346" t="e">
        <f>'Technical Master Data'!J109+"AM:!29F"</f>
        <v>#VALUE!</v>
      </c>
      <c r="EQ346" t="e">
        <f>'Technical Master Data'!K109+"AM:!29G"</f>
        <v>#VALUE!</v>
      </c>
      <c r="ER346" t="e">
        <f>'Technical Master Data'!L109+"AM:!29H"</f>
        <v>#VALUE!</v>
      </c>
      <c r="ES346" t="e">
        <f>'Technical Master Data'!M109+"AM:!29I"</f>
        <v>#VALUE!</v>
      </c>
      <c r="ET346" t="e">
        <f>'Technical Master Data'!N109+"AM:!29J"</f>
        <v>#VALUE!</v>
      </c>
      <c r="EU346" t="e">
        <f>'Technical Master Data'!O109+"AM:!29K"</f>
        <v>#VALUE!</v>
      </c>
      <c r="EV346" t="e">
        <f>'Technical Master Data'!P109+"AM:!29L"</f>
        <v>#VALUE!</v>
      </c>
      <c r="EW346" t="e">
        <f>'Technical Master Data'!Q109+"AM:!29M"</f>
        <v>#VALUE!</v>
      </c>
      <c r="EX346" t="e">
        <f>'Technical Master Data'!R109+"AM:!29N"</f>
        <v>#VALUE!</v>
      </c>
      <c r="EY346" t="e">
        <f>'Technical Master Data'!S109+"AM:!29O"</f>
        <v>#VALUE!</v>
      </c>
      <c r="EZ346" t="e">
        <f>'Technical Master Data'!A110+"AM:!29P"</f>
        <v>#VALUE!</v>
      </c>
      <c r="FA346" t="e">
        <f>'Technical Master Data'!B110+"AM:!29Q"</f>
        <v>#VALUE!</v>
      </c>
      <c r="FB346" t="e">
        <f>'Technical Master Data'!C110+"AM:!29R"</f>
        <v>#VALUE!</v>
      </c>
      <c r="FC346" t="e">
        <f>'Technical Master Data'!D110+"AM:!29S"</f>
        <v>#VALUE!</v>
      </c>
      <c r="FD346" t="e">
        <f>'Technical Master Data'!E110+"AM:!29T"</f>
        <v>#VALUE!</v>
      </c>
      <c r="FE346" t="e">
        <f>'Technical Master Data'!F110+"AM:!29U"</f>
        <v>#VALUE!</v>
      </c>
      <c r="FF346" t="e">
        <f>'Technical Master Data'!G110+"AM:!29V"</f>
        <v>#VALUE!</v>
      </c>
      <c r="FG346" t="e">
        <f>'Technical Master Data'!H110+"AM:!29W"</f>
        <v>#VALUE!</v>
      </c>
      <c r="FH346" t="e">
        <f>'Technical Master Data'!I110+"AM:!29X"</f>
        <v>#VALUE!</v>
      </c>
      <c r="FI346" t="e">
        <f>'Technical Master Data'!J110+"AM:!29Y"</f>
        <v>#VALUE!</v>
      </c>
      <c r="FJ346" t="e">
        <f>'Technical Master Data'!K110+"AM:!29Z"</f>
        <v>#VALUE!</v>
      </c>
      <c r="FK346" t="e">
        <f>'Technical Master Data'!L110+"AM:!29["</f>
        <v>#VALUE!</v>
      </c>
      <c r="FL346" t="e">
        <f>'Technical Master Data'!M110+"AM:!29\"</f>
        <v>#VALUE!</v>
      </c>
      <c r="FM346" t="e">
        <f>'Technical Master Data'!N110+"AM:!29]"</f>
        <v>#VALUE!</v>
      </c>
      <c r="FN346" t="e">
        <f>'Technical Master Data'!O110+"AM:!29^"</f>
        <v>#VALUE!</v>
      </c>
      <c r="FO346" t="e">
        <f>'Technical Master Data'!P110+"AM:!29_"</f>
        <v>#VALUE!</v>
      </c>
      <c r="FP346" t="e">
        <f>'Technical Master Data'!Q110+"AM:!29`"</f>
        <v>#VALUE!</v>
      </c>
      <c r="FQ346" t="e">
        <f>'Technical Master Data'!R110+"AM:!29a"</f>
        <v>#VALUE!</v>
      </c>
      <c r="FR346" t="e">
        <f>'Technical Master Data'!S110+"AM:!29b"</f>
        <v>#VALUE!</v>
      </c>
      <c r="FS346" t="e">
        <f>'Technical Master Data'!A111+"AM:!29c"</f>
        <v>#VALUE!</v>
      </c>
      <c r="FT346" t="e">
        <f>'Technical Master Data'!B111+"AM:!29d"</f>
        <v>#VALUE!</v>
      </c>
      <c r="FU346" t="e">
        <f>'Technical Master Data'!C111+"AM:!29e"</f>
        <v>#VALUE!</v>
      </c>
      <c r="FV346" t="e">
        <f>'Technical Master Data'!D111+"AM:!29f"</f>
        <v>#VALUE!</v>
      </c>
      <c r="FW346" t="e">
        <f>'Technical Master Data'!E111+"AM:!29g"</f>
        <v>#VALUE!</v>
      </c>
      <c r="FX346" t="e">
        <f>'Technical Master Data'!F111+"AM:!29h"</f>
        <v>#VALUE!</v>
      </c>
      <c r="FY346" t="e">
        <f>'Technical Master Data'!G111+"AM:!29i"</f>
        <v>#VALUE!</v>
      </c>
      <c r="FZ346" t="e">
        <f>'Technical Master Data'!H111+"AM:!29j"</f>
        <v>#VALUE!</v>
      </c>
      <c r="GA346" t="e">
        <f>'Technical Master Data'!I111+"AM:!29k"</f>
        <v>#VALUE!</v>
      </c>
      <c r="GB346" t="e">
        <f>'Technical Master Data'!J111+"AM:!29l"</f>
        <v>#VALUE!</v>
      </c>
      <c r="GC346" t="e">
        <f>'Technical Master Data'!K111+"AM:!29m"</f>
        <v>#VALUE!</v>
      </c>
      <c r="GD346" t="e">
        <f>'Technical Master Data'!L111+"AM:!29n"</f>
        <v>#VALUE!</v>
      </c>
      <c r="GE346" t="e">
        <f>'Technical Master Data'!M111+"AM:!29o"</f>
        <v>#VALUE!</v>
      </c>
      <c r="GF346" t="e">
        <f>'Technical Master Data'!N111+"AM:!29p"</f>
        <v>#VALUE!</v>
      </c>
      <c r="GG346" t="e">
        <f>'Technical Master Data'!O111+"AM:!29q"</f>
        <v>#VALUE!</v>
      </c>
      <c r="GH346" t="e">
        <f>'Technical Master Data'!P111+"AM:!29r"</f>
        <v>#VALUE!</v>
      </c>
      <c r="GI346" t="e">
        <f>'Technical Master Data'!Q111+"AM:!29s"</f>
        <v>#VALUE!</v>
      </c>
      <c r="GJ346" t="e">
        <f>'Technical Master Data'!R111+"AM:!29t"</f>
        <v>#VALUE!</v>
      </c>
      <c r="GK346" t="e">
        <f>'Technical Master Data'!S111+"AM:!29u"</f>
        <v>#VALUE!</v>
      </c>
      <c r="GL346" t="e">
        <f>'Technical Master Data'!A112+"AM:!29v"</f>
        <v>#VALUE!</v>
      </c>
      <c r="GM346" t="e">
        <f>'Technical Master Data'!B112+"AM:!29w"</f>
        <v>#VALUE!</v>
      </c>
      <c r="GN346" t="e">
        <f>'Technical Master Data'!C112+"AM:!29x"</f>
        <v>#VALUE!</v>
      </c>
      <c r="GO346" t="e">
        <f>'Technical Master Data'!D112+"AM:!29y"</f>
        <v>#VALUE!</v>
      </c>
      <c r="GP346" t="e">
        <f>'Technical Master Data'!E112+"AM:!29z"</f>
        <v>#VALUE!</v>
      </c>
      <c r="GQ346" t="e">
        <f>'Technical Master Data'!F112+"AM:!29{"</f>
        <v>#VALUE!</v>
      </c>
      <c r="GR346" t="e">
        <f>'Technical Master Data'!G112+"AM:!29|"</f>
        <v>#VALUE!</v>
      </c>
      <c r="GS346" t="e">
        <f>'Technical Master Data'!H112+"AM:!29}"</f>
        <v>#VALUE!</v>
      </c>
      <c r="GT346" t="e">
        <f>'Technical Master Data'!I112+"AM:!29~"</f>
        <v>#VALUE!</v>
      </c>
      <c r="GU346" t="e">
        <f>'Technical Master Data'!J112+"AM:!2:#"</f>
        <v>#VALUE!</v>
      </c>
      <c r="GV346" t="e">
        <f>'Technical Master Data'!K112+"AM:!2:$"</f>
        <v>#VALUE!</v>
      </c>
      <c r="GW346" t="e">
        <f>'Technical Master Data'!L112+"AM:!2:%"</f>
        <v>#VALUE!</v>
      </c>
      <c r="GX346" t="e">
        <f>'Technical Master Data'!M112+"AM:!2:&amp;"</f>
        <v>#VALUE!</v>
      </c>
      <c r="GY346" t="e">
        <f>'Technical Master Data'!N112+"AM:!2:'"</f>
        <v>#VALUE!</v>
      </c>
      <c r="GZ346" t="e">
        <f>'Technical Master Data'!O112+"AM:!2:("</f>
        <v>#VALUE!</v>
      </c>
      <c r="HA346" t="e">
        <f>'Technical Master Data'!P112+"AM:!2:)"</f>
        <v>#VALUE!</v>
      </c>
      <c r="HB346" t="e">
        <f>'Technical Master Data'!Q112+"AM:!2:."</f>
        <v>#VALUE!</v>
      </c>
      <c r="HC346" t="e">
        <f>'Technical Master Data'!R112+"AM:!2:/"</f>
        <v>#VALUE!</v>
      </c>
      <c r="HD346" t="e">
        <f>'Technical Master Data'!S112+"AM:!2:0"</f>
        <v>#VALUE!</v>
      </c>
      <c r="HE346" t="e">
        <f>'Technical Master Data'!A113+"AM:!2:1"</f>
        <v>#VALUE!</v>
      </c>
      <c r="HF346" t="e">
        <f>'Technical Master Data'!B113+"AM:!2:2"</f>
        <v>#VALUE!</v>
      </c>
      <c r="HG346" t="e">
        <f>'Technical Master Data'!C113+"AM:!2:3"</f>
        <v>#VALUE!</v>
      </c>
      <c r="HH346" t="e">
        <f>'Technical Master Data'!D113+"AM:!2:4"</f>
        <v>#VALUE!</v>
      </c>
      <c r="HI346" t="e">
        <f>'Technical Master Data'!E113+"AM:!2:5"</f>
        <v>#VALUE!</v>
      </c>
      <c r="HJ346" t="e">
        <f>'Technical Master Data'!F113+"AM:!2:6"</f>
        <v>#VALUE!</v>
      </c>
      <c r="HK346" t="e">
        <f>'Technical Master Data'!G113+"AM:!2:7"</f>
        <v>#VALUE!</v>
      </c>
      <c r="HL346" t="e">
        <f>'Technical Master Data'!H113+"AM:!2:8"</f>
        <v>#VALUE!</v>
      </c>
      <c r="HM346" t="e">
        <f>'Technical Master Data'!I113+"AM:!2:9"</f>
        <v>#VALUE!</v>
      </c>
      <c r="HN346" t="e">
        <f>'Technical Master Data'!J113+"AM:!2::"</f>
        <v>#VALUE!</v>
      </c>
      <c r="HO346" t="e">
        <f>'Technical Master Data'!K113+"AM:!2:;"</f>
        <v>#VALUE!</v>
      </c>
      <c r="HP346" t="e">
        <f>'Technical Master Data'!L113+"AM:!2:&lt;"</f>
        <v>#VALUE!</v>
      </c>
      <c r="HQ346" t="e">
        <f>'Technical Master Data'!M113+"AM:!2:="</f>
        <v>#VALUE!</v>
      </c>
      <c r="HR346" t="e">
        <f>'Technical Master Data'!N113+"AM:!2:&gt;"</f>
        <v>#VALUE!</v>
      </c>
      <c r="HS346" t="e">
        <f>'Technical Master Data'!O113+"AM:!2:?"</f>
        <v>#VALUE!</v>
      </c>
      <c r="HT346" t="e">
        <f>'Technical Master Data'!P113+"AM:!2:@"</f>
        <v>#VALUE!</v>
      </c>
      <c r="HU346" t="e">
        <f>'Technical Master Data'!Q113+"AM:!2:A"</f>
        <v>#VALUE!</v>
      </c>
      <c r="HV346" t="e">
        <f>'Technical Master Data'!R113+"AM:!2:B"</f>
        <v>#VALUE!</v>
      </c>
      <c r="HW346" t="e">
        <f>'Technical Master Data'!S113+"AM:!2:C"</f>
        <v>#VALUE!</v>
      </c>
      <c r="HX346" t="e">
        <f>'Technical Master Data'!A114+"AM:!2:D"</f>
        <v>#VALUE!</v>
      </c>
      <c r="HY346" t="e">
        <f>'Technical Master Data'!B114+"AM:!2:E"</f>
        <v>#VALUE!</v>
      </c>
      <c r="HZ346" t="e">
        <f>'Technical Master Data'!C114+"AM:!2:F"</f>
        <v>#VALUE!</v>
      </c>
      <c r="IA346" t="e">
        <f>'Technical Master Data'!D114+"AM:!2:G"</f>
        <v>#VALUE!</v>
      </c>
      <c r="IB346" t="e">
        <f>'Technical Master Data'!E114+"AM:!2:H"</f>
        <v>#VALUE!</v>
      </c>
      <c r="IC346" t="e">
        <f>'Technical Master Data'!F114+"AM:!2:I"</f>
        <v>#VALUE!</v>
      </c>
      <c r="ID346" t="e">
        <f>'Technical Master Data'!G114+"AM:!2:J"</f>
        <v>#VALUE!</v>
      </c>
      <c r="IE346" t="e">
        <f>'Technical Master Data'!H114+"AM:!2:K"</f>
        <v>#VALUE!</v>
      </c>
      <c r="IF346" t="e">
        <f>'Technical Master Data'!I114+"AM:!2:L"</f>
        <v>#VALUE!</v>
      </c>
      <c r="IG346" t="e">
        <f>'Technical Master Data'!J114+"AM:!2:M"</f>
        <v>#VALUE!</v>
      </c>
      <c r="IH346" t="e">
        <f>'Technical Master Data'!K114+"AM:!2:N"</f>
        <v>#VALUE!</v>
      </c>
      <c r="II346" t="e">
        <f>'Technical Master Data'!L114+"AM:!2:O"</f>
        <v>#VALUE!</v>
      </c>
      <c r="IJ346" t="e">
        <f>'Technical Master Data'!M114+"AM:!2:P"</f>
        <v>#VALUE!</v>
      </c>
      <c r="IK346" t="e">
        <f>'Technical Master Data'!N114+"AM:!2:Q"</f>
        <v>#VALUE!</v>
      </c>
      <c r="IL346" t="e">
        <f>'Technical Master Data'!O114+"AM:!2:R"</f>
        <v>#VALUE!</v>
      </c>
      <c r="IM346" t="e">
        <f>'Technical Master Data'!P114+"AM:!2:S"</f>
        <v>#VALUE!</v>
      </c>
      <c r="IN346" t="e">
        <f>'Technical Master Data'!Q114+"AM:!2:T"</f>
        <v>#VALUE!</v>
      </c>
      <c r="IO346" t="e">
        <f>'Technical Master Data'!R114+"AM:!2:U"</f>
        <v>#VALUE!</v>
      </c>
      <c r="IP346" t="e">
        <f>'Technical Master Data'!S114+"AM:!2:V"</f>
        <v>#VALUE!</v>
      </c>
      <c r="IQ346" t="e">
        <f>'Technical Master Data'!A115+"AM:!2:W"</f>
        <v>#VALUE!</v>
      </c>
      <c r="IR346" t="e">
        <f>'Technical Master Data'!B115+"AM:!2:X"</f>
        <v>#VALUE!</v>
      </c>
      <c r="IS346" t="e">
        <f>'Technical Master Data'!C115+"AM:!2:Y"</f>
        <v>#VALUE!</v>
      </c>
      <c r="IT346" t="e">
        <f>'Technical Master Data'!D115+"AM:!2:Z"</f>
        <v>#VALUE!</v>
      </c>
      <c r="IU346" t="e">
        <f>'Technical Master Data'!E115+"AM:!2:["</f>
        <v>#VALUE!</v>
      </c>
      <c r="IV346" t="e">
        <f>'Technical Master Data'!F115+"AM:!2:\"</f>
        <v>#VALUE!</v>
      </c>
    </row>
    <row r="347" spans="6:256">
      <c r="F347" t="e">
        <f>'Technical Master Data'!G115+"AM:!2:]"</f>
        <v>#VALUE!</v>
      </c>
      <c r="G347" t="e">
        <f>'Technical Master Data'!H115+"AM:!2:^"</f>
        <v>#VALUE!</v>
      </c>
      <c r="H347" t="e">
        <f>'Technical Master Data'!I115+"AM:!2:_"</f>
        <v>#VALUE!</v>
      </c>
      <c r="I347" t="e">
        <f>'Technical Master Data'!J115+"AM:!2:`"</f>
        <v>#VALUE!</v>
      </c>
      <c r="J347" t="e">
        <f>'Technical Master Data'!K115+"AM:!2:a"</f>
        <v>#VALUE!</v>
      </c>
      <c r="K347" t="e">
        <f>'Technical Master Data'!L115+"AM:!2:b"</f>
        <v>#VALUE!</v>
      </c>
      <c r="L347" t="e">
        <f>'Technical Master Data'!M115+"AM:!2:c"</f>
        <v>#VALUE!</v>
      </c>
      <c r="M347" t="e">
        <f>'Technical Master Data'!N115+"AM:!2:d"</f>
        <v>#VALUE!</v>
      </c>
      <c r="N347" t="e">
        <f>'Technical Master Data'!O115+"AM:!2:e"</f>
        <v>#VALUE!</v>
      </c>
      <c r="O347" t="e">
        <f>'Technical Master Data'!P115+"AM:!2:f"</f>
        <v>#VALUE!</v>
      </c>
      <c r="P347" t="e">
        <f>'Technical Master Data'!Q115+"AM:!2:g"</f>
        <v>#VALUE!</v>
      </c>
      <c r="Q347" t="e">
        <f>'Technical Master Data'!R115+"AM:!2:h"</f>
        <v>#VALUE!</v>
      </c>
      <c r="R347" t="e">
        <f>'Technical Master Data'!S115+"AM:!2:i"</f>
        <v>#VALUE!</v>
      </c>
      <c r="S347" t="e">
        <f>'Technical Master Data'!A116+"AM:!2:j"</f>
        <v>#VALUE!</v>
      </c>
      <c r="T347" t="e">
        <f>'Technical Master Data'!B116+"AM:!2:k"</f>
        <v>#VALUE!</v>
      </c>
      <c r="U347" t="e">
        <f>'Technical Master Data'!C116+"AM:!2:l"</f>
        <v>#VALUE!</v>
      </c>
      <c r="V347" t="e">
        <f>'Technical Master Data'!D116+"AM:!2:m"</f>
        <v>#VALUE!</v>
      </c>
      <c r="W347" t="e">
        <f>'Technical Master Data'!E116+"AM:!2:n"</f>
        <v>#VALUE!</v>
      </c>
      <c r="X347" t="e">
        <f>'Technical Master Data'!F116+"AM:!2:o"</f>
        <v>#VALUE!</v>
      </c>
      <c r="Y347" t="e">
        <f>'Technical Master Data'!G116+"AM:!2:p"</f>
        <v>#VALUE!</v>
      </c>
      <c r="Z347" t="e">
        <f>'Technical Master Data'!H116+"AM:!2:q"</f>
        <v>#VALUE!</v>
      </c>
      <c r="AA347" t="e">
        <f>'Technical Master Data'!I116+"AM:!2:r"</f>
        <v>#VALUE!</v>
      </c>
      <c r="AB347" t="e">
        <f>'Technical Master Data'!J116+"AM:!2:s"</f>
        <v>#VALUE!</v>
      </c>
      <c r="AC347" t="e">
        <f>'Technical Master Data'!K116+"AM:!2:t"</f>
        <v>#VALUE!</v>
      </c>
      <c r="AD347" t="e">
        <f>'Technical Master Data'!L116+"AM:!2:u"</f>
        <v>#VALUE!</v>
      </c>
      <c r="AE347" t="e">
        <f>'Technical Master Data'!M116+"AM:!2:v"</f>
        <v>#VALUE!</v>
      </c>
      <c r="AF347" t="e">
        <f>'Technical Master Data'!N116+"AM:!2:w"</f>
        <v>#VALUE!</v>
      </c>
      <c r="AG347" t="e">
        <f>'Technical Master Data'!O116+"AM:!2:x"</f>
        <v>#VALUE!</v>
      </c>
      <c r="AH347" t="e">
        <f>'Technical Master Data'!P116+"AM:!2:y"</f>
        <v>#VALUE!</v>
      </c>
      <c r="AI347" t="e">
        <f>'Technical Master Data'!Q116+"AM:!2:z"</f>
        <v>#VALUE!</v>
      </c>
      <c r="AJ347" t="e">
        <f>'Technical Master Data'!R116+"AM:!2:{"</f>
        <v>#VALUE!</v>
      </c>
      <c r="AK347" t="e">
        <f>'Technical Master Data'!S116+"AM:!2:|"</f>
        <v>#VALUE!</v>
      </c>
      <c r="AL347" t="e">
        <f>'Technical Master Data'!A117+"AM:!2:}"</f>
        <v>#VALUE!</v>
      </c>
      <c r="AM347" t="e">
        <f>'Technical Master Data'!B117+"AM:!2:~"</f>
        <v>#VALUE!</v>
      </c>
      <c r="AN347" t="e">
        <f>'Technical Master Data'!C117+"AM:!2;#"</f>
        <v>#VALUE!</v>
      </c>
      <c r="AO347" t="e">
        <f>'Technical Master Data'!D117+"AM:!2;$"</f>
        <v>#VALUE!</v>
      </c>
      <c r="AP347" t="e">
        <f>'Technical Master Data'!E117+"AM:!2;%"</f>
        <v>#VALUE!</v>
      </c>
      <c r="AQ347" t="e">
        <f>'Technical Master Data'!F117+"AM:!2;&amp;"</f>
        <v>#VALUE!</v>
      </c>
      <c r="AR347" t="e">
        <f>'Technical Master Data'!G117+"AM:!2;'"</f>
        <v>#VALUE!</v>
      </c>
      <c r="AS347" t="e">
        <f>'Technical Master Data'!H117+"AM:!2;("</f>
        <v>#VALUE!</v>
      </c>
      <c r="AT347" t="e">
        <f>'Technical Master Data'!I117+"AM:!2;)"</f>
        <v>#VALUE!</v>
      </c>
      <c r="AU347" t="e">
        <f>'Technical Master Data'!J117+"AM:!2;."</f>
        <v>#VALUE!</v>
      </c>
      <c r="AV347" t="e">
        <f>'Technical Master Data'!K117+"AM:!2;/"</f>
        <v>#VALUE!</v>
      </c>
      <c r="AW347" t="e">
        <f>'Technical Master Data'!L117+"AM:!2;0"</f>
        <v>#VALUE!</v>
      </c>
      <c r="AX347" t="e">
        <f>'Technical Master Data'!M117+"AM:!2;1"</f>
        <v>#VALUE!</v>
      </c>
      <c r="AY347" t="e">
        <f>'Technical Master Data'!N117+"AM:!2;2"</f>
        <v>#VALUE!</v>
      </c>
      <c r="AZ347" t="e">
        <f>'Technical Master Data'!O117+"AM:!2;3"</f>
        <v>#VALUE!</v>
      </c>
      <c r="BA347" t="e">
        <f>'Technical Master Data'!P117+"AM:!2;4"</f>
        <v>#VALUE!</v>
      </c>
      <c r="BB347" t="e">
        <f>'Technical Master Data'!Q117+"AM:!2;5"</f>
        <v>#VALUE!</v>
      </c>
      <c r="BC347" t="e">
        <f>'Technical Master Data'!R117+"AM:!2;6"</f>
        <v>#VALUE!</v>
      </c>
      <c r="BD347" t="e">
        <f>'Technical Master Data'!S117+"AM:!2;7"</f>
        <v>#VALUE!</v>
      </c>
      <c r="BE347" t="e">
        <f>'Technical Master Data'!A118+"AM:!2;8"</f>
        <v>#VALUE!</v>
      </c>
      <c r="BF347" t="e">
        <f>'Technical Master Data'!B118+"AM:!2;9"</f>
        <v>#VALUE!</v>
      </c>
      <c r="BG347" t="e">
        <f>'Technical Master Data'!C118+"AM:!2;:"</f>
        <v>#VALUE!</v>
      </c>
      <c r="BH347" t="e">
        <f>'Technical Master Data'!D118+"AM:!2;;"</f>
        <v>#VALUE!</v>
      </c>
      <c r="BI347" t="e">
        <f>'Technical Master Data'!E118+"AM:!2;&lt;"</f>
        <v>#VALUE!</v>
      </c>
      <c r="BJ347" t="e">
        <f>'Technical Master Data'!F118+"AM:!2;="</f>
        <v>#VALUE!</v>
      </c>
      <c r="BK347" t="e">
        <f>'Technical Master Data'!G118+"AM:!2;&gt;"</f>
        <v>#VALUE!</v>
      </c>
      <c r="BL347" t="e">
        <f>'Technical Master Data'!H118+"AM:!2;?"</f>
        <v>#VALUE!</v>
      </c>
      <c r="BM347" t="e">
        <f>'Technical Master Data'!I118+"AM:!2;@"</f>
        <v>#VALUE!</v>
      </c>
      <c r="BN347" t="e">
        <f>'Technical Master Data'!J118+"AM:!2;A"</f>
        <v>#VALUE!</v>
      </c>
      <c r="BO347" t="e">
        <f>'Technical Master Data'!K118+"AM:!2;B"</f>
        <v>#VALUE!</v>
      </c>
      <c r="BP347" t="e">
        <f>'Technical Master Data'!L118+"AM:!2;C"</f>
        <v>#VALUE!</v>
      </c>
      <c r="BQ347" t="e">
        <f>'Technical Master Data'!M118+"AM:!2;D"</f>
        <v>#VALUE!</v>
      </c>
      <c r="BR347" t="e">
        <f>'Technical Master Data'!N118+"AM:!2;E"</f>
        <v>#VALUE!</v>
      </c>
      <c r="BS347" t="e">
        <f>'Technical Master Data'!O118+"AM:!2;F"</f>
        <v>#VALUE!</v>
      </c>
      <c r="BT347" t="e">
        <f>'Technical Master Data'!P118+"AM:!2;G"</f>
        <v>#VALUE!</v>
      </c>
      <c r="BU347" t="e">
        <f>'Technical Master Data'!Q118+"AM:!2;H"</f>
        <v>#VALUE!</v>
      </c>
      <c r="BV347" t="e">
        <f>'Technical Master Data'!R118+"AM:!2;I"</f>
        <v>#VALUE!</v>
      </c>
      <c r="BW347" t="e">
        <f>'Technical Master Data'!S118+"AM:!2;J"</f>
        <v>#VALUE!</v>
      </c>
      <c r="BX347" t="e">
        <f>'Technical Master Data'!A119+"AM:!2;K"</f>
        <v>#VALUE!</v>
      </c>
      <c r="BY347" t="e">
        <f>'Technical Master Data'!B119+"AM:!2;L"</f>
        <v>#VALUE!</v>
      </c>
      <c r="BZ347" t="e">
        <f>'Technical Master Data'!C119+"AM:!2;M"</f>
        <v>#VALUE!</v>
      </c>
      <c r="CA347" t="e">
        <f>'Technical Master Data'!D119+"AM:!2;N"</f>
        <v>#VALUE!</v>
      </c>
      <c r="CB347" t="e">
        <f>'Technical Master Data'!E119+"AM:!2;O"</f>
        <v>#VALUE!</v>
      </c>
      <c r="CC347" t="e">
        <f>'Technical Master Data'!F119+"AM:!2;P"</f>
        <v>#VALUE!</v>
      </c>
      <c r="CD347" t="e">
        <f>'Technical Master Data'!G119+"AM:!2;Q"</f>
        <v>#VALUE!</v>
      </c>
      <c r="CE347" t="e">
        <f>'Technical Master Data'!H119+"AM:!2;R"</f>
        <v>#VALUE!</v>
      </c>
      <c r="CF347" t="e">
        <f>'Technical Master Data'!I119+"AM:!2;S"</f>
        <v>#VALUE!</v>
      </c>
      <c r="CG347" t="e">
        <f>'Technical Master Data'!J119+"AM:!2;T"</f>
        <v>#VALUE!</v>
      </c>
      <c r="CH347" t="e">
        <f>'Technical Master Data'!K119+"AM:!2;U"</f>
        <v>#VALUE!</v>
      </c>
      <c r="CI347" t="e">
        <f>'Technical Master Data'!L119+"AM:!2;V"</f>
        <v>#VALUE!</v>
      </c>
      <c r="CJ347" t="e">
        <f>'Technical Master Data'!M119+"AM:!2;W"</f>
        <v>#VALUE!</v>
      </c>
      <c r="CK347" t="e">
        <f>'Technical Master Data'!N119+"AM:!2;X"</f>
        <v>#VALUE!</v>
      </c>
      <c r="CL347" t="e">
        <f>'Technical Master Data'!O119+"AM:!2;Y"</f>
        <v>#VALUE!</v>
      </c>
      <c r="CM347" t="e">
        <f>'Technical Master Data'!P119+"AM:!2;Z"</f>
        <v>#VALUE!</v>
      </c>
      <c r="CN347" t="e">
        <f>'Technical Master Data'!Q119+"AM:!2;["</f>
        <v>#VALUE!</v>
      </c>
      <c r="CO347" t="e">
        <f>'Technical Master Data'!R119+"AM:!2;\"</f>
        <v>#VALUE!</v>
      </c>
      <c r="CP347" t="e">
        <f>'Technical Master Data'!S119+"AM:!2;]"</f>
        <v>#VALUE!</v>
      </c>
      <c r="CQ347" t="e">
        <f>'Technical Master Data'!A120+"AM:!2;^"</f>
        <v>#VALUE!</v>
      </c>
      <c r="CR347" t="e">
        <f>'Technical Master Data'!B120+"AM:!2;_"</f>
        <v>#VALUE!</v>
      </c>
      <c r="CS347" t="e">
        <f>'Technical Master Data'!C120+"AM:!2;`"</f>
        <v>#VALUE!</v>
      </c>
      <c r="CT347" t="e">
        <f>'Technical Master Data'!D120+"AM:!2;a"</f>
        <v>#VALUE!</v>
      </c>
      <c r="CU347" t="e">
        <f>'Technical Master Data'!E120+"AM:!2;b"</f>
        <v>#VALUE!</v>
      </c>
      <c r="CV347" t="e">
        <f>'Technical Master Data'!F120+"AM:!2;c"</f>
        <v>#VALUE!</v>
      </c>
      <c r="CW347" t="e">
        <f>'Technical Master Data'!G120+"AM:!2;d"</f>
        <v>#VALUE!</v>
      </c>
      <c r="CX347" t="e">
        <f>'Technical Master Data'!H120+"AM:!2;e"</f>
        <v>#VALUE!</v>
      </c>
      <c r="CY347" t="e">
        <f>'Technical Master Data'!I120+"AM:!2;f"</f>
        <v>#VALUE!</v>
      </c>
      <c r="CZ347" t="e">
        <f>'Technical Master Data'!J120+"AM:!2;g"</f>
        <v>#VALUE!</v>
      </c>
      <c r="DA347" t="e">
        <f>'Technical Master Data'!K120+"AM:!2;h"</f>
        <v>#VALUE!</v>
      </c>
      <c r="DB347" t="e">
        <f>'Technical Master Data'!L120+"AM:!2;i"</f>
        <v>#VALUE!</v>
      </c>
      <c r="DC347" t="e">
        <f>'Technical Master Data'!M120+"AM:!2;j"</f>
        <v>#VALUE!</v>
      </c>
      <c r="DD347" t="e">
        <f>'Technical Master Data'!N120+"AM:!2;k"</f>
        <v>#VALUE!</v>
      </c>
      <c r="DE347" t="e">
        <f>'Technical Master Data'!O120+"AM:!2;l"</f>
        <v>#VALUE!</v>
      </c>
      <c r="DF347" t="e">
        <f>'Technical Master Data'!P120+"AM:!2;m"</f>
        <v>#VALUE!</v>
      </c>
      <c r="DG347" t="e">
        <f>'Technical Master Data'!Q120+"AM:!2;n"</f>
        <v>#VALUE!</v>
      </c>
      <c r="DH347" t="e">
        <f>'Technical Master Data'!R120+"AM:!2;o"</f>
        <v>#VALUE!</v>
      </c>
      <c r="DI347" t="e">
        <f>'Technical Master Data'!S120+"AM:!2;p"</f>
        <v>#VALUE!</v>
      </c>
      <c r="DJ347" t="e">
        <f>'Technical Master Data'!A121+"AM:!2;q"</f>
        <v>#VALUE!</v>
      </c>
      <c r="DK347" t="e">
        <f>'Technical Master Data'!B121+"AM:!2;r"</f>
        <v>#VALUE!</v>
      </c>
      <c r="DL347" t="e">
        <f>'Technical Master Data'!C121+"AM:!2;s"</f>
        <v>#VALUE!</v>
      </c>
      <c r="DM347" t="e">
        <f>'Technical Master Data'!D121+"AM:!2;t"</f>
        <v>#VALUE!</v>
      </c>
      <c r="DN347" t="e">
        <f>'Technical Master Data'!E121+"AM:!2;u"</f>
        <v>#VALUE!</v>
      </c>
      <c r="DO347" t="e">
        <f>'Technical Master Data'!F121+"AM:!2;v"</f>
        <v>#VALUE!</v>
      </c>
      <c r="DP347" t="e">
        <f>'Technical Master Data'!G121+"AM:!2;w"</f>
        <v>#VALUE!</v>
      </c>
      <c r="DQ347" t="e">
        <f>'Technical Master Data'!H121+"AM:!2;x"</f>
        <v>#VALUE!</v>
      </c>
      <c r="DR347" t="e">
        <f>'Technical Master Data'!I121+"AM:!2;y"</f>
        <v>#VALUE!</v>
      </c>
      <c r="DS347" t="e">
        <f>'Technical Master Data'!J121+"AM:!2;z"</f>
        <v>#VALUE!</v>
      </c>
      <c r="DT347" t="e">
        <f>'Technical Master Data'!K121+"AM:!2;{"</f>
        <v>#VALUE!</v>
      </c>
      <c r="DU347" t="e">
        <f>'Technical Master Data'!L121+"AM:!2;|"</f>
        <v>#VALUE!</v>
      </c>
      <c r="DV347" t="e">
        <f>'Technical Master Data'!M121+"AM:!2;}"</f>
        <v>#VALUE!</v>
      </c>
      <c r="DW347" t="e">
        <f>'Technical Master Data'!N121+"AM:!2;~"</f>
        <v>#VALUE!</v>
      </c>
      <c r="DX347" t="e">
        <f>'Technical Master Data'!O121+"AM:!2&lt;#"</f>
        <v>#VALUE!</v>
      </c>
      <c r="DY347" t="e">
        <f>'Technical Master Data'!P121+"AM:!2&lt;$"</f>
        <v>#VALUE!</v>
      </c>
      <c r="DZ347" t="e">
        <f>'Technical Master Data'!Q121+"AM:!2&lt;%"</f>
        <v>#VALUE!</v>
      </c>
      <c r="EA347" t="e">
        <f>'Technical Master Data'!R121+"AM:!2&lt;&amp;"</f>
        <v>#VALUE!</v>
      </c>
      <c r="EB347" t="e">
        <f>'Technical Master Data'!S121+"AM:!2&lt;'"</f>
        <v>#VALUE!</v>
      </c>
      <c r="EC347" t="e">
        <f>'Technical Master Data'!A122+"AM:!2&lt;("</f>
        <v>#VALUE!</v>
      </c>
      <c r="ED347" t="e">
        <f>'Technical Master Data'!B122+"AM:!2&lt;)"</f>
        <v>#VALUE!</v>
      </c>
      <c r="EE347" t="e">
        <f>'Technical Master Data'!C122+"AM:!2&lt;."</f>
        <v>#VALUE!</v>
      </c>
      <c r="EF347" t="e">
        <f>'Technical Master Data'!D122+"AM:!2&lt;/"</f>
        <v>#VALUE!</v>
      </c>
      <c r="EG347" t="e">
        <f>'Technical Master Data'!E122+"AM:!2&lt;0"</f>
        <v>#VALUE!</v>
      </c>
      <c r="EH347" t="e">
        <f>'Technical Master Data'!F122+"AM:!2&lt;1"</f>
        <v>#VALUE!</v>
      </c>
      <c r="EI347" t="e">
        <f>'Technical Master Data'!G122+"AM:!2&lt;2"</f>
        <v>#VALUE!</v>
      </c>
      <c r="EJ347" t="e">
        <f>'Technical Master Data'!H122+"AM:!2&lt;3"</f>
        <v>#VALUE!</v>
      </c>
      <c r="EK347" t="e">
        <f>'Technical Master Data'!I122+"AM:!2&lt;4"</f>
        <v>#VALUE!</v>
      </c>
      <c r="EL347" t="e">
        <f>'Technical Master Data'!J122+"AM:!2&lt;5"</f>
        <v>#VALUE!</v>
      </c>
      <c r="EM347" t="e">
        <f>'Technical Master Data'!K122+"AM:!2&lt;6"</f>
        <v>#VALUE!</v>
      </c>
      <c r="EN347" t="e">
        <f>'Technical Master Data'!L122+"AM:!2&lt;7"</f>
        <v>#VALUE!</v>
      </c>
      <c r="EO347" t="e">
        <f>'Technical Master Data'!M122+"AM:!2&lt;8"</f>
        <v>#VALUE!</v>
      </c>
      <c r="EP347" t="e">
        <f>'Technical Master Data'!N122+"AM:!2&lt;9"</f>
        <v>#VALUE!</v>
      </c>
      <c r="EQ347" t="e">
        <f>'Technical Master Data'!O122+"AM:!2&lt;:"</f>
        <v>#VALUE!</v>
      </c>
      <c r="ER347" t="e">
        <f>'Technical Master Data'!P122+"AM:!2&lt;;"</f>
        <v>#VALUE!</v>
      </c>
      <c r="ES347" t="e">
        <f>'Technical Master Data'!Q122+"AM:!2&lt;&lt;"</f>
        <v>#VALUE!</v>
      </c>
      <c r="ET347" t="e">
        <f>'Technical Master Data'!R122+"AM:!2&lt;="</f>
        <v>#VALUE!</v>
      </c>
      <c r="EU347" t="e">
        <f>'Technical Master Data'!S122+"AM:!2&lt;&gt;"</f>
        <v>#VALUE!</v>
      </c>
      <c r="EV347" t="e">
        <f>'Technical Master Data'!A123+"AM:!2&lt;?"</f>
        <v>#VALUE!</v>
      </c>
      <c r="EW347" t="e">
        <f>'Technical Master Data'!B123+"AM:!2&lt;@"</f>
        <v>#VALUE!</v>
      </c>
      <c r="EX347" t="e">
        <f>'Technical Master Data'!C123+"AM:!2&lt;A"</f>
        <v>#VALUE!</v>
      </c>
      <c r="EY347" t="e">
        <f>'Technical Master Data'!D123+"AM:!2&lt;B"</f>
        <v>#VALUE!</v>
      </c>
      <c r="EZ347" t="e">
        <f>'Technical Master Data'!E123+"AM:!2&lt;C"</f>
        <v>#VALUE!</v>
      </c>
      <c r="FA347" t="e">
        <f>'Technical Master Data'!F123+"AM:!2&lt;D"</f>
        <v>#VALUE!</v>
      </c>
      <c r="FB347" t="e">
        <f>'Technical Master Data'!G123+"AM:!2&lt;E"</f>
        <v>#VALUE!</v>
      </c>
      <c r="FC347" t="e">
        <f>'Technical Master Data'!H123+"AM:!2&lt;F"</f>
        <v>#VALUE!</v>
      </c>
      <c r="FD347" t="e">
        <f>'Technical Master Data'!I123+"AM:!2&lt;G"</f>
        <v>#VALUE!</v>
      </c>
      <c r="FE347" t="e">
        <f>'Technical Master Data'!J123+"AM:!2&lt;H"</f>
        <v>#VALUE!</v>
      </c>
      <c r="FF347" t="e">
        <f>'Technical Master Data'!K123+"AM:!2&lt;I"</f>
        <v>#VALUE!</v>
      </c>
      <c r="FG347" t="e">
        <f>'Technical Master Data'!L123+"AM:!2&lt;J"</f>
        <v>#VALUE!</v>
      </c>
      <c r="FH347" t="e">
        <f>'Technical Master Data'!M123+"AM:!2&lt;K"</f>
        <v>#VALUE!</v>
      </c>
      <c r="FI347" t="e">
        <f>'Technical Master Data'!N123+"AM:!2&lt;L"</f>
        <v>#VALUE!</v>
      </c>
      <c r="FJ347" t="e">
        <f>'Technical Master Data'!O123+"AM:!2&lt;M"</f>
        <v>#VALUE!</v>
      </c>
      <c r="FK347" t="e">
        <f>'Technical Master Data'!P123+"AM:!2&lt;N"</f>
        <v>#VALUE!</v>
      </c>
      <c r="FL347" t="e">
        <f>'Technical Master Data'!Q123+"AM:!2&lt;O"</f>
        <v>#VALUE!</v>
      </c>
      <c r="FM347" t="e">
        <f>'Technical Master Data'!R123+"AM:!2&lt;P"</f>
        <v>#VALUE!</v>
      </c>
      <c r="FN347" t="e">
        <f>'Technical Master Data'!S123+"AM:!2&lt;Q"</f>
        <v>#VALUE!</v>
      </c>
      <c r="FO347" t="e">
        <f>'Technical Master Data'!A124+"AM:!2&lt;R"</f>
        <v>#VALUE!</v>
      </c>
      <c r="FP347" t="e">
        <f>'Technical Master Data'!B124+"AM:!2&lt;S"</f>
        <v>#VALUE!</v>
      </c>
      <c r="FQ347" t="e">
        <f>'Technical Master Data'!C124+"AM:!2&lt;T"</f>
        <v>#VALUE!</v>
      </c>
      <c r="FR347" t="e">
        <f>'Technical Master Data'!D124+"AM:!2&lt;U"</f>
        <v>#VALUE!</v>
      </c>
      <c r="FS347" t="e">
        <f>'Technical Master Data'!E124+"AM:!2&lt;V"</f>
        <v>#VALUE!</v>
      </c>
      <c r="FT347" t="e">
        <f>'Technical Master Data'!F124+"AM:!2&lt;W"</f>
        <v>#VALUE!</v>
      </c>
      <c r="FU347" t="e">
        <f>'Technical Master Data'!G124+"AM:!2&lt;X"</f>
        <v>#VALUE!</v>
      </c>
      <c r="FV347" t="e">
        <f>'Technical Master Data'!H124+"AM:!2&lt;Y"</f>
        <v>#VALUE!</v>
      </c>
      <c r="FW347" t="e">
        <f>'Technical Master Data'!I124+"AM:!2&lt;Z"</f>
        <v>#VALUE!</v>
      </c>
      <c r="FX347" t="e">
        <f>'Technical Master Data'!J124+"AM:!2&lt;["</f>
        <v>#VALUE!</v>
      </c>
      <c r="FY347" t="e">
        <f>'Technical Master Data'!K124+"AM:!2&lt;\"</f>
        <v>#VALUE!</v>
      </c>
      <c r="FZ347" t="e">
        <f>'Technical Master Data'!L124+"AM:!2&lt;]"</f>
        <v>#VALUE!</v>
      </c>
      <c r="GA347" t="e">
        <f>'Technical Master Data'!M124+"AM:!2&lt;^"</f>
        <v>#VALUE!</v>
      </c>
      <c r="GB347" t="e">
        <f>'Technical Master Data'!N124+"AM:!2&lt;_"</f>
        <v>#VALUE!</v>
      </c>
      <c r="GC347" t="e">
        <f>'Technical Master Data'!O124+"AM:!2&lt;`"</f>
        <v>#VALUE!</v>
      </c>
      <c r="GD347" t="e">
        <f>'Technical Master Data'!P124+"AM:!2&lt;a"</f>
        <v>#VALUE!</v>
      </c>
      <c r="GE347" t="e">
        <f>'Technical Master Data'!Q124+"AM:!2&lt;b"</f>
        <v>#VALUE!</v>
      </c>
      <c r="GF347" t="e">
        <f>'Technical Master Data'!R124+"AM:!2&lt;c"</f>
        <v>#VALUE!</v>
      </c>
      <c r="GG347" t="e">
        <f>'Technical Master Data'!S124+"AM:!2&lt;d"</f>
        <v>#VALUE!</v>
      </c>
      <c r="GH347" t="e">
        <f>'Technical Master Data'!A125+"AM:!2&lt;e"</f>
        <v>#VALUE!</v>
      </c>
      <c r="GI347" t="e">
        <f>'Technical Master Data'!B125+"AM:!2&lt;f"</f>
        <v>#VALUE!</v>
      </c>
      <c r="GJ347" t="e">
        <f>'Technical Master Data'!C125+"AM:!2&lt;g"</f>
        <v>#VALUE!</v>
      </c>
      <c r="GK347" t="e">
        <f>'Technical Master Data'!D125+"AM:!2&lt;h"</f>
        <v>#VALUE!</v>
      </c>
      <c r="GL347" t="e">
        <f>'Technical Master Data'!E125+"AM:!2&lt;i"</f>
        <v>#VALUE!</v>
      </c>
      <c r="GM347" t="e">
        <f>'Technical Master Data'!F125+"AM:!2&lt;j"</f>
        <v>#VALUE!</v>
      </c>
      <c r="GN347" t="e">
        <f>'Technical Master Data'!G125+"AM:!2&lt;k"</f>
        <v>#VALUE!</v>
      </c>
      <c r="GO347" t="e">
        <f>'Technical Master Data'!H125+"AM:!2&lt;l"</f>
        <v>#VALUE!</v>
      </c>
      <c r="GP347" t="e">
        <f>'Technical Master Data'!I125+"AM:!2&lt;m"</f>
        <v>#VALUE!</v>
      </c>
      <c r="GQ347" t="e">
        <f>'Technical Master Data'!J125+"AM:!2&lt;n"</f>
        <v>#VALUE!</v>
      </c>
      <c r="GR347" t="e">
        <f>'Technical Master Data'!K125+"AM:!2&lt;o"</f>
        <v>#VALUE!</v>
      </c>
      <c r="GS347" t="e">
        <f>'Technical Master Data'!L125+"AM:!2&lt;p"</f>
        <v>#VALUE!</v>
      </c>
      <c r="GT347" t="e">
        <f>'Technical Master Data'!M125+"AM:!2&lt;q"</f>
        <v>#VALUE!</v>
      </c>
      <c r="GU347" t="e">
        <f>'Technical Master Data'!N125+"AM:!2&lt;r"</f>
        <v>#VALUE!</v>
      </c>
      <c r="GV347" t="e">
        <f>'Technical Master Data'!O125+"AM:!2&lt;s"</f>
        <v>#VALUE!</v>
      </c>
      <c r="GW347" t="e">
        <f>'Technical Master Data'!P125+"AM:!2&lt;t"</f>
        <v>#VALUE!</v>
      </c>
      <c r="GX347" t="e">
        <f>'Technical Master Data'!Q125+"AM:!2&lt;u"</f>
        <v>#VALUE!</v>
      </c>
      <c r="GY347" t="e">
        <f>'Technical Master Data'!R125+"AM:!2&lt;v"</f>
        <v>#VALUE!</v>
      </c>
      <c r="GZ347" t="e">
        <f>'Technical Master Data'!S125+"AM:!2&lt;w"</f>
        <v>#VALUE!</v>
      </c>
      <c r="HA347" t="e">
        <f>'Technical Master Data'!A126+"AM:!2&lt;x"</f>
        <v>#VALUE!</v>
      </c>
      <c r="HB347" t="e">
        <f>'Technical Master Data'!B126+"AM:!2&lt;y"</f>
        <v>#VALUE!</v>
      </c>
      <c r="HC347" t="e">
        <f>'Technical Master Data'!C126+"AM:!2&lt;z"</f>
        <v>#VALUE!</v>
      </c>
      <c r="HD347" t="e">
        <f>'Technical Master Data'!D126+"AM:!2&lt;{"</f>
        <v>#VALUE!</v>
      </c>
      <c r="HE347" t="e">
        <f>'Technical Master Data'!E126+"AM:!2&lt;|"</f>
        <v>#VALUE!</v>
      </c>
      <c r="HF347" t="e">
        <f>'Technical Master Data'!F126+"AM:!2&lt;}"</f>
        <v>#VALUE!</v>
      </c>
      <c r="HG347" t="e">
        <f>'Technical Master Data'!G126+"AM:!2&lt;~"</f>
        <v>#VALUE!</v>
      </c>
      <c r="HH347" t="e">
        <f>'Technical Master Data'!H126+"AM:!2=#"</f>
        <v>#VALUE!</v>
      </c>
      <c r="HI347" t="e">
        <f>'Technical Master Data'!I126+"AM:!2=$"</f>
        <v>#VALUE!</v>
      </c>
      <c r="HJ347" t="e">
        <f>'Technical Master Data'!J126+"AM:!2=%"</f>
        <v>#VALUE!</v>
      </c>
      <c r="HK347" t="e">
        <f>'Technical Master Data'!K126+"AM:!2=&amp;"</f>
        <v>#VALUE!</v>
      </c>
      <c r="HL347" t="e">
        <f>'Technical Master Data'!L126+"AM:!2='"</f>
        <v>#VALUE!</v>
      </c>
      <c r="HM347" t="e">
        <f>'Technical Master Data'!M126+"AM:!2=("</f>
        <v>#VALUE!</v>
      </c>
      <c r="HN347" t="e">
        <f>'Technical Master Data'!N126+"AM:!2=)"</f>
        <v>#VALUE!</v>
      </c>
      <c r="HO347" t="e">
        <f>'Technical Master Data'!O126+"AM:!2=."</f>
        <v>#VALUE!</v>
      </c>
      <c r="HP347" t="e">
        <f>'Technical Master Data'!P126+"AM:!2=/"</f>
        <v>#VALUE!</v>
      </c>
      <c r="HQ347" t="e">
        <f>'Technical Master Data'!Q126+"AM:!2=0"</f>
        <v>#VALUE!</v>
      </c>
      <c r="HR347" t="e">
        <f>'Technical Master Data'!R126+"AM:!2=1"</f>
        <v>#VALUE!</v>
      </c>
      <c r="HS347" t="e">
        <f>'Technical Master Data'!S126+"AM:!2=2"</f>
        <v>#VALUE!</v>
      </c>
      <c r="HT347" t="e">
        <f>'Technical Master Data'!A127+"AM:!2=3"</f>
        <v>#VALUE!</v>
      </c>
      <c r="HU347" t="e">
        <f>'Technical Master Data'!B127+"AM:!2=4"</f>
        <v>#VALUE!</v>
      </c>
      <c r="HV347" t="e">
        <f>'Technical Master Data'!C127+"AM:!2=5"</f>
        <v>#VALUE!</v>
      </c>
      <c r="HW347" t="e">
        <f>'Technical Master Data'!D127+"AM:!2=6"</f>
        <v>#VALUE!</v>
      </c>
      <c r="HX347" t="e">
        <f>'Technical Master Data'!E127+"AM:!2=7"</f>
        <v>#VALUE!</v>
      </c>
      <c r="HY347" t="e">
        <f>'Technical Master Data'!F127+"AM:!2=8"</f>
        <v>#VALUE!</v>
      </c>
      <c r="HZ347" t="e">
        <f>'Technical Master Data'!G127+"AM:!2=9"</f>
        <v>#VALUE!</v>
      </c>
      <c r="IA347" t="e">
        <f>'Technical Master Data'!H127+"AM:!2=:"</f>
        <v>#VALUE!</v>
      </c>
      <c r="IB347" t="e">
        <f>'Technical Master Data'!I127+"AM:!2=;"</f>
        <v>#VALUE!</v>
      </c>
      <c r="IC347" t="e">
        <f>'Technical Master Data'!J127+"AM:!2=&lt;"</f>
        <v>#VALUE!</v>
      </c>
      <c r="ID347" t="e">
        <f>'Technical Master Data'!K127+"AM:!2=="</f>
        <v>#VALUE!</v>
      </c>
      <c r="IE347" t="e">
        <f>'Technical Master Data'!L127+"AM:!2=&gt;"</f>
        <v>#VALUE!</v>
      </c>
      <c r="IF347" t="e">
        <f>'Technical Master Data'!M127+"AM:!2=?"</f>
        <v>#VALUE!</v>
      </c>
      <c r="IG347" t="e">
        <f>'Technical Master Data'!N127+"AM:!2=@"</f>
        <v>#VALUE!</v>
      </c>
      <c r="IH347" t="e">
        <f>'Technical Master Data'!O127+"AM:!2=A"</f>
        <v>#VALUE!</v>
      </c>
      <c r="II347" t="e">
        <f>'Technical Master Data'!P127+"AM:!2=B"</f>
        <v>#VALUE!</v>
      </c>
      <c r="IJ347" t="e">
        <f>'Technical Master Data'!Q127+"AM:!2=C"</f>
        <v>#VALUE!</v>
      </c>
      <c r="IK347" t="e">
        <f>'Technical Master Data'!R127+"AM:!2=D"</f>
        <v>#VALUE!</v>
      </c>
      <c r="IL347" t="e">
        <f>'Technical Master Data'!S127+"AM:!2=E"</f>
        <v>#VALUE!</v>
      </c>
      <c r="IM347" t="e">
        <f>'Technical Master Data'!A128+"AM:!2=F"</f>
        <v>#VALUE!</v>
      </c>
      <c r="IN347" t="e">
        <f>'Technical Master Data'!B128+"AM:!2=G"</f>
        <v>#VALUE!</v>
      </c>
      <c r="IO347" t="e">
        <f>'Technical Master Data'!C128+"AM:!2=H"</f>
        <v>#VALUE!</v>
      </c>
      <c r="IP347" t="e">
        <f>'Technical Master Data'!D128+"AM:!2=I"</f>
        <v>#VALUE!</v>
      </c>
      <c r="IQ347" t="e">
        <f>'Technical Master Data'!E128+"AM:!2=J"</f>
        <v>#VALUE!</v>
      </c>
      <c r="IR347" t="e">
        <f>'Technical Master Data'!F128+"AM:!2=K"</f>
        <v>#VALUE!</v>
      </c>
      <c r="IS347" t="e">
        <f>'Technical Master Data'!G128+"AM:!2=L"</f>
        <v>#VALUE!</v>
      </c>
      <c r="IT347" t="e">
        <f>'Technical Master Data'!H128+"AM:!2=M"</f>
        <v>#VALUE!</v>
      </c>
      <c r="IU347" t="e">
        <f>'Technical Master Data'!I128+"AM:!2=N"</f>
        <v>#VALUE!</v>
      </c>
      <c r="IV347" t="e">
        <f>'Technical Master Data'!J128+"AM:!2=O"</f>
        <v>#VALUE!</v>
      </c>
    </row>
    <row r="348" spans="6:256">
      <c r="F348" t="e">
        <f>'Technical Master Data'!K128+"AM:!2=P"</f>
        <v>#VALUE!</v>
      </c>
      <c r="G348" t="e">
        <f>'Technical Master Data'!L128+"AM:!2=Q"</f>
        <v>#VALUE!</v>
      </c>
      <c r="H348" t="e">
        <f>'Technical Master Data'!M128+"AM:!2=R"</f>
        <v>#VALUE!</v>
      </c>
      <c r="I348" t="e">
        <f>'Technical Master Data'!N128+"AM:!2=S"</f>
        <v>#VALUE!</v>
      </c>
      <c r="J348" t="e">
        <f>'Technical Master Data'!O128+"AM:!2=T"</f>
        <v>#VALUE!</v>
      </c>
      <c r="K348" t="e">
        <f>'Technical Master Data'!P128+"AM:!2=U"</f>
        <v>#VALUE!</v>
      </c>
      <c r="L348" t="e">
        <f>'Technical Master Data'!Q128+"AM:!2=V"</f>
        <v>#VALUE!</v>
      </c>
      <c r="M348" t="e">
        <f>'Technical Master Data'!R128+"AM:!2=W"</f>
        <v>#VALUE!</v>
      </c>
      <c r="N348" t="e">
        <f>'Technical Master Data'!S128+"AM:!2=X"</f>
        <v>#VALUE!</v>
      </c>
      <c r="O348" t="e">
        <f>'Technical Master Data'!A129+"AM:!2=Y"</f>
        <v>#VALUE!</v>
      </c>
      <c r="P348" t="e">
        <f>'Technical Master Data'!B129+"AM:!2=Z"</f>
        <v>#VALUE!</v>
      </c>
      <c r="Q348" t="e">
        <f>'Technical Master Data'!C129+"AM:!2=["</f>
        <v>#VALUE!</v>
      </c>
      <c r="R348" t="e">
        <f>'Technical Master Data'!D129+"AM:!2=\"</f>
        <v>#VALUE!</v>
      </c>
      <c r="S348" t="e">
        <f>'Technical Master Data'!E129+"AM:!2=]"</f>
        <v>#VALUE!</v>
      </c>
      <c r="T348" t="e">
        <f>'Technical Master Data'!F129+"AM:!2=^"</f>
        <v>#VALUE!</v>
      </c>
      <c r="U348" t="e">
        <f>'Technical Master Data'!G129+"AM:!2=_"</f>
        <v>#VALUE!</v>
      </c>
      <c r="V348" t="e">
        <f>'Technical Master Data'!H129+"AM:!2=`"</f>
        <v>#VALUE!</v>
      </c>
      <c r="W348" t="e">
        <f>'Technical Master Data'!I129+"AM:!2=a"</f>
        <v>#VALUE!</v>
      </c>
      <c r="X348" t="e">
        <f>'Technical Master Data'!J129+"AM:!2=b"</f>
        <v>#VALUE!</v>
      </c>
      <c r="Y348" t="e">
        <f>'Technical Master Data'!K129+"AM:!2=c"</f>
        <v>#VALUE!</v>
      </c>
      <c r="Z348" t="e">
        <f>'Technical Master Data'!L129+"AM:!2=d"</f>
        <v>#VALUE!</v>
      </c>
      <c r="AA348" t="e">
        <f>'Technical Master Data'!M129+"AM:!2=e"</f>
        <v>#VALUE!</v>
      </c>
      <c r="AB348" t="e">
        <f>'Technical Master Data'!N129+"AM:!2=f"</f>
        <v>#VALUE!</v>
      </c>
      <c r="AC348" t="e">
        <f>'Technical Master Data'!O129+"AM:!2=g"</f>
        <v>#VALUE!</v>
      </c>
      <c r="AD348" t="e">
        <f>'Technical Master Data'!P129+"AM:!2=h"</f>
        <v>#VALUE!</v>
      </c>
      <c r="AE348" t="e">
        <f>'Technical Master Data'!Q129+"AM:!2=i"</f>
        <v>#VALUE!</v>
      </c>
      <c r="AF348" t="e">
        <f>'Technical Master Data'!R129+"AM:!2=j"</f>
        <v>#VALUE!</v>
      </c>
      <c r="AG348" t="e">
        <f>'Technical Master Data'!S129+"AM:!2=k"</f>
        <v>#VALUE!</v>
      </c>
      <c r="AH348" t="e">
        <f>'Technical Master Data'!A130+"AM:!2=l"</f>
        <v>#VALUE!</v>
      </c>
      <c r="AI348" t="e">
        <f>'Technical Master Data'!B130+"AM:!2=m"</f>
        <v>#VALUE!</v>
      </c>
      <c r="AJ348" t="e">
        <f>'Technical Master Data'!C130+"AM:!2=n"</f>
        <v>#VALUE!</v>
      </c>
      <c r="AK348" t="e">
        <f>'Technical Master Data'!D130+"AM:!2=o"</f>
        <v>#VALUE!</v>
      </c>
      <c r="AL348" t="e">
        <f>'Technical Master Data'!E130+"AM:!2=p"</f>
        <v>#VALUE!</v>
      </c>
      <c r="AM348" t="e">
        <f>'Technical Master Data'!F130+"AM:!2=q"</f>
        <v>#VALUE!</v>
      </c>
      <c r="AN348" t="e">
        <f>'Technical Master Data'!G130+"AM:!2=r"</f>
        <v>#VALUE!</v>
      </c>
      <c r="AO348" t="e">
        <f>'Technical Master Data'!H130+"AM:!2=s"</f>
        <v>#VALUE!</v>
      </c>
      <c r="AP348" t="e">
        <f>'Technical Master Data'!I130+"AM:!2=t"</f>
        <v>#VALUE!</v>
      </c>
      <c r="AQ348" t="e">
        <f>'Technical Master Data'!J130+"AM:!2=u"</f>
        <v>#VALUE!</v>
      </c>
      <c r="AR348" t="e">
        <f>'Technical Master Data'!K130+"AM:!2=v"</f>
        <v>#VALUE!</v>
      </c>
      <c r="AS348" t="e">
        <f>'Technical Master Data'!L130+"AM:!2=w"</f>
        <v>#VALUE!</v>
      </c>
      <c r="AT348" t="e">
        <f>'Technical Master Data'!M130+"AM:!2=x"</f>
        <v>#VALUE!</v>
      </c>
      <c r="AU348" t="e">
        <f>'Technical Master Data'!N130+"AM:!2=y"</f>
        <v>#VALUE!</v>
      </c>
      <c r="AV348" t="e">
        <f>'Technical Master Data'!O130+"AM:!2=z"</f>
        <v>#VALUE!</v>
      </c>
      <c r="AW348" t="e">
        <f>'Technical Master Data'!P130+"AM:!2={"</f>
        <v>#VALUE!</v>
      </c>
      <c r="AX348" t="e">
        <f>'Technical Master Data'!Q130+"AM:!2=|"</f>
        <v>#VALUE!</v>
      </c>
      <c r="AY348" t="e">
        <f>'Technical Master Data'!R130+"AM:!2=}"</f>
        <v>#VALUE!</v>
      </c>
      <c r="AZ348" t="e">
        <f>'Technical Master Data'!S130+"AM:!2=~"</f>
        <v>#VALUE!</v>
      </c>
      <c r="BA348" t="e">
        <f>'Technical Master Data'!A131+"AM:!2&gt;#"</f>
        <v>#VALUE!</v>
      </c>
      <c r="BB348" t="e">
        <f>'Technical Master Data'!B131+"AM:!2&gt;$"</f>
        <v>#VALUE!</v>
      </c>
      <c r="BC348" t="e">
        <f>'Technical Master Data'!C131+"AM:!2&gt;%"</f>
        <v>#VALUE!</v>
      </c>
      <c r="BD348" t="e">
        <f>'Technical Master Data'!D131+"AM:!2&gt;&amp;"</f>
        <v>#VALUE!</v>
      </c>
      <c r="BE348" t="e">
        <f>'Technical Master Data'!E131+"AM:!2&gt;'"</f>
        <v>#VALUE!</v>
      </c>
      <c r="BF348" t="e">
        <f>'Technical Master Data'!F131+"AM:!2&gt;("</f>
        <v>#VALUE!</v>
      </c>
      <c r="BG348" t="e">
        <f>'Technical Master Data'!G131+"AM:!2&gt;)"</f>
        <v>#VALUE!</v>
      </c>
      <c r="BH348" t="e">
        <f>'Technical Master Data'!H131+"AM:!2&gt;."</f>
        <v>#VALUE!</v>
      </c>
      <c r="BI348" t="e">
        <f>'Technical Master Data'!I131+"AM:!2&gt;/"</f>
        <v>#VALUE!</v>
      </c>
      <c r="BJ348" t="e">
        <f>'Technical Master Data'!J131+"AM:!2&gt;0"</f>
        <v>#VALUE!</v>
      </c>
      <c r="BK348" t="e">
        <f>'Technical Master Data'!K131+"AM:!2&gt;1"</f>
        <v>#VALUE!</v>
      </c>
      <c r="BL348" t="e">
        <f>'Technical Master Data'!L131+"AM:!2&gt;2"</f>
        <v>#VALUE!</v>
      </c>
      <c r="BM348" t="e">
        <f>'Technical Master Data'!M131+"AM:!2&gt;3"</f>
        <v>#VALUE!</v>
      </c>
      <c r="BN348" t="e">
        <f>'Technical Master Data'!N131+"AM:!2&gt;4"</f>
        <v>#VALUE!</v>
      </c>
      <c r="BO348" t="e">
        <f>'Technical Master Data'!O131+"AM:!2&gt;5"</f>
        <v>#VALUE!</v>
      </c>
      <c r="BP348" t="e">
        <f>'Technical Master Data'!P131+"AM:!2&gt;6"</f>
        <v>#VALUE!</v>
      </c>
      <c r="BQ348" t="e">
        <f>'Technical Master Data'!Q131+"AM:!2&gt;7"</f>
        <v>#VALUE!</v>
      </c>
      <c r="BR348" t="e">
        <f>'Technical Master Data'!R131+"AM:!2&gt;8"</f>
        <v>#VALUE!</v>
      </c>
      <c r="BS348" t="e">
        <f>'Technical Master Data'!S131+"AM:!2&gt;9"</f>
        <v>#VALUE!</v>
      </c>
      <c r="BT348" t="e">
        <f>'Technical Master Data'!A132+"AM:!2&gt;:"</f>
        <v>#VALUE!</v>
      </c>
      <c r="BU348" t="e">
        <f>'Technical Master Data'!B132+"AM:!2&gt;;"</f>
        <v>#VALUE!</v>
      </c>
      <c r="BV348" t="e">
        <f>'Technical Master Data'!C132+"AM:!2&gt;&lt;"</f>
        <v>#VALUE!</v>
      </c>
      <c r="BW348" t="e">
        <f>'Technical Master Data'!D132+"AM:!2&gt;="</f>
        <v>#VALUE!</v>
      </c>
      <c r="BX348" t="e">
        <f>'Technical Master Data'!E132+"AM:!2&gt;&gt;"</f>
        <v>#VALUE!</v>
      </c>
      <c r="BY348" t="e">
        <f>'Technical Master Data'!F132+"AM:!2&gt;?"</f>
        <v>#VALUE!</v>
      </c>
      <c r="BZ348" t="e">
        <f>'Technical Master Data'!G132+"AM:!2&gt;@"</f>
        <v>#VALUE!</v>
      </c>
      <c r="CA348" t="e">
        <f>'Technical Master Data'!H132+"AM:!2&gt;A"</f>
        <v>#VALUE!</v>
      </c>
      <c r="CB348" t="e">
        <f>'Technical Master Data'!I132+"AM:!2&gt;B"</f>
        <v>#VALUE!</v>
      </c>
      <c r="CC348" t="e">
        <f>'Technical Master Data'!J132+"AM:!2&gt;C"</f>
        <v>#VALUE!</v>
      </c>
      <c r="CD348" t="e">
        <f>'Technical Master Data'!K132+"AM:!2&gt;D"</f>
        <v>#VALUE!</v>
      </c>
      <c r="CE348" t="e">
        <f>'Technical Master Data'!L132+"AM:!2&gt;E"</f>
        <v>#VALUE!</v>
      </c>
      <c r="CF348" t="e">
        <f>'Technical Master Data'!M132+"AM:!2&gt;F"</f>
        <v>#VALUE!</v>
      </c>
      <c r="CG348" t="e">
        <f>'Technical Master Data'!N132+"AM:!2&gt;G"</f>
        <v>#VALUE!</v>
      </c>
      <c r="CH348" t="e">
        <f>'Technical Master Data'!O132+"AM:!2&gt;H"</f>
        <v>#VALUE!</v>
      </c>
      <c r="CI348" t="e">
        <f>'Technical Master Data'!P132+"AM:!2&gt;I"</f>
        <v>#VALUE!</v>
      </c>
      <c r="CJ348" t="e">
        <f>'Technical Master Data'!Q132+"AM:!2&gt;J"</f>
        <v>#VALUE!</v>
      </c>
      <c r="CK348" t="e">
        <f>'Technical Master Data'!R132+"AM:!2&gt;K"</f>
        <v>#VALUE!</v>
      </c>
      <c r="CL348" t="e">
        <f>'Technical Master Data'!S132+"AM:!2&gt;L"</f>
        <v>#VALUE!</v>
      </c>
      <c r="CM348" t="e">
        <f>'Technical Master Data'!A133+"AM:!2&gt;M"</f>
        <v>#VALUE!</v>
      </c>
      <c r="CN348" t="e">
        <f>'Technical Master Data'!B133+"AM:!2&gt;N"</f>
        <v>#VALUE!</v>
      </c>
      <c r="CO348" t="e">
        <f>'Technical Master Data'!C133+"AM:!2&gt;O"</f>
        <v>#VALUE!</v>
      </c>
      <c r="CP348" t="e">
        <f>'Technical Master Data'!D133+"AM:!2&gt;P"</f>
        <v>#VALUE!</v>
      </c>
      <c r="CQ348" t="e">
        <f>'Technical Master Data'!E133+"AM:!2&gt;Q"</f>
        <v>#VALUE!</v>
      </c>
      <c r="CR348" t="e">
        <f>'Technical Master Data'!F133+"AM:!2&gt;R"</f>
        <v>#VALUE!</v>
      </c>
      <c r="CS348" t="e">
        <f>'Technical Master Data'!G133+"AM:!2&gt;S"</f>
        <v>#VALUE!</v>
      </c>
      <c r="CT348" t="e">
        <f>'Technical Master Data'!H133+"AM:!2&gt;T"</f>
        <v>#VALUE!</v>
      </c>
      <c r="CU348" t="e">
        <f>'Technical Master Data'!I133+"AM:!2&gt;U"</f>
        <v>#VALUE!</v>
      </c>
      <c r="CV348" t="e">
        <f>'Technical Master Data'!J133+"AM:!2&gt;V"</f>
        <v>#VALUE!</v>
      </c>
      <c r="CW348" t="e">
        <f>'Technical Master Data'!K133+"AM:!2&gt;W"</f>
        <v>#VALUE!</v>
      </c>
      <c r="CX348" t="e">
        <f>'Technical Master Data'!L133+"AM:!2&gt;X"</f>
        <v>#VALUE!</v>
      </c>
      <c r="CY348" t="e">
        <f>'Technical Master Data'!M133+"AM:!2&gt;Y"</f>
        <v>#VALUE!</v>
      </c>
      <c r="CZ348" t="e">
        <f>'Technical Master Data'!N133+"AM:!2&gt;Z"</f>
        <v>#VALUE!</v>
      </c>
      <c r="DA348" t="e">
        <f>'Technical Master Data'!O133+"AM:!2&gt;["</f>
        <v>#VALUE!</v>
      </c>
      <c r="DB348" t="e">
        <f>'Technical Master Data'!P133+"AM:!2&gt;\"</f>
        <v>#VALUE!</v>
      </c>
      <c r="DC348" t="e">
        <f>'Technical Master Data'!Q133+"AM:!2&gt;]"</f>
        <v>#VALUE!</v>
      </c>
      <c r="DD348" t="e">
        <f>'Technical Master Data'!R133+"AM:!2&gt;^"</f>
        <v>#VALUE!</v>
      </c>
      <c r="DE348" t="e">
        <f>'Technical Master Data'!S133+"AM:!2&gt;_"</f>
        <v>#VALUE!</v>
      </c>
      <c r="DF348" t="e">
        <f>'Technical Master Data'!A134+"AM:!2&gt;`"</f>
        <v>#VALUE!</v>
      </c>
      <c r="DG348" t="e">
        <f>'Technical Master Data'!B134+"AM:!2&gt;a"</f>
        <v>#VALUE!</v>
      </c>
      <c r="DH348" t="e">
        <f>'Technical Master Data'!C134+"AM:!2&gt;b"</f>
        <v>#VALUE!</v>
      </c>
      <c r="DI348" t="e">
        <f>'Technical Master Data'!D134+"AM:!2&gt;c"</f>
        <v>#VALUE!</v>
      </c>
      <c r="DJ348" t="e">
        <f>'Technical Master Data'!E134+"AM:!2&gt;d"</f>
        <v>#VALUE!</v>
      </c>
      <c r="DK348" t="e">
        <f>'Technical Master Data'!F134+"AM:!2&gt;e"</f>
        <v>#VALUE!</v>
      </c>
      <c r="DL348" t="e">
        <f>'Technical Master Data'!G134+"AM:!2&gt;f"</f>
        <v>#VALUE!</v>
      </c>
      <c r="DM348" t="e">
        <f>'Technical Master Data'!H134+"AM:!2&gt;g"</f>
        <v>#VALUE!</v>
      </c>
      <c r="DN348" t="e">
        <f>'Technical Master Data'!I134+"AM:!2&gt;h"</f>
        <v>#VALUE!</v>
      </c>
      <c r="DO348" t="e">
        <f>'Technical Master Data'!J134+"AM:!2&gt;i"</f>
        <v>#VALUE!</v>
      </c>
      <c r="DP348" t="e">
        <f>'Technical Master Data'!K134+"AM:!2&gt;j"</f>
        <v>#VALUE!</v>
      </c>
      <c r="DQ348" t="e">
        <f>'Technical Master Data'!L134+"AM:!2&gt;k"</f>
        <v>#VALUE!</v>
      </c>
      <c r="DR348" t="e">
        <f>'Technical Master Data'!M134+"AM:!2&gt;l"</f>
        <v>#VALUE!</v>
      </c>
      <c r="DS348" t="e">
        <f>'Technical Master Data'!N134+"AM:!2&gt;m"</f>
        <v>#VALUE!</v>
      </c>
      <c r="DT348" t="e">
        <f>'Technical Master Data'!O134+"AM:!2&gt;n"</f>
        <v>#VALUE!</v>
      </c>
      <c r="DU348" t="e">
        <f>'Technical Master Data'!P134+"AM:!2&gt;o"</f>
        <v>#VALUE!</v>
      </c>
      <c r="DV348" t="e">
        <f>'Technical Master Data'!Q134+"AM:!2&gt;p"</f>
        <v>#VALUE!</v>
      </c>
      <c r="DW348" t="e">
        <f>'Technical Master Data'!R134+"AM:!2&gt;q"</f>
        <v>#VALUE!</v>
      </c>
      <c r="DX348" t="e">
        <f>'Technical Master Data'!S134+"AM:!2&gt;r"</f>
        <v>#VALUE!</v>
      </c>
      <c r="DY348" t="e">
        <f>'Technical Master Data'!A135+"AM:!2&gt;s"</f>
        <v>#VALUE!</v>
      </c>
      <c r="DZ348" t="e">
        <f>'Technical Master Data'!B135+"AM:!2&gt;t"</f>
        <v>#VALUE!</v>
      </c>
      <c r="EA348" t="e">
        <f>'Technical Master Data'!C135+"AM:!2&gt;u"</f>
        <v>#VALUE!</v>
      </c>
      <c r="EB348" t="e">
        <f>'Technical Master Data'!D135+"AM:!2&gt;v"</f>
        <v>#VALUE!</v>
      </c>
      <c r="EC348" t="e">
        <f>'Technical Master Data'!E135+"AM:!2&gt;w"</f>
        <v>#VALUE!</v>
      </c>
      <c r="ED348" t="e">
        <f>'Technical Master Data'!F135+"AM:!2&gt;x"</f>
        <v>#VALUE!</v>
      </c>
      <c r="EE348" t="e">
        <f>'Technical Master Data'!G135+"AM:!2&gt;y"</f>
        <v>#VALUE!</v>
      </c>
      <c r="EF348" t="e">
        <f>'Technical Master Data'!H135+"AM:!2&gt;z"</f>
        <v>#VALUE!</v>
      </c>
      <c r="EG348" t="e">
        <f>'Technical Master Data'!I135+"AM:!2&gt;{"</f>
        <v>#VALUE!</v>
      </c>
      <c r="EH348" t="e">
        <f>'Technical Master Data'!J135+"AM:!2&gt;|"</f>
        <v>#VALUE!</v>
      </c>
      <c r="EI348" t="e">
        <f>'Technical Master Data'!K135+"AM:!2&gt;}"</f>
        <v>#VALUE!</v>
      </c>
      <c r="EJ348" t="e">
        <f>'Technical Master Data'!L135+"AM:!2&gt;~"</f>
        <v>#VALUE!</v>
      </c>
      <c r="EK348" t="e">
        <f>'Technical Master Data'!M135+"AM:!2?#"</f>
        <v>#VALUE!</v>
      </c>
      <c r="EL348" t="e">
        <f>'Technical Master Data'!N135+"AM:!2?$"</f>
        <v>#VALUE!</v>
      </c>
      <c r="EM348" t="e">
        <f>'Technical Master Data'!O135+"AM:!2?%"</f>
        <v>#VALUE!</v>
      </c>
      <c r="EN348" t="e">
        <f>'Technical Master Data'!P135+"AM:!2?&amp;"</f>
        <v>#VALUE!</v>
      </c>
      <c r="EO348" t="e">
        <f>'Technical Master Data'!Q135+"AM:!2?'"</f>
        <v>#VALUE!</v>
      </c>
      <c r="EP348" t="e">
        <f>'Technical Master Data'!R135+"AM:!2?("</f>
        <v>#VALUE!</v>
      </c>
      <c r="EQ348" t="e">
        <f>'Technical Master Data'!S135+"AM:!2?)"</f>
        <v>#VALUE!</v>
      </c>
      <c r="ER348" t="e">
        <f>'Technical Master Data'!A136+"AM:!2?."</f>
        <v>#VALUE!</v>
      </c>
      <c r="ES348" t="e">
        <f>'Technical Master Data'!B136+"AM:!2?/"</f>
        <v>#VALUE!</v>
      </c>
      <c r="ET348" t="e">
        <f>'Technical Master Data'!C136+"AM:!2?0"</f>
        <v>#VALUE!</v>
      </c>
      <c r="EU348" t="e">
        <f>'Technical Master Data'!D136+"AM:!2?1"</f>
        <v>#VALUE!</v>
      </c>
      <c r="EV348" t="e">
        <f>'Technical Master Data'!E136+"AM:!2?2"</f>
        <v>#VALUE!</v>
      </c>
      <c r="EW348" t="e">
        <f>'Technical Master Data'!F136+"AM:!2?3"</f>
        <v>#VALUE!</v>
      </c>
      <c r="EX348" t="e">
        <f>'Technical Master Data'!G136+"AM:!2?4"</f>
        <v>#VALUE!</v>
      </c>
      <c r="EY348" t="e">
        <f>'Technical Master Data'!H136+"AM:!2?5"</f>
        <v>#VALUE!</v>
      </c>
      <c r="EZ348" t="e">
        <f>'Technical Master Data'!I136+"AM:!2?6"</f>
        <v>#VALUE!</v>
      </c>
      <c r="FA348" t="e">
        <f>'Technical Master Data'!J136+"AM:!2?7"</f>
        <v>#VALUE!</v>
      </c>
      <c r="FB348" t="e">
        <f>'Technical Master Data'!K136+"AM:!2?8"</f>
        <v>#VALUE!</v>
      </c>
      <c r="FC348" t="e">
        <f>'Technical Master Data'!L136+"AM:!2?9"</f>
        <v>#VALUE!</v>
      </c>
      <c r="FD348" t="e">
        <f>'Technical Master Data'!M136+"AM:!2?:"</f>
        <v>#VALUE!</v>
      </c>
      <c r="FE348" t="e">
        <f>'Technical Master Data'!N136+"AM:!2?;"</f>
        <v>#VALUE!</v>
      </c>
      <c r="FF348" t="e">
        <f>'Technical Master Data'!O136+"AM:!2?&lt;"</f>
        <v>#VALUE!</v>
      </c>
      <c r="FG348" t="e">
        <f>'Technical Master Data'!P136+"AM:!2?="</f>
        <v>#VALUE!</v>
      </c>
      <c r="FH348" t="e">
        <f>'Technical Master Data'!Q136+"AM:!2?&gt;"</f>
        <v>#VALUE!</v>
      </c>
      <c r="FI348" t="e">
        <f>'Technical Master Data'!R136+"AM:!2??"</f>
        <v>#VALUE!</v>
      </c>
      <c r="FJ348" t="e">
        <f>'Technical Master Data'!S136+"AM:!2?@"</f>
        <v>#VALUE!</v>
      </c>
      <c r="FK348" t="e">
        <f>'Technical Master Data'!A137+"AM:!2?A"</f>
        <v>#VALUE!</v>
      </c>
      <c r="FL348" t="e">
        <f>'Technical Master Data'!B137+"AM:!2?B"</f>
        <v>#VALUE!</v>
      </c>
      <c r="FM348" t="e">
        <f>'Technical Master Data'!C137+"AM:!2?C"</f>
        <v>#VALUE!</v>
      </c>
      <c r="FN348" t="e">
        <f>'Technical Master Data'!D137+"AM:!2?D"</f>
        <v>#VALUE!</v>
      </c>
      <c r="FO348" t="e">
        <f>'Technical Master Data'!E137+"AM:!2?E"</f>
        <v>#VALUE!</v>
      </c>
      <c r="FP348" t="e">
        <f>'Technical Master Data'!F137+"AM:!2?F"</f>
        <v>#VALUE!</v>
      </c>
      <c r="FQ348" t="e">
        <f>'Technical Master Data'!G137+"AM:!2?G"</f>
        <v>#VALUE!</v>
      </c>
      <c r="FR348" t="e">
        <f>'Technical Master Data'!H137+"AM:!2?H"</f>
        <v>#VALUE!</v>
      </c>
      <c r="FS348" t="e">
        <f>'Technical Master Data'!I137+"AM:!2?I"</f>
        <v>#VALUE!</v>
      </c>
      <c r="FT348" t="e">
        <f>'Technical Master Data'!J137+"AM:!2?J"</f>
        <v>#VALUE!</v>
      </c>
      <c r="FU348" t="e">
        <f>'Technical Master Data'!K137+"AM:!2?K"</f>
        <v>#VALUE!</v>
      </c>
      <c r="FV348" t="e">
        <f>'Technical Master Data'!L137+"AM:!2?L"</f>
        <v>#VALUE!</v>
      </c>
      <c r="FW348" t="e">
        <f>'Technical Master Data'!M137+"AM:!2?M"</f>
        <v>#VALUE!</v>
      </c>
      <c r="FX348" t="e">
        <f>'Technical Master Data'!N137+"AM:!2?N"</f>
        <v>#VALUE!</v>
      </c>
      <c r="FY348" t="e">
        <f>'Technical Master Data'!O137+"AM:!2?O"</f>
        <v>#VALUE!</v>
      </c>
      <c r="FZ348" t="e">
        <f>'Technical Master Data'!P137+"AM:!2?P"</f>
        <v>#VALUE!</v>
      </c>
      <c r="GA348" t="e">
        <f>'Technical Master Data'!Q137+"AM:!2?Q"</f>
        <v>#VALUE!</v>
      </c>
      <c r="GB348" t="e">
        <f>'Technical Master Data'!R137+"AM:!2?R"</f>
        <v>#VALUE!</v>
      </c>
      <c r="GC348" t="e">
        <f>'Technical Master Data'!S137+"AM:!2?S"</f>
        <v>#VALUE!</v>
      </c>
      <c r="GD348" t="e">
        <f>'Technical Master Data'!A138+"AM:!2?T"</f>
        <v>#VALUE!</v>
      </c>
      <c r="GE348" t="e">
        <f>'Technical Master Data'!B138+"AM:!2?U"</f>
        <v>#VALUE!</v>
      </c>
      <c r="GF348" t="e">
        <f>'Technical Master Data'!C138+"AM:!2?V"</f>
        <v>#VALUE!</v>
      </c>
      <c r="GG348" t="e">
        <f>'Technical Master Data'!D138+"AM:!2?W"</f>
        <v>#VALUE!</v>
      </c>
      <c r="GH348" t="e">
        <f>'Technical Master Data'!E138+"AM:!2?X"</f>
        <v>#VALUE!</v>
      </c>
      <c r="GI348" t="e">
        <f>'Technical Master Data'!F138+"AM:!2?Y"</f>
        <v>#VALUE!</v>
      </c>
      <c r="GJ348" t="e">
        <f>'Technical Master Data'!G138+"AM:!2?Z"</f>
        <v>#VALUE!</v>
      </c>
      <c r="GK348" t="e">
        <f>'Technical Master Data'!H138+"AM:!2?["</f>
        <v>#VALUE!</v>
      </c>
      <c r="GL348" t="e">
        <f>'Technical Master Data'!I138+"AM:!2?\"</f>
        <v>#VALUE!</v>
      </c>
      <c r="GM348" t="e">
        <f>'Technical Master Data'!J138+"AM:!2?]"</f>
        <v>#VALUE!</v>
      </c>
      <c r="GN348" t="e">
        <f>'Technical Master Data'!K138+"AM:!2?^"</f>
        <v>#VALUE!</v>
      </c>
      <c r="GO348" t="e">
        <f>'Technical Master Data'!L138+"AM:!2?_"</f>
        <v>#VALUE!</v>
      </c>
      <c r="GP348" t="e">
        <f>'Technical Master Data'!M138+"AM:!2?`"</f>
        <v>#VALUE!</v>
      </c>
      <c r="GQ348" t="e">
        <f>'Technical Master Data'!N138+"AM:!2?a"</f>
        <v>#VALUE!</v>
      </c>
      <c r="GR348" t="e">
        <f>'Technical Master Data'!O138+"AM:!2?b"</f>
        <v>#VALUE!</v>
      </c>
      <c r="GS348" t="e">
        <f>'Technical Master Data'!P138+"AM:!2?c"</f>
        <v>#VALUE!</v>
      </c>
      <c r="GT348" t="e">
        <f>'Technical Master Data'!Q138+"AM:!2?d"</f>
        <v>#VALUE!</v>
      </c>
      <c r="GU348" t="e">
        <f>'Technical Master Data'!R138+"AM:!2?e"</f>
        <v>#VALUE!</v>
      </c>
      <c r="GV348" t="e">
        <f>'Technical Master Data'!S138+"AM:!2?f"</f>
        <v>#VALUE!</v>
      </c>
      <c r="GW348" t="e">
        <f>'Technical Master Data'!A139+"AM:!2?g"</f>
        <v>#VALUE!</v>
      </c>
      <c r="GX348" t="e">
        <f>'Technical Master Data'!B139+"AM:!2?h"</f>
        <v>#VALUE!</v>
      </c>
      <c r="GY348" t="e">
        <f>'Technical Master Data'!C139+"AM:!2?i"</f>
        <v>#VALUE!</v>
      </c>
      <c r="GZ348" t="e">
        <f>'Technical Master Data'!D139+"AM:!2?j"</f>
        <v>#VALUE!</v>
      </c>
      <c r="HA348" t="e">
        <f>'Technical Master Data'!E139+"AM:!2?k"</f>
        <v>#VALUE!</v>
      </c>
      <c r="HB348" t="e">
        <f>'Technical Master Data'!F139+"AM:!2?l"</f>
        <v>#VALUE!</v>
      </c>
      <c r="HC348" t="e">
        <f>'Technical Master Data'!G139+"AM:!2?m"</f>
        <v>#VALUE!</v>
      </c>
      <c r="HD348" t="e">
        <f>'Technical Master Data'!H139+"AM:!2?n"</f>
        <v>#VALUE!</v>
      </c>
      <c r="HE348" t="e">
        <f>'Technical Master Data'!I139+"AM:!2?o"</f>
        <v>#VALUE!</v>
      </c>
      <c r="HF348" t="e">
        <f>'Technical Master Data'!J139+"AM:!2?p"</f>
        <v>#VALUE!</v>
      </c>
      <c r="HG348" t="e">
        <f>'Technical Master Data'!K139+"AM:!2?q"</f>
        <v>#VALUE!</v>
      </c>
      <c r="HH348" t="e">
        <f>'Technical Master Data'!L139+"AM:!2?r"</f>
        <v>#VALUE!</v>
      </c>
      <c r="HI348" t="e">
        <f>'Technical Master Data'!M139+"AM:!2?s"</f>
        <v>#VALUE!</v>
      </c>
      <c r="HJ348" t="e">
        <f>'Technical Master Data'!N139+"AM:!2?t"</f>
        <v>#VALUE!</v>
      </c>
      <c r="HK348" t="e">
        <f>'Technical Master Data'!O139+"AM:!2?u"</f>
        <v>#VALUE!</v>
      </c>
      <c r="HL348" t="e">
        <f>'Technical Master Data'!P139+"AM:!2?v"</f>
        <v>#VALUE!</v>
      </c>
      <c r="HM348" t="e">
        <f>'Technical Master Data'!Q139+"AM:!2?w"</f>
        <v>#VALUE!</v>
      </c>
      <c r="HN348" t="e">
        <f>'Technical Master Data'!R139+"AM:!2?x"</f>
        <v>#VALUE!</v>
      </c>
      <c r="HO348" t="e">
        <f>'Technical Master Data'!S139+"AM:!2?y"</f>
        <v>#VALUE!</v>
      </c>
      <c r="HP348" t="e">
        <f>'Technical Master Data'!A140+"AM:!2?z"</f>
        <v>#VALUE!</v>
      </c>
      <c r="HQ348" t="e">
        <f>'Technical Master Data'!B140+"AM:!2?{"</f>
        <v>#VALUE!</v>
      </c>
      <c r="HR348" t="e">
        <f>'Technical Master Data'!C140+"AM:!2?|"</f>
        <v>#VALUE!</v>
      </c>
      <c r="HS348" t="e">
        <f>'Technical Master Data'!D140+"AM:!2?}"</f>
        <v>#VALUE!</v>
      </c>
      <c r="HT348" t="e">
        <f>'Technical Master Data'!E140+"AM:!2?~"</f>
        <v>#VALUE!</v>
      </c>
      <c r="HU348" t="e">
        <f>'Technical Master Data'!F140+"AM:!2@#"</f>
        <v>#VALUE!</v>
      </c>
      <c r="HV348" t="e">
        <f>'Technical Master Data'!G140+"AM:!2@$"</f>
        <v>#VALUE!</v>
      </c>
      <c r="HW348" t="e">
        <f>'Technical Master Data'!H140+"AM:!2@%"</f>
        <v>#VALUE!</v>
      </c>
      <c r="HX348" t="e">
        <f>'Technical Master Data'!I140+"AM:!2@&amp;"</f>
        <v>#VALUE!</v>
      </c>
      <c r="HY348" t="e">
        <f>'Technical Master Data'!J140+"AM:!2@'"</f>
        <v>#VALUE!</v>
      </c>
      <c r="HZ348" t="e">
        <f>'Technical Master Data'!K140+"AM:!2@("</f>
        <v>#VALUE!</v>
      </c>
      <c r="IA348" t="e">
        <f>'Technical Master Data'!L140+"AM:!2@)"</f>
        <v>#VALUE!</v>
      </c>
      <c r="IB348" t="e">
        <f>'Technical Master Data'!M140+"AM:!2@."</f>
        <v>#VALUE!</v>
      </c>
      <c r="IC348" t="e">
        <f>'Technical Master Data'!N140+"AM:!2@/"</f>
        <v>#VALUE!</v>
      </c>
      <c r="ID348" t="e">
        <f>'Technical Master Data'!O140+"AM:!2@0"</f>
        <v>#VALUE!</v>
      </c>
      <c r="IE348" t="e">
        <f>'Technical Master Data'!P140+"AM:!2@1"</f>
        <v>#VALUE!</v>
      </c>
      <c r="IF348" t="e">
        <f>'Technical Master Data'!Q140+"AM:!2@2"</f>
        <v>#VALUE!</v>
      </c>
      <c r="IG348" t="e">
        <f>'Technical Master Data'!R140+"AM:!2@3"</f>
        <v>#VALUE!</v>
      </c>
      <c r="IH348" t="e">
        <f>'Technical Master Data'!S140+"AM:!2@4"</f>
        <v>#VALUE!</v>
      </c>
      <c r="II348" t="e">
        <f>'Technical Master Data'!A141+"AM:!2@5"</f>
        <v>#VALUE!</v>
      </c>
      <c r="IJ348" t="e">
        <f>'Technical Master Data'!B141+"AM:!2@6"</f>
        <v>#VALUE!</v>
      </c>
      <c r="IK348" t="e">
        <f>'Technical Master Data'!C141+"AM:!2@7"</f>
        <v>#VALUE!</v>
      </c>
      <c r="IL348" t="e">
        <f>'Technical Master Data'!D141+"AM:!2@8"</f>
        <v>#VALUE!</v>
      </c>
      <c r="IM348" t="e">
        <f>'Technical Master Data'!E141+"AM:!2@9"</f>
        <v>#VALUE!</v>
      </c>
      <c r="IN348" t="e">
        <f>'Technical Master Data'!F141+"AM:!2@:"</f>
        <v>#VALUE!</v>
      </c>
      <c r="IO348" t="e">
        <f>'Technical Master Data'!G141+"AM:!2@;"</f>
        <v>#VALUE!</v>
      </c>
      <c r="IP348" t="e">
        <f>'Technical Master Data'!H141+"AM:!2@&lt;"</f>
        <v>#VALUE!</v>
      </c>
      <c r="IQ348" t="e">
        <f>'Technical Master Data'!I141+"AM:!2@="</f>
        <v>#VALUE!</v>
      </c>
      <c r="IR348" t="e">
        <f>'Technical Master Data'!J141+"AM:!2@&gt;"</f>
        <v>#VALUE!</v>
      </c>
      <c r="IS348" t="e">
        <f>'Technical Master Data'!K141+"AM:!2@?"</f>
        <v>#VALUE!</v>
      </c>
      <c r="IT348" t="e">
        <f>'Technical Master Data'!L141+"AM:!2@@"</f>
        <v>#VALUE!</v>
      </c>
      <c r="IU348" t="e">
        <f>'Technical Master Data'!M141+"AM:!2@A"</f>
        <v>#VALUE!</v>
      </c>
      <c r="IV348" t="e">
        <f>'Technical Master Data'!N141+"AM:!2@B"</f>
        <v>#VALUE!</v>
      </c>
    </row>
    <row r="349" spans="6:256">
      <c r="F349" t="e">
        <f>'Technical Master Data'!O141+"AM:!2@C"</f>
        <v>#VALUE!</v>
      </c>
      <c r="G349" t="e">
        <f>'Technical Master Data'!P141+"AM:!2@D"</f>
        <v>#VALUE!</v>
      </c>
      <c r="H349" t="e">
        <f>'Technical Master Data'!Q141+"AM:!2@E"</f>
        <v>#VALUE!</v>
      </c>
      <c r="I349" t="e">
        <f>'Technical Master Data'!R141+"AM:!2@F"</f>
        <v>#VALUE!</v>
      </c>
      <c r="J349" t="e">
        <f>'Technical Master Data'!S141+"AM:!2@G"</f>
        <v>#VALUE!</v>
      </c>
      <c r="K349" t="e">
        <f>'Technical Master Data'!A142+"AM:!2@H"</f>
        <v>#VALUE!</v>
      </c>
      <c r="L349" t="e">
        <f>'Technical Master Data'!B142+"AM:!2@I"</f>
        <v>#VALUE!</v>
      </c>
      <c r="M349" t="e">
        <f>'Technical Master Data'!C142+"AM:!2@J"</f>
        <v>#VALUE!</v>
      </c>
      <c r="N349" t="e">
        <f>'Technical Master Data'!D142+"AM:!2@K"</f>
        <v>#VALUE!</v>
      </c>
      <c r="O349" t="e">
        <f>'Technical Master Data'!E142+"AM:!2@L"</f>
        <v>#VALUE!</v>
      </c>
      <c r="P349" t="e">
        <f>'Technical Master Data'!F142+"AM:!2@M"</f>
        <v>#VALUE!</v>
      </c>
      <c r="Q349" t="e">
        <f>'Technical Master Data'!G142+"AM:!2@N"</f>
        <v>#VALUE!</v>
      </c>
      <c r="R349" t="e">
        <f>'Technical Master Data'!H142+"AM:!2@O"</f>
        <v>#VALUE!</v>
      </c>
      <c r="S349" t="e">
        <f>'Technical Master Data'!I142+"AM:!2@P"</f>
        <v>#VALUE!</v>
      </c>
      <c r="T349" t="e">
        <f>'Technical Master Data'!J142+"AM:!2@Q"</f>
        <v>#VALUE!</v>
      </c>
      <c r="U349" t="e">
        <f>'Technical Master Data'!K142+"AM:!2@R"</f>
        <v>#VALUE!</v>
      </c>
      <c r="V349" t="e">
        <f>'Technical Master Data'!L142+"AM:!2@S"</f>
        <v>#VALUE!</v>
      </c>
      <c r="W349" t="e">
        <f>'Technical Master Data'!M142+"AM:!2@T"</f>
        <v>#VALUE!</v>
      </c>
      <c r="X349" t="e">
        <f>'Technical Master Data'!N142+"AM:!2@U"</f>
        <v>#VALUE!</v>
      </c>
      <c r="Y349" t="e">
        <f>'Technical Master Data'!O142+"AM:!2@V"</f>
        <v>#VALUE!</v>
      </c>
      <c r="Z349" t="e">
        <f>'Technical Master Data'!P142+"AM:!2@W"</f>
        <v>#VALUE!</v>
      </c>
      <c r="AA349" t="e">
        <f>'Technical Master Data'!Q142+"AM:!2@X"</f>
        <v>#VALUE!</v>
      </c>
      <c r="AB349" t="e">
        <f>'Technical Master Data'!R142+"AM:!2@Y"</f>
        <v>#VALUE!</v>
      </c>
      <c r="AC349" t="e">
        <f>'Technical Master Data'!S142+"AM:!2@Z"</f>
        <v>#VALUE!</v>
      </c>
      <c r="AD349" t="e">
        <f>'Technical Master Data'!A143+"AM:!2@["</f>
        <v>#VALUE!</v>
      </c>
      <c r="AE349" t="e">
        <f>'Technical Master Data'!B143+"AM:!2@\"</f>
        <v>#VALUE!</v>
      </c>
      <c r="AF349" t="e">
        <f>'Technical Master Data'!C143+"AM:!2@]"</f>
        <v>#VALUE!</v>
      </c>
      <c r="AG349" t="e">
        <f>'Technical Master Data'!D143+"AM:!2@^"</f>
        <v>#VALUE!</v>
      </c>
      <c r="AH349" t="e">
        <f>'Technical Master Data'!E143+"AM:!2@_"</f>
        <v>#VALUE!</v>
      </c>
      <c r="AI349" t="e">
        <f>'Technical Master Data'!F143+"AM:!2@`"</f>
        <v>#VALUE!</v>
      </c>
      <c r="AJ349" t="e">
        <f>'Technical Master Data'!G143+"AM:!2@a"</f>
        <v>#VALUE!</v>
      </c>
      <c r="AK349" t="e">
        <f>'Technical Master Data'!H143+"AM:!2@b"</f>
        <v>#VALUE!</v>
      </c>
      <c r="AL349" t="e">
        <f>'Technical Master Data'!I143+"AM:!2@c"</f>
        <v>#VALUE!</v>
      </c>
      <c r="AM349" t="e">
        <f>'Technical Master Data'!J143+"AM:!2@d"</f>
        <v>#VALUE!</v>
      </c>
      <c r="AN349" t="e">
        <f>'Technical Master Data'!K143+"AM:!2@e"</f>
        <v>#VALUE!</v>
      </c>
      <c r="AO349" t="e">
        <f>'Technical Master Data'!L143+"AM:!2@f"</f>
        <v>#VALUE!</v>
      </c>
      <c r="AP349" t="e">
        <f>'Technical Master Data'!M143+"AM:!2@g"</f>
        <v>#VALUE!</v>
      </c>
      <c r="AQ349" t="e">
        <f>'Technical Master Data'!N143+"AM:!2@h"</f>
        <v>#VALUE!</v>
      </c>
      <c r="AR349" t="e">
        <f>'Technical Master Data'!O143+"AM:!2@i"</f>
        <v>#VALUE!</v>
      </c>
      <c r="AS349" t="e">
        <f>'Technical Master Data'!P143+"AM:!2@j"</f>
        <v>#VALUE!</v>
      </c>
      <c r="AT349" t="e">
        <f>'Technical Master Data'!Q143+"AM:!2@k"</f>
        <v>#VALUE!</v>
      </c>
      <c r="AU349" t="e">
        <f>'Technical Master Data'!R143+"AM:!2@l"</f>
        <v>#VALUE!</v>
      </c>
      <c r="AV349" t="e">
        <f>'Technical Master Data'!S143+"AM:!2@m"</f>
        <v>#VALUE!</v>
      </c>
      <c r="AW349" t="e">
        <f>'Technical Master Data'!A144+"AM:!2@n"</f>
        <v>#VALUE!</v>
      </c>
      <c r="AX349" t="e">
        <f>'Technical Master Data'!B144+"AM:!2@o"</f>
        <v>#VALUE!</v>
      </c>
      <c r="AY349" t="e">
        <f>'Technical Master Data'!C144+"AM:!2@p"</f>
        <v>#VALUE!</v>
      </c>
      <c r="AZ349" t="e">
        <f>'Technical Master Data'!D144+"AM:!2@q"</f>
        <v>#VALUE!</v>
      </c>
      <c r="BA349" t="e">
        <f>'Technical Master Data'!E144+"AM:!2@r"</f>
        <v>#VALUE!</v>
      </c>
      <c r="BB349" t="e">
        <f>'Technical Master Data'!F144+"AM:!2@s"</f>
        <v>#VALUE!</v>
      </c>
      <c r="BC349" t="e">
        <f>'Technical Master Data'!G144+"AM:!2@t"</f>
        <v>#VALUE!</v>
      </c>
      <c r="BD349" t="e">
        <f>'Technical Master Data'!H144+"AM:!2@u"</f>
        <v>#VALUE!</v>
      </c>
      <c r="BE349" t="e">
        <f>'Technical Master Data'!I144+"AM:!2@v"</f>
        <v>#VALUE!</v>
      </c>
      <c r="BF349" t="e">
        <f>'Technical Master Data'!J144+"AM:!2@w"</f>
        <v>#VALUE!</v>
      </c>
      <c r="BG349" t="e">
        <f>'Technical Master Data'!K144+"AM:!2@x"</f>
        <v>#VALUE!</v>
      </c>
      <c r="BH349" t="e">
        <f>'Technical Master Data'!L144+"AM:!2@y"</f>
        <v>#VALUE!</v>
      </c>
      <c r="BI349" t="e">
        <f>'Technical Master Data'!M144+"AM:!2@z"</f>
        <v>#VALUE!</v>
      </c>
      <c r="BJ349" t="e">
        <f>'Technical Master Data'!N144+"AM:!2@{"</f>
        <v>#VALUE!</v>
      </c>
      <c r="BK349" t="e">
        <f>'Technical Master Data'!O144+"AM:!2@|"</f>
        <v>#VALUE!</v>
      </c>
      <c r="BL349" t="e">
        <f>'Technical Master Data'!P144+"AM:!2@}"</f>
        <v>#VALUE!</v>
      </c>
      <c r="BM349" t="e">
        <f>'Technical Master Data'!Q144+"AM:!2@~"</f>
        <v>#VALUE!</v>
      </c>
      <c r="BN349" t="e">
        <f>'Technical Master Data'!R144+"AM:!2A#"</f>
        <v>#VALUE!</v>
      </c>
      <c r="BO349" t="e">
        <f>'Technical Master Data'!S144+"AM:!2A$"</f>
        <v>#VALUE!</v>
      </c>
      <c r="BP349" t="e">
        <f>'Technical Master Data'!A145+"AM:!2A%"</f>
        <v>#VALUE!</v>
      </c>
      <c r="BQ349" t="e">
        <f>'Technical Master Data'!B145+"AM:!2A&amp;"</f>
        <v>#VALUE!</v>
      </c>
      <c r="BR349" t="e">
        <f>'Technical Master Data'!C145+"AM:!2A'"</f>
        <v>#VALUE!</v>
      </c>
      <c r="BS349" t="e">
        <f>'Technical Master Data'!D145+"AM:!2A("</f>
        <v>#VALUE!</v>
      </c>
      <c r="BT349" t="e">
        <f>'Technical Master Data'!E145+"AM:!2A)"</f>
        <v>#VALUE!</v>
      </c>
      <c r="BU349" t="e">
        <f>'Technical Master Data'!F145+"AM:!2A."</f>
        <v>#VALUE!</v>
      </c>
      <c r="BV349" t="e">
        <f>'Technical Master Data'!G145+"AM:!2A/"</f>
        <v>#VALUE!</v>
      </c>
      <c r="BW349" t="e">
        <f>'Technical Master Data'!H145+"AM:!2A0"</f>
        <v>#VALUE!</v>
      </c>
      <c r="BX349" t="e">
        <f>'Technical Master Data'!I145+"AM:!2A1"</f>
        <v>#VALUE!</v>
      </c>
      <c r="BY349" t="e">
        <f>'Technical Master Data'!J145+"AM:!2A2"</f>
        <v>#VALUE!</v>
      </c>
      <c r="BZ349" t="e">
        <f>'Technical Master Data'!K145+"AM:!2A3"</f>
        <v>#VALUE!</v>
      </c>
      <c r="CA349" t="e">
        <f>'Technical Master Data'!L145+"AM:!2A4"</f>
        <v>#VALUE!</v>
      </c>
      <c r="CB349" t="e">
        <f>'Technical Master Data'!M145+"AM:!2A5"</f>
        <v>#VALUE!</v>
      </c>
      <c r="CC349" t="e">
        <f>'Technical Master Data'!N145+"AM:!2A6"</f>
        <v>#VALUE!</v>
      </c>
      <c r="CD349" t="e">
        <f>'Technical Master Data'!O145+"AM:!2A7"</f>
        <v>#VALUE!</v>
      </c>
      <c r="CE349" t="e">
        <f>'Technical Master Data'!P145+"AM:!2A8"</f>
        <v>#VALUE!</v>
      </c>
      <c r="CF349" t="e">
        <f>'Technical Master Data'!Q145+"AM:!2A9"</f>
        <v>#VALUE!</v>
      </c>
      <c r="CG349" t="e">
        <f>'Technical Master Data'!R145+"AM:!2A:"</f>
        <v>#VALUE!</v>
      </c>
      <c r="CH349" t="e">
        <f>'Technical Master Data'!S145+"AM:!2A;"</f>
        <v>#VALUE!</v>
      </c>
      <c r="CI349" t="e">
        <f>'Technical Master Data'!A146+"AM:!2A&lt;"</f>
        <v>#VALUE!</v>
      </c>
      <c r="CJ349" t="e">
        <f>'Technical Master Data'!B146+"AM:!2A="</f>
        <v>#VALUE!</v>
      </c>
      <c r="CK349" t="e">
        <f>'Technical Master Data'!C146+"AM:!2A&gt;"</f>
        <v>#VALUE!</v>
      </c>
      <c r="CL349" t="e">
        <f>'Technical Master Data'!D146+"AM:!2A?"</f>
        <v>#VALUE!</v>
      </c>
      <c r="CM349" t="e">
        <f>'Technical Master Data'!E146+"AM:!2A@"</f>
        <v>#VALUE!</v>
      </c>
      <c r="CN349" t="e">
        <f>'Technical Master Data'!F146+"AM:!2AA"</f>
        <v>#VALUE!</v>
      </c>
      <c r="CO349" t="e">
        <f>'Technical Master Data'!G146+"AM:!2AB"</f>
        <v>#VALUE!</v>
      </c>
      <c r="CP349" t="e">
        <f>'Technical Master Data'!H146+"AM:!2AC"</f>
        <v>#VALUE!</v>
      </c>
      <c r="CQ349" t="e">
        <f>'Technical Master Data'!I146+"AM:!2AD"</f>
        <v>#VALUE!</v>
      </c>
      <c r="CR349" t="e">
        <f>'Technical Master Data'!J146+"AM:!2AE"</f>
        <v>#VALUE!</v>
      </c>
      <c r="CS349" t="e">
        <f>'Technical Master Data'!K146+"AM:!2AF"</f>
        <v>#VALUE!</v>
      </c>
      <c r="CT349" t="e">
        <f>'Technical Master Data'!L146+"AM:!2AG"</f>
        <v>#VALUE!</v>
      </c>
      <c r="CU349" t="e">
        <f>'Technical Master Data'!M146+"AM:!2AH"</f>
        <v>#VALUE!</v>
      </c>
      <c r="CV349" t="e">
        <f>'Technical Master Data'!N146+"AM:!2AI"</f>
        <v>#VALUE!</v>
      </c>
      <c r="CW349" t="e">
        <f>'Technical Master Data'!O146+"AM:!2AJ"</f>
        <v>#VALUE!</v>
      </c>
      <c r="CX349" t="e">
        <f>'Technical Master Data'!P146+"AM:!2AK"</f>
        <v>#VALUE!</v>
      </c>
      <c r="CY349" t="e">
        <f>'Technical Master Data'!Q146+"AM:!2AL"</f>
        <v>#VALUE!</v>
      </c>
      <c r="CZ349" t="e">
        <f>'Technical Master Data'!R146+"AM:!2AM"</f>
        <v>#VALUE!</v>
      </c>
      <c r="DA349" t="e">
        <f>'Technical Master Data'!S146+"AM:!2AN"</f>
        <v>#VALUE!</v>
      </c>
      <c r="DB349" t="e">
        <f>'Technical Master Data'!A147+"AM:!2AO"</f>
        <v>#VALUE!</v>
      </c>
      <c r="DC349" t="e">
        <f>'Technical Master Data'!B147+"AM:!2AP"</f>
        <v>#VALUE!</v>
      </c>
      <c r="DD349" t="e">
        <f>'Technical Master Data'!C147+"AM:!2AQ"</f>
        <v>#VALUE!</v>
      </c>
      <c r="DE349" t="e">
        <f>'Technical Master Data'!D147+"AM:!2AR"</f>
        <v>#VALUE!</v>
      </c>
      <c r="DF349" t="e">
        <f>'Technical Master Data'!E147+"AM:!2AS"</f>
        <v>#VALUE!</v>
      </c>
      <c r="DG349" t="e">
        <f>'Technical Master Data'!F147+"AM:!2AT"</f>
        <v>#VALUE!</v>
      </c>
      <c r="DH349" t="e">
        <f>'Technical Master Data'!G147+"AM:!2AU"</f>
        <v>#VALUE!</v>
      </c>
      <c r="DI349" t="e">
        <f>'Technical Master Data'!H147+"AM:!2AV"</f>
        <v>#VALUE!</v>
      </c>
      <c r="DJ349" t="e">
        <f>'Technical Master Data'!I147+"AM:!2AW"</f>
        <v>#VALUE!</v>
      </c>
      <c r="DK349" t="e">
        <f>'Technical Master Data'!J147+"AM:!2AX"</f>
        <v>#VALUE!</v>
      </c>
      <c r="DL349" t="e">
        <f>'Technical Master Data'!K147+"AM:!2AY"</f>
        <v>#VALUE!</v>
      </c>
      <c r="DM349" t="e">
        <f>'Technical Master Data'!L147+"AM:!2AZ"</f>
        <v>#VALUE!</v>
      </c>
      <c r="DN349" t="e">
        <f>'Technical Master Data'!M147+"AM:!2A["</f>
        <v>#VALUE!</v>
      </c>
      <c r="DO349" t="e">
        <f>'Technical Master Data'!N147+"AM:!2A\"</f>
        <v>#VALUE!</v>
      </c>
      <c r="DP349" t="e">
        <f>'Technical Master Data'!O147+"AM:!2A]"</f>
        <v>#VALUE!</v>
      </c>
      <c r="DQ349" t="e">
        <f>'Technical Master Data'!P147+"AM:!2A^"</f>
        <v>#VALUE!</v>
      </c>
      <c r="DR349" t="e">
        <f>'Technical Master Data'!Q147+"AM:!2A_"</f>
        <v>#VALUE!</v>
      </c>
      <c r="DS349" t="e">
        <f>'Technical Master Data'!R147+"AM:!2A`"</f>
        <v>#VALUE!</v>
      </c>
      <c r="DT349" t="e">
        <f>'Technical Master Data'!S147+"AM:!2Aa"</f>
        <v>#VALUE!</v>
      </c>
      <c r="DU349" t="e">
        <f>'Technical Master Data'!A148+"AM:!2Ab"</f>
        <v>#VALUE!</v>
      </c>
      <c r="DV349" t="e">
        <f>'Technical Master Data'!B148+"AM:!2Ac"</f>
        <v>#VALUE!</v>
      </c>
      <c r="DW349" t="e">
        <f>'Technical Master Data'!C148+"AM:!2Ad"</f>
        <v>#VALUE!</v>
      </c>
      <c r="DX349" t="e">
        <f>'Technical Master Data'!D148+"AM:!2Ae"</f>
        <v>#VALUE!</v>
      </c>
      <c r="DY349" t="e">
        <f>'Technical Master Data'!E148+"AM:!2Af"</f>
        <v>#VALUE!</v>
      </c>
      <c r="DZ349" t="e">
        <f>'Technical Master Data'!F148+"AM:!2Ag"</f>
        <v>#VALUE!</v>
      </c>
      <c r="EA349" t="e">
        <f>'Technical Master Data'!G148+"AM:!2Ah"</f>
        <v>#VALUE!</v>
      </c>
      <c r="EB349" t="e">
        <f>'Technical Master Data'!H148+"AM:!2Ai"</f>
        <v>#VALUE!</v>
      </c>
      <c r="EC349" t="e">
        <f>'Technical Master Data'!I148+"AM:!2Aj"</f>
        <v>#VALUE!</v>
      </c>
      <c r="ED349" t="e">
        <f>'Technical Master Data'!J148+"AM:!2Ak"</f>
        <v>#VALUE!</v>
      </c>
      <c r="EE349" t="e">
        <f>'Technical Master Data'!K148+"AM:!2Al"</f>
        <v>#VALUE!</v>
      </c>
      <c r="EF349" t="e">
        <f>'Technical Master Data'!L148+"AM:!2Am"</f>
        <v>#VALUE!</v>
      </c>
      <c r="EG349" t="e">
        <f>'Technical Master Data'!M148+"AM:!2An"</f>
        <v>#VALUE!</v>
      </c>
      <c r="EH349" t="e">
        <f>'Technical Master Data'!N148+"AM:!2Ao"</f>
        <v>#VALUE!</v>
      </c>
      <c r="EI349" t="e">
        <f>'Technical Master Data'!O148+"AM:!2Ap"</f>
        <v>#VALUE!</v>
      </c>
      <c r="EJ349" t="e">
        <f>'Technical Master Data'!P148+"AM:!2Aq"</f>
        <v>#VALUE!</v>
      </c>
      <c r="EK349" t="e">
        <f>'Technical Master Data'!Q148+"AM:!2Ar"</f>
        <v>#VALUE!</v>
      </c>
      <c r="EL349" t="e">
        <f>'Technical Master Data'!R148+"AM:!2As"</f>
        <v>#VALUE!</v>
      </c>
      <c r="EM349" t="e">
        <f>'Technical Master Data'!S148+"AM:!2At"</f>
        <v>#VALUE!</v>
      </c>
      <c r="EN349" t="e">
        <f>'Technical Master Data'!A149+"AM:!2Au"</f>
        <v>#VALUE!</v>
      </c>
      <c r="EO349" t="e">
        <f>'Technical Master Data'!B149+"AM:!2Av"</f>
        <v>#VALUE!</v>
      </c>
      <c r="EP349" t="e">
        <f>'Technical Master Data'!C149+"AM:!2Aw"</f>
        <v>#VALUE!</v>
      </c>
      <c r="EQ349" t="e">
        <f>'Technical Master Data'!D149+"AM:!2Ax"</f>
        <v>#VALUE!</v>
      </c>
      <c r="ER349" t="e">
        <f>'Technical Master Data'!E149+"AM:!2Ay"</f>
        <v>#VALUE!</v>
      </c>
      <c r="ES349" t="e">
        <f>'Technical Master Data'!F149+"AM:!2Az"</f>
        <v>#VALUE!</v>
      </c>
      <c r="ET349" t="e">
        <f>'Technical Master Data'!G149+"AM:!2A{"</f>
        <v>#VALUE!</v>
      </c>
      <c r="EU349" t="e">
        <f>'Technical Master Data'!H149+"AM:!2A|"</f>
        <v>#VALUE!</v>
      </c>
      <c r="EV349" t="e">
        <f>'Technical Master Data'!I149+"AM:!2A}"</f>
        <v>#VALUE!</v>
      </c>
      <c r="EW349" t="e">
        <f>'Technical Master Data'!J149+"AM:!2A~"</f>
        <v>#VALUE!</v>
      </c>
      <c r="EX349" t="e">
        <f>'Technical Master Data'!K149+"AM:!2B#"</f>
        <v>#VALUE!</v>
      </c>
      <c r="EY349" t="e">
        <f>'Technical Master Data'!L149+"AM:!2B$"</f>
        <v>#VALUE!</v>
      </c>
      <c r="EZ349" t="e">
        <f>'Technical Master Data'!M149+"AM:!2B%"</f>
        <v>#VALUE!</v>
      </c>
      <c r="FA349" t="e">
        <f>'Technical Master Data'!N149+"AM:!2B&amp;"</f>
        <v>#VALUE!</v>
      </c>
      <c r="FB349" t="e">
        <f>'Technical Master Data'!O149+"AM:!2B'"</f>
        <v>#VALUE!</v>
      </c>
      <c r="FC349" t="e">
        <f>'Technical Master Data'!P149+"AM:!2B("</f>
        <v>#VALUE!</v>
      </c>
      <c r="FD349" t="e">
        <f>'Technical Master Data'!Q149+"AM:!2B)"</f>
        <v>#VALUE!</v>
      </c>
      <c r="FE349" t="e">
        <f>'Technical Master Data'!R149+"AM:!2B."</f>
        <v>#VALUE!</v>
      </c>
      <c r="FF349" t="e">
        <f>'Technical Master Data'!S149+"AM:!2B/"</f>
        <v>#VALUE!</v>
      </c>
      <c r="FG349" t="e">
        <f>'Technical Master Data'!A150+"AM:!2B0"</f>
        <v>#VALUE!</v>
      </c>
      <c r="FH349" t="e">
        <f>'Technical Master Data'!B150+"AM:!2B1"</f>
        <v>#VALUE!</v>
      </c>
      <c r="FI349" t="e">
        <f>'Technical Master Data'!C150+"AM:!2B2"</f>
        <v>#VALUE!</v>
      </c>
      <c r="FJ349" t="e">
        <f>'Technical Master Data'!D150+"AM:!2B3"</f>
        <v>#VALUE!</v>
      </c>
      <c r="FK349" t="e">
        <f>'Technical Master Data'!E150+"AM:!2B4"</f>
        <v>#VALUE!</v>
      </c>
      <c r="FL349" t="e">
        <f>'Technical Master Data'!F150+"AM:!2B5"</f>
        <v>#VALUE!</v>
      </c>
      <c r="FM349" t="e">
        <f>'Technical Master Data'!G150+"AM:!2B6"</f>
        <v>#VALUE!</v>
      </c>
      <c r="FN349" t="e">
        <f>'Technical Master Data'!H150+"AM:!2B7"</f>
        <v>#VALUE!</v>
      </c>
      <c r="FO349" t="e">
        <f>'Technical Master Data'!I150+"AM:!2B8"</f>
        <v>#VALUE!</v>
      </c>
      <c r="FP349" t="e">
        <f>'Technical Master Data'!J150+"AM:!2B9"</f>
        <v>#VALUE!</v>
      </c>
      <c r="FQ349" t="e">
        <f>'Technical Master Data'!K150+"AM:!2B:"</f>
        <v>#VALUE!</v>
      </c>
      <c r="FR349" t="e">
        <f>'Technical Master Data'!L150+"AM:!2B;"</f>
        <v>#VALUE!</v>
      </c>
      <c r="FS349" t="e">
        <f>'Technical Master Data'!M150+"AM:!2B&lt;"</f>
        <v>#VALUE!</v>
      </c>
      <c r="FT349" t="e">
        <f>'Technical Master Data'!N150+"AM:!2B="</f>
        <v>#VALUE!</v>
      </c>
      <c r="FU349" t="e">
        <f>'Technical Master Data'!O150+"AM:!2B&gt;"</f>
        <v>#VALUE!</v>
      </c>
      <c r="FV349" t="e">
        <f>'Technical Master Data'!P150+"AM:!2B?"</f>
        <v>#VALUE!</v>
      </c>
      <c r="FW349" t="e">
        <f>'Technical Master Data'!Q150+"AM:!2B@"</f>
        <v>#VALUE!</v>
      </c>
      <c r="FX349" t="e">
        <f>'Technical Master Data'!R150+"AM:!2BA"</f>
        <v>#VALUE!</v>
      </c>
      <c r="FY349" t="e">
        <f>'Technical Master Data'!S150+"AM:!2BB"</f>
        <v>#VALUE!</v>
      </c>
      <c r="FZ349" t="e">
        <f>'Technical Master Data'!A151+"AM:!2BC"</f>
        <v>#VALUE!</v>
      </c>
      <c r="GA349" t="e">
        <f>'Technical Master Data'!B151+"AM:!2BD"</f>
        <v>#VALUE!</v>
      </c>
      <c r="GB349" t="e">
        <f>'Technical Master Data'!C151+"AM:!2BE"</f>
        <v>#VALUE!</v>
      </c>
      <c r="GC349" t="e">
        <f>'Technical Master Data'!D151+"AM:!2BF"</f>
        <v>#VALUE!</v>
      </c>
      <c r="GD349" t="e">
        <f>'Technical Master Data'!E151+"AM:!2BG"</f>
        <v>#VALUE!</v>
      </c>
      <c r="GE349" t="e">
        <f>'Technical Master Data'!F151+"AM:!2BH"</f>
        <v>#VALUE!</v>
      </c>
      <c r="GF349" t="e">
        <f>'Technical Master Data'!G151+"AM:!2BI"</f>
        <v>#VALUE!</v>
      </c>
      <c r="GG349" t="e">
        <f>'Technical Master Data'!H151+"AM:!2BJ"</f>
        <v>#VALUE!</v>
      </c>
      <c r="GH349" t="e">
        <f>'Technical Master Data'!I151+"AM:!2BK"</f>
        <v>#VALUE!</v>
      </c>
      <c r="GI349" t="e">
        <f>'Technical Master Data'!J151+"AM:!2BL"</f>
        <v>#VALUE!</v>
      </c>
      <c r="GJ349" t="e">
        <f>'Technical Master Data'!K151+"AM:!2BM"</f>
        <v>#VALUE!</v>
      </c>
      <c r="GK349" t="e">
        <f>'Technical Master Data'!L151+"AM:!2BN"</f>
        <v>#VALUE!</v>
      </c>
      <c r="GL349" t="e">
        <f>'Technical Master Data'!M151+"AM:!2BO"</f>
        <v>#VALUE!</v>
      </c>
      <c r="GM349" t="e">
        <f>'Technical Master Data'!N151+"AM:!2BP"</f>
        <v>#VALUE!</v>
      </c>
      <c r="GN349" t="e">
        <f>'Technical Master Data'!O151+"AM:!2BQ"</f>
        <v>#VALUE!</v>
      </c>
      <c r="GO349" t="e">
        <f>'Technical Master Data'!P151+"AM:!2BR"</f>
        <v>#VALUE!</v>
      </c>
      <c r="GP349" t="e">
        <f>'Technical Master Data'!Q151+"AM:!2BS"</f>
        <v>#VALUE!</v>
      </c>
      <c r="GQ349" t="e">
        <f>'Technical Master Data'!R151+"AM:!2BT"</f>
        <v>#VALUE!</v>
      </c>
      <c r="GR349" t="e">
        <f>'Technical Master Data'!S151+"AM:!2BU"</f>
        <v>#VALUE!</v>
      </c>
      <c r="GS349" t="e">
        <f>'Technical Master Data'!A152+"AM:!2BV"</f>
        <v>#VALUE!</v>
      </c>
      <c r="GT349" t="e">
        <f>'Technical Master Data'!B152+"AM:!2BW"</f>
        <v>#VALUE!</v>
      </c>
      <c r="GU349" t="e">
        <f>'Technical Master Data'!C152+"AM:!2BX"</f>
        <v>#VALUE!</v>
      </c>
      <c r="GV349" t="e">
        <f>'Technical Master Data'!D152+"AM:!2BY"</f>
        <v>#VALUE!</v>
      </c>
      <c r="GW349" t="e">
        <f>'Technical Master Data'!E152+"AM:!2BZ"</f>
        <v>#VALUE!</v>
      </c>
      <c r="GX349" t="e">
        <f>'Technical Master Data'!F152+"AM:!2B["</f>
        <v>#VALUE!</v>
      </c>
      <c r="GY349" t="e">
        <f>'Technical Master Data'!G152+"AM:!2B\"</f>
        <v>#VALUE!</v>
      </c>
      <c r="GZ349" t="e">
        <f>'Technical Master Data'!H152+"AM:!2B]"</f>
        <v>#VALUE!</v>
      </c>
      <c r="HA349" t="e">
        <f>'Technical Master Data'!I152+"AM:!2B^"</f>
        <v>#VALUE!</v>
      </c>
      <c r="HB349" t="e">
        <f>'Technical Master Data'!J152+"AM:!2B_"</f>
        <v>#VALUE!</v>
      </c>
      <c r="HC349" t="e">
        <f>'Technical Master Data'!K152+"AM:!2B`"</f>
        <v>#VALUE!</v>
      </c>
      <c r="HD349" t="e">
        <f>'Technical Master Data'!L152+"AM:!2Ba"</f>
        <v>#VALUE!</v>
      </c>
      <c r="HE349" t="e">
        <f>'Technical Master Data'!M152+"AM:!2Bb"</f>
        <v>#VALUE!</v>
      </c>
      <c r="HF349" t="e">
        <f>'Technical Master Data'!N152+"AM:!2Bc"</f>
        <v>#VALUE!</v>
      </c>
      <c r="HG349" t="e">
        <f>'Technical Master Data'!O152+"AM:!2Bd"</f>
        <v>#VALUE!</v>
      </c>
      <c r="HH349" t="e">
        <f>'Technical Master Data'!P152+"AM:!2Be"</f>
        <v>#VALUE!</v>
      </c>
      <c r="HI349" t="e">
        <f>'Technical Master Data'!Q152+"AM:!2Bf"</f>
        <v>#VALUE!</v>
      </c>
      <c r="HJ349" t="e">
        <f>'Technical Master Data'!R152+"AM:!2Bg"</f>
        <v>#VALUE!</v>
      </c>
      <c r="HK349" t="e">
        <f>'Technical Master Data'!S152+"AM:!2Bh"</f>
        <v>#VALUE!</v>
      </c>
      <c r="HL349" t="e">
        <f>'Technical Master Data'!A153+"AM:!2Bi"</f>
        <v>#VALUE!</v>
      </c>
      <c r="HM349" t="e">
        <f>'Technical Master Data'!B153+"AM:!2Bj"</f>
        <v>#VALUE!</v>
      </c>
      <c r="HN349" t="e">
        <f>'Technical Master Data'!C153+"AM:!2Bk"</f>
        <v>#VALUE!</v>
      </c>
      <c r="HO349" t="e">
        <f>'Technical Master Data'!D153+"AM:!2Bl"</f>
        <v>#VALUE!</v>
      </c>
      <c r="HP349" t="e">
        <f>'Technical Master Data'!E153+"AM:!2Bm"</f>
        <v>#VALUE!</v>
      </c>
      <c r="HQ349" t="e">
        <f>'Technical Master Data'!F153+"AM:!2Bn"</f>
        <v>#VALUE!</v>
      </c>
      <c r="HR349" t="e">
        <f>'Technical Master Data'!G153+"AM:!2Bo"</f>
        <v>#VALUE!</v>
      </c>
      <c r="HS349" t="e">
        <f>'Technical Master Data'!H153+"AM:!2Bp"</f>
        <v>#VALUE!</v>
      </c>
      <c r="HT349" t="e">
        <f>'Technical Master Data'!I153+"AM:!2Bq"</f>
        <v>#VALUE!</v>
      </c>
      <c r="HU349" t="e">
        <f>'Technical Master Data'!J153+"AM:!2Br"</f>
        <v>#VALUE!</v>
      </c>
      <c r="HV349" t="e">
        <f>'Technical Master Data'!K153+"AM:!2Bs"</f>
        <v>#VALUE!</v>
      </c>
      <c r="HW349" t="e">
        <f>'Technical Master Data'!L153+"AM:!2Bt"</f>
        <v>#VALUE!</v>
      </c>
      <c r="HX349" t="e">
        <f>'Technical Master Data'!M153+"AM:!2Bu"</f>
        <v>#VALUE!</v>
      </c>
      <c r="HY349" t="e">
        <f>'Technical Master Data'!N153+"AM:!2Bv"</f>
        <v>#VALUE!</v>
      </c>
      <c r="HZ349" t="e">
        <f>'Technical Master Data'!O153+"AM:!2Bw"</f>
        <v>#VALUE!</v>
      </c>
      <c r="IA349" t="e">
        <f>'Technical Master Data'!P153+"AM:!2Bx"</f>
        <v>#VALUE!</v>
      </c>
      <c r="IB349" t="e">
        <f>'Technical Master Data'!Q153+"AM:!2By"</f>
        <v>#VALUE!</v>
      </c>
      <c r="IC349" t="e">
        <f>'Technical Master Data'!R153+"AM:!2Bz"</f>
        <v>#VALUE!</v>
      </c>
      <c r="ID349" t="e">
        <f>'Technical Master Data'!S153+"AM:!2B{"</f>
        <v>#VALUE!</v>
      </c>
      <c r="IE349" t="e">
        <f>'Technical Master Data'!A154+"AM:!2B|"</f>
        <v>#VALUE!</v>
      </c>
      <c r="IF349" t="e">
        <f>'Technical Master Data'!B154+"AM:!2B}"</f>
        <v>#VALUE!</v>
      </c>
      <c r="IG349" t="e">
        <f>'Technical Master Data'!C154+"AM:!2B~"</f>
        <v>#VALUE!</v>
      </c>
      <c r="IH349" t="e">
        <f>'Technical Master Data'!D154+"AM:!2C#"</f>
        <v>#VALUE!</v>
      </c>
      <c r="II349" t="e">
        <f>'Technical Master Data'!E154+"AM:!2C$"</f>
        <v>#VALUE!</v>
      </c>
      <c r="IJ349" t="e">
        <f>'Technical Master Data'!F154+"AM:!2C%"</f>
        <v>#VALUE!</v>
      </c>
      <c r="IK349" t="e">
        <f>'Technical Master Data'!G154+"AM:!2C&amp;"</f>
        <v>#VALUE!</v>
      </c>
      <c r="IL349" t="e">
        <f>'Technical Master Data'!H154+"AM:!2C'"</f>
        <v>#VALUE!</v>
      </c>
      <c r="IM349" t="e">
        <f>'Technical Master Data'!I154+"AM:!2C("</f>
        <v>#VALUE!</v>
      </c>
      <c r="IN349" t="e">
        <f>'Technical Master Data'!J154+"AM:!2C)"</f>
        <v>#VALUE!</v>
      </c>
      <c r="IO349" t="e">
        <f>'Technical Master Data'!K154+"AM:!2C."</f>
        <v>#VALUE!</v>
      </c>
      <c r="IP349" t="e">
        <f>'Technical Master Data'!L154+"AM:!2C/"</f>
        <v>#VALUE!</v>
      </c>
      <c r="IQ349" t="e">
        <f>'Technical Master Data'!M154+"AM:!2C0"</f>
        <v>#VALUE!</v>
      </c>
      <c r="IR349" t="e">
        <f>'Technical Master Data'!N154+"AM:!2C1"</f>
        <v>#VALUE!</v>
      </c>
      <c r="IS349" t="e">
        <f>'Technical Master Data'!O154+"AM:!2C2"</f>
        <v>#VALUE!</v>
      </c>
      <c r="IT349" t="e">
        <f>'Technical Master Data'!P154+"AM:!2C3"</f>
        <v>#VALUE!</v>
      </c>
      <c r="IU349" t="e">
        <f>'Technical Master Data'!Q154+"AM:!2C4"</f>
        <v>#VALUE!</v>
      </c>
      <c r="IV349" t="e">
        <f>'Technical Master Data'!R154+"AM:!2C5"</f>
        <v>#VALUE!</v>
      </c>
    </row>
    <row r="350" spans="6:256">
      <c r="F350" t="e">
        <f>'Technical Master Data'!S154+"AM:!2C6"</f>
        <v>#VALUE!</v>
      </c>
      <c r="G350" t="e">
        <f>'Technical Master Data'!A155+"AM:!2C7"</f>
        <v>#VALUE!</v>
      </c>
      <c r="H350" t="e">
        <f>'Technical Master Data'!B155+"AM:!2C8"</f>
        <v>#VALUE!</v>
      </c>
      <c r="I350" t="e">
        <f>'Technical Master Data'!C155+"AM:!2C9"</f>
        <v>#VALUE!</v>
      </c>
      <c r="J350" t="e">
        <f>'Technical Master Data'!D155+"AM:!2C:"</f>
        <v>#VALUE!</v>
      </c>
      <c r="K350" t="e">
        <f>'Technical Master Data'!E155+"AM:!2C;"</f>
        <v>#VALUE!</v>
      </c>
      <c r="L350" t="e">
        <f>'Technical Master Data'!F155+"AM:!2C&lt;"</f>
        <v>#VALUE!</v>
      </c>
      <c r="M350" t="e">
        <f>'Technical Master Data'!G155+"AM:!2C="</f>
        <v>#VALUE!</v>
      </c>
      <c r="N350" t="e">
        <f>'Technical Master Data'!H155+"AM:!2C&gt;"</f>
        <v>#VALUE!</v>
      </c>
      <c r="O350" t="e">
        <f>'Technical Master Data'!I155+"AM:!2C?"</f>
        <v>#VALUE!</v>
      </c>
      <c r="P350" t="e">
        <f>'Technical Master Data'!J155+"AM:!2C@"</f>
        <v>#VALUE!</v>
      </c>
      <c r="Q350" t="e">
        <f>'Technical Master Data'!K155+"AM:!2CA"</f>
        <v>#VALUE!</v>
      </c>
      <c r="R350" t="e">
        <f>'Technical Master Data'!L155+"AM:!2CB"</f>
        <v>#VALUE!</v>
      </c>
      <c r="S350" t="e">
        <f>'Technical Master Data'!M155+"AM:!2CC"</f>
        <v>#VALUE!</v>
      </c>
      <c r="T350" t="e">
        <f>'Technical Master Data'!N155+"AM:!2CD"</f>
        <v>#VALUE!</v>
      </c>
      <c r="U350" t="e">
        <f>'Technical Master Data'!O155+"AM:!2CE"</f>
        <v>#VALUE!</v>
      </c>
      <c r="V350" t="e">
        <f>'Technical Master Data'!P155+"AM:!2CF"</f>
        <v>#VALUE!</v>
      </c>
      <c r="W350" t="e">
        <f>'Technical Master Data'!Q155+"AM:!2CG"</f>
        <v>#VALUE!</v>
      </c>
      <c r="X350" t="e">
        <f>'Technical Master Data'!R155+"AM:!2CH"</f>
        <v>#VALUE!</v>
      </c>
      <c r="Y350" t="e">
        <f>'Technical Master Data'!S155+"AM:!2CI"</f>
        <v>#VALUE!</v>
      </c>
      <c r="Z350" t="e">
        <f>'Technical Master Data'!A156+"AM:!2CJ"</f>
        <v>#VALUE!</v>
      </c>
      <c r="AA350" t="e">
        <f>'Technical Master Data'!B156+"AM:!2CK"</f>
        <v>#VALUE!</v>
      </c>
      <c r="AB350" t="e">
        <f>'Technical Master Data'!C156+"AM:!2CL"</f>
        <v>#VALUE!</v>
      </c>
      <c r="AC350" t="e">
        <f>'Technical Master Data'!D156+"AM:!2CM"</f>
        <v>#VALUE!</v>
      </c>
      <c r="AD350" t="e">
        <f>'Technical Master Data'!E156+"AM:!2CN"</f>
        <v>#VALUE!</v>
      </c>
      <c r="AE350" t="e">
        <f>'Technical Master Data'!F156+"AM:!2CO"</f>
        <v>#VALUE!</v>
      </c>
      <c r="AF350" t="e">
        <f>'Technical Master Data'!G156+"AM:!2CP"</f>
        <v>#VALUE!</v>
      </c>
      <c r="AG350" t="e">
        <f>'Technical Master Data'!H156+"AM:!2CQ"</f>
        <v>#VALUE!</v>
      </c>
      <c r="AH350" t="e">
        <f>'Technical Master Data'!I156+"AM:!2CR"</f>
        <v>#VALUE!</v>
      </c>
      <c r="AI350" t="e">
        <f>'Technical Master Data'!J156+"AM:!2CS"</f>
        <v>#VALUE!</v>
      </c>
      <c r="AJ350" t="e">
        <f>'Technical Master Data'!K156+"AM:!2CT"</f>
        <v>#VALUE!</v>
      </c>
      <c r="AK350" t="e">
        <f>'Technical Master Data'!L156+"AM:!2CU"</f>
        <v>#VALUE!</v>
      </c>
      <c r="AL350" t="e">
        <f>'Technical Master Data'!M156+"AM:!2CV"</f>
        <v>#VALUE!</v>
      </c>
      <c r="AM350" t="e">
        <f>'Technical Master Data'!N156+"AM:!2CW"</f>
        <v>#VALUE!</v>
      </c>
      <c r="AN350" t="e">
        <f>'Technical Master Data'!O156+"AM:!2CX"</f>
        <v>#VALUE!</v>
      </c>
      <c r="AO350" t="e">
        <f>'Technical Master Data'!P156+"AM:!2CY"</f>
        <v>#VALUE!</v>
      </c>
      <c r="AP350" t="e">
        <f>'Technical Master Data'!Q156+"AM:!2CZ"</f>
        <v>#VALUE!</v>
      </c>
      <c r="AQ350" t="e">
        <f>'Technical Master Data'!R156+"AM:!2C["</f>
        <v>#VALUE!</v>
      </c>
      <c r="AR350" t="e">
        <f>'Technical Master Data'!S156+"AM:!2C\"</f>
        <v>#VALUE!</v>
      </c>
      <c r="AS350" t="e">
        <f>'Technical Master Data'!A157+"AM:!2C]"</f>
        <v>#VALUE!</v>
      </c>
      <c r="AT350" t="e">
        <f>'Technical Master Data'!B157+"AM:!2C^"</f>
        <v>#VALUE!</v>
      </c>
      <c r="AU350" t="e">
        <f>'Technical Master Data'!C157+"AM:!2C_"</f>
        <v>#VALUE!</v>
      </c>
      <c r="AV350" t="e">
        <f>'Technical Master Data'!D157+"AM:!2C`"</f>
        <v>#VALUE!</v>
      </c>
      <c r="AW350" t="e">
        <f>'Technical Master Data'!E157+"AM:!2Ca"</f>
        <v>#VALUE!</v>
      </c>
      <c r="AX350" t="e">
        <f>'Technical Master Data'!F157+"AM:!2Cb"</f>
        <v>#VALUE!</v>
      </c>
      <c r="AY350" t="e">
        <f>'Technical Master Data'!G157+"AM:!2Cc"</f>
        <v>#VALUE!</v>
      </c>
      <c r="AZ350" t="e">
        <f>'Technical Master Data'!H157+"AM:!2Cd"</f>
        <v>#VALUE!</v>
      </c>
      <c r="BA350" t="e">
        <f>'Technical Master Data'!I157+"AM:!2Ce"</f>
        <v>#VALUE!</v>
      </c>
      <c r="BB350" t="e">
        <f>'Technical Master Data'!J157+"AM:!2Cf"</f>
        <v>#VALUE!</v>
      </c>
      <c r="BC350" t="e">
        <f>'Technical Master Data'!K157+"AM:!2Cg"</f>
        <v>#VALUE!</v>
      </c>
      <c r="BD350" t="e">
        <f>'Technical Master Data'!L157+"AM:!2Ch"</f>
        <v>#VALUE!</v>
      </c>
      <c r="BE350" t="e">
        <f>'Technical Master Data'!M157+"AM:!2Ci"</f>
        <v>#VALUE!</v>
      </c>
      <c r="BF350" t="e">
        <f>'Technical Master Data'!N157+"AM:!2Cj"</f>
        <v>#VALUE!</v>
      </c>
      <c r="BG350" t="e">
        <f>'Technical Master Data'!O157+"AM:!2Ck"</f>
        <v>#VALUE!</v>
      </c>
      <c r="BH350" t="e">
        <f>'Technical Master Data'!P157+"AM:!2Cl"</f>
        <v>#VALUE!</v>
      </c>
      <c r="BI350" t="e">
        <f>'Technical Master Data'!Q157+"AM:!2Cm"</f>
        <v>#VALUE!</v>
      </c>
      <c r="BJ350" t="e">
        <f>'Technical Master Data'!R157+"AM:!2Cn"</f>
        <v>#VALUE!</v>
      </c>
      <c r="BK350" t="e">
        <f>'Technical Master Data'!S157+"AM:!2Co"</f>
        <v>#VALUE!</v>
      </c>
      <c r="BL350" t="e">
        <f>'Technical Master Data'!A158+"AM:!2Cp"</f>
        <v>#VALUE!</v>
      </c>
      <c r="BM350" t="e">
        <f>'Technical Master Data'!B158+"AM:!2Cq"</f>
        <v>#VALUE!</v>
      </c>
      <c r="BN350" t="e">
        <f>'Technical Master Data'!C158+"AM:!2Cr"</f>
        <v>#VALUE!</v>
      </c>
      <c r="BO350" t="e">
        <f>'Technical Master Data'!D158+"AM:!2Cs"</f>
        <v>#VALUE!</v>
      </c>
      <c r="BP350" t="e">
        <f>'Technical Master Data'!E158+"AM:!2Ct"</f>
        <v>#VALUE!</v>
      </c>
      <c r="BQ350" t="e">
        <f>'Technical Master Data'!F158+"AM:!2Cu"</f>
        <v>#VALUE!</v>
      </c>
      <c r="BR350" t="e">
        <f>'Technical Master Data'!G158+"AM:!2Cv"</f>
        <v>#VALUE!</v>
      </c>
      <c r="BS350" t="e">
        <f>'Technical Master Data'!H158+"AM:!2Cw"</f>
        <v>#VALUE!</v>
      </c>
      <c r="BT350" t="e">
        <f>'Technical Master Data'!I158+"AM:!2Cx"</f>
        <v>#VALUE!</v>
      </c>
      <c r="BU350" t="e">
        <f>'Technical Master Data'!J158+"AM:!2Cy"</f>
        <v>#VALUE!</v>
      </c>
      <c r="BV350" t="e">
        <f>'Technical Master Data'!K158+"AM:!2Cz"</f>
        <v>#VALUE!</v>
      </c>
      <c r="BW350" t="e">
        <f>'Technical Master Data'!L158+"AM:!2C{"</f>
        <v>#VALUE!</v>
      </c>
      <c r="BX350" t="e">
        <f>'Technical Master Data'!M158+"AM:!2C|"</f>
        <v>#VALUE!</v>
      </c>
      <c r="BY350" t="e">
        <f>'Technical Master Data'!N158+"AM:!2C}"</f>
        <v>#VALUE!</v>
      </c>
      <c r="BZ350" t="e">
        <f>'Technical Master Data'!O158+"AM:!2C~"</f>
        <v>#VALUE!</v>
      </c>
      <c r="CA350" t="e">
        <f>'Technical Master Data'!P158+"AM:!2D#"</f>
        <v>#VALUE!</v>
      </c>
      <c r="CB350" t="e">
        <f>'Technical Master Data'!Q158+"AM:!2D$"</f>
        <v>#VALUE!</v>
      </c>
      <c r="CC350" t="e">
        <f>'Technical Master Data'!R158+"AM:!2D%"</f>
        <v>#VALUE!</v>
      </c>
      <c r="CD350" t="e">
        <f>'Technical Master Data'!S158+"AM:!2D&amp;"</f>
        <v>#VALUE!</v>
      </c>
      <c r="CE350" t="e">
        <f>'Technical Master Data'!A159+"AM:!2D'"</f>
        <v>#VALUE!</v>
      </c>
      <c r="CF350" t="e">
        <f>'Technical Master Data'!B159+"AM:!2D("</f>
        <v>#VALUE!</v>
      </c>
      <c r="CG350" t="e">
        <f>'Technical Master Data'!C159+"AM:!2D)"</f>
        <v>#VALUE!</v>
      </c>
      <c r="CH350" t="e">
        <f>'Technical Master Data'!D159+"AM:!2D."</f>
        <v>#VALUE!</v>
      </c>
      <c r="CI350" t="e">
        <f>'Technical Master Data'!E159+"AM:!2D/"</f>
        <v>#VALUE!</v>
      </c>
      <c r="CJ350" t="e">
        <f>'Technical Master Data'!F159+"AM:!2D0"</f>
        <v>#VALUE!</v>
      </c>
      <c r="CK350" t="e">
        <f>'Technical Master Data'!G159+"AM:!2D1"</f>
        <v>#VALUE!</v>
      </c>
      <c r="CL350" t="e">
        <f>'Technical Master Data'!H159+"AM:!2D2"</f>
        <v>#VALUE!</v>
      </c>
      <c r="CM350" t="e">
        <f>'Technical Master Data'!I159+"AM:!2D3"</f>
        <v>#VALUE!</v>
      </c>
      <c r="CN350" t="e">
        <f>'Technical Master Data'!J159+"AM:!2D4"</f>
        <v>#VALUE!</v>
      </c>
      <c r="CO350" t="e">
        <f>'Technical Master Data'!K159+"AM:!2D5"</f>
        <v>#VALUE!</v>
      </c>
      <c r="CP350" t="e">
        <f>'Technical Master Data'!L159+"AM:!2D6"</f>
        <v>#VALUE!</v>
      </c>
      <c r="CQ350" t="e">
        <f>'Technical Master Data'!M159+"AM:!2D7"</f>
        <v>#VALUE!</v>
      </c>
      <c r="CR350" t="e">
        <f>'Technical Master Data'!N159+"AM:!2D8"</f>
        <v>#VALUE!</v>
      </c>
      <c r="CS350" t="e">
        <f>'Technical Master Data'!O159+"AM:!2D9"</f>
        <v>#VALUE!</v>
      </c>
      <c r="CT350" t="e">
        <f>'Technical Master Data'!P159+"AM:!2D:"</f>
        <v>#VALUE!</v>
      </c>
      <c r="CU350" t="e">
        <f>'Technical Master Data'!Q159+"AM:!2D;"</f>
        <v>#VALUE!</v>
      </c>
      <c r="CV350" t="e">
        <f>'Technical Master Data'!R159+"AM:!2D&lt;"</f>
        <v>#VALUE!</v>
      </c>
      <c r="CW350" t="e">
        <f>'Technical Master Data'!S159+"AM:!2D="</f>
        <v>#VALUE!</v>
      </c>
      <c r="CX350" t="e">
        <f>'Technical Master Data'!A160+"AM:!2D&gt;"</f>
        <v>#VALUE!</v>
      </c>
      <c r="CY350" t="e">
        <f>'Technical Master Data'!B160+"AM:!2D?"</f>
        <v>#VALUE!</v>
      </c>
      <c r="CZ350" t="e">
        <f>'Technical Master Data'!C160+"AM:!2D@"</f>
        <v>#VALUE!</v>
      </c>
      <c r="DA350" t="e">
        <f>'Technical Master Data'!D160+"AM:!2DA"</f>
        <v>#VALUE!</v>
      </c>
      <c r="DB350" t="e">
        <f>'Technical Master Data'!E160+"AM:!2DB"</f>
        <v>#VALUE!</v>
      </c>
      <c r="DC350" t="e">
        <f>'Technical Master Data'!F160+"AM:!2DC"</f>
        <v>#VALUE!</v>
      </c>
      <c r="DD350" t="e">
        <f>'Technical Master Data'!G160+"AM:!2DD"</f>
        <v>#VALUE!</v>
      </c>
      <c r="DE350" t="e">
        <f>'Technical Master Data'!H160+"AM:!2DE"</f>
        <v>#VALUE!</v>
      </c>
      <c r="DF350" t="e">
        <f>'Technical Master Data'!I160+"AM:!2DF"</f>
        <v>#VALUE!</v>
      </c>
      <c r="DG350" t="e">
        <f>'Technical Master Data'!J160+"AM:!2DG"</f>
        <v>#VALUE!</v>
      </c>
      <c r="DH350" t="e">
        <f>'Technical Master Data'!K160+"AM:!2DH"</f>
        <v>#VALUE!</v>
      </c>
      <c r="DI350" t="e">
        <f>'Technical Master Data'!L160+"AM:!2DI"</f>
        <v>#VALUE!</v>
      </c>
      <c r="DJ350" t="e">
        <f>'Technical Master Data'!M160+"AM:!2DJ"</f>
        <v>#VALUE!</v>
      </c>
      <c r="DK350" t="e">
        <f>'Technical Master Data'!N160+"AM:!2DK"</f>
        <v>#VALUE!</v>
      </c>
      <c r="DL350" t="e">
        <f>'Technical Master Data'!O160+"AM:!2DL"</f>
        <v>#VALUE!</v>
      </c>
      <c r="DM350" t="e">
        <f>'Technical Master Data'!P160+"AM:!2DM"</f>
        <v>#VALUE!</v>
      </c>
      <c r="DN350" t="e">
        <f>'Technical Master Data'!Q160+"AM:!2DN"</f>
        <v>#VALUE!</v>
      </c>
      <c r="DO350" t="e">
        <f>'Technical Master Data'!R160+"AM:!2DO"</f>
        <v>#VALUE!</v>
      </c>
      <c r="DP350" t="e">
        <f>'Technical Master Data'!S160+"AM:!2DP"</f>
        <v>#VALUE!</v>
      </c>
      <c r="DQ350" t="e">
        <f>'Technical Master Data'!A161+"AM:!2DQ"</f>
        <v>#VALUE!</v>
      </c>
      <c r="DR350" t="e">
        <f>'Technical Master Data'!B161+"AM:!2DR"</f>
        <v>#VALUE!</v>
      </c>
      <c r="DS350" t="e">
        <f>'Technical Master Data'!C161+"AM:!2DS"</f>
        <v>#VALUE!</v>
      </c>
      <c r="DT350" t="e">
        <f>'Technical Master Data'!D161+"AM:!2DT"</f>
        <v>#VALUE!</v>
      </c>
      <c r="DU350" t="e">
        <f>'Technical Master Data'!E161+"AM:!2DU"</f>
        <v>#VALUE!</v>
      </c>
      <c r="DV350" t="e">
        <f>'Technical Master Data'!F161+"AM:!2DV"</f>
        <v>#VALUE!</v>
      </c>
      <c r="DW350" t="e">
        <f>'Technical Master Data'!G161+"AM:!2DW"</f>
        <v>#VALUE!</v>
      </c>
      <c r="DX350" t="e">
        <f>'Technical Master Data'!H161+"AM:!2DX"</f>
        <v>#VALUE!</v>
      </c>
      <c r="DY350" t="e">
        <f>'Technical Master Data'!I161+"AM:!2DY"</f>
        <v>#VALUE!</v>
      </c>
      <c r="DZ350" t="e">
        <f>'Technical Master Data'!J161+"AM:!2DZ"</f>
        <v>#VALUE!</v>
      </c>
      <c r="EA350" t="e">
        <f>'Technical Master Data'!K161+"AM:!2D["</f>
        <v>#VALUE!</v>
      </c>
      <c r="EB350" t="e">
        <f>'Technical Master Data'!L161+"AM:!2D\"</f>
        <v>#VALUE!</v>
      </c>
      <c r="EC350" t="e">
        <f>'Technical Master Data'!M161+"AM:!2D]"</f>
        <v>#VALUE!</v>
      </c>
      <c r="ED350" t="e">
        <f>'Technical Master Data'!N161+"AM:!2D^"</f>
        <v>#VALUE!</v>
      </c>
      <c r="EE350" t="e">
        <f>'Technical Master Data'!O161+"AM:!2D_"</f>
        <v>#VALUE!</v>
      </c>
      <c r="EF350" t="e">
        <f>'Technical Master Data'!P161+"AM:!2D`"</f>
        <v>#VALUE!</v>
      </c>
      <c r="EG350" t="e">
        <f>'Technical Master Data'!Q161+"AM:!2Da"</f>
        <v>#VALUE!</v>
      </c>
      <c r="EH350" t="e">
        <f>'Technical Master Data'!R161+"AM:!2Db"</f>
        <v>#VALUE!</v>
      </c>
      <c r="EI350" t="e">
        <f>'Technical Master Data'!S161+"AM:!2Dc"</f>
        <v>#VALUE!</v>
      </c>
      <c r="EJ350" t="e">
        <f>'Technical Master Data'!A162+"AM:!2Dd"</f>
        <v>#VALUE!</v>
      </c>
      <c r="EK350" t="e">
        <f>'Technical Master Data'!B162+"AM:!2De"</f>
        <v>#VALUE!</v>
      </c>
      <c r="EL350" t="e">
        <f>'Technical Master Data'!C162+"AM:!2Df"</f>
        <v>#VALUE!</v>
      </c>
      <c r="EM350" t="e">
        <f>'Technical Master Data'!D162+"AM:!2Dg"</f>
        <v>#VALUE!</v>
      </c>
      <c r="EN350" t="e">
        <f>'Technical Master Data'!E162+"AM:!2Dh"</f>
        <v>#VALUE!</v>
      </c>
      <c r="EO350" t="e">
        <f>'Technical Master Data'!F162+"AM:!2Di"</f>
        <v>#VALUE!</v>
      </c>
      <c r="EP350" t="e">
        <f>'Technical Master Data'!G162+"AM:!2Dj"</f>
        <v>#VALUE!</v>
      </c>
      <c r="EQ350" t="e">
        <f>'Technical Master Data'!H162+"AM:!2Dk"</f>
        <v>#VALUE!</v>
      </c>
      <c r="ER350" t="e">
        <f>'Technical Master Data'!I162+"AM:!2Dl"</f>
        <v>#VALUE!</v>
      </c>
      <c r="ES350" t="e">
        <f>'Technical Master Data'!J162+"AM:!2Dm"</f>
        <v>#VALUE!</v>
      </c>
      <c r="ET350" t="e">
        <f>'Technical Master Data'!K162+"AM:!2Dn"</f>
        <v>#VALUE!</v>
      </c>
      <c r="EU350" t="e">
        <f>'Technical Master Data'!L162+"AM:!2Do"</f>
        <v>#VALUE!</v>
      </c>
      <c r="EV350" t="e">
        <f>'Technical Master Data'!M162+"AM:!2Dp"</f>
        <v>#VALUE!</v>
      </c>
      <c r="EW350" t="e">
        <f>'Technical Master Data'!N162+"AM:!2Dq"</f>
        <v>#VALUE!</v>
      </c>
      <c r="EX350" t="e">
        <f>'Technical Master Data'!O162+"AM:!2Dr"</f>
        <v>#VALUE!</v>
      </c>
      <c r="EY350" t="e">
        <f>'Technical Master Data'!P162+"AM:!2Ds"</f>
        <v>#VALUE!</v>
      </c>
      <c r="EZ350" t="e">
        <f>'Technical Master Data'!Q162+"AM:!2Dt"</f>
        <v>#VALUE!</v>
      </c>
      <c r="FA350" t="e">
        <f>'Technical Master Data'!R162+"AM:!2Du"</f>
        <v>#VALUE!</v>
      </c>
      <c r="FB350" t="e">
        <f>'Technical Master Data'!S162+"AM:!2Dv"</f>
        <v>#VALUE!</v>
      </c>
      <c r="FC350" t="e">
        <f>'Technical Master Data'!A163+"AM:!2Dw"</f>
        <v>#VALUE!</v>
      </c>
      <c r="FD350" t="e">
        <f>'Technical Master Data'!B163+"AM:!2Dx"</f>
        <v>#VALUE!</v>
      </c>
      <c r="FE350" t="e">
        <f>'Technical Master Data'!C163+"AM:!2Dy"</f>
        <v>#VALUE!</v>
      </c>
      <c r="FF350" t="e">
        <f>'Technical Master Data'!D163+"AM:!2Dz"</f>
        <v>#VALUE!</v>
      </c>
      <c r="FG350" t="e">
        <f>'Technical Master Data'!E163+"AM:!2D{"</f>
        <v>#VALUE!</v>
      </c>
      <c r="FH350" t="e">
        <f>'Technical Master Data'!F163+"AM:!2D|"</f>
        <v>#VALUE!</v>
      </c>
      <c r="FI350" t="e">
        <f>'Technical Master Data'!G163+"AM:!2D}"</f>
        <v>#VALUE!</v>
      </c>
      <c r="FJ350" t="e">
        <f>'Technical Master Data'!H163+"AM:!2D~"</f>
        <v>#VALUE!</v>
      </c>
      <c r="FK350" t="e">
        <f>'Technical Master Data'!I163+"AM:!2E#"</f>
        <v>#VALUE!</v>
      </c>
      <c r="FL350" t="e">
        <f>'Technical Master Data'!J163+"AM:!2E$"</f>
        <v>#VALUE!</v>
      </c>
      <c r="FM350" t="e">
        <f>'Technical Master Data'!K163+"AM:!2E%"</f>
        <v>#VALUE!</v>
      </c>
      <c r="FN350" t="e">
        <f>'Technical Master Data'!L163+"AM:!2E&amp;"</f>
        <v>#VALUE!</v>
      </c>
      <c r="FO350" t="e">
        <f>'Technical Master Data'!M163+"AM:!2E'"</f>
        <v>#VALUE!</v>
      </c>
      <c r="FP350" t="e">
        <f>'Technical Master Data'!N163+"AM:!2E("</f>
        <v>#VALUE!</v>
      </c>
      <c r="FQ350" t="e">
        <f>'Technical Master Data'!O163+"AM:!2E)"</f>
        <v>#VALUE!</v>
      </c>
      <c r="FR350" t="e">
        <f>'Technical Master Data'!P163+"AM:!2E."</f>
        <v>#VALUE!</v>
      </c>
      <c r="FS350" t="e">
        <f>'Technical Master Data'!Q163+"AM:!2E/"</f>
        <v>#VALUE!</v>
      </c>
      <c r="FT350" t="e">
        <f>'Technical Master Data'!R163+"AM:!2E0"</f>
        <v>#VALUE!</v>
      </c>
      <c r="FU350" t="e">
        <f>'Technical Master Data'!S163+"AM:!2E1"</f>
        <v>#VALUE!</v>
      </c>
      <c r="FV350" t="e">
        <f>'Technical Master Data'!A164+"AM:!2E2"</f>
        <v>#VALUE!</v>
      </c>
      <c r="FW350" t="e">
        <f>'Technical Master Data'!B164+"AM:!2E3"</f>
        <v>#VALUE!</v>
      </c>
      <c r="FX350" t="e">
        <f>'Technical Master Data'!C164+"AM:!2E4"</f>
        <v>#VALUE!</v>
      </c>
      <c r="FY350" t="e">
        <f>'Technical Master Data'!D164+"AM:!2E5"</f>
        <v>#VALUE!</v>
      </c>
      <c r="FZ350" t="e">
        <f>'Technical Master Data'!E164+"AM:!2E6"</f>
        <v>#VALUE!</v>
      </c>
      <c r="GA350" t="e">
        <f>'Technical Master Data'!F164+"AM:!2E7"</f>
        <v>#VALUE!</v>
      </c>
      <c r="GB350" t="e">
        <f>'Technical Master Data'!G164+"AM:!2E8"</f>
        <v>#VALUE!</v>
      </c>
      <c r="GC350" t="e">
        <f>'Technical Master Data'!H164+"AM:!2E9"</f>
        <v>#VALUE!</v>
      </c>
      <c r="GD350" t="e">
        <f>'Technical Master Data'!I164+"AM:!2E:"</f>
        <v>#VALUE!</v>
      </c>
      <c r="GE350" t="e">
        <f>'Technical Master Data'!J164+"AM:!2E;"</f>
        <v>#VALUE!</v>
      </c>
      <c r="GF350" t="e">
        <f>'Technical Master Data'!K164+"AM:!2E&lt;"</f>
        <v>#VALUE!</v>
      </c>
      <c r="GG350" t="e">
        <f>'Technical Master Data'!L164+"AM:!2E="</f>
        <v>#VALUE!</v>
      </c>
      <c r="GH350" t="e">
        <f>'Technical Master Data'!M164+"AM:!2E&gt;"</f>
        <v>#VALUE!</v>
      </c>
      <c r="GI350" t="e">
        <f>'Technical Master Data'!N164+"AM:!2E?"</f>
        <v>#VALUE!</v>
      </c>
      <c r="GJ350" t="e">
        <f>'Technical Master Data'!O164+"AM:!2E@"</f>
        <v>#VALUE!</v>
      </c>
      <c r="GK350" t="e">
        <f>'Technical Master Data'!P164+"AM:!2EA"</f>
        <v>#VALUE!</v>
      </c>
      <c r="GL350" t="e">
        <f>'Technical Master Data'!Q164+"AM:!2EB"</f>
        <v>#VALUE!</v>
      </c>
      <c r="GM350" t="e">
        <f>'Technical Master Data'!R164+"AM:!2EC"</f>
        <v>#VALUE!</v>
      </c>
      <c r="GN350" t="e">
        <f>'Technical Master Data'!S164+"AM:!2ED"</f>
        <v>#VALUE!</v>
      </c>
      <c r="GO350" t="e">
        <f>'Technical Master Data'!A165+"AM:!2EE"</f>
        <v>#VALUE!</v>
      </c>
      <c r="GP350" t="e">
        <f>'Technical Master Data'!B165+"AM:!2EF"</f>
        <v>#VALUE!</v>
      </c>
      <c r="GQ350" t="e">
        <f>'Technical Master Data'!C165+"AM:!2EG"</f>
        <v>#VALUE!</v>
      </c>
      <c r="GR350" t="e">
        <f>'Technical Master Data'!D165+"AM:!2EH"</f>
        <v>#VALUE!</v>
      </c>
      <c r="GS350" t="e">
        <f>'Technical Master Data'!E165+"AM:!2EI"</f>
        <v>#VALUE!</v>
      </c>
      <c r="GT350" t="e">
        <f>'Technical Master Data'!F165+"AM:!2EJ"</f>
        <v>#VALUE!</v>
      </c>
      <c r="GU350" t="e">
        <f>'Technical Master Data'!G165+"AM:!2EK"</f>
        <v>#VALUE!</v>
      </c>
      <c r="GV350" t="e">
        <f>'Technical Master Data'!H165+"AM:!2EL"</f>
        <v>#VALUE!</v>
      </c>
      <c r="GW350" t="e">
        <f>'Technical Master Data'!I165+"AM:!2EM"</f>
        <v>#VALUE!</v>
      </c>
      <c r="GX350" t="e">
        <f>'Technical Master Data'!J165+"AM:!2EN"</f>
        <v>#VALUE!</v>
      </c>
      <c r="GY350" t="e">
        <f>'Technical Master Data'!K165+"AM:!2EO"</f>
        <v>#VALUE!</v>
      </c>
      <c r="GZ350" t="e">
        <f>'Technical Master Data'!L165+"AM:!2EP"</f>
        <v>#VALUE!</v>
      </c>
      <c r="HA350" t="e">
        <f>'Technical Master Data'!M165+"AM:!2EQ"</f>
        <v>#VALUE!</v>
      </c>
      <c r="HB350" t="e">
        <f>'Technical Master Data'!N165+"AM:!2ER"</f>
        <v>#VALUE!</v>
      </c>
      <c r="HC350" t="e">
        <f>'Technical Master Data'!O165+"AM:!2ES"</f>
        <v>#VALUE!</v>
      </c>
      <c r="HD350" t="e">
        <f>'Technical Master Data'!P165+"AM:!2ET"</f>
        <v>#VALUE!</v>
      </c>
      <c r="HE350" t="e">
        <f>'Technical Master Data'!Q165+"AM:!2EU"</f>
        <v>#VALUE!</v>
      </c>
      <c r="HF350" t="e">
        <f>'Technical Master Data'!R165+"AM:!2EV"</f>
        <v>#VALUE!</v>
      </c>
      <c r="HG350" t="e">
        <f>'Technical Master Data'!S165+"AM:!2EW"</f>
        <v>#VALUE!</v>
      </c>
      <c r="HH350" t="e">
        <f>'Technical Master Data'!A166+"AM:!2EX"</f>
        <v>#VALUE!</v>
      </c>
      <c r="HI350" t="e">
        <f>'Technical Master Data'!B166+"AM:!2EY"</f>
        <v>#VALUE!</v>
      </c>
      <c r="HJ350" t="e">
        <f>'Technical Master Data'!C166+"AM:!2EZ"</f>
        <v>#VALUE!</v>
      </c>
      <c r="HK350" t="e">
        <f>'Technical Master Data'!D166+"AM:!2E["</f>
        <v>#VALUE!</v>
      </c>
      <c r="HL350" t="e">
        <f>'Technical Master Data'!E166+"AM:!2E\"</f>
        <v>#VALUE!</v>
      </c>
      <c r="HM350" t="e">
        <f>'Technical Master Data'!F166+"AM:!2E]"</f>
        <v>#VALUE!</v>
      </c>
      <c r="HN350" t="e">
        <f>'Technical Master Data'!G166+"AM:!2E^"</f>
        <v>#VALUE!</v>
      </c>
      <c r="HO350" t="e">
        <f>'Technical Master Data'!H166+"AM:!2E_"</f>
        <v>#VALUE!</v>
      </c>
      <c r="HP350" t="e">
        <f>'Technical Master Data'!I166+"AM:!2E`"</f>
        <v>#VALUE!</v>
      </c>
      <c r="HQ350" t="e">
        <f>'Technical Master Data'!J166+"AM:!2Ea"</f>
        <v>#VALUE!</v>
      </c>
      <c r="HR350" t="e">
        <f>'Technical Master Data'!K166+"AM:!2Eb"</f>
        <v>#VALUE!</v>
      </c>
      <c r="HS350" t="e">
        <f>'Technical Master Data'!L166+"AM:!2Ec"</f>
        <v>#VALUE!</v>
      </c>
      <c r="HT350" t="e">
        <f>'Technical Master Data'!M166+"AM:!2Ed"</f>
        <v>#VALUE!</v>
      </c>
      <c r="HU350" t="e">
        <f>'Technical Master Data'!N166+"AM:!2Ee"</f>
        <v>#VALUE!</v>
      </c>
      <c r="HV350" t="e">
        <f>'Technical Master Data'!O166+"AM:!2Ef"</f>
        <v>#VALUE!</v>
      </c>
      <c r="HW350" t="e">
        <f>'Technical Master Data'!P166+"AM:!2Eg"</f>
        <v>#VALUE!</v>
      </c>
      <c r="HX350" t="e">
        <f>'Technical Master Data'!Q166+"AM:!2Eh"</f>
        <v>#VALUE!</v>
      </c>
      <c r="HY350" t="e">
        <f>'Technical Master Data'!R166+"AM:!2Ei"</f>
        <v>#VALUE!</v>
      </c>
      <c r="HZ350" t="e">
        <f>'Technical Master Data'!S166+"AM:!2Ej"</f>
        <v>#VALUE!</v>
      </c>
      <c r="IA350" t="e">
        <f>'Technical Master Data'!A167+"AM:!2Ek"</f>
        <v>#VALUE!</v>
      </c>
      <c r="IB350" t="e">
        <f>'Technical Master Data'!B167+"AM:!2El"</f>
        <v>#VALUE!</v>
      </c>
      <c r="IC350" t="e">
        <f>'Technical Master Data'!C167+"AM:!2Em"</f>
        <v>#VALUE!</v>
      </c>
      <c r="ID350" t="e">
        <f>'Technical Master Data'!D167+"AM:!2En"</f>
        <v>#VALUE!</v>
      </c>
      <c r="IE350" t="e">
        <f>'Technical Master Data'!E167+"AM:!2Eo"</f>
        <v>#VALUE!</v>
      </c>
      <c r="IF350" t="e">
        <f>'Technical Master Data'!F167+"AM:!2Ep"</f>
        <v>#VALUE!</v>
      </c>
      <c r="IG350" t="e">
        <f>'Technical Master Data'!G167+"AM:!2Eq"</f>
        <v>#VALUE!</v>
      </c>
      <c r="IH350" t="e">
        <f>'Technical Master Data'!H167+"AM:!2Er"</f>
        <v>#VALUE!</v>
      </c>
      <c r="II350" t="e">
        <f>'Technical Master Data'!I167+"AM:!2Es"</f>
        <v>#VALUE!</v>
      </c>
      <c r="IJ350" t="e">
        <f>'Technical Master Data'!J167+"AM:!2Et"</f>
        <v>#VALUE!</v>
      </c>
      <c r="IK350" t="e">
        <f>'Technical Master Data'!K167+"AM:!2Eu"</f>
        <v>#VALUE!</v>
      </c>
      <c r="IL350" t="e">
        <f>'Technical Master Data'!L167+"AM:!2Ev"</f>
        <v>#VALUE!</v>
      </c>
      <c r="IM350" t="e">
        <f>'Technical Master Data'!M167+"AM:!2Ew"</f>
        <v>#VALUE!</v>
      </c>
      <c r="IN350" t="e">
        <f>'Technical Master Data'!N167+"AM:!2Ex"</f>
        <v>#VALUE!</v>
      </c>
      <c r="IO350" t="e">
        <f>'Technical Master Data'!O167+"AM:!2Ey"</f>
        <v>#VALUE!</v>
      </c>
      <c r="IP350" t="e">
        <f>'Technical Master Data'!P167+"AM:!2Ez"</f>
        <v>#VALUE!</v>
      </c>
      <c r="IQ350" t="e">
        <f>'Technical Master Data'!Q167+"AM:!2E{"</f>
        <v>#VALUE!</v>
      </c>
      <c r="IR350" t="e">
        <f>'Technical Master Data'!R167+"AM:!2E|"</f>
        <v>#VALUE!</v>
      </c>
      <c r="IS350" t="e">
        <f>'Technical Master Data'!S167+"AM:!2E}"</f>
        <v>#VALUE!</v>
      </c>
      <c r="IT350" t="e">
        <f>'Technical Master Data'!A168+"AM:!2E~"</f>
        <v>#VALUE!</v>
      </c>
      <c r="IU350" t="e">
        <f>'Technical Master Data'!B168+"AM:!2F#"</f>
        <v>#VALUE!</v>
      </c>
      <c r="IV350" t="e">
        <f>'Technical Master Data'!C168+"AM:!2F$"</f>
        <v>#VALUE!</v>
      </c>
    </row>
    <row r="351" spans="6:256">
      <c r="F351" t="e">
        <f>'Technical Master Data'!D168+"AM:!2F%"</f>
        <v>#VALUE!</v>
      </c>
      <c r="G351" t="e">
        <f>'Technical Master Data'!E168+"AM:!2F&amp;"</f>
        <v>#VALUE!</v>
      </c>
      <c r="H351" t="e">
        <f>'Technical Master Data'!F168+"AM:!2F'"</f>
        <v>#VALUE!</v>
      </c>
      <c r="I351" t="e">
        <f>'Technical Master Data'!G168+"AM:!2F("</f>
        <v>#VALUE!</v>
      </c>
      <c r="J351" t="e">
        <f>'Technical Master Data'!H168+"AM:!2F)"</f>
        <v>#VALUE!</v>
      </c>
      <c r="K351" t="e">
        <f>'Technical Master Data'!I168+"AM:!2F."</f>
        <v>#VALUE!</v>
      </c>
      <c r="L351" t="e">
        <f>'Technical Master Data'!J168+"AM:!2F/"</f>
        <v>#VALUE!</v>
      </c>
      <c r="M351" t="e">
        <f>'Technical Master Data'!K168+"AM:!2F0"</f>
        <v>#VALUE!</v>
      </c>
      <c r="N351" t="e">
        <f>'Technical Master Data'!L168+"AM:!2F1"</f>
        <v>#VALUE!</v>
      </c>
      <c r="O351" t="e">
        <f>'Technical Master Data'!M168+"AM:!2F2"</f>
        <v>#VALUE!</v>
      </c>
      <c r="P351" t="e">
        <f>'Technical Master Data'!N168+"AM:!2F3"</f>
        <v>#VALUE!</v>
      </c>
      <c r="Q351" t="e">
        <f>'Technical Master Data'!O168+"AM:!2F4"</f>
        <v>#VALUE!</v>
      </c>
      <c r="R351" t="e">
        <f>'Technical Master Data'!P168+"AM:!2F5"</f>
        <v>#VALUE!</v>
      </c>
      <c r="S351" t="e">
        <f>'Technical Master Data'!Q168+"AM:!2F6"</f>
        <v>#VALUE!</v>
      </c>
      <c r="T351" t="e">
        <f>'Technical Master Data'!R168+"AM:!2F7"</f>
        <v>#VALUE!</v>
      </c>
      <c r="U351" t="e">
        <f>'Technical Master Data'!S168+"AM:!2F8"</f>
        <v>#VALUE!</v>
      </c>
      <c r="V351" t="e">
        <f>'Technical Master Data'!A169+"AM:!2F9"</f>
        <v>#VALUE!</v>
      </c>
      <c r="W351" t="e">
        <f>'Technical Master Data'!B169+"AM:!2F:"</f>
        <v>#VALUE!</v>
      </c>
      <c r="X351" t="e">
        <f>'Technical Master Data'!C169+"AM:!2F;"</f>
        <v>#VALUE!</v>
      </c>
      <c r="Y351" t="e">
        <f>'Technical Master Data'!D169+"AM:!2F&lt;"</f>
        <v>#VALUE!</v>
      </c>
      <c r="Z351" t="e">
        <f>'Technical Master Data'!E169+"AM:!2F="</f>
        <v>#VALUE!</v>
      </c>
      <c r="AA351" t="e">
        <f>'Technical Master Data'!F169+"AM:!2F&gt;"</f>
        <v>#VALUE!</v>
      </c>
      <c r="AB351" t="e">
        <f>'Technical Master Data'!G169+"AM:!2F?"</f>
        <v>#VALUE!</v>
      </c>
      <c r="AC351" t="e">
        <f>'Technical Master Data'!H169+"AM:!2F@"</f>
        <v>#VALUE!</v>
      </c>
      <c r="AD351" t="e">
        <f>'Technical Master Data'!I169+"AM:!2FA"</f>
        <v>#VALUE!</v>
      </c>
      <c r="AE351" t="e">
        <f>'Technical Master Data'!J169+"AM:!2FB"</f>
        <v>#VALUE!</v>
      </c>
      <c r="AF351" t="e">
        <f>'Technical Master Data'!K169+"AM:!2FC"</f>
        <v>#VALUE!</v>
      </c>
      <c r="AG351" t="e">
        <f>'Technical Master Data'!L169+"AM:!2FD"</f>
        <v>#VALUE!</v>
      </c>
      <c r="AH351" t="e">
        <f>'Technical Master Data'!M169+"AM:!2FE"</f>
        <v>#VALUE!</v>
      </c>
      <c r="AI351" t="e">
        <f>'Technical Master Data'!N169+"AM:!2FF"</f>
        <v>#VALUE!</v>
      </c>
      <c r="AJ351" t="e">
        <f>'Technical Master Data'!O169+"AM:!2FG"</f>
        <v>#VALUE!</v>
      </c>
      <c r="AK351" t="e">
        <f>'Technical Master Data'!P169+"AM:!2FH"</f>
        <v>#VALUE!</v>
      </c>
      <c r="AL351" t="e">
        <f>'Technical Master Data'!Q169+"AM:!2FI"</f>
        <v>#VALUE!</v>
      </c>
      <c r="AM351" t="e">
        <f>'Technical Master Data'!R169+"AM:!2FJ"</f>
        <v>#VALUE!</v>
      </c>
      <c r="AN351" t="e">
        <f>'Technical Master Data'!S169+"AM:!2FK"</f>
        <v>#VALUE!</v>
      </c>
      <c r="AO351" t="e">
        <f>'Technical Master Data'!A170+"AM:!2FL"</f>
        <v>#VALUE!</v>
      </c>
      <c r="AP351" t="e">
        <f>'Technical Master Data'!B170+"AM:!2FM"</f>
        <v>#VALUE!</v>
      </c>
      <c r="AQ351" t="e">
        <f>'Technical Master Data'!C170+"AM:!2FN"</f>
        <v>#VALUE!</v>
      </c>
      <c r="AR351" t="e">
        <f>'Technical Master Data'!D170+"AM:!2FO"</f>
        <v>#VALUE!</v>
      </c>
      <c r="AS351" t="e">
        <f>'Technical Master Data'!E170+"AM:!2FP"</f>
        <v>#VALUE!</v>
      </c>
      <c r="AT351" t="e">
        <f>'Technical Master Data'!F170+"AM:!2FQ"</f>
        <v>#VALUE!</v>
      </c>
      <c r="AU351" t="e">
        <f>'Technical Master Data'!G170+"AM:!2FR"</f>
        <v>#VALUE!</v>
      </c>
      <c r="AV351" t="e">
        <f>'Technical Master Data'!H170+"AM:!2FS"</f>
        <v>#VALUE!</v>
      </c>
      <c r="AW351" t="e">
        <f>'Technical Master Data'!I170+"AM:!2FT"</f>
        <v>#VALUE!</v>
      </c>
      <c r="AX351" t="e">
        <f>'Technical Master Data'!J170+"AM:!2FU"</f>
        <v>#VALUE!</v>
      </c>
      <c r="AY351" t="e">
        <f>'Technical Master Data'!K170+"AM:!2FV"</f>
        <v>#VALUE!</v>
      </c>
      <c r="AZ351" t="e">
        <f>'Technical Master Data'!L170+"AM:!2FW"</f>
        <v>#VALUE!</v>
      </c>
      <c r="BA351" t="e">
        <f>'Technical Master Data'!M170+"AM:!2FX"</f>
        <v>#VALUE!</v>
      </c>
      <c r="BB351" t="e">
        <f>'Technical Master Data'!N170+"AM:!2FY"</f>
        <v>#VALUE!</v>
      </c>
      <c r="BC351" t="e">
        <f>'Technical Master Data'!O170+"AM:!2FZ"</f>
        <v>#VALUE!</v>
      </c>
      <c r="BD351" t="e">
        <f>'Technical Master Data'!P170+"AM:!2F["</f>
        <v>#VALUE!</v>
      </c>
      <c r="BE351" t="e">
        <f>'Technical Master Data'!Q170+"AM:!2F\"</f>
        <v>#VALUE!</v>
      </c>
      <c r="BF351" t="e">
        <f>'Technical Master Data'!R170+"AM:!2F]"</f>
        <v>#VALUE!</v>
      </c>
      <c r="BG351" t="e">
        <f>'Technical Master Data'!S170+"AM:!2F^"</f>
        <v>#VALUE!</v>
      </c>
      <c r="BH351" t="e">
        <f>'Technical Master Data'!A171+"AM:!2F_"</f>
        <v>#VALUE!</v>
      </c>
      <c r="BI351" t="e">
        <f>'Technical Master Data'!B171+"AM:!2F`"</f>
        <v>#VALUE!</v>
      </c>
      <c r="BJ351" t="e">
        <f>'Technical Master Data'!C171+"AM:!2Fa"</f>
        <v>#VALUE!</v>
      </c>
      <c r="BK351" t="e">
        <f>'Technical Master Data'!D171+"AM:!2Fb"</f>
        <v>#VALUE!</v>
      </c>
      <c r="BL351" t="e">
        <f>'Technical Master Data'!E171+"AM:!2Fc"</f>
        <v>#VALUE!</v>
      </c>
      <c r="BM351" t="e">
        <f>'Technical Master Data'!F171+"AM:!2Fd"</f>
        <v>#VALUE!</v>
      </c>
      <c r="BN351" t="e">
        <f>'Technical Master Data'!G171+"AM:!2Fe"</f>
        <v>#VALUE!</v>
      </c>
      <c r="BO351" t="e">
        <f>'Technical Master Data'!H171+"AM:!2Ff"</f>
        <v>#VALUE!</v>
      </c>
      <c r="BP351" t="e">
        <f>'Technical Master Data'!I171+"AM:!2Fg"</f>
        <v>#VALUE!</v>
      </c>
      <c r="BQ351" t="e">
        <f>'Technical Master Data'!J171+"AM:!2Fh"</f>
        <v>#VALUE!</v>
      </c>
      <c r="BR351" t="e">
        <f>'Technical Master Data'!K171+"AM:!2Fi"</f>
        <v>#VALUE!</v>
      </c>
      <c r="BS351" t="e">
        <f>'Technical Master Data'!L171+"AM:!2Fj"</f>
        <v>#VALUE!</v>
      </c>
      <c r="BT351" t="e">
        <f>'Technical Master Data'!M171+"AM:!2Fk"</f>
        <v>#VALUE!</v>
      </c>
      <c r="BU351" t="e">
        <f>'Technical Master Data'!N171+"AM:!2Fl"</f>
        <v>#VALUE!</v>
      </c>
      <c r="BV351" t="e">
        <f>'Technical Master Data'!O171+"AM:!2Fm"</f>
        <v>#VALUE!</v>
      </c>
      <c r="BW351" t="e">
        <f>'Technical Master Data'!P171+"AM:!2Fn"</f>
        <v>#VALUE!</v>
      </c>
      <c r="BX351" t="e">
        <f>'Technical Master Data'!Q171+"AM:!2Fo"</f>
        <v>#VALUE!</v>
      </c>
      <c r="BY351" t="e">
        <f>'Technical Master Data'!R171+"AM:!2Fp"</f>
        <v>#VALUE!</v>
      </c>
      <c r="BZ351" t="e">
        <f>'Technical Master Data'!S171+"AM:!2Fq"</f>
        <v>#VALUE!</v>
      </c>
      <c r="CA351" t="e">
        <f>'Technical Master Data'!A172+"AM:!2Fr"</f>
        <v>#VALUE!</v>
      </c>
      <c r="CB351" t="e">
        <f>'Technical Master Data'!B172+"AM:!2Fs"</f>
        <v>#VALUE!</v>
      </c>
      <c r="CC351" t="e">
        <f>'Technical Master Data'!C172+"AM:!2Ft"</f>
        <v>#VALUE!</v>
      </c>
      <c r="CD351" t="e">
        <f>'Technical Master Data'!D172+"AM:!2Fu"</f>
        <v>#VALUE!</v>
      </c>
      <c r="CE351" t="e">
        <f>'Technical Master Data'!E172+"AM:!2Fv"</f>
        <v>#VALUE!</v>
      </c>
      <c r="CF351" t="e">
        <f>'Technical Master Data'!F172+"AM:!2Fw"</f>
        <v>#VALUE!</v>
      </c>
      <c r="CG351" t="e">
        <f>'Technical Master Data'!G172+"AM:!2Fx"</f>
        <v>#VALUE!</v>
      </c>
      <c r="CH351" t="e">
        <f>'Technical Master Data'!H172+"AM:!2Fy"</f>
        <v>#VALUE!</v>
      </c>
      <c r="CI351" t="e">
        <f>'Technical Master Data'!I172+"AM:!2Fz"</f>
        <v>#VALUE!</v>
      </c>
      <c r="CJ351" t="e">
        <f>'Technical Master Data'!J172+"AM:!2F{"</f>
        <v>#VALUE!</v>
      </c>
      <c r="CK351" t="e">
        <f>'Technical Master Data'!K172+"AM:!2F|"</f>
        <v>#VALUE!</v>
      </c>
      <c r="CL351" t="e">
        <f>'Technical Master Data'!L172+"AM:!2F}"</f>
        <v>#VALUE!</v>
      </c>
      <c r="CM351" t="e">
        <f>'Technical Master Data'!M172+"AM:!2F~"</f>
        <v>#VALUE!</v>
      </c>
      <c r="CN351" t="e">
        <f>'Technical Master Data'!N172+"AM:!2G#"</f>
        <v>#VALUE!</v>
      </c>
      <c r="CO351" t="e">
        <f>'Technical Master Data'!O172+"AM:!2G$"</f>
        <v>#VALUE!</v>
      </c>
      <c r="CP351" t="e">
        <f>'Technical Master Data'!P172+"AM:!2G%"</f>
        <v>#VALUE!</v>
      </c>
      <c r="CQ351" t="e">
        <f>'Technical Master Data'!Q172+"AM:!2G&amp;"</f>
        <v>#VALUE!</v>
      </c>
      <c r="CR351" t="e">
        <f>'Technical Master Data'!R172+"AM:!2G'"</f>
        <v>#VALUE!</v>
      </c>
      <c r="CS351" t="e">
        <f>'Technical Master Data'!S172+"AM:!2G("</f>
        <v>#VALUE!</v>
      </c>
      <c r="CT351" t="e">
        <f>'Technical Master Data'!A173+"AM:!2G)"</f>
        <v>#VALUE!</v>
      </c>
      <c r="CU351" t="e">
        <f>'Technical Master Data'!B173+"AM:!2G."</f>
        <v>#VALUE!</v>
      </c>
      <c r="CV351" t="e">
        <f>'Technical Master Data'!C173+"AM:!2G/"</f>
        <v>#VALUE!</v>
      </c>
      <c r="CW351" t="e">
        <f>'Technical Master Data'!D173+"AM:!2G0"</f>
        <v>#VALUE!</v>
      </c>
      <c r="CX351" t="e">
        <f>'Technical Master Data'!E173+"AM:!2G1"</f>
        <v>#VALUE!</v>
      </c>
      <c r="CY351" t="e">
        <f>'Technical Master Data'!F173+"AM:!2G2"</f>
        <v>#VALUE!</v>
      </c>
      <c r="CZ351" t="e">
        <f>'Technical Master Data'!G173+"AM:!2G3"</f>
        <v>#VALUE!</v>
      </c>
      <c r="DA351" t="e">
        <f>'Technical Master Data'!H173+"AM:!2G4"</f>
        <v>#VALUE!</v>
      </c>
      <c r="DB351" t="e">
        <f>'Technical Master Data'!I173+"AM:!2G5"</f>
        <v>#VALUE!</v>
      </c>
      <c r="DC351" t="e">
        <f>'Technical Master Data'!J173+"AM:!2G6"</f>
        <v>#VALUE!</v>
      </c>
      <c r="DD351" t="e">
        <f>'Technical Master Data'!K173+"AM:!2G7"</f>
        <v>#VALUE!</v>
      </c>
      <c r="DE351" t="e">
        <f>'Technical Master Data'!L173+"AM:!2G8"</f>
        <v>#VALUE!</v>
      </c>
      <c r="DF351" t="e">
        <f>'Technical Master Data'!M173+"AM:!2G9"</f>
        <v>#VALUE!</v>
      </c>
      <c r="DG351" t="e">
        <f>'Technical Master Data'!N173+"AM:!2G:"</f>
        <v>#VALUE!</v>
      </c>
      <c r="DH351" t="e">
        <f>'Technical Master Data'!O173+"AM:!2G;"</f>
        <v>#VALUE!</v>
      </c>
      <c r="DI351" t="e">
        <f>'Technical Master Data'!P173+"AM:!2G&lt;"</f>
        <v>#VALUE!</v>
      </c>
      <c r="DJ351" t="e">
        <f>'Technical Master Data'!Q173+"AM:!2G="</f>
        <v>#VALUE!</v>
      </c>
      <c r="DK351" t="e">
        <f>'Technical Master Data'!R173+"AM:!2G&gt;"</f>
        <v>#VALUE!</v>
      </c>
      <c r="DL351" t="e">
        <f>'Technical Master Data'!S173+"AM:!2G?"</f>
        <v>#VALUE!</v>
      </c>
      <c r="DM351" t="e">
        <f>'Technical Master Data'!A174+"AM:!2G@"</f>
        <v>#VALUE!</v>
      </c>
      <c r="DN351" t="e">
        <f>'Technical Master Data'!B174+"AM:!2GA"</f>
        <v>#VALUE!</v>
      </c>
      <c r="DO351" t="e">
        <f>'Technical Master Data'!C174+"AM:!2GB"</f>
        <v>#VALUE!</v>
      </c>
      <c r="DP351" t="e">
        <f>'Technical Master Data'!D174+"AM:!2GC"</f>
        <v>#VALUE!</v>
      </c>
      <c r="DQ351" t="e">
        <f>'Technical Master Data'!E174+"AM:!2GD"</f>
        <v>#VALUE!</v>
      </c>
      <c r="DR351" t="e">
        <f>'Technical Master Data'!F174+"AM:!2GE"</f>
        <v>#VALUE!</v>
      </c>
      <c r="DS351" t="e">
        <f>'Technical Master Data'!G174+"AM:!2GF"</f>
        <v>#VALUE!</v>
      </c>
      <c r="DT351" t="e">
        <f>'Technical Master Data'!H174+"AM:!2GG"</f>
        <v>#VALUE!</v>
      </c>
      <c r="DU351" t="e">
        <f>'Technical Master Data'!I174+"AM:!2GH"</f>
        <v>#VALUE!</v>
      </c>
      <c r="DV351" t="e">
        <f>'Technical Master Data'!J174+"AM:!2GI"</f>
        <v>#VALUE!</v>
      </c>
      <c r="DW351" t="e">
        <f>'Technical Master Data'!K174+"AM:!2GJ"</f>
        <v>#VALUE!</v>
      </c>
      <c r="DX351" t="e">
        <f>'Technical Master Data'!L174+"AM:!2GK"</f>
        <v>#VALUE!</v>
      </c>
      <c r="DY351" t="e">
        <f>'Technical Master Data'!M174+"AM:!2GL"</f>
        <v>#VALUE!</v>
      </c>
      <c r="DZ351" t="e">
        <f>'Technical Master Data'!N174+"AM:!2GM"</f>
        <v>#VALUE!</v>
      </c>
      <c r="EA351" t="e">
        <f>'Technical Master Data'!O174+"AM:!2GN"</f>
        <v>#VALUE!</v>
      </c>
      <c r="EB351" t="e">
        <f>'Technical Master Data'!P174+"AM:!2GO"</f>
        <v>#VALUE!</v>
      </c>
      <c r="EC351" t="e">
        <f>'Technical Master Data'!Q174+"AM:!2GP"</f>
        <v>#VALUE!</v>
      </c>
      <c r="ED351" t="e">
        <f>'Technical Master Data'!R174+"AM:!2GQ"</f>
        <v>#VALUE!</v>
      </c>
      <c r="EE351" t="e">
        <f>'Technical Master Data'!S174+"AM:!2GR"</f>
        <v>#VALUE!</v>
      </c>
      <c r="EF351" t="e">
        <f>'Technical Master Data'!A175+"AM:!2GS"</f>
        <v>#VALUE!</v>
      </c>
      <c r="EG351" t="e">
        <f>'Technical Master Data'!B175+"AM:!2GT"</f>
        <v>#VALUE!</v>
      </c>
      <c r="EH351" t="e">
        <f>'Technical Master Data'!C175+"AM:!2GU"</f>
        <v>#VALUE!</v>
      </c>
      <c r="EI351" t="e">
        <f>'Technical Master Data'!D175+"AM:!2GV"</f>
        <v>#VALUE!</v>
      </c>
      <c r="EJ351" t="e">
        <f>'Technical Master Data'!E175+"AM:!2GW"</f>
        <v>#VALUE!</v>
      </c>
      <c r="EK351" t="e">
        <f>'Technical Master Data'!F175+"AM:!2GX"</f>
        <v>#VALUE!</v>
      </c>
      <c r="EL351" t="e">
        <f>'Technical Master Data'!G175+"AM:!2GY"</f>
        <v>#VALUE!</v>
      </c>
      <c r="EM351" t="e">
        <f>'Technical Master Data'!H175+"AM:!2GZ"</f>
        <v>#VALUE!</v>
      </c>
      <c r="EN351" t="e">
        <f>'Technical Master Data'!I175+"AM:!2G["</f>
        <v>#VALUE!</v>
      </c>
      <c r="EO351" t="e">
        <f>'Technical Master Data'!J175+"AM:!2G\"</f>
        <v>#VALUE!</v>
      </c>
      <c r="EP351" t="e">
        <f>'Technical Master Data'!K175+"AM:!2G]"</f>
        <v>#VALUE!</v>
      </c>
      <c r="EQ351" t="e">
        <f>'Technical Master Data'!L175+"AM:!2G^"</f>
        <v>#VALUE!</v>
      </c>
      <c r="ER351" t="e">
        <f>'Technical Master Data'!M175+"AM:!2G_"</f>
        <v>#VALUE!</v>
      </c>
      <c r="ES351" t="e">
        <f>'Technical Master Data'!N175+"AM:!2G`"</f>
        <v>#VALUE!</v>
      </c>
      <c r="ET351" t="e">
        <f>'Technical Master Data'!O175+"AM:!2Ga"</f>
        <v>#VALUE!</v>
      </c>
      <c r="EU351" t="e">
        <f>'Technical Master Data'!P175+"AM:!2Gb"</f>
        <v>#VALUE!</v>
      </c>
      <c r="EV351" t="e">
        <f>'Technical Master Data'!Q175+"AM:!2Gc"</f>
        <v>#VALUE!</v>
      </c>
      <c r="EW351" t="e">
        <f>'Technical Master Data'!R175+"AM:!2Gd"</f>
        <v>#VALUE!</v>
      </c>
      <c r="EX351" t="e">
        <f>'Technical Master Data'!S175+"AM:!2Ge"</f>
        <v>#VALUE!</v>
      </c>
      <c r="EY351" t="e">
        <f>'Technical Master Data'!A176+"AM:!2Gf"</f>
        <v>#VALUE!</v>
      </c>
      <c r="EZ351" t="e">
        <f>'Technical Master Data'!B176+"AM:!2Gg"</f>
        <v>#VALUE!</v>
      </c>
      <c r="FA351" t="e">
        <f>'Technical Master Data'!C176+"AM:!2Gh"</f>
        <v>#VALUE!</v>
      </c>
      <c r="FB351" t="e">
        <f>'Technical Master Data'!D176+"AM:!2Gi"</f>
        <v>#VALUE!</v>
      </c>
      <c r="FC351" t="e">
        <f>'Technical Master Data'!E176+"AM:!2Gj"</f>
        <v>#VALUE!</v>
      </c>
      <c r="FD351" t="e">
        <f>'Technical Master Data'!F176+"AM:!2Gk"</f>
        <v>#VALUE!</v>
      </c>
      <c r="FE351" t="e">
        <f>'Technical Master Data'!G176+"AM:!2Gl"</f>
        <v>#VALUE!</v>
      </c>
      <c r="FF351" t="e">
        <f>'Technical Master Data'!H176+"AM:!2Gm"</f>
        <v>#VALUE!</v>
      </c>
      <c r="FG351" t="e">
        <f>'Technical Master Data'!I176+"AM:!2Gn"</f>
        <v>#VALUE!</v>
      </c>
      <c r="FH351" t="e">
        <f>'Technical Master Data'!J176+"AM:!2Go"</f>
        <v>#VALUE!</v>
      </c>
      <c r="FI351" t="e">
        <f>'Technical Master Data'!K176+"AM:!2Gp"</f>
        <v>#VALUE!</v>
      </c>
      <c r="FJ351" t="e">
        <f>'Technical Master Data'!L176+"AM:!2Gq"</f>
        <v>#VALUE!</v>
      </c>
      <c r="FK351" t="e">
        <f>'Technical Master Data'!M176+"AM:!2Gr"</f>
        <v>#VALUE!</v>
      </c>
      <c r="FL351" t="e">
        <f>'Technical Master Data'!N176+"AM:!2Gs"</f>
        <v>#VALUE!</v>
      </c>
      <c r="FM351" t="e">
        <f>'Technical Master Data'!O176+"AM:!2Gt"</f>
        <v>#VALUE!</v>
      </c>
      <c r="FN351" t="e">
        <f>'Technical Master Data'!P176+"AM:!2Gu"</f>
        <v>#VALUE!</v>
      </c>
      <c r="FO351" t="e">
        <f>'Technical Master Data'!Q176+"AM:!2Gv"</f>
        <v>#VALUE!</v>
      </c>
      <c r="FP351" t="e">
        <f>'Technical Master Data'!R176+"AM:!2Gw"</f>
        <v>#VALUE!</v>
      </c>
      <c r="FQ351" t="e">
        <f>'Technical Master Data'!S176+"AM:!2Gx"</f>
        <v>#VALUE!</v>
      </c>
      <c r="FR351" t="e">
        <f>'Technical Master Data'!A177+"AM:!2Gy"</f>
        <v>#VALUE!</v>
      </c>
      <c r="FS351" t="e">
        <f>'Technical Master Data'!B177+"AM:!2Gz"</f>
        <v>#VALUE!</v>
      </c>
      <c r="FT351" t="e">
        <f>'Technical Master Data'!C177+"AM:!2G{"</f>
        <v>#VALUE!</v>
      </c>
      <c r="FU351" t="e">
        <f>'Technical Master Data'!D177+"AM:!2G|"</f>
        <v>#VALUE!</v>
      </c>
      <c r="FV351" t="e">
        <f>'Technical Master Data'!E177+"AM:!2G}"</f>
        <v>#VALUE!</v>
      </c>
      <c r="FW351" t="e">
        <f>'Technical Master Data'!F177+"AM:!2G~"</f>
        <v>#VALUE!</v>
      </c>
      <c r="FX351" t="e">
        <f>'Technical Master Data'!G177+"AM:!2H#"</f>
        <v>#VALUE!</v>
      </c>
      <c r="FY351" t="e">
        <f>'Technical Master Data'!H177+"AM:!2H$"</f>
        <v>#VALUE!</v>
      </c>
      <c r="FZ351" t="e">
        <f>'Technical Master Data'!I177+"AM:!2H%"</f>
        <v>#VALUE!</v>
      </c>
      <c r="GA351" t="e">
        <f>'Technical Master Data'!J177+"AM:!2H&amp;"</f>
        <v>#VALUE!</v>
      </c>
      <c r="GB351" t="e">
        <f>'Technical Master Data'!K177+"AM:!2H'"</f>
        <v>#VALUE!</v>
      </c>
      <c r="GC351" t="e">
        <f>'Technical Master Data'!L177+"AM:!2H("</f>
        <v>#VALUE!</v>
      </c>
      <c r="GD351" t="e">
        <f>'Technical Master Data'!M177+"AM:!2H)"</f>
        <v>#VALUE!</v>
      </c>
      <c r="GE351" t="e">
        <f>'Technical Master Data'!N177+"AM:!2H."</f>
        <v>#VALUE!</v>
      </c>
      <c r="GF351" t="e">
        <f>'Technical Master Data'!O177+"AM:!2H/"</f>
        <v>#VALUE!</v>
      </c>
      <c r="GG351" t="e">
        <f>'Technical Master Data'!P177+"AM:!2H0"</f>
        <v>#VALUE!</v>
      </c>
      <c r="GH351" t="e">
        <f>'Technical Master Data'!Q177+"AM:!2H1"</f>
        <v>#VALUE!</v>
      </c>
      <c r="GI351" t="e">
        <f>'Technical Master Data'!R177+"AM:!2H2"</f>
        <v>#VALUE!</v>
      </c>
      <c r="GJ351" t="e">
        <f>'Technical Master Data'!S177+"AM:!2H3"</f>
        <v>#VALUE!</v>
      </c>
      <c r="GK351" t="e">
        <f>'Technical Master Data'!A178+"AM:!2H4"</f>
        <v>#VALUE!</v>
      </c>
      <c r="GL351" t="e">
        <f>'Technical Master Data'!B178+"AM:!2H5"</f>
        <v>#VALUE!</v>
      </c>
      <c r="GM351" t="e">
        <f>'Technical Master Data'!C178+"AM:!2H6"</f>
        <v>#VALUE!</v>
      </c>
      <c r="GN351" t="e">
        <f>'Technical Master Data'!D178+"AM:!2H7"</f>
        <v>#VALUE!</v>
      </c>
      <c r="GO351" t="e">
        <f>'Technical Master Data'!E178+"AM:!2H8"</f>
        <v>#VALUE!</v>
      </c>
      <c r="GP351" t="e">
        <f>'Technical Master Data'!F178+"AM:!2H9"</f>
        <v>#VALUE!</v>
      </c>
      <c r="GQ351" t="e">
        <f>'Technical Master Data'!G178+"AM:!2H:"</f>
        <v>#VALUE!</v>
      </c>
      <c r="GR351" t="e">
        <f>'Technical Master Data'!H178+"AM:!2H;"</f>
        <v>#VALUE!</v>
      </c>
      <c r="GS351" t="e">
        <f>'Technical Master Data'!I178+"AM:!2H&lt;"</f>
        <v>#VALUE!</v>
      </c>
      <c r="GT351" t="e">
        <f>'Technical Master Data'!J178+"AM:!2H="</f>
        <v>#VALUE!</v>
      </c>
      <c r="GU351" t="e">
        <f>'Technical Master Data'!K178+"AM:!2H&gt;"</f>
        <v>#VALUE!</v>
      </c>
      <c r="GV351" t="e">
        <f>'Technical Master Data'!L178+"AM:!2H?"</f>
        <v>#VALUE!</v>
      </c>
      <c r="GW351" t="e">
        <f>'Technical Master Data'!M178+"AM:!2H@"</f>
        <v>#VALUE!</v>
      </c>
      <c r="GX351" t="e">
        <f>'Technical Master Data'!N178+"AM:!2HA"</f>
        <v>#VALUE!</v>
      </c>
      <c r="GY351" t="e">
        <f>'Technical Master Data'!O178+"AM:!2HB"</f>
        <v>#VALUE!</v>
      </c>
      <c r="GZ351" t="e">
        <f>'Technical Master Data'!P178+"AM:!2HC"</f>
        <v>#VALUE!</v>
      </c>
      <c r="HA351" t="e">
        <f>'Technical Master Data'!Q178+"AM:!2HD"</f>
        <v>#VALUE!</v>
      </c>
      <c r="HB351" t="e">
        <f>'Technical Master Data'!R178+"AM:!2HE"</f>
        <v>#VALUE!</v>
      </c>
      <c r="HC351" t="e">
        <f>'Technical Master Data'!S178+"AM:!2HF"</f>
        <v>#VALUE!</v>
      </c>
      <c r="HD351" t="e">
        <f>'Technical Master Data'!A179+"AM:!2HG"</f>
        <v>#VALUE!</v>
      </c>
      <c r="HE351" t="e">
        <f>'Technical Master Data'!B179+"AM:!2HH"</f>
        <v>#VALUE!</v>
      </c>
      <c r="HF351" t="e">
        <f>'Technical Master Data'!C179+"AM:!2HI"</f>
        <v>#VALUE!</v>
      </c>
      <c r="HG351" t="e">
        <f>'Technical Master Data'!D179+"AM:!2HJ"</f>
        <v>#VALUE!</v>
      </c>
      <c r="HH351" t="e">
        <f>'Technical Master Data'!E179+"AM:!2HK"</f>
        <v>#VALUE!</v>
      </c>
      <c r="HI351" t="e">
        <f>'Technical Master Data'!F179+"AM:!2HL"</f>
        <v>#VALUE!</v>
      </c>
      <c r="HJ351" t="e">
        <f>'Technical Master Data'!G179+"AM:!2HM"</f>
        <v>#VALUE!</v>
      </c>
      <c r="HK351" t="e">
        <f>'Technical Master Data'!H179+"AM:!2HN"</f>
        <v>#VALUE!</v>
      </c>
      <c r="HL351" t="e">
        <f>'Technical Master Data'!I179+"AM:!2HO"</f>
        <v>#VALUE!</v>
      </c>
      <c r="HM351" t="e">
        <f>'Technical Master Data'!J179+"AM:!2HP"</f>
        <v>#VALUE!</v>
      </c>
      <c r="HN351" t="e">
        <f>'Technical Master Data'!K179+"AM:!2HQ"</f>
        <v>#VALUE!</v>
      </c>
      <c r="HO351" t="e">
        <f>'Technical Master Data'!L179+"AM:!2HR"</f>
        <v>#VALUE!</v>
      </c>
      <c r="HP351" t="e">
        <f>'Technical Master Data'!M179+"AM:!2HS"</f>
        <v>#VALUE!</v>
      </c>
      <c r="HQ351" t="e">
        <f>'Technical Master Data'!N179+"AM:!2HT"</f>
        <v>#VALUE!</v>
      </c>
      <c r="HR351" t="e">
        <f>'Technical Master Data'!O179+"AM:!2HU"</f>
        <v>#VALUE!</v>
      </c>
      <c r="HS351" t="e">
        <f>'Technical Master Data'!P179+"AM:!2HV"</f>
        <v>#VALUE!</v>
      </c>
      <c r="HT351" t="e">
        <f>'Technical Master Data'!Q179+"AM:!2HW"</f>
        <v>#VALUE!</v>
      </c>
      <c r="HU351" t="e">
        <f>'Technical Master Data'!R179+"AM:!2HX"</f>
        <v>#VALUE!</v>
      </c>
      <c r="HV351" t="e">
        <f>'Technical Master Data'!S179+"AM:!2HY"</f>
        <v>#VALUE!</v>
      </c>
      <c r="HW351" t="e">
        <f>'Technical Master Data'!A180+"AM:!2HZ"</f>
        <v>#VALUE!</v>
      </c>
      <c r="HX351" t="e">
        <f>'Technical Master Data'!B180+"AM:!2H["</f>
        <v>#VALUE!</v>
      </c>
      <c r="HY351" t="e">
        <f>'Technical Master Data'!C180+"AM:!2H\"</f>
        <v>#VALUE!</v>
      </c>
      <c r="HZ351" t="e">
        <f>'Technical Master Data'!D180+"AM:!2H]"</f>
        <v>#VALUE!</v>
      </c>
      <c r="IA351" t="e">
        <f>'Technical Master Data'!E180+"AM:!2H^"</f>
        <v>#VALUE!</v>
      </c>
      <c r="IB351" t="e">
        <f>'Technical Master Data'!F180+"AM:!2H_"</f>
        <v>#VALUE!</v>
      </c>
      <c r="IC351" t="e">
        <f>'Technical Master Data'!G180+"AM:!2H`"</f>
        <v>#VALUE!</v>
      </c>
      <c r="ID351" t="e">
        <f>'Technical Master Data'!H180+"AM:!2Ha"</f>
        <v>#VALUE!</v>
      </c>
      <c r="IE351" t="e">
        <f>'Technical Master Data'!I180+"AM:!2Hb"</f>
        <v>#VALUE!</v>
      </c>
      <c r="IF351" t="e">
        <f>'Technical Master Data'!J180+"AM:!2Hc"</f>
        <v>#VALUE!</v>
      </c>
      <c r="IG351" t="e">
        <f>'Technical Master Data'!K180+"AM:!2Hd"</f>
        <v>#VALUE!</v>
      </c>
      <c r="IH351" t="e">
        <f>'Technical Master Data'!L180+"AM:!2He"</f>
        <v>#VALUE!</v>
      </c>
      <c r="II351" t="e">
        <f>'Technical Master Data'!M180+"AM:!2Hf"</f>
        <v>#VALUE!</v>
      </c>
      <c r="IJ351" t="e">
        <f>'Technical Master Data'!N180+"AM:!2Hg"</f>
        <v>#VALUE!</v>
      </c>
      <c r="IK351" t="e">
        <f>'Technical Master Data'!O180+"AM:!2Hh"</f>
        <v>#VALUE!</v>
      </c>
      <c r="IL351" t="e">
        <f>'Technical Master Data'!P180+"AM:!2Hi"</f>
        <v>#VALUE!</v>
      </c>
      <c r="IM351" t="e">
        <f>'Technical Master Data'!Q180+"AM:!2Hj"</f>
        <v>#VALUE!</v>
      </c>
      <c r="IN351" t="e">
        <f>'Technical Master Data'!R180+"AM:!2Hk"</f>
        <v>#VALUE!</v>
      </c>
      <c r="IO351" t="e">
        <f>'Technical Master Data'!S180+"AM:!2Hl"</f>
        <v>#VALUE!</v>
      </c>
      <c r="IP351" t="e">
        <f>'Technical Master Data'!A181+"AM:!2Hm"</f>
        <v>#VALUE!</v>
      </c>
      <c r="IQ351" t="e">
        <f>'Technical Master Data'!B181+"AM:!2Hn"</f>
        <v>#VALUE!</v>
      </c>
      <c r="IR351" t="e">
        <f>'Technical Master Data'!C181+"AM:!2Ho"</f>
        <v>#VALUE!</v>
      </c>
      <c r="IS351" t="e">
        <f>'Technical Master Data'!D181+"AM:!2Hp"</f>
        <v>#VALUE!</v>
      </c>
      <c r="IT351" t="e">
        <f>'Technical Master Data'!E181+"AM:!2Hq"</f>
        <v>#VALUE!</v>
      </c>
      <c r="IU351" t="e">
        <f>'Technical Master Data'!F181+"AM:!2Hr"</f>
        <v>#VALUE!</v>
      </c>
      <c r="IV351" t="e">
        <f>'Technical Master Data'!G181+"AM:!2Hs"</f>
        <v>#VALUE!</v>
      </c>
    </row>
    <row r="352" spans="6:256">
      <c r="F352" t="e">
        <f>'Technical Master Data'!H181+"AM:!2Ht"</f>
        <v>#VALUE!</v>
      </c>
      <c r="G352" t="e">
        <f>'Technical Master Data'!I181+"AM:!2Hu"</f>
        <v>#VALUE!</v>
      </c>
      <c r="H352" t="e">
        <f>'Technical Master Data'!J181+"AM:!2Hv"</f>
        <v>#VALUE!</v>
      </c>
      <c r="I352" t="e">
        <f>'Technical Master Data'!K181+"AM:!2Hw"</f>
        <v>#VALUE!</v>
      </c>
      <c r="J352" t="e">
        <f>'Technical Master Data'!L181+"AM:!2Hx"</f>
        <v>#VALUE!</v>
      </c>
      <c r="K352" t="e">
        <f>'Technical Master Data'!M181+"AM:!2Hy"</f>
        <v>#VALUE!</v>
      </c>
      <c r="L352" t="e">
        <f>'Technical Master Data'!N181+"AM:!2Hz"</f>
        <v>#VALUE!</v>
      </c>
      <c r="M352" t="e">
        <f>'Technical Master Data'!O181+"AM:!2H{"</f>
        <v>#VALUE!</v>
      </c>
      <c r="N352" t="e">
        <f>'Technical Master Data'!P181+"AM:!2H|"</f>
        <v>#VALUE!</v>
      </c>
      <c r="O352" t="e">
        <f>'Technical Master Data'!Q181+"AM:!2H}"</f>
        <v>#VALUE!</v>
      </c>
      <c r="P352" t="e">
        <f>'Technical Master Data'!R181+"AM:!2H~"</f>
        <v>#VALUE!</v>
      </c>
      <c r="Q352" t="e">
        <f>'Technical Master Data'!S181+"AM:!2I#"</f>
        <v>#VALUE!</v>
      </c>
      <c r="R352" t="e">
        <f>'Technical Master Data'!A182+"AM:!2I$"</f>
        <v>#VALUE!</v>
      </c>
      <c r="S352" t="e">
        <f>'Technical Master Data'!B182+"AM:!2I%"</f>
        <v>#VALUE!</v>
      </c>
      <c r="T352" t="e">
        <f>'Technical Master Data'!C182+"AM:!2I&amp;"</f>
        <v>#VALUE!</v>
      </c>
      <c r="U352" t="e">
        <f>'Technical Master Data'!D182+"AM:!2I'"</f>
        <v>#VALUE!</v>
      </c>
      <c r="V352" t="e">
        <f>'Technical Master Data'!E182+"AM:!2I("</f>
        <v>#VALUE!</v>
      </c>
      <c r="W352" t="e">
        <f>'Technical Master Data'!F182+"AM:!2I)"</f>
        <v>#VALUE!</v>
      </c>
      <c r="X352" t="e">
        <f>'Technical Master Data'!G182+"AM:!2I."</f>
        <v>#VALUE!</v>
      </c>
      <c r="Y352" t="e">
        <f>'Technical Master Data'!H182+"AM:!2I/"</f>
        <v>#VALUE!</v>
      </c>
      <c r="Z352" t="e">
        <f>'Technical Master Data'!I182+"AM:!2I0"</f>
        <v>#VALUE!</v>
      </c>
      <c r="AA352" t="e">
        <f>'Technical Master Data'!J182+"AM:!2I1"</f>
        <v>#VALUE!</v>
      </c>
      <c r="AB352" t="e">
        <f>'Technical Master Data'!K182+"AM:!2I2"</f>
        <v>#VALUE!</v>
      </c>
      <c r="AC352" t="e">
        <f>'Technical Master Data'!L182+"AM:!2I3"</f>
        <v>#VALUE!</v>
      </c>
      <c r="AD352" t="e">
        <f>'Technical Master Data'!M182+"AM:!2I4"</f>
        <v>#VALUE!</v>
      </c>
      <c r="AE352" t="e">
        <f>'Technical Master Data'!N182+"AM:!2I5"</f>
        <v>#VALUE!</v>
      </c>
      <c r="AF352" t="e">
        <f>'Technical Master Data'!O182+"AM:!2I6"</f>
        <v>#VALUE!</v>
      </c>
      <c r="AG352" t="e">
        <f>'Technical Master Data'!P182+"AM:!2I7"</f>
        <v>#VALUE!</v>
      </c>
      <c r="AH352" t="e">
        <f>'Technical Master Data'!Q182+"AM:!2I8"</f>
        <v>#VALUE!</v>
      </c>
      <c r="AI352" t="e">
        <f>'Technical Master Data'!R182+"AM:!2I9"</f>
        <v>#VALUE!</v>
      </c>
      <c r="AJ352" t="e">
        <f>'Technical Master Data'!S182+"AM:!2I:"</f>
        <v>#VALUE!</v>
      </c>
      <c r="AK352" t="e">
        <f>'Technical Master Data'!A183+"AM:!2I;"</f>
        <v>#VALUE!</v>
      </c>
      <c r="AL352" t="e">
        <f>'Technical Master Data'!B183+"AM:!2I&lt;"</f>
        <v>#VALUE!</v>
      </c>
      <c r="AM352" t="e">
        <f>'Technical Master Data'!C183+"AM:!2I="</f>
        <v>#VALUE!</v>
      </c>
      <c r="AN352" t="e">
        <f>'Technical Master Data'!D183+"AM:!2I&gt;"</f>
        <v>#VALUE!</v>
      </c>
      <c r="AO352" t="e">
        <f>'Technical Master Data'!E183+"AM:!2I?"</f>
        <v>#VALUE!</v>
      </c>
      <c r="AP352" t="e">
        <f>'Technical Master Data'!F183+"AM:!2I@"</f>
        <v>#VALUE!</v>
      </c>
      <c r="AQ352" t="e">
        <f>'Technical Master Data'!G183+"AM:!2IA"</f>
        <v>#VALUE!</v>
      </c>
      <c r="AR352" t="e">
        <f>'Technical Master Data'!H183+"AM:!2IB"</f>
        <v>#VALUE!</v>
      </c>
      <c r="AS352" t="e">
        <f>'Technical Master Data'!I183+"AM:!2IC"</f>
        <v>#VALUE!</v>
      </c>
      <c r="AT352" t="e">
        <f>'Technical Master Data'!J183+"AM:!2ID"</f>
        <v>#VALUE!</v>
      </c>
      <c r="AU352" t="e">
        <f>'Technical Master Data'!K183+"AM:!2IE"</f>
        <v>#VALUE!</v>
      </c>
      <c r="AV352" t="e">
        <f>'Technical Master Data'!L183+"AM:!2IF"</f>
        <v>#VALUE!</v>
      </c>
      <c r="AW352" t="e">
        <f>'Technical Master Data'!M183+"AM:!2IG"</f>
        <v>#VALUE!</v>
      </c>
      <c r="AX352" t="e">
        <f>'Technical Master Data'!N183+"AM:!2IH"</f>
        <v>#VALUE!</v>
      </c>
      <c r="AY352" t="e">
        <f>'Technical Master Data'!O183+"AM:!2II"</f>
        <v>#VALUE!</v>
      </c>
      <c r="AZ352" t="e">
        <f>'Technical Master Data'!P183+"AM:!2IJ"</f>
        <v>#VALUE!</v>
      </c>
      <c r="BA352" t="e">
        <f>'Technical Master Data'!Q183+"AM:!2IK"</f>
        <v>#VALUE!</v>
      </c>
      <c r="BB352" t="e">
        <f>'Technical Master Data'!R183+"AM:!2IL"</f>
        <v>#VALUE!</v>
      </c>
      <c r="BC352" t="e">
        <f>'Technical Master Data'!S183+"AM:!2IM"</f>
        <v>#VALUE!</v>
      </c>
      <c r="BD352" t="e">
        <f>'Technical Master Data'!A184+"AM:!2IN"</f>
        <v>#VALUE!</v>
      </c>
      <c r="BE352" t="e">
        <f>'Technical Master Data'!B184+"AM:!2IO"</f>
        <v>#VALUE!</v>
      </c>
      <c r="BF352" t="e">
        <f>'Technical Master Data'!C184+"AM:!2IP"</f>
        <v>#VALUE!</v>
      </c>
      <c r="BG352" t="e">
        <f>'Technical Master Data'!D184+"AM:!2IQ"</f>
        <v>#VALUE!</v>
      </c>
      <c r="BH352" t="e">
        <f>'Technical Master Data'!E184+"AM:!2IR"</f>
        <v>#VALUE!</v>
      </c>
      <c r="BI352" t="e">
        <f>'Technical Master Data'!F184+"AM:!2IS"</f>
        <v>#VALUE!</v>
      </c>
      <c r="BJ352" t="e">
        <f>'Technical Master Data'!G184+"AM:!2IT"</f>
        <v>#VALUE!</v>
      </c>
      <c r="BK352" t="e">
        <f>'Technical Master Data'!H184+"AM:!2IU"</f>
        <v>#VALUE!</v>
      </c>
      <c r="BL352" t="e">
        <f>'Technical Master Data'!I184+"AM:!2IV"</f>
        <v>#VALUE!</v>
      </c>
      <c r="BM352" t="e">
        <f>'Technical Master Data'!J184+"AM:!2IW"</f>
        <v>#VALUE!</v>
      </c>
      <c r="BN352" t="e">
        <f>'Technical Master Data'!K184+"AM:!2IX"</f>
        <v>#VALUE!</v>
      </c>
      <c r="BO352" t="e">
        <f>'Technical Master Data'!L184+"AM:!2IY"</f>
        <v>#VALUE!</v>
      </c>
      <c r="BP352" t="e">
        <f>'Technical Master Data'!M184+"AM:!2IZ"</f>
        <v>#VALUE!</v>
      </c>
      <c r="BQ352" t="e">
        <f>'Technical Master Data'!N184+"AM:!2I["</f>
        <v>#VALUE!</v>
      </c>
      <c r="BR352" t="e">
        <f>'Technical Master Data'!O184+"AM:!2I\"</f>
        <v>#VALUE!</v>
      </c>
      <c r="BS352" t="e">
        <f>'Technical Master Data'!P184+"AM:!2I]"</f>
        <v>#VALUE!</v>
      </c>
      <c r="BT352" t="e">
        <f>'Technical Master Data'!Q184+"AM:!2I^"</f>
        <v>#VALUE!</v>
      </c>
      <c r="BU352" t="e">
        <f>'Technical Master Data'!R184+"AM:!2I_"</f>
        <v>#VALUE!</v>
      </c>
      <c r="BV352" t="e">
        <f>'Technical Master Data'!S184+"AM:!2I`"</f>
        <v>#VALUE!</v>
      </c>
      <c r="BW352" t="e">
        <f>'Technical Master Data'!A185+"AM:!2Ia"</f>
        <v>#VALUE!</v>
      </c>
      <c r="BX352" t="e">
        <f>'Technical Master Data'!B185+"AM:!2Ib"</f>
        <v>#VALUE!</v>
      </c>
      <c r="BY352" t="e">
        <f>'Technical Master Data'!C185+"AM:!2Ic"</f>
        <v>#VALUE!</v>
      </c>
      <c r="BZ352" t="e">
        <f>'Technical Master Data'!D185+"AM:!2Id"</f>
        <v>#VALUE!</v>
      </c>
      <c r="CA352" t="e">
        <f>'Technical Master Data'!E185+"AM:!2Ie"</f>
        <v>#VALUE!</v>
      </c>
      <c r="CB352" t="e">
        <f>'Technical Master Data'!F185+"AM:!2If"</f>
        <v>#VALUE!</v>
      </c>
      <c r="CC352" t="e">
        <f>'Technical Master Data'!G185+"AM:!2Ig"</f>
        <v>#VALUE!</v>
      </c>
      <c r="CD352" t="e">
        <f>'Technical Master Data'!H185+"AM:!2Ih"</f>
        <v>#VALUE!</v>
      </c>
      <c r="CE352" t="e">
        <f>'Technical Master Data'!I185+"AM:!2Ii"</f>
        <v>#VALUE!</v>
      </c>
      <c r="CF352" t="e">
        <f>'Technical Master Data'!J185+"AM:!2Ij"</f>
        <v>#VALUE!</v>
      </c>
      <c r="CG352" t="e">
        <f>'Technical Master Data'!K185+"AM:!2Ik"</f>
        <v>#VALUE!</v>
      </c>
      <c r="CH352" t="e">
        <f>'Technical Master Data'!L185+"AM:!2Il"</f>
        <v>#VALUE!</v>
      </c>
      <c r="CI352" t="e">
        <f>'Technical Master Data'!M185+"AM:!2Im"</f>
        <v>#VALUE!</v>
      </c>
      <c r="CJ352" t="e">
        <f>'Technical Master Data'!N185+"AM:!2In"</f>
        <v>#VALUE!</v>
      </c>
      <c r="CK352" t="e">
        <f>'Technical Master Data'!O185+"AM:!2Io"</f>
        <v>#VALUE!</v>
      </c>
      <c r="CL352" t="e">
        <f>'Technical Master Data'!P185+"AM:!2Ip"</f>
        <v>#VALUE!</v>
      </c>
      <c r="CM352" t="e">
        <f>'Technical Master Data'!Q185+"AM:!2Iq"</f>
        <v>#VALUE!</v>
      </c>
      <c r="CN352" t="e">
        <f>'Technical Master Data'!R185+"AM:!2Ir"</f>
        <v>#VALUE!</v>
      </c>
      <c r="CO352" t="e">
        <f>'Technical Master Data'!S185+"AM:!2Is"</f>
        <v>#VALUE!</v>
      </c>
      <c r="CP352" t="e">
        <f>'Technical Master Data'!A186+"AM:!2It"</f>
        <v>#VALUE!</v>
      </c>
      <c r="CQ352" t="e">
        <f>'Technical Master Data'!B186+"AM:!2Iu"</f>
        <v>#VALUE!</v>
      </c>
      <c r="CR352" t="e">
        <f>'Technical Master Data'!C186+"AM:!2Iv"</f>
        <v>#VALUE!</v>
      </c>
      <c r="CS352" t="e">
        <f>'Technical Master Data'!D186+"AM:!2Iw"</f>
        <v>#VALUE!</v>
      </c>
      <c r="CT352" t="e">
        <f>'Technical Master Data'!E186+"AM:!2Ix"</f>
        <v>#VALUE!</v>
      </c>
      <c r="CU352" t="e">
        <f>'Technical Master Data'!F186+"AM:!2Iy"</f>
        <v>#VALUE!</v>
      </c>
      <c r="CV352" t="e">
        <f>'Technical Master Data'!G186+"AM:!2Iz"</f>
        <v>#VALUE!</v>
      </c>
      <c r="CW352" t="e">
        <f>'Technical Master Data'!H186+"AM:!2I{"</f>
        <v>#VALUE!</v>
      </c>
      <c r="CX352" t="e">
        <f>'Technical Master Data'!I186+"AM:!2I|"</f>
        <v>#VALUE!</v>
      </c>
      <c r="CY352" t="e">
        <f>'Technical Master Data'!J186+"AM:!2I}"</f>
        <v>#VALUE!</v>
      </c>
      <c r="CZ352" t="e">
        <f>'Technical Master Data'!K186+"AM:!2I~"</f>
        <v>#VALUE!</v>
      </c>
      <c r="DA352" t="e">
        <f>'Technical Master Data'!L186+"AM:!2J#"</f>
        <v>#VALUE!</v>
      </c>
      <c r="DB352" t="e">
        <f>'Technical Master Data'!M186+"AM:!2J$"</f>
        <v>#VALUE!</v>
      </c>
      <c r="DC352" t="e">
        <f>'Technical Master Data'!N186+"AM:!2J%"</f>
        <v>#VALUE!</v>
      </c>
      <c r="DD352" t="e">
        <f>'Technical Master Data'!O186+"AM:!2J&amp;"</f>
        <v>#VALUE!</v>
      </c>
      <c r="DE352" t="e">
        <f>'Technical Master Data'!P186+"AM:!2J'"</f>
        <v>#VALUE!</v>
      </c>
      <c r="DF352" t="e">
        <f>'Technical Master Data'!Q186+"AM:!2J("</f>
        <v>#VALUE!</v>
      </c>
      <c r="DG352" t="e">
        <f>'Technical Master Data'!R186+"AM:!2J)"</f>
        <v>#VALUE!</v>
      </c>
      <c r="DH352" t="e">
        <f>'Technical Master Data'!S186+"AM:!2J."</f>
        <v>#VALUE!</v>
      </c>
      <c r="DI352" t="e">
        <f>'Technical Master Data'!A187+"AM:!2J/"</f>
        <v>#VALUE!</v>
      </c>
      <c r="DJ352" t="e">
        <f>'Technical Master Data'!B187+"AM:!2J0"</f>
        <v>#VALUE!</v>
      </c>
      <c r="DK352" t="e">
        <f>'Technical Master Data'!C187+"AM:!2J1"</f>
        <v>#VALUE!</v>
      </c>
      <c r="DL352" t="e">
        <f>'Technical Master Data'!D187+"AM:!2J2"</f>
        <v>#VALUE!</v>
      </c>
      <c r="DM352" t="e">
        <f>'Technical Master Data'!E187+"AM:!2J3"</f>
        <v>#VALUE!</v>
      </c>
      <c r="DN352" t="e">
        <f>'Technical Master Data'!F187+"AM:!2J4"</f>
        <v>#VALUE!</v>
      </c>
      <c r="DO352" t="e">
        <f>'Technical Master Data'!G187+"AM:!2J5"</f>
        <v>#VALUE!</v>
      </c>
      <c r="DP352" t="e">
        <f>'Technical Master Data'!H187+"AM:!2J6"</f>
        <v>#VALUE!</v>
      </c>
      <c r="DQ352" t="e">
        <f>'Technical Master Data'!I187+"AM:!2J7"</f>
        <v>#VALUE!</v>
      </c>
      <c r="DR352" t="e">
        <f>'Technical Master Data'!J187+"AM:!2J8"</f>
        <v>#VALUE!</v>
      </c>
      <c r="DS352" t="e">
        <f>'Technical Master Data'!K187+"AM:!2J9"</f>
        <v>#VALUE!</v>
      </c>
      <c r="DT352" t="e">
        <f>'Technical Master Data'!L187+"AM:!2J:"</f>
        <v>#VALUE!</v>
      </c>
      <c r="DU352" t="e">
        <f>'Technical Master Data'!M187+"AM:!2J;"</f>
        <v>#VALUE!</v>
      </c>
      <c r="DV352" t="e">
        <f>'Technical Master Data'!N187+"AM:!2J&lt;"</f>
        <v>#VALUE!</v>
      </c>
      <c r="DW352" t="e">
        <f>'Technical Master Data'!O187+"AM:!2J="</f>
        <v>#VALUE!</v>
      </c>
      <c r="DX352" t="e">
        <f>'Technical Master Data'!P187+"AM:!2J&gt;"</f>
        <v>#VALUE!</v>
      </c>
      <c r="DY352" t="e">
        <f>'Technical Master Data'!Q187+"AM:!2J?"</f>
        <v>#VALUE!</v>
      </c>
      <c r="DZ352" t="e">
        <f>'Technical Master Data'!R187+"AM:!2J@"</f>
        <v>#VALUE!</v>
      </c>
      <c r="EA352" t="e">
        <f>'Technical Master Data'!S187+"AM:!2JA"</f>
        <v>#VALUE!</v>
      </c>
      <c r="EB352" t="e">
        <f>'Technical Master Data'!A188+"AM:!2JB"</f>
        <v>#VALUE!</v>
      </c>
      <c r="EC352" t="e">
        <f>'Technical Master Data'!B188+"AM:!2JC"</f>
        <v>#VALUE!</v>
      </c>
      <c r="ED352" t="e">
        <f>'Technical Master Data'!C188+"AM:!2JD"</f>
        <v>#VALUE!</v>
      </c>
      <c r="EE352" t="e">
        <f>'Technical Master Data'!D188+"AM:!2JE"</f>
        <v>#VALUE!</v>
      </c>
      <c r="EF352" t="e">
        <f>'Technical Master Data'!E188+"AM:!2JF"</f>
        <v>#VALUE!</v>
      </c>
      <c r="EG352" t="e">
        <f>'Technical Master Data'!F188+"AM:!2JG"</f>
        <v>#VALUE!</v>
      </c>
      <c r="EH352" t="e">
        <f>'Technical Master Data'!G188+"AM:!2JH"</f>
        <v>#VALUE!</v>
      </c>
      <c r="EI352" t="e">
        <f>'Technical Master Data'!H188+"AM:!2JI"</f>
        <v>#VALUE!</v>
      </c>
      <c r="EJ352" t="e">
        <f>'Technical Master Data'!I188+"AM:!2JJ"</f>
        <v>#VALUE!</v>
      </c>
      <c r="EK352" t="e">
        <f>'Technical Master Data'!J188+"AM:!2JK"</f>
        <v>#VALUE!</v>
      </c>
      <c r="EL352" t="e">
        <f>'Technical Master Data'!K188+"AM:!2JL"</f>
        <v>#VALUE!</v>
      </c>
      <c r="EM352" t="e">
        <f>'Technical Master Data'!L188+"AM:!2JM"</f>
        <v>#VALUE!</v>
      </c>
      <c r="EN352" t="e">
        <f>'Technical Master Data'!M188+"AM:!2JN"</f>
        <v>#VALUE!</v>
      </c>
      <c r="EO352" t="e">
        <f>'Technical Master Data'!N188+"AM:!2JO"</f>
        <v>#VALUE!</v>
      </c>
      <c r="EP352" t="e">
        <f>'Technical Master Data'!O188+"AM:!2JP"</f>
        <v>#VALUE!</v>
      </c>
      <c r="EQ352" t="e">
        <f>'Technical Master Data'!P188+"AM:!2JQ"</f>
        <v>#VALUE!</v>
      </c>
      <c r="ER352" t="e">
        <f>'Technical Master Data'!Q188+"AM:!2JR"</f>
        <v>#VALUE!</v>
      </c>
      <c r="ES352" t="e">
        <f>'Technical Master Data'!R188+"AM:!2JS"</f>
        <v>#VALUE!</v>
      </c>
      <c r="ET352" t="e">
        <f>'Technical Master Data'!S188+"AM:!2JT"</f>
        <v>#VALUE!</v>
      </c>
      <c r="EU352" t="e">
        <f>'Technical Master Data'!A189+"AM:!2JU"</f>
        <v>#VALUE!</v>
      </c>
      <c r="EV352" t="e">
        <f>'Technical Master Data'!B189+"AM:!2JV"</f>
        <v>#VALUE!</v>
      </c>
      <c r="EW352" t="e">
        <f>'Technical Master Data'!C189+"AM:!2JW"</f>
        <v>#VALUE!</v>
      </c>
      <c r="EX352" t="e">
        <f>'Technical Master Data'!D189+"AM:!2JX"</f>
        <v>#VALUE!</v>
      </c>
      <c r="EY352" t="e">
        <f>'Technical Master Data'!E189+"AM:!2JY"</f>
        <v>#VALUE!</v>
      </c>
      <c r="EZ352" t="e">
        <f>'Technical Master Data'!F189+"AM:!2JZ"</f>
        <v>#VALUE!</v>
      </c>
      <c r="FA352" t="e">
        <f>'Technical Master Data'!G189+"AM:!2J["</f>
        <v>#VALUE!</v>
      </c>
      <c r="FB352" t="e">
        <f>'Technical Master Data'!H189+"AM:!2J\"</f>
        <v>#VALUE!</v>
      </c>
      <c r="FC352" t="e">
        <f>'Technical Master Data'!I189+"AM:!2J]"</f>
        <v>#VALUE!</v>
      </c>
      <c r="FD352" t="e">
        <f>'Technical Master Data'!J189+"AM:!2J^"</f>
        <v>#VALUE!</v>
      </c>
      <c r="FE352" t="e">
        <f>'Technical Master Data'!K189+"AM:!2J_"</f>
        <v>#VALUE!</v>
      </c>
      <c r="FF352" t="e">
        <f>'Technical Master Data'!L189+"AM:!2J`"</f>
        <v>#VALUE!</v>
      </c>
      <c r="FG352" t="e">
        <f>'Technical Master Data'!M189+"AM:!2Ja"</f>
        <v>#VALUE!</v>
      </c>
      <c r="FH352" t="e">
        <f>'Technical Master Data'!N189+"AM:!2Jb"</f>
        <v>#VALUE!</v>
      </c>
      <c r="FI352" t="e">
        <f>'Technical Master Data'!O189+"AM:!2Jc"</f>
        <v>#VALUE!</v>
      </c>
      <c r="FJ352" t="e">
        <f>'Technical Master Data'!P189+"AM:!2Jd"</f>
        <v>#VALUE!</v>
      </c>
      <c r="FK352" t="e">
        <f>'Technical Master Data'!Q189+"AM:!2Je"</f>
        <v>#VALUE!</v>
      </c>
      <c r="FL352" t="e">
        <f>'Technical Master Data'!R189+"AM:!2Jf"</f>
        <v>#VALUE!</v>
      </c>
      <c r="FM352" t="e">
        <f>'Technical Master Data'!S189+"AM:!2Jg"</f>
        <v>#VALUE!</v>
      </c>
      <c r="FN352" t="e">
        <f>'Technical Master Data'!A190+"AM:!2Jh"</f>
        <v>#VALUE!</v>
      </c>
      <c r="FO352" t="e">
        <f>'Technical Master Data'!B190+"AM:!2Ji"</f>
        <v>#VALUE!</v>
      </c>
      <c r="FP352" t="e">
        <f>'Technical Master Data'!C190+"AM:!2Jj"</f>
        <v>#VALUE!</v>
      </c>
      <c r="FQ352" t="e">
        <f>'Technical Master Data'!D190+"AM:!2Jk"</f>
        <v>#VALUE!</v>
      </c>
      <c r="FR352" t="e">
        <f>'Technical Master Data'!E190+"AM:!2Jl"</f>
        <v>#VALUE!</v>
      </c>
      <c r="FS352" t="e">
        <f>'Technical Master Data'!F190+"AM:!2Jm"</f>
        <v>#VALUE!</v>
      </c>
      <c r="FT352" t="e">
        <f>'Technical Master Data'!G190+"AM:!2Jn"</f>
        <v>#VALUE!</v>
      </c>
      <c r="FU352" t="e">
        <f>'Technical Master Data'!H190+"AM:!2Jo"</f>
        <v>#VALUE!</v>
      </c>
      <c r="FV352" t="e">
        <f>'Technical Master Data'!I190+"AM:!2Jp"</f>
        <v>#VALUE!</v>
      </c>
      <c r="FW352" t="e">
        <f>'Technical Master Data'!J190+"AM:!2Jq"</f>
        <v>#VALUE!</v>
      </c>
      <c r="FX352" t="e">
        <f>'Technical Master Data'!K190+"AM:!2Jr"</f>
        <v>#VALUE!</v>
      </c>
      <c r="FY352" t="e">
        <f>'Technical Master Data'!L190+"AM:!2Js"</f>
        <v>#VALUE!</v>
      </c>
      <c r="FZ352" t="e">
        <f>'Technical Master Data'!M190+"AM:!2Jt"</f>
        <v>#VALUE!</v>
      </c>
      <c r="GA352" t="e">
        <f>'Technical Master Data'!N190+"AM:!2Ju"</f>
        <v>#VALUE!</v>
      </c>
      <c r="GB352" t="e">
        <f>'Technical Master Data'!O190+"AM:!2Jv"</f>
        <v>#VALUE!</v>
      </c>
      <c r="GC352" t="e">
        <f>'Technical Master Data'!P190+"AM:!2Jw"</f>
        <v>#VALUE!</v>
      </c>
      <c r="GD352" t="e">
        <f>'Technical Master Data'!Q190+"AM:!2Jx"</f>
        <v>#VALUE!</v>
      </c>
      <c r="GE352" t="e">
        <f>'Technical Master Data'!R190+"AM:!2Jy"</f>
        <v>#VALUE!</v>
      </c>
      <c r="GF352" t="e">
        <f>'Technical Master Data'!S190+"AM:!2Jz"</f>
        <v>#VALUE!</v>
      </c>
      <c r="GG352" t="e">
        <f>'Technical Master Data'!A191+"AM:!2J{"</f>
        <v>#VALUE!</v>
      </c>
      <c r="GH352" t="e">
        <f>'Technical Master Data'!B191+"AM:!2J|"</f>
        <v>#VALUE!</v>
      </c>
      <c r="GI352" t="e">
        <f>'Technical Master Data'!C191+"AM:!2J}"</f>
        <v>#VALUE!</v>
      </c>
      <c r="GJ352" t="e">
        <f>'Technical Master Data'!D191+"AM:!2J~"</f>
        <v>#VALUE!</v>
      </c>
      <c r="GK352" t="e">
        <f>'Technical Master Data'!E191+"AM:!2K#"</f>
        <v>#VALUE!</v>
      </c>
      <c r="GL352" t="e">
        <f>'Technical Master Data'!F191+"AM:!2K$"</f>
        <v>#VALUE!</v>
      </c>
      <c r="GM352" t="e">
        <f>'Technical Master Data'!G191+"AM:!2K%"</f>
        <v>#VALUE!</v>
      </c>
      <c r="GN352" t="e">
        <f>'Technical Master Data'!H191+"AM:!2K&amp;"</f>
        <v>#VALUE!</v>
      </c>
      <c r="GO352" t="e">
        <f>'Technical Master Data'!I191+"AM:!2K'"</f>
        <v>#VALUE!</v>
      </c>
      <c r="GP352" t="e">
        <f>'Technical Master Data'!J191+"AM:!2K("</f>
        <v>#VALUE!</v>
      </c>
      <c r="GQ352" t="e">
        <f>'Technical Master Data'!K191+"AM:!2K)"</f>
        <v>#VALUE!</v>
      </c>
      <c r="GR352" t="e">
        <f>'Technical Master Data'!L191+"AM:!2K."</f>
        <v>#VALUE!</v>
      </c>
      <c r="GS352" t="e">
        <f>'Technical Master Data'!M191+"AM:!2K/"</f>
        <v>#VALUE!</v>
      </c>
      <c r="GT352" t="e">
        <f>'Technical Master Data'!N191+"AM:!2K0"</f>
        <v>#VALUE!</v>
      </c>
      <c r="GU352" t="e">
        <f>'Technical Master Data'!O191+"AM:!2K1"</f>
        <v>#VALUE!</v>
      </c>
      <c r="GV352" t="e">
        <f>'Technical Master Data'!P191+"AM:!2K2"</f>
        <v>#VALUE!</v>
      </c>
      <c r="GW352" t="e">
        <f>'Technical Master Data'!Q191+"AM:!2K3"</f>
        <v>#VALUE!</v>
      </c>
      <c r="GX352" t="e">
        <f>'Technical Master Data'!R191+"AM:!2K4"</f>
        <v>#VALUE!</v>
      </c>
      <c r="GY352" t="e">
        <f>'Technical Master Data'!S191+"AM:!2K5"</f>
        <v>#VALUE!</v>
      </c>
      <c r="GZ352" t="e">
        <f>'Technical Master Data'!A192+"AM:!2K6"</f>
        <v>#VALUE!</v>
      </c>
      <c r="HA352" t="e">
        <f>'Technical Master Data'!B192+"AM:!2K7"</f>
        <v>#VALUE!</v>
      </c>
      <c r="HB352" t="e">
        <f>'Technical Master Data'!C192+"AM:!2K8"</f>
        <v>#VALUE!</v>
      </c>
      <c r="HC352" t="e">
        <f>'Technical Master Data'!D192+"AM:!2K9"</f>
        <v>#VALUE!</v>
      </c>
      <c r="HD352" t="e">
        <f>'Technical Master Data'!E192+"AM:!2K:"</f>
        <v>#VALUE!</v>
      </c>
      <c r="HE352" t="e">
        <f>'Technical Master Data'!F192+"AM:!2K;"</f>
        <v>#VALUE!</v>
      </c>
      <c r="HF352" t="e">
        <f>'Technical Master Data'!G192+"AM:!2K&lt;"</f>
        <v>#VALUE!</v>
      </c>
      <c r="HG352" t="e">
        <f>'Technical Master Data'!H192+"AM:!2K="</f>
        <v>#VALUE!</v>
      </c>
      <c r="HH352" t="e">
        <f>'Technical Master Data'!I192+"AM:!2K&gt;"</f>
        <v>#VALUE!</v>
      </c>
      <c r="HI352" t="e">
        <f>'Technical Master Data'!J192+"AM:!2K?"</f>
        <v>#VALUE!</v>
      </c>
      <c r="HJ352" t="e">
        <f>'Technical Master Data'!K192+"AM:!2K@"</f>
        <v>#VALUE!</v>
      </c>
      <c r="HK352" t="e">
        <f>'Technical Master Data'!L192+"AM:!2KA"</f>
        <v>#VALUE!</v>
      </c>
      <c r="HL352" t="e">
        <f>'Technical Master Data'!M192+"AM:!2KB"</f>
        <v>#VALUE!</v>
      </c>
      <c r="HM352" t="e">
        <f>'Technical Master Data'!N192+"AM:!2KC"</f>
        <v>#VALUE!</v>
      </c>
      <c r="HN352" t="e">
        <f>'Technical Master Data'!O192+"AM:!2KD"</f>
        <v>#VALUE!</v>
      </c>
      <c r="HO352" t="e">
        <f>'Technical Master Data'!P192+"AM:!2KE"</f>
        <v>#VALUE!</v>
      </c>
      <c r="HP352" t="e">
        <f>'Technical Master Data'!Q192+"AM:!2KF"</f>
        <v>#VALUE!</v>
      </c>
      <c r="HQ352" t="e">
        <f>'Technical Master Data'!R192+"AM:!2KG"</f>
        <v>#VALUE!</v>
      </c>
      <c r="HR352" t="e">
        <f>'Technical Master Data'!S192+"AM:!2KH"</f>
        <v>#VALUE!</v>
      </c>
      <c r="HS352" t="e">
        <f>'Technical Master Data'!A193+"AM:!2KI"</f>
        <v>#VALUE!</v>
      </c>
      <c r="HT352" t="e">
        <f>'Technical Master Data'!B193+"AM:!2KJ"</f>
        <v>#VALUE!</v>
      </c>
      <c r="HU352" t="e">
        <f>'Technical Master Data'!C193+"AM:!2KK"</f>
        <v>#VALUE!</v>
      </c>
      <c r="HV352" t="e">
        <f>'Technical Master Data'!D193+"AM:!2KL"</f>
        <v>#VALUE!</v>
      </c>
      <c r="HW352" t="e">
        <f>'Technical Master Data'!E193+"AM:!2KM"</f>
        <v>#VALUE!</v>
      </c>
      <c r="HX352" t="e">
        <f>'Technical Master Data'!F193+"AM:!2KN"</f>
        <v>#VALUE!</v>
      </c>
      <c r="HY352" t="e">
        <f>'Technical Master Data'!G193+"AM:!2KO"</f>
        <v>#VALUE!</v>
      </c>
      <c r="HZ352" t="e">
        <f>'Technical Master Data'!H193+"AM:!2KP"</f>
        <v>#VALUE!</v>
      </c>
      <c r="IA352" t="e">
        <f>'Technical Master Data'!I193+"AM:!2KQ"</f>
        <v>#VALUE!</v>
      </c>
      <c r="IB352" t="e">
        <f>'Technical Master Data'!J193+"AM:!2KR"</f>
        <v>#VALUE!</v>
      </c>
      <c r="IC352" t="e">
        <f>'Technical Master Data'!K193+"AM:!2KS"</f>
        <v>#VALUE!</v>
      </c>
      <c r="ID352" t="e">
        <f>'Technical Master Data'!L193+"AM:!2KT"</f>
        <v>#VALUE!</v>
      </c>
      <c r="IE352" t="e">
        <f>'Technical Master Data'!M193+"AM:!2KU"</f>
        <v>#VALUE!</v>
      </c>
      <c r="IF352" t="e">
        <f>'Technical Master Data'!N193+"AM:!2KV"</f>
        <v>#VALUE!</v>
      </c>
      <c r="IG352" t="e">
        <f>'Technical Master Data'!O193+"AM:!2KW"</f>
        <v>#VALUE!</v>
      </c>
      <c r="IH352" t="e">
        <f>'Technical Master Data'!P193+"AM:!2KX"</f>
        <v>#VALUE!</v>
      </c>
      <c r="II352" t="e">
        <f>'Technical Master Data'!Q193+"AM:!2KY"</f>
        <v>#VALUE!</v>
      </c>
      <c r="IJ352" t="e">
        <f>'Technical Master Data'!R193+"AM:!2KZ"</f>
        <v>#VALUE!</v>
      </c>
      <c r="IK352" t="e">
        <f>'Technical Master Data'!S193+"AM:!2K["</f>
        <v>#VALUE!</v>
      </c>
      <c r="IL352" t="e">
        <f>'Technical Master Data'!A194+"AM:!2K\"</f>
        <v>#VALUE!</v>
      </c>
      <c r="IM352" t="e">
        <f>'Technical Master Data'!B194+"AM:!2K]"</f>
        <v>#VALUE!</v>
      </c>
      <c r="IN352" t="e">
        <f>'Technical Master Data'!C194+"AM:!2K^"</f>
        <v>#VALUE!</v>
      </c>
      <c r="IO352" t="e">
        <f>'Technical Master Data'!D194+"AM:!2K_"</f>
        <v>#VALUE!</v>
      </c>
      <c r="IP352" t="e">
        <f>'Technical Master Data'!E194+"AM:!2K`"</f>
        <v>#VALUE!</v>
      </c>
      <c r="IQ352" t="e">
        <f>'Technical Master Data'!F194+"AM:!2Ka"</f>
        <v>#VALUE!</v>
      </c>
      <c r="IR352" t="e">
        <f>'Technical Master Data'!G194+"AM:!2Kb"</f>
        <v>#VALUE!</v>
      </c>
      <c r="IS352" t="e">
        <f>'Technical Master Data'!H194+"AM:!2Kc"</f>
        <v>#VALUE!</v>
      </c>
      <c r="IT352" t="e">
        <f>'Technical Master Data'!I194+"AM:!2Kd"</f>
        <v>#VALUE!</v>
      </c>
      <c r="IU352" t="e">
        <f>'Technical Master Data'!J194+"AM:!2Ke"</f>
        <v>#VALUE!</v>
      </c>
      <c r="IV352" t="e">
        <f>'Technical Master Data'!K194+"AM:!2Kf"</f>
        <v>#VALUE!</v>
      </c>
    </row>
    <row r="353" spans="6:256">
      <c r="F353" t="e">
        <f>'Technical Master Data'!L194+"AM:!2Kg"</f>
        <v>#VALUE!</v>
      </c>
      <c r="G353" t="e">
        <f>'Technical Master Data'!M194+"AM:!2Kh"</f>
        <v>#VALUE!</v>
      </c>
      <c r="H353" t="e">
        <f>'Technical Master Data'!N194+"AM:!2Ki"</f>
        <v>#VALUE!</v>
      </c>
      <c r="I353" t="e">
        <f>'Technical Master Data'!O194+"AM:!2Kj"</f>
        <v>#VALUE!</v>
      </c>
      <c r="J353" t="e">
        <f>'Technical Master Data'!P194+"AM:!2Kk"</f>
        <v>#VALUE!</v>
      </c>
      <c r="K353" t="e">
        <f>'Technical Master Data'!Q194+"AM:!2Kl"</f>
        <v>#VALUE!</v>
      </c>
      <c r="L353" t="e">
        <f>'Technical Master Data'!R194+"AM:!2Km"</f>
        <v>#VALUE!</v>
      </c>
      <c r="M353" t="e">
        <f>'Technical Master Data'!S194+"AM:!2Kn"</f>
        <v>#VALUE!</v>
      </c>
      <c r="N353" t="e">
        <f>'Technical Master Data'!A195+"AM:!2Ko"</f>
        <v>#VALUE!</v>
      </c>
      <c r="O353" t="e">
        <f>'Technical Master Data'!B195+"AM:!2Kp"</f>
        <v>#VALUE!</v>
      </c>
      <c r="P353" t="e">
        <f>'Technical Master Data'!C195+"AM:!2Kq"</f>
        <v>#VALUE!</v>
      </c>
      <c r="Q353" t="e">
        <f>'Technical Master Data'!D195+"AM:!2Kr"</f>
        <v>#VALUE!</v>
      </c>
      <c r="R353" t="e">
        <f>'Technical Master Data'!E195+"AM:!2Ks"</f>
        <v>#VALUE!</v>
      </c>
      <c r="S353" t="e">
        <f>'Technical Master Data'!F195+"AM:!2Kt"</f>
        <v>#VALUE!</v>
      </c>
      <c r="T353" t="e">
        <f>'Technical Master Data'!G195+"AM:!2Ku"</f>
        <v>#VALUE!</v>
      </c>
      <c r="U353" t="e">
        <f>'Technical Master Data'!H195+"AM:!2Kv"</f>
        <v>#VALUE!</v>
      </c>
      <c r="V353" t="e">
        <f>'Technical Master Data'!I195+"AM:!2Kw"</f>
        <v>#VALUE!</v>
      </c>
      <c r="W353" t="e">
        <f>'Technical Master Data'!J195+"AM:!2Kx"</f>
        <v>#VALUE!</v>
      </c>
      <c r="X353" t="e">
        <f>'Technical Master Data'!K195+"AM:!2Ky"</f>
        <v>#VALUE!</v>
      </c>
      <c r="Y353" t="e">
        <f>'Technical Master Data'!L195+"AM:!2Kz"</f>
        <v>#VALUE!</v>
      </c>
      <c r="Z353" t="e">
        <f>'Technical Master Data'!M195+"AM:!2K{"</f>
        <v>#VALUE!</v>
      </c>
      <c r="AA353" t="e">
        <f>'Technical Master Data'!N195+"AM:!2K|"</f>
        <v>#VALUE!</v>
      </c>
      <c r="AB353" t="e">
        <f>'Technical Master Data'!O195+"AM:!2K}"</f>
        <v>#VALUE!</v>
      </c>
      <c r="AC353" t="e">
        <f>'Technical Master Data'!P195+"AM:!2K~"</f>
        <v>#VALUE!</v>
      </c>
      <c r="AD353" t="e">
        <f>'Technical Master Data'!Q195+"AM:!2L#"</f>
        <v>#VALUE!</v>
      </c>
      <c r="AE353" t="e">
        <f>'Technical Master Data'!R195+"AM:!2L$"</f>
        <v>#VALUE!</v>
      </c>
      <c r="AF353" t="e">
        <f>'Technical Master Data'!S195+"AM:!2L%"</f>
        <v>#VALUE!</v>
      </c>
      <c r="AG353" t="e">
        <f>'Technical Master Data'!A196+"AM:!2L&amp;"</f>
        <v>#VALUE!</v>
      </c>
      <c r="AH353" t="e">
        <f>'Technical Master Data'!B196+"AM:!2L'"</f>
        <v>#VALUE!</v>
      </c>
      <c r="AI353" t="e">
        <f>'Technical Master Data'!C196+"AM:!2L("</f>
        <v>#VALUE!</v>
      </c>
      <c r="AJ353" t="e">
        <f>'Technical Master Data'!D196+"AM:!2L)"</f>
        <v>#VALUE!</v>
      </c>
      <c r="AK353" t="e">
        <f>'Technical Master Data'!E196+"AM:!2L."</f>
        <v>#VALUE!</v>
      </c>
      <c r="AL353" t="e">
        <f>'Technical Master Data'!F196+"AM:!2L/"</f>
        <v>#VALUE!</v>
      </c>
      <c r="AM353" t="e">
        <f>'Technical Master Data'!G196+"AM:!2L0"</f>
        <v>#VALUE!</v>
      </c>
      <c r="AN353" t="e">
        <f>'Technical Master Data'!H196+"AM:!2L1"</f>
        <v>#VALUE!</v>
      </c>
      <c r="AO353" t="e">
        <f>'Technical Master Data'!I196+"AM:!2L2"</f>
        <v>#VALUE!</v>
      </c>
      <c r="AP353" t="e">
        <f>'Technical Master Data'!J196+"AM:!2L3"</f>
        <v>#VALUE!</v>
      </c>
      <c r="AQ353" t="e">
        <f>'Technical Master Data'!K196+"AM:!2L4"</f>
        <v>#VALUE!</v>
      </c>
      <c r="AR353" t="e">
        <f>'Technical Master Data'!L196+"AM:!2L5"</f>
        <v>#VALUE!</v>
      </c>
      <c r="AS353" t="e">
        <f>'Technical Master Data'!M196+"AM:!2L6"</f>
        <v>#VALUE!</v>
      </c>
      <c r="AT353" t="e">
        <f>'Technical Master Data'!N196+"AM:!2L7"</f>
        <v>#VALUE!</v>
      </c>
      <c r="AU353" t="e">
        <f>'Technical Master Data'!O196+"AM:!2L8"</f>
        <v>#VALUE!</v>
      </c>
      <c r="AV353" t="e">
        <f>'Technical Master Data'!P196+"AM:!2L9"</f>
        <v>#VALUE!</v>
      </c>
      <c r="AW353" t="e">
        <f>'Technical Master Data'!Q196+"AM:!2L:"</f>
        <v>#VALUE!</v>
      </c>
      <c r="AX353" t="e">
        <f>'Technical Master Data'!R196+"AM:!2L;"</f>
        <v>#VALUE!</v>
      </c>
      <c r="AY353" t="e">
        <f>'Technical Master Data'!S196+"AM:!2L&lt;"</f>
        <v>#VALUE!</v>
      </c>
      <c r="AZ353" t="e">
        <f>'Technical Master Data'!A197+"AM:!2L="</f>
        <v>#VALUE!</v>
      </c>
      <c r="BA353" t="e">
        <f>'Technical Master Data'!B197+"AM:!2L&gt;"</f>
        <v>#VALUE!</v>
      </c>
      <c r="BB353" t="e">
        <f>'Technical Master Data'!C197+"AM:!2L?"</f>
        <v>#VALUE!</v>
      </c>
      <c r="BC353" t="e">
        <f>'Technical Master Data'!D197+"AM:!2L@"</f>
        <v>#VALUE!</v>
      </c>
      <c r="BD353" t="e">
        <f>'Technical Master Data'!E197+"AM:!2LA"</f>
        <v>#VALUE!</v>
      </c>
      <c r="BE353" t="e">
        <f>'Technical Master Data'!F197+"AM:!2LB"</f>
        <v>#VALUE!</v>
      </c>
      <c r="BF353" t="e">
        <f>'Technical Master Data'!G197+"AM:!2LC"</f>
        <v>#VALUE!</v>
      </c>
      <c r="BG353" t="e">
        <f>'Technical Master Data'!H197+"AM:!2LD"</f>
        <v>#VALUE!</v>
      </c>
      <c r="BH353" t="e">
        <f>'Technical Master Data'!I197+"AM:!2LE"</f>
        <v>#VALUE!</v>
      </c>
      <c r="BI353" t="e">
        <f>'Technical Master Data'!J197+"AM:!2LF"</f>
        <v>#VALUE!</v>
      </c>
      <c r="BJ353" t="e">
        <f>'Technical Master Data'!K197+"AM:!2LG"</f>
        <v>#VALUE!</v>
      </c>
      <c r="BK353" t="e">
        <f>'Technical Master Data'!L197+"AM:!2LH"</f>
        <v>#VALUE!</v>
      </c>
      <c r="BL353" t="e">
        <f>'Technical Master Data'!M197+"AM:!2LI"</f>
        <v>#VALUE!</v>
      </c>
      <c r="BM353" t="e">
        <f>'Technical Master Data'!N197+"AM:!2LJ"</f>
        <v>#VALUE!</v>
      </c>
      <c r="BN353" t="e">
        <f>'Technical Master Data'!O197+"AM:!2LK"</f>
        <v>#VALUE!</v>
      </c>
      <c r="BO353" t="e">
        <f>'Technical Master Data'!P197+"AM:!2LL"</f>
        <v>#VALUE!</v>
      </c>
      <c r="BP353" t="e">
        <f>'Technical Master Data'!Q197+"AM:!2LM"</f>
        <v>#VALUE!</v>
      </c>
      <c r="BQ353" t="e">
        <f>'Technical Master Data'!R197+"AM:!2LN"</f>
        <v>#VALUE!</v>
      </c>
      <c r="BR353" t="e">
        <f>'Technical Master Data'!S197+"AM:!2LO"</f>
        <v>#VALUE!</v>
      </c>
      <c r="BS353" t="e">
        <f>'Technical Master Data'!A198+"AM:!2LP"</f>
        <v>#VALUE!</v>
      </c>
      <c r="BT353" t="e">
        <f>'Technical Master Data'!B198+"AM:!2LQ"</f>
        <v>#VALUE!</v>
      </c>
      <c r="BU353" t="e">
        <f>'Technical Master Data'!C198+"AM:!2LR"</f>
        <v>#VALUE!</v>
      </c>
      <c r="BV353" t="e">
        <f>'Technical Master Data'!D198+"AM:!2LS"</f>
        <v>#VALUE!</v>
      </c>
      <c r="BW353" t="e">
        <f>'Technical Master Data'!E198+"AM:!2LT"</f>
        <v>#VALUE!</v>
      </c>
      <c r="BX353" t="e">
        <f>'Technical Master Data'!F198+"AM:!2LU"</f>
        <v>#VALUE!</v>
      </c>
      <c r="BY353" t="e">
        <f>'Technical Master Data'!G198+"AM:!2LV"</f>
        <v>#VALUE!</v>
      </c>
      <c r="BZ353" t="e">
        <f>'Technical Master Data'!H198+"AM:!2LW"</f>
        <v>#VALUE!</v>
      </c>
      <c r="CA353" t="e">
        <f>'Technical Master Data'!I198+"AM:!2LX"</f>
        <v>#VALUE!</v>
      </c>
      <c r="CB353" t="e">
        <f>'Technical Master Data'!J198+"AM:!2LY"</f>
        <v>#VALUE!</v>
      </c>
      <c r="CC353" t="e">
        <f>'Technical Master Data'!K198+"AM:!2LZ"</f>
        <v>#VALUE!</v>
      </c>
      <c r="CD353" t="e">
        <f>'Technical Master Data'!L198+"AM:!2L["</f>
        <v>#VALUE!</v>
      </c>
      <c r="CE353" t="e">
        <f>'Technical Master Data'!M198+"AM:!2L\"</f>
        <v>#VALUE!</v>
      </c>
      <c r="CF353" t="e">
        <f>'Technical Master Data'!N198+"AM:!2L]"</f>
        <v>#VALUE!</v>
      </c>
      <c r="CG353" t="e">
        <f>'Technical Master Data'!O198+"AM:!2L^"</f>
        <v>#VALUE!</v>
      </c>
      <c r="CH353" t="e">
        <f>'Technical Master Data'!P198+"AM:!2L_"</f>
        <v>#VALUE!</v>
      </c>
      <c r="CI353" t="e">
        <f>'Technical Master Data'!Q198+"AM:!2L`"</f>
        <v>#VALUE!</v>
      </c>
      <c r="CJ353" t="e">
        <f>'Technical Master Data'!R198+"AM:!2La"</f>
        <v>#VALUE!</v>
      </c>
      <c r="CK353" t="e">
        <f>'Technical Master Data'!S198+"AM:!2Lb"</f>
        <v>#VALUE!</v>
      </c>
      <c r="CL353" t="e">
        <f>'Technical Master Data'!A199+"AM:!2Lc"</f>
        <v>#VALUE!</v>
      </c>
      <c r="CM353" t="e">
        <f>'Technical Master Data'!B199+"AM:!2Ld"</f>
        <v>#VALUE!</v>
      </c>
      <c r="CN353" t="e">
        <f>'Technical Master Data'!C199+"AM:!2Le"</f>
        <v>#VALUE!</v>
      </c>
      <c r="CO353" t="e">
        <f>'Technical Master Data'!D199+"AM:!2Lf"</f>
        <v>#VALUE!</v>
      </c>
      <c r="CP353" t="e">
        <f>'Technical Master Data'!E199+"AM:!2Lg"</f>
        <v>#VALUE!</v>
      </c>
      <c r="CQ353" t="e">
        <f>'Technical Master Data'!F199+"AM:!2Lh"</f>
        <v>#VALUE!</v>
      </c>
      <c r="CR353" t="e">
        <f>'Technical Master Data'!G199+"AM:!2Li"</f>
        <v>#VALUE!</v>
      </c>
      <c r="CS353" t="e">
        <f>'Technical Master Data'!H199+"AM:!2Lj"</f>
        <v>#VALUE!</v>
      </c>
      <c r="CT353" t="e">
        <f>'Technical Master Data'!I199+"AM:!2Lk"</f>
        <v>#VALUE!</v>
      </c>
      <c r="CU353" t="e">
        <f>'Technical Master Data'!J199+"AM:!2Ll"</f>
        <v>#VALUE!</v>
      </c>
      <c r="CV353" t="e">
        <f>'Technical Master Data'!K199+"AM:!2Lm"</f>
        <v>#VALUE!</v>
      </c>
      <c r="CW353" t="e">
        <f>'Technical Master Data'!L199+"AM:!2Ln"</f>
        <v>#VALUE!</v>
      </c>
      <c r="CX353" t="e">
        <f>'Technical Master Data'!M199+"AM:!2Lo"</f>
        <v>#VALUE!</v>
      </c>
      <c r="CY353" t="e">
        <f>'Technical Master Data'!N199+"AM:!2Lp"</f>
        <v>#VALUE!</v>
      </c>
      <c r="CZ353" t="e">
        <f>'Technical Master Data'!O199+"AM:!2Lq"</f>
        <v>#VALUE!</v>
      </c>
      <c r="DA353" t="e">
        <f>'Technical Master Data'!P199+"AM:!2Lr"</f>
        <v>#VALUE!</v>
      </c>
      <c r="DB353" t="e">
        <f>'Technical Master Data'!Q199+"AM:!2Ls"</f>
        <v>#VALUE!</v>
      </c>
      <c r="DC353" t="e">
        <f>'Technical Master Data'!R199+"AM:!2Lt"</f>
        <v>#VALUE!</v>
      </c>
      <c r="DD353" t="e">
        <f>'Technical Master Data'!S199+"AM:!2Lu"</f>
        <v>#VALUE!</v>
      </c>
      <c r="DE353" t="e">
        <f>'Technical Master Data'!A200+"AM:!2Lv"</f>
        <v>#VALUE!</v>
      </c>
      <c r="DF353" t="e">
        <f>'Technical Master Data'!B200+"AM:!2Lw"</f>
        <v>#VALUE!</v>
      </c>
      <c r="DG353" t="e">
        <f>'Technical Master Data'!C200+"AM:!2Lx"</f>
        <v>#VALUE!</v>
      </c>
      <c r="DH353" t="e">
        <f>'Technical Master Data'!D200+"AM:!2Ly"</f>
        <v>#VALUE!</v>
      </c>
      <c r="DI353" t="e">
        <f>'Technical Master Data'!E200+"AM:!2Lz"</f>
        <v>#VALUE!</v>
      </c>
      <c r="DJ353" t="e">
        <f>'Technical Master Data'!F200+"AM:!2L{"</f>
        <v>#VALUE!</v>
      </c>
      <c r="DK353" t="e">
        <f>'Technical Master Data'!G200+"AM:!2L|"</f>
        <v>#VALUE!</v>
      </c>
      <c r="DL353" t="e">
        <f>'Technical Master Data'!H200+"AM:!2L}"</f>
        <v>#VALUE!</v>
      </c>
      <c r="DM353" t="e">
        <f>'Technical Master Data'!I200+"AM:!2L~"</f>
        <v>#VALUE!</v>
      </c>
      <c r="DN353" t="e">
        <f>'Technical Master Data'!J200+"AM:!2M#"</f>
        <v>#VALUE!</v>
      </c>
      <c r="DO353" t="e">
        <f>'Technical Master Data'!K200+"AM:!2M$"</f>
        <v>#VALUE!</v>
      </c>
      <c r="DP353" t="e">
        <f>'Technical Master Data'!L200+"AM:!2M%"</f>
        <v>#VALUE!</v>
      </c>
      <c r="DQ353" t="e">
        <f>'Technical Master Data'!M200+"AM:!2M&amp;"</f>
        <v>#VALUE!</v>
      </c>
      <c r="DR353" t="e">
        <f>'Technical Master Data'!N200+"AM:!2M'"</f>
        <v>#VALUE!</v>
      </c>
      <c r="DS353" t="e">
        <f>'Technical Master Data'!O200+"AM:!2M("</f>
        <v>#VALUE!</v>
      </c>
      <c r="DT353" t="e">
        <f>'Technical Master Data'!P200+"AM:!2M)"</f>
        <v>#VALUE!</v>
      </c>
      <c r="DU353" t="e">
        <f>'Technical Master Data'!Q200+"AM:!2M."</f>
        <v>#VALUE!</v>
      </c>
      <c r="DV353" t="e">
        <f>'Technical Master Data'!R200+"AM:!2M/"</f>
        <v>#VALUE!</v>
      </c>
      <c r="DW353" t="e">
        <f>'Technical Master Data'!S200+"AM:!2M0"</f>
        <v>#VALUE!</v>
      </c>
      <c r="DX353" t="e">
        <f>'Technical Master Data'!A201+"AM:!2M1"</f>
        <v>#VALUE!</v>
      </c>
      <c r="DY353" t="e">
        <f>'Technical Master Data'!B201+"AM:!2M2"</f>
        <v>#VALUE!</v>
      </c>
      <c r="DZ353" t="e">
        <f>'Technical Master Data'!C201+"AM:!2M3"</f>
        <v>#VALUE!</v>
      </c>
      <c r="EA353" t="e">
        <f>'Technical Master Data'!D201+"AM:!2M4"</f>
        <v>#VALUE!</v>
      </c>
      <c r="EB353" t="e">
        <f>'Technical Master Data'!E201+"AM:!2M5"</f>
        <v>#VALUE!</v>
      </c>
      <c r="EC353" t="e">
        <f>'Technical Master Data'!F201+"AM:!2M6"</f>
        <v>#VALUE!</v>
      </c>
      <c r="ED353" t="e">
        <f>'Technical Master Data'!G201+"AM:!2M7"</f>
        <v>#VALUE!</v>
      </c>
      <c r="EE353" t="e">
        <f>'Technical Master Data'!H201+"AM:!2M8"</f>
        <v>#VALUE!</v>
      </c>
      <c r="EF353" t="e">
        <f>'Technical Master Data'!I201+"AM:!2M9"</f>
        <v>#VALUE!</v>
      </c>
      <c r="EG353" t="e">
        <f>'Technical Master Data'!J201+"AM:!2M:"</f>
        <v>#VALUE!</v>
      </c>
      <c r="EH353" t="e">
        <f>'Technical Master Data'!K201+"AM:!2M;"</f>
        <v>#VALUE!</v>
      </c>
      <c r="EI353" t="e">
        <f>'Technical Master Data'!L201+"AM:!2M&lt;"</f>
        <v>#VALUE!</v>
      </c>
      <c r="EJ353" t="e">
        <f>'Technical Master Data'!M201+"AM:!2M="</f>
        <v>#VALUE!</v>
      </c>
      <c r="EK353" t="e">
        <f>'Technical Master Data'!N201+"AM:!2M&gt;"</f>
        <v>#VALUE!</v>
      </c>
      <c r="EL353" t="e">
        <f>'Technical Master Data'!O201+"AM:!2M?"</f>
        <v>#VALUE!</v>
      </c>
      <c r="EM353" t="e">
        <f>'Technical Master Data'!P201+"AM:!2M@"</f>
        <v>#VALUE!</v>
      </c>
      <c r="EN353" t="e">
        <f>'Technical Master Data'!Q201+"AM:!2MA"</f>
        <v>#VALUE!</v>
      </c>
      <c r="EO353" t="e">
        <f>'Technical Master Data'!R201+"AM:!2MB"</f>
        <v>#VALUE!</v>
      </c>
      <c r="EP353" t="e">
        <f>'Technical Master Data'!S201+"AM:!2MC"</f>
        <v>#VALUE!</v>
      </c>
      <c r="EQ353" t="e">
        <f>'Technical Master Data'!A202+"AM:!2MD"</f>
        <v>#VALUE!</v>
      </c>
      <c r="ER353" t="e">
        <f>'Technical Master Data'!B202+"AM:!2ME"</f>
        <v>#VALUE!</v>
      </c>
      <c r="ES353" t="e">
        <f>'Technical Master Data'!C202+"AM:!2MF"</f>
        <v>#VALUE!</v>
      </c>
      <c r="ET353" t="e">
        <f>'Technical Master Data'!D202+"AM:!2MG"</f>
        <v>#VALUE!</v>
      </c>
      <c r="EU353" t="e">
        <f>'Technical Master Data'!E202+"AM:!2MH"</f>
        <v>#VALUE!</v>
      </c>
      <c r="EV353" t="e">
        <f>'Technical Master Data'!F202+"AM:!2MI"</f>
        <v>#VALUE!</v>
      </c>
      <c r="EW353" t="e">
        <f>'Technical Master Data'!G202+"AM:!2MJ"</f>
        <v>#VALUE!</v>
      </c>
      <c r="EX353" t="e">
        <f>'Technical Master Data'!H202+"AM:!2MK"</f>
        <v>#VALUE!</v>
      </c>
      <c r="EY353" t="e">
        <f>'Technical Master Data'!I202+"AM:!2ML"</f>
        <v>#VALUE!</v>
      </c>
      <c r="EZ353" t="e">
        <f>'Technical Master Data'!J202+"AM:!2MM"</f>
        <v>#VALUE!</v>
      </c>
      <c r="FA353" t="e">
        <f>'Technical Master Data'!K202+"AM:!2MN"</f>
        <v>#VALUE!</v>
      </c>
      <c r="FB353" t="e">
        <f>'Technical Master Data'!L202+"AM:!2MO"</f>
        <v>#VALUE!</v>
      </c>
      <c r="FC353" t="e">
        <f>'Technical Master Data'!M202+"AM:!2MP"</f>
        <v>#VALUE!</v>
      </c>
      <c r="FD353" t="e">
        <f>'Technical Master Data'!N202+"AM:!2MQ"</f>
        <v>#VALUE!</v>
      </c>
      <c r="FE353" t="e">
        <f>'Technical Master Data'!O202+"AM:!2MR"</f>
        <v>#VALUE!</v>
      </c>
      <c r="FF353" t="e">
        <f>'Technical Master Data'!P202+"AM:!2MS"</f>
        <v>#VALUE!</v>
      </c>
      <c r="FG353" t="e">
        <f>'Technical Master Data'!Q202+"AM:!2MT"</f>
        <v>#VALUE!</v>
      </c>
      <c r="FH353" t="e">
        <f>'Technical Master Data'!R202+"AM:!2MU"</f>
        <v>#VALUE!</v>
      </c>
      <c r="FI353" t="e">
        <f>'Technical Master Data'!S202+"AM:!2MV"</f>
        <v>#VALUE!</v>
      </c>
      <c r="FJ353" t="e">
        <f>'Technical Master Data'!A203+"AM:!2MW"</f>
        <v>#VALUE!</v>
      </c>
      <c r="FK353" t="e">
        <f>'Technical Master Data'!B203+"AM:!2MX"</f>
        <v>#VALUE!</v>
      </c>
      <c r="FL353" t="e">
        <f>'Technical Master Data'!C203+"AM:!2MY"</f>
        <v>#VALUE!</v>
      </c>
      <c r="FM353" t="e">
        <f>'Technical Master Data'!D203+"AM:!2MZ"</f>
        <v>#VALUE!</v>
      </c>
      <c r="FN353" t="e">
        <f>'Technical Master Data'!E203+"AM:!2M["</f>
        <v>#VALUE!</v>
      </c>
      <c r="FO353" t="e">
        <f>'Technical Master Data'!F203+"AM:!2M\"</f>
        <v>#VALUE!</v>
      </c>
      <c r="FP353" t="e">
        <f>'Technical Master Data'!G203+"AM:!2M]"</f>
        <v>#VALUE!</v>
      </c>
      <c r="FQ353" t="e">
        <f>'Technical Master Data'!H203+"AM:!2M^"</f>
        <v>#VALUE!</v>
      </c>
      <c r="FR353" t="e">
        <f>'Technical Master Data'!I203+"AM:!2M_"</f>
        <v>#VALUE!</v>
      </c>
      <c r="FS353" t="e">
        <f>'Technical Master Data'!J203+"AM:!2M`"</f>
        <v>#VALUE!</v>
      </c>
      <c r="FT353" t="e">
        <f>'Technical Master Data'!K203+"AM:!2Ma"</f>
        <v>#VALUE!</v>
      </c>
      <c r="FU353" t="e">
        <f>'Technical Master Data'!L203+"AM:!2Mb"</f>
        <v>#VALUE!</v>
      </c>
      <c r="FV353" t="e">
        <f>'Technical Master Data'!M203+"AM:!2Mc"</f>
        <v>#VALUE!</v>
      </c>
      <c r="FW353" t="e">
        <f>'Technical Master Data'!N203+"AM:!2Md"</f>
        <v>#VALUE!</v>
      </c>
      <c r="FX353" t="e">
        <f>'Technical Master Data'!O203+"AM:!2Me"</f>
        <v>#VALUE!</v>
      </c>
      <c r="FY353" t="e">
        <f>'Technical Master Data'!P203+"AM:!2Mf"</f>
        <v>#VALUE!</v>
      </c>
      <c r="FZ353" t="e">
        <f>'Technical Master Data'!Q203+"AM:!2Mg"</f>
        <v>#VALUE!</v>
      </c>
      <c r="GA353" t="e">
        <f>'Technical Master Data'!R203+"AM:!2Mh"</f>
        <v>#VALUE!</v>
      </c>
      <c r="GB353" t="e">
        <f>'Technical Master Data'!S203+"AM:!2Mi"</f>
        <v>#VALUE!</v>
      </c>
      <c r="GC353" t="e">
        <f>'Technical Master Data'!A204+"AM:!2Mj"</f>
        <v>#VALUE!</v>
      </c>
      <c r="GD353" t="e">
        <f>'Technical Master Data'!B204+"AM:!2Mk"</f>
        <v>#VALUE!</v>
      </c>
      <c r="GE353" t="e">
        <f>'Technical Master Data'!C204+"AM:!2Ml"</f>
        <v>#VALUE!</v>
      </c>
      <c r="GF353" t="e">
        <f>'Technical Master Data'!D204+"AM:!2Mm"</f>
        <v>#VALUE!</v>
      </c>
      <c r="GG353" t="e">
        <f>'Technical Master Data'!E204+"AM:!2Mn"</f>
        <v>#VALUE!</v>
      </c>
      <c r="GH353" t="e">
        <f>'Technical Master Data'!F204+"AM:!2Mo"</f>
        <v>#VALUE!</v>
      </c>
      <c r="GI353" t="e">
        <f>'Technical Master Data'!G204+"AM:!2Mp"</f>
        <v>#VALUE!</v>
      </c>
      <c r="GJ353" t="e">
        <f>'Technical Master Data'!H204+"AM:!2Mq"</f>
        <v>#VALUE!</v>
      </c>
      <c r="GK353" t="e">
        <f>'Technical Master Data'!I204+"AM:!2Mr"</f>
        <v>#VALUE!</v>
      </c>
      <c r="GL353" t="e">
        <f>'Technical Master Data'!J204+"AM:!2Ms"</f>
        <v>#VALUE!</v>
      </c>
      <c r="GM353" t="e">
        <f>'Technical Master Data'!K204+"AM:!2Mt"</f>
        <v>#VALUE!</v>
      </c>
      <c r="GN353" t="e">
        <f>'Technical Master Data'!L204+"AM:!2Mu"</f>
        <v>#VALUE!</v>
      </c>
      <c r="GO353" t="e">
        <f>'Technical Master Data'!M204+"AM:!2Mv"</f>
        <v>#VALUE!</v>
      </c>
      <c r="GP353" t="e">
        <f>'Technical Master Data'!N204+"AM:!2Mw"</f>
        <v>#VALUE!</v>
      </c>
      <c r="GQ353" t="e">
        <f>'Technical Master Data'!O204+"AM:!2Mx"</f>
        <v>#VALUE!</v>
      </c>
      <c r="GR353" t="e">
        <f>'Technical Master Data'!P204+"AM:!2My"</f>
        <v>#VALUE!</v>
      </c>
      <c r="GS353" t="e">
        <f>'Technical Master Data'!Q204+"AM:!2Mz"</f>
        <v>#VALUE!</v>
      </c>
      <c r="GT353" t="e">
        <f>'Technical Master Data'!R204+"AM:!2M{"</f>
        <v>#VALUE!</v>
      </c>
      <c r="GU353" t="e">
        <f>'Technical Master Data'!S204+"AM:!2M|"</f>
        <v>#VALUE!</v>
      </c>
      <c r="GV353" t="e">
        <f>'Technical Master Data'!A205+"AM:!2M}"</f>
        <v>#VALUE!</v>
      </c>
      <c r="GW353" t="e">
        <f>'Technical Master Data'!B205+"AM:!2M~"</f>
        <v>#VALUE!</v>
      </c>
      <c r="GX353" t="e">
        <f>'Technical Master Data'!C205+"AM:!2N#"</f>
        <v>#VALUE!</v>
      </c>
      <c r="GY353" t="e">
        <f>'Technical Master Data'!D205+"AM:!2N$"</f>
        <v>#VALUE!</v>
      </c>
      <c r="GZ353" t="e">
        <f>'Technical Master Data'!E205+"AM:!2N%"</f>
        <v>#VALUE!</v>
      </c>
      <c r="HA353" t="e">
        <f>'Technical Master Data'!F205+"AM:!2N&amp;"</f>
        <v>#VALUE!</v>
      </c>
      <c r="HB353" t="e">
        <f>'Technical Master Data'!G205+"AM:!2N'"</f>
        <v>#VALUE!</v>
      </c>
      <c r="HC353" t="e">
        <f>'Technical Master Data'!H205+"AM:!2N("</f>
        <v>#VALUE!</v>
      </c>
      <c r="HD353" t="e">
        <f>'Technical Master Data'!I205+"AM:!2N)"</f>
        <v>#VALUE!</v>
      </c>
      <c r="HE353" t="e">
        <f>'Technical Master Data'!J205+"AM:!2N."</f>
        <v>#VALUE!</v>
      </c>
      <c r="HF353" t="e">
        <f>'Technical Master Data'!K205+"AM:!2N/"</f>
        <v>#VALUE!</v>
      </c>
      <c r="HG353" t="e">
        <f>'Technical Master Data'!L205+"AM:!2N0"</f>
        <v>#VALUE!</v>
      </c>
      <c r="HH353" t="e">
        <f>'Technical Master Data'!M205+"AM:!2N1"</f>
        <v>#VALUE!</v>
      </c>
      <c r="HI353" t="e">
        <f>'Technical Master Data'!N205+"AM:!2N2"</f>
        <v>#VALUE!</v>
      </c>
      <c r="HJ353" t="e">
        <f>'Technical Master Data'!O205+"AM:!2N3"</f>
        <v>#VALUE!</v>
      </c>
      <c r="HK353" t="e">
        <f>'Technical Master Data'!P205+"AM:!2N4"</f>
        <v>#VALUE!</v>
      </c>
      <c r="HL353" t="e">
        <f>'Technical Master Data'!Q205+"AM:!2N5"</f>
        <v>#VALUE!</v>
      </c>
      <c r="HM353" t="e">
        <f>'Technical Master Data'!R205+"AM:!2N6"</f>
        <v>#VALUE!</v>
      </c>
      <c r="HN353" t="e">
        <f>'Technical Master Data'!S205+"AM:!2N7"</f>
        <v>#VALUE!</v>
      </c>
      <c r="HO353" t="e">
        <f>'Technical Master Data'!A206+"AM:!2N8"</f>
        <v>#VALUE!</v>
      </c>
      <c r="HP353" t="e">
        <f>'Technical Master Data'!B206+"AM:!2N9"</f>
        <v>#VALUE!</v>
      </c>
      <c r="HQ353" t="e">
        <f>'Technical Master Data'!C206+"AM:!2N:"</f>
        <v>#VALUE!</v>
      </c>
      <c r="HR353" t="e">
        <f>'Technical Master Data'!D206+"AM:!2N;"</f>
        <v>#VALUE!</v>
      </c>
      <c r="HS353" t="e">
        <f>'Technical Master Data'!E206+"AM:!2N&lt;"</f>
        <v>#VALUE!</v>
      </c>
      <c r="HT353" t="e">
        <f>'Technical Master Data'!F206+"AM:!2N="</f>
        <v>#VALUE!</v>
      </c>
      <c r="HU353" t="e">
        <f>'Technical Master Data'!G206+"AM:!2N&gt;"</f>
        <v>#VALUE!</v>
      </c>
      <c r="HV353" t="e">
        <f>'Technical Master Data'!H206+"AM:!2N?"</f>
        <v>#VALUE!</v>
      </c>
      <c r="HW353" t="e">
        <f>'Technical Master Data'!I206+"AM:!2N@"</f>
        <v>#VALUE!</v>
      </c>
      <c r="HX353" t="e">
        <f>'Technical Master Data'!J206+"AM:!2NA"</f>
        <v>#VALUE!</v>
      </c>
      <c r="HY353" t="e">
        <f>'Technical Master Data'!K206+"AM:!2NB"</f>
        <v>#VALUE!</v>
      </c>
      <c r="HZ353" t="e">
        <f>'Technical Master Data'!L206+"AM:!2NC"</f>
        <v>#VALUE!</v>
      </c>
      <c r="IA353" t="e">
        <f>'Technical Master Data'!M206+"AM:!2ND"</f>
        <v>#VALUE!</v>
      </c>
      <c r="IB353" t="e">
        <f>'Technical Master Data'!N206+"AM:!2NE"</f>
        <v>#VALUE!</v>
      </c>
      <c r="IC353" t="e">
        <f>'Technical Master Data'!O206+"AM:!2NF"</f>
        <v>#VALUE!</v>
      </c>
      <c r="ID353" t="e">
        <f>'Technical Master Data'!P206+"AM:!2NG"</f>
        <v>#VALUE!</v>
      </c>
      <c r="IE353" t="e">
        <f>'Technical Master Data'!Q206+"AM:!2NH"</f>
        <v>#VALUE!</v>
      </c>
      <c r="IF353" t="e">
        <f>'Technical Master Data'!R206+"AM:!2NI"</f>
        <v>#VALUE!</v>
      </c>
      <c r="IG353" t="e">
        <f>'Technical Master Data'!S206+"AM:!2NJ"</f>
        <v>#VALUE!</v>
      </c>
      <c r="IH353" t="e">
        <f>'Technical Master Data'!A207+"AM:!2NK"</f>
        <v>#VALUE!</v>
      </c>
      <c r="II353" t="e">
        <f>'Technical Master Data'!B207+"AM:!2NL"</f>
        <v>#VALUE!</v>
      </c>
      <c r="IJ353" t="e">
        <f>'Technical Master Data'!C207+"AM:!2NM"</f>
        <v>#VALUE!</v>
      </c>
      <c r="IK353" t="e">
        <f>'Technical Master Data'!D207+"AM:!2NN"</f>
        <v>#VALUE!</v>
      </c>
      <c r="IL353" t="e">
        <f>'Technical Master Data'!E207+"AM:!2NO"</f>
        <v>#VALUE!</v>
      </c>
      <c r="IM353" t="e">
        <f>'Technical Master Data'!F207+"AM:!2NP"</f>
        <v>#VALUE!</v>
      </c>
      <c r="IN353" t="e">
        <f>'Technical Master Data'!G207+"AM:!2NQ"</f>
        <v>#VALUE!</v>
      </c>
      <c r="IO353" t="e">
        <f>'Technical Master Data'!H207+"AM:!2NR"</f>
        <v>#VALUE!</v>
      </c>
      <c r="IP353" t="e">
        <f>'Technical Master Data'!I207+"AM:!2NS"</f>
        <v>#VALUE!</v>
      </c>
      <c r="IQ353" t="e">
        <f>'Technical Master Data'!J207+"AM:!2NT"</f>
        <v>#VALUE!</v>
      </c>
      <c r="IR353" t="e">
        <f>'Technical Master Data'!K207+"AM:!2NU"</f>
        <v>#VALUE!</v>
      </c>
      <c r="IS353" t="e">
        <f>'Technical Master Data'!L207+"AM:!2NV"</f>
        <v>#VALUE!</v>
      </c>
      <c r="IT353" t="e">
        <f>'Technical Master Data'!M207+"AM:!2NW"</f>
        <v>#VALUE!</v>
      </c>
      <c r="IU353" t="e">
        <f>'Technical Master Data'!N207+"AM:!2NX"</f>
        <v>#VALUE!</v>
      </c>
      <c r="IV353" t="e">
        <f>'Technical Master Data'!O207+"AM:!2NY"</f>
        <v>#VALUE!</v>
      </c>
    </row>
    <row r="354" spans="6:256">
      <c r="F354" t="e">
        <f>'Technical Master Data'!P207+"AM:!2NZ"</f>
        <v>#VALUE!</v>
      </c>
      <c r="G354" t="e">
        <f>'Technical Master Data'!Q207+"AM:!2N["</f>
        <v>#VALUE!</v>
      </c>
      <c r="H354" t="e">
        <f>'Technical Master Data'!R207+"AM:!2N\"</f>
        <v>#VALUE!</v>
      </c>
      <c r="I354" t="e">
        <f>'Technical Master Data'!S207+"AM:!2N]"</f>
        <v>#VALUE!</v>
      </c>
      <c r="J354" t="e">
        <f>'Technical Master Data'!A208+"AM:!2N^"</f>
        <v>#VALUE!</v>
      </c>
      <c r="K354" t="e">
        <f>'Technical Master Data'!B208+"AM:!2N_"</f>
        <v>#VALUE!</v>
      </c>
      <c r="L354" t="e">
        <f>'Technical Master Data'!C208+"AM:!2N`"</f>
        <v>#VALUE!</v>
      </c>
      <c r="M354" t="e">
        <f>'Technical Master Data'!D208+"AM:!2Na"</f>
        <v>#VALUE!</v>
      </c>
      <c r="N354" t="e">
        <f>'Technical Master Data'!E208+"AM:!2Nb"</f>
        <v>#VALUE!</v>
      </c>
      <c r="O354" t="e">
        <f>'Technical Master Data'!F208+"AM:!2Nc"</f>
        <v>#VALUE!</v>
      </c>
      <c r="P354" t="e">
        <f>'Technical Master Data'!G208+"AM:!2Nd"</f>
        <v>#VALUE!</v>
      </c>
      <c r="Q354" t="e">
        <f>'Technical Master Data'!H208+"AM:!2Ne"</f>
        <v>#VALUE!</v>
      </c>
      <c r="R354" t="e">
        <f>'Technical Master Data'!I208+"AM:!2Nf"</f>
        <v>#VALUE!</v>
      </c>
      <c r="S354" t="e">
        <f>'Technical Master Data'!J208+"AM:!2Ng"</f>
        <v>#VALUE!</v>
      </c>
      <c r="T354" t="e">
        <f>'Technical Master Data'!K208+"AM:!2Nh"</f>
        <v>#VALUE!</v>
      </c>
      <c r="U354" t="e">
        <f>'Technical Master Data'!L208+"AM:!2Ni"</f>
        <v>#VALUE!</v>
      </c>
      <c r="V354" t="e">
        <f>'Technical Master Data'!M208+"AM:!2Nj"</f>
        <v>#VALUE!</v>
      </c>
      <c r="W354" t="e">
        <f>'Technical Master Data'!N208+"AM:!2Nk"</f>
        <v>#VALUE!</v>
      </c>
      <c r="X354" t="e">
        <f>'Technical Master Data'!O208+"AM:!2Nl"</f>
        <v>#VALUE!</v>
      </c>
      <c r="Y354" t="e">
        <f>'Technical Master Data'!P208+"AM:!2Nm"</f>
        <v>#VALUE!</v>
      </c>
      <c r="Z354" t="e">
        <f>'Technical Master Data'!Q208+"AM:!2Nn"</f>
        <v>#VALUE!</v>
      </c>
      <c r="AA354" t="e">
        <f>'Technical Master Data'!R208+"AM:!2No"</f>
        <v>#VALUE!</v>
      </c>
      <c r="AB354" t="e">
        <f>'Technical Master Data'!S208+"AM:!2Np"</f>
        <v>#VALUE!</v>
      </c>
      <c r="AC354" t="e">
        <f>'Technical Master Data'!A209+"AM:!2Nq"</f>
        <v>#VALUE!</v>
      </c>
      <c r="AD354" t="e">
        <f>'Technical Master Data'!B209+"AM:!2Nr"</f>
        <v>#VALUE!</v>
      </c>
      <c r="AE354" t="e">
        <f>'Technical Master Data'!C209+"AM:!2Ns"</f>
        <v>#VALUE!</v>
      </c>
      <c r="AF354" t="e">
        <f>'Technical Master Data'!D209+"AM:!2Nt"</f>
        <v>#VALUE!</v>
      </c>
      <c r="AG354" t="e">
        <f>'Technical Master Data'!E209+"AM:!2Nu"</f>
        <v>#VALUE!</v>
      </c>
      <c r="AH354" t="e">
        <f>'Technical Master Data'!F209+"AM:!2Nv"</f>
        <v>#VALUE!</v>
      </c>
      <c r="AI354" t="e">
        <f>'Technical Master Data'!G209+"AM:!2Nw"</f>
        <v>#VALUE!</v>
      </c>
      <c r="AJ354" t="e">
        <f>'Technical Master Data'!H209+"AM:!2Nx"</f>
        <v>#VALUE!</v>
      </c>
      <c r="AK354" t="e">
        <f>'Technical Master Data'!I209+"AM:!2Ny"</f>
        <v>#VALUE!</v>
      </c>
      <c r="AL354" t="e">
        <f>'Technical Master Data'!J209+"AM:!2Nz"</f>
        <v>#VALUE!</v>
      </c>
      <c r="AM354" t="e">
        <f>'Technical Master Data'!K209+"AM:!2N{"</f>
        <v>#VALUE!</v>
      </c>
      <c r="AN354" t="e">
        <f>'Technical Master Data'!L209+"AM:!2N|"</f>
        <v>#VALUE!</v>
      </c>
      <c r="AO354" t="e">
        <f>'Technical Master Data'!M209+"AM:!2N}"</f>
        <v>#VALUE!</v>
      </c>
      <c r="AP354" t="e">
        <f>'Technical Master Data'!N209+"AM:!2N~"</f>
        <v>#VALUE!</v>
      </c>
      <c r="AQ354" t="e">
        <f>'Technical Master Data'!O209+"AM:!2O#"</f>
        <v>#VALUE!</v>
      </c>
      <c r="AR354" t="e">
        <f>'Technical Master Data'!P209+"AM:!2O$"</f>
        <v>#VALUE!</v>
      </c>
      <c r="AS354" t="e">
        <f>'Technical Master Data'!Q209+"AM:!2O%"</f>
        <v>#VALUE!</v>
      </c>
      <c r="AT354" t="e">
        <f>'Technical Master Data'!R209+"AM:!2O&amp;"</f>
        <v>#VALUE!</v>
      </c>
      <c r="AU354" t="e">
        <f>'Technical Master Data'!S209+"AM:!2O'"</f>
        <v>#VALUE!</v>
      </c>
      <c r="AV354" t="e">
        <f>'Technical Master Data'!A210+"AM:!2O("</f>
        <v>#VALUE!</v>
      </c>
      <c r="AW354" t="e">
        <f>'Technical Master Data'!B210+"AM:!2O)"</f>
        <v>#VALUE!</v>
      </c>
      <c r="AX354" t="e">
        <f>'Technical Master Data'!C210+"AM:!2O."</f>
        <v>#VALUE!</v>
      </c>
      <c r="AY354" t="e">
        <f>'Technical Master Data'!D210+"AM:!2O/"</f>
        <v>#VALUE!</v>
      </c>
      <c r="AZ354" t="e">
        <f>'Technical Master Data'!E210+"AM:!2O0"</f>
        <v>#VALUE!</v>
      </c>
      <c r="BA354" t="e">
        <f>'Technical Master Data'!F210+"AM:!2O1"</f>
        <v>#VALUE!</v>
      </c>
      <c r="BB354" t="e">
        <f>'Technical Master Data'!G210+"AM:!2O2"</f>
        <v>#VALUE!</v>
      </c>
      <c r="BC354" t="e">
        <f>'Technical Master Data'!H210+"AM:!2O3"</f>
        <v>#VALUE!</v>
      </c>
      <c r="BD354" t="e">
        <f>'Technical Master Data'!I210+"AM:!2O4"</f>
        <v>#VALUE!</v>
      </c>
      <c r="BE354" t="e">
        <f>'Technical Master Data'!J210+"AM:!2O5"</f>
        <v>#VALUE!</v>
      </c>
      <c r="BF354" t="e">
        <f>'Technical Master Data'!K210+"AM:!2O6"</f>
        <v>#VALUE!</v>
      </c>
      <c r="BG354" t="e">
        <f>'Technical Master Data'!L210+"AM:!2O7"</f>
        <v>#VALUE!</v>
      </c>
      <c r="BH354" t="e">
        <f>'Technical Master Data'!M210+"AM:!2O8"</f>
        <v>#VALUE!</v>
      </c>
      <c r="BI354" t="e">
        <f>'Technical Master Data'!N210+"AM:!2O9"</f>
        <v>#VALUE!</v>
      </c>
      <c r="BJ354" t="e">
        <f>'Technical Master Data'!O210+"AM:!2O:"</f>
        <v>#VALUE!</v>
      </c>
      <c r="BK354" t="e">
        <f>'Technical Master Data'!P210+"AM:!2O;"</f>
        <v>#VALUE!</v>
      </c>
      <c r="BL354" t="e">
        <f>'Technical Master Data'!Q210+"AM:!2O&lt;"</f>
        <v>#VALUE!</v>
      </c>
      <c r="BM354" t="e">
        <f>'Technical Master Data'!R210+"AM:!2O="</f>
        <v>#VALUE!</v>
      </c>
      <c r="BN354" t="e">
        <f>'Technical Master Data'!S210+"AM:!2O&gt;"</f>
        <v>#VALUE!</v>
      </c>
      <c r="BO354" t="e">
        <f>'Technical Master Data'!A211+"AM:!2O?"</f>
        <v>#VALUE!</v>
      </c>
      <c r="BP354" t="e">
        <f>'Technical Master Data'!B211+"AM:!2O@"</f>
        <v>#VALUE!</v>
      </c>
      <c r="BQ354" t="e">
        <f>'Technical Master Data'!C211+"AM:!2OA"</f>
        <v>#VALUE!</v>
      </c>
      <c r="BR354" t="e">
        <f>'Technical Master Data'!D211+"AM:!2OB"</f>
        <v>#VALUE!</v>
      </c>
      <c r="BS354" t="e">
        <f>'Technical Master Data'!E211+"AM:!2OC"</f>
        <v>#VALUE!</v>
      </c>
      <c r="BT354" t="e">
        <f>'Technical Master Data'!F211+"AM:!2OD"</f>
        <v>#VALUE!</v>
      </c>
      <c r="BU354" t="e">
        <f>'Technical Master Data'!G211+"AM:!2OE"</f>
        <v>#VALUE!</v>
      </c>
      <c r="BV354" t="e">
        <f>'Technical Master Data'!H211+"AM:!2OF"</f>
        <v>#VALUE!</v>
      </c>
      <c r="BW354" t="e">
        <f>'Technical Master Data'!I211+"AM:!2OG"</f>
        <v>#VALUE!</v>
      </c>
      <c r="BX354" t="e">
        <f>'Technical Master Data'!J211+"AM:!2OH"</f>
        <v>#VALUE!</v>
      </c>
      <c r="BY354" t="e">
        <f>'Technical Master Data'!K211+"AM:!2OI"</f>
        <v>#VALUE!</v>
      </c>
      <c r="BZ354" t="e">
        <f>'Technical Master Data'!L211+"AM:!2OJ"</f>
        <v>#VALUE!</v>
      </c>
      <c r="CA354" t="e">
        <f>'Technical Master Data'!M211+"AM:!2OK"</f>
        <v>#VALUE!</v>
      </c>
      <c r="CB354" t="e">
        <f>'Technical Master Data'!N211+"AM:!2OL"</f>
        <v>#VALUE!</v>
      </c>
      <c r="CC354" t="e">
        <f>'Technical Master Data'!O211+"AM:!2OM"</f>
        <v>#VALUE!</v>
      </c>
      <c r="CD354" t="e">
        <f>'Technical Master Data'!P211+"AM:!2ON"</f>
        <v>#VALUE!</v>
      </c>
      <c r="CE354" t="e">
        <f>'Technical Master Data'!Q211+"AM:!2OO"</f>
        <v>#VALUE!</v>
      </c>
      <c r="CF354" t="e">
        <f>'Technical Master Data'!R211+"AM:!2OP"</f>
        <v>#VALUE!</v>
      </c>
      <c r="CG354" t="e">
        <f>'Technical Master Data'!S211+"AM:!2OQ"</f>
        <v>#VALUE!</v>
      </c>
      <c r="CH354" t="e">
        <f>'Technical Master Data'!A212+"AM:!2OR"</f>
        <v>#VALUE!</v>
      </c>
      <c r="CI354" t="e">
        <f>'Technical Master Data'!B212+"AM:!2OS"</f>
        <v>#VALUE!</v>
      </c>
      <c r="CJ354" t="e">
        <f>'Technical Master Data'!C212+"AM:!2OT"</f>
        <v>#VALUE!</v>
      </c>
      <c r="CK354" t="e">
        <f>'Technical Master Data'!D212+"AM:!2OU"</f>
        <v>#VALUE!</v>
      </c>
      <c r="CL354" t="e">
        <f>'Technical Master Data'!E212+"AM:!2OV"</f>
        <v>#VALUE!</v>
      </c>
      <c r="CM354" t="e">
        <f>'Technical Master Data'!F212+"AM:!2OW"</f>
        <v>#VALUE!</v>
      </c>
      <c r="CN354" t="e">
        <f>'Technical Master Data'!G212+"AM:!2OX"</f>
        <v>#VALUE!</v>
      </c>
      <c r="CO354" t="e">
        <f>'Technical Master Data'!H212+"AM:!2OY"</f>
        <v>#VALUE!</v>
      </c>
      <c r="CP354" t="e">
        <f>'Technical Master Data'!I212+"AM:!2OZ"</f>
        <v>#VALUE!</v>
      </c>
      <c r="CQ354" t="e">
        <f>'Technical Master Data'!J212+"AM:!2O["</f>
        <v>#VALUE!</v>
      </c>
      <c r="CR354" t="e">
        <f>'Technical Master Data'!K212+"AM:!2O\"</f>
        <v>#VALUE!</v>
      </c>
      <c r="CS354" t="e">
        <f>'Technical Master Data'!L212+"AM:!2O]"</f>
        <v>#VALUE!</v>
      </c>
      <c r="CT354" t="e">
        <f>'Technical Master Data'!M212+"AM:!2O^"</f>
        <v>#VALUE!</v>
      </c>
      <c r="CU354" t="e">
        <f>'Technical Master Data'!N212+"AM:!2O_"</f>
        <v>#VALUE!</v>
      </c>
      <c r="CV354" t="e">
        <f>'Technical Master Data'!O212+"AM:!2O`"</f>
        <v>#VALUE!</v>
      </c>
      <c r="CW354" t="e">
        <f>'Technical Master Data'!P212+"AM:!2Oa"</f>
        <v>#VALUE!</v>
      </c>
      <c r="CX354" t="e">
        <f>'Technical Master Data'!Q212+"AM:!2Ob"</f>
        <v>#VALUE!</v>
      </c>
      <c r="CY354" t="e">
        <f>'Technical Master Data'!R212+"AM:!2Oc"</f>
        <v>#VALUE!</v>
      </c>
      <c r="CZ354" t="e">
        <f>'Technical Master Data'!S212+"AM:!2Od"</f>
        <v>#VALUE!</v>
      </c>
      <c r="DA354" t="e">
        <f>'Technical Master Data'!A213+"AM:!2Oe"</f>
        <v>#VALUE!</v>
      </c>
      <c r="DB354" t="e">
        <f>'Technical Master Data'!B213+"AM:!2Of"</f>
        <v>#VALUE!</v>
      </c>
      <c r="DC354" t="e">
        <f>'Technical Master Data'!C213+"AM:!2Og"</f>
        <v>#VALUE!</v>
      </c>
      <c r="DD354" t="e">
        <f>'Technical Master Data'!D213+"AM:!2Oh"</f>
        <v>#VALUE!</v>
      </c>
      <c r="DE354" t="e">
        <f>'Technical Master Data'!E213+"AM:!2Oi"</f>
        <v>#VALUE!</v>
      </c>
      <c r="DF354" t="e">
        <f>'Technical Master Data'!F213+"AM:!2Oj"</f>
        <v>#VALUE!</v>
      </c>
      <c r="DG354" t="e">
        <f>'Technical Master Data'!G213+"AM:!2Ok"</f>
        <v>#VALUE!</v>
      </c>
      <c r="DH354" t="e">
        <f>'Technical Master Data'!H213+"AM:!2Ol"</f>
        <v>#VALUE!</v>
      </c>
      <c r="DI354" t="e">
        <f>'Technical Master Data'!I213+"AM:!2Om"</f>
        <v>#VALUE!</v>
      </c>
      <c r="DJ354" t="e">
        <f>'Technical Master Data'!J213+"AM:!2On"</f>
        <v>#VALUE!</v>
      </c>
      <c r="DK354" t="e">
        <f>'Technical Master Data'!K213+"AM:!2Oo"</f>
        <v>#VALUE!</v>
      </c>
      <c r="DL354" t="e">
        <f>'Technical Master Data'!L213+"AM:!2Op"</f>
        <v>#VALUE!</v>
      </c>
      <c r="DM354" t="e">
        <f>'Technical Master Data'!M213+"AM:!2Oq"</f>
        <v>#VALUE!</v>
      </c>
      <c r="DN354" t="e">
        <f>'Technical Master Data'!N213+"AM:!2Or"</f>
        <v>#VALUE!</v>
      </c>
      <c r="DO354" t="e">
        <f>'Technical Master Data'!O213+"AM:!2Os"</f>
        <v>#VALUE!</v>
      </c>
      <c r="DP354" t="e">
        <f>'Technical Master Data'!P213+"AM:!2Ot"</f>
        <v>#VALUE!</v>
      </c>
      <c r="DQ354" t="e">
        <f>'Technical Master Data'!Q213+"AM:!2Ou"</f>
        <v>#VALUE!</v>
      </c>
      <c r="DR354" t="e">
        <f>'Technical Master Data'!R213+"AM:!2Ov"</f>
        <v>#VALUE!</v>
      </c>
      <c r="DS354" t="e">
        <f>'Technical Master Data'!S213+"AM:!2Ow"</f>
        <v>#VALUE!</v>
      </c>
      <c r="DT354" t="e">
        <f>'Technical Master Data'!A214+"AM:!2Ox"</f>
        <v>#VALUE!</v>
      </c>
      <c r="DU354" t="e">
        <f>'Technical Master Data'!B214+"AM:!2Oy"</f>
        <v>#VALUE!</v>
      </c>
      <c r="DV354" t="e">
        <f>'Technical Master Data'!C214+"AM:!2Oz"</f>
        <v>#VALUE!</v>
      </c>
      <c r="DW354" t="e">
        <f>'Technical Master Data'!D214+"AM:!2O{"</f>
        <v>#VALUE!</v>
      </c>
      <c r="DX354" t="e">
        <f>'Technical Master Data'!E214+"AM:!2O|"</f>
        <v>#VALUE!</v>
      </c>
      <c r="DY354" t="e">
        <f>'Technical Master Data'!F214+"AM:!2O}"</f>
        <v>#VALUE!</v>
      </c>
      <c r="DZ354" t="e">
        <f>'Technical Master Data'!G214+"AM:!2O~"</f>
        <v>#VALUE!</v>
      </c>
      <c r="EA354" t="e">
        <f>'Technical Master Data'!H214+"AM:!2P#"</f>
        <v>#VALUE!</v>
      </c>
      <c r="EB354" t="e">
        <f>'Technical Master Data'!I214+"AM:!2P$"</f>
        <v>#VALUE!</v>
      </c>
      <c r="EC354" t="e">
        <f>'Technical Master Data'!J214+"AM:!2P%"</f>
        <v>#VALUE!</v>
      </c>
      <c r="ED354" t="e">
        <f>'Technical Master Data'!K214+"AM:!2P&amp;"</f>
        <v>#VALUE!</v>
      </c>
      <c r="EE354" t="e">
        <f>'Technical Master Data'!L214+"AM:!2P'"</f>
        <v>#VALUE!</v>
      </c>
      <c r="EF354" t="e">
        <f>'Technical Master Data'!M214+"AM:!2P("</f>
        <v>#VALUE!</v>
      </c>
      <c r="EG354" t="e">
        <f>'Technical Master Data'!N214+"AM:!2P)"</f>
        <v>#VALUE!</v>
      </c>
      <c r="EH354" t="e">
        <f>'Technical Master Data'!O214+"AM:!2P."</f>
        <v>#VALUE!</v>
      </c>
      <c r="EI354" t="e">
        <f>'Technical Master Data'!P214+"AM:!2P/"</f>
        <v>#VALUE!</v>
      </c>
      <c r="EJ354" t="e">
        <f>'Technical Master Data'!Q214+"AM:!2P0"</f>
        <v>#VALUE!</v>
      </c>
      <c r="EK354" t="e">
        <f>'Technical Master Data'!R214+"AM:!2P1"</f>
        <v>#VALUE!</v>
      </c>
      <c r="EL354" t="e">
        <f>'Technical Master Data'!S214+"AM:!2P2"</f>
        <v>#VALUE!</v>
      </c>
      <c r="EM354" t="e">
        <f>'Technical Master Data'!A215+"AM:!2P3"</f>
        <v>#VALUE!</v>
      </c>
      <c r="EN354" t="e">
        <f>'Technical Master Data'!B215+"AM:!2P4"</f>
        <v>#VALUE!</v>
      </c>
      <c r="EO354" t="e">
        <f>'Technical Master Data'!C215+"AM:!2P5"</f>
        <v>#VALUE!</v>
      </c>
      <c r="EP354" t="e">
        <f>'Technical Master Data'!D215+"AM:!2P6"</f>
        <v>#VALUE!</v>
      </c>
      <c r="EQ354" t="e">
        <f>'Technical Master Data'!E215+"AM:!2P7"</f>
        <v>#VALUE!</v>
      </c>
      <c r="ER354" t="e">
        <f>'Technical Master Data'!F215+"AM:!2P8"</f>
        <v>#VALUE!</v>
      </c>
      <c r="ES354" t="e">
        <f>'Technical Master Data'!G215+"AM:!2P9"</f>
        <v>#VALUE!</v>
      </c>
      <c r="ET354" t="e">
        <f>'Technical Master Data'!H215+"AM:!2P:"</f>
        <v>#VALUE!</v>
      </c>
      <c r="EU354" t="e">
        <f>'Technical Master Data'!I215+"AM:!2P;"</f>
        <v>#VALUE!</v>
      </c>
      <c r="EV354" t="e">
        <f>'Technical Master Data'!J215+"AM:!2P&lt;"</f>
        <v>#VALUE!</v>
      </c>
      <c r="EW354" t="e">
        <f>'Technical Master Data'!K215+"AM:!2P="</f>
        <v>#VALUE!</v>
      </c>
      <c r="EX354" t="e">
        <f>'Technical Master Data'!L215+"AM:!2P&gt;"</f>
        <v>#VALUE!</v>
      </c>
      <c r="EY354" t="e">
        <f>'Technical Master Data'!M215+"AM:!2P?"</f>
        <v>#VALUE!</v>
      </c>
      <c r="EZ354" t="e">
        <f>'Technical Master Data'!N215+"AM:!2P@"</f>
        <v>#VALUE!</v>
      </c>
      <c r="FA354" t="e">
        <f>'Technical Master Data'!O215+"AM:!2PA"</f>
        <v>#VALUE!</v>
      </c>
      <c r="FB354" t="e">
        <f>'Technical Master Data'!P215+"AM:!2PB"</f>
        <v>#VALUE!</v>
      </c>
      <c r="FC354" t="e">
        <f>'Technical Master Data'!Q215+"AM:!2PC"</f>
        <v>#VALUE!</v>
      </c>
      <c r="FD354" t="e">
        <f>'Technical Master Data'!R215+"AM:!2PD"</f>
        <v>#VALUE!</v>
      </c>
      <c r="FE354" t="e">
        <f>'Technical Master Data'!S215+"AM:!2PE"</f>
        <v>#VALUE!</v>
      </c>
      <c r="FF354" t="e">
        <f>'Technical Master Data'!A216+"AM:!2PF"</f>
        <v>#VALUE!</v>
      </c>
      <c r="FG354" t="e">
        <f>'Technical Master Data'!B216+"AM:!2PG"</f>
        <v>#VALUE!</v>
      </c>
      <c r="FH354" t="e">
        <f>'Technical Master Data'!C216+"AM:!2PH"</f>
        <v>#VALUE!</v>
      </c>
      <c r="FI354" t="e">
        <f>'Technical Master Data'!D216+"AM:!2PI"</f>
        <v>#VALUE!</v>
      </c>
      <c r="FJ354" t="e">
        <f>'Technical Master Data'!E216+"AM:!2PJ"</f>
        <v>#VALUE!</v>
      </c>
      <c r="FK354" t="e">
        <f>'Technical Master Data'!F216+"AM:!2PK"</f>
        <v>#VALUE!</v>
      </c>
      <c r="FL354" t="e">
        <f>'Technical Master Data'!G216+"AM:!2PL"</f>
        <v>#VALUE!</v>
      </c>
      <c r="FM354" t="e">
        <f>'Technical Master Data'!H216+"AM:!2PM"</f>
        <v>#VALUE!</v>
      </c>
      <c r="FN354" t="e">
        <f>'Technical Master Data'!I216+"AM:!2PN"</f>
        <v>#VALUE!</v>
      </c>
      <c r="FO354" t="e">
        <f>'Technical Master Data'!J216+"AM:!2PO"</f>
        <v>#VALUE!</v>
      </c>
      <c r="FP354" t="e">
        <f>'Technical Master Data'!K216+"AM:!2PP"</f>
        <v>#VALUE!</v>
      </c>
      <c r="FQ354" t="e">
        <f>'Technical Master Data'!L216+"AM:!2PQ"</f>
        <v>#VALUE!</v>
      </c>
      <c r="FR354" t="e">
        <f>'Technical Master Data'!M216+"AM:!2PR"</f>
        <v>#VALUE!</v>
      </c>
      <c r="FS354" t="e">
        <f>'Technical Master Data'!N216+"AM:!2PS"</f>
        <v>#VALUE!</v>
      </c>
      <c r="FT354" t="e">
        <f>'Technical Master Data'!O216+"AM:!2PT"</f>
        <v>#VALUE!</v>
      </c>
      <c r="FU354" t="e">
        <f>'Technical Master Data'!P216+"AM:!2PU"</f>
        <v>#VALUE!</v>
      </c>
      <c r="FV354" t="e">
        <f>'Technical Master Data'!Q216+"AM:!2PV"</f>
        <v>#VALUE!</v>
      </c>
      <c r="FW354" t="e">
        <f>'Technical Master Data'!R216+"AM:!2PW"</f>
        <v>#VALUE!</v>
      </c>
      <c r="FX354" t="e">
        <f>'Technical Master Data'!S216+"AM:!2PX"</f>
        <v>#VALUE!</v>
      </c>
      <c r="FY354" t="e">
        <f>'Technical Master Data'!A217+"AM:!2PY"</f>
        <v>#VALUE!</v>
      </c>
      <c r="FZ354" t="e">
        <f>'Technical Master Data'!B217+"AM:!2PZ"</f>
        <v>#VALUE!</v>
      </c>
      <c r="GA354" t="e">
        <f>'Technical Master Data'!C217+"AM:!2P["</f>
        <v>#VALUE!</v>
      </c>
      <c r="GB354" t="e">
        <f>'Technical Master Data'!D217+"AM:!2P\"</f>
        <v>#VALUE!</v>
      </c>
      <c r="GC354" t="e">
        <f>'Technical Master Data'!E217+"AM:!2P]"</f>
        <v>#VALUE!</v>
      </c>
      <c r="GD354" t="e">
        <f>'Technical Master Data'!F217+"AM:!2P^"</f>
        <v>#VALUE!</v>
      </c>
      <c r="GE354" t="e">
        <f>'Technical Master Data'!G217+"AM:!2P_"</f>
        <v>#VALUE!</v>
      </c>
      <c r="GF354" t="e">
        <f>'Technical Master Data'!H217+"AM:!2P`"</f>
        <v>#VALUE!</v>
      </c>
      <c r="GG354" t="e">
        <f>'Technical Master Data'!I217+"AM:!2Pa"</f>
        <v>#VALUE!</v>
      </c>
      <c r="GH354" t="e">
        <f>'Technical Master Data'!J217+"AM:!2Pb"</f>
        <v>#VALUE!</v>
      </c>
      <c r="GI354" t="e">
        <f>'Technical Master Data'!K217+"AM:!2Pc"</f>
        <v>#VALUE!</v>
      </c>
      <c r="GJ354" t="e">
        <f>'Technical Master Data'!L217+"AM:!2Pd"</f>
        <v>#VALUE!</v>
      </c>
      <c r="GK354" t="e">
        <f>'Technical Master Data'!M217+"AM:!2Pe"</f>
        <v>#VALUE!</v>
      </c>
      <c r="GL354" t="e">
        <f>'Technical Master Data'!N217+"AM:!2Pf"</f>
        <v>#VALUE!</v>
      </c>
      <c r="GM354" t="e">
        <f>'Technical Master Data'!O217+"AM:!2Pg"</f>
        <v>#VALUE!</v>
      </c>
      <c r="GN354" t="e">
        <f>'Technical Master Data'!P217+"AM:!2Ph"</f>
        <v>#VALUE!</v>
      </c>
      <c r="GO354" t="e">
        <f>'Technical Master Data'!Q217+"AM:!2Pi"</f>
        <v>#VALUE!</v>
      </c>
      <c r="GP354" t="e">
        <f>'Technical Master Data'!R217+"AM:!2Pj"</f>
        <v>#VALUE!</v>
      </c>
      <c r="GQ354" t="e">
        <f>'Technical Master Data'!S217+"AM:!2Pk"</f>
        <v>#VALUE!</v>
      </c>
      <c r="GR354" t="e">
        <f>'Technical Master Data'!A218+"AM:!2Pl"</f>
        <v>#VALUE!</v>
      </c>
      <c r="GS354" t="e">
        <f>'Technical Master Data'!B218+"AM:!2Pm"</f>
        <v>#VALUE!</v>
      </c>
      <c r="GT354" t="e">
        <f>'Technical Master Data'!C218+"AM:!2Pn"</f>
        <v>#VALUE!</v>
      </c>
      <c r="GU354" t="e">
        <f>'Technical Master Data'!D218+"AM:!2Po"</f>
        <v>#VALUE!</v>
      </c>
      <c r="GV354" t="e">
        <f>'Technical Master Data'!E218+"AM:!2Pp"</f>
        <v>#VALUE!</v>
      </c>
      <c r="GW354" t="e">
        <f>'Technical Master Data'!F218+"AM:!2Pq"</f>
        <v>#VALUE!</v>
      </c>
      <c r="GX354" t="e">
        <f>'Technical Master Data'!G218+"AM:!2Pr"</f>
        <v>#VALUE!</v>
      </c>
      <c r="GY354" t="e">
        <f>'Technical Master Data'!H218+"AM:!2Ps"</f>
        <v>#VALUE!</v>
      </c>
      <c r="GZ354" t="e">
        <f>'Technical Master Data'!I218+"AM:!2Pt"</f>
        <v>#VALUE!</v>
      </c>
      <c r="HA354" t="e">
        <f>'Technical Master Data'!J218+"AM:!2Pu"</f>
        <v>#VALUE!</v>
      </c>
      <c r="HB354" t="e">
        <f>'Technical Master Data'!K218+"AM:!2Pv"</f>
        <v>#VALUE!</v>
      </c>
      <c r="HC354" t="e">
        <f>'Technical Master Data'!L218+"AM:!2Pw"</f>
        <v>#VALUE!</v>
      </c>
      <c r="HD354" t="e">
        <f>'Technical Master Data'!M218+"AM:!2Px"</f>
        <v>#VALUE!</v>
      </c>
      <c r="HE354" t="e">
        <f>'Technical Master Data'!N218+"AM:!2Py"</f>
        <v>#VALUE!</v>
      </c>
      <c r="HF354" t="e">
        <f>'Technical Master Data'!O218+"AM:!2Pz"</f>
        <v>#VALUE!</v>
      </c>
      <c r="HG354" t="e">
        <f>'Technical Master Data'!P218+"AM:!2P{"</f>
        <v>#VALUE!</v>
      </c>
      <c r="HH354" t="e">
        <f>'Technical Master Data'!Q218+"AM:!2P|"</f>
        <v>#VALUE!</v>
      </c>
      <c r="HI354" t="e">
        <f>'Technical Master Data'!R218+"AM:!2P}"</f>
        <v>#VALUE!</v>
      </c>
      <c r="HJ354" t="e">
        <f>'Technical Master Data'!S218+"AM:!2P~"</f>
        <v>#VALUE!</v>
      </c>
      <c r="HK354" t="e">
        <f>'Technical Master Data'!A219+"AM:!2Q#"</f>
        <v>#VALUE!</v>
      </c>
      <c r="HL354" t="e">
        <f>'Technical Master Data'!B219+"AM:!2Q$"</f>
        <v>#VALUE!</v>
      </c>
      <c r="HM354" t="e">
        <f>'Technical Master Data'!C219+"AM:!2Q%"</f>
        <v>#VALUE!</v>
      </c>
      <c r="HN354" t="e">
        <f>'Technical Master Data'!D219+"AM:!2Q&amp;"</f>
        <v>#VALUE!</v>
      </c>
      <c r="HO354" t="e">
        <f>'Technical Master Data'!E219+"AM:!2Q'"</f>
        <v>#VALUE!</v>
      </c>
      <c r="HP354" t="e">
        <f>'Technical Master Data'!F219+"AM:!2Q("</f>
        <v>#VALUE!</v>
      </c>
      <c r="HQ354" t="e">
        <f>'Technical Master Data'!G219+"AM:!2Q)"</f>
        <v>#VALUE!</v>
      </c>
      <c r="HR354" t="e">
        <f>'Technical Master Data'!H219+"AM:!2Q."</f>
        <v>#VALUE!</v>
      </c>
      <c r="HS354" t="e">
        <f>'Technical Master Data'!I219+"AM:!2Q/"</f>
        <v>#VALUE!</v>
      </c>
      <c r="HT354" t="e">
        <f>'Technical Master Data'!J219+"AM:!2Q0"</f>
        <v>#VALUE!</v>
      </c>
      <c r="HU354" t="e">
        <f>'Technical Master Data'!K219+"AM:!2Q1"</f>
        <v>#VALUE!</v>
      </c>
      <c r="HV354" t="e">
        <f>'Technical Master Data'!L219+"AM:!2Q2"</f>
        <v>#VALUE!</v>
      </c>
      <c r="HW354" t="e">
        <f>'Technical Master Data'!M219+"AM:!2Q3"</f>
        <v>#VALUE!</v>
      </c>
      <c r="HX354" t="e">
        <f>'Technical Master Data'!N219+"AM:!2Q4"</f>
        <v>#VALUE!</v>
      </c>
      <c r="HY354" t="e">
        <f>'Technical Master Data'!O219+"AM:!2Q5"</f>
        <v>#VALUE!</v>
      </c>
      <c r="HZ354" t="e">
        <f>'Technical Master Data'!P219+"AM:!2Q6"</f>
        <v>#VALUE!</v>
      </c>
      <c r="IA354" t="e">
        <f>'Technical Master Data'!Q219+"AM:!2Q7"</f>
        <v>#VALUE!</v>
      </c>
      <c r="IB354" t="e">
        <f>'Technical Master Data'!R219+"AM:!2Q8"</f>
        <v>#VALUE!</v>
      </c>
      <c r="IC354" t="e">
        <f>'Technical Master Data'!S219+"AM:!2Q9"</f>
        <v>#VALUE!</v>
      </c>
      <c r="ID354" t="e">
        <f>'Technical Master Data'!A220+"AM:!2Q:"</f>
        <v>#VALUE!</v>
      </c>
      <c r="IE354" t="e">
        <f>'Technical Master Data'!B220+"AM:!2Q;"</f>
        <v>#VALUE!</v>
      </c>
      <c r="IF354" t="e">
        <f>'Technical Master Data'!C220+"AM:!2Q&lt;"</f>
        <v>#VALUE!</v>
      </c>
      <c r="IG354" t="e">
        <f>'Technical Master Data'!D220+"AM:!2Q="</f>
        <v>#VALUE!</v>
      </c>
      <c r="IH354" t="e">
        <f>'Technical Master Data'!E220+"AM:!2Q&gt;"</f>
        <v>#VALUE!</v>
      </c>
      <c r="II354" t="e">
        <f>'Technical Master Data'!F220+"AM:!2Q?"</f>
        <v>#VALUE!</v>
      </c>
      <c r="IJ354" t="e">
        <f>'Technical Master Data'!G220+"AM:!2Q@"</f>
        <v>#VALUE!</v>
      </c>
      <c r="IK354" t="e">
        <f>'Technical Master Data'!H220+"AM:!2QA"</f>
        <v>#VALUE!</v>
      </c>
      <c r="IL354" t="e">
        <f>'Technical Master Data'!I220+"AM:!2QB"</f>
        <v>#VALUE!</v>
      </c>
      <c r="IM354" t="e">
        <f>'Technical Master Data'!J220+"AM:!2QC"</f>
        <v>#VALUE!</v>
      </c>
      <c r="IN354" t="e">
        <f>'Technical Master Data'!K220+"AM:!2QD"</f>
        <v>#VALUE!</v>
      </c>
      <c r="IO354" t="e">
        <f>'Technical Master Data'!L220+"AM:!2QE"</f>
        <v>#VALUE!</v>
      </c>
      <c r="IP354" t="e">
        <f>'Technical Master Data'!M220+"AM:!2QF"</f>
        <v>#VALUE!</v>
      </c>
      <c r="IQ354" t="e">
        <f>'Technical Master Data'!N220+"AM:!2QG"</f>
        <v>#VALUE!</v>
      </c>
      <c r="IR354" t="e">
        <f>'Technical Master Data'!O220+"AM:!2QH"</f>
        <v>#VALUE!</v>
      </c>
      <c r="IS354" t="e">
        <f>'Technical Master Data'!P220+"AM:!2QI"</f>
        <v>#VALUE!</v>
      </c>
      <c r="IT354" t="e">
        <f>'Technical Master Data'!Q220+"AM:!2QJ"</f>
        <v>#VALUE!</v>
      </c>
      <c r="IU354" t="e">
        <f>'Technical Master Data'!R220+"AM:!2QK"</f>
        <v>#VALUE!</v>
      </c>
      <c r="IV354" t="e">
        <f>'Technical Master Data'!S220+"AM:!2QL"</f>
        <v>#VALUE!</v>
      </c>
    </row>
    <row r="355" spans="6:256">
      <c r="F355" t="e">
        <f>'Technical Master Data'!A221+"AM:!2QM"</f>
        <v>#VALUE!</v>
      </c>
      <c r="G355" t="e">
        <f>'Technical Master Data'!B221+"AM:!2QN"</f>
        <v>#VALUE!</v>
      </c>
      <c r="H355" t="e">
        <f>'Technical Master Data'!C221+"AM:!2QO"</f>
        <v>#VALUE!</v>
      </c>
      <c r="I355" t="e">
        <f>'Technical Master Data'!D221+"AM:!2QP"</f>
        <v>#VALUE!</v>
      </c>
      <c r="J355" t="e">
        <f>'Technical Master Data'!E221+"AM:!2QQ"</f>
        <v>#VALUE!</v>
      </c>
      <c r="K355" t="e">
        <f>'Technical Master Data'!F221+"AM:!2QR"</f>
        <v>#VALUE!</v>
      </c>
      <c r="L355" t="e">
        <f>'Technical Master Data'!G221+"AM:!2QS"</f>
        <v>#VALUE!</v>
      </c>
      <c r="M355" t="e">
        <f>'Technical Master Data'!H221+"AM:!2QT"</f>
        <v>#VALUE!</v>
      </c>
      <c r="N355" t="e">
        <f>'Technical Master Data'!I221+"AM:!2QU"</f>
        <v>#VALUE!</v>
      </c>
      <c r="O355" t="e">
        <f>'Technical Master Data'!J221+"AM:!2QV"</f>
        <v>#VALUE!</v>
      </c>
      <c r="P355" t="e">
        <f>'Technical Master Data'!K221+"AM:!2QW"</f>
        <v>#VALUE!</v>
      </c>
      <c r="Q355" t="e">
        <f>'Technical Master Data'!L221+"AM:!2QX"</f>
        <v>#VALUE!</v>
      </c>
      <c r="R355" t="e">
        <f>'Technical Master Data'!M221+"AM:!2QY"</f>
        <v>#VALUE!</v>
      </c>
      <c r="S355" t="e">
        <f>'Technical Master Data'!N221+"AM:!2QZ"</f>
        <v>#VALUE!</v>
      </c>
      <c r="T355" t="e">
        <f>'Technical Master Data'!O221+"AM:!2Q["</f>
        <v>#VALUE!</v>
      </c>
      <c r="U355" t="e">
        <f>'Technical Master Data'!P221+"AM:!2Q\"</f>
        <v>#VALUE!</v>
      </c>
      <c r="V355" t="e">
        <f>'Technical Master Data'!Q221+"AM:!2Q]"</f>
        <v>#VALUE!</v>
      </c>
      <c r="W355" t="e">
        <f>'Technical Master Data'!R221+"AM:!2Q^"</f>
        <v>#VALUE!</v>
      </c>
      <c r="X355" t="e">
        <f>'Technical Master Data'!S221+"AM:!2Q_"</f>
        <v>#VALUE!</v>
      </c>
      <c r="Y355" t="e">
        <f>'Technical Master Data'!A222+"AM:!2Q`"</f>
        <v>#VALUE!</v>
      </c>
      <c r="Z355" t="e">
        <f>'Technical Master Data'!B222+"AM:!2Qa"</f>
        <v>#VALUE!</v>
      </c>
      <c r="AA355" t="e">
        <f>'Technical Master Data'!C222+"AM:!2Qb"</f>
        <v>#VALUE!</v>
      </c>
      <c r="AB355" t="e">
        <f>'Technical Master Data'!D222+"AM:!2Qc"</f>
        <v>#VALUE!</v>
      </c>
      <c r="AC355" t="e">
        <f>'Technical Master Data'!E222+"AM:!2Qd"</f>
        <v>#VALUE!</v>
      </c>
      <c r="AD355" t="e">
        <f>'Technical Master Data'!F222+"AM:!2Qe"</f>
        <v>#VALUE!</v>
      </c>
      <c r="AE355" t="e">
        <f>'Technical Master Data'!G222+"AM:!2Qf"</f>
        <v>#VALUE!</v>
      </c>
      <c r="AF355" t="e">
        <f>'Technical Master Data'!H222+"AM:!2Qg"</f>
        <v>#VALUE!</v>
      </c>
      <c r="AG355" t="e">
        <f>'Technical Master Data'!I222+"AM:!2Qh"</f>
        <v>#VALUE!</v>
      </c>
      <c r="AH355" t="e">
        <f>'Technical Master Data'!J222+"AM:!2Qi"</f>
        <v>#VALUE!</v>
      </c>
      <c r="AI355" t="e">
        <f>'Technical Master Data'!K222+"AM:!2Qj"</f>
        <v>#VALUE!</v>
      </c>
      <c r="AJ355" t="e">
        <f>'Technical Master Data'!L222+"AM:!2Qk"</f>
        <v>#VALUE!</v>
      </c>
      <c r="AK355" t="e">
        <f>'Technical Master Data'!M222+"AM:!2Ql"</f>
        <v>#VALUE!</v>
      </c>
      <c r="AL355" t="e">
        <f>'Technical Master Data'!N222+"AM:!2Qm"</f>
        <v>#VALUE!</v>
      </c>
      <c r="AM355" t="e">
        <f>'Technical Master Data'!O222+"AM:!2Qn"</f>
        <v>#VALUE!</v>
      </c>
      <c r="AN355" t="e">
        <f>'Technical Master Data'!P222+"AM:!2Qo"</f>
        <v>#VALUE!</v>
      </c>
      <c r="AO355" t="e">
        <f>'Technical Master Data'!Q222+"AM:!2Qp"</f>
        <v>#VALUE!</v>
      </c>
      <c r="AP355" t="e">
        <f>'Technical Master Data'!R222+"AM:!2Qq"</f>
        <v>#VALUE!</v>
      </c>
      <c r="AQ355" t="e">
        <f>'Technical Master Data'!S222+"AM:!2Qr"</f>
        <v>#VALUE!</v>
      </c>
      <c r="AR355" t="e">
        <f>'Technical Master Data'!A223+"AM:!2Qs"</f>
        <v>#VALUE!</v>
      </c>
      <c r="AS355" t="e">
        <f>'Technical Master Data'!B223+"AM:!2Qt"</f>
        <v>#VALUE!</v>
      </c>
      <c r="AT355" t="e">
        <f>'Technical Master Data'!C223+"AM:!2Qu"</f>
        <v>#VALUE!</v>
      </c>
      <c r="AU355" t="e">
        <f>'Technical Master Data'!D223+"AM:!2Qv"</f>
        <v>#VALUE!</v>
      </c>
      <c r="AV355" t="e">
        <f>'Technical Master Data'!E223+"AM:!2Qw"</f>
        <v>#VALUE!</v>
      </c>
      <c r="AW355" t="e">
        <f>'Technical Master Data'!F223+"AM:!2Qx"</f>
        <v>#VALUE!</v>
      </c>
      <c r="AX355" t="e">
        <f>'Technical Master Data'!G223+"AM:!2Qy"</f>
        <v>#VALUE!</v>
      </c>
      <c r="AY355" t="e">
        <f>'Technical Master Data'!H223+"AM:!2Qz"</f>
        <v>#VALUE!</v>
      </c>
      <c r="AZ355" t="e">
        <f>'Technical Master Data'!I223+"AM:!2Q{"</f>
        <v>#VALUE!</v>
      </c>
      <c r="BA355" t="e">
        <f>'Technical Master Data'!J223+"AM:!2Q|"</f>
        <v>#VALUE!</v>
      </c>
      <c r="BB355" t="e">
        <f>'Technical Master Data'!K223+"AM:!2Q}"</f>
        <v>#VALUE!</v>
      </c>
      <c r="BC355" t="e">
        <f>'Technical Master Data'!L223+"AM:!2Q~"</f>
        <v>#VALUE!</v>
      </c>
      <c r="BD355" t="e">
        <f>'Technical Master Data'!M223+"AM:!2R#"</f>
        <v>#VALUE!</v>
      </c>
      <c r="BE355" t="e">
        <f>'Technical Master Data'!N223+"AM:!2R$"</f>
        <v>#VALUE!</v>
      </c>
      <c r="BF355" t="e">
        <f>'Technical Master Data'!O223+"AM:!2R%"</f>
        <v>#VALUE!</v>
      </c>
      <c r="BG355" t="e">
        <f>'Technical Master Data'!P223+"AM:!2R&amp;"</f>
        <v>#VALUE!</v>
      </c>
      <c r="BH355" t="e">
        <f>'Technical Master Data'!Q223+"AM:!2R'"</f>
        <v>#VALUE!</v>
      </c>
      <c r="BI355" t="e">
        <f>'Technical Master Data'!R223+"AM:!2R("</f>
        <v>#VALUE!</v>
      </c>
      <c r="BJ355" t="e">
        <f>'Technical Master Data'!S223+"AM:!2R)"</f>
        <v>#VALUE!</v>
      </c>
      <c r="BK355" t="e">
        <f>'Technical Master Data'!A224+"AM:!2R."</f>
        <v>#VALUE!</v>
      </c>
      <c r="BL355" t="e">
        <f>'Technical Master Data'!B224+"AM:!2R/"</f>
        <v>#VALUE!</v>
      </c>
      <c r="BM355" t="e">
        <f>'Technical Master Data'!C224+"AM:!2R0"</f>
        <v>#VALUE!</v>
      </c>
      <c r="BN355" t="e">
        <f>'Technical Master Data'!D224+"AM:!2R1"</f>
        <v>#VALUE!</v>
      </c>
      <c r="BO355" t="e">
        <f>'Technical Master Data'!E224+"AM:!2R2"</f>
        <v>#VALUE!</v>
      </c>
      <c r="BP355" t="e">
        <f>'Technical Master Data'!F224+"AM:!2R3"</f>
        <v>#VALUE!</v>
      </c>
      <c r="BQ355" t="e">
        <f>'Technical Master Data'!G224+"AM:!2R4"</f>
        <v>#VALUE!</v>
      </c>
      <c r="BR355" t="e">
        <f>'Technical Master Data'!H224+"AM:!2R5"</f>
        <v>#VALUE!</v>
      </c>
      <c r="BS355" t="e">
        <f>'Technical Master Data'!I224+"AM:!2R6"</f>
        <v>#VALUE!</v>
      </c>
      <c r="BT355" t="e">
        <f>'Technical Master Data'!J224+"AM:!2R7"</f>
        <v>#VALUE!</v>
      </c>
      <c r="BU355" t="e">
        <f>'Technical Master Data'!K224+"AM:!2R8"</f>
        <v>#VALUE!</v>
      </c>
      <c r="BV355" t="e">
        <f>'Technical Master Data'!L224+"AM:!2R9"</f>
        <v>#VALUE!</v>
      </c>
      <c r="BW355" t="e">
        <f>'Technical Master Data'!M224+"AM:!2R:"</f>
        <v>#VALUE!</v>
      </c>
      <c r="BX355" t="e">
        <f>'Technical Master Data'!N224+"AM:!2R;"</f>
        <v>#VALUE!</v>
      </c>
      <c r="BY355" t="e">
        <f>'Technical Master Data'!O224+"AM:!2R&lt;"</f>
        <v>#VALUE!</v>
      </c>
      <c r="BZ355" t="e">
        <f>'Technical Master Data'!P224+"AM:!2R="</f>
        <v>#VALUE!</v>
      </c>
      <c r="CA355" t="e">
        <f>'Technical Master Data'!Q224+"AM:!2R&gt;"</f>
        <v>#VALUE!</v>
      </c>
      <c r="CB355" t="e">
        <f>'Technical Master Data'!R224+"AM:!2R?"</f>
        <v>#VALUE!</v>
      </c>
      <c r="CC355" t="e">
        <f>'Technical Master Data'!S224+"AM:!2R@"</f>
        <v>#VALUE!</v>
      </c>
      <c r="CD355" t="e">
        <f>'Technical Master Data'!A225+"AM:!2RA"</f>
        <v>#VALUE!</v>
      </c>
      <c r="CE355" t="e">
        <f>'Technical Master Data'!B225+"AM:!2RB"</f>
        <v>#VALUE!</v>
      </c>
      <c r="CF355" t="e">
        <f>'Technical Master Data'!C225+"AM:!2RC"</f>
        <v>#VALUE!</v>
      </c>
      <c r="CG355" t="e">
        <f>'Technical Master Data'!D225+"AM:!2RD"</f>
        <v>#VALUE!</v>
      </c>
      <c r="CH355" t="e">
        <f>'Technical Master Data'!E225+"AM:!2RE"</f>
        <v>#VALUE!</v>
      </c>
      <c r="CI355" t="e">
        <f>'Technical Master Data'!F225+"AM:!2RF"</f>
        <v>#VALUE!</v>
      </c>
      <c r="CJ355" t="e">
        <f>'Technical Master Data'!G225+"AM:!2RG"</f>
        <v>#VALUE!</v>
      </c>
      <c r="CK355" t="e">
        <f>'Technical Master Data'!H225+"AM:!2RH"</f>
        <v>#VALUE!</v>
      </c>
      <c r="CL355" t="e">
        <f>'Technical Master Data'!I225+"AM:!2RI"</f>
        <v>#VALUE!</v>
      </c>
      <c r="CM355" t="e">
        <f>'Technical Master Data'!J225+"AM:!2RJ"</f>
        <v>#VALUE!</v>
      </c>
      <c r="CN355" t="e">
        <f>'Technical Master Data'!K225+"AM:!2RK"</f>
        <v>#VALUE!</v>
      </c>
      <c r="CO355" t="e">
        <f>'Technical Master Data'!L225+"AM:!2RL"</f>
        <v>#VALUE!</v>
      </c>
      <c r="CP355" t="e">
        <f>'Technical Master Data'!M225+"AM:!2RM"</f>
        <v>#VALUE!</v>
      </c>
      <c r="CQ355" t="e">
        <f>'Technical Master Data'!N225+"AM:!2RN"</f>
        <v>#VALUE!</v>
      </c>
      <c r="CR355" t="e">
        <f>'Technical Master Data'!O225+"AM:!2RO"</f>
        <v>#VALUE!</v>
      </c>
      <c r="CS355" t="e">
        <f>'Technical Master Data'!P225+"AM:!2RP"</f>
        <v>#VALUE!</v>
      </c>
      <c r="CT355" t="e">
        <f>'Technical Master Data'!Q225+"AM:!2RQ"</f>
        <v>#VALUE!</v>
      </c>
      <c r="CU355" t="e">
        <f>'Technical Master Data'!R225+"AM:!2RR"</f>
        <v>#VALUE!</v>
      </c>
      <c r="CV355" t="e">
        <f>'Technical Master Data'!S225+"AM:!2RS"</f>
        <v>#VALUE!</v>
      </c>
      <c r="CW355" t="e">
        <f>'Technical Master Data'!A226+"AM:!2RT"</f>
        <v>#VALUE!</v>
      </c>
      <c r="CX355" t="e">
        <f>'Technical Master Data'!B226+"AM:!2RU"</f>
        <v>#VALUE!</v>
      </c>
      <c r="CY355" t="e">
        <f>'Technical Master Data'!C226+"AM:!2RV"</f>
        <v>#VALUE!</v>
      </c>
      <c r="CZ355" t="e">
        <f>'Technical Master Data'!D226+"AM:!2RW"</f>
        <v>#VALUE!</v>
      </c>
      <c r="DA355" t="e">
        <f>'Technical Master Data'!E226+"AM:!2RX"</f>
        <v>#VALUE!</v>
      </c>
      <c r="DB355" t="e">
        <f>'Technical Master Data'!F226+"AM:!2RY"</f>
        <v>#VALUE!</v>
      </c>
      <c r="DC355" t="e">
        <f>'Technical Master Data'!G226+"AM:!2RZ"</f>
        <v>#VALUE!</v>
      </c>
      <c r="DD355" t="e">
        <f>'Technical Master Data'!H226+"AM:!2R["</f>
        <v>#VALUE!</v>
      </c>
      <c r="DE355" t="e">
        <f>'Technical Master Data'!I226+"AM:!2R\"</f>
        <v>#VALUE!</v>
      </c>
      <c r="DF355" t="e">
        <f>'Technical Master Data'!J226+"AM:!2R]"</f>
        <v>#VALUE!</v>
      </c>
      <c r="DG355" t="e">
        <f>'Technical Master Data'!K226+"AM:!2R^"</f>
        <v>#VALUE!</v>
      </c>
      <c r="DH355" t="e">
        <f>'Technical Master Data'!L226+"AM:!2R_"</f>
        <v>#VALUE!</v>
      </c>
      <c r="DI355" t="e">
        <f>'Technical Master Data'!M226+"AM:!2R`"</f>
        <v>#VALUE!</v>
      </c>
      <c r="DJ355" t="e">
        <f>'Technical Master Data'!N226+"AM:!2Ra"</f>
        <v>#VALUE!</v>
      </c>
      <c r="DK355" t="e">
        <f>'Technical Master Data'!O226+"AM:!2Rb"</f>
        <v>#VALUE!</v>
      </c>
      <c r="DL355" t="e">
        <f>'Technical Master Data'!P226+"AM:!2Rc"</f>
        <v>#VALUE!</v>
      </c>
      <c r="DM355" t="e">
        <f>'Technical Master Data'!Q226+"AM:!2Rd"</f>
        <v>#VALUE!</v>
      </c>
      <c r="DN355" t="e">
        <f>'Technical Master Data'!R226+"AM:!2Re"</f>
        <v>#VALUE!</v>
      </c>
      <c r="DO355" t="e">
        <f>'Technical Master Data'!S226+"AM:!2Rf"</f>
        <v>#VALUE!</v>
      </c>
      <c r="DP355" t="e">
        <f>'Technical Master Data'!A227+"AM:!2Rg"</f>
        <v>#VALUE!</v>
      </c>
      <c r="DQ355" t="e">
        <f>'Technical Master Data'!B227+"AM:!2Rh"</f>
        <v>#VALUE!</v>
      </c>
      <c r="DR355" t="e">
        <f>'Technical Master Data'!C227+"AM:!2Ri"</f>
        <v>#VALUE!</v>
      </c>
      <c r="DS355" t="e">
        <f>'Technical Master Data'!D227+"AM:!2Rj"</f>
        <v>#VALUE!</v>
      </c>
      <c r="DT355" t="e">
        <f>'Technical Master Data'!E227+"AM:!2Rk"</f>
        <v>#VALUE!</v>
      </c>
      <c r="DU355" t="e">
        <f>'Technical Master Data'!F227+"AM:!2Rl"</f>
        <v>#VALUE!</v>
      </c>
      <c r="DV355" t="e">
        <f>'Technical Master Data'!G227+"AM:!2Rm"</f>
        <v>#VALUE!</v>
      </c>
      <c r="DW355" t="e">
        <f>'Technical Master Data'!H227+"AM:!2Rn"</f>
        <v>#VALUE!</v>
      </c>
      <c r="DX355" t="e">
        <f>'Technical Master Data'!I227+"AM:!2Ro"</f>
        <v>#VALUE!</v>
      </c>
      <c r="DY355" t="e">
        <f>'Technical Master Data'!J227+"AM:!2Rp"</f>
        <v>#VALUE!</v>
      </c>
      <c r="DZ355" t="e">
        <f>'Technical Master Data'!K227+"AM:!2Rq"</f>
        <v>#VALUE!</v>
      </c>
      <c r="EA355" t="e">
        <f>'Technical Master Data'!L227+"AM:!2Rr"</f>
        <v>#VALUE!</v>
      </c>
      <c r="EB355" t="e">
        <f>'Technical Master Data'!M227+"AM:!2Rs"</f>
        <v>#VALUE!</v>
      </c>
      <c r="EC355" t="e">
        <f>'Technical Master Data'!N227+"AM:!2Rt"</f>
        <v>#VALUE!</v>
      </c>
      <c r="ED355" t="e">
        <f>'Technical Master Data'!O227+"AM:!2Ru"</f>
        <v>#VALUE!</v>
      </c>
      <c r="EE355" t="e">
        <f>'Technical Master Data'!P227+"AM:!2Rv"</f>
        <v>#VALUE!</v>
      </c>
      <c r="EF355" t="e">
        <f>'Technical Master Data'!Q227+"AM:!2Rw"</f>
        <v>#VALUE!</v>
      </c>
      <c r="EG355" t="e">
        <f>'Technical Master Data'!R227+"AM:!2Rx"</f>
        <v>#VALUE!</v>
      </c>
      <c r="EH355" t="e">
        <f>'Technical Master Data'!S227+"AM:!2Ry"</f>
        <v>#VALUE!</v>
      </c>
      <c r="EI355" t="e">
        <f>'Technical Master Data'!A228+"AM:!2Rz"</f>
        <v>#VALUE!</v>
      </c>
      <c r="EJ355" t="e">
        <f>'Technical Master Data'!B228+"AM:!2R{"</f>
        <v>#VALUE!</v>
      </c>
      <c r="EK355" t="e">
        <f>'Technical Master Data'!C228+"AM:!2R|"</f>
        <v>#VALUE!</v>
      </c>
      <c r="EL355" t="e">
        <f>'Technical Master Data'!D228+"AM:!2R}"</f>
        <v>#VALUE!</v>
      </c>
      <c r="EM355" t="e">
        <f>'Technical Master Data'!E228+"AM:!2R~"</f>
        <v>#VALUE!</v>
      </c>
      <c r="EN355" t="e">
        <f>'Technical Master Data'!F228+"AM:!2S#"</f>
        <v>#VALUE!</v>
      </c>
      <c r="EO355" t="e">
        <f>'Technical Master Data'!G228+"AM:!2S$"</f>
        <v>#VALUE!</v>
      </c>
      <c r="EP355" t="e">
        <f>'Technical Master Data'!H228+"AM:!2S%"</f>
        <v>#VALUE!</v>
      </c>
      <c r="EQ355" t="e">
        <f>'Technical Master Data'!I228+"AM:!2S&amp;"</f>
        <v>#VALUE!</v>
      </c>
      <c r="ER355" t="e">
        <f>'Technical Master Data'!J228+"AM:!2S'"</f>
        <v>#VALUE!</v>
      </c>
      <c r="ES355" t="e">
        <f>'Technical Master Data'!K228+"AM:!2S("</f>
        <v>#VALUE!</v>
      </c>
      <c r="ET355" t="e">
        <f>'Technical Master Data'!L228+"AM:!2S)"</f>
        <v>#VALUE!</v>
      </c>
      <c r="EU355" t="e">
        <f>'Technical Master Data'!M228+"AM:!2S."</f>
        <v>#VALUE!</v>
      </c>
      <c r="EV355" t="e">
        <f>'Technical Master Data'!N228+"AM:!2S/"</f>
        <v>#VALUE!</v>
      </c>
      <c r="EW355" t="e">
        <f>'Technical Master Data'!O228+"AM:!2S0"</f>
        <v>#VALUE!</v>
      </c>
      <c r="EX355" t="e">
        <f>'Technical Master Data'!P228+"AM:!2S1"</f>
        <v>#VALUE!</v>
      </c>
      <c r="EY355" t="e">
        <f>'Technical Master Data'!Q228+"AM:!2S2"</f>
        <v>#VALUE!</v>
      </c>
      <c r="EZ355" t="e">
        <f>'Technical Master Data'!R228+"AM:!2S3"</f>
        <v>#VALUE!</v>
      </c>
      <c r="FA355" t="e">
        <f>'Technical Master Data'!S228+"AM:!2S4"</f>
        <v>#VALUE!</v>
      </c>
      <c r="FB355" t="e">
        <f>'Technical Master Data'!A229+"AM:!2S5"</f>
        <v>#VALUE!</v>
      </c>
      <c r="FC355" t="e">
        <f>'Technical Master Data'!B229+"AM:!2S6"</f>
        <v>#VALUE!</v>
      </c>
      <c r="FD355" t="e">
        <f>'Technical Master Data'!C229+"AM:!2S7"</f>
        <v>#VALUE!</v>
      </c>
      <c r="FE355" t="e">
        <f>'Technical Master Data'!D229+"AM:!2S8"</f>
        <v>#VALUE!</v>
      </c>
      <c r="FF355" t="e">
        <f>'Technical Master Data'!E229+"AM:!2S9"</f>
        <v>#VALUE!</v>
      </c>
      <c r="FG355" t="e">
        <f>'Technical Master Data'!F229+"AM:!2S:"</f>
        <v>#VALUE!</v>
      </c>
      <c r="FH355" t="e">
        <f>'Technical Master Data'!G229+"AM:!2S;"</f>
        <v>#VALUE!</v>
      </c>
      <c r="FI355" t="e">
        <f>'Technical Master Data'!H229+"AM:!2S&lt;"</f>
        <v>#VALUE!</v>
      </c>
      <c r="FJ355" t="e">
        <f>'Technical Master Data'!I229+"AM:!2S="</f>
        <v>#VALUE!</v>
      </c>
      <c r="FK355" t="e">
        <f>'Technical Master Data'!J229+"AM:!2S&gt;"</f>
        <v>#VALUE!</v>
      </c>
      <c r="FL355" t="e">
        <f>'Technical Master Data'!K229+"AM:!2S?"</f>
        <v>#VALUE!</v>
      </c>
      <c r="FM355" t="e">
        <f>'Technical Master Data'!L229+"AM:!2S@"</f>
        <v>#VALUE!</v>
      </c>
      <c r="FN355" t="e">
        <f>'Technical Master Data'!M229+"AM:!2SA"</f>
        <v>#VALUE!</v>
      </c>
      <c r="FO355" t="e">
        <f>'Technical Master Data'!N229+"AM:!2SB"</f>
        <v>#VALUE!</v>
      </c>
      <c r="FP355" t="e">
        <f>'Technical Master Data'!O229+"AM:!2SC"</f>
        <v>#VALUE!</v>
      </c>
      <c r="FQ355" t="e">
        <f>'Technical Master Data'!P229+"AM:!2SD"</f>
        <v>#VALUE!</v>
      </c>
      <c r="FR355" t="e">
        <f>'Technical Master Data'!Q229+"AM:!2SE"</f>
        <v>#VALUE!</v>
      </c>
      <c r="FS355" t="e">
        <f>'Technical Master Data'!R229+"AM:!2SF"</f>
        <v>#VALUE!</v>
      </c>
      <c r="FT355" t="e">
        <f>'Technical Master Data'!S229+"AM:!2SG"</f>
        <v>#VALUE!</v>
      </c>
      <c r="FU355" t="e">
        <f>'Technical Master Data'!A230+"AM:!2SH"</f>
        <v>#VALUE!</v>
      </c>
      <c r="FV355" t="e">
        <f>'Technical Master Data'!B230+"AM:!2SI"</f>
        <v>#VALUE!</v>
      </c>
      <c r="FW355" t="e">
        <f>'Technical Master Data'!C230+"AM:!2SJ"</f>
        <v>#VALUE!</v>
      </c>
      <c r="FX355" t="e">
        <f>'Technical Master Data'!D230+"AM:!2SK"</f>
        <v>#VALUE!</v>
      </c>
      <c r="FY355" t="e">
        <f>'Technical Master Data'!E230+"AM:!2SL"</f>
        <v>#VALUE!</v>
      </c>
      <c r="FZ355" t="e">
        <f>'Technical Master Data'!F230+"AM:!2SM"</f>
        <v>#VALUE!</v>
      </c>
      <c r="GA355" t="e">
        <f>'Technical Master Data'!G230+"AM:!2SN"</f>
        <v>#VALUE!</v>
      </c>
      <c r="GB355" t="e">
        <f>'Technical Master Data'!H230+"AM:!2SO"</f>
        <v>#VALUE!</v>
      </c>
      <c r="GC355" t="e">
        <f>'Technical Master Data'!I230+"AM:!2SP"</f>
        <v>#VALUE!</v>
      </c>
      <c r="GD355" t="e">
        <f>'Technical Master Data'!J230+"AM:!2SQ"</f>
        <v>#VALUE!</v>
      </c>
      <c r="GE355" t="e">
        <f>'Technical Master Data'!K230+"AM:!2SR"</f>
        <v>#VALUE!</v>
      </c>
      <c r="GF355" t="e">
        <f>'Technical Master Data'!L230+"AM:!2SS"</f>
        <v>#VALUE!</v>
      </c>
      <c r="GG355" t="e">
        <f>'Technical Master Data'!M230+"AM:!2ST"</f>
        <v>#VALUE!</v>
      </c>
      <c r="GH355" t="e">
        <f>'Technical Master Data'!N230+"AM:!2SU"</f>
        <v>#VALUE!</v>
      </c>
      <c r="GI355" t="e">
        <f>'Technical Master Data'!O230+"AM:!2SV"</f>
        <v>#VALUE!</v>
      </c>
      <c r="GJ355" t="e">
        <f>'Technical Master Data'!P230+"AM:!2SW"</f>
        <v>#VALUE!</v>
      </c>
      <c r="GK355" t="e">
        <f>'Technical Master Data'!Q230+"AM:!2SX"</f>
        <v>#VALUE!</v>
      </c>
      <c r="GL355" t="e">
        <f>'Technical Master Data'!R230+"AM:!2SY"</f>
        <v>#VALUE!</v>
      </c>
      <c r="GM355" t="e">
        <f>'Technical Master Data'!S230+"AM:!2SZ"</f>
        <v>#VALUE!</v>
      </c>
      <c r="GN355" t="e">
        <f>'Technical Master Data'!A231+"AM:!2S["</f>
        <v>#VALUE!</v>
      </c>
      <c r="GO355" t="e">
        <f>'Technical Master Data'!B231+"AM:!2S\"</f>
        <v>#VALUE!</v>
      </c>
      <c r="GP355" t="e">
        <f>'Technical Master Data'!C231+"AM:!2S]"</f>
        <v>#VALUE!</v>
      </c>
      <c r="GQ355" t="e">
        <f>'Technical Master Data'!D231+"AM:!2S^"</f>
        <v>#VALUE!</v>
      </c>
      <c r="GR355" t="e">
        <f>'Technical Master Data'!E231+"AM:!2S_"</f>
        <v>#VALUE!</v>
      </c>
      <c r="GS355" t="e">
        <f>'Technical Master Data'!F231+"AM:!2S`"</f>
        <v>#VALUE!</v>
      </c>
      <c r="GT355" t="e">
        <f>'Technical Master Data'!G231+"AM:!2Sa"</f>
        <v>#VALUE!</v>
      </c>
      <c r="GU355" t="e">
        <f>'Technical Master Data'!H231+"AM:!2Sb"</f>
        <v>#VALUE!</v>
      </c>
      <c r="GV355" t="e">
        <f>'Technical Master Data'!I231+"AM:!2Sc"</f>
        <v>#VALUE!</v>
      </c>
      <c r="GW355" t="e">
        <f>'Technical Master Data'!J231+"AM:!2Sd"</f>
        <v>#VALUE!</v>
      </c>
      <c r="GX355" t="e">
        <f>'Technical Master Data'!K231+"AM:!2Se"</f>
        <v>#VALUE!</v>
      </c>
      <c r="GY355" t="e">
        <f>'Technical Master Data'!L231+"AM:!2Sf"</f>
        <v>#VALUE!</v>
      </c>
      <c r="GZ355" t="e">
        <f>'Technical Master Data'!M231+"AM:!2Sg"</f>
        <v>#VALUE!</v>
      </c>
      <c r="HA355" t="e">
        <f>'Technical Master Data'!N231+"AM:!2Sh"</f>
        <v>#VALUE!</v>
      </c>
      <c r="HB355" t="e">
        <f>'Technical Master Data'!O231+"AM:!2Si"</f>
        <v>#VALUE!</v>
      </c>
      <c r="HC355" t="e">
        <f>'Technical Master Data'!P231+"AM:!2Sj"</f>
        <v>#VALUE!</v>
      </c>
      <c r="HD355" t="e">
        <f>'Technical Master Data'!Q231+"AM:!2Sk"</f>
        <v>#VALUE!</v>
      </c>
      <c r="HE355" t="e">
        <f>'Technical Master Data'!R231+"AM:!2Sl"</f>
        <v>#VALUE!</v>
      </c>
      <c r="HF355" t="e">
        <f>'Technical Master Data'!S231+"AM:!2Sm"</f>
        <v>#VALUE!</v>
      </c>
      <c r="HG355" t="e">
        <f>'Technical Master Data'!A232+"AM:!2Sn"</f>
        <v>#VALUE!</v>
      </c>
      <c r="HH355" t="e">
        <f>'Technical Master Data'!B232+"AM:!2So"</f>
        <v>#VALUE!</v>
      </c>
      <c r="HI355" t="e">
        <f>'Technical Master Data'!C232+"AM:!2Sp"</f>
        <v>#VALUE!</v>
      </c>
      <c r="HJ355" t="e">
        <f>'Technical Master Data'!D232+"AM:!2Sq"</f>
        <v>#VALUE!</v>
      </c>
      <c r="HK355" t="e">
        <f>'Technical Master Data'!E232+"AM:!2Sr"</f>
        <v>#VALUE!</v>
      </c>
      <c r="HL355" t="e">
        <f>'Technical Master Data'!F232+"AM:!2Ss"</f>
        <v>#VALUE!</v>
      </c>
      <c r="HM355" t="e">
        <f>'Technical Master Data'!G232+"AM:!2St"</f>
        <v>#VALUE!</v>
      </c>
      <c r="HN355" t="e">
        <f>'Technical Master Data'!H232+"AM:!2Su"</f>
        <v>#VALUE!</v>
      </c>
      <c r="HO355" t="e">
        <f>'Technical Master Data'!I232+"AM:!2Sv"</f>
        <v>#VALUE!</v>
      </c>
      <c r="HP355" t="e">
        <f>'Technical Master Data'!J232+"AM:!2Sw"</f>
        <v>#VALUE!</v>
      </c>
      <c r="HQ355" t="e">
        <f>'Technical Master Data'!K232+"AM:!2Sx"</f>
        <v>#VALUE!</v>
      </c>
      <c r="HR355" t="e">
        <f>'Technical Master Data'!L232+"AM:!2Sy"</f>
        <v>#VALUE!</v>
      </c>
      <c r="HS355" t="e">
        <f>'Technical Master Data'!M232+"AM:!2Sz"</f>
        <v>#VALUE!</v>
      </c>
      <c r="HT355" t="e">
        <f>'Technical Master Data'!N232+"AM:!2S{"</f>
        <v>#VALUE!</v>
      </c>
      <c r="HU355" t="e">
        <f>'Technical Master Data'!O232+"AM:!2S|"</f>
        <v>#VALUE!</v>
      </c>
      <c r="HV355" t="e">
        <f>'Technical Master Data'!P232+"AM:!2S}"</f>
        <v>#VALUE!</v>
      </c>
      <c r="HW355" t="e">
        <f>'Technical Master Data'!Q232+"AM:!2S~"</f>
        <v>#VALUE!</v>
      </c>
      <c r="HX355" t="e">
        <f>'Technical Master Data'!R232+"AM:!2T#"</f>
        <v>#VALUE!</v>
      </c>
      <c r="HY355" t="e">
        <f>'Technical Master Data'!S232+"AM:!2T$"</f>
        <v>#VALUE!</v>
      </c>
      <c r="HZ355" t="e">
        <f>'Technical Master Data'!A233+"AM:!2T%"</f>
        <v>#VALUE!</v>
      </c>
      <c r="IA355" t="e">
        <f>'Technical Master Data'!B233+"AM:!2T&amp;"</f>
        <v>#VALUE!</v>
      </c>
      <c r="IB355" t="e">
        <f>'Technical Master Data'!C233+"AM:!2T'"</f>
        <v>#VALUE!</v>
      </c>
      <c r="IC355" t="e">
        <f>'Technical Master Data'!D233+"AM:!2T("</f>
        <v>#VALUE!</v>
      </c>
      <c r="ID355" t="e">
        <f>'Technical Master Data'!E233+"AM:!2T)"</f>
        <v>#VALUE!</v>
      </c>
      <c r="IE355" t="e">
        <f>'Technical Master Data'!F233+"AM:!2T."</f>
        <v>#VALUE!</v>
      </c>
      <c r="IF355" t="e">
        <f>'Technical Master Data'!G233+"AM:!2T/"</f>
        <v>#VALUE!</v>
      </c>
      <c r="IG355" t="e">
        <f>'Technical Master Data'!H233+"AM:!2T0"</f>
        <v>#VALUE!</v>
      </c>
      <c r="IH355" t="e">
        <f>'Technical Master Data'!I233+"AM:!2T1"</f>
        <v>#VALUE!</v>
      </c>
      <c r="II355" t="e">
        <f>'Technical Master Data'!J233+"AM:!2T2"</f>
        <v>#VALUE!</v>
      </c>
      <c r="IJ355" t="e">
        <f>'Technical Master Data'!K233+"AM:!2T3"</f>
        <v>#VALUE!</v>
      </c>
      <c r="IK355" t="e">
        <f>'Technical Master Data'!L233+"AM:!2T4"</f>
        <v>#VALUE!</v>
      </c>
      <c r="IL355" t="e">
        <f>'Technical Master Data'!M233+"AM:!2T5"</f>
        <v>#VALUE!</v>
      </c>
      <c r="IM355" t="e">
        <f>'Technical Master Data'!N233+"AM:!2T6"</f>
        <v>#VALUE!</v>
      </c>
      <c r="IN355" t="e">
        <f>'Technical Master Data'!O233+"AM:!2T7"</f>
        <v>#VALUE!</v>
      </c>
      <c r="IO355" t="e">
        <f>'Technical Master Data'!P233+"AM:!2T8"</f>
        <v>#VALUE!</v>
      </c>
      <c r="IP355" t="e">
        <f>'Technical Master Data'!Q233+"AM:!2T9"</f>
        <v>#VALUE!</v>
      </c>
      <c r="IQ355" t="e">
        <f>'Technical Master Data'!R233+"AM:!2T:"</f>
        <v>#VALUE!</v>
      </c>
      <c r="IR355" t="e">
        <f>'Technical Master Data'!S233+"AM:!2T;"</f>
        <v>#VALUE!</v>
      </c>
      <c r="IS355" t="e">
        <f>'Technical Master Data'!A234+"AM:!2T&lt;"</f>
        <v>#VALUE!</v>
      </c>
      <c r="IT355" t="e">
        <f>'Technical Master Data'!B234+"AM:!2T="</f>
        <v>#VALUE!</v>
      </c>
      <c r="IU355" t="e">
        <f>'Technical Master Data'!C234+"AM:!2T&gt;"</f>
        <v>#VALUE!</v>
      </c>
      <c r="IV355" t="e">
        <f>'Technical Master Data'!D234+"AM:!2T?"</f>
        <v>#VALUE!</v>
      </c>
    </row>
    <row r="356" spans="6:256">
      <c r="F356" t="e">
        <f>'Technical Master Data'!E234+"AM:!2T@"</f>
        <v>#VALUE!</v>
      </c>
      <c r="G356" t="e">
        <f>'Technical Master Data'!F234+"AM:!2TA"</f>
        <v>#VALUE!</v>
      </c>
      <c r="H356" t="e">
        <f>'Technical Master Data'!G234+"AM:!2TB"</f>
        <v>#VALUE!</v>
      </c>
      <c r="I356" t="e">
        <f>'Technical Master Data'!H234+"AM:!2TC"</f>
        <v>#VALUE!</v>
      </c>
      <c r="J356" t="e">
        <f>'Technical Master Data'!I234+"AM:!2TD"</f>
        <v>#VALUE!</v>
      </c>
      <c r="K356" t="e">
        <f>'Technical Master Data'!J234+"AM:!2TE"</f>
        <v>#VALUE!</v>
      </c>
      <c r="L356" t="e">
        <f>'Technical Master Data'!K234+"AM:!2TF"</f>
        <v>#VALUE!</v>
      </c>
      <c r="M356" t="e">
        <f>'Technical Master Data'!L234+"AM:!2TG"</f>
        <v>#VALUE!</v>
      </c>
      <c r="N356" t="e">
        <f>'Technical Master Data'!M234+"AM:!2TH"</f>
        <v>#VALUE!</v>
      </c>
      <c r="O356" t="e">
        <f>'Technical Master Data'!N234+"AM:!2TI"</f>
        <v>#VALUE!</v>
      </c>
      <c r="P356" t="e">
        <f>'Technical Master Data'!O234+"AM:!2TJ"</f>
        <v>#VALUE!</v>
      </c>
      <c r="Q356" t="e">
        <f>'Technical Master Data'!P234+"AM:!2TK"</f>
        <v>#VALUE!</v>
      </c>
      <c r="R356" t="e">
        <f>'Technical Master Data'!Q234+"AM:!2TL"</f>
        <v>#VALUE!</v>
      </c>
      <c r="S356" t="e">
        <f>'Technical Master Data'!R234+"AM:!2TM"</f>
        <v>#VALUE!</v>
      </c>
      <c r="T356" t="e">
        <f>'Technical Master Data'!S234+"AM:!2TN"</f>
        <v>#VALUE!</v>
      </c>
      <c r="U356" t="e">
        <f>'Technical Master Data'!A235+"AM:!2TO"</f>
        <v>#VALUE!</v>
      </c>
      <c r="V356" t="e">
        <f>'Technical Master Data'!B235+"AM:!2TP"</f>
        <v>#VALUE!</v>
      </c>
      <c r="W356" t="e">
        <f>'Technical Master Data'!C235+"AM:!2TQ"</f>
        <v>#VALUE!</v>
      </c>
      <c r="X356" t="e">
        <f>'Technical Master Data'!D235+"AM:!2TR"</f>
        <v>#VALUE!</v>
      </c>
      <c r="Y356" t="e">
        <f>'Technical Master Data'!E235+"AM:!2TS"</f>
        <v>#VALUE!</v>
      </c>
      <c r="Z356" t="e">
        <f>'Technical Master Data'!F235+"AM:!2TT"</f>
        <v>#VALUE!</v>
      </c>
      <c r="AA356" t="e">
        <f>'Technical Master Data'!G235+"AM:!2TU"</f>
        <v>#VALUE!</v>
      </c>
      <c r="AB356" t="e">
        <f>'Technical Master Data'!H235+"AM:!2TV"</f>
        <v>#VALUE!</v>
      </c>
      <c r="AC356" t="e">
        <f>'Technical Master Data'!I235+"AM:!2TW"</f>
        <v>#VALUE!</v>
      </c>
      <c r="AD356" t="e">
        <f>'Technical Master Data'!J235+"AM:!2TX"</f>
        <v>#VALUE!</v>
      </c>
      <c r="AE356" t="e">
        <f>'Technical Master Data'!K235+"AM:!2TY"</f>
        <v>#VALUE!</v>
      </c>
      <c r="AF356" t="e">
        <f>'Technical Master Data'!L235+"AM:!2TZ"</f>
        <v>#VALUE!</v>
      </c>
      <c r="AG356" t="e">
        <f>'Technical Master Data'!M235+"AM:!2T["</f>
        <v>#VALUE!</v>
      </c>
      <c r="AH356" t="e">
        <f>'Technical Master Data'!N235+"AM:!2T\"</f>
        <v>#VALUE!</v>
      </c>
      <c r="AI356" t="e">
        <f>'Technical Master Data'!O235+"AM:!2T]"</f>
        <v>#VALUE!</v>
      </c>
      <c r="AJ356" t="e">
        <f>'Technical Master Data'!P235+"AM:!2T^"</f>
        <v>#VALUE!</v>
      </c>
      <c r="AK356" t="e">
        <f>'Technical Master Data'!Q235+"AM:!2T_"</f>
        <v>#VALUE!</v>
      </c>
      <c r="AL356" t="e">
        <f>'Technical Master Data'!R235+"AM:!2T`"</f>
        <v>#VALUE!</v>
      </c>
      <c r="AM356" t="e">
        <f>'Technical Master Data'!S235+"AM:!2Ta"</f>
        <v>#VALUE!</v>
      </c>
      <c r="AN356" t="e">
        <f>'Technical Master Data'!A236+"AM:!2Tb"</f>
        <v>#VALUE!</v>
      </c>
      <c r="AO356" t="e">
        <f>'Technical Master Data'!B236+"AM:!2Tc"</f>
        <v>#VALUE!</v>
      </c>
      <c r="AP356" t="e">
        <f>'Technical Master Data'!C236+"AM:!2Td"</f>
        <v>#VALUE!</v>
      </c>
      <c r="AQ356" t="e">
        <f>'Technical Master Data'!D236+"AM:!2Te"</f>
        <v>#VALUE!</v>
      </c>
      <c r="AR356" t="e">
        <f>'Technical Master Data'!E236+"AM:!2Tf"</f>
        <v>#VALUE!</v>
      </c>
      <c r="AS356" t="e">
        <f>'Technical Master Data'!F236+"AM:!2Tg"</f>
        <v>#VALUE!</v>
      </c>
      <c r="AT356" t="e">
        <f>'Technical Master Data'!G236+"AM:!2Th"</f>
        <v>#VALUE!</v>
      </c>
      <c r="AU356" t="e">
        <f>'Technical Master Data'!H236+"AM:!2Ti"</f>
        <v>#VALUE!</v>
      </c>
      <c r="AV356" t="e">
        <f>'Technical Master Data'!I236+"AM:!2Tj"</f>
        <v>#VALUE!</v>
      </c>
      <c r="AW356" t="e">
        <f>'Technical Master Data'!J236+"AM:!2Tk"</f>
        <v>#VALUE!</v>
      </c>
      <c r="AX356" t="e">
        <f>'Technical Master Data'!K236+"AM:!2Tl"</f>
        <v>#VALUE!</v>
      </c>
      <c r="AY356" t="e">
        <f>'Technical Master Data'!L236+"AM:!2Tm"</f>
        <v>#VALUE!</v>
      </c>
      <c r="AZ356" t="e">
        <f>'Technical Master Data'!M236+"AM:!2Tn"</f>
        <v>#VALUE!</v>
      </c>
      <c r="BA356" t="e">
        <f>'Technical Master Data'!N236+"AM:!2To"</f>
        <v>#VALUE!</v>
      </c>
      <c r="BB356" t="e">
        <f>'Technical Master Data'!O236+"AM:!2Tp"</f>
        <v>#VALUE!</v>
      </c>
      <c r="BC356" t="e">
        <f>'Technical Master Data'!P236+"AM:!2Tq"</f>
        <v>#VALUE!</v>
      </c>
      <c r="BD356" t="e">
        <f>'Technical Master Data'!Q236+"AM:!2Tr"</f>
        <v>#VALUE!</v>
      </c>
      <c r="BE356" t="e">
        <f>'Technical Master Data'!R236+"AM:!2Ts"</f>
        <v>#VALUE!</v>
      </c>
      <c r="BF356" t="e">
        <f>'Technical Master Data'!S236+"AM:!2Tt"</f>
        <v>#VALUE!</v>
      </c>
      <c r="BG356" t="e">
        <f>'Technical Master Data'!A237+"AM:!2Tu"</f>
        <v>#VALUE!</v>
      </c>
      <c r="BH356" t="e">
        <f>'Technical Master Data'!B237+"AM:!2Tv"</f>
        <v>#VALUE!</v>
      </c>
      <c r="BI356" t="e">
        <f>'Technical Master Data'!C237+"AM:!2Tw"</f>
        <v>#VALUE!</v>
      </c>
      <c r="BJ356" t="e">
        <f>'Technical Master Data'!D237+"AM:!2Tx"</f>
        <v>#VALUE!</v>
      </c>
      <c r="BK356" t="e">
        <f>'Technical Master Data'!E237+"AM:!2Ty"</f>
        <v>#VALUE!</v>
      </c>
      <c r="BL356" t="e">
        <f>'Technical Master Data'!F237+"AM:!2Tz"</f>
        <v>#VALUE!</v>
      </c>
      <c r="BM356" t="e">
        <f>'Technical Master Data'!G237+"AM:!2T{"</f>
        <v>#VALUE!</v>
      </c>
      <c r="BN356" t="e">
        <f>'Technical Master Data'!H237+"AM:!2T|"</f>
        <v>#VALUE!</v>
      </c>
      <c r="BO356" t="e">
        <f>'Technical Master Data'!I237+"AM:!2T}"</f>
        <v>#VALUE!</v>
      </c>
      <c r="BP356" t="e">
        <f>'Technical Master Data'!J237+"AM:!2T~"</f>
        <v>#VALUE!</v>
      </c>
      <c r="BQ356" t="e">
        <f>'Technical Master Data'!K237+"AM:!2U#"</f>
        <v>#VALUE!</v>
      </c>
      <c r="BR356" t="e">
        <f>'Technical Master Data'!L237+"AM:!2U$"</f>
        <v>#VALUE!</v>
      </c>
      <c r="BS356" t="e">
        <f>'Technical Master Data'!M237+"AM:!2U%"</f>
        <v>#VALUE!</v>
      </c>
      <c r="BT356" t="e">
        <f>'Technical Master Data'!N237+"AM:!2U&amp;"</f>
        <v>#VALUE!</v>
      </c>
      <c r="BU356" t="e">
        <f>'Technical Master Data'!O237+"AM:!2U'"</f>
        <v>#VALUE!</v>
      </c>
      <c r="BV356" t="e">
        <f>'Technical Master Data'!P237+"AM:!2U("</f>
        <v>#VALUE!</v>
      </c>
      <c r="BW356" t="e">
        <f>'Technical Master Data'!Q237+"AM:!2U)"</f>
        <v>#VALUE!</v>
      </c>
      <c r="BX356" t="e">
        <f>'Technical Master Data'!R237+"AM:!2U."</f>
        <v>#VALUE!</v>
      </c>
      <c r="BY356" t="e">
        <f>'Technical Master Data'!S237+"AM:!2U/"</f>
        <v>#VALUE!</v>
      </c>
      <c r="BZ356" t="e">
        <f>'Technical Master Data'!A238+"AM:!2U0"</f>
        <v>#VALUE!</v>
      </c>
      <c r="CA356" t="e">
        <f>'Technical Master Data'!B238+"AM:!2U1"</f>
        <v>#VALUE!</v>
      </c>
      <c r="CB356" t="e">
        <f>'Technical Master Data'!C238+"AM:!2U2"</f>
        <v>#VALUE!</v>
      </c>
      <c r="CC356" t="e">
        <f>'Technical Master Data'!D238+"AM:!2U3"</f>
        <v>#VALUE!</v>
      </c>
      <c r="CD356" t="e">
        <f>'Technical Master Data'!E238+"AM:!2U4"</f>
        <v>#VALUE!</v>
      </c>
      <c r="CE356" t="e">
        <f>'Technical Master Data'!F238+"AM:!2U5"</f>
        <v>#VALUE!</v>
      </c>
      <c r="CF356" t="e">
        <f>'Technical Master Data'!G238+"AM:!2U6"</f>
        <v>#VALUE!</v>
      </c>
      <c r="CG356" t="e">
        <f>'Technical Master Data'!H238+"AM:!2U7"</f>
        <v>#VALUE!</v>
      </c>
      <c r="CH356" t="e">
        <f>'Technical Master Data'!I238+"AM:!2U8"</f>
        <v>#VALUE!</v>
      </c>
      <c r="CI356" t="e">
        <f>'Technical Master Data'!J238+"AM:!2U9"</f>
        <v>#VALUE!</v>
      </c>
      <c r="CJ356" t="e">
        <f>'Technical Master Data'!K238+"AM:!2U:"</f>
        <v>#VALUE!</v>
      </c>
      <c r="CK356" t="e">
        <f>'Technical Master Data'!L238+"AM:!2U;"</f>
        <v>#VALUE!</v>
      </c>
      <c r="CL356" t="e">
        <f>'Technical Master Data'!M238+"AM:!2U&lt;"</f>
        <v>#VALUE!</v>
      </c>
      <c r="CM356" t="e">
        <f>'Technical Master Data'!N238+"AM:!2U="</f>
        <v>#VALUE!</v>
      </c>
      <c r="CN356" t="e">
        <f>'Technical Master Data'!O238+"AM:!2U&gt;"</f>
        <v>#VALUE!</v>
      </c>
      <c r="CO356" t="e">
        <f>'Technical Master Data'!P238+"AM:!2U?"</f>
        <v>#VALUE!</v>
      </c>
      <c r="CP356" t="e">
        <f>'Technical Master Data'!Q238+"AM:!2U@"</f>
        <v>#VALUE!</v>
      </c>
      <c r="CQ356" t="e">
        <f>'Technical Master Data'!R238+"AM:!2UA"</f>
        <v>#VALUE!</v>
      </c>
      <c r="CR356" t="e">
        <f>'Technical Master Data'!S238+"AM:!2UB"</f>
        <v>#VALUE!</v>
      </c>
      <c r="CS356" t="e">
        <f>'Technical Master Data'!A239+"AM:!2UC"</f>
        <v>#VALUE!</v>
      </c>
      <c r="CT356" t="e">
        <f>'Technical Master Data'!B239+"AM:!2UD"</f>
        <v>#VALUE!</v>
      </c>
      <c r="CU356" t="e">
        <f>'Technical Master Data'!C239+"AM:!2UE"</f>
        <v>#VALUE!</v>
      </c>
      <c r="CV356" t="e">
        <f>'Technical Master Data'!D239+"AM:!2UF"</f>
        <v>#VALUE!</v>
      </c>
      <c r="CW356" t="e">
        <f>'Technical Master Data'!E239+"AM:!2UG"</f>
        <v>#VALUE!</v>
      </c>
      <c r="CX356" t="e">
        <f>'Technical Master Data'!F239+"AM:!2UH"</f>
        <v>#VALUE!</v>
      </c>
      <c r="CY356" t="e">
        <f>'Technical Master Data'!G239+"AM:!2UI"</f>
        <v>#VALUE!</v>
      </c>
      <c r="CZ356" t="e">
        <f>'Technical Master Data'!H239+"AM:!2UJ"</f>
        <v>#VALUE!</v>
      </c>
      <c r="DA356" t="e">
        <f>'Technical Master Data'!I239+"AM:!2UK"</f>
        <v>#VALUE!</v>
      </c>
      <c r="DB356" t="e">
        <f>'Technical Master Data'!J239+"AM:!2UL"</f>
        <v>#VALUE!</v>
      </c>
      <c r="DC356" t="e">
        <f>'Technical Master Data'!K239+"AM:!2UM"</f>
        <v>#VALUE!</v>
      </c>
      <c r="DD356" t="e">
        <f>'Technical Master Data'!L239+"AM:!2UN"</f>
        <v>#VALUE!</v>
      </c>
      <c r="DE356" t="e">
        <f>'Technical Master Data'!M239+"AM:!2UO"</f>
        <v>#VALUE!</v>
      </c>
      <c r="DF356" t="e">
        <f>'Technical Master Data'!N239+"AM:!2UP"</f>
        <v>#VALUE!</v>
      </c>
      <c r="DG356" t="e">
        <f>'Technical Master Data'!O239+"AM:!2UQ"</f>
        <v>#VALUE!</v>
      </c>
      <c r="DH356" t="e">
        <f>'Technical Master Data'!P239+"AM:!2UR"</f>
        <v>#VALUE!</v>
      </c>
      <c r="DI356" t="e">
        <f>'Technical Master Data'!Q239+"AM:!2US"</f>
        <v>#VALUE!</v>
      </c>
      <c r="DJ356" t="e">
        <f>'Technical Master Data'!R239+"AM:!2UT"</f>
        <v>#VALUE!</v>
      </c>
      <c r="DK356" t="e">
        <f>'Technical Master Data'!S239+"AM:!2UU"</f>
        <v>#VALUE!</v>
      </c>
      <c r="DL356" t="e">
        <f>'Technical Master Data'!A240+"AM:!2UV"</f>
        <v>#VALUE!</v>
      </c>
      <c r="DM356" t="e">
        <f>'Technical Master Data'!B240+"AM:!2UW"</f>
        <v>#VALUE!</v>
      </c>
      <c r="DN356" t="e">
        <f>'Technical Master Data'!C240+"AM:!2UX"</f>
        <v>#VALUE!</v>
      </c>
      <c r="DO356" t="e">
        <f>'Technical Master Data'!D240+"AM:!2UY"</f>
        <v>#VALUE!</v>
      </c>
      <c r="DP356" t="e">
        <f>'Technical Master Data'!E240+"AM:!2UZ"</f>
        <v>#VALUE!</v>
      </c>
      <c r="DQ356" t="e">
        <f>'Technical Master Data'!F240+"AM:!2U["</f>
        <v>#VALUE!</v>
      </c>
      <c r="DR356" t="e">
        <f>'Technical Master Data'!G240+"AM:!2U\"</f>
        <v>#VALUE!</v>
      </c>
      <c r="DS356" t="e">
        <f>'Technical Master Data'!H240+"AM:!2U]"</f>
        <v>#VALUE!</v>
      </c>
      <c r="DT356" t="e">
        <f>'Technical Master Data'!I240+"AM:!2U^"</f>
        <v>#VALUE!</v>
      </c>
      <c r="DU356" t="e">
        <f>'Technical Master Data'!J240+"AM:!2U_"</f>
        <v>#VALUE!</v>
      </c>
      <c r="DV356" t="e">
        <f>'Technical Master Data'!K240+"AM:!2U`"</f>
        <v>#VALUE!</v>
      </c>
      <c r="DW356" t="e">
        <f>'Technical Master Data'!L240+"AM:!2Ua"</f>
        <v>#VALUE!</v>
      </c>
      <c r="DX356" t="e">
        <f>'Technical Master Data'!M240+"AM:!2Ub"</f>
        <v>#VALUE!</v>
      </c>
      <c r="DY356" t="e">
        <f>'Technical Master Data'!N240+"AM:!2Uc"</f>
        <v>#VALUE!</v>
      </c>
      <c r="DZ356" t="e">
        <f>'Technical Master Data'!O240+"AM:!2Ud"</f>
        <v>#VALUE!</v>
      </c>
      <c r="EA356" t="e">
        <f>'Technical Master Data'!P240+"AM:!2Ue"</f>
        <v>#VALUE!</v>
      </c>
      <c r="EB356" t="e">
        <f>'Technical Master Data'!Q240+"AM:!2Uf"</f>
        <v>#VALUE!</v>
      </c>
      <c r="EC356" t="e">
        <f>'Technical Master Data'!R240+"AM:!2Ug"</f>
        <v>#VALUE!</v>
      </c>
      <c r="ED356" t="e">
        <f>'Technical Master Data'!S240+"AM:!2Uh"</f>
        <v>#VALUE!</v>
      </c>
      <c r="EE356" t="e">
        <f>'Technical Master Data'!A241+"AM:!2Ui"</f>
        <v>#VALUE!</v>
      </c>
      <c r="EF356" t="e">
        <f>'Technical Master Data'!B241+"AM:!2Uj"</f>
        <v>#VALUE!</v>
      </c>
      <c r="EG356" t="e">
        <f>'Technical Master Data'!C241+"AM:!2Uk"</f>
        <v>#VALUE!</v>
      </c>
      <c r="EH356" t="e">
        <f>'Technical Master Data'!D241+"AM:!2Ul"</f>
        <v>#VALUE!</v>
      </c>
      <c r="EI356" t="e">
        <f>'Technical Master Data'!E241+"AM:!2Um"</f>
        <v>#VALUE!</v>
      </c>
      <c r="EJ356" t="e">
        <f>'Technical Master Data'!F241+"AM:!2Un"</f>
        <v>#VALUE!</v>
      </c>
      <c r="EK356" t="e">
        <f>'Technical Master Data'!G241+"AM:!2Uo"</f>
        <v>#VALUE!</v>
      </c>
      <c r="EL356" t="e">
        <f>'Technical Master Data'!H241+"AM:!2Up"</f>
        <v>#VALUE!</v>
      </c>
      <c r="EM356" t="e">
        <f>'Technical Master Data'!I241+"AM:!2Uq"</f>
        <v>#VALUE!</v>
      </c>
      <c r="EN356" t="e">
        <f>'Technical Master Data'!J241+"AM:!2Ur"</f>
        <v>#VALUE!</v>
      </c>
      <c r="EO356" t="e">
        <f>'Technical Master Data'!K241+"AM:!2Us"</f>
        <v>#VALUE!</v>
      </c>
      <c r="EP356" t="e">
        <f>'Technical Master Data'!L241+"AM:!2Ut"</f>
        <v>#VALUE!</v>
      </c>
      <c r="EQ356" t="e">
        <f>'Technical Master Data'!M241+"AM:!2Uu"</f>
        <v>#VALUE!</v>
      </c>
      <c r="ER356" t="e">
        <f>'Technical Master Data'!N241+"AM:!2Uv"</f>
        <v>#VALUE!</v>
      </c>
      <c r="ES356" t="e">
        <f>'Technical Master Data'!O241+"AM:!2Uw"</f>
        <v>#VALUE!</v>
      </c>
      <c r="ET356" t="e">
        <f>'Technical Master Data'!P241+"AM:!2Ux"</f>
        <v>#VALUE!</v>
      </c>
      <c r="EU356" t="e">
        <f>'Technical Master Data'!Q241+"AM:!2Uy"</f>
        <v>#VALUE!</v>
      </c>
      <c r="EV356" t="e">
        <f>'Technical Master Data'!R241+"AM:!2Uz"</f>
        <v>#VALUE!</v>
      </c>
      <c r="EW356" t="e">
        <f>'Technical Master Data'!S241+"AM:!2U{"</f>
        <v>#VALUE!</v>
      </c>
      <c r="EX356" t="e">
        <f>'Technical Master Data'!A242+"AM:!2U|"</f>
        <v>#VALUE!</v>
      </c>
      <c r="EY356" t="e">
        <f>'Technical Master Data'!B242+"AM:!2U}"</f>
        <v>#VALUE!</v>
      </c>
      <c r="EZ356" t="e">
        <f>'Technical Master Data'!C242+"AM:!2U~"</f>
        <v>#VALUE!</v>
      </c>
      <c r="FA356" t="e">
        <f>'Technical Master Data'!D242+"AM:!2V#"</f>
        <v>#VALUE!</v>
      </c>
      <c r="FB356" t="e">
        <f>'Technical Master Data'!E242+"AM:!2V$"</f>
        <v>#VALUE!</v>
      </c>
      <c r="FC356" t="e">
        <f>'Technical Master Data'!F242+"AM:!2V%"</f>
        <v>#VALUE!</v>
      </c>
      <c r="FD356" t="e">
        <f>'Technical Master Data'!G242+"AM:!2V&amp;"</f>
        <v>#VALUE!</v>
      </c>
      <c r="FE356" t="e">
        <f>'Technical Master Data'!H242+"AM:!2V'"</f>
        <v>#VALUE!</v>
      </c>
      <c r="FF356" t="e">
        <f>'Technical Master Data'!I242+"AM:!2V("</f>
        <v>#VALUE!</v>
      </c>
      <c r="FG356" t="e">
        <f>'Technical Master Data'!J242+"AM:!2V)"</f>
        <v>#VALUE!</v>
      </c>
      <c r="FH356" t="e">
        <f>'Technical Master Data'!K242+"AM:!2V."</f>
        <v>#VALUE!</v>
      </c>
      <c r="FI356" t="e">
        <f>'Technical Master Data'!L242+"AM:!2V/"</f>
        <v>#VALUE!</v>
      </c>
      <c r="FJ356" t="e">
        <f>'Technical Master Data'!M242+"AM:!2V0"</f>
        <v>#VALUE!</v>
      </c>
      <c r="FK356" t="e">
        <f>'Technical Master Data'!N242+"AM:!2V1"</f>
        <v>#VALUE!</v>
      </c>
      <c r="FL356" t="e">
        <f>'Technical Master Data'!O242+"AM:!2V2"</f>
        <v>#VALUE!</v>
      </c>
      <c r="FM356" t="e">
        <f>'Technical Master Data'!P242+"AM:!2V3"</f>
        <v>#VALUE!</v>
      </c>
      <c r="FN356" t="e">
        <f>'Technical Master Data'!Q242+"AM:!2V4"</f>
        <v>#VALUE!</v>
      </c>
      <c r="FO356" t="e">
        <f>'Technical Master Data'!R242+"AM:!2V5"</f>
        <v>#VALUE!</v>
      </c>
      <c r="FP356" t="e">
        <f>'Technical Master Data'!S242+"AM:!2V6"</f>
        <v>#VALUE!</v>
      </c>
      <c r="FQ356" t="e">
        <f>'Technical Master Data'!A243+"AM:!2V7"</f>
        <v>#VALUE!</v>
      </c>
      <c r="FR356" t="e">
        <f>'Technical Master Data'!B243+"AM:!2V8"</f>
        <v>#VALUE!</v>
      </c>
      <c r="FS356" t="e">
        <f>'Technical Master Data'!C243+"AM:!2V9"</f>
        <v>#VALUE!</v>
      </c>
      <c r="FT356" t="e">
        <f>'Technical Master Data'!D243+"AM:!2V:"</f>
        <v>#VALUE!</v>
      </c>
      <c r="FU356" t="e">
        <f>'Technical Master Data'!E243+"AM:!2V;"</f>
        <v>#VALUE!</v>
      </c>
      <c r="FV356" t="e">
        <f>'Technical Master Data'!F243+"AM:!2V&lt;"</f>
        <v>#VALUE!</v>
      </c>
      <c r="FW356" t="e">
        <f>'Technical Master Data'!G243+"AM:!2V="</f>
        <v>#VALUE!</v>
      </c>
      <c r="FX356" t="e">
        <f>'Technical Master Data'!H243+"AM:!2V&gt;"</f>
        <v>#VALUE!</v>
      </c>
      <c r="FY356" t="e">
        <f>'Technical Master Data'!I243+"AM:!2V?"</f>
        <v>#VALUE!</v>
      </c>
      <c r="FZ356" t="e">
        <f>'Technical Master Data'!J243+"AM:!2V@"</f>
        <v>#VALUE!</v>
      </c>
      <c r="GA356" t="e">
        <f>'Technical Master Data'!K243+"AM:!2VA"</f>
        <v>#VALUE!</v>
      </c>
      <c r="GB356" t="e">
        <f>'Technical Master Data'!L243+"AM:!2VB"</f>
        <v>#VALUE!</v>
      </c>
      <c r="GC356" t="e">
        <f>'Technical Master Data'!M243+"AM:!2VC"</f>
        <v>#VALUE!</v>
      </c>
      <c r="GD356" t="e">
        <f>'Technical Master Data'!N243+"AM:!2VD"</f>
        <v>#VALUE!</v>
      </c>
      <c r="GE356" t="e">
        <f>'Technical Master Data'!O243+"AM:!2VE"</f>
        <v>#VALUE!</v>
      </c>
      <c r="GF356" t="e">
        <f>'Technical Master Data'!P243+"AM:!2VF"</f>
        <v>#VALUE!</v>
      </c>
      <c r="GG356" t="e">
        <f>'Technical Master Data'!Q243+"AM:!2VG"</f>
        <v>#VALUE!</v>
      </c>
      <c r="GH356" t="e">
        <f>'Technical Master Data'!R243+"AM:!2VH"</f>
        <v>#VALUE!</v>
      </c>
      <c r="GI356" t="e">
        <f>'Technical Master Data'!S243+"AM:!2VI"</f>
        <v>#VALUE!</v>
      </c>
      <c r="GJ356" t="e">
        <f>'Technical Master Data'!A244+"AM:!2VJ"</f>
        <v>#VALUE!</v>
      </c>
      <c r="GK356" t="e">
        <f>'Technical Master Data'!B244+"AM:!2VK"</f>
        <v>#VALUE!</v>
      </c>
      <c r="GL356" t="e">
        <f>'Technical Master Data'!C244+"AM:!2VL"</f>
        <v>#VALUE!</v>
      </c>
      <c r="GM356" t="e">
        <f>'Technical Master Data'!D244+"AM:!2VM"</f>
        <v>#VALUE!</v>
      </c>
      <c r="GN356" t="e">
        <f>'Technical Master Data'!E244+"AM:!2VN"</f>
        <v>#VALUE!</v>
      </c>
      <c r="GO356" t="e">
        <f>'Technical Master Data'!F244+"AM:!2VO"</f>
        <v>#VALUE!</v>
      </c>
      <c r="GP356" t="e">
        <f>'Technical Master Data'!G244+"AM:!2VP"</f>
        <v>#VALUE!</v>
      </c>
      <c r="GQ356" t="e">
        <f>'Technical Master Data'!H244+"AM:!2VQ"</f>
        <v>#VALUE!</v>
      </c>
      <c r="GR356" t="e">
        <f>'Technical Master Data'!I244+"AM:!2VR"</f>
        <v>#VALUE!</v>
      </c>
      <c r="GS356" t="e">
        <f>'Technical Master Data'!J244+"AM:!2VS"</f>
        <v>#VALUE!</v>
      </c>
      <c r="GT356" t="e">
        <f>'Technical Master Data'!K244+"AM:!2VT"</f>
        <v>#VALUE!</v>
      </c>
      <c r="GU356" t="e">
        <f>'Technical Master Data'!L244+"AM:!2VU"</f>
        <v>#VALUE!</v>
      </c>
      <c r="GV356" t="e">
        <f>'Technical Master Data'!M244+"AM:!2VV"</f>
        <v>#VALUE!</v>
      </c>
      <c r="GW356" t="e">
        <f>'Technical Master Data'!N244+"AM:!2VW"</f>
        <v>#VALUE!</v>
      </c>
      <c r="GX356" t="e">
        <f>'Technical Master Data'!O244+"AM:!2VX"</f>
        <v>#VALUE!</v>
      </c>
      <c r="GY356" t="e">
        <f>'Technical Master Data'!P244+"AM:!2VY"</f>
        <v>#VALUE!</v>
      </c>
      <c r="GZ356" t="e">
        <f>'Technical Master Data'!Q244+"AM:!2VZ"</f>
        <v>#VALUE!</v>
      </c>
      <c r="HA356" t="e">
        <f>'Technical Master Data'!R244+"AM:!2V["</f>
        <v>#VALUE!</v>
      </c>
      <c r="HB356" t="e">
        <f>'Technical Master Data'!S244+"AM:!2V\"</f>
        <v>#VALUE!</v>
      </c>
      <c r="HC356" t="e">
        <f>'Technical Master Data'!A245+"AM:!2V]"</f>
        <v>#VALUE!</v>
      </c>
      <c r="HD356" t="e">
        <f>'Technical Master Data'!B245+"AM:!2V^"</f>
        <v>#VALUE!</v>
      </c>
      <c r="HE356" t="e">
        <f>'Technical Master Data'!C245+"AM:!2V_"</f>
        <v>#VALUE!</v>
      </c>
      <c r="HF356" t="e">
        <f>'Technical Master Data'!D245+"AM:!2V`"</f>
        <v>#VALUE!</v>
      </c>
      <c r="HG356" t="e">
        <f>'Technical Master Data'!E245+"AM:!2Va"</f>
        <v>#VALUE!</v>
      </c>
      <c r="HH356" t="e">
        <f>'Technical Master Data'!F245+"AM:!2Vb"</f>
        <v>#VALUE!</v>
      </c>
      <c r="HI356" t="e">
        <f>'Technical Master Data'!G245+"AM:!2Vc"</f>
        <v>#VALUE!</v>
      </c>
      <c r="HJ356" t="e">
        <f>'Technical Master Data'!H245+"AM:!2Vd"</f>
        <v>#VALUE!</v>
      </c>
      <c r="HK356" t="e">
        <f>'Technical Master Data'!I245+"AM:!2Ve"</f>
        <v>#VALUE!</v>
      </c>
      <c r="HL356" t="e">
        <f>'Technical Master Data'!J245+"AM:!2Vf"</f>
        <v>#VALUE!</v>
      </c>
      <c r="HM356" t="e">
        <f>'Technical Master Data'!K245+"AM:!2Vg"</f>
        <v>#VALUE!</v>
      </c>
      <c r="HN356" t="e">
        <f>'Technical Master Data'!L245+"AM:!2Vh"</f>
        <v>#VALUE!</v>
      </c>
      <c r="HO356" t="e">
        <f>'Technical Master Data'!M245+"AM:!2Vi"</f>
        <v>#VALUE!</v>
      </c>
      <c r="HP356" t="e">
        <f>'Technical Master Data'!N245+"AM:!2Vj"</f>
        <v>#VALUE!</v>
      </c>
      <c r="HQ356" t="e">
        <f>'Technical Master Data'!O245+"AM:!2Vk"</f>
        <v>#VALUE!</v>
      </c>
      <c r="HR356" t="e">
        <f>'Technical Master Data'!P245+"AM:!2Vl"</f>
        <v>#VALUE!</v>
      </c>
      <c r="HS356" t="e">
        <f>'Technical Master Data'!Q245+"AM:!2Vm"</f>
        <v>#VALUE!</v>
      </c>
      <c r="HT356" t="e">
        <f>'Technical Master Data'!R245+"AM:!2Vn"</f>
        <v>#VALUE!</v>
      </c>
      <c r="HU356" t="e">
        <f>'Technical Master Data'!S245+"AM:!2Vo"</f>
        <v>#VALUE!</v>
      </c>
      <c r="HV356" t="e">
        <f>'Technical Master Data'!A246+"AM:!2Vp"</f>
        <v>#VALUE!</v>
      </c>
      <c r="HW356" t="e">
        <f>'Technical Master Data'!B246+"AM:!2Vq"</f>
        <v>#VALUE!</v>
      </c>
      <c r="HX356" t="e">
        <f>'Technical Master Data'!C246+"AM:!2Vr"</f>
        <v>#VALUE!</v>
      </c>
      <c r="HY356" t="e">
        <f>'Technical Master Data'!D246+"AM:!2Vs"</f>
        <v>#VALUE!</v>
      </c>
      <c r="HZ356" t="e">
        <f>'Technical Master Data'!E246+"AM:!2Vt"</f>
        <v>#VALUE!</v>
      </c>
      <c r="IA356" t="e">
        <f>'Technical Master Data'!F246+"AM:!2Vu"</f>
        <v>#VALUE!</v>
      </c>
      <c r="IB356" t="e">
        <f>'Technical Master Data'!G246+"AM:!2Vv"</f>
        <v>#VALUE!</v>
      </c>
      <c r="IC356" t="e">
        <f>'Technical Master Data'!H246+"AM:!2Vw"</f>
        <v>#VALUE!</v>
      </c>
      <c r="ID356" t="e">
        <f>'Technical Master Data'!I246+"AM:!2Vx"</f>
        <v>#VALUE!</v>
      </c>
      <c r="IE356" t="e">
        <f>'Technical Master Data'!J246+"AM:!2Vy"</f>
        <v>#VALUE!</v>
      </c>
      <c r="IF356" t="e">
        <f>'Technical Master Data'!K246+"AM:!2Vz"</f>
        <v>#VALUE!</v>
      </c>
      <c r="IG356" t="e">
        <f>'Technical Master Data'!L246+"AM:!2V{"</f>
        <v>#VALUE!</v>
      </c>
      <c r="IH356" t="e">
        <f>'Technical Master Data'!M246+"AM:!2V|"</f>
        <v>#VALUE!</v>
      </c>
      <c r="II356" t="e">
        <f>'Technical Master Data'!N246+"AM:!2V}"</f>
        <v>#VALUE!</v>
      </c>
      <c r="IJ356" t="e">
        <f>'Technical Master Data'!O246+"AM:!2V~"</f>
        <v>#VALUE!</v>
      </c>
      <c r="IK356" t="e">
        <f>'Technical Master Data'!P246+"AM:!2W#"</f>
        <v>#VALUE!</v>
      </c>
      <c r="IL356" t="e">
        <f>'Technical Master Data'!Q246+"AM:!2W$"</f>
        <v>#VALUE!</v>
      </c>
      <c r="IM356" t="e">
        <f>'Technical Master Data'!R246+"AM:!2W%"</f>
        <v>#VALUE!</v>
      </c>
      <c r="IN356" t="e">
        <f>'Technical Master Data'!S246+"AM:!2W&amp;"</f>
        <v>#VALUE!</v>
      </c>
      <c r="IO356" t="e">
        <f>'Technical Master Data'!A247+"AM:!2W'"</f>
        <v>#VALUE!</v>
      </c>
      <c r="IP356" t="e">
        <f>'Technical Master Data'!B247+"AM:!2W("</f>
        <v>#VALUE!</v>
      </c>
      <c r="IQ356" t="e">
        <f>'Technical Master Data'!C247+"AM:!2W)"</f>
        <v>#VALUE!</v>
      </c>
      <c r="IR356" t="e">
        <f>'Technical Master Data'!D247+"AM:!2W."</f>
        <v>#VALUE!</v>
      </c>
      <c r="IS356" t="e">
        <f>'Technical Master Data'!E247+"AM:!2W/"</f>
        <v>#VALUE!</v>
      </c>
      <c r="IT356" t="e">
        <f>'Technical Master Data'!F247+"AM:!2W0"</f>
        <v>#VALUE!</v>
      </c>
      <c r="IU356" t="e">
        <f>'Technical Master Data'!G247+"AM:!2W1"</f>
        <v>#VALUE!</v>
      </c>
      <c r="IV356" t="e">
        <f>'Technical Master Data'!H247+"AM:!2W2"</f>
        <v>#VALUE!</v>
      </c>
    </row>
    <row r="357" spans="6:256">
      <c r="F357" t="e">
        <f>'Technical Master Data'!I247+"AM:!2W3"</f>
        <v>#VALUE!</v>
      </c>
      <c r="G357" t="e">
        <f>'Technical Master Data'!J247+"AM:!2W4"</f>
        <v>#VALUE!</v>
      </c>
      <c r="H357" t="e">
        <f>'Technical Master Data'!K247+"AM:!2W5"</f>
        <v>#VALUE!</v>
      </c>
      <c r="I357" t="e">
        <f>'Technical Master Data'!L247+"AM:!2W6"</f>
        <v>#VALUE!</v>
      </c>
      <c r="J357" t="e">
        <f>'Technical Master Data'!M247+"AM:!2W7"</f>
        <v>#VALUE!</v>
      </c>
      <c r="K357" t="e">
        <f>'Technical Master Data'!N247+"AM:!2W8"</f>
        <v>#VALUE!</v>
      </c>
      <c r="L357" t="e">
        <f>'Technical Master Data'!O247+"AM:!2W9"</f>
        <v>#VALUE!</v>
      </c>
      <c r="M357" t="e">
        <f>'Technical Master Data'!P247+"AM:!2W:"</f>
        <v>#VALUE!</v>
      </c>
      <c r="N357" t="e">
        <f>'Technical Master Data'!Q247+"AM:!2W;"</f>
        <v>#VALUE!</v>
      </c>
      <c r="O357" t="e">
        <f>'Technical Master Data'!R247+"AM:!2W&lt;"</f>
        <v>#VALUE!</v>
      </c>
      <c r="P357" t="e">
        <f>'Technical Master Data'!S247+"AM:!2W="</f>
        <v>#VALUE!</v>
      </c>
      <c r="Q357" t="e">
        <f>'Technical Master Data'!A248+"AM:!2W&gt;"</f>
        <v>#VALUE!</v>
      </c>
      <c r="R357" t="e">
        <f>'Technical Master Data'!B248+"AM:!2W?"</f>
        <v>#VALUE!</v>
      </c>
      <c r="S357" t="e">
        <f>'Technical Master Data'!C248+"AM:!2W@"</f>
        <v>#VALUE!</v>
      </c>
      <c r="T357" t="e">
        <f>'Technical Master Data'!D248+"AM:!2WA"</f>
        <v>#VALUE!</v>
      </c>
      <c r="U357" t="e">
        <f>'Technical Master Data'!E248+"AM:!2WB"</f>
        <v>#VALUE!</v>
      </c>
      <c r="V357" t="e">
        <f>'Technical Master Data'!F248+"AM:!2WC"</f>
        <v>#VALUE!</v>
      </c>
      <c r="W357" t="e">
        <f>'Technical Master Data'!G248+"AM:!2WD"</f>
        <v>#VALUE!</v>
      </c>
      <c r="X357" t="e">
        <f>'Technical Master Data'!H248+"AM:!2WE"</f>
        <v>#VALUE!</v>
      </c>
      <c r="Y357" t="e">
        <f>'Technical Master Data'!I248+"AM:!2WF"</f>
        <v>#VALUE!</v>
      </c>
      <c r="Z357" t="e">
        <f>'Technical Master Data'!J248+"AM:!2WG"</f>
        <v>#VALUE!</v>
      </c>
      <c r="AA357" t="e">
        <f>'Technical Master Data'!K248+"AM:!2WH"</f>
        <v>#VALUE!</v>
      </c>
      <c r="AB357" t="e">
        <f>'Technical Master Data'!L248+"AM:!2WI"</f>
        <v>#VALUE!</v>
      </c>
      <c r="AC357" t="e">
        <f>'Technical Master Data'!M248+"AM:!2WJ"</f>
        <v>#VALUE!</v>
      </c>
      <c r="AD357" t="e">
        <f>'Technical Master Data'!N248+"AM:!2WK"</f>
        <v>#VALUE!</v>
      </c>
      <c r="AE357" t="e">
        <f>'Technical Master Data'!O248+"AM:!2WL"</f>
        <v>#VALUE!</v>
      </c>
      <c r="AF357" t="e">
        <f>'Technical Master Data'!P248+"AM:!2WM"</f>
        <v>#VALUE!</v>
      </c>
      <c r="AG357" t="e">
        <f>'Technical Master Data'!Q248+"AM:!2WN"</f>
        <v>#VALUE!</v>
      </c>
      <c r="AH357" t="e">
        <f>'Technical Master Data'!R248+"AM:!2WO"</f>
        <v>#VALUE!</v>
      </c>
      <c r="AI357" t="e">
        <f>'Technical Master Data'!S248+"AM:!2WP"</f>
        <v>#VALUE!</v>
      </c>
      <c r="AJ357" t="e">
        <f>'Technical Master Data'!A249+"AM:!2WQ"</f>
        <v>#VALUE!</v>
      </c>
      <c r="AK357" t="e">
        <f>'Technical Master Data'!B249+"AM:!2WR"</f>
        <v>#VALUE!</v>
      </c>
      <c r="AL357" t="e">
        <f>'Technical Master Data'!C249+"AM:!2WS"</f>
        <v>#VALUE!</v>
      </c>
      <c r="AM357" t="e">
        <f>'Technical Master Data'!D249+"AM:!2WT"</f>
        <v>#VALUE!</v>
      </c>
      <c r="AN357" t="e">
        <f>'Technical Master Data'!E249+"AM:!2WU"</f>
        <v>#VALUE!</v>
      </c>
      <c r="AO357" t="e">
        <f>'Technical Master Data'!F249+"AM:!2WV"</f>
        <v>#VALUE!</v>
      </c>
      <c r="AP357" t="e">
        <f>'Technical Master Data'!G249+"AM:!2WW"</f>
        <v>#VALUE!</v>
      </c>
      <c r="AQ357" t="e">
        <f>'Technical Master Data'!H249+"AM:!2WX"</f>
        <v>#VALUE!</v>
      </c>
      <c r="AR357" t="e">
        <f>'Technical Master Data'!I249+"AM:!2WY"</f>
        <v>#VALUE!</v>
      </c>
      <c r="AS357" t="e">
        <f>'Technical Master Data'!J249+"AM:!2WZ"</f>
        <v>#VALUE!</v>
      </c>
      <c r="AT357" t="e">
        <f>'Technical Master Data'!K249+"AM:!2W["</f>
        <v>#VALUE!</v>
      </c>
      <c r="AU357" t="e">
        <f>'Technical Master Data'!L249+"AM:!2W\"</f>
        <v>#VALUE!</v>
      </c>
      <c r="AV357" t="e">
        <f>'Technical Master Data'!M249+"AM:!2W]"</f>
        <v>#VALUE!</v>
      </c>
      <c r="AW357" t="e">
        <f>'Technical Master Data'!N249+"AM:!2W^"</f>
        <v>#VALUE!</v>
      </c>
      <c r="AX357" t="e">
        <f>'Technical Master Data'!O249+"AM:!2W_"</f>
        <v>#VALUE!</v>
      </c>
      <c r="AY357" t="e">
        <f>'Technical Master Data'!P249+"AM:!2W`"</f>
        <v>#VALUE!</v>
      </c>
      <c r="AZ357" t="e">
        <f>'Technical Master Data'!Q249+"AM:!2Wa"</f>
        <v>#VALUE!</v>
      </c>
      <c r="BA357" t="e">
        <f>'Technical Master Data'!R249+"AM:!2Wb"</f>
        <v>#VALUE!</v>
      </c>
      <c r="BB357" t="e">
        <f>'Technical Master Data'!S249+"AM:!2Wc"</f>
        <v>#VALUE!</v>
      </c>
      <c r="BC357" t="e">
        <f>'Technical Master Data'!A250+"AM:!2Wd"</f>
        <v>#VALUE!</v>
      </c>
      <c r="BD357" t="e">
        <f>'Technical Master Data'!B250+"AM:!2We"</f>
        <v>#VALUE!</v>
      </c>
      <c r="BE357" t="e">
        <f>'Technical Master Data'!C250+"AM:!2Wf"</f>
        <v>#VALUE!</v>
      </c>
      <c r="BF357" t="e">
        <f>'Technical Master Data'!D250+"AM:!2Wg"</f>
        <v>#VALUE!</v>
      </c>
      <c r="BG357" t="e">
        <f>'Technical Master Data'!E250+"AM:!2Wh"</f>
        <v>#VALUE!</v>
      </c>
      <c r="BH357" t="e">
        <f>'Technical Master Data'!F250+"AM:!2Wi"</f>
        <v>#VALUE!</v>
      </c>
      <c r="BI357" t="e">
        <f>'Technical Master Data'!G250+"AM:!2Wj"</f>
        <v>#VALUE!</v>
      </c>
      <c r="BJ357" t="e">
        <f>'Technical Master Data'!H250+"AM:!2Wk"</f>
        <v>#VALUE!</v>
      </c>
      <c r="BK357" t="e">
        <f>'Technical Master Data'!I250+"AM:!2Wl"</f>
        <v>#VALUE!</v>
      </c>
      <c r="BL357" t="e">
        <f>'Technical Master Data'!J250+"AM:!2Wm"</f>
        <v>#VALUE!</v>
      </c>
      <c r="BM357" t="e">
        <f>'Technical Master Data'!K250+"AM:!2Wn"</f>
        <v>#VALUE!</v>
      </c>
      <c r="BN357" t="e">
        <f>'Technical Master Data'!L250+"AM:!2Wo"</f>
        <v>#VALUE!</v>
      </c>
      <c r="BO357" t="e">
        <f>'Technical Master Data'!M250+"AM:!2Wp"</f>
        <v>#VALUE!</v>
      </c>
      <c r="BP357" t="e">
        <f>'Technical Master Data'!N250+"AM:!2Wq"</f>
        <v>#VALUE!</v>
      </c>
      <c r="BQ357" t="e">
        <f>'Technical Master Data'!O250+"AM:!2Wr"</f>
        <v>#VALUE!</v>
      </c>
      <c r="BR357" t="e">
        <f>'Technical Master Data'!P250+"AM:!2Ws"</f>
        <v>#VALUE!</v>
      </c>
      <c r="BS357" t="e">
        <f>'Technical Master Data'!Q250+"AM:!2Wt"</f>
        <v>#VALUE!</v>
      </c>
      <c r="BT357" t="e">
        <f>'Technical Master Data'!R250+"AM:!2Wu"</f>
        <v>#VALUE!</v>
      </c>
      <c r="BU357" t="e">
        <f>'Technical Master Data'!S250+"AM:!2Wv"</f>
        <v>#VALUE!</v>
      </c>
      <c r="BV357" t="e">
        <f>'Technical Master Data'!A251+"AM:!2Ww"</f>
        <v>#VALUE!</v>
      </c>
      <c r="BW357" t="e">
        <f>'Technical Master Data'!B251+"AM:!2Wx"</f>
        <v>#VALUE!</v>
      </c>
      <c r="BX357" t="e">
        <f>'Technical Master Data'!C251+"AM:!2Wy"</f>
        <v>#VALUE!</v>
      </c>
      <c r="BY357" t="e">
        <f>'Technical Master Data'!D251+"AM:!2Wz"</f>
        <v>#VALUE!</v>
      </c>
      <c r="BZ357" t="e">
        <f>'Technical Master Data'!E251+"AM:!2W{"</f>
        <v>#VALUE!</v>
      </c>
      <c r="CA357" t="e">
        <f>'Technical Master Data'!F251+"AM:!2W|"</f>
        <v>#VALUE!</v>
      </c>
      <c r="CB357" t="e">
        <f>'Technical Master Data'!G251+"AM:!2W}"</f>
        <v>#VALUE!</v>
      </c>
      <c r="CC357" t="e">
        <f>'Technical Master Data'!H251+"AM:!2W~"</f>
        <v>#VALUE!</v>
      </c>
      <c r="CD357" t="e">
        <f>'Technical Master Data'!I251+"AM:!2X#"</f>
        <v>#VALUE!</v>
      </c>
      <c r="CE357" t="e">
        <f>'Technical Master Data'!J251+"AM:!2X$"</f>
        <v>#VALUE!</v>
      </c>
      <c r="CF357" t="e">
        <f>'Technical Master Data'!K251+"AM:!2X%"</f>
        <v>#VALUE!</v>
      </c>
      <c r="CG357" t="e">
        <f>'Technical Master Data'!L251+"AM:!2X&amp;"</f>
        <v>#VALUE!</v>
      </c>
      <c r="CH357" t="e">
        <f>'Technical Master Data'!M251+"AM:!2X'"</f>
        <v>#VALUE!</v>
      </c>
      <c r="CI357" t="e">
        <f>'Technical Master Data'!N251+"AM:!2X("</f>
        <v>#VALUE!</v>
      </c>
      <c r="CJ357" t="e">
        <f>'Technical Master Data'!O251+"AM:!2X)"</f>
        <v>#VALUE!</v>
      </c>
      <c r="CK357" t="e">
        <f>'Technical Master Data'!P251+"AM:!2X."</f>
        <v>#VALUE!</v>
      </c>
      <c r="CL357" t="e">
        <f>'Technical Master Data'!Q251+"AM:!2X/"</f>
        <v>#VALUE!</v>
      </c>
      <c r="CM357" t="e">
        <f>'Technical Master Data'!R251+"AM:!2X0"</f>
        <v>#VALUE!</v>
      </c>
      <c r="CN357" t="e">
        <f>'Technical Master Data'!S251+"AM:!2X1"</f>
        <v>#VALUE!</v>
      </c>
      <c r="CO357" t="e">
        <f>'Technical Master Data'!A252+"AM:!2X2"</f>
        <v>#VALUE!</v>
      </c>
      <c r="CP357" t="e">
        <f>'Technical Master Data'!B252+"AM:!2X3"</f>
        <v>#VALUE!</v>
      </c>
      <c r="CQ357" t="e">
        <f>'Technical Master Data'!C252+"AM:!2X4"</f>
        <v>#VALUE!</v>
      </c>
      <c r="CR357" t="e">
        <f>'Technical Master Data'!D252+"AM:!2X5"</f>
        <v>#VALUE!</v>
      </c>
      <c r="CS357" t="e">
        <f>'Technical Master Data'!E252+"AM:!2X6"</f>
        <v>#VALUE!</v>
      </c>
      <c r="CT357" t="e">
        <f>'Technical Master Data'!F252+"AM:!2X7"</f>
        <v>#VALUE!</v>
      </c>
      <c r="CU357" t="e">
        <f>'Technical Master Data'!G252+"AM:!2X8"</f>
        <v>#VALUE!</v>
      </c>
      <c r="CV357" t="e">
        <f>'Technical Master Data'!H252+"AM:!2X9"</f>
        <v>#VALUE!</v>
      </c>
      <c r="CW357" t="e">
        <f>'Technical Master Data'!I252+"AM:!2X:"</f>
        <v>#VALUE!</v>
      </c>
      <c r="CX357" t="e">
        <f>'Technical Master Data'!J252+"AM:!2X;"</f>
        <v>#VALUE!</v>
      </c>
      <c r="CY357" t="e">
        <f>'Technical Master Data'!K252+"AM:!2X&lt;"</f>
        <v>#VALUE!</v>
      </c>
      <c r="CZ357" t="e">
        <f>'Technical Master Data'!L252+"AM:!2X="</f>
        <v>#VALUE!</v>
      </c>
      <c r="DA357" t="e">
        <f>'Technical Master Data'!M252+"AM:!2X&gt;"</f>
        <v>#VALUE!</v>
      </c>
      <c r="DB357" t="e">
        <f>'Technical Master Data'!N252+"AM:!2X?"</f>
        <v>#VALUE!</v>
      </c>
      <c r="DC357" t="e">
        <f>'Technical Master Data'!O252+"AM:!2X@"</f>
        <v>#VALUE!</v>
      </c>
      <c r="DD357" t="e">
        <f>'Technical Master Data'!P252+"AM:!2XA"</f>
        <v>#VALUE!</v>
      </c>
      <c r="DE357" t="e">
        <f>'Technical Master Data'!Q252+"AM:!2XB"</f>
        <v>#VALUE!</v>
      </c>
      <c r="DF357" t="e">
        <f>'Technical Master Data'!R252+"AM:!2XC"</f>
        <v>#VALUE!</v>
      </c>
      <c r="DG357" t="e">
        <f>'Technical Master Data'!S252+"AM:!2XD"</f>
        <v>#VALUE!</v>
      </c>
      <c r="DH357" t="e">
        <f>'Technical Master Data'!A253+"AM:!2XE"</f>
        <v>#VALUE!</v>
      </c>
      <c r="DI357" t="e">
        <f>'Technical Master Data'!B253+"AM:!2XF"</f>
        <v>#VALUE!</v>
      </c>
      <c r="DJ357" t="e">
        <f>'Technical Master Data'!C253+"AM:!2XG"</f>
        <v>#VALUE!</v>
      </c>
      <c r="DK357" t="e">
        <f>'Technical Master Data'!D253+"AM:!2XH"</f>
        <v>#VALUE!</v>
      </c>
      <c r="DL357" t="e">
        <f>'Technical Master Data'!E253+"AM:!2XI"</f>
        <v>#VALUE!</v>
      </c>
      <c r="DM357" t="e">
        <f>'Technical Master Data'!F253+"AM:!2XJ"</f>
        <v>#VALUE!</v>
      </c>
      <c r="DN357" t="e">
        <f>'Technical Master Data'!G253+"AM:!2XK"</f>
        <v>#VALUE!</v>
      </c>
      <c r="DO357" t="e">
        <f>'Technical Master Data'!H253+"AM:!2XL"</f>
        <v>#VALUE!</v>
      </c>
      <c r="DP357" t="e">
        <f>'Technical Master Data'!I253+"AM:!2XM"</f>
        <v>#VALUE!</v>
      </c>
      <c r="DQ357" t="e">
        <f>'Technical Master Data'!J253+"AM:!2XN"</f>
        <v>#VALUE!</v>
      </c>
      <c r="DR357" t="e">
        <f>'Technical Master Data'!K253+"AM:!2XO"</f>
        <v>#VALUE!</v>
      </c>
      <c r="DS357" t="e">
        <f>'Technical Master Data'!L253+"AM:!2XP"</f>
        <v>#VALUE!</v>
      </c>
      <c r="DT357" t="e">
        <f>'Technical Master Data'!M253+"AM:!2XQ"</f>
        <v>#VALUE!</v>
      </c>
      <c r="DU357" t="e">
        <f>'Technical Master Data'!N253+"AM:!2XR"</f>
        <v>#VALUE!</v>
      </c>
      <c r="DV357" t="e">
        <f>'Technical Master Data'!O253+"AM:!2XS"</f>
        <v>#VALUE!</v>
      </c>
      <c r="DW357" t="e">
        <f>'Technical Master Data'!P253+"AM:!2XT"</f>
        <v>#VALUE!</v>
      </c>
      <c r="DX357" t="e">
        <f>'Technical Master Data'!Q253+"AM:!2XU"</f>
        <v>#VALUE!</v>
      </c>
      <c r="DY357" t="e">
        <f>'Technical Master Data'!R253+"AM:!2XV"</f>
        <v>#VALUE!</v>
      </c>
      <c r="DZ357" t="e">
        <f>'Technical Master Data'!S253+"AM:!2XW"</f>
        <v>#VALUE!</v>
      </c>
      <c r="EA357" t="e">
        <f>'Technical Master Data'!A254+"AM:!2XX"</f>
        <v>#VALUE!</v>
      </c>
      <c r="EB357" t="e">
        <f>'Technical Master Data'!B254+"AM:!2XY"</f>
        <v>#VALUE!</v>
      </c>
      <c r="EC357" t="e">
        <f>'Technical Master Data'!C254+"AM:!2XZ"</f>
        <v>#VALUE!</v>
      </c>
      <c r="ED357" t="e">
        <f>'Technical Master Data'!D254+"AM:!2X["</f>
        <v>#VALUE!</v>
      </c>
      <c r="EE357" t="e">
        <f>'Technical Master Data'!E254+"AM:!2X\"</f>
        <v>#VALUE!</v>
      </c>
      <c r="EF357" t="e">
        <f>'Technical Master Data'!F254+"AM:!2X]"</f>
        <v>#VALUE!</v>
      </c>
      <c r="EG357" t="e">
        <f>'Technical Master Data'!G254+"AM:!2X^"</f>
        <v>#VALUE!</v>
      </c>
      <c r="EH357" t="e">
        <f>'Technical Master Data'!H254+"AM:!2X_"</f>
        <v>#VALUE!</v>
      </c>
      <c r="EI357" t="e">
        <f>'Technical Master Data'!I254+"AM:!2X`"</f>
        <v>#VALUE!</v>
      </c>
      <c r="EJ357" t="e">
        <f>'Technical Master Data'!J254+"AM:!2Xa"</f>
        <v>#VALUE!</v>
      </c>
      <c r="EK357" t="e">
        <f>'Technical Master Data'!K254+"AM:!2Xb"</f>
        <v>#VALUE!</v>
      </c>
      <c r="EL357" t="e">
        <f>'Technical Master Data'!L254+"AM:!2Xc"</f>
        <v>#VALUE!</v>
      </c>
      <c r="EM357" t="e">
        <f>'Technical Master Data'!M254+"AM:!2Xd"</f>
        <v>#VALUE!</v>
      </c>
      <c r="EN357" t="e">
        <f>'Technical Master Data'!N254+"AM:!2Xe"</f>
        <v>#VALUE!</v>
      </c>
      <c r="EO357" t="e">
        <f>'Technical Master Data'!O254+"AM:!2Xf"</f>
        <v>#VALUE!</v>
      </c>
      <c r="EP357" t="e">
        <f>'Technical Master Data'!P254+"AM:!2Xg"</f>
        <v>#VALUE!</v>
      </c>
      <c r="EQ357" t="e">
        <f>'Technical Master Data'!Q254+"AM:!2Xh"</f>
        <v>#VALUE!</v>
      </c>
      <c r="ER357" t="e">
        <f>'Technical Master Data'!R254+"AM:!2Xi"</f>
        <v>#VALUE!</v>
      </c>
      <c r="ES357" t="e">
        <f>'Technical Master Data'!S254+"AM:!2Xj"</f>
        <v>#VALUE!</v>
      </c>
      <c r="ET357" t="e">
        <f>'Technical Master Data'!A255+"AM:!2Xk"</f>
        <v>#VALUE!</v>
      </c>
      <c r="EU357" t="e">
        <f>'Technical Master Data'!B255+"AM:!2Xl"</f>
        <v>#VALUE!</v>
      </c>
      <c r="EV357" t="e">
        <f>'Technical Master Data'!C255+"AM:!2Xm"</f>
        <v>#VALUE!</v>
      </c>
      <c r="EW357" t="e">
        <f>'Technical Master Data'!D255+"AM:!2Xn"</f>
        <v>#VALUE!</v>
      </c>
      <c r="EX357" t="e">
        <f>'Technical Master Data'!E255+"AM:!2Xo"</f>
        <v>#VALUE!</v>
      </c>
      <c r="EY357" t="e">
        <f>'Technical Master Data'!F255+"AM:!2Xp"</f>
        <v>#VALUE!</v>
      </c>
      <c r="EZ357" t="e">
        <f>'Technical Master Data'!G255+"AM:!2Xq"</f>
        <v>#VALUE!</v>
      </c>
      <c r="FA357" t="e">
        <f>'Technical Master Data'!H255+"AM:!2Xr"</f>
        <v>#VALUE!</v>
      </c>
      <c r="FB357" t="e">
        <f>'Technical Master Data'!I255+"AM:!2Xs"</f>
        <v>#VALUE!</v>
      </c>
      <c r="FC357" t="e">
        <f>'Technical Master Data'!J255+"AM:!2Xt"</f>
        <v>#VALUE!</v>
      </c>
      <c r="FD357" t="e">
        <f>'Technical Master Data'!K255+"AM:!2Xu"</f>
        <v>#VALUE!</v>
      </c>
      <c r="FE357" t="e">
        <f>'Technical Master Data'!L255+"AM:!2Xv"</f>
        <v>#VALUE!</v>
      </c>
      <c r="FF357" t="e">
        <f>'Technical Master Data'!M255+"AM:!2Xw"</f>
        <v>#VALUE!</v>
      </c>
      <c r="FG357" t="e">
        <f>'Technical Master Data'!N255+"AM:!2Xx"</f>
        <v>#VALUE!</v>
      </c>
      <c r="FH357" t="e">
        <f>'Technical Master Data'!O255+"AM:!2Xy"</f>
        <v>#VALUE!</v>
      </c>
      <c r="FI357" t="e">
        <f>'Technical Master Data'!P255+"AM:!2Xz"</f>
        <v>#VALUE!</v>
      </c>
      <c r="FJ357" t="e">
        <f>'Technical Master Data'!Q255+"AM:!2X{"</f>
        <v>#VALUE!</v>
      </c>
      <c r="FK357" t="e">
        <f>'Technical Master Data'!R255+"AM:!2X|"</f>
        <v>#VALUE!</v>
      </c>
      <c r="FL357" t="e">
        <f>'Technical Master Data'!S255+"AM:!2X}"</f>
        <v>#VALUE!</v>
      </c>
      <c r="FM357" t="e">
        <f>'Technical Master Data'!A256+"AM:!2X~"</f>
        <v>#VALUE!</v>
      </c>
      <c r="FN357" t="e">
        <f>'Technical Master Data'!B256+"AM:!2Y#"</f>
        <v>#VALUE!</v>
      </c>
      <c r="FO357" t="e">
        <f>'Technical Master Data'!C256+"AM:!2Y$"</f>
        <v>#VALUE!</v>
      </c>
      <c r="FP357" t="e">
        <f>'Technical Master Data'!D256+"AM:!2Y%"</f>
        <v>#VALUE!</v>
      </c>
      <c r="FQ357" t="e">
        <f>'Technical Master Data'!E256+"AM:!2Y&amp;"</f>
        <v>#VALUE!</v>
      </c>
      <c r="FR357" t="e">
        <f>'Technical Master Data'!F256+"AM:!2Y'"</f>
        <v>#VALUE!</v>
      </c>
      <c r="FS357" t="e">
        <f>'Technical Master Data'!G256+"AM:!2Y("</f>
        <v>#VALUE!</v>
      </c>
      <c r="FT357" t="e">
        <f>'Technical Master Data'!H256+"AM:!2Y)"</f>
        <v>#VALUE!</v>
      </c>
      <c r="FU357" t="e">
        <f>'Technical Master Data'!I256+"AM:!2Y."</f>
        <v>#VALUE!</v>
      </c>
      <c r="FV357" t="e">
        <f>'Technical Master Data'!J256+"AM:!2Y/"</f>
        <v>#VALUE!</v>
      </c>
      <c r="FW357" t="e">
        <f>'Technical Master Data'!K256+"AM:!2Y0"</f>
        <v>#VALUE!</v>
      </c>
      <c r="FX357" t="e">
        <f>'Technical Master Data'!L256+"AM:!2Y1"</f>
        <v>#VALUE!</v>
      </c>
      <c r="FY357" t="e">
        <f>'Technical Master Data'!M256+"AM:!2Y2"</f>
        <v>#VALUE!</v>
      </c>
      <c r="FZ357" t="e">
        <f>'Technical Master Data'!N256+"AM:!2Y3"</f>
        <v>#VALUE!</v>
      </c>
      <c r="GA357" t="e">
        <f>'Technical Master Data'!O256+"AM:!2Y4"</f>
        <v>#VALUE!</v>
      </c>
      <c r="GB357" t="e">
        <f>'Technical Master Data'!P256+"AM:!2Y5"</f>
        <v>#VALUE!</v>
      </c>
      <c r="GC357" t="e">
        <f>'Technical Master Data'!Q256+"AM:!2Y6"</f>
        <v>#VALUE!</v>
      </c>
      <c r="GD357" t="e">
        <f>'Technical Master Data'!R256+"AM:!2Y7"</f>
        <v>#VALUE!</v>
      </c>
      <c r="GE357" t="e">
        <f>'Technical Master Data'!S256+"AM:!2Y8"</f>
        <v>#VALUE!</v>
      </c>
      <c r="GF357" t="e">
        <f>'Technical Master Data'!A257+"AM:!2Y9"</f>
        <v>#VALUE!</v>
      </c>
      <c r="GG357" t="e">
        <f>'Technical Master Data'!B257+"AM:!2Y:"</f>
        <v>#VALUE!</v>
      </c>
      <c r="GH357" t="e">
        <f>'Technical Master Data'!C257+"AM:!2Y;"</f>
        <v>#VALUE!</v>
      </c>
      <c r="GI357" t="e">
        <f>'Technical Master Data'!D257+"AM:!2Y&lt;"</f>
        <v>#VALUE!</v>
      </c>
      <c r="GJ357" t="e">
        <f>'Technical Master Data'!E257+"AM:!2Y="</f>
        <v>#VALUE!</v>
      </c>
      <c r="GK357" t="e">
        <f>'Technical Master Data'!F257+"AM:!2Y&gt;"</f>
        <v>#VALUE!</v>
      </c>
      <c r="GL357" t="e">
        <f>'Technical Master Data'!G257+"AM:!2Y?"</f>
        <v>#VALUE!</v>
      </c>
      <c r="GM357" t="e">
        <f>'Technical Master Data'!H257+"AM:!2Y@"</f>
        <v>#VALUE!</v>
      </c>
      <c r="GN357" t="e">
        <f>'Technical Master Data'!I257+"AM:!2YA"</f>
        <v>#VALUE!</v>
      </c>
      <c r="GO357" t="e">
        <f>'Technical Master Data'!J257+"AM:!2YB"</f>
        <v>#VALUE!</v>
      </c>
      <c r="GP357" t="e">
        <f>'Technical Master Data'!K257+"AM:!2YC"</f>
        <v>#VALUE!</v>
      </c>
      <c r="GQ357" t="e">
        <f>'Technical Master Data'!L257+"AM:!2YD"</f>
        <v>#VALUE!</v>
      </c>
      <c r="GR357" t="e">
        <f>'Technical Master Data'!M257+"AM:!2YE"</f>
        <v>#VALUE!</v>
      </c>
      <c r="GS357" t="e">
        <f>'Technical Master Data'!N257+"AM:!2YF"</f>
        <v>#VALUE!</v>
      </c>
      <c r="GT357" t="e">
        <f>'Technical Master Data'!O257+"AM:!2YG"</f>
        <v>#VALUE!</v>
      </c>
      <c r="GU357" t="e">
        <f>'Technical Master Data'!P257+"AM:!2YH"</f>
        <v>#VALUE!</v>
      </c>
      <c r="GV357" t="e">
        <f>'Technical Master Data'!Q257+"AM:!2YI"</f>
        <v>#VALUE!</v>
      </c>
      <c r="GW357" t="e">
        <f>'Technical Master Data'!R257+"AM:!2YJ"</f>
        <v>#VALUE!</v>
      </c>
      <c r="GX357" t="e">
        <f>'Technical Master Data'!S257+"AM:!2YK"</f>
        <v>#VALUE!</v>
      </c>
      <c r="GY357" t="e">
        <f>'Technical Master Data'!A258+"AM:!2YL"</f>
        <v>#VALUE!</v>
      </c>
      <c r="GZ357" t="e">
        <f>'Technical Master Data'!B258+"AM:!2YM"</f>
        <v>#VALUE!</v>
      </c>
      <c r="HA357" t="e">
        <f>'Technical Master Data'!C258+"AM:!2YN"</f>
        <v>#VALUE!</v>
      </c>
      <c r="HB357" t="e">
        <f>'Technical Master Data'!D258+"AM:!2YO"</f>
        <v>#VALUE!</v>
      </c>
      <c r="HC357" t="e">
        <f>'Technical Master Data'!E258+"AM:!2YP"</f>
        <v>#VALUE!</v>
      </c>
      <c r="HD357" t="e">
        <f>'Technical Master Data'!F258+"AM:!2YQ"</f>
        <v>#VALUE!</v>
      </c>
      <c r="HE357" t="e">
        <f>'Technical Master Data'!G258+"AM:!2YR"</f>
        <v>#VALUE!</v>
      </c>
      <c r="HF357" t="e">
        <f>'Technical Master Data'!H258+"AM:!2YS"</f>
        <v>#VALUE!</v>
      </c>
      <c r="HG357" t="e">
        <f>'Technical Master Data'!I258+"AM:!2YT"</f>
        <v>#VALUE!</v>
      </c>
      <c r="HH357" t="e">
        <f>'Technical Master Data'!J258+"AM:!2YU"</f>
        <v>#VALUE!</v>
      </c>
      <c r="HI357" t="e">
        <f>'Technical Master Data'!K258+"AM:!2YV"</f>
        <v>#VALUE!</v>
      </c>
      <c r="HJ357" t="e">
        <f>'Technical Master Data'!L258+"AM:!2YW"</f>
        <v>#VALUE!</v>
      </c>
      <c r="HK357" t="e">
        <f>'Technical Master Data'!M258+"AM:!2YX"</f>
        <v>#VALUE!</v>
      </c>
      <c r="HL357" t="e">
        <f>'Technical Master Data'!N258+"AM:!2YY"</f>
        <v>#VALUE!</v>
      </c>
      <c r="HM357" t="e">
        <f>'Technical Master Data'!O258+"AM:!2YZ"</f>
        <v>#VALUE!</v>
      </c>
      <c r="HN357" t="e">
        <f>'Technical Master Data'!P258+"AM:!2Y["</f>
        <v>#VALUE!</v>
      </c>
      <c r="HO357" t="e">
        <f>'Technical Master Data'!Q258+"AM:!2Y\"</f>
        <v>#VALUE!</v>
      </c>
      <c r="HP357" t="e">
        <f>'Technical Master Data'!R258+"AM:!2Y]"</f>
        <v>#VALUE!</v>
      </c>
      <c r="HQ357" t="e">
        <f>'Technical Master Data'!S258+"AM:!2Y^"</f>
        <v>#VALUE!</v>
      </c>
      <c r="HR357" t="e">
        <f>'Technical Master Data'!A259+"AM:!2Y_"</f>
        <v>#VALUE!</v>
      </c>
      <c r="HS357" t="e">
        <f>'Technical Master Data'!B259+"AM:!2Y`"</f>
        <v>#VALUE!</v>
      </c>
      <c r="HT357" t="e">
        <f>'Technical Master Data'!C259+"AM:!2Ya"</f>
        <v>#VALUE!</v>
      </c>
      <c r="HU357" t="e">
        <f>'Technical Master Data'!D259+"AM:!2Yb"</f>
        <v>#VALUE!</v>
      </c>
      <c r="HV357" t="e">
        <f>'Technical Master Data'!E259+"AM:!2Yc"</f>
        <v>#VALUE!</v>
      </c>
      <c r="HW357" t="e">
        <f>'Technical Master Data'!F259+"AM:!2Yd"</f>
        <v>#VALUE!</v>
      </c>
      <c r="HX357" t="e">
        <f>'Technical Master Data'!G259+"AM:!2Ye"</f>
        <v>#VALUE!</v>
      </c>
      <c r="HY357" t="e">
        <f>'Technical Master Data'!H259+"AM:!2Yf"</f>
        <v>#VALUE!</v>
      </c>
      <c r="HZ357" t="e">
        <f>'Technical Master Data'!I259+"AM:!2Yg"</f>
        <v>#VALUE!</v>
      </c>
      <c r="IA357" t="e">
        <f>'Technical Master Data'!J259+"AM:!2Yh"</f>
        <v>#VALUE!</v>
      </c>
      <c r="IB357" t="e">
        <f>'Technical Master Data'!K259+"AM:!2Yi"</f>
        <v>#VALUE!</v>
      </c>
      <c r="IC357" t="e">
        <f>'Technical Master Data'!L259+"AM:!2Yj"</f>
        <v>#VALUE!</v>
      </c>
      <c r="ID357" t="e">
        <f>'Technical Master Data'!M259+"AM:!2Yk"</f>
        <v>#VALUE!</v>
      </c>
      <c r="IE357" t="e">
        <f>'Technical Master Data'!N259+"AM:!2Yl"</f>
        <v>#VALUE!</v>
      </c>
      <c r="IF357" t="e">
        <f>'Technical Master Data'!O259+"AM:!2Ym"</f>
        <v>#VALUE!</v>
      </c>
      <c r="IG357" t="e">
        <f>'Technical Master Data'!P259+"AM:!2Yn"</f>
        <v>#VALUE!</v>
      </c>
      <c r="IH357" t="e">
        <f>'Technical Master Data'!Q259+"AM:!2Yo"</f>
        <v>#VALUE!</v>
      </c>
      <c r="II357" t="e">
        <f>'Technical Master Data'!R259+"AM:!2Yp"</f>
        <v>#VALUE!</v>
      </c>
      <c r="IJ357" t="e">
        <f>'Technical Master Data'!S259+"AM:!2Yq"</f>
        <v>#VALUE!</v>
      </c>
      <c r="IK357" t="e">
        <f>'Technical Master Data'!A260+"AM:!2Yr"</f>
        <v>#VALUE!</v>
      </c>
      <c r="IL357" t="e">
        <f>'Technical Master Data'!B260+"AM:!2Ys"</f>
        <v>#VALUE!</v>
      </c>
      <c r="IM357" t="e">
        <f>'Technical Master Data'!C260+"AM:!2Yt"</f>
        <v>#VALUE!</v>
      </c>
      <c r="IN357" t="e">
        <f>'Technical Master Data'!D260+"AM:!2Yu"</f>
        <v>#VALUE!</v>
      </c>
      <c r="IO357" t="e">
        <f>'Technical Master Data'!E260+"AM:!2Yv"</f>
        <v>#VALUE!</v>
      </c>
      <c r="IP357" t="e">
        <f>'Technical Master Data'!F260+"AM:!2Yw"</f>
        <v>#VALUE!</v>
      </c>
      <c r="IQ357" t="e">
        <f>'Technical Master Data'!G260+"AM:!2Yx"</f>
        <v>#VALUE!</v>
      </c>
      <c r="IR357" t="e">
        <f>'Technical Master Data'!H260+"AM:!2Yy"</f>
        <v>#VALUE!</v>
      </c>
      <c r="IS357" t="e">
        <f>'Technical Master Data'!I260+"AM:!2Yz"</f>
        <v>#VALUE!</v>
      </c>
      <c r="IT357" t="e">
        <f>'Technical Master Data'!J260+"AM:!2Y{"</f>
        <v>#VALUE!</v>
      </c>
      <c r="IU357" t="e">
        <f>'Technical Master Data'!K260+"AM:!2Y|"</f>
        <v>#VALUE!</v>
      </c>
      <c r="IV357" t="e">
        <f>'Technical Master Data'!L260+"AM:!2Y}"</f>
        <v>#VALUE!</v>
      </c>
    </row>
    <row r="358" spans="6:256">
      <c r="F358" t="e">
        <f>'Technical Master Data'!M260+"AM:!2Y~"</f>
        <v>#VALUE!</v>
      </c>
      <c r="G358" t="e">
        <f>'Technical Master Data'!N260+"AM:!2Z#"</f>
        <v>#VALUE!</v>
      </c>
      <c r="H358" t="e">
        <f>'Technical Master Data'!O260+"AM:!2Z$"</f>
        <v>#VALUE!</v>
      </c>
      <c r="I358" t="e">
        <f>'Technical Master Data'!P260+"AM:!2Z%"</f>
        <v>#VALUE!</v>
      </c>
      <c r="J358" t="e">
        <f>'Technical Master Data'!Q260+"AM:!2Z&amp;"</f>
        <v>#VALUE!</v>
      </c>
      <c r="K358" t="e">
        <f>'Technical Master Data'!R260+"AM:!2Z'"</f>
        <v>#VALUE!</v>
      </c>
      <c r="L358" t="e">
        <f>'Technical Master Data'!S260+"AM:!2Z("</f>
        <v>#VALUE!</v>
      </c>
      <c r="M358" t="e">
        <f>'Technical Master Data'!A261+"AM:!2Z)"</f>
        <v>#VALUE!</v>
      </c>
      <c r="N358" t="e">
        <f>'Technical Master Data'!B261+"AM:!2Z."</f>
        <v>#VALUE!</v>
      </c>
      <c r="O358" t="e">
        <f>'Technical Master Data'!C261+"AM:!2Z/"</f>
        <v>#VALUE!</v>
      </c>
      <c r="P358" t="e">
        <f>'Technical Master Data'!D261+"AM:!2Z0"</f>
        <v>#VALUE!</v>
      </c>
      <c r="Q358" t="e">
        <f>'Technical Master Data'!E261+"AM:!2Z1"</f>
        <v>#VALUE!</v>
      </c>
      <c r="R358" t="e">
        <f>'Technical Master Data'!F261+"AM:!2Z2"</f>
        <v>#VALUE!</v>
      </c>
      <c r="S358" t="e">
        <f>'Technical Master Data'!G261+"AM:!2Z3"</f>
        <v>#VALUE!</v>
      </c>
      <c r="T358" t="e">
        <f>'Technical Master Data'!H261+"AM:!2Z4"</f>
        <v>#VALUE!</v>
      </c>
      <c r="U358" t="e">
        <f>'Technical Master Data'!I261+"AM:!2Z5"</f>
        <v>#VALUE!</v>
      </c>
      <c r="V358" t="e">
        <f>'Technical Master Data'!J261+"AM:!2Z6"</f>
        <v>#VALUE!</v>
      </c>
      <c r="W358" t="e">
        <f>'Technical Master Data'!K261+"AM:!2Z7"</f>
        <v>#VALUE!</v>
      </c>
      <c r="X358" t="e">
        <f>'Technical Master Data'!L261+"AM:!2Z8"</f>
        <v>#VALUE!</v>
      </c>
      <c r="Y358" t="e">
        <f>'Technical Master Data'!M261+"AM:!2Z9"</f>
        <v>#VALUE!</v>
      </c>
      <c r="Z358" t="e">
        <f>'Technical Master Data'!N261+"AM:!2Z:"</f>
        <v>#VALUE!</v>
      </c>
      <c r="AA358" t="e">
        <f>'Technical Master Data'!O261+"AM:!2Z;"</f>
        <v>#VALUE!</v>
      </c>
      <c r="AB358" t="e">
        <f>'Technical Master Data'!P261+"AM:!2Z&lt;"</f>
        <v>#VALUE!</v>
      </c>
      <c r="AC358" t="e">
        <f>'Technical Master Data'!Q261+"AM:!2Z="</f>
        <v>#VALUE!</v>
      </c>
      <c r="AD358" t="e">
        <f>'Technical Master Data'!R261+"AM:!2Z&gt;"</f>
        <v>#VALUE!</v>
      </c>
      <c r="AE358" t="e">
        <f>'Technical Master Data'!S261+"AM:!2Z?"</f>
        <v>#VALUE!</v>
      </c>
      <c r="AF358" t="e">
        <f>'Technical Master Data'!A262+"AM:!2Z@"</f>
        <v>#VALUE!</v>
      </c>
      <c r="AG358" t="e">
        <f>'Technical Master Data'!B262+"AM:!2ZA"</f>
        <v>#VALUE!</v>
      </c>
      <c r="AH358" t="e">
        <f>'Technical Master Data'!C262+"AM:!2ZB"</f>
        <v>#VALUE!</v>
      </c>
      <c r="AI358" t="e">
        <f>'Technical Master Data'!D262+"AM:!2ZC"</f>
        <v>#VALUE!</v>
      </c>
      <c r="AJ358" t="e">
        <f>'Technical Master Data'!E262+"AM:!2ZD"</f>
        <v>#VALUE!</v>
      </c>
      <c r="AK358" t="e">
        <f>'Technical Master Data'!F262+"AM:!2ZE"</f>
        <v>#VALUE!</v>
      </c>
      <c r="AL358" t="e">
        <f>'Technical Master Data'!G262+"AM:!2ZF"</f>
        <v>#VALUE!</v>
      </c>
      <c r="AM358" t="e">
        <f>'Technical Master Data'!H262+"AM:!2ZG"</f>
        <v>#VALUE!</v>
      </c>
      <c r="AN358" t="e">
        <f>'Technical Master Data'!I262+"AM:!2ZH"</f>
        <v>#VALUE!</v>
      </c>
      <c r="AO358" t="e">
        <f>'Technical Master Data'!J262+"AM:!2ZI"</f>
        <v>#VALUE!</v>
      </c>
      <c r="AP358" t="e">
        <f>'Technical Master Data'!K262+"AM:!2ZJ"</f>
        <v>#VALUE!</v>
      </c>
      <c r="AQ358" t="e">
        <f>'Technical Master Data'!L262+"AM:!2ZK"</f>
        <v>#VALUE!</v>
      </c>
      <c r="AR358" t="e">
        <f>'Technical Master Data'!M262+"AM:!2ZL"</f>
        <v>#VALUE!</v>
      </c>
      <c r="AS358" t="e">
        <f>'Technical Master Data'!N262+"AM:!2ZM"</f>
        <v>#VALUE!</v>
      </c>
      <c r="AT358" t="e">
        <f>'Technical Master Data'!O262+"AM:!2ZN"</f>
        <v>#VALUE!</v>
      </c>
      <c r="AU358" t="e">
        <f>'Technical Master Data'!P262+"AM:!2ZO"</f>
        <v>#VALUE!</v>
      </c>
      <c r="AV358" t="e">
        <f>'Technical Master Data'!Q262+"AM:!2ZP"</f>
        <v>#VALUE!</v>
      </c>
      <c r="AW358" t="e">
        <f>'Technical Master Data'!R262+"AM:!2ZQ"</f>
        <v>#VALUE!</v>
      </c>
      <c r="AX358" t="e">
        <f>'Technical Master Data'!S262+"AM:!2ZR"</f>
        <v>#VALUE!</v>
      </c>
      <c r="AY358" t="e">
        <f>'Technical Master Data'!A263+"AM:!2ZS"</f>
        <v>#VALUE!</v>
      </c>
      <c r="AZ358" t="e">
        <f>'Technical Master Data'!B263+"AM:!2ZT"</f>
        <v>#VALUE!</v>
      </c>
      <c r="BA358" t="e">
        <f>'Technical Master Data'!C263+"AM:!2ZU"</f>
        <v>#VALUE!</v>
      </c>
      <c r="BB358" t="e">
        <f>'Technical Master Data'!D263+"AM:!2ZV"</f>
        <v>#VALUE!</v>
      </c>
      <c r="BC358" t="e">
        <f>'Technical Master Data'!E263+"AM:!2ZW"</f>
        <v>#VALUE!</v>
      </c>
      <c r="BD358" t="e">
        <f>'Technical Master Data'!F263+"AM:!2ZX"</f>
        <v>#VALUE!</v>
      </c>
      <c r="BE358" t="e">
        <f>'Technical Master Data'!G263+"AM:!2ZY"</f>
        <v>#VALUE!</v>
      </c>
      <c r="BF358" t="e">
        <f>'Technical Master Data'!H263+"AM:!2ZZ"</f>
        <v>#VALUE!</v>
      </c>
      <c r="BG358" t="e">
        <f>'Technical Master Data'!I263+"AM:!2Z["</f>
        <v>#VALUE!</v>
      </c>
      <c r="BH358" t="e">
        <f>'Technical Master Data'!J263+"AM:!2Z\"</f>
        <v>#VALUE!</v>
      </c>
      <c r="BI358" t="e">
        <f>'Technical Master Data'!K263+"AM:!2Z]"</f>
        <v>#VALUE!</v>
      </c>
      <c r="BJ358" t="e">
        <f>'Technical Master Data'!L263+"AM:!2Z^"</f>
        <v>#VALUE!</v>
      </c>
      <c r="BK358" t="e">
        <f>'Technical Master Data'!M263+"AM:!2Z_"</f>
        <v>#VALUE!</v>
      </c>
      <c r="BL358" t="e">
        <f>'Technical Master Data'!N263+"AM:!2Z`"</f>
        <v>#VALUE!</v>
      </c>
      <c r="BM358" t="e">
        <f>'Technical Master Data'!O263+"AM:!2Za"</f>
        <v>#VALUE!</v>
      </c>
      <c r="BN358" t="e">
        <f>'Technical Master Data'!P263+"AM:!2Zb"</f>
        <v>#VALUE!</v>
      </c>
      <c r="BO358" t="e">
        <f>'Technical Master Data'!Q263+"AM:!2Zc"</f>
        <v>#VALUE!</v>
      </c>
      <c r="BP358" t="e">
        <f>'Technical Master Data'!R263+"AM:!2Zd"</f>
        <v>#VALUE!</v>
      </c>
      <c r="BQ358" t="e">
        <f>'Technical Master Data'!S263+"AM:!2Ze"</f>
        <v>#VALUE!</v>
      </c>
      <c r="BR358" t="e">
        <f>'Technical Master Data'!A264+"AM:!2Zf"</f>
        <v>#VALUE!</v>
      </c>
      <c r="BS358" t="e">
        <f>'Technical Master Data'!B264+"AM:!2Zg"</f>
        <v>#VALUE!</v>
      </c>
      <c r="BT358" t="e">
        <f>'Technical Master Data'!C264+"AM:!2Zh"</f>
        <v>#VALUE!</v>
      </c>
      <c r="BU358" t="e">
        <f>'Technical Master Data'!D264+"AM:!2Zi"</f>
        <v>#VALUE!</v>
      </c>
      <c r="BV358" t="e">
        <f>'Technical Master Data'!E264+"AM:!2Zj"</f>
        <v>#VALUE!</v>
      </c>
      <c r="BW358" t="e">
        <f>'Technical Master Data'!F264+"AM:!2Zk"</f>
        <v>#VALUE!</v>
      </c>
      <c r="BX358" t="e">
        <f>'Technical Master Data'!G264+"AM:!2Zl"</f>
        <v>#VALUE!</v>
      </c>
      <c r="BY358" t="e">
        <f>'Technical Master Data'!H264+"AM:!2Zm"</f>
        <v>#VALUE!</v>
      </c>
      <c r="BZ358" t="e">
        <f>'Technical Master Data'!I264+"AM:!2Zn"</f>
        <v>#VALUE!</v>
      </c>
      <c r="CA358" t="e">
        <f>'Technical Master Data'!J264+"AM:!2Zo"</f>
        <v>#VALUE!</v>
      </c>
      <c r="CB358" t="e">
        <f>'Technical Master Data'!K264+"AM:!2Zp"</f>
        <v>#VALUE!</v>
      </c>
      <c r="CC358" t="e">
        <f>'Technical Master Data'!L264+"AM:!2Zq"</f>
        <v>#VALUE!</v>
      </c>
      <c r="CD358" t="e">
        <f>'Technical Master Data'!M264+"AM:!2Zr"</f>
        <v>#VALUE!</v>
      </c>
      <c r="CE358" t="e">
        <f>'Technical Master Data'!N264+"AM:!2Zs"</f>
        <v>#VALUE!</v>
      </c>
      <c r="CF358" t="e">
        <f>'Technical Master Data'!O264+"AM:!2Zt"</f>
        <v>#VALUE!</v>
      </c>
      <c r="CG358" t="e">
        <f>'Technical Master Data'!P264+"AM:!2Zu"</f>
        <v>#VALUE!</v>
      </c>
      <c r="CH358" t="e">
        <f>'Technical Master Data'!Q264+"AM:!2Zv"</f>
        <v>#VALUE!</v>
      </c>
      <c r="CI358" t="e">
        <f>'Technical Master Data'!R264+"AM:!2Zw"</f>
        <v>#VALUE!</v>
      </c>
      <c r="CJ358" t="e">
        <f>'Technical Master Data'!S264+"AM:!2Zx"</f>
        <v>#VALUE!</v>
      </c>
      <c r="CK358" t="e">
        <f>'Technical Master Data'!A265+"AM:!2Zy"</f>
        <v>#VALUE!</v>
      </c>
      <c r="CL358" t="e">
        <f>'Technical Master Data'!B265+"AM:!2Zz"</f>
        <v>#VALUE!</v>
      </c>
      <c r="CM358" t="e">
        <f>'Technical Master Data'!C265+"AM:!2Z{"</f>
        <v>#VALUE!</v>
      </c>
      <c r="CN358" t="e">
        <f>'Technical Master Data'!D265+"AM:!2Z|"</f>
        <v>#VALUE!</v>
      </c>
      <c r="CO358" t="e">
        <f>'Technical Master Data'!E265+"AM:!2Z}"</f>
        <v>#VALUE!</v>
      </c>
      <c r="CP358" t="e">
        <f>'Technical Master Data'!F265+"AM:!2Z~"</f>
        <v>#VALUE!</v>
      </c>
      <c r="CQ358" t="e">
        <f>'Technical Master Data'!G265+"AM:!2[#"</f>
        <v>#VALUE!</v>
      </c>
      <c r="CR358" t="e">
        <f>'Technical Master Data'!H265+"AM:!2[$"</f>
        <v>#VALUE!</v>
      </c>
      <c r="CS358" t="e">
        <f>'Technical Master Data'!I265+"AM:!2[%"</f>
        <v>#VALUE!</v>
      </c>
      <c r="CT358" t="e">
        <f>'Technical Master Data'!J265+"AM:!2[&amp;"</f>
        <v>#VALUE!</v>
      </c>
      <c r="CU358" t="e">
        <f>'Technical Master Data'!K265+"AM:!2['"</f>
        <v>#VALUE!</v>
      </c>
      <c r="CV358" t="e">
        <f>'Technical Master Data'!L265+"AM:!2[("</f>
        <v>#VALUE!</v>
      </c>
      <c r="CW358" t="e">
        <f>'Technical Master Data'!M265+"AM:!2[)"</f>
        <v>#VALUE!</v>
      </c>
      <c r="CX358" t="e">
        <f>'Technical Master Data'!N265+"AM:!2[."</f>
        <v>#VALUE!</v>
      </c>
      <c r="CY358" t="e">
        <f>'Technical Master Data'!O265+"AM:!2[/"</f>
        <v>#VALUE!</v>
      </c>
      <c r="CZ358" t="e">
        <f>'Technical Master Data'!P265+"AM:!2[0"</f>
        <v>#VALUE!</v>
      </c>
      <c r="DA358" t="e">
        <f>'Technical Master Data'!Q265+"AM:!2[1"</f>
        <v>#VALUE!</v>
      </c>
      <c r="DB358" t="e">
        <f>'Technical Master Data'!R265+"AM:!2[2"</f>
        <v>#VALUE!</v>
      </c>
      <c r="DC358" t="e">
        <f>'Technical Master Data'!S265+"AM:!2[3"</f>
        <v>#VALUE!</v>
      </c>
      <c r="DD358" t="e">
        <f>'Technical Master Data'!A266+"AM:!2[4"</f>
        <v>#VALUE!</v>
      </c>
      <c r="DE358" t="e">
        <f>'Technical Master Data'!B266+"AM:!2[5"</f>
        <v>#VALUE!</v>
      </c>
      <c r="DF358" t="e">
        <f>'Technical Master Data'!C266+"AM:!2[6"</f>
        <v>#VALUE!</v>
      </c>
      <c r="DG358" t="e">
        <f>'Technical Master Data'!D266+"AM:!2[7"</f>
        <v>#VALUE!</v>
      </c>
      <c r="DH358" t="e">
        <f>'Technical Master Data'!E266+"AM:!2[8"</f>
        <v>#VALUE!</v>
      </c>
      <c r="DI358" t="e">
        <f>'Technical Master Data'!F266+"AM:!2[9"</f>
        <v>#VALUE!</v>
      </c>
      <c r="DJ358" t="e">
        <f>'Technical Master Data'!G266+"AM:!2[:"</f>
        <v>#VALUE!</v>
      </c>
      <c r="DK358" t="e">
        <f>'Technical Master Data'!H266+"AM:!2[;"</f>
        <v>#VALUE!</v>
      </c>
      <c r="DL358" t="e">
        <f>'Technical Master Data'!I266+"AM:!2[&lt;"</f>
        <v>#VALUE!</v>
      </c>
      <c r="DM358" t="e">
        <f>'Technical Master Data'!J266+"AM:!2[="</f>
        <v>#VALUE!</v>
      </c>
      <c r="DN358" t="e">
        <f>'Technical Master Data'!K266+"AM:!2[&gt;"</f>
        <v>#VALUE!</v>
      </c>
      <c r="DO358" t="e">
        <f>'Technical Master Data'!L266+"AM:!2[?"</f>
        <v>#VALUE!</v>
      </c>
      <c r="DP358" t="e">
        <f>'Technical Master Data'!M266+"AM:!2[@"</f>
        <v>#VALUE!</v>
      </c>
      <c r="DQ358" t="e">
        <f>'Technical Master Data'!N266+"AM:!2[A"</f>
        <v>#VALUE!</v>
      </c>
      <c r="DR358" t="e">
        <f>'Technical Master Data'!O266+"AM:!2[B"</f>
        <v>#VALUE!</v>
      </c>
      <c r="DS358" t="e">
        <f>'Technical Master Data'!P266+"AM:!2[C"</f>
        <v>#VALUE!</v>
      </c>
      <c r="DT358" t="e">
        <f>'Technical Master Data'!Q266+"AM:!2[D"</f>
        <v>#VALUE!</v>
      </c>
      <c r="DU358" t="e">
        <f>'Technical Master Data'!R266+"AM:!2[E"</f>
        <v>#VALUE!</v>
      </c>
      <c r="DV358" t="e">
        <f>'Technical Master Data'!S266+"AM:!2[F"</f>
        <v>#VALUE!</v>
      </c>
      <c r="DW358" t="e">
        <f>'Technical Master Data'!A267+"AM:!2[G"</f>
        <v>#VALUE!</v>
      </c>
      <c r="DX358" t="e">
        <f>'Technical Master Data'!B267+"AM:!2[H"</f>
        <v>#VALUE!</v>
      </c>
      <c r="DY358" t="e">
        <f>'Technical Master Data'!C267+"AM:!2[I"</f>
        <v>#VALUE!</v>
      </c>
      <c r="DZ358" t="e">
        <f>'Technical Master Data'!D267+"AM:!2[J"</f>
        <v>#VALUE!</v>
      </c>
      <c r="EA358" t="e">
        <f>'Technical Master Data'!E267+"AM:!2[K"</f>
        <v>#VALUE!</v>
      </c>
      <c r="EB358" t="e">
        <f>'Technical Master Data'!F267+"AM:!2[L"</f>
        <v>#VALUE!</v>
      </c>
      <c r="EC358" t="e">
        <f>'Technical Master Data'!G267+"AM:!2[M"</f>
        <v>#VALUE!</v>
      </c>
      <c r="ED358" t="e">
        <f>'Technical Master Data'!H267+"AM:!2[N"</f>
        <v>#VALUE!</v>
      </c>
      <c r="EE358" t="e">
        <f>'Technical Master Data'!I267+"AM:!2[O"</f>
        <v>#VALUE!</v>
      </c>
      <c r="EF358" t="e">
        <f>'Technical Master Data'!J267+"AM:!2[P"</f>
        <v>#VALUE!</v>
      </c>
      <c r="EG358" t="e">
        <f>'Technical Master Data'!K267+"AM:!2[Q"</f>
        <v>#VALUE!</v>
      </c>
      <c r="EH358" t="e">
        <f>'Technical Master Data'!L267+"AM:!2[R"</f>
        <v>#VALUE!</v>
      </c>
      <c r="EI358" t="e">
        <f>'Technical Master Data'!M267+"AM:!2[S"</f>
        <v>#VALUE!</v>
      </c>
      <c r="EJ358" t="e">
        <f>'Technical Master Data'!N267+"AM:!2[T"</f>
        <v>#VALUE!</v>
      </c>
      <c r="EK358" t="e">
        <f>'Technical Master Data'!O267+"AM:!2[U"</f>
        <v>#VALUE!</v>
      </c>
      <c r="EL358" t="e">
        <f>'Technical Master Data'!P267+"AM:!2[V"</f>
        <v>#VALUE!</v>
      </c>
      <c r="EM358" t="e">
        <f>'Technical Master Data'!Q267+"AM:!2[W"</f>
        <v>#VALUE!</v>
      </c>
      <c r="EN358" t="e">
        <f>'Technical Master Data'!R267+"AM:!2[X"</f>
        <v>#VALUE!</v>
      </c>
      <c r="EO358" t="e">
        <f>'Technical Master Data'!S267+"AM:!2[Y"</f>
        <v>#VALUE!</v>
      </c>
      <c r="EP358" t="e">
        <f>'Technical Master Data'!A268+"AM:!2[Z"</f>
        <v>#VALUE!</v>
      </c>
      <c r="EQ358" t="e">
        <f>'Technical Master Data'!B268+"AM:!2[["</f>
        <v>#VALUE!</v>
      </c>
      <c r="ER358" t="e">
        <f>'Technical Master Data'!C268+"AM:!2[\"</f>
        <v>#VALUE!</v>
      </c>
      <c r="ES358" t="e">
        <f>'Technical Master Data'!D268+"AM:!2[]"</f>
        <v>#VALUE!</v>
      </c>
      <c r="ET358" t="e">
        <f>'Technical Master Data'!E268+"AM:!2[^"</f>
        <v>#VALUE!</v>
      </c>
      <c r="EU358" t="e">
        <f>'Technical Master Data'!F268+"AM:!2[_"</f>
        <v>#VALUE!</v>
      </c>
      <c r="EV358" t="e">
        <f>'Technical Master Data'!G268+"AM:!2[`"</f>
        <v>#VALUE!</v>
      </c>
      <c r="EW358" t="e">
        <f>'Technical Master Data'!H268+"AM:!2[a"</f>
        <v>#VALUE!</v>
      </c>
      <c r="EX358" t="e">
        <f>'Technical Master Data'!I268+"AM:!2[b"</f>
        <v>#VALUE!</v>
      </c>
      <c r="EY358" t="e">
        <f>'Technical Master Data'!J268+"AM:!2[c"</f>
        <v>#VALUE!</v>
      </c>
      <c r="EZ358" t="e">
        <f>'Technical Master Data'!K268+"AM:!2[d"</f>
        <v>#VALUE!</v>
      </c>
      <c r="FA358" t="e">
        <f>'Technical Master Data'!L268+"AM:!2[e"</f>
        <v>#VALUE!</v>
      </c>
      <c r="FB358" t="e">
        <f>'Technical Master Data'!M268+"AM:!2[f"</f>
        <v>#VALUE!</v>
      </c>
      <c r="FC358" t="e">
        <f>'Technical Master Data'!N268+"AM:!2[g"</f>
        <v>#VALUE!</v>
      </c>
      <c r="FD358" t="e">
        <f>'Technical Master Data'!O268+"AM:!2[h"</f>
        <v>#VALUE!</v>
      </c>
      <c r="FE358" t="e">
        <f>'Technical Master Data'!P268+"AM:!2[i"</f>
        <v>#VALUE!</v>
      </c>
      <c r="FF358" t="e">
        <f>'Technical Master Data'!Q268+"AM:!2[j"</f>
        <v>#VALUE!</v>
      </c>
      <c r="FG358" t="e">
        <f>'Technical Master Data'!R268+"AM:!2[k"</f>
        <v>#VALUE!</v>
      </c>
      <c r="FH358" t="e">
        <f>'Technical Master Data'!S268+"AM:!2[l"</f>
        <v>#VALUE!</v>
      </c>
      <c r="FI358" t="e">
        <f>'Technical Master Data'!A269+"AM:!2[m"</f>
        <v>#VALUE!</v>
      </c>
      <c r="FJ358" t="e">
        <f>'Technical Master Data'!B269+"AM:!2[n"</f>
        <v>#VALUE!</v>
      </c>
      <c r="FK358" t="e">
        <f>'Technical Master Data'!C269+"AM:!2[o"</f>
        <v>#VALUE!</v>
      </c>
      <c r="FL358" t="e">
        <f>'Technical Master Data'!D269+"AM:!2[p"</f>
        <v>#VALUE!</v>
      </c>
      <c r="FM358" t="e">
        <f>'Technical Master Data'!E269+"AM:!2[q"</f>
        <v>#VALUE!</v>
      </c>
      <c r="FN358" t="e">
        <f>'Technical Master Data'!F269+"AM:!2[r"</f>
        <v>#VALUE!</v>
      </c>
      <c r="FO358" t="e">
        <f>'Technical Master Data'!G269+"AM:!2[s"</f>
        <v>#VALUE!</v>
      </c>
      <c r="FP358" t="e">
        <f>'Technical Master Data'!H269+"AM:!2[t"</f>
        <v>#VALUE!</v>
      </c>
      <c r="FQ358" t="e">
        <f>'Technical Master Data'!I269+"AM:!2[u"</f>
        <v>#VALUE!</v>
      </c>
      <c r="FR358" t="e">
        <f>'Technical Master Data'!J269+"AM:!2[v"</f>
        <v>#VALUE!</v>
      </c>
      <c r="FS358" t="e">
        <f>'Technical Master Data'!K269+"AM:!2[w"</f>
        <v>#VALUE!</v>
      </c>
      <c r="FT358" t="e">
        <f>'Technical Master Data'!L269+"AM:!2[x"</f>
        <v>#VALUE!</v>
      </c>
      <c r="FU358" t="e">
        <f>'Technical Master Data'!M269+"AM:!2[y"</f>
        <v>#VALUE!</v>
      </c>
      <c r="FV358" t="e">
        <f>'Technical Master Data'!N269+"AM:!2[z"</f>
        <v>#VALUE!</v>
      </c>
      <c r="FW358" t="e">
        <f>'Technical Master Data'!O269+"AM:!2[{"</f>
        <v>#VALUE!</v>
      </c>
      <c r="FX358" t="e">
        <f>'Technical Master Data'!P269+"AM:!2[|"</f>
        <v>#VALUE!</v>
      </c>
      <c r="FY358" t="e">
        <f>'Technical Master Data'!Q269+"AM:!2[}"</f>
        <v>#VALUE!</v>
      </c>
      <c r="FZ358" t="e">
        <f>'Technical Master Data'!R269+"AM:!2[~"</f>
        <v>#VALUE!</v>
      </c>
      <c r="GA358" t="e">
        <f>'Technical Master Data'!S269+"AM:!2\#"</f>
        <v>#VALUE!</v>
      </c>
      <c r="GB358" t="e">
        <f>'Technical Master Data'!A270+"AM:!2\$"</f>
        <v>#VALUE!</v>
      </c>
      <c r="GC358" t="e">
        <f>'Technical Master Data'!B270+"AM:!2\%"</f>
        <v>#VALUE!</v>
      </c>
      <c r="GD358" t="e">
        <f>'Technical Master Data'!C270+"AM:!2\&amp;"</f>
        <v>#VALUE!</v>
      </c>
      <c r="GE358" t="e">
        <f>'Technical Master Data'!D270+"AM:!2\'"</f>
        <v>#VALUE!</v>
      </c>
      <c r="GF358" t="e">
        <f>'Technical Master Data'!E270+"AM:!2\("</f>
        <v>#VALUE!</v>
      </c>
      <c r="GG358" t="e">
        <f>'Technical Master Data'!F270+"AM:!2\)"</f>
        <v>#VALUE!</v>
      </c>
      <c r="GH358" t="e">
        <f>'Technical Master Data'!G270+"AM:!2\."</f>
        <v>#VALUE!</v>
      </c>
      <c r="GI358" t="e">
        <f>'Technical Master Data'!H270+"AM:!2\/"</f>
        <v>#VALUE!</v>
      </c>
      <c r="GJ358" t="e">
        <f>'Technical Master Data'!I270+"AM:!2\0"</f>
        <v>#VALUE!</v>
      </c>
      <c r="GK358" t="e">
        <f>'Technical Master Data'!J270+"AM:!2\1"</f>
        <v>#VALUE!</v>
      </c>
      <c r="GL358" t="e">
        <f>'Technical Master Data'!K270+"AM:!2\2"</f>
        <v>#VALUE!</v>
      </c>
      <c r="GM358" t="e">
        <f>'Technical Master Data'!L270+"AM:!2\3"</f>
        <v>#VALUE!</v>
      </c>
      <c r="GN358" t="e">
        <f>'Technical Master Data'!M270+"AM:!2\4"</f>
        <v>#VALUE!</v>
      </c>
      <c r="GO358" t="e">
        <f>'Technical Master Data'!N270+"AM:!2\5"</f>
        <v>#VALUE!</v>
      </c>
      <c r="GP358" t="e">
        <f>'Technical Master Data'!O270+"AM:!2\6"</f>
        <v>#VALUE!</v>
      </c>
      <c r="GQ358" t="e">
        <f>'Technical Master Data'!P270+"AM:!2\7"</f>
        <v>#VALUE!</v>
      </c>
      <c r="GR358" t="e">
        <f>'Technical Master Data'!Q270+"AM:!2\8"</f>
        <v>#VALUE!</v>
      </c>
      <c r="GS358" t="e">
        <f>'Technical Master Data'!R270+"AM:!2\9"</f>
        <v>#VALUE!</v>
      </c>
      <c r="GT358" t="e">
        <f>'Technical Master Data'!S270+"AM:!2\:"</f>
        <v>#VALUE!</v>
      </c>
      <c r="GU358" t="e">
        <f>'Technical Master Data'!A271+"AM:!2\;"</f>
        <v>#VALUE!</v>
      </c>
      <c r="GV358" t="e">
        <f>'Technical Master Data'!B271+"AM:!2\&lt;"</f>
        <v>#VALUE!</v>
      </c>
      <c r="GW358" t="e">
        <f>'Technical Master Data'!C271+"AM:!2\="</f>
        <v>#VALUE!</v>
      </c>
      <c r="GX358" t="e">
        <f>'Technical Master Data'!D271+"AM:!2\&gt;"</f>
        <v>#VALUE!</v>
      </c>
      <c r="GY358" t="e">
        <f>'Technical Master Data'!E271+"AM:!2\?"</f>
        <v>#VALUE!</v>
      </c>
      <c r="GZ358" t="e">
        <f>'Technical Master Data'!F271+"AM:!2\@"</f>
        <v>#VALUE!</v>
      </c>
      <c r="HA358" t="e">
        <f>'Technical Master Data'!G271+"AM:!2\A"</f>
        <v>#VALUE!</v>
      </c>
      <c r="HB358" t="e">
        <f>'Technical Master Data'!H271+"AM:!2\B"</f>
        <v>#VALUE!</v>
      </c>
      <c r="HC358" t="e">
        <f>'Technical Master Data'!I271+"AM:!2\C"</f>
        <v>#VALUE!</v>
      </c>
      <c r="HD358" t="e">
        <f>'Technical Master Data'!J271+"AM:!2\D"</f>
        <v>#VALUE!</v>
      </c>
      <c r="HE358" t="e">
        <f>'Technical Master Data'!K271+"AM:!2\E"</f>
        <v>#VALUE!</v>
      </c>
      <c r="HF358" t="e">
        <f>'Technical Master Data'!L271+"AM:!2\F"</f>
        <v>#VALUE!</v>
      </c>
      <c r="HG358" t="e">
        <f>'Technical Master Data'!M271+"AM:!2\G"</f>
        <v>#VALUE!</v>
      </c>
      <c r="HH358" t="e">
        <f>'Technical Master Data'!N271+"AM:!2\H"</f>
        <v>#VALUE!</v>
      </c>
      <c r="HI358" t="e">
        <f>'Technical Master Data'!O271+"AM:!2\I"</f>
        <v>#VALUE!</v>
      </c>
      <c r="HJ358" t="e">
        <f>'Technical Master Data'!P271+"AM:!2\J"</f>
        <v>#VALUE!</v>
      </c>
      <c r="HK358" t="e">
        <f>'Technical Master Data'!Q271+"AM:!2\K"</f>
        <v>#VALUE!</v>
      </c>
      <c r="HL358" t="e">
        <f>'Technical Master Data'!R271+"AM:!2\L"</f>
        <v>#VALUE!</v>
      </c>
      <c r="HM358" t="e">
        <f>'Technical Master Data'!S271+"AM:!2\M"</f>
        <v>#VALUE!</v>
      </c>
      <c r="HN358" t="e">
        <f>'Technical Master Data'!A272+"AM:!2\N"</f>
        <v>#VALUE!</v>
      </c>
      <c r="HO358" t="e">
        <f>'Technical Master Data'!B272+"AM:!2\O"</f>
        <v>#VALUE!</v>
      </c>
      <c r="HP358" t="e">
        <f>'Technical Master Data'!C272+"AM:!2\P"</f>
        <v>#VALUE!</v>
      </c>
      <c r="HQ358" t="e">
        <f>'Technical Master Data'!D272+"AM:!2\Q"</f>
        <v>#VALUE!</v>
      </c>
      <c r="HR358" t="e">
        <f>'Technical Master Data'!E272+"AM:!2\R"</f>
        <v>#VALUE!</v>
      </c>
      <c r="HS358" t="e">
        <f>'Technical Master Data'!F272+"AM:!2\S"</f>
        <v>#VALUE!</v>
      </c>
      <c r="HT358" t="e">
        <f>'Technical Master Data'!G272+"AM:!2\T"</f>
        <v>#VALUE!</v>
      </c>
      <c r="HU358" t="e">
        <f>'Technical Master Data'!H272+"AM:!2\U"</f>
        <v>#VALUE!</v>
      </c>
      <c r="HV358" t="e">
        <f>'Technical Master Data'!I272+"AM:!2\V"</f>
        <v>#VALUE!</v>
      </c>
      <c r="HW358" t="e">
        <f>'Technical Master Data'!J272+"AM:!2\W"</f>
        <v>#VALUE!</v>
      </c>
      <c r="HX358" t="e">
        <f>'Technical Master Data'!K272+"AM:!2\X"</f>
        <v>#VALUE!</v>
      </c>
      <c r="HY358" t="e">
        <f>'Technical Master Data'!L272+"AM:!2\Y"</f>
        <v>#VALUE!</v>
      </c>
      <c r="HZ358" t="e">
        <f>'Technical Master Data'!M272+"AM:!2\Z"</f>
        <v>#VALUE!</v>
      </c>
      <c r="IA358" t="e">
        <f>'Technical Master Data'!N272+"AM:!2\["</f>
        <v>#VALUE!</v>
      </c>
      <c r="IB358" t="e">
        <f>'Technical Master Data'!O272+"AM:!2\\"</f>
        <v>#VALUE!</v>
      </c>
      <c r="IC358" t="e">
        <f>'Technical Master Data'!P272+"AM:!2\]"</f>
        <v>#VALUE!</v>
      </c>
      <c r="ID358" t="e">
        <f>'Technical Master Data'!Q272+"AM:!2\^"</f>
        <v>#VALUE!</v>
      </c>
      <c r="IE358" t="e">
        <f>'Technical Master Data'!R272+"AM:!2\_"</f>
        <v>#VALUE!</v>
      </c>
      <c r="IF358" t="e">
        <f>'Technical Master Data'!S272+"AM:!2\`"</f>
        <v>#VALUE!</v>
      </c>
      <c r="IG358" t="e">
        <f>'Technical Master Data'!A273+"AM:!2\a"</f>
        <v>#VALUE!</v>
      </c>
      <c r="IH358" t="e">
        <f>'Technical Master Data'!B273+"AM:!2\b"</f>
        <v>#VALUE!</v>
      </c>
      <c r="II358" t="e">
        <f>'Technical Master Data'!C273+"AM:!2\c"</f>
        <v>#VALUE!</v>
      </c>
      <c r="IJ358" t="e">
        <f>'Technical Master Data'!D273+"AM:!2\d"</f>
        <v>#VALUE!</v>
      </c>
      <c r="IK358" t="e">
        <f>'Technical Master Data'!E273+"AM:!2\e"</f>
        <v>#VALUE!</v>
      </c>
      <c r="IL358" t="e">
        <f>'Technical Master Data'!F273+"AM:!2\f"</f>
        <v>#VALUE!</v>
      </c>
      <c r="IM358" t="e">
        <f>'Technical Master Data'!G273+"AM:!2\g"</f>
        <v>#VALUE!</v>
      </c>
      <c r="IN358" t="e">
        <f>'Technical Master Data'!H273+"AM:!2\h"</f>
        <v>#VALUE!</v>
      </c>
      <c r="IO358" t="e">
        <f>'Technical Master Data'!I273+"AM:!2\i"</f>
        <v>#VALUE!</v>
      </c>
      <c r="IP358" t="e">
        <f>'Technical Master Data'!J273+"AM:!2\j"</f>
        <v>#VALUE!</v>
      </c>
      <c r="IQ358" t="e">
        <f>'Technical Master Data'!K273+"AM:!2\k"</f>
        <v>#VALUE!</v>
      </c>
      <c r="IR358" t="e">
        <f>'Technical Master Data'!L273+"AM:!2\l"</f>
        <v>#VALUE!</v>
      </c>
      <c r="IS358" t="e">
        <f>'Technical Master Data'!M273+"AM:!2\m"</f>
        <v>#VALUE!</v>
      </c>
      <c r="IT358" t="e">
        <f>'Technical Master Data'!N273+"AM:!2\n"</f>
        <v>#VALUE!</v>
      </c>
      <c r="IU358" t="e">
        <f>'Technical Master Data'!O273+"AM:!2\o"</f>
        <v>#VALUE!</v>
      </c>
      <c r="IV358" t="e">
        <f>'Technical Master Data'!P273+"AM:!2\p"</f>
        <v>#VALUE!</v>
      </c>
    </row>
    <row r="359" spans="6:256">
      <c r="F359" t="e">
        <f>'Technical Master Data'!Q273+"AM:!2\q"</f>
        <v>#VALUE!</v>
      </c>
      <c r="G359" t="e">
        <f>'Technical Master Data'!R273+"AM:!2\r"</f>
        <v>#VALUE!</v>
      </c>
      <c r="H359" t="e">
        <f>'Technical Master Data'!S273+"AM:!2\s"</f>
        <v>#VALUE!</v>
      </c>
      <c r="I359" t="e">
        <f>'Technical Master Data'!A274+"AM:!2\t"</f>
        <v>#VALUE!</v>
      </c>
      <c r="J359" t="e">
        <f>'Technical Master Data'!B274+"AM:!2\u"</f>
        <v>#VALUE!</v>
      </c>
      <c r="K359" t="e">
        <f>'Technical Master Data'!C274+"AM:!2\v"</f>
        <v>#VALUE!</v>
      </c>
      <c r="L359" t="e">
        <f>'Technical Master Data'!D274+"AM:!2\w"</f>
        <v>#VALUE!</v>
      </c>
      <c r="M359" t="e">
        <f>'Technical Master Data'!E274+"AM:!2\x"</f>
        <v>#VALUE!</v>
      </c>
      <c r="N359" t="e">
        <f>'Technical Master Data'!F274+"AM:!2\y"</f>
        <v>#VALUE!</v>
      </c>
      <c r="O359" t="e">
        <f>'Technical Master Data'!G274+"AM:!2\z"</f>
        <v>#VALUE!</v>
      </c>
      <c r="P359" t="e">
        <f>'Technical Master Data'!H274+"AM:!2\{"</f>
        <v>#VALUE!</v>
      </c>
      <c r="Q359" t="e">
        <f>'Technical Master Data'!I274+"AM:!2\|"</f>
        <v>#VALUE!</v>
      </c>
      <c r="R359" t="e">
        <f>'Technical Master Data'!J274+"AM:!2\}"</f>
        <v>#VALUE!</v>
      </c>
      <c r="S359" t="e">
        <f>'Technical Master Data'!K274+"AM:!2\~"</f>
        <v>#VALUE!</v>
      </c>
      <c r="T359" t="e">
        <f>'Technical Master Data'!L274+"AM:!2]#"</f>
        <v>#VALUE!</v>
      </c>
      <c r="U359" t="e">
        <f>'Technical Master Data'!M274+"AM:!2]$"</f>
        <v>#VALUE!</v>
      </c>
      <c r="V359" t="e">
        <f>'Technical Master Data'!N274+"AM:!2]%"</f>
        <v>#VALUE!</v>
      </c>
      <c r="W359" t="e">
        <f>'Technical Master Data'!O274+"AM:!2]&amp;"</f>
        <v>#VALUE!</v>
      </c>
      <c r="X359" t="e">
        <f>'Technical Master Data'!P274+"AM:!2]'"</f>
        <v>#VALUE!</v>
      </c>
      <c r="Y359" t="e">
        <f>'Technical Master Data'!Q274+"AM:!2]("</f>
        <v>#VALUE!</v>
      </c>
      <c r="Z359" t="e">
        <f>'Technical Master Data'!R274+"AM:!2])"</f>
        <v>#VALUE!</v>
      </c>
      <c r="AA359" t="e">
        <f>'Technical Master Data'!S274+"AM:!2]."</f>
        <v>#VALUE!</v>
      </c>
      <c r="AB359" t="e">
        <f>'Technical Master Data'!A275+"AM:!2]/"</f>
        <v>#VALUE!</v>
      </c>
      <c r="AC359" t="e">
        <f>'Technical Master Data'!B275+"AM:!2]0"</f>
        <v>#VALUE!</v>
      </c>
      <c r="AD359" t="e">
        <f>'Technical Master Data'!C275+"AM:!2]1"</f>
        <v>#VALUE!</v>
      </c>
      <c r="AE359" t="e">
        <f>'Technical Master Data'!D275+"AM:!2]2"</f>
        <v>#VALUE!</v>
      </c>
      <c r="AF359" t="e">
        <f>'Technical Master Data'!E275+"AM:!2]3"</f>
        <v>#VALUE!</v>
      </c>
      <c r="AG359" t="e">
        <f>'Technical Master Data'!F275+"AM:!2]4"</f>
        <v>#VALUE!</v>
      </c>
      <c r="AH359" t="e">
        <f>'Technical Master Data'!G275+"AM:!2]5"</f>
        <v>#VALUE!</v>
      </c>
      <c r="AI359" t="e">
        <f>'Technical Master Data'!H275+"AM:!2]6"</f>
        <v>#VALUE!</v>
      </c>
      <c r="AJ359" t="e">
        <f>'Technical Master Data'!I275+"AM:!2]7"</f>
        <v>#VALUE!</v>
      </c>
      <c r="AK359" t="e">
        <f>'Technical Master Data'!J275+"AM:!2]8"</f>
        <v>#VALUE!</v>
      </c>
      <c r="AL359" t="e">
        <f>'Technical Master Data'!K275+"AM:!2]9"</f>
        <v>#VALUE!</v>
      </c>
      <c r="AM359" t="e">
        <f>'Technical Master Data'!L275+"AM:!2]:"</f>
        <v>#VALUE!</v>
      </c>
      <c r="AN359" t="e">
        <f>'Technical Master Data'!M275+"AM:!2];"</f>
        <v>#VALUE!</v>
      </c>
      <c r="AO359" t="e">
        <f>'Technical Master Data'!N275+"AM:!2]&lt;"</f>
        <v>#VALUE!</v>
      </c>
      <c r="AP359" t="e">
        <f>'Technical Master Data'!O275+"AM:!2]="</f>
        <v>#VALUE!</v>
      </c>
      <c r="AQ359" t="e">
        <f>'Technical Master Data'!P275+"AM:!2]&gt;"</f>
        <v>#VALUE!</v>
      </c>
      <c r="AR359" t="e">
        <f>'Technical Master Data'!Q275+"AM:!2]?"</f>
        <v>#VALUE!</v>
      </c>
      <c r="AS359" t="e">
        <f>'Technical Master Data'!R275+"AM:!2]@"</f>
        <v>#VALUE!</v>
      </c>
      <c r="AT359" t="e">
        <f>'Technical Master Data'!S275+"AM:!2]A"</f>
        <v>#VALUE!</v>
      </c>
      <c r="AU359" t="e">
        <f>'Technical Master Data'!A276+"AM:!2]B"</f>
        <v>#VALUE!</v>
      </c>
      <c r="AV359" t="e">
        <f>'Technical Master Data'!B276+"AM:!2]C"</f>
        <v>#VALUE!</v>
      </c>
      <c r="AW359" t="e">
        <f>'Technical Master Data'!C276+"AM:!2]D"</f>
        <v>#VALUE!</v>
      </c>
      <c r="AX359" t="e">
        <f>'Technical Master Data'!D276+"AM:!2]E"</f>
        <v>#VALUE!</v>
      </c>
      <c r="AY359" t="e">
        <f>'Technical Master Data'!E276+"AM:!2]F"</f>
        <v>#VALUE!</v>
      </c>
      <c r="AZ359" t="e">
        <f>'Technical Master Data'!F276+"AM:!2]G"</f>
        <v>#VALUE!</v>
      </c>
      <c r="BA359" t="e">
        <f>'Technical Master Data'!G276+"AM:!2]H"</f>
        <v>#VALUE!</v>
      </c>
      <c r="BB359" t="e">
        <f>'Technical Master Data'!H276+"AM:!2]I"</f>
        <v>#VALUE!</v>
      </c>
      <c r="BC359" t="e">
        <f>'Technical Master Data'!I276+"AM:!2]J"</f>
        <v>#VALUE!</v>
      </c>
      <c r="BD359" t="e">
        <f>'Technical Master Data'!J276+"AM:!2]K"</f>
        <v>#VALUE!</v>
      </c>
      <c r="BE359" t="e">
        <f>'Technical Master Data'!K276+"AM:!2]L"</f>
        <v>#VALUE!</v>
      </c>
      <c r="BF359" t="e">
        <f>'Technical Master Data'!L276+"AM:!2]M"</f>
        <v>#VALUE!</v>
      </c>
      <c r="BG359" t="e">
        <f>'Technical Master Data'!M276+"AM:!2]N"</f>
        <v>#VALUE!</v>
      </c>
      <c r="BH359" t="e">
        <f>'Technical Master Data'!N276+"AM:!2]O"</f>
        <v>#VALUE!</v>
      </c>
      <c r="BI359" t="e">
        <f>'Technical Master Data'!O276+"AM:!2]P"</f>
        <v>#VALUE!</v>
      </c>
      <c r="BJ359" t="e">
        <f>'Technical Master Data'!P276+"AM:!2]Q"</f>
        <v>#VALUE!</v>
      </c>
      <c r="BK359" t="e">
        <f>'Technical Master Data'!Q276+"AM:!2]R"</f>
        <v>#VALUE!</v>
      </c>
      <c r="BL359" t="e">
        <f>'Technical Master Data'!R276+"AM:!2]S"</f>
        <v>#VALUE!</v>
      </c>
      <c r="BM359" t="e">
        <f>'Technical Master Data'!S276+"AM:!2]T"</f>
        <v>#VALUE!</v>
      </c>
      <c r="BN359" t="e">
        <f>'Technical Master Data'!A277+"AM:!2]U"</f>
        <v>#VALUE!</v>
      </c>
      <c r="BO359" t="e">
        <f>'Technical Master Data'!B277+"AM:!2]V"</f>
        <v>#VALUE!</v>
      </c>
      <c r="BP359" t="e">
        <f>'Technical Master Data'!C277+"AM:!2]W"</f>
        <v>#VALUE!</v>
      </c>
      <c r="BQ359" t="e">
        <f>'Technical Master Data'!D277+"AM:!2]X"</f>
        <v>#VALUE!</v>
      </c>
      <c r="BR359" t="e">
        <f>'Technical Master Data'!E277+"AM:!2]Y"</f>
        <v>#VALUE!</v>
      </c>
      <c r="BS359" t="e">
        <f>'Technical Master Data'!F277+"AM:!2]Z"</f>
        <v>#VALUE!</v>
      </c>
      <c r="BT359" t="e">
        <f>'Technical Master Data'!G277+"AM:!2]["</f>
        <v>#VALUE!</v>
      </c>
      <c r="BU359" t="e">
        <f>'Technical Master Data'!H277+"AM:!2]\"</f>
        <v>#VALUE!</v>
      </c>
      <c r="BV359" t="e">
        <f>'Technical Master Data'!I277+"AM:!2]]"</f>
        <v>#VALUE!</v>
      </c>
      <c r="BW359" t="e">
        <f>'Technical Master Data'!J277+"AM:!2]^"</f>
        <v>#VALUE!</v>
      </c>
      <c r="BX359" t="e">
        <f>'Technical Master Data'!K277+"AM:!2]_"</f>
        <v>#VALUE!</v>
      </c>
      <c r="BY359" t="e">
        <f>'Technical Master Data'!L277+"AM:!2]`"</f>
        <v>#VALUE!</v>
      </c>
      <c r="BZ359" t="e">
        <f>'Technical Master Data'!M277+"AM:!2]a"</f>
        <v>#VALUE!</v>
      </c>
      <c r="CA359" t="e">
        <f>'Technical Master Data'!N277+"AM:!2]b"</f>
        <v>#VALUE!</v>
      </c>
      <c r="CB359" t="e">
        <f>'Technical Master Data'!O277+"AM:!2]c"</f>
        <v>#VALUE!</v>
      </c>
      <c r="CC359" t="e">
        <f>'Technical Master Data'!P277+"AM:!2]d"</f>
        <v>#VALUE!</v>
      </c>
      <c r="CD359" t="e">
        <f>'Technical Master Data'!Q277+"AM:!2]e"</f>
        <v>#VALUE!</v>
      </c>
      <c r="CE359" t="e">
        <f>'Technical Master Data'!R277+"AM:!2]f"</f>
        <v>#VALUE!</v>
      </c>
      <c r="CF359" t="e">
        <f>'Technical Master Data'!S277+"AM:!2]g"</f>
        <v>#VALUE!</v>
      </c>
      <c r="CG359" t="e">
        <f>'Technical Master Data'!A278+"AM:!2]h"</f>
        <v>#VALUE!</v>
      </c>
      <c r="CH359" t="e">
        <f>'Technical Master Data'!B278+"AM:!2]i"</f>
        <v>#VALUE!</v>
      </c>
      <c r="CI359" t="e">
        <f>'Technical Master Data'!C278+"AM:!2]j"</f>
        <v>#VALUE!</v>
      </c>
      <c r="CJ359" t="e">
        <f>'Technical Master Data'!D278+"AM:!2]k"</f>
        <v>#VALUE!</v>
      </c>
      <c r="CK359" t="e">
        <f>'Technical Master Data'!E278+"AM:!2]l"</f>
        <v>#VALUE!</v>
      </c>
      <c r="CL359" t="e">
        <f>'Technical Master Data'!F278+"AM:!2]m"</f>
        <v>#VALUE!</v>
      </c>
      <c r="CM359" t="e">
        <f>'Technical Master Data'!G278+"AM:!2]n"</f>
        <v>#VALUE!</v>
      </c>
      <c r="CN359" t="e">
        <f>'Technical Master Data'!H278+"AM:!2]o"</f>
        <v>#VALUE!</v>
      </c>
      <c r="CO359" t="e">
        <f>'Technical Master Data'!I278+"AM:!2]p"</f>
        <v>#VALUE!</v>
      </c>
      <c r="CP359" t="e">
        <f>'Technical Master Data'!J278+"AM:!2]q"</f>
        <v>#VALUE!</v>
      </c>
      <c r="CQ359" t="e">
        <f>'Technical Master Data'!K278+"AM:!2]r"</f>
        <v>#VALUE!</v>
      </c>
      <c r="CR359" t="e">
        <f>'Technical Master Data'!L278+"AM:!2]s"</f>
        <v>#VALUE!</v>
      </c>
      <c r="CS359" t="e">
        <f>'Technical Master Data'!M278+"AM:!2]t"</f>
        <v>#VALUE!</v>
      </c>
      <c r="CT359" t="e">
        <f>'Technical Master Data'!N278+"AM:!2]u"</f>
        <v>#VALUE!</v>
      </c>
      <c r="CU359" t="e">
        <f>'Technical Master Data'!O278+"AM:!2]v"</f>
        <v>#VALUE!</v>
      </c>
      <c r="CV359" t="e">
        <f>'Technical Master Data'!P278+"AM:!2]w"</f>
        <v>#VALUE!</v>
      </c>
      <c r="CW359" t="e">
        <f>'Technical Master Data'!Q278+"AM:!2]x"</f>
        <v>#VALUE!</v>
      </c>
      <c r="CX359" t="e">
        <f>'Technical Master Data'!R278+"AM:!2]y"</f>
        <v>#VALUE!</v>
      </c>
      <c r="CY359" t="e">
        <f>'Technical Master Data'!S278+"AM:!2]z"</f>
        <v>#VALUE!</v>
      </c>
      <c r="CZ359" t="e">
        <f>'Technical Master Data'!A279+"AM:!2]{"</f>
        <v>#VALUE!</v>
      </c>
      <c r="DA359" t="e">
        <f>'Technical Master Data'!B279+"AM:!2]|"</f>
        <v>#VALUE!</v>
      </c>
      <c r="DB359" t="e">
        <f>'Technical Master Data'!C279+"AM:!2]}"</f>
        <v>#VALUE!</v>
      </c>
      <c r="DC359" t="e">
        <f>'Technical Master Data'!D279+"AM:!2]~"</f>
        <v>#VALUE!</v>
      </c>
      <c r="DD359" t="e">
        <f>'Technical Master Data'!E279+"AM:!2^#"</f>
        <v>#VALUE!</v>
      </c>
      <c r="DE359" t="e">
        <f>'Technical Master Data'!F279+"AM:!2^$"</f>
        <v>#VALUE!</v>
      </c>
      <c r="DF359" t="e">
        <f>'Technical Master Data'!G279+"AM:!2^%"</f>
        <v>#VALUE!</v>
      </c>
      <c r="DG359" t="e">
        <f>'Technical Master Data'!H279+"AM:!2^&amp;"</f>
        <v>#VALUE!</v>
      </c>
      <c r="DH359" t="e">
        <f>'Technical Master Data'!I279+"AM:!2^'"</f>
        <v>#VALUE!</v>
      </c>
      <c r="DI359" t="e">
        <f>'Technical Master Data'!J279+"AM:!2^("</f>
        <v>#VALUE!</v>
      </c>
      <c r="DJ359" t="e">
        <f>'Technical Master Data'!K279+"AM:!2^)"</f>
        <v>#VALUE!</v>
      </c>
      <c r="DK359" t="e">
        <f>'Technical Master Data'!L279+"AM:!2^."</f>
        <v>#VALUE!</v>
      </c>
      <c r="DL359" t="e">
        <f>'Technical Master Data'!M279+"AM:!2^/"</f>
        <v>#VALUE!</v>
      </c>
      <c r="DM359" t="e">
        <f>'Technical Master Data'!N279+"AM:!2^0"</f>
        <v>#VALUE!</v>
      </c>
      <c r="DN359" t="e">
        <f>'Technical Master Data'!O279+"AM:!2^1"</f>
        <v>#VALUE!</v>
      </c>
      <c r="DO359" t="e">
        <f>'Technical Master Data'!P279+"AM:!2^2"</f>
        <v>#VALUE!</v>
      </c>
      <c r="DP359" t="e">
        <f>'Technical Master Data'!Q279+"AM:!2^3"</f>
        <v>#VALUE!</v>
      </c>
      <c r="DQ359" t="e">
        <f>'Technical Master Data'!R279+"AM:!2^4"</f>
        <v>#VALUE!</v>
      </c>
      <c r="DR359" t="e">
        <f>'Technical Master Data'!S279+"AM:!2^5"</f>
        <v>#VALUE!</v>
      </c>
      <c r="DS359" t="e">
        <f>'Technical Master Data'!A280+"AM:!2^6"</f>
        <v>#VALUE!</v>
      </c>
      <c r="DT359" t="e">
        <f>'Technical Master Data'!B280+"AM:!2^7"</f>
        <v>#VALUE!</v>
      </c>
      <c r="DU359" t="e">
        <f>'Technical Master Data'!C280+"AM:!2^8"</f>
        <v>#VALUE!</v>
      </c>
      <c r="DV359" t="e">
        <f>'Technical Master Data'!D280+"AM:!2^9"</f>
        <v>#VALUE!</v>
      </c>
      <c r="DW359" t="e">
        <f>'Technical Master Data'!E280+"AM:!2^:"</f>
        <v>#VALUE!</v>
      </c>
      <c r="DX359" t="e">
        <f>'Technical Master Data'!F280+"AM:!2^;"</f>
        <v>#VALUE!</v>
      </c>
      <c r="DY359" t="e">
        <f>'Technical Master Data'!G280+"AM:!2^&lt;"</f>
        <v>#VALUE!</v>
      </c>
      <c r="DZ359" t="e">
        <f>'Technical Master Data'!H280+"AM:!2^="</f>
        <v>#VALUE!</v>
      </c>
      <c r="EA359" t="e">
        <f>'Technical Master Data'!I280+"AM:!2^&gt;"</f>
        <v>#VALUE!</v>
      </c>
      <c r="EB359" t="e">
        <f>'Technical Master Data'!J280+"AM:!2^?"</f>
        <v>#VALUE!</v>
      </c>
      <c r="EC359" t="e">
        <f>'Technical Master Data'!K280+"AM:!2^@"</f>
        <v>#VALUE!</v>
      </c>
      <c r="ED359" t="e">
        <f>'Technical Master Data'!L280+"AM:!2^A"</f>
        <v>#VALUE!</v>
      </c>
      <c r="EE359" t="e">
        <f>'Technical Master Data'!M280+"AM:!2^B"</f>
        <v>#VALUE!</v>
      </c>
      <c r="EF359" t="e">
        <f>'Technical Master Data'!N280+"AM:!2^C"</f>
        <v>#VALUE!</v>
      </c>
      <c r="EG359" t="e">
        <f>'Technical Master Data'!O280+"AM:!2^D"</f>
        <v>#VALUE!</v>
      </c>
      <c r="EH359" t="e">
        <f>'Technical Master Data'!P280+"AM:!2^E"</f>
        <v>#VALUE!</v>
      </c>
      <c r="EI359" t="e">
        <f>'Technical Master Data'!Q280+"AM:!2^F"</f>
        <v>#VALUE!</v>
      </c>
      <c r="EJ359" t="e">
        <f>'Technical Master Data'!R280+"AM:!2^G"</f>
        <v>#VALUE!</v>
      </c>
      <c r="EK359" t="e">
        <f>'Technical Master Data'!S280+"AM:!2^H"</f>
        <v>#VALUE!</v>
      </c>
      <c r="EL359" t="e">
        <f>'Technical Master Data'!A281+"AM:!2^I"</f>
        <v>#VALUE!</v>
      </c>
      <c r="EM359" t="e">
        <f>'Technical Master Data'!B281+"AM:!2^J"</f>
        <v>#VALUE!</v>
      </c>
      <c r="EN359" t="e">
        <f>'Technical Master Data'!C281+"AM:!2^K"</f>
        <v>#VALUE!</v>
      </c>
      <c r="EO359" t="e">
        <f>'Technical Master Data'!D281+"AM:!2^L"</f>
        <v>#VALUE!</v>
      </c>
      <c r="EP359" t="e">
        <f>'Technical Master Data'!E281+"AM:!2^M"</f>
        <v>#VALUE!</v>
      </c>
      <c r="EQ359" t="e">
        <f>'Technical Master Data'!F281+"AM:!2^N"</f>
        <v>#VALUE!</v>
      </c>
      <c r="ER359" t="e">
        <f>'Technical Master Data'!G281+"AM:!2^O"</f>
        <v>#VALUE!</v>
      </c>
      <c r="ES359" t="e">
        <f>'Technical Master Data'!H281+"AM:!2^P"</f>
        <v>#VALUE!</v>
      </c>
      <c r="ET359" t="e">
        <f>'Technical Master Data'!I281+"AM:!2^Q"</f>
        <v>#VALUE!</v>
      </c>
      <c r="EU359" t="e">
        <f>'Technical Master Data'!J281+"AM:!2^R"</f>
        <v>#VALUE!</v>
      </c>
      <c r="EV359" t="e">
        <f>'Technical Master Data'!K281+"AM:!2^S"</f>
        <v>#VALUE!</v>
      </c>
      <c r="EW359" t="e">
        <f>'Technical Master Data'!L281+"AM:!2^T"</f>
        <v>#VALUE!</v>
      </c>
      <c r="EX359" t="e">
        <f>'Technical Master Data'!M281+"AM:!2^U"</f>
        <v>#VALUE!</v>
      </c>
      <c r="EY359" t="e">
        <f>'Technical Master Data'!N281+"AM:!2^V"</f>
        <v>#VALUE!</v>
      </c>
      <c r="EZ359" t="e">
        <f>'Technical Master Data'!O281+"AM:!2^W"</f>
        <v>#VALUE!</v>
      </c>
      <c r="FA359" t="e">
        <f>'Technical Master Data'!P281+"AM:!2^X"</f>
        <v>#VALUE!</v>
      </c>
      <c r="FB359" t="e">
        <f>'Technical Master Data'!Q281+"AM:!2^Y"</f>
        <v>#VALUE!</v>
      </c>
      <c r="FC359" t="e">
        <f>'Technical Master Data'!R281+"AM:!2^Z"</f>
        <v>#VALUE!</v>
      </c>
      <c r="FD359" t="e">
        <f>'Technical Master Data'!S281+"AM:!2^["</f>
        <v>#VALUE!</v>
      </c>
      <c r="FE359" t="e">
        <f>'Technical Master Data'!A282+"AM:!2^\"</f>
        <v>#VALUE!</v>
      </c>
      <c r="FF359" t="e">
        <f>'Technical Master Data'!B282+"AM:!2^]"</f>
        <v>#VALUE!</v>
      </c>
      <c r="FG359" t="e">
        <f>'Technical Master Data'!C282+"AM:!2^^"</f>
        <v>#VALUE!</v>
      </c>
      <c r="FH359" t="e">
        <f>'Technical Master Data'!D282+"AM:!2^_"</f>
        <v>#VALUE!</v>
      </c>
      <c r="FI359" t="e">
        <f>'Technical Master Data'!E282+"AM:!2^`"</f>
        <v>#VALUE!</v>
      </c>
      <c r="FJ359" t="e">
        <f>'Technical Master Data'!F282+"AM:!2^a"</f>
        <v>#VALUE!</v>
      </c>
      <c r="FK359" t="e">
        <f>'Technical Master Data'!G282+"AM:!2^b"</f>
        <v>#VALUE!</v>
      </c>
      <c r="FL359" t="e">
        <f>'Technical Master Data'!H282+"AM:!2^c"</f>
        <v>#VALUE!</v>
      </c>
      <c r="FM359" t="e">
        <f>'Technical Master Data'!I282+"AM:!2^d"</f>
        <v>#VALUE!</v>
      </c>
      <c r="FN359" t="e">
        <f>'Technical Master Data'!J282+"AM:!2^e"</f>
        <v>#VALUE!</v>
      </c>
      <c r="FO359" t="e">
        <f>'Technical Master Data'!K282+"AM:!2^f"</f>
        <v>#VALUE!</v>
      </c>
      <c r="FP359" t="e">
        <f>'Technical Master Data'!L282+"AM:!2^g"</f>
        <v>#VALUE!</v>
      </c>
      <c r="FQ359" t="e">
        <f>'Technical Master Data'!M282+"AM:!2^h"</f>
        <v>#VALUE!</v>
      </c>
      <c r="FR359" t="e">
        <f>'Technical Master Data'!N282+"AM:!2^i"</f>
        <v>#VALUE!</v>
      </c>
      <c r="FS359" t="e">
        <f>'Technical Master Data'!O282+"AM:!2^j"</f>
        <v>#VALUE!</v>
      </c>
      <c r="FT359" t="e">
        <f>'Technical Master Data'!P282+"AM:!2^k"</f>
        <v>#VALUE!</v>
      </c>
      <c r="FU359" t="e">
        <f>'Technical Master Data'!Q282+"AM:!2^l"</f>
        <v>#VALUE!</v>
      </c>
      <c r="FV359" t="e">
        <f>'Technical Master Data'!R282+"AM:!2^m"</f>
        <v>#VALUE!</v>
      </c>
      <c r="FW359" t="e">
        <f>'Technical Master Data'!S282+"AM:!2^n"</f>
        <v>#VALUE!</v>
      </c>
      <c r="FX359" t="e">
        <f>'Technical Master Data'!A283+"AM:!2^o"</f>
        <v>#VALUE!</v>
      </c>
      <c r="FY359" t="e">
        <f>'Technical Master Data'!B283+"AM:!2^p"</f>
        <v>#VALUE!</v>
      </c>
      <c r="FZ359" t="e">
        <f>'Technical Master Data'!C283+"AM:!2^q"</f>
        <v>#VALUE!</v>
      </c>
      <c r="GA359" t="e">
        <f>'Technical Master Data'!D283+"AM:!2^r"</f>
        <v>#VALUE!</v>
      </c>
      <c r="GB359" t="e">
        <f>'Technical Master Data'!E283+"AM:!2^s"</f>
        <v>#VALUE!</v>
      </c>
      <c r="GC359" t="e">
        <f>'Technical Master Data'!F283+"AM:!2^t"</f>
        <v>#VALUE!</v>
      </c>
      <c r="GD359" t="e">
        <f>'Technical Master Data'!G283+"AM:!2^u"</f>
        <v>#VALUE!</v>
      </c>
      <c r="GE359" t="e">
        <f>'Technical Master Data'!H283+"AM:!2^v"</f>
        <v>#VALUE!</v>
      </c>
      <c r="GF359" t="e">
        <f>'Technical Master Data'!I283+"AM:!2^w"</f>
        <v>#VALUE!</v>
      </c>
      <c r="GG359" t="e">
        <f>'Technical Master Data'!J283+"AM:!2^x"</f>
        <v>#VALUE!</v>
      </c>
      <c r="GH359" t="e">
        <f>'Technical Master Data'!K283+"AM:!2^y"</f>
        <v>#VALUE!</v>
      </c>
      <c r="GI359" t="e">
        <f>'Technical Master Data'!L283+"AM:!2^z"</f>
        <v>#VALUE!</v>
      </c>
      <c r="GJ359" t="e">
        <f>'Technical Master Data'!M283+"AM:!2^{"</f>
        <v>#VALUE!</v>
      </c>
      <c r="GK359" t="e">
        <f>'Technical Master Data'!N283+"AM:!2^|"</f>
        <v>#VALUE!</v>
      </c>
      <c r="GL359" t="e">
        <f>'Technical Master Data'!O283+"AM:!2^}"</f>
        <v>#VALUE!</v>
      </c>
      <c r="GM359" t="e">
        <f>'Technical Master Data'!P283+"AM:!2^~"</f>
        <v>#VALUE!</v>
      </c>
      <c r="GN359" t="e">
        <f>'Technical Master Data'!Q283+"AM:!2_#"</f>
        <v>#VALUE!</v>
      </c>
      <c r="GO359" t="e">
        <f>'Technical Master Data'!R283+"AM:!2_$"</f>
        <v>#VALUE!</v>
      </c>
      <c r="GP359" t="e">
        <f>'Technical Master Data'!S283+"AM:!2_%"</f>
        <v>#VALUE!</v>
      </c>
      <c r="GQ359" t="e">
        <f>'Technical Master Data'!A284+"AM:!2_&amp;"</f>
        <v>#VALUE!</v>
      </c>
      <c r="GR359" t="e">
        <f>'Technical Master Data'!B284+"AM:!2_'"</f>
        <v>#VALUE!</v>
      </c>
      <c r="GS359" t="e">
        <f>'Technical Master Data'!C284+"AM:!2_("</f>
        <v>#VALUE!</v>
      </c>
      <c r="GT359" t="e">
        <f>'Technical Master Data'!D284+"AM:!2_)"</f>
        <v>#VALUE!</v>
      </c>
      <c r="GU359" t="e">
        <f>'Technical Master Data'!E284+"AM:!2_."</f>
        <v>#VALUE!</v>
      </c>
      <c r="GV359" t="e">
        <f>'Technical Master Data'!F284+"AM:!2_/"</f>
        <v>#VALUE!</v>
      </c>
      <c r="GW359" t="e">
        <f>'Technical Master Data'!G284+"AM:!2_0"</f>
        <v>#VALUE!</v>
      </c>
      <c r="GX359" t="e">
        <f>'Technical Master Data'!H284+"AM:!2_1"</f>
        <v>#VALUE!</v>
      </c>
      <c r="GY359" t="e">
        <f>'Technical Master Data'!I284+"AM:!2_2"</f>
        <v>#VALUE!</v>
      </c>
      <c r="GZ359" t="e">
        <f>'Technical Master Data'!J284+"AM:!2_3"</f>
        <v>#VALUE!</v>
      </c>
      <c r="HA359" t="e">
        <f>'Technical Master Data'!K284+"AM:!2_4"</f>
        <v>#VALUE!</v>
      </c>
      <c r="HB359" t="e">
        <f>'Technical Master Data'!L284+"AM:!2_5"</f>
        <v>#VALUE!</v>
      </c>
      <c r="HC359" t="e">
        <f>'Technical Master Data'!M284+"AM:!2_6"</f>
        <v>#VALUE!</v>
      </c>
      <c r="HD359" t="e">
        <f>'Technical Master Data'!N284+"AM:!2_7"</f>
        <v>#VALUE!</v>
      </c>
      <c r="HE359" t="e">
        <f>'Technical Master Data'!O284+"AM:!2_8"</f>
        <v>#VALUE!</v>
      </c>
      <c r="HF359" t="e">
        <f>'Technical Master Data'!P284+"AM:!2_9"</f>
        <v>#VALUE!</v>
      </c>
      <c r="HG359" t="e">
        <f>'Technical Master Data'!Q284+"AM:!2_:"</f>
        <v>#VALUE!</v>
      </c>
      <c r="HH359" t="e">
        <f>'Technical Master Data'!R284+"AM:!2_;"</f>
        <v>#VALUE!</v>
      </c>
      <c r="HI359" t="e">
        <f>'Technical Master Data'!S284+"AM:!2_&lt;"</f>
        <v>#VALUE!</v>
      </c>
      <c r="HJ359" t="e">
        <f>'Technical Master Data'!A285+"AM:!2_="</f>
        <v>#VALUE!</v>
      </c>
      <c r="HK359" t="e">
        <f>'Technical Master Data'!B285+"AM:!2_&gt;"</f>
        <v>#VALUE!</v>
      </c>
      <c r="HL359" t="e">
        <f>'Technical Master Data'!C285+"AM:!2_?"</f>
        <v>#VALUE!</v>
      </c>
      <c r="HM359" t="e">
        <f>'Technical Master Data'!D285+"AM:!2_@"</f>
        <v>#VALUE!</v>
      </c>
      <c r="HN359" t="e">
        <f>'Technical Master Data'!E285+"AM:!2_A"</f>
        <v>#VALUE!</v>
      </c>
      <c r="HO359" t="e">
        <f>'Technical Master Data'!F285+"AM:!2_B"</f>
        <v>#VALUE!</v>
      </c>
      <c r="HP359" t="e">
        <f>'Technical Master Data'!G285+"AM:!2_C"</f>
        <v>#VALUE!</v>
      </c>
      <c r="HQ359" t="e">
        <f>'Technical Master Data'!H285+"AM:!2_D"</f>
        <v>#VALUE!</v>
      </c>
      <c r="HR359" t="e">
        <f>'Technical Master Data'!I285+"AM:!2_E"</f>
        <v>#VALUE!</v>
      </c>
      <c r="HS359" t="e">
        <f>'Technical Master Data'!J285+"AM:!2_F"</f>
        <v>#VALUE!</v>
      </c>
      <c r="HT359" t="e">
        <f>'Technical Master Data'!K285+"AM:!2_G"</f>
        <v>#VALUE!</v>
      </c>
      <c r="HU359" t="e">
        <f>'Technical Master Data'!L285+"AM:!2_H"</f>
        <v>#VALUE!</v>
      </c>
      <c r="HV359" t="e">
        <f>'Technical Master Data'!M285+"AM:!2_I"</f>
        <v>#VALUE!</v>
      </c>
      <c r="HW359" t="e">
        <f>'Technical Master Data'!N285+"AM:!2_J"</f>
        <v>#VALUE!</v>
      </c>
      <c r="HX359" t="e">
        <f>'Technical Master Data'!O285+"AM:!2_K"</f>
        <v>#VALUE!</v>
      </c>
      <c r="HY359" t="e">
        <f>'Technical Master Data'!P285+"AM:!2_L"</f>
        <v>#VALUE!</v>
      </c>
      <c r="HZ359" t="e">
        <f>'Technical Master Data'!Q285+"AM:!2_M"</f>
        <v>#VALUE!</v>
      </c>
      <c r="IA359" t="e">
        <f>'Technical Master Data'!R285+"AM:!2_N"</f>
        <v>#VALUE!</v>
      </c>
      <c r="IB359" t="e">
        <f>'Technical Master Data'!S285+"AM:!2_O"</f>
        <v>#VALUE!</v>
      </c>
      <c r="IC359" t="e">
        <f>'Technical Master Data'!A286+"AM:!2_P"</f>
        <v>#VALUE!</v>
      </c>
      <c r="ID359" t="e">
        <f>'Technical Master Data'!B286+"AM:!2_Q"</f>
        <v>#VALUE!</v>
      </c>
      <c r="IE359" t="e">
        <f>'Technical Master Data'!C286+"AM:!2_R"</f>
        <v>#VALUE!</v>
      </c>
      <c r="IF359" t="e">
        <f>'Technical Master Data'!D286+"AM:!2_S"</f>
        <v>#VALUE!</v>
      </c>
      <c r="IG359" t="e">
        <f>'Technical Master Data'!E286+"AM:!2_T"</f>
        <v>#VALUE!</v>
      </c>
      <c r="IH359" t="e">
        <f>'Technical Master Data'!F286+"AM:!2_U"</f>
        <v>#VALUE!</v>
      </c>
      <c r="II359" t="e">
        <f>'Technical Master Data'!G286+"AM:!2_V"</f>
        <v>#VALUE!</v>
      </c>
      <c r="IJ359" t="e">
        <f>'Technical Master Data'!H286+"AM:!2_W"</f>
        <v>#VALUE!</v>
      </c>
      <c r="IK359" t="e">
        <f>'Technical Master Data'!I286+"AM:!2_X"</f>
        <v>#VALUE!</v>
      </c>
      <c r="IL359" t="e">
        <f>'Technical Master Data'!J286+"AM:!2_Y"</f>
        <v>#VALUE!</v>
      </c>
      <c r="IM359" t="e">
        <f>'Technical Master Data'!K286+"AM:!2_Z"</f>
        <v>#VALUE!</v>
      </c>
      <c r="IN359" t="e">
        <f>'Technical Master Data'!L286+"AM:!2_["</f>
        <v>#VALUE!</v>
      </c>
      <c r="IO359" t="e">
        <f>'Technical Master Data'!M286+"AM:!2_\"</f>
        <v>#VALUE!</v>
      </c>
      <c r="IP359" t="e">
        <f>'Technical Master Data'!N286+"AM:!2_]"</f>
        <v>#VALUE!</v>
      </c>
      <c r="IQ359" t="e">
        <f>'Technical Master Data'!O286+"AM:!2_^"</f>
        <v>#VALUE!</v>
      </c>
      <c r="IR359" t="e">
        <f>'Technical Master Data'!P286+"AM:!2__"</f>
        <v>#VALUE!</v>
      </c>
      <c r="IS359" t="e">
        <f>'Technical Master Data'!Q286+"AM:!2_`"</f>
        <v>#VALUE!</v>
      </c>
      <c r="IT359" t="e">
        <f>'Technical Master Data'!R286+"AM:!2_a"</f>
        <v>#VALUE!</v>
      </c>
      <c r="IU359" t="e">
        <f>'Technical Master Data'!S286+"AM:!2_b"</f>
        <v>#VALUE!</v>
      </c>
      <c r="IV359" t="e">
        <f>'Technical Master Data'!A287+"AM:!2_c"</f>
        <v>#VALUE!</v>
      </c>
    </row>
    <row r="360" spans="6:256">
      <c r="F360" t="e">
        <f>'Technical Master Data'!B287+"AM:!2_d"</f>
        <v>#VALUE!</v>
      </c>
      <c r="G360" t="e">
        <f>'Technical Master Data'!C287+"AM:!2_e"</f>
        <v>#VALUE!</v>
      </c>
      <c r="H360" t="e">
        <f>'Technical Master Data'!D287+"AM:!2_f"</f>
        <v>#VALUE!</v>
      </c>
      <c r="I360" t="e">
        <f>'Technical Master Data'!E287+"AM:!2_g"</f>
        <v>#VALUE!</v>
      </c>
      <c r="J360" t="e">
        <f>'Technical Master Data'!F287+"AM:!2_h"</f>
        <v>#VALUE!</v>
      </c>
      <c r="K360" t="e">
        <f>'Technical Master Data'!G287+"AM:!2_i"</f>
        <v>#VALUE!</v>
      </c>
      <c r="L360" t="e">
        <f>'Technical Master Data'!H287+"AM:!2_j"</f>
        <v>#VALUE!</v>
      </c>
      <c r="M360" t="e">
        <f>'Technical Master Data'!I287+"AM:!2_k"</f>
        <v>#VALUE!</v>
      </c>
      <c r="N360" t="e">
        <f>'Technical Master Data'!J287+"AM:!2_l"</f>
        <v>#VALUE!</v>
      </c>
      <c r="O360" t="e">
        <f>'Technical Master Data'!K287+"AM:!2_m"</f>
        <v>#VALUE!</v>
      </c>
      <c r="P360" t="e">
        <f>'Technical Master Data'!L287+"AM:!2_n"</f>
        <v>#VALUE!</v>
      </c>
      <c r="Q360" t="e">
        <f>'Technical Master Data'!M287+"AM:!2_o"</f>
        <v>#VALUE!</v>
      </c>
      <c r="R360" t="e">
        <f>'Technical Master Data'!N287+"AM:!2_p"</f>
        <v>#VALUE!</v>
      </c>
      <c r="S360" t="e">
        <f>'Technical Master Data'!O287+"AM:!2_q"</f>
        <v>#VALUE!</v>
      </c>
      <c r="T360" t="e">
        <f>'Technical Master Data'!P287+"AM:!2_r"</f>
        <v>#VALUE!</v>
      </c>
      <c r="U360" t="e">
        <f>'Technical Master Data'!Q287+"AM:!2_s"</f>
        <v>#VALUE!</v>
      </c>
      <c r="V360" t="e">
        <f>'Technical Master Data'!R287+"AM:!2_t"</f>
        <v>#VALUE!</v>
      </c>
      <c r="W360" t="e">
        <f>'Technical Master Data'!S287+"AM:!2_u"</f>
        <v>#VALUE!</v>
      </c>
      <c r="X360" t="e">
        <f>'Technical Master Data'!A288+"AM:!2_v"</f>
        <v>#VALUE!</v>
      </c>
      <c r="Y360" t="e">
        <f>'Technical Master Data'!B288+"AM:!2_w"</f>
        <v>#VALUE!</v>
      </c>
      <c r="Z360" t="e">
        <f>'Technical Master Data'!C288+"AM:!2_x"</f>
        <v>#VALUE!</v>
      </c>
      <c r="AA360" t="e">
        <f>'Technical Master Data'!D288+"AM:!2_y"</f>
        <v>#VALUE!</v>
      </c>
      <c r="AB360" t="e">
        <f>'Technical Master Data'!E288+"AM:!2_z"</f>
        <v>#VALUE!</v>
      </c>
      <c r="AC360" t="e">
        <f>'Technical Master Data'!F288+"AM:!2_{"</f>
        <v>#VALUE!</v>
      </c>
      <c r="AD360" t="e">
        <f>'Technical Master Data'!G288+"AM:!2_|"</f>
        <v>#VALUE!</v>
      </c>
      <c r="AE360" t="e">
        <f>'Technical Master Data'!H288+"AM:!2_}"</f>
        <v>#VALUE!</v>
      </c>
      <c r="AF360" t="e">
        <f>'Technical Master Data'!I288+"AM:!2_~"</f>
        <v>#VALUE!</v>
      </c>
      <c r="AG360" t="e">
        <f>'Technical Master Data'!J288+"AM:!2`#"</f>
        <v>#VALUE!</v>
      </c>
      <c r="AH360" t="e">
        <f>'Technical Master Data'!K288+"AM:!2`$"</f>
        <v>#VALUE!</v>
      </c>
      <c r="AI360" t="e">
        <f>'Technical Master Data'!L288+"AM:!2`%"</f>
        <v>#VALUE!</v>
      </c>
      <c r="AJ360" t="e">
        <f>'Technical Master Data'!M288+"AM:!2`&amp;"</f>
        <v>#VALUE!</v>
      </c>
      <c r="AK360" t="e">
        <f>'Technical Master Data'!N288+"AM:!2`'"</f>
        <v>#VALUE!</v>
      </c>
      <c r="AL360" t="e">
        <f>'Technical Master Data'!O288+"AM:!2`("</f>
        <v>#VALUE!</v>
      </c>
      <c r="AM360" t="e">
        <f>'Technical Master Data'!P288+"AM:!2`)"</f>
        <v>#VALUE!</v>
      </c>
      <c r="AN360" t="e">
        <f>'Technical Master Data'!Q288+"AM:!2`."</f>
        <v>#VALUE!</v>
      </c>
      <c r="AO360" t="e">
        <f>'Technical Master Data'!R288+"AM:!2`/"</f>
        <v>#VALUE!</v>
      </c>
      <c r="AP360" t="e">
        <f>'Technical Master Data'!S288+"AM:!2`0"</f>
        <v>#VALUE!</v>
      </c>
      <c r="AQ360" t="e">
        <f>'Technical Master Data'!A289+"AM:!2`1"</f>
        <v>#VALUE!</v>
      </c>
      <c r="AR360" t="e">
        <f>'Technical Master Data'!B289+"AM:!2`2"</f>
        <v>#VALUE!</v>
      </c>
      <c r="AS360" t="e">
        <f>'Technical Master Data'!C289+"AM:!2`3"</f>
        <v>#VALUE!</v>
      </c>
      <c r="AT360" t="e">
        <f>'Technical Master Data'!D289+"AM:!2`4"</f>
        <v>#VALUE!</v>
      </c>
      <c r="AU360" t="e">
        <f>'Technical Master Data'!E289+"AM:!2`5"</f>
        <v>#VALUE!</v>
      </c>
      <c r="AV360" t="e">
        <f>'Technical Master Data'!F289+"AM:!2`6"</f>
        <v>#VALUE!</v>
      </c>
      <c r="AW360" t="e">
        <f>'Technical Master Data'!G289+"AM:!2`7"</f>
        <v>#VALUE!</v>
      </c>
      <c r="AX360" t="e">
        <f>'Technical Master Data'!H289+"AM:!2`8"</f>
        <v>#VALUE!</v>
      </c>
      <c r="AY360" t="e">
        <f>'Technical Master Data'!I289+"AM:!2`9"</f>
        <v>#VALUE!</v>
      </c>
      <c r="AZ360" t="e">
        <f>'Technical Master Data'!J289+"AM:!2`:"</f>
        <v>#VALUE!</v>
      </c>
      <c r="BA360" t="e">
        <f>'Technical Master Data'!K289+"AM:!2`;"</f>
        <v>#VALUE!</v>
      </c>
      <c r="BB360" t="e">
        <f>'Technical Master Data'!L289+"AM:!2`&lt;"</f>
        <v>#VALUE!</v>
      </c>
      <c r="BC360" t="e">
        <f>'Technical Master Data'!M289+"AM:!2`="</f>
        <v>#VALUE!</v>
      </c>
      <c r="BD360" t="e">
        <f>'Technical Master Data'!N289+"AM:!2`&gt;"</f>
        <v>#VALUE!</v>
      </c>
      <c r="BE360" t="e">
        <f>'Technical Master Data'!O289+"AM:!2`?"</f>
        <v>#VALUE!</v>
      </c>
      <c r="BF360" t="e">
        <f>'Technical Master Data'!P289+"AM:!2`@"</f>
        <v>#VALUE!</v>
      </c>
      <c r="BG360" t="e">
        <f>'Technical Master Data'!Q289+"AM:!2`A"</f>
        <v>#VALUE!</v>
      </c>
      <c r="BH360" t="e">
        <f>'Technical Master Data'!R289+"AM:!2`B"</f>
        <v>#VALUE!</v>
      </c>
      <c r="BI360" t="e">
        <f>'Technical Master Data'!S289+"AM:!2`C"</f>
        <v>#VALUE!</v>
      </c>
      <c r="BJ360" t="e">
        <f>'Technical Master Data'!A290+"AM:!2`D"</f>
        <v>#VALUE!</v>
      </c>
      <c r="BK360" t="e">
        <f>'Technical Master Data'!B290+"AM:!2`E"</f>
        <v>#VALUE!</v>
      </c>
      <c r="BL360" t="e">
        <f>'Technical Master Data'!C290+"AM:!2`F"</f>
        <v>#VALUE!</v>
      </c>
      <c r="BM360" t="e">
        <f>'Technical Master Data'!D290+"AM:!2`G"</f>
        <v>#VALUE!</v>
      </c>
      <c r="BN360" t="e">
        <f>'Technical Master Data'!E290+"AM:!2`H"</f>
        <v>#VALUE!</v>
      </c>
      <c r="BO360" t="e">
        <f>'Technical Master Data'!F290+"AM:!2`I"</f>
        <v>#VALUE!</v>
      </c>
      <c r="BP360" t="e">
        <f>'Technical Master Data'!G290+"AM:!2`J"</f>
        <v>#VALUE!</v>
      </c>
      <c r="BQ360" t="e">
        <f>'Technical Master Data'!H290+"AM:!2`K"</f>
        <v>#VALUE!</v>
      </c>
      <c r="BR360" t="e">
        <f>'Technical Master Data'!I290+"AM:!2`L"</f>
        <v>#VALUE!</v>
      </c>
      <c r="BS360" t="e">
        <f>'Technical Master Data'!J290+"AM:!2`M"</f>
        <v>#VALUE!</v>
      </c>
      <c r="BT360" t="e">
        <f>'Technical Master Data'!K290+"AM:!2`N"</f>
        <v>#VALUE!</v>
      </c>
      <c r="BU360" t="e">
        <f>'Technical Master Data'!L290+"AM:!2`O"</f>
        <v>#VALUE!</v>
      </c>
      <c r="BV360" t="e">
        <f>'Technical Master Data'!M290+"AM:!2`P"</f>
        <v>#VALUE!</v>
      </c>
      <c r="BW360" t="e">
        <f>'Technical Master Data'!N290+"AM:!2`Q"</f>
        <v>#VALUE!</v>
      </c>
      <c r="BX360" t="e">
        <f>'Technical Master Data'!O290+"AM:!2`R"</f>
        <v>#VALUE!</v>
      </c>
      <c r="BY360" t="e">
        <f>'Technical Master Data'!P290+"AM:!2`S"</f>
        <v>#VALUE!</v>
      </c>
      <c r="BZ360" t="e">
        <f>'Technical Master Data'!Q290+"AM:!2`T"</f>
        <v>#VALUE!</v>
      </c>
      <c r="CA360" t="e">
        <f>'Technical Master Data'!R290+"AM:!2`U"</f>
        <v>#VALUE!</v>
      </c>
      <c r="CB360" t="e">
        <f>'Technical Master Data'!S290+"AM:!2`V"</f>
        <v>#VALUE!</v>
      </c>
      <c r="CC360" t="e">
        <f>'Technical Master Data'!A291+"AM:!2`W"</f>
        <v>#VALUE!</v>
      </c>
      <c r="CD360" t="e">
        <f>'Technical Master Data'!B291+"AM:!2`X"</f>
        <v>#VALUE!</v>
      </c>
      <c r="CE360" t="e">
        <f>'Technical Master Data'!C291+"AM:!2`Y"</f>
        <v>#VALUE!</v>
      </c>
      <c r="CF360" t="e">
        <f>'Technical Master Data'!D291+"AM:!2`Z"</f>
        <v>#VALUE!</v>
      </c>
      <c r="CG360" t="e">
        <f>'Technical Master Data'!E291+"AM:!2`["</f>
        <v>#VALUE!</v>
      </c>
      <c r="CH360" t="e">
        <f>'Technical Master Data'!F291+"AM:!2`\"</f>
        <v>#VALUE!</v>
      </c>
      <c r="CI360" t="e">
        <f>'Technical Master Data'!G291+"AM:!2`]"</f>
        <v>#VALUE!</v>
      </c>
      <c r="CJ360" t="e">
        <f>'Technical Master Data'!H291+"AM:!2`^"</f>
        <v>#VALUE!</v>
      </c>
      <c r="CK360" t="e">
        <f>'Technical Master Data'!I291+"AM:!2`_"</f>
        <v>#VALUE!</v>
      </c>
      <c r="CL360" t="e">
        <f>'Technical Master Data'!J291+"AM:!2``"</f>
        <v>#VALUE!</v>
      </c>
      <c r="CM360" t="e">
        <f>'Technical Master Data'!K291+"AM:!2`a"</f>
        <v>#VALUE!</v>
      </c>
      <c r="CN360" t="e">
        <f>'Technical Master Data'!L291+"AM:!2`b"</f>
        <v>#VALUE!</v>
      </c>
      <c r="CO360" t="e">
        <f>'Technical Master Data'!M291+"AM:!2`c"</f>
        <v>#VALUE!</v>
      </c>
      <c r="CP360" t="e">
        <f>'Technical Master Data'!N291+"AM:!2`d"</f>
        <v>#VALUE!</v>
      </c>
      <c r="CQ360" t="e">
        <f>'Technical Master Data'!O291+"AM:!2`e"</f>
        <v>#VALUE!</v>
      </c>
      <c r="CR360" t="e">
        <f>'Technical Master Data'!P291+"AM:!2`f"</f>
        <v>#VALUE!</v>
      </c>
      <c r="CS360" t="e">
        <f>'Technical Master Data'!Q291+"AM:!2`g"</f>
        <v>#VALUE!</v>
      </c>
      <c r="CT360" t="e">
        <f>'Technical Master Data'!R291+"AM:!2`h"</f>
        <v>#VALUE!</v>
      </c>
      <c r="CU360" t="e">
        <f>'Technical Master Data'!S291+"AM:!2`i"</f>
        <v>#VALUE!</v>
      </c>
      <c r="CV360" t="e">
        <f>'Technical Master Data'!A292+"AM:!2`j"</f>
        <v>#VALUE!</v>
      </c>
      <c r="CW360" t="e">
        <f>'Technical Master Data'!B292+"AM:!2`k"</f>
        <v>#VALUE!</v>
      </c>
      <c r="CX360" t="e">
        <f>'Technical Master Data'!C292+"AM:!2`l"</f>
        <v>#VALUE!</v>
      </c>
      <c r="CY360" t="e">
        <f>'Technical Master Data'!D292+"AM:!2`m"</f>
        <v>#VALUE!</v>
      </c>
      <c r="CZ360" t="e">
        <f>'Technical Master Data'!E292+"AM:!2`n"</f>
        <v>#VALUE!</v>
      </c>
      <c r="DA360" t="e">
        <f>'Technical Master Data'!F292+"AM:!2`o"</f>
        <v>#VALUE!</v>
      </c>
      <c r="DB360" t="e">
        <f>'Technical Master Data'!G292+"AM:!2`p"</f>
        <v>#VALUE!</v>
      </c>
      <c r="DC360" t="e">
        <f>'Technical Master Data'!H292+"AM:!2`q"</f>
        <v>#VALUE!</v>
      </c>
      <c r="DD360" t="e">
        <f>'Technical Master Data'!I292+"AM:!2`r"</f>
        <v>#VALUE!</v>
      </c>
      <c r="DE360" t="e">
        <f>'Technical Master Data'!J292+"AM:!2`s"</f>
        <v>#VALUE!</v>
      </c>
      <c r="DF360" t="e">
        <f>'Technical Master Data'!K292+"AM:!2`t"</f>
        <v>#VALUE!</v>
      </c>
      <c r="DG360" t="e">
        <f>'Technical Master Data'!L292+"AM:!2`u"</f>
        <v>#VALUE!</v>
      </c>
      <c r="DH360" t="e">
        <f>'Technical Master Data'!M292+"AM:!2`v"</f>
        <v>#VALUE!</v>
      </c>
      <c r="DI360" t="e">
        <f>'Technical Master Data'!N292+"AM:!2`w"</f>
        <v>#VALUE!</v>
      </c>
      <c r="DJ360" t="e">
        <f>'Technical Master Data'!O292+"AM:!2`x"</f>
        <v>#VALUE!</v>
      </c>
      <c r="DK360" t="e">
        <f>'Technical Master Data'!P292+"AM:!2`y"</f>
        <v>#VALUE!</v>
      </c>
      <c r="DL360" t="e">
        <f>'Technical Master Data'!Q292+"AM:!2`z"</f>
        <v>#VALUE!</v>
      </c>
      <c r="DM360" t="e">
        <f>'Technical Master Data'!R292+"AM:!2`{"</f>
        <v>#VALUE!</v>
      </c>
      <c r="DN360" t="e">
        <f>'Technical Master Data'!S292+"AM:!2`|"</f>
        <v>#VALUE!</v>
      </c>
      <c r="DO360" t="e">
        <f>'Technical Master Data'!A293+"AM:!2`}"</f>
        <v>#VALUE!</v>
      </c>
      <c r="DP360" t="e">
        <f>'Technical Master Data'!B293+"AM:!2`~"</f>
        <v>#VALUE!</v>
      </c>
      <c r="DQ360" t="e">
        <f>'Technical Master Data'!C293+"AM:!2a#"</f>
        <v>#VALUE!</v>
      </c>
      <c r="DR360" t="e">
        <f>'Technical Master Data'!D293+"AM:!2a$"</f>
        <v>#VALUE!</v>
      </c>
      <c r="DS360" t="e">
        <f>'Technical Master Data'!E293+"AM:!2a%"</f>
        <v>#VALUE!</v>
      </c>
      <c r="DT360" t="e">
        <f>'Technical Master Data'!F293+"AM:!2a&amp;"</f>
        <v>#VALUE!</v>
      </c>
      <c r="DU360" t="e">
        <f>'Technical Master Data'!G293+"AM:!2a'"</f>
        <v>#VALUE!</v>
      </c>
      <c r="DV360" t="e">
        <f>'Technical Master Data'!H293+"AM:!2a("</f>
        <v>#VALUE!</v>
      </c>
      <c r="DW360" t="e">
        <f>'Technical Master Data'!I293+"AM:!2a)"</f>
        <v>#VALUE!</v>
      </c>
      <c r="DX360" t="e">
        <f>'Technical Master Data'!J293+"AM:!2a."</f>
        <v>#VALUE!</v>
      </c>
      <c r="DY360" t="e">
        <f>'Technical Master Data'!K293+"AM:!2a/"</f>
        <v>#VALUE!</v>
      </c>
      <c r="DZ360" t="e">
        <f>'Technical Master Data'!L293+"AM:!2a0"</f>
        <v>#VALUE!</v>
      </c>
      <c r="EA360" t="e">
        <f>'Technical Master Data'!M293+"AM:!2a1"</f>
        <v>#VALUE!</v>
      </c>
      <c r="EB360" t="e">
        <f>'Technical Master Data'!N293+"AM:!2a2"</f>
        <v>#VALUE!</v>
      </c>
      <c r="EC360" t="e">
        <f>'Technical Master Data'!O293+"AM:!2a3"</f>
        <v>#VALUE!</v>
      </c>
      <c r="ED360" t="e">
        <f>'Technical Master Data'!P293+"AM:!2a4"</f>
        <v>#VALUE!</v>
      </c>
      <c r="EE360" t="e">
        <f>'Technical Master Data'!Q293+"AM:!2a5"</f>
        <v>#VALUE!</v>
      </c>
      <c r="EF360" t="e">
        <f>'Technical Master Data'!R293+"AM:!2a6"</f>
        <v>#VALUE!</v>
      </c>
      <c r="EG360" t="e">
        <f>'Technical Master Data'!S293+"AM:!2a7"</f>
        <v>#VALUE!</v>
      </c>
      <c r="EH360" t="e">
        <f>'Technical Master Data'!A294+"AM:!2a8"</f>
        <v>#VALUE!</v>
      </c>
      <c r="EI360" t="e">
        <f>'Technical Master Data'!B294+"AM:!2a9"</f>
        <v>#VALUE!</v>
      </c>
      <c r="EJ360" t="e">
        <f>'Technical Master Data'!C294+"AM:!2a:"</f>
        <v>#VALUE!</v>
      </c>
      <c r="EK360" t="e">
        <f>'Technical Master Data'!D294+"AM:!2a;"</f>
        <v>#VALUE!</v>
      </c>
      <c r="EL360" t="e">
        <f>'Technical Master Data'!E294+"AM:!2a&lt;"</f>
        <v>#VALUE!</v>
      </c>
      <c r="EM360" t="e">
        <f>'Technical Master Data'!F294+"AM:!2a="</f>
        <v>#VALUE!</v>
      </c>
      <c r="EN360" t="e">
        <f>'Technical Master Data'!G294+"AM:!2a&gt;"</f>
        <v>#VALUE!</v>
      </c>
      <c r="EO360" t="e">
        <f>'Technical Master Data'!H294+"AM:!2a?"</f>
        <v>#VALUE!</v>
      </c>
      <c r="EP360" t="e">
        <f>'Technical Master Data'!I294+"AM:!2a@"</f>
        <v>#VALUE!</v>
      </c>
      <c r="EQ360" t="e">
        <f>'Technical Master Data'!J294+"AM:!2aA"</f>
        <v>#VALUE!</v>
      </c>
      <c r="ER360" t="e">
        <f>'Technical Master Data'!K294+"AM:!2aB"</f>
        <v>#VALUE!</v>
      </c>
      <c r="ES360" t="e">
        <f>'Technical Master Data'!L294+"AM:!2aC"</f>
        <v>#VALUE!</v>
      </c>
      <c r="ET360" t="e">
        <f>'Technical Master Data'!M294+"AM:!2aD"</f>
        <v>#VALUE!</v>
      </c>
      <c r="EU360" t="e">
        <f>'Technical Master Data'!N294+"AM:!2aE"</f>
        <v>#VALUE!</v>
      </c>
      <c r="EV360" t="e">
        <f>'Technical Master Data'!O294+"AM:!2aF"</f>
        <v>#VALUE!</v>
      </c>
      <c r="EW360" t="e">
        <f>'Technical Master Data'!P294+"AM:!2aG"</f>
        <v>#VALUE!</v>
      </c>
      <c r="EX360" t="e">
        <f>'Technical Master Data'!Q294+"AM:!2aH"</f>
        <v>#VALUE!</v>
      </c>
      <c r="EY360" t="e">
        <f>'Technical Master Data'!R294+"AM:!2aI"</f>
        <v>#VALUE!</v>
      </c>
      <c r="EZ360" t="e">
        <f>'Technical Master Data'!S294+"AM:!2aJ"</f>
        <v>#VALUE!</v>
      </c>
      <c r="FA360" t="e">
        <f>'Technical Master Data'!A295+"AM:!2aK"</f>
        <v>#VALUE!</v>
      </c>
      <c r="FB360" t="e">
        <f>'Technical Master Data'!B295+"AM:!2aL"</f>
        <v>#VALUE!</v>
      </c>
      <c r="FC360" t="e">
        <f>'Technical Master Data'!C295+"AM:!2aM"</f>
        <v>#VALUE!</v>
      </c>
      <c r="FD360" t="e">
        <f>'Technical Master Data'!D295+"AM:!2aN"</f>
        <v>#VALUE!</v>
      </c>
      <c r="FE360" t="e">
        <f>'Technical Master Data'!E295+"AM:!2aO"</f>
        <v>#VALUE!</v>
      </c>
      <c r="FF360" t="e">
        <f>'Technical Master Data'!F295+"AM:!2aP"</f>
        <v>#VALUE!</v>
      </c>
      <c r="FG360" t="e">
        <f>'Technical Master Data'!G295+"AM:!2aQ"</f>
        <v>#VALUE!</v>
      </c>
      <c r="FH360" t="e">
        <f>'Technical Master Data'!H295+"AM:!2aR"</f>
        <v>#VALUE!</v>
      </c>
      <c r="FI360" t="e">
        <f>'Technical Master Data'!I295+"AM:!2aS"</f>
        <v>#VALUE!</v>
      </c>
      <c r="FJ360" t="e">
        <f>'Technical Master Data'!J295+"AM:!2aT"</f>
        <v>#VALUE!</v>
      </c>
      <c r="FK360" t="e">
        <f>'Technical Master Data'!K295+"AM:!2aU"</f>
        <v>#VALUE!</v>
      </c>
      <c r="FL360" t="e">
        <f>'Technical Master Data'!L295+"AM:!2aV"</f>
        <v>#VALUE!</v>
      </c>
      <c r="FM360" t="e">
        <f>'Technical Master Data'!M295+"AM:!2aW"</f>
        <v>#VALUE!</v>
      </c>
      <c r="FN360" t="e">
        <f>'Technical Master Data'!N295+"AM:!2aX"</f>
        <v>#VALUE!</v>
      </c>
      <c r="FO360" t="e">
        <f>'Technical Master Data'!O295+"AM:!2aY"</f>
        <v>#VALUE!</v>
      </c>
      <c r="FP360" t="e">
        <f>'Technical Master Data'!P295+"AM:!2aZ"</f>
        <v>#VALUE!</v>
      </c>
      <c r="FQ360" t="e">
        <f>'Technical Master Data'!Q295+"AM:!2a["</f>
        <v>#VALUE!</v>
      </c>
      <c r="FR360" t="e">
        <f>'Technical Master Data'!R295+"AM:!2a\"</f>
        <v>#VALUE!</v>
      </c>
      <c r="FS360" t="e">
        <f>'Technical Master Data'!S295+"AM:!2a]"</f>
        <v>#VALUE!</v>
      </c>
      <c r="FT360" t="e">
        <f>'Technical Master Data'!A296+"AM:!2a^"</f>
        <v>#VALUE!</v>
      </c>
      <c r="FU360" t="e">
        <f>'Technical Master Data'!B296+"AM:!2a_"</f>
        <v>#VALUE!</v>
      </c>
      <c r="FV360" t="e">
        <f>'Technical Master Data'!C296+"AM:!2a`"</f>
        <v>#VALUE!</v>
      </c>
      <c r="FW360" t="e">
        <f>'Technical Master Data'!D296+"AM:!2aa"</f>
        <v>#VALUE!</v>
      </c>
      <c r="FX360" t="e">
        <f>'Technical Master Data'!E296+"AM:!2ab"</f>
        <v>#VALUE!</v>
      </c>
      <c r="FY360" t="e">
        <f>'Technical Master Data'!F296+"AM:!2ac"</f>
        <v>#VALUE!</v>
      </c>
      <c r="FZ360" t="e">
        <f>'Technical Master Data'!G296+"AM:!2ad"</f>
        <v>#VALUE!</v>
      </c>
      <c r="GA360" t="e">
        <f>'Technical Master Data'!H296+"AM:!2ae"</f>
        <v>#VALUE!</v>
      </c>
      <c r="GB360" t="e">
        <f>'Technical Master Data'!I296+"AM:!2af"</f>
        <v>#VALUE!</v>
      </c>
      <c r="GC360" t="e">
        <f>'Technical Master Data'!J296+"AM:!2ag"</f>
        <v>#VALUE!</v>
      </c>
      <c r="GD360" t="e">
        <f>'Technical Master Data'!K296+"AM:!2ah"</f>
        <v>#VALUE!</v>
      </c>
      <c r="GE360" t="e">
        <f>'Technical Master Data'!L296+"AM:!2ai"</f>
        <v>#VALUE!</v>
      </c>
      <c r="GF360" t="e">
        <f>'Technical Master Data'!M296+"AM:!2aj"</f>
        <v>#VALUE!</v>
      </c>
      <c r="GG360" t="e">
        <f>'Technical Master Data'!N296+"AM:!2ak"</f>
        <v>#VALUE!</v>
      </c>
      <c r="GH360" t="e">
        <f>'Technical Master Data'!O296+"AM:!2al"</f>
        <v>#VALUE!</v>
      </c>
      <c r="GI360" t="e">
        <f>'Technical Master Data'!P296+"AM:!2am"</f>
        <v>#VALUE!</v>
      </c>
      <c r="GJ360" t="e">
        <f>'Technical Master Data'!Q296+"AM:!2an"</f>
        <v>#VALUE!</v>
      </c>
      <c r="GK360" t="e">
        <f>'Technical Master Data'!R296+"AM:!2ao"</f>
        <v>#VALUE!</v>
      </c>
      <c r="GL360" t="e">
        <f>'Technical Master Data'!S296+"AM:!2ap"</f>
        <v>#VALUE!</v>
      </c>
      <c r="GM360" t="e">
        <f>'Technical Master Data'!A297+"AM:!2aq"</f>
        <v>#VALUE!</v>
      </c>
      <c r="GN360" t="e">
        <f>'Technical Master Data'!B297+"AM:!2ar"</f>
        <v>#VALUE!</v>
      </c>
      <c r="GO360" t="e">
        <f>'Technical Master Data'!C297+"AM:!2as"</f>
        <v>#VALUE!</v>
      </c>
      <c r="GP360" t="e">
        <f>'Technical Master Data'!D297+"AM:!2at"</f>
        <v>#VALUE!</v>
      </c>
      <c r="GQ360" t="e">
        <f>'Technical Master Data'!E297+"AM:!2au"</f>
        <v>#VALUE!</v>
      </c>
      <c r="GR360" t="e">
        <f>'Technical Master Data'!F297+"AM:!2av"</f>
        <v>#VALUE!</v>
      </c>
      <c r="GS360" t="e">
        <f>'Technical Master Data'!G297+"AM:!2aw"</f>
        <v>#VALUE!</v>
      </c>
      <c r="GT360" t="e">
        <f>'Technical Master Data'!H297+"AM:!2ax"</f>
        <v>#VALUE!</v>
      </c>
      <c r="GU360" t="e">
        <f>'Technical Master Data'!I297+"AM:!2ay"</f>
        <v>#VALUE!</v>
      </c>
      <c r="GV360" t="e">
        <f>'Technical Master Data'!J297+"AM:!2az"</f>
        <v>#VALUE!</v>
      </c>
      <c r="GW360" t="e">
        <f>'Technical Master Data'!K297+"AM:!2a{"</f>
        <v>#VALUE!</v>
      </c>
      <c r="GX360" t="e">
        <f>'Technical Master Data'!L297+"AM:!2a|"</f>
        <v>#VALUE!</v>
      </c>
      <c r="GY360" t="e">
        <f>'Technical Master Data'!M297+"AM:!2a}"</f>
        <v>#VALUE!</v>
      </c>
      <c r="GZ360" t="e">
        <f>'Technical Master Data'!N297+"AM:!2a~"</f>
        <v>#VALUE!</v>
      </c>
      <c r="HA360" t="e">
        <f>'Technical Master Data'!O297+"AM:!2b#"</f>
        <v>#VALUE!</v>
      </c>
      <c r="HB360" t="e">
        <f>'Technical Master Data'!P297+"AM:!2b$"</f>
        <v>#VALUE!</v>
      </c>
      <c r="HC360" t="e">
        <f>'Technical Master Data'!Q297+"AM:!2b%"</f>
        <v>#VALUE!</v>
      </c>
      <c r="HD360" t="e">
        <f>'Technical Master Data'!R297+"AM:!2b&amp;"</f>
        <v>#VALUE!</v>
      </c>
      <c r="HE360" t="e">
        <f>'Technical Master Data'!S297+"AM:!2b'"</f>
        <v>#VALUE!</v>
      </c>
      <c r="HF360" t="e">
        <f>'Technical Master Data'!A298+"AM:!2b("</f>
        <v>#VALUE!</v>
      </c>
      <c r="HG360" t="e">
        <f>'Technical Master Data'!B298+"AM:!2b)"</f>
        <v>#VALUE!</v>
      </c>
      <c r="HH360" t="e">
        <f>'Technical Master Data'!C298+"AM:!2b."</f>
        <v>#VALUE!</v>
      </c>
      <c r="HI360" t="e">
        <f>'Technical Master Data'!D298+"AM:!2b/"</f>
        <v>#VALUE!</v>
      </c>
      <c r="HJ360" t="e">
        <f>'Technical Master Data'!E298+"AM:!2b0"</f>
        <v>#VALUE!</v>
      </c>
      <c r="HK360" t="e">
        <f>'Technical Master Data'!F298+"AM:!2b1"</f>
        <v>#VALUE!</v>
      </c>
      <c r="HL360" t="e">
        <f>'Technical Master Data'!G298+"AM:!2b2"</f>
        <v>#VALUE!</v>
      </c>
      <c r="HM360" t="e">
        <f>'Technical Master Data'!H298+"AM:!2b3"</f>
        <v>#VALUE!</v>
      </c>
      <c r="HN360" t="e">
        <f>'Technical Master Data'!I298+"AM:!2b4"</f>
        <v>#VALUE!</v>
      </c>
      <c r="HO360" t="e">
        <f>'Technical Master Data'!J298+"AM:!2b5"</f>
        <v>#VALUE!</v>
      </c>
      <c r="HP360" t="e">
        <f>'Technical Master Data'!K298+"AM:!2b6"</f>
        <v>#VALUE!</v>
      </c>
      <c r="HQ360" t="e">
        <f>'Technical Master Data'!L298+"AM:!2b7"</f>
        <v>#VALUE!</v>
      </c>
      <c r="HR360" t="e">
        <f>'Technical Master Data'!M298+"AM:!2b8"</f>
        <v>#VALUE!</v>
      </c>
      <c r="HS360" t="e">
        <f>'Technical Master Data'!N298+"AM:!2b9"</f>
        <v>#VALUE!</v>
      </c>
      <c r="HT360" t="e">
        <f>'Technical Master Data'!O298+"AM:!2b:"</f>
        <v>#VALUE!</v>
      </c>
      <c r="HU360" t="e">
        <f>'Technical Master Data'!P298+"AM:!2b;"</f>
        <v>#VALUE!</v>
      </c>
      <c r="HV360" t="e">
        <f>'Technical Master Data'!Q298+"AM:!2b&lt;"</f>
        <v>#VALUE!</v>
      </c>
      <c r="HW360" t="e">
        <f>'Technical Master Data'!R298+"AM:!2b="</f>
        <v>#VALUE!</v>
      </c>
      <c r="HX360" t="e">
        <f>'Technical Master Data'!S298+"AM:!2b&gt;"</f>
        <v>#VALUE!</v>
      </c>
      <c r="HY360" t="e">
        <f>'Technical Master Data'!A299+"AM:!2b?"</f>
        <v>#VALUE!</v>
      </c>
      <c r="HZ360" t="e">
        <f>'Technical Master Data'!B299+"AM:!2b@"</f>
        <v>#VALUE!</v>
      </c>
      <c r="IA360" t="e">
        <f>'Technical Master Data'!C299+"AM:!2bA"</f>
        <v>#VALUE!</v>
      </c>
      <c r="IB360" t="e">
        <f>'Technical Master Data'!D299+"AM:!2bB"</f>
        <v>#VALUE!</v>
      </c>
      <c r="IC360" t="e">
        <f>'Technical Master Data'!E299+"AM:!2bC"</f>
        <v>#VALUE!</v>
      </c>
      <c r="ID360" t="e">
        <f>'Technical Master Data'!F299+"AM:!2bD"</f>
        <v>#VALUE!</v>
      </c>
      <c r="IE360" t="e">
        <f>'Technical Master Data'!G299+"AM:!2bE"</f>
        <v>#VALUE!</v>
      </c>
      <c r="IF360" t="e">
        <f>'Technical Master Data'!H299+"AM:!2bF"</f>
        <v>#VALUE!</v>
      </c>
      <c r="IG360" t="e">
        <f>'Technical Master Data'!I299+"AM:!2bG"</f>
        <v>#VALUE!</v>
      </c>
      <c r="IH360" t="e">
        <f>'Technical Master Data'!J299+"AM:!2bH"</f>
        <v>#VALUE!</v>
      </c>
      <c r="II360" t="e">
        <f>'Technical Master Data'!K299+"AM:!2bI"</f>
        <v>#VALUE!</v>
      </c>
      <c r="IJ360" t="e">
        <f>'Technical Master Data'!L299+"AM:!2bJ"</f>
        <v>#VALUE!</v>
      </c>
      <c r="IK360" t="e">
        <f>'Technical Master Data'!M299+"AM:!2bK"</f>
        <v>#VALUE!</v>
      </c>
      <c r="IL360" t="e">
        <f>'Technical Master Data'!N299+"AM:!2bL"</f>
        <v>#VALUE!</v>
      </c>
      <c r="IM360" t="e">
        <f>'Technical Master Data'!O299+"AM:!2bM"</f>
        <v>#VALUE!</v>
      </c>
      <c r="IN360" t="e">
        <f>'Technical Master Data'!P299+"AM:!2bN"</f>
        <v>#VALUE!</v>
      </c>
      <c r="IO360" t="e">
        <f>'Technical Master Data'!Q299+"AM:!2bO"</f>
        <v>#VALUE!</v>
      </c>
      <c r="IP360" t="e">
        <f>'Technical Master Data'!R299+"AM:!2bP"</f>
        <v>#VALUE!</v>
      </c>
      <c r="IQ360" t="e">
        <f>'Technical Master Data'!S299+"AM:!2bQ"</f>
        <v>#VALUE!</v>
      </c>
      <c r="IR360" t="e">
        <f>'Technical Master Data'!A300+"AM:!2bR"</f>
        <v>#VALUE!</v>
      </c>
      <c r="IS360" t="e">
        <f>'Technical Master Data'!B300+"AM:!2bS"</f>
        <v>#VALUE!</v>
      </c>
      <c r="IT360" t="e">
        <f>'Technical Master Data'!C300+"AM:!2bT"</f>
        <v>#VALUE!</v>
      </c>
      <c r="IU360" t="e">
        <f>'Technical Master Data'!D300+"AM:!2bU"</f>
        <v>#VALUE!</v>
      </c>
      <c r="IV360" t="e">
        <f>'Technical Master Data'!E300+"AM:!2bV"</f>
        <v>#VALUE!</v>
      </c>
    </row>
    <row r="361" spans="6:256">
      <c r="F361" t="e">
        <f>'Technical Master Data'!F300+"AM:!2bW"</f>
        <v>#VALUE!</v>
      </c>
      <c r="G361" t="e">
        <f>'Technical Master Data'!G300+"AM:!2bX"</f>
        <v>#VALUE!</v>
      </c>
      <c r="H361" t="e">
        <f>'Technical Master Data'!H300+"AM:!2bY"</f>
        <v>#VALUE!</v>
      </c>
      <c r="I361" t="e">
        <f>'Technical Master Data'!I300+"AM:!2bZ"</f>
        <v>#VALUE!</v>
      </c>
      <c r="J361" t="e">
        <f>'Technical Master Data'!J300+"AM:!2b["</f>
        <v>#VALUE!</v>
      </c>
      <c r="K361" t="e">
        <f>'Technical Master Data'!K300+"AM:!2b\"</f>
        <v>#VALUE!</v>
      </c>
      <c r="L361" t="e">
        <f>'Technical Master Data'!L300+"AM:!2b]"</f>
        <v>#VALUE!</v>
      </c>
      <c r="M361" t="e">
        <f>'Technical Master Data'!M300+"AM:!2b^"</f>
        <v>#VALUE!</v>
      </c>
      <c r="N361" t="e">
        <f>'Technical Master Data'!N300+"AM:!2b_"</f>
        <v>#VALUE!</v>
      </c>
      <c r="O361" t="e">
        <f>'Technical Master Data'!O300+"AM:!2b`"</f>
        <v>#VALUE!</v>
      </c>
      <c r="P361" t="e">
        <f>'Technical Master Data'!P300+"AM:!2ba"</f>
        <v>#VALUE!</v>
      </c>
      <c r="Q361" t="e">
        <f>'Technical Master Data'!Q300+"AM:!2bb"</f>
        <v>#VALUE!</v>
      </c>
      <c r="R361" t="e">
        <f>'Technical Master Data'!R300+"AM:!2bc"</f>
        <v>#VALUE!</v>
      </c>
      <c r="S361" t="e">
        <f>'Technical Master Data'!S300+"AM:!2bd"</f>
        <v>#VALUE!</v>
      </c>
      <c r="T361" t="e">
        <f>'Technical Master Data'!A301+"AM:!2be"</f>
        <v>#VALUE!</v>
      </c>
      <c r="U361" t="e">
        <f>'Technical Master Data'!B301+"AM:!2bf"</f>
        <v>#VALUE!</v>
      </c>
      <c r="V361" t="e">
        <f>'Technical Master Data'!C301+"AM:!2bg"</f>
        <v>#VALUE!</v>
      </c>
      <c r="W361" t="e">
        <f>'Technical Master Data'!D301+"AM:!2bh"</f>
        <v>#VALUE!</v>
      </c>
      <c r="X361" t="e">
        <f>'Technical Master Data'!E301+"AM:!2bi"</f>
        <v>#VALUE!</v>
      </c>
      <c r="Y361" t="e">
        <f>'Technical Master Data'!F301+"AM:!2bj"</f>
        <v>#VALUE!</v>
      </c>
      <c r="Z361" t="e">
        <f>'Technical Master Data'!G301+"AM:!2bk"</f>
        <v>#VALUE!</v>
      </c>
      <c r="AA361" t="e">
        <f>'Technical Master Data'!H301+"AM:!2bl"</f>
        <v>#VALUE!</v>
      </c>
      <c r="AB361" t="e">
        <f>'Technical Master Data'!I301+"AM:!2bm"</f>
        <v>#VALUE!</v>
      </c>
      <c r="AC361" t="e">
        <f>'Technical Master Data'!J301+"AM:!2bn"</f>
        <v>#VALUE!</v>
      </c>
      <c r="AD361" t="e">
        <f>'Technical Master Data'!K301+"AM:!2bo"</f>
        <v>#VALUE!</v>
      </c>
      <c r="AE361" t="e">
        <f>'Technical Master Data'!L301+"AM:!2bp"</f>
        <v>#VALUE!</v>
      </c>
      <c r="AF361" t="e">
        <f>'Technical Master Data'!M301+"AM:!2bq"</f>
        <v>#VALUE!</v>
      </c>
      <c r="AG361" t="e">
        <f>'Technical Master Data'!N301+"AM:!2br"</f>
        <v>#VALUE!</v>
      </c>
      <c r="AH361" t="e">
        <f>'Technical Master Data'!O301+"AM:!2bs"</f>
        <v>#VALUE!</v>
      </c>
      <c r="AI361" t="e">
        <f>'Technical Master Data'!P301+"AM:!2bt"</f>
        <v>#VALUE!</v>
      </c>
      <c r="AJ361" t="e">
        <f>'Technical Master Data'!Q301+"AM:!2bu"</f>
        <v>#VALUE!</v>
      </c>
      <c r="AK361" t="e">
        <f>'Technical Master Data'!R301+"AM:!2bv"</f>
        <v>#VALUE!</v>
      </c>
      <c r="AL361" t="e">
        <f>'Technical Master Data'!S301+"AM:!2bw"</f>
        <v>#VALUE!</v>
      </c>
      <c r="AM361" t="e">
        <f>'Technical Master Data'!A302+"AM:!2bx"</f>
        <v>#VALUE!</v>
      </c>
      <c r="AN361" t="e">
        <f>'Technical Master Data'!B302+"AM:!2by"</f>
        <v>#VALUE!</v>
      </c>
      <c r="AO361" t="e">
        <f>'Technical Master Data'!C302+"AM:!2bz"</f>
        <v>#VALUE!</v>
      </c>
      <c r="AP361" t="e">
        <f>'Technical Master Data'!D302+"AM:!2b{"</f>
        <v>#VALUE!</v>
      </c>
      <c r="AQ361" t="e">
        <f>'Technical Master Data'!E302+"AM:!2b|"</f>
        <v>#VALUE!</v>
      </c>
      <c r="AR361" t="e">
        <f>'Technical Master Data'!F302+"AM:!2b}"</f>
        <v>#VALUE!</v>
      </c>
      <c r="AS361" t="e">
        <f>'Technical Master Data'!G302+"AM:!2b~"</f>
        <v>#VALUE!</v>
      </c>
      <c r="AT361" t="e">
        <f>'Technical Master Data'!H302+"AM:!2c#"</f>
        <v>#VALUE!</v>
      </c>
      <c r="AU361" t="e">
        <f>'Technical Master Data'!I302+"AM:!2c$"</f>
        <v>#VALUE!</v>
      </c>
      <c r="AV361" t="e">
        <f>'Technical Master Data'!J302+"AM:!2c%"</f>
        <v>#VALUE!</v>
      </c>
      <c r="AW361" t="e">
        <f>'Technical Master Data'!K302+"AM:!2c&amp;"</f>
        <v>#VALUE!</v>
      </c>
      <c r="AX361" t="e">
        <f>'Technical Master Data'!L302+"AM:!2c'"</f>
        <v>#VALUE!</v>
      </c>
      <c r="AY361" t="e">
        <f>'Technical Master Data'!M302+"AM:!2c("</f>
        <v>#VALUE!</v>
      </c>
      <c r="AZ361" t="e">
        <f>'Technical Master Data'!N302+"AM:!2c)"</f>
        <v>#VALUE!</v>
      </c>
      <c r="BA361" t="e">
        <f>'Technical Master Data'!O302+"AM:!2c."</f>
        <v>#VALUE!</v>
      </c>
      <c r="BB361" t="e">
        <f>'Technical Master Data'!P302+"AM:!2c/"</f>
        <v>#VALUE!</v>
      </c>
      <c r="BC361" t="e">
        <f>'Technical Master Data'!Q302+"AM:!2c0"</f>
        <v>#VALUE!</v>
      </c>
      <c r="BD361" t="e">
        <f>'Technical Master Data'!R302+"AM:!2c1"</f>
        <v>#VALUE!</v>
      </c>
      <c r="BE361" t="e">
        <f>'Technical Master Data'!S302+"AM:!2c2"</f>
        <v>#VALUE!</v>
      </c>
      <c r="BF361" t="e">
        <f>'Technical Master Data'!A303+"AM:!2c3"</f>
        <v>#VALUE!</v>
      </c>
      <c r="BG361" t="e">
        <f>'Technical Master Data'!B303+"AM:!2c4"</f>
        <v>#VALUE!</v>
      </c>
      <c r="BH361" t="e">
        <f>'Technical Master Data'!C303+"AM:!2c5"</f>
        <v>#VALUE!</v>
      </c>
      <c r="BI361" t="e">
        <f>'Technical Master Data'!D303+"AM:!2c6"</f>
        <v>#VALUE!</v>
      </c>
      <c r="BJ361" t="e">
        <f>'Technical Master Data'!E303+"AM:!2c7"</f>
        <v>#VALUE!</v>
      </c>
      <c r="BK361" t="e">
        <f>'Technical Master Data'!F303+"AM:!2c8"</f>
        <v>#VALUE!</v>
      </c>
      <c r="BL361" t="e">
        <f>'Technical Master Data'!G303+"AM:!2c9"</f>
        <v>#VALUE!</v>
      </c>
      <c r="BM361" t="e">
        <f>'Technical Master Data'!H303+"AM:!2c:"</f>
        <v>#VALUE!</v>
      </c>
      <c r="BN361" t="e">
        <f>'Technical Master Data'!I303+"AM:!2c;"</f>
        <v>#VALUE!</v>
      </c>
      <c r="BO361" t="e">
        <f>'Technical Master Data'!J303+"AM:!2c&lt;"</f>
        <v>#VALUE!</v>
      </c>
      <c r="BP361" t="e">
        <f>'Technical Master Data'!K303+"AM:!2c="</f>
        <v>#VALUE!</v>
      </c>
      <c r="BQ361" t="e">
        <f>'Technical Master Data'!L303+"AM:!2c&gt;"</f>
        <v>#VALUE!</v>
      </c>
      <c r="BR361" t="e">
        <f>'Technical Master Data'!M303+"AM:!2c?"</f>
        <v>#VALUE!</v>
      </c>
      <c r="BS361" t="e">
        <f>'Technical Master Data'!N303+"AM:!2c@"</f>
        <v>#VALUE!</v>
      </c>
      <c r="BT361" t="e">
        <f>'Technical Master Data'!O303+"AM:!2cA"</f>
        <v>#VALUE!</v>
      </c>
      <c r="BU361" t="e">
        <f>'Technical Master Data'!P303+"AM:!2cB"</f>
        <v>#VALUE!</v>
      </c>
      <c r="BV361" t="e">
        <f>'Technical Master Data'!Q303+"AM:!2cC"</f>
        <v>#VALUE!</v>
      </c>
      <c r="BW361" t="e">
        <f>'Technical Master Data'!R303+"AM:!2cD"</f>
        <v>#VALUE!</v>
      </c>
      <c r="BX361" t="e">
        <f>'Technical Master Data'!S303+"AM:!2cE"</f>
        <v>#VALUE!</v>
      </c>
      <c r="BY361" t="e">
        <f>'Technical Master Data'!A304+"AM:!2cF"</f>
        <v>#VALUE!</v>
      </c>
      <c r="BZ361" t="e">
        <f>'Technical Master Data'!B304+"AM:!2cG"</f>
        <v>#VALUE!</v>
      </c>
      <c r="CA361" t="e">
        <f>'Technical Master Data'!C304+"AM:!2cH"</f>
        <v>#VALUE!</v>
      </c>
      <c r="CB361" t="e">
        <f>'Technical Master Data'!D304+"AM:!2cI"</f>
        <v>#VALUE!</v>
      </c>
      <c r="CC361" t="e">
        <f>'Technical Master Data'!E304+"AM:!2cJ"</f>
        <v>#VALUE!</v>
      </c>
      <c r="CD361" t="e">
        <f>'Technical Master Data'!F304+"AM:!2cK"</f>
        <v>#VALUE!</v>
      </c>
      <c r="CE361" t="e">
        <f>'Technical Master Data'!G304+"AM:!2cL"</f>
        <v>#VALUE!</v>
      </c>
      <c r="CF361" t="e">
        <f>'Technical Master Data'!H304+"AM:!2cM"</f>
        <v>#VALUE!</v>
      </c>
      <c r="CG361" t="e">
        <f>'Technical Master Data'!I304+"AM:!2cN"</f>
        <v>#VALUE!</v>
      </c>
      <c r="CH361" t="e">
        <f>'Technical Master Data'!J304+"AM:!2cO"</f>
        <v>#VALUE!</v>
      </c>
      <c r="CI361" t="e">
        <f>'Technical Master Data'!K304+"AM:!2cP"</f>
        <v>#VALUE!</v>
      </c>
      <c r="CJ361" t="e">
        <f>'Technical Master Data'!L304+"AM:!2cQ"</f>
        <v>#VALUE!</v>
      </c>
      <c r="CK361" t="e">
        <f>'Technical Master Data'!M304+"AM:!2cR"</f>
        <v>#VALUE!</v>
      </c>
      <c r="CL361" t="e">
        <f>'Technical Master Data'!N304+"AM:!2cS"</f>
        <v>#VALUE!</v>
      </c>
      <c r="CM361" t="e">
        <f>'Technical Master Data'!O304+"AM:!2cT"</f>
        <v>#VALUE!</v>
      </c>
      <c r="CN361" t="e">
        <f>'Technical Master Data'!P304+"AM:!2cU"</f>
        <v>#VALUE!</v>
      </c>
      <c r="CO361" t="e">
        <f>'Technical Master Data'!Q304+"AM:!2cV"</f>
        <v>#VALUE!</v>
      </c>
      <c r="CP361" t="e">
        <f>'Technical Master Data'!R304+"AM:!2cW"</f>
        <v>#VALUE!</v>
      </c>
      <c r="CQ361" t="e">
        <f>'Technical Master Data'!S304+"AM:!2cX"</f>
        <v>#VALUE!</v>
      </c>
      <c r="CR361" t="e">
        <f>'Technical Master Data'!A305+"AM:!2cY"</f>
        <v>#VALUE!</v>
      </c>
      <c r="CS361" t="e">
        <f>'Technical Master Data'!B305+"AM:!2cZ"</f>
        <v>#VALUE!</v>
      </c>
      <c r="CT361" t="e">
        <f>'Technical Master Data'!C305+"AM:!2c["</f>
        <v>#VALUE!</v>
      </c>
      <c r="CU361" t="e">
        <f>'Technical Master Data'!D305+"AM:!2c\"</f>
        <v>#VALUE!</v>
      </c>
      <c r="CV361" t="e">
        <f>'Technical Master Data'!E305+"AM:!2c]"</f>
        <v>#VALUE!</v>
      </c>
      <c r="CW361" t="e">
        <f>'Technical Master Data'!F305+"AM:!2c^"</f>
        <v>#VALUE!</v>
      </c>
      <c r="CX361" t="e">
        <f>'Technical Master Data'!G305+"AM:!2c_"</f>
        <v>#VALUE!</v>
      </c>
      <c r="CY361" t="e">
        <f>'Technical Master Data'!H305+"AM:!2c`"</f>
        <v>#VALUE!</v>
      </c>
      <c r="CZ361" t="e">
        <f>'Technical Master Data'!I305+"AM:!2ca"</f>
        <v>#VALUE!</v>
      </c>
      <c r="DA361" t="e">
        <f>'Technical Master Data'!J305+"AM:!2cb"</f>
        <v>#VALUE!</v>
      </c>
      <c r="DB361" t="e">
        <f>'Technical Master Data'!K305+"AM:!2cc"</f>
        <v>#VALUE!</v>
      </c>
      <c r="DC361" t="e">
        <f>'Technical Master Data'!L305+"AM:!2cd"</f>
        <v>#VALUE!</v>
      </c>
      <c r="DD361" t="e">
        <f>'Technical Master Data'!M305+"AM:!2ce"</f>
        <v>#VALUE!</v>
      </c>
      <c r="DE361" t="e">
        <f>'Technical Master Data'!N305+"AM:!2cf"</f>
        <v>#VALUE!</v>
      </c>
      <c r="DF361" t="e">
        <f>'Technical Master Data'!O305+"AM:!2cg"</f>
        <v>#VALUE!</v>
      </c>
      <c r="DG361" t="e">
        <f>'Technical Master Data'!P305+"AM:!2ch"</f>
        <v>#VALUE!</v>
      </c>
      <c r="DH361" t="e">
        <f>'Technical Master Data'!Q305+"AM:!2ci"</f>
        <v>#VALUE!</v>
      </c>
      <c r="DI361" t="e">
        <f>'Technical Master Data'!R305+"AM:!2cj"</f>
        <v>#VALUE!</v>
      </c>
      <c r="DJ361" t="e">
        <f>'Technical Master Data'!S305+"AM:!2ck"</f>
        <v>#VALUE!</v>
      </c>
      <c r="DK361" t="e">
        <f>'Technical Master Data'!A306+"AM:!2cl"</f>
        <v>#VALUE!</v>
      </c>
      <c r="DL361" t="e">
        <f>'Technical Master Data'!B306+"AM:!2cm"</f>
        <v>#VALUE!</v>
      </c>
      <c r="DM361" t="e">
        <f>'Technical Master Data'!C306+"AM:!2cn"</f>
        <v>#VALUE!</v>
      </c>
      <c r="DN361" t="e">
        <f>'Technical Master Data'!D306+"AM:!2co"</f>
        <v>#VALUE!</v>
      </c>
      <c r="DO361" t="e">
        <f>'Technical Master Data'!E306+"AM:!2cp"</f>
        <v>#VALUE!</v>
      </c>
      <c r="DP361" t="e">
        <f>'Technical Master Data'!F306+"AM:!2cq"</f>
        <v>#VALUE!</v>
      </c>
      <c r="DQ361" t="e">
        <f>'Technical Master Data'!G306+"AM:!2cr"</f>
        <v>#VALUE!</v>
      </c>
      <c r="DR361" t="e">
        <f>'Technical Master Data'!H306+"AM:!2cs"</f>
        <v>#VALUE!</v>
      </c>
      <c r="DS361" t="e">
        <f>'Technical Master Data'!I306+"AM:!2ct"</f>
        <v>#VALUE!</v>
      </c>
      <c r="DT361" t="e">
        <f>'Technical Master Data'!J306+"AM:!2cu"</f>
        <v>#VALUE!</v>
      </c>
      <c r="DU361" t="e">
        <f>'Technical Master Data'!K306+"AM:!2cv"</f>
        <v>#VALUE!</v>
      </c>
      <c r="DV361" t="e">
        <f>'Technical Master Data'!L306+"AM:!2cw"</f>
        <v>#VALUE!</v>
      </c>
      <c r="DW361" t="e">
        <f>'Technical Master Data'!M306+"AM:!2cx"</f>
        <v>#VALUE!</v>
      </c>
      <c r="DX361" t="e">
        <f>'Technical Master Data'!N306+"AM:!2cy"</f>
        <v>#VALUE!</v>
      </c>
      <c r="DY361" t="e">
        <f>'Technical Master Data'!O306+"AM:!2cz"</f>
        <v>#VALUE!</v>
      </c>
      <c r="DZ361" t="e">
        <f>'Technical Master Data'!P306+"AM:!2c{"</f>
        <v>#VALUE!</v>
      </c>
      <c r="EA361" t="e">
        <f>'Technical Master Data'!Q306+"AM:!2c|"</f>
        <v>#VALUE!</v>
      </c>
      <c r="EB361" t="e">
        <f>'Technical Master Data'!R306+"AM:!2c}"</f>
        <v>#VALUE!</v>
      </c>
      <c r="EC361" t="e">
        <f>'Technical Master Data'!S306+"AM:!2c~"</f>
        <v>#VALUE!</v>
      </c>
      <c r="ED361" t="e">
        <f>'Technical Master Data'!A307+"AM:!2d#"</f>
        <v>#VALUE!</v>
      </c>
      <c r="EE361" t="e">
        <f>'Technical Master Data'!B307+"AM:!2d$"</f>
        <v>#VALUE!</v>
      </c>
      <c r="EF361" t="e">
        <f>'Technical Master Data'!C307+"AM:!2d%"</f>
        <v>#VALUE!</v>
      </c>
      <c r="EG361" t="e">
        <f>'Technical Master Data'!D307+"AM:!2d&amp;"</f>
        <v>#VALUE!</v>
      </c>
      <c r="EH361" t="e">
        <f>'Technical Master Data'!E307+"AM:!2d'"</f>
        <v>#VALUE!</v>
      </c>
      <c r="EI361" t="e">
        <f>'Technical Master Data'!F307+"AM:!2d("</f>
        <v>#VALUE!</v>
      </c>
      <c r="EJ361" t="e">
        <f>'Technical Master Data'!G307+"AM:!2d)"</f>
        <v>#VALUE!</v>
      </c>
      <c r="EK361" t="e">
        <f>'Technical Master Data'!H307+"AM:!2d."</f>
        <v>#VALUE!</v>
      </c>
      <c r="EL361" t="e">
        <f>'Technical Master Data'!I307+"AM:!2d/"</f>
        <v>#VALUE!</v>
      </c>
      <c r="EM361" t="e">
        <f>'Technical Master Data'!J307+"AM:!2d0"</f>
        <v>#VALUE!</v>
      </c>
      <c r="EN361" t="e">
        <f>'Technical Master Data'!K307+"AM:!2d1"</f>
        <v>#VALUE!</v>
      </c>
      <c r="EO361" t="e">
        <f>'Technical Master Data'!L307+"AM:!2d2"</f>
        <v>#VALUE!</v>
      </c>
      <c r="EP361" t="e">
        <f>'Technical Master Data'!M307+"AM:!2d3"</f>
        <v>#VALUE!</v>
      </c>
      <c r="EQ361" t="e">
        <f>'Technical Master Data'!N307+"AM:!2d4"</f>
        <v>#VALUE!</v>
      </c>
      <c r="ER361" t="e">
        <f>'Technical Master Data'!O307+"AM:!2d5"</f>
        <v>#VALUE!</v>
      </c>
      <c r="ES361" t="e">
        <f>'Technical Master Data'!P307+"AM:!2d6"</f>
        <v>#VALUE!</v>
      </c>
      <c r="ET361" t="e">
        <f>'Technical Master Data'!Q307+"AM:!2d7"</f>
        <v>#VALUE!</v>
      </c>
      <c r="EU361" t="e">
        <f>'Technical Master Data'!R307+"AM:!2d8"</f>
        <v>#VALUE!</v>
      </c>
      <c r="EV361" t="e">
        <f>'Technical Master Data'!S307+"AM:!2d9"</f>
        <v>#VALUE!</v>
      </c>
      <c r="EW361" t="e">
        <f>'Technical Master Data'!A308+"AM:!2d:"</f>
        <v>#VALUE!</v>
      </c>
      <c r="EX361" t="e">
        <f>'Technical Master Data'!B308+"AM:!2d;"</f>
        <v>#VALUE!</v>
      </c>
      <c r="EY361" t="e">
        <f>'Technical Master Data'!C308+"AM:!2d&lt;"</f>
        <v>#VALUE!</v>
      </c>
      <c r="EZ361" t="e">
        <f>'Technical Master Data'!D308+"AM:!2d="</f>
        <v>#VALUE!</v>
      </c>
      <c r="FA361" t="e">
        <f>'Technical Master Data'!E308+"AM:!2d&gt;"</f>
        <v>#VALUE!</v>
      </c>
      <c r="FB361" t="e">
        <f>'Technical Master Data'!F308+"AM:!2d?"</f>
        <v>#VALUE!</v>
      </c>
      <c r="FC361" t="e">
        <f>'Technical Master Data'!G308+"AM:!2d@"</f>
        <v>#VALUE!</v>
      </c>
      <c r="FD361" t="e">
        <f>'Technical Master Data'!H308+"AM:!2dA"</f>
        <v>#VALUE!</v>
      </c>
      <c r="FE361" t="e">
        <f>'Technical Master Data'!I308+"AM:!2dB"</f>
        <v>#VALUE!</v>
      </c>
      <c r="FF361" t="e">
        <f>'Technical Master Data'!J308+"AM:!2dC"</f>
        <v>#VALUE!</v>
      </c>
      <c r="FG361" t="e">
        <f>'Technical Master Data'!K308+"AM:!2dD"</f>
        <v>#VALUE!</v>
      </c>
      <c r="FH361" t="e">
        <f>'Technical Master Data'!L308+"AM:!2dE"</f>
        <v>#VALUE!</v>
      </c>
      <c r="FI361" t="e">
        <f>'Technical Master Data'!M308+"AM:!2dF"</f>
        <v>#VALUE!</v>
      </c>
      <c r="FJ361" t="e">
        <f>'Technical Master Data'!N308+"AM:!2dG"</f>
        <v>#VALUE!</v>
      </c>
      <c r="FK361" t="e">
        <f>'Technical Master Data'!O308+"AM:!2dH"</f>
        <v>#VALUE!</v>
      </c>
      <c r="FL361" t="e">
        <f>'Technical Master Data'!P308+"AM:!2dI"</f>
        <v>#VALUE!</v>
      </c>
      <c r="FM361" t="e">
        <f>'Technical Master Data'!Q308+"AM:!2dJ"</f>
        <v>#VALUE!</v>
      </c>
      <c r="FN361" t="e">
        <f>'Technical Master Data'!R308+"AM:!2dK"</f>
        <v>#VALUE!</v>
      </c>
      <c r="FO361" t="e">
        <f>'Technical Master Data'!S308+"AM:!2dL"</f>
        <v>#VALUE!</v>
      </c>
      <c r="FP361" t="e">
        <f>'Technical Master Data'!A309+"AM:!2dM"</f>
        <v>#VALUE!</v>
      </c>
      <c r="FQ361" t="e">
        <f>'Technical Master Data'!B309+"AM:!2dN"</f>
        <v>#VALUE!</v>
      </c>
      <c r="FR361" t="e">
        <f>'Technical Master Data'!C309+"AM:!2dO"</f>
        <v>#VALUE!</v>
      </c>
      <c r="FS361" t="e">
        <f>'Technical Master Data'!D309+"AM:!2dP"</f>
        <v>#VALUE!</v>
      </c>
      <c r="FT361" t="e">
        <f>'Technical Master Data'!E309+"AM:!2dQ"</f>
        <v>#VALUE!</v>
      </c>
      <c r="FU361" t="e">
        <f>'Technical Master Data'!F309+"AM:!2dR"</f>
        <v>#VALUE!</v>
      </c>
      <c r="FV361" t="e">
        <f>'Technical Master Data'!G309+"AM:!2dS"</f>
        <v>#VALUE!</v>
      </c>
      <c r="FW361" t="e">
        <f>'Technical Master Data'!H309+"AM:!2dT"</f>
        <v>#VALUE!</v>
      </c>
      <c r="FX361" t="e">
        <f>'Technical Master Data'!I309+"AM:!2dU"</f>
        <v>#VALUE!</v>
      </c>
      <c r="FY361" t="e">
        <f>'Technical Master Data'!J309+"AM:!2dV"</f>
        <v>#VALUE!</v>
      </c>
      <c r="FZ361" t="e">
        <f>'Technical Master Data'!K309+"AM:!2dW"</f>
        <v>#VALUE!</v>
      </c>
      <c r="GA361" t="e">
        <f>'Technical Master Data'!L309+"AM:!2dX"</f>
        <v>#VALUE!</v>
      </c>
      <c r="GB361" t="e">
        <f>'Technical Master Data'!M309+"AM:!2dY"</f>
        <v>#VALUE!</v>
      </c>
      <c r="GC361" t="e">
        <f>'Technical Master Data'!N309+"AM:!2dZ"</f>
        <v>#VALUE!</v>
      </c>
      <c r="GD361" t="e">
        <f>'Technical Master Data'!O309+"AM:!2d["</f>
        <v>#VALUE!</v>
      </c>
      <c r="GE361" t="e">
        <f>'Technical Master Data'!P309+"AM:!2d\"</f>
        <v>#VALUE!</v>
      </c>
      <c r="GF361" t="e">
        <f>'Technical Master Data'!Q309+"AM:!2d]"</f>
        <v>#VALUE!</v>
      </c>
      <c r="GG361" t="e">
        <f>'Technical Master Data'!R309+"AM:!2d^"</f>
        <v>#VALUE!</v>
      </c>
      <c r="GH361" t="e">
        <f>'Technical Master Data'!S309+"AM:!2d_"</f>
        <v>#VALUE!</v>
      </c>
      <c r="GI361" t="e">
        <f>'Technical Master Data'!A310+"AM:!2d`"</f>
        <v>#VALUE!</v>
      </c>
      <c r="GJ361" t="e">
        <f>'Technical Master Data'!B310+"AM:!2da"</f>
        <v>#VALUE!</v>
      </c>
      <c r="GK361" t="e">
        <f>'Technical Master Data'!C310+"AM:!2db"</f>
        <v>#VALUE!</v>
      </c>
      <c r="GL361" t="e">
        <f>'Technical Master Data'!D310+"AM:!2dc"</f>
        <v>#VALUE!</v>
      </c>
      <c r="GM361" t="e">
        <f>'Technical Master Data'!E310+"AM:!2dd"</f>
        <v>#VALUE!</v>
      </c>
      <c r="GN361" t="e">
        <f>'Technical Master Data'!F310+"AM:!2de"</f>
        <v>#VALUE!</v>
      </c>
      <c r="GO361" t="e">
        <f>'Technical Master Data'!G310+"AM:!2df"</f>
        <v>#VALUE!</v>
      </c>
      <c r="GP361" t="e">
        <f>'Technical Master Data'!H310+"AM:!2dg"</f>
        <v>#VALUE!</v>
      </c>
      <c r="GQ361" t="e">
        <f>'Technical Master Data'!I310+"AM:!2dh"</f>
        <v>#VALUE!</v>
      </c>
      <c r="GR361" t="e">
        <f>'Technical Master Data'!J310+"AM:!2di"</f>
        <v>#VALUE!</v>
      </c>
      <c r="GS361" t="e">
        <f>'Technical Master Data'!K310+"AM:!2dj"</f>
        <v>#VALUE!</v>
      </c>
      <c r="GT361" t="e">
        <f>'Technical Master Data'!L310+"AM:!2dk"</f>
        <v>#VALUE!</v>
      </c>
      <c r="GU361" t="e">
        <f>'Technical Master Data'!M310+"AM:!2dl"</f>
        <v>#VALUE!</v>
      </c>
      <c r="GV361" t="e">
        <f>'Technical Master Data'!N310+"AM:!2dm"</f>
        <v>#VALUE!</v>
      </c>
      <c r="GW361" t="e">
        <f>'Technical Master Data'!O310+"AM:!2dn"</f>
        <v>#VALUE!</v>
      </c>
      <c r="GX361" t="e">
        <f>'Technical Master Data'!P310+"AM:!2do"</f>
        <v>#VALUE!</v>
      </c>
      <c r="GY361" t="e">
        <f>'Technical Master Data'!Q310+"AM:!2dp"</f>
        <v>#VALUE!</v>
      </c>
      <c r="GZ361" t="e">
        <f>'Technical Master Data'!R310+"AM:!2dq"</f>
        <v>#VALUE!</v>
      </c>
      <c r="HA361" t="e">
        <f>'Technical Master Data'!S310+"AM:!2dr"</f>
        <v>#VALUE!</v>
      </c>
      <c r="HB361" t="e">
        <f>'Technical Master Data'!A311+"AM:!2ds"</f>
        <v>#VALUE!</v>
      </c>
      <c r="HC361" t="e">
        <f>'Technical Master Data'!B311+"AM:!2dt"</f>
        <v>#VALUE!</v>
      </c>
      <c r="HD361" t="e">
        <f>'Technical Master Data'!C311+"AM:!2du"</f>
        <v>#VALUE!</v>
      </c>
      <c r="HE361" t="e">
        <f>'Technical Master Data'!D311+"AM:!2dv"</f>
        <v>#VALUE!</v>
      </c>
      <c r="HF361" t="e">
        <f>'Technical Master Data'!E311+"AM:!2dw"</f>
        <v>#VALUE!</v>
      </c>
      <c r="HG361" t="e">
        <f>'Technical Master Data'!F311+"AM:!2dx"</f>
        <v>#VALUE!</v>
      </c>
      <c r="HH361" t="e">
        <f>'Technical Master Data'!G311+"AM:!2dy"</f>
        <v>#VALUE!</v>
      </c>
      <c r="HI361" t="e">
        <f>'Technical Master Data'!H311+"AM:!2dz"</f>
        <v>#VALUE!</v>
      </c>
      <c r="HJ361" t="e">
        <f>'Technical Master Data'!I311+"AM:!2d{"</f>
        <v>#VALUE!</v>
      </c>
      <c r="HK361" t="e">
        <f>'Technical Master Data'!J311+"AM:!2d|"</f>
        <v>#VALUE!</v>
      </c>
      <c r="HL361" t="e">
        <f>'Technical Master Data'!K311+"AM:!2d}"</f>
        <v>#VALUE!</v>
      </c>
      <c r="HM361" t="e">
        <f>'Technical Master Data'!L311+"AM:!2d~"</f>
        <v>#VALUE!</v>
      </c>
      <c r="HN361" t="e">
        <f>'Technical Master Data'!M311+"AM:!2e#"</f>
        <v>#VALUE!</v>
      </c>
      <c r="HO361" t="e">
        <f>'Technical Master Data'!N311+"AM:!2e$"</f>
        <v>#VALUE!</v>
      </c>
      <c r="HP361" t="e">
        <f>'Technical Master Data'!O311+"AM:!2e%"</f>
        <v>#VALUE!</v>
      </c>
      <c r="HQ361" t="e">
        <f>'Technical Master Data'!P311+"AM:!2e&amp;"</f>
        <v>#VALUE!</v>
      </c>
      <c r="HR361" t="e">
        <f>'Technical Master Data'!Q311+"AM:!2e'"</f>
        <v>#VALUE!</v>
      </c>
      <c r="HS361" t="e">
        <f>'Technical Master Data'!R311+"AM:!2e("</f>
        <v>#VALUE!</v>
      </c>
      <c r="HT361" t="e">
        <f>'Technical Master Data'!S311+"AM:!2e)"</f>
        <v>#VALUE!</v>
      </c>
      <c r="HU361" t="e">
        <f>'Technical Master Data'!A312+"AM:!2e."</f>
        <v>#VALUE!</v>
      </c>
      <c r="HV361" t="e">
        <f>'Technical Master Data'!B312+"AM:!2e/"</f>
        <v>#VALUE!</v>
      </c>
      <c r="HW361" t="e">
        <f>'Technical Master Data'!C312+"AM:!2e0"</f>
        <v>#VALUE!</v>
      </c>
      <c r="HX361" t="e">
        <f>'Technical Master Data'!D312+"AM:!2e1"</f>
        <v>#VALUE!</v>
      </c>
      <c r="HY361" t="e">
        <f>'Technical Master Data'!E312+"AM:!2e2"</f>
        <v>#VALUE!</v>
      </c>
      <c r="HZ361" t="e">
        <f>'Technical Master Data'!F312+"AM:!2e3"</f>
        <v>#VALUE!</v>
      </c>
      <c r="IA361" t="e">
        <f>'Technical Master Data'!G312+"AM:!2e4"</f>
        <v>#VALUE!</v>
      </c>
      <c r="IB361" t="e">
        <f>'Technical Master Data'!H312+"AM:!2e5"</f>
        <v>#VALUE!</v>
      </c>
      <c r="IC361" t="e">
        <f>'Technical Master Data'!I312+"AM:!2e6"</f>
        <v>#VALUE!</v>
      </c>
      <c r="ID361" t="e">
        <f>'Technical Master Data'!J312+"AM:!2e7"</f>
        <v>#VALUE!</v>
      </c>
      <c r="IE361" t="e">
        <f>'Technical Master Data'!K312+"AM:!2e8"</f>
        <v>#VALUE!</v>
      </c>
      <c r="IF361" t="e">
        <f>'Technical Master Data'!L312+"AM:!2e9"</f>
        <v>#VALUE!</v>
      </c>
      <c r="IG361" t="e">
        <f>'Technical Master Data'!M312+"AM:!2e:"</f>
        <v>#VALUE!</v>
      </c>
      <c r="IH361" t="e">
        <f>'Technical Master Data'!N312+"AM:!2e;"</f>
        <v>#VALUE!</v>
      </c>
      <c r="II361" t="e">
        <f>'Technical Master Data'!O312+"AM:!2e&lt;"</f>
        <v>#VALUE!</v>
      </c>
      <c r="IJ361" t="e">
        <f>'Technical Master Data'!P312+"AM:!2e="</f>
        <v>#VALUE!</v>
      </c>
      <c r="IK361" t="e">
        <f>'Technical Master Data'!Q312+"AM:!2e&gt;"</f>
        <v>#VALUE!</v>
      </c>
      <c r="IL361" t="e">
        <f>'Technical Master Data'!R312+"AM:!2e?"</f>
        <v>#VALUE!</v>
      </c>
      <c r="IM361" t="e">
        <f>'Technical Master Data'!S312+"AM:!2e@"</f>
        <v>#VALUE!</v>
      </c>
      <c r="IN361" t="e">
        <f>'Technical Master Data'!A313+"AM:!2eA"</f>
        <v>#VALUE!</v>
      </c>
      <c r="IO361" t="e">
        <f>'Technical Master Data'!B313+"AM:!2eB"</f>
        <v>#VALUE!</v>
      </c>
      <c r="IP361" t="e">
        <f>'Technical Master Data'!C313+"AM:!2eC"</f>
        <v>#VALUE!</v>
      </c>
      <c r="IQ361" t="e">
        <f>'Technical Master Data'!D313+"AM:!2eD"</f>
        <v>#VALUE!</v>
      </c>
      <c r="IR361" t="e">
        <f>'Technical Master Data'!E313+"AM:!2eE"</f>
        <v>#VALUE!</v>
      </c>
      <c r="IS361" t="e">
        <f>'Technical Master Data'!F313+"AM:!2eF"</f>
        <v>#VALUE!</v>
      </c>
      <c r="IT361" t="e">
        <f>'Technical Master Data'!G313+"AM:!2eG"</f>
        <v>#VALUE!</v>
      </c>
      <c r="IU361" t="e">
        <f>'Technical Master Data'!H313+"AM:!2eH"</f>
        <v>#VALUE!</v>
      </c>
      <c r="IV361" t="e">
        <f>'Technical Master Data'!I313+"AM:!2eI"</f>
        <v>#VALUE!</v>
      </c>
    </row>
    <row r="362" spans="6:256">
      <c r="F362" t="e">
        <f>'Technical Master Data'!J313+"AM:!2eJ"</f>
        <v>#VALUE!</v>
      </c>
      <c r="G362" t="e">
        <f>'Technical Master Data'!K313+"AM:!2eK"</f>
        <v>#VALUE!</v>
      </c>
      <c r="H362" t="e">
        <f>'Technical Master Data'!L313+"AM:!2eL"</f>
        <v>#VALUE!</v>
      </c>
      <c r="I362" t="e">
        <f>'Technical Master Data'!M313+"AM:!2eM"</f>
        <v>#VALUE!</v>
      </c>
      <c r="J362" t="e">
        <f>'Technical Master Data'!N313+"AM:!2eN"</f>
        <v>#VALUE!</v>
      </c>
      <c r="K362" t="e">
        <f>'Technical Master Data'!O313+"AM:!2eO"</f>
        <v>#VALUE!</v>
      </c>
      <c r="L362" t="e">
        <f>'Technical Master Data'!P313+"AM:!2eP"</f>
        <v>#VALUE!</v>
      </c>
      <c r="M362" t="e">
        <f>'Technical Master Data'!Q313+"AM:!2eQ"</f>
        <v>#VALUE!</v>
      </c>
      <c r="N362" t="e">
        <f>'Technical Master Data'!R313+"AM:!2eR"</f>
        <v>#VALUE!</v>
      </c>
      <c r="O362" t="e">
        <f>'Technical Master Data'!S313+"AM:!2eS"</f>
        <v>#VALUE!</v>
      </c>
      <c r="P362" t="e">
        <f>'Technical Master Data'!A314+"AM:!2eT"</f>
        <v>#VALUE!</v>
      </c>
      <c r="Q362" t="e">
        <f>'Technical Master Data'!B314+"AM:!2eU"</f>
        <v>#VALUE!</v>
      </c>
      <c r="R362" t="e">
        <f>'Technical Master Data'!C314+"AM:!2eV"</f>
        <v>#VALUE!</v>
      </c>
      <c r="S362" t="e">
        <f>'Technical Master Data'!D314+"AM:!2eW"</f>
        <v>#VALUE!</v>
      </c>
      <c r="T362" t="e">
        <f>'Technical Master Data'!E314+"AM:!2eX"</f>
        <v>#VALUE!</v>
      </c>
      <c r="U362" t="e">
        <f>'Technical Master Data'!F314+"AM:!2eY"</f>
        <v>#VALUE!</v>
      </c>
      <c r="V362" t="e">
        <f>'Technical Master Data'!G314+"AM:!2eZ"</f>
        <v>#VALUE!</v>
      </c>
      <c r="W362" t="e">
        <f>'Technical Master Data'!H314+"AM:!2e["</f>
        <v>#VALUE!</v>
      </c>
      <c r="X362" t="e">
        <f>'Technical Master Data'!I314+"AM:!2e\"</f>
        <v>#VALUE!</v>
      </c>
      <c r="Y362" t="e">
        <f>'Technical Master Data'!J314+"AM:!2e]"</f>
        <v>#VALUE!</v>
      </c>
      <c r="Z362" t="e">
        <f>'Technical Master Data'!K314+"AM:!2e^"</f>
        <v>#VALUE!</v>
      </c>
      <c r="AA362" t="e">
        <f>'Technical Master Data'!L314+"AM:!2e_"</f>
        <v>#VALUE!</v>
      </c>
      <c r="AB362" t="e">
        <f>'Technical Master Data'!M314+"AM:!2e`"</f>
        <v>#VALUE!</v>
      </c>
      <c r="AC362" t="e">
        <f>'Technical Master Data'!N314+"AM:!2ea"</f>
        <v>#VALUE!</v>
      </c>
      <c r="AD362" t="e">
        <f>'Technical Master Data'!O314+"AM:!2eb"</f>
        <v>#VALUE!</v>
      </c>
      <c r="AE362" t="e">
        <f>'Technical Master Data'!P314+"AM:!2ec"</f>
        <v>#VALUE!</v>
      </c>
      <c r="AF362" t="e">
        <f>'Technical Master Data'!Q314+"AM:!2ed"</f>
        <v>#VALUE!</v>
      </c>
      <c r="AG362" t="e">
        <f>'Technical Master Data'!R314+"AM:!2ee"</f>
        <v>#VALUE!</v>
      </c>
      <c r="AH362" t="e">
        <f>'Technical Master Data'!S314+"AM:!2ef"</f>
        <v>#VALUE!</v>
      </c>
      <c r="AI362" t="e">
        <f>'Technical Master Data'!A315+"AM:!2eg"</f>
        <v>#VALUE!</v>
      </c>
      <c r="AJ362" t="e">
        <f>'Technical Master Data'!B315+"AM:!2eh"</f>
        <v>#VALUE!</v>
      </c>
      <c r="AK362" t="e">
        <f>'Technical Master Data'!C315+"AM:!2ei"</f>
        <v>#VALUE!</v>
      </c>
      <c r="AL362" t="e">
        <f>'Technical Master Data'!D315+"AM:!2ej"</f>
        <v>#VALUE!</v>
      </c>
      <c r="AM362" t="e">
        <f>'Technical Master Data'!E315+"AM:!2ek"</f>
        <v>#VALUE!</v>
      </c>
      <c r="AN362" t="e">
        <f>'Technical Master Data'!F315+"AM:!2el"</f>
        <v>#VALUE!</v>
      </c>
      <c r="AO362" t="e">
        <f>'Technical Master Data'!G315+"AM:!2em"</f>
        <v>#VALUE!</v>
      </c>
      <c r="AP362" t="e">
        <f>'Technical Master Data'!H315+"AM:!2en"</f>
        <v>#VALUE!</v>
      </c>
      <c r="AQ362" t="e">
        <f>'Technical Master Data'!I315+"AM:!2eo"</f>
        <v>#VALUE!</v>
      </c>
      <c r="AR362" t="e">
        <f>'Technical Master Data'!J315+"AM:!2ep"</f>
        <v>#VALUE!</v>
      </c>
      <c r="AS362" t="e">
        <f>'Technical Master Data'!K315+"AM:!2eq"</f>
        <v>#VALUE!</v>
      </c>
      <c r="AT362" t="e">
        <f>'Technical Master Data'!L315+"AM:!2er"</f>
        <v>#VALUE!</v>
      </c>
      <c r="AU362" t="e">
        <f>'Technical Master Data'!M315+"AM:!2es"</f>
        <v>#VALUE!</v>
      </c>
      <c r="AV362" t="e">
        <f>'Technical Master Data'!N315+"AM:!2et"</f>
        <v>#VALUE!</v>
      </c>
      <c r="AW362" t="e">
        <f>'Technical Master Data'!O315+"AM:!2eu"</f>
        <v>#VALUE!</v>
      </c>
      <c r="AX362" t="e">
        <f>'Technical Master Data'!P315+"AM:!2ev"</f>
        <v>#VALUE!</v>
      </c>
      <c r="AY362" t="e">
        <f>'Technical Master Data'!Q315+"AM:!2ew"</f>
        <v>#VALUE!</v>
      </c>
      <c r="AZ362" t="e">
        <f>'Technical Master Data'!R315+"AM:!2ex"</f>
        <v>#VALUE!</v>
      </c>
      <c r="BA362" t="e">
        <f>'Technical Master Data'!S315+"AM:!2ey"</f>
        <v>#VALUE!</v>
      </c>
      <c r="BB362" t="e">
        <f>'Technical Master Data'!A316+"AM:!2ez"</f>
        <v>#VALUE!</v>
      </c>
      <c r="BC362" t="e">
        <f>'Technical Master Data'!B316+"AM:!2e{"</f>
        <v>#VALUE!</v>
      </c>
      <c r="BD362" t="e">
        <f>'Technical Master Data'!C316+"AM:!2e|"</f>
        <v>#VALUE!</v>
      </c>
      <c r="BE362" t="e">
        <f>'Technical Master Data'!D316+"AM:!2e}"</f>
        <v>#VALUE!</v>
      </c>
      <c r="BF362" t="e">
        <f>'Technical Master Data'!E316+"AM:!2e~"</f>
        <v>#VALUE!</v>
      </c>
      <c r="BG362" t="e">
        <f>'Technical Master Data'!F316+"AM:!2f#"</f>
        <v>#VALUE!</v>
      </c>
      <c r="BH362" t="e">
        <f>'Technical Master Data'!G316+"AM:!2f$"</f>
        <v>#VALUE!</v>
      </c>
      <c r="BI362" t="e">
        <f>'Technical Master Data'!H316+"AM:!2f%"</f>
        <v>#VALUE!</v>
      </c>
      <c r="BJ362" t="e">
        <f>'Technical Master Data'!I316+"AM:!2f&amp;"</f>
        <v>#VALUE!</v>
      </c>
      <c r="BK362" t="e">
        <f>'Technical Master Data'!J316+"AM:!2f'"</f>
        <v>#VALUE!</v>
      </c>
      <c r="BL362" t="e">
        <f>'Technical Master Data'!K316+"AM:!2f("</f>
        <v>#VALUE!</v>
      </c>
      <c r="BM362" t="e">
        <f>'Technical Master Data'!L316+"AM:!2f)"</f>
        <v>#VALUE!</v>
      </c>
      <c r="BN362" t="e">
        <f>'Technical Master Data'!M316+"AM:!2f."</f>
        <v>#VALUE!</v>
      </c>
      <c r="BO362" t="e">
        <f>'Technical Master Data'!N316+"AM:!2f/"</f>
        <v>#VALUE!</v>
      </c>
      <c r="BP362" t="e">
        <f>'Technical Master Data'!O316+"AM:!2f0"</f>
        <v>#VALUE!</v>
      </c>
      <c r="BQ362" t="e">
        <f>'Technical Master Data'!P316+"AM:!2f1"</f>
        <v>#VALUE!</v>
      </c>
      <c r="BR362" t="e">
        <f>'Technical Master Data'!Q316+"AM:!2f2"</f>
        <v>#VALUE!</v>
      </c>
      <c r="BS362" t="e">
        <f>'Technical Master Data'!R316+"AM:!2f3"</f>
        <v>#VALUE!</v>
      </c>
      <c r="BT362" t="e">
        <f>'Technical Master Data'!S316+"AM:!2f4"</f>
        <v>#VALUE!</v>
      </c>
      <c r="BU362" t="e">
        <f>'Technical Master Data'!A317+"AM:!2f5"</f>
        <v>#VALUE!</v>
      </c>
      <c r="BV362" t="e">
        <f>'Technical Master Data'!B317+"AM:!2f6"</f>
        <v>#VALUE!</v>
      </c>
      <c r="BW362" t="e">
        <f>'Technical Master Data'!C317+"AM:!2f7"</f>
        <v>#VALUE!</v>
      </c>
      <c r="BX362" t="e">
        <f>'Technical Master Data'!D317+"AM:!2f8"</f>
        <v>#VALUE!</v>
      </c>
      <c r="BY362" t="e">
        <f>'Technical Master Data'!E317+"AM:!2f9"</f>
        <v>#VALUE!</v>
      </c>
      <c r="BZ362" t="e">
        <f>'Technical Master Data'!F317+"AM:!2f:"</f>
        <v>#VALUE!</v>
      </c>
      <c r="CA362" t="e">
        <f>'Technical Master Data'!G317+"AM:!2f;"</f>
        <v>#VALUE!</v>
      </c>
      <c r="CB362" t="e">
        <f>'Technical Master Data'!H317+"AM:!2f&lt;"</f>
        <v>#VALUE!</v>
      </c>
      <c r="CC362" t="e">
        <f>'Technical Master Data'!I317+"AM:!2f="</f>
        <v>#VALUE!</v>
      </c>
      <c r="CD362" t="e">
        <f>'Technical Master Data'!J317+"AM:!2f&gt;"</f>
        <v>#VALUE!</v>
      </c>
      <c r="CE362" t="e">
        <f>'Technical Master Data'!K317+"AM:!2f?"</f>
        <v>#VALUE!</v>
      </c>
      <c r="CF362" t="e">
        <f>'Technical Master Data'!L317+"AM:!2f@"</f>
        <v>#VALUE!</v>
      </c>
      <c r="CG362" t="e">
        <f>'Technical Master Data'!M317+"AM:!2fA"</f>
        <v>#VALUE!</v>
      </c>
      <c r="CH362" t="e">
        <f>'Technical Master Data'!N317+"AM:!2fB"</f>
        <v>#VALUE!</v>
      </c>
      <c r="CI362" t="e">
        <f>'Technical Master Data'!O317+"AM:!2fC"</f>
        <v>#VALUE!</v>
      </c>
      <c r="CJ362" t="e">
        <f>'Technical Master Data'!P317+"AM:!2fD"</f>
        <v>#VALUE!</v>
      </c>
      <c r="CK362" t="e">
        <f>'Technical Master Data'!Q317+"AM:!2fE"</f>
        <v>#VALUE!</v>
      </c>
      <c r="CL362" t="e">
        <f>'Technical Master Data'!R317+"AM:!2fF"</f>
        <v>#VALUE!</v>
      </c>
      <c r="CM362" t="e">
        <f>'Technical Master Data'!S317+"AM:!2fG"</f>
        <v>#VALUE!</v>
      </c>
      <c r="CN362" t="e">
        <f>'Technical Master Data'!A318+"AM:!2fH"</f>
        <v>#VALUE!</v>
      </c>
      <c r="CO362" t="e">
        <f>'Technical Master Data'!B318+"AM:!2fI"</f>
        <v>#VALUE!</v>
      </c>
      <c r="CP362" t="e">
        <f>'Technical Master Data'!C318+"AM:!2fJ"</f>
        <v>#VALUE!</v>
      </c>
      <c r="CQ362" t="e">
        <f>'Technical Master Data'!D318+"AM:!2fK"</f>
        <v>#VALUE!</v>
      </c>
      <c r="CR362" t="e">
        <f>'Technical Master Data'!E318+"AM:!2fL"</f>
        <v>#VALUE!</v>
      </c>
      <c r="CS362" t="e">
        <f>'Technical Master Data'!F318+"AM:!2fM"</f>
        <v>#VALUE!</v>
      </c>
      <c r="CT362" t="e">
        <f>'Technical Master Data'!G318+"AM:!2fN"</f>
        <v>#VALUE!</v>
      </c>
      <c r="CU362" t="e">
        <f>'Technical Master Data'!H318+"AM:!2fO"</f>
        <v>#VALUE!</v>
      </c>
      <c r="CV362" t="e">
        <f>'Technical Master Data'!I318+"AM:!2fP"</f>
        <v>#VALUE!</v>
      </c>
      <c r="CW362" t="e">
        <f>'Technical Master Data'!J318+"AM:!2fQ"</f>
        <v>#VALUE!</v>
      </c>
      <c r="CX362" t="e">
        <f>'Technical Master Data'!K318+"AM:!2fR"</f>
        <v>#VALUE!</v>
      </c>
      <c r="CY362" t="e">
        <f>'Technical Master Data'!L318+"AM:!2fS"</f>
        <v>#VALUE!</v>
      </c>
      <c r="CZ362" t="e">
        <f>'Technical Master Data'!M318+"AM:!2fT"</f>
        <v>#VALUE!</v>
      </c>
      <c r="DA362" t="e">
        <f>'Technical Master Data'!N318+"AM:!2fU"</f>
        <v>#VALUE!</v>
      </c>
      <c r="DB362" t="e">
        <f>'Technical Master Data'!O318+"AM:!2fV"</f>
        <v>#VALUE!</v>
      </c>
      <c r="DC362" t="e">
        <f>'Technical Master Data'!P318+"AM:!2fW"</f>
        <v>#VALUE!</v>
      </c>
      <c r="DD362" t="e">
        <f>'Technical Master Data'!Q318+"AM:!2fX"</f>
        <v>#VALUE!</v>
      </c>
      <c r="DE362" t="e">
        <f>'Technical Master Data'!R318+"AM:!2fY"</f>
        <v>#VALUE!</v>
      </c>
      <c r="DF362" t="e">
        <f>'Technical Master Data'!S318+"AM:!2fZ"</f>
        <v>#VALUE!</v>
      </c>
      <c r="DG362" t="e">
        <f>'Technical Master Data'!A319+"AM:!2f["</f>
        <v>#VALUE!</v>
      </c>
      <c r="DH362" t="e">
        <f>'Technical Master Data'!B319+"AM:!2f\"</f>
        <v>#VALUE!</v>
      </c>
      <c r="DI362" t="e">
        <f>'Technical Master Data'!C319+"AM:!2f]"</f>
        <v>#VALUE!</v>
      </c>
      <c r="DJ362" t="e">
        <f>'Technical Master Data'!D319+"AM:!2f^"</f>
        <v>#VALUE!</v>
      </c>
      <c r="DK362" t="e">
        <f>'Technical Master Data'!E319+"AM:!2f_"</f>
        <v>#VALUE!</v>
      </c>
      <c r="DL362" t="e">
        <f>'Technical Master Data'!F319+"AM:!2f`"</f>
        <v>#VALUE!</v>
      </c>
      <c r="DM362" t="e">
        <f>'Technical Master Data'!G319+"AM:!2fa"</f>
        <v>#VALUE!</v>
      </c>
      <c r="DN362" t="e">
        <f>'Technical Master Data'!H319+"AM:!2fb"</f>
        <v>#VALUE!</v>
      </c>
      <c r="DO362" t="e">
        <f>'Technical Master Data'!I319+"AM:!2fc"</f>
        <v>#VALUE!</v>
      </c>
      <c r="DP362" t="e">
        <f>'Technical Master Data'!J319+"AM:!2fd"</f>
        <v>#VALUE!</v>
      </c>
      <c r="DQ362" t="e">
        <f>'Technical Master Data'!K319+"AM:!2fe"</f>
        <v>#VALUE!</v>
      </c>
      <c r="DR362" t="e">
        <f>'Technical Master Data'!L319+"AM:!2ff"</f>
        <v>#VALUE!</v>
      </c>
      <c r="DS362" t="e">
        <f>'Technical Master Data'!M319+"AM:!2fg"</f>
        <v>#VALUE!</v>
      </c>
      <c r="DT362" t="e">
        <f>'Technical Master Data'!N319+"AM:!2fh"</f>
        <v>#VALUE!</v>
      </c>
      <c r="DU362" t="e">
        <f>'Technical Master Data'!O319+"AM:!2fi"</f>
        <v>#VALUE!</v>
      </c>
      <c r="DV362" t="e">
        <f>'Technical Master Data'!P319+"AM:!2fj"</f>
        <v>#VALUE!</v>
      </c>
      <c r="DW362" t="e">
        <f>'Technical Master Data'!Q319+"AM:!2fk"</f>
        <v>#VALUE!</v>
      </c>
      <c r="DX362" t="e">
        <f>'Technical Master Data'!R319+"AM:!2fl"</f>
        <v>#VALUE!</v>
      </c>
      <c r="DY362" t="e">
        <f>'Technical Master Data'!S319+"AM:!2fm"</f>
        <v>#VALUE!</v>
      </c>
      <c r="DZ362" t="e">
        <f>'Technical Master Data'!A320+"AM:!2fn"</f>
        <v>#VALUE!</v>
      </c>
      <c r="EA362" t="e">
        <f>'Technical Master Data'!B320+"AM:!2fo"</f>
        <v>#VALUE!</v>
      </c>
      <c r="EB362" t="e">
        <f>'Technical Master Data'!C320+"AM:!2fp"</f>
        <v>#VALUE!</v>
      </c>
      <c r="EC362" t="e">
        <f>'Technical Master Data'!D320+"AM:!2fq"</f>
        <v>#VALUE!</v>
      </c>
      <c r="ED362" t="e">
        <f>'Technical Master Data'!E320+"AM:!2fr"</f>
        <v>#VALUE!</v>
      </c>
      <c r="EE362" t="e">
        <f>'Technical Master Data'!F320+"AM:!2fs"</f>
        <v>#VALUE!</v>
      </c>
      <c r="EF362" t="e">
        <f>'Technical Master Data'!G320+"AM:!2ft"</f>
        <v>#VALUE!</v>
      </c>
      <c r="EG362" t="e">
        <f>'Technical Master Data'!H320+"AM:!2fu"</f>
        <v>#VALUE!</v>
      </c>
      <c r="EH362" t="e">
        <f>'Technical Master Data'!I320+"AM:!2fv"</f>
        <v>#VALUE!</v>
      </c>
      <c r="EI362" t="e">
        <f>'Technical Master Data'!J320+"AM:!2fw"</f>
        <v>#VALUE!</v>
      </c>
      <c r="EJ362" t="e">
        <f>'Technical Master Data'!K320+"AM:!2fx"</f>
        <v>#VALUE!</v>
      </c>
      <c r="EK362" t="e">
        <f>'Technical Master Data'!L320+"AM:!2fy"</f>
        <v>#VALUE!</v>
      </c>
      <c r="EL362" t="e">
        <f>'Technical Master Data'!M320+"AM:!2fz"</f>
        <v>#VALUE!</v>
      </c>
      <c r="EM362" t="e">
        <f>'Technical Master Data'!N320+"AM:!2f{"</f>
        <v>#VALUE!</v>
      </c>
      <c r="EN362" t="e">
        <f>'Technical Master Data'!O320+"AM:!2f|"</f>
        <v>#VALUE!</v>
      </c>
      <c r="EO362" t="e">
        <f>'Technical Master Data'!P320+"AM:!2f}"</f>
        <v>#VALUE!</v>
      </c>
      <c r="EP362" t="e">
        <f>'Technical Master Data'!Q320+"AM:!2f~"</f>
        <v>#VALUE!</v>
      </c>
      <c r="EQ362" t="e">
        <f>'Technical Master Data'!R320+"AM:!2g#"</f>
        <v>#VALUE!</v>
      </c>
      <c r="ER362" t="e">
        <f>'Technical Master Data'!S320+"AM:!2g$"</f>
        <v>#VALUE!</v>
      </c>
      <c r="ES362" t="e">
        <f>'Technical Master Data'!A321+"AM:!2g%"</f>
        <v>#VALUE!</v>
      </c>
      <c r="ET362" t="e">
        <f>'Technical Master Data'!B321+"AM:!2g&amp;"</f>
        <v>#VALUE!</v>
      </c>
      <c r="EU362" t="e">
        <f>'Technical Master Data'!C321+"AM:!2g'"</f>
        <v>#VALUE!</v>
      </c>
      <c r="EV362" t="e">
        <f>'Technical Master Data'!D321+"AM:!2g("</f>
        <v>#VALUE!</v>
      </c>
      <c r="EW362" t="e">
        <f>'Technical Master Data'!E321+"AM:!2g)"</f>
        <v>#VALUE!</v>
      </c>
      <c r="EX362" t="e">
        <f>'Technical Master Data'!F321+"AM:!2g."</f>
        <v>#VALUE!</v>
      </c>
      <c r="EY362" t="e">
        <f>'Technical Master Data'!G321+"AM:!2g/"</f>
        <v>#VALUE!</v>
      </c>
      <c r="EZ362" t="e">
        <f>'Technical Master Data'!H321+"AM:!2g0"</f>
        <v>#VALUE!</v>
      </c>
      <c r="FA362" t="e">
        <f>'Technical Master Data'!I321+"AM:!2g1"</f>
        <v>#VALUE!</v>
      </c>
      <c r="FB362" t="e">
        <f>'Technical Master Data'!J321+"AM:!2g2"</f>
        <v>#VALUE!</v>
      </c>
      <c r="FC362" t="e">
        <f>'Technical Master Data'!K321+"AM:!2g3"</f>
        <v>#VALUE!</v>
      </c>
      <c r="FD362" t="e">
        <f>'Technical Master Data'!L321+"AM:!2g4"</f>
        <v>#VALUE!</v>
      </c>
      <c r="FE362" t="e">
        <f>'Technical Master Data'!M321+"AM:!2g5"</f>
        <v>#VALUE!</v>
      </c>
      <c r="FF362" t="e">
        <f>'Technical Master Data'!N321+"AM:!2g6"</f>
        <v>#VALUE!</v>
      </c>
      <c r="FG362" t="e">
        <f>'Technical Master Data'!O321+"AM:!2g7"</f>
        <v>#VALUE!</v>
      </c>
      <c r="FH362" t="e">
        <f>'Technical Master Data'!P321+"AM:!2g8"</f>
        <v>#VALUE!</v>
      </c>
      <c r="FI362" t="e">
        <f>'Technical Master Data'!Q321+"AM:!2g9"</f>
        <v>#VALUE!</v>
      </c>
      <c r="FJ362" t="e">
        <f>'Technical Master Data'!R321+"AM:!2g:"</f>
        <v>#VALUE!</v>
      </c>
      <c r="FK362" t="e">
        <f>'Technical Master Data'!S321+"AM:!2g;"</f>
        <v>#VALUE!</v>
      </c>
      <c r="FL362" t="e">
        <f>'Technical Master Data'!A322+"AM:!2g&lt;"</f>
        <v>#VALUE!</v>
      </c>
      <c r="FM362" t="e">
        <f>'Technical Master Data'!B322+"AM:!2g="</f>
        <v>#VALUE!</v>
      </c>
      <c r="FN362" t="e">
        <f>'Technical Master Data'!C322+"AM:!2g&gt;"</f>
        <v>#VALUE!</v>
      </c>
      <c r="FO362" t="e">
        <f>'Technical Master Data'!D322+"AM:!2g?"</f>
        <v>#VALUE!</v>
      </c>
      <c r="FP362" t="e">
        <f>'Technical Master Data'!E322+"AM:!2g@"</f>
        <v>#VALUE!</v>
      </c>
      <c r="FQ362" t="e">
        <f>'Technical Master Data'!F322+"AM:!2gA"</f>
        <v>#VALUE!</v>
      </c>
      <c r="FR362" t="e">
        <f>'Technical Master Data'!G322+"AM:!2gB"</f>
        <v>#VALUE!</v>
      </c>
      <c r="FS362" t="e">
        <f>'Technical Master Data'!H322+"AM:!2gC"</f>
        <v>#VALUE!</v>
      </c>
      <c r="FT362" t="e">
        <f>'Technical Master Data'!I322+"AM:!2gD"</f>
        <v>#VALUE!</v>
      </c>
      <c r="FU362" t="e">
        <f>'Technical Master Data'!J322+"AM:!2gE"</f>
        <v>#VALUE!</v>
      </c>
      <c r="FV362" t="e">
        <f>'Technical Master Data'!K322+"AM:!2gF"</f>
        <v>#VALUE!</v>
      </c>
      <c r="FW362" t="e">
        <f>'Technical Master Data'!L322+"AM:!2gG"</f>
        <v>#VALUE!</v>
      </c>
      <c r="FX362" t="e">
        <f>'Technical Master Data'!M322+"AM:!2gH"</f>
        <v>#VALUE!</v>
      </c>
      <c r="FY362" t="e">
        <f>'Technical Master Data'!N322+"AM:!2gI"</f>
        <v>#VALUE!</v>
      </c>
      <c r="FZ362" t="e">
        <f>'Technical Master Data'!O322+"AM:!2gJ"</f>
        <v>#VALUE!</v>
      </c>
      <c r="GA362" t="e">
        <f>'Technical Master Data'!P322+"AM:!2gK"</f>
        <v>#VALUE!</v>
      </c>
      <c r="GB362" t="e">
        <f>'Technical Master Data'!Q322+"AM:!2gL"</f>
        <v>#VALUE!</v>
      </c>
      <c r="GC362" t="e">
        <f>'Technical Master Data'!R322+"AM:!2gM"</f>
        <v>#VALUE!</v>
      </c>
      <c r="GD362" t="e">
        <f>'Technical Master Data'!S322+"AM:!2gN"</f>
        <v>#VALUE!</v>
      </c>
      <c r="GE362" t="e">
        <f>'Technical Master Data'!A323+"AM:!2gO"</f>
        <v>#VALUE!</v>
      </c>
      <c r="GF362" t="e">
        <f>'Technical Master Data'!B323+"AM:!2gP"</f>
        <v>#VALUE!</v>
      </c>
      <c r="GG362" t="e">
        <f>'Technical Master Data'!C323+"AM:!2gQ"</f>
        <v>#VALUE!</v>
      </c>
      <c r="GH362" t="e">
        <f>'Technical Master Data'!D323+"AM:!2gR"</f>
        <v>#VALUE!</v>
      </c>
      <c r="GI362" t="e">
        <f>'Technical Master Data'!E323+"AM:!2gS"</f>
        <v>#VALUE!</v>
      </c>
      <c r="GJ362" t="e">
        <f>'Technical Master Data'!F323+"AM:!2gT"</f>
        <v>#VALUE!</v>
      </c>
      <c r="GK362" t="e">
        <f>'Technical Master Data'!G323+"AM:!2gU"</f>
        <v>#VALUE!</v>
      </c>
      <c r="GL362" t="e">
        <f>'Technical Master Data'!H323+"AM:!2gV"</f>
        <v>#VALUE!</v>
      </c>
      <c r="GM362" t="e">
        <f>'Technical Master Data'!I323+"AM:!2gW"</f>
        <v>#VALUE!</v>
      </c>
      <c r="GN362" t="e">
        <f>'Technical Master Data'!J323+"AM:!2gX"</f>
        <v>#VALUE!</v>
      </c>
      <c r="GO362" t="e">
        <f>'Technical Master Data'!K323+"AM:!2gY"</f>
        <v>#VALUE!</v>
      </c>
      <c r="GP362" t="e">
        <f>'Technical Master Data'!L323+"AM:!2gZ"</f>
        <v>#VALUE!</v>
      </c>
      <c r="GQ362" t="e">
        <f>'Technical Master Data'!M323+"AM:!2g["</f>
        <v>#VALUE!</v>
      </c>
      <c r="GR362" t="e">
        <f>'Technical Master Data'!N323+"AM:!2g\"</f>
        <v>#VALUE!</v>
      </c>
      <c r="GS362" t="e">
        <f>'Technical Master Data'!O323+"AM:!2g]"</f>
        <v>#VALUE!</v>
      </c>
      <c r="GT362" t="e">
        <f>'Technical Master Data'!P323+"AM:!2g^"</f>
        <v>#VALUE!</v>
      </c>
      <c r="GU362" t="e">
        <f>'Technical Master Data'!Q323+"AM:!2g_"</f>
        <v>#VALUE!</v>
      </c>
      <c r="GV362" t="e">
        <f>'Technical Master Data'!R323+"AM:!2g`"</f>
        <v>#VALUE!</v>
      </c>
      <c r="GW362" t="e">
        <f>'Technical Master Data'!S323+"AM:!2ga"</f>
        <v>#VALUE!</v>
      </c>
      <c r="GX362" t="e">
        <f>'Technical Master Data'!A324+"AM:!2gb"</f>
        <v>#VALUE!</v>
      </c>
      <c r="GY362" t="e">
        <f>'Technical Master Data'!B324+"AM:!2gc"</f>
        <v>#VALUE!</v>
      </c>
      <c r="GZ362" t="e">
        <f>'Technical Master Data'!C324+"AM:!2gd"</f>
        <v>#VALUE!</v>
      </c>
      <c r="HA362" t="e">
        <f>'Technical Master Data'!D324+"AM:!2ge"</f>
        <v>#VALUE!</v>
      </c>
      <c r="HB362" t="e">
        <f>'Technical Master Data'!E324+"AM:!2gf"</f>
        <v>#VALUE!</v>
      </c>
      <c r="HC362" t="e">
        <f>'Technical Master Data'!F324+"AM:!2gg"</f>
        <v>#VALUE!</v>
      </c>
      <c r="HD362" t="e">
        <f>'Technical Master Data'!G324+"AM:!2gh"</f>
        <v>#VALUE!</v>
      </c>
      <c r="HE362" t="e">
        <f>'Technical Master Data'!H324+"AM:!2gi"</f>
        <v>#VALUE!</v>
      </c>
      <c r="HF362" t="e">
        <f>'Technical Master Data'!I324+"AM:!2gj"</f>
        <v>#VALUE!</v>
      </c>
      <c r="HG362" t="e">
        <f>'Technical Master Data'!J324+"AM:!2gk"</f>
        <v>#VALUE!</v>
      </c>
      <c r="HH362" t="e">
        <f>'Technical Master Data'!K324+"AM:!2gl"</f>
        <v>#VALUE!</v>
      </c>
      <c r="HI362" t="e">
        <f>'Technical Master Data'!L324+"AM:!2gm"</f>
        <v>#VALUE!</v>
      </c>
      <c r="HJ362" t="e">
        <f>'Technical Master Data'!M324+"AM:!2gn"</f>
        <v>#VALUE!</v>
      </c>
      <c r="HK362" t="e">
        <f>'Technical Master Data'!N324+"AM:!2go"</f>
        <v>#VALUE!</v>
      </c>
      <c r="HL362" t="e">
        <f>'Technical Master Data'!O324+"AM:!2gp"</f>
        <v>#VALUE!</v>
      </c>
      <c r="HM362" t="e">
        <f>'Technical Master Data'!P324+"AM:!2gq"</f>
        <v>#VALUE!</v>
      </c>
      <c r="HN362" t="e">
        <f>'Technical Master Data'!Q324+"AM:!2gr"</f>
        <v>#VALUE!</v>
      </c>
      <c r="HO362" t="e">
        <f>'Technical Master Data'!R324+"AM:!2gs"</f>
        <v>#VALUE!</v>
      </c>
      <c r="HP362" t="e">
        <f>'Technical Master Data'!S324+"AM:!2gt"</f>
        <v>#VALUE!</v>
      </c>
      <c r="HQ362" t="e">
        <f>'Technical Master Data'!A325+"AM:!2gu"</f>
        <v>#VALUE!</v>
      </c>
      <c r="HR362" t="e">
        <f>'Technical Master Data'!B325+"AM:!2gv"</f>
        <v>#VALUE!</v>
      </c>
      <c r="HS362" t="e">
        <f>'Technical Master Data'!C325+"AM:!2gw"</f>
        <v>#VALUE!</v>
      </c>
      <c r="HT362" t="e">
        <f>'Technical Master Data'!D325+"AM:!2gx"</f>
        <v>#VALUE!</v>
      </c>
      <c r="HU362" t="e">
        <f>'Technical Master Data'!E325+"AM:!2gy"</f>
        <v>#VALUE!</v>
      </c>
      <c r="HV362" t="e">
        <f>'Technical Master Data'!F325+"AM:!2gz"</f>
        <v>#VALUE!</v>
      </c>
      <c r="HW362" t="e">
        <f>'Technical Master Data'!G325+"AM:!2g{"</f>
        <v>#VALUE!</v>
      </c>
      <c r="HX362" t="e">
        <f>'Technical Master Data'!H325+"AM:!2g|"</f>
        <v>#VALUE!</v>
      </c>
      <c r="HY362" t="e">
        <f>'Technical Master Data'!I325+"AM:!2g}"</f>
        <v>#VALUE!</v>
      </c>
      <c r="HZ362" t="e">
        <f>'Technical Master Data'!J325+"AM:!2g~"</f>
        <v>#VALUE!</v>
      </c>
      <c r="IA362" t="e">
        <f>'Technical Master Data'!K325+"AM:!2h#"</f>
        <v>#VALUE!</v>
      </c>
      <c r="IB362" t="e">
        <f>'Technical Master Data'!L325+"AM:!2h$"</f>
        <v>#VALUE!</v>
      </c>
      <c r="IC362" t="e">
        <f>'Technical Master Data'!M325+"AM:!2h%"</f>
        <v>#VALUE!</v>
      </c>
      <c r="ID362" t="e">
        <f>'Technical Master Data'!N325+"AM:!2h&amp;"</f>
        <v>#VALUE!</v>
      </c>
      <c r="IE362" t="e">
        <f>'Technical Master Data'!O325+"AM:!2h'"</f>
        <v>#VALUE!</v>
      </c>
      <c r="IF362" t="e">
        <f>'Technical Master Data'!P325+"AM:!2h("</f>
        <v>#VALUE!</v>
      </c>
      <c r="IG362" t="e">
        <f>'Technical Master Data'!Q325+"AM:!2h)"</f>
        <v>#VALUE!</v>
      </c>
      <c r="IH362" t="e">
        <f>'Technical Master Data'!R325+"AM:!2h."</f>
        <v>#VALUE!</v>
      </c>
      <c r="II362" t="e">
        <f>'Technical Master Data'!S325+"AM:!2h/"</f>
        <v>#VALUE!</v>
      </c>
      <c r="IJ362" t="e">
        <f>'Technical Master Data'!A326+"AM:!2h0"</f>
        <v>#VALUE!</v>
      </c>
      <c r="IK362" t="e">
        <f>'Technical Master Data'!B326+"AM:!2h1"</f>
        <v>#VALUE!</v>
      </c>
      <c r="IL362" t="e">
        <f>'Technical Master Data'!C326+"AM:!2h2"</f>
        <v>#VALUE!</v>
      </c>
      <c r="IM362" t="e">
        <f>'Technical Master Data'!D326+"AM:!2h3"</f>
        <v>#VALUE!</v>
      </c>
      <c r="IN362" t="e">
        <f>'Technical Master Data'!E326+"AM:!2h4"</f>
        <v>#VALUE!</v>
      </c>
      <c r="IO362" t="e">
        <f>'Technical Master Data'!F326+"AM:!2h5"</f>
        <v>#VALUE!</v>
      </c>
      <c r="IP362" t="e">
        <f>'Technical Master Data'!G326+"AM:!2h6"</f>
        <v>#VALUE!</v>
      </c>
      <c r="IQ362" t="e">
        <f>'Technical Master Data'!H326+"AM:!2h7"</f>
        <v>#VALUE!</v>
      </c>
      <c r="IR362" t="e">
        <f>'Technical Master Data'!I326+"AM:!2h8"</f>
        <v>#VALUE!</v>
      </c>
      <c r="IS362" t="e">
        <f>'Technical Master Data'!J326+"AM:!2h9"</f>
        <v>#VALUE!</v>
      </c>
      <c r="IT362" t="e">
        <f>'Technical Master Data'!K326+"AM:!2h:"</f>
        <v>#VALUE!</v>
      </c>
      <c r="IU362" t="e">
        <f>'Technical Master Data'!L326+"AM:!2h;"</f>
        <v>#VALUE!</v>
      </c>
      <c r="IV362" t="e">
        <f>'Technical Master Data'!M326+"AM:!2h&lt;"</f>
        <v>#VALUE!</v>
      </c>
    </row>
    <row r="363" spans="6:256">
      <c r="F363" t="e">
        <f>'Technical Master Data'!N326+"AM:!2h="</f>
        <v>#VALUE!</v>
      </c>
      <c r="G363" t="e">
        <f>'Technical Master Data'!O326+"AM:!2h&gt;"</f>
        <v>#VALUE!</v>
      </c>
      <c r="H363" t="e">
        <f>'Technical Master Data'!P326+"AM:!2h?"</f>
        <v>#VALUE!</v>
      </c>
      <c r="I363" t="e">
        <f>'Technical Master Data'!Q326+"AM:!2h@"</f>
        <v>#VALUE!</v>
      </c>
      <c r="J363" t="e">
        <f>'Technical Master Data'!R326+"AM:!2hA"</f>
        <v>#VALUE!</v>
      </c>
      <c r="K363" t="e">
        <f>'Technical Master Data'!S326+"AM:!2hB"</f>
        <v>#VALUE!</v>
      </c>
      <c r="L363" t="e">
        <f>'Technical Master Data'!A327+"AM:!2hC"</f>
        <v>#VALUE!</v>
      </c>
      <c r="M363" t="e">
        <f>'Technical Master Data'!B327+"AM:!2hD"</f>
        <v>#VALUE!</v>
      </c>
      <c r="N363" t="e">
        <f>'Technical Master Data'!C327+"AM:!2hE"</f>
        <v>#VALUE!</v>
      </c>
      <c r="O363" t="e">
        <f>'Technical Master Data'!D327+"AM:!2hF"</f>
        <v>#VALUE!</v>
      </c>
      <c r="P363" t="e">
        <f>'Technical Master Data'!E327+"AM:!2hG"</f>
        <v>#VALUE!</v>
      </c>
      <c r="Q363" t="e">
        <f>'Technical Master Data'!F327+"AM:!2hH"</f>
        <v>#VALUE!</v>
      </c>
      <c r="R363" t="e">
        <f>'Technical Master Data'!G327+"AM:!2hI"</f>
        <v>#VALUE!</v>
      </c>
      <c r="S363" t="e">
        <f>'Technical Master Data'!H327+"AM:!2hJ"</f>
        <v>#VALUE!</v>
      </c>
      <c r="T363" t="e">
        <f>'Technical Master Data'!I327+"AM:!2hK"</f>
        <v>#VALUE!</v>
      </c>
      <c r="U363" t="e">
        <f>'Technical Master Data'!J327+"AM:!2hL"</f>
        <v>#VALUE!</v>
      </c>
      <c r="V363" t="e">
        <f>'Technical Master Data'!K327+"AM:!2hM"</f>
        <v>#VALUE!</v>
      </c>
      <c r="W363" t="e">
        <f>'Technical Master Data'!L327+"AM:!2hN"</f>
        <v>#VALUE!</v>
      </c>
      <c r="X363" t="e">
        <f>'Technical Master Data'!M327+"AM:!2hO"</f>
        <v>#VALUE!</v>
      </c>
      <c r="Y363" t="e">
        <f>'Technical Master Data'!N327+"AM:!2hP"</f>
        <v>#VALUE!</v>
      </c>
      <c r="Z363" t="e">
        <f>'Technical Master Data'!O327+"AM:!2hQ"</f>
        <v>#VALUE!</v>
      </c>
      <c r="AA363" t="e">
        <f>'Technical Master Data'!P327+"AM:!2hR"</f>
        <v>#VALUE!</v>
      </c>
      <c r="AB363" t="e">
        <f>'Technical Master Data'!Q327+"AM:!2hS"</f>
        <v>#VALUE!</v>
      </c>
      <c r="AC363" t="e">
        <f>'Technical Master Data'!R327+"AM:!2hT"</f>
        <v>#VALUE!</v>
      </c>
      <c r="AD363" t="e">
        <f>'Technical Master Data'!S327+"AM:!2hU"</f>
        <v>#VALUE!</v>
      </c>
      <c r="AE363" t="e">
        <f>'Technical Master Data'!A328+"AM:!2hV"</f>
        <v>#VALUE!</v>
      </c>
      <c r="AF363" t="e">
        <f>'Technical Master Data'!B328+"AM:!2hW"</f>
        <v>#VALUE!</v>
      </c>
      <c r="AG363" t="e">
        <f>'Technical Master Data'!C328+"AM:!2hX"</f>
        <v>#VALUE!</v>
      </c>
      <c r="AH363" t="e">
        <f>'Technical Master Data'!D328+"AM:!2hY"</f>
        <v>#VALUE!</v>
      </c>
      <c r="AI363" t="e">
        <f>'Technical Master Data'!E328+"AM:!2hZ"</f>
        <v>#VALUE!</v>
      </c>
      <c r="AJ363" t="e">
        <f>'Technical Master Data'!F328+"AM:!2h["</f>
        <v>#VALUE!</v>
      </c>
      <c r="AK363" t="e">
        <f>'Technical Master Data'!G328+"AM:!2h\"</f>
        <v>#VALUE!</v>
      </c>
      <c r="AL363" t="e">
        <f>'Technical Master Data'!H328+"AM:!2h]"</f>
        <v>#VALUE!</v>
      </c>
      <c r="AM363" t="e">
        <f>'Technical Master Data'!I328+"AM:!2h^"</f>
        <v>#VALUE!</v>
      </c>
      <c r="AN363" t="e">
        <f>'Technical Master Data'!J328+"AM:!2h_"</f>
        <v>#VALUE!</v>
      </c>
      <c r="AO363" t="e">
        <f>'Technical Master Data'!K328+"AM:!2h`"</f>
        <v>#VALUE!</v>
      </c>
      <c r="AP363" t="e">
        <f>'Technical Master Data'!L328+"AM:!2ha"</f>
        <v>#VALUE!</v>
      </c>
      <c r="AQ363" t="e">
        <f>'Technical Master Data'!M328+"AM:!2hb"</f>
        <v>#VALUE!</v>
      </c>
      <c r="AR363" t="e">
        <f>'Technical Master Data'!N328+"AM:!2hc"</f>
        <v>#VALUE!</v>
      </c>
      <c r="AS363" t="e">
        <f>'Technical Master Data'!O328+"AM:!2hd"</f>
        <v>#VALUE!</v>
      </c>
      <c r="AT363" t="e">
        <f>'Technical Master Data'!P328+"AM:!2he"</f>
        <v>#VALUE!</v>
      </c>
      <c r="AU363" t="e">
        <f>'Technical Master Data'!Q328+"AM:!2hf"</f>
        <v>#VALUE!</v>
      </c>
      <c r="AV363" t="e">
        <f>'Technical Master Data'!R328+"AM:!2hg"</f>
        <v>#VALUE!</v>
      </c>
      <c r="AW363" t="e">
        <f>'Technical Master Data'!S328+"AM:!2hh"</f>
        <v>#VALUE!</v>
      </c>
      <c r="AX363" t="e">
        <f>'Technical Master Data'!A329+"AM:!2hi"</f>
        <v>#VALUE!</v>
      </c>
      <c r="AY363" t="e">
        <f>'Technical Master Data'!B329+"AM:!2hj"</f>
        <v>#VALUE!</v>
      </c>
      <c r="AZ363" t="e">
        <f>'Technical Master Data'!C329+"AM:!2hk"</f>
        <v>#VALUE!</v>
      </c>
      <c r="BA363" t="e">
        <f>'Technical Master Data'!D329+"AM:!2hl"</f>
        <v>#VALUE!</v>
      </c>
      <c r="BB363" t="e">
        <f>'Technical Master Data'!E329+"AM:!2hm"</f>
        <v>#VALUE!</v>
      </c>
      <c r="BC363" t="e">
        <f>'Technical Master Data'!F329+"AM:!2hn"</f>
        <v>#VALUE!</v>
      </c>
      <c r="BD363" t="e">
        <f>'Technical Master Data'!G329+"AM:!2ho"</f>
        <v>#VALUE!</v>
      </c>
      <c r="BE363" t="e">
        <f>'Technical Master Data'!H329+"AM:!2hp"</f>
        <v>#VALUE!</v>
      </c>
      <c r="BF363" t="e">
        <f>'Technical Master Data'!I329+"AM:!2hq"</f>
        <v>#VALUE!</v>
      </c>
      <c r="BG363" t="e">
        <f>'Technical Master Data'!J329+"AM:!2hr"</f>
        <v>#VALUE!</v>
      </c>
      <c r="BH363" t="e">
        <f>'Technical Master Data'!K329+"AM:!2hs"</f>
        <v>#VALUE!</v>
      </c>
      <c r="BI363" t="e">
        <f>'Technical Master Data'!L329+"AM:!2ht"</f>
        <v>#VALUE!</v>
      </c>
      <c r="BJ363" t="e">
        <f>'Technical Master Data'!M329+"AM:!2hu"</f>
        <v>#VALUE!</v>
      </c>
      <c r="BK363" t="e">
        <f>'Technical Master Data'!N329+"AM:!2hv"</f>
        <v>#VALUE!</v>
      </c>
      <c r="BL363" t="e">
        <f>'Technical Master Data'!O329+"AM:!2hw"</f>
        <v>#VALUE!</v>
      </c>
      <c r="BM363" t="e">
        <f>'Technical Master Data'!P329+"AM:!2hx"</f>
        <v>#VALUE!</v>
      </c>
      <c r="BN363" t="e">
        <f>'Technical Master Data'!Q329+"AM:!2hy"</f>
        <v>#VALUE!</v>
      </c>
      <c r="BO363" t="e">
        <f>'Technical Master Data'!R329+"AM:!2hz"</f>
        <v>#VALUE!</v>
      </c>
      <c r="BP363" t="e">
        <f>'Technical Master Data'!S329+"AM:!2h{"</f>
        <v>#VALUE!</v>
      </c>
      <c r="BQ363" t="e">
        <f>'Technical Master Data'!A330+"AM:!2h|"</f>
        <v>#VALUE!</v>
      </c>
      <c r="BR363" t="e">
        <f>'Technical Master Data'!B330+"AM:!2h}"</f>
        <v>#VALUE!</v>
      </c>
      <c r="BS363" t="e">
        <f>'Technical Master Data'!C330+"AM:!2h~"</f>
        <v>#VALUE!</v>
      </c>
      <c r="BT363" t="e">
        <f>'Technical Master Data'!D330+"AM:!2i#"</f>
        <v>#VALUE!</v>
      </c>
      <c r="BU363" t="e">
        <f>'Technical Master Data'!E330+"AM:!2i$"</f>
        <v>#VALUE!</v>
      </c>
      <c r="BV363" t="e">
        <f>'Technical Master Data'!F330+"AM:!2i%"</f>
        <v>#VALUE!</v>
      </c>
      <c r="BW363" t="e">
        <f>'Technical Master Data'!G330+"AM:!2i&amp;"</f>
        <v>#VALUE!</v>
      </c>
      <c r="BX363" t="e">
        <f>'Technical Master Data'!H330+"AM:!2i'"</f>
        <v>#VALUE!</v>
      </c>
      <c r="BY363" t="e">
        <f>'Technical Master Data'!I330+"AM:!2i("</f>
        <v>#VALUE!</v>
      </c>
      <c r="BZ363" t="e">
        <f>'Technical Master Data'!J330+"AM:!2i)"</f>
        <v>#VALUE!</v>
      </c>
      <c r="CA363" t="e">
        <f>'Technical Master Data'!K330+"AM:!2i."</f>
        <v>#VALUE!</v>
      </c>
      <c r="CB363" t="e">
        <f>'Technical Master Data'!L330+"AM:!2i/"</f>
        <v>#VALUE!</v>
      </c>
      <c r="CC363" t="e">
        <f>'Technical Master Data'!M330+"AM:!2i0"</f>
        <v>#VALUE!</v>
      </c>
      <c r="CD363" t="e">
        <f>'Technical Master Data'!N330+"AM:!2i1"</f>
        <v>#VALUE!</v>
      </c>
      <c r="CE363" t="e">
        <f>'Technical Master Data'!O330+"AM:!2i2"</f>
        <v>#VALUE!</v>
      </c>
      <c r="CF363" t="e">
        <f>'Technical Master Data'!P330+"AM:!2i3"</f>
        <v>#VALUE!</v>
      </c>
      <c r="CG363" t="e">
        <f>'Technical Master Data'!Q330+"AM:!2i4"</f>
        <v>#VALUE!</v>
      </c>
      <c r="CH363" t="e">
        <f>'Technical Master Data'!R330+"AM:!2i5"</f>
        <v>#VALUE!</v>
      </c>
      <c r="CI363" t="e">
        <f>'Technical Master Data'!S330+"AM:!2i6"</f>
        <v>#VALUE!</v>
      </c>
      <c r="CJ363" t="e">
        <f>'Technical Master Data'!A331+"AM:!2i7"</f>
        <v>#VALUE!</v>
      </c>
      <c r="CK363" t="e">
        <f>'Technical Master Data'!B331+"AM:!2i8"</f>
        <v>#VALUE!</v>
      </c>
      <c r="CL363" t="e">
        <f>'Technical Master Data'!C331+"AM:!2i9"</f>
        <v>#VALUE!</v>
      </c>
      <c r="CM363" t="e">
        <f>'Technical Master Data'!D331+"AM:!2i:"</f>
        <v>#VALUE!</v>
      </c>
      <c r="CN363" t="e">
        <f>'Technical Master Data'!E331+"AM:!2i;"</f>
        <v>#VALUE!</v>
      </c>
      <c r="CO363" t="e">
        <f>'Technical Master Data'!F331+"AM:!2i&lt;"</f>
        <v>#VALUE!</v>
      </c>
      <c r="CP363" t="e">
        <f>'Technical Master Data'!G331+"AM:!2i="</f>
        <v>#VALUE!</v>
      </c>
      <c r="CQ363" t="e">
        <f>'Technical Master Data'!H331+"AM:!2i&gt;"</f>
        <v>#VALUE!</v>
      </c>
      <c r="CR363" t="e">
        <f>'Technical Master Data'!I331+"AM:!2i?"</f>
        <v>#VALUE!</v>
      </c>
      <c r="CS363" t="e">
        <f>'Technical Master Data'!J331+"AM:!2i@"</f>
        <v>#VALUE!</v>
      </c>
      <c r="CT363" t="e">
        <f>'Technical Master Data'!K331+"AM:!2iA"</f>
        <v>#VALUE!</v>
      </c>
      <c r="CU363" t="e">
        <f>'Technical Master Data'!L331+"AM:!2iB"</f>
        <v>#VALUE!</v>
      </c>
      <c r="CV363" t="e">
        <f>'Technical Master Data'!M331+"AM:!2iC"</f>
        <v>#VALUE!</v>
      </c>
      <c r="CW363" t="e">
        <f>'Technical Master Data'!N331+"AM:!2iD"</f>
        <v>#VALUE!</v>
      </c>
      <c r="CX363" t="e">
        <f>'Technical Master Data'!O331+"AM:!2iE"</f>
        <v>#VALUE!</v>
      </c>
      <c r="CY363" t="e">
        <f>'Technical Master Data'!P331+"AM:!2iF"</f>
        <v>#VALUE!</v>
      </c>
      <c r="CZ363" t="e">
        <f>'Technical Master Data'!Q331+"AM:!2iG"</f>
        <v>#VALUE!</v>
      </c>
      <c r="DA363" t="e">
        <f>'Technical Master Data'!R331+"AM:!2iH"</f>
        <v>#VALUE!</v>
      </c>
      <c r="DB363" t="e">
        <f>'Technical Master Data'!S331+"AM:!2iI"</f>
        <v>#VALUE!</v>
      </c>
      <c r="DC363" t="e">
        <f>'Technical Master Data'!A332+"AM:!2iJ"</f>
        <v>#VALUE!</v>
      </c>
      <c r="DD363" t="e">
        <f>'Technical Master Data'!B332+"AM:!2iK"</f>
        <v>#VALUE!</v>
      </c>
      <c r="DE363" t="e">
        <f>'Technical Master Data'!C332+"AM:!2iL"</f>
        <v>#VALUE!</v>
      </c>
      <c r="DF363" t="e">
        <f>'Technical Master Data'!D332+"AM:!2iM"</f>
        <v>#VALUE!</v>
      </c>
      <c r="DG363" t="e">
        <f>'Technical Master Data'!E332+"AM:!2iN"</f>
        <v>#VALUE!</v>
      </c>
      <c r="DH363" t="e">
        <f>'Technical Master Data'!F332+"AM:!2iO"</f>
        <v>#VALUE!</v>
      </c>
      <c r="DI363" t="e">
        <f>'Technical Master Data'!G332+"AM:!2iP"</f>
        <v>#VALUE!</v>
      </c>
      <c r="DJ363" t="e">
        <f>'Technical Master Data'!H332+"AM:!2iQ"</f>
        <v>#VALUE!</v>
      </c>
      <c r="DK363" t="e">
        <f>'Technical Master Data'!I332+"AM:!2iR"</f>
        <v>#VALUE!</v>
      </c>
      <c r="DL363" t="e">
        <f>'Technical Master Data'!J332+"AM:!2iS"</f>
        <v>#VALUE!</v>
      </c>
      <c r="DM363" t="e">
        <f>'Technical Master Data'!K332+"AM:!2iT"</f>
        <v>#VALUE!</v>
      </c>
      <c r="DN363" t="e">
        <f>'Technical Master Data'!L332+"AM:!2iU"</f>
        <v>#VALUE!</v>
      </c>
      <c r="DO363" t="e">
        <f>'Technical Master Data'!M332+"AM:!2iV"</f>
        <v>#VALUE!</v>
      </c>
      <c r="DP363" t="e">
        <f>'Technical Master Data'!N332+"AM:!2iW"</f>
        <v>#VALUE!</v>
      </c>
      <c r="DQ363" t="e">
        <f>'Technical Master Data'!O332+"AM:!2iX"</f>
        <v>#VALUE!</v>
      </c>
      <c r="DR363" t="e">
        <f>'Technical Master Data'!P332+"AM:!2iY"</f>
        <v>#VALUE!</v>
      </c>
      <c r="DS363" t="e">
        <f>'Technical Master Data'!Q332+"AM:!2iZ"</f>
        <v>#VALUE!</v>
      </c>
      <c r="DT363" t="e">
        <f>'Technical Master Data'!R332+"AM:!2i["</f>
        <v>#VALUE!</v>
      </c>
      <c r="DU363" t="e">
        <f>'Technical Master Data'!S332+"AM:!2i\"</f>
        <v>#VALUE!</v>
      </c>
      <c r="DV363" t="e">
        <f>'Technical Master Data'!A333+"AM:!2i]"</f>
        <v>#VALUE!</v>
      </c>
      <c r="DW363" t="e">
        <f>'Technical Master Data'!B333+"AM:!2i^"</f>
        <v>#VALUE!</v>
      </c>
      <c r="DX363" t="e">
        <f>'Technical Master Data'!C333+"AM:!2i_"</f>
        <v>#VALUE!</v>
      </c>
      <c r="DY363" t="e">
        <f>'Technical Master Data'!D333+"AM:!2i`"</f>
        <v>#VALUE!</v>
      </c>
      <c r="DZ363" t="e">
        <f>'Technical Master Data'!E333+"AM:!2ia"</f>
        <v>#VALUE!</v>
      </c>
      <c r="EA363" t="e">
        <f>'Technical Master Data'!F333+"AM:!2ib"</f>
        <v>#VALUE!</v>
      </c>
      <c r="EB363" t="e">
        <f>'Technical Master Data'!G333+"AM:!2ic"</f>
        <v>#VALUE!</v>
      </c>
      <c r="EC363" t="e">
        <f>'Technical Master Data'!H333+"AM:!2id"</f>
        <v>#VALUE!</v>
      </c>
      <c r="ED363" t="e">
        <f>'Technical Master Data'!I333+"AM:!2ie"</f>
        <v>#VALUE!</v>
      </c>
      <c r="EE363" t="e">
        <f>'Technical Master Data'!J333+"AM:!2if"</f>
        <v>#VALUE!</v>
      </c>
      <c r="EF363" t="e">
        <f>'Technical Master Data'!K333+"AM:!2ig"</f>
        <v>#VALUE!</v>
      </c>
      <c r="EG363" t="e">
        <f>'Technical Master Data'!L333+"AM:!2ih"</f>
        <v>#VALUE!</v>
      </c>
      <c r="EH363" t="e">
        <f>'Technical Master Data'!M333+"AM:!2ii"</f>
        <v>#VALUE!</v>
      </c>
      <c r="EI363" t="e">
        <f>'Technical Master Data'!N333+"AM:!2ij"</f>
        <v>#VALUE!</v>
      </c>
      <c r="EJ363" t="e">
        <f>'Technical Master Data'!O333+"AM:!2ik"</f>
        <v>#VALUE!</v>
      </c>
      <c r="EK363" t="e">
        <f>'Technical Master Data'!P333+"AM:!2il"</f>
        <v>#VALUE!</v>
      </c>
      <c r="EL363" t="e">
        <f>'Technical Master Data'!Q333+"AM:!2im"</f>
        <v>#VALUE!</v>
      </c>
      <c r="EM363" t="e">
        <f>'Technical Master Data'!R333+"AM:!2in"</f>
        <v>#VALUE!</v>
      </c>
      <c r="EN363" t="e">
        <f>'Technical Master Data'!S333+"AM:!2io"</f>
        <v>#VALUE!</v>
      </c>
      <c r="EO363" t="e">
        <f>'Technical Master Data'!A334+"AM:!2ip"</f>
        <v>#VALUE!</v>
      </c>
      <c r="EP363" t="e">
        <f>'Technical Master Data'!B334+"AM:!2iq"</f>
        <v>#VALUE!</v>
      </c>
      <c r="EQ363" t="e">
        <f>'Technical Master Data'!C334+"AM:!2ir"</f>
        <v>#VALUE!</v>
      </c>
      <c r="ER363" t="e">
        <f>'Technical Master Data'!D334+"AM:!2is"</f>
        <v>#VALUE!</v>
      </c>
      <c r="ES363" t="e">
        <f>'Technical Master Data'!E334+"AM:!2it"</f>
        <v>#VALUE!</v>
      </c>
      <c r="ET363" t="e">
        <f>'Technical Master Data'!F334+"AM:!2iu"</f>
        <v>#VALUE!</v>
      </c>
      <c r="EU363" t="e">
        <f>'Technical Master Data'!G334+"AM:!2iv"</f>
        <v>#VALUE!</v>
      </c>
      <c r="EV363" t="e">
        <f>'Technical Master Data'!H334+"AM:!2iw"</f>
        <v>#VALUE!</v>
      </c>
      <c r="EW363" t="e">
        <f>'Technical Master Data'!I334+"AM:!2ix"</f>
        <v>#VALUE!</v>
      </c>
      <c r="EX363" t="e">
        <f>'Technical Master Data'!J334+"AM:!2iy"</f>
        <v>#VALUE!</v>
      </c>
      <c r="EY363" t="e">
        <f>'Technical Master Data'!K334+"AM:!2iz"</f>
        <v>#VALUE!</v>
      </c>
      <c r="EZ363" t="e">
        <f>'Technical Master Data'!L334+"AM:!2i{"</f>
        <v>#VALUE!</v>
      </c>
      <c r="FA363" t="e">
        <f>'Technical Master Data'!M334+"AM:!2i|"</f>
        <v>#VALUE!</v>
      </c>
      <c r="FB363" t="e">
        <f>'Technical Master Data'!N334+"AM:!2i}"</f>
        <v>#VALUE!</v>
      </c>
      <c r="FC363" t="e">
        <f>'Technical Master Data'!O334+"AM:!2i~"</f>
        <v>#VALUE!</v>
      </c>
      <c r="FD363" t="e">
        <f>'Technical Master Data'!P334+"AM:!2j#"</f>
        <v>#VALUE!</v>
      </c>
      <c r="FE363" t="e">
        <f>'Technical Master Data'!Q334+"AM:!2j$"</f>
        <v>#VALUE!</v>
      </c>
      <c r="FF363" t="e">
        <f>'Technical Master Data'!R334+"AM:!2j%"</f>
        <v>#VALUE!</v>
      </c>
      <c r="FG363" t="e">
        <f>'Technical Master Data'!S334+"AM:!2j&amp;"</f>
        <v>#VALUE!</v>
      </c>
      <c r="FH363" t="e">
        <f>'Technical Master Data'!A335+"AM:!2j'"</f>
        <v>#VALUE!</v>
      </c>
      <c r="FI363" t="e">
        <f>'Technical Master Data'!B335+"AM:!2j("</f>
        <v>#VALUE!</v>
      </c>
      <c r="FJ363" t="e">
        <f>'Technical Master Data'!C335+"AM:!2j)"</f>
        <v>#VALUE!</v>
      </c>
      <c r="FK363" t="e">
        <f>'Technical Master Data'!D335+"AM:!2j."</f>
        <v>#VALUE!</v>
      </c>
      <c r="FL363" t="e">
        <f>'Technical Master Data'!E335+"AM:!2j/"</f>
        <v>#VALUE!</v>
      </c>
      <c r="FM363" t="e">
        <f>'Technical Master Data'!F335+"AM:!2j0"</f>
        <v>#VALUE!</v>
      </c>
      <c r="FN363" t="e">
        <f>'Technical Master Data'!G335+"AM:!2j1"</f>
        <v>#VALUE!</v>
      </c>
      <c r="FO363" t="e">
        <f>'Technical Master Data'!H335+"AM:!2j2"</f>
        <v>#VALUE!</v>
      </c>
      <c r="FP363" t="e">
        <f>'Technical Master Data'!I335+"AM:!2j3"</f>
        <v>#VALUE!</v>
      </c>
      <c r="FQ363" t="e">
        <f>'Technical Master Data'!J335+"AM:!2j4"</f>
        <v>#VALUE!</v>
      </c>
      <c r="FR363" t="e">
        <f>'Technical Master Data'!K335+"AM:!2j5"</f>
        <v>#VALUE!</v>
      </c>
      <c r="FS363" t="e">
        <f>'Technical Master Data'!L335+"AM:!2j6"</f>
        <v>#VALUE!</v>
      </c>
      <c r="FT363" t="e">
        <f>'Technical Master Data'!M335+"AM:!2j7"</f>
        <v>#VALUE!</v>
      </c>
      <c r="FU363" t="e">
        <f>'Technical Master Data'!N335+"AM:!2j8"</f>
        <v>#VALUE!</v>
      </c>
      <c r="FV363" t="e">
        <f>'Technical Master Data'!O335+"AM:!2j9"</f>
        <v>#VALUE!</v>
      </c>
      <c r="FW363" t="e">
        <f>'Technical Master Data'!P335+"AM:!2j:"</f>
        <v>#VALUE!</v>
      </c>
      <c r="FX363" t="e">
        <f>'Technical Master Data'!Q335+"AM:!2j;"</f>
        <v>#VALUE!</v>
      </c>
      <c r="FY363" t="e">
        <f>'Technical Master Data'!R335+"AM:!2j&lt;"</f>
        <v>#VALUE!</v>
      </c>
      <c r="FZ363" t="e">
        <f>'Technical Master Data'!S335+"AM:!2j="</f>
        <v>#VALUE!</v>
      </c>
      <c r="GA363" t="e">
        <f>'Technical Master Data'!A336+"AM:!2j&gt;"</f>
        <v>#VALUE!</v>
      </c>
      <c r="GB363" t="e">
        <f>'Technical Master Data'!B336+"AM:!2j?"</f>
        <v>#VALUE!</v>
      </c>
      <c r="GC363" t="e">
        <f>'Technical Master Data'!C336+"AM:!2j@"</f>
        <v>#VALUE!</v>
      </c>
      <c r="GD363" t="e">
        <f>'Technical Master Data'!D336+"AM:!2jA"</f>
        <v>#VALUE!</v>
      </c>
      <c r="GE363" t="e">
        <f>'Technical Master Data'!E336+"AM:!2jB"</f>
        <v>#VALUE!</v>
      </c>
      <c r="GF363" t="e">
        <f>'Technical Master Data'!F336+"AM:!2jC"</f>
        <v>#VALUE!</v>
      </c>
      <c r="GG363" t="e">
        <f>'Technical Master Data'!G336+"AM:!2jD"</f>
        <v>#VALUE!</v>
      </c>
      <c r="GH363" t="e">
        <f>'Technical Master Data'!H336+"AM:!2jE"</f>
        <v>#VALUE!</v>
      </c>
      <c r="GI363" t="e">
        <f>'Technical Master Data'!I336+"AM:!2jF"</f>
        <v>#VALUE!</v>
      </c>
      <c r="GJ363" t="e">
        <f>'Technical Master Data'!J336+"AM:!2jG"</f>
        <v>#VALUE!</v>
      </c>
      <c r="GK363" t="e">
        <f>'Technical Master Data'!K336+"AM:!2jH"</f>
        <v>#VALUE!</v>
      </c>
      <c r="GL363" t="e">
        <f>'Technical Master Data'!L336+"AM:!2jI"</f>
        <v>#VALUE!</v>
      </c>
      <c r="GM363" t="e">
        <f>'Technical Master Data'!M336+"AM:!2jJ"</f>
        <v>#VALUE!</v>
      </c>
      <c r="GN363" t="e">
        <f>'Technical Master Data'!N336+"AM:!2jK"</f>
        <v>#VALUE!</v>
      </c>
      <c r="GO363" t="e">
        <f>'Technical Master Data'!O336+"AM:!2jL"</f>
        <v>#VALUE!</v>
      </c>
      <c r="GP363" t="e">
        <f>'Technical Master Data'!P336+"AM:!2jM"</f>
        <v>#VALUE!</v>
      </c>
      <c r="GQ363" t="e">
        <f>'Technical Master Data'!Q336+"AM:!2jN"</f>
        <v>#VALUE!</v>
      </c>
      <c r="GR363" t="e">
        <f>'Technical Master Data'!R336+"AM:!2jO"</f>
        <v>#VALUE!</v>
      </c>
      <c r="GS363" t="e">
        <f>'Technical Master Data'!S336+"AM:!2jP"</f>
        <v>#VALUE!</v>
      </c>
      <c r="GT363" t="e">
        <f>'Technical Master Data'!A337+"AM:!2jQ"</f>
        <v>#VALUE!</v>
      </c>
      <c r="GU363" t="e">
        <f>'Technical Master Data'!B337+"AM:!2jR"</f>
        <v>#VALUE!</v>
      </c>
      <c r="GV363" t="e">
        <f>'Technical Master Data'!C337+"AM:!2jS"</f>
        <v>#VALUE!</v>
      </c>
      <c r="GW363" t="e">
        <f>'Technical Master Data'!D337+"AM:!2jT"</f>
        <v>#VALUE!</v>
      </c>
      <c r="GX363" t="e">
        <f>'Technical Master Data'!E337+"AM:!2jU"</f>
        <v>#VALUE!</v>
      </c>
      <c r="GY363" t="e">
        <f>'Technical Master Data'!F337+"AM:!2jV"</f>
        <v>#VALUE!</v>
      </c>
      <c r="GZ363" t="e">
        <f>'Technical Master Data'!G337+"AM:!2jW"</f>
        <v>#VALUE!</v>
      </c>
      <c r="HA363" t="e">
        <f>'Technical Master Data'!H337+"AM:!2jX"</f>
        <v>#VALUE!</v>
      </c>
      <c r="HB363" t="e">
        <f>'Technical Master Data'!I337+"AM:!2jY"</f>
        <v>#VALUE!</v>
      </c>
      <c r="HC363" t="e">
        <f>'Technical Master Data'!J337+"AM:!2jZ"</f>
        <v>#VALUE!</v>
      </c>
      <c r="HD363" t="e">
        <f>'Technical Master Data'!K337+"AM:!2j["</f>
        <v>#VALUE!</v>
      </c>
      <c r="HE363" t="e">
        <f>'Technical Master Data'!L337+"AM:!2j\"</f>
        <v>#VALUE!</v>
      </c>
      <c r="HF363" t="e">
        <f>'Technical Master Data'!M337+"AM:!2j]"</f>
        <v>#VALUE!</v>
      </c>
      <c r="HG363" t="e">
        <f>'Technical Master Data'!N337+"AM:!2j^"</f>
        <v>#VALUE!</v>
      </c>
      <c r="HH363" t="e">
        <f>'Technical Master Data'!O337+"AM:!2j_"</f>
        <v>#VALUE!</v>
      </c>
      <c r="HI363" t="e">
        <f>'Technical Master Data'!P337+"AM:!2j`"</f>
        <v>#VALUE!</v>
      </c>
      <c r="HJ363" t="e">
        <f>'Technical Master Data'!Q337+"AM:!2ja"</f>
        <v>#VALUE!</v>
      </c>
      <c r="HK363" t="e">
        <f>'Technical Master Data'!R337+"AM:!2jb"</f>
        <v>#VALUE!</v>
      </c>
      <c r="HL363" t="e">
        <f>'Technical Master Data'!S337+"AM:!2jc"</f>
        <v>#VALUE!</v>
      </c>
      <c r="HM363" t="e">
        <f>'Technical Master Data'!A338+"AM:!2jd"</f>
        <v>#VALUE!</v>
      </c>
      <c r="HN363" t="e">
        <f>'Technical Master Data'!B338+"AM:!2je"</f>
        <v>#VALUE!</v>
      </c>
      <c r="HO363" t="e">
        <f>'Technical Master Data'!C338+"AM:!2jf"</f>
        <v>#VALUE!</v>
      </c>
      <c r="HP363" t="e">
        <f>'Technical Master Data'!D338+"AM:!2jg"</f>
        <v>#VALUE!</v>
      </c>
      <c r="HQ363" t="e">
        <f>'Technical Master Data'!E338+"AM:!2jh"</f>
        <v>#VALUE!</v>
      </c>
      <c r="HR363" t="e">
        <f>'Technical Master Data'!F338+"AM:!2ji"</f>
        <v>#VALUE!</v>
      </c>
      <c r="HS363" t="e">
        <f>'Technical Master Data'!G338+"AM:!2jj"</f>
        <v>#VALUE!</v>
      </c>
      <c r="HT363" t="e">
        <f>'Technical Master Data'!H338+"AM:!2jk"</f>
        <v>#VALUE!</v>
      </c>
      <c r="HU363" t="e">
        <f>'Technical Master Data'!I338+"AM:!2jl"</f>
        <v>#VALUE!</v>
      </c>
      <c r="HV363" t="e">
        <f>'Technical Master Data'!J338+"AM:!2jm"</f>
        <v>#VALUE!</v>
      </c>
      <c r="HW363" t="e">
        <f>'Technical Master Data'!K338+"AM:!2jn"</f>
        <v>#VALUE!</v>
      </c>
      <c r="HX363" t="e">
        <f>'Technical Master Data'!L338+"AM:!2jo"</f>
        <v>#VALUE!</v>
      </c>
      <c r="HY363" t="e">
        <f>'Technical Master Data'!M338+"AM:!2jp"</f>
        <v>#VALUE!</v>
      </c>
      <c r="HZ363" t="e">
        <f>'Technical Master Data'!N338+"AM:!2jq"</f>
        <v>#VALUE!</v>
      </c>
      <c r="IA363" t="e">
        <f>'Technical Master Data'!O338+"AM:!2jr"</f>
        <v>#VALUE!</v>
      </c>
      <c r="IB363" t="e">
        <f>'Technical Master Data'!P338+"AM:!2js"</f>
        <v>#VALUE!</v>
      </c>
      <c r="IC363" t="e">
        <f>'Technical Master Data'!Q338+"AM:!2jt"</f>
        <v>#VALUE!</v>
      </c>
      <c r="ID363" t="e">
        <f>'Technical Master Data'!R338+"AM:!2ju"</f>
        <v>#VALUE!</v>
      </c>
      <c r="IE363" t="e">
        <f>'Technical Master Data'!S338+"AM:!2jv"</f>
        <v>#VALUE!</v>
      </c>
      <c r="IF363" t="e">
        <f>'Technical Master Data'!A339+"AM:!2jw"</f>
        <v>#VALUE!</v>
      </c>
      <c r="IG363" t="e">
        <f>'Technical Master Data'!B339+"AM:!2jx"</f>
        <v>#VALUE!</v>
      </c>
      <c r="IH363" t="e">
        <f>'Technical Master Data'!C339+"AM:!2jy"</f>
        <v>#VALUE!</v>
      </c>
      <c r="II363" t="e">
        <f>'Technical Master Data'!D339+"AM:!2jz"</f>
        <v>#VALUE!</v>
      </c>
      <c r="IJ363" t="e">
        <f>'Technical Master Data'!E339+"AM:!2j{"</f>
        <v>#VALUE!</v>
      </c>
      <c r="IK363" t="e">
        <f>'Technical Master Data'!F339+"AM:!2j|"</f>
        <v>#VALUE!</v>
      </c>
      <c r="IL363" t="e">
        <f>'Technical Master Data'!G339+"AM:!2j}"</f>
        <v>#VALUE!</v>
      </c>
      <c r="IM363" t="e">
        <f>'Technical Master Data'!H339+"AM:!2j~"</f>
        <v>#VALUE!</v>
      </c>
      <c r="IN363" t="e">
        <f>'Technical Master Data'!I339+"AM:!2k#"</f>
        <v>#VALUE!</v>
      </c>
      <c r="IO363" t="e">
        <f>'Technical Master Data'!J339+"AM:!2k$"</f>
        <v>#VALUE!</v>
      </c>
      <c r="IP363" t="e">
        <f>'Technical Master Data'!K339+"AM:!2k%"</f>
        <v>#VALUE!</v>
      </c>
      <c r="IQ363" t="e">
        <f>'Technical Master Data'!L339+"AM:!2k&amp;"</f>
        <v>#VALUE!</v>
      </c>
      <c r="IR363" t="e">
        <f>'Technical Master Data'!M339+"AM:!2k'"</f>
        <v>#VALUE!</v>
      </c>
      <c r="IS363" t="e">
        <f>'Technical Master Data'!N339+"AM:!2k("</f>
        <v>#VALUE!</v>
      </c>
      <c r="IT363" t="e">
        <f>'Technical Master Data'!O339+"AM:!2k)"</f>
        <v>#VALUE!</v>
      </c>
      <c r="IU363" t="e">
        <f>'Technical Master Data'!P339+"AM:!2k."</f>
        <v>#VALUE!</v>
      </c>
      <c r="IV363" t="e">
        <f>'Technical Master Data'!Q339+"AM:!2k/"</f>
        <v>#VALUE!</v>
      </c>
    </row>
    <row r="364" spans="6:256">
      <c r="F364" t="e">
        <f>'Technical Master Data'!R339+"AM:!2k0"</f>
        <v>#VALUE!</v>
      </c>
      <c r="G364" t="e">
        <f>'Technical Master Data'!S339+"AM:!2k1"</f>
        <v>#VALUE!</v>
      </c>
      <c r="H364" t="e">
        <f>'Technical Master Data'!A340+"AM:!2k2"</f>
        <v>#VALUE!</v>
      </c>
      <c r="I364" t="e">
        <f>'Technical Master Data'!B340+"AM:!2k3"</f>
        <v>#VALUE!</v>
      </c>
      <c r="J364" t="e">
        <f>'Technical Master Data'!C340+"AM:!2k4"</f>
        <v>#VALUE!</v>
      </c>
      <c r="K364" t="e">
        <f>'Technical Master Data'!D340+"AM:!2k5"</f>
        <v>#VALUE!</v>
      </c>
      <c r="L364" t="e">
        <f>'Technical Master Data'!E340+"AM:!2k6"</f>
        <v>#VALUE!</v>
      </c>
      <c r="M364" t="e">
        <f>'Technical Master Data'!F340+"AM:!2k7"</f>
        <v>#VALUE!</v>
      </c>
      <c r="N364" t="e">
        <f>'Technical Master Data'!G340+"AM:!2k8"</f>
        <v>#VALUE!</v>
      </c>
      <c r="O364" t="e">
        <f>'Technical Master Data'!H340+"AM:!2k9"</f>
        <v>#VALUE!</v>
      </c>
      <c r="P364" t="e">
        <f>'Technical Master Data'!I340+"AM:!2k:"</f>
        <v>#VALUE!</v>
      </c>
      <c r="Q364" t="e">
        <f>'Technical Master Data'!J340+"AM:!2k;"</f>
        <v>#VALUE!</v>
      </c>
      <c r="R364" t="e">
        <f>'Technical Master Data'!K340+"AM:!2k&lt;"</f>
        <v>#VALUE!</v>
      </c>
      <c r="S364" t="e">
        <f>'Technical Master Data'!L340+"AM:!2k="</f>
        <v>#VALUE!</v>
      </c>
      <c r="T364" t="e">
        <f>'Technical Master Data'!M340+"AM:!2k&gt;"</f>
        <v>#VALUE!</v>
      </c>
      <c r="U364" t="e">
        <f>'Technical Master Data'!N340+"AM:!2k?"</f>
        <v>#VALUE!</v>
      </c>
      <c r="V364" t="e">
        <f>'Technical Master Data'!O340+"AM:!2k@"</f>
        <v>#VALUE!</v>
      </c>
      <c r="W364" t="e">
        <f>'Technical Master Data'!P340+"AM:!2kA"</f>
        <v>#VALUE!</v>
      </c>
      <c r="X364" t="e">
        <f>'Technical Master Data'!Q340+"AM:!2kB"</f>
        <v>#VALUE!</v>
      </c>
      <c r="Y364" t="e">
        <f>'Technical Master Data'!R340+"AM:!2kC"</f>
        <v>#VALUE!</v>
      </c>
      <c r="Z364" t="e">
        <f>'Technical Master Data'!S340+"AM:!2kD"</f>
        <v>#VALUE!</v>
      </c>
      <c r="AA364" t="e">
        <f>'Technical Master Data'!A341+"AM:!2kE"</f>
        <v>#VALUE!</v>
      </c>
      <c r="AB364" t="e">
        <f>'Technical Master Data'!B341+"AM:!2kF"</f>
        <v>#VALUE!</v>
      </c>
      <c r="AC364" t="e">
        <f>'Technical Master Data'!C341+"AM:!2kG"</f>
        <v>#VALUE!</v>
      </c>
      <c r="AD364" t="e">
        <f>'Technical Master Data'!D341+"AM:!2kH"</f>
        <v>#VALUE!</v>
      </c>
      <c r="AE364" t="e">
        <f>'Technical Master Data'!E341+"AM:!2kI"</f>
        <v>#VALUE!</v>
      </c>
      <c r="AF364" t="e">
        <f>'Technical Master Data'!F341+"AM:!2kJ"</f>
        <v>#VALUE!</v>
      </c>
      <c r="AG364" t="e">
        <f>'Technical Master Data'!G341+"AM:!2kK"</f>
        <v>#VALUE!</v>
      </c>
      <c r="AH364" t="e">
        <f>'Technical Master Data'!H341+"AM:!2kL"</f>
        <v>#VALUE!</v>
      </c>
      <c r="AI364" t="e">
        <f>'Technical Master Data'!I341+"AM:!2kM"</f>
        <v>#VALUE!</v>
      </c>
      <c r="AJ364" t="e">
        <f>'Technical Master Data'!J341+"AM:!2kN"</f>
        <v>#VALUE!</v>
      </c>
      <c r="AK364" t="e">
        <f>'Technical Master Data'!K341+"AM:!2kO"</f>
        <v>#VALUE!</v>
      </c>
      <c r="AL364" t="e">
        <f>'Technical Master Data'!L341+"AM:!2kP"</f>
        <v>#VALUE!</v>
      </c>
      <c r="AM364" t="e">
        <f>'Technical Master Data'!M341+"AM:!2kQ"</f>
        <v>#VALUE!</v>
      </c>
      <c r="AN364" t="e">
        <f>'Technical Master Data'!N341+"AM:!2kR"</f>
        <v>#VALUE!</v>
      </c>
      <c r="AO364" t="e">
        <f>'Technical Master Data'!O341+"AM:!2kS"</f>
        <v>#VALUE!</v>
      </c>
      <c r="AP364" t="e">
        <f>'Technical Master Data'!P341+"AM:!2kT"</f>
        <v>#VALUE!</v>
      </c>
      <c r="AQ364" t="e">
        <f>'Technical Master Data'!Q341+"AM:!2kU"</f>
        <v>#VALUE!</v>
      </c>
      <c r="AR364" t="e">
        <f>'Technical Master Data'!R341+"AM:!2kV"</f>
        <v>#VALUE!</v>
      </c>
      <c r="AS364" t="e">
        <f>'Technical Master Data'!S341+"AM:!2kW"</f>
        <v>#VALUE!</v>
      </c>
      <c r="AT364" t="e">
        <f>'Technical Master Data'!A342+"AM:!2kX"</f>
        <v>#VALUE!</v>
      </c>
      <c r="AU364" t="e">
        <f>'Technical Master Data'!B342+"AM:!2kY"</f>
        <v>#VALUE!</v>
      </c>
      <c r="AV364" t="e">
        <f>'Technical Master Data'!C342+"AM:!2kZ"</f>
        <v>#VALUE!</v>
      </c>
      <c r="AW364" t="e">
        <f>'Technical Master Data'!D342+"AM:!2k["</f>
        <v>#VALUE!</v>
      </c>
      <c r="AX364" t="e">
        <f>'Technical Master Data'!E342+"AM:!2k\"</f>
        <v>#VALUE!</v>
      </c>
      <c r="AY364" t="e">
        <f>'Technical Master Data'!F342+"AM:!2k]"</f>
        <v>#VALUE!</v>
      </c>
      <c r="AZ364" t="e">
        <f>'Technical Master Data'!G342+"AM:!2k^"</f>
        <v>#VALUE!</v>
      </c>
      <c r="BA364" t="e">
        <f>'Technical Master Data'!H342+"AM:!2k_"</f>
        <v>#VALUE!</v>
      </c>
      <c r="BB364" t="e">
        <f>'Technical Master Data'!I342+"AM:!2k`"</f>
        <v>#VALUE!</v>
      </c>
      <c r="BC364" t="e">
        <f>'Technical Master Data'!J342+"AM:!2ka"</f>
        <v>#VALUE!</v>
      </c>
      <c r="BD364" t="e">
        <f>'Technical Master Data'!K342+"AM:!2kb"</f>
        <v>#VALUE!</v>
      </c>
      <c r="BE364" t="e">
        <f>'Technical Master Data'!L342+"AM:!2kc"</f>
        <v>#VALUE!</v>
      </c>
      <c r="BF364" t="e">
        <f>'Technical Master Data'!M342+"AM:!2kd"</f>
        <v>#VALUE!</v>
      </c>
      <c r="BG364" t="e">
        <f>'Technical Master Data'!N342+"AM:!2ke"</f>
        <v>#VALUE!</v>
      </c>
      <c r="BH364" t="e">
        <f>'Technical Master Data'!O342+"AM:!2kf"</f>
        <v>#VALUE!</v>
      </c>
      <c r="BI364" t="e">
        <f>'Technical Master Data'!P342+"AM:!2kg"</f>
        <v>#VALUE!</v>
      </c>
      <c r="BJ364" t="e">
        <f>'Technical Master Data'!Q342+"AM:!2kh"</f>
        <v>#VALUE!</v>
      </c>
      <c r="BK364" t="e">
        <f>'Technical Master Data'!R342+"AM:!2ki"</f>
        <v>#VALUE!</v>
      </c>
      <c r="BL364" t="e">
        <f>'Technical Master Data'!S342+"AM:!2kj"</f>
        <v>#VALUE!</v>
      </c>
      <c r="BM364" t="e">
        <f>'Technical Master Data'!A343+"AM:!2kk"</f>
        <v>#VALUE!</v>
      </c>
      <c r="BN364" t="e">
        <f>'Technical Master Data'!B343+"AM:!2kl"</f>
        <v>#VALUE!</v>
      </c>
      <c r="BO364" t="e">
        <f>'Technical Master Data'!C343+"AM:!2km"</f>
        <v>#VALUE!</v>
      </c>
      <c r="BP364" t="e">
        <f>'Technical Master Data'!D343+"AM:!2kn"</f>
        <v>#VALUE!</v>
      </c>
      <c r="BQ364" t="e">
        <f>'Technical Master Data'!E343+"AM:!2ko"</f>
        <v>#VALUE!</v>
      </c>
      <c r="BR364" t="e">
        <f>'Technical Master Data'!F343+"AM:!2kp"</f>
        <v>#VALUE!</v>
      </c>
      <c r="BS364" t="e">
        <f>'Technical Master Data'!G343+"AM:!2kq"</f>
        <v>#VALUE!</v>
      </c>
      <c r="BT364" t="e">
        <f>'Technical Master Data'!H343+"AM:!2kr"</f>
        <v>#VALUE!</v>
      </c>
      <c r="BU364" t="e">
        <f>'Technical Master Data'!I343+"AM:!2ks"</f>
        <v>#VALUE!</v>
      </c>
      <c r="BV364" t="e">
        <f>'Technical Master Data'!J343+"AM:!2kt"</f>
        <v>#VALUE!</v>
      </c>
      <c r="BW364" t="e">
        <f>'Technical Master Data'!K343+"AM:!2ku"</f>
        <v>#VALUE!</v>
      </c>
      <c r="BX364" t="e">
        <f>'Technical Master Data'!L343+"AM:!2kv"</f>
        <v>#VALUE!</v>
      </c>
      <c r="BY364" t="e">
        <f>'Technical Master Data'!M343+"AM:!2kw"</f>
        <v>#VALUE!</v>
      </c>
      <c r="BZ364" t="e">
        <f>'Technical Master Data'!N343+"AM:!2kx"</f>
        <v>#VALUE!</v>
      </c>
      <c r="CA364" t="e">
        <f>'Technical Master Data'!O343+"AM:!2ky"</f>
        <v>#VALUE!</v>
      </c>
      <c r="CB364" t="e">
        <f>'Technical Master Data'!P343+"AM:!2kz"</f>
        <v>#VALUE!</v>
      </c>
      <c r="CC364" t="e">
        <f>'Technical Master Data'!Q343+"AM:!2k{"</f>
        <v>#VALUE!</v>
      </c>
      <c r="CD364" t="e">
        <f>'Technical Master Data'!R343+"AM:!2k|"</f>
        <v>#VALUE!</v>
      </c>
      <c r="CE364" t="e">
        <f>'Technical Master Data'!S343+"AM:!2k}"</f>
        <v>#VALUE!</v>
      </c>
      <c r="CF364" t="e">
        <f>'Technical Master Data'!A344+"AM:!2k~"</f>
        <v>#VALUE!</v>
      </c>
      <c r="CG364" t="e">
        <f>'Technical Master Data'!B344+"AM:!2l#"</f>
        <v>#VALUE!</v>
      </c>
      <c r="CH364" t="e">
        <f>'Technical Master Data'!C344+"AM:!2l$"</f>
        <v>#VALUE!</v>
      </c>
      <c r="CI364" t="e">
        <f>'Technical Master Data'!D344+"AM:!2l%"</f>
        <v>#VALUE!</v>
      </c>
      <c r="CJ364" t="e">
        <f>'Technical Master Data'!E344+"AM:!2l&amp;"</f>
        <v>#VALUE!</v>
      </c>
      <c r="CK364" t="e">
        <f>'Technical Master Data'!F344+"AM:!2l'"</f>
        <v>#VALUE!</v>
      </c>
      <c r="CL364" t="e">
        <f>'Technical Master Data'!G344+"AM:!2l("</f>
        <v>#VALUE!</v>
      </c>
      <c r="CM364" t="e">
        <f>'Technical Master Data'!H344+"AM:!2l)"</f>
        <v>#VALUE!</v>
      </c>
      <c r="CN364" t="e">
        <f>'Technical Master Data'!I344+"AM:!2l."</f>
        <v>#VALUE!</v>
      </c>
      <c r="CO364" t="e">
        <f>'Technical Master Data'!J344+"AM:!2l/"</f>
        <v>#VALUE!</v>
      </c>
      <c r="CP364" t="e">
        <f>'Technical Master Data'!K344+"AM:!2l0"</f>
        <v>#VALUE!</v>
      </c>
      <c r="CQ364" t="e">
        <f>'Technical Master Data'!L344+"AM:!2l1"</f>
        <v>#VALUE!</v>
      </c>
      <c r="CR364" t="e">
        <f>'Technical Master Data'!M344+"AM:!2l2"</f>
        <v>#VALUE!</v>
      </c>
      <c r="CS364" t="e">
        <f>'Technical Master Data'!N344+"AM:!2l3"</f>
        <v>#VALUE!</v>
      </c>
      <c r="CT364" t="e">
        <f>'Technical Master Data'!O344+"AM:!2l4"</f>
        <v>#VALUE!</v>
      </c>
      <c r="CU364" t="e">
        <f>'Technical Master Data'!P344+"AM:!2l5"</f>
        <v>#VALUE!</v>
      </c>
      <c r="CV364" t="e">
        <f>'Technical Master Data'!Q344+"AM:!2l6"</f>
        <v>#VALUE!</v>
      </c>
      <c r="CW364" t="e">
        <f>'Technical Master Data'!R344+"AM:!2l7"</f>
        <v>#VALUE!</v>
      </c>
      <c r="CX364" t="e">
        <f>'Technical Master Data'!S344+"AM:!2l8"</f>
        <v>#VALUE!</v>
      </c>
      <c r="CY364" t="e">
        <f>'Technical Master Data'!A345+"AM:!2l9"</f>
        <v>#VALUE!</v>
      </c>
      <c r="CZ364" t="e">
        <f>'Technical Master Data'!B345+"AM:!2l:"</f>
        <v>#VALUE!</v>
      </c>
      <c r="DA364" t="e">
        <f>'Technical Master Data'!C345+"AM:!2l;"</f>
        <v>#VALUE!</v>
      </c>
      <c r="DB364" t="e">
        <f>'Technical Master Data'!D345+"AM:!2l&lt;"</f>
        <v>#VALUE!</v>
      </c>
      <c r="DC364" t="e">
        <f>'Technical Master Data'!E345+"AM:!2l="</f>
        <v>#VALUE!</v>
      </c>
      <c r="DD364" t="e">
        <f>'Technical Master Data'!F345+"AM:!2l&gt;"</f>
        <v>#VALUE!</v>
      </c>
      <c r="DE364" t="e">
        <f>'Technical Master Data'!G345+"AM:!2l?"</f>
        <v>#VALUE!</v>
      </c>
      <c r="DF364" t="e">
        <f>'Technical Master Data'!H345+"AM:!2l@"</f>
        <v>#VALUE!</v>
      </c>
      <c r="DG364" t="e">
        <f>'Technical Master Data'!I345+"AM:!2lA"</f>
        <v>#VALUE!</v>
      </c>
      <c r="DH364" t="e">
        <f>'Technical Master Data'!J345+"AM:!2lB"</f>
        <v>#VALUE!</v>
      </c>
      <c r="DI364" t="e">
        <f>'Technical Master Data'!K345+"AM:!2lC"</f>
        <v>#VALUE!</v>
      </c>
      <c r="DJ364" t="e">
        <f>'Technical Master Data'!L345+"AM:!2lD"</f>
        <v>#VALUE!</v>
      </c>
      <c r="DK364" t="e">
        <f>'Technical Master Data'!M345+"AM:!2lE"</f>
        <v>#VALUE!</v>
      </c>
      <c r="DL364" t="e">
        <f>'Technical Master Data'!N345+"AM:!2lF"</f>
        <v>#VALUE!</v>
      </c>
      <c r="DM364" t="e">
        <f>'Technical Master Data'!O345+"AM:!2lG"</f>
        <v>#VALUE!</v>
      </c>
      <c r="DN364" t="e">
        <f>'Technical Master Data'!P345+"AM:!2lH"</f>
        <v>#VALUE!</v>
      </c>
      <c r="DO364" t="e">
        <f>'Technical Master Data'!Q345+"AM:!2lI"</f>
        <v>#VALUE!</v>
      </c>
      <c r="DP364" t="e">
        <f>'Technical Master Data'!R345+"AM:!2lJ"</f>
        <v>#VALUE!</v>
      </c>
      <c r="DQ364" t="e">
        <f>'Technical Master Data'!S345+"AM:!2lK"</f>
        <v>#VALUE!</v>
      </c>
      <c r="DR364" t="e">
        <f>'Technical Master Data'!A346+"AM:!2lL"</f>
        <v>#VALUE!</v>
      </c>
      <c r="DS364" t="e">
        <f>'Technical Master Data'!B346+"AM:!2lM"</f>
        <v>#VALUE!</v>
      </c>
      <c r="DT364" t="e">
        <f>'Technical Master Data'!C346+"AM:!2lN"</f>
        <v>#VALUE!</v>
      </c>
      <c r="DU364" t="e">
        <f>'Technical Master Data'!D346+"AM:!2lO"</f>
        <v>#VALUE!</v>
      </c>
      <c r="DV364" t="e">
        <f>'Technical Master Data'!E346+"AM:!2lP"</f>
        <v>#VALUE!</v>
      </c>
      <c r="DW364" t="e">
        <f>'Technical Master Data'!F346+"AM:!2lQ"</f>
        <v>#VALUE!</v>
      </c>
      <c r="DX364" t="e">
        <f>'Technical Master Data'!G346+"AM:!2lR"</f>
        <v>#VALUE!</v>
      </c>
      <c r="DY364" t="e">
        <f>'Technical Master Data'!H346+"AM:!2lS"</f>
        <v>#VALUE!</v>
      </c>
      <c r="DZ364" t="e">
        <f>'Technical Master Data'!I346+"AM:!2lT"</f>
        <v>#VALUE!</v>
      </c>
      <c r="EA364" t="e">
        <f>'Technical Master Data'!J346+"AM:!2lU"</f>
        <v>#VALUE!</v>
      </c>
      <c r="EB364" t="e">
        <f>'Technical Master Data'!K346+"AM:!2lV"</f>
        <v>#VALUE!</v>
      </c>
      <c r="EC364" t="e">
        <f>'Technical Master Data'!L346+"AM:!2lW"</f>
        <v>#VALUE!</v>
      </c>
      <c r="ED364" t="e">
        <f>'Technical Master Data'!M346+"AM:!2lX"</f>
        <v>#VALUE!</v>
      </c>
      <c r="EE364" t="e">
        <f>'Technical Master Data'!N346+"AM:!2lY"</f>
        <v>#VALUE!</v>
      </c>
      <c r="EF364" t="e">
        <f>'Technical Master Data'!O346+"AM:!2lZ"</f>
        <v>#VALUE!</v>
      </c>
      <c r="EG364" t="e">
        <f>'Technical Master Data'!P346+"AM:!2l["</f>
        <v>#VALUE!</v>
      </c>
      <c r="EH364" t="e">
        <f>'Technical Master Data'!Q346+"AM:!2l\"</f>
        <v>#VALUE!</v>
      </c>
      <c r="EI364" t="e">
        <f>'Technical Master Data'!R346+"AM:!2l]"</f>
        <v>#VALUE!</v>
      </c>
      <c r="EJ364" t="e">
        <f>'Technical Master Data'!S346+"AM:!2l^"</f>
        <v>#VALUE!</v>
      </c>
      <c r="EK364" t="e">
        <f>'Technical Master Data'!A347+"AM:!2l_"</f>
        <v>#VALUE!</v>
      </c>
      <c r="EL364" t="e">
        <f>'Technical Master Data'!B347+"AM:!2l`"</f>
        <v>#VALUE!</v>
      </c>
      <c r="EM364" t="e">
        <f>'Technical Master Data'!C347+"AM:!2la"</f>
        <v>#VALUE!</v>
      </c>
      <c r="EN364" t="e">
        <f>'Technical Master Data'!D347+"AM:!2lb"</f>
        <v>#VALUE!</v>
      </c>
      <c r="EO364" t="e">
        <f>'Technical Master Data'!E347+"AM:!2lc"</f>
        <v>#VALUE!</v>
      </c>
      <c r="EP364" t="e">
        <f>'Technical Master Data'!F347+"AM:!2ld"</f>
        <v>#VALUE!</v>
      </c>
      <c r="EQ364" t="e">
        <f>'Technical Master Data'!G347+"AM:!2le"</f>
        <v>#VALUE!</v>
      </c>
      <c r="ER364" t="e">
        <f>'Technical Master Data'!H347+"AM:!2lf"</f>
        <v>#VALUE!</v>
      </c>
      <c r="ES364" t="e">
        <f>'Technical Master Data'!I347+"AM:!2lg"</f>
        <v>#VALUE!</v>
      </c>
      <c r="ET364" t="e">
        <f>'Technical Master Data'!J347+"AM:!2lh"</f>
        <v>#VALUE!</v>
      </c>
      <c r="EU364" t="e">
        <f>'Technical Master Data'!K347+"AM:!2li"</f>
        <v>#VALUE!</v>
      </c>
      <c r="EV364" t="e">
        <f>'Technical Master Data'!L347+"AM:!2lj"</f>
        <v>#VALUE!</v>
      </c>
      <c r="EW364" t="e">
        <f>'Technical Master Data'!M347+"AM:!2lk"</f>
        <v>#VALUE!</v>
      </c>
      <c r="EX364" t="e">
        <f>'Technical Master Data'!N347+"AM:!2ll"</f>
        <v>#VALUE!</v>
      </c>
      <c r="EY364" t="e">
        <f>'Technical Master Data'!O347+"AM:!2lm"</f>
        <v>#VALUE!</v>
      </c>
      <c r="EZ364" t="e">
        <f>'Technical Master Data'!P347+"AM:!2ln"</f>
        <v>#VALUE!</v>
      </c>
      <c r="FA364" t="e">
        <f>'Technical Master Data'!Q347+"AM:!2lo"</f>
        <v>#VALUE!</v>
      </c>
      <c r="FB364" t="e">
        <f>'Technical Master Data'!R347+"AM:!2lp"</f>
        <v>#VALUE!</v>
      </c>
      <c r="FC364" t="e">
        <f>'Technical Master Data'!S347+"AM:!2lq"</f>
        <v>#VALUE!</v>
      </c>
      <c r="FD364" t="e">
        <f>'Technical Master Data'!A348+"AM:!2lr"</f>
        <v>#VALUE!</v>
      </c>
      <c r="FE364" t="e">
        <f>'Technical Master Data'!B348+"AM:!2ls"</f>
        <v>#VALUE!</v>
      </c>
      <c r="FF364" t="e">
        <f>'Technical Master Data'!C348+"AM:!2lt"</f>
        <v>#VALUE!</v>
      </c>
      <c r="FG364" t="e">
        <f>'Technical Master Data'!D348+"AM:!2lu"</f>
        <v>#VALUE!</v>
      </c>
      <c r="FH364" t="e">
        <f>'Technical Master Data'!E348+"AM:!2lv"</f>
        <v>#VALUE!</v>
      </c>
      <c r="FI364" t="e">
        <f>'Technical Master Data'!F348+"AM:!2lw"</f>
        <v>#VALUE!</v>
      </c>
      <c r="FJ364" t="e">
        <f>'Technical Master Data'!G348+"AM:!2lx"</f>
        <v>#VALUE!</v>
      </c>
      <c r="FK364" t="e">
        <f>'Technical Master Data'!H348+"AM:!2ly"</f>
        <v>#VALUE!</v>
      </c>
      <c r="FL364" t="e">
        <f>'Technical Master Data'!I348+"AM:!2lz"</f>
        <v>#VALUE!</v>
      </c>
      <c r="FM364" t="e">
        <f>'Technical Master Data'!J348+"AM:!2l{"</f>
        <v>#VALUE!</v>
      </c>
      <c r="FN364" t="e">
        <f>'Technical Master Data'!K348+"AM:!2l|"</f>
        <v>#VALUE!</v>
      </c>
      <c r="FO364" t="e">
        <f>'Technical Master Data'!L348+"AM:!2l}"</f>
        <v>#VALUE!</v>
      </c>
      <c r="FP364" t="e">
        <f>'Technical Master Data'!M348+"AM:!2l~"</f>
        <v>#VALUE!</v>
      </c>
      <c r="FQ364" t="e">
        <f>'Technical Master Data'!N348+"AM:!2m#"</f>
        <v>#VALUE!</v>
      </c>
      <c r="FR364" t="e">
        <f>'Technical Master Data'!O348+"AM:!2m$"</f>
        <v>#VALUE!</v>
      </c>
      <c r="FS364" t="e">
        <f>'Technical Master Data'!P348+"AM:!2m%"</f>
        <v>#VALUE!</v>
      </c>
      <c r="FT364" t="e">
        <f>'Technical Master Data'!Q348+"AM:!2m&amp;"</f>
        <v>#VALUE!</v>
      </c>
      <c r="FU364" t="e">
        <f>'Technical Master Data'!R348+"AM:!2m'"</f>
        <v>#VALUE!</v>
      </c>
      <c r="FV364" t="e">
        <f>'Technical Master Data'!S348+"AM:!2m("</f>
        <v>#VALUE!</v>
      </c>
      <c r="FW364" t="e">
        <f>'Technical Master Data'!A349+"AM:!2m)"</f>
        <v>#VALUE!</v>
      </c>
      <c r="FX364" t="e">
        <f>'Technical Master Data'!B349+"AM:!2m."</f>
        <v>#VALUE!</v>
      </c>
      <c r="FY364" t="e">
        <f>'Technical Master Data'!C349+"AM:!2m/"</f>
        <v>#VALUE!</v>
      </c>
      <c r="FZ364" t="e">
        <f>'Technical Master Data'!D349+"AM:!2m0"</f>
        <v>#VALUE!</v>
      </c>
      <c r="GA364" t="e">
        <f>'Technical Master Data'!E349+"AM:!2m1"</f>
        <v>#VALUE!</v>
      </c>
      <c r="GB364" t="e">
        <f>'Technical Master Data'!F349+"AM:!2m2"</f>
        <v>#VALUE!</v>
      </c>
      <c r="GC364" t="e">
        <f>'Technical Master Data'!G349+"AM:!2m3"</f>
        <v>#VALUE!</v>
      </c>
      <c r="GD364" t="e">
        <f>'Technical Master Data'!H349+"AM:!2m4"</f>
        <v>#VALUE!</v>
      </c>
      <c r="GE364" t="e">
        <f>'Technical Master Data'!I349+"AM:!2m5"</f>
        <v>#VALUE!</v>
      </c>
      <c r="GF364" t="e">
        <f>'Technical Master Data'!J349+"AM:!2m6"</f>
        <v>#VALUE!</v>
      </c>
      <c r="GG364" t="e">
        <f>'Technical Master Data'!K349+"AM:!2m7"</f>
        <v>#VALUE!</v>
      </c>
      <c r="GH364" t="e">
        <f>'Technical Master Data'!L349+"AM:!2m8"</f>
        <v>#VALUE!</v>
      </c>
      <c r="GI364" t="e">
        <f>'Technical Master Data'!M349+"AM:!2m9"</f>
        <v>#VALUE!</v>
      </c>
      <c r="GJ364" t="e">
        <f>'Technical Master Data'!N349+"AM:!2m:"</f>
        <v>#VALUE!</v>
      </c>
      <c r="GK364" t="e">
        <f>'Technical Master Data'!O349+"AM:!2m;"</f>
        <v>#VALUE!</v>
      </c>
      <c r="GL364" t="e">
        <f>'Technical Master Data'!P349+"AM:!2m&lt;"</f>
        <v>#VALUE!</v>
      </c>
      <c r="GM364" t="e">
        <f>'Technical Master Data'!Q349+"AM:!2m="</f>
        <v>#VALUE!</v>
      </c>
      <c r="GN364" t="e">
        <f>'Technical Master Data'!R349+"AM:!2m&gt;"</f>
        <v>#VALUE!</v>
      </c>
      <c r="GO364" t="e">
        <f>'Technical Master Data'!S349+"AM:!2m?"</f>
        <v>#VALUE!</v>
      </c>
      <c r="GP364" t="e">
        <f>'Technical Master Data'!A350+"AM:!2m@"</f>
        <v>#VALUE!</v>
      </c>
      <c r="GQ364" t="e">
        <f>'Technical Master Data'!B350+"AM:!2mA"</f>
        <v>#VALUE!</v>
      </c>
      <c r="GR364" t="e">
        <f>'Technical Master Data'!C350+"AM:!2mB"</f>
        <v>#VALUE!</v>
      </c>
      <c r="GS364" t="e">
        <f>'Technical Master Data'!D350+"AM:!2mC"</f>
        <v>#VALUE!</v>
      </c>
      <c r="GT364" t="e">
        <f>'Technical Master Data'!E350+"AM:!2mD"</f>
        <v>#VALUE!</v>
      </c>
      <c r="GU364" t="e">
        <f>'Technical Master Data'!F350+"AM:!2mE"</f>
        <v>#VALUE!</v>
      </c>
      <c r="GV364" t="e">
        <f>'Technical Master Data'!G350+"AM:!2mF"</f>
        <v>#VALUE!</v>
      </c>
      <c r="GW364" t="e">
        <f>'Technical Master Data'!H350+"AM:!2mG"</f>
        <v>#VALUE!</v>
      </c>
      <c r="GX364" t="e">
        <f>'Technical Master Data'!I350+"AM:!2mH"</f>
        <v>#VALUE!</v>
      </c>
      <c r="GY364" t="e">
        <f>'Technical Master Data'!J350+"AM:!2mI"</f>
        <v>#VALUE!</v>
      </c>
      <c r="GZ364" t="e">
        <f>'Technical Master Data'!K350+"AM:!2mJ"</f>
        <v>#VALUE!</v>
      </c>
      <c r="HA364" t="e">
        <f>'Technical Master Data'!L350+"AM:!2mK"</f>
        <v>#VALUE!</v>
      </c>
      <c r="HB364" t="e">
        <f>'Technical Master Data'!M350+"AM:!2mL"</f>
        <v>#VALUE!</v>
      </c>
      <c r="HC364" t="e">
        <f>'Technical Master Data'!N350+"AM:!2mM"</f>
        <v>#VALUE!</v>
      </c>
      <c r="HD364" t="e">
        <f>'Technical Master Data'!O350+"AM:!2mN"</f>
        <v>#VALUE!</v>
      </c>
      <c r="HE364" t="e">
        <f>'Technical Master Data'!P350+"AM:!2mO"</f>
        <v>#VALUE!</v>
      </c>
      <c r="HF364" t="e">
        <f>'Technical Master Data'!Q350+"AM:!2mP"</f>
        <v>#VALUE!</v>
      </c>
      <c r="HG364" t="e">
        <f>'Technical Master Data'!R350+"AM:!2mQ"</f>
        <v>#VALUE!</v>
      </c>
      <c r="HH364" t="e">
        <f>'Technical Master Data'!S350+"AM:!2mR"</f>
        <v>#VALUE!</v>
      </c>
      <c r="HI364" t="e">
        <f>'Technical Master Data'!A351+"AM:!2mS"</f>
        <v>#VALUE!</v>
      </c>
      <c r="HJ364" t="e">
        <f>'Technical Master Data'!B351+"AM:!2mT"</f>
        <v>#VALUE!</v>
      </c>
      <c r="HK364" t="e">
        <f>'Technical Master Data'!C351+"AM:!2mU"</f>
        <v>#VALUE!</v>
      </c>
      <c r="HL364" t="e">
        <f>'Technical Master Data'!D351+"AM:!2mV"</f>
        <v>#VALUE!</v>
      </c>
      <c r="HM364" t="e">
        <f>'Technical Master Data'!E351+"AM:!2mW"</f>
        <v>#VALUE!</v>
      </c>
      <c r="HN364" t="e">
        <f>'Technical Master Data'!F351+"AM:!2mX"</f>
        <v>#VALUE!</v>
      </c>
      <c r="HO364" t="e">
        <f>'Technical Master Data'!G351+"AM:!2mY"</f>
        <v>#VALUE!</v>
      </c>
      <c r="HP364" t="e">
        <f>'Technical Master Data'!H351+"AM:!2mZ"</f>
        <v>#VALUE!</v>
      </c>
      <c r="HQ364" t="e">
        <f>'Technical Master Data'!I351+"AM:!2m["</f>
        <v>#VALUE!</v>
      </c>
      <c r="HR364" t="e">
        <f>'Technical Master Data'!J351+"AM:!2m\"</f>
        <v>#VALUE!</v>
      </c>
      <c r="HS364" t="e">
        <f>'Technical Master Data'!K351+"AM:!2m]"</f>
        <v>#VALUE!</v>
      </c>
      <c r="HT364" t="e">
        <f>'Technical Master Data'!L351+"AM:!2m^"</f>
        <v>#VALUE!</v>
      </c>
      <c r="HU364" t="e">
        <f>'Technical Master Data'!M351+"AM:!2m_"</f>
        <v>#VALUE!</v>
      </c>
      <c r="HV364" t="e">
        <f>'Technical Master Data'!N351+"AM:!2m`"</f>
        <v>#VALUE!</v>
      </c>
      <c r="HW364" t="e">
        <f>'Technical Master Data'!O351+"AM:!2ma"</f>
        <v>#VALUE!</v>
      </c>
      <c r="HX364" t="e">
        <f>'Technical Master Data'!P351+"AM:!2mb"</f>
        <v>#VALUE!</v>
      </c>
      <c r="HY364" t="e">
        <f>'Technical Master Data'!Q351+"AM:!2mc"</f>
        <v>#VALUE!</v>
      </c>
      <c r="HZ364" t="e">
        <f>'Technical Master Data'!R351+"AM:!2md"</f>
        <v>#VALUE!</v>
      </c>
      <c r="IA364" t="e">
        <f>'Technical Master Data'!S351+"AM:!2me"</f>
        <v>#VALUE!</v>
      </c>
      <c r="IB364" t="e">
        <f>'Technical Master Data'!A352+"AM:!2mf"</f>
        <v>#VALUE!</v>
      </c>
      <c r="IC364" t="e">
        <f>'Technical Master Data'!B352+"AM:!2mg"</f>
        <v>#VALUE!</v>
      </c>
      <c r="ID364" t="e">
        <f>'Technical Master Data'!C352+"AM:!2mh"</f>
        <v>#VALUE!</v>
      </c>
      <c r="IE364" t="e">
        <f>'Technical Master Data'!D352+"AM:!2mi"</f>
        <v>#VALUE!</v>
      </c>
      <c r="IF364" t="e">
        <f>'Technical Master Data'!E352+"AM:!2mj"</f>
        <v>#VALUE!</v>
      </c>
      <c r="IG364" t="e">
        <f>'Technical Master Data'!F352+"AM:!2mk"</f>
        <v>#VALUE!</v>
      </c>
      <c r="IH364" t="e">
        <f>'Technical Master Data'!G352+"AM:!2ml"</f>
        <v>#VALUE!</v>
      </c>
      <c r="II364" t="e">
        <f>'Technical Master Data'!H352+"AM:!2mm"</f>
        <v>#VALUE!</v>
      </c>
      <c r="IJ364" t="e">
        <f>'Technical Master Data'!I352+"AM:!2mn"</f>
        <v>#VALUE!</v>
      </c>
      <c r="IK364" t="e">
        <f>'Technical Master Data'!J352+"AM:!2mo"</f>
        <v>#VALUE!</v>
      </c>
      <c r="IL364" t="e">
        <f>'Technical Master Data'!K352+"AM:!2mp"</f>
        <v>#VALUE!</v>
      </c>
      <c r="IM364" t="e">
        <f>'Technical Master Data'!L352+"AM:!2mq"</f>
        <v>#VALUE!</v>
      </c>
      <c r="IN364" t="e">
        <f>'Technical Master Data'!M352+"AM:!2mr"</f>
        <v>#VALUE!</v>
      </c>
      <c r="IO364" t="e">
        <f>'Technical Master Data'!N352+"AM:!2ms"</f>
        <v>#VALUE!</v>
      </c>
      <c r="IP364" t="e">
        <f>'Technical Master Data'!O352+"AM:!2mt"</f>
        <v>#VALUE!</v>
      </c>
      <c r="IQ364" t="e">
        <f>'Technical Master Data'!P352+"AM:!2mu"</f>
        <v>#VALUE!</v>
      </c>
      <c r="IR364" t="e">
        <f>'Technical Master Data'!Q352+"AM:!2mv"</f>
        <v>#VALUE!</v>
      </c>
      <c r="IS364" t="e">
        <f>'Technical Master Data'!R352+"AM:!2mw"</f>
        <v>#VALUE!</v>
      </c>
      <c r="IT364" t="e">
        <f>'Technical Master Data'!S352+"AM:!2mx"</f>
        <v>#VALUE!</v>
      </c>
      <c r="IU364" t="e">
        <f>'Technical Master Data'!A353+"AM:!2my"</f>
        <v>#VALUE!</v>
      </c>
      <c r="IV364" t="e">
        <f>'Technical Master Data'!B353+"AM:!2mz"</f>
        <v>#VALUE!</v>
      </c>
    </row>
    <row r="365" spans="6:256">
      <c r="F365" t="e">
        <f>'Technical Master Data'!C353+"AM:!2m{"</f>
        <v>#VALUE!</v>
      </c>
      <c r="G365" t="e">
        <f>'Technical Master Data'!D353+"AM:!2m|"</f>
        <v>#VALUE!</v>
      </c>
      <c r="H365" t="e">
        <f>'Technical Master Data'!E353+"AM:!2m}"</f>
        <v>#VALUE!</v>
      </c>
      <c r="I365" t="e">
        <f>'Technical Master Data'!F353+"AM:!2m~"</f>
        <v>#VALUE!</v>
      </c>
      <c r="J365" t="e">
        <f>'Technical Master Data'!G353+"AM:!2n#"</f>
        <v>#VALUE!</v>
      </c>
      <c r="K365" t="e">
        <f>'Technical Master Data'!H353+"AM:!2n$"</f>
        <v>#VALUE!</v>
      </c>
      <c r="L365" t="e">
        <f>'Technical Master Data'!I353+"AM:!2n%"</f>
        <v>#VALUE!</v>
      </c>
      <c r="M365" t="e">
        <f>'Technical Master Data'!J353+"AM:!2n&amp;"</f>
        <v>#VALUE!</v>
      </c>
      <c r="N365" t="e">
        <f>'Technical Master Data'!K353+"AM:!2n'"</f>
        <v>#VALUE!</v>
      </c>
      <c r="O365" t="e">
        <f>'Technical Master Data'!L353+"AM:!2n("</f>
        <v>#VALUE!</v>
      </c>
      <c r="P365" t="e">
        <f>'Technical Master Data'!M353+"AM:!2n)"</f>
        <v>#VALUE!</v>
      </c>
      <c r="Q365" t="e">
        <f>'Technical Master Data'!N353+"AM:!2n."</f>
        <v>#VALUE!</v>
      </c>
      <c r="R365" t="e">
        <f>'Technical Master Data'!O353+"AM:!2n/"</f>
        <v>#VALUE!</v>
      </c>
      <c r="S365" t="e">
        <f>'Technical Master Data'!P353+"AM:!2n0"</f>
        <v>#VALUE!</v>
      </c>
      <c r="T365" t="e">
        <f>'Technical Master Data'!Q353+"AM:!2n1"</f>
        <v>#VALUE!</v>
      </c>
      <c r="U365" t="e">
        <f>'Technical Master Data'!R353+"AM:!2n2"</f>
        <v>#VALUE!</v>
      </c>
      <c r="V365" t="e">
        <f>'Technical Master Data'!S353+"AM:!2n3"</f>
        <v>#VALUE!</v>
      </c>
      <c r="W365" t="e">
        <f>'Technical Master Data'!A354+"AM:!2n4"</f>
        <v>#VALUE!</v>
      </c>
      <c r="X365" t="e">
        <f>'Technical Master Data'!B354+"AM:!2n5"</f>
        <v>#VALUE!</v>
      </c>
      <c r="Y365" t="e">
        <f>'Technical Master Data'!C354+"AM:!2n6"</f>
        <v>#VALUE!</v>
      </c>
      <c r="Z365" t="e">
        <f>'Technical Master Data'!D354+"AM:!2n7"</f>
        <v>#VALUE!</v>
      </c>
      <c r="AA365" t="e">
        <f>'Technical Master Data'!E354+"AM:!2n8"</f>
        <v>#VALUE!</v>
      </c>
      <c r="AB365" t="e">
        <f>'Technical Master Data'!F354+"AM:!2n9"</f>
        <v>#VALUE!</v>
      </c>
      <c r="AC365" t="e">
        <f>'Technical Master Data'!G354+"AM:!2n:"</f>
        <v>#VALUE!</v>
      </c>
      <c r="AD365" t="e">
        <f>'Technical Master Data'!H354+"AM:!2n;"</f>
        <v>#VALUE!</v>
      </c>
      <c r="AE365" t="e">
        <f>'Technical Master Data'!I354+"AM:!2n&lt;"</f>
        <v>#VALUE!</v>
      </c>
      <c r="AF365" t="e">
        <f>'Technical Master Data'!J354+"AM:!2n="</f>
        <v>#VALUE!</v>
      </c>
      <c r="AG365" t="e">
        <f>'Technical Master Data'!K354+"AM:!2n&gt;"</f>
        <v>#VALUE!</v>
      </c>
      <c r="AH365" t="e">
        <f>'Technical Master Data'!L354+"AM:!2n?"</f>
        <v>#VALUE!</v>
      </c>
      <c r="AI365" t="e">
        <f>'Technical Master Data'!M354+"AM:!2n@"</f>
        <v>#VALUE!</v>
      </c>
      <c r="AJ365" t="e">
        <f>'Technical Master Data'!N354+"AM:!2nA"</f>
        <v>#VALUE!</v>
      </c>
      <c r="AK365" t="e">
        <f>'Technical Master Data'!O354+"AM:!2nB"</f>
        <v>#VALUE!</v>
      </c>
      <c r="AL365" t="e">
        <f>'Technical Master Data'!P354+"AM:!2nC"</f>
        <v>#VALUE!</v>
      </c>
      <c r="AM365" t="e">
        <f>'Technical Master Data'!Q354+"AM:!2nD"</f>
        <v>#VALUE!</v>
      </c>
      <c r="AN365" t="e">
        <f>'Technical Master Data'!R354+"AM:!2nE"</f>
        <v>#VALUE!</v>
      </c>
      <c r="AO365" t="e">
        <f>'Technical Master Data'!S354+"AM:!2nF"</f>
        <v>#VALUE!</v>
      </c>
      <c r="AP365" t="e">
        <f>'Technical Master Data'!A355+"AM:!2nG"</f>
        <v>#VALUE!</v>
      </c>
      <c r="AQ365" t="e">
        <f>'Technical Master Data'!B355+"AM:!2nH"</f>
        <v>#VALUE!</v>
      </c>
      <c r="AR365" t="e">
        <f>'Technical Master Data'!C355+"AM:!2nI"</f>
        <v>#VALUE!</v>
      </c>
      <c r="AS365" t="e">
        <f>'Technical Master Data'!D355+"AM:!2nJ"</f>
        <v>#VALUE!</v>
      </c>
      <c r="AT365" t="e">
        <f>'Technical Master Data'!E355+"AM:!2nK"</f>
        <v>#VALUE!</v>
      </c>
      <c r="AU365" t="e">
        <f>'Technical Master Data'!F355+"AM:!2nL"</f>
        <v>#VALUE!</v>
      </c>
      <c r="AV365" t="e">
        <f>'Technical Master Data'!G355+"AM:!2nM"</f>
        <v>#VALUE!</v>
      </c>
      <c r="AW365" t="e">
        <f>'Technical Master Data'!H355+"AM:!2nN"</f>
        <v>#VALUE!</v>
      </c>
      <c r="AX365" t="e">
        <f>'Technical Master Data'!I355+"AM:!2nO"</f>
        <v>#VALUE!</v>
      </c>
      <c r="AY365" t="e">
        <f>'Technical Master Data'!J355+"AM:!2nP"</f>
        <v>#VALUE!</v>
      </c>
      <c r="AZ365" t="e">
        <f>'Technical Master Data'!K355+"AM:!2nQ"</f>
        <v>#VALUE!</v>
      </c>
      <c r="BA365" t="e">
        <f>'Technical Master Data'!L355+"AM:!2nR"</f>
        <v>#VALUE!</v>
      </c>
      <c r="BB365" t="e">
        <f>'Technical Master Data'!M355+"AM:!2nS"</f>
        <v>#VALUE!</v>
      </c>
      <c r="BC365" t="e">
        <f>'Technical Master Data'!N355+"AM:!2nT"</f>
        <v>#VALUE!</v>
      </c>
      <c r="BD365" t="e">
        <f>'Technical Master Data'!O355+"AM:!2nU"</f>
        <v>#VALUE!</v>
      </c>
      <c r="BE365" t="e">
        <f>'Technical Master Data'!P355+"AM:!2nV"</f>
        <v>#VALUE!</v>
      </c>
      <c r="BF365" t="e">
        <f>'Technical Master Data'!Q355+"AM:!2nW"</f>
        <v>#VALUE!</v>
      </c>
      <c r="BG365" t="e">
        <f>'Technical Master Data'!R355+"AM:!2nX"</f>
        <v>#VALUE!</v>
      </c>
      <c r="BH365" t="e">
        <f>'Technical Master Data'!S355+"AM:!2nY"</f>
        <v>#VALUE!</v>
      </c>
      <c r="BI365" t="e">
        <f>'Technical Master Data'!A356+"AM:!2nZ"</f>
        <v>#VALUE!</v>
      </c>
      <c r="BJ365" t="e">
        <f>'Technical Master Data'!B356+"AM:!2n["</f>
        <v>#VALUE!</v>
      </c>
      <c r="BK365" t="e">
        <f>'Technical Master Data'!C356+"AM:!2n\"</f>
        <v>#VALUE!</v>
      </c>
      <c r="BL365" t="e">
        <f>'Technical Master Data'!D356+"AM:!2n]"</f>
        <v>#VALUE!</v>
      </c>
      <c r="BM365" t="e">
        <f>'Technical Master Data'!E356+"AM:!2n^"</f>
        <v>#VALUE!</v>
      </c>
      <c r="BN365" t="e">
        <f>'Technical Master Data'!F356+"AM:!2n_"</f>
        <v>#VALUE!</v>
      </c>
      <c r="BO365" t="e">
        <f>'Technical Master Data'!G356+"AM:!2n`"</f>
        <v>#VALUE!</v>
      </c>
      <c r="BP365" t="e">
        <f>'Technical Master Data'!H356+"AM:!2na"</f>
        <v>#VALUE!</v>
      </c>
      <c r="BQ365" t="e">
        <f>'Technical Master Data'!I356+"AM:!2nb"</f>
        <v>#VALUE!</v>
      </c>
      <c r="BR365" t="e">
        <f>'Technical Master Data'!J356+"AM:!2nc"</f>
        <v>#VALUE!</v>
      </c>
      <c r="BS365" t="e">
        <f>'Technical Master Data'!K356+"AM:!2nd"</f>
        <v>#VALUE!</v>
      </c>
      <c r="BT365" t="e">
        <f>'Technical Master Data'!L356+"AM:!2ne"</f>
        <v>#VALUE!</v>
      </c>
      <c r="BU365" t="e">
        <f>'Technical Master Data'!M356+"AM:!2nf"</f>
        <v>#VALUE!</v>
      </c>
      <c r="BV365" t="e">
        <f>'Technical Master Data'!N356+"AM:!2ng"</f>
        <v>#VALUE!</v>
      </c>
      <c r="BW365" t="e">
        <f>'Technical Master Data'!O356+"AM:!2nh"</f>
        <v>#VALUE!</v>
      </c>
      <c r="BX365" t="e">
        <f>'Technical Master Data'!P356+"AM:!2ni"</f>
        <v>#VALUE!</v>
      </c>
      <c r="BY365" t="e">
        <f>'Technical Master Data'!Q356+"AM:!2nj"</f>
        <v>#VALUE!</v>
      </c>
      <c r="BZ365" t="e">
        <f>'Technical Master Data'!R356+"AM:!2nk"</f>
        <v>#VALUE!</v>
      </c>
      <c r="CA365" t="e">
        <f>'Technical Master Data'!S356+"AM:!2nl"</f>
        <v>#VALUE!</v>
      </c>
      <c r="CB365" t="e">
        <f>'Technical Master Data'!A357+"AM:!2nm"</f>
        <v>#VALUE!</v>
      </c>
      <c r="CC365" t="e">
        <f>'Technical Master Data'!B357+"AM:!2nn"</f>
        <v>#VALUE!</v>
      </c>
      <c r="CD365" t="e">
        <f>'Technical Master Data'!C357+"AM:!2no"</f>
        <v>#VALUE!</v>
      </c>
      <c r="CE365" t="e">
        <f>'Technical Master Data'!D357+"AM:!2np"</f>
        <v>#VALUE!</v>
      </c>
      <c r="CF365" t="e">
        <f>'Technical Master Data'!E357+"AM:!2nq"</f>
        <v>#VALUE!</v>
      </c>
      <c r="CG365" t="e">
        <f>'Technical Master Data'!F357+"AM:!2nr"</f>
        <v>#VALUE!</v>
      </c>
      <c r="CH365" t="e">
        <f>'Technical Master Data'!G357+"AM:!2ns"</f>
        <v>#VALUE!</v>
      </c>
      <c r="CI365" t="e">
        <f>'Technical Master Data'!H357+"AM:!2nt"</f>
        <v>#VALUE!</v>
      </c>
      <c r="CJ365" t="e">
        <f>'Technical Master Data'!I357+"AM:!2nu"</f>
        <v>#VALUE!</v>
      </c>
      <c r="CK365" t="e">
        <f>'Technical Master Data'!J357+"AM:!2nv"</f>
        <v>#VALUE!</v>
      </c>
      <c r="CL365" t="e">
        <f>'Technical Master Data'!K357+"AM:!2nw"</f>
        <v>#VALUE!</v>
      </c>
      <c r="CM365" t="e">
        <f>'Technical Master Data'!L357+"AM:!2nx"</f>
        <v>#VALUE!</v>
      </c>
      <c r="CN365" t="e">
        <f>'Technical Master Data'!M357+"AM:!2ny"</f>
        <v>#VALUE!</v>
      </c>
      <c r="CO365" t="e">
        <f>'Technical Master Data'!N357+"AM:!2nz"</f>
        <v>#VALUE!</v>
      </c>
      <c r="CP365" t="e">
        <f>'Technical Master Data'!O357+"AM:!2n{"</f>
        <v>#VALUE!</v>
      </c>
      <c r="CQ365" t="e">
        <f>'Technical Master Data'!P357+"AM:!2n|"</f>
        <v>#VALUE!</v>
      </c>
      <c r="CR365" t="e">
        <f>'Technical Master Data'!Q357+"AM:!2n}"</f>
        <v>#VALUE!</v>
      </c>
      <c r="CS365" t="e">
        <f>'Technical Master Data'!R357+"AM:!2n~"</f>
        <v>#VALUE!</v>
      </c>
      <c r="CT365" t="e">
        <f>'Technical Master Data'!S357+"AM:!2o#"</f>
        <v>#VALUE!</v>
      </c>
      <c r="CU365" t="e">
        <f>'Technical Master Data'!A358+"AM:!2o$"</f>
        <v>#VALUE!</v>
      </c>
      <c r="CV365" t="e">
        <f>'Technical Master Data'!B358+"AM:!2o%"</f>
        <v>#VALUE!</v>
      </c>
      <c r="CW365" t="e">
        <f>'Technical Master Data'!C358+"AM:!2o&amp;"</f>
        <v>#VALUE!</v>
      </c>
      <c r="CX365" t="e">
        <f>'Technical Master Data'!D358+"AM:!2o'"</f>
        <v>#VALUE!</v>
      </c>
      <c r="CY365" t="e">
        <f>'Technical Master Data'!E358+"AM:!2o("</f>
        <v>#VALUE!</v>
      </c>
      <c r="CZ365" t="e">
        <f>'Technical Master Data'!F358+"AM:!2o)"</f>
        <v>#VALUE!</v>
      </c>
      <c r="DA365" t="e">
        <f>'Technical Master Data'!G358+"AM:!2o."</f>
        <v>#VALUE!</v>
      </c>
      <c r="DB365" t="e">
        <f>'Technical Master Data'!H358+"AM:!2o/"</f>
        <v>#VALUE!</v>
      </c>
      <c r="DC365" t="e">
        <f>'Technical Master Data'!I358+"AM:!2o0"</f>
        <v>#VALUE!</v>
      </c>
      <c r="DD365" t="e">
        <f>'Technical Master Data'!J358+"AM:!2o1"</f>
        <v>#VALUE!</v>
      </c>
      <c r="DE365" t="e">
        <f>'Technical Master Data'!K358+"AM:!2o2"</f>
        <v>#VALUE!</v>
      </c>
      <c r="DF365" t="e">
        <f>'Technical Master Data'!L358+"AM:!2o3"</f>
        <v>#VALUE!</v>
      </c>
      <c r="DG365" t="e">
        <f>'Technical Master Data'!M358+"AM:!2o4"</f>
        <v>#VALUE!</v>
      </c>
      <c r="DH365" t="e">
        <f>'Technical Master Data'!N358+"AM:!2o5"</f>
        <v>#VALUE!</v>
      </c>
      <c r="DI365" t="e">
        <f>'Technical Master Data'!O358+"AM:!2o6"</f>
        <v>#VALUE!</v>
      </c>
      <c r="DJ365" t="e">
        <f>'Technical Master Data'!P358+"AM:!2o7"</f>
        <v>#VALUE!</v>
      </c>
      <c r="DK365" t="e">
        <f>'Technical Master Data'!Q358+"AM:!2o8"</f>
        <v>#VALUE!</v>
      </c>
      <c r="DL365" t="e">
        <f>'Technical Master Data'!R358+"AM:!2o9"</f>
        <v>#VALUE!</v>
      </c>
      <c r="DM365" t="e">
        <f>'Technical Master Data'!S358+"AM:!2o:"</f>
        <v>#VALUE!</v>
      </c>
      <c r="DN365" t="e">
        <f>'Technical Master Data'!A359+"AM:!2o;"</f>
        <v>#VALUE!</v>
      </c>
      <c r="DO365" t="e">
        <f>'Technical Master Data'!B359+"AM:!2o&lt;"</f>
        <v>#VALUE!</v>
      </c>
      <c r="DP365" t="e">
        <f>'Technical Master Data'!C359+"AM:!2o="</f>
        <v>#VALUE!</v>
      </c>
      <c r="DQ365" t="e">
        <f>'Technical Master Data'!D359+"AM:!2o&gt;"</f>
        <v>#VALUE!</v>
      </c>
      <c r="DR365" t="e">
        <f>'Technical Master Data'!E359+"AM:!2o?"</f>
        <v>#VALUE!</v>
      </c>
      <c r="DS365" t="e">
        <f>'Technical Master Data'!F359+"AM:!2o@"</f>
        <v>#VALUE!</v>
      </c>
      <c r="DT365" t="e">
        <f>'Technical Master Data'!G359+"AM:!2oA"</f>
        <v>#VALUE!</v>
      </c>
      <c r="DU365" t="e">
        <f>'Technical Master Data'!H359+"AM:!2oB"</f>
        <v>#VALUE!</v>
      </c>
      <c r="DV365" t="e">
        <f>'Technical Master Data'!I359+"AM:!2oC"</f>
        <v>#VALUE!</v>
      </c>
      <c r="DW365" t="e">
        <f>'Technical Master Data'!J359+"AM:!2oD"</f>
        <v>#VALUE!</v>
      </c>
      <c r="DX365" t="e">
        <f>'Technical Master Data'!K359+"AM:!2oE"</f>
        <v>#VALUE!</v>
      </c>
      <c r="DY365" t="e">
        <f>'Technical Master Data'!L359+"AM:!2oF"</f>
        <v>#VALUE!</v>
      </c>
      <c r="DZ365" t="e">
        <f>'Technical Master Data'!M359+"AM:!2oG"</f>
        <v>#VALUE!</v>
      </c>
      <c r="EA365" t="e">
        <f>'Technical Master Data'!N359+"AM:!2oH"</f>
        <v>#VALUE!</v>
      </c>
      <c r="EB365" t="e">
        <f>'Technical Master Data'!O359+"AM:!2oI"</f>
        <v>#VALUE!</v>
      </c>
      <c r="EC365" t="e">
        <f>'Technical Master Data'!P359+"AM:!2oJ"</f>
        <v>#VALUE!</v>
      </c>
      <c r="ED365" t="e">
        <f>'Technical Master Data'!Q359+"AM:!2oK"</f>
        <v>#VALUE!</v>
      </c>
      <c r="EE365" t="e">
        <f>'Technical Master Data'!R359+"AM:!2oL"</f>
        <v>#VALUE!</v>
      </c>
      <c r="EF365" t="e">
        <f>'Technical Master Data'!S359+"AM:!2oM"</f>
        <v>#VALUE!</v>
      </c>
      <c r="EG365" t="e">
        <f>'Technical Master Data'!A360+"AM:!2oN"</f>
        <v>#VALUE!</v>
      </c>
      <c r="EH365" t="e">
        <f>'Technical Master Data'!B360+"AM:!2oO"</f>
        <v>#VALUE!</v>
      </c>
      <c r="EI365" t="e">
        <f>'Technical Master Data'!C360+"AM:!2oP"</f>
        <v>#VALUE!</v>
      </c>
      <c r="EJ365" t="e">
        <f>'Technical Master Data'!D360+"AM:!2oQ"</f>
        <v>#VALUE!</v>
      </c>
      <c r="EK365" t="e">
        <f>'Technical Master Data'!E360+"AM:!2oR"</f>
        <v>#VALUE!</v>
      </c>
      <c r="EL365" t="e">
        <f>'Technical Master Data'!F360+"AM:!2oS"</f>
        <v>#VALUE!</v>
      </c>
      <c r="EM365" t="e">
        <f>'Technical Master Data'!G360+"AM:!2oT"</f>
        <v>#VALUE!</v>
      </c>
      <c r="EN365" t="e">
        <f>'Technical Master Data'!H360+"AM:!2oU"</f>
        <v>#VALUE!</v>
      </c>
      <c r="EO365" t="e">
        <f>'Technical Master Data'!I360+"AM:!2oV"</f>
        <v>#VALUE!</v>
      </c>
      <c r="EP365" t="e">
        <f>'Technical Master Data'!J360+"AM:!2oW"</f>
        <v>#VALUE!</v>
      </c>
      <c r="EQ365" t="e">
        <f>'Technical Master Data'!K360+"AM:!2oX"</f>
        <v>#VALUE!</v>
      </c>
      <c r="ER365" t="e">
        <f>'Technical Master Data'!L360+"AM:!2oY"</f>
        <v>#VALUE!</v>
      </c>
      <c r="ES365" t="e">
        <f>'Technical Master Data'!M360+"AM:!2oZ"</f>
        <v>#VALUE!</v>
      </c>
      <c r="ET365" t="e">
        <f>'Technical Master Data'!N360+"AM:!2o["</f>
        <v>#VALUE!</v>
      </c>
      <c r="EU365" t="e">
        <f>'Technical Master Data'!O360+"AM:!2o\"</f>
        <v>#VALUE!</v>
      </c>
      <c r="EV365" t="e">
        <f>'Technical Master Data'!P360+"AM:!2o]"</f>
        <v>#VALUE!</v>
      </c>
      <c r="EW365" t="e">
        <f>'Technical Master Data'!Q360+"AM:!2o^"</f>
        <v>#VALUE!</v>
      </c>
      <c r="EX365" t="e">
        <f>'Technical Master Data'!R360+"AM:!2o_"</f>
        <v>#VALUE!</v>
      </c>
      <c r="EY365" t="e">
        <f>'Technical Master Data'!S360+"AM:!2o`"</f>
        <v>#VALUE!</v>
      </c>
      <c r="EZ365" t="e">
        <f>'Technical Master Data'!A361+"AM:!2oa"</f>
        <v>#VALUE!</v>
      </c>
      <c r="FA365" t="e">
        <f>'Technical Master Data'!B361+"AM:!2ob"</f>
        <v>#VALUE!</v>
      </c>
      <c r="FB365" t="e">
        <f>'Technical Master Data'!C361+"AM:!2oc"</f>
        <v>#VALUE!</v>
      </c>
      <c r="FC365" t="e">
        <f>'Technical Master Data'!D361+"AM:!2od"</f>
        <v>#VALUE!</v>
      </c>
      <c r="FD365" t="e">
        <f>'Technical Master Data'!E361+"AM:!2oe"</f>
        <v>#VALUE!</v>
      </c>
      <c r="FE365" t="e">
        <f>'Technical Master Data'!F361+"AM:!2of"</f>
        <v>#VALUE!</v>
      </c>
      <c r="FF365" t="e">
        <f>'Technical Master Data'!G361+"AM:!2og"</f>
        <v>#VALUE!</v>
      </c>
      <c r="FG365" t="e">
        <f>'Technical Master Data'!H361+"AM:!2oh"</f>
        <v>#VALUE!</v>
      </c>
      <c r="FH365" t="e">
        <f>'Technical Master Data'!I361+"AM:!2oi"</f>
        <v>#VALUE!</v>
      </c>
      <c r="FI365" t="e">
        <f>'Technical Master Data'!J361+"AM:!2oj"</f>
        <v>#VALUE!</v>
      </c>
      <c r="FJ365" t="e">
        <f>'Technical Master Data'!K361+"AM:!2ok"</f>
        <v>#VALUE!</v>
      </c>
      <c r="FK365" t="e">
        <f>'Technical Master Data'!L361+"AM:!2ol"</f>
        <v>#VALUE!</v>
      </c>
      <c r="FL365" t="e">
        <f>'Technical Master Data'!M361+"AM:!2om"</f>
        <v>#VALUE!</v>
      </c>
      <c r="FM365" t="e">
        <f>'Technical Master Data'!N361+"AM:!2on"</f>
        <v>#VALUE!</v>
      </c>
      <c r="FN365" t="e">
        <f>'Technical Master Data'!O361+"AM:!2oo"</f>
        <v>#VALUE!</v>
      </c>
      <c r="FO365" t="e">
        <f>'Technical Master Data'!P361+"AM:!2op"</f>
        <v>#VALUE!</v>
      </c>
      <c r="FP365" t="e">
        <f>'Technical Master Data'!Q361+"AM:!2oq"</f>
        <v>#VALUE!</v>
      </c>
      <c r="FQ365" t="e">
        <f>'Technical Master Data'!R361+"AM:!2or"</f>
        <v>#VALUE!</v>
      </c>
      <c r="FR365" t="e">
        <f>'Technical Master Data'!S361+"AM:!2os"</f>
        <v>#VALUE!</v>
      </c>
      <c r="FS365" t="e">
        <f>'Technical Master Data'!A362+"AM:!2ot"</f>
        <v>#VALUE!</v>
      </c>
      <c r="FT365" t="e">
        <f>'Technical Master Data'!B362+"AM:!2ou"</f>
        <v>#VALUE!</v>
      </c>
      <c r="FU365" t="e">
        <f>'Technical Master Data'!C362+"AM:!2ov"</f>
        <v>#VALUE!</v>
      </c>
      <c r="FV365" t="e">
        <f>'Technical Master Data'!D362+"AM:!2ow"</f>
        <v>#VALUE!</v>
      </c>
      <c r="FW365" t="e">
        <f>'Technical Master Data'!E362+"AM:!2ox"</f>
        <v>#VALUE!</v>
      </c>
      <c r="FX365" t="e">
        <f>'Technical Master Data'!F362+"AM:!2oy"</f>
        <v>#VALUE!</v>
      </c>
      <c r="FY365" t="e">
        <f>'Technical Master Data'!G362+"AM:!2oz"</f>
        <v>#VALUE!</v>
      </c>
      <c r="FZ365" t="e">
        <f>'Technical Master Data'!H362+"AM:!2o{"</f>
        <v>#VALUE!</v>
      </c>
      <c r="GA365" t="e">
        <f>'Technical Master Data'!I362+"AM:!2o|"</f>
        <v>#VALUE!</v>
      </c>
      <c r="GB365" t="e">
        <f>'Technical Master Data'!J362+"AM:!2o}"</f>
        <v>#VALUE!</v>
      </c>
      <c r="GC365" t="e">
        <f>'Technical Master Data'!K362+"AM:!2o~"</f>
        <v>#VALUE!</v>
      </c>
      <c r="GD365" t="e">
        <f>'Technical Master Data'!L362+"AM:!2p#"</f>
        <v>#VALUE!</v>
      </c>
      <c r="GE365" t="e">
        <f>'Technical Master Data'!M362+"AM:!2p$"</f>
        <v>#VALUE!</v>
      </c>
      <c r="GF365" t="e">
        <f>'Technical Master Data'!N362+"AM:!2p%"</f>
        <v>#VALUE!</v>
      </c>
      <c r="GG365" t="e">
        <f>'Technical Master Data'!O362+"AM:!2p&amp;"</f>
        <v>#VALUE!</v>
      </c>
      <c r="GH365" t="e">
        <f>'Technical Master Data'!P362+"AM:!2p'"</f>
        <v>#VALUE!</v>
      </c>
      <c r="GI365" t="e">
        <f>'Technical Master Data'!Q362+"AM:!2p("</f>
        <v>#VALUE!</v>
      </c>
      <c r="GJ365" t="e">
        <f>'Technical Master Data'!R362+"AM:!2p)"</f>
        <v>#VALUE!</v>
      </c>
      <c r="GK365" t="e">
        <f>'Technical Master Data'!S362+"AM:!2p."</f>
        <v>#VALUE!</v>
      </c>
      <c r="GL365" t="e">
        <f>'Technical Master Data'!A363+"AM:!2p/"</f>
        <v>#VALUE!</v>
      </c>
      <c r="GM365" t="e">
        <f>'Technical Master Data'!B363+"AM:!2p0"</f>
        <v>#VALUE!</v>
      </c>
      <c r="GN365" t="e">
        <f>'Technical Master Data'!C363+"AM:!2p1"</f>
        <v>#VALUE!</v>
      </c>
      <c r="GO365" t="e">
        <f>'Technical Master Data'!D363+"AM:!2p2"</f>
        <v>#VALUE!</v>
      </c>
      <c r="GP365" t="e">
        <f>'Technical Master Data'!E363+"AM:!2p3"</f>
        <v>#VALUE!</v>
      </c>
      <c r="GQ365" t="e">
        <f>'Technical Master Data'!F363+"AM:!2p4"</f>
        <v>#VALUE!</v>
      </c>
      <c r="GR365" t="e">
        <f>'Technical Master Data'!G363+"AM:!2p5"</f>
        <v>#VALUE!</v>
      </c>
      <c r="GS365" t="e">
        <f>'Technical Master Data'!H363+"AM:!2p6"</f>
        <v>#VALUE!</v>
      </c>
      <c r="GT365" t="e">
        <f>'Technical Master Data'!I363+"AM:!2p7"</f>
        <v>#VALUE!</v>
      </c>
      <c r="GU365" t="e">
        <f>'Technical Master Data'!J363+"AM:!2p8"</f>
        <v>#VALUE!</v>
      </c>
      <c r="GV365" t="e">
        <f>'Technical Master Data'!K363+"AM:!2p9"</f>
        <v>#VALUE!</v>
      </c>
      <c r="GW365" t="e">
        <f>'Technical Master Data'!L363+"AM:!2p:"</f>
        <v>#VALUE!</v>
      </c>
      <c r="GX365" t="e">
        <f>'Technical Master Data'!M363+"AM:!2p;"</f>
        <v>#VALUE!</v>
      </c>
      <c r="GY365" t="e">
        <f>'Technical Master Data'!N363+"AM:!2p&lt;"</f>
        <v>#VALUE!</v>
      </c>
      <c r="GZ365" t="e">
        <f>'Technical Master Data'!O363+"AM:!2p="</f>
        <v>#VALUE!</v>
      </c>
      <c r="HA365" t="e">
        <f>'Technical Master Data'!P363+"AM:!2p&gt;"</f>
        <v>#VALUE!</v>
      </c>
      <c r="HB365" t="e">
        <f>'Technical Master Data'!Q363+"AM:!2p?"</f>
        <v>#VALUE!</v>
      </c>
      <c r="HC365" t="e">
        <f>'Technical Master Data'!R363+"AM:!2p@"</f>
        <v>#VALUE!</v>
      </c>
      <c r="HD365" t="e">
        <f>'Technical Master Data'!S363+"AM:!2pA"</f>
        <v>#VALUE!</v>
      </c>
      <c r="HE365" t="e">
        <f>'Technical Master Data'!A364+"AM:!2pB"</f>
        <v>#VALUE!</v>
      </c>
      <c r="HF365" t="e">
        <f>'Technical Master Data'!B364+"AM:!2pC"</f>
        <v>#VALUE!</v>
      </c>
      <c r="HG365" t="e">
        <f>'Technical Master Data'!C364+"AM:!2pD"</f>
        <v>#VALUE!</v>
      </c>
      <c r="HH365" t="e">
        <f>'Technical Master Data'!D364+"AM:!2pE"</f>
        <v>#VALUE!</v>
      </c>
      <c r="HI365" t="e">
        <f>'Technical Master Data'!E364+"AM:!2pF"</f>
        <v>#VALUE!</v>
      </c>
      <c r="HJ365" t="e">
        <f>'Technical Master Data'!F364+"AM:!2pG"</f>
        <v>#VALUE!</v>
      </c>
      <c r="HK365" t="e">
        <f>'Technical Master Data'!G364+"AM:!2pH"</f>
        <v>#VALUE!</v>
      </c>
      <c r="HL365" t="e">
        <f>'Technical Master Data'!H364+"AM:!2pI"</f>
        <v>#VALUE!</v>
      </c>
      <c r="HM365" t="e">
        <f>'Technical Master Data'!I364+"AM:!2pJ"</f>
        <v>#VALUE!</v>
      </c>
      <c r="HN365" t="e">
        <f>'Technical Master Data'!J364+"AM:!2pK"</f>
        <v>#VALUE!</v>
      </c>
      <c r="HO365" t="e">
        <f>'Technical Master Data'!K364+"AM:!2pL"</f>
        <v>#VALUE!</v>
      </c>
      <c r="HP365" t="e">
        <f>'Technical Master Data'!L364+"AM:!2pM"</f>
        <v>#VALUE!</v>
      </c>
      <c r="HQ365" t="e">
        <f>'Technical Master Data'!M364+"AM:!2pN"</f>
        <v>#VALUE!</v>
      </c>
      <c r="HR365" t="e">
        <f>'Technical Master Data'!N364+"AM:!2pO"</f>
        <v>#VALUE!</v>
      </c>
      <c r="HS365" t="e">
        <f>'Technical Master Data'!O364+"AM:!2pP"</f>
        <v>#VALUE!</v>
      </c>
      <c r="HT365" t="e">
        <f>'Technical Master Data'!P364+"AM:!2pQ"</f>
        <v>#VALUE!</v>
      </c>
      <c r="HU365" t="e">
        <f>'Technical Master Data'!Q364+"AM:!2pR"</f>
        <v>#VALUE!</v>
      </c>
      <c r="HV365" t="e">
        <f>'Technical Master Data'!R364+"AM:!2pS"</f>
        <v>#VALUE!</v>
      </c>
      <c r="HW365" t="e">
        <f>'Technical Master Data'!S364+"AM:!2pT"</f>
        <v>#VALUE!</v>
      </c>
      <c r="HX365" t="e">
        <f>'Technical Master Data'!A365+"AM:!2pU"</f>
        <v>#VALUE!</v>
      </c>
      <c r="HY365" t="e">
        <f>'Technical Master Data'!B365+"AM:!2pV"</f>
        <v>#VALUE!</v>
      </c>
      <c r="HZ365" t="e">
        <f>'Technical Master Data'!C365+"AM:!2pW"</f>
        <v>#VALUE!</v>
      </c>
      <c r="IA365" t="e">
        <f>'Technical Master Data'!D365+"AM:!2pX"</f>
        <v>#VALUE!</v>
      </c>
      <c r="IB365" t="e">
        <f>'Technical Master Data'!E365+"AM:!2pY"</f>
        <v>#VALUE!</v>
      </c>
      <c r="IC365" t="e">
        <f>'Technical Master Data'!F365+"AM:!2pZ"</f>
        <v>#VALUE!</v>
      </c>
      <c r="ID365" t="e">
        <f>'Technical Master Data'!G365+"AM:!2p["</f>
        <v>#VALUE!</v>
      </c>
      <c r="IE365" t="e">
        <f>'Technical Master Data'!H365+"AM:!2p\"</f>
        <v>#VALUE!</v>
      </c>
      <c r="IF365" t="e">
        <f>'Technical Master Data'!I365+"AM:!2p]"</f>
        <v>#VALUE!</v>
      </c>
      <c r="IG365" t="e">
        <f>'Technical Master Data'!J365+"AM:!2p^"</f>
        <v>#VALUE!</v>
      </c>
      <c r="IH365" t="e">
        <f>'Technical Master Data'!K365+"AM:!2p_"</f>
        <v>#VALUE!</v>
      </c>
      <c r="II365" t="e">
        <f>'Technical Master Data'!L365+"AM:!2p`"</f>
        <v>#VALUE!</v>
      </c>
      <c r="IJ365" t="e">
        <f>'Technical Master Data'!M365+"AM:!2pa"</f>
        <v>#VALUE!</v>
      </c>
      <c r="IK365" t="e">
        <f>'Technical Master Data'!N365+"AM:!2pb"</f>
        <v>#VALUE!</v>
      </c>
      <c r="IL365" t="e">
        <f>'Technical Master Data'!O365+"AM:!2pc"</f>
        <v>#VALUE!</v>
      </c>
      <c r="IM365" t="e">
        <f>'Technical Master Data'!P365+"AM:!2pd"</f>
        <v>#VALUE!</v>
      </c>
      <c r="IN365" t="e">
        <f>'Technical Master Data'!Q365+"AM:!2pe"</f>
        <v>#VALUE!</v>
      </c>
      <c r="IO365" t="e">
        <f>'Technical Master Data'!R365+"AM:!2pf"</f>
        <v>#VALUE!</v>
      </c>
      <c r="IP365" t="e">
        <f>'Technical Master Data'!S365+"AM:!2pg"</f>
        <v>#VALUE!</v>
      </c>
      <c r="IQ365" t="e">
        <f>'Technical Master Data'!A366+"AM:!2ph"</f>
        <v>#VALUE!</v>
      </c>
      <c r="IR365" t="e">
        <f>'Technical Master Data'!B366+"AM:!2pi"</f>
        <v>#VALUE!</v>
      </c>
      <c r="IS365" t="e">
        <f>'Technical Master Data'!C366+"AM:!2pj"</f>
        <v>#VALUE!</v>
      </c>
      <c r="IT365" t="e">
        <f>'Technical Master Data'!D366+"AM:!2pk"</f>
        <v>#VALUE!</v>
      </c>
      <c r="IU365" t="e">
        <f>'Technical Master Data'!E366+"AM:!2pl"</f>
        <v>#VALUE!</v>
      </c>
      <c r="IV365" t="e">
        <f>'Technical Master Data'!F366+"AM:!2pm"</f>
        <v>#VALUE!</v>
      </c>
    </row>
    <row r="366" spans="6:256">
      <c r="F366" t="e">
        <f>'Technical Master Data'!G366+"AM:!2pn"</f>
        <v>#VALUE!</v>
      </c>
      <c r="G366" t="e">
        <f>'Technical Master Data'!H366+"AM:!2po"</f>
        <v>#VALUE!</v>
      </c>
      <c r="H366" t="e">
        <f>'Technical Master Data'!I366+"AM:!2pp"</f>
        <v>#VALUE!</v>
      </c>
      <c r="I366" t="e">
        <f>'Technical Master Data'!J366+"AM:!2pq"</f>
        <v>#VALUE!</v>
      </c>
      <c r="J366" t="e">
        <f>'Technical Master Data'!K366+"AM:!2pr"</f>
        <v>#VALUE!</v>
      </c>
      <c r="K366" t="e">
        <f>'Technical Master Data'!L366+"AM:!2ps"</f>
        <v>#VALUE!</v>
      </c>
      <c r="L366" t="e">
        <f>'Technical Master Data'!M366+"AM:!2pt"</f>
        <v>#VALUE!</v>
      </c>
      <c r="M366" t="e">
        <f>'Technical Master Data'!N366+"AM:!2pu"</f>
        <v>#VALUE!</v>
      </c>
      <c r="N366" t="e">
        <f>'Technical Master Data'!O366+"AM:!2pv"</f>
        <v>#VALUE!</v>
      </c>
      <c r="O366" t="e">
        <f>'Technical Master Data'!P366+"AM:!2pw"</f>
        <v>#VALUE!</v>
      </c>
      <c r="P366" t="e">
        <f>'Technical Master Data'!Q366+"AM:!2px"</f>
        <v>#VALUE!</v>
      </c>
      <c r="Q366" t="e">
        <f>'Technical Master Data'!R366+"AM:!2py"</f>
        <v>#VALUE!</v>
      </c>
      <c r="R366" t="e">
        <f>'Technical Master Data'!S366+"AM:!2pz"</f>
        <v>#VALUE!</v>
      </c>
      <c r="S366" t="e">
        <f>'Technical Master Data'!A367+"AM:!2p{"</f>
        <v>#VALUE!</v>
      </c>
      <c r="T366" t="e">
        <f>'Technical Master Data'!B367+"AM:!2p|"</f>
        <v>#VALUE!</v>
      </c>
      <c r="U366" t="e">
        <f>'Technical Master Data'!C367+"AM:!2p}"</f>
        <v>#VALUE!</v>
      </c>
      <c r="V366" t="e">
        <f>'Technical Master Data'!D367+"AM:!2p~"</f>
        <v>#VALUE!</v>
      </c>
      <c r="W366" t="e">
        <f>'Technical Master Data'!E367+"AM:!2q#"</f>
        <v>#VALUE!</v>
      </c>
      <c r="X366" t="e">
        <f>'Technical Master Data'!F367+"AM:!2q$"</f>
        <v>#VALUE!</v>
      </c>
      <c r="Y366" t="e">
        <f>'Technical Master Data'!G367+"AM:!2q%"</f>
        <v>#VALUE!</v>
      </c>
      <c r="Z366" t="e">
        <f>'Technical Master Data'!H367+"AM:!2q&amp;"</f>
        <v>#VALUE!</v>
      </c>
      <c r="AA366" t="e">
        <f>'Technical Master Data'!I367+"AM:!2q'"</f>
        <v>#VALUE!</v>
      </c>
      <c r="AB366" t="e">
        <f>'Technical Master Data'!J367+"AM:!2q("</f>
        <v>#VALUE!</v>
      </c>
      <c r="AC366" t="e">
        <f>'Technical Master Data'!K367+"AM:!2q)"</f>
        <v>#VALUE!</v>
      </c>
      <c r="AD366" t="e">
        <f>'Technical Master Data'!L367+"AM:!2q."</f>
        <v>#VALUE!</v>
      </c>
      <c r="AE366" t="e">
        <f>'Technical Master Data'!M367+"AM:!2q/"</f>
        <v>#VALUE!</v>
      </c>
      <c r="AF366" t="e">
        <f>'Technical Master Data'!N367+"AM:!2q0"</f>
        <v>#VALUE!</v>
      </c>
      <c r="AG366" t="e">
        <f>'Technical Master Data'!O367+"AM:!2q1"</f>
        <v>#VALUE!</v>
      </c>
      <c r="AH366" t="e">
        <f>'Technical Master Data'!P367+"AM:!2q2"</f>
        <v>#VALUE!</v>
      </c>
      <c r="AI366" t="e">
        <f>'Technical Master Data'!Q367+"AM:!2q3"</f>
        <v>#VALUE!</v>
      </c>
      <c r="AJ366" t="e">
        <f>'Technical Master Data'!R367+"AM:!2q4"</f>
        <v>#VALUE!</v>
      </c>
      <c r="AK366" t="e">
        <f>'Technical Master Data'!S367+"AM:!2q5"</f>
        <v>#VALUE!</v>
      </c>
      <c r="AL366" t="e">
        <f>'Technical Master Data'!A368+"AM:!2q6"</f>
        <v>#VALUE!</v>
      </c>
      <c r="AM366" t="e">
        <f>'Technical Master Data'!B368+"AM:!2q7"</f>
        <v>#VALUE!</v>
      </c>
      <c r="AN366" t="e">
        <f>'Technical Master Data'!C368+"AM:!2q8"</f>
        <v>#VALUE!</v>
      </c>
      <c r="AO366" t="e">
        <f>'Technical Master Data'!D368+"AM:!2q9"</f>
        <v>#VALUE!</v>
      </c>
      <c r="AP366" t="e">
        <f>'Technical Master Data'!E368+"AM:!2q:"</f>
        <v>#VALUE!</v>
      </c>
      <c r="AQ366" t="e">
        <f>'Technical Master Data'!F368+"AM:!2q;"</f>
        <v>#VALUE!</v>
      </c>
      <c r="AR366" t="e">
        <f>'Technical Master Data'!G368+"AM:!2q&lt;"</f>
        <v>#VALUE!</v>
      </c>
      <c r="AS366" t="e">
        <f>'Technical Master Data'!H368+"AM:!2q="</f>
        <v>#VALUE!</v>
      </c>
      <c r="AT366" t="e">
        <f>'Technical Master Data'!I368+"AM:!2q&gt;"</f>
        <v>#VALUE!</v>
      </c>
      <c r="AU366" t="e">
        <f>'Technical Master Data'!J368+"AM:!2q?"</f>
        <v>#VALUE!</v>
      </c>
      <c r="AV366" t="e">
        <f>'Technical Master Data'!K368+"AM:!2q@"</f>
        <v>#VALUE!</v>
      </c>
      <c r="AW366" t="e">
        <f>'Technical Master Data'!L368+"AM:!2qA"</f>
        <v>#VALUE!</v>
      </c>
      <c r="AX366" t="e">
        <f>'Technical Master Data'!M368+"AM:!2qB"</f>
        <v>#VALUE!</v>
      </c>
      <c r="AY366" t="e">
        <f>'Technical Master Data'!N368+"AM:!2qC"</f>
        <v>#VALUE!</v>
      </c>
      <c r="AZ366" t="e">
        <f>'Technical Master Data'!O368+"AM:!2qD"</f>
        <v>#VALUE!</v>
      </c>
      <c r="BA366" t="e">
        <f>'Technical Master Data'!P368+"AM:!2qE"</f>
        <v>#VALUE!</v>
      </c>
      <c r="BB366" t="e">
        <f>'Technical Master Data'!Q368+"AM:!2qF"</f>
        <v>#VALUE!</v>
      </c>
      <c r="BC366" t="e">
        <f>'Technical Master Data'!R368+"AM:!2qG"</f>
        <v>#VALUE!</v>
      </c>
      <c r="BD366" t="e">
        <f>'Technical Master Data'!S368+"AM:!2qH"</f>
        <v>#VALUE!</v>
      </c>
      <c r="BE366" t="e">
        <f>'Technical Master Data'!A369+"AM:!2qI"</f>
        <v>#VALUE!</v>
      </c>
      <c r="BF366" t="e">
        <f>'Technical Master Data'!B369+"AM:!2qJ"</f>
        <v>#VALUE!</v>
      </c>
      <c r="BG366" t="e">
        <f>'Technical Master Data'!C369+"AM:!2qK"</f>
        <v>#VALUE!</v>
      </c>
      <c r="BH366" t="e">
        <f>'Technical Master Data'!D369+"AM:!2qL"</f>
        <v>#VALUE!</v>
      </c>
      <c r="BI366" t="e">
        <f>'Technical Master Data'!E369+"AM:!2qM"</f>
        <v>#VALUE!</v>
      </c>
      <c r="BJ366" t="e">
        <f>'Technical Master Data'!F369+"AM:!2qN"</f>
        <v>#VALUE!</v>
      </c>
      <c r="BK366" t="e">
        <f>'Technical Master Data'!G369+"AM:!2qO"</f>
        <v>#VALUE!</v>
      </c>
      <c r="BL366" t="e">
        <f>'Technical Master Data'!H369+"AM:!2qP"</f>
        <v>#VALUE!</v>
      </c>
      <c r="BM366" t="e">
        <f>'Technical Master Data'!I369+"AM:!2qQ"</f>
        <v>#VALUE!</v>
      </c>
      <c r="BN366" t="e">
        <f>'Technical Master Data'!J369+"AM:!2qR"</f>
        <v>#VALUE!</v>
      </c>
      <c r="BO366" t="e">
        <f>'Technical Master Data'!K369+"AM:!2qS"</f>
        <v>#VALUE!</v>
      </c>
      <c r="BP366" t="e">
        <f>'Technical Master Data'!L369+"AM:!2qT"</f>
        <v>#VALUE!</v>
      </c>
      <c r="BQ366" t="e">
        <f>'Technical Master Data'!M369+"AM:!2qU"</f>
        <v>#VALUE!</v>
      </c>
      <c r="BR366" t="e">
        <f>'Technical Master Data'!N369+"AM:!2qV"</f>
        <v>#VALUE!</v>
      </c>
      <c r="BS366" t="e">
        <f>'Technical Master Data'!O369+"AM:!2qW"</f>
        <v>#VALUE!</v>
      </c>
      <c r="BT366" t="e">
        <f>'Technical Master Data'!P369+"AM:!2qX"</f>
        <v>#VALUE!</v>
      </c>
      <c r="BU366" t="e">
        <f>'Technical Master Data'!Q369+"AM:!2qY"</f>
        <v>#VALUE!</v>
      </c>
      <c r="BV366" t="e">
        <f>'Technical Master Data'!R369+"AM:!2qZ"</f>
        <v>#VALUE!</v>
      </c>
      <c r="BW366" t="e">
        <f>'Technical Master Data'!S369+"AM:!2q["</f>
        <v>#VALUE!</v>
      </c>
      <c r="BX366" t="e">
        <f>'Technical Master Data'!A370+"AM:!2q\"</f>
        <v>#VALUE!</v>
      </c>
      <c r="BY366" t="e">
        <f>'Technical Master Data'!B370+"AM:!2q]"</f>
        <v>#VALUE!</v>
      </c>
      <c r="BZ366" t="e">
        <f>'Technical Master Data'!C370+"AM:!2q^"</f>
        <v>#VALUE!</v>
      </c>
      <c r="CA366" t="e">
        <f>'Technical Master Data'!D370+"AM:!2q_"</f>
        <v>#VALUE!</v>
      </c>
      <c r="CB366" t="e">
        <f>'Technical Master Data'!E370+"AM:!2q`"</f>
        <v>#VALUE!</v>
      </c>
      <c r="CC366" t="e">
        <f>'Technical Master Data'!F370+"AM:!2qa"</f>
        <v>#VALUE!</v>
      </c>
      <c r="CD366" t="e">
        <f>'Technical Master Data'!G370+"AM:!2qb"</f>
        <v>#VALUE!</v>
      </c>
      <c r="CE366" t="e">
        <f>'Technical Master Data'!H370+"AM:!2qc"</f>
        <v>#VALUE!</v>
      </c>
      <c r="CF366" t="e">
        <f>'Technical Master Data'!I370+"AM:!2qd"</f>
        <v>#VALUE!</v>
      </c>
      <c r="CG366" t="e">
        <f>'Technical Master Data'!J370+"AM:!2qe"</f>
        <v>#VALUE!</v>
      </c>
      <c r="CH366" t="e">
        <f>'Technical Master Data'!K370+"AM:!2qf"</f>
        <v>#VALUE!</v>
      </c>
      <c r="CI366" t="e">
        <f>'Technical Master Data'!L370+"AM:!2qg"</f>
        <v>#VALUE!</v>
      </c>
      <c r="CJ366" t="e">
        <f>'Technical Master Data'!M370+"AM:!2qh"</f>
        <v>#VALUE!</v>
      </c>
      <c r="CK366" t="e">
        <f>'Technical Master Data'!N370+"AM:!2qi"</f>
        <v>#VALUE!</v>
      </c>
      <c r="CL366" t="e">
        <f>'Technical Master Data'!O370+"AM:!2qj"</f>
        <v>#VALUE!</v>
      </c>
      <c r="CM366" t="e">
        <f>'Technical Master Data'!P370+"AM:!2qk"</f>
        <v>#VALUE!</v>
      </c>
      <c r="CN366" t="e">
        <f>'Technical Master Data'!Q370+"AM:!2ql"</f>
        <v>#VALUE!</v>
      </c>
      <c r="CO366" t="e">
        <f>'Technical Master Data'!R370+"AM:!2qm"</f>
        <v>#VALUE!</v>
      </c>
      <c r="CP366" t="e">
        <f>'Technical Master Data'!S370+"AM:!2qn"</f>
        <v>#VALUE!</v>
      </c>
      <c r="CQ366" t="e">
        <f>'Technical Master Data'!A371+"AM:!2qo"</f>
        <v>#VALUE!</v>
      </c>
      <c r="CR366" t="e">
        <f>'Technical Master Data'!B371+"AM:!2qp"</f>
        <v>#VALUE!</v>
      </c>
      <c r="CS366" t="e">
        <f>'Technical Master Data'!C371+"AM:!2qq"</f>
        <v>#VALUE!</v>
      </c>
      <c r="CT366" t="e">
        <f>'Technical Master Data'!D371+"AM:!2qr"</f>
        <v>#VALUE!</v>
      </c>
      <c r="CU366" t="e">
        <f>'Technical Master Data'!E371+"AM:!2qs"</f>
        <v>#VALUE!</v>
      </c>
      <c r="CV366" t="e">
        <f>'Technical Master Data'!F371+"AM:!2qt"</f>
        <v>#VALUE!</v>
      </c>
      <c r="CW366" t="e">
        <f>'Technical Master Data'!G371+"AM:!2qu"</f>
        <v>#VALUE!</v>
      </c>
      <c r="CX366" t="e">
        <f>'Technical Master Data'!H371+"AM:!2qv"</f>
        <v>#VALUE!</v>
      </c>
      <c r="CY366" t="e">
        <f>'Technical Master Data'!I371+"AM:!2qw"</f>
        <v>#VALUE!</v>
      </c>
      <c r="CZ366" t="e">
        <f>'Technical Master Data'!J371+"AM:!2qx"</f>
        <v>#VALUE!</v>
      </c>
      <c r="DA366" t="e">
        <f>'Technical Master Data'!K371+"AM:!2qy"</f>
        <v>#VALUE!</v>
      </c>
      <c r="DB366" t="e">
        <f>'Technical Master Data'!L371+"AM:!2qz"</f>
        <v>#VALUE!</v>
      </c>
      <c r="DC366" t="e">
        <f>'Technical Master Data'!M371+"AM:!2q{"</f>
        <v>#VALUE!</v>
      </c>
      <c r="DD366" t="e">
        <f>'Technical Master Data'!N371+"AM:!2q|"</f>
        <v>#VALUE!</v>
      </c>
      <c r="DE366" t="e">
        <f>'Technical Master Data'!O371+"AM:!2q}"</f>
        <v>#VALUE!</v>
      </c>
      <c r="DF366" t="e">
        <f>'Technical Master Data'!P371+"AM:!2q~"</f>
        <v>#VALUE!</v>
      </c>
      <c r="DG366" t="e">
        <f>'Technical Master Data'!Q371+"AM:!2r#"</f>
        <v>#VALUE!</v>
      </c>
      <c r="DH366" t="e">
        <f>'Technical Master Data'!R371+"AM:!2r$"</f>
        <v>#VALUE!</v>
      </c>
      <c r="DI366" t="e">
        <f>'Technical Master Data'!S371+"AM:!2r%"</f>
        <v>#VALUE!</v>
      </c>
      <c r="DJ366" t="e">
        <f>'Technical Master Data'!A372+"AM:!2r&amp;"</f>
        <v>#VALUE!</v>
      </c>
      <c r="DK366" t="e">
        <f>'Technical Master Data'!B372+"AM:!2r'"</f>
        <v>#VALUE!</v>
      </c>
      <c r="DL366" t="e">
        <f>'Technical Master Data'!C372+"AM:!2r("</f>
        <v>#VALUE!</v>
      </c>
      <c r="DM366" t="e">
        <f>'Technical Master Data'!D372+"AM:!2r)"</f>
        <v>#VALUE!</v>
      </c>
      <c r="DN366" t="e">
        <f>'Technical Master Data'!E372+"AM:!2r."</f>
        <v>#VALUE!</v>
      </c>
      <c r="DO366" t="e">
        <f>'Technical Master Data'!F372+"AM:!2r/"</f>
        <v>#VALUE!</v>
      </c>
      <c r="DP366" t="e">
        <f>'Technical Master Data'!G372+"AM:!2r0"</f>
        <v>#VALUE!</v>
      </c>
      <c r="DQ366" t="e">
        <f>'Technical Master Data'!H372+"AM:!2r1"</f>
        <v>#VALUE!</v>
      </c>
      <c r="DR366" t="e">
        <f>'Technical Master Data'!I372+"AM:!2r2"</f>
        <v>#VALUE!</v>
      </c>
      <c r="DS366" t="e">
        <f>'Technical Master Data'!J372+"AM:!2r3"</f>
        <v>#VALUE!</v>
      </c>
      <c r="DT366" t="e">
        <f>'Technical Master Data'!K372+"AM:!2r4"</f>
        <v>#VALUE!</v>
      </c>
      <c r="DU366" t="e">
        <f>'Technical Master Data'!L372+"AM:!2r5"</f>
        <v>#VALUE!</v>
      </c>
      <c r="DV366" t="e">
        <f>'Technical Master Data'!M372+"AM:!2r6"</f>
        <v>#VALUE!</v>
      </c>
      <c r="DW366" t="e">
        <f>'Technical Master Data'!N372+"AM:!2r7"</f>
        <v>#VALUE!</v>
      </c>
      <c r="DX366" t="e">
        <f>'Technical Master Data'!O372+"AM:!2r8"</f>
        <v>#VALUE!</v>
      </c>
      <c r="DY366" t="e">
        <f>'Technical Master Data'!P372+"AM:!2r9"</f>
        <v>#VALUE!</v>
      </c>
      <c r="DZ366" t="e">
        <f>'Technical Master Data'!Q372+"AM:!2r:"</f>
        <v>#VALUE!</v>
      </c>
      <c r="EA366" t="e">
        <f>'Technical Master Data'!R372+"AM:!2r;"</f>
        <v>#VALUE!</v>
      </c>
      <c r="EB366" t="e">
        <f>'Technical Master Data'!S372+"AM:!2r&lt;"</f>
        <v>#VALUE!</v>
      </c>
      <c r="EC366" t="e">
        <f>'Technical Master Data'!A373+"AM:!2r="</f>
        <v>#VALUE!</v>
      </c>
      <c r="ED366" t="e">
        <f>'Technical Master Data'!B373+"AM:!2r&gt;"</f>
        <v>#VALUE!</v>
      </c>
      <c r="EE366" t="e">
        <f>'Technical Master Data'!C373+"AM:!2r?"</f>
        <v>#VALUE!</v>
      </c>
      <c r="EF366" t="e">
        <f>'Technical Master Data'!D373+"AM:!2r@"</f>
        <v>#VALUE!</v>
      </c>
      <c r="EG366" t="e">
        <f>'Technical Master Data'!E373+"AM:!2rA"</f>
        <v>#VALUE!</v>
      </c>
      <c r="EH366" t="e">
        <f>'Technical Master Data'!F373+"AM:!2rB"</f>
        <v>#VALUE!</v>
      </c>
      <c r="EI366" t="e">
        <f>'Technical Master Data'!G373+"AM:!2rC"</f>
        <v>#VALUE!</v>
      </c>
      <c r="EJ366" t="e">
        <f>'Technical Master Data'!H373+"AM:!2rD"</f>
        <v>#VALUE!</v>
      </c>
      <c r="EK366" t="e">
        <f>'Technical Master Data'!I373+"AM:!2rE"</f>
        <v>#VALUE!</v>
      </c>
      <c r="EL366" t="e">
        <f>'Technical Master Data'!J373+"AM:!2rF"</f>
        <v>#VALUE!</v>
      </c>
      <c r="EM366" t="e">
        <f>'Technical Master Data'!K373+"AM:!2rG"</f>
        <v>#VALUE!</v>
      </c>
      <c r="EN366" t="e">
        <f>'Technical Master Data'!L373+"AM:!2rH"</f>
        <v>#VALUE!</v>
      </c>
      <c r="EO366" t="e">
        <f>'Technical Master Data'!M373+"AM:!2rI"</f>
        <v>#VALUE!</v>
      </c>
      <c r="EP366" t="e">
        <f>'Technical Master Data'!N373+"AM:!2rJ"</f>
        <v>#VALUE!</v>
      </c>
      <c r="EQ366" t="e">
        <f>'Technical Master Data'!O373+"AM:!2rK"</f>
        <v>#VALUE!</v>
      </c>
      <c r="ER366" t="e">
        <f>'Technical Master Data'!P373+"AM:!2rL"</f>
        <v>#VALUE!</v>
      </c>
      <c r="ES366" t="e">
        <f>'Technical Master Data'!Q373+"AM:!2rM"</f>
        <v>#VALUE!</v>
      </c>
      <c r="ET366" t="e">
        <f>'Technical Master Data'!R373+"AM:!2rN"</f>
        <v>#VALUE!</v>
      </c>
      <c r="EU366" t="e">
        <f>'Technical Master Data'!S373+"AM:!2rO"</f>
        <v>#VALUE!</v>
      </c>
      <c r="EV366" t="e">
        <f>'Technical Master Data'!A374+"AM:!2rP"</f>
        <v>#VALUE!</v>
      </c>
      <c r="EW366" t="e">
        <f>'Technical Master Data'!B374+"AM:!2rQ"</f>
        <v>#VALUE!</v>
      </c>
      <c r="EX366" t="e">
        <f>'Technical Master Data'!C374+"AM:!2rR"</f>
        <v>#VALUE!</v>
      </c>
      <c r="EY366" t="e">
        <f>'Technical Master Data'!D374+"AM:!2rS"</f>
        <v>#VALUE!</v>
      </c>
      <c r="EZ366" t="e">
        <f>'Technical Master Data'!E374+"AM:!2rT"</f>
        <v>#VALUE!</v>
      </c>
      <c r="FA366" t="e">
        <f>'Technical Master Data'!F374+"AM:!2rU"</f>
        <v>#VALUE!</v>
      </c>
      <c r="FB366" t="e">
        <f>'Technical Master Data'!G374+"AM:!2rV"</f>
        <v>#VALUE!</v>
      </c>
      <c r="FC366" t="e">
        <f>'Technical Master Data'!H374+"AM:!2rW"</f>
        <v>#VALUE!</v>
      </c>
      <c r="FD366" t="e">
        <f>'Technical Master Data'!I374+"AM:!2rX"</f>
        <v>#VALUE!</v>
      </c>
      <c r="FE366" t="e">
        <f>'Technical Master Data'!J374+"AM:!2rY"</f>
        <v>#VALUE!</v>
      </c>
      <c r="FF366" t="e">
        <f>'Technical Master Data'!K374+"AM:!2rZ"</f>
        <v>#VALUE!</v>
      </c>
      <c r="FG366" t="e">
        <f>'Technical Master Data'!L374+"AM:!2r["</f>
        <v>#VALUE!</v>
      </c>
      <c r="FH366" t="e">
        <f>'Technical Master Data'!M374+"AM:!2r\"</f>
        <v>#VALUE!</v>
      </c>
      <c r="FI366" t="e">
        <f>'Technical Master Data'!N374+"AM:!2r]"</f>
        <v>#VALUE!</v>
      </c>
      <c r="FJ366" t="e">
        <f>'Technical Master Data'!O374+"AM:!2r^"</f>
        <v>#VALUE!</v>
      </c>
      <c r="FK366" t="e">
        <f>'Technical Master Data'!P374+"AM:!2r_"</f>
        <v>#VALUE!</v>
      </c>
      <c r="FL366" t="e">
        <f>'Technical Master Data'!Q374+"AM:!2r`"</f>
        <v>#VALUE!</v>
      </c>
      <c r="FM366" t="e">
        <f>'Technical Master Data'!R374+"AM:!2ra"</f>
        <v>#VALUE!</v>
      </c>
      <c r="FN366" t="e">
        <f>'Technical Master Data'!S374+"AM:!2rb"</f>
        <v>#VALUE!</v>
      </c>
      <c r="FO366" t="e">
        <f>'Technical Master Data'!A375+"AM:!2rc"</f>
        <v>#VALUE!</v>
      </c>
      <c r="FP366" t="e">
        <f>'Technical Master Data'!B375+"AM:!2rd"</f>
        <v>#VALUE!</v>
      </c>
      <c r="FQ366" t="e">
        <f>'Technical Master Data'!C375+"AM:!2re"</f>
        <v>#VALUE!</v>
      </c>
      <c r="FR366" t="e">
        <f>'Technical Master Data'!D375+"AM:!2rf"</f>
        <v>#VALUE!</v>
      </c>
      <c r="FS366" t="e">
        <f>'Technical Master Data'!E375+"AM:!2rg"</f>
        <v>#VALUE!</v>
      </c>
      <c r="FT366" t="e">
        <f>'Technical Master Data'!F375+"AM:!2rh"</f>
        <v>#VALUE!</v>
      </c>
      <c r="FU366" t="e">
        <f>'Technical Master Data'!G375+"AM:!2ri"</f>
        <v>#VALUE!</v>
      </c>
      <c r="FV366" t="e">
        <f>'Technical Master Data'!H375+"AM:!2rj"</f>
        <v>#VALUE!</v>
      </c>
      <c r="FW366" t="e">
        <f>'Technical Master Data'!I375+"AM:!2rk"</f>
        <v>#VALUE!</v>
      </c>
      <c r="FX366" t="e">
        <f>'Technical Master Data'!J375+"AM:!2rl"</f>
        <v>#VALUE!</v>
      </c>
      <c r="FY366" t="e">
        <f>'Technical Master Data'!K375+"AM:!2rm"</f>
        <v>#VALUE!</v>
      </c>
      <c r="FZ366" t="e">
        <f>'Technical Master Data'!L375+"AM:!2rn"</f>
        <v>#VALUE!</v>
      </c>
      <c r="GA366" t="e">
        <f>'Technical Master Data'!M375+"AM:!2ro"</f>
        <v>#VALUE!</v>
      </c>
      <c r="GB366" t="e">
        <f>'Technical Master Data'!N375+"AM:!2rp"</f>
        <v>#VALUE!</v>
      </c>
      <c r="GC366" t="e">
        <f>'Technical Master Data'!O375+"AM:!2rq"</f>
        <v>#VALUE!</v>
      </c>
      <c r="GD366" t="e">
        <f>'Technical Master Data'!P375+"AM:!2rr"</f>
        <v>#VALUE!</v>
      </c>
      <c r="GE366" t="e">
        <f>'Technical Master Data'!Q375+"AM:!2rs"</f>
        <v>#VALUE!</v>
      </c>
      <c r="GF366" t="e">
        <f>'Technical Master Data'!R375+"AM:!2rt"</f>
        <v>#VALUE!</v>
      </c>
      <c r="GG366" t="e">
        <f>'Technical Master Data'!S375+"AM:!2ru"</f>
        <v>#VALUE!</v>
      </c>
      <c r="GH366" t="e">
        <f>'Technical Master Data'!A376+"AM:!2rv"</f>
        <v>#VALUE!</v>
      </c>
      <c r="GI366" t="e">
        <f>'Technical Master Data'!B376+"AM:!2rw"</f>
        <v>#VALUE!</v>
      </c>
      <c r="GJ366" t="e">
        <f>'Technical Master Data'!C376+"AM:!2rx"</f>
        <v>#VALUE!</v>
      </c>
      <c r="GK366" t="e">
        <f>'Technical Master Data'!D376+"AM:!2ry"</f>
        <v>#VALUE!</v>
      </c>
      <c r="GL366" t="e">
        <f>'Technical Master Data'!E376+"AM:!2rz"</f>
        <v>#VALUE!</v>
      </c>
      <c r="GM366" t="e">
        <f>'Technical Master Data'!F376+"AM:!2r{"</f>
        <v>#VALUE!</v>
      </c>
      <c r="GN366" t="e">
        <f>'Technical Master Data'!G376+"AM:!2r|"</f>
        <v>#VALUE!</v>
      </c>
      <c r="GO366" t="e">
        <f>'Technical Master Data'!H376+"AM:!2r}"</f>
        <v>#VALUE!</v>
      </c>
      <c r="GP366" t="e">
        <f>'Technical Master Data'!I376+"AM:!2r~"</f>
        <v>#VALUE!</v>
      </c>
      <c r="GQ366" t="e">
        <f>'Technical Master Data'!J376+"AM:!2s#"</f>
        <v>#VALUE!</v>
      </c>
      <c r="GR366" t="e">
        <f>'Technical Master Data'!K376+"AM:!2s$"</f>
        <v>#VALUE!</v>
      </c>
      <c r="GS366" t="e">
        <f>'Technical Master Data'!L376+"AM:!2s%"</f>
        <v>#VALUE!</v>
      </c>
      <c r="GT366" t="e">
        <f>'Technical Master Data'!M376+"AM:!2s&amp;"</f>
        <v>#VALUE!</v>
      </c>
      <c r="GU366" t="e">
        <f>'Technical Master Data'!N376+"AM:!2s'"</f>
        <v>#VALUE!</v>
      </c>
      <c r="GV366" t="e">
        <f>'Technical Master Data'!O376+"AM:!2s("</f>
        <v>#VALUE!</v>
      </c>
      <c r="GW366" t="e">
        <f>'Technical Master Data'!P376+"AM:!2s)"</f>
        <v>#VALUE!</v>
      </c>
      <c r="GX366" t="e">
        <f>'Technical Master Data'!Q376+"AM:!2s."</f>
        <v>#VALUE!</v>
      </c>
      <c r="GY366" t="e">
        <f>'Technical Master Data'!R376+"AM:!2s/"</f>
        <v>#VALUE!</v>
      </c>
      <c r="GZ366" t="e">
        <f>'Technical Master Data'!S376+"AM:!2s0"</f>
        <v>#VALUE!</v>
      </c>
      <c r="HA366" t="e">
        <f>'Technical Master Data'!A377+"AM:!2s1"</f>
        <v>#VALUE!</v>
      </c>
      <c r="HB366" t="e">
        <f>'Technical Master Data'!B377+"AM:!2s2"</f>
        <v>#VALUE!</v>
      </c>
      <c r="HC366" t="e">
        <f>'Technical Master Data'!C377+"AM:!2s3"</f>
        <v>#VALUE!</v>
      </c>
      <c r="HD366" t="e">
        <f>'Technical Master Data'!D377+"AM:!2s4"</f>
        <v>#VALUE!</v>
      </c>
      <c r="HE366" t="e">
        <f>'Technical Master Data'!E377+"AM:!2s5"</f>
        <v>#VALUE!</v>
      </c>
      <c r="HF366" t="e">
        <f>'Technical Master Data'!F377+"AM:!2s6"</f>
        <v>#VALUE!</v>
      </c>
      <c r="HG366" t="e">
        <f>'Technical Master Data'!G377+"AM:!2s7"</f>
        <v>#VALUE!</v>
      </c>
      <c r="HH366" t="e">
        <f>'Technical Master Data'!H377+"AM:!2s8"</f>
        <v>#VALUE!</v>
      </c>
      <c r="HI366" t="e">
        <f>'Technical Master Data'!I377+"AM:!2s9"</f>
        <v>#VALUE!</v>
      </c>
      <c r="HJ366" t="e">
        <f>'Technical Master Data'!J377+"AM:!2s:"</f>
        <v>#VALUE!</v>
      </c>
      <c r="HK366" t="e">
        <f>'Technical Master Data'!K377+"AM:!2s;"</f>
        <v>#VALUE!</v>
      </c>
      <c r="HL366" t="e">
        <f>'Technical Master Data'!L377+"AM:!2s&lt;"</f>
        <v>#VALUE!</v>
      </c>
      <c r="HM366" t="e">
        <f>'Technical Master Data'!M377+"AM:!2s="</f>
        <v>#VALUE!</v>
      </c>
      <c r="HN366" t="e">
        <f>'Technical Master Data'!N377+"AM:!2s&gt;"</f>
        <v>#VALUE!</v>
      </c>
      <c r="HO366" t="e">
        <f>'Technical Master Data'!O377+"AM:!2s?"</f>
        <v>#VALUE!</v>
      </c>
      <c r="HP366" t="e">
        <f>'Technical Master Data'!P377+"AM:!2s@"</f>
        <v>#VALUE!</v>
      </c>
      <c r="HQ366" t="e">
        <f>'Technical Master Data'!Q377+"AM:!2sA"</f>
        <v>#VALUE!</v>
      </c>
      <c r="HR366" t="e">
        <f>'Technical Master Data'!R377+"AM:!2sB"</f>
        <v>#VALUE!</v>
      </c>
      <c r="HS366" t="e">
        <f>'Technical Master Data'!S377+"AM:!2sC"</f>
        <v>#VALUE!</v>
      </c>
      <c r="HT366" t="e">
        <f>'Technical Master Data'!A378+"AM:!2sD"</f>
        <v>#VALUE!</v>
      </c>
      <c r="HU366" t="e">
        <f>'Technical Master Data'!B378+"AM:!2sE"</f>
        <v>#VALUE!</v>
      </c>
      <c r="HV366" t="e">
        <f>'Technical Master Data'!C378+"AM:!2sF"</f>
        <v>#VALUE!</v>
      </c>
      <c r="HW366" t="e">
        <f>'Technical Master Data'!D378+"AM:!2sG"</f>
        <v>#VALUE!</v>
      </c>
      <c r="HX366" t="e">
        <f>'Technical Master Data'!E378+"AM:!2sH"</f>
        <v>#VALUE!</v>
      </c>
      <c r="HY366" t="e">
        <f>'Technical Master Data'!F378+"AM:!2sI"</f>
        <v>#VALUE!</v>
      </c>
      <c r="HZ366" t="e">
        <f>'Technical Master Data'!G378+"AM:!2sJ"</f>
        <v>#VALUE!</v>
      </c>
      <c r="IA366" t="e">
        <f>'Technical Master Data'!H378+"AM:!2sK"</f>
        <v>#VALUE!</v>
      </c>
      <c r="IB366" t="e">
        <f>'Technical Master Data'!I378+"AM:!2sL"</f>
        <v>#VALUE!</v>
      </c>
      <c r="IC366" t="e">
        <f>'Technical Master Data'!J378+"AM:!2sM"</f>
        <v>#VALUE!</v>
      </c>
      <c r="ID366" t="e">
        <f>'Technical Master Data'!K378+"AM:!2sN"</f>
        <v>#VALUE!</v>
      </c>
      <c r="IE366" t="e">
        <f>'Technical Master Data'!L378+"AM:!2sO"</f>
        <v>#VALUE!</v>
      </c>
      <c r="IF366" t="e">
        <f>'Technical Master Data'!M378+"AM:!2sP"</f>
        <v>#VALUE!</v>
      </c>
      <c r="IG366" t="e">
        <f>'Technical Master Data'!N378+"AM:!2sQ"</f>
        <v>#VALUE!</v>
      </c>
      <c r="IH366" t="e">
        <f>'Technical Master Data'!O378+"AM:!2sR"</f>
        <v>#VALUE!</v>
      </c>
      <c r="II366" t="e">
        <f>'Technical Master Data'!P378+"AM:!2sS"</f>
        <v>#VALUE!</v>
      </c>
      <c r="IJ366" t="e">
        <f>'Technical Master Data'!Q378+"AM:!2sT"</f>
        <v>#VALUE!</v>
      </c>
      <c r="IK366" t="e">
        <f>'Technical Master Data'!R378+"AM:!2sU"</f>
        <v>#VALUE!</v>
      </c>
      <c r="IL366" t="e">
        <f>'Technical Master Data'!S378+"AM:!2sV"</f>
        <v>#VALUE!</v>
      </c>
      <c r="IM366" t="e">
        <f>'Technical Master Data'!A379+"AM:!2sW"</f>
        <v>#VALUE!</v>
      </c>
      <c r="IN366" t="e">
        <f>'Technical Master Data'!B379+"AM:!2sX"</f>
        <v>#VALUE!</v>
      </c>
      <c r="IO366" t="e">
        <f>'Technical Master Data'!C379+"AM:!2sY"</f>
        <v>#VALUE!</v>
      </c>
      <c r="IP366" t="e">
        <f>'Technical Master Data'!D379+"AM:!2sZ"</f>
        <v>#VALUE!</v>
      </c>
      <c r="IQ366" t="e">
        <f>'Technical Master Data'!E379+"AM:!2s["</f>
        <v>#VALUE!</v>
      </c>
      <c r="IR366" t="e">
        <f>'Technical Master Data'!F379+"AM:!2s\"</f>
        <v>#VALUE!</v>
      </c>
      <c r="IS366" t="e">
        <f>'Technical Master Data'!G379+"AM:!2s]"</f>
        <v>#VALUE!</v>
      </c>
      <c r="IT366" t="e">
        <f>'Technical Master Data'!H379+"AM:!2s^"</f>
        <v>#VALUE!</v>
      </c>
      <c r="IU366" t="e">
        <f>'Technical Master Data'!I379+"AM:!2s_"</f>
        <v>#VALUE!</v>
      </c>
      <c r="IV366" t="e">
        <f>'Technical Master Data'!J379+"AM:!2s`"</f>
        <v>#VALUE!</v>
      </c>
    </row>
    <row r="367" spans="6:256">
      <c r="F367" t="e">
        <f>'Technical Master Data'!K379+"AM:!2sa"</f>
        <v>#VALUE!</v>
      </c>
      <c r="G367" t="e">
        <f>'Technical Master Data'!L379+"AM:!2sb"</f>
        <v>#VALUE!</v>
      </c>
      <c r="H367" t="e">
        <f>'Technical Master Data'!M379+"AM:!2sc"</f>
        <v>#VALUE!</v>
      </c>
      <c r="I367" t="e">
        <f>'Technical Master Data'!N379+"AM:!2sd"</f>
        <v>#VALUE!</v>
      </c>
      <c r="J367" t="e">
        <f>'Technical Master Data'!O379+"AM:!2se"</f>
        <v>#VALUE!</v>
      </c>
      <c r="K367" t="e">
        <f>'Technical Master Data'!P379+"AM:!2sf"</f>
        <v>#VALUE!</v>
      </c>
      <c r="L367" t="e">
        <f>'Technical Master Data'!Q379+"AM:!2sg"</f>
        <v>#VALUE!</v>
      </c>
      <c r="M367" t="e">
        <f>'Technical Master Data'!R379+"AM:!2sh"</f>
        <v>#VALUE!</v>
      </c>
      <c r="N367" t="e">
        <f>'Technical Master Data'!S379+"AM:!2si"</f>
        <v>#VALUE!</v>
      </c>
      <c r="O367" t="e">
        <f>'Technical Master Data'!A380+"AM:!2sj"</f>
        <v>#VALUE!</v>
      </c>
      <c r="P367" t="e">
        <f>'Technical Master Data'!B380+"AM:!2sk"</f>
        <v>#VALUE!</v>
      </c>
      <c r="Q367" t="e">
        <f>'Technical Master Data'!C380+"AM:!2sl"</f>
        <v>#VALUE!</v>
      </c>
      <c r="R367" t="e">
        <f>'Technical Master Data'!D380+"AM:!2sm"</f>
        <v>#VALUE!</v>
      </c>
      <c r="S367" t="e">
        <f>'Technical Master Data'!E380+"AM:!2sn"</f>
        <v>#VALUE!</v>
      </c>
      <c r="T367" t="e">
        <f>'Technical Master Data'!F380+"AM:!2so"</f>
        <v>#VALUE!</v>
      </c>
      <c r="U367" t="e">
        <f>'Technical Master Data'!G380+"AM:!2sp"</f>
        <v>#VALUE!</v>
      </c>
      <c r="V367" t="e">
        <f>'Technical Master Data'!H380+"AM:!2sq"</f>
        <v>#VALUE!</v>
      </c>
      <c r="W367" t="e">
        <f>'Technical Master Data'!I380+"AM:!2sr"</f>
        <v>#VALUE!</v>
      </c>
      <c r="X367" t="e">
        <f>'Technical Master Data'!J380+"AM:!2ss"</f>
        <v>#VALUE!</v>
      </c>
      <c r="Y367" t="e">
        <f>'Technical Master Data'!K380+"AM:!2st"</f>
        <v>#VALUE!</v>
      </c>
      <c r="Z367" t="e">
        <f>'Technical Master Data'!L380+"AM:!2su"</f>
        <v>#VALUE!</v>
      </c>
      <c r="AA367" t="e">
        <f>'Technical Master Data'!M380+"AM:!2sv"</f>
        <v>#VALUE!</v>
      </c>
      <c r="AB367" t="e">
        <f>'Technical Master Data'!N380+"AM:!2sw"</f>
        <v>#VALUE!</v>
      </c>
      <c r="AC367" t="e">
        <f>'Technical Master Data'!O380+"AM:!2sx"</f>
        <v>#VALUE!</v>
      </c>
      <c r="AD367" t="e">
        <f>'Technical Master Data'!P380+"AM:!2sy"</f>
        <v>#VALUE!</v>
      </c>
      <c r="AE367" t="e">
        <f>'Technical Master Data'!Q380+"AM:!2sz"</f>
        <v>#VALUE!</v>
      </c>
      <c r="AF367" t="e">
        <f>'Technical Master Data'!R380+"AM:!2s{"</f>
        <v>#VALUE!</v>
      </c>
      <c r="AG367" t="e">
        <f>'Technical Master Data'!S380+"AM:!2s|"</f>
        <v>#VALUE!</v>
      </c>
      <c r="AH367" t="e">
        <f>'Technical Master Data'!A381+"AM:!2s}"</f>
        <v>#VALUE!</v>
      </c>
      <c r="AI367" t="e">
        <f>'Technical Master Data'!B381+"AM:!2s~"</f>
        <v>#VALUE!</v>
      </c>
      <c r="AJ367" t="e">
        <f>'Technical Master Data'!C381+"AM:!2t#"</f>
        <v>#VALUE!</v>
      </c>
      <c r="AK367" t="e">
        <f>'Technical Master Data'!D381+"AM:!2t$"</f>
        <v>#VALUE!</v>
      </c>
      <c r="AL367" t="e">
        <f>'Technical Master Data'!E381+"AM:!2t%"</f>
        <v>#VALUE!</v>
      </c>
      <c r="AM367" t="e">
        <f>'Technical Master Data'!F381+"AM:!2t&amp;"</f>
        <v>#VALUE!</v>
      </c>
      <c r="AN367" t="e">
        <f>'Technical Master Data'!G381+"AM:!2t'"</f>
        <v>#VALUE!</v>
      </c>
      <c r="AO367" t="e">
        <f>'Technical Master Data'!H381+"AM:!2t("</f>
        <v>#VALUE!</v>
      </c>
      <c r="AP367" t="e">
        <f>'Technical Master Data'!I381+"AM:!2t)"</f>
        <v>#VALUE!</v>
      </c>
      <c r="AQ367" t="e">
        <f>'Technical Master Data'!J381+"AM:!2t."</f>
        <v>#VALUE!</v>
      </c>
      <c r="AR367" t="e">
        <f>'Technical Master Data'!K381+"AM:!2t/"</f>
        <v>#VALUE!</v>
      </c>
      <c r="AS367" t="e">
        <f>'Technical Master Data'!L381+"AM:!2t0"</f>
        <v>#VALUE!</v>
      </c>
      <c r="AT367" t="e">
        <f>'Technical Master Data'!M381+"AM:!2t1"</f>
        <v>#VALUE!</v>
      </c>
      <c r="AU367" t="e">
        <f>'Technical Master Data'!N381+"AM:!2t2"</f>
        <v>#VALUE!</v>
      </c>
      <c r="AV367" t="e">
        <f>'Technical Master Data'!O381+"AM:!2t3"</f>
        <v>#VALUE!</v>
      </c>
      <c r="AW367" t="e">
        <f>'Technical Master Data'!P381+"AM:!2t4"</f>
        <v>#VALUE!</v>
      </c>
      <c r="AX367" t="e">
        <f>'Technical Master Data'!Q381+"AM:!2t5"</f>
        <v>#VALUE!</v>
      </c>
      <c r="AY367" t="e">
        <f>'Technical Master Data'!R381+"AM:!2t6"</f>
        <v>#VALUE!</v>
      </c>
      <c r="AZ367" t="e">
        <f>'Technical Master Data'!S381+"AM:!2t7"</f>
        <v>#VALUE!</v>
      </c>
      <c r="BA367" t="e">
        <f>'Technical Master Data'!A382+"AM:!2t8"</f>
        <v>#VALUE!</v>
      </c>
      <c r="BB367" t="e">
        <f>'Technical Master Data'!B382+"AM:!2t9"</f>
        <v>#VALUE!</v>
      </c>
      <c r="BC367" t="e">
        <f>'Technical Master Data'!C382+"AM:!2t:"</f>
        <v>#VALUE!</v>
      </c>
      <c r="BD367" t="e">
        <f>'Technical Master Data'!D382+"AM:!2t;"</f>
        <v>#VALUE!</v>
      </c>
      <c r="BE367" t="e">
        <f>'Technical Master Data'!E382+"AM:!2t&lt;"</f>
        <v>#VALUE!</v>
      </c>
      <c r="BF367" t="e">
        <f>'Technical Master Data'!F382+"AM:!2t="</f>
        <v>#VALUE!</v>
      </c>
      <c r="BG367" t="e">
        <f>'Technical Master Data'!G382+"AM:!2t&gt;"</f>
        <v>#VALUE!</v>
      </c>
      <c r="BH367" t="e">
        <f>'Technical Master Data'!H382+"AM:!2t?"</f>
        <v>#VALUE!</v>
      </c>
      <c r="BI367" t="e">
        <f>'Technical Master Data'!I382+"AM:!2t@"</f>
        <v>#VALUE!</v>
      </c>
      <c r="BJ367" t="e">
        <f>'Technical Master Data'!J382+"AM:!2tA"</f>
        <v>#VALUE!</v>
      </c>
      <c r="BK367" t="e">
        <f>'Technical Master Data'!K382+"AM:!2tB"</f>
        <v>#VALUE!</v>
      </c>
      <c r="BL367" t="e">
        <f>'Technical Master Data'!L382+"AM:!2tC"</f>
        <v>#VALUE!</v>
      </c>
      <c r="BM367" t="e">
        <f>'Technical Master Data'!M382+"AM:!2tD"</f>
        <v>#VALUE!</v>
      </c>
      <c r="BN367" t="e">
        <f>'Technical Master Data'!N382+"AM:!2tE"</f>
        <v>#VALUE!</v>
      </c>
      <c r="BO367" t="e">
        <f>'Technical Master Data'!O382+"AM:!2tF"</f>
        <v>#VALUE!</v>
      </c>
      <c r="BP367" t="e">
        <f>'Technical Master Data'!P382+"AM:!2tG"</f>
        <v>#VALUE!</v>
      </c>
      <c r="BQ367" t="e">
        <f>'Technical Master Data'!Q382+"AM:!2tH"</f>
        <v>#VALUE!</v>
      </c>
      <c r="BR367" t="e">
        <f>'Technical Master Data'!R382+"AM:!2tI"</f>
        <v>#VALUE!</v>
      </c>
      <c r="BS367" t="e">
        <f>'Technical Master Data'!S382+"AM:!2tJ"</f>
        <v>#VALUE!</v>
      </c>
      <c r="BT367" t="e">
        <f>'Technical Master Data'!A383+"AM:!2tK"</f>
        <v>#VALUE!</v>
      </c>
      <c r="BU367" t="e">
        <f>'Technical Master Data'!B383+"AM:!2tL"</f>
        <v>#VALUE!</v>
      </c>
      <c r="BV367" t="e">
        <f>'Technical Master Data'!C383+"AM:!2tM"</f>
        <v>#VALUE!</v>
      </c>
      <c r="BW367" t="e">
        <f>'Technical Master Data'!D383+"AM:!2tN"</f>
        <v>#VALUE!</v>
      </c>
      <c r="BX367" t="e">
        <f>'Technical Master Data'!E383+"AM:!2tO"</f>
        <v>#VALUE!</v>
      </c>
      <c r="BY367" t="e">
        <f>'Technical Master Data'!F383+"AM:!2tP"</f>
        <v>#VALUE!</v>
      </c>
      <c r="BZ367" t="e">
        <f>'Technical Master Data'!G383+"AM:!2tQ"</f>
        <v>#VALUE!</v>
      </c>
      <c r="CA367" t="e">
        <f>'Technical Master Data'!H383+"AM:!2tR"</f>
        <v>#VALUE!</v>
      </c>
      <c r="CB367" t="e">
        <f>'Technical Master Data'!I383+"AM:!2tS"</f>
        <v>#VALUE!</v>
      </c>
      <c r="CC367" t="e">
        <f>'Technical Master Data'!J383+"AM:!2tT"</f>
        <v>#VALUE!</v>
      </c>
      <c r="CD367" t="e">
        <f>'Technical Master Data'!K383+"AM:!2tU"</f>
        <v>#VALUE!</v>
      </c>
      <c r="CE367" t="e">
        <f>'Technical Master Data'!L383+"AM:!2tV"</f>
        <v>#VALUE!</v>
      </c>
      <c r="CF367" t="e">
        <f>'Technical Master Data'!M383+"AM:!2tW"</f>
        <v>#VALUE!</v>
      </c>
      <c r="CG367" t="e">
        <f>'Technical Master Data'!N383+"AM:!2tX"</f>
        <v>#VALUE!</v>
      </c>
      <c r="CH367" t="e">
        <f>'Technical Master Data'!O383+"AM:!2tY"</f>
        <v>#VALUE!</v>
      </c>
      <c r="CI367" t="e">
        <f>'Technical Master Data'!P383+"AM:!2tZ"</f>
        <v>#VALUE!</v>
      </c>
      <c r="CJ367" t="e">
        <f>'Technical Master Data'!Q383+"AM:!2t["</f>
        <v>#VALUE!</v>
      </c>
      <c r="CK367" t="e">
        <f>'Technical Master Data'!R383+"AM:!2t\"</f>
        <v>#VALUE!</v>
      </c>
      <c r="CL367" t="e">
        <f>'Technical Master Data'!S383+"AM:!2t]"</f>
        <v>#VALUE!</v>
      </c>
      <c r="CM367" t="e">
        <f>'Technical Master Data'!A384+"AM:!2t^"</f>
        <v>#VALUE!</v>
      </c>
      <c r="CN367" t="e">
        <f>'Technical Master Data'!B384+"AM:!2t_"</f>
        <v>#VALUE!</v>
      </c>
      <c r="CO367" t="e">
        <f>'Technical Master Data'!C384+"AM:!2t`"</f>
        <v>#VALUE!</v>
      </c>
      <c r="CP367" t="e">
        <f>'Technical Master Data'!D384+"AM:!2ta"</f>
        <v>#VALUE!</v>
      </c>
      <c r="CQ367" t="e">
        <f>'Technical Master Data'!E384+"AM:!2tb"</f>
        <v>#VALUE!</v>
      </c>
      <c r="CR367" t="e">
        <f>'Technical Master Data'!F384+"AM:!2tc"</f>
        <v>#VALUE!</v>
      </c>
      <c r="CS367" t="e">
        <f>'Technical Master Data'!G384+"AM:!2td"</f>
        <v>#VALUE!</v>
      </c>
      <c r="CT367" t="e">
        <f>'Technical Master Data'!H384+"AM:!2te"</f>
        <v>#VALUE!</v>
      </c>
      <c r="CU367" t="e">
        <f>'Technical Master Data'!I384+"AM:!2tf"</f>
        <v>#VALUE!</v>
      </c>
      <c r="CV367" t="e">
        <f>'Technical Master Data'!J384+"AM:!2tg"</f>
        <v>#VALUE!</v>
      </c>
      <c r="CW367" t="e">
        <f>'Technical Master Data'!K384+"AM:!2th"</f>
        <v>#VALUE!</v>
      </c>
      <c r="CX367" t="e">
        <f>'Technical Master Data'!L384+"AM:!2ti"</f>
        <v>#VALUE!</v>
      </c>
      <c r="CY367" t="e">
        <f>'Technical Master Data'!M384+"AM:!2tj"</f>
        <v>#VALUE!</v>
      </c>
      <c r="CZ367" t="e">
        <f>'Technical Master Data'!N384+"AM:!2tk"</f>
        <v>#VALUE!</v>
      </c>
      <c r="DA367" t="e">
        <f>'Technical Master Data'!O384+"AM:!2tl"</f>
        <v>#VALUE!</v>
      </c>
      <c r="DB367" t="e">
        <f>'Technical Master Data'!P384+"AM:!2tm"</f>
        <v>#VALUE!</v>
      </c>
      <c r="DC367" t="e">
        <f>'Technical Master Data'!Q384+"AM:!2tn"</f>
        <v>#VALUE!</v>
      </c>
      <c r="DD367" t="e">
        <f>'Technical Master Data'!R384+"AM:!2to"</f>
        <v>#VALUE!</v>
      </c>
      <c r="DE367" t="e">
        <f>'Technical Master Data'!S384+"AM:!2tp"</f>
        <v>#VALUE!</v>
      </c>
      <c r="DF367" t="e">
        <f>'Technical Master Data'!A385+"AM:!2tq"</f>
        <v>#VALUE!</v>
      </c>
      <c r="DG367" t="e">
        <f>'Technical Master Data'!B385+"AM:!2tr"</f>
        <v>#VALUE!</v>
      </c>
      <c r="DH367" t="e">
        <f>'Technical Master Data'!C385+"AM:!2ts"</f>
        <v>#VALUE!</v>
      </c>
      <c r="DI367" t="e">
        <f>'Technical Master Data'!D385+"AM:!2tt"</f>
        <v>#VALUE!</v>
      </c>
      <c r="DJ367" t="e">
        <f>'Technical Master Data'!E385+"AM:!2tu"</f>
        <v>#VALUE!</v>
      </c>
      <c r="DK367" t="e">
        <f>'Technical Master Data'!F385+"AM:!2tv"</f>
        <v>#VALUE!</v>
      </c>
      <c r="DL367" t="e">
        <f>'Technical Master Data'!G385+"AM:!2tw"</f>
        <v>#VALUE!</v>
      </c>
      <c r="DM367" t="e">
        <f>'Technical Master Data'!H385+"AM:!2tx"</f>
        <v>#VALUE!</v>
      </c>
      <c r="DN367" t="e">
        <f>'Technical Master Data'!I385+"AM:!2ty"</f>
        <v>#VALUE!</v>
      </c>
      <c r="DO367" t="e">
        <f>'Technical Master Data'!J385+"AM:!2tz"</f>
        <v>#VALUE!</v>
      </c>
      <c r="DP367" t="e">
        <f>'Technical Master Data'!K385+"AM:!2t{"</f>
        <v>#VALUE!</v>
      </c>
      <c r="DQ367" t="e">
        <f>'Technical Master Data'!L385+"AM:!2t|"</f>
        <v>#VALUE!</v>
      </c>
      <c r="DR367" t="e">
        <f>'Technical Master Data'!M385+"AM:!2t}"</f>
        <v>#VALUE!</v>
      </c>
      <c r="DS367" t="e">
        <f>'Technical Master Data'!N385+"AM:!2t~"</f>
        <v>#VALUE!</v>
      </c>
      <c r="DT367" t="e">
        <f>'Technical Master Data'!O385+"AM:!2u#"</f>
        <v>#VALUE!</v>
      </c>
      <c r="DU367" t="e">
        <f>'Technical Master Data'!P385+"AM:!2u$"</f>
        <v>#VALUE!</v>
      </c>
      <c r="DV367" t="e">
        <f>'Technical Master Data'!Q385+"AM:!2u%"</f>
        <v>#VALUE!</v>
      </c>
      <c r="DW367" t="e">
        <f>'Technical Master Data'!R385+"AM:!2u&amp;"</f>
        <v>#VALUE!</v>
      </c>
      <c r="DX367" t="e">
        <f>'Technical Master Data'!S385+"AM:!2u'"</f>
        <v>#VALUE!</v>
      </c>
      <c r="DY367" t="e">
        <f>'Technical Master Data'!A386+"AM:!2u("</f>
        <v>#VALUE!</v>
      </c>
      <c r="DZ367" t="e">
        <f>'Technical Master Data'!B386+"AM:!2u)"</f>
        <v>#VALUE!</v>
      </c>
      <c r="EA367" t="e">
        <f>'Technical Master Data'!C386+"AM:!2u."</f>
        <v>#VALUE!</v>
      </c>
      <c r="EB367" t="e">
        <f>'Technical Master Data'!D386+"AM:!2u/"</f>
        <v>#VALUE!</v>
      </c>
      <c r="EC367" t="e">
        <f>'Technical Master Data'!E386+"AM:!2u0"</f>
        <v>#VALUE!</v>
      </c>
      <c r="ED367" t="e">
        <f>'Technical Master Data'!F386+"AM:!2u1"</f>
        <v>#VALUE!</v>
      </c>
      <c r="EE367" t="e">
        <f>'Technical Master Data'!G386+"AM:!2u2"</f>
        <v>#VALUE!</v>
      </c>
      <c r="EF367" t="e">
        <f>'Technical Master Data'!H386+"AM:!2u3"</f>
        <v>#VALUE!</v>
      </c>
      <c r="EG367" t="e">
        <f>'Technical Master Data'!I386+"AM:!2u4"</f>
        <v>#VALUE!</v>
      </c>
      <c r="EH367" t="e">
        <f>'Technical Master Data'!J386+"AM:!2u5"</f>
        <v>#VALUE!</v>
      </c>
      <c r="EI367" t="e">
        <f>'Technical Master Data'!K386+"AM:!2u6"</f>
        <v>#VALUE!</v>
      </c>
      <c r="EJ367" t="e">
        <f>'Technical Master Data'!L386+"AM:!2u7"</f>
        <v>#VALUE!</v>
      </c>
      <c r="EK367" t="e">
        <f>'Technical Master Data'!M386+"AM:!2u8"</f>
        <v>#VALUE!</v>
      </c>
      <c r="EL367" t="e">
        <f>'Technical Master Data'!N386+"AM:!2u9"</f>
        <v>#VALUE!</v>
      </c>
      <c r="EM367" t="e">
        <f>'Technical Master Data'!O386+"AM:!2u:"</f>
        <v>#VALUE!</v>
      </c>
      <c r="EN367" t="e">
        <f>'Technical Master Data'!P386+"AM:!2u;"</f>
        <v>#VALUE!</v>
      </c>
      <c r="EO367" t="e">
        <f>'Technical Master Data'!Q386+"AM:!2u&lt;"</f>
        <v>#VALUE!</v>
      </c>
      <c r="EP367" t="e">
        <f>'Technical Master Data'!R386+"AM:!2u="</f>
        <v>#VALUE!</v>
      </c>
      <c r="EQ367" t="e">
        <f>'Technical Master Data'!S386+"AM:!2u&gt;"</f>
        <v>#VALUE!</v>
      </c>
      <c r="ER367" t="e">
        <f>'Technical Master Data'!A387+"AM:!2u?"</f>
        <v>#VALUE!</v>
      </c>
      <c r="ES367" t="e">
        <f>'Technical Master Data'!B387+"AM:!2u@"</f>
        <v>#VALUE!</v>
      </c>
      <c r="ET367" t="e">
        <f>'Technical Master Data'!C387+"AM:!2uA"</f>
        <v>#VALUE!</v>
      </c>
      <c r="EU367" t="e">
        <f>'Technical Master Data'!D387+"AM:!2uB"</f>
        <v>#VALUE!</v>
      </c>
      <c r="EV367" t="e">
        <f>'Technical Master Data'!E387+"AM:!2uC"</f>
        <v>#VALUE!</v>
      </c>
      <c r="EW367" t="e">
        <f>'Technical Master Data'!F387+"AM:!2uD"</f>
        <v>#VALUE!</v>
      </c>
      <c r="EX367" t="e">
        <f>'Technical Master Data'!G387+"AM:!2uE"</f>
        <v>#VALUE!</v>
      </c>
      <c r="EY367" t="e">
        <f>'Technical Master Data'!H387+"AM:!2uF"</f>
        <v>#VALUE!</v>
      </c>
      <c r="EZ367" t="e">
        <f>'Technical Master Data'!I387+"AM:!2uG"</f>
        <v>#VALUE!</v>
      </c>
      <c r="FA367" t="e">
        <f>'Technical Master Data'!J387+"AM:!2uH"</f>
        <v>#VALUE!</v>
      </c>
      <c r="FB367" t="e">
        <f>'Technical Master Data'!K387+"AM:!2uI"</f>
        <v>#VALUE!</v>
      </c>
      <c r="FC367" t="e">
        <f>'Technical Master Data'!L387+"AM:!2uJ"</f>
        <v>#VALUE!</v>
      </c>
      <c r="FD367" t="e">
        <f>'Technical Master Data'!M387+"AM:!2uK"</f>
        <v>#VALUE!</v>
      </c>
      <c r="FE367" t="e">
        <f>'Technical Master Data'!N387+"AM:!2uL"</f>
        <v>#VALUE!</v>
      </c>
      <c r="FF367" t="e">
        <f>'Technical Master Data'!O387+"AM:!2uM"</f>
        <v>#VALUE!</v>
      </c>
      <c r="FG367" t="e">
        <f>'Technical Master Data'!P387+"AM:!2uN"</f>
        <v>#VALUE!</v>
      </c>
      <c r="FH367" t="e">
        <f>'Technical Master Data'!Q387+"AM:!2uO"</f>
        <v>#VALUE!</v>
      </c>
      <c r="FI367" t="e">
        <f>'Technical Master Data'!R387+"AM:!2uP"</f>
        <v>#VALUE!</v>
      </c>
      <c r="FJ367" t="e">
        <f>'Technical Master Data'!S387+"AM:!2uQ"</f>
        <v>#VALUE!</v>
      </c>
      <c r="FK367" t="e">
        <f>'Technical Master Data'!A388+"AM:!2uR"</f>
        <v>#VALUE!</v>
      </c>
      <c r="FL367" t="e">
        <f>'Technical Master Data'!B388+"AM:!2uS"</f>
        <v>#VALUE!</v>
      </c>
      <c r="FM367" t="e">
        <f>'Technical Master Data'!C388+"AM:!2uT"</f>
        <v>#VALUE!</v>
      </c>
      <c r="FN367" t="e">
        <f>'Technical Master Data'!D388+"AM:!2uU"</f>
        <v>#VALUE!</v>
      </c>
      <c r="FO367" t="e">
        <f>'Technical Master Data'!E388+"AM:!2uV"</f>
        <v>#VALUE!</v>
      </c>
      <c r="FP367" t="e">
        <f>'Technical Master Data'!F388+"AM:!2uW"</f>
        <v>#VALUE!</v>
      </c>
      <c r="FQ367" t="e">
        <f>'Technical Master Data'!G388+"AM:!2uX"</f>
        <v>#VALUE!</v>
      </c>
      <c r="FR367" t="e">
        <f>'Technical Master Data'!H388+"AM:!2uY"</f>
        <v>#VALUE!</v>
      </c>
      <c r="FS367" t="e">
        <f>'Technical Master Data'!I388+"AM:!2uZ"</f>
        <v>#VALUE!</v>
      </c>
      <c r="FT367" t="e">
        <f>'Technical Master Data'!J388+"AM:!2u["</f>
        <v>#VALUE!</v>
      </c>
      <c r="FU367" t="e">
        <f>'Technical Master Data'!K388+"AM:!2u\"</f>
        <v>#VALUE!</v>
      </c>
      <c r="FV367" t="e">
        <f>'Technical Master Data'!L388+"AM:!2u]"</f>
        <v>#VALUE!</v>
      </c>
      <c r="FW367" t="e">
        <f>'Technical Master Data'!M388+"AM:!2u^"</f>
        <v>#VALUE!</v>
      </c>
      <c r="FX367" t="e">
        <f>'Technical Master Data'!N388+"AM:!2u_"</f>
        <v>#VALUE!</v>
      </c>
      <c r="FY367" t="e">
        <f>'Technical Master Data'!O388+"AM:!2u`"</f>
        <v>#VALUE!</v>
      </c>
      <c r="FZ367" t="e">
        <f>'Technical Master Data'!P388+"AM:!2ua"</f>
        <v>#VALUE!</v>
      </c>
      <c r="GA367" t="e">
        <f>'Technical Master Data'!Q388+"AM:!2ub"</f>
        <v>#VALUE!</v>
      </c>
      <c r="GB367" t="e">
        <f>'Technical Master Data'!R388+"AM:!2uc"</f>
        <v>#VALUE!</v>
      </c>
      <c r="GC367" t="e">
        <f>'Technical Master Data'!S388+"AM:!2ud"</f>
        <v>#VALUE!</v>
      </c>
      <c r="GD367" t="e">
        <f>'Technical Master Data'!A389+"AM:!2ue"</f>
        <v>#VALUE!</v>
      </c>
      <c r="GE367" t="e">
        <f>'Technical Master Data'!B389+"AM:!2uf"</f>
        <v>#VALUE!</v>
      </c>
      <c r="GF367" t="e">
        <f>'Technical Master Data'!C389+"AM:!2ug"</f>
        <v>#VALUE!</v>
      </c>
      <c r="GG367" t="e">
        <f>'Technical Master Data'!D389+"AM:!2uh"</f>
        <v>#VALUE!</v>
      </c>
      <c r="GH367" t="e">
        <f>'Technical Master Data'!E389+"AM:!2ui"</f>
        <v>#VALUE!</v>
      </c>
      <c r="GI367" t="e">
        <f>'Technical Master Data'!F389+"AM:!2uj"</f>
        <v>#VALUE!</v>
      </c>
      <c r="GJ367" t="e">
        <f>'Technical Master Data'!G389+"AM:!2uk"</f>
        <v>#VALUE!</v>
      </c>
      <c r="GK367" t="e">
        <f>'Technical Master Data'!H389+"AM:!2ul"</f>
        <v>#VALUE!</v>
      </c>
      <c r="GL367" t="e">
        <f>'Technical Master Data'!I389+"AM:!2um"</f>
        <v>#VALUE!</v>
      </c>
      <c r="GM367" t="e">
        <f>'Technical Master Data'!J389+"AM:!2un"</f>
        <v>#VALUE!</v>
      </c>
      <c r="GN367" t="e">
        <f>'Technical Master Data'!K389+"AM:!2uo"</f>
        <v>#VALUE!</v>
      </c>
      <c r="GO367" t="e">
        <f>'Technical Master Data'!L389+"AM:!2up"</f>
        <v>#VALUE!</v>
      </c>
      <c r="GP367" t="e">
        <f>'Technical Master Data'!M389+"AM:!2uq"</f>
        <v>#VALUE!</v>
      </c>
      <c r="GQ367" t="e">
        <f>'Technical Master Data'!N389+"AM:!2ur"</f>
        <v>#VALUE!</v>
      </c>
      <c r="GR367" t="e">
        <f>'Technical Master Data'!O389+"AM:!2us"</f>
        <v>#VALUE!</v>
      </c>
      <c r="GS367" t="e">
        <f>'Technical Master Data'!P389+"AM:!2ut"</f>
        <v>#VALUE!</v>
      </c>
      <c r="GT367" t="e">
        <f>'Technical Master Data'!Q389+"AM:!2uu"</f>
        <v>#VALUE!</v>
      </c>
      <c r="GU367" t="e">
        <f>'Technical Master Data'!R389+"AM:!2uv"</f>
        <v>#VALUE!</v>
      </c>
      <c r="GV367" t="e">
        <f>'Technical Master Data'!S389+"AM:!2uw"</f>
        <v>#VALUE!</v>
      </c>
      <c r="GW367" t="e">
        <f>'Technical Master Data'!A390+"AM:!2ux"</f>
        <v>#VALUE!</v>
      </c>
      <c r="GX367" t="e">
        <f>'Technical Master Data'!B390+"AM:!2uy"</f>
        <v>#VALUE!</v>
      </c>
      <c r="GY367" t="e">
        <f>'Technical Master Data'!C390+"AM:!2uz"</f>
        <v>#VALUE!</v>
      </c>
      <c r="GZ367" t="e">
        <f>'Technical Master Data'!D390+"AM:!2u{"</f>
        <v>#VALUE!</v>
      </c>
      <c r="HA367" t="e">
        <f>'Technical Master Data'!E390+"AM:!2u|"</f>
        <v>#VALUE!</v>
      </c>
      <c r="HB367" t="e">
        <f>'Technical Master Data'!F390+"AM:!2u}"</f>
        <v>#VALUE!</v>
      </c>
      <c r="HC367" t="e">
        <f>'Technical Master Data'!G390+"AM:!2u~"</f>
        <v>#VALUE!</v>
      </c>
      <c r="HD367" t="e">
        <f>'Technical Master Data'!H390+"AM:!2v#"</f>
        <v>#VALUE!</v>
      </c>
      <c r="HE367" t="e">
        <f>'Technical Master Data'!I390+"AM:!2v$"</f>
        <v>#VALUE!</v>
      </c>
      <c r="HF367" t="e">
        <f>'Technical Master Data'!J390+"AM:!2v%"</f>
        <v>#VALUE!</v>
      </c>
      <c r="HG367" t="e">
        <f>'Technical Master Data'!K390+"AM:!2v&amp;"</f>
        <v>#VALUE!</v>
      </c>
      <c r="HH367" t="e">
        <f>'Technical Master Data'!L390+"AM:!2v'"</f>
        <v>#VALUE!</v>
      </c>
      <c r="HI367" t="e">
        <f>'Technical Master Data'!M390+"AM:!2v("</f>
        <v>#VALUE!</v>
      </c>
      <c r="HJ367" t="e">
        <f>'Technical Master Data'!N390+"AM:!2v)"</f>
        <v>#VALUE!</v>
      </c>
      <c r="HK367" t="e">
        <f>'Technical Master Data'!O390+"AM:!2v."</f>
        <v>#VALUE!</v>
      </c>
      <c r="HL367" t="e">
        <f>'Technical Master Data'!P390+"AM:!2v/"</f>
        <v>#VALUE!</v>
      </c>
      <c r="HM367" t="e">
        <f>'Technical Master Data'!Q390+"AM:!2v0"</f>
        <v>#VALUE!</v>
      </c>
      <c r="HN367" t="e">
        <f>'Technical Master Data'!R390+"AM:!2v1"</f>
        <v>#VALUE!</v>
      </c>
      <c r="HO367" t="e">
        <f>'Technical Master Data'!S390+"AM:!2v2"</f>
        <v>#VALUE!</v>
      </c>
      <c r="HP367" t="e">
        <f>'Technical Master Data'!A391+"AM:!2v3"</f>
        <v>#VALUE!</v>
      </c>
      <c r="HQ367" t="e">
        <f>'Technical Master Data'!B391+"AM:!2v4"</f>
        <v>#VALUE!</v>
      </c>
      <c r="HR367" t="e">
        <f>'Technical Master Data'!C391+"AM:!2v5"</f>
        <v>#VALUE!</v>
      </c>
      <c r="HS367" t="e">
        <f>'Technical Master Data'!D391+"AM:!2v6"</f>
        <v>#VALUE!</v>
      </c>
      <c r="HT367" t="e">
        <f>'Technical Master Data'!E391+"AM:!2v7"</f>
        <v>#VALUE!</v>
      </c>
      <c r="HU367" t="e">
        <f>'Technical Master Data'!F391+"AM:!2v8"</f>
        <v>#VALUE!</v>
      </c>
      <c r="HV367" t="e">
        <f>'Technical Master Data'!G391+"AM:!2v9"</f>
        <v>#VALUE!</v>
      </c>
      <c r="HW367" t="e">
        <f>'Technical Master Data'!H391+"AM:!2v:"</f>
        <v>#VALUE!</v>
      </c>
      <c r="HX367" t="e">
        <f>'Technical Master Data'!I391+"AM:!2v;"</f>
        <v>#VALUE!</v>
      </c>
      <c r="HY367" t="e">
        <f>'Technical Master Data'!J391+"AM:!2v&lt;"</f>
        <v>#VALUE!</v>
      </c>
      <c r="HZ367" t="e">
        <f>'Technical Master Data'!K391+"AM:!2v="</f>
        <v>#VALUE!</v>
      </c>
      <c r="IA367" t="e">
        <f>'Technical Master Data'!L391+"AM:!2v&gt;"</f>
        <v>#VALUE!</v>
      </c>
      <c r="IB367" t="e">
        <f>'Technical Master Data'!M391+"AM:!2v?"</f>
        <v>#VALUE!</v>
      </c>
      <c r="IC367" t="e">
        <f>'Technical Master Data'!N391+"AM:!2v@"</f>
        <v>#VALUE!</v>
      </c>
      <c r="ID367" t="e">
        <f>'Technical Master Data'!O391+"AM:!2vA"</f>
        <v>#VALUE!</v>
      </c>
      <c r="IE367" t="e">
        <f>'Technical Master Data'!P391+"AM:!2vB"</f>
        <v>#VALUE!</v>
      </c>
      <c r="IF367" t="e">
        <f>'Technical Master Data'!Q391+"AM:!2vC"</f>
        <v>#VALUE!</v>
      </c>
      <c r="IG367" t="e">
        <f>'Technical Master Data'!R391+"AM:!2vD"</f>
        <v>#VALUE!</v>
      </c>
      <c r="IH367" t="e">
        <f>'Technical Master Data'!S391+"AM:!2vE"</f>
        <v>#VALUE!</v>
      </c>
      <c r="II367" t="e">
        <f>'Technical Master Data'!A392+"AM:!2vF"</f>
        <v>#VALUE!</v>
      </c>
      <c r="IJ367" t="e">
        <f>'Technical Master Data'!B392+"AM:!2vG"</f>
        <v>#VALUE!</v>
      </c>
      <c r="IK367" t="e">
        <f>'Technical Master Data'!C392+"AM:!2vH"</f>
        <v>#VALUE!</v>
      </c>
      <c r="IL367" t="e">
        <f>'Technical Master Data'!D392+"AM:!2vI"</f>
        <v>#VALUE!</v>
      </c>
      <c r="IM367" t="e">
        <f>'Technical Master Data'!E392+"AM:!2vJ"</f>
        <v>#VALUE!</v>
      </c>
      <c r="IN367" t="e">
        <f>'Technical Master Data'!F392+"AM:!2vK"</f>
        <v>#VALUE!</v>
      </c>
      <c r="IO367" t="e">
        <f>'Technical Master Data'!G392+"AM:!2vL"</f>
        <v>#VALUE!</v>
      </c>
      <c r="IP367" t="e">
        <f>'Technical Master Data'!H392+"AM:!2vM"</f>
        <v>#VALUE!</v>
      </c>
      <c r="IQ367" t="e">
        <f>'Technical Master Data'!I392+"AM:!2vN"</f>
        <v>#VALUE!</v>
      </c>
      <c r="IR367" t="e">
        <f>'Technical Master Data'!J392+"AM:!2vO"</f>
        <v>#VALUE!</v>
      </c>
      <c r="IS367" t="e">
        <f>'Technical Master Data'!K392+"AM:!2vP"</f>
        <v>#VALUE!</v>
      </c>
      <c r="IT367" t="e">
        <f>'Technical Master Data'!L392+"AM:!2vQ"</f>
        <v>#VALUE!</v>
      </c>
      <c r="IU367" t="e">
        <f>'Technical Master Data'!M392+"AM:!2vR"</f>
        <v>#VALUE!</v>
      </c>
      <c r="IV367" t="e">
        <f>'Technical Master Data'!N392+"AM:!2vS"</f>
        <v>#VALUE!</v>
      </c>
    </row>
    <row r="368" spans="6:256">
      <c r="F368" t="e">
        <f>'Technical Master Data'!O392+"AM:!2vT"</f>
        <v>#VALUE!</v>
      </c>
      <c r="G368" t="e">
        <f>'Technical Master Data'!P392+"AM:!2vU"</f>
        <v>#VALUE!</v>
      </c>
      <c r="H368" t="e">
        <f>'Technical Master Data'!Q392+"AM:!2vV"</f>
        <v>#VALUE!</v>
      </c>
      <c r="I368" t="e">
        <f>'Technical Master Data'!R392+"AM:!2vW"</f>
        <v>#VALUE!</v>
      </c>
      <c r="J368" t="e">
        <f>'Technical Master Data'!S392+"AM:!2vX"</f>
        <v>#VALUE!</v>
      </c>
      <c r="K368" t="e">
        <f>'Technical Master Data'!A393+"AM:!2vY"</f>
        <v>#VALUE!</v>
      </c>
      <c r="L368" t="e">
        <f>'Technical Master Data'!B393+"AM:!2vZ"</f>
        <v>#VALUE!</v>
      </c>
      <c r="M368" t="e">
        <f>'Technical Master Data'!C393+"AM:!2v["</f>
        <v>#VALUE!</v>
      </c>
      <c r="N368" t="e">
        <f>'Technical Master Data'!D393+"AM:!2v\"</f>
        <v>#VALUE!</v>
      </c>
      <c r="O368" t="e">
        <f>'Technical Master Data'!E393+"AM:!2v]"</f>
        <v>#VALUE!</v>
      </c>
      <c r="P368" t="e">
        <f>'Technical Master Data'!F393+"AM:!2v^"</f>
        <v>#VALUE!</v>
      </c>
      <c r="Q368" t="e">
        <f>'Technical Master Data'!G393+"AM:!2v_"</f>
        <v>#VALUE!</v>
      </c>
      <c r="R368" t="e">
        <f>'Technical Master Data'!H393+"AM:!2v`"</f>
        <v>#VALUE!</v>
      </c>
      <c r="S368" t="e">
        <f>'Technical Master Data'!I393+"AM:!2va"</f>
        <v>#VALUE!</v>
      </c>
      <c r="T368" t="e">
        <f>'Technical Master Data'!J393+"AM:!2vb"</f>
        <v>#VALUE!</v>
      </c>
      <c r="U368" t="e">
        <f>'Technical Master Data'!K393+"AM:!2vc"</f>
        <v>#VALUE!</v>
      </c>
      <c r="V368" t="e">
        <f>'Technical Master Data'!L393+"AM:!2vd"</f>
        <v>#VALUE!</v>
      </c>
      <c r="W368" t="e">
        <f>'Technical Master Data'!M393+"AM:!2ve"</f>
        <v>#VALUE!</v>
      </c>
      <c r="X368" t="e">
        <f>'Technical Master Data'!N393+"AM:!2vf"</f>
        <v>#VALUE!</v>
      </c>
      <c r="Y368" t="e">
        <f>'Technical Master Data'!O393+"AM:!2vg"</f>
        <v>#VALUE!</v>
      </c>
      <c r="Z368" t="e">
        <f>'Technical Master Data'!P393+"AM:!2vh"</f>
        <v>#VALUE!</v>
      </c>
      <c r="AA368" t="e">
        <f>'Technical Master Data'!Q393+"AM:!2vi"</f>
        <v>#VALUE!</v>
      </c>
      <c r="AB368" t="e">
        <f>'Technical Master Data'!R393+"AM:!2vj"</f>
        <v>#VALUE!</v>
      </c>
      <c r="AC368" t="e">
        <f>'Technical Master Data'!S393+"AM:!2vk"</f>
        <v>#VALUE!</v>
      </c>
      <c r="AD368" t="e">
        <f>'Technical Master Data'!A394+"AM:!2vl"</f>
        <v>#VALUE!</v>
      </c>
      <c r="AE368" t="e">
        <f>'Technical Master Data'!B394+"AM:!2vm"</f>
        <v>#VALUE!</v>
      </c>
      <c r="AF368" t="e">
        <f>'Technical Master Data'!C394+"AM:!2vn"</f>
        <v>#VALUE!</v>
      </c>
      <c r="AG368" t="e">
        <f>'Technical Master Data'!D394+"AM:!2vo"</f>
        <v>#VALUE!</v>
      </c>
      <c r="AH368" t="e">
        <f>'Technical Master Data'!E394+"AM:!2vp"</f>
        <v>#VALUE!</v>
      </c>
      <c r="AI368" t="e">
        <f>'Technical Master Data'!F394+"AM:!2vq"</f>
        <v>#VALUE!</v>
      </c>
      <c r="AJ368" t="e">
        <f>'Technical Master Data'!G394+"AM:!2vr"</f>
        <v>#VALUE!</v>
      </c>
      <c r="AK368" t="e">
        <f>'Technical Master Data'!H394+"AM:!2vs"</f>
        <v>#VALUE!</v>
      </c>
      <c r="AL368" t="e">
        <f>'Technical Master Data'!I394+"AM:!2vt"</f>
        <v>#VALUE!</v>
      </c>
      <c r="AM368" t="e">
        <f>'Technical Master Data'!J394+"AM:!2vu"</f>
        <v>#VALUE!</v>
      </c>
      <c r="AN368" t="e">
        <f>'Technical Master Data'!K394+"AM:!2vv"</f>
        <v>#VALUE!</v>
      </c>
      <c r="AO368" t="e">
        <f>'Technical Master Data'!L394+"AM:!2vw"</f>
        <v>#VALUE!</v>
      </c>
      <c r="AP368" t="e">
        <f>'Technical Master Data'!M394+"AM:!2vx"</f>
        <v>#VALUE!</v>
      </c>
      <c r="AQ368" t="e">
        <f>'Technical Master Data'!N394+"AM:!2vy"</f>
        <v>#VALUE!</v>
      </c>
      <c r="AR368" t="e">
        <f>'Technical Master Data'!O394+"AM:!2vz"</f>
        <v>#VALUE!</v>
      </c>
      <c r="AS368" t="e">
        <f>'Technical Master Data'!P394+"AM:!2v{"</f>
        <v>#VALUE!</v>
      </c>
      <c r="AT368" t="e">
        <f>'Technical Master Data'!Q394+"AM:!2v|"</f>
        <v>#VALUE!</v>
      </c>
      <c r="AU368" t="e">
        <f>'Technical Master Data'!R394+"AM:!2v}"</f>
        <v>#VALUE!</v>
      </c>
      <c r="AV368" t="e">
        <f>'Technical Master Data'!S394+"AM:!2v~"</f>
        <v>#VALUE!</v>
      </c>
      <c r="AW368" t="e">
        <f>'Technical Master Data'!A395+"AM:!2w#"</f>
        <v>#VALUE!</v>
      </c>
      <c r="AX368" t="e">
        <f>'Technical Master Data'!B395+"AM:!2w$"</f>
        <v>#VALUE!</v>
      </c>
      <c r="AY368" t="e">
        <f>'Technical Master Data'!C395+"AM:!2w%"</f>
        <v>#VALUE!</v>
      </c>
      <c r="AZ368" t="e">
        <f>'Technical Master Data'!D395+"AM:!2w&amp;"</f>
        <v>#VALUE!</v>
      </c>
      <c r="BA368" t="e">
        <f>'Technical Master Data'!E395+"AM:!2w'"</f>
        <v>#VALUE!</v>
      </c>
      <c r="BB368" t="e">
        <f>'Technical Master Data'!F395+"AM:!2w("</f>
        <v>#VALUE!</v>
      </c>
      <c r="BC368" t="e">
        <f>'Technical Master Data'!G395+"AM:!2w)"</f>
        <v>#VALUE!</v>
      </c>
      <c r="BD368" t="e">
        <f>'Technical Master Data'!H395+"AM:!2w."</f>
        <v>#VALUE!</v>
      </c>
      <c r="BE368" t="e">
        <f>'Technical Master Data'!I395+"AM:!2w/"</f>
        <v>#VALUE!</v>
      </c>
      <c r="BF368" t="e">
        <f>'Technical Master Data'!J395+"AM:!2w0"</f>
        <v>#VALUE!</v>
      </c>
      <c r="BG368" t="e">
        <f>'Technical Master Data'!K395+"AM:!2w1"</f>
        <v>#VALUE!</v>
      </c>
      <c r="BH368" t="e">
        <f>'Technical Master Data'!L395+"AM:!2w2"</f>
        <v>#VALUE!</v>
      </c>
      <c r="BI368" t="e">
        <f>'Technical Master Data'!M395+"AM:!2w3"</f>
        <v>#VALUE!</v>
      </c>
      <c r="BJ368" t="e">
        <f>'Technical Master Data'!N395+"AM:!2w4"</f>
        <v>#VALUE!</v>
      </c>
      <c r="BK368" t="e">
        <f>'Technical Master Data'!O395+"AM:!2w5"</f>
        <v>#VALUE!</v>
      </c>
      <c r="BL368" t="e">
        <f>'Technical Master Data'!P395+"AM:!2w6"</f>
        <v>#VALUE!</v>
      </c>
      <c r="BM368" t="e">
        <f>'Technical Master Data'!Q395+"AM:!2w7"</f>
        <v>#VALUE!</v>
      </c>
      <c r="BN368" t="e">
        <f>'Technical Master Data'!R395+"AM:!2w8"</f>
        <v>#VALUE!</v>
      </c>
      <c r="BO368" t="e">
        <f>'Technical Master Data'!S395+"AM:!2w9"</f>
        <v>#VALUE!</v>
      </c>
      <c r="BP368" t="e">
        <f>'Technical Master Data'!A396+"AM:!2w:"</f>
        <v>#VALUE!</v>
      </c>
      <c r="BQ368" t="e">
        <f>'Technical Master Data'!B396+"AM:!2w;"</f>
        <v>#VALUE!</v>
      </c>
      <c r="BR368" t="e">
        <f>'Technical Master Data'!C396+"AM:!2w&lt;"</f>
        <v>#VALUE!</v>
      </c>
      <c r="BS368" t="e">
        <f>'Technical Master Data'!D396+"AM:!2w="</f>
        <v>#VALUE!</v>
      </c>
      <c r="BT368" t="e">
        <f>'Technical Master Data'!E396+"AM:!2w&gt;"</f>
        <v>#VALUE!</v>
      </c>
      <c r="BU368" t="e">
        <f>'Technical Master Data'!F396+"AM:!2w?"</f>
        <v>#VALUE!</v>
      </c>
      <c r="BV368" t="e">
        <f>'Technical Master Data'!G396+"AM:!2w@"</f>
        <v>#VALUE!</v>
      </c>
      <c r="BW368" t="e">
        <f>'Technical Master Data'!H396+"AM:!2wA"</f>
        <v>#VALUE!</v>
      </c>
      <c r="BX368" t="e">
        <f>'Technical Master Data'!I396+"AM:!2wB"</f>
        <v>#VALUE!</v>
      </c>
      <c r="BY368" t="e">
        <f>'Technical Master Data'!J396+"AM:!2wC"</f>
        <v>#VALUE!</v>
      </c>
      <c r="BZ368" t="e">
        <f>'Technical Master Data'!K396+"AM:!2wD"</f>
        <v>#VALUE!</v>
      </c>
      <c r="CA368" t="e">
        <f>'Technical Master Data'!L396+"AM:!2wE"</f>
        <v>#VALUE!</v>
      </c>
      <c r="CB368" t="e">
        <f>'Technical Master Data'!M396+"AM:!2wF"</f>
        <v>#VALUE!</v>
      </c>
      <c r="CC368" t="e">
        <f>'Technical Master Data'!N396+"AM:!2wG"</f>
        <v>#VALUE!</v>
      </c>
      <c r="CD368" t="e">
        <f>'Technical Master Data'!O396+"AM:!2wH"</f>
        <v>#VALUE!</v>
      </c>
      <c r="CE368" t="e">
        <f>'Technical Master Data'!P396+"AM:!2wI"</f>
        <v>#VALUE!</v>
      </c>
      <c r="CF368" t="e">
        <f>'Technical Master Data'!Q396+"AM:!2wJ"</f>
        <v>#VALUE!</v>
      </c>
      <c r="CG368" t="e">
        <f>'Technical Master Data'!R396+"AM:!2wK"</f>
        <v>#VALUE!</v>
      </c>
      <c r="CH368" t="e">
        <f>'Technical Master Data'!S396+"AM:!2wL"</f>
        <v>#VALUE!</v>
      </c>
      <c r="CI368" t="e">
        <f>'Technical Master Data'!A397+"AM:!2wM"</f>
        <v>#VALUE!</v>
      </c>
      <c r="CJ368" t="e">
        <f>'Technical Master Data'!B397+"AM:!2wN"</f>
        <v>#VALUE!</v>
      </c>
      <c r="CK368" t="e">
        <f>'Technical Master Data'!C397+"AM:!2wO"</f>
        <v>#VALUE!</v>
      </c>
      <c r="CL368" t="e">
        <f>'Technical Master Data'!D397+"AM:!2wP"</f>
        <v>#VALUE!</v>
      </c>
      <c r="CM368" t="e">
        <f>'Technical Master Data'!E397+"AM:!2wQ"</f>
        <v>#VALUE!</v>
      </c>
      <c r="CN368" t="e">
        <f>'Technical Master Data'!F397+"AM:!2wR"</f>
        <v>#VALUE!</v>
      </c>
      <c r="CO368" t="e">
        <f>'Technical Master Data'!G397+"AM:!2wS"</f>
        <v>#VALUE!</v>
      </c>
      <c r="CP368" t="e">
        <f>'Technical Master Data'!H397+"AM:!2wT"</f>
        <v>#VALUE!</v>
      </c>
      <c r="CQ368" t="e">
        <f>'Technical Master Data'!I397+"AM:!2wU"</f>
        <v>#VALUE!</v>
      </c>
      <c r="CR368" t="e">
        <f>'Technical Master Data'!J397+"AM:!2wV"</f>
        <v>#VALUE!</v>
      </c>
      <c r="CS368" t="e">
        <f>'Technical Master Data'!K397+"AM:!2wW"</f>
        <v>#VALUE!</v>
      </c>
      <c r="CT368" t="e">
        <f>'Technical Master Data'!L397+"AM:!2wX"</f>
        <v>#VALUE!</v>
      </c>
      <c r="CU368" t="e">
        <f>'Technical Master Data'!M397+"AM:!2wY"</f>
        <v>#VALUE!</v>
      </c>
      <c r="CV368" t="e">
        <f>'Technical Master Data'!N397+"AM:!2wZ"</f>
        <v>#VALUE!</v>
      </c>
      <c r="CW368" t="e">
        <f>'Technical Master Data'!O397+"AM:!2w["</f>
        <v>#VALUE!</v>
      </c>
      <c r="CX368" t="e">
        <f>'Technical Master Data'!P397+"AM:!2w\"</f>
        <v>#VALUE!</v>
      </c>
      <c r="CY368" t="e">
        <f>'Technical Master Data'!Q397+"AM:!2w]"</f>
        <v>#VALUE!</v>
      </c>
      <c r="CZ368" t="e">
        <f>'Technical Master Data'!R397+"AM:!2w^"</f>
        <v>#VALUE!</v>
      </c>
      <c r="DA368" t="e">
        <f>'Technical Master Data'!S397+"AM:!2w_"</f>
        <v>#VALUE!</v>
      </c>
      <c r="DB368" t="e">
        <f>'Technical Master Data'!A398+"AM:!2w`"</f>
        <v>#VALUE!</v>
      </c>
      <c r="DC368" t="e">
        <f>'Technical Master Data'!B398+"AM:!2wa"</f>
        <v>#VALUE!</v>
      </c>
      <c r="DD368" t="e">
        <f>'Technical Master Data'!C398+"AM:!2wb"</f>
        <v>#VALUE!</v>
      </c>
      <c r="DE368" t="e">
        <f>'Technical Master Data'!D398+"AM:!2wc"</f>
        <v>#VALUE!</v>
      </c>
      <c r="DF368" t="e">
        <f>'Technical Master Data'!E398+"AM:!2wd"</f>
        <v>#VALUE!</v>
      </c>
      <c r="DG368" t="e">
        <f>'Technical Master Data'!F398+"AM:!2we"</f>
        <v>#VALUE!</v>
      </c>
      <c r="DH368" t="e">
        <f>'Technical Master Data'!G398+"AM:!2wf"</f>
        <v>#VALUE!</v>
      </c>
      <c r="DI368" t="e">
        <f>'Technical Master Data'!H398+"AM:!2wg"</f>
        <v>#VALUE!</v>
      </c>
      <c r="DJ368" t="e">
        <f>'Technical Master Data'!I398+"AM:!2wh"</f>
        <v>#VALUE!</v>
      </c>
      <c r="DK368" t="e">
        <f>'Technical Master Data'!J398+"AM:!2wi"</f>
        <v>#VALUE!</v>
      </c>
      <c r="DL368" t="e">
        <f>'Technical Master Data'!K398+"AM:!2wj"</f>
        <v>#VALUE!</v>
      </c>
      <c r="DM368" t="e">
        <f>'Technical Master Data'!L398+"AM:!2wk"</f>
        <v>#VALUE!</v>
      </c>
      <c r="DN368" t="e">
        <f>'Technical Master Data'!M398+"AM:!2wl"</f>
        <v>#VALUE!</v>
      </c>
      <c r="DO368" t="e">
        <f>'Technical Master Data'!N398+"AM:!2wm"</f>
        <v>#VALUE!</v>
      </c>
      <c r="DP368" t="e">
        <f>'Technical Master Data'!O398+"AM:!2wn"</f>
        <v>#VALUE!</v>
      </c>
      <c r="DQ368" t="e">
        <f>'Technical Master Data'!P398+"AM:!2wo"</f>
        <v>#VALUE!</v>
      </c>
      <c r="DR368" t="e">
        <f>'Technical Master Data'!Q398+"AM:!2wp"</f>
        <v>#VALUE!</v>
      </c>
      <c r="DS368" t="e">
        <f>'Technical Master Data'!R398+"AM:!2wq"</f>
        <v>#VALUE!</v>
      </c>
      <c r="DT368" t="e">
        <f>'Technical Master Data'!S398+"AM:!2wr"</f>
        <v>#VALUE!</v>
      </c>
      <c r="DU368" t="e">
        <f>'Technical Master Data'!A399+"AM:!2ws"</f>
        <v>#VALUE!</v>
      </c>
      <c r="DV368" t="e">
        <f>'Technical Master Data'!B399+"AM:!2wt"</f>
        <v>#VALUE!</v>
      </c>
      <c r="DW368" t="e">
        <f>'Technical Master Data'!C399+"AM:!2wu"</f>
        <v>#VALUE!</v>
      </c>
      <c r="DX368" t="e">
        <f>'Technical Master Data'!D399+"AM:!2wv"</f>
        <v>#VALUE!</v>
      </c>
      <c r="DY368" t="e">
        <f>'Technical Master Data'!E399+"AM:!2ww"</f>
        <v>#VALUE!</v>
      </c>
      <c r="DZ368" t="e">
        <f>'Technical Master Data'!F399+"AM:!2wx"</f>
        <v>#VALUE!</v>
      </c>
      <c r="EA368" t="e">
        <f>'Technical Master Data'!G399+"AM:!2wy"</f>
        <v>#VALUE!</v>
      </c>
      <c r="EB368" t="e">
        <f>'Technical Master Data'!H399+"AM:!2wz"</f>
        <v>#VALUE!</v>
      </c>
      <c r="EC368" t="e">
        <f>'Technical Master Data'!I399+"AM:!2w{"</f>
        <v>#VALUE!</v>
      </c>
      <c r="ED368" t="e">
        <f>'Technical Master Data'!J399+"AM:!2w|"</f>
        <v>#VALUE!</v>
      </c>
      <c r="EE368" t="e">
        <f>'Technical Master Data'!K399+"AM:!2w}"</f>
        <v>#VALUE!</v>
      </c>
      <c r="EF368" t="e">
        <f>'Technical Master Data'!L399+"AM:!2w~"</f>
        <v>#VALUE!</v>
      </c>
      <c r="EG368" t="e">
        <f>'Technical Master Data'!M399+"AM:!2x#"</f>
        <v>#VALUE!</v>
      </c>
      <c r="EH368" t="e">
        <f>'Technical Master Data'!N399+"AM:!2x$"</f>
        <v>#VALUE!</v>
      </c>
      <c r="EI368" t="e">
        <f>'Technical Master Data'!O399+"AM:!2x%"</f>
        <v>#VALUE!</v>
      </c>
      <c r="EJ368" t="e">
        <f>'Technical Master Data'!P399+"AM:!2x&amp;"</f>
        <v>#VALUE!</v>
      </c>
      <c r="EK368" t="e">
        <f>'Technical Master Data'!Q399+"AM:!2x'"</f>
        <v>#VALUE!</v>
      </c>
      <c r="EL368" t="e">
        <f>'Technical Master Data'!R399+"AM:!2x("</f>
        <v>#VALUE!</v>
      </c>
      <c r="EM368" t="e">
        <f>'Technical Master Data'!S399+"AM:!2x)"</f>
        <v>#VALUE!</v>
      </c>
      <c r="EN368" t="e">
        <f>'Technical Master Data'!A400+"AM:!2x."</f>
        <v>#VALUE!</v>
      </c>
      <c r="EO368" t="e">
        <f>'Technical Master Data'!B400+"AM:!2x/"</f>
        <v>#VALUE!</v>
      </c>
      <c r="EP368" t="e">
        <f>'Technical Master Data'!C400+"AM:!2x0"</f>
        <v>#VALUE!</v>
      </c>
      <c r="EQ368" t="e">
        <f>'Technical Master Data'!D400+"AM:!2x1"</f>
        <v>#VALUE!</v>
      </c>
      <c r="ER368" t="e">
        <f>'Technical Master Data'!E400+"AM:!2x2"</f>
        <v>#VALUE!</v>
      </c>
      <c r="ES368" t="e">
        <f>'Technical Master Data'!F400+"AM:!2x3"</f>
        <v>#VALUE!</v>
      </c>
      <c r="ET368" t="e">
        <f>'Technical Master Data'!G400+"AM:!2x4"</f>
        <v>#VALUE!</v>
      </c>
      <c r="EU368" t="e">
        <f>'Technical Master Data'!H400+"AM:!2x5"</f>
        <v>#VALUE!</v>
      </c>
      <c r="EV368" t="e">
        <f>'Technical Master Data'!I400+"AM:!2x6"</f>
        <v>#VALUE!</v>
      </c>
      <c r="EW368" t="e">
        <f>'Technical Master Data'!J400+"AM:!2x7"</f>
        <v>#VALUE!</v>
      </c>
      <c r="EX368" t="e">
        <f>'Technical Master Data'!K400+"AM:!2x8"</f>
        <v>#VALUE!</v>
      </c>
      <c r="EY368" t="e">
        <f>'Technical Master Data'!L400+"AM:!2x9"</f>
        <v>#VALUE!</v>
      </c>
      <c r="EZ368" t="e">
        <f>'Technical Master Data'!M400+"AM:!2x:"</f>
        <v>#VALUE!</v>
      </c>
      <c r="FA368" t="e">
        <f>'Technical Master Data'!N400+"AM:!2x;"</f>
        <v>#VALUE!</v>
      </c>
      <c r="FB368" t="e">
        <f>'Technical Master Data'!O400+"AM:!2x&lt;"</f>
        <v>#VALUE!</v>
      </c>
      <c r="FC368" t="e">
        <f>'Technical Master Data'!P400+"AM:!2x="</f>
        <v>#VALUE!</v>
      </c>
      <c r="FD368" t="e">
        <f>'Technical Master Data'!Q400+"AM:!2x&gt;"</f>
        <v>#VALUE!</v>
      </c>
      <c r="FE368" t="e">
        <f>'Technical Master Data'!R400+"AM:!2x?"</f>
        <v>#VALUE!</v>
      </c>
      <c r="FF368" t="e">
        <f>'Technical Master Data'!S400+"AM:!2x@"</f>
        <v>#VALUE!</v>
      </c>
      <c r="FG368" t="e">
        <f>'Technical Master Data'!A401+"AM:!2xA"</f>
        <v>#VALUE!</v>
      </c>
      <c r="FH368" t="e">
        <f>'Technical Master Data'!B401+"AM:!2xB"</f>
        <v>#VALUE!</v>
      </c>
      <c r="FI368" t="e">
        <f>'Technical Master Data'!C401+"AM:!2xC"</f>
        <v>#VALUE!</v>
      </c>
      <c r="FJ368" t="e">
        <f>'Technical Master Data'!D401+"AM:!2xD"</f>
        <v>#VALUE!</v>
      </c>
      <c r="FK368" t="e">
        <f>'Technical Master Data'!E401+"AM:!2xE"</f>
        <v>#VALUE!</v>
      </c>
      <c r="FL368" t="e">
        <f>'Technical Master Data'!F401+"AM:!2xF"</f>
        <v>#VALUE!</v>
      </c>
      <c r="FM368" t="e">
        <f>'Technical Master Data'!G401+"AM:!2xG"</f>
        <v>#VALUE!</v>
      </c>
      <c r="FN368" t="e">
        <f>'Technical Master Data'!H401+"AM:!2xH"</f>
        <v>#VALUE!</v>
      </c>
      <c r="FO368" t="e">
        <f>'Technical Master Data'!I401+"AM:!2xI"</f>
        <v>#VALUE!</v>
      </c>
      <c r="FP368" t="e">
        <f>'Technical Master Data'!J401+"AM:!2xJ"</f>
        <v>#VALUE!</v>
      </c>
      <c r="FQ368" t="e">
        <f>'Technical Master Data'!K401+"AM:!2xK"</f>
        <v>#VALUE!</v>
      </c>
      <c r="FR368" t="e">
        <f>'Technical Master Data'!L401+"AM:!2xL"</f>
        <v>#VALUE!</v>
      </c>
      <c r="FS368" t="e">
        <f>'Technical Master Data'!M401+"AM:!2xM"</f>
        <v>#VALUE!</v>
      </c>
      <c r="FT368" t="e">
        <f>'Technical Master Data'!N401+"AM:!2xN"</f>
        <v>#VALUE!</v>
      </c>
      <c r="FU368" t="e">
        <f>'Technical Master Data'!O401+"AM:!2xO"</f>
        <v>#VALUE!</v>
      </c>
      <c r="FV368" t="e">
        <f>'Technical Master Data'!P401+"AM:!2xP"</f>
        <v>#VALUE!</v>
      </c>
      <c r="FW368" t="e">
        <f>'Technical Master Data'!Q401+"AM:!2xQ"</f>
        <v>#VALUE!</v>
      </c>
      <c r="FX368" t="e">
        <f>'Technical Master Data'!R401+"AM:!2xR"</f>
        <v>#VALUE!</v>
      </c>
      <c r="FY368" t="e">
        <f>'Technical Master Data'!S401+"AM:!2xS"</f>
        <v>#VALUE!</v>
      </c>
      <c r="FZ368" t="e">
        <f>'Technical Master Data'!A402+"AM:!2xT"</f>
        <v>#VALUE!</v>
      </c>
      <c r="GA368" t="e">
        <f>'Technical Master Data'!B402+"AM:!2xU"</f>
        <v>#VALUE!</v>
      </c>
      <c r="GB368" t="e">
        <f>'Technical Master Data'!C402+"AM:!2xV"</f>
        <v>#VALUE!</v>
      </c>
      <c r="GC368" t="e">
        <f>'Technical Master Data'!D402+"AM:!2xW"</f>
        <v>#VALUE!</v>
      </c>
      <c r="GD368" t="e">
        <f>'Technical Master Data'!E402+"AM:!2xX"</f>
        <v>#VALUE!</v>
      </c>
      <c r="GE368" t="e">
        <f>'Technical Master Data'!F402+"AM:!2xY"</f>
        <v>#VALUE!</v>
      </c>
      <c r="GF368" t="e">
        <f>'Technical Master Data'!G402+"AM:!2xZ"</f>
        <v>#VALUE!</v>
      </c>
      <c r="GG368" t="e">
        <f>'Technical Master Data'!H402+"AM:!2x["</f>
        <v>#VALUE!</v>
      </c>
      <c r="GH368" t="e">
        <f>'Technical Master Data'!I402+"AM:!2x\"</f>
        <v>#VALUE!</v>
      </c>
      <c r="GI368" t="e">
        <f>'Technical Master Data'!J402+"AM:!2x]"</f>
        <v>#VALUE!</v>
      </c>
      <c r="GJ368" t="e">
        <f>'Technical Master Data'!K402+"AM:!2x^"</f>
        <v>#VALUE!</v>
      </c>
      <c r="GK368" t="e">
        <f>'Technical Master Data'!L402+"AM:!2x_"</f>
        <v>#VALUE!</v>
      </c>
      <c r="GL368" t="e">
        <f>'Technical Master Data'!M402+"AM:!2x`"</f>
        <v>#VALUE!</v>
      </c>
      <c r="GM368" t="e">
        <f>'Technical Master Data'!N402+"AM:!2xa"</f>
        <v>#VALUE!</v>
      </c>
      <c r="GN368" t="e">
        <f>'Technical Master Data'!O402+"AM:!2xb"</f>
        <v>#VALUE!</v>
      </c>
      <c r="GO368" t="e">
        <f>'Technical Master Data'!P402+"AM:!2xc"</f>
        <v>#VALUE!</v>
      </c>
      <c r="GP368" t="e">
        <f>'Technical Master Data'!Q402+"AM:!2xd"</f>
        <v>#VALUE!</v>
      </c>
      <c r="GQ368" t="e">
        <f>'Technical Master Data'!R402+"AM:!2xe"</f>
        <v>#VALUE!</v>
      </c>
      <c r="GR368" t="e">
        <f>'Technical Master Data'!S402+"AM:!2xf"</f>
        <v>#VALUE!</v>
      </c>
      <c r="GS368" t="e">
        <f>'Technical Master Data'!A403+"AM:!2xg"</f>
        <v>#VALUE!</v>
      </c>
      <c r="GT368" t="e">
        <f>'Technical Master Data'!B403+"AM:!2xh"</f>
        <v>#VALUE!</v>
      </c>
      <c r="GU368" t="e">
        <f>'Technical Master Data'!C403+"AM:!2xi"</f>
        <v>#VALUE!</v>
      </c>
      <c r="GV368" t="e">
        <f>'Technical Master Data'!D403+"AM:!2xj"</f>
        <v>#VALUE!</v>
      </c>
      <c r="GW368" t="e">
        <f>'Technical Master Data'!E403+"AM:!2xk"</f>
        <v>#VALUE!</v>
      </c>
      <c r="GX368" t="e">
        <f>'Technical Master Data'!F403+"AM:!2xl"</f>
        <v>#VALUE!</v>
      </c>
      <c r="GY368" t="e">
        <f>'Technical Master Data'!G403+"AM:!2xm"</f>
        <v>#VALUE!</v>
      </c>
      <c r="GZ368" t="e">
        <f>'Technical Master Data'!H403+"AM:!2xn"</f>
        <v>#VALUE!</v>
      </c>
      <c r="HA368" t="e">
        <f>'Technical Master Data'!I403+"AM:!2xo"</f>
        <v>#VALUE!</v>
      </c>
      <c r="HB368" t="e">
        <f>'Technical Master Data'!J403+"AM:!2xp"</f>
        <v>#VALUE!</v>
      </c>
      <c r="HC368" t="e">
        <f>'Technical Master Data'!K403+"AM:!2xq"</f>
        <v>#VALUE!</v>
      </c>
      <c r="HD368" t="e">
        <f>'Technical Master Data'!L403+"AM:!2xr"</f>
        <v>#VALUE!</v>
      </c>
      <c r="HE368" t="e">
        <f>'Technical Master Data'!M403+"AM:!2xs"</f>
        <v>#VALUE!</v>
      </c>
      <c r="HF368" t="e">
        <f>'Technical Master Data'!N403+"AM:!2xt"</f>
        <v>#VALUE!</v>
      </c>
      <c r="HG368" t="e">
        <f>'Technical Master Data'!O403+"AM:!2xu"</f>
        <v>#VALUE!</v>
      </c>
      <c r="HH368" t="e">
        <f>'Technical Master Data'!P403+"AM:!2xv"</f>
        <v>#VALUE!</v>
      </c>
      <c r="HI368" t="e">
        <f>'Technical Master Data'!Q403+"AM:!2xw"</f>
        <v>#VALUE!</v>
      </c>
      <c r="HJ368" t="e">
        <f>'Technical Master Data'!R403+"AM:!2xx"</f>
        <v>#VALUE!</v>
      </c>
      <c r="HK368" t="e">
        <f>'Technical Master Data'!S403+"AM:!2xy"</f>
        <v>#VALUE!</v>
      </c>
      <c r="HL368" t="e">
        <f>'Technical Master Data'!A404+"AM:!2xz"</f>
        <v>#VALUE!</v>
      </c>
      <c r="HM368" t="e">
        <f>'Technical Master Data'!B404+"AM:!2x{"</f>
        <v>#VALUE!</v>
      </c>
      <c r="HN368" t="e">
        <f>'Technical Master Data'!C404+"AM:!2x|"</f>
        <v>#VALUE!</v>
      </c>
      <c r="HO368" t="e">
        <f>'Technical Master Data'!D404+"AM:!2x}"</f>
        <v>#VALUE!</v>
      </c>
      <c r="HP368" t="e">
        <f>'Technical Master Data'!E404+"AM:!2x~"</f>
        <v>#VALUE!</v>
      </c>
      <c r="HQ368" t="e">
        <f>'Technical Master Data'!F404+"AM:!2y#"</f>
        <v>#VALUE!</v>
      </c>
      <c r="HR368" t="e">
        <f>'Technical Master Data'!G404+"AM:!2y$"</f>
        <v>#VALUE!</v>
      </c>
      <c r="HS368" t="e">
        <f>'Technical Master Data'!H404+"AM:!2y%"</f>
        <v>#VALUE!</v>
      </c>
      <c r="HT368" t="e">
        <f>'Technical Master Data'!I404+"AM:!2y&amp;"</f>
        <v>#VALUE!</v>
      </c>
      <c r="HU368" t="e">
        <f>'Technical Master Data'!J404+"AM:!2y'"</f>
        <v>#VALUE!</v>
      </c>
      <c r="HV368" t="e">
        <f>'Technical Master Data'!K404+"AM:!2y("</f>
        <v>#VALUE!</v>
      </c>
      <c r="HW368" t="e">
        <f>'Technical Master Data'!L404+"AM:!2y)"</f>
        <v>#VALUE!</v>
      </c>
      <c r="HX368" t="e">
        <f>'Technical Master Data'!M404+"AM:!2y."</f>
        <v>#VALUE!</v>
      </c>
      <c r="HY368" t="e">
        <f>'Technical Master Data'!N404+"AM:!2y/"</f>
        <v>#VALUE!</v>
      </c>
      <c r="HZ368" t="e">
        <f>'Technical Master Data'!O404+"AM:!2y0"</f>
        <v>#VALUE!</v>
      </c>
      <c r="IA368" t="e">
        <f>'Technical Master Data'!P404+"AM:!2y1"</f>
        <v>#VALUE!</v>
      </c>
      <c r="IB368" t="e">
        <f>'Technical Master Data'!Q404+"AM:!2y2"</f>
        <v>#VALUE!</v>
      </c>
      <c r="IC368" t="e">
        <f>'Technical Master Data'!R404+"AM:!2y3"</f>
        <v>#VALUE!</v>
      </c>
      <c r="ID368" t="e">
        <f>'Technical Master Data'!S404+"AM:!2y4"</f>
        <v>#VALUE!</v>
      </c>
      <c r="IE368" t="e">
        <f>'Technical Master Data'!A405+"AM:!2y5"</f>
        <v>#VALUE!</v>
      </c>
      <c r="IF368" t="e">
        <f>'Technical Master Data'!B405+"AM:!2y6"</f>
        <v>#VALUE!</v>
      </c>
      <c r="IG368" t="e">
        <f>'Technical Master Data'!C405+"AM:!2y7"</f>
        <v>#VALUE!</v>
      </c>
      <c r="IH368" t="e">
        <f>'Technical Master Data'!D405+"AM:!2y8"</f>
        <v>#VALUE!</v>
      </c>
      <c r="II368" t="e">
        <f>'Technical Master Data'!E405+"AM:!2y9"</f>
        <v>#VALUE!</v>
      </c>
      <c r="IJ368" t="e">
        <f>'Technical Master Data'!F405+"AM:!2y:"</f>
        <v>#VALUE!</v>
      </c>
      <c r="IK368" t="e">
        <f>'Technical Master Data'!G405+"AM:!2y;"</f>
        <v>#VALUE!</v>
      </c>
      <c r="IL368" t="e">
        <f>'Technical Master Data'!H405+"AM:!2y&lt;"</f>
        <v>#VALUE!</v>
      </c>
      <c r="IM368" t="e">
        <f>'Technical Master Data'!I405+"AM:!2y="</f>
        <v>#VALUE!</v>
      </c>
      <c r="IN368" t="e">
        <f>'Technical Master Data'!J405+"AM:!2y&gt;"</f>
        <v>#VALUE!</v>
      </c>
      <c r="IO368" t="e">
        <f>'Technical Master Data'!K405+"AM:!2y?"</f>
        <v>#VALUE!</v>
      </c>
      <c r="IP368" t="e">
        <f>'Technical Master Data'!L405+"AM:!2y@"</f>
        <v>#VALUE!</v>
      </c>
      <c r="IQ368" t="e">
        <f>'Technical Master Data'!M405+"AM:!2yA"</f>
        <v>#VALUE!</v>
      </c>
      <c r="IR368" t="e">
        <f>'Technical Master Data'!N405+"AM:!2yB"</f>
        <v>#VALUE!</v>
      </c>
      <c r="IS368" t="e">
        <f>'Technical Master Data'!O405+"AM:!2yC"</f>
        <v>#VALUE!</v>
      </c>
      <c r="IT368" t="e">
        <f>'Technical Master Data'!P405+"AM:!2yD"</f>
        <v>#VALUE!</v>
      </c>
      <c r="IU368" t="e">
        <f>'Technical Master Data'!Q405+"AM:!2yE"</f>
        <v>#VALUE!</v>
      </c>
      <c r="IV368" t="e">
        <f>'Technical Master Data'!R405+"AM:!2yF"</f>
        <v>#VALUE!</v>
      </c>
    </row>
    <row r="369" spans="6:256">
      <c r="F369" t="e">
        <f>'Technical Master Data'!S405+"AM:!2yG"</f>
        <v>#VALUE!</v>
      </c>
      <c r="G369" t="e">
        <f>'Technical Master Data'!A406+"AM:!2yH"</f>
        <v>#VALUE!</v>
      </c>
      <c r="H369" t="e">
        <f>'Technical Master Data'!B406+"AM:!2yI"</f>
        <v>#VALUE!</v>
      </c>
      <c r="I369" t="e">
        <f>'Technical Master Data'!C406+"AM:!2yJ"</f>
        <v>#VALUE!</v>
      </c>
      <c r="J369" t="e">
        <f>'Technical Master Data'!D406+"AM:!2yK"</f>
        <v>#VALUE!</v>
      </c>
      <c r="K369" t="e">
        <f>'Technical Master Data'!E406+"AM:!2yL"</f>
        <v>#VALUE!</v>
      </c>
      <c r="L369" t="e">
        <f>'Technical Master Data'!F406+"AM:!2yM"</f>
        <v>#VALUE!</v>
      </c>
      <c r="M369" t="e">
        <f>'Technical Master Data'!G406+"AM:!2yN"</f>
        <v>#VALUE!</v>
      </c>
      <c r="N369" t="e">
        <f>'Technical Master Data'!H406+"AM:!2yO"</f>
        <v>#VALUE!</v>
      </c>
      <c r="O369" t="e">
        <f>'Technical Master Data'!I406+"AM:!2yP"</f>
        <v>#VALUE!</v>
      </c>
      <c r="P369" t="e">
        <f>'Technical Master Data'!J406+"AM:!2yQ"</f>
        <v>#VALUE!</v>
      </c>
      <c r="Q369" t="e">
        <f>'Technical Master Data'!K406+"AM:!2yR"</f>
        <v>#VALUE!</v>
      </c>
      <c r="R369" t="e">
        <f>'Technical Master Data'!L406+"AM:!2yS"</f>
        <v>#VALUE!</v>
      </c>
      <c r="S369" t="e">
        <f>'Technical Master Data'!M406+"AM:!2yT"</f>
        <v>#VALUE!</v>
      </c>
      <c r="T369" t="e">
        <f>'Technical Master Data'!N406+"AM:!2yU"</f>
        <v>#VALUE!</v>
      </c>
      <c r="U369" t="e">
        <f>'Technical Master Data'!O406+"AM:!2yV"</f>
        <v>#VALUE!</v>
      </c>
      <c r="V369" t="e">
        <f>'Technical Master Data'!P406+"AM:!2yW"</f>
        <v>#VALUE!</v>
      </c>
      <c r="W369" t="e">
        <f>'Technical Master Data'!Q406+"AM:!2yX"</f>
        <v>#VALUE!</v>
      </c>
      <c r="X369" t="e">
        <f>'Technical Master Data'!R406+"AM:!2yY"</f>
        <v>#VALUE!</v>
      </c>
      <c r="Y369" t="e">
        <f>'Technical Master Data'!S406+"AM:!2yZ"</f>
        <v>#VALUE!</v>
      </c>
      <c r="Z369" t="e">
        <f>'Technical Master Data'!A407+"AM:!2y["</f>
        <v>#VALUE!</v>
      </c>
      <c r="AA369" t="e">
        <f>'Technical Master Data'!B407+"AM:!2y\"</f>
        <v>#VALUE!</v>
      </c>
      <c r="AB369" t="e">
        <f>'Technical Master Data'!C407+"AM:!2y]"</f>
        <v>#VALUE!</v>
      </c>
      <c r="AC369" t="e">
        <f>'Technical Master Data'!D407+"AM:!2y^"</f>
        <v>#VALUE!</v>
      </c>
      <c r="AD369" t="e">
        <f>'Technical Master Data'!E407+"AM:!2y_"</f>
        <v>#VALUE!</v>
      </c>
      <c r="AE369" t="e">
        <f>'Technical Master Data'!F407+"AM:!2y`"</f>
        <v>#VALUE!</v>
      </c>
      <c r="AF369" t="e">
        <f>'Technical Master Data'!G407+"AM:!2ya"</f>
        <v>#VALUE!</v>
      </c>
      <c r="AG369" t="e">
        <f>'Technical Master Data'!H407+"AM:!2yb"</f>
        <v>#VALUE!</v>
      </c>
      <c r="AH369" t="e">
        <f>'Technical Master Data'!I407+"AM:!2yc"</f>
        <v>#VALUE!</v>
      </c>
      <c r="AI369" t="e">
        <f>'Technical Master Data'!J407+"AM:!2yd"</f>
        <v>#VALUE!</v>
      </c>
      <c r="AJ369" t="e">
        <f>'Technical Master Data'!K407+"AM:!2ye"</f>
        <v>#VALUE!</v>
      </c>
      <c r="AK369" t="e">
        <f>'Technical Master Data'!L407+"AM:!2yf"</f>
        <v>#VALUE!</v>
      </c>
      <c r="AL369" t="e">
        <f>'Technical Master Data'!M407+"AM:!2yg"</f>
        <v>#VALUE!</v>
      </c>
      <c r="AM369" t="e">
        <f>'Technical Master Data'!N407+"AM:!2yh"</f>
        <v>#VALUE!</v>
      </c>
      <c r="AN369" t="e">
        <f>'Technical Master Data'!O407+"AM:!2yi"</f>
        <v>#VALUE!</v>
      </c>
      <c r="AO369" t="e">
        <f>'Technical Master Data'!P407+"AM:!2yj"</f>
        <v>#VALUE!</v>
      </c>
      <c r="AP369" t="e">
        <f>'Technical Master Data'!Q407+"AM:!2yk"</f>
        <v>#VALUE!</v>
      </c>
      <c r="AQ369" t="e">
        <f>'Technical Master Data'!R407+"AM:!2yl"</f>
        <v>#VALUE!</v>
      </c>
      <c r="AR369" t="e">
        <f>'Technical Master Data'!S407+"AM:!2ym"</f>
        <v>#VALUE!</v>
      </c>
      <c r="AS369" t="e">
        <f>'Technical Master Data'!A408+"AM:!2yn"</f>
        <v>#VALUE!</v>
      </c>
      <c r="AT369" t="e">
        <f>'Technical Master Data'!B408+"AM:!2yo"</f>
        <v>#VALUE!</v>
      </c>
      <c r="AU369" t="e">
        <f>'Technical Master Data'!C408+"AM:!2yp"</f>
        <v>#VALUE!</v>
      </c>
      <c r="AV369" t="e">
        <f>'Technical Master Data'!D408+"AM:!2yq"</f>
        <v>#VALUE!</v>
      </c>
      <c r="AW369" t="e">
        <f>'Technical Master Data'!E408+"AM:!2yr"</f>
        <v>#VALUE!</v>
      </c>
      <c r="AX369" t="e">
        <f>'Technical Master Data'!F408+"AM:!2ys"</f>
        <v>#VALUE!</v>
      </c>
      <c r="AY369" t="e">
        <f>'Technical Master Data'!G408+"AM:!2yt"</f>
        <v>#VALUE!</v>
      </c>
      <c r="AZ369" t="e">
        <f>'Technical Master Data'!H408+"AM:!2yu"</f>
        <v>#VALUE!</v>
      </c>
      <c r="BA369" t="e">
        <f>'Technical Master Data'!I408+"AM:!2yv"</f>
        <v>#VALUE!</v>
      </c>
      <c r="BB369" t="e">
        <f>'Technical Master Data'!J408+"AM:!2yw"</f>
        <v>#VALUE!</v>
      </c>
      <c r="BC369" t="e">
        <f>'Technical Master Data'!K408+"AM:!2yx"</f>
        <v>#VALUE!</v>
      </c>
      <c r="BD369" t="e">
        <f>'Technical Master Data'!L408+"AM:!2yy"</f>
        <v>#VALUE!</v>
      </c>
      <c r="BE369" t="e">
        <f>'Technical Master Data'!M408+"AM:!2yz"</f>
        <v>#VALUE!</v>
      </c>
      <c r="BF369" t="e">
        <f>'Technical Master Data'!N408+"AM:!2y{"</f>
        <v>#VALUE!</v>
      </c>
      <c r="BG369" t="e">
        <f>'Technical Master Data'!O408+"AM:!2y|"</f>
        <v>#VALUE!</v>
      </c>
      <c r="BH369" t="e">
        <f>'Technical Master Data'!P408+"AM:!2y}"</f>
        <v>#VALUE!</v>
      </c>
      <c r="BI369" t="e">
        <f>'Technical Master Data'!Q408+"AM:!2y~"</f>
        <v>#VALUE!</v>
      </c>
      <c r="BJ369" t="e">
        <f>'Technical Master Data'!R408+"AM:!2z#"</f>
        <v>#VALUE!</v>
      </c>
      <c r="BK369" t="e">
        <f>'Technical Master Data'!S408+"AM:!2z$"</f>
        <v>#VALUE!</v>
      </c>
      <c r="BL369" t="e">
        <f>'Technical Master Data'!A409+"AM:!2z%"</f>
        <v>#VALUE!</v>
      </c>
      <c r="BM369" t="e">
        <f>'Technical Master Data'!B409+"AM:!2z&amp;"</f>
        <v>#VALUE!</v>
      </c>
      <c r="BN369" t="e">
        <f>'Technical Master Data'!C409+"AM:!2z'"</f>
        <v>#VALUE!</v>
      </c>
      <c r="BO369" t="e">
        <f>'Technical Master Data'!D409+"AM:!2z("</f>
        <v>#VALUE!</v>
      </c>
      <c r="BP369" t="e">
        <f>'Technical Master Data'!E409+"AM:!2z)"</f>
        <v>#VALUE!</v>
      </c>
      <c r="BQ369" t="e">
        <f>'Technical Master Data'!F409+"AM:!2z."</f>
        <v>#VALUE!</v>
      </c>
      <c r="BR369" t="e">
        <f>'Technical Master Data'!G409+"AM:!2z/"</f>
        <v>#VALUE!</v>
      </c>
      <c r="BS369" t="e">
        <f>'Technical Master Data'!H409+"AM:!2z0"</f>
        <v>#VALUE!</v>
      </c>
      <c r="BT369" t="e">
        <f>'Technical Master Data'!I409+"AM:!2z1"</f>
        <v>#VALUE!</v>
      </c>
      <c r="BU369" t="e">
        <f>'Technical Master Data'!J409+"AM:!2z2"</f>
        <v>#VALUE!</v>
      </c>
      <c r="BV369" t="e">
        <f>'Technical Master Data'!K409+"AM:!2z3"</f>
        <v>#VALUE!</v>
      </c>
      <c r="BW369" t="e">
        <f>'Technical Master Data'!L409+"AM:!2z4"</f>
        <v>#VALUE!</v>
      </c>
      <c r="BX369" t="e">
        <f>'Technical Master Data'!M409+"AM:!2z5"</f>
        <v>#VALUE!</v>
      </c>
      <c r="BY369" t="e">
        <f>'Technical Master Data'!N409+"AM:!2z6"</f>
        <v>#VALUE!</v>
      </c>
      <c r="BZ369" t="e">
        <f>'Technical Master Data'!O409+"AM:!2z7"</f>
        <v>#VALUE!</v>
      </c>
      <c r="CA369" t="e">
        <f>'Technical Master Data'!P409+"AM:!2z8"</f>
        <v>#VALUE!</v>
      </c>
      <c r="CB369" t="e">
        <f>'Technical Master Data'!Q409+"AM:!2z9"</f>
        <v>#VALUE!</v>
      </c>
      <c r="CC369" t="e">
        <f>'Technical Master Data'!R409+"AM:!2z:"</f>
        <v>#VALUE!</v>
      </c>
      <c r="CD369" t="e">
        <f>'Technical Master Data'!S409+"AM:!2z;"</f>
        <v>#VALUE!</v>
      </c>
      <c r="CE369" t="e">
        <f>'Technical Master Data'!A410+"AM:!2z&lt;"</f>
        <v>#VALUE!</v>
      </c>
      <c r="CF369" t="e">
        <f>'Technical Master Data'!B410+"AM:!2z="</f>
        <v>#VALUE!</v>
      </c>
      <c r="CG369" t="e">
        <f>'Technical Master Data'!C410+"AM:!2z&gt;"</f>
        <v>#VALUE!</v>
      </c>
      <c r="CH369" t="e">
        <f>'Technical Master Data'!D410+"AM:!2z?"</f>
        <v>#VALUE!</v>
      </c>
      <c r="CI369" t="e">
        <f>'Technical Master Data'!E410+"AM:!2z@"</f>
        <v>#VALUE!</v>
      </c>
      <c r="CJ369" t="e">
        <f>'Technical Master Data'!F410+"AM:!2zA"</f>
        <v>#VALUE!</v>
      </c>
      <c r="CK369" t="e">
        <f>'Technical Master Data'!G410+"AM:!2zB"</f>
        <v>#VALUE!</v>
      </c>
      <c r="CL369" t="e">
        <f>'Technical Master Data'!H410+"AM:!2zC"</f>
        <v>#VALUE!</v>
      </c>
      <c r="CM369" t="e">
        <f>'Technical Master Data'!I410+"AM:!2zD"</f>
        <v>#VALUE!</v>
      </c>
      <c r="CN369" t="e">
        <f>'Technical Master Data'!J410+"AM:!2zE"</f>
        <v>#VALUE!</v>
      </c>
      <c r="CO369" t="e">
        <f>'Technical Master Data'!K410+"AM:!2zF"</f>
        <v>#VALUE!</v>
      </c>
      <c r="CP369" t="e">
        <f>'Technical Master Data'!L410+"AM:!2zG"</f>
        <v>#VALUE!</v>
      </c>
      <c r="CQ369" t="e">
        <f>'Technical Master Data'!M410+"AM:!2zH"</f>
        <v>#VALUE!</v>
      </c>
      <c r="CR369" t="e">
        <f>'Technical Master Data'!N410+"AM:!2zI"</f>
        <v>#VALUE!</v>
      </c>
      <c r="CS369" t="e">
        <f>'Technical Master Data'!O410+"AM:!2zJ"</f>
        <v>#VALUE!</v>
      </c>
      <c r="CT369" t="e">
        <f>'Technical Master Data'!P410+"AM:!2zK"</f>
        <v>#VALUE!</v>
      </c>
      <c r="CU369" t="e">
        <f>'Technical Master Data'!Q410+"AM:!2zL"</f>
        <v>#VALUE!</v>
      </c>
      <c r="CV369" t="e">
        <f>'Technical Master Data'!R410+"AM:!2zM"</f>
        <v>#VALUE!</v>
      </c>
      <c r="CW369" t="e">
        <f>'Technical Master Data'!S410+"AM:!2zN"</f>
        <v>#VALUE!</v>
      </c>
      <c r="CX369" t="e">
        <f>'Technical Master Data'!A411+"AM:!2zO"</f>
        <v>#VALUE!</v>
      </c>
      <c r="CY369" t="e">
        <f>'Technical Master Data'!B411+"AM:!2zP"</f>
        <v>#VALUE!</v>
      </c>
      <c r="CZ369" t="e">
        <f>'Technical Master Data'!C411+"AM:!2zQ"</f>
        <v>#VALUE!</v>
      </c>
      <c r="DA369" t="e">
        <f>'Technical Master Data'!D411+"AM:!2zR"</f>
        <v>#VALUE!</v>
      </c>
      <c r="DB369" t="e">
        <f>'Technical Master Data'!E411+"AM:!2zS"</f>
        <v>#VALUE!</v>
      </c>
      <c r="DC369" t="e">
        <f>'Technical Master Data'!F411+"AM:!2zT"</f>
        <v>#VALUE!</v>
      </c>
      <c r="DD369" t="e">
        <f>'Technical Master Data'!G411+"AM:!2zU"</f>
        <v>#VALUE!</v>
      </c>
      <c r="DE369" t="e">
        <f>'Technical Master Data'!H411+"AM:!2zV"</f>
        <v>#VALUE!</v>
      </c>
      <c r="DF369" t="e">
        <f>'Technical Master Data'!I411+"AM:!2zW"</f>
        <v>#VALUE!</v>
      </c>
      <c r="DG369" t="e">
        <f>'Technical Master Data'!J411+"AM:!2zX"</f>
        <v>#VALUE!</v>
      </c>
      <c r="DH369" t="e">
        <f>'Technical Master Data'!K411+"AM:!2zY"</f>
        <v>#VALUE!</v>
      </c>
      <c r="DI369" t="e">
        <f>'Technical Master Data'!L411+"AM:!2zZ"</f>
        <v>#VALUE!</v>
      </c>
      <c r="DJ369" t="e">
        <f>'Technical Master Data'!M411+"AM:!2z["</f>
        <v>#VALUE!</v>
      </c>
      <c r="DK369" t="e">
        <f>'Technical Master Data'!N411+"AM:!2z\"</f>
        <v>#VALUE!</v>
      </c>
      <c r="DL369" t="e">
        <f>'Technical Master Data'!O411+"AM:!2z]"</f>
        <v>#VALUE!</v>
      </c>
      <c r="DM369" t="e">
        <f>'Technical Master Data'!P411+"AM:!2z^"</f>
        <v>#VALUE!</v>
      </c>
      <c r="DN369" t="e">
        <f>'Technical Master Data'!Q411+"AM:!2z_"</f>
        <v>#VALUE!</v>
      </c>
      <c r="DO369" t="e">
        <f>'Technical Master Data'!R411+"AM:!2z`"</f>
        <v>#VALUE!</v>
      </c>
      <c r="DP369" t="e">
        <f>'Technical Master Data'!S411+"AM:!2za"</f>
        <v>#VALUE!</v>
      </c>
      <c r="DQ369" t="e">
        <f>'Technical Master Data'!A412+"AM:!2zb"</f>
        <v>#VALUE!</v>
      </c>
      <c r="DR369" t="e">
        <f>'Technical Master Data'!B412+"AM:!2zc"</f>
        <v>#VALUE!</v>
      </c>
      <c r="DS369" t="e">
        <f>'Technical Master Data'!C412+"AM:!2zd"</f>
        <v>#VALUE!</v>
      </c>
      <c r="DT369" t="e">
        <f>'Technical Master Data'!D412+"AM:!2ze"</f>
        <v>#VALUE!</v>
      </c>
      <c r="DU369" t="e">
        <f>'Technical Master Data'!E412+"AM:!2zf"</f>
        <v>#VALUE!</v>
      </c>
      <c r="DV369" t="e">
        <f>'Technical Master Data'!F412+"AM:!2zg"</f>
        <v>#VALUE!</v>
      </c>
      <c r="DW369" t="e">
        <f>'Technical Master Data'!G412+"AM:!2zh"</f>
        <v>#VALUE!</v>
      </c>
      <c r="DX369" t="e">
        <f>'Technical Master Data'!H412+"AM:!2zi"</f>
        <v>#VALUE!</v>
      </c>
      <c r="DY369" t="e">
        <f>'Technical Master Data'!I412+"AM:!2zj"</f>
        <v>#VALUE!</v>
      </c>
      <c r="DZ369" t="e">
        <f>'Technical Master Data'!J412+"AM:!2zk"</f>
        <v>#VALUE!</v>
      </c>
      <c r="EA369" t="e">
        <f>'Technical Master Data'!K412+"AM:!2zl"</f>
        <v>#VALUE!</v>
      </c>
      <c r="EB369" t="e">
        <f>'Technical Master Data'!L412+"AM:!2zm"</f>
        <v>#VALUE!</v>
      </c>
      <c r="EC369" t="e">
        <f>'Technical Master Data'!M412+"AM:!2zn"</f>
        <v>#VALUE!</v>
      </c>
      <c r="ED369" t="e">
        <f>'Technical Master Data'!N412+"AM:!2zo"</f>
        <v>#VALUE!</v>
      </c>
      <c r="EE369" t="e">
        <f>'Technical Master Data'!O412+"AM:!2zp"</f>
        <v>#VALUE!</v>
      </c>
      <c r="EF369" t="e">
        <f>'Technical Master Data'!P412+"AM:!2zq"</f>
        <v>#VALUE!</v>
      </c>
      <c r="EG369" t="e">
        <f>'Technical Master Data'!Q412+"AM:!2zr"</f>
        <v>#VALUE!</v>
      </c>
      <c r="EH369" t="e">
        <f>'Technical Master Data'!R412+"AM:!2zs"</f>
        <v>#VALUE!</v>
      </c>
      <c r="EI369" t="e">
        <f>'Technical Master Data'!S412+"AM:!2zt"</f>
        <v>#VALUE!</v>
      </c>
      <c r="EJ369" t="e">
        <f>'Technical Master Data'!A413+"AM:!2zu"</f>
        <v>#VALUE!</v>
      </c>
      <c r="EK369" t="e">
        <f>'Technical Master Data'!B413+"AM:!2zv"</f>
        <v>#VALUE!</v>
      </c>
      <c r="EL369" t="e">
        <f>'Technical Master Data'!C413+"AM:!2zw"</f>
        <v>#VALUE!</v>
      </c>
      <c r="EM369" t="e">
        <f>'Technical Master Data'!D413+"AM:!2zx"</f>
        <v>#VALUE!</v>
      </c>
      <c r="EN369" t="e">
        <f>'Technical Master Data'!E413+"AM:!2zy"</f>
        <v>#VALUE!</v>
      </c>
      <c r="EO369" t="e">
        <f>'Technical Master Data'!F413+"AM:!2zz"</f>
        <v>#VALUE!</v>
      </c>
      <c r="EP369" t="e">
        <f>'Technical Master Data'!G413+"AM:!2z{"</f>
        <v>#VALUE!</v>
      </c>
      <c r="EQ369" t="e">
        <f>'Technical Master Data'!H413+"AM:!2z|"</f>
        <v>#VALUE!</v>
      </c>
      <c r="ER369" t="e">
        <f>'Technical Master Data'!I413+"AM:!2z}"</f>
        <v>#VALUE!</v>
      </c>
      <c r="ES369" t="e">
        <f>'Technical Master Data'!J413+"AM:!2z~"</f>
        <v>#VALUE!</v>
      </c>
      <c r="ET369" t="e">
        <f>'Technical Master Data'!K413+"AM:!2{#"</f>
        <v>#VALUE!</v>
      </c>
      <c r="EU369" t="e">
        <f>'Technical Master Data'!L413+"AM:!2{$"</f>
        <v>#VALUE!</v>
      </c>
      <c r="EV369" t="e">
        <f>'Technical Master Data'!M413+"AM:!2{%"</f>
        <v>#VALUE!</v>
      </c>
      <c r="EW369" t="e">
        <f>'Technical Master Data'!N413+"AM:!2{&amp;"</f>
        <v>#VALUE!</v>
      </c>
      <c r="EX369" t="e">
        <f>'Technical Master Data'!O413+"AM:!2{'"</f>
        <v>#VALUE!</v>
      </c>
      <c r="EY369" t="e">
        <f>'Technical Master Data'!P413+"AM:!2{("</f>
        <v>#VALUE!</v>
      </c>
      <c r="EZ369" t="e">
        <f>'Technical Master Data'!Q413+"AM:!2{)"</f>
        <v>#VALUE!</v>
      </c>
      <c r="FA369" t="e">
        <f>'Technical Master Data'!R413+"AM:!2{."</f>
        <v>#VALUE!</v>
      </c>
      <c r="FB369" t="e">
        <f>'Technical Master Data'!S413+"AM:!2{/"</f>
        <v>#VALUE!</v>
      </c>
      <c r="FC369" t="e">
        <f>'Technical Master Data'!A414+"AM:!2{0"</f>
        <v>#VALUE!</v>
      </c>
      <c r="FD369" t="e">
        <f>'Technical Master Data'!B414+"AM:!2{1"</f>
        <v>#VALUE!</v>
      </c>
      <c r="FE369" t="e">
        <f>'Technical Master Data'!C414+"AM:!2{2"</f>
        <v>#VALUE!</v>
      </c>
      <c r="FF369" t="e">
        <f>'Technical Master Data'!D414+"AM:!2{3"</f>
        <v>#VALUE!</v>
      </c>
      <c r="FG369" t="e">
        <f>'Technical Master Data'!E414+"AM:!2{4"</f>
        <v>#VALUE!</v>
      </c>
      <c r="FH369" t="e">
        <f>'Technical Master Data'!F414+"AM:!2{5"</f>
        <v>#VALUE!</v>
      </c>
      <c r="FI369" t="e">
        <f>'Technical Master Data'!G414+"AM:!2{6"</f>
        <v>#VALUE!</v>
      </c>
      <c r="FJ369" t="e">
        <f>'Technical Master Data'!H414+"AM:!2{7"</f>
        <v>#VALUE!</v>
      </c>
      <c r="FK369" t="e">
        <f>'Technical Master Data'!I414+"AM:!2{8"</f>
        <v>#VALUE!</v>
      </c>
      <c r="FL369" t="e">
        <f>'Technical Master Data'!J414+"AM:!2{9"</f>
        <v>#VALUE!</v>
      </c>
      <c r="FM369" t="e">
        <f>'Technical Master Data'!K414+"AM:!2{:"</f>
        <v>#VALUE!</v>
      </c>
      <c r="FN369" t="e">
        <f>'Technical Master Data'!L414+"AM:!2{;"</f>
        <v>#VALUE!</v>
      </c>
      <c r="FO369" t="e">
        <f>'Technical Master Data'!M414+"AM:!2{&lt;"</f>
        <v>#VALUE!</v>
      </c>
      <c r="FP369" t="e">
        <f>'Technical Master Data'!N414+"AM:!2{="</f>
        <v>#VALUE!</v>
      </c>
      <c r="FQ369" t="e">
        <f>'Technical Master Data'!O414+"AM:!2{&gt;"</f>
        <v>#VALUE!</v>
      </c>
      <c r="FR369" t="e">
        <f>'Technical Master Data'!P414+"AM:!2{?"</f>
        <v>#VALUE!</v>
      </c>
      <c r="FS369" t="e">
        <f>'Technical Master Data'!Q414+"AM:!2{@"</f>
        <v>#VALUE!</v>
      </c>
      <c r="FT369" t="e">
        <f>'Technical Master Data'!R414+"AM:!2{A"</f>
        <v>#VALUE!</v>
      </c>
      <c r="FU369" t="e">
        <f>'Technical Master Data'!S414+"AM:!2{B"</f>
        <v>#VALUE!</v>
      </c>
      <c r="FV369" t="e">
        <f>'Technical Master Data'!A415+"AM:!2{C"</f>
        <v>#VALUE!</v>
      </c>
      <c r="FW369" t="e">
        <f>'Technical Master Data'!B415+"AM:!2{D"</f>
        <v>#VALUE!</v>
      </c>
      <c r="FX369" t="e">
        <f>'Technical Master Data'!C415+"AM:!2{E"</f>
        <v>#VALUE!</v>
      </c>
      <c r="FY369" t="e">
        <f>'Technical Master Data'!D415+"AM:!2{F"</f>
        <v>#VALUE!</v>
      </c>
      <c r="FZ369" t="e">
        <f>'Technical Master Data'!E415+"AM:!2{G"</f>
        <v>#VALUE!</v>
      </c>
      <c r="GA369" t="e">
        <f>'Technical Master Data'!F415+"AM:!2{H"</f>
        <v>#VALUE!</v>
      </c>
      <c r="GB369" t="e">
        <f>'Technical Master Data'!G415+"AM:!2{I"</f>
        <v>#VALUE!</v>
      </c>
      <c r="GC369" t="e">
        <f>'Technical Master Data'!H415+"AM:!2{J"</f>
        <v>#VALUE!</v>
      </c>
      <c r="GD369" t="e">
        <f>'Technical Master Data'!I415+"AM:!2{K"</f>
        <v>#VALUE!</v>
      </c>
      <c r="GE369" t="e">
        <f>'Technical Master Data'!J415+"AM:!2{L"</f>
        <v>#VALUE!</v>
      </c>
      <c r="GF369" t="e">
        <f>'Technical Master Data'!K415+"AM:!2{M"</f>
        <v>#VALUE!</v>
      </c>
      <c r="GG369" t="e">
        <f>'Technical Master Data'!L415+"AM:!2{N"</f>
        <v>#VALUE!</v>
      </c>
      <c r="GH369" t="e">
        <f>'Technical Master Data'!M415+"AM:!2{O"</f>
        <v>#VALUE!</v>
      </c>
      <c r="GI369" t="e">
        <f>'Technical Master Data'!N415+"AM:!2{P"</f>
        <v>#VALUE!</v>
      </c>
      <c r="GJ369" t="e">
        <f>'Technical Master Data'!O415+"AM:!2{Q"</f>
        <v>#VALUE!</v>
      </c>
      <c r="GK369" t="e">
        <f>'Technical Master Data'!P415+"AM:!2{R"</f>
        <v>#VALUE!</v>
      </c>
      <c r="GL369" t="e">
        <f>'Technical Master Data'!Q415+"AM:!2{S"</f>
        <v>#VALUE!</v>
      </c>
      <c r="GM369" t="e">
        <f>'Technical Master Data'!R415+"AM:!2{T"</f>
        <v>#VALUE!</v>
      </c>
      <c r="GN369" t="e">
        <f>'Technical Master Data'!S415+"AM:!2{U"</f>
        <v>#VALUE!</v>
      </c>
      <c r="GO369" t="e">
        <f>'Technical Master Data'!A416+"AM:!2{V"</f>
        <v>#VALUE!</v>
      </c>
      <c r="GP369" t="e">
        <f>'Technical Master Data'!B416+"AM:!2{W"</f>
        <v>#VALUE!</v>
      </c>
      <c r="GQ369" t="e">
        <f>'Technical Master Data'!C416+"AM:!2{X"</f>
        <v>#VALUE!</v>
      </c>
      <c r="GR369" t="e">
        <f>'Technical Master Data'!D416+"AM:!2{Y"</f>
        <v>#VALUE!</v>
      </c>
      <c r="GS369" t="e">
        <f>'Technical Master Data'!E416+"AM:!2{Z"</f>
        <v>#VALUE!</v>
      </c>
      <c r="GT369" t="e">
        <f>'Technical Master Data'!F416+"AM:!2{["</f>
        <v>#VALUE!</v>
      </c>
      <c r="GU369" t="e">
        <f>'Technical Master Data'!G416+"AM:!2{\"</f>
        <v>#VALUE!</v>
      </c>
      <c r="GV369" t="e">
        <f>'Technical Master Data'!H416+"AM:!2{]"</f>
        <v>#VALUE!</v>
      </c>
      <c r="GW369" t="e">
        <f>'Technical Master Data'!I416+"AM:!2{^"</f>
        <v>#VALUE!</v>
      </c>
      <c r="GX369" t="e">
        <f>'Technical Master Data'!J416+"AM:!2{_"</f>
        <v>#VALUE!</v>
      </c>
      <c r="GY369" t="e">
        <f>'Technical Master Data'!K416+"AM:!2{`"</f>
        <v>#VALUE!</v>
      </c>
      <c r="GZ369" t="e">
        <f>'Technical Master Data'!L416+"AM:!2{a"</f>
        <v>#VALUE!</v>
      </c>
      <c r="HA369" t="e">
        <f>'Technical Master Data'!M416+"AM:!2{b"</f>
        <v>#VALUE!</v>
      </c>
      <c r="HB369" t="e">
        <f>'Technical Master Data'!N416+"AM:!2{c"</f>
        <v>#VALUE!</v>
      </c>
      <c r="HC369" t="e">
        <f>'Technical Master Data'!O416+"AM:!2{d"</f>
        <v>#VALUE!</v>
      </c>
      <c r="HD369" t="e">
        <f>'Technical Master Data'!P416+"AM:!2{e"</f>
        <v>#VALUE!</v>
      </c>
      <c r="HE369" t="e">
        <f>'Technical Master Data'!Q416+"AM:!2{f"</f>
        <v>#VALUE!</v>
      </c>
      <c r="HF369" t="e">
        <f>'Technical Master Data'!R416+"AM:!2{g"</f>
        <v>#VALUE!</v>
      </c>
      <c r="HG369" t="e">
        <f>'Technical Master Data'!S416+"AM:!2{h"</f>
        <v>#VALUE!</v>
      </c>
      <c r="HH369" t="e">
        <f>'Technical Master Data'!A417+"AM:!2{i"</f>
        <v>#VALUE!</v>
      </c>
      <c r="HI369" t="e">
        <f>'Technical Master Data'!B417+"AM:!2{j"</f>
        <v>#VALUE!</v>
      </c>
      <c r="HJ369" t="e">
        <f>'Technical Master Data'!C417+"AM:!2{k"</f>
        <v>#VALUE!</v>
      </c>
      <c r="HK369" t="e">
        <f>'Technical Master Data'!D417+"AM:!2{l"</f>
        <v>#VALUE!</v>
      </c>
      <c r="HL369" t="e">
        <f>'Technical Master Data'!E417+"AM:!2{m"</f>
        <v>#VALUE!</v>
      </c>
      <c r="HM369" t="e">
        <f>'Technical Master Data'!F417+"AM:!2{n"</f>
        <v>#VALUE!</v>
      </c>
      <c r="HN369" t="e">
        <f>'Technical Master Data'!G417+"AM:!2{o"</f>
        <v>#VALUE!</v>
      </c>
      <c r="HO369" t="e">
        <f>'Technical Master Data'!H417+"AM:!2{p"</f>
        <v>#VALUE!</v>
      </c>
      <c r="HP369" t="e">
        <f>'Technical Master Data'!I417+"AM:!2{q"</f>
        <v>#VALUE!</v>
      </c>
      <c r="HQ369" t="e">
        <f>'Technical Master Data'!J417+"AM:!2{r"</f>
        <v>#VALUE!</v>
      </c>
      <c r="HR369" t="e">
        <f>'Technical Master Data'!K417+"AM:!2{s"</f>
        <v>#VALUE!</v>
      </c>
      <c r="HS369" t="e">
        <f>'Technical Master Data'!L417+"AM:!2{t"</f>
        <v>#VALUE!</v>
      </c>
      <c r="HT369" t="e">
        <f>'Technical Master Data'!M417+"AM:!2{u"</f>
        <v>#VALUE!</v>
      </c>
      <c r="HU369" t="e">
        <f>'Technical Master Data'!N417+"AM:!2{v"</f>
        <v>#VALUE!</v>
      </c>
      <c r="HV369" t="e">
        <f>'Technical Master Data'!O417+"AM:!2{w"</f>
        <v>#VALUE!</v>
      </c>
      <c r="HW369" t="e">
        <f>'Technical Master Data'!P417+"AM:!2{x"</f>
        <v>#VALUE!</v>
      </c>
      <c r="HX369" t="e">
        <f>'Technical Master Data'!Q417+"AM:!2{y"</f>
        <v>#VALUE!</v>
      </c>
      <c r="HY369" t="e">
        <f>'Technical Master Data'!R417+"AM:!2{z"</f>
        <v>#VALUE!</v>
      </c>
      <c r="HZ369" t="e">
        <f>'Technical Master Data'!S417+"AM:!2{{"</f>
        <v>#VALUE!</v>
      </c>
      <c r="IA369" t="e">
        <f>'Technical Master Data'!A418+"AM:!2{|"</f>
        <v>#VALUE!</v>
      </c>
      <c r="IB369" t="e">
        <f>'Technical Master Data'!B418+"AM:!2{}"</f>
        <v>#VALUE!</v>
      </c>
      <c r="IC369" t="e">
        <f>'Technical Master Data'!C418+"AM:!2{~"</f>
        <v>#VALUE!</v>
      </c>
      <c r="ID369" t="e">
        <f>'Technical Master Data'!D418+"AM:!2|#"</f>
        <v>#VALUE!</v>
      </c>
      <c r="IE369" t="e">
        <f>'Technical Master Data'!E418+"AM:!2|$"</f>
        <v>#VALUE!</v>
      </c>
      <c r="IF369" t="e">
        <f>'Technical Master Data'!F418+"AM:!2|%"</f>
        <v>#VALUE!</v>
      </c>
      <c r="IG369" t="e">
        <f>'Technical Master Data'!G418+"AM:!2|&amp;"</f>
        <v>#VALUE!</v>
      </c>
      <c r="IH369" t="e">
        <f>'Technical Master Data'!H418+"AM:!2|'"</f>
        <v>#VALUE!</v>
      </c>
      <c r="II369" t="e">
        <f>'Technical Master Data'!I418+"AM:!2|("</f>
        <v>#VALUE!</v>
      </c>
      <c r="IJ369" t="e">
        <f>'Technical Master Data'!J418+"AM:!2|)"</f>
        <v>#VALUE!</v>
      </c>
      <c r="IK369" t="e">
        <f>'Technical Master Data'!K418+"AM:!2|."</f>
        <v>#VALUE!</v>
      </c>
      <c r="IL369" t="e">
        <f>'Technical Master Data'!L418+"AM:!2|/"</f>
        <v>#VALUE!</v>
      </c>
      <c r="IM369" t="e">
        <f>'Technical Master Data'!M418+"AM:!2|0"</f>
        <v>#VALUE!</v>
      </c>
      <c r="IN369" t="e">
        <f>'Technical Master Data'!N418+"AM:!2|1"</f>
        <v>#VALUE!</v>
      </c>
      <c r="IO369" t="e">
        <f>'Technical Master Data'!O418+"AM:!2|2"</f>
        <v>#VALUE!</v>
      </c>
      <c r="IP369" t="e">
        <f>'Technical Master Data'!P418+"AM:!2|3"</f>
        <v>#VALUE!</v>
      </c>
      <c r="IQ369" t="e">
        <f>'Technical Master Data'!Q418+"AM:!2|4"</f>
        <v>#VALUE!</v>
      </c>
      <c r="IR369" t="e">
        <f>'Technical Master Data'!R418+"AM:!2|5"</f>
        <v>#VALUE!</v>
      </c>
      <c r="IS369" t="e">
        <f>'Technical Master Data'!S418+"AM:!2|6"</f>
        <v>#VALUE!</v>
      </c>
      <c r="IT369" t="e">
        <f>'Technical Master Data'!A419+"AM:!2|7"</f>
        <v>#VALUE!</v>
      </c>
      <c r="IU369" t="e">
        <f>'Technical Master Data'!B419+"AM:!2|8"</f>
        <v>#VALUE!</v>
      </c>
      <c r="IV369" t="e">
        <f>'Technical Master Data'!C419+"AM:!2|9"</f>
        <v>#VALUE!</v>
      </c>
    </row>
    <row r="370" spans="6:256">
      <c r="F370" t="e">
        <f>'Technical Master Data'!D419+"AM:!2|:"</f>
        <v>#VALUE!</v>
      </c>
      <c r="G370" t="e">
        <f>'Technical Master Data'!E419+"AM:!2|;"</f>
        <v>#VALUE!</v>
      </c>
      <c r="H370" t="e">
        <f>'Technical Master Data'!F419+"AM:!2|&lt;"</f>
        <v>#VALUE!</v>
      </c>
      <c r="I370" t="e">
        <f>'Technical Master Data'!G419+"AM:!2|="</f>
        <v>#VALUE!</v>
      </c>
      <c r="J370" t="e">
        <f>'Technical Master Data'!H419+"AM:!2|&gt;"</f>
        <v>#VALUE!</v>
      </c>
      <c r="K370" t="e">
        <f>'Technical Master Data'!I419+"AM:!2|?"</f>
        <v>#VALUE!</v>
      </c>
      <c r="L370" t="e">
        <f>'Technical Master Data'!J419+"AM:!2|@"</f>
        <v>#VALUE!</v>
      </c>
      <c r="M370" t="e">
        <f>'Technical Master Data'!K419+"AM:!2|A"</f>
        <v>#VALUE!</v>
      </c>
      <c r="N370" t="e">
        <f>'Technical Master Data'!L419+"AM:!2|B"</f>
        <v>#VALUE!</v>
      </c>
      <c r="O370" t="e">
        <f>'Technical Master Data'!M419+"AM:!2|C"</f>
        <v>#VALUE!</v>
      </c>
      <c r="P370" t="e">
        <f>'Technical Master Data'!N419+"AM:!2|D"</f>
        <v>#VALUE!</v>
      </c>
      <c r="Q370" t="e">
        <f>'Technical Master Data'!O419+"AM:!2|E"</f>
        <v>#VALUE!</v>
      </c>
      <c r="R370" t="e">
        <f>'Technical Master Data'!P419+"AM:!2|F"</f>
        <v>#VALUE!</v>
      </c>
      <c r="S370" t="e">
        <f>'Technical Master Data'!Q419+"AM:!2|G"</f>
        <v>#VALUE!</v>
      </c>
      <c r="T370" t="e">
        <f>'Technical Master Data'!R419+"AM:!2|H"</f>
        <v>#VALUE!</v>
      </c>
      <c r="U370" t="e">
        <f>'Technical Master Data'!S419+"AM:!2|I"</f>
        <v>#VALUE!</v>
      </c>
      <c r="V370" t="e">
        <f>'Technical Master Data'!A420+"AM:!2|J"</f>
        <v>#VALUE!</v>
      </c>
      <c r="W370" t="e">
        <f>'Technical Master Data'!B420+"AM:!2|K"</f>
        <v>#VALUE!</v>
      </c>
      <c r="X370" t="e">
        <f>'Technical Master Data'!C420+"AM:!2|L"</f>
        <v>#VALUE!</v>
      </c>
      <c r="Y370" t="e">
        <f>'Technical Master Data'!D420+"AM:!2|M"</f>
        <v>#VALUE!</v>
      </c>
      <c r="Z370" t="e">
        <f>'Technical Master Data'!E420+"AM:!2|N"</f>
        <v>#VALUE!</v>
      </c>
      <c r="AA370" t="e">
        <f>'Technical Master Data'!F420+"AM:!2|O"</f>
        <v>#VALUE!</v>
      </c>
      <c r="AB370" t="e">
        <f>'Technical Master Data'!G420+"AM:!2|P"</f>
        <v>#VALUE!</v>
      </c>
      <c r="AC370" t="e">
        <f>'Technical Master Data'!H420+"AM:!2|Q"</f>
        <v>#VALUE!</v>
      </c>
      <c r="AD370" t="e">
        <f>'Technical Master Data'!I420+"AM:!2|R"</f>
        <v>#VALUE!</v>
      </c>
      <c r="AE370" t="e">
        <f>'Technical Master Data'!J420+"AM:!2|S"</f>
        <v>#VALUE!</v>
      </c>
      <c r="AF370" t="e">
        <f>'Technical Master Data'!K420+"AM:!2|T"</f>
        <v>#VALUE!</v>
      </c>
      <c r="AG370" t="e">
        <f>'Technical Master Data'!L420+"AM:!2|U"</f>
        <v>#VALUE!</v>
      </c>
      <c r="AH370" t="e">
        <f>'Technical Master Data'!M420+"AM:!2|V"</f>
        <v>#VALUE!</v>
      </c>
      <c r="AI370" t="e">
        <f>'Technical Master Data'!N420+"AM:!2|W"</f>
        <v>#VALUE!</v>
      </c>
      <c r="AJ370" t="e">
        <f>'Technical Master Data'!O420+"AM:!2|X"</f>
        <v>#VALUE!</v>
      </c>
      <c r="AK370" t="e">
        <f>'Technical Master Data'!P420+"AM:!2|Y"</f>
        <v>#VALUE!</v>
      </c>
      <c r="AL370" t="e">
        <f>'Technical Master Data'!Q420+"AM:!2|Z"</f>
        <v>#VALUE!</v>
      </c>
      <c r="AM370" t="e">
        <f>'Technical Master Data'!R420+"AM:!2|["</f>
        <v>#VALUE!</v>
      </c>
      <c r="AN370" t="e">
        <f>'Technical Master Data'!S420+"AM:!2|\"</f>
        <v>#VALUE!</v>
      </c>
      <c r="AO370" t="e">
        <f>'Technical Master Data'!A421+"AM:!2|]"</f>
        <v>#VALUE!</v>
      </c>
      <c r="AP370" t="e">
        <f>'Technical Master Data'!B421+"AM:!2|^"</f>
        <v>#VALUE!</v>
      </c>
      <c r="AQ370" t="e">
        <f>'Technical Master Data'!C421+"AM:!2|_"</f>
        <v>#VALUE!</v>
      </c>
      <c r="AR370" t="e">
        <f>'Technical Master Data'!D421+"AM:!2|`"</f>
        <v>#VALUE!</v>
      </c>
      <c r="AS370" t="e">
        <f>'Technical Master Data'!E421+"AM:!2|a"</f>
        <v>#VALUE!</v>
      </c>
      <c r="AT370" t="e">
        <f>'Technical Master Data'!F421+"AM:!2|b"</f>
        <v>#VALUE!</v>
      </c>
      <c r="AU370" t="e">
        <f>'Technical Master Data'!G421+"AM:!2|c"</f>
        <v>#VALUE!</v>
      </c>
      <c r="AV370" t="e">
        <f>'Technical Master Data'!H421+"AM:!2|d"</f>
        <v>#VALUE!</v>
      </c>
      <c r="AW370" t="e">
        <f>'Technical Master Data'!I421+"AM:!2|e"</f>
        <v>#VALUE!</v>
      </c>
      <c r="AX370" t="e">
        <f>'Technical Master Data'!J421+"AM:!2|f"</f>
        <v>#VALUE!</v>
      </c>
      <c r="AY370" t="e">
        <f>'Technical Master Data'!K421+"AM:!2|g"</f>
        <v>#VALUE!</v>
      </c>
      <c r="AZ370" t="e">
        <f>'Technical Master Data'!L421+"AM:!2|h"</f>
        <v>#VALUE!</v>
      </c>
      <c r="BA370" t="e">
        <f>'Technical Master Data'!M421+"AM:!2|i"</f>
        <v>#VALUE!</v>
      </c>
      <c r="BB370" t="e">
        <f>'Technical Master Data'!N421+"AM:!2|j"</f>
        <v>#VALUE!</v>
      </c>
      <c r="BC370" t="e">
        <f>'Technical Master Data'!O421+"AM:!2|k"</f>
        <v>#VALUE!</v>
      </c>
      <c r="BD370" t="e">
        <f>'Technical Master Data'!P421+"AM:!2|l"</f>
        <v>#VALUE!</v>
      </c>
      <c r="BE370" t="e">
        <f>'Technical Master Data'!Q421+"AM:!2|m"</f>
        <v>#VALUE!</v>
      </c>
      <c r="BF370" t="e">
        <f>'Technical Master Data'!R421+"AM:!2|n"</f>
        <v>#VALUE!</v>
      </c>
      <c r="BG370" t="e">
        <f>'Technical Master Data'!S421+"AM:!2|o"</f>
        <v>#VALUE!</v>
      </c>
      <c r="BH370" t="e">
        <f>'Technical Master Data'!A422+"AM:!2|p"</f>
        <v>#VALUE!</v>
      </c>
      <c r="BI370" t="e">
        <f>'Technical Master Data'!B422+"AM:!2|q"</f>
        <v>#VALUE!</v>
      </c>
      <c r="BJ370" t="e">
        <f>'Technical Master Data'!C422+"AM:!2|r"</f>
        <v>#VALUE!</v>
      </c>
      <c r="BK370" t="e">
        <f>'Technical Master Data'!D422+"AM:!2|s"</f>
        <v>#VALUE!</v>
      </c>
      <c r="BL370" t="e">
        <f>'Technical Master Data'!E422+"AM:!2|t"</f>
        <v>#VALUE!</v>
      </c>
      <c r="BM370" t="e">
        <f>'Technical Master Data'!F422+"AM:!2|u"</f>
        <v>#VALUE!</v>
      </c>
      <c r="BN370" t="e">
        <f>'Technical Master Data'!G422+"AM:!2|v"</f>
        <v>#VALUE!</v>
      </c>
      <c r="BO370" t="e">
        <f>'Technical Master Data'!H422+"AM:!2|w"</f>
        <v>#VALUE!</v>
      </c>
      <c r="BP370" t="e">
        <f>'Technical Master Data'!I422+"AM:!2|x"</f>
        <v>#VALUE!</v>
      </c>
      <c r="BQ370" t="e">
        <f>'Technical Master Data'!J422+"AM:!2|y"</f>
        <v>#VALUE!</v>
      </c>
      <c r="BR370" t="e">
        <f>'Technical Master Data'!K422+"AM:!2|z"</f>
        <v>#VALUE!</v>
      </c>
      <c r="BS370" t="e">
        <f>'Technical Master Data'!L422+"AM:!2|{"</f>
        <v>#VALUE!</v>
      </c>
      <c r="BT370" t="e">
        <f>'Technical Master Data'!M422+"AM:!2||"</f>
        <v>#VALUE!</v>
      </c>
      <c r="BU370" t="e">
        <f>'Technical Master Data'!N422+"AM:!2|}"</f>
        <v>#VALUE!</v>
      </c>
      <c r="BV370" t="e">
        <f>'Technical Master Data'!O422+"AM:!2|~"</f>
        <v>#VALUE!</v>
      </c>
      <c r="BW370" t="e">
        <f>'Technical Master Data'!P422+"AM:!2}#"</f>
        <v>#VALUE!</v>
      </c>
      <c r="BX370" t="e">
        <f>'Technical Master Data'!Q422+"AM:!2}$"</f>
        <v>#VALUE!</v>
      </c>
      <c r="BY370" t="e">
        <f>'Technical Master Data'!R422+"AM:!2}%"</f>
        <v>#VALUE!</v>
      </c>
      <c r="BZ370" t="e">
        <f>'Technical Master Data'!S422+"AM:!2}&amp;"</f>
        <v>#VALUE!</v>
      </c>
      <c r="CA370" t="e">
        <f>'Technical Master Data'!A423+"AM:!2}'"</f>
        <v>#VALUE!</v>
      </c>
      <c r="CB370" t="e">
        <f>'Technical Master Data'!B423+"AM:!2}("</f>
        <v>#VALUE!</v>
      </c>
      <c r="CC370" t="e">
        <f>'Technical Master Data'!C423+"AM:!2})"</f>
        <v>#VALUE!</v>
      </c>
      <c r="CD370" t="e">
        <f>'Technical Master Data'!D423+"AM:!2}."</f>
        <v>#VALUE!</v>
      </c>
      <c r="CE370" t="e">
        <f>'Technical Master Data'!E423+"AM:!2}/"</f>
        <v>#VALUE!</v>
      </c>
      <c r="CF370" t="e">
        <f>'Technical Master Data'!F423+"AM:!2}0"</f>
        <v>#VALUE!</v>
      </c>
      <c r="CG370" t="e">
        <f>'Technical Master Data'!G423+"AM:!2}1"</f>
        <v>#VALUE!</v>
      </c>
      <c r="CH370" t="e">
        <f>'Technical Master Data'!H423+"AM:!2}2"</f>
        <v>#VALUE!</v>
      </c>
      <c r="CI370" t="e">
        <f>'Technical Master Data'!I423+"AM:!2}3"</f>
        <v>#VALUE!</v>
      </c>
      <c r="CJ370" t="e">
        <f>'Technical Master Data'!J423+"AM:!2}4"</f>
        <v>#VALUE!</v>
      </c>
      <c r="CK370" t="e">
        <f>'Technical Master Data'!K423+"AM:!2}5"</f>
        <v>#VALUE!</v>
      </c>
      <c r="CL370" t="e">
        <f>'Technical Master Data'!L423+"AM:!2}6"</f>
        <v>#VALUE!</v>
      </c>
      <c r="CM370" t="e">
        <f>'Technical Master Data'!M423+"AM:!2}7"</f>
        <v>#VALUE!</v>
      </c>
      <c r="CN370" t="e">
        <f>'Technical Master Data'!N423+"AM:!2}8"</f>
        <v>#VALUE!</v>
      </c>
      <c r="CO370" t="e">
        <f>'Technical Master Data'!O423+"AM:!2}9"</f>
        <v>#VALUE!</v>
      </c>
      <c r="CP370" t="e">
        <f>'Technical Master Data'!P423+"AM:!2}:"</f>
        <v>#VALUE!</v>
      </c>
      <c r="CQ370" t="e">
        <f>'Technical Master Data'!Q423+"AM:!2};"</f>
        <v>#VALUE!</v>
      </c>
      <c r="CR370" t="e">
        <f>'Technical Master Data'!R423+"AM:!2}&lt;"</f>
        <v>#VALUE!</v>
      </c>
      <c r="CS370" t="e">
        <f>'Technical Master Data'!S423+"AM:!2}="</f>
        <v>#VALUE!</v>
      </c>
      <c r="CT370" t="e">
        <f>'Technical Master Data'!A424+"AM:!2}&gt;"</f>
        <v>#VALUE!</v>
      </c>
      <c r="CU370" t="e">
        <f>'Technical Master Data'!B424+"AM:!2}?"</f>
        <v>#VALUE!</v>
      </c>
      <c r="CV370" t="e">
        <f>'Technical Master Data'!C424+"AM:!2}@"</f>
        <v>#VALUE!</v>
      </c>
      <c r="CW370" t="e">
        <f>'Technical Master Data'!D424+"AM:!2}A"</f>
        <v>#VALUE!</v>
      </c>
      <c r="CX370" t="e">
        <f>'Technical Master Data'!E424+"AM:!2}B"</f>
        <v>#VALUE!</v>
      </c>
      <c r="CY370" t="e">
        <f>'Technical Master Data'!F424+"AM:!2}C"</f>
        <v>#VALUE!</v>
      </c>
      <c r="CZ370" t="e">
        <f>'Technical Master Data'!G424+"AM:!2}D"</f>
        <v>#VALUE!</v>
      </c>
      <c r="DA370" t="e">
        <f>'Technical Master Data'!H424+"AM:!2}E"</f>
        <v>#VALUE!</v>
      </c>
      <c r="DB370" t="e">
        <f>'Technical Master Data'!I424+"AM:!2}F"</f>
        <v>#VALUE!</v>
      </c>
      <c r="DC370" t="e">
        <f>'Technical Master Data'!J424+"AM:!2}G"</f>
        <v>#VALUE!</v>
      </c>
      <c r="DD370" t="e">
        <f>'Technical Master Data'!K424+"AM:!2}H"</f>
        <v>#VALUE!</v>
      </c>
      <c r="DE370" t="e">
        <f>'Technical Master Data'!L424+"AM:!2}I"</f>
        <v>#VALUE!</v>
      </c>
      <c r="DF370" t="e">
        <f>'Technical Master Data'!M424+"AM:!2}J"</f>
        <v>#VALUE!</v>
      </c>
      <c r="DG370" t="e">
        <f>'Technical Master Data'!N424+"AM:!2}K"</f>
        <v>#VALUE!</v>
      </c>
      <c r="DH370" t="e">
        <f>'Technical Master Data'!O424+"AM:!2}L"</f>
        <v>#VALUE!</v>
      </c>
      <c r="DI370" t="e">
        <f>'Technical Master Data'!P424+"AM:!2}M"</f>
        <v>#VALUE!</v>
      </c>
      <c r="DJ370" t="e">
        <f>'Technical Master Data'!Q424+"AM:!2}N"</f>
        <v>#VALUE!</v>
      </c>
      <c r="DK370" t="e">
        <f>'Technical Master Data'!R424+"AM:!2}O"</f>
        <v>#VALUE!</v>
      </c>
      <c r="DL370" t="e">
        <f>'Technical Master Data'!S424+"AM:!2}P"</f>
        <v>#VALUE!</v>
      </c>
      <c r="DM370" t="e">
        <f>'Technical Master Data'!A425+"AM:!2}Q"</f>
        <v>#VALUE!</v>
      </c>
      <c r="DN370" t="e">
        <f>'Technical Master Data'!B425+"AM:!2}R"</f>
        <v>#VALUE!</v>
      </c>
      <c r="DO370" t="e">
        <f>'Technical Master Data'!C425+"AM:!2}S"</f>
        <v>#VALUE!</v>
      </c>
      <c r="DP370" t="e">
        <f>'Technical Master Data'!D425+"AM:!2}T"</f>
        <v>#VALUE!</v>
      </c>
      <c r="DQ370" t="e">
        <f>'Technical Master Data'!E425+"AM:!2}U"</f>
        <v>#VALUE!</v>
      </c>
      <c r="DR370" t="e">
        <f>'Technical Master Data'!F425+"AM:!2}V"</f>
        <v>#VALUE!</v>
      </c>
      <c r="DS370" t="e">
        <f>'Technical Master Data'!G425+"AM:!2}W"</f>
        <v>#VALUE!</v>
      </c>
      <c r="DT370" t="e">
        <f>'Technical Master Data'!H425+"AM:!2}X"</f>
        <v>#VALUE!</v>
      </c>
      <c r="DU370" t="e">
        <f>'Technical Master Data'!I425+"AM:!2}Y"</f>
        <v>#VALUE!</v>
      </c>
      <c r="DV370" t="e">
        <f>'Technical Master Data'!J425+"AM:!2}Z"</f>
        <v>#VALUE!</v>
      </c>
      <c r="DW370" t="e">
        <f>'Technical Master Data'!K425+"AM:!2}["</f>
        <v>#VALUE!</v>
      </c>
      <c r="DX370" t="e">
        <f>'Technical Master Data'!L425+"AM:!2}\"</f>
        <v>#VALUE!</v>
      </c>
      <c r="DY370" t="e">
        <f>'Technical Master Data'!M425+"AM:!2}]"</f>
        <v>#VALUE!</v>
      </c>
      <c r="DZ370" t="e">
        <f>'Technical Master Data'!N425+"AM:!2}^"</f>
        <v>#VALUE!</v>
      </c>
      <c r="EA370" t="e">
        <f>'Technical Master Data'!O425+"AM:!2}_"</f>
        <v>#VALUE!</v>
      </c>
      <c r="EB370" t="e">
        <f>'Technical Master Data'!P425+"AM:!2}`"</f>
        <v>#VALUE!</v>
      </c>
      <c r="EC370" t="e">
        <f>'Technical Master Data'!Q425+"AM:!2}a"</f>
        <v>#VALUE!</v>
      </c>
      <c r="ED370" t="e">
        <f>'Technical Master Data'!R425+"AM:!2}b"</f>
        <v>#VALUE!</v>
      </c>
      <c r="EE370" t="e">
        <f>'Technical Master Data'!S425+"AM:!2}c"</f>
        <v>#VALUE!</v>
      </c>
      <c r="EF370" t="e">
        <f>'Technical Master Data'!A426+"AM:!2}d"</f>
        <v>#VALUE!</v>
      </c>
      <c r="EG370" t="e">
        <f>'Technical Master Data'!B426+"AM:!2}e"</f>
        <v>#VALUE!</v>
      </c>
      <c r="EH370" t="e">
        <f>'Technical Master Data'!C426+"AM:!2}f"</f>
        <v>#VALUE!</v>
      </c>
      <c r="EI370" t="e">
        <f>'Technical Master Data'!D426+"AM:!2}g"</f>
        <v>#VALUE!</v>
      </c>
      <c r="EJ370" t="e">
        <f>'Technical Master Data'!E426+"AM:!2}h"</f>
        <v>#VALUE!</v>
      </c>
      <c r="EK370" t="e">
        <f>'Technical Master Data'!F426+"AM:!2}i"</f>
        <v>#VALUE!</v>
      </c>
      <c r="EL370" t="e">
        <f>'Technical Master Data'!G426+"AM:!2}j"</f>
        <v>#VALUE!</v>
      </c>
      <c r="EM370" t="e">
        <f>'Technical Master Data'!H426+"AM:!2}k"</f>
        <v>#VALUE!</v>
      </c>
      <c r="EN370" t="e">
        <f>'Technical Master Data'!I426+"AM:!2}l"</f>
        <v>#VALUE!</v>
      </c>
      <c r="EO370" t="e">
        <f>'Technical Master Data'!J426+"AM:!2}m"</f>
        <v>#VALUE!</v>
      </c>
      <c r="EP370" t="e">
        <f>'Technical Master Data'!K426+"AM:!2}n"</f>
        <v>#VALUE!</v>
      </c>
      <c r="EQ370" t="e">
        <f>'Technical Master Data'!L426+"AM:!2}o"</f>
        <v>#VALUE!</v>
      </c>
      <c r="ER370" t="e">
        <f>'Technical Master Data'!M426+"AM:!2}p"</f>
        <v>#VALUE!</v>
      </c>
      <c r="ES370" t="e">
        <f>'Technical Master Data'!N426+"AM:!2}q"</f>
        <v>#VALUE!</v>
      </c>
      <c r="ET370" t="e">
        <f>'Technical Master Data'!O426+"AM:!2}r"</f>
        <v>#VALUE!</v>
      </c>
      <c r="EU370" t="e">
        <f>'Technical Master Data'!P426+"AM:!2}s"</f>
        <v>#VALUE!</v>
      </c>
      <c r="EV370" t="e">
        <f>'Technical Master Data'!Q426+"AM:!2}t"</f>
        <v>#VALUE!</v>
      </c>
      <c r="EW370" t="e">
        <f>'Technical Master Data'!R426+"AM:!2}u"</f>
        <v>#VALUE!</v>
      </c>
      <c r="EX370" t="e">
        <f>'Technical Master Data'!S426+"AM:!2}v"</f>
        <v>#VALUE!</v>
      </c>
      <c r="EY370" t="e">
        <f>'Technical Master Data'!A427+"AM:!2}w"</f>
        <v>#VALUE!</v>
      </c>
      <c r="EZ370" t="e">
        <f>'Technical Master Data'!B427+"AM:!2}x"</f>
        <v>#VALUE!</v>
      </c>
      <c r="FA370" t="e">
        <f>'Technical Master Data'!C427+"AM:!2}y"</f>
        <v>#VALUE!</v>
      </c>
      <c r="FB370" t="e">
        <f>'Technical Master Data'!D427+"AM:!2}z"</f>
        <v>#VALUE!</v>
      </c>
      <c r="FC370" t="e">
        <f>'Technical Master Data'!E427+"AM:!2}{"</f>
        <v>#VALUE!</v>
      </c>
      <c r="FD370" t="e">
        <f>'Technical Master Data'!F427+"AM:!2}|"</f>
        <v>#VALUE!</v>
      </c>
      <c r="FE370" t="e">
        <f>'Technical Master Data'!G427+"AM:!2}}"</f>
        <v>#VALUE!</v>
      </c>
      <c r="FF370" t="e">
        <f>'Technical Master Data'!H427+"AM:!2}~"</f>
        <v>#VALUE!</v>
      </c>
      <c r="FG370" t="e">
        <f>'Technical Master Data'!I427+"AM:!2~#"</f>
        <v>#VALUE!</v>
      </c>
      <c r="FH370" t="e">
        <f>'Technical Master Data'!J427+"AM:!2~$"</f>
        <v>#VALUE!</v>
      </c>
      <c r="FI370" t="e">
        <f>'Technical Master Data'!K427+"AM:!2~%"</f>
        <v>#VALUE!</v>
      </c>
      <c r="FJ370" t="e">
        <f>'Technical Master Data'!L427+"AM:!2~&amp;"</f>
        <v>#VALUE!</v>
      </c>
      <c r="FK370" t="e">
        <f>'Technical Master Data'!M427+"AM:!2~'"</f>
        <v>#VALUE!</v>
      </c>
      <c r="FL370" t="e">
        <f>'Technical Master Data'!N427+"AM:!2~("</f>
        <v>#VALUE!</v>
      </c>
      <c r="FM370" t="e">
        <f>'Technical Master Data'!O427+"AM:!2~)"</f>
        <v>#VALUE!</v>
      </c>
      <c r="FN370" t="e">
        <f>'Technical Master Data'!P427+"AM:!2~."</f>
        <v>#VALUE!</v>
      </c>
      <c r="FO370" t="e">
        <f>'Technical Master Data'!Q427+"AM:!2~/"</f>
        <v>#VALUE!</v>
      </c>
      <c r="FP370" t="e">
        <f>'Technical Master Data'!R427+"AM:!2~0"</f>
        <v>#VALUE!</v>
      </c>
      <c r="FQ370" t="e">
        <f>'Technical Master Data'!S427+"AM:!2~1"</f>
        <v>#VALUE!</v>
      </c>
      <c r="FR370" t="e">
        <f>'Technical Master Data'!A428+"AM:!2~2"</f>
        <v>#VALUE!</v>
      </c>
      <c r="FS370" t="e">
        <f>'Technical Master Data'!B428+"AM:!2~3"</f>
        <v>#VALUE!</v>
      </c>
      <c r="FT370" t="e">
        <f>'Technical Master Data'!C428+"AM:!2~4"</f>
        <v>#VALUE!</v>
      </c>
      <c r="FU370" t="e">
        <f>'Technical Master Data'!D428+"AM:!2~5"</f>
        <v>#VALUE!</v>
      </c>
      <c r="FV370" t="e">
        <f>'Technical Master Data'!E428+"AM:!2~6"</f>
        <v>#VALUE!</v>
      </c>
      <c r="FW370" t="e">
        <f>'Technical Master Data'!F428+"AM:!2~7"</f>
        <v>#VALUE!</v>
      </c>
      <c r="FX370" t="e">
        <f>'Technical Master Data'!G428+"AM:!2~8"</f>
        <v>#VALUE!</v>
      </c>
      <c r="FY370" t="e">
        <f>'Technical Master Data'!H428+"AM:!2~9"</f>
        <v>#VALUE!</v>
      </c>
      <c r="FZ370" t="e">
        <f>'Technical Master Data'!I428+"AM:!2~:"</f>
        <v>#VALUE!</v>
      </c>
      <c r="GA370" t="e">
        <f>'Technical Master Data'!J428+"AM:!2~;"</f>
        <v>#VALUE!</v>
      </c>
      <c r="GB370" t="e">
        <f>'Technical Master Data'!K428+"AM:!2~&lt;"</f>
        <v>#VALUE!</v>
      </c>
      <c r="GC370" t="e">
        <f>'Technical Master Data'!L428+"AM:!2~="</f>
        <v>#VALUE!</v>
      </c>
      <c r="GD370" t="e">
        <f>'Technical Master Data'!M428+"AM:!2~&gt;"</f>
        <v>#VALUE!</v>
      </c>
      <c r="GE370" t="e">
        <f>'Technical Master Data'!N428+"AM:!2~?"</f>
        <v>#VALUE!</v>
      </c>
      <c r="GF370" t="e">
        <f>'Technical Master Data'!O428+"AM:!2~@"</f>
        <v>#VALUE!</v>
      </c>
      <c r="GG370" t="e">
        <f>'Technical Master Data'!P428+"AM:!2~A"</f>
        <v>#VALUE!</v>
      </c>
      <c r="GH370" t="e">
        <f>'Technical Master Data'!Q428+"AM:!2~B"</f>
        <v>#VALUE!</v>
      </c>
      <c r="GI370" t="e">
        <f>'Technical Master Data'!R428+"AM:!2~C"</f>
        <v>#VALUE!</v>
      </c>
      <c r="GJ370" t="e">
        <f>'Technical Master Data'!S428+"AM:!2~D"</f>
        <v>#VALUE!</v>
      </c>
      <c r="GK370" t="e">
        <f>'Technical Master Data'!A429+"AM:!2~E"</f>
        <v>#VALUE!</v>
      </c>
      <c r="GL370" t="e">
        <f>'Technical Master Data'!B429+"AM:!2~F"</f>
        <v>#VALUE!</v>
      </c>
      <c r="GM370" t="e">
        <f>'Technical Master Data'!C429+"AM:!2~G"</f>
        <v>#VALUE!</v>
      </c>
      <c r="GN370" t="e">
        <f>'Technical Master Data'!D429+"AM:!2~H"</f>
        <v>#VALUE!</v>
      </c>
      <c r="GO370" t="e">
        <f>'Technical Master Data'!E429+"AM:!2~I"</f>
        <v>#VALUE!</v>
      </c>
      <c r="GP370" t="e">
        <f>'Technical Master Data'!F429+"AM:!2~J"</f>
        <v>#VALUE!</v>
      </c>
      <c r="GQ370" t="e">
        <f>'Technical Master Data'!G429+"AM:!2~K"</f>
        <v>#VALUE!</v>
      </c>
      <c r="GR370" t="e">
        <f>'Technical Master Data'!H429+"AM:!2~L"</f>
        <v>#VALUE!</v>
      </c>
      <c r="GS370" t="e">
        <f>'Technical Master Data'!I429+"AM:!2~M"</f>
        <v>#VALUE!</v>
      </c>
      <c r="GT370" t="e">
        <f>'Technical Master Data'!J429+"AM:!2~N"</f>
        <v>#VALUE!</v>
      </c>
      <c r="GU370" t="e">
        <f>'Technical Master Data'!K429+"AM:!2~O"</f>
        <v>#VALUE!</v>
      </c>
      <c r="GV370" t="e">
        <f>'Technical Master Data'!L429+"AM:!2~P"</f>
        <v>#VALUE!</v>
      </c>
      <c r="GW370" t="e">
        <f>'Technical Master Data'!M429+"AM:!2~Q"</f>
        <v>#VALUE!</v>
      </c>
      <c r="GX370" t="e">
        <f>'Technical Master Data'!N429+"AM:!2~R"</f>
        <v>#VALUE!</v>
      </c>
      <c r="GY370" t="e">
        <f>'Technical Master Data'!O429+"AM:!2~S"</f>
        <v>#VALUE!</v>
      </c>
      <c r="GZ370" t="e">
        <f>'Technical Master Data'!P429+"AM:!2~T"</f>
        <v>#VALUE!</v>
      </c>
      <c r="HA370" t="e">
        <f>'Technical Master Data'!Q429+"AM:!2~U"</f>
        <v>#VALUE!</v>
      </c>
      <c r="HB370" t="e">
        <f>'Technical Master Data'!R429+"AM:!2~V"</f>
        <v>#VALUE!</v>
      </c>
      <c r="HC370" t="e">
        <f>'Technical Master Data'!S429+"AM:!2~W"</f>
        <v>#VALUE!</v>
      </c>
      <c r="HD370" t="e">
        <f>'Technical Master Data'!A430+"AM:!2~X"</f>
        <v>#VALUE!</v>
      </c>
      <c r="HE370" t="e">
        <f>'Technical Master Data'!B430+"AM:!2~Y"</f>
        <v>#VALUE!</v>
      </c>
      <c r="HF370" t="e">
        <f>'Technical Master Data'!C430+"AM:!2~Z"</f>
        <v>#VALUE!</v>
      </c>
      <c r="HG370" t="e">
        <f>'Technical Master Data'!D430+"AM:!2~["</f>
        <v>#VALUE!</v>
      </c>
      <c r="HH370" t="e">
        <f>'Technical Master Data'!E430+"AM:!2~\"</f>
        <v>#VALUE!</v>
      </c>
      <c r="HI370" t="e">
        <f>'Technical Master Data'!F430+"AM:!2~]"</f>
        <v>#VALUE!</v>
      </c>
      <c r="HJ370" t="e">
        <f>'Technical Master Data'!G430+"AM:!2~^"</f>
        <v>#VALUE!</v>
      </c>
      <c r="HK370" t="e">
        <f>'Technical Master Data'!H430+"AM:!2~_"</f>
        <v>#VALUE!</v>
      </c>
      <c r="HL370" t="e">
        <f>'Technical Master Data'!I430+"AM:!2~`"</f>
        <v>#VALUE!</v>
      </c>
      <c r="HM370" t="e">
        <f>'Technical Master Data'!J430+"AM:!2~a"</f>
        <v>#VALUE!</v>
      </c>
      <c r="HN370" t="e">
        <f>'Technical Master Data'!K430+"AM:!2~b"</f>
        <v>#VALUE!</v>
      </c>
      <c r="HO370" t="e">
        <f>'Technical Master Data'!L430+"AM:!2~c"</f>
        <v>#VALUE!</v>
      </c>
      <c r="HP370" t="e">
        <f>'Technical Master Data'!M430+"AM:!2~d"</f>
        <v>#VALUE!</v>
      </c>
      <c r="HQ370" t="e">
        <f>'Technical Master Data'!N430+"AM:!2~e"</f>
        <v>#VALUE!</v>
      </c>
      <c r="HR370" t="e">
        <f>'Technical Master Data'!O430+"AM:!2~f"</f>
        <v>#VALUE!</v>
      </c>
      <c r="HS370" t="e">
        <f>'Technical Master Data'!P430+"AM:!2~g"</f>
        <v>#VALUE!</v>
      </c>
      <c r="HT370" t="e">
        <f>'Technical Master Data'!Q430+"AM:!2~h"</f>
        <v>#VALUE!</v>
      </c>
      <c r="HU370" t="e">
        <f>'Technical Master Data'!R430+"AM:!2~i"</f>
        <v>#VALUE!</v>
      </c>
      <c r="HV370" t="e">
        <f>'Technical Master Data'!S430+"AM:!2~j"</f>
        <v>#VALUE!</v>
      </c>
      <c r="HW370" t="e">
        <f>'Technical Master Data'!A431+"AM:!2~k"</f>
        <v>#VALUE!</v>
      </c>
      <c r="HX370" t="e">
        <f>'Technical Master Data'!B431+"AM:!2~l"</f>
        <v>#VALUE!</v>
      </c>
      <c r="HY370" t="e">
        <f>'Technical Master Data'!C431+"AM:!2~m"</f>
        <v>#VALUE!</v>
      </c>
      <c r="HZ370" t="e">
        <f>'Technical Master Data'!D431+"AM:!2~n"</f>
        <v>#VALUE!</v>
      </c>
      <c r="IA370" t="e">
        <f>'Technical Master Data'!E431+"AM:!2~o"</f>
        <v>#VALUE!</v>
      </c>
      <c r="IB370" t="e">
        <f>'Technical Master Data'!F431+"AM:!2~p"</f>
        <v>#VALUE!</v>
      </c>
      <c r="IC370" t="e">
        <f>'Technical Master Data'!G431+"AM:!2~q"</f>
        <v>#VALUE!</v>
      </c>
      <c r="ID370" t="e">
        <f>'Technical Master Data'!H431+"AM:!2~r"</f>
        <v>#VALUE!</v>
      </c>
      <c r="IE370" t="e">
        <f>'Technical Master Data'!I431+"AM:!2~s"</f>
        <v>#VALUE!</v>
      </c>
      <c r="IF370" t="e">
        <f>'Technical Master Data'!J431+"AM:!2~t"</f>
        <v>#VALUE!</v>
      </c>
      <c r="IG370" t="e">
        <f>'Technical Master Data'!K431+"AM:!2~u"</f>
        <v>#VALUE!</v>
      </c>
      <c r="IH370" t="e">
        <f>'Technical Master Data'!L431+"AM:!2~v"</f>
        <v>#VALUE!</v>
      </c>
      <c r="II370" t="e">
        <f>'Technical Master Data'!M431+"AM:!2~w"</f>
        <v>#VALUE!</v>
      </c>
      <c r="IJ370" t="e">
        <f>'Technical Master Data'!N431+"AM:!2~x"</f>
        <v>#VALUE!</v>
      </c>
      <c r="IK370" t="e">
        <f>'Technical Master Data'!O431+"AM:!2~y"</f>
        <v>#VALUE!</v>
      </c>
      <c r="IL370" t="e">
        <f>'Technical Master Data'!P431+"AM:!2~z"</f>
        <v>#VALUE!</v>
      </c>
      <c r="IM370" t="e">
        <f>'Technical Master Data'!Q431+"AM:!2~{"</f>
        <v>#VALUE!</v>
      </c>
      <c r="IN370" t="e">
        <f>'Technical Master Data'!R431+"AM:!2~|"</f>
        <v>#VALUE!</v>
      </c>
      <c r="IO370" t="e">
        <f>'Technical Master Data'!S431+"AM:!2~}"</f>
        <v>#VALUE!</v>
      </c>
      <c r="IP370" t="e">
        <f>'Technical Master Data'!A432+"AM:!2~~"</f>
        <v>#VALUE!</v>
      </c>
      <c r="IQ370" t="e">
        <f>'Technical Master Data'!B432+"AM:!3##"</f>
        <v>#VALUE!</v>
      </c>
      <c r="IR370" t="e">
        <f>'Technical Master Data'!C432+"AM:!3#$"</f>
        <v>#VALUE!</v>
      </c>
      <c r="IS370" t="e">
        <f>'Technical Master Data'!D432+"AM:!3#%"</f>
        <v>#VALUE!</v>
      </c>
      <c r="IT370" t="e">
        <f>'Technical Master Data'!E432+"AM:!3#&amp;"</f>
        <v>#VALUE!</v>
      </c>
      <c r="IU370" t="e">
        <f>'Technical Master Data'!F432+"AM:!3#'"</f>
        <v>#VALUE!</v>
      </c>
      <c r="IV370" t="e">
        <f>'Technical Master Data'!G432+"AM:!3#("</f>
        <v>#VALUE!</v>
      </c>
    </row>
    <row r="371" spans="6:256">
      <c r="F371" t="e">
        <f>'Technical Master Data'!H432+"AM:!3#)"</f>
        <v>#VALUE!</v>
      </c>
      <c r="G371" t="e">
        <f>'Technical Master Data'!I432+"AM:!3#."</f>
        <v>#VALUE!</v>
      </c>
      <c r="H371" t="e">
        <f>'Technical Master Data'!J432+"AM:!3#/"</f>
        <v>#VALUE!</v>
      </c>
      <c r="I371" t="e">
        <f>'Technical Master Data'!K432+"AM:!3#0"</f>
        <v>#VALUE!</v>
      </c>
      <c r="J371" t="e">
        <f>'Technical Master Data'!L432+"AM:!3#1"</f>
        <v>#VALUE!</v>
      </c>
      <c r="K371" t="e">
        <f>'Technical Master Data'!M432+"AM:!3#2"</f>
        <v>#VALUE!</v>
      </c>
      <c r="L371" t="e">
        <f>'Technical Master Data'!N432+"AM:!3#3"</f>
        <v>#VALUE!</v>
      </c>
      <c r="M371" t="e">
        <f>'Technical Master Data'!O432+"AM:!3#4"</f>
        <v>#VALUE!</v>
      </c>
      <c r="N371" t="e">
        <f>'Technical Master Data'!P432+"AM:!3#5"</f>
        <v>#VALUE!</v>
      </c>
      <c r="O371" t="e">
        <f>'Technical Master Data'!Q432+"AM:!3#6"</f>
        <v>#VALUE!</v>
      </c>
      <c r="P371" t="e">
        <f>'Technical Master Data'!R432+"AM:!3#7"</f>
        <v>#VALUE!</v>
      </c>
      <c r="Q371" t="e">
        <f>'Technical Master Data'!S432+"AM:!3#8"</f>
        <v>#VALUE!</v>
      </c>
      <c r="R371" t="e">
        <f>'Technical Master Data'!A433+"AM:!3#9"</f>
        <v>#VALUE!</v>
      </c>
      <c r="S371" t="e">
        <f>'Technical Master Data'!B433+"AM:!3#:"</f>
        <v>#VALUE!</v>
      </c>
      <c r="T371" t="e">
        <f>'Technical Master Data'!C433+"AM:!3#;"</f>
        <v>#VALUE!</v>
      </c>
      <c r="U371" t="e">
        <f>'Technical Master Data'!D433+"AM:!3#&lt;"</f>
        <v>#VALUE!</v>
      </c>
      <c r="V371" t="e">
        <f>'Technical Master Data'!E433+"AM:!3#="</f>
        <v>#VALUE!</v>
      </c>
      <c r="W371" t="e">
        <f>'Technical Master Data'!F433+"AM:!3#&gt;"</f>
        <v>#VALUE!</v>
      </c>
      <c r="X371" t="e">
        <f>'Technical Master Data'!G433+"AM:!3#?"</f>
        <v>#VALUE!</v>
      </c>
      <c r="Y371" t="e">
        <f>'Technical Master Data'!H433+"AM:!3#@"</f>
        <v>#VALUE!</v>
      </c>
      <c r="Z371" t="e">
        <f>'Technical Master Data'!I433+"AM:!3#A"</f>
        <v>#VALUE!</v>
      </c>
      <c r="AA371" t="e">
        <f>'Technical Master Data'!J433+"AM:!3#B"</f>
        <v>#VALUE!</v>
      </c>
      <c r="AB371" t="e">
        <f>'Technical Master Data'!K433+"AM:!3#C"</f>
        <v>#VALUE!</v>
      </c>
      <c r="AC371" t="e">
        <f>'Technical Master Data'!L433+"AM:!3#D"</f>
        <v>#VALUE!</v>
      </c>
      <c r="AD371" t="e">
        <f>'Technical Master Data'!M433+"AM:!3#E"</f>
        <v>#VALUE!</v>
      </c>
      <c r="AE371" t="e">
        <f>'Technical Master Data'!N433+"AM:!3#F"</f>
        <v>#VALUE!</v>
      </c>
      <c r="AF371" t="e">
        <f>'Technical Master Data'!O433+"AM:!3#G"</f>
        <v>#VALUE!</v>
      </c>
      <c r="AG371" t="e">
        <f>'Technical Master Data'!P433+"AM:!3#H"</f>
        <v>#VALUE!</v>
      </c>
      <c r="AH371" t="e">
        <f>'Technical Master Data'!Q433+"AM:!3#I"</f>
        <v>#VALUE!</v>
      </c>
      <c r="AI371" t="e">
        <f>'Technical Master Data'!R433+"AM:!3#J"</f>
        <v>#VALUE!</v>
      </c>
      <c r="AJ371" t="e">
        <f>'Technical Master Data'!S433+"AM:!3#K"</f>
        <v>#VALUE!</v>
      </c>
      <c r="AK371" t="e">
        <f>'Technical Master Data'!A434+"AM:!3#L"</f>
        <v>#VALUE!</v>
      </c>
      <c r="AL371" t="e">
        <f>'Technical Master Data'!B434+"AM:!3#M"</f>
        <v>#VALUE!</v>
      </c>
      <c r="AM371" t="e">
        <f>'Technical Master Data'!C434+"AM:!3#N"</f>
        <v>#VALUE!</v>
      </c>
      <c r="AN371" t="e">
        <f>'Technical Master Data'!D434+"AM:!3#O"</f>
        <v>#VALUE!</v>
      </c>
      <c r="AO371" t="e">
        <f>'Technical Master Data'!E434+"AM:!3#P"</f>
        <v>#VALUE!</v>
      </c>
      <c r="AP371" t="e">
        <f>'Technical Master Data'!F434+"AM:!3#Q"</f>
        <v>#VALUE!</v>
      </c>
      <c r="AQ371" t="e">
        <f>'Technical Master Data'!G434+"AM:!3#R"</f>
        <v>#VALUE!</v>
      </c>
      <c r="AR371" t="e">
        <f>'Technical Master Data'!H434+"AM:!3#S"</f>
        <v>#VALUE!</v>
      </c>
      <c r="AS371" t="e">
        <f>'Technical Master Data'!I434+"AM:!3#T"</f>
        <v>#VALUE!</v>
      </c>
      <c r="AT371" t="e">
        <f>'Technical Master Data'!J434+"AM:!3#U"</f>
        <v>#VALUE!</v>
      </c>
      <c r="AU371" t="e">
        <f>'Technical Master Data'!K434+"AM:!3#V"</f>
        <v>#VALUE!</v>
      </c>
      <c r="AV371" t="e">
        <f>'Technical Master Data'!L434+"AM:!3#W"</f>
        <v>#VALUE!</v>
      </c>
      <c r="AW371" t="e">
        <f>'Technical Master Data'!M434+"AM:!3#X"</f>
        <v>#VALUE!</v>
      </c>
      <c r="AX371" t="e">
        <f>'Technical Master Data'!N434+"AM:!3#Y"</f>
        <v>#VALUE!</v>
      </c>
      <c r="AY371" t="e">
        <f>'Technical Master Data'!O434+"AM:!3#Z"</f>
        <v>#VALUE!</v>
      </c>
      <c r="AZ371" t="e">
        <f>'Technical Master Data'!P434+"AM:!3#["</f>
        <v>#VALUE!</v>
      </c>
      <c r="BA371" t="e">
        <f>'Technical Master Data'!Q434+"AM:!3#\"</f>
        <v>#VALUE!</v>
      </c>
      <c r="BB371" t="e">
        <f>'Technical Master Data'!R434+"AM:!3#]"</f>
        <v>#VALUE!</v>
      </c>
      <c r="BC371" t="e">
        <f>'Technical Master Data'!S434+"AM:!3#^"</f>
        <v>#VALUE!</v>
      </c>
      <c r="BD371" t="e">
        <f>'Technical Master Data'!A435+"AM:!3#_"</f>
        <v>#VALUE!</v>
      </c>
      <c r="BE371" t="e">
        <f>'Technical Master Data'!B435+"AM:!3#`"</f>
        <v>#VALUE!</v>
      </c>
      <c r="BF371" t="e">
        <f>'Technical Master Data'!C435+"AM:!3#a"</f>
        <v>#VALUE!</v>
      </c>
      <c r="BG371" t="e">
        <f>'Technical Master Data'!D435+"AM:!3#b"</f>
        <v>#VALUE!</v>
      </c>
      <c r="BH371" t="e">
        <f>'Technical Master Data'!E435+"AM:!3#c"</f>
        <v>#VALUE!</v>
      </c>
      <c r="BI371" t="e">
        <f>'Technical Master Data'!F435+"AM:!3#d"</f>
        <v>#VALUE!</v>
      </c>
      <c r="BJ371" t="e">
        <f>'Technical Master Data'!G435+"AM:!3#e"</f>
        <v>#VALUE!</v>
      </c>
      <c r="BK371" t="e">
        <f>'Technical Master Data'!H435+"AM:!3#f"</f>
        <v>#VALUE!</v>
      </c>
      <c r="BL371" t="e">
        <f>'Technical Master Data'!I435+"AM:!3#g"</f>
        <v>#VALUE!</v>
      </c>
      <c r="BM371" t="e">
        <f>'Technical Master Data'!J435+"AM:!3#h"</f>
        <v>#VALUE!</v>
      </c>
      <c r="BN371" t="e">
        <f>'Technical Master Data'!K435+"AM:!3#i"</f>
        <v>#VALUE!</v>
      </c>
      <c r="BO371" t="e">
        <f>'Technical Master Data'!L435+"AM:!3#j"</f>
        <v>#VALUE!</v>
      </c>
      <c r="BP371" t="e">
        <f>'Technical Master Data'!M435+"AM:!3#k"</f>
        <v>#VALUE!</v>
      </c>
      <c r="BQ371" t="e">
        <f>'Technical Master Data'!N435+"AM:!3#l"</f>
        <v>#VALUE!</v>
      </c>
      <c r="BR371" t="e">
        <f>'Technical Master Data'!O435+"AM:!3#m"</f>
        <v>#VALUE!</v>
      </c>
      <c r="BS371" t="e">
        <f>'Technical Master Data'!P435+"AM:!3#n"</f>
        <v>#VALUE!</v>
      </c>
      <c r="BT371" t="e">
        <f>'Technical Master Data'!Q435+"AM:!3#o"</f>
        <v>#VALUE!</v>
      </c>
      <c r="BU371" t="e">
        <f>'Technical Master Data'!R435+"AM:!3#p"</f>
        <v>#VALUE!</v>
      </c>
      <c r="BV371" t="e">
        <f>'Technical Master Data'!S435+"AM:!3#q"</f>
        <v>#VALUE!</v>
      </c>
      <c r="BW371" t="e">
        <f>'Technical Master Data'!A436+"AM:!3#r"</f>
        <v>#VALUE!</v>
      </c>
      <c r="BX371" t="e">
        <f>'Technical Master Data'!B436+"AM:!3#s"</f>
        <v>#VALUE!</v>
      </c>
      <c r="BY371" t="e">
        <f>'Technical Master Data'!C436+"AM:!3#t"</f>
        <v>#VALUE!</v>
      </c>
      <c r="BZ371" t="e">
        <f>'Technical Master Data'!D436+"AM:!3#u"</f>
        <v>#VALUE!</v>
      </c>
      <c r="CA371" t="e">
        <f>'Technical Master Data'!E436+"AM:!3#v"</f>
        <v>#VALUE!</v>
      </c>
      <c r="CB371" t="e">
        <f>'Technical Master Data'!F436+"AM:!3#w"</f>
        <v>#VALUE!</v>
      </c>
      <c r="CC371" t="e">
        <f>'Technical Master Data'!G436+"AM:!3#x"</f>
        <v>#VALUE!</v>
      </c>
      <c r="CD371" t="e">
        <f>'Technical Master Data'!H436+"AM:!3#y"</f>
        <v>#VALUE!</v>
      </c>
      <c r="CE371" t="e">
        <f>'Technical Master Data'!I436+"AM:!3#z"</f>
        <v>#VALUE!</v>
      </c>
      <c r="CF371" t="e">
        <f>'Technical Master Data'!J436+"AM:!3#{"</f>
        <v>#VALUE!</v>
      </c>
      <c r="CG371" t="e">
        <f>'Technical Master Data'!K436+"AM:!3#|"</f>
        <v>#VALUE!</v>
      </c>
      <c r="CH371" t="e">
        <f>'Technical Master Data'!L436+"AM:!3#}"</f>
        <v>#VALUE!</v>
      </c>
      <c r="CI371" t="e">
        <f>'Technical Master Data'!M436+"AM:!3#~"</f>
        <v>#VALUE!</v>
      </c>
      <c r="CJ371" t="e">
        <f>'Technical Master Data'!N436+"AM:!3$#"</f>
        <v>#VALUE!</v>
      </c>
      <c r="CK371" t="e">
        <f>'Technical Master Data'!O436+"AM:!3$$"</f>
        <v>#VALUE!</v>
      </c>
      <c r="CL371" t="e">
        <f>'Technical Master Data'!P436+"AM:!3$%"</f>
        <v>#VALUE!</v>
      </c>
      <c r="CM371" t="e">
        <f>'Technical Master Data'!Q436+"AM:!3$&amp;"</f>
        <v>#VALUE!</v>
      </c>
      <c r="CN371" t="e">
        <f>'Technical Master Data'!R436+"AM:!3$'"</f>
        <v>#VALUE!</v>
      </c>
      <c r="CO371" t="e">
        <f>'Technical Master Data'!S436+"AM:!3$("</f>
        <v>#VALUE!</v>
      </c>
      <c r="CP371" t="e">
        <f>'Technical Master Data'!A437+"AM:!3$)"</f>
        <v>#VALUE!</v>
      </c>
      <c r="CQ371" t="e">
        <f>'Technical Master Data'!B437+"AM:!3$."</f>
        <v>#VALUE!</v>
      </c>
      <c r="CR371" t="e">
        <f>'Technical Master Data'!C437+"AM:!3$/"</f>
        <v>#VALUE!</v>
      </c>
      <c r="CS371" t="e">
        <f>'Technical Master Data'!D437+"AM:!3$0"</f>
        <v>#VALUE!</v>
      </c>
      <c r="CT371" t="e">
        <f>'Technical Master Data'!E437+"AM:!3$1"</f>
        <v>#VALUE!</v>
      </c>
      <c r="CU371" t="e">
        <f>'Technical Master Data'!F437+"AM:!3$2"</f>
        <v>#VALUE!</v>
      </c>
      <c r="CV371" t="e">
        <f>'Technical Master Data'!G437+"AM:!3$3"</f>
        <v>#VALUE!</v>
      </c>
      <c r="CW371" t="e">
        <f>'Technical Master Data'!H437+"AM:!3$4"</f>
        <v>#VALUE!</v>
      </c>
      <c r="CX371" t="e">
        <f>'Technical Master Data'!I437+"AM:!3$5"</f>
        <v>#VALUE!</v>
      </c>
      <c r="CY371" t="e">
        <f>'Technical Master Data'!J437+"AM:!3$6"</f>
        <v>#VALUE!</v>
      </c>
      <c r="CZ371" t="e">
        <f>'Technical Master Data'!K437+"AM:!3$7"</f>
        <v>#VALUE!</v>
      </c>
      <c r="DA371" t="e">
        <f>'Technical Master Data'!L437+"AM:!3$8"</f>
        <v>#VALUE!</v>
      </c>
      <c r="DB371" t="e">
        <f>'Technical Master Data'!M437+"AM:!3$9"</f>
        <v>#VALUE!</v>
      </c>
      <c r="DC371" t="e">
        <f>'Technical Master Data'!N437+"AM:!3$:"</f>
        <v>#VALUE!</v>
      </c>
      <c r="DD371" t="e">
        <f>'Technical Master Data'!O437+"AM:!3$;"</f>
        <v>#VALUE!</v>
      </c>
      <c r="DE371" t="e">
        <f>'Technical Master Data'!P437+"AM:!3$&lt;"</f>
        <v>#VALUE!</v>
      </c>
      <c r="DF371" t="e">
        <f>'Technical Master Data'!Q437+"AM:!3$="</f>
        <v>#VALUE!</v>
      </c>
      <c r="DG371" t="e">
        <f>'Technical Master Data'!R437+"AM:!3$&gt;"</f>
        <v>#VALUE!</v>
      </c>
      <c r="DH371" t="e">
        <f>'Technical Master Data'!S437+"AM:!3$?"</f>
        <v>#VALUE!</v>
      </c>
      <c r="DI371" t="e">
        <f>'Technical Master Data'!A438+"AM:!3$@"</f>
        <v>#VALUE!</v>
      </c>
      <c r="DJ371" t="e">
        <f>'Technical Master Data'!B438+"AM:!3$A"</f>
        <v>#VALUE!</v>
      </c>
      <c r="DK371" t="e">
        <f>'Technical Master Data'!C438+"AM:!3$B"</f>
        <v>#VALUE!</v>
      </c>
      <c r="DL371" t="e">
        <f>'Technical Master Data'!D438+"AM:!3$C"</f>
        <v>#VALUE!</v>
      </c>
      <c r="DM371" t="e">
        <f>'Technical Master Data'!E438+"AM:!3$D"</f>
        <v>#VALUE!</v>
      </c>
      <c r="DN371" t="e">
        <f>'Technical Master Data'!F438+"AM:!3$E"</f>
        <v>#VALUE!</v>
      </c>
      <c r="DO371" t="e">
        <f>'Technical Master Data'!G438+"AM:!3$F"</f>
        <v>#VALUE!</v>
      </c>
      <c r="DP371" t="e">
        <f>'Technical Master Data'!H438+"AM:!3$G"</f>
        <v>#VALUE!</v>
      </c>
      <c r="DQ371" t="e">
        <f>'Technical Master Data'!I438+"AM:!3$H"</f>
        <v>#VALUE!</v>
      </c>
      <c r="DR371" t="e">
        <f>'Technical Master Data'!J438+"AM:!3$I"</f>
        <v>#VALUE!</v>
      </c>
      <c r="DS371" t="e">
        <f>'Technical Master Data'!K438+"AM:!3$J"</f>
        <v>#VALUE!</v>
      </c>
      <c r="DT371" t="e">
        <f>'Technical Master Data'!L438+"AM:!3$K"</f>
        <v>#VALUE!</v>
      </c>
      <c r="DU371" t="e">
        <f>'Technical Master Data'!M438+"AM:!3$L"</f>
        <v>#VALUE!</v>
      </c>
      <c r="DV371" t="e">
        <f>'Technical Master Data'!N438+"AM:!3$M"</f>
        <v>#VALUE!</v>
      </c>
      <c r="DW371" t="e">
        <f>'Technical Master Data'!O438+"AM:!3$N"</f>
        <v>#VALUE!</v>
      </c>
      <c r="DX371" t="e">
        <f>'Technical Master Data'!P438+"AM:!3$O"</f>
        <v>#VALUE!</v>
      </c>
      <c r="DY371" t="e">
        <f>'Technical Master Data'!Q438+"AM:!3$P"</f>
        <v>#VALUE!</v>
      </c>
      <c r="DZ371" t="e">
        <f>'Technical Master Data'!R438+"AM:!3$Q"</f>
        <v>#VALUE!</v>
      </c>
      <c r="EA371" t="e">
        <f>'Technical Master Data'!S438+"AM:!3$R"</f>
        <v>#VALUE!</v>
      </c>
      <c r="EB371" t="e">
        <f>'Technical Master Data'!A439+"AM:!3$S"</f>
        <v>#VALUE!</v>
      </c>
      <c r="EC371" t="e">
        <f>'Technical Master Data'!B439+"AM:!3$T"</f>
        <v>#VALUE!</v>
      </c>
      <c r="ED371" t="e">
        <f>'Technical Master Data'!C439+"AM:!3$U"</f>
        <v>#VALUE!</v>
      </c>
      <c r="EE371" t="e">
        <f>'Technical Master Data'!D439+"AM:!3$V"</f>
        <v>#VALUE!</v>
      </c>
      <c r="EF371" t="e">
        <f>'Technical Master Data'!E439+"AM:!3$W"</f>
        <v>#VALUE!</v>
      </c>
      <c r="EG371" t="e">
        <f>'Technical Master Data'!F439+"AM:!3$X"</f>
        <v>#VALUE!</v>
      </c>
      <c r="EH371" t="e">
        <f>'Technical Master Data'!G439+"AM:!3$Y"</f>
        <v>#VALUE!</v>
      </c>
      <c r="EI371" t="e">
        <f>'Technical Master Data'!H439+"AM:!3$Z"</f>
        <v>#VALUE!</v>
      </c>
      <c r="EJ371" t="e">
        <f>'Technical Master Data'!I439+"AM:!3$["</f>
        <v>#VALUE!</v>
      </c>
      <c r="EK371" t="e">
        <f>'Technical Master Data'!J439+"AM:!3$\"</f>
        <v>#VALUE!</v>
      </c>
      <c r="EL371" t="e">
        <f>'Technical Master Data'!K439+"AM:!3$]"</f>
        <v>#VALUE!</v>
      </c>
      <c r="EM371" t="e">
        <f>'Technical Master Data'!L439+"AM:!3$^"</f>
        <v>#VALUE!</v>
      </c>
      <c r="EN371" t="e">
        <f>'Technical Master Data'!M439+"AM:!3$_"</f>
        <v>#VALUE!</v>
      </c>
      <c r="EO371" t="e">
        <f>'Technical Master Data'!N439+"AM:!3$`"</f>
        <v>#VALUE!</v>
      </c>
      <c r="EP371" t="e">
        <f>'Technical Master Data'!O439+"AM:!3$a"</f>
        <v>#VALUE!</v>
      </c>
      <c r="EQ371" t="e">
        <f>'Technical Master Data'!P439+"AM:!3$b"</f>
        <v>#VALUE!</v>
      </c>
      <c r="ER371" t="e">
        <f>'Technical Master Data'!Q439+"AM:!3$c"</f>
        <v>#VALUE!</v>
      </c>
      <c r="ES371" t="e">
        <f>'Technical Master Data'!R439+"AM:!3$d"</f>
        <v>#VALUE!</v>
      </c>
      <c r="ET371" t="e">
        <f>'Technical Master Data'!S439+"AM:!3$e"</f>
        <v>#VALUE!</v>
      </c>
      <c r="EU371" t="e">
        <f>'Technical Master Data'!A440+"AM:!3$f"</f>
        <v>#VALUE!</v>
      </c>
      <c r="EV371" t="e">
        <f>'Technical Master Data'!B440+"AM:!3$g"</f>
        <v>#VALUE!</v>
      </c>
      <c r="EW371" t="e">
        <f>'Technical Master Data'!C440+"AM:!3$h"</f>
        <v>#VALUE!</v>
      </c>
      <c r="EX371" t="e">
        <f>'Technical Master Data'!D440+"AM:!3$i"</f>
        <v>#VALUE!</v>
      </c>
      <c r="EY371" t="e">
        <f>'Technical Master Data'!E440+"AM:!3$j"</f>
        <v>#VALUE!</v>
      </c>
      <c r="EZ371" t="e">
        <f>'Technical Master Data'!F440+"AM:!3$k"</f>
        <v>#VALUE!</v>
      </c>
      <c r="FA371" t="e">
        <f>'Technical Master Data'!G440+"AM:!3$l"</f>
        <v>#VALUE!</v>
      </c>
      <c r="FB371" t="e">
        <f>'Technical Master Data'!H440+"AM:!3$m"</f>
        <v>#VALUE!</v>
      </c>
      <c r="FC371" t="e">
        <f>'Technical Master Data'!I440+"AM:!3$n"</f>
        <v>#VALUE!</v>
      </c>
      <c r="FD371" t="e">
        <f>'Technical Master Data'!J440+"AM:!3$o"</f>
        <v>#VALUE!</v>
      </c>
      <c r="FE371" t="e">
        <f>'Technical Master Data'!K440+"AM:!3$p"</f>
        <v>#VALUE!</v>
      </c>
      <c r="FF371" t="e">
        <f>'Technical Master Data'!L440+"AM:!3$q"</f>
        <v>#VALUE!</v>
      </c>
      <c r="FG371" t="e">
        <f>'Technical Master Data'!M440+"AM:!3$r"</f>
        <v>#VALUE!</v>
      </c>
      <c r="FH371" t="e">
        <f>'Technical Master Data'!N440+"AM:!3$s"</f>
        <v>#VALUE!</v>
      </c>
      <c r="FI371" t="e">
        <f>'Technical Master Data'!O440+"AM:!3$t"</f>
        <v>#VALUE!</v>
      </c>
      <c r="FJ371" t="e">
        <f>'Technical Master Data'!P440+"AM:!3$u"</f>
        <v>#VALUE!</v>
      </c>
      <c r="FK371" t="e">
        <f>'Technical Master Data'!Q440+"AM:!3$v"</f>
        <v>#VALUE!</v>
      </c>
      <c r="FL371" t="e">
        <f>'Technical Master Data'!R440+"AM:!3$w"</f>
        <v>#VALUE!</v>
      </c>
      <c r="FM371" t="e">
        <f>'Technical Master Data'!S440+"AM:!3$x"</f>
        <v>#VALUE!</v>
      </c>
      <c r="FN371" t="e">
        <f>'Technical Master Data'!A441+"AM:!3$y"</f>
        <v>#VALUE!</v>
      </c>
      <c r="FO371" t="e">
        <f>'Technical Master Data'!B441+"AM:!3$z"</f>
        <v>#VALUE!</v>
      </c>
      <c r="FP371" t="e">
        <f>'Technical Master Data'!C441+"AM:!3${"</f>
        <v>#VALUE!</v>
      </c>
      <c r="FQ371" t="e">
        <f>'Technical Master Data'!D441+"AM:!3$|"</f>
        <v>#VALUE!</v>
      </c>
      <c r="FR371" t="e">
        <f>'Technical Master Data'!E441+"AM:!3$}"</f>
        <v>#VALUE!</v>
      </c>
      <c r="FS371" t="e">
        <f>'Technical Master Data'!F441+"AM:!3$~"</f>
        <v>#VALUE!</v>
      </c>
      <c r="FT371" t="e">
        <f>'Technical Master Data'!G441+"AM:!3%#"</f>
        <v>#VALUE!</v>
      </c>
      <c r="FU371" t="e">
        <f>'Technical Master Data'!H441+"AM:!3%$"</f>
        <v>#VALUE!</v>
      </c>
      <c r="FV371" t="e">
        <f>'Technical Master Data'!I441+"AM:!3%%"</f>
        <v>#VALUE!</v>
      </c>
      <c r="FW371" t="e">
        <f>'Technical Master Data'!J441+"AM:!3%&amp;"</f>
        <v>#VALUE!</v>
      </c>
      <c r="FX371" t="e">
        <f>'Technical Master Data'!K441+"AM:!3%'"</f>
        <v>#VALUE!</v>
      </c>
      <c r="FY371" t="e">
        <f>'Technical Master Data'!L441+"AM:!3%("</f>
        <v>#VALUE!</v>
      </c>
      <c r="FZ371" t="e">
        <f>'Technical Master Data'!M441+"AM:!3%)"</f>
        <v>#VALUE!</v>
      </c>
      <c r="GA371" t="e">
        <f>'Technical Master Data'!N441+"AM:!3%."</f>
        <v>#VALUE!</v>
      </c>
      <c r="GB371" t="e">
        <f>'Technical Master Data'!O441+"AM:!3%/"</f>
        <v>#VALUE!</v>
      </c>
      <c r="GC371" t="e">
        <f>'Technical Master Data'!P441+"AM:!3%0"</f>
        <v>#VALUE!</v>
      </c>
      <c r="GD371" t="e">
        <f>'Technical Master Data'!Q441+"AM:!3%1"</f>
        <v>#VALUE!</v>
      </c>
      <c r="GE371" t="e">
        <f>'Technical Master Data'!R441+"AM:!3%2"</f>
        <v>#VALUE!</v>
      </c>
      <c r="GF371" t="e">
        <f>'Technical Master Data'!S441+"AM:!3%3"</f>
        <v>#VALUE!</v>
      </c>
      <c r="GG371" t="e">
        <f>'Technical Master Data'!A442+"AM:!3%4"</f>
        <v>#VALUE!</v>
      </c>
      <c r="GH371" t="e">
        <f>'Technical Master Data'!B442+"AM:!3%5"</f>
        <v>#VALUE!</v>
      </c>
      <c r="GI371" t="e">
        <f>'Technical Master Data'!C442+"AM:!3%6"</f>
        <v>#VALUE!</v>
      </c>
      <c r="GJ371" t="e">
        <f>'Technical Master Data'!D442+"AM:!3%7"</f>
        <v>#VALUE!</v>
      </c>
      <c r="GK371" t="e">
        <f>'Technical Master Data'!E442+"AM:!3%8"</f>
        <v>#VALUE!</v>
      </c>
      <c r="GL371" t="e">
        <f>'Technical Master Data'!F442+"AM:!3%9"</f>
        <v>#VALUE!</v>
      </c>
      <c r="GM371" t="e">
        <f>'Technical Master Data'!G442+"AM:!3%:"</f>
        <v>#VALUE!</v>
      </c>
      <c r="GN371" t="e">
        <f>'Technical Master Data'!H442+"AM:!3%;"</f>
        <v>#VALUE!</v>
      </c>
      <c r="GO371" t="e">
        <f>'Technical Master Data'!I442+"AM:!3%&lt;"</f>
        <v>#VALUE!</v>
      </c>
      <c r="GP371" t="e">
        <f>'Technical Master Data'!J442+"AM:!3%="</f>
        <v>#VALUE!</v>
      </c>
      <c r="GQ371" t="e">
        <f>'Technical Master Data'!K442+"AM:!3%&gt;"</f>
        <v>#VALUE!</v>
      </c>
      <c r="GR371" t="e">
        <f>'Technical Master Data'!L442+"AM:!3%?"</f>
        <v>#VALUE!</v>
      </c>
      <c r="GS371" t="e">
        <f>'Technical Master Data'!M442+"AM:!3%@"</f>
        <v>#VALUE!</v>
      </c>
      <c r="GT371" t="e">
        <f>'Technical Master Data'!N442+"AM:!3%A"</f>
        <v>#VALUE!</v>
      </c>
      <c r="GU371" t="e">
        <f>'Technical Master Data'!O442+"AM:!3%B"</f>
        <v>#VALUE!</v>
      </c>
      <c r="GV371" t="e">
        <f>'Technical Master Data'!P442+"AM:!3%C"</f>
        <v>#VALUE!</v>
      </c>
      <c r="GW371" t="e">
        <f>'Technical Master Data'!Q442+"AM:!3%D"</f>
        <v>#VALUE!</v>
      </c>
      <c r="GX371" t="e">
        <f>'Technical Master Data'!R442+"AM:!3%E"</f>
        <v>#VALUE!</v>
      </c>
      <c r="GY371" t="e">
        <f>'Technical Master Data'!S442+"AM:!3%F"</f>
        <v>#VALUE!</v>
      </c>
      <c r="GZ371" t="e">
        <f>'Technical Master Data'!A443+"AM:!3%G"</f>
        <v>#VALUE!</v>
      </c>
      <c r="HA371" t="e">
        <f>'Technical Master Data'!B443+"AM:!3%H"</f>
        <v>#VALUE!</v>
      </c>
      <c r="HB371" t="e">
        <f>'Technical Master Data'!C443+"AM:!3%I"</f>
        <v>#VALUE!</v>
      </c>
      <c r="HC371" t="e">
        <f>'Technical Master Data'!D443+"AM:!3%J"</f>
        <v>#VALUE!</v>
      </c>
      <c r="HD371" t="e">
        <f>'Technical Master Data'!E443+"AM:!3%K"</f>
        <v>#VALUE!</v>
      </c>
      <c r="HE371" t="e">
        <f>'Technical Master Data'!F443+"AM:!3%L"</f>
        <v>#VALUE!</v>
      </c>
      <c r="HF371" t="e">
        <f>'Technical Master Data'!G443+"AM:!3%M"</f>
        <v>#VALUE!</v>
      </c>
      <c r="HG371" t="e">
        <f>'Technical Master Data'!H443+"AM:!3%N"</f>
        <v>#VALUE!</v>
      </c>
      <c r="HH371" t="e">
        <f>'Technical Master Data'!I443+"AM:!3%O"</f>
        <v>#VALUE!</v>
      </c>
      <c r="HI371" t="e">
        <f>'Technical Master Data'!J443+"AM:!3%P"</f>
        <v>#VALUE!</v>
      </c>
      <c r="HJ371" t="e">
        <f>'Technical Master Data'!K443+"AM:!3%Q"</f>
        <v>#VALUE!</v>
      </c>
      <c r="HK371" t="e">
        <f>'Technical Master Data'!L443+"AM:!3%R"</f>
        <v>#VALUE!</v>
      </c>
      <c r="HL371" t="e">
        <f>'Technical Master Data'!M443+"AM:!3%S"</f>
        <v>#VALUE!</v>
      </c>
      <c r="HM371" t="e">
        <f>'Technical Master Data'!N443+"AM:!3%T"</f>
        <v>#VALUE!</v>
      </c>
      <c r="HN371" t="e">
        <f>'Technical Master Data'!O443+"AM:!3%U"</f>
        <v>#VALUE!</v>
      </c>
      <c r="HO371" t="e">
        <f>'Technical Master Data'!P443+"AM:!3%V"</f>
        <v>#VALUE!</v>
      </c>
      <c r="HP371" t="e">
        <f>'Technical Master Data'!Q443+"AM:!3%W"</f>
        <v>#VALUE!</v>
      </c>
      <c r="HQ371" t="e">
        <f>'Technical Master Data'!R443+"AM:!3%X"</f>
        <v>#VALUE!</v>
      </c>
      <c r="HR371" t="e">
        <f>'Technical Master Data'!S443+"AM:!3%Y"</f>
        <v>#VALUE!</v>
      </c>
      <c r="HS371" t="e">
        <f>'Technical Master Data'!A444+"AM:!3%Z"</f>
        <v>#VALUE!</v>
      </c>
      <c r="HT371" t="e">
        <f>'Technical Master Data'!B444+"AM:!3%["</f>
        <v>#VALUE!</v>
      </c>
      <c r="HU371" t="e">
        <f>'Technical Master Data'!C444+"AM:!3%\"</f>
        <v>#VALUE!</v>
      </c>
      <c r="HV371" t="e">
        <f>'Technical Master Data'!D444+"AM:!3%]"</f>
        <v>#VALUE!</v>
      </c>
      <c r="HW371" t="e">
        <f>'Technical Master Data'!E444+"AM:!3%^"</f>
        <v>#VALUE!</v>
      </c>
      <c r="HX371" t="e">
        <f>'Technical Master Data'!F444+"AM:!3%_"</f>
        <v>#VALUE!</v>
      </c>
      <c r="HY371" t="e">
        <f>'Technical Master Data'!G444+"AM:!3%`"</f>
        <v>#VALUE!</v>
      </c>
      <c r="HZ371" t="e">
        <f>'Technical Master Data'!H444+"AM:!3%a"</f>
        <v>#VALUE!</v>
      </c>
      <c r="IA371" t="e">
        <f>'Technical Master Data'!I444+"AM:!3%b"</f>
        <v>#VALUE!</v>
      </c>
      <c r="IB371" t="e">
        <f>'Technical Master Data'!J444+"AM:!3%c"</f>
        <v>#VALUE!</v>
      </c>
      <c r="IC371" t="e">
        <f>'Technical Master Data'!K444+"AM:!3%d"</f>
        <v>#VALUE!</v>
      </c>
      <c r="ID371" t="e">
        <f>'Technical Master Data'!L444+"AM:!3%e"</f>
        <v>#VALUE!</v>
      </c>
      <c r="IE371" t="e">
        <f>'Technical Master Data'!M444+"AM:!3%f"</f>
        <v>#VALUE!</v>
      </c>
      <c r="IF371" t="e">
        <f>'Technical Master Data'!N444+"AM:!3%g"</f>
        <v>#VALUE!</v>
      </c>
      <c r="IG371" t="e">
        <f>'Technical Master Data'!O444+"AM:!3%h"</f>
        <v>#VALUE!</v>
      </c>
      <c r="IH371" t="e">
        <f>'Technical Master Data'!P444+"AM:!3%i"</f>
        <v>#VALUE!</v>
      </c>
      <c r="II371" t="e">
        <f>'Technical Master Data'!Q444+"AM:!3%j"</f>
        <v>#VALUE!</v>
      </c>
      <c r="IJ371" t="e">
        <f>'Technical Master Data'!R444+"AM:!3%k"</f>
        <v>#VALUE!</v>
      </c>
      <c r="IK371" t="e">
        <f>'Technical Master Data'!S444+"AM:!3%l"</f>
        <v>#VALUE!</v>
      </c>
      <c r="IL371" t="e">
        <f>'Technical Master Data'!A445+"AM:!3%m"</f>
        <v>#VALUE!</v>
      </c>
      <c r="IM371" t="e">
        <f>'Technical Master Data'!B445+"AM:!3%n"</f>
        <v>#VALUE!</v>
      </c>
      <c r="IN371" t="e">
        <f>'Technical Master Data'!C445+"AM:!3%o"</f>
        <v>#VALUE!</v>
      </c>
      <c r="IO371" t="e">
        <f>'Technical Master Data'!D445+"AM:!3%p"</f>
        <v>#VALUE!</v>
      </c>
      <c r="IP371" t="e">
        <f>'Technical Master Data'!E445+"AM:!3%q"</f>
        <v>#VALUE!</v>
      </c>
      <c r="IQ371" t="e">
        <f>'Technical Master Data'!F445+"AM:!3%r"</f>
        <v>#VALUE!</v>
      </c>
      <c r="IR371" t="e">
        <f>'Technical Master Data'!G445+"AM:!3%s"</f>
        <v>#VALUE!</v>
      </c>
      <c r="IS371" t="e">
        <f>'Technical Master Data'!H445+"AM:!3%t"</f>
        <v>#VALUE!</v>
      </c>
      <c r="IT371" t="e">
        <f>'Technical Master Data'!I445+"AM:!3%u"</f>
        <v>#VALUE!</v>
      </c>
      <c r="IU371" t="e">
        <f>'Technical Master Data'!J445+"AM:!3%v"</f>
        <v>#VALUE!</v>
      </c>
      <c r="IV371" t="e">
        <f>'Technical Master Data'!K445+"AM:!3%w"</f>
        <v>#VALUE!</v>
      </c>
    </row>
    <row r="372" spans="6:256">
      <c r="F372" t="e">
        <f>'Technical Master Data'!L445+"AM:!3%x"</f>
        <v>#VALUE!</v>
      </c>
      <c r="G372" t="e">
        <f>'Technical Master Data'!M445+"AM:!3%y"</f>
        <v>#VALUE!</v>
      </c>
      <c r="H372" t="e">
        <f>'Technical Master Data'!N445+"AM:!3%z"</f>
        <v>#VALUE!</v>
      </c>
      <c r="I372" t="e">
        <f>'Technical Master Data'!O445+"AM:!3%{"</f>
        <v>#VALUE!</v>
      </c>
      <c r="J372" t="e">
        <f>'Technical Master Data'!P445+"AM:!3%|"</f>
        <v>#VALUE!</v>
      </c>
      <c r="K372" t="e">
        <f>'Technical Master Data'!Q445+"AM:!3%}"</f>
        <v>#VALUE!</v>
      </c>
      <c r="L372" t="e">
        <f>'Technical Master Data'!R445+"AM:!3%~"</f>
        <v>#VALUE!</v>
      </c>
      <c r="M372" t="e">
        <f>'Technical Master Data'!S445+"AM:!3&amp;#"</f>
        <v>#VALUE!</v>
      </c>
      <c r="N372" t="e">
        <f>'Technical Master Data'!A446+"AM:!3&amp;$"</f>
        <v>#VALUE!</v>
      </c>
      <c r="O372" t="e">
        <f>'Technical Master Data'!B446+"AM:!3&amp;%"</f>
        <v>#VALUE!</v>
      </c>
      <c r="P372" t="e">
        <f>'Technical Master Data'!C446+"AM:!3&amp;&amp;"</f>
        <v>#VALUE!</v>
      </c>
      <c r="Q372" t="e">
        <f>'Technical Master Data'!D446+"AM:!3&amp;'"</f>
        <v>#VALUE!</v>
      </c>
      <c r="R372" t="e">
        <f>'Technical Master Data'!E446+"AM:!3&amp;("</f>
        <v>#VALUE!</v>
      </c>
      <c r="S372" t="e">
        <f>'Technical Master Data'!F446+"AM:!3&amp;)"</f>
        <v>#VALUE!</v>
      </c>
      <c r="T372" t="e">
        <f>'Technical Master Data'!G446+"AM:!3&amp;."</f>
        <v>#VALUE!</v>
      </c>
      <c r="U372" t="e">
        <f>'Technical Master Data'!H446+"AM:!3&amp;/"</f>
        <v>#VALUE!</v>
      </c>
      <c r="V372" t="e">
        <f>'Technical Master Data'!I446+"AM:!3&amp;0"</f>
        <v>#VALUE!</v>
      </c>
      <c r="W372" t="e">
        <f>'Technical Master Data'!J446+"AM:!3&amp;1"</f>
        <v>#VALUE!</v>
      </c>
      <c r="X372" t="e">
        <f>'Technical Master Data'!K446+"AM:!3&amp;2"</f>
        <v>#VALUE!</v>
      </c>
      <c r="Y372" t="e">
        <f>'Technical Master Data'!L446+"AM:!3&amp;3"</f>
        <v>#VALUE!</v>
      </c>
      <c r="Z372" t="e">
        <f>'Technical Master Data'!M446+"AM:!3&amp;4"</f>
        <v>#VALUE!</v>
      </c>
      <c r="AA372" t="e">
        <f>'Technical Master Data'!N446+"AM:!3&amp;5"</f>
        <v>#VALUE!</v>
      </c>
      <c r="AB372" t="e">
        <f>'Technical Master Data'!O446+"AM:!3&amp;6"</f>
        <v>#VALUE!</v>
      </c>
      <c r="AC372" t="e">
        <f>'Technical Master Data'!P446+"AM:!3&amp;7"</f>
        <v>#VALUE!</v>
      </c>
      <c r="AD372" t="e">
        <f>'Technical Master Data'!Q446+"AM:!3&amp;8"</f>
        <v>#VALUE!</v>
      </c>
      <c r="AE372" t="e">
        <f>'Technical Master Data'!R446+"AM:!3&amp;9"</f>
        <v>#VALUE!</v>
      </c>
      <c r="AF372" t="e">
        <f>'Technical Master Data'!S446+"AM:!3&amp;:"</f>
        <v>#VALUE!</v>
      </c>
      <c r="AG372" t="e">
        <f>'Technical Master Data'!A447+"AM:!3&amp;;"</f>
        <v>#VALUE!</v>
      </c>
      <c r="AH372" t="e">
        <f>'Technical Master Data'!B447+"AM:!3&amp;&lt;"</f>
        <v>#VALUE!</v>
      </c>
      <c r="AI372" t="e">
        <f>'Technical Master Data'!C447+"AM:!3&amp;="</f>
        <v>#VALUE!</v>
      </c>
      <c r="AJ372" t="e">
        <f>'Technical Master Data'!D447+"AM:!3&amp;&gt;"</f>
        <v>#VALUE!</v>
      </c>
      <c r="AK372" t="e">
        <f>'Technical Master Data'!E447+"AM:!3&amp;?"</f>
        <v>#VALUE!</v>
      </c>
      <c r="AL372" t="e">
        <f>'Technical Master Data'!F447+"AM:!3&amp;@"</f>
        <v>#VALUE!</v>
      </c>
      <c r="AM372" t="e">
        <f>'Technical Master Data'!G447+"AM:!3&amp;A"</f>
        <v>#VALUE!</v>
      </c>
      <c r="AN372" t="e">
        <f>'Technical Master Data'!H447+"AM:!3&amp;B"</f>
        <v>#VALUE!</v>
      </c>
      <c r="AO372" t="e">
        <f>'Technical Master Data'!I447+"AM:!3&amp;C"</f>
        <v>#VALUE!</v>
      </c>
      <c r="AP372" t="e">
        <f>'Technical Master Data'!J447+"AM:!3&amp;D"</f>
        <v>#VALUE!</v>
      </c>
      <c r="AQ372" t="e">
        <f>'Technical Master Data'!K447+"AM:!3&amp;E"</f>
        <v>#VALUE!</v>
      </c>
      <c r="AR372" t="e">
        <f>'Technical Master Data'!L447+"AM:!3&amp;F"</f>
        <v>#VALUE!</v>
      </c>
      <c r="AS372" t="e">
        <f>'Technical Master Data'!M447+"AM:!3&amp;G"</f>
        <v>#VALUE!</v>
      </c>
      <c r="AT372" t="e">
        <f>'Technical Master Data'!N447+"AM:!3&amp;H"</f>
        <v>#VALUE!</v>
      </c>
      <c r="AU372" t="e">
        <f>'Technical Master Data'!O447+"AM:!3&amp;I"</f>
        <v>#VALUE!</v>
      </c>
      <c r="AV372" t="e">
        <f>'Technical Master Data'!P447+"AM:!3&amp;J"</f>
        <v>#VALUE!</v>
      </c>
      <c r="AW372" t="e">
        <f>'Technical Master Data'!Q447+"AM:!3&amp;K"</f>
        <v>#VALUE!</v>
      </c>
      <c r="AX372" t="e">
        <f>'Technical Master Data'!R447+"AM:!3&amp;L"</f>
        <v>#VALUE!</v>
      </c>
      <c r="AY372" t="e">
        <f>'Technical Master Data'!S447+"AM:!3&amp;M"</f>
        <v>#VALUE!</v>
      </c>
      <c r="AZ372" t="e">
        <f>'Technical Master Data'!A448+"AM:!3&amp;N"</f>
        <v>#VALUE!</v>
      </c>
      <c r="BA372" t="e">
        <f>'Technical Master Data'!B448+"AM:!3&amp;O"</f>
        <v>#VALUE!</v>
      </c>
      <c r="BB372" t="e">
        <f>'Technical Master Data'!C448+"AM:!3&amp;P"</f>
        <v>#VALUE!</v>
      </c>
      <c r="BC372" t="e">
        <f>'Technical Master Data'!D448+"AM:!3&amp;Q"</f>
        <v>#VALUE!</v>
      </c>
      <c r="BD372" t="e">
        <f>'Technical Master Data'!E448+"AM:!3&amp;R"</f>
        <v>#VALUE!</v>
      </c>
      <c r="BE372" t="e">
        <f>'Technical Master Data'!F448+"AM:!3&amp;S"</f>
        <v>#VALUE!</v>
      </c>
      <c r="BF372" t="e">
        <f>'Technical Master Data'!G448+"AM:!3&amp;T"</f>
        <v>#VALUE!</v>
      </c>
      <c r="BG372" t="e">
        <f>'Technical Master Data'!H448+"AM:!3&amp;U"</f>
        <v>#VALUE!</v>
      </c>
      <c r="BH372" t="e">
        <f>'Technical Master Data'!I448+"AM:!3&amp;V"</f>
        <v>#VALUE!</v>
      </c>
      <c r="BI372" t="e">
        <f>'Technical Master Data'!J448+"AM:!3&amp;W"</f>
        <v>#VALUE!</v>
      </c>
      <c r="BJ372" t="e">
        <f>'Technical Master Data'!K448+"AM:!3&amp;X"</f>
        <v>#VALUE!</v>
      </c>
      <c r="BK372" t="e">
        <f>'Technical Master Data'!L448+"AM:!3&amp;Y"</f>
        <v>#VALUE!</v>
      </c>
      <c r="BL372" t="e">
        <f>'Technical Master Data'!M448+"AM:!3&amp;Z"</f>
        <v>#VALUE!</v>
      </c>
      <c r="BM372" t="e">
        <f>'Technical Master Data'!N448+"AM:!3&amp;["</f>
        <v>#VALUE!</v>
      </c>
      <c r="BN372" t="e">
        <f>'Technical Master Data'!O448+"AM:!3&amp;\"</f>
        <v>#VALUE!</v>
      </c>
      <c r="BO372" t="e">
        <f>'Technical Master Data'!P448+"AM:!3&amp;]"</f>
        <v>#VALUE!</v>
      </c>
      <c r="BP372" t="e">
        <f>'Technical Master Data'!Q448+"AM:!3&amp;^"</f>
        <v>#VALUE!</v>
      </c>
      <c r="BQ372" t="e">
        <f>'Technical Master Data'!R448+"AM:!3&amp;_"</f>
        <v>#VALUE!</v>
      </c>
      <c r="BR372" t="e">
        <f>'Technical Master Data'!S448+"AM:!3&amp;`"</f>
        <v>#VALUE!</v>
      </c>
      <c r="BS372" t="e">
        <f>'Technical Master Data'!A449+"AM:!3&amp;a"</f>
        <v>#VALUE!</v>
      </c>
      <c r="BT372" t="e">
        <f>'Technical Master Data'!B449+"AM:!3&amp;b"</f>
        <v>#VALUE!</v>
      </c>
      <c r="BU372" t="e">
        <f>'Technical Master Data'!C449+"AM:!3&amp;c"</f>
        <v>#VALUE!</v>
      </c>
      <c r="BV372" t="e">
        <f>'Technical Master Data'!D449+"AM:!3&amp;d"</f>
        <v>#VALUE!</v>
      </c>
      <c r="BW372" t="e">
        <f>'Technical Master Data'!E449+"AM:!3&amp;e"</f>
        <v>#VALUE!</v>
      </c>
      <c r="BX372" t="e">
        <f>'Technical Master Data'!F449+"AM:!3&amp;f"</f>
        <v>#VALUE!</v>
      </c>
      <c r="BY372" t="e">
        <f>'Technical Master Data'!G449+"AM:!3&amp;g"</f>
        <v>#VALUE!</v>
      </c>
      <c r="BZ372" t="e">
        <f>'Technical Master Data'!H449+"AM:!3&amp;h"</f>
        <v>#VALUE!</v>
      </c>
      <c r="CA372" t="e">
        <f>'Technical Master Data'!I449+"AM:!3&amp;i"</f>
        <v>#VALUE!</v>
      </c>
      <c r="CB372" t="e">
        <f>'Technical Master Data'!J449+"AM:!3&amp;j"</f>
        <v>#VALUE!</v>
      </c>
      <c r="CC372" t="e">
        <f>'Technical Master Data'!K449+"AM:!3&amp;k"</f>
        <v>#VALUE!</v>
      </c>
      <c r="CD372" t="e">
        <f>'Technical Master Data'!L449+"AM:!3&amp;l"</f>
        <v>#VALUE!</v>
      </c>
      <c r="CE372" t="e">
        <f>'Technical Master Data'!M449+"AM:!3&amp;m"</f>
        <v>#VALUE!</v>
      </c>
      <c r="CF372" t="e">
        <f>'Technical Master Data'!N449+"AM:!3&amp;n"</f>
        <v>#VALUE!</v>
      </c>
      <c r="CG372" t="e">
        <f>'Technical Master Data'!O449+"AM:!3&amp;o"</f>
        <v>#VALUE!</v>
      </c>
      <c r="CH372" t="e">
        <f>'Technical Master Data'!P449+"AM:!3&amp;p"</f>
        <v>#VALUE!</v>
      </c>
      <c r="CI372" t="e">
        <f>'Technical Master Data'!Q449+"AM:!3&amp;q"</f>
        <v>#VALUE!</v>
      </c>
      <c r="CJ372" t="e">
        <f>'Technical Master Data'!R449+"AM:!3&amp;r"</f>
        <v>#VALUE!</v>
      </c>
      <c r="CK372" t="e">
        <f>'Technical Master Data'!S449+"AM:!3&amp;s"</f>
        <v>#VALUE!</v>
      </c>
      <c r="CL372" t="e">
        <f>'Technical Master Data'!A450+"AM:!3&amp;t"</f>
        <v>#VALUE!</v>
      </c>
      <c r="CM372" t="e">
        <f>'Technical Master Data'!B450+"AM:!3&amp;u"</f>
        <v>#VALUE!</v>
      </c>
      <c r="CN372" t="e">
        <f>'Technical Master Data'!C450+"AM:!3&amp;v"</f>
        <v>#VALUE!</v>
      </c>
      <c r="CO372" t="e">
        <f>'Technical Master Data'!D450+"AM:!3&amp;w"</f>
        <v>#VALUE!</v>
      </c>
      <c r="CP372" t="e">
        <f>'Technical Master Data'!E450+"AM:!3&amp;x"</f>
        <v>#VALUE!</v>
      </c>
      <c r="CQ372" t="e">
        <f>'Technical Master Data'!F450+"AM:!3&amp;y"</f>
        <v>#VALUE!</v>
      </c>
      <c r="CR372" t="e">
        <f>'Technical Master Data'!G450+"AM:!3&amp;z"</f>
        <v>#VALUE!</v>
      </c>
      <c r="CS372" t="e">
        <f>'Technical Master Data'!H450+"AM:!3&amp;{"</f>
        <v>#VALUE!</v>
      </c>
      <c r="CT372" t="e">
        <f>'Technical Master Data'!I450+"AM:!3&amp;|"</f>
        <v>#VALUE!</v>
      </c>
      <c r="CU372" t="e">
        <f>'Technical Master Data'!J450+"AM:!3&amp;}"</f>
        <v>#VALUE!</v>
      </c>
      <c r="CV372" t="e">
        <f>'Technical Master Data'!K450+"AM:!3&amp;~"</f>
        <v>#VALUE!</v>
      </c>
      <c r="CW372" t="e">
        <f>'Technical Master Data'!L450+"AM:!3'#"</f>
        <v>#VALUE!</v>
      </c>
      <c r="CX372" t="e">
        <f>'Technical Master Data'!M450+"AM:!3'$"</f>
        <v>#VALUE!</v>
      </c>
      <c r="CY372" t="e">
        <f>'Technical Master Data'!N450+"AM:!3'%"</f>
        <v>#VALUE!</v>
      </c>
      <c r="CZ372" t="e">
        <f>'Technical Master Data'!O450+"AM:!3'&amp;"</f>
        <v>#VALUE!</v>
      </c>
      <c r="DA372" t="e">
        <f>'Technical Master Data'!P450+"AM:!3''"</f>
        <v>#VALUE!</v>
      </c>
      <c r="DB372" t="e">
        <f>'Technical Master Data'!Q450+"AM:!3'("</f>
        <v>#VALUE!</v>
      </c>
      <c r="DC372" t="e">
        <f>'Technical Master Data'!R450+"AM:!3')"</f>
        <v>#VALUE!</v>
      </c>
      <c r="DD372" t="e">
        <f>'Technical Master Data'!S450+"AM:!3'."</f>
        <v>#VALUE!</v>
      </c>
      <c r="DE372" t="e">
        <f>'Technical Master Data'!A451+"AM:!3'/"</f>
        <v>#VALUE!</v>
      </c>
      <c r="DF372" t="e">
        <f>'Technical Master Data'!B451+"AM:!3'0"</f>
        <v>#VALUE!</v>
      </c>
      <c r="DG372" t="e">
        <f>'Technical Master Data'!C451+"AM:!3'1"</f>
        <v>#VALUE!</v>
      </c>
      <c r="DH372" t="e">
        <f>'Technical Master Data'!D451+"AM:!3'2"</f>
        <v>#VALUE!</v>
      </c>
      <c r="DI372" t="e">
        <f>'Technical Master Data'!E451+"AM:!3'3"</f>
        <v>#VALUE!</v>
      </c>
      <c r="DJ372" t="e">
        <f>'Technical Master Data'!F451+"AM:!3'4"</f>
        <v>#VALUE!</v>
      </c>
      <c r="DK372" t="e">
        <f>'Technical Master Data'!G451+"AM:!3'5"</f>
        <v>#VALUE!</v>
      </c>
      <c r="DL372" t="e">
        <f>'Technical Master Data'!H451+"AM:!3'6"</f>
        <v>#VALUE!</v>
      </c>
      <c r="DM372" t="e">
        <f>'Technical Master Data'!I451+"AM:!3'7"</f>
        <v>#VALUE!</v>
      </c>
      <c r="DN372" t="e">
        <f>'Technical Master Data'!J451+"AM:!3'8"</f>
        <v>#VALUE!</v>
      </c>
      <c r="DO372" t="e">
        <f>'Technical Master Data'!K451+"AM:!3'9"</f>
        <v>#VALUE!</v>
      </c>
      <c r="DP372" t="e">
        <f>'Technical Master Data'!L451+"AM:!3':"</f>
        <v>#VALUE!</v>
      </c>
      <c r="DQ372" t="e">
        <f>'Technical Master Data'!M451+"AM:!3';"</f>
        <v>#VALUE!</v>
      </c>
      <c r="DR372" t="e">
        <f>'Technical Master Data'!N451+"AM:!3'&lt;"</f>
        <v>#VALUE!</v>
      </c>
      <c r="DS372" t="e">
        <f>'Technical Master Data'!O451+"AM:!3'="</f>
        <v>#VALUE!</v>
      </c>
      <c r="DT372" t="e">
        <f>'Technical Master Data'!P451+"AM:!3'&gt;"</f>
        <v>#VALUE!</v>
      </c>
      <c r="DU372" t="e">
        <f>'Technical Master Data'!Q451+"AM:!3'?"</f>
        <v>#VALUE!</v>
      </c>
      <c r="DV372" t="e">
        <f>'Technical Master Data'!R451+"AM:!3'@"</f>
        <v>#VALUE!</v>
      </c>
      <c r="DW372" t="e">
        <f>'Technical Master Data'!S451+"AM:!3'A"</f>
        <v>#VALUE!</v>
      </c>
      <c r="DX372" t="e">
        <f>'Technical Master Data'!A452+"AM:!3'B"</f>
        <v>#VALUE!</v>
      </c>
      <c r="DY372" t="e">
        <f>'Technical Master Data'!B452+"AM:!3'C"</f>
        <v>#VALUE!</v>
      </c>
      <c r="DZ372" t="e">
        <f>'Technical Master Data'!C452+"AM:!3'D"</f>
        <v>#VALUE!</v>
      </c>
      <c r="EA372" t="e">
        <f>'Technical Master Data'!D452+"AM:!3'E"</f>
        <v>#VALUE!</v>
      </c>
      <c r="EB372" t="e">
        <f>'Technical Master Data'!E452+"AM:!3'F"</f>
        <v>#VALUE!</v>
      </c>
      <c r="EC372" t="e">
        <f>'Technical Master Data'!F452+"AM:!3'G"</f>
        <v>#VALUE!</v>
      </c>
      <c r="ED372" t="e">
        <f>'Technical Master Data'!G452+"AM:!3'H"</f>
        <v>#VALUE!</v>
      </c>
      <c r="EE372" t="e">
        <f>'Technical Master Data'!H452+"AM:!3'I"</f>
        <v>#VALUE!</v>
      </c>
      <c r="EF372" t="e">
        <f>'Technical Master Data'!I452+"AM:!3'J"</f>
        <v>#VALUE!</v>
      </c>
      <c r="EG372" t="e">
        <f>'Technical Master Data'!J452+"AM:!3'K"</f>
        <v>#VALUE!</v>
      </c>
      <c r="EH372" t="e">
        <f>'Technical Master Data'!K452+"AM:!3'L"</f>
        <v>#VALUE!</v>
      </c>
      <c r="EI372" t="e">
        <f>'Technical Master Data'!L452+"AM:!3'M"</f>
        <v>#VALUE!</v>
      </c>
      <c r="EJ372" t="e">
        <f>'Technical Master Data'!M452+"AM:!3'N"</f>
        <v>#VALUE!</v>
      </c>
      <c r="EK372" t="e">
        <f>'Technical Master Data'!N452+"AM:!3'O"</f>
        <v>#VALUE!</v>
      </c>
      <c r="EL372" t="e">
        <f>'Technical Master Data'!O452+"AM:!3'P"</f>
        <v>#VALUE!</v>
      </c>
      <c r="EM372" t="e">
        <f>'Technical Master Data'!P452+"AM:!3'Q"</f>
        <v>#VALUE!</v>
      </c>
      <c r="EN372" t="e">
        <f>'Technical Master Data'!Q452+"AM:!3'R"</f>
        <v>#VALUE!</v>
      </c>
      <c r="EO372" t="e">
        <f>'Technical Master Data'!R452+"AM:!3'S"</f>
        <v>#VALUE!</v>
      </c>
      <c r="EP372" t="e">
        <f>'Technical Master Data'!S452+"AM:!3'T"</f>
        <v>#VALUE!</v>
      </c>
      <c r="EQ372" t="e">
        <f>'Technical Master Data'!A453+"AM:!3'U"</f>
        <v>#VALUE!</v>
      </c>
      <c r="ER372" t="e">
        <f>'Technical Master Data'!B453+"AM:!3'V"</f>
        <v>#VALUE!</v>
      </c>
      <c r="ES372" t="e">
        <f>'Technical Master Data'!C453+"AM:!3'W"</f>
        <v>#VALUE!</v>
      </c>
      <c r="ET372" t="e">
        <f>'Technical Master Data'!D453+"AM:!3'X"</f>
        <v>#VALUE!</v>
      </c>
      <c r="EU372" t="e">
        <f>'Technical Master Data'!E453+"AM:!3'Y"</f>
        <v>#VALUE!</v>
      </c>
      <c r="EV372" t="e">
        <f>'Technical Master Data'!F453+"AM:!3'Z"</f>
        <v>#VALUE!</v>
      </c>
      <c r="EW372" t="e">
        <f>'Technical Master Data'!G453+"AM:!3'["</f>
        <v>#VALUE!</v>
      </c>
      <c r="EX372" t="e">
        <f>'Technical Master Data'!H453+"AM:!3'\"</f>
        <v>#VALUE!</v>
      </c>
      <c r="EY372" t="e">
        <f>'Technical Master Data'!I453+"AM:!3']"</f>
        <v>#VALUE!</v>
      </c>
      <c r="EZ372" t="e">
        <f>'Technical Master Data'!J453+"AM:!3'^"</f>
        <v>#VALUE!</v>
      </c>
      <c r="FA372" t="e">
        <f>'Technical Master Data'!K453+"AM:!3'_"</f>
        <v>#VALUE!</v>
      </c>
      <c r="FB372" t="e">
        <f>'Technical Master Data'!L453+"AM:!3'`"</f>
        <v>#VALUE!</v>
      </c>
      <c r="FC372" t="e">
        <f>'Technical Master Data'!M453+"AM:!3'a"</f>
        <v>#VALUE!</v>
      </c>
      <c r="FD372" t="e">
        <f>'Technical Master Data'!N453+"AM:!3'b"</f>
        <v>#VALUE!</v>
      </c>
      <c r="FE372" t="e">
        <f>'Technical Master Data'!O453+"AM:!3'c"</f>
        <v>#VALUE!</v>
      </c>
      <c r="FF372" t="e">
        <f>'Technical Master Data'!P453+"AM:!3'd"</f>
        <v>#VALUE!</v>
      </c>
      <c r="FG372" t="e">
        <f>'Technical Master Data'!Q453+"AM:!3'e"</f>
        <v>#VALUE!</v>
      </c>
      <c r="FH372" t="e">
        <f>'Technical Master Data'!R453+"AM:!3'f"</f>
        <v>#VALUE!</v>
      </c>
      <c r="FI372" t="e">
        <f>'Technical Master Data'!S453+"AM:!3'g"</f>
        <v>#VALUE!</v>
      </c>
      <c r="FJ372" t="e">
        <f>'Technical Master Data'!A454+"AM:!3'h"</f>
        <v>#VALUE!</v>
      </c>
      <c r="FK372" t="e">
        <f>'Technical Master Data'!B454+"AM:!3'i"</f>
        <v>#VALUE!</v>
      </c>
      <c r="FL372" t="e">
        <f>'Technical Master Data'!C454+"AM:!3'j"</f>
        <v>#VALUE!</v>
      </c>
      <c r="FM372" t="e">
        <f>'Technical Master Data'!D454+"AM:!3'k"</f>
        <v>#VALUE!</v>
      </c>
      <c r="FN372" t="e">
        <f>'Technical Master Data'!E454+"AM:!3'l"</f>
        <v>#VALUE!</v>
      </c>
      <c r="FO372" t="e">
        <f>'Technical Master Data'!F454+"AM:!3'm"</f>
        <v>#VALUE!</v>
      </c>
      <c r="FP372" t="e">
        <f>'Technical Master Data'!G454+"AM:!3'n"</f>
        <v>#VALUE!</v>
      </c>
      <c r="FQ372" t="e">
        <f>'Technical Master Data'!H454+"AM:!3'o"</f>
        <v>#VALUE!</v>
      </c>
      <c r="FR372" t="e">
        <f>'Technical Master Data'!I454+"AM:!3'p"</f>
        <v>#VALUE!</v>
      </c>
      <c r="FS372" t="e">
        <f>'Technical Master Data'!J454+"AM:!3'q"</f>
        <v>#VALUE!</v>
      </c>
      <c r="FT372" t="e">
        <f>'Technical Master Data'!K454+"AM:!3'r"</f>
        <v>#VALUE!</v>
      </c>
      <c r="FU372" t="e">
        <f>'Technical Master Data'!L454+"AM:!3's"</f>
        <v>#VALUE!</v>
      </c>
      <c r="FV372" t="e">
        <f>'Technical Master Data'!M454+"AM:!3't"</f>
        <v>#VALUE!</v>
      </c>
      <c r="FW372" t="e">
        <f>'Technical Master Data'!N454+"AM:!3'u"</f>
        <v>#VALUE!</v>
      </c>
      <c r="FX372" t="e">
        <f>'Technical Master Data'!O454+"AM:!3'v"</f>
        <v>#VALUE!</v>
      </c>
      <c r="FY372" t="e">
        <f>'Technical Master Data'!P454+"AM:!3'w"</f>
        <v>#VALUE!</v>
      </c>
      <c r="FZ372" t="e">
        <f>'Technical Master Data'!Q454+"AM:!3'x"</f>
        <v>#VALUE!</v>
      </c>
      <c r="GA372" t="e">
        <f>'Technical Master Data'!R454+"AM:!3'y"</f>
        <v>#VALUE!</v>
      </c>
      <c r="GB372" t="e">
        <f>'Technical Master Data'!S454+"AM:!3'z"</f>
        <v>#VALUE!</v>
      </c>
      <c r="GC372" t="e">
        <f>'Technical Master Data'!A455+"AM:!3'{"</f>
        <v>#VALUE!</v>
      </c>
      <c r="GD372" t="e">
        <f>'Technical Master Data'!B455+"AM:!3'|"</f>
        <v>#VALUE!</v>
      </c>
      <c r="GE372" t="e">
        <f>'Technical Master Data'!C455+"AM:!3'}"</f>
        <v>#VALUE!</v>
      </c>
      <c r="GF372" t="e">
        <f>'Technical Master Data'!D455+"AM:!3'~"</f>
        <v>#VALUE!</v>
      </c>
      <c r="GG372" t="e">
        <f>'Technical Master Data'!E455+"AM:!3(#"</f>
        <v>#VALUE!</v>
      </c>
      <c r="GH372" t="e">
        <f>'Technical Master Data'!F455+"AM:!3($"</f>
        <v>#VALUE!</v>
      </c>
      <c r="GI372" t="e">
        <f>'Technical Master Data'!G455+"AM:!3(%"</f>
        <v>#VALUE!</v>
      </c>
      <c r="GJ372" t="e">
        <f>'Technical Master Data'!H455+"AM:!3(&amp;"</f>
        <v>#VALUE!</v>
      </c>
      <c r="GK372" t="e">
        <f>'Technical Master Data'!I455+"AM:!3('"</f>
        <v>#VALUE!</v>
      </c>
      <c r="GL372" t="e">
        <f>'Technical Master Data'!J455+"AM:!3(("</f>
        <v>#VALUE!</v>
      </c>
      <c r="GM372" t="e">
        <f>'Technical Master Data'!K455+"AM:!3()"</f>
        <v>#VALUE!</v>
      </c>
      <c r="GN372" t="e">
        <f>'Technical Master Data'!L455+"AM:!3(."</f>
        <v>#VALUE!</v>
      </c>
      <c r="GO372" t="e">
        <f>'Technical Master Data'!M455+"AM:!3(/"</f>
        <v>#VALUE!</v>
      </c>
      <c r="GP372" t="e">
        <f>'Technical Master Data'!N455+"AM:!3(0"</f>
        <v>#VALUE!</v>
      </c>
      <c r="GQ372" t="e">
        <f>'Technical Master Data'!O455+"AM:!3(1"</f>
        <v>#VALUE!</v>
      </c>
      <c r="GR372" t="e">
        <f>'Technical Master Data'!P455+"AM:!3(2"</f>
        <v>#VALUE!</v>
      </c>
      <c r="GS372" t="e">
        <f>'Technical Master Data'!Q455+"AM:!3(3"</f>
        <v>#VALUE!</v>
      </c>
      <c r="GT372" t="e">
        <f>'Technical Master Data'!R455+"AM:!3(4"</f>
        <v>#VALUE!</v>
      </c>
      <c r="GU372" t="e">
        <f>'Technical Master Data'!S455+"AM:!3(5"</f>
        <v>#VALUE!</v>
      </c>
      <c r="GV372" t="e">
        <f>'Technical Master Data'!A456+"AM:!3(6"</f>
        <v>#VALUE!</v>
      </c>
      <c r="GW372" t="e">
        <f>'Technical Master Data'!B456+"AM:!3(7"</f>
        <v>#VALUE!</v>
      </c>
      <c r="GX372" t="e">
        <f>'Technical Master Data'!C456+"AM:!3(8"</f>
        <v>#VALUE!</v>
      </c>
      <c r="GY372" t="e">
        <f>'Technical Master Data'!D456+"AM:!3(9"</f>
        <v>#VALUE!</v>
      </c>
      <c r="GZ372" t="e">
        <f>'Technical Master Data'!E456+"AM:!3(:"</f>
        <v>#VALUE!</v>
      </c>
      <c r="HA372" t="e">
        <f>'Technical Master Data'!F456+"AM:!3(;"</f>
        <v>#VALUE!</v>
      </c>
      <c r="HB372" t="e">
        <f>'Technical Master Data'!G456+"AM:!3(&lt;"</f>
        <v>#VALUE!</v>
      </c>
      <c r="HC372" t="e">
        <f>'Technical Master Data'!H456+"AM:!3(="</f>
        <v>#VALUE!</v>
      </c>
      <c r="HD372" t="e">
        <f>'Technical Master Data'!I456+"AM:!3(&gt;"</f>
        <v>#VALUE!</v>
      </c>
      <c r="HE372" t="e">
        <f>'Technical Master Data'!J456+"AM:!3(?"</f>
        <v>#VALUE!</v>
      </c>
      <c r="HF372" t="e">
        <f>'Technical Master Data'!K456+"AM:!3(@"</f>
        <v>#VALUE!</v>
      </c>
      <c r="HG372" t="e">
        <f>'Technical Master Data'!L456+"AM:!3(A"</f>
        <v>#VALUE!</v>
      </c>
      <c r="HH372" t="e">
        <f>'Technical Master Data'!M456+"AM:!3(B"</f>
        <v>#VALUE!</v>
      </c>
      <c r="HI372" t="e">
        <f>'Technical Master Data'!N456+"AM:!3(C"</f>
        <v>#VALUE!</v>
      </c>
      <c r="HJ372" t="e">
        <f>'Technical Master Data'!O456+"AM:!3(D"</f>
        <v>#VALUE!</v>
      </c>
      <c r="HK372" t="e">
        <f>'Technical Master Data'!P456+"AM:!3(E"</f>
        <v>#VALUE!</v>
      </c>
      <c r="HL372" t="e">
        <f>'Technical Master Data'!Q456+"AM:!3(F"</f>
        <v>#VALUE!</v>
      </c>
      <c r="HM372" t="e">
        <f>'Technical Master Data'!R456+"AM:!3(G"</f>
        <v>#VALUE!</v>
      </c>
      <c r="HN372" t="e">
        <f>'Technical Master Data'!S456+"AM:!3(H"</f>
        <v>#VALUE!</v>
      </c>
      <c r="HO372" t="e">
        <f>'Technical Master Data'!A457+"AM:!3(I"</f>
        <v>#VALUE!</v>
      </c>
      <c r="HP372" t="e">
        <f>'Technical Master Data'!B457+"AM:!3(J"</f>
        <v>#VALUE!</v>
      </c>
      <c r="HQ372" t="e">
        <f>'Technical Master Data'!C457+"AM:!3(K"</f>
        <v>#VALUE!</v>
      </c>
      <c r="HR372" t="e">
        <f>'Technical Master Data'!D457+"AM:!3(L"</f>
        <v>#VALUE!</v>
      </c>
      <c r="HS372" t="e">
        <f>'Technical Master Data'!E457+"AM:!3(M"</f>
        <v>#VALUE!</v>
      </c>
      <c r="HT372" t="e">
        <f>'Technical Master Data'!F457+"AM:!3(N"</f>
        <v>#VALUE!</v>
      </c>
      <c r="HU372" t="e">
        <f>'Technical Master Data'!G457+"AM:!3(O"</f>
        <v>#VALUE!</v>
      </c>
      <c r="HV372" t="e">
        <f>'Technical Master Data'!H457+"AM:!3(P"</f>
        <v>#VALUE!</v>
      </c>
      <c r="HW372" t="e">
        <f>'Technical Master Data'!I457+"AM:!3(Q"</f>
        <v>#VALUE!</v>
      </c>
      <c r="HX372" t="e">
        <f>'Technical Master Data'!J457+"AM:!3(R"</f>
        <v>#VALUE!</v>
      </c>
      <c r="HY372" t="e">
        <f>'Technical Master Data'!K457+"AM:!3(S"</f>
        <v>#VALUE!</v>
      </c>
      <c r="HZ372" t="e">
        <f>'Technical Master Data'!L457+"AM:!3(T"</f>
        <v>#VALUE!</v>
      </c>
      <c r="IA372" t="e">
        <f>'Technical Master Data'!M457+"AM:!3(U"</f>
        <v>#VALUE!</v>
      </c>
      <c r="IB372" t="e">
        <f>'Technical Master Data'!N457+"AM:!3(V"</f>
        <v>#VALUE!</v>
      </c>
      <c r="IC372" t="e">
        <f>'Technical Master Data'!O457+"AM:!3(W"</f>
        <v>#VALUE!</v>
      </c>
      <c r="ID372" t="e">
        <f>'Technical Master Data'!P457+"AM:!3(X"</f>
        <v>#VALUE!</v>
      </c>
      <c r="IE372" t="e">
        <f>'Technical Master Data'!Q457+"AM:!3(Y"</f>
        <v>#VALUE!</v>
      </c>
      <c r="IF372" t="e">
        <f>'Technical Master Data'!R457+"AM:!3(Z"</f>
        <v>#VALUE!</v>
      </c>
      <c r="IG372" t="e">
        <f>'Technical Master Data'!S457+"AM:!3(["</f>
        <v>#VALUE!</v>
      </c>
      <c r="IH372" t="e">
        <f>'Technical Master Data'!A458+"AM:!3(\"</f>
        <v>#VALUE!</v>
      </c>
      <c r="II372" t="e">
        <f>'Technical Master Data'!B458+"AM:!3(]"</f>
        <v>#VALUE!</v>
      </c>
      <c r="IJ372" t="e">
        <f>'Technical Master Data'!C458+"AM:!3(^"</f>
        <v>#VALUE!</v>
      </c>
      <c r="IK372" t="e">
        <f>'Technical Master Data'!D458+"AM:!3(_"</f>
        <v>#VALUE!</v>
      </c>
      <c r="IL372" t="e">
        <f>'Technical Master Data'!E458+"AM:!3(`"</f>
        <v>#VALUE!</v>
      </c>
      <c r="IM372" t="e">
        <f>'Technical Master Data'!F458+"AM:!3(a"</f>
        <v>#VALUE!</v>
      </c>
      <c r="IN372" t="e">
        <f>'Technical Master Data'!G458+"AM:!3(b"</f>
        <v>#VALUE!</v>
      </c>
      <c r="IO372" t="e">
        <f>'Technical Master Data'!H458+"AM:!3(c"</f>
        <v>#VALUE!</v>
      </c>
      <c r="IP372" t="e">
        <f>'Technical Master Data'!I458+"AM:!3(d"</f>
        <v>#VALUE!</v>
      </c>
      <c r="IQ372" t="e">
        <f>'Technical Master Data'!J458+"AM:!3(e"</f>
        <v>#VALUE!</v>
      </c>
      <c r="IR372" t="e">
        <f>'Technical Master Data'!K458+"AM:!3(f"</f>
        <v>#VALUE!</v>
      </c>
      <c r="IS372" t="e">
        <f>'Technical Master Data'!L458+"AM:!3(g"</f>
        <v>#VALUE!</v>
      </c>
      <c r="IT372" t="e">
        <f>'Technical Master Data'!M458+"AM:!3(h"</f>
        <v>#VALUE!</v>
      </c>
      <c r="IU372" t="e">
        <f>'Technical Master Data'!N458+"AM:!3(i"</f>
        <v>#VALUE!</v>
      </c>
      <c r="IV372" t="e">
        <f>'Technical Master Data'!O458+"AM:!3(j"</f>
        <v>#VALUE!</v>
      </c>
    </row>
    <row r="373" spans="6:256">
      <c r="F373" t="e">
        <f>'Technical Master Data'!P458+"AM:!3(k"</f>
        <v>#VALUE!</v>
      </c>
      <c r="G373" t="e">
        <f>'Technical Master Data'!Q458+"AM:!3(l"</f>
        <v>#VALUE!</v>
      </c>
      <c r="H373" t="e">
        <f>'Technical Master Data'!R458+"AM:!3(m"</f>
        <v>#VALUE!</v>
      </c>
      <c r="I373" t="e">
        <f>'Technical Master Data'!S458+"AM:!3(n"</f>
        <v>#VALUE!</v>
      </c>
      <c r="J373" t="e">
        <f>'Technical Master Data'!A459+"AM:!3(o"</f>
        <v>#VALUE!</v>
      </c>
      <c r="K373" t="e">
        <f>'Technical Master Data'!B459+"AM:!3(p"</f>
        <v>#VALUE!</v>
      </c>
      <c r="L373" t="e">
        <f>'Technical Master Data'!C459+"AM:!3(q"</f>
        <v>#VALUE!</v>
      </c>
      <c r="M373" t="e">
        <f>'Technical Master Data'!D459+"AM:!3(r"</f>
        <v>#VALUE!</v>
      </c>
      <c r="N373" t="e">
        <f>'Technical Master Data'!E459+"AM:!3(s"</f>
        <v>#VALUE!</v>
      </c>
      <c r="O373" t="e">
        <f>'Technical Master Data'!F459+"AM:!3(t"</f>
        <v>#VALUE!</v>
      </c>
      <c r="P373" t="e">
        <f>'Technical Master Data'!G459+"AM:!3(u"</f>
        <v>#VALUE!</v>
      </c>
      <c r="Q373" t="e">
        <f>'Technical Master Data'!H459+"AM:!3(v"</f>
        <v>#VALUE!</v>
      </c>
      <c r="R373" t="e">
        <f>'Technical Master Data'!I459+"AM:!3(w"</f>
        <v>#VALUE!</v>
      </c>
      <c r="S373" t="e">
        <f>'Technical Master Data'!J459+"AM:!3(x"</f>
        <v>#VALUE!</v>
      </c>
      <c r="T373" t="e">
        <f>'Technical Master Data'!K459+"AM:!3(y"</f>
        <v>#VALUE!</v>
      </c>
      <c r="U373" t="e">
        <f>'Technical Master Data'!L459+"AM:!3(z"</f>
        <v>#VALUE!</v>
      </c>
      <c r="V373" t="e">
        <f>'Technical Master Data'!M459+"AM:!3({"</f>
        <v>#VALUE!</v>
      </c>
      <c r="W373" t="e">
        <f>'Technical Master Data'!N459+"AM:!3(|"</f>
        <v>#VALUE!</v>
      </c>
      <c r="X373" t="e">
        <f>'Technical Master Data'!O459+"AM:!3(}"</f>
        <v>#VALUE!</v>
      </c>
      <c r="Y373" t="e">
        <f>'Technical Master Data'!P459+"AM:!3(~"</f>
        <v>#VALUE!</v>
      </c>
      <c r="Z373" t="e">
        <f>'Technical Master Data'!Q459+"AM:!3)#"</f>
        <v>#VALUE!</v>
      </c>
      <c r="AA373" t="e">
        <f>'Technical Master Data'!R459+"AM:!3)$"</f>
        <v>#VALUE!</v>
      </c>
      <c r="AB373" t="e">
        <f>'Technical Master Data'!S459+"AM:!3)%"</f>
        <v>#VALUE!</v>
      </c>
      <c r="AC373" t="e">
        <f>'Technical Master Data'!A460+"AM:!3)&amp;"</f>
        <v>#VALUE!</v>
      </c>
      <c r="AD373" t="e">
        <f>'Technical Master Data'!B460+"AM:!3)'"</f>
        <v>#VALUE!</v>
      </c>
      <c r="AE373" t="e">
        <f>'Technical Master Data'!C460+"AM:!3)("</f>
        <v>#VALUE!</v>
      </c>
      <c r="AF373" t="e">
        <f>'Technical Master Data'!D460+"AM:!3))"</f>
        <v>#VALUE!</v>
      </c>
      <c r="AG373" t="e">
        <f>'Technical Master Data'!E460+"AM:!3)."</f>
        <v>#VALUE!</v>
      </c>
      <c r="AH373" t="e">
        <f>'Technical Master Data'!F460+"AM:!3)/"</f>
        <v>#VALUE!</v>
      </c>
      <c r="AI373" t="e">
        <f>'Technical Master Data'!G460+"AM:!3)0"</f>
        <v>#VALUE!</v>
      </c>
      <c r="AJ373" t="e">
        <f>'Technical Master Data'!H460+"AM:!3)1"</f>
        <v>#VALUE!</v>
      </c>
      <c r="AK373" t="e">
        <f>'Technical Master Data'!I460+"AM:!3)2"</f>
        <v>#VALUE!</v>
      </c>
      <c r="AL373" t="e">
        <f>'Technical Master Data'!J460+"AM:!3)3"</f>
        <v>#VALUE!</v>
      </c>
      <c r="AM373" t="e">
        <f>'Technical Master Data'!K460+"AM:!3)4"</f>
        <v>#VALUE!</v>
      </c>
      <c r="AN373" t="e">
        <f>'Technical Master Data'!L460+"AM:!3)5"</f>
        <v>#VALUE!</v>
      </c>
      <c r="AO373" t="e">
        <f>'Technical Master Data'!M460+"AM:!3)6"</f>
        <v>#VALUE!</v>
      </c>
      <c r="AP373" t="e">
        <f>'Technical Master Data'!N460+"AM:!3)7"</f>
        <v>#VALUE!</v>
      </c>
      <c r="AQ373" t="e">
        <f>'Technical Master Data'!O460+"AM:!3)8"</f>
        <v>#VALUE!</v>
      </c>
      <c r="AR373" t="e">
        <f>'Technical Master Data'!P460+"AM:!3)9"</f>
        <v>#VALUE!</v>
      </c>
      <c r="AS373" t="e">
        <f>'Technical Master Data'!Q460+"AM:!3):"</f>
        <v>#VALUE!</v>
      </c>
      <c r="AT373" t="e">
        <f>'Technical Master Data'!R460+"AM:!3);"</f>
        <v>#VALUE!</v>
      </c>
      <c r="AU373" t="e">
        <f>'Technical Master Data'!S460+"AM:!3)&lt;"</f>
        <v>#VALUE!</v>
      </c>
      <c r="AV373" t="e">
        <f>'Technical Master Data'!A461+"AM:!3)="</f>
        <v>#VALUE!</v>
      </c>
      <c r="AW373" t="e">
        <f>'Technical Master Data'!B461+"AM:!3)&gt;"</f>
        <v>#VALUE!</v>
      </c>
      <c r="AX373" t="e">
        <f>'Technical Master Data'!C461+"AM:!3)?"</f>
        <v>#VALUE!</v>
      </c>
      <c r="AY373" t="e">
        <f>'Technical Master Data'!D461+"AM:!3)@"</f>
        <v>#VALUE!</v>
      </c>
      <c r="AZ373" t="e">
        <f>'Technical Master Data'!E461+"AM:!3)A"</f>
        <v>#VALUE!</v>
      </c>
      <c r="BA373" t="e">
        <f>'Technical Master Data'!F461+"AM:!3)B"</f>
        <v>#VALUE!</v>
      </c>
      <c r="BB373" t="e">
        <f>'Technical Master Data'!G461+"AM:!3)C"</f>
        <v>#VALUE!</v>
      </c>
      <c r="BC373" t="e">
        <f>'Technical Master Data'!H461+"AM:!3)D"</f>
        <v>#VALUE!</v>
      </c>
      <c r="BD373" t="e">
        <f>'Technical Master Data'!I461+"AM:!3)E"</f>
        <v>#VALUE!</v>
      </c>
      <c r="BE373" t="e">
        <f>'Technical Master Data'!J461+"AM:!3)F"</f>
        <v>#VALUE!</v>
      </c>
      <c r="BF373" t="e">
        <f>'Technical Master Data'!K461+"AM:!3)G"</f>
        <v>#VALUE!</v>
      </c>
      <c r="BG373" t="e">
        <f>'Technical Master Data'!L461+"AM:!3)H"</f>
        <v>#VALUE!</v>
      </c>
      <c r="BH373" t="e">
        <f>'Technical Master Data'!M461+"AM:!3)I"</f>
        <v>#VALUE!</v>
      </c>
      <c r="BI373" t="e">
        <f>'Technical Master Data'!N461+"AM:!3)J"</f>
        <v>#VALUE!</v>
      </c>
      <c r="BJ373" t="e">
        <f>'Technical Master Data'!O461+"AM:!3)K"</f>
        <v>#VALUE!</v>
      </c>
      <c r="BK373" t="e">
        <f>'Technical Master Data'!P461+"AM:!3)L"</f>
        <v>#VALUE!</v>
      </c>
      <c r="BL373" t="e">
        <f>'Technical Master Data'!Q461+"AM:!3)M"</f>
        <v>#VALUE!</v>
      </c>
      <c r="BM373" t="e">
        <f>'Technical Master Data'!R461+"AM:!3)N"</f>
        <v>#VALUE!</v>
      </c>
      <c r="BN373" t="e">
        <f>'Technical Master Data'!S461+"AM:!3)O"</f>
        <v>#VALUE!</v>
      </c>
      <c r="BO373" t="e">
        <f>'Technical Master Data'!A462+"AM:!3)P"</f>
        <v>#VALUE!</v>
      </c>
      <c r="BP373" t="e">
        <f>'Technical Master Data'!B462+"AM:!3)Q"</f>
        <v>#VALUE!</v>
      </c>
      <c r="BQ373" t="e">
        <f>'Technical Master Data'!C462+"AM:!3)R"</f>
        <v>#VALUE!</v>
      </c>
      <c r="BR373" t="e">
        <f>'Technical Master Data'!D462+"AM:!3)S"</f>
        <v>#VALUE!</v>
      </c>
      <c r="BS373" t="e">
        <f>'Technical Master Data'!E462+"AM:!3)T"</f>
        <v>#VALUE!</v>
      </c>
      <c r="BT373" t="e">
        <f>'Technical Master Data'!F462+"AM:!3)U"</f>
        <v>#VALUE!</v>
      </c>
      <c r="BU373" t="e">
        <f>'Technical Master Data'!G462+"AM:!3)V"</f>
        <v>#VALUE!</v>
      </c>
      <c r="BV373" t="e">
        <f>'Technical Master Data'!H462+"AM:!3)W"</f>
        <v>#VALUE!</v>
      </c>
      <c r="BW373" t="e">
        <f>'Technical Master Data'!I462+"AM:!3)X"</f>
        <v>#VALUE!</v>
      </c>
      <c r="BX373" t="e">
        <f>'Technical Master Data'!J462+"AM:!3)Y"</f>
        <v>#VALUE!</v>
      </c>
      <c r="BY373" t="e">
        <f>'Technical Master Data'!K462+"AM:!3)Z"</f>
        <v>#VALUE!</v>
      </c>
      <c r="BZ373" t="e">
        <f>'Technical Master Data'!L462+"AM:!3)["</f>
        <v>#VALUE!</v>
      </c>
      <c r="CA373" t="e">
        <f>'Technical Master Data'!M462+"AM:!3)\"</f>
        <v>#VALUE!</v>
      </c>
      <c r="CB373" t="e">
        <f>'Technical Master Data'!N462+"AM:!3)]"</f>
        <v>#VALUE!</v>
      </c>
      <c r="CC373" t="e">
        <f>'Technical Master Data'!O462+"AM:!3)^"</f>
        <v>#VALUE!</v>
      </c>
      <c r="CD373" t="e">
        <f>'Technical Master Data'!P462+"AM:!3)_"</f>
        <v>#VALUE!</v>
      </c>
      <c r="CE373" t="e">
        <f>'Technical Master Data'!Q462+"AM:!3)`"</f>
        <v>#VALUE!</v>
      </c>
      <c r="CF373" t="e">
        <f>'Technical Master Data'!R462+"AM:!3)a"</f>
        <v>#VALUE!</v>
      </c>
      <c r="CG373" t="e">
        <f>'Technical Master Data'!S462+"AM:!3)b"</f>
        <v>#VALUE!</v>
      </c>
      <c r="CH373" t="e">
        <f>'Technical Master Data'!A463+"AM:!3)c"</f>
        <v>#VALUE!</v>
      </c>
      <c r="CI373" t="e">
        <f>'Technical Master Data'!B463+"AM:!3)d"</f>
        <v>#VALUE!</v>
      </c>
      <c r="CJ373" t="e">
        <f>'Technical Master Data'!C463+"AM:!3)e"</f>
        <v>#VALUE!</v>
      </c>
      <c r="CK373" t="e">
        <f>'Technical Master Data'!D463+"AM:!3)f"</f>
        <v>#VALUE!</v>
      </c>
      <c r="CL373" t="e">
        <f>'Technical Master Data'!E463+"AM:!3)g"</f>
        <v>#VALUE!</v>
      </c>
      <c r="CM373" t="e">
        <f>'Technical Master Data'!F463+"AM:!3)h"</f>
        <v>#VALUE!</v>
      </c>
      <c r="CN373" t="e">
        <f>'Technical Master Data'!G463+"AM:!3)i"</f>
        <v>#VALUE!</v>
      </c>
      <c r="CO373" t="e">
        <f>'Technical Master Data'!H463+"AM:!3)j"</f>
        <v>#VALUE!</v>
      </c>
      <c r="CP373" t="e">
        <f>'Technical Master Data'!I463+"AM:!3)k"</f>
        <v>#VALUE!</v>
      </c>
      <c r="CQ373" t="e">
        <f>'Technical Master Data'!J463+"AM:!3)l"</f>
        <v>#VALUE!</v>
      </c>
      <c r="CR373" t="e">
        <f>'Technical Master Data'!K463+"AM:!3)m"</f>
        <v>#VALUE!</v>
      </c>
      <c r="CS373" t="e">
        <f>'Technical Master Data'!L463+"AM:!3)n"</f>
        <v>#VALUE!</v>
      </c>
      <c r="CT373" t="e">
        <f>'Technical Master Data'!M463+"AM:!3)o"</f>
        <v>#VALUE!</v>
      </c>
      <c r="CU373" t="e">
        <f>'Technical Master Data'!N463+"AM:!3)p"</f>
        <v>#VALUE!</v>
      </c>
      <c r="CV373" t="e">
        <f>'Technical Master Data'!O463+"AM:!3)q"</f>
        <v>#VALUE!</v>
      </c>
      <c r="CW373" t="e">
        <f>'Technical Master Data'!P463+"AM:!3)r"</f>
        <v>#VALUE!</v>
      </c>
      <c r="CX373" t="e">
        <f>'Technical Master Data'!Q463+"AM:!3)s"</f>
        <v>#VALUE!</v>
      </c>
      <c r="CY373" t="e">
        <f>'Technical Master Data'!R463+"AM:!3)t"</f>
        <v>#VALUE!</v>
      </c>
      <c r="CZ373" t="e">
        <f>'Technical Master Data'!S463+"AM:!3)u"</f>
        <v>#VALUE!</v>
      </c>
      <c r="DA373" t="e">
        <f>'Technical Master Data'!A464+"AM:!3)v"</f>
        <v>#VALUE!</v>
      </c>
      <c r="DB373" t="e">
        <f>'Technical Master Data'!B464+"AM:!3)w"</f>
        <v>#VALUE!</v>
      </c>
      <c r="DC373" t="e">
        <f>'Technical Master Data'!C464+"AM:!3)x"</f>
        <v>#VALUE!</v>
      </c>
      <c r="DD373" t="e">
        <f>'Technical Master Data'!D464+"AM:!3)y"</f>
        <v>#VALUE!</v>
      </c>
      <c r="DE373" t="e">
        <f>'Technical Master Data'!E464+"AM:!3)z"</f>
        <v>#VALUE!</v>
      </c>
      <c r="DF373" t="e">
        <f>'Technical Master Data'!F464+"AM:!3){"</f>
        <v>#VALUE!</v>
      </c>
      <c r="DG373" t="e">
        <f>'Technical Master Data'!G464+"AM:!3)|"</f>
        <v>#VALUE!</v>
      </c>
      <c r="DH373" t="e">
        <f>'Technical Master Data'!H464+"AM:!3)}"</f>
        <v>#VALUE!</v>
      </c>
      <c r="DI373" t="e">
        <f>'Technical Master Data'!I464+"AM:!3)~"</f>
        <v>#VALUE!</v>
      </c>
      <c r="DJ373" t="e">
        <f>'Technical Master Data'!J464+"AM:!3.#"</f>
        <v>#VALUE!</v>
      </c>
      <c r="DK373" t="e">
        <f>'Technical Master Data'!K464+"AM:!3.$"</f>
        <v>#VALUE!</v>
      </c>
      <c r="DL373" t="e">
        <f>'Technical Master Data'!L464+"AM:!3.%"</f>
        <v>#VALUE!</v>
      </c>
      <c r="DM373" t="e">
        <f>'Technical Master Data'!M464+"AM:!3.&amp;"</f>
        <v>#VALUE!</v>
      </c>
      <c r="DN373" t="e">
        <f>'Technical Master Data'!N464+"AM:!3.'"</f>
        <v>#VALUE!</v>
      </c>
      <c r="DO373" t="e">
        <f>'Technical Master Data'!O464+"AM:!3.("</f>
        <v>#VALUE!</v>
      </c>
      <c r="DP373" t="e">
        <f>'Technical Master Data'!P464+"AM:!3.)"</f>
        <v>#VALUE!</v>
      </c>
      <c r="DQ373" t="e">
        <f>'Technical Master Data'!Q464+"AM:!3.."</f>
        <v>#VALUE!</v>
      </c>
      <c r="DR373" t="e">
        <f>'Technical Master Data'!R464+"AM:!3./"</f>
        <v>#VALUE!</v>
      </c>
      <c r="DS373" t="e">
        <f>'Technical Master Data'!S464+"AM:!3.0"</f>
        <v>#VALUE!</v>
      </c>
      <c r="DT373" t="e">
        <f>'Technical Master Data'!A465+"AM:!3.1"</f>
        <v>#VALUE!</v>
      </c>
      <c r="DU373" t="e">
        <f>'Technical Master Data'!B465+"AM:!3.2"</f>
        <v>#VALUE!</v>
      </c>
      <c r="DV373" t="e">
        <f>'Technical Master Data'!C465+"AM:!3.3"</f>
        <v>#VALUE!</v>
      </c>
      <c r="DW373" t="e">
        <f>'Technical Master Data'!D465+"AM:!3.4"</f>
        <v>#VALUE!</v>
      </c>
      <c r="DX373" t="e">
        <f>'Technical Master Data'!E465+"AM:!3.5"</f>
        <v>#VALUE!</v>
      </c>
      <c r="DY373" t="e">
        <f>'Technical Master Data'!F465+"AM:!3.6"</f>
        <v>#VALUE!</v>
      </c>
      <c r="DZ373" t="e">
        <f>'Technical Master Data'!G465+"AM:!3.7"</f>
        <v>#VALUE!</v>
      </c>
      <c r="EA373" t="e">
        <f>'Technical Master Data'!H465+"AM:!3.8"</f>
        <v>#VALUE!</v>
      </c>
      <c r="EB373" t="e">
        <f>'Technical Master Data'!I465+"AM:!3.9"</f>
        <v>#VALUE!</v>
      </c>
      <c r="EC373" t="e">
        <f>'Technical Master Data'!J465+"AM:!3.:"</f>
        <v>#VALUE!</v>
      </c>
      <c r="ED373" t="e">
        <f>'Technical Master Data'!K465+"AM:!3.;"</f>
        <v>#VALUE!</v>
      </c>
      <c r="EE373" t="e">
        <f>'Technical Master Data'!L465+"AM:!3.&lt;"</f>
        <v>#VALUE!</v>
      </c>
      <c r="EF373" t="e">
        <f>'Technical Master Data'!M465+"AM:!3.="</f>
        <v>#VALUE!</v>
      </c>
      <c r="EG373" t="e">
        <f>'Technical Master Data'!N465+"AM:!3.&gt;"</f>
        <v>#VALUE!</v>
      </c>
      <c r="EH373" t="e">
        <f>'Technical Master Data'!O465+"AM:!3.?"</f>
        <v>#VALUE!</v>
      </c>
      <c r="EI373" t="e">
        <f>'Technical Master Data'!P465+"AM:!3.@"</f>
        <v>#VALUE!</v>
      </c>
      <c r="EJ373" t="e">
        <f>'Technical Master Data'!Q465+"AM:!3.A"</f>
        <v>#VALUE!</v>
      </c>
      <c r="EK373" t="e">
        <f>'Technical Master Data'!R465+"AM:!3.B"</f>
        <v>#VALUE!</v>
      </c>
      <c r="EL373" t="e">
        <f>'Technical Master Data'!S465+"AM:!3.C"</f>
        <v>#VALUE!</v>
      </c>
      <c r="EM373" t="e">
        <f>'Technical Master Data'!A466+"AM:!3.D"</f>
        <v>#VALUE!</v>
      </c>
      <c r="EN373" t="e">
        <f>'Technical Master Data'!B466+"AM:!3.E"</f>
        <v>#VALUE!</v>
      </c>
      <c r="EO373" t="e">
        <f>'Technical Master Data'!C466+"AM:!3.F"</f>
        <v>#VALUE!</v>
      </c>
      <c r="EP373" t="e">
        <f>'Technical Master Data'!D466+"AM:!3.G"</f>
        <v>#VALUE!</v>
      </c>
      <c r="EQ373" t="e">
        <f>'Technical Master Data'!E466+"AM:!3.H"</f>
        <v>#VALUE!</v>
      </c>
      <c r="ER373" t="e">
        <f>'Technical Master Data'!F466+"AM:!3.I"</f>
        <v>#VALUE!</v>
      </c>
      <c r="ES373" t="e">
        <f>'Technical Master Data'!G466+"AM:!3.J"</f>
        <v>#VALUE!</v>
      </c>
      <c r="ET373" t="e">
        <f>'Technical Master Data'!H466+"AM:!3.K"</f>
        <v>#VALUE!</v>
      </c>
      <c r="EU373" t="e">
        <f>'Technical Master Data'!I466+"AM:!3.L"</f>
        <v>#VALUE!</v>
      </c>
      <c r="EV373" t="e">
        <f>'Technical Master Data'!J466+"AM:!3.M"</f>
        <v>#VALUE!</v>
      </c>
      <c r="EW373" t="e">
        <f>'Technical Master Data'!K466+"AM:!3.N"</f>
        <v>#VALUE!</v>
      </c>
      <c r="EX373" t="e">
        <f>'Technical Master Data'!L466+"AM:!3.O"</f>
        <v>#VALUE!</v>
      </c>
      <c r="EY373" t="e">
        <f>'Technical Master Data'!M466+"AM:!3.P"</f>
        <v>#VALUE!</v>
      </c>
      <c r="EZ373" t="e">
        <f>'Technical Master Data'!N466+"AM:!3.Q"</f>
        <v>#VALUE!</v>
      </c>
      <c r="FA373" t="e">
        <f>'Technical Master Data'!O466+"AM:!3.R"</f>
        <v>#VALUE!</v>
      </c>
      <c r="FB373" t="e">
        <f>'Technical Master Data'!P466+"AM:!3.S"</f>
        <v>#VALUE!</v>
      </c>
      <c r="FC373" t="e">
        <f>'Technical Master Data'!Q466+"AM:!3.T"</f>
        <v>#VALUE!</v>
      </c>
      <c r="FD373" t="e">
        <f>'Technical Master Data'!R466+"AM:!3.U"</f>
        <v>#VALUE!</v>
      </c>
      <c r="FE373" t="e">
        <f>'Technical Master Data'!S466+"AM:!3.V"</f>
        <v>#VALUE!</v>
      </c>
      <c r="FF373" t="e">
        <f>'Technical Master Data'!A467+"AM:!3.W"</f>
        <v>#VALUE!</v>
      </c>
      <c r="FG373" t="e">
        <f>'Technical Master Data'!B467+"AM:!3.X"</f>
        <v>#VALUE!</v>
      </c>
      <c r="FH373" t="e">
        <f>'Technical Master Data'!C467+"AM:!3.Y"</f>
        <v>#VALUE!</v>
      </c>
      <c r="FI373" t="e">
        <f>'Technical Master Data'!D467+"AM:!3.Z"</f>
        <v>#VALUE!</v>
      </c>
      <c r="FJ373" t="e">
        <f>'Technical Master Data'!E467+"AM:!3.["</f>
        <v>#VALUE!</v>
      </c>
      <c r="FK373" t="e">
        <f>'Technical Master Data'!F467+"AM:!3.\"</f>
        <v>#VALUE!</v>
      </c>
      <c r="FL373" t="e">
        <f>'Technical Master Data'!G467+"AM:!3.]"</f>
        <v>#VALUE!</v>
      </c>
      <c r="FM373" t="e">
        <f>'Technical Master Data'!H467+"AM:!3.^"</f>
        <v>#VALUE!</v>
      </c>
      <c r="FN373" t="e">
        <f>'Technical Master Data'!I467+"AM:!3._"</f>
        <v>#VALUE!</v>
      </c>
      <c r="FO373" t="e">
        <f>'Technical Master Data'!J467+"AM:!3.`"</f>
        <v>#VALUE!</v>
      </c>
      <c r="FP373" t="e">
        <f>'Technical Master Data'!K467+"AM:!3.a"</f>
        <v>#VALUE!</v>
      </c>
      <c r="FQ373" t="e">
        <f>'Technical Master Data'!L467+"AM:!3.b"</f>
        <v>#VALUE!</v>
      </c>
      <c r="FR373" t="e">
        <f>'Technical Master Data'!M467+"AM:!3.c"</f>
        <v>#VALUE!</v>
      </c>
      <c r="FS373" t="e">
        <f>'Technical Master Data'!N467+"AM:!3.d"</f>
        <v>#VALUE!</v>
      </c>
      <c r="FT373" t="e">
        <f>'Technical Master Data'!O467+"AM:!3.e"</f>
        <v>#VALUE!</v>
      </c>
      <c r="FU373" t="e">
        <f>'Technical Master Data'!P467+"AM:!3.f"</f>
        <v>#VALUE!</v>
      </c>
      <c r="FV373" t="e">
        <f>'Technical Master Data'!Q467+"AM:!3.g"</f>
        <v>#VALUE!</v>
      </c>
      <c r="FW373" t="e">
        <f>'Technical Master Data'!R467+"AM:!3.h"</f>
        <v>#VALUE!</v>
      </c>
      <c r="FX373" t="e">
        <f>'Technical Master Data'!S467+"AM:!3.i"</f>
        <v>#VALUE!</v>
      </c>
      <c r="FY373" t="e">
        <f>'Technical Master Data'!A468+"AM:!3.j"</f>
        <v>#VALUE!</v>
      </c>
      <c r="FZ373" t="e">
        <f>'Technical Master Data'!B468+"AM:!3.k"</f>
        <v>#VALUE!</v>
      </c>
      <c r="GA373" t="e">
        <f>'Technical Master Data'!C468+"AM:!3.l"</f>
        <v>#VALUE!</v>
      </c>
      <c r="GB373" t="e">
        <f>'Technical Master Data'!D468+"AM:!3.m"</f>
        <v>#VALUE!</v>
      </c>
      <c r="GC373" t="e">
        <f>'Technical Master Data'!E468+"AM:!3.n"</f>
        <v>#VALUE!</v>
      </c>
      <c r="GD373" t="e">
        <f>'Technical Master Data'!F468+"AM:!3.o"</f>
        <v>#VALUE!</v>
      </c>
      <c r="GE373" t="e">
        <f>'Technical Master Data'!G468+"AM:!3.p"</f>
        <v>#VALUE!</v>
      </c>
      <c r="GF373" t="e">
        <f>'Technical Master Data'!H468+"AM:!3.q"</f>
        <v>#VALUE!</v>
      </c>
      <c r="GG373" t="e">
        <f>'Technical Master Data'!I468+"AM:!3.r"</f>
        <v>#VALUE!</v>
      </c>
      <c r="GH373" t="e">
        <f>'Technical Master Data'!J468+"AM:!3.s"</f>
        <v>#VALUE!</v>
      </c>
      <c r="GI373" t="e">
        <f>'Technical Master Data'!K468+"AM:!3.t"</f>
        <v>#VALUE!</v>
      </c>
      <c r="GJ373" t="e">
        <f>'Technical Master Data'!L468+"AM:!3.u"</f>
        <v>#VALUE!</v>
      </c>
      <c r="GK373" t="e">
        <f>'Technical Master Data'!M468+"AM:!3.v"</f>
        <v>#VALUE!</v>
      </c>
      <c r="GL373" t="e">
        <f>'Technical Master Data'!N468+"AM:!3.w"</f>
        <v>#VALUE!</v>
      </c>
      <c r="GM373" t="e">
        <f>'Technical Master Data'!O468+"AM:!3.x"</f>
        <v>#VALUE!</v>
      </c>
      <c r="GN373" t="e">
        <f>'Technical Master Data'!P468+"AM:!3.y"</f>
        <v>#VALUE!</v>
      </c>
      <c r="GO373" t="e">
        <f>'Technical Master Data'!Q468+"AM:!3.z"</f>
        <v>#VALUE!</v>
      </c>
      <c r="GP373" t="e">
        <f>'Technical Master Data'!R468+"AM:!3.{"</f>
        <v>#VALUE!</v>
      </c>
      <c r="GQ373" t="e">
        <f>'Technical Master Data'!S468+"AM:!3.|"</f>
        <v>#VALUE!</v>
      </c>
      <c r="GR373" t="e">
        <f>'Technical Master Data'!A469+"AM:!3.}"</f>
        <v>#VALUE!</v>
      </c>
      <c r="GS373" t="e">
        <f>'Technical Master Data'!B469+"AM:!3.~"</f>
        <v>#VALUE!</v>
      </c>
      <c r="GT373" t="e">
        <f>'Technical Master Data'!C469+"AM:!3/#"</f>
        <v>#VALUE!</v>
      </c>
      <c r="GU373" t="e">
        <f>'Technical Master Data'!D469+"AM:!3/$"</f>
        <v>#VALUE!</v>
      </c>
      <c r="GV373" t="e">
        <f>'Technical Master Data'!E469+"AM:!3/%"</f>
        <v>#VALUE!</v>
      </c>
      <c r="GW373" t="e">
        <f>'Technical Master Data'!F469+"AM:!3/&amp;"</f>
        <v>#VALUE!</v>
      </c>
      <c r="GX373" t="e">
        <f>'Technical Master Data'!G469+"AM:!3/'"</f>
        <v>#VALUE!</v>
      </c>
      <c r="GY373" t="e">
        <f>'Technical Master Data'!H469+"AM:!3/("</f>
        <v>#VALUE!</v>
      </c>
      <c r="GZ373" t="e">
        <f>'Technical Master Data'!I469+"AM:!3/)"</f>
        <v>#VALUE!</v>
      </c>
      <c r="HA373" t="e">
        <f>'Technical Master Data'!J469+"AM:!3/."</f>
        <v>#VALUE!</v>
      </c>
      <c r="HB373" t="e">
        <f>'Technical Master Data'!K469+"AM:!3//"</f>
        <v>#VALUE!</v>
      </c>
      <c r="HC373" t="e">
        <f>'Technical Master Data'!L469+"AM:!3/0"</f>
        <v>#VALUE!</v>
      </c>
      <c r="HD373" t="e">
        <f>'Technical Master Data'!M469+"AM:!3/1"</f>
        <v>#VALUE!</v>
      </c>
      <c r="HE373" t="e">
        <f>'Technical Master Data'!N469+"AM:!3/2"</f>
        <v>#VALUE!</v>
      </c>
      <c r="HF373" t="e">
        <f>'Technical Master Data'!O469+"AM:!3/3"</f>
        <v>#VALUE!</v>
      </c>
      <c r="HG373" t="e">
        <f>'Technical Master Data'!P469+"AM:!3/4"</f>
        <v>#VALUE!</v>
      </c>
      <c r="HH373" t="e">
        <f>'Technical Master Data'!Q469+"AM:!3/5"</f>
        <v>#VALUE!</v>
      </c>
      <c r="HI373" t="e">
        <f>'Technical Master Data'!R469+"AM:!3/6"</f>
        <v>#VALUE!</v>
      </c>
      <c r="HJ373" t="e">
        <f>'Technical Master Data'!S469+"AM:!3/7"</f>
        <v>#VALUE!</v>
      </c>
      <c r="HK373" t="e">
        <f>'Technical Master Data'!A470+"AM:!3/8"</f>
        <v>#VALUE!</v>
      </c>
      <c r="HL373" t="e">
        <f>'Technical Master Data'!B470+"AM:!3/9"</f>
        <v>#VALUE!</v>
      </c>
      <c r="HM373" t="e">
        <f>'Technical Master Data'!C470+"AM:!3/:"</f>
        <v>#VALUE!</v>
      </c>
      <c r="HN373" t="e">
        <f>'Technical Master Data'!D470+"AM:!3/;"</f>
        <v>#VALUE!</v>
      </c>
      <c r="HO373" t="e">
        <f>'Technical Master Data'!E470+"AM:!3/&lt;"</f>
        <v>#VALUE!</v>
      </c>
      <c r="HP373" t="e">
        <f>'Technical Master Data'!F470+"AM:!3/="</f>
        <v>#VALUE!</v>
      </c>
      <c r="HQ373" t="e">
        <f>'Technical Master Data'!G470+"AM:!3/&gt;"</f>
        <v>#VALUE!</v>
      </c>
      <c r="HR373" t="e">
        <f>'Technical Master Data'!H470+"AM:!3/?"</f>
        <v>#VALUE!</v>
      </c>
      <c r="HS373" t="e">
        <f>'Technical Master Data'!I470+"AM:!3/@"</f>
        <v>#VALUE!</v>
      </c>
      <c r="HT373" t="e">
        <f>'Technical Master Data'!J470+"AM:!3/A"</f>
        <v>#VALUE!</v>
      </c>
      <c r="HU373" t="e">
        <f>'Technical Master Data'!K470+"AM:!3/B"</f>
        <v>#VALUE!</v>
      </c>
      <c r="HV373" t="e">
        <f>'Technical Master Data'!L470+"AM:!3/C"</f>
        <v>#VALUE!</v>
      </c>
      <c r="HW373" t="e">
        <f>'Technical Master Data'!M470+"AM:!3/D"</f>
        <v>#VALUE!</v>
      </c>
      <c r="HX373" t="e">
        <f>'Technical Master Data'!N470+"AM:!3/E"</f>
        <v>#VALUE!</v>
      </c>
      <c r="HY373" t="e">
        <f>'Technical Master Data'!O470+"AM:!3/F"</f>
        <v>#VALUE!</v>
      </c>
      <c r="HZ373" t="e">
        <f>'Technical Master Data'!P470+"AM:!3/G"</f>
        <v>#VALUE!</v>
      </c>
      <c r="IA373" t="e">
        <f>'Technical Master Data'!Q470+"AM:!3/H"</f>
        <v>#VALUE!</v>
      </c>
      <c r="IB373" t="e">
        <f>'Technical Master Data'!R470+"AM:!3/I"</f>
        <v>#VALUE!</v>
      </c>
      <c r="IC373" t="e">
        <f>'Technical Master Data'!S470+"AM:!3/J"</f>
        <v>#VALUE!</v>
      </c>
      <c r="ID373" t="e">
        <f>'Technical Master Data'!A471+"AM:!3/K"</f>
        <v>#VALUE!</v>
      </c>
      <c r="IE373" t="e">
        <f>'Technical Master Data'!B471+"AM:!3/L"</f>
        <v>#VALUE!</v>
      </c>
      <c r="IF373" t="e">
        <f>'Technical Master Data'!C471+"AM:!3/M"</f>
        <v>#VALUE!</v>
      </c>
      <c r="IG373" t="e">
        <f>'Technical Master Data'!D471+"AM:!3/N"</f>
        <v>#VALUE!</v>
      </c>
      <c r="IH373" t="e">
        <f>'Technical Master Data'!E471+"AM:!3/O"</f>
        <v>#VALUE!</v>
      </c>
      <c r="II373" t="e">
        <f>'Technical Master Data'!F471+"AM:!3/P"</f>
        <v>#VALUE!</v>
      </c>
      <c r="IJ373" t="e">
        <f>'Technical Master Data'!G471+"AM:!3/Q"</f>
        <v>#VALUE!</v>
      </c>
      <c r="IK373" t="e">
        <f>'Technical Master Data'!H471+"AM:!3/R"</f>
        <v>#VALUE!</v>
      </c>
      <c r="IL373" t="e">
        <f>'Technical Master Data'!I471+"AM:!3/S"</f>
        <v>#VALUE!</v>
      </c>
      <c r="IM373" t="e">
        <f>'Technical Master Data'!J471+"AM:!3/T"</f>
        <v>#VALUE!</v>
      </c>
      <c r="IN373" t="e">
        <f>'Technical Master Data'!K471+"AM:!3/U"</f>
        <v>#VALUE!</v>
      </c>
      <c r="IO373" t="e">
        <f>'Technical Master Data'!L471+"AM:!3/V"</f>
        <v>#VALUE!</v>
      </c>
      <c r="IP373" t="e">
        <f>'Technical Master Data'!M471+"AM:!3/W"</f>
        <v>#VALUE!</v>
      </c>
      <c r="IQ373" t="e">
        <f>'Technical Master Data'!N471+"AM:!3/X"</f>
        <v>#VALUE!</v>
      </c>
      <c r="IR373" t="e">
        <f>'Technical Master Data'!O471+"AM:!3/Y"</f>
        <v>#VALUE!</v>
      </c>
      <c r="IS373" t="e">
        <f>'Technical Master Data'!P471+"AM:!3/Z"</f>
        <v>#VALUE!</v>
      </c>
      <c r="IT373" t="e">
        <f>'Technical Master Data'!Q471+"AM:!3/["</f>
        <v>#VALUE!</v>
      </c>
      <c r="IU373" t="e">
        <f>'Technical Master Data'!R471+"AM:!3/\"</f>
        <v>#VALUE!</v>
      </c>
      <c r="IV373" t="e">
        <f>'Technical Master Data'!S471+"AM:!3/]"</f>
        <v>#VALUE!</v>
      </c>
    </row>
    <row r="374" spans="6:256">
      <c r="F374" t="e">
        <f>'Technical Master Data'!A472+"AM:!3/^"</f>
        <v>#VALUE!</v>
      </c>
      <c r="G374" t="e">
        <f>'Technical Master Data'!B472+"AM:!3/_"</f>
        <v>#VALUE!</v>
      </c>
      <c r="H374" t="e">
        <f>'Technical Master Data'!C472+"AM:!3/`"</f>
        <v>#VALUE!</v>
      </c>
      <c r="I374" t="e">
        <f>'Technical Master Data'!D472+"AM:!3/a"</f>
        <v>#VALUE!</v>
      </c>
      <c r="J374" t="e">
        <f>'Technical Master Data'!E472+"AM:!3/b"</f>
        <v>#VALUE!</v>
      </c>
      <c r="K374" t="e">
        <f>'Technical Master Data'!F472+"AM:!3/c"</f>
        <v>#VALUE!</v>
      </c>
      <c r="L374" t="e">
        <f>'Technical Master Data'!G472+"AM:!3/d"</f>
        <v>#VALUE!</v>
      </c>
      <c r="M374" t="e">
        <f>'Technical Master Data'!H472+"AM:!3/e"</f>
        <v>#VALUE!</v>
      </c>
      <c r="N374" t="e">
        <f>'Technical Master Data'!I472+"AM:!3/f"</f>
        <v>#VALUE!</v>
      </c>
      <c r="O374" t="e">
        <f>'Technical Master Data'!J472+"AM:!3/g"</f>
        <v>#VALUE!</v>
      </c>
      <c r="P374" t="e">
        <f>'Technical Master Data'!K472+"AM:!3/h"</f>
        <v>#VALUE!</v>
      </c>
      <c r="Q374" t="e">
        <f>'Technical Master Data'!L472+"AM:!3/i"</f>
        <v>#VALUE!</v>
      </c>
      <c r="R374" t="e">
        <f>'Technical Master Data'!M472+"AM:!3/j"</f>
        <v>#VALUE!</v>
      </c>
      <c r="S374" t="e">
        <f>'Technical Master Data'!N472+"AM:!3/k"</f>
        <v>#VALUE!</v>
      </c>
      <c r="T374" t="e">
        <f>'Technical Master Data'!O472+"AM:!3/l"</f>
        <v>#VALUE!</v>
      </c>
      <c r="U374" t="e">
        <f>'Technical Master Data'!P472+"AM:!3/m"</f>
        <v>#VALUE!</v>
      </c>
      <c r="V374" t="e">
        <f>'Technical Master Data'!Q472+"AM:!3/n"</f>
        <v>#VALUE!</v>
      </c>
      <c r="W374" t="e">
        <f>'Technical Master Data'!R472+"AM:!3/o"</f>
        <v>#VALUE!</v>
      </c>
      <c r="X374" t="e">
        <f>'Technical Master Data'!S472+"AM:!3/p"</f>
        <v>#VALUE!</v>
      </c>
      <c r="Y374" t="e">
        <f>'Technical Master Data'!A473+"AM:!3/q"</f>
        <v>#VALUE!</v>
      </c>
      <c r="Z374" t="e">
        <f>'Technical Master Data'!B473+"AM:!3/r"</f>
        <v>#VALUE!</v>
      </c>
      <c r="AA374" t="e">
        <f>'Technical Master Data'!C473+"AM:!3/s"</f>
        <v>#VALUE!</v>
      </c>
      <c r="AB374" t="e">
        <f>'Technical Master Data'!D473+"AM:!3/t"</f>
        <v>#VALUE!</v>
      </c>
      <c r="AC374" t="e">
        <f>'Technical Master Data'!E473+"AM:!3/u"</f>
        <v>#VALUE!</v>
      </c>
      <c r="AD374" t="e">
        <f>'Technical Master Data'!F473+"AM:!3/v"</f>
        <v>#VALUE!</v>
      </c>
      <c r="AE374" t="e">
        <f>'Technical Master Data'!G473+"AM:!3/w"</f>
        <v>#VALUE!</v>
      </c>
      <c r="AF374" t="e">
        <f>'Technical Master Data'!H473+"AM:!3/x"</f>
        <v>#VALUE!</v>
      </c>
      <c r="AG374" t="e">
        <f>'Technical Master Data'!I473+"AM:!3/y"</f>
        <v>#VALUE!</v>
      </c>
      <c r="AH374" t="e">
        <f>'Technical Master Data'!J473+"AM:!3/z"</f>
        <v>#VALUE!</v>
      </c>
      <c r="AI374" t="e">
        <f>'Technical Master Data'!K473+"AM:!3/{"</f>
        <v>#VALUE!</v>
      </c>
      <c r="AJ374" t="e">
        <f>'Technical Master Data'!L473+"AM:!3/|"</f>
        <v>#VALUE!</v>
      </c>
      <c r="AK374" t="e">
        <f>'Technical Master Data'!M473+"AM:!3/}"</f>
        <v>#VALUE!</v>
      </c>
      <c r="AL374" t="e">
        <f>'Technical Master Data'!N473+"AM:!3/~"</f>
        <v>#VALUE!</v>
      </c>
      <c r="AM374" t="e">
        <f>'Technical Master Data'!O473+"AM:!30#"</f>
        <v>#VALUE!</v>
      </c>
      <c r="AN374" t="e">
        <f>'Technical Master Data'!P473+"AM:!30$"</f>
        <v>#VALUE!</v>
      </c>
      <c r="AO374" t="e">
        <f>'Technical Master Data'!Q473+"AM:!30%"</f>
        <v>#VALUE!</v>
      </c>
      <c r="AP374" t="e">
        <f>'Technical Master Data'!R473+"AM:!30&amp;"</f>
        <v>#VALUE!</v>
      </c>
      <c r="AQ374" t="e">
        <f>'Technical Master Data'!S473+"AM:!30'"</f>
        <v>#VALUE!</v>
      </c>
      <c r="AR374" t="e">
        <f>'Technical Master Data'!A474+"AM:!30("</f>
        <v>#VALUE!</v>
      </c>
      <c r="AS374" t="e">
        <f>'Technical Master Data'!B474+"AM:!30)"</f>
        <v>#VALUE!</v>
      </c>
      <c r="AT374" t="e">
        <f>'Technical Master Data'!C474+"AM:!30."</f>
        <v>#VALUE!</v>
      </c>
      <c r="AU374" t="e">
        <f>'Technical Master Data'!D474+"AM:!30/"</f>
        <v>#VALUE!</v>
      </c>
      <c r="AV374" t="e">
        <f>'Technical Master Data'!E474+"AM:!300"</f>
        <v>#VALUE!</v>
      </c>
      <c r="AW374" t="e">
        <f>'Technical Master Data'!F474+"AM:!301"</f>
        <v>#VALUE!</v>
      </c>
      <c r="AX374" t="e">
        <f>'Technical Master Data'!G474+"AM:!302"</f>
        <v>#VALUE!</v>
      </c>
      <c r="AY374" t="e">
        <f>'Technical Master Data'!H474+"AM:!303"</f>
        <v>#VALUE!</v>
      </c>
      <c r="AZ374" t="e">
        <f>'Technical Master Data'!I474+"AM:!304"</f>
        <v>#VALUE!</v>
      </c>
      <c r="BA374" t="e">
        <f>'Technical Master Data'!J474+"AM:!305"</f>
        <v>#VALUE!</v>
      </c>
      <c r="BB374" t="e">
        <f>'Technical Master Data'!K474+"AM:!306"</f>
        <v>#VALUE!</v>
      </c>
      <c r="BC374" t="e">
        <f>'Technical Master Data'!L474+"AM:!307"</f>
        <v>#VALUE!</v>
      </c>
      <c r="BD374" t="e">
        <f>'Technical Master Data'!M474+"AM:!308"</f>
        <v>#VALUE!</v>
      </c>
      <c r="BE374" t="e">
        <f>'Technical Master Data'!N474+"AM:!309"</f>
        <v>#VALUE!</v>
      </c>
      <c r="BF374" t="e">
        <f>'Technical Master Data'!O474+"AM:!30:"</f>
        <v>#VALUE!</v>
      </c>
      <c r="BG374" t="e">
        <f>'Technical Master Data'!P474+"AM:!30;"</f>
        <v>#VALUE!</v>
      </c>
      <c r="BH374" t="e">
        <f>'Technical Master Data'!Q474+"AM:!30&lt;"</f>
        <v>#VALUE!</v>
      </c>
      <c r="BI374" t="e">
        <f>'Technical Master Data'!R474+"AM:!30="</f>
        <v>#VALUE!</v>
      </c>
      <c r="BJ374" t="e">
        <f>'Technical Master Data'!S474+"AM:!30&gt;"</f>
        <v>#VALUE!</v>
      </c>
      <c r="BK374" t="e">
        <f>'Technical Master Data'!A475+"AM:!30?"</f>
        <v>#VALUE!</v>
      </c>
      <c r="BL374" t="e">
        <f>'Technical Master Data'!B475+"AM:!30@"</f>
        <v>#VALUE!</v>
      </c>
      <c r="BM374" t="e">
        <f>'Technical Master Data'!C475+"AM:!30A"</f>
        <v>#VALUE!</v>
      </c>
      <c r="BN374" t="e">
        <f>'Technical Master Data'!D475+"AM:!30B"</f>
        <v>#VALUE!</v>
      </c>
      <c r="BO374" t="e">
        <f>'Technical Master Data'!E475+"AM:!30C"</f>
        <v>#VALUE!</v>
      </c>
      <c r="BP374" t="e">
        <f>'Technical Master Data'!F475+"AM:!30D"</f>
        <v>#VALUE!</v>
      </c>
      <c r="BQ374" t="e">
        <f>'Technical Master Data'!G475+"AM:!30E"</f>
        <v>#VALUE!</v>
      </c>
      <c r="BR374" t="e">
        <f>'Technical Master Data'!H475+"AM:!30F"</f>
        <v>#VALUE!</v>
      </c>
      <c r="BS374" t="e">
        <f>'Technical Master Data'!I475+"AM:!30G"</f>
        <v>#VALUE!</v>
      </c>
      <c r="BT374" t="e">
        <f>'Technical Master Data'!J475+"AM:!30H"</f>
        <v>#VALUE!</v>
      </c>
      <c r="BU374" t="e">
        <f>'Technical Master Data'!K475+"AM:!30I"</f>
        <v>#VALUE!</v>
      </c>
      <c r="BV374" t="e">
        <f>'Technical Master Data'!L475+"AM:!30J"</f>
        <v>#VALUE!</v>
      </c>
      <c r="BW374" t="e">
        <f>'Technical Master Data'!M475+"AM:!30K"</f>
        <v>#VALUE!</v>
      </c>
      <c r="BX374" t="e">
        <f>'Technical Master Data'!N475+"AM:!30L"</f>
        <v>#VALUE!</v>
      </c>
      <c r="BY374" t="e">
        <f>'Technical Master Data'!O475+"AM:!30M"</f>
        <v>#VALUE!</v>
      </c>
      <c r="BZ374" t="e">
        <f>'Technical Master Data'!P475+"AM:!30N"</f>
        <v>#VALUE!</v>
      </c>
      <c r="CA374" t="e">
        <f>'Technical Master Data'!Q475+"AM:!30O"</f>
        <v>#VALUE!</v>
      </c>
      <c r="CB374" t="e">
        <f>'Technical Master Data'!R475+"AM:!30P"</f>
        <v>#VALUE!</v>
      </c>
      <c r="CC374" t="e">
        <f>'Technical Master Data'!S475+"AM:!30Q"</f>
        <v>#VALUE!</v>
      </c>
      <c r="CD374" t="e">
        <f>'Technical Master Data'!A476+"AM:!30R"</f>
        <v>#VALUE!</v>
      </c>
      <c r="CE374" t="e">
        <f>'Technical Master Data'!B476+"AM:!30S"</f>
        <v>#VALUE!</v>
      </c>
      <c r="CF374" t="e">
        <f>'Technical Master Data'!C476+"AM:!30T"</f>
        <v>#VALUE!</v>
      </c>
      <c r="CG374" t="e">
        <f>'Technical Master Data'!D476+"AM:!30U"</f>
        <v>#VALUE!</v>
      </c>
      <c r="CH374" t="e">
        <f>'Technical Master Data'!E476+"AM:!30V"</f>
        <v>#VALUE!</v>
      </c>
      <c r="CI374" t="e">
        <f>'Technical Master Data'!F476+"AM:!30W"</f>
        <v>#VALUE!</v>
      </c>
      <c r="CJ374" t="e">
        <f>'Technical Master Data'!G476+"AM:!30X"</f>
        <v>#VALUE!</v>
      </c>
      <c r="CK374" t="e">
        <f>'Technical Master Data'!H476+"AM:!30Y"</f>
        <v>#VALUE!</v>
      </c>
      <c r="CL374" t="e">
        <f>'Technical Master Data'!I476+"AM:!30Z"</f>
        <v>#VALUE!</v>
      </c>
      <c r="CM374" t="e">
        <f>'Technical Master Data'!J476+"AM:!30["</f>
        <v>#VALUE!</v>
      </c>
      <c r="CN374" t="e">
        <f>'Technical Master Data'!K476+"AM:!30\"</f>
        <v>#VALUE!</v>
      </c>
      <c r="CO374" t="e">
        <f>'Technical Master Data'!L476+"AM:!30]"</f>
        <v>#VALUE!</v>
      </c>
      <c r="CP374" t="e">
        <f>'Technical Master Data'!M476+"AM:!30^"</f>
        <v>#VALUE!</v>
      </c>
      <c r="CQ374" t="e">
        <f>'Technical Master Data'!N476+"AM:!30_"</f>
        <v>#VALUE!</v>
      </c>
      <c r="CR374" t="e">
        <f>'Technical Master Data'!O476+"AM:!30`"</f>
        <v>#VALUE!</v>
      </c>
      <c r="CS374" t="e">
        <f>'Technical Master Data'!P476+"AM:!30a"</f>
        <v>#VALUE!</v>
      </c>
      <c r="CT374" t="e">
        <f>'Technical Master Data'!Q476+"AM:!30b"</f>
        <v>#VALUE!</v>
      </c>
      <c r="CU374" t="e">
        <f>'Technical Master Data'!R476+"AM:!30c"</f>
        <v>#VALUE!</v>
      </c>
      <c r="CV374" t="e">
        <f>'Technical Master Data'!S476+"AM:!30d"</f>
        <v>#VALUE!</v>
      </c>
      <c r="CW374" t="e">
        <f>'Technical Master Data'!A477+"AM:!30e"</f>
        <v>#VALUE!</v>
      </c>
      <c r="CX374" t="e">
        <f>'Technical Master Data'!B477+"AM:!30f"</f>
        <v>#VALUE!</v>
      </c>
      <c r="CY374" t="e">
        <f>'Technical Master Data'!C477+"AM:!30g"</f>
        <v>#VALUE!</v>
      </c>
      <c r="CZ374" t="e">
        <f>'Technical Master Data'!D477+"AM:!30h"</f>
        <v>#VALUE!</v>
      </c>
      <c r="DA374" t="e">
        <f>'Technical Master Data'!E477+"AM:!30i"</f>
        <v>#VALUE!</v>
      </c>
      <c r="DB374" t="e">
        <f>'Technical Master Data'!F477+"AM:!30j"</f>
        <v>#VALUE!</v>
      </c>
      <c r="DC374" t="e">
        <f>'Technical Master Data'!G477+"AM:!30k"</f>
        <v>#VALUE!</v>
      </c>
      <c r="DD374" t="e">
        <f>'Technical Master Data'!H477+"AM:!30l"</f>
        <v>#VALUE!</v>
      </c>
      <c r="DE374" t="e">
        <f>'Technical Master Data'!I477+"AM:!30m"</f>
        <v>#VALUE!</v>
      </c>
      <c r="DF374" t="e">
        <f>'Technical Master Data'!J477+"AM:!30n"</f>
        <v>#VALUE!</v>
      </c>
      <c r="DG374" t="e">
        <f>'Technical Master Data'!K477+"AM:!30o"</f>
        <v>#VALUE!</v>
      </c>
      <c r="DH374" t="e">
        <f>'Technical Master Data'!L477+"AM:!30p"</f>
        <v>#VALUE!</v>
      </c>
      <c r="DI374" t="e">
        <f>'Technical Master Data'!M477+"AM:!30q"</f>
        <v>#VALUE!</v>
      </c>
      <c r="DJ374" t="e">
        <f>'Technical Master Data'!N477+"AM:!30r"</f>
        <v>#VALUE!</v>
      </c>
      <c r="DK374" t="e">
        <f>'Technical Master Data'!O477+"AM:!30s"</f>
        <v>#VALUE!</v>
      </c>
      <c r="DL374" t="e">
        <f>'Technical Master Data'!P477+"AM:!30t"</f>
        <v>#VALUE!</v>
      </c>
      <c r="DM374" t="e">
        <f>'Technical Master Data'!Q477+"AM:!30u"</f>
        <v>#VALUE!</v>
      </c>
      <c r="DN374" t="e">
        <f>'Technical Master Data'!R477+"AM:!30v"</f>
        <v>#VALUE!</v>
      </c>
      <c r="DO374" t="e">
        <f>'Technical Master Data'!S477+"AM:!30w"</f>
        <v>#VALUE!</v>
      </c>
      <c r="DP374" t="e">
        <f>'Technical Master Data'!A478+"AM:!30x"</f>
        <v>#VALUE!</v>
      </c>
      <c r="DQ374" t="e">
        <f>'Technical Master Data'!B478+"AM:!30y"</f>
        <v>#VALUE!</v>
      </c>
      <c r="DR374" t="e">
        <f>'Technical Master Data'!C478+"AM:!30z"</f>
        <v>#VALUE!</v>
      </c>
      <c r="DS374" t="e">
        <f>'Technical Master Data'!D478+"AM:!30{"</f>
        <v>#VALUE!</v>
      </c>
      <c r="DT374" t="e">
        <f>'Technical Master Data'!E478+"AM:!30|"</f>
        <v>#VALUE!</v>
      </c>
      <c r="DU374" t="e">
        <f>'Technical Master Data'!F478+"AM:!30}"</f>
        <v>#VALUE!</v>
      </c>
      <c r="DV374" t="e">
        <f>'Technical Master Data'!G478+"AM:!30~"</f>
        <v>#VALUE!</v>
      </c>
      <c r="DW374" t="e">
        <f>'Technical Master Data'!H478+"AM:!31#"</f>
        <v>#VALUE!</v>
      </c>
      <c r="DX374" t="e">
        <f>'Technical Master Data'!I478+"AM:!31$"</f>
        <v>#VALUE!</v>
      </c>
      <c r="DY374" t="e">
        <f>'Technical Master Data'!J478+"AM:!31%"</f>
        <v>#VALUE!</v>
      </c>
      <c r="DZ374" t="e">
        <f>'Technical Master Data'!K478+"AM:!31&amp;"</f>
        <v>#VALUE!</v>
      </c>
      <c r="EA374" t="e">
        <f>'Technical Master Data'!L478+"AM:!31'"</f>
        <v>#VALUE!</v>
      </c>
      <c r="EB374" t="e">
        <f>'Technical Master Data'!M478+"AM:!31("</f>
        <v>#VALUE!</v>
      </c>
      <c r="EC374" t="e">
        <f>'Technical Master Data'!N478+"AM:!31)"</f>
        <v>#VALUE!</v>
      </c>
      <c r="ED374" t="e">
        <f>'Technical Master Data'!O478+"AM:!31."</f>
        <v>#VALUE!</v>
      </c>
      <c r="EE374" t="e">
        <f>'Technical Master Data'!P478+"AM:!31/"</f>
        <v>#VALUE!</v>
      </c>
      <c r="EF374" t="e">
        <f>'Technical Master Data'!Q478+"AM:!310"</f>
        <v>#VALUE!</v>
      </c>
      <c r="EG374" t="e">
        <f>'Technical Master Data'!R478+"AM:!311"</f>
        <v>#VALUE!</v>
      </c>
      <c r="EH374" t="e">
        <f>'Technical Master Data'!S478+"AM:!312"</f>
        <v>#VALUE!</v>
      </c>
      <c r="EI374" t="e">
        <f>'Technical Master Data'!A479+"AM:!313"</f>
        <v>#VALUE!</v>
      </c>
      <c r="EJ374" t="e">
        <f>'Technical Master Data'!B479+"AM:!314"</f>
        <v>#VALUE!</v>
      </c>
      <c r="EK374" t="e">
        <f>'Technical Master Data'!C479+"AM:!315"</f>
        <v>#VALUE!</v>
      </c>
      <c r="EL374" t="e">
        <f>'Technical Master Data'!D479+"AM:!316"</f>
        <v>#VALUE!</v>
      </c>
      <c r="EM374" t="e">
        <f>'Technical Master Data'!E479+"AM:!317"</f>
        <v>#VALUE!</v>
      </c>
      <c r="EN374" t="e">
        <f>'Technical Master Data'!F479+"AM:!318"</f>
        <v>#VALUE!</v>
      </c>
      <c r="EO374" t="e">
        <f>'Technical Master Data'!G479+"AM:!319"</f>
        <v>#VALUE!</v>
      </c>
      <c r="EP374" t="e">
        <f>'Technical Master Data'!H479+"AM:!31:"</f>
        <v>#VALUE!</v>
      </c>
      <c r="EQ374" t="e">
        <f>'Technical Master Data'!I479+"AM:!31;"</f>
        <v>#VALUE!</v>
      </c>
      <c r="ER374" t="e">
        <f>'Technical Master Data'!J479+"AM:!31&lt;"</f>
        <v>#VALUE!</v>
      </c>
      <c r="ES374" t="e">
        <f>'Technical Master Data'!K479+"AM:!31="</f>
        <v>#VALUE!</v>
      </c>
      <c r="ET374" t="e">
        <f>'Technical Master Data'!L479+"AM:!31&gt;"</f>
        <v>#VALUE!</v>
      </c>
      <c r="EU374" t="e">
        <f>'Technical Master Data'!M479+"AM:!31?"</f>
        <v>#VALUE!</v>
      </c>
      <c r="EV374" t="e">
        <f>'Technical Master Data'!N479+"AM:!31@"</f>
        <v>#VALUE!</v>
      </c>
      <c r="EW374" t="e">
        <f>'Technical Master Data'!O479+"AM:!31A"</f>
        <v>#VALUE!</v>
      </c>
      <c r="EX374" t="e">
        <f>'Technical Master Data'!P479+"AM:!31B"</f>
        <v>#VALUE!</v>
      </c>
      <c r="EY374" t="e">
        <f>'Technical Master Data'!Q479+"AM:!31C"</f>
        <v>#VALUE!</v>
      </c>
      <c r="EZ374" t="e">
        <f>'Technical Master Data'!R479+"AM:!31D"</f>
        <v>#VALUE!</v>
      </c>
      <c r="FA374" t="e">
        <f>'Technical Master Data'!S479+"AM:!31E"</f>
        <v>#VALUE!</v>
      </c>
      <c r="FB374" t="e">
        <f>'Technical Master Data'!A480+"AM:!31F"</f>
        <v>#VALUE!</v>
      </c>
      <c r="FC374" t="e">
        <f>'Technical Master Data'!B480+"AM:!31G"</f>
        <v>#VALUE!</v>
      </c>
      <c r="FD374" t="e">
        <f>'Technical Master Data'!C480+"AM:!31H"</f>
        <v>#VALUE!</v>
      </c>
      <c r="FE374" t="e">
        <f>'Technical Master Data'!D480+"AM:!31I"</f>
        <v>#VALUE!</v>
      </c>
      <c r="FF374" t="e">
        <f>'Technical Master Data'!E480+"AM:!31J"</f>
        <v>#VALUE!</v>
      </c>
      <c r="FG374" t="e">
        <f>'Technical Master Data'!F480+"AM:!31K"</f>
        <v>#VALUE!</v>
      </c>
      <c r="FH374" t="e">
        <f>'Technical Master Data'!G480+"AM:!31L"</f>
        <v>#VALUE!</v>
      </c>
      <c r="FI374" t="e">
        <f>'Technical Master Data'!H480+"AM:!31M"</f>
        <v>#VALUE!</v>
      </c>
      <c r="FJ374" t="e">
        <f>'Technical Master Data'!I480+"AM:!31N"</f>
        <v>#VALUE!</v>
      </c>
      <c r="FK374" t="e">
        <f>'Technical Master Data'!J480+"AM:!31O"</f>
        <v>#VALUE!</v>
      </c>
      <c r="FL374" t="e">
        <f>'Technical Master Data'!K480+"AM:!31P"</f>
        <v>#VALUE!</v>
      </c>
      <c r="FM374" t="e">
        <f>'Technical Master Data'!L480+"AM:!31Q"</f>
        <v>#VALUE!</v>
      </c>
      <c r="FN374" t="e">
        <f>'Technical Master Data'!M480+"AM:!31R"</f>
        <v>#VALUE!</v>
      </c>
      <c r="FO374" t="e">
        <f>'Technical Master Data'!N480+"AM:!31S"</f>
        <v>#VALUE!</v>
      </c>
      <c r="FP374" t="e">
        <f>'Technical Master Data'!O480+"AM:!31T"</f>
        <v>#VALUE!</v>
      </c>
      <c r="FQ374" t="e">
        <f>'Technical Master Data'!P480+"AM:!31U"</f>
        <v>#VALUE!</v>
      </c>
      <c r="FR374" t="e">
        <f>'Technical Master Data'!Q480+"AM:!31V"</f>
        <v>#VALUE!</v>
      </c>
      <c r="FS374" t="e">
        <f>'Technical Master Data'!R480+"AM:!31W"</f>
        <v>#VALUE!</v>
      </c>
      <c r="FT374" t="e">
        <f>'Technical Master Data'!S480+"AM:!31X"</f>
        <v>#VALUE!</v>
      </c>
      <c r="FU374" t="e">
        <f>'Technical Master Data'!A481+"AM:!31Y"</f>
        <v>#VALUE!</v>
      </c>
      <c r="FV374" t="e">
        <f>'Technical Master Data'!B481+"AM:!31Z"</f>
        <v>#VALUE!</v>
      </c>
      <c r="FW374" t="e">
        <f>'Technical Master Data'!C481+"AM:!31["</f>
        <v>#VALUE!</v>
      </c>
      <c r="FX374" t="e">
        <f>'Technical Master Data'!D481+"AM:!31\"</f>
        <v>#VALUE!</v>
      </c>
      <c r="FY374" t="e">
        <f>'Technical Master Data'!E481+"AM:!31]"</f>
        <v>#VALUE!</v>
      </c>
      <c r="FZ374" t="e">
        <f>'Technical Master Data'!F481+"AM:!31^"</f>
        <v>#VALUE!</v>
      </c>
      <c r="GA374" t="e">
        <f>'Technical Master Data'!G481+"AM:!31_"</f>
        <v>#VALUE!</v>
      </c>
      <c r="GB374" t="e">
        <f>'Technical Master Data'!H481+"AM:!31`"</f>
        <v>#VALUE!</v>
      </c>
      <c r="GC374" t="e">
        <f>'Technical Master Data'!I481+"AM:!31a"</f>
        <v>#VALUE!</v>
      </c>
      <c r="GD374" t="e">
        <f>'Technical Master Data'!J481+"AM:!31b"</f>
        <v>#VALUE!</v>
      </c>
      <c r="GE374" t="e">
        <f>'Technical Master Data'!K481+"AM:!31c"</f>
        <v>#VALUE!</v>
      </c>
      <c r="GF374" t="e">
        <f>'Technical Master Data'!L481+"AM:!31d"</f>
        <v>#VALUE!</v>
      </c>
      <c r="GG374" t="e">
        <f>'Technical Master Data'!M481+"AM:!31e"</f>
        <v>#VALUE!</v>
      </c>
      <c r="GH374" t="e">
        <f>'Technical Master Data'!N481+"AM:!31f"</f>
        <v>#VALUE!</v>
      </c>
      <c r="GI374" t="e">
        <f>'Technical Master Data'!O481+"AM:!31g"</f>
        <v>#VALUE!</v>
      </c>
      <c r="GJ374" t="e">
        <f>'Technical Master Data'!P481+"AM:!31h"</f>
        <v>#VALUE!</v>
      </c>
      <c r="GK374" t="e">
        <f>'Technical Master Data'!Q481+"AM:!31i"</f>
        <v>#VALUE!</v>
      </c>
      <c r="GL374" t="e">
        <f>'Technical Master Data'!R481+"AM:!31j"</f>
        <v>#VALUE!</v>
      </c>
      <c r="GM374" t="e">
        <f>'Technical Master Data'!S481+"AM:!31k"</f>
        <v>#VALUE!</v>
      </c>
      <c r="GN374" t="e">
        <f>'Technical Master Data'!A482+"AM:!31l"</f>
        <v>#VALUE!</v>
      </c>
      <c r="GO374" t="e">
        <f>'Technical Master Data'!B482+"AM:!31m"</f>
        <v>#VALUE!</v>
      </c>
      <c r="GP374" t="e">
        <f>'Technical Master Data'!C482+"AM:!31n"</f>
        <v>#VALUE!</v>
      </c>
      <c r="GQ374" t="e">
        <f>'Technical Master Data'!D482+"AM:!31o"</f>
        <v>#VALUE!</v>
      </c>
      <c r="GR374" t="e">
        <f>'Technical Master Data'!E482+"AM:!31p"</f>
        <v>#VALUE!</v>
      </c>
      <c r="GS374" t="e">
        <f>'Technical Master Data'!F482+"AM:!31q"</f>
        <v>#VALUE!</v>
      </c>
      <c r="GT374" t="e">
        <f>'Technical Master Data'!G482+"AM:!31r"</f>
        <v>#VALUE!</v>
      </c>
      <c r="GU374" t="e">
        <f>'Technical Master Data'!H482+"AM:!31s"</f>
        <v>#VALUE!</v>
      </c>
      <c r="GV374" t="e">
        <f>'Technical Master Data'!I482+"AM:!31t"</f>
        <v>#VALUE!</v>
      </c>
      <c r="GW374" t="e">
        <f>'Technical Master Data'!J482+"AM:!31u"</f>
        <v>#VALUE!</v>
      </c>
      <c r="GX374" t="e">
        <f>'Technical Master Data'!K482+"AM:!31v"</f>
        <v>#VALUE!</v>
      </c>
      <c r="GY374" t="e">
        <f>'Technical Master Data'!L482+"AM:!31w"</f>
        <v>#VALUE!</v>
      </c>
      <c r="GZ374" t="e">
        <f>'Technical Master Data'!M482+"AM:!31x"</f>
        <v>#VALUE!</v>
      </c>
      <c r="HA374" t="e">
        <f>'Technical Master Data'!N482+"AM:!31y"</f>
        <v>#VALUE!</v>
      </c>
      <c r="HB374" t="e">
        <f>'Technical Master Data'!O482+"AM:!31z"</f>
        <v>#VALUE!</v>
      </c>
      <c r="HC374" t="e">
        <f>'Technical Master Data'!P482+"AM:!31{"</f>
        <v>#VALUE!</v>
      </c>
      <c r="HD374" t="e">
        <f>'Technical Master Data'!Q482+"AM:!31|"</f>
        <v>#VALUE!</v>
      </c>
      <c r="HE374" t="e">
        <f>'Technical Master Data'!R482+"AM:!31}"</f>
        <v>#VALUE!</v>
      </c>
      <c r="HF374" t="e">
        <f>'Technical Master Data'!S482+"AM:!31~"</f>
        <v>#VALUE!</v>
      </c>
      <c r="HG374" t="e">
        <f>'Technical Master Data'!A483+"AM:!32#"</f>
        <v>#VALUE!</v>
      </c>
      <c r="HH374" t="e">
        <f>'Technical Master Data'!B483+"AM:!32$"</f>
        <v>#VALUE!</v>
      </c>
      <c r="HI374" t="e">
        <f>'Technical Master Data'!C483+"AM:!32%"</f>
        <v>#VALUE!</v>
      </c>
      <c r="HJ374" t="e">
        <f>'Technical Master Data'!D483+"AM:!32&amp;"</f>
        <v>#VALUE!</v>
      </c>
      <c r="HK374" t="e">
        <f>'Technical Master Data'!E483+"AM:!32'"</f>
        <v>#VALUE!</v>
      </c>
      <c r="HL374" t="e">
        <f>'Technical Master Data'!F483+"AM:!32("</f>
        <v>#VALUE!</v>
      </c>
      <c r="HM374" t="e">
        <f>'Technical Master Data'!G483+"AM:!32)"</f>
        <v>#VALUE!</v>
      </c>
      <c r="HN374" t="e">
        <f>'Technical Master Data'!H483+"AM:!32."</f>
        <v>#VALUE!</v>
      </c>
      <c r="HO374" t="e">
        <f>'Technical Master Data'!I483+"AM:!32/"</f>
        <v>#VALUE!</v>
      </c>
      <c r="HP374" t="e">
        <f>'Technical Master Data'!J483+"AM:!320"</f>
        <v>#VALUE!</v>
      </c>
      <c r="HQ374" t="e">
        <f>'Technical Master Data'!K483+"AM:!321"</f>
        <v>#VALUE!</v>
      </c>
      <c r="HR374" t="e">
        <f>'Technical Master Data'!L483+"AM:!322"</f>
        <v>#VALUE!</v>
      </c>
      <c r="HS374" t="e">
        <f>'Technical Master Data'!M483+"AM:!323"</f>
        <v>#VALUE!</v>
      </c>
      <c r="HT374" t="e">
        <f>'Technical Master Data'!N483+"AM:!324"</f>
        <v>#VALUE!</v>
      </c>
      <c r="HU374" t="e">
        <f>'Technical Master Data'!O483+"AM:!325"</f>
        <v>#VALUE!</v>
      </c>
      <c r="HV374" t="e">
        <f>'Technical Master Data'!P483+"AM:!326"</f>
        <v>#VALUE!</v>
      </c>
      <c r="HW374" t="e">
        <f>'Technical Master Data'!Q483+"AM:!327"</f>
        <v>#VALUE!</v>
      </c>
      <c r="HX374" t="e">
        <f>'Technical Master Data'!R483+"AM:!328"</f>
        <v>#VALUE!</v>
      </c>
      <c r="HY374" t="e">
        <f>'Technical Master Data'!S483+"AM:!329"</f>
        <v>#VALUE!</v>
      </c>
      <c r="HZ374" t="e">
        <f>'Technical Master Data'!A484+"AM:!32:"</f>
        <v>#VALUE!</v>
      </c>
      <c r="IA374" t="e">
        <f>'Technical Master Data'!B484+"AM:!32;"</f>
        <v>#VALUE!</v>
      </c>
      <c r="IB374" t="e">
        <f>'Technical Master Data'!C484+"AM:!32&lt;"</f>
        <v>#VALUE!</v>
      </c>
      <c r="IC374" t="e">
        <f>'Technical Master Data'!D484+"AM:!32="</f>
        <v>#VALUE!</v>
      </c>
      <c r="ID374" t="e">
        <f>'Technical Master Data'!E484+"AM:!32&gt;"</f>
        <v>#VALUE!</v>
      </c>
      <c r="IE374" t="e">
        <f>'Technical Master Data'!F484+"AM:!32?"</f>
        <v>#VALUE!</v>
      </c>
      <c r="IF374" t="e">
        <f>'Technical Master Data'!G484+"AM:!32@"</f>
        <v>#VALUE!</v>
      </c>
      <c r="IG374" t="e">
        <f>'Technical Master Data'!H484+"AM:!32A"</f>
        <v>#VALUE!</v>
      </c>
      <c r="IH374" t="e">
        <f>'Technical Master Data'!I484+"AM:!32B"</f>
        <v>#VALUE!</v>
      </c>
      <c r="II374" t="e">
        <f>'Technical Master Data'!J484+"AM:!32C"</f>
        <v>#VALUE!</v>
      </c>
      <c r="IJ374" t="e">
        <f>'Technical Master Data'!K484+"AM:!32D"</f>
        <v>#VALUE!</v>
      </c>
      <c r="IK374" t="e">
        <f>'Technical Master Data'!L484+"AM:!32E"</f>
        <v>#VALUE!</v>
      </c>
      <c r="IL374" t="e">
        <f>'Technical Master Data'!M484+"AM:!32F"</f>
        <v>#VALUE!</v>
      </c>
      <c r="IM374" t="e">
        <f>'Technical Master Data'!N484+"AM:!32G"</f>
        <v>#VALUE!</v>
      </c>
      <c r="IN374" t="e">
        <f>'Technical Master Data'!O484+"AM:!32H"</f>
        <v>#VALUE!</v>
      </c>
      <c r="IO374" t="e">
        <f>'Technical Master Data'!P484+"AM:!32I"</f>
        <v>#VALUE!</v>
      </c>
      <c r="IP374" t="e">
        <f>'Technical Master Data'!Q484+"AM:!32J"</f>
        <v>#VALUE!</v>
      </c>
      <c r="IQ374" t="e">
        <f>'Technical Master Data'!R484+"AM:!32K"</f>
        <v>#VALUE!</v>
      </c>
      <c r="IR374" t="e">
        <f>'Technical Master Data'!S484+"AM:!32L"</f>
        <v>#VALUE!</v>
      </c>
      <c r="IS374" t="e">
        <f>'Technical Master Data'!A485+"AM:!32M"</f>
        <v>#VALUE!</v>
      </c>
      <c r="IT374" t="e">
        <f>'Technical Master Data'!B485+"AM:!32N"</f>
        <v>#VALUE!</v>
      </c>
      <c r="IU374" t="e">
        <f>'Technical Master Data'!C485+"AM:!32O"</f>
        <v>#VALUE!</v>
      </c>
      <c r="IV374" t="e">
        <f>'Technical Master Data'!D485+"AM:!32P"</f>
        <v>#VALUE!</v>
      </c>
    </row>
    <row r="375" spans="6:256">
      <c r="F375" t="e">
        <f>'Technical Master Data'!E485+"AM:!32Q"</f>
        <v>#VALUE!</v>
      </c>
      <c r="G375" t="e">
        <f>'Technical Master Data'!F485+"AM:!32R"</f>
        <v>#VALUE!</v>
      </c>
      <c r="H375" t="e">
        <f>'Technical Master Data'!G485+"AM:!32S"</f>
        <v>#VALUE!</v>
      </c>
      <c r="I375" t="e">
        <f>'Technical Master Data'!H485+"AM:!32T"</f>
        <v>#VALUE!</v>
      </c>
      <c r="J375" t="e">
        <f>'Technical Master Data'!I485+"AM:!32U"</f>
        <v>#VALUE!</v>
      </c>
      <c r="K375" t="e">
        <f>'Technical Master Data'!J485+"AM:!32V"</f>
        <v>#VALUE!</v>
      </c>
      <c r="L375" t="e">
        <f>'Technical Master Data'!K485+"AM:!32W"</f>
        <v>#VALUE!</v>
      </c>
      <c r="M375" t="e">
        <f>'Technical Master Data'!L485+"AM:!32X"</f>
        <v>#VALUE!</v>
      </c>
      <c r="N375" t="e">
        <f>'Technical Master Data'!M485+"AM:!32Y"</f>
        <v>#VALUE!</v>
      </c>
      <c r="O375" t="e">
        <f>'Technical Master Data'!N485+"AM:!32Z"</f>
        <v>#VALUE!</v>
      </c>
      <c r="P375" t="e">
        <f>'Technical Master Data'!O485+"AM:!32["</f>
        <v>#VALUE!</v>
      </c>
      <c r="Q375" t="e">
        <f>'Technical Master Data'!P485+"AM:!32\"</f>
        <v>#VALUE!</v>
      </c>
      <c r="R375" t="e">
        <f>'Technical Master Data'!Q485+"AM:!32]"</f>
        <v>#VALUE!</v>
      </c>
      <c r="S375" t="e">
        <f>'Technical Master Data'!R485+"AM:!32^"</f>
        <v>#VALUE!</v>
      </c>
      <c r="T375" t="e">
        <f>'Technical Master Data'!S485+"AM:!32_"</f>
        <v>#VALUE!</v>
      </c>
      <c r="U375" t="e">
        <f>'Technical Master Data'!A486+"AM:!32`"</f>
        <v>#VALUE!</v>
      </c>
      <c r="V375" t="e">
        <f>'Technical Master Data'!B486+"AM:!32a"</f>
        <v>#VALUE!</v>
      </c>
      <c r="W375" t="e">
        <f>'Technical Master Data'!C486+"AM:!32b"</f>
        <v>#VALUE!</v>
      </c>
      <c r="X375" t="e">
        <f>'Technical Master Data'!D486+"AM:!32c"</f>
        <v>#VALUE!</v>
      </c>
      <c r="Y375" t="e">
        <f>'Technical Master Data'!E486+"AM:!32d"</f>
        <v>#VALUE!</v>
      </c>
      <c r="Z375" t="e">
        <f>'Technical Master Data'!F486+"AM:!32e"</f>
        <v>#VALUE!</v>
      </c>
      <c r="AA375" t="e">
        <f>'Technical Master Data'!G486+"AM:!32f"</f>
        <v>#VALUE!</v>
      </c>
      <c r="AB375" t="e">
        <f>'Technical Master Data'!H486+"AM:!32g"</f>
        <v>#VALUE!</v>
      </c>
      <c r="AC375" t="e">
        <f>'Technical Master Data'!I486+"AM:!32h"</f>
        <v>#VALUE!</v>
      </c>
      <c r="AD375" t="e">
        <f>'Technical Master Data'!J486+"AM:!32i"</f>
        <v>#VALUE!</v>
      </c>
      <c r="AE375" t="e">
        <f>'Technical Master Data'!K486+"AM:!32j"</f>
        <v>#VALUE!</v>
      </c>
      <c r="AF375" t="e">
        <f>'Technical Master Data'!L486+"AM:!32k"</f>
        <v>#VALUE!</v>
      </c>
      <c r="AG375" t="e">
        <f>'Technical Master Data'!M486+"AM:!32l"</f>
        <v>#VALUE!</v>
      </c>
      <c r="AH375" t="e">
        <f>'Technical Master Data'!N486+"AM:!32m"</f>
        <v>#VALUE!</v>
      </c>
      <c r="AI375" t="e">
        <f>'Technical Master Data'!O486+"AM:!32n"</f>
        <v>#VALUE!</v>
      </c>
      <c r="AJ375" t="e">
        <f>'Technical Master Data'!P486+"AM:!32o"</f>
        <v>#VALUE!</v>
      </c>
      <c r="AK375" t="e">
        <f>'Technical Master Data'!Q486+"AM:!32p"</f>
        <v>#VALUE!</v>
      </c>
      <c r="AL375" t="e">
        <f>'Technical Master Data'!R486+"AM:!32q"</f>
        <v>#VALUE!</v>
      </c>
      <c r="AM375" t="e">
        <f>'Technical Master Data'!S486+"AM:!32r"</f>
        <v>#VALUE!</v>
      </c>
      <c r="AN375" t="e">
        <f>'Technical Master Data'!A487+"AM:!32s"</f>
        <v>#VALUE!</v>
      </c>
      <c r="AO375" t="e">
        <f>'Technical Master Data'!B487+"AM:!32t"</f>
        <v>#VALUE!</v>
      </c>
      <c r="AP375" t="e">
        <f>'Technical Master Data'!C487+"AM:!32u"</f>
        <v>#VALUE!</v>
      </c>
      <c r="AQ375" t="e">
        <f>'Technical Master Data'!D487+"AM:!32v"</f>
        <v>#VALUE!</v>
      </c>
      <c r="AR375" t="e">
        <f>'Technical Master Data'!E487+"AM:!32w"</f>
        <v>#VALUE!</v>
      </c>
      <c r="AS375" t="e">
        <f>'Technical Master Data'!F487+"AM:!32x"</f>
        <v>#VALUE!</v>
      </c>
      <c r="AT375" t="e">
        <f>'Technical Master Data'!G487+"AM:!32y"</f>
        <v>#VALUE!</v>
      </c>
      <c r="AU375" t="e">
        <f>'Technical Master Data'!H487+"AM:!32z"</f>
        <v>#VALUE!</v>
      </c>
      <c r="AV375" t="e">
        <f>'Technical Master Data'!I487+"AM:!32{"</f>
        <v>#VALUE!</v>
      </c>
      <c r="AW375" t="e">
        <f>'Technical Master Data'!J487+"AM:!32|"</f>
        <v>#VALUE!</v>
      </c>
      <c r="AX375" t="e">
        <f>'Technical Master Data'!K487+"AM:!32}"</f>
        <v>#VALUE!</v>
      </c>
      <c r="AY375" t="e">
        <f>'Technical Master Data'!L487+"AM:!32~"</f>
        <v>#VALUE!</v>
      </c>
      <c r="AZ375" t="e">
        <f>'Technical Master Data'!M487+"AM:!33#"</f>
        <v>#VALUE!</v>
      </c>
      <c r="BA375" t="e">
        <f>'Technical Master Data'!N487+"AM:!33$"</f>
        <v>#VALUE!</v>
      </c>
      <c r="BB375" t="e">
        <f>'Technical Master Data'!O487+"AM:!33%"</f>
        <v>#VALUE!</v>
      </c>
      <c r="BC375" t="e">
        <f>'Technical Master Data'!P487+"AM:!33&amp;"</f>
        <v>#VALUE!</v>
      </c>
      <c r="BD375" t="e">
        <f>'Technical Master Data'!Q487+"AM:!33'"</f>
        <v>#VALUE!</v>
      </c>
      <c r="BE375" t="e">
        <f>'Technical Master Data'!R487+"AM:!33("</f>
        <v>#VALUE!</v>
      </c>
      <c r="BF375" t="e">
        <f>'Technical Master Data'!S487+"AM:!33)"</f>
        <v>#VALUE!</v>
      </c>
      <c r="BG375" t="e">
        <f>'Technical Master Data'!A488+"AM:!33."</f>
        <v>#VALUE!</v>
      </c>
      <c r="BH375" t="e">
        <f>'Technical Master Data'!B488+"AM:!33/"</f>
        <v>#VALUE!</v>
      </c>
      <c r="BI375" t="e">
        <f>'Technical Master Data'!C488+"AM:!330"</f>
        <v>#VALUE!</v>
      </c>
      <c r="BJ375" t="e">
        <f>'Technical Master Data'!D488+"AM:!331"</f>
        <v>#VALUE!</v>
      </c>
      <c r="BK375" t="e">
        <f>'Technical Master Data'!E488+"AM:!332"</f>
        <v>#VALUE!</v>
      </c>
      <c r="BL375" t="e">
        <f>'Technical Master Data'!F488+"AM:!333"</f>
        <v>#VALUE!</v>
      </c>
      <c r="BM375" t="e">
        <f>'Technical Master Data'!G488+"AM:!334"</f>
        <v>#VALUE!</v>
      </c>
      <c r="BN375" t="e">
        <f>'Technical Master Data'!H488+"AM:!335"</f>
        <v>#VALUE!</v>
      </c>
      <c r="BO375" t="e">
        <f>'Technical Master Data'!I488+"AM:!336"</f>
        <v>#VALUE!</v>
      </c>
      <c r="BP375" t="e">
        <f>'Technical Master Data'!J488+"AM:!337"</f>
        <v>#VALUE!</v>
      </c>
      <c r="BQ375" t="e">
        <f>'Technical Master Data'!K488+"AM:!338"</f>
        <v>#VALUE!</v>
      </c>
      <c r="BR375" t="e">
        <f>'Technical Master Data'!L488+"AM:!339"</f>
        <v>#VALUE!</v>
      </c>
      <c r="BS375" t="e">
        <f>'Technical Master Data'!M488+"AM:!33:"</f>
        <v>#VALUE!</v>
      </c>
      <c r="BT375" t="e">
        <f>'Technical Master Data'!N488+"AM:!33;"</f>
        <v>#VALUE!</v>
      </c>
      <c r="BU375" t="e">
        <f>'Technical Master Data'!O488+"AM:!33&lt;"</f>
        <v>#VALUE!</v>
      </c>
      <c r="BV375" t="e">
        <f>'Technical Master Data'!P488+"AM:!33="</f>
        <v>#VALUE!</v>
      </c>
      <c r="BW375" t="e">
        <f>'Technical Master Data'!Q488+"AM:!33&gt;"</f>
        <v>#VALUE!</v>
      </c>
      <c r="BX375" t="e">
        <f>'Technical Master Data'!R488+"AM:!33?"</f>
        <v>#VALUE!</v>
      </c>
      <c r="BY375" t="e">
        <f>'Technical Master Data'!S488+"AM:!33@"</f>
        <v>#VALUE!</v>
      </c>
      <c r="BZ375" t="e">
        <f>'Technical Master Data'!A489+"AM:!33A"</f>
        <v>#VALUE!</v>
      </c>
      <c r="CA375" t="e">
        <f>'Technical Master Data'!B489+"AM:!33B"</f>
        <v>#VALUE!</v>
      </c>
      <c r="CB375" t="e">
        <f>'Technical Master Data'!C489+"AM:!33C"</f>
        <v>#VALUE!</v>
      </c>
      <c r="CC375" t="e">
        <f>'Technical Master Data'!D489+"AM:!33D"</f>
        <v>#VALUE!</v>
      </c>
      <c r="CD375" t="e">
        <f>'Technical Master Data'!E489+"AM:!33E"</f>
        <v>#VALUE!</v>
      </c>
      <c r="CE375" t="e">
        <f>'Technical Master Data'!F489+"AM:!33F"</f>
        <v>#VALUE!</v>
      </c>
      <c r="CF375" t="e">
        <f>'Technical Master Data'!G489+"AM:!33G"</f>
        <v>#VALUE!</v>
      </c>
      <c r="CG375" t="e">
        <f>'Technical Master Data'!H489+"AM:!33H"</f>
        <v>#VALUE!</v>
      </c>
      <c r="CH375" t="e">
        <f>'Technical Master Data'!I489+"AM:!33I"</f>
        <v>#VALUE!</v>
      </c>
      <c r="CI375" t="e">
        <f>'Technical Master Data'!J489+"AM:!33J"</f>
        <v>#VALUE!</v>
      </c>
      <c r="CJ375" t="e">
        <f>'Technical Master Data'!K489+"AM:!33K"</f>
        <v>#VALUE!</v>
      </c>
      <c r="CK375" t="e">
        <f>'Technical Master Data'!L489+"AM:!33L"</f>
        <v>#VALUE!</v>
      </c>
      <c r="CL375" t="e">
        <f>'Technical Master Data'!M489+"AM:!33M"</f>
        <v>#VALUE!</v>
      </c>
      <c r="CM375" t="e">
        <f>'Technical Master Data'!N489+"AM:!33N"</f>
        <v>#VALUE!</v>
      </c>
      <c r="CN375" t="e">
        <f>'Technical Master Data'!O489+"AM:!33O"</f>
        <v>#VALUE!</v>
      </c>
      <c r="CO375" t="e">
        <f>'Technical Master Data'!P489+"AM:!33P"</f>
        <v>#VALUE!</v>
      </c>
      <c r="CP375" t="e">
        <f>'Technical Master Data'!Q489+"AM:!33Q"</f>
        <v>#VALUE!</v>
      </c>
      <c r="CQ375" t="e">
        <f>'Technical Master Data'!R489+"AM:!33R"</f>
        <v>#VALUE!</v>
      </c>
      <c r="CR375" t="e">
        <f>'Technical Master Data'!S489+"AM:!33S"</f>
        <v>#VALUE!</v>
      </c>
      <c r="CS375" t="e">
        <f>'Technical Master Data'!A490+"AM:!33T"</f>
        <v>#VALUE!</v>
      </c>
      <c r="CT375" t="e">
        <f>'Technical Master Data'!B490+"AM:!33U"</f>
        <v>#VALUE!</v>
      </c>
      <c r="CU375" t="e">
        <f>'Technical Master Data'!C490+"AM:!33V"</f>
        <v>#VALUE!</v>
      </c>
      <c r="CV375" t="e">
        <f>'Technical Master Data'!D490+"AM:!33W"</f>
        <v>#VALUE!</v>
      </c>
      <c r="CW375" t="e">
        <f>'Technical Master Data'!E490+"AM:!33X"</f>
        <v>#VALUE!</v>
      </c>
      <c r="CX375" t="e">
        <f>'Technical Master Data'!F490+"AM:!33Y"</f>
        <v>#VALUE!</v>
      </c>
      <c r="CY375" t="e">
        <f>'Technical Master Data'!G490+"AM:!33Z"</f>
        <v>#VALUE!</v>
      </c>
      <c r="CZ375" t="e">
        <f>'Technical Master Data'!H490+"AM:!33["</f>
        <v>#VALUE!</v>
      </c>
      <c r="DA375" t="e">
        <f>'Technical Master Data'!I490+"AM:!33\"</f>
        <v>#VALUE!</v>
      </c>
      <c r="DB375" t="e">
        <f>'Technical Master Data'!J490+"AM:!33]"</f>
        <v>#VALUE!</v>
      </c>
      <c r="DC375" t="e">
        <f>'Technical Master Data'!K490+"AM:!33^"</f>
        <v>#VALUE!</v>
      </c>
      <c r="DD375" t="e">
        <f>'Technical Master Data'!L490+"AM:!33_"</f>
        <v>#VALUE!</v>
      </c>
      <c r="DE375" t="e">
        <f>'Technical Master Data'!M490+"AM:!33`"</f>
        <v>#VALUE!</v>
      </c>
      <c r="DF375" t="e">
        <f>'Technical Master Data'!N490+"AM:!33a"</f>
        <v>#VALUE!</v>
      </c>
      <c r="DG375" t="e">
        <f>'Technical Master Data'!O490+"AM:!33b"</f>
        <v>#VALUE!</v>
      </c>
      <c r="DH375" t="e">
        <f>'Technical Master Data'!P490+"AM:!33c"</f>
        <v>#VALUE!</v>
      </c>
      <c r="DI375" t="e">
        <f>'Technical Master Data'!Q490+"AM:!33d"</f>
        <v>#VALUE!</v>
      </c>
      <c r="DJ375" t="e">
        <f>'Technical Master Data'!R490+"AM:!33e"</f>
        <v>#VALUE!</v>
      </c>
      <c r="DK375" t="e">
        <f>'Technical Master Data'!S490+"AM:!33f"</f>
        <v>#VALUE!</v>
      </c>
      <c r="DL375" t="e">
        <f>'Technical Master Data'!A491+"AM:!33g"</f>
        <v>#VALUE!</v>
      </c>
      <c r="DM375" t="e">
        <f>'Technical Master Data'!B491+"AM:!33h"</f>
        <v>#VALUE!</v>
      </c>
      <c r="DN375" t="e">
        <f>'Technical Master Data'!C491+"AM:!33i"</f>
        <v>#VALUE!</v>
      </c>
      <c r="DO375" t="e">
        <f>'Technical Master Data'!D491+"AM:!33j"</f>
        <v>#VALUE!</v>
      </c>
      <c r="DP375" t="e">
        <f>'Technical Master Data'!E491+"AM:!33k"</f>
        <v>#VALUE!</v>
      </c>
      <c r="DQ375" t="e">
        <f>'Technical Master Data'!F491+"AM:!33l"</f>
        <v>#VALUE!</v>
      </c>
      <c r="DR375" t="e">
        <f>'Technical Master Data'!G491+"AM:!33m"</f>
        <v>#VALUE!</v>
      </c>
      <c r="DS375" t="e">
        <f>'Technical Master Data'!H491+"AM:!33n"</f>
        <v>#VALUE!</v>
      </c>
      <c r="DT375" t="e">
        <f>'Technical Master Data'!I491+"AM:!33o"</f>
        <v>#VALUE!</v>
      </c>
      <c r="DU375" t="e">
        <f>'Technical Master Data'!J491+"AM:!33p"</f>
        <v>#VALUE!</v>
      </c>
      <c r="DV375" t="e">
        <f>'Technical Master Data'!K491+"AM:!33q"</f>
        <v>#VALUE!</v>
      </c>
      <c r="DW375" t="e">
        <f>'Technical Master Data'!L491+"AM:!33r"</f>
        <v>#VALUE!</v>
      </c>
      <c r="DX375" t="e">
        <f>'Technical Master Data'!M491+"AM:!33s"</f>
        <v>#VALUE!</v>
      </c>
      <c r="DY375" t="e">
        <f>'Technical Master Data'!N491+"AM:!33t"</f>
        <v>#VALUE!</v>
      </c>
      <c r="DZ375" t="e">
        <f>'Technical Master Data'!O491+"AM:!33u"</f>
        <v>#VALUE!</v>
      </c>
      <c r="EA375" t="e">
        <f>'Technical Master Data'!P491+"AM:!33v"</f>
        <v>#VALUE!</v>
      </c>
      <c r="EB375" t="e">
        <f>'Technical Master Data'!Q491+"AM:!33w"</f>
        <v>#VALUE!</v>
      </c>
      <c r="EC375" t="e">
        <f>'Technical Master Data'!R491+"AM:!33x"</f>
        <v>#VALUE!</v>
      </c>
      <c r="ED375" t="e">
        <f>'Technical Master Data'!S491+"AM:!33y"</f>
        <v>#VALUE!</v>
      </c>
      <c r="EE375" t="e">
        <f>'Technical Master Data'!A492+"AM:!33z"</f>
        <v>#VALUE!</v>
      </c>
      <c r="EF375" t="e">
        <f>'Technical Master Data'!B492+"AM:!33{"</f>
        <v>#VALUE!</v>
      </c>
      <c r="EG375" t="e">
        <f>'Technical Master Data'!C492+"AM:!33|"</f>
        <v>#VALUE!</v>
      </c>
      <c r="EH375" t="e">
        <f>'Technical Master Data'!D492+"AM:!33}"</f>
        <v>#VALUE!</v>
      </c>
      <c r="EI375" t="e">
        <f>'Technical Master Data'!E492+"AM:!33~"</f>
        <v>#VALUE!</v>
      </c>
      <c r="EJ375" t="e">
        <f>'Technical Master Data'!F492+"AM:!34#"</f>
        <v>#VALUE!</v>
      </c>
      <c r="EK375" t="e">
        <f>'Technical Master Data'!G492+"AM:!34$"</f>
        <v>#VALUE!</v>
      </c>
      <c r="EL375" t="e">
        <f>'Technical Master Data'!H492+"AM:!34%"</f>
        <v>#VALUE!</v>
      </c>
      <c r="EM375" t="e">
        <f>'Technical Master Data'!I492+"AM:!34&amp;"</f>
        <v>#VALUE!</v>
      </c>
      <c r="EN375" t="e">
        <f>'Technical Master Data'!J492+"AM:!34'"</f>
        <v>#VALUE!</v>
      </c>
      <c r="EO375" t="e">
        <f>'Technical Master Data'!K492+"AM:!34("</f>
        <v>#VALUE!</v>
      </c>
      <c r="EP375" t="e">
        <f>'Technical Master Data'!L492+"AM:!34)"</f>
        <v>#VALUE!</v>
      </c>
      <c r="EQ375" t="e">
        <f>'Technical Master Data'!M492+"AM:!34."</f>
        <v>#VALUE!</v>
      </c>
      <c r="ER375" t="e">
        <f>'Technical Master Data'!N492+"AM:!34/"</f>
        <v>#VALUE!</v>
      </c>
      <c r="ES375" t="e">
        <f>'Technical Master Data'!O492+"AM:!340"</f>
        <v>#VALUE!</v>
      </c>
      <c r="ET375" t="e">
        <f>'Technical Master Data'!P492+"AM:!341"</f>
        <v>#VALUE!</v>
      </c>
      <c r="EU375" t="e">
        <f>'Technical Master Data'!Q492+"AM:!342"</f>
        <v>#VALUE!</v>
      </c>
      <c r="EV375" t="e">
        <f>'Technical Master Data'!R492+"AM:!343"</f>
        <v>#VALUE!</v>
      </c>
      <c r="EW375" t="e">
        <f>'Technical Master Data'!S492+"AM:!344"</f>
        <v>#VALUE!</v>
      </c>
      <c r="EX375" t="e">
        <f>'Technical Master Data'!A493+"AM:!345"</f>
        <v>#VALUE!</v>
      </c>
      <c r="EY375" t="e">
        <f>'Technical Master Data'!B493+"AM:!346"</f>
        <v>#VALUE!</v>
      </c>
      <c r="EZ375" t="e">
        <f>'Technical Master Data'!C493+"AM:!347"</f>
        <v>#VALUE!</v>
      </c>
      <c r="FA375" t="e">
        <f>'Technical Master Data'!D493+"AM:!348"</f>
        <v>#VALUE!</v>
      </c>
      <c r="FB375" t="e">
        <f>'Technical Master Data'!E493+"AM:!349"</f>
        <v>#VALUE!</v>
      </c>
      <c r="FC375" t="e">
        <f>'Technical Master Data'!F493+"AM:!34:"</f>
        <v>#VALUE!</v>
      </c>
      <c r="FD375" t="e">
        <f>'Technical Master Data'!G493+"AM:!34;"</f>
        <v>#VALUE!</v>
      </c>
      <c r="FE375" t="e">
        <f>'Technical Master Data'!H493+"AM:!34&lt;"</f>
        <v>#VALUE!</v>
      </c>
      <c r="FF375" t="e">
        <f>'Technical Master Data'!I493+"AM:!34="</f>
        <v>#VALUE!</v>
      </c>
      <c r="FG375" t="e">
        <f>'Technical Master Data'!J493+"AM:!34&gt;"</f>
        <v>#VALUE!</v>
      </c>
      <c r="FH375" t="e">
        <f>'Technical Master Data'!K493+"AM:!34?"</f>
        <v>#VALUE!</v>
      </c>
      <c r="FI375" t="e">
        <f>'Technical Master Data'!L493+"AM:!34@"</f>
        <v>#VALUE!</v>
      </c>
      <c r="FJ375" t="e">
        <f>'Technical Master Data'!M493+"AM:!34A"</f>
        <v>#VALUE!</v>
      </c>
      <c r="FK375" t="e">
        <f>'Technical Master Data'!N493+"AM:!34B"</f>
        <v>#VALUE!</v>
      </c>
      <c r="FL375" t="e">
        <f>'Technical Master Data'!O493+"AM:!34C"</f>
        <v>#VALUE!</v>
      </c>
      <c r="FM375" t="e">
        <f>'Technical Master Data'!P493+"AM:!34D"</f>
        <v>#VALUE!</v>
      </c>
      <c r="FN375" t="e">
        <f>'Technical Master Data'!Q493+"AM:!34E"</f>
        <v>#VALUE!</v>
      </c>
      <c r="FO375" t="e">
        <f>'Technical Master Data'!R493+"AM:!34F"</f>
        <v>#VALUE!</v>
      </c>
      <c r="FP375" t="e">
        <f>'Technical Master Data'!S493+"AM:!34G"</f>
        <v>#VALUE!</v>
      </c>
      <c r="FQ375" t="e">
        <f>'Technical Master Data'!A494+"AM:!34H"</f>
        <v>#VALUE!</v>
      </c>
      <c r="FR375" t="e">
        <f>'Technical Master Data'!B494+"AM:!34I"</f>
        <v>#VALUE!</v>
      </c>
      <c r="FS375" t="e">
        <f>'Technical Master Data'!C494+"AM:!34J"</f>
        <v>#VALUE!</v>
      </c>
      <c r="FT375" t="e">
        <f>'Technical Master Data'!D494+"AM:!34K"</f>
        <v>#VALUE!</v>
      </c>
      <c r="FU375" t="e">
        <f>'Technical Master Data'!E494+"AM:!34L"</f>
        <v>#VALUE!</v>
      </c>
      <c r="FV375" t="e">
        <f>'Technical Master Data'!F494+"AM:!34M"</f>
        <v>#VALUE!</v>
      </c>
      <c r="FW375" t="e">
        <f>'Technical Master Data'!G494+"AM:!34N"</f>
        <v>#VALUE!</v>
      </c>
      <c r="FX375" t="e">
        <f>'Technical Master Data'!H494+"AM:!34O"</f>
        <v>#VALUE!</v>
      </c>
      <c r="FY375" t="e">
        <f>'Technical Master Data'!I494+"AM:!34P"</f>
        <v>#VALUE!</v>
      </c>
      <c r="FZ375" t="e">
        <f>'Technical Master Data'!J494+"AM:!34Q"</f>
        <v>#VALUE!</v>
      </c>
      <c r="GA375" t="e">
        <f>'Technical Master Data'!K494+"AM:!34R"</f>
        <v>#VALUE!</v>
      </c>
      <c r="GB375" t="e">
        <f>'Technical Master Data'!L494+"AM:!34S"</f>
        <v>#VALUE!</v>
      </c>
      <c r="GC375" t="e">
        <f>'Technical Master Data'!M494+"AM:!34T"</f>
        <v>#VALUE!</v>
      </c>
      <c r="GD375" t="e">
        <f>'Technical Master Data'!N494+"AM:!34U"</f>
        <v>#VALUE!</v>
      </c>
      <c r="GE375" t="e">
        <f>'Technical Master Data'!O494+"AM:!34V"</f>
        <v>#VALUE!</v>
      </c>
      <c r="GF375" t="e">
        <f>'Technical Master Data'!P494+"AM:!34W"</f>
        <v>#VALUE!</v>
      </c>
      <c r="GG375" t="e">
        <f>'Technical Master Data'!Q494+"AM:!34X"</f>
        <v>#VALUE!</v>
      </c>
      <c r="GH375" t="e">
        <f>'Technical Master Data'!R494+"AM:!34Y"</f>
        <v>#VALUE!</v>
      </c>
      <c r="GI375" t="e">
        <f>'Technical Master Data'!S494+"AM:!34Z"</f>
        <v>#VALUE!</v>
      </c>
      <c r="GJ375" t="e">
        <f>'Technical Master Data'!A495+"AM:!34["</f>
        <v>#VALUE!</v>
      </c>
      <c r="GK375" t="e">
        <f>'Technical Master Data'!B495+"AM:!34\"</f>
        <v>#VALUE!</v>
      </c>
      <c r="GL375" t="e">
        <f>'Technical Master Data'!C495+"AM:!34]"</f>
        <v>#VALUE!</v>
      </c>
      <c r="GM375" t="e">
        <f>'Technical Master Data'!D495+"AM:!34^"</f>
        <v>#VALUE!</v>
      </c>
      <c r="GN375" t="e">
        <f>'Technical Master Data'!E495+"AM:!34_"</f>
        <v>#VALUE!</v>
      </c>
      <c r="GO375" t="e">
        <f>'Technical Master Data'!F495+"AM:!34`"</f>
        <v>#VALUE!</v>
      </c>
      <c r="GP375" t="e">
        <f>'Technical Master Data'!G495+"AM:!34a"</f>
        <v>#VALUE!</v>
      </c>
      <c r="GQ375" t="e">
        <f>'Technical Master Data'!H495+"AM:!34b"</f>
        <v>#VALUE!</v>
      </c>
      <c r="GR375" t="e">
        <f>'Technical Master Data'!I495+"AM:!34c"</f>
        <v>#VALUE!</v>
      </c>
      <c r="GS375" t="e">
        <f>'Technical Master Data'!J495+"AM:!34d"</f>
        <v>#VALUE!</v>
      </c>
      <c r="GT375" t="e">
        <f>'Technical Master Data'!K495+"AM:!34e"</f>
        <v>#VALUE!</v>
      </c>
      <c r="GU375" t="e">
        <f>'Technical Master Data'!L495+"AM:!34f"</f>
        <v>#VALUE!</v>
      </c>
      <c r="GV375" t="e">
        <f>'Technical Master Data'!M495+"AM:!34g"</f>
        <v>#VALUE!</v>
      </c>
      <c r="GW375" t="e">
        <f>'Technical Master Data'!N495+"AM:!34h"</f>
        <v>#VALUE!</v>
      </c>
      <c r="GX375" t="e">
        <f>'Technical Master Data'!O495+"AM:!34i"</f>
        <v>#VALUE!</v>
      </c>
      <c r="GY375" t="e">
        <f>'Technical Master Data'!P495+"AM:!34j"</f>
        <v>#VALUE!</v>
      </c>
      <c r="GZ375" t="e">
        <f>'Technical Master Data'!Q495+"AM:!34k"</f>
        <v>#VALUE!</v>
      </c>
      <c r="HA375" t="e">
        <f>'Technical Master Data'!R495+"AM:!34l"</f>
        <v>#VALUE!</v>
      </c>
      <c r="HB375" t="e">
        <f>'Technical Master Data'!S495+"AM:!34m"</f>
        <v>#VALUE!</v>
      </c>
      <c r="HC375" t="e">
        <f>'Technical Master Data'!A496+"AM:!34n"</f>
        <v>#VALUE!</v>
      </c>
      <c r="HD375" t="e">
        <f>'Technical Master Data'!B496+"AM:!34o"</f>
        <v>#VALUE!</v>
      </c>
      <c r="HE375" t="e">
        <f>'Technical Master Data'!C496+"AM:!34p"</f>
        <v>#VALUE!</v>
      </c>
      <c r="HF375" t="e">
        <f>'Technical Master Data'!D496+"AM:!34q"</f>
        <v>#VALUE!</v>
      </c>
      <c r="HG375" t="e">
        <f>'Technical Master Data'!E496+"AM:!34r"</f>
        <v>#VALUE!</v>
      </c>
      <c r="HH375" t="e">
        <f>'Technical Master Data'!F496+"AM:!34s"</f>
        <v>#VALUE!</v>
      </c>
      <c r="HI375" t="e">
        <f>'Technical Master Data'!G496+"AM:!34t"</f>
        <v>#VALUE!</v>
      </c>
      <c r="HJ375" t="e">
        <f>'Technical Master Data'!H496+"AM:!34u"</f>
        <v>#VALUE!</v>
      </c>
      <c r="HK375" t="e">
        <f>'Technical Master Data'!I496+"AM:!34v"</f>
        <v>#VALUE!</v>
      </c>
      <c r="HL375" t="e">
        <f>'Technical Master Data'!J496+"AM:!34w"</f>
        <v>#VALUE!</v>
      </c>
      <c r="HM375" t="e">
        <f>'Technical Master Data'!K496+"AM:!34x"</f>
        <v>#VALUE!</v>
      </c>
      <c r="HN375" t="e">
        <f>'Technical Master Data'!L496+"AM:!34y"</f>
        <v>#VALUE!</v>
      </c>
      <c r="HO375" t="e">
        <f>'Technical Master Data'!M496+"AM:!34z"</f>
        <v>#VALUE!</v>
      </c>
      <c r="HP375" t="e">
        <f>'Technical Master Data'!N496+"AM:!34{"</f>
        <v>#VALUE!</v>
      </c>
      <c r="HQ375" t="e">
        <f>'Technical Master Data'!O496+"AM:!34|"</f>
        <v>#VALUE!</v>
      </c>
      <c r="HR375" t="e">
        <f>'Technical Master Data'!P496+"AM:!34}"</f>
        <v>#VALUE!</v>
      </c>
      <c r="HS375" t="e">
        <f>'Technical Master Data'!Q496+"AM:!34~"</f>
        <v>#VALUE!</v>
      </c>
      <c r="HT375" t="e">
        <f>'Technical Master Data'!R496+"AM:!35#"</f>
        <v>#VALUE!</v>
      </c>
      <c r="HU375" t="e">
        <f>'Technical Master Data'!S496+"AM:!35$"</f>
        <v>#VALUE!</v>
      </c>
      <c r="HV375" t="e">
        <f>'Technical Master Data'!A497+"AM:!35%"</f>
        <v>#VALUE!</v>
      </c>
      <c r="HW375" t="e">
        <f>'Technical Master Data'!B497+"AM:!35&amp;"</f>
        <v>#VALUE!</v>
      </c>
      <c r="HX375" t="e">
        <f>'Technical Master Data'!C497+"AM:!35'"</f>
        <v>#VALUE!</v>
      </c>
      <c r="HY375" t="e">
        <f>'Technical Master Data'!D497+"AM:!35("</f>
        <v>#VALUE!</v>
      </c>
      <c r="HZ375" t="e">
        <f>'Technical Master Data'!E497+"AM:!35)"</f>
        <v>#VALUE!</v>
      </c>
      <c r="IA375" t="e">
        <f>'Technical Master Data'!F497+"AM:!35."</f>
        <v>#VALUE!</v>
      </c>
      <c r="IB375" t="e">
        <f>'Technical Master Data'!G497+"AM:!35/"</f>
        <v>#VALUE!</v>
      </c>
      <c r="IC375" t="e">
        <f>'Technical Master Data'!H497+"AM:!350"</f>
        <v>#VALUE!</v>
      </c>
      <c r="ID375" t="e">
        <f>'Technical Master Data'!I497+"AM:!351"</f>
        <v>#VALUE!</v>
      </c>
      <c r="IE375" t="e">
        <f>'Technical Master Data'!J497+"AM:!352"</f>
        <v>#VALUE!</v>
      </c>
      <c r="IF375" t="e">
        <f>'Technical Master Data'!K497+"AM:!353"</f>
        <v>#VALUE!</v>
      </c>
      <c r="IG375" t="e">
        <f>'Technical Master Data'!L497+"AM:!354"</f>
        <v>#VALUE!</v>
      </c>
      <c r="IH375" t="e">
        <f>'Technical Master Data'!M497+"AM:!355"</f>
        <v>#VALUE!</v>
      </c>
      <c r="II375" t="e">
        <f>'Technical Master Data'!N497+"AM:!356"</f>
        <v>#VALUE!</v>
      </c>
      <c r="IJ375" t="e">
        <f>'Technical Master Data'!O497+"AM:!357"</f>
        <v>#VALUE!</v>
      </c>
      <c r="IK375" t="e">
        <f>'Technical Master Data'!P497+"AM:!358"</f>
        <v>#VALUE!</v>
      </c>
      <c r="IL375" t="e">
        <f>'Technical Master Data'!Q497+"AM:!359"</f>
        <v>#VALUE!</v>
      </c>
      <c r="IM375" t="e">
        <f>'Technical Master Data'!R497+"AM:!35:"</f>
        <v>#VALUE!</v>
      </c>
      <c r="IN375" t="e">
        <f>'Technical Master Data'!S497+"AM:!35;"</f>
        <v>#VALUE!</v>
      </c>
      <c r="IO375" t="e">
        <f>'Technical Master Data'!A498+"AM:!35&lt;"</f>
        <v>#VALUE!</v>
      </c>
      <c r="IP375" t="e">
        <f>'Technical Master Data'!B498+"AM:!35="</f>
        <v>#VALUE!</v>
      </c>
      <c r="IQ375" t="e">
        <f>'Technical Master Data'!C498+"AM:!35&gt;"</f>
        <v>#VALUE!</v>
      </c>
      <c r="IR375" t="e">
        <f>'Technical Master Data'!D498+"AM:!35?"</f>
        <v>#VALUE!</v>
      </c>
      <c r="IS375" t="e">
        <f>'Technical Master Data'!E498+"AM:!35@"</f>
        <v>#VALUE!</v>
      </c>
      <c r="IT375" t="e">
        <f>'Technical Master Data'!F498+"AM:!35A"</f>
        <v>#VALUE!</v>
      </c>
      <c r="IU375" t="e">
        <f>'Technical Master Data'!G498+"AM:!35B"</f>
        <v>#VALUE!</v>
      </c>
      <c r="IV375" t="e">
        <f>'Technical Master Data'!H498+"AM:!35C"</f>
        <v>#VALUE!</v>
      </c>
    </row>
    <row r="376" spans="6:256">
      <c r="F376" t="e">
        <f>'Technical Master Data'!I498+"AM:!35D"</f>
        <v>#VALUE!</v>
      </c>
      <c r="G376" t="e">
        <f>'Technical Master Data'!J498+"AM:!35E"</f>
        <v>#VALUE!</v>
      </c>
      <c r="H376" t="e">
        <f>'Technical Master Data'!K498+"AM:!35F"</f>
        <v>#VALUE!</v>
      </c>
      <c r="I376" t="e">
        <f>'Technical Master Data'!L498+"AM:!35G"</f>
        <v>#VALUE!</v>
      </c>
      <c r="J376" t="e">
        <f>'Technical Master Data'!M498+"AM:!35H"</f>
        <v>#VALUE!</v>
      </c>
      <c r="K376" t="e">
        <f>'Technical Master Data'!N498+"AM:!35I"</f>
        <v>#VALUE!</v>
      </c>
      <c r="L376" t="e">
        <f>'Technical Master Data'!O498+"AM:!35J"</f>
        <v>#VALUE!</v>
      </c>
      <c r="M376" t="e">
        <f>'Technical Master Data'!P498+"AM:!35K"</f>
        <v>#VALUE!</v>
      </c>
      <c r="N376" t="e">
        <f>'Technical Master Data'!Q498+"AM:!35L"</f>
        <v>#VALUE!</v>
      </c>
      <c r="O376" t="e">
        <f>'Technical Master Data'!R498+"AM:!35M"</f>
        <v>#VALUE!</v>
      </c>
      <c r="P376" t="e">
        <f>'Technical Master Data'!S498+"AM:!35N"</f>
        <v>#VALUE!</v>
      </c>
      <c r="Q376" t="e">
        <f>'Technical Master Data'!A499+"AM:!35O"</f>
        <v>#VALUE!</v>
      </c>
      <c r="R376" t="e">
        <f>'Technical Master Data'!B499+"AM:!35P"</f>
        <v>#VALUE!</v>
      </c>
      <c r="S376" t="e">
        <f>'Technical Master Data'!C499+"AM:!35Q"</f>
        <v>#VALUE!</v>
      </c>
      <c r="T376" t="e">
        <f>'Technical Master Data'!D499+"AM:!35R"</f>
        <v>#VALUE!</v>
      </c>
      <c r="U376" t="e">
        <f>'Technical Master Data'!E499+"AM:!35S"</f>
        <v>#VALUE!</v>
      </c>
      <c r="V376" t="e">
        <f>'Technical Master Data'!F499+"AM:!35T"</f>
        <v>#VALUE!</v>
      </c>
      <c r="W376" t="e">
        <f>'Technical Master Data'!G499+"AM:!35U"</f>
        <v>#VALUE!</v>
      </c>
      <c r="X376" t="e">
        <f>'Technical Master Data'!H499+"AM:!35V"</f>
        <v>#VALUE!</v>
      </c>
      <c r="Y376" t="e">
        <f>'Technical Master Data'!I499+"AM:!35W"</f>
        <v>#VALUE!</v>
      </c>
      <c r="Z376" t="e">
        <f>'Technical Master Data'!J499+"AM:!35X"</f>
        <v>#VALUE!</v>
      </c>
      <c r="AA376" t="e">
        <f>'Technical Master Data'!K499+"AM:!35Y"</f>
        <v>#VALUE!</v>
      </c>
      <c r="AB376" t="e">
        <f>'Technical Master Data'!L499+"AM:!35Z"</f>
        <v>#VALUE!</v>
      </c>
      <c r="AC376" t="e">
        <f>'Technical Master Data'!M499+"AM:!35["</f>
        <v>#VALUE!</v>
      </c>
      <c r="AD376" t="e">
        <f>'Technical Master Data'!N499+"AM:!35\"</f>
        <v>#VALUE!</v>
      </c>
      <c r="AE376" t="e">
        <f>'Technical Master Data'!O499+"AM:!35]"</f>
        <v>#VALUE!</v>
      </c>
      <c r="AF376" t="e">
        <f>'Technical Master Data'!P499+"AM:!35^"</f>
        <v>#VALUE!</v>
      </c>
      <c r="AG376" t="e">
        <f>'Technical Master Data'!Q499+"AM:!35_"</f>
        <v>#VALUE!</v>
      </c>
      <c r="AH376" t="e">
        <f>'Technical Master Data'!R499+"AM:!35`"</f>
        <v>#VALUE!</v>
      </c>
      <c r="AI376" t="e">
        <f>'Technical Master Data'!S499+"AM:!35a"</f>
        <v>#VALUE!</v>
      </c>
      <c r="AJ376" t="e">
        <f>'Technical Master Data'!A500+"AM:!35b"</f>
        <v>#VALUE!</v>
      </c>
      <c r="AK376" t="e">
        <f>'Technical Master Data'!B500+"AM:!35c"</f>
        <v>#VALUE!</v>
      </c>
      <c r="AL376" t="e">
        <f>'Technical Master Data'!C500+"AM:!35d"</f>
        <v>#VALUE!</v>
      </c>
      <c r="AM376" t="e">
        <f>'Technical Master Data'!D500+"AM:!35e"</f>
        <v>#VALUE!</v>
      </c>
      <c r="AN376" t="e">
        <f>'Technical Master Data'!E500+"AM:!35f"</f>
        <v>#VALUE!</v>
      </c>
      <c r="AO376" t="e">
        <f>'Technical Master Data'!F500+"AM:!35g"</f>
        <v>#VALUE!</v>
      </c>
      <c r="AP376" t="e">
        <f>'Technical Master Data'!G500+"AM:!35h"</f>
        <v>#VALUE!</v>
      </c>
      <c r="AQ376" t="e">
        <f>'Technical Master Data'!H500+"AM:!35i"</f>
        <v>#VALUE!</v>
      </c>
      <c r="AR376" t="e">
        <f>'Technical Master Data'!I500+"AM:!35j"</f>
        <v>#VALUE!</v>
      </c>
      <c r="AS376" t="e">
        <f>'Technical Master Data'!J500+"AM:!35k"</f>
        <v>#VALUE!</v>
      </c>
      <c r="AT376" t="e">
        <f>'Technical Master Data'!K500+"AM:!35l"</f>
        <v>#VALUE!</v>
      </c>
      <c r="AU376" t="e">
        <f>'Technical Master Data'!L500+"AM:!35m"</f>
        <v>#VALUE!</v>
      </c>
      <c r="AV376" t="e">
        <f>'Technical Master Data'!M500+"AM:!35n"</f>
        <v>#VALUE!</v>
      </c>
      <c r="AW376" t="e">
        <f>'Technical Master Data'!N500+"AM:!35o"</f>
        <v>#VALUE!</v>
      </c>
      <c r="AX376" t="e">
        <f>'Technical Master Data'!O500+"AM:!35p"</f>
        <v>#VALUE!</v>
      </c>
      <c r="AY376" t="e">
        <f>'Technical Master Data'!P500+"AM:!35q"</f>
        <v>#VALUE!</v>
      </c>
      <c r="AZ376" t="e">
        <f>'Technical Master Data'!Q500+"AM:!35r"</f>
        <v>#VALUE!</v>
      </c>
      <c r="BA376" t="e">
        <f>'Technical Master Data'!R500+"AM:!35s"</f>
        <v>#VALUE!</v>
      </c>
      <c r="BB376" t="e">
        <f>'Technical Master Data'!S500+"AM:!35t"</f>
        <v>#VALUE!</v>
      </c>
      <c r="BC376" t="e">
        <f>'Technical Master Data'!A501+"AM:!35u"</f>
        <v>#VALUE!</v>
      </c>
      <c r="BD376" t="e">
        <f>'Technical Master Data'!B501+"AM:!35v"</f>
        <v>#VALUE!</v>
      </c>
      <c r="BE376" t="e">
        <f>'Technical Master Data'!C501+"AM:!35w"</f>
        <v>#VALUE!</v>
      </c>
      <c r="BF376" t="e">
        <f>'Technical Master Data'!D501+"AM:!35x"</f>
        <v>#VALUE!</v>
      </c>
      <c r="BG376" t="e">
        <f>'Technical Master Data'!E501+"AM:!35y"</f>
        <v>#VALUE!</v>
      </c>
      <c r="BH376" t="e">
        <f>'Technical Master Data'!F501+"AM:!35z"</f>
        <v>#VALUE!</v>
      </c>
      <c r="BI376" t="e">
        <f>'Technical Master Data'!G501+"AM:!35{"</f>
        <v>#VALUE!</v>
      </c>
      <c r="BJ376" t="e">
        <f>'Technical Master Data'!H501+"AM:!35|"</f>
        <v>#VALUE!</v>
      </c>
      <c r="BK376" t="e">
        <f>'Technical Master Data'!I501+"AM:!35}"</f>
        <v>#VALUE!</v>
      </c>
      <c r="BL376" t="e">
        <f>'Technical Master Data'!J501+"AM:!35~"</f>
        <v>#VALUE!</v>
      </c>
      <c r="BM376" t="e">
        <f>'Technical Master Data'!K501+"AM:!36#"</f>
        <v>#VALUE!</v>
      </c>
      <c r="BN376" t="e">
        <f>'Technical Master Data'!L501+"AM:!36$"</f>
        <v>#VALUE!</v>
      </c>
      <c r="BO376" t="e">
        <f>'Technical Master Data'!M501+"AM:!36%"</f>
        <v>#VALUE!</v>
      </c>
      <c r="BP376" t="e">
        <f>'Technical Master Data'!N501+"AM:!36&amp;"</f>
        <v>#VALUE!</v>
      </c>
      <c r="BQ376" t="e">
        <f>'Technical Master Data'!O501+"AM:!36'"</f>
        <v>#VALUE!</v>
      </c>
      <c r="BR376" t="e">
        <f>'Technical Master Data'!P501+"AM:!36("</f>
        <v>#VALUE!</v>
      </c>
      <c r="BS376" t="e">
        <f>'Technical Master Data'!Q501+"AM:!36)"</f>
        <v>#VALUE!</v>
      </c>
      <c r="BT376" t="e">
        <f>'Technical Master Data'!R501+"AM:!36."</f>
        <v>#VALUE!</v>
      </c>
      <c r="BU376" t="e">
        <f>'Technical Master Data'!S501+"AM:!36/"</f>
        <v>#VALUE!</v>
      </c>
      <c r="BV376" t="e">
        <f>'Technical Master Data'!A502+"AM:!360"</f>
        <v>#VALUE!</v>
      </c>
      <c r="BW376" t="e">
        <f>'Technical Master Data'!B502+"AM:!361"</f>
        <v>#VALUE!</v>
      </c>
      <c r="BX376" t="e">
        <f>'Technical Master Data'!C502+"AM:!362"</f>
        <v>#VALUE!</v>
      </c>
      <c r="BY376" t="e">
        <f>'Technical Master Data'!D502+"AM:!363"</f>
        <v>#VALUE!</v>
      </c>
      <c r="BZ376" t="e">
        <f>'Technical Master Data'!E502+"AM:!364"</f>
        <v>#VALUE!</v>
      </c>
      <c r="CA376" t="e">
        <f>'Technical Master Data'!F502+"AM:!365"</f>
        <v>#VALUE!</v>
      </c>
      <c r="CB376" t="e">
        <f>'Technical Master Data'!G502+"AM:!366"</f>
        <v>#VALUE!</v>
      </c>
      <c r="CC376" t="e">
        <f>'Technical Master Data'!H502+"AM:!367"</f>
        <v>#VALUE!</v>
      </c>
      <c r="CD376" t="e">
        <f>'Technical Master Data'!I502+"AM:!368"</f>
        <v>#VALUE!</v>
      </c>
      <c r="CE376" t="e">
        <f>'Technical Master Data'!J502+"AM:!369"</f>
        <v>#VALUE!</v>
      </c>
      <c r="CF376" t="e">
        <f>'Technical Master Data'!K502+"AM:!36:"</f>
        <v>#VALUE!</v>
      </c>
      <c r="CG376" t="e">
        <f>'Technical Master Data'!L502+"AM:!36;"</f>
        <v>#VALUE!</v>
      </c>
      <c r="CH376" t="e">
        <f>'Technical Master Data'!M502+"AM:!36&lt;"</f>
        <v>#VALUE!</v>
      </c>
      <c r="CI376" t="e">
        <f>'Technical Master Data'!N502+"AM:!36="</f>
        <v>#VALUE!</v>
      </c>
      <c r="CJ376" t="e">
        <f>'Technical Master Data'!O502+"AM:!36&gt;"</f>
        <v>#VALUE!</v>
      </c>
      <c r="CK376" t="e">
        <f>'Technical Master Data'!P502+"AM:!36?"</f>
        <v>#VALUE!</v>
      </c>
      <c r="CL376" t="e">
        <f>'Technical Master Data'!Q502+"AM:!36@"</f>
        <v>#VALUE!</v>
      </c>
      <c r="CM376" t="e">
        <f>'Technical Master Data'!R502+"AM:!36A"</f>
        <v>#VALUE!</v>
      </c>
      <c r="CN376" t="e">
        <f>'Technical Master Data'!S502+"AM:!36B"</f>
        <v>#VALUE!</v>
      </c>
      <c r="CO376" t="e">
        <f>'Technical Master Data'!A503+"AM:!36C"</f>
        <v>#VALUE!</v>
      </c>
      <c r="CP376" t="e">
        <f>'Technical Master Data'!B503+"AM:!36D"</f>
        <v>#VALUE!</v>
      </c>
      <c r="CQ376" t="e">
        <f>'Technical Master Data'!C503+"AM:!36E"</f>
        <v>#VALUE!</v>
      </c>
      <c r="CR376" t="e">
        <f>'Technical Master Data'!D503+"AM:!36F"</f>
        <v>#VALUE!</v>
      </c>
      <c r="CS376" t="e">
        <f>'Technical Master Data'!E503+"AM:!36G"</f>
        <v>#VALUE!</v>
      </c>
      <c r="CT376" t="e">
        <f>'Technical Master Data'!F503+"AM:!36H"</f>
        <v>#VALUE!</v>
      </c>
      <c r="CU376" t="e">
        <f>'Technical Master Data'!G503+"AM:!36I"</f>
        <v>#VALUE!</v>
      </c>
      <c r="CV376" t="e">
        <f>'Technical Master Data'!H503+"AM:!36J"</f>
        <v>#VALUE!</v>
      </c>
      <c r="CW376" t="e">
        <f>'Technical Master Data'!I503+"AM:!36K"</f>
        <v>#VALUE!</v>
      </c>
      <c r="CX376" t="e">
        <f>'Technical Master Data'!J503+"AM:!36L"</f>
        <v>#VALUE!</v>
      </c>
      <c r="CY376" t="e">
        <f>'Technical Master Data'!K503+"AM:!36M"</f>
        <v>#VALUE!</v>
      </c>
      <c r="CZ376" t="e">
        <f>'Technical Master Data'!L503+"AM:!36N"</f>
        <v>#VALUE!</v>
      </c>
      <c r="DA376" t="e">
        <f>'Technical Master Data'!M503+"AM:!36O"</f>
        <v>#VALUE!</v>
      </c>
      <c r="DB376" t="e">
        <f>'Technical Master Data'!N503+"AM:!36P"</f>
        <v>#VALUE!</v>
      </c>
      <c r="DC376" t="e">
        <f>'Technical Master Data'!O503+"AM:!36Q"</f>
        <v>#VALUE!</v>
      </c>
      <c r="DD376" t="e">
        <f>'Technical Master Data'!P503+"AM:!36R"</f>
        <v>#VALUE!</v>
      </c>
      <c r="DE376" t="e">
        <f>'Technical Master Data'!Q503+"AM:!36S"</f>
        <v>#VALUE!</v>
      </c>
      <c r="DF376" t="e">
        <f>'Technical Master Data'!R503+"AM:!36T"</f>
        <v>#VALUE!</v>
      </c>
      <c r="DG376" t="e">
        <f>'Technical Master Data'!S503+"AM:!36U"</f>
        <v>#VALUE!</v>
      </c>
      <c r="DH376" t="e">
        <f>'Technical Master Data'!A504+"AM:!36V"</f>
        <v>#VALUE!</v>
      </c>
      <c r="DI376" t="e">
        <f>'Technical Master Data'!B504+"AM:!36W"</f>
        <v>#VALUE!</v>
      </c>
      <c r="DJ376" t="e">
        <f>'Technical Master Data'!C504+"AM:!36X"</f>
        <v>#VALUE!</v>
      </c>
      <c r="DK376" t="e">
        <f>'Technical Master Data'!D504+"AM:!36Y"</f>
        <v>#VALUE!</v>
      </c>
      <c r="DL376" t="e">
        <f>'Technical Master Data'!E504+"AM:!36Z"</f>
        <v>#VALUE!</v>
      </c>
      <c r="DM376" t="e">
        <f>'Technical Master Data'!F504+"AM:!36["</f>
        <v>#VALUE!</v>
      </c>
      <c r="DN376" t="e">
        <f>'Technical Master Data'!G504+"AM:!36\"</f>
        <v>#VALUE!</v>
      </c>
      <c r="DO376" t="e">
        <f>'Technical Master Data'!H504+"AM:!36]"</f>
        <v>#VALUE!</v>
      </c>
      <c r="DP376" t="e">
        <f>'Technical Master Data'!I504+"AM:!36^"</f>
        <v>#VALUE!</v>
      </c>
      <c r="DQ376" t="e">
        <f>'Technical Master Data'!J504+"AM:!36_"</f>
        <v>#VALUE!</v>
      </c>
      <c r="DR376" t="e">
        <f>'Technical Master Data'!K504+"AM:!36`"</f>
        <v>#VALUE!</v>
      </c>
      <c r="DS376" t="e">
        <f>'Technical Master Data'!L504+"AM:!36a"</f>
        <v>#VALUE!</v>
      </c>
      <c r="DT376" t="e">
        <f>'Technical Master Data'!M504+"AM:!36b"</f>
        <v>#VALUE!</v>
      </c>
      <c r="DU376" t="e">
        <f>'Technical Master Data'!N504+"AM:!36c"</f>
        <v>#VALUE!</v>
      </c>
      <c r="DV376" t="e">
        <f>'Technical Master Data'!O504+"AM:!36d"</f>
        <v>#VALUE!</v>
      </c>
      <c r="DW376" t="e">
        <f>'Technical Master Data'!P504+"AM:!36e"</f>
        <v>#VALUE!</v>
      </c>
      <c r="DX376" t="e">
        <f>'Technical Master Data'!Q504+"AM:!36f"</f>
        <v>#VALUE!</v>
      </c>
      <c r="DY376" t="e">
        <f>'Technical Master Data'!R504+"AM:!36g"</f>
        <v>#VALUE!</v>
      </c>
      <c r="DZ376" t="e">
        <f>'Technical Master Data'!S504+"AM:!36h"</f>
        <v>#VALUE!</v>
      </c>
      <c r="EA376" t="e">
        <f>'Technical Master Data'!A505+"AM:!36i"</f>
        <v>#VALUE!</v>
      </c>
      <c r="EB376" t="e">
        <f>'Technical Master Data'!B505+"AM:!36j"</f>
        <v>#VALUE!</v>
      </c>
      <c r="EC376" t="e">
        <f>'Technical Master Data'!C505+"AM:!36k"</f>
        <v>#VALUE!</v>
      </c>
      <c r="ED376" t="e">
        <f>'Technical Master Data'!D505+"AM:!36l"</f>
        <v>#VALUE!</v>
      </c>
      <c r="EE376" t="e">
        <f>'Technical Master Data'!E505+"AM:!36m"</f>
        <v>#VALUE!</v>
      </c>
      <c r="EF376" t="e">
        <f>'Technical Master Data'!F505+"AM:!36n"</f>
        <v>#VALUE!</v>
      </c>
      <c r="EG376" t="e">
        <f>'Technical Master Data'!G505+"AM:!36o"</f>
        <v>#VALUE!</v>
      </c>
      <c r="EH376" t="e">
        <f>'Technical Master Data'!H505+"AM:!36p"</f>
        <v>#VALUE!</v>
      </c>
      <c r="EI376" t="e">
        <f>'Technical Master Data'!I505+"AM:!36q"</f>
        <v>#VALUE!</v>
      </c>
      <c r="EJ376" t="e">
        <f>'Technical Master Data'!J505+"AM:!36r"</f>
        <v>#VALUE!</v>
      </c>
      <c r="EK376" t="e">
        <f>'Technical Master Data'!K505+"AM:!36s"</f>
        <v>#VALUE!</v>
      </c>
      <c r="EL376" t="e">
        <f>'Technical Master Data'!L505+"AM:!36t"</f>
        <v>#VALUE!</v>
      </c>
      <c r="EM376" t="e">
        <f>'Technical Master Data'!M505+"AM:!36u"</f>
        <v>#VALUE!</v>
      </c>
      <c r="EN376" t="e">
        <f>'Technical Master Data'!N505+"AM:!36v"</f>
        <v>#VALUE!</v>
      </c>
      <c r="EO376" t="e">
        <f>'Technical Master Data'!O505+"AM:!36w"</f>
        <v>#VALUE!</v>
      </c>
      <c r="EP376" t="e">
        <f>'Technical Master Data'!P505+"AM:!36x"</f>
        <v>#VALUE!</v>
      </c>
      <c r="EQ376" t="e">
        <f>'Technical Master Data'!Q505+"AM:!36y"</f>
        <v>#VALUE!</v>
      </c>
      <c r="ER376" t="e">
        <f>'Technical Master Data'!R505+"AM:!36z"</f>
        <v>#VALUE!</v>
      </c>
      <c r="ES376" t="e">
        <f>'Technical Master Data'!S505+"AM:!36{"</f>
        <v>#VALUE!</v>
      </c>
      <c r="ET376" t="e">
        <f>'Technical Master Data'!A506+"AM:!36|"</f>
        <v>#VALUE!</v>
      </c>
      <c r="EU376" t="e">
        <f>'Technical Master Data'!B506+"AM:!36}"</f>
        <v>#VALUE!</v>
      </c>
      <c r="EV376" t="e">
        <f>'Technical Master Data'!C506+"AM:!36~"</f>
        <v>#VALUE!</v>
      </c>
      <c r="EW376" t="e">
        <f>'Technical Master Data'!D506+"AM:!37#"</f>
        <v>#VALUE!</v>
      </c>
      <c r="EX376" t="e">
        <f>'Technical Master Data'!E506+"AM:!37$"</f>
        <v>#VALUE!</v>
      </c>
      <c r="EY376" t="e">
        <f>'Technical Master Data'!F506+"AM:!37%"</f>
        <v>#VALUE!</v>
      </c>
      <c r="EZ376" t="e">
        <f>'Technical Master Data'!G506+"AM:!37&amp;"</f>
        <v>#VALUE!</v>
      </c>
      <c r="FA376" t="e">
        <f>'Technical Master Data'!H506+"AM:!37'"</f>
        <v>#VALUE!</v>
      </c>
      <c r="FB376" t="e">
        <f>'Technical Master Data'!I506+"AM:!37("</f>
        <v>#VALUE!</v>
      </c>
      <c r="FC376" t="e">
        <f>'Technical Master Data'!J506+"AM:!37)"</f>
        <v>#VALUE!</v>
      </c>
      <c r="FD376" t="e">
        <f>'Technical Master Data'!K506+"AM:!37."</f>
        <v>#VALUE!</v>
      </c>
      <c r="FE376" t="e">
        <f>'Technical Master Data'!L506+"AM:!37/"</f>
        <v>#VALUE!</v>
      </c>
      <c r="FF376" t="e">
        <f>'Technical Master Data'!M506+"AM:!370"</f>
        <v>#VALUE!</v>
      </c>
      <c r="FG376" t="e">
        <f>'Technical Master Data'!N506+"AM:!371"</f>
        <v>#VALUE!</v>
      </c>
      <c r="FH376" t="e">
        <f>'Technical Master Data'!O506+"AM:!372"</f>
        <v>#VALUE!</v>
      </c>
      <c r="FI376" t="e">
        <f>'Technical Master Data'!P506+"AM:!373"</f>
        <v>#VALUE!</v>
      </c>
      <c r="FJ376" t="e">
        <f>'Technical Master Data'!Q506+"AM:!374"</f>
        <v>#VALUE!</v>
      </c>
      <c r="FK376" t="e">
        <f>'Technical Master Data'!R506+"AM:!375"</f>
        <v>#VALUE!</v>
      </c>
      <c r="FL376" t="e">
        <f>'Technical Master Data'!S506+"AM:!376"</f>
        <v>#VALUE!</v>
      </c>
      <c r="FM376" t="e">
        <f>'Technical Master Data'!A507+"AM:!377"</f>
        <v>#VALUE!</v>
      </c>
      <c r="FN376" t="e">
        <f>'Technical Master Data'!B507+"AM:!378"</f>
        <v>#VALUE!</v>
      </c>
      <c r="FO376" t="e">
        <f>'Technical Master Data'!C507+"AM:!379"</f>
        <v>#VALUE!</v>
      </c>
      <c r="FP376" t="e">
        <f>'Technical Master Data'!D507+"AM:!37:"</f>
        <v>#VALUE!</v>
      </c>
      <c r="FQ376" t="e">
        <f>'Technical Master Data'!E507+"AM:!37;"</f>
        <v>#VALUE!</v>
      </c>
      <c r="FR376" t="e">
        <f>'Technical Master Data'!F507+"AM:!37&lt;"</f>
        <v>#VALUE!</v>
      </c>
      <c r="FS376" t="e">
        <f>'Technical Master Data'!G507+"AM:!37="</f>
        <v>#VALUE!</v>
      </c>
      <c r="FT376" t="e">
        <f>'Technical Master Data'!H507+"AM:!37&gt;"</f>
        <v>#VALUE!</v>
      </c>
      <c r="FU376" t="e">
        <f>'Technical Master Data'!I507+"AM:!37?"</f>
        <v>#VALUE!</v>
      </c>
      <c r="FV376" t="e">
        <f>'Technical Master Data'!J507+"AM:!37@"</f>
        <v>#VALUE!</v>
      </c>
      <c r="FW376" t="e">
        <f>'Technical Master Data'!K507+"AM:!37A"</f>
        <v>#VALUE!</v>
      </c>
      <c r="FX376" t="e">
        <f>'Technical Master Data'!L507+"AM:!37B"</f>
        <v>#VALUE!</v>
      </c>
      <c r="FY376" t="e">
        <f>'Technical Master Data'!M507+"AM:!37C"</f>
        <v>#VALUE!</v>
      </c>
      <c r="FZ376" t="e">
        <f>'Technical Master Data'!N507+"AM:!37D"</f>
        <v>#VALUE!</v>
      </c>
      <c r="GA376" t="e">
        <f>'Technical Master Data'!O507+"AM:!37E"</f>
        <v>#VALUE!</v>
      </c>
      <c r="GB376" t="e">
        <f>'Technical Master Data'!P507+"AM:!37F"</f>
        <v>#VALUE!</v>
      </c>
      <c r="GC376" t="e">
        <f>'Technical Master Data'!Q507+"AM:!37G"</f>
        <v>#VALUE!</v>
      </c>
      <c r="GD376" t="e">
        <f>'Technical Master Data'!R507+"AM:!37H"</f>
        <v>#VALUE!</v>
      </c>
      <c r="GE376" t="e">
        <f>'Technical Master Data'!S507+"AM:!37I"</f>
        <v>#VALUE!</v>
      </c>
      <c r="GF376" t="e">
        <f>'Technical Master Data'!A508+"AM:!37J"</f>
        <v>#VALUE!</v>
      </c>
      <c r="GG376" t="e">
        <f>'Technical Master Data'!B508+"AM:!37K"</f>
        <v>#VALUE!</v>
      </c>
      <c r="GH376" t="e">
        <f>'Technical Master Data'!C508+"AM:!37L"</f>
        <v>#VALUE!</v>
      </c>
      <c r="GI376" t="e">
        <f>'Technical Master Data'!D508+"AM:!37M"</f>
        <v>#VALUE!</v>
      </c>
      <c r="GJ376" t="e">
        <f>'Technical Master Data'!E508+"AM:!37N"</f>
        <v>#VALUE!</v>
      </c>
      <c r="GK376" t="e">
        <f>'Technical Master Data'!F508+"AM:!37O"</f>
        <v>#VALUE!</v>
      </c>
      <c r="GL376" t="e">
        <f>'Technical Master Data'!G508+"AM:!37P"</f>
        <v>#VALUE!</v>
      </c>
      <c r="GM376" t="e">
        <f>'Technical Master Data'!H508+"AM:!37Q"</f>
        <v>#VALUE!</v>
      </c>
      <c r="GN376" t="e">
        <f>'Technical Master Data'!I508+"AM:!37R"</f>
        <v>#VALUE!</v>
      </c>
      <c r="GO376" t="e">
        <f>'Technical Master Data'!J508+"AM:!37S"</f>
        <v>#VALUE!</v>
      </c>
      <c r="GP376" t="e">
        <f>'Technical Master Data'!K508+"AM:!37T"</f>
        <v>#VALUE!</v>
      </c>
      <c r="GQ376" t="e">
        <f>'Technical Master Data'!L508+"AM:!37U"</f>
        <v>#VALUE!</v>
      </c>
      <c r="GR376" t="e">
        <f>'Technical Master Data'!M508+"AM:!37V"</f>
        <v>#VALUE!</v>
      </c>
      <c r="GS376" t="e">
        <f>'Technical Master Data'!N508+"AM:!37W"</f>
        <v>#VALUE!</v>
      </c>
      <c r="GT376" t="e">
        <f>'Technical Master Data'!O508+"AM:!37X"</f>
        <v>#VALUE!</v>
      </c>
      <c r="GU376" t="e">
        <f>'Technical Master Data'!P508+"AM:!37Y"</f>
        <v>#VALUE!</v>
      </c>
      <c r="GV376" t="e">
        <f>'Technical Master Data'!Q508+"AM:!37Z"</f>
        <v>#VALUE!</v>
      </c>
      <c r="GW376" t="e">
        <f>'Technical Master Data'!R508+"AM:!37["</f>
        <v>#VALUE!</v>
      </c>
      <c r="GX376" t="e">
        <f>'Technical Master Data'!S508+"AM:!37\"</f>
        <v>#VALUE!</v>
      </c>
      <c r="GY376" t="e">
        <f>'Technical Master Data'!A509+"AM:!37]"</f>
        <v>#VALUE!</v>
      </c>
      <c r="GZ376" t="e">
        <f>'Technical Master Data'!B509+"AM:!37^"</f>
        <v>#VALUE!</v>
      </c>
      <c r="HA376" t="e">
        <f>'Technical Master Data'!C509+"AM:!37_"</f>
        <v>#VALUE!</v>
      </c>
      <c r="HB376" t="e">
        <f>'Technical Master Data'!D509+"AM:!37`"</f>
        <v>#VALUE!</v>
      </c>
      <c r="HC376" t="e">
        <f>'Technical Master Data'!E509+"AM:!37a"</f>
        <v>#VALUE!</v>
      </c>
      <c r="HD376" t="e">
        <f>'Technical Master Data'!F509+"AM:!37b"</f>
        <v>#VALUE!</v>
      </c>
      <c r="HE376" t="e">
        <f>'Technical Master Data'!G509+"AM:!37c"</f>
        <v>#VALUE!</v>
      </c>
      <c r="HF376" t="e">
        <f>'Technical Master Data'!H509+"AM:!37d"</f>
        <v>#VALUE!</v>
      </c>
      <c r="HG376" t="e">
        <f>'Technical Master Data'!I509+"AM:!37e"</f>
        <v>#VALUE!</v>
      </c>
      <c r="HH376" t="e">
        <f>'Technical Master Data'!J509+"AM:!37f"</f>
        <v>#VALUE!</v>
      </c>
      <c r="HI376" t="e">
        <f>'Technical Master Data'!K509+"AM:!37g"</f>
        <v>#VALUE!</v>
      </c>
      <c r="HJ376" t="e">
        <f>'Technical Master Data'!L509+"AM:!37h"</f>
        <v>#VALUE!</v>
      </c>
      <c r="HK376" t="e">
        <f>'Technical Master Data'!M509+"AM:!37i"</f>
        <v>#VALUE!</v>
      </c>
      <c r="HL376" t="e">
        <f>'Technical Master Data'!N509+"AM:!37j"</f>
        <v>#VALUE!</v>
      </c>
      <c r="HM376" t="e">
        <f>'Technical Master Data'!O509+"AM:!37k"</f>
        <v>#VALUE!</v>
      </c>
      <c r="HN376" t="e">
        <f>'Technical Master Data'!P509+"AM:!37l"</f>
        <v>#VALUE!</v>
      </c>
      <c r="HO376" t="e">
        <f>'Technical Master Data'!Q509+"AM:!37m"</f>
        <v>#VALUE!</v>
      </c>
      <c r="HP376" t="e">
        <f>'Technical Master Data'!R509+"AM:!37n"</f>
        <v>#VALUE!</v>
      </c>
      <c r="HQ376" t="e">
        <f>'Technical Master Data'!S509+"AM:!37o"</f>
        <v>#VALUE!</v>
      </c>
      <c r="HR376" t="e">
        <f>'Technical Master Data'!A510+"AM:!37p"</f>
        <v>#VALUE!</v>
      </c>
      <c r="HS376" t="e">
        <f>'Technical Master Data'!B510+"AM:!37q"</f>
        <v>#VALUE!</v>
      </c>
      <c r="HT376" t="e">
        <f>'Technical Master Data'!C510+"AM:!37r"</f>
        <v>#VALUE!</v>
      </c>
      <c r="HU376" t="e">
        <f>'Technical Master Data'!D510+"AM:!37s"</f>
        <v>#VALUE!</v>
      </c>
      <c r="HV376" t="e">
        <f>'Technical Master Data'!E510+"AM:!37t"</f>
        <v>#VALUE!</v>
      </c>
      <c r="HW376" t="e">
        <f>'Technical Master Data'!F510+"AM:!37u"</f>
        <v>#VALUE!</v>
      </c>
      <c r="HX376" t="e">
        <f>'Technical Master Data'!G510+"AM:!37v"</f>
        <v>#VALUE!</v>
      </c>
      <c r="HY376" t="e">
        <f>'Technical Master Data'!H510+"AM:!37w"</f>
        <v>#VALUE!</v>
      </c>
      <c r="HZ376" t="e">
        <f>'Technical Master Data'!I510+"AM:!37x"</f>
        <v>#VALUE!</v>
      </c>
      <c r="IA376" t="e">
        <f>'Technical Master Data'!J510+"AM:!37y"</f>
        <v>#VALUE!</v>
      </c>
      <c r="IB376" t="e">
        <f>'Technical Master Data'!K510+"AM:!37z"</f>
        <v>#VALUE!</v>
      </c>
      <c r="IC376" t="e">
        <f>'Technical Master Data'!L510+"AM:!37{"</f>
        <v>#VALUE!</v>
      </c>
      <c r="ID376" t="e">
        <f>'Technical Master Data'!M510+"AM:!37|"</f>
        <v>#VALUE!</v>
      </c>
      <c r="IE376" t="e">
        <f>'Technical Master Data'!N510+"AM:!37}"</f>
        <v>#VALUE!</v>
      </c>
      <c r="IF376" t="e">
        <f>'Technical Master Data'!O510+"AM:!37~"</f>
        <v>#VALUE!</v>
      </c>
      <c r="IG376" t="e">
        <f>'Technical Master Data'!P510+"AM:!38#"</f>
        <v>#VALUE!</v>
      </c>
      <c r="IH376" t="e">
        <f>'Technical Master Data'!Q510+"AM:!38$"</f>
        <v>#VALUE!</v>
      </c>
      <c r="II376" t="e">
        <f>'Technical Master Data'!R510+"AM:!38%"</f>
        <v>#VALUE!</v>
      </c>
      <c r="IJ376" t="e">
        <f>'Technical Master Data'!S510+"AM:!38&amp;"</f>
        <v>#VALUE!</v>
      </c>
      <c r="IK376" t="e">
        <f>'Technical Master Data'!A511+"AM:!38'"</f>
        <v>#VALUE!</v>
      </c>
      <c r="IL376" t="e">
        <f>'Technical Master Data'!B511+"AM:!38("</f>
        <v>#VALUE!</v>
      </c>
      <c r="IM376" t="e">
        <f>'Technical Master Data'!C511+"AM:!38)"</f>
        <v>#VALUE!</v>
      </c>
      <c r="IN376" t="e">
        <f>'Technical Master Data'!D511+"AM:!38."</f>
        <v>#VALUE!</v>
      </c>
      <c r="IO376" t="e">
        <f>'Technical Master Data'!E511+"AM:!38/"</f>
        <v>#VALUE!</v>
      </c>
      <c r="IP376" t="e">
        <f>'Technical Master Data'!F511+"AM:!380"</f>
        <v>#VALUE!</v>
      </c>
      <c r="IQ376" t="e">
        <f>'Technical Master Data'!G511+"AM:!381"</f>
        <v>#VALUE!</v>
      </c>
      <c r="IR376" t="e">
        <f>'Technical Master Data'!H511+"AM:!382"</f>
        <v>#VALUE!</v>
      </c>
      <c r="IS376" t="e">
        <f>'Technical Master Data'!I511+"AM:!383"</f>
        <v>#VALUE!</v>
      </c>
      <c r="IT376" t="e">
        <f>'Technical Master Data'!J511+"AM:!384"</f>
        <v>#VALUE!</v>
      </c>
      <c r="IU376" t="e">
        <f>'Technical Master Data'!K511+"AM:!385"</f>
        <v>#VALUE!</v>
      </c>
      <c r="IV376" t="e">
        <f>'Technical Master Data'!L511+"AM:!386"</f>
        <v>#VALUE!</v>
      </c>
    </row>
    <row r="377" spans="6:256">
      <c r="F377" t="e">
        <f>'Technical Master Data'!M511+"AM:!387"</f>
        <v>#VALUE!</v>
      </c>
      <c r="G377" t="e">
        <f>'Technical Master Data'!N511+"AM:!388"</f>
        <v>#VALUE!</v>
      </c>
      <c r="H377" t="e">
        <f>'Technical Master Data'!O511+"AM:!389"</f>
        <v>#VALUE!</v>
      </c>
      <c r="I377" t="e">
        <f>'Technical Master Data'!P511+"AM:!38:"</f>
        <v>#VALUE!</v>
      </c>
      <c r="J377" t="e">
        <f>'Technical Master Data'!Q511+"AM:!38;"</f>
        <v>#VALUE!</v>
      </c>
      <c r="K377" t="e">
        <f>'Technical Master Data'!R511+"AM:!38&lt;"</f>
        <v>#VALUE!</v>
      </c>
      <c r="L377" t="e">
        <f>'Technical Master Data'!S511+"AM:!38="</f>
        <v>#VALUE!</v>
      </c>
      <c r="M377" t="e">
        <f>'Technical Master Data'!A512+"AM:!38&gt;"</f>
        <v>#VALUE!</v>
      </c>
      <c r="N377" t="e">
        <f>'Technical Master Data'!B512+"AM:!38?"</f>
        <v>#VALUE!</v>
      </c>
      <c r="O377" t="e">
        <f>'Technical Master Data'!C512+"AM:!38@"</f>
        <v>#VALUE!</v>
      </c>
      <c r="P377" t="e">
        <f>'Technical Master Data'!D512+"AM:!38A"</f>
        <v>#VALUE!</v>
      </c>
      <c r="Q377" t="e">
        <f>'Technical Master Data'!E512+"AM:!38B"</f>
        <v>#VALUE!</v>
      </c>
      <c r="R377" t="e">
        <f>'Technical Master Data'!F512+"AM:!38C"</f>
        <v>#VALUE!</v>
      </c>
      <c r="S377" t="e">
        <f>'Technical Master Data'!G512+"AM:!38D"</f>
        <v>#VALUE!</v>
      </c>
      <c r="T377" t="e">
        <f>'Technical Master Data'!H512+"AM:!38E"</f>
        <v>#VALUE!</v>
      </c>
      <c r="U377" t="e">
        <f>'Technical Master Data'!I512+"AM:!38F"</f>
        <v>#VALUE!</v>
      </c>
      <c r="V377" t="e">
        <f>'Technical Master Data'!J512+"AM:!38G"</f>
        <v>#VALUE!</v>
      </c>
      <c r="W377" t="e">
        <f>'Technical Master Data'!K512+"AM:!38H"</f>
        <v>#VALUE!</v>
      </c>
      <c r="X377" t="e">
        <f>'Technical Master Data'!L512+"AM:!38I"</f>
        <v>#VALUE!</v>
      </c>
      <c r="Y377" t="e">
        <f>'Technical Master Data'!M512+"AM:!38J"</f>
        <v>#VALUE!</v>
      </c>
      <c r="Z377" t="e">
        <f>'Technical Master Data'!N512+"AM:!38K"</f>
        <v>#VALUE!</v>
      </c>
      <c r="AA377" t="e">
        <f>'Technical Master Data'!O512+"AM:!38L"</f>
        <v>#VALUE!</v>
      </c>
      <c r="AB377" t="e">
        <f>'Technical Master Data'!P512+"AM:!38M"</f>
        <v>#VALUE!</v>
      </c>
      <c r="AC377" t="e">
        <f>'Technical Master Data'!Q512+"AM:!38N"</f>
        <v>#VALUE!</v>
      </c>
      <c r="AD377" t="e">
        <f>'Technical Master Data'!R512+"AM:!38O"</f>
        <v>#VALUE!</v>
      </c>
      <c r="AE377" t="e">
        <f>'Technical Master Data'!S512+"AM:!38P"</f>
        <v>#VALUE!</v>
      </c>
      <c r="AF377" t="e">
        <f>'Technical Master Data'!A513+"AM:!38Q"</f>
        <v>#VALUE!</v>
      </c>
      <c r="AG377" t="e">
        <f>'Technical Master Data'!B513+"AM:!38R"</f>
        <v>#VALUE!</v>
      </c>
      <c r="AH377" t="e">
        <f>'Technical Master Data'!C513+"AM:!38S"</f>
        <v>#VALUE!</v>
      </c>
      <c r="AI377" t="e">
        <f>'Technical Master Data'!D513+"AM:!38T"</f>
        <v>#VALUE!</v>
      </c>
      <c r="AJ377" t="e">
        <f>'Technical Master Data'!E513+"AM:!38U"</f>
        <v>#VALUE!</v>
      </c>
      <c r="AK377" t="e">
        <f>'Technical Master Data'!F513+"AM:!38V"</f>
        <v>#VALUE!</v>
      </c>
      <c r="AL377" t="e">
        <f>'Technical Master Data'!G513+"AM:!38W"</f>
        <v>#VALUE!</v>
      </c>
      <c r="AM377" t="e">
        <f>'Technical Master Data'!H513+"AM:!38X"</f>
        <v>#VALUE!</v>
      </c>
      <c r="AN377" t="e">
        <f>'Technical Master Data'!I513+"AM:!38Y"</f>
        <v>#VALUE!</v>
      </c>
      <c r="AO377" t="e">
        <f>'Technical Master Data'!J513+"AM:!38Z"</f>
        <v>#VALUE!</v>
      </c>
      <c r="AP377" t="e">
        <f>'Technical Master Data'!K513+"AM:!38["</f>
        <v>#VALUE!</v>
      </c>
      <c r="AQ377" t="e">
        <f>'Technical Master Data'!L513+"AM:!38\"</f>
        <v>#VALUE!</v>
      </c>
      <c r="AR377" t="e">
        <f>'Technical Master Data'!M513+"AM:!38]"</f>
        <v>#VALUE!</v>
      </c>
      <c r="AS377" t="e">
        <f>'Technical Master Data'!N513+"AM:!38^"</f>
        <v>#VALUE!</v>
      </c>
      <c r="AT377" t="e">
        <f>'Technical Master Data'!O513+"AM:!38_"</f>
        <v>#VALUE!</v>
      </c>
      <c r="AU377" t="e">
        <f>'Technical Master Data'!P513+"AM:!38`"</f>
        <v>#VALUE!</v>
      </c>
      <c r="AV377" t="e">
        <f>'Technical Master Data'!Q513+"AM:!38a"</f>
        <v>#VALUE!</v>
      </c>
      <c r="AW377" t="e">
        <f>'Technical Master Data'!R513+"AM:!38b"</f>
        <v>#VALUE!</v>
      </c>
      <c r="AX377" t="e">
        <f>'Technical Master Data'!S513+"AM:!38c"</f>
        <v>#VALUE!</v>
      </c>
      <c r="AY377" t="e">
        <f>'Technical Master Data'!A514+"AM:!38d"</f>
        <v>#VALUE!</v>
      </c>
      <c r="AZ377" t="e">
        <f>'Technical Master Data'!B514+"AM:!38e"</f>
        <v>#VALUE!</v>
      </c>
      <c r="BA377" t="e">
        <f>'Technical Master Data'!C514+"AM:!38f"</f>
        <v>#VALUE!</v>
      </c>
      <c r="BB377" t="e">
        <f>'Technical Master Data'!D514+"AM:!38g"</f>
        <v>#VALUE!</v>
      </c>
      <c r="BC377" t="e">
        <f>'Technical Master Data'!E514+"AM:!38h"</f>
        <v>#VALUE!</v>
      </c>
      <c r="BD377" t="e">
        <f>'Technical Master Data'!F514+"AM:!38i"</f>
        <v>#VALUE!</v>
      </c>
      <c r="BE377" t="e">
        <f>'Technical Master Data'!G514+"AM:!38j"</f>
        <v>#VALUE!</v>
      </c>
      <c r="BF377" t="e">
        <f>'Technical Master Data'!H514+"AM:!38k"</f>
        <v>#VALUE!</v>
      </c>
      <c r="BG377" t="e">
        <f>'Technical Master Data'!I514+"AM:!38l"</f>
        <v>#VALUE!</v>
      </c>
      <c r="BH377" t="e">
        <f>'Technical Master Data'!J514+"AM:!38m"</f>
        <v>#VALUE!</v>
      </c>
      <c r="BI377" t="e">
        <f>'Technical Master Data'!K514+"AM:!38n"</f>
        <v>#VALUE!</v>
      </c>
      <c r="BJ377" t="e">
        <f>'Technical Master Data'!L514+"AM:!38o"</f>
        <v>#VALUE!</v>
      </c>
      <c r="BK377" t="e">
        <f>'Technical Master Data'!M514+"AM:!38p"</f>
        <v>#VALUE!</v>
      </c>
      <c r="BL377" t="e">
        <f>'Technical Master Data'!N514+"AM:!38q"</f>
        <v>#VALUE!</v>
      </c>
      <c r="BM377" t="e">
        <f>'Technical Master Data'!O514+"AM:!38r"</f>
        <v>#VALUE!</v>
      </c>
      <c r="BN377" t="e">
        <f>'Technical Master Data'!P514+"AM:!38s"</f>
        <v>#VALUE!</v>
      </c>
      <c r="BO377" t="e">
        <f>'Technical Master Data'!Q514+"AM:!38t"</f>
        <v>#VALUE!</v>
      </c>
      <c r="BP377" t="e">
        <f>'Technical Master Data'!R514+"AM:!38u"</f>
        <v>#VALUE!</v>
      </c>
      <c r="BQ377" t="e">
        <f>'Technical Master Data'!S514+"AM:!38v"</f>
        <v>#VALUE!</v>
      </c>
      <c r="BR377" t="e">
        <f>'Technical Master Data'!A515+"AM:!38w"</f>
        <v>#VALUE!</v>
      </c>
      <c r="BS377" t="e">
        <f>'Technical Master Data'!B515+"AM:!38x"</f>
        <v>#VALUE!</v>
      </c>
      <c r="BT377" t="e">
        <f>'Technical Master Data'!D515+"AM:!38y"</f>
        <v>#VALUE!</v>
      </c>
      <c r="BU377" t="e">
        <f>'Technical Master Data'!E515+"AM:!38z"</f>
        <v>#VALUE!</v>
      </c>
      <c r="BV377" t="e">
        <f>'Technical Master Data'!F515+"AM:!38{"</f>
        <v>#VALUE!</v>
      </c>
      <c r="BW377" t="e">
        <f>'Technical Master Data'!G515+"AM:!38|"</f>
        <v>#VALUE!</v>
      </c>
      <c r="BX377" t="e">
        <f>'Technical Master Data'!H515+"AM:!38}"</f>
        <v>#VALUE!</v>
      </c>
      <c r="BY377" t="e">
        <f>'Technical Master Data'!I515+"AM:!38~"</f>
        <v>#VALUE!</v>
      </c>
      <c r="BZ377" t="e">
        <f>'Technical Master Data'!J515+"AM:!39#"</f>
        <v>#VALUE!</v>
      </c>
      <c r="CA377" t="e">
        <f>'Technical Master Data'!K515+"AM:!39$"</f>
        <v>#VALUE!</v>
      </c>
      <c r="CB377" t="e">
        <f>'Technical Master Data'!L515+"AM:!39%"</f>
        <v>#VALUE!</v>
      </c>
      <c r="CC377" t="e">
        <f>'Technical Master Data'!M515+"AM:!39&amp;"</f>
        <v>#VALUE!</v>
      </c>
      <c r="CD377" t="e">
        <f>'Technical Master Data'!N515+"AM:!39'"</f>
        <v>#VALUE!</v>
      </c>
      <c r="CE377" t="e">
        <f>'Technical Master Data'!O515+"AM:!39("</f>
        <v>#VALUE!</v>
      </c>
      <c r="CF377" t="e">
        <f>'Technical Master Data'!P515+"AM:!39)"</f>
        <v>#VALUE!</v>
      </c>
      <c r="CG377" t="e">
        <f>'Technical Master Data'!Q515+"AM:!39."</f>
        <v>#VALUE!</v>
      </c>
      <c r="CH377" t="e">
        <f>'Technical Master Data'!R515+"AM:!39/"</f>
        <v>#VALUE!</v>
      </c>
      <c r="CI377" t="e">
        <f>'Technical Master Data'!S515+"AM:!390"</f>
        <v>#VALUE!</v>
      </c>
      <c r="CJ377" t="e">
        <f>'Technical Master Data'!A516+"AM:!391"</f>
        <v>#VALUE!</v>
      </c>
      <c r="CK377" t="e">
        <f>'Technical Master Data'!B516+"AM:!392"</f>
        <v>#VALUE!</v>
      </c>
      <c r="CL377" t="e">
        <f>'Technical Master Data'!D516+"AM:!393"</f>
        <v>#VALUE!</v>
      </c>
      <c r="CM377" t="e">
        <f>'Technical Master Data'!E516+"AM:!394"</f>
        <v>#VALUE!</v>
      </c>
      <c r="CN377" t="e">
        <f>'Technical Master Data'!F516+"AM:!395"</f>
        <v>#VALUE!</v>
      </c>
      <c r="CO377" t="e">
        <f>'Technical Master Data'!G516+"AM:!396"</f>
        <v>#VALUE!</v>
      </c>
      <c r="CP377" t="e">
        <f>'Technical Master Data'!H516+"AM:!397"</f>
        <v>#VALUE!</v>
      </c>
      <c r="CQ377" t="e">
        <f>'Technical Master Data'!I516+"AM:!398"</f>
        <v>#VALUE!</v>
      </c>
      <c r="CR377" t="e">
        <f>'Technical Master Data'!J516+"AM:!399"</f>
        <v>#VALUE!</v>
      </c>
      <c r="CS377" t="e">
        <f>'Technical Master Data'!K516+"AM:!39:"</f>
        <v>#VALUE!</v>
      </c>
      <c r="CT377" t="e">
        <f>'Technical Master Data'!L516+"AM:!39;"</f>
        <v>#VALUE!</v>
      </c>
      <c r="CU377" t="e">
        <f>'Technical Master Data'!M516+"AM:!39&lt;"</f>
        <v>#VALUE!</v>
      </c>
      <c r="CV377" t="e">
        <f>'Technical Master Data'!N516+"AM:!39="</f>
        <v>#VALUE!</v>
      </c>
      <c r="CW377" t="e">
        <f>'Technical Master Data'!O516+"AM:!39&gt;"</f>
        <v>#VALUE!</v>
      </c>
      <c r="CX377" t="e">
        <f>'Technical Master Data'!P516+"AM:!39?"</f>
        <v>#VALUE!</v>
      </c>
      <c r="CY377" t="e">
        <f>'Technical Master Data'!Q516+"AM:!39@"</f>
        <v>#VALUE!</v>
      </c>
      <c r="CZ377" t="e">
        <f>'Technical Master Data'!R516+"AM:!39A"</f>
        <v>#VALUE!</v>
      </c>
      <c r="DA377" t="e">
        <f>'Technical Master Data'!S516+"AM:!39B"</f>
        <v>#VALUE!</v>
      </c>
      <c r="DB377" t="e">
        <f>'Technical Master Data'!B517+"AM:!39C"</f>
        <v>#VALUE!</v>
      </c>
      <c r="DC377" t="e">
        <f>'Technical Master Data'!D517+"AM:!39D"</f>
        <v>#VALUE!</v>
      </c>
      <c r="DD377" t="e">
        <f>'Technical Master Data'!E517+"AM:!39E"</f>
        <v>#VALUE!</v>
      </c>
      <c r="DE377" t="e">
        <f>'Technical Master Data'!F517+"AM:!39F"</f>
        <v>#VALUE!</v>
      </c>
      <c r="DF377" t="e">
        <f>'Technical Master Data'!G517+"AM:!39G"</f>
        <v>#VALUE!</v>
      </c>
      <c r="DG377" t="e">
        <f>'Technical Master Data'!H517+"AM:!39H"</f>
        <v>#VALUE!</v>
      </c>
      <c r="DH377" t="e">
        <f>'Technical Master Data'!I517+"AM:!39I"</f>
        <v>#VALUE!</v>
      </c>
      <c r="DI377" t="e">
        <f>'Technical Master Data'!J517+"AM:!39J"</f>
        <v>#VALUE!</v>
      </c>
      <c r="DJ377" t="e">
        <f>'Technical Master Data'!K517+"AM:!39K"</f>
        <v>#VALUE!</v>
      </c>
      <c r="DK377" t="e">
        <f>'Technical Master Data'!L517+"AM:!39L"</f>
        <v>#VALUE!</v>
      </c>
      <c r="DL377" t="e">
        <f>'Technical Master Data'!M517+"AM:!39M"</f>
        <v>#VALUE!</v>
      </c>
      <c r="DM377" t="e">
        <f>'Technical Master Data'!N517+"AM:!39N"</f>
        <v>#VALUE!</v>
      </c>
      <c r="DN377" t="e">
        <f>'Technical Master Data'!O517+"AM:!39O"</f>
        <v>#VALUE!</v>
      </c>
      <c r="DO377" t="e">
        <f>'Technical Master Data'!P517+"AM:!39P"</f>
        <v>#VALUE!</v>
      </c>
      <c r="DP377" t="e">
        <f>'Technical Master Data'!Q517+"AM:!39Q"</f>
        <v>#VALUE!</v>
      </c>
      <c r="DQ377" t="e">
        <f>'Technical Master Data'!R517+"AM:!39R"</f>
        <v>#VALUE!</v>
      </c>
      <c r="DR377" t="e">
        <f>'Technical Master Data'!S517+"AM:!39S"</f>
        <v>#VALUE!</v>
      </c>
      <c r="DS377" t="e">
        <f>'Technical Master Data'!B518+"AM:!39T"</f>
        <v>#VALUE!</v>
      </c>
      <c r="DT377" t="e">
        <f>'Technical Master Data'!D518+"AM:!39U"</f>
        <v>#VALUE!</v>
      </c>
      <c r="DU377" t="e">
        <f>'Technical Master Data'!E518+"AM:!39V"</f>
        <v>#VALUE!</v>
      </c>
      <c r="DV377" t="e">
        <f>'Technical Master Data'!F518+"AM:!39W"</f>
        <v>#VALUE!</v>
      </c>
      <c r="DW377" t="e">
        <f>'Technical Master Data'!G518+"AM:!39X"</f>
        <v>#VALUE!</v>
      </c>
      <c r="DX377" t="e">
        <f>'Technical Master Data'!H518+"AM:!39Y"</f>
        <v>#VALUE!</v>
      </c>
      <c r="DY377" t="e">
        <f>'Technical Master Data'!I518+"AM:!39Z"</f>
        <v>#VALUE!</v>
      </c>
      <c r="DZ377" t="e">
        <f>'Technical Master Data'!J518+"AM:!39["</f>
        <v>#VALUE!</v>
      </c>
      <c r="EA377" t="e">
        <f>'Technical Master Data'!K518+"AM:!39\"</f>
        <v>#VALUE!</v>
      </c>
      <c r="EB377" t="e">
        <f>'Technical Master Data'!L518+"AM:!39]"</f>
        <v>#VALUE!</v>
      </c>
      <c r="EC377" t="e">
        <f>'Technical Master Data'!M518+"AM:!39^"</f>
        <v>#VALUE!</v>
      </c>
      <c r="ED377" t="e">
        <f>'Technical Master Data'!N518+"AM:!39_"</f>
        <v>#VALUE!</v>
      </c>
      <c r="EE377" t="e">
        <f>'Technical Master Data'!O518+"AM:!39`"</f>
        <v>#VALUE!</v>
      </c>
      <c r="EF377" t="e">
        <f>'Technical Master Data'!P518+"AM:!39a"</f>
        <v>#VALUE!</v>
      </c>
      <c r="EG377" t="e">
        <f>'Technical Master Data'!Q518+"AM:!39b"</f>
        <v>#VALUE!</v>
      </c>
      <c r="EH377" t="e">
        <f>'Technical Master Data'!R518+"AM:!39c"</f>
        <v>#VALUE!</v>
      </c>
      <c r="EI377" t="e">
        <f>'Technical Master Data'!S518+"AM:!39d"</f>
        <v>#VALUE!</v>
      </c>
      <c r="EJ377" t="e">
        <f>'Technical Master Data'!B519+"AM:!39e"</f>
        <v>#VALUE!</v>
      </c>
      <c r="EK377" t="e">
        <f>'Technical Master Data'!D519+"AM:!39f"</f>
        <v>#VALUE!</v>
      </c>
      <c r="EL377" t="e">
        <f>'Technical Master Data'!E519+"AM:!39g"</f>
        <v>#VALUE!</v>
      </c>
      <c r="EM377" t="e">
        <f>'Technical Master Data'!F519+"AM:!39h"</f>
        <v>#VALUE!</v>
      </c>
      <c r="EN377" t="e">
        <f>'Technical Master Data'!G519+"AM:!39i"</f>
        <v>#VALUE!</v>
      </c>
      <c r="EO377" t="e">
        <f>'Technical Master Data'!H519+"AM:!39j"</f>
        <v>#VALUE!</v>
      </c>
      <c r="EP377" t="e">
        <f>'Technical Master Data'!I519+"AM:!39k"</f>
        <v>#VALUE!</v>
      </c>
      <c r="EQ377" t="e">
        <f>'Technical Master Data'!J519+"AM:!39l"</f>
        <v>#VALUE!</v>
      </c>
      <c r="ER377" t="e">
        <f>'Technical Master Data'!K519+"AM:!39m"</f>
        <v>#VALUE!</v>
      </c>
      <c r="ES377" t="e">
        <f>'Technical Master Data'!L519+"AM:!39n"</f>
        <v>#VALUE!</v>
      </c>
      <c r="ET377" t="e">
        <f>'Technical Master Data'!M519+"AM:!39o"</f>
        <v>#VALUE!</v>
      </c>
      <c r="EU377" t="e">
        <f>'Technical Master Data'!N519+"AM:!39p"</f>
        <v>#VALUE!</v>
      </c>
      <c r="EV377" t="e">
        <f>'Technical Master Data'!O519+"AM:!39q"</f>
        <v>#VALUE!</v>
      </c>
      <c r="EW377" t="e">
        <f>'Technical Master Data'!P519+"AM:!39r"</f>
        <v>#VALUE!</v>
      </c>
      <c r="EX377" t="e">
        <f>'Technical Master Data'!Q519+"AM:!39s"</f>
        <v>#VALUE!</v>
      </c>
      <c r="EY377" t="e">
        <f>'Technical Master Data'!R519+"AM:!39t"</f>
        <v>#VALUE!</v>
      </c>
      <c r="EZ377" t="e">
        <f>'Technical Master Data'!S519+"AM:!39u"</f>
        <v>#VALUE!</v>
      </c>
      <c r="FA377" t="e">
        <f>'Technical Master Data'!B520+"AM:!39v"</f>
        <v>#VALUE!</v>
      </c>
      <c r="FB377" t="e">
        <f>'Technical Master Data'!D520+"AM:!39w"</f>
        <v>#VALUE!</v>
      </c>
      <c r="FC377" t="e">
        <f>'Technical Master Data'!E520+"AM:!39x"</f>
        <v>#VALUE!</v>
      </c>
      <c r="FD377" t="e">
        <f>'Technical Master Data'!F520+"AM:!39y"</f>
        <v>#VALUE!</v>
      </c>
      <c r="FE377" t="e">
        <f>'Technical Master Data'!G520+"AM:!39z"</f>
        <v>#VALUE!</v>
      </c>
      <c r="FF377" t="e">
        <f>'Technical Master Data'!H520+"AM:!39{"</f>
        <v>#VALUE!</v>
      </c>
      <c r="FG377" t="e">
        <f>'Technical Master Data'!I520+"AM:!39|"</f>
        <v>#VALUE!</v>
      </c>
      <c r="FH377" t="e">
        <f>'Technical Master Data'!J520+"AM:!39}"</f>
        <v>#VALUE!</v>
      </c>
      <c r="FI377" t="e">
        <f>'Technical Master Data'!K520+"AM:!39~"</f>
        <v>#VALUE!</v>
      </c>
      <c r="FJ377" t="e">
        <f>'Technical Master Data'!L520+"AM:!3:#"</f>
        <v>#VALUE!</v>
      </c>
      <c r="FK377" t="e">
        <f>'Technical Master Data'!M520+"AM:!3:$"</f>
        <v>#VALUE!</v>
      </c>
      <c r="FL377" t="e">
        <f>'Technical Master Data'!N520+"AM:!3:%"</f>
        <v>#VALUE!</v>
      </c>
      <c r="FM377" t="e">
        <f>'Technical Master Data'!O520+"AM:!3:&amp;"</f>
        <v>#VALUE!</v>
      </c>
      <c r="FN377" t="e">
        <f>'Technical Master Data'!P520+"AM:!3:'"</f>
        <v>#VALUE!</v>
      </c>
      <c r="FO377" t="e">
        <f>'Technical Master Data'!Q520+"AM:!3:("</f>
        <v>#VALUE!</v>
      </c>
      <c r="FP377" t="e">
        <f>'Technical Master Data'!R520+"AM:!3:)"</f>
        <v>#VALUE!</v>
      </c>
      <c r="FQ377" t="e">
        <f>'Technical Master Data'!S520+"AM:!3:."</f>
        <v>#VALUE!</v>
      </c>
      <c r="FR377" t="e">
        <f>'Technical Master Data'!B521+"AM:!3:/"</f>
        <v>#VALUE!</v>
      </c>
      <c r="FS377" t="e">
        <f>'Technical Master Data'!D521+"AM:!3:0"</f>
        <v>#VALUE!</v>
      </c>
      <c r="FT377" t="e">
        <f>'Technical Master Data'!E521+"AM:!3:1"</f>
        <v>#VALUE!</v>
      </c>
      <c r="FU377" t="e">
        <f>'Technical Master Data'!F521+"AM:!3:2"</f>
        <v>#VALUE!</v>
      </c>
      <c r="FV377" t="e">
        <f>'Technical Master Data'!G521+"AM:!3:3"</f>
        <v>#VALUE!</v>
      </c>
      <c r="FW377" t="e">
        <f>'Technical Master Data'!H521+"AM:!3:4"</f>
        <v>#VALUE!</v>
      </c>
      <c r="FX377" t="e">
        <f>'Technical Master Data'!I521+"AM:!3:5"</f>
        <v>#VALUE!</v>
      </c>
      <c r="FY377" t="e">
        <f>'Technical Master Data'!J521+"AM:!3:6"</f>
        <v>#VALUE!</v>
      </c>
      <c r="FZ377" t="e">
        <f>'Technical Master Data'!K521+"AM:!3:7"</f>
        <v>#VALUE!</v>
      </c>
      <c r="GA377" t="e">
        <f>'Technical Master Data'!L521+"AM:!3:8"</f>
        <v>#VALUE!</v>
      </c>
      <c r="GB377" t="e">
        <f>'Technical Master Data'!M521+"AM:!3:9"</f>
        <v>#VALUE!</v>
      </c>
      <c r="GC377" t="e">
        <f>'Technical Master Data'!N521+"AM:!3::"</f>
        <v>#VALUE!</v>
      </c>
      <c r="GD377" t="e">
        <f>'Technical Master Data'!O521+"AM:!3:;"</f>
        <v>#VALUE!</v>
      </c>
      <c r="GE377" t="e">
        <f>'Technical Master Data'!P521+"AM:!3:&lt;"</f>
        <v>#VALUE!</v>
      </c>
      <c r="GF377" t="e">
        <f>'Technical Master Data'!Q521+"AM:!3:="</f>
        <v>#VALUE!</v>
      </c>
      <c r="GG377" t="e">
        <f>'Technical Master Data'!R521+"AM:!3:&gt;"</f>
        <v>#VALUE!</v>
      </c>
      <c r="GH377" t="e">
        <f>'Technical Master Data'!S521+"AM:!3:?"</f>
        <v>#VALUE!</v>
      </c>
      <c r="GI377" t="e">
        <f>'Technical Master Data'!B522+"AM:!3:@"</f>
        <v>#VALUE!</v>
      </c>
      <c r="GJ377" t="e">
        <f>'Technical Master Data'!D522+"AM:!3:A"</f>
        <v>#VALUE!</v>
      </c>
      <c r="GK377" t="e">
        <f>'Technical Master Data'!E522+"AM:!3:B"</f>
        <v>#VALUE!</v>
      </c>
      <c r="GL377" t="e">
        <f>'Technical Master Data'!F522+"AM:!3:C"</f>
        <v>#VALUE!</v>
      </c>
      <c r="GM377" t="e">
        <f>'Technical Master Data'!G522+"AM:!3:D"</f>
        <v>#VALUE!</v>
      </c>
      <c r="GN377" t="e">
        <f>'Technical Master Data'!H522+"AM:!3:E"</f>
        <v>#VALUE!</v>
      </c>
      <c r="GO377" t="e">
        <f>'Technical Master Data'!I522+"AM:!3:F"</f>
        <v>#VALUE!</v>
      </c>
      <c r="GP377" t="e">
        <f>'Technical Master Data'!J522+"AM:!3:G"</f>
        <v>#VALUE!</v>
      </c>
      <c r="GQ377" t="e">
        <f>'Technical Master Data'!K522+"AM:!3:H"</f>
        <v>#VALUE!</v>
      </c>
      <c r="GR377" t="e">
        <f>'Technical Master Data'!L522+"AM:!3:I"</f>
        <v>#VALUE!</v>
      </c>
      <c r="GS377" t="e">
        <f>'Technical Master Data'!M522+"AM:!3:J"</f>
        <v>#VALUE!</v>
      </c>
      <c r="GT377" t="e">
        <f>'Technical Master Data'!N522+"AM:!3:K"</f>
        <v>#VALUE!</v>
      </c>
      <c r="GU377" t="e">
        <f>'Technical Master Data'!O522+"AM:!3:L"</f>
        <v>#VALUE!</v>
      </c>
      <c r="GV377" t="e">
        <f>'Technical Master Data'!P522+"AM:!3:M"</f>
        <v>#VALUE!</v>
      </c>
      <c r="GW377" t="e">
        <f>'Technical Master Data'!Q522+"AM:!3:N"</f>
        <v>#VALUE!</v>
      </c>
      <c r="GX377" t="e">
        <f>'Technical Master Data'!R522+"AM:!3:O"</f>
        <v>#VALUE!</v>
      </c>
      <c r="GY377" t="e">
        <f>'Technical Master Data'!S522+"AM:!3:P"</f>
        <v>#VALUE!</v>
      </c>
      <c r="GZ377" t="e">
        <f>'Technical Master Data'!B523+"AM:!3:Q"</f>
        <v>#VALUE!</v>
      </c>
      <c r="HA377" t="e">
        <f>'Technical Master Data'!D523+"AM:!3:R"</f>
        <v>#VALUE!</v>
      </c>
      <c r="HB377" t="e">
        <f>'Technical Master Data'!E523+"AM:!3:S"</f>
        <v>#VALUE!</v>
      </c>
      <c r="HC377" t="e">
        <f>'Technical Master Data'!F523+"AM:!3:T"</f>
        <v>#VALUE!</v>
      </c>
      <c r="HD377" t="e">
        <f>'Technical Master Data'!G523+"AM:!3:U"</f>
        <v>#VALUE!</v>
      </c>
      <c r="HE377" t="e">
        <f>'Technical Master Data'!H523+"AM:!3:V"</f>
        <v>#VALUE!</v>
      </c>
      <c r="HF377" t="e">
        <f>'Technical Master Data'!I523+"AM:!3:W"</f>
        <v>#VALUE!</v>
      </c>
      <c r="HG377" t="e">
        <f>'Technical Master Data'!J523+"AM:!3:X"</f>
        <v>#VALUE!</v>
      </c>
      <c r="HH377" t="e">
        <f>'Technical Master Data'!K523+"AM:!3:Y"</f>
        <v>#VALUE!</v>
      </c>
      <c r="HI377" t="e">
        <f>'Technical Master Data'!L523+"AM:!3:Z"</f>
        <v>#VALUE!</v>
      </c>
      <c r="HJ377" t="e">
        <f>'Technical Master Data'!M523+"AM:!3:["</f>
        <v>#VALUE!</v>
      </c>
      <c r="HK377" t="e">
        <f>'Technical Master Data'!N523+"AM:!3:\"</f>
        <v>#VALUE!</v>
      </c>
      <c r="HL377" t="e">
        <f>'Technical Master Data'!O523+"AM:!3:]"</f>
        <v>#VALUE!</v>
      </c>
      <c r="HM377" t="e">
        <f>'Technical Master Data'!P523+"AM:!3:^"</f>
        <v>#VALUE!</v>
      </c>
      <c r="HN377" t="e">
        <f>'Technical Master Data'!Q523+"AM:!3:_"</f>
        <v>#VALUE!</v>
      </c>
      <c r="HO377" t="e">
        <f>'Technical Master Data'!R523+"AM:!3:`"</f>
        <v>#VALUE!</v>
      </c>
      <c r="HP377" t="e">
        <f>'Technical Master Data'!S523+"AM:!3:a"</f>
        <v>#VALUE!</v>
      </c>
      <c r="HQ377" t="e">
        <f>'Technical Master Data'!B524+"AM:!3:b"</f>
        <v>#VALUE!</v>
      </c>
      <c r="HR377" t="e">
        <f>'Technical Master Data'!D524+"AM:!3:c"</f>
        <v>#VALUE!</v>
      </c>
      <c r="HS377" t="e">
        <f>'Technical Master Data'!E524+"AM:!3:d"</f>
        <v>#VALUE!</v>
      </c>
      <c r="HT377" t="e">
        <f>'Technical Master Data'!F524+"AM:!3:e"</f>
        <v>#VALUE!</v>
      </c>
      <c r="HU377" t="e">
        <f>'Technical Master Data'!G524+"AM:!3:f"</f>
        <v>#VALUE!</v>
      </c>
      <c r="HV377" t="e">
        <f>'Technical Master Data'!H524+"AM:!3:g"</f>
        <v>#VALUE!</v>
      </c>
      <c r="HW377" t="e">
        <f>'Technical Master Data'!I524+"AM:!3:h"</f>
        <v>#VALUE!</v>
      </c>
      <c r="HX377" t="e">
        <f>'Technical Master Data'!J524+"AM:!3:i"</f>
        <v>#VALUE!</v>
      </c>
      <c r="HY377" t="e">
        <f>'Technical Master Data'!K524+"AM:!3:j"</f>
        <v>#VALUE!</v>
      </c>
      <c r="HZ377" t="e">
        <f>'Technical Master Data'!L524+"AM:!3:k"</f>
        <v>#VALUE!</v>
      </c>
      <c r="IA377" t="e">
        <f>'Technical Master Data'!M524+"AM:!3:l"</f>
        <v>#VALUE!</v>
      </c>
      <c r="IB377" t="e">
        <f>'Technical Master Data'!N524+"AM:!3:m"</f>
        <v>#VALUE!</v>
      </c>
      <c r="IC377" t="e">
        <f>'Technical Master Data'!O524+"AM:!3:n"</f>
        <v>#VALUE!</v>
      </c>
      <c r="ID377" t="e">
        <f>'Technical Master Data'!P524+"AM:!3:o"</f>
        <v>#VALUE!</v>
      </c>
      <c r="IE377" t="e">
        <f>'Technical Master Data'!Q524+"AM:!3:p"</f>
        <v>#VALUE!</v>
      </c>
      <c r="IF377" t="e">
        <f>'Technical Master Data'!R524+"AM:!3:q"</f>
        <v>#VALUE!</v>
      </c>
      <c r="IG377" t="e">
        <f>'Technical Master Data'!S524+"AM:!3:r"</f>
        <v>#VALUE!</v>
      </c>
      <c r="IH377" t="e">
        <f>'Technical Master Data'!B525+"AM:!3:s"</f>
        <v>#VALUE!</v>
      </c>
      <c r="II377" t="e">
        <f>'Technical Master Data'!D525+"AM:!3:t"</f>
        <v>#VALUE!</v>
      </c>
      <c r="IJ377" t="e">
        <f>'Technical Master Data'!E525+"AM:!3:u"</f>
        <v>#VALUE!</v>
      </c>
      <c r="IK377" t="e">
        <f>'Technical Master Data'!F525+"AM:!3:v"</f>
        <v>#VALUE!</v>
      </c>
      <c r="IL377" t="e">
        <f>'Technical Master Data'!G525+"AM:!3:w"</f>
        <v>#VALUE!</v>
      </c>
      <c r="IM377" t="e">
        <f>'Technical Master Data'!H525+"AM:!3:x"</f>
        <v>#VALUE!</v>
      </c>
      <c r="IN377" t="e">
        <f>'Technical Master Data'!I525+"AM:!3:y"</f>
        <v>#VALUE!</v>
      </c>
      <c r="IO377" t="e">
        <f>'Technical Master Data'!J525+"AM:!3:z"</f>
        <v>#VALUE!</v>
      </c>
      <c r="IP377" t="e">
        <f>'Technical Master Data'!K525+"AM:!3:{"</f>
        <v>#VALUE!</v>
      </c>
      <c r="IQ377" t="e">
        <f>'Technical Master Data'!L525+"AM:!3:|"</f>
        <v>#VALUE!</v>
      </c>
      <c r="IR377" t="e">
        <f>'Technical Master Data'!M525+"AM:!3:}"</f>
        <v>#VALUE!</v>
      </c>
      <c r="IS377" t="e">
        <f>'Technical Master Data'!N525+"AM:!3:~"</f>
        <v>#VALUE!</v>
      </c>
      <c r="IT377" t="e">
        <f>'Technical Master Data'!O525+"AM:!3;#"</f>
        <v>#VALUE!</v>
      </c>
      <c r="IU377" t="e">
        <f>'Technical Master Data'!P525+"AM:!3;$"</f>
        <v>#VALUE!</v>
      </c>
      <c r="IV377" t="e">
        <f>'Technical Master Data'!Q525+"AM:!3;%"</f>
        <v>#VALUE!</v>
      </c>
    </row>
    <row r="378" spans="6:256">
      <c r="F378" t="e">
        <f>'Technical Master Data'!R525+"AM:!3;&amp;"</f>
        <v>#VALUE!</v>
      </c>
      <c r="G378" t="e">
        <f>'Technical Master Data'!S525+"AM:!3;'"</f>
        <v>#VALUE!</v>
      </c>
      <c r="H378" t="e">
        <f>'Technical Master Data'!B526+"AM:!3;("</f>
        <v>#VALUE!</v>
      </c>
      <c r="I378" t="e">
        <f>'Technical Master Data'!D526+"AM:!3;)"</f>
        <v>#VALUE!</v>
      </c>
      <c r="J378" t="e">
        <f>'Technical Master Data'!E526+"AM:!3;."</f>
        <v>#VALUE!</v>
      </c>
      <c r="K378" t="e">
        <f>'Technical Master Data'!F526+"AM:!3;/"</f>
        <v>#VALUE!</v>
      </c>
      <c r="L378" t="e">
        <f>'Technical Master Data'!G526+"AM:!3;0"</f>
        <v>#VALUE!</v>
      </c>
      <c r="M378" t="e">
        <f>'Technical Master Data'!H526+"AM:!3;1"</f>
        <v>#VALUE!</v>
      </c>
      <c r="N378" t="e">
        <f>'Technical Master Data'!I526+"AM:!3;2"</f>
        <v>#VALUE!</v>
      </c>
      <c r="O378" t="e">
        <f>'Technical Master Data'!J526+"AM:!3;3"</f>
        <v>#VALUE!</v>
      </c>
      <c r="P378" t="e">
        <f>'Technical Master Data'!K526+"AM:!3;4"</f>
        <v>#VALUE!</v>
      </c>
      <c r="Q378" t="e">
        <f>'Technical Master Data'!L526+"AM:!3;5"</f>
        <v>#VALUE!</v>
      </c>
      <c r="R378" t="e">
        <f>'Technical Master Data'!M526+"AM:!3;6"</f>
        <v>#VALUE!</v>
      </c>
      <c r="S378" t="e">
        <f>'Technical Master Data'!N526+"AM:!3;7"</f>
        <v>#VALUE!</v>
      </c>
      <c r="T378" t="e">
        <f>'Technical Master Data'!O526+"AM:!3;8"</f>
        <v>#VALUE!</v>
      </c>
      <c r="U378" t="e">
        <f>'Technical Master Data'!P526+"AM:!3;9"</f>
        <v>#VALUE!</v>
      </c>
      <c r="V378" t="e">
        <f>'Technical Master Data'!Q526+"AM:!3;:"</f>
        <v>#VALUE!</v>
      </c>
      <c r="W378" t="e">
        <f>'Technical Master Data'!R526+"AM:!3;;"</f>
        <v>#VALUE!</v>
      </c>
      <c r="X378" t="e">
        <f>'Technical Master Data'!S526+"AM:!3;&lt;"</f>
        <v>#VALUE!</v>
      </c>
      <c r="Y378" t="e">
        <f>'Technical Master Data'!B527+"AM:!3;="</f>
        <v>#VALUE!</v>
      </c>
      <c r="Z378" t="e">
        <f>'Technical Master Data'!D527+"AM:!3;&gt;"</f>
        <v>#VALUE!</v>
      </c>
      <c r="AA378" t="e">
        <f>'Technical Master Data'!E527+"AM:!3;?"</f>
        <v>#VALUE!</v>
      </c>
      <c r="AB378" t="e">
        <f>'Technical Master Data'!F527+"AM:!3;@"</f>
        <v>#VALUE!</v>
      </c>
      <c r="AC378" t="e">
        <f>'Technical Master Data'!G527+"AM:!3;A"</f>
        <v>#VALUE!</v>
      </c>
      <c r="AD378" t="e">
        <f>'Technical Master Data'!H527+"AM:!3;B"</f>
        <v>#VALUE!</v>
      </c>
      <c r="AE378" t="e">
        <f>'Technical Master Data'!I527+"AM:!3;C"</f>
        <v>#VALUE!</v>
      </c>
      <c r="AF378" t="e">
        <f>'Technical Master Data'!J527+"AM:!3;D"</f>
        <v>#VALUE!</v>
      </c>
      <c r="AG378" t="e">
        <f>'Technical Master Data'!K527+"AM:!3;E"</f>
        <v>#VALUE!</v>
      </c>
      <c r="AH378" t="e">
        <f>'Technical Master Data'!L527+"AM:!3;F"</f>
        <v>#VALUE!</v>
      </c>
      <c r="AI378" t="e">
        <f>'Technical Master Data'!M527+"AM:!3;G"</f>
        <v>#VALUE!</v>
      </c>
      <c r="AJ378" t="e">
        <f>'Technical Master Data'!N527+"AM:!3;H"</f>
        <v>#VALUE!</v>
      </c>
      <c r="AK378" t="e">
        <f>'Technical Master Data'!O527+"AM:!3;I"</f>
        <v>#VALUE!</v>
      </c>
      <c r="AL378" t="e">
        <f>'Technical Master Data'!P527+"AM:!3;J"</f>
        <v>#VALUE!</v>
      </c>
      <c r="AM378" t="e">
        <f>'Technical Master Data'!Q527+"AM:!3;K"</f>
        <v>#VALUE!</v>
      </c>
      <c r="AN378" t="e">
        <f>'Technical Master Data'!R527+"AM:!3;L"</f>
        <v>#VALUE!</v>
      </c>
      <c r="AO378" t="e">
        <f>'Technical Master Data'!S527+"AM:!3;M"</f>
        <v>#VALUE!</v>
      </c>
      <c r="AP378" t="e">
        <f>'Technical Master Data'!B528+"AM:!3;N"</f>
        <v>#VALUE!</v>
      </c>
      <c r="AQ378" t="e">
        <f>'Technical Master Data'!D528+"AM:!3;O"</f>
        <v>#VALUE!</v>
      </c>
      <c r="AR378" t="e">
        <f>'Technical Master Data'!E528+"AM:!3;P"</f>
        <v>#VALUE!</v>
      </c>
      <c r="AS378" t="e">
        <f>'Technical Master Data'!F528+"AM:!3;Q"</f>
        <v>#VALUE!</v>
      </c>
      <c r="AT378" t="e">
        <f>'Technical Master Data'!G528+"AM:!3;R"</f>
        <v>#VALUE!</v>
      </c>
      <c r="AU378" t="e">
        <f>'Technical Master Data'!H528+"AM:!3;S"</f>
        <v>#VALUE!</v>
      </c>
      <c r="AV378" t="e">
        <f>'Technical Master Data'!I528+"AM:!3;T"</f>
        <v>#VALUE!</v>
      </c>
      <c r="AW378" t="e">
        <f>'Technical Master Data'!J528+"AM:!3;U"</f>
        <v>#VALUE!</v>
      </c>
      <c r="AX378" t="e">
        <f>'Technical Master Data'!K528+"AM:!3;V"</f>
        <v>#VALUE!</v>
      </c>
      <c r="AY378" t="e">
        <f>'Technical Master Data'!L528+"AM:!3;W"</f>
        <v>#VALUE!</v>
      </c>
      <c r="AZ378" t="e">
        <f>'Technical Master Data'!M528+"AM:!3;X"</f>
        <v>#VALUE!</v>
      </c>
      <c r="BA378" t="e">
        <f>'Technical Master Data'!N528+"AM:!3;Y"</f>
        <v>#VALUE!</v>
      </c>
      <c r="BB378" t="e">
        <f>'Technical Master Data'!O528+"AM:!3;Z"</f>
        <v>#VALUE!</v>
      </c>
      <c r="BC378" t="e">
        <f>'Technical Master Data'!P528+"AM:!3;["</f>
        <v>#VALUE!</v>
      </c>
      <c r="BD378" t="e">
        <f>'Technical Master Data'!Q528+"AM:!3;\"</f>
        <v>#VALUE!</v>
      </c>
      <c r="BE378" t="e">
        <f>'Technical Master Data'!R528+"AM:!3;]"</f>
        <v>#VALUE!</v>
      </c>
      <c r="BF378" t="e">
        <f>'Technical Master Data'!S528+"AM:!3;^"</f>
        <v>#VALUE!</v>
      </c>
      <c r="BG378" t="e">
        <f>'Technical Master Data'!B529+"AM:!3;_"</f>
        <v>#VALUE!</v>
      </c>
      <c r="BH378" t="e">
        <f>'Technical Master Data'!D529+"AM:!3;`"</f>
        <v>#VALUE!</v>
      </c>
      <c r="BI378" t="e">
        <f>'Technical Master Data'!E529+"AM:!3;a"</f>
        <v>#VALUE!</v>
      </c>
      <c r="BJ378" t="e">
        <f>'Technical Master Data'!F529+"AM:!3;b"</f>
        <v>#VALUE!</v>
      </c>
      <c r="BK378" t="e">
        <f>'Technical Master Data'!G529+"AM:!3;c"</f>
        <v>#VALUE!</v>
      </c>
      <c r="BL378" t="e">
        <f>'Technical Master Data'!H529+"AM:!3;d"</f>
        <v>#VALUE!</v>
      </c>
      <c r="BM378" t="e">
        <f>'Technical Master Data'!I529+"AM:!3;e"</f>
        <v>#VALUE!</v>
      </c>
      <c r="BN378" t="e">
        <f>'Technical Master Data'!J529+"AM:!3;f"</f>
        <v>#VALUE!</v>
      </c>
      <c r="BO378" t="e">
        <f>'Technical Master Data'!K529+"AM:!3;g"</f>
        <v>#VALUE!</v>
      </c>
      <c r="BP378" t="e">
        <f>'Technical Master Data'!L529+"AM:!3;h"</f>
        <v>#VALUE!</v>
      </c>
      <c r="BQ378" t="e">
        <f>'Technical Master Data'!M529+"AM:!3;i"</f>
        <v>#VALUE!</v>
      </c>
      <c r="BR378" t="e">
        <f>'Technical Master Data'!N529+"AM:!3;j"</f>
        <v>#VALUE!</v>
      </c>
      <c r="BS378" t="e">
        <f>'Technical Master Data'!O529+"AM:!3;k"</f>
        <v>#VALUE!</v>
      </c>
      <c r="BT378" t="e">
        <f>'Technical Master Data'!P529+"AM:!3;l"</f>
        <v>#VALUE!</v>
      </c>
      <c r="BU378" t="e">
        <f>'Technical Master Data'!Q529+"AM:!3;m"</f>
        <v>#VALUE!</v>
      </c>
      <c r="BV378" t="e">
        <f>'Technical Master Data'!R529+"AM:!3;n"</f>
        <v>#VALUE!</v>
      </c>
      <c r="BW378" t="e">
        <f>'Technical Master Data'!S529+"AM:!3;o"</f>
        <v>#VALUE!</v>
      </c>
      <c r="BX378" t="e">
        <f>'Technical Master Data'!B530+"AM:!3;p"</f>
        <v>#VALUE!</v>
      </c>
      <c r="BY378" t="e">
        <f>'Technical Master Data'!D530+"AM:!3;q"</f>
        <v>#VALUE!</v>
      </c>
      <c r="BZ378" t="e">
        <f>'Technical Master Data'!E530+"AM:!3;r"</f>
        <v>#VALUE!</v>
      </c>
      <c r="CA378" t="e">
        <f>'Technical Master Data'!F530+"AM:!3;s"</f>
        <v>#VALUE!</v>
      </c>
      <c r="CB378" t="e">
        <f>'Technical Master Data'!G530+"AM:!3;t"</f>
        <v>#VALUE!</v>
      </c>
      <c r="CC378" t="e">
        <f>'Technical Master Data'!H530+"AM:!3;u"</f>
        <v>#VALUE!</v>
      </c>
      <c r="CD378" t="e">
        <f>'Technical Master Data'!I530+"AM:!3;v"</f>
        <v>#VALUE!</v>
      </c>
      <c r="CE378" t="e">
        <f>'Technical Master Data'!J530+"AM:!3;w"</f>
        <v>#VALUE!</v>
      </c>
      <c r="CF378" t="e">
        <f>'Technical Master Data'!K530+"AM:!3;x"</f>
        <v>#VALUE!</v>
      </c>
      <c r="CG378" t="e">
        <f>'Technical Master Data'!L530+"AM:!3;y"</f>
        <v>#VALUE!</v>
      </c>
      <c r="CH378" t="e">
        <f>'Technical Master Data'!M530+"AM:!3;z"</f>
        <v>#VALUE!</v>
      </c>
      <c r="CI378" t="e">
        <f>'Technical Master Data'!N530+"AM:!3;{"</f>
        <v>#VALUE!</v>
      </c>
      <c r="CJ378" t="e">
        <f>'Technical Master Data'!O530+"AM:!3;|"</f>
        <v>#VALUE!</v>
      </c>
      <c r="CK378" t="e">
        <f>'Technical Master Data'!P530+"AM:!3;}"</f>
        <v>#VALUE!</v>
      </c>
      <c r="CL378" t="e">
        <f>'Technical Master Data'!Q530+"AM:!3;~"</f>
        <v>#VALUE!</v>
      </c>
      <c r="CM378" t="e">
        <f>'Technical Master Data'!R530+"AM:!3&lt;#"</f>
        <v>#VALUE!</v>
      </c>
      <c r="CN378" t="e">
        <f>'Technical Master Data'!S530+"AM:!3&lt;$"</f>
        <v>#VALUE!</v>
      </c>
      <c r="CO378" t="e">
        <f>'Technical Master Data'!D531+"AM:!3&lt;%"</f>
        <v>#VALUE!</v>
      </c>
      <c r="CP378" t="e">
        <f>'Technical Master Data'!F531+"AM:!3&lt;&amp;"</f>
        <v>#VALUE!</v>
      </c>
      <c r="CQ378" t="e">
        <f>'Technical Master Data'!G531+"AM:!3&lt;'"</f>
        <v>#VALUE!</v>
      </c>
      <c r="CR378" t="e">
        <f>'Technical Master Data'!H531+"AM:!3&lt;("</f>
        <v>#VALUE!</v>
      </c>
      <c r="CS378" t="e">
        <f>'Technical Master Data'!I531+"AM:!3&lt;)"</f>
        <v>#VALUE!</v>
      </c>
      <c r="CT378" t="e">
        <f>'Technical Master Data'!J531+"AM:!3&lt;."</f>
        <v>#VALUE!</v>
      </c>
      <c r="CU378" t="e">
        <f>'Technical Master Data'!K531+"AM:!3&lt;/"</f>
        <v>#VALUE!</v>
      </c>
      <c r="CV378" t="e">
        <f>'Technical Master Data'!L531+"AM:!3&lt;0"</f>
        <v>#VALUE!</v>
      </c>
      <c r="CW378" t="e">
        <f>'Technical Master Data'!M531+"AM:!3&lt;1"</f>
        <v>#VALUE!</v>
      </c>
      <c r="CX378" t="e">
        <f>'Technical Master Data'!N531+"AM:!3&lt;2"</f>
        <v>#VALUE!</v>
      </c>
      <c r="CY378" t="e">
        <f>'Technical Master Data'!O531+"AM:!3&lt;3"</f>
        <v>#VALUE!</v>
      </c>
      <c r="CZ378" t="e">
        <f>'Technical Master Data'!P531+"AM:!3&lt;4"</f>
        <v>#VALUE!</v>
      </c>
      <c r="DA378" t="e">
        <f>'Technical Master Data'!Q531+"AM:!3&lt;5"</f>
        <v>#VALUE!</v>
      </c>
      <c r="DB378" t="e">
        <f>'Technical Master Data'!R531+"AM:!3&lt;6"</f>
        <v>#VALUE!</v>
      </c>
      <c r="DC378" t="e">
        <f>'Technical Master Data'!S531+"AM:!3&lt;7"</f>
        <v>#VALUE!</v>
      </c>
      <c r="DD378" t="e">
        <f>'Master Data'!R19+"AM:!3=$"</f>
        <v>#VALUE!</v>
      </c>
      <c r="DE378" t="e">
        <f>'Master Data'!S19+"AM:!3=%"</f>
        <v>#VALUE!</v>
      </c>
      <c r="DF378" t="e">
        <f>'Master Data'!249:249-"AM:!3=h"</f>
        <v>#VALUE!</v>
      </c>
      <c r="DG378" t="e">
        <f>'Master Data'!I9+"AM:!3=i"</f>
        <v>#VALUE!</v>
      </c>
      <c r="DH378" t="e">
        <f>'Master Data'!J9+"AM:!3=j"</f>
        <v>#VALUE!</v>
      </c>
      <c r="DI378" t="e">
        <f>'Master Data'!K9+"AM:!3=k"</f>
        <v>#VALUE!</v>
      </c>
      <c r="DJ378" t="e">
        <f>'Master Data'!L9+"AM:!3=l"</f>
        <v>#VALUE!</v>
      </c>
      <c r="DK378" t="e">
        <f>'Master Data'!M9+"AM:!3=m"</f>
        <v>#VALUE!</v>
      </c>
      <c r="DL378" t="e">
        <f>'Master Data'!N9+"AM:!3=n"</f>
        <v>#VALUE!</v>
      </c>
      <c r="DM378" t="e">
        <f>'Master Data'!O9+"AM:!3=o"</f>
        <v>#VALUE!</v>
      </c>
      <c r="DN378" t="e">
        <f>'Master Data'!A12+"AM:!3=p"</f>
        <v>#VALUE!</v>
      </c>
      <c r="DO378" t="e">
        <f>'Master Data'!B12+"AM:!3=q"</f>
        <v>#VALUE!</v>
      </c>
      <c r="DP378" t="e">
        <f>'Master Data'!C12+"AM:!3=r"</f>
        <v>#VALUE!</v>
      </c>
      <c r="DQ378" t="e">
        <f>'Master Data'!D12+"AM:!3=s"</f>
        <v>#VALUE!</v>
      </c>
      <c r="DR378" t="e">
        <f>'Master Data'!E12+"AM:!3=t"</f>
        <v>#VALUE!</v>
      </c>
      <c r="DS378" t="e">
        <f>'Master Data'!F12+"AM:!3=u"</f>
        <v>#VALUE!</v>
      </c>
      <c r="DT378" t="e">
        <f>'Master Data'!G12+"AM:!3=v"</f>
        <v>#VALUE!</v>
      </c>
      <c r="DU378" t="e">
        <f>'Master Data'!I12+"AM:!3=w"</f>
        <v>#VALUE!</v>
      </c>
      <c r="DV378" t="e">
        <f>'Master Data'!J12+"AM:!3=x"</f>
        <v>#VALUE!</v>
      </c>
      <c r="DW378" t="e">
        <f>'Master Data'!K12+"AM:!3=y"</f>
        <v>#VALUE!</v>
      </c>
      <c r="DX378" t="e">
        <f>'Master Data'!L12+"AM:!3=z"</f>
        <v>#VALUE!</v>
      </c>
      <c r="DY378" t="e">
        <f>'Master Data'!M12+"AM:!3={"</f>
        <v>#VALUE!</v>
      </c>
      <c r="DZ378" t="e">
        <f>'Master Data'!N12+"AM:!3=|"</f>
        <v>#VALUE!</v>
      </c>
      <c r="EA378" t="e">
        <f>'Master Data'!O12+"AM:!3=}"</f>
        <v>#VALUE!</v>
      </c>
      <c r="EB378" t="e">
        <f>'Master Data'!Q21+"AM:!3=~"</f>
        <v>#VALUE!</v>
      </c>
      <c r="EC378" t="e">
        <f>'Master Data'!R21+"AM:!3&gt;#"</f>
        <v>#VALUE!</v>
      </c>
      <c r="ED378" t="e">
        <f>'Master Data'!S21+"AM:!3&gt;$"</f>
        <v>#VALUE!</v>
      </c>
      <c r="EE378" t="e">
        <f>Trimaran!G9+"$&amp;;D!f"</f>
        <v>#VALUE!</v>
      </c>
      <c r="EF378" t="e">
        <f>Trimaran!H9+"$&amp;;D!g"</f>
        <v>#VALUE!</v>
      </c>
      <c r="EG378" t="e">
        <f>Trimaran!I9+"$&amp;;D!h"</f>
        <v>#VALUE!</v>
      </c>
      <c r="EH378" t="e">
        <f>Trimaran!J9+"$&amp;;D!i"</f>
        <v>#VALUE!</v>
      </c>
      <c r="EI378" t="e">
        <f>Trimaran!M9+"$&amp;;D!j"</f>
        <v>#VALUE!</v>
      </c>
      <c r="EJ378" t="e">
        <f>Trimaran!N9+"$&amp;;D!k"</f>
        <v>#VALUE!</v>
      </c>
      <c r="EK378" t="e">
        <f>Trimaran!O9+"$&amp;;D!l"</f>
        <v>#VALUE!</v>
      </c>
      <c r="EL378" t="e">
        <f>Trimaran!P9+"$&amp;;D!m"</f>
        <v>#VALUE!</v>
      </c>
      <c r="EM378" t="e">
        <f>Trimaran!G10+"$&amp;;D!n"</f>
        <v>#VALUE!</v>
      </c>
      <c r="EN378" s="97" t="e">
        <f>Trimaran!H10+"$&amp;;D!o"</f>
        <v>#VALUE!</v>
      </c>
      <c r="EO378" s="97" t="e">
        <f>Trimaran!I10+"$&amp;;D!p"</f>
        <v>#VALUE!</v>
      </c>
      <c r="EP378" s="97" t="e">
        <f>Trimaran!J10+"$&amp;;D!q"</f>
        <v>#VALUE!</v>
      </c>
      <c r="EQ378" t="e">
        <f>Trimaran!M10+"$&amp;;D!r"</f>
        <v>#VALUE!</v>
      </c>
      <c r="ER378" s="97" t="e">
        <f>Trimaran!N10+"$&amp;;D!s"</f>
        <v>#VALUE!</v>
      </c>
      <c r="ES378" s="97" t="e">
        <f>Trimaran!O10+"$&amp;;D!t"</f>
        <v>#VALUE!</v>
      </c>
      <c r="ET378" s="97" t="e">
        <f>Trimaran!P10+"$&amp;;D!u"</f>
        <v>#VALUE!</v>
      </c>
      <c r="EU378" t="e">
        <f>Trimaran!G11+"$&amp;;D!v"</f>
        <v>#VALUE!</v>
      </c>
      <c r="EV378" s="97" t="e">
        <f>Trimaran!H11+"$&amp;;D!w"</f>
        <v>#VALUE!</v>
      </c>
      <c r="EW378" s="97" t="e">
        <f>Trimaran!I11+"$&amp;;D!x"</f>
        <v>#VALUE!</v>
      </c>
      <c r="EX378" s="97" t="e">
        <f>Trimaran!J11+"$&amp;;D!y"</f>
        <v>#VALUE!</v>
      </c>
      <c r="EY378" t="e">
        <f>Trimaran!M11+"$&amp;;D!z"</f>
        <v>#VALUE!</v>
      </c>
      <c r="EZ378" s="97" t="e">
        <f>Trimaran!N11+"$&amp;;D!{"</f>
        <v>#VALUE!</v>
      </c>
      <c r="FA378" s="97" t="e">
        <f>Trimaran!O11+"$&amp;;D!|"</f>
        <v>#VALUE!</v>
      </c>
      <c r="FB378" s="97" t="e">
        <f>Trimaran!P11+"$&amp;;D!}"</f>
        <v>#VALUE!</v>
      </c>
      <c r="FC378" t="e">
        <f>Trimaran!G12+"$&amp;;D!~"</f>
        <v>#VALUE!</v>
      </c>
      <c r="FD378" s="97" t="e">
        <f>Trimaran!H12+"$&amp;;D!$#"</f>
        <v>#VALUE!</v>
      </c>
      <c r="FE378" s="97" t="e">
        <f>Trimaran!I12+"$&amp;;D!$$"</f>
        <v>#VALUE!</v>
      </c>
      <c r="FF378" s="97" t="e">
        <f>Trimaran!J12+"$&amp;;D!$%"</f>
        <v>#VALUE!</v>
      </c>
      <c r="FG378" t="e">
        <f>Trimaran!M12+"$&amp;;D!$&amp;"</f>
        <v>#VALUE!</v>
      </c>
      <c r="FH378" s="97" t="e">
        <f>Trimaran!N12+"$&amp;;D!$'"</f>
        <v>#VALUE!</v>
      </c>
      <c r="FI378" s="97" t="e">
        <f>Trimaran!O12+"$&amp;;D!$("</f>
        <v>#VALUE!</v>
      </c>
      <c r="FJ378" s="97" t="e">
        <f>Trimaran!P12+"$&amp;;D!$)"</f>
        <v>#VALUE!</v>
      </c>
      <c r="FK378" t="e">
        <f>Trimaran!G13+"$&amp;;D!$."</f>
        <v>#VALUE!</v>
      </c>
      <c r="FL378" s="97" t="e">
        <f>Trimaran!H13+"$&amp;;D!$/"</f>
        <v>#VALUE!</v>
      </c>
      <c r="FM378" s="97" t="e">
        <f>Trimaran!I13+"$&amp;;D!$0"</f>
        <v>#VALUE!</v>
      </c>
      <c r="FN378" s="97" t="e">
        <f>Trimaran!J13+"$&amp;;D!$1"</f>
        <v>#VALUE!</v>
      </c>
      <c r="FO378" t="e">
        <f>Trimaran!M13+"$&amp;;D!$2"</f>
        <v>#VALUE!</v>
      </c>
      <c r="FP378" s="97" t="e">
        <f>Trimaran!N13+"$&amp;;D!$3"</f>
        <v>#VALUE!</v>
      </c>
      <c r="FQ378" s="97" t="e">
        <f>Trimaran!O13+"$&amp;;D!$4"</f>
        <v>#VALUE!</v>
      </c>
      <c r="FR378" s="97" t="e">
        <f>Trimaran!P13+"$&amp;;D!$5"</f>
        <v>#VALUE!</v>
      </c>
      <c r="FS378" t="e">
        <f>Trimaran!G14+"$&amp;;D!$6"</f>
        <v>#VALUE!</v>
      </c>
      <c r="FT378" s="97" t="e">
        <f>Trimaran!H14+"$&amp;;D!$7"</f>
        <v>#VALUE!</v>
      </c>
      <c r="FU378" s="97" t="e">
        <f>Trimaran!I14+"$&amp;;D!$8"</f>
        <v>#VALUE!</v>
      </c>
      <c r="FV378" s="97" t="e">
        <f>Trimaran!J14+"$&amp;;D!$9"</f>
        <v>#VALUE!</v>
      </c>
      <c r="FW378" t="e">
        <f>Trimaran!M14+"$&amp;;D!$:"</f>
        <v>#VALUE!</v>
      </c>
      <c r="FX378" s="97" t="e">
        <f>Trimaran!N14+"$&amp;;D!$;"</f>
        <v>#VALUE!</v>
      </c>
      <c r="FY378" s="97" t="e">
        <f>Trimaran!O14+"$&amp;;D!$&lt;"</f>
        <v>#VALUE!</v>
      </c>
      <c r="FZ378" s="97" t="e">
        <f>Trimaran!P14+"$&amp;;D!$="</f>
        <v>#VALUE!</v>
      </c>
      <c r="GA378" t="e">
        <f>Trimaran!G15+"$&amp;;D!$&gt;"</f>
        <v>#VALUE!</v>
      </c>
      <c r="GB378" s="97" t="e">
        <f>Trimaran!H15+"$&amp;;D!$?"</f>
        <v>#VALUE!</v>
      </c>
      <c r="GC378" s="97" t="e">
        <f>Trimaran!I15+"$&amp;;D!$@"</f>
        <v>#VALUE!</v>
      </c>
      <c r="GD378" s="97" t="e">
        <f>Trimaran!J15+"$&amp;;D!$A"</f>
        <v>#VALUE!</v>
      </c>
      <c r="GE378" t="e">
        <f>Trimaran!M15+"$&amp;;D!$B"</f>
        <v>#VALUE!</v>
      </c>
      <c r="GF378" s="97" t="e">
        <f>Trimaran!N15+"$&amp;;D!$C"</f>
        <v>#VALUE!</v>
      </c>
      <c r="GG378" s="97" t="e">
        <f>Trimaran!O15+"$&amp;;D!$D"</f>
        <v>#VALUE!</v>
      </c>
      <c r="GH378" s="97" t="e">
        <f>Trimaran!P15+"$&amp;;D!$E"</f>
        <v>#VALUE!</v>
      </c>
      <c r="GI378" t="e">
        <f>Trimaran!G16+"$&amp;;D!$F"</f>
        <v>#VALUE!</v>
      </c>
      <c r="GJ378" s="97" t="e">
        <f>Trimaran!H16+"$&amp;;D!$G"</f>
        <v>#VALUE!</v>
      </c>
      <c r="GK378" s="97" t="e">
        <f>Trimaran!I16+"$&amp;;D!$H"</f>
        <v>#VALUE!</v>
      </c>
      <c r="GL378" s="97" t="e">
        <f>Trimaran!J16+"$&amp;;D!$I"</f>
        <v>#VALUE!</v>
      </c>
      <c r="GM378" t="e">
        <f>Trimaran!M16+"$&amp;;D!$J"</f>
        <v>#VALUE!</v>
      </c>
      <c r="GN378" s="97" t="e">
        <f>Trimaran!N16+"$&amp;;D!$K"</f>
        <v>#VALUE!</v>
      </c>
      <c r="GO378" s="97" t="e">
        <f>Trimaran!O16+"$&amp;;D!$L"</f>
        <v>#VALUE!</v>
      </c>
      <c r="GP378" s="97" t="e">
        <f>Trimaran!P16+"$&amp;;D!$M"</f>
        <v>#VALUE!</v>
      </c>
      <c r="GQ378" t="e">
        <f>Trimaran!M17+"$&amp;;D!$N"</f>
        <v>#VALUE!</v>
      </c>
      <c r="GR378" s="97" t="e">
        <f>Trimaran!N17+"$&amp;;D!$O"</f>
        <v>#VALUE!</v>
      </c>
      <c r="GS378" s="97" t="e">
        <f>Trimaran!O17+"$&amp;;D!$P"</f>
        <v>#VALUE!</v>
      </c>
      <c r="GT378" s="97" t="e">
        <f>Trimaran!P17+"$&amp;;D!$Q"</f>
        <v>#VALUE!</v>
      </c>
      <c r="GU378" t="e">
        <f>Trimaran!M18+"$&amp;;D!$R"</f>
        <v>#VALUE!</v>
      </c>
      <c r="GV378" s="97" t="e">
        <f>Trimaran!N18+"$&amp;;D!$S"</f>
        <v>#VALUE!</v>
      </c>
      <c r="GW378" s="97" t="e">
        <f>Trimaran!O18+"$&amp;;D!$T"</f>
        <v>#VALUE!</v>
      </c>
      <c r="GX378" s="97" t="e">
        <f>Trimaran!P18+"$&amp;;D!$U"</f>
        <v>#VALUE!</v>
      </c>
      <c r="GY378" t="e">
        <f>'Actual Value'!10:10-"AM:!3?\"</f>
        <v>#VALUE!</v>
      </c>
      <c r="GZ378" t="e">
        <f>'Actual Value'!12:12-"AM:!3?]"</f>
        <v>#VALUE!</v>
      </c>
      <c r="HA378" t="e">
        <f>'Actual Value'!A10+"AM:!3?^"</f>
        <v>#VALUE!</v>
      </c>
      <c r="HB378" t="e">
        <f>'Actual Value'!B10+"AM:!3?_"</f>
        <v>#VALUE!</v>
      </c>
      <c r="HC378" t="e">
        <f>'Actual Value'!C10+"AM:!3?`"</f>
        <v>#VALUE!</v>
      </c>
      <c r="HD378" s="97" t="e">
        <f>'Actual Value'!D10+"AM:!3?a"</f>
        <v>#VALUE!</v>
      </c>
      <c r="HE378" s="97" t="e">
        <f>'Actual Value'!E10+"AM:!3?b"</f>
        <v>#VALUE!</v>
      </c>
      <c r="HF378" s="105" t="e">
        <f>'Actual Value'!F10+"AM:!3?c"</f>
        <v>#VALUE!</v>
      </c>
      <c r="HG378" s="97" t="e">
        <f>'Actual Value'!G10+"AM:!3?d"</f>
        <v>#VALUE!</v>
      </c>
      <c r="HH378" s="97" t="e">
        <f>'Actual Value'!H10+"AM:!3?e"</f>
        <v>#VALUE!</v>
      </c>
      <c r="HI378" s="97" t="e">
        <f>'Actual Value'!I10+"AM:!3?f"</f>
        <v>#VALUE!</v>
      </c>
      <c r="HJ378" s="97" t="e">
        <f>'Actual Value'!J10+"AM:!3?g"</f>
        <v>#VALUE!</v>
      </c>
      <c r="HK378" s="97" t="e">
        <f>'Actual Value'!K10+"AM:!3?h"</f>
        <v>#VALUE!</v>
      </c>
      <c r="HL378" s="97" t="e">
        <f>'Actual Value'!L10+"AM:!3?i"</f>
        <v>#VALUE!</v>
      </c>
      <c r="HM378" s="97" t="e">
        <f>'Actual Value'!M10+"AM:!3?j"</f>
        <v>#VALUE!</v>
      </c>
      <c r="HN378" s="97" t="e">
        <f>'Actual Value'!N10+"AM:!3?k"</f>
        <v>#VALUE!</v>
      </c>
      <c r="HO378" s="97" t="e">
        <f>'Actual Value'!O10+"AM:!3?l"</f>
        <v>#VALUE!</v>
      </c>
      <c r="HP378" t="e">
        <f>'Actual Value'!P10+"AM:!3?m"</f>
        <v>#VALUE!</v>
      </c>
      <c r="HQ378" t="e">
        <f>'Actual Value'!Q10+"AM:!3?n"</f>
        <v>#VALUE!</v>
      </c>
      <c r="HR378" t="e">
        <f>'Actual Value'!R10+"AM:!3?o"</f>
        <v>#VALUE!</v>
      </c>
      <c r="HS378" t="e">
        <f>'Actual Value'!S10+"AM:!3?p"</f>
        <v>#VALUE!</v>
      </c>
      <c r="HT378" t="e">
        <f>'Actual Value'!T10+"AM:!3?q"</f>
        <v>#VALUE!</v>
      </c>
      <c r="HU378" t="e">
        <f>'Actual Value'!U10+"AM:!3?r"</f>
        <v>#VALUE!</v>
      </c>
      <c r="HV378" t="e">
        <f>'Actual Value'!V10+"AM:!3?s"</f>
        <v>#VALUE!</v>
      </c>
      <c r="HW378" t="e">
        <f>'Actual Value'!W10+"AM:!3?t"</f>
        <v>#VALUE!</v>
      </c>
      <c r="HX378" t="e">
        <f>'Actual Value'!X10+"AM:!3?u"</f>
        <v>#VALUE!</v>
      </c>
      <c r="HY378" t="e">
        <f>'Actual Value'!Y10+"AM:!3?v"</f>
        <v>#VALUE!</v>
      </c>
      <c r="HZ378" t="e">
        <f>'Actual Value'!Z10+"AM:!3?w"</f>
        <v>#VALUE!</v>
      </c>
      <c r="IA378" t="e">
        <f>'Actual Value'!AA10+"AM:!3?x"</f>
        <v>#VALUE!</v>
      </c>
      <c r="IB378" t="e">
        <f>'Actual Value'!AB10+"AM:!3?y"</f>
        <v>#VALUE!</v>
      </c>
      <c r="IC378" t="e">
        <f>'Actual Value'!AC10+"AM:!3?z"</f>
        <v>#VALUE!</v>
      </c>
      <c r="ID378" t="e">
        <f>'Actual Value'!AD10+"AM:!3?{"</f>
        <v>#VALUE!</v>
      </c>
      <c r="IE378" t="e">
        <f>'Actual Value'!AE10+"AM:!3?|"</f>
        <v>#VALUE!</v>
      </c>
      <c r="IF378" t="e">
        <f>'Actual Value'!AF10+"AM:!3?}"</f>
        <v>#VALUE!</v>
      </c>
      <c r="IG378" t="e">
        <f>'Actual Value'!AG10+"AM:!3?~"</f>
        <v>#VALUE!</v>
      </c>
      <c r="IH378" t="e">
        <f>'Actual Value'!AH10+"AM:!3@#"</f>
        <v>#VALUE!</v>
      </c>
      <c r="II378" t="e">
        <f>'Actual Value'!AI10+"AM:!3@$"</f>
        <v>#VALUE!</v>
      </c>
      <c r="IJ378" t="e">
        <f>'Actual Value'!AJ10+"AM:!3@%"</f>
        <v>#VALUE!</v>
      </c>
      <c r="IK378" t="e">
        <f>'Actual Value'!AK10+"AM:!3@&amp;"</f>
        <v>#VALUE!</v>
      </c>
      <c r="IL378" t="e">
        <f>'Actual Value'!AL10+"AM:!3@'"</f>
        <v>#VALUE!</v>
      </c>
      <c r="IM378" t="e">
        <f>'Actual Value'!AM10+"AM:!3@("</f>
        <v>#VALUE!</v>
      </c>
      <c r="IN378" t="e">
        <f>'Actual Value'!AN10+"AM:!3@)"</f>
        <v>#VALUE!</v>
      </c>
      <c r="IO378" t="e">
        <f>'Actual Value'!AO10+"AM:!3@."</f>
        <v>#VALUE!</v>
      </c>
      <c r="IP378" t="e">
        <f>'Actual Value'!AP10+"AM:!3@/"</f>
        <v>#VALUE!</v>
      </c>
      <c r="IQ378" t="e">
        <f>'Actual Value'!AQ10+"AM:!3@0"</f>
        <v>#VALUE!</v>
      </c>
      <c r="IR378" t="e">
        <f>'Actual Value'!AR10+"AM:!3@1"</f>
        <v>#VALUE!</v>
      </c>
      <c r="IS378" t="e">
        <f>'Actual Value'!AS10+"AM:!3@2"</f>
        <v>#VALUE!</v>
      </c>
      <c r="IT378" t="e">
        <f>'Actual Value'!AT10+"AM:!3@3"</f>
        <v>#VALUE!</v>
      </c>
      <c r="IU378" t="e">
        <f>'Actual Value'!AU10+"AM:!3@4"</f>
        <v>#VALUE!</v>
      </c>
      <c r="IV378" t="e">
        <f>'Actual Value'!AV10+"AM:!3@5"</f>
        <v>#VALUE!</v>
      </c>
    </row>
    <row r="379" spans="6:256">
      <c r="F379" t="e">
        <f>'Actual Value'!AW10+"AM:!3@6"</f>
        <v>#VALUE!</v>
      </c>
      <c r="G379" t="e">
        <f>'Actual Value'!AX10+"AM:!3@7"</f>
        <v>#VALUE!</v>
      </c>
      <c r="H379" t="e">
        <f>'Actual Value'!A12+"AM:!3@8"</f>
        <v>#VALUE!</v>
      </c>
      <c r="I379" t="e">
        <f>'Actual Value'!B12+"AM:!3@9"</f>
        <v>#VALUE!</v>
      </c>
      <c r="J379" t="e">
        <f>'Actual Value'!C12+"AM:!3@:"</f>
        <v>#VALUE!</v>
      </c>
      <c r="K379" s="97" t="e">
        <f>'Actual Value'!D12+"AM:!3@;"</f>
        <v>#VALUE!</v>
      </c>
      <c r="L379" s="97" t="e">
        <f>'Actual Value'!E12+"AM:!3@&lt;"</f>
        <v>#VALUE!</v>
      </c>
      <c r="M379" s="100" t="e">
        <f>'Actual Value'!F12+"AM:!3@="</f>
        <v>#VALUE!</v>
      </c>
      <c r="N379" s="97" t="e">
        <f>'Actual Value'!G12+"AM:!3@&gt;"</f>
        <v>#VALUE!</v>
      </c>
      <c r="O379" s="97" t="e">
        <f>'Actual Value'!H12+"AM:!3@?"</f>
        <v>#VALUE!</v>
      </c>
      <c r="P379" s="97" t="e">
        <f>'Actual Value'!I12+"AM:!3@@"</f>
        <v>#VALUE!</v>
      </c>
      <c r="Q379" s="97" t="e">
        <f>'Actual Value'!J12+"AM:!3@A"</f>
        <v>#VALUE!</v>
      </c>
      <c r="R379" s="97" t="e">
        <f>'Actual Value'!K12+"AM:!3@B"</f>
        <v>#VALUE!</v>
      </c>
      <c r="S379" s="97" t="e">
        <f>'Actual Value'!L12+"AM:!3@C"</f>
        <v>#VALUE!</v>
      </c>
      <c r="T379" s="97" t="e">
        <f>'Actual Value'!M12+"AM:!3@D"</f>
        <v>#VALUE!</v>
      </c>
      <c r="U379" s="97" t="e">
        <f>'Actual Value'!N12+"AM:!3@E"</f>
        <v>#VALUE!</v>
      </c>
      <c r="V379" s="97" t="e">
        <f>'Actual Value'!O12+"AM:!3@F"</f>
        <v>#VALUE!</v>
      </c>
      <c r="W379" t="e">
        <f>'Actual Value'!P12+"AM:!3@G"</f>
        <v>#VALUE!</v>
      </c>
      <c r="X379" t="e">
        <f>'Actual Value'!Q12+"AM:!3@H"</f>
        <v>#VALUE!</v>
      </c>
      <c r="Y379" t="e">
        <f>'Actual Value'!R12+"AM:!3@I"</f>
        <v>#VALUE!</v>
      </c>
      <c r="Z379" t="e">
        <f>'Actual Value'!S12+"AM:!3@J"</f>
        <v>#VALUE!</v>
      </c>
      <c r="AA379" t="e">
        <f>'Actual Value'!T12+"AM:!3@K"</f>
        <v>#VALUE!</v>
      </c>
      <c r="AB379" t="e">
        <f>'Actual Value'!U12+"AM:!3@L"</f>
        <v>#VALUE!</v>
      </c>
      <c r="AC379" t="e">
        <f>'Actual Value'!V12+"AM:!3@M"</f>
        <v>#VALUE!</v>
      </c>
      <c r="AD379" t="e">
        <f>'Actual Value'!W12+"AM:!3@N"</f>
        <v>#VALUE!</v>
      </c>
      <c r="AE379" t="e">
        <f>'Actual Value'!X12+"AM:!3@O"</f>
        <v>#VALUE!</v>
      </c>
      <c r="AF379" t="e">
        <f>'Actual Value'!Y12+"AM:!3@P"</f>
        <v>#VALUE!</v>
      </c>
      <c r="AG379" t="e">
        <f>'Actual Value'!Z12+"AM:!3@Q"</f>
        <v>#VALUE!</v>
      </c>
      <c r="AH379" t="e">
        <f>'Actual Value'!AA12+"AM:!3@R"</f>
        <v>#VALUE!</v>
      </c>
      <c r="AI379" t="e">
        <f>'Actual Value'!AB12+"AM:!3@S"</f>
        <v>#VALUE!</v>
      </c>
      <c r="AJ379" t="e">
        <f>'Actual Value'!AC12+"AM:!3@T"</f>
        <v>#VALUE!</v>
      </c>
      <c r="AK379" t="e">
        <f>'Actual Value'!AD12+"AM:!3@U"</f>
        <v>#VALUE!</v>
      </c>
      <c r="AL379" t="e">
        <f>'Actual Value'!AE12+"AM:!3@V"</f>
        <v>#VALUE!</v>
      </c>
      <c r="AM379" t="e">
        <f>'Actual Value'!AF12+"AM:!3@W"</f>
        <v>#VALUE!</v>
      </c>
      <c r="AN379" t="e">
        <f>'Actual Value'!AG12+"AM:!3@X"</f>
        <v>#VALUE!</v>
      </c>
      <c r="AO379" t="e">
        <f>'Actual Value'!AH12+"AM:!3@Y"</f>
        <v>#VALUE!</v>
      </c>
      <c r="AP379" t="e">
        <f>'Actual Value'!AI12+"AM:!3@Z"</f>
        <v>#VALUE!</v>
      </c>
      <c r="AQ379" t="e">
        <f>'Actual Value'!AJ12+"AM:!3@["</f>
        <v>#VALUE!</v>
      </c>
      <c r="AR379" t="e">
        <f>'Actual Value'!AK12+"AM:!3@\"</f>
        <v>#VALUE!</v>
      </c>
      <c r="AS379" t="e">
        <f>'Actual Value'!AL12+"AM:!3@]"</f>
        <v>#VALUE!</v>
      </c>
      <c r="AT379" t="e">
        <f>'Actual Value'!AM12+"AM:!3@^"</f>
        <v>#VALUE!</v>
      </c>
      <c r="AU379" t="e">
        <f>'Actual Value'!AN12+"AM:!3@_"</f>
        <v>#VALUE!</v>
      </c>
      <c r="AV379" t="e">
        <f>'Actual Value'!AO12+"AM:!3@`"</f>
        <v>#VALUE!</v>
      </c>
      <c r="AW379" t="e">
        <f>'Actual Value'!AP12+"AM:!3@a"</f>
        <v>#VALUE!</v>
      </c>
      <c r="AX379" t="e">
        <f>'Actual Value'!AQ12+"AM:!3@b"</f>
        <v>#VALUE!</v>
      </c>
      <c r="AY379" t="e">
        <f>'Actual Value'!AR12+"AM:!3@c"</f>
        <v>#VALUE!</v>
      </c>
      <c r="AZ379" t="e">
        <f>'Actual Value'!AS12+"AM:!3@d"</f>
        <v>#VALUE!</v>
      </c>
      <c r="BA379" t="e">
        <f>'Actual Value'!AT12+"AM:!3@e"</f>
        <v>#VALUE!</v>
      </c>
      <c r="BB379" t="e">
        <f>'Actual Value'!AU12+"AM:!3@f"</f>
        <v>#VALUE!</v>
      </c>
      <c r="BC379" t="e">
        <f>'Actual Value'!AV12+"AM:!3@g"</f>
        <v>#VALUE!</v>
      </c>
      <c r="BD379" t="e">
        <f>'Actual Value'!AW12+"AM:!3@h"</f>
        <v>#VALUE!</v>
      </c>
      <c r="BE379" t="e">
        <f>'Actual Value'!AX12+"AM:!3@i"</f>
        <v>#VALUE!</v>
      </c>
      <c r="BF379" t="e">
        <f>Risklog!5:5-"AM:!3@p"</f>
        <v>#VALUE!</v>
      </c>
      <c r="BG379" t="e">
        <f>Risklog!S5+"AM:!3@q"</f>
        <v>#VALUE!</v>
      </c>
      <c r="BH379" t="e">
        <f>Risklog!T5+"AM:!3@r"</f>
        <v>#VALUE!</v>
      </c>
      <c r="BI379" t="e">
        <f>Overview!13:13-"AM:!3A="</f>
        <v>#VALUE!</v>
      </c>
      <c r="BJ379" t="e">
        <f>Overview!14:14-"AM:!3A&gt;"</f>
        <v>#VALUE!</v>
      </c>
      <c r="BK379" t="e">
        <f>Overview!15:15-"AM:!3A?"</f>
        <v>#VALUE!</v>
      </c>
      <c r="BL379" t="e">
        <f>Overview!16:16-"AM:!3A@"</f>
        <v>#VALUE!</v>
      </c>
      <c r="BM379" t="e">
        <f>Overview!17:17-"AM:!3AA"</f>
        <v>#VALUE!</v>
      </c>
      <c r="BN379" t="e">
        <f>Overview!18:18-"AM:!3AB"</f>
        <v>#VALUE!</v>
      </c>
      <c r="BO379" t="e">
        <f>Overview!240:240-"AM:!3AC"</f>
        <v>#VALUE!</v>
      </c>
      <c r="BP379" t="e">
        <f>Overview!241:241-"AM:!3AD"</f>
        <v>#VALUE!</v>
      </c>
      <c r="BQ379" t="e">
        <f>Overview!242:242-"AM:!3AE"</f>
        <v>#VALUE!</v>
      </c>
      <c r="BR379" t="e">
        <f>Overview!243:243-"AM:!3AF"</f>
        <v>#VALUE!</v>
      </c>
      <c r="BS379" t="e">
        <f>Overview!244:244-"AM:!3AG"</f>
        <v>#VALUE!</v>
      </c>
      <c r="BT379" t="e">
        <f>Overview!245:245-"AM:!3AH"</f>
        <v>#VALUE!</v>
      </c>
      <c r="BU379" t="e">
        <f>Overview!246:246-"AM:!3AI"</f>
        <v>#VALUE!</v>
      </c>
      <c r="BV379" t="e">
        <f>Overview!247:247-"AM:!3AJ"</f>
        <v>#VALUE!</v>
      </c>
      <c r="BW379" t="e">
        <f>Overview!248:248-"AM:!3AK"</f>
        <v>#VALUE!</v>
      </c>
      <c r="BX379" t="e">
        <f>Overview!249:249-"AM:!3AL"</f>
        <v>#VALUE!</v>
      </c>
      <c r="BY379" t="e">
        <f>Overview!250:250-"AM:!3AM"</f>
        <v>#VALUE!</v>
      </c>
      <c r="BZ379" t="e">
        <f>Overview!251:251-"AM:!3AN"</f>
        <v>#VALUE!</v>
      </c>
      <c r="CA379" t="e">
        <f>Overview!252:252-"AM:!3AO"</f>
        <v>#VALUE!</v>
      </c>
      <c r="CB379" t="e">
        <f>Overview!253:253-"AM:!3AP"</f>
        <v>#VALUE!</v>
      </c>
      <c r="CC379" t="e">
        <f>Overview!254:254-"AM:!3AQ"</f>
        <v>#VALUE!</v>
      </c>
      <c r="CD379" t="e">
        <f>Overview!255:255-"AM:!3AR"</f>
        <v>#VALUE!</v>
      </c>
      <c r="CE379" t="e">
        <f>Overview!256:256-"AM:!3AS"</f>
        <v>#VALUE!</v>
      </c>
      <c r="CF379" t="e">
        <f>Overview!257:257-"AM:!3AT"</f>
        <v>#VALUE!</v>
      </c>
      <c r="CG379" t="e">
        <f>Overview!258:258-"AM:!3AU"</f>
        <v>#VALUE!</v>
      </c>
      <c r="CH379" t="e">
        <f>Overview!259:259-"AM:!3AV"</f>
        <v>#VALUE!</v>
      </c>
      <c r="CI379" t="e">
        <f>Overview!260:260-"AM:!3AW"</f>
        <v>#VALUE!</v>
      </c>
      <c r="CJ379" t="e">
        <f>Overview!261:261-"AM:!3AX"</f>
        <v>#VALUE!</v>
      </c>
      <c r="CK379" t="e">
        <f>Overview!A13+"AM:!3AY"</f>
        <v>#VALUE!</v>
      </c>
      <c r="CL379" t="e">
        <f>Overview!B13+"AM:!3AZ"</f>
        <v>#VALUE!</v>
      </c>
      <c r="CM379" t="e">
        <f>Overview!C13+"AM:!3A["</f>
        <v>#VALUE!</v>
      </c>
      <c r="CN379" t="e">
        <f>Overview!D13+"AM:!3A\"</f>
        <v>#VALUE!</v>
      </c>
      <c r="CO379" t="e">
        <f>Overview!E13+"AM:!3A]"</f>
        <v>#VALUE!</v>
      </c>
      <c r="CP379" t="e">
        <f>Overview!F13+"AM:!3A^"</f>
        <v>#VALUE!</v>
      </c>
      <c r="CQ379" t="e">
        <f>Overview!G13+"AM:!3A_"</f>
        <v>#VALUE!</v>
      </c>
      <c r="CR379" t="e">
        <f>Overview!H13+"AM:!3A`"</f>
        <v>#VALUE!</v>
      </c>
      <c r="CS379" t="e">
        <f>Overview!I13+"AM:!3Aa"</f>
        <v>#VALUE!</v>
      </c>
      <c r="CT379" t="e">
        <f>Overview!J13+"AM:!3Ab"</f>
        <v>#VALUE!</v>
      </c>
      <c r="CU379" t="e">
        <f>Overview!K13+"AM:!3Ac"</f>
        <v>#VALUE!</v>
      </c>
      <c r="CV379" t="e">
        <f>Overview!L13+"AM:!3Ad"</f>
        <v>#VALUE!</v>
      </c>
      <c r="CW379" t="e">
        <f>Overview!N13+"AM:!3Ae"</f>
        <v>#VALUE!</v>
      </c>
      <c r="CX379" t="e">
        <f>Overview!A14+"AM:!3Af"</f>
        <v>#VALUE!</v>
      </c>
      <c r="CY379" t="e">
        <f>Overview!B14+"AM:!3Ag"</f>
        <v>#VALUE!</v>
      </c>
      <c r="CZ379" t="e">
        <f>Overview!C14+"AM:!3Ah"</f>
        <v>#VALUE!</v>
      </c>
      <c r="DA379" t="e">
        <f>Overview!D14+"AM:!3Ai"</f>
        <v>#VALUE!</v>
      </c>
      <c r="DB379" t="e">
        <f>Overview!E14+"AM:!3Aj"</f>
        <v>#VALUE!</v>
      </c>
      <c r="DC379" t="e">
        <f>Overview!F14+"AM:!3Ak"</f>
        <v>#VALUE!</v>
      </c>
      <c r="DD379" t="e">
        <f>Overview!G14+"AM:!3Al"</f>
        <v>#VALUE!</v>
      </c>
      <c r="DE379" t="e">
        <f>Overview!H14+"AM:!3Am"</f>
        <v>#VALUE!</v>
      </c>
      <c r="DF379" t="e">
        <f>Overview!I14+"AM:!3An"</f>
        <v>#VALUE!</v>
      </c>
      <c r="DG379" t="e">
        <f>Overview!J14+"AM:!3Ao"</f>
        <v>#VALUE!</v>
      </c>
      <c r="DH379" t="e">
        <f>Overview!K14+"AM:!3Ap"</f>
        <v>#VALUE!</v>
      </c>
      <c r="DI379" t="e">
        <f>Overview!L14+"AM:!3Aq"</f>
        <v>#VALUE!</v>
      </c>
      <c r="DJ379" t="e">
        <f>Overview!N14+"AM:!3Ar"</f>
        <v>#VALUE!</v>
      </c>
      <c r="DK379" t="e">
        <f>Overview!A15+"AM:!3As"</f>
        <v>#VALUE!</v>
      </c>
      <c r="DL379" t="e">
        <f>Overview!B15+"AM:!3At"</f>
        <v>#VALUE!</v>
      </c>
      <c r="DM379" t="e">
        <f>Overview!C15+"AM:!3Au"</f>
        <v>#VALUE!</v>
      </c>
      <c r="DN379" t="e">
        <f>Overview!D15+"AM:!3Av"</f>
        <v>#VALUE!</v>
      </c>
      <c r="DO379" t="e">
        <f>Overview!E15+"AM:!3Aw"</f>
        <v>#VALUE!</v>
      </c>
      <c r="DP379" t="e">
        <f>Overview!F15+"AM:!3Ax"</f>
        <v>#VALUE!</v>
      </c>
      <c r="DQ379" t="e">
        <f>Overview!G15+"AM:!3Ay"</f>
        <v>#VALUE!</v>
      </c>
      <c r="DR379" t="e">
        <f>Overview!H15+"AM:!3Az"</f>
        <v>#VALUE!</v>
      </c>
      <c r="DS379" t="e">
        <f>Overview!I15+"AM:!3A{"</f>
        <v>#VALUE!</v>
      </c>
      <c r="DT379" t="e">
        <f>Overview!J15+"AM:!3A|"</f>
        <v>#VALUE!</v>
      </c>
      <c r="DU379" t="e">
        <f>Overview!K15+"AM:!3A}"</f>
        <v>#VALUE!</v>
      </c>
      <c r="DV379" t="e">
        <f>Overview!L15+"AM:!3A~"</f>
        <v>#VALUE!</v>
      </c>
      <c r="DW379" t="e">
        <f>Overview!N15+"AM:!3B#"</f>
        <v>#VALUE!</v>
      </c>
      <c r="DX379" t="e">
        <f>Overview!A16+"AM:!3B$"</f>
        <v>#VALUE!</v>
      </c>
      <c r="DY379" t="e">
        <f>Overview!B16+"AM:!3B%"</f>
        <v>#VALUE!</v>
      </c>
      <c r="DZ379" t="e">
        <f>Overview!C16+"AM:!3B&amp;"</f>
        <v>#VALUE!</v>
      </c>
      <c r="EA379" t="e">
        <f>Overview!D16+"AM:!3B'"</f>
        <v>#VALUE!</v>
      </c>
      <c r="EB379" t="e">
        <f>Overview!E16+"AM:!3B("</f>
        <v>#VALUE!</v>
      </c>
      <c r="EC379" t="e">
        <f>Overview!F16+"AM:!3B)"</f>
        <v>#VALUE!</v>
      </c>
      <c r="ED379" t="e">
        <f>Overview!G16+"AM:!3B."</f>
        <v>#VALUE!</v>
      </c>
      <c r="EE379" t="e">
        <f>Overview!H16+"AM:!3B/"</f>
        <v>#VALUE!</v>
      </c>
      <c r="EF379" t="e">
        <f>Overview!I16+"AM:!3B0"</f>
        <v>#VALUE!</v>
      </c>
      <c r="EG379" t="e">
        <f>Overview!J16+"AM:!3B1"</f>
        <v>#VALUE!</v>
      </c>
      <c r="EH379" t="e">
        <f>Overview!K16+"AM:!3B2"</f>
        <v>#VALUE!</v>
      </c>
      <c r="EI379" t="e">
        <f>Overview!L16+"AM:!3B3"</f>
        <v>#VALUE!</v>
      </c>
      <c r="EJ379" t="e">
        <f>Overview!N16+"AM:!3B4"</f>
        <v>#VALUE!</v>
      </c>
      <c r="EK379" t="e">
        <f ca="1">Overview!A17+"AM:!3B5"</f>
        <v>#VALUE!</v>
      </c>
      <c r="EL379" t="e">
        <f>Overview!B17+"AM:!3B6"</f>
        <v>#VALUE!</v>
      </c>
      <c r="EM379" t="e">
        <f>Overview!C17+"AM:!3B7"</f>
        <v>#VALUE!</v>
      </c>
      <c r="EN379" t="e">
        <f>Overview!D17+"AM:!3B8"</f>
        <v>#VALUE!</v>
      </c>
      <c r="EO379" t="e">
        <f>Overview!E17+"AM:!3B9"</f>
        <v>#VALUE!</v>
      </c>
      <c r="EP379" t="e">
        <f>Overview!F17+"AM:!3B:"</f>
        <v>#VALUE!</v>
      </c>
      <c r="EQ379" t="e">
        <f>Overview!G17+"AM:!3B;"</f>
        <v>#VALUE!</v>
      </c>
      <c r="ER379" t="e">
        <f>Overview!H17+"AM:!3B&lt;"</f>
        <v>#VALUE!</v>
      </c>
      <c r="ES379" t="e">
        <f>Overview!I17+"AM:!3B="</f>
        <v>#VALUE!</v>
      </c>
      <c r="ET379" t="e">
        <f>Overview!J17+"AM:!3B&gt;"</f>
        <v>#VALUE!</v>
      </c>
      <c r="EU379" t="e">
        <f>Overview!K17+"AM:!3B?"</f>
        <v>#VALUE!</v>
      </c>
      <c r="EV379" t="e">
        <f>Overview!L17+"AM:!3B@"</f>
        <v>#VALUE!</v>
      </c>
      <c r="EW379" t="e">
        <f>Overview!M17+"AM:!3BA"</f>
        <v>#VALUE!</v>
      </c>
      <c r="EX379" t="e">
        <f>Overview!N17+"AM:!3BB"</f>
        <v>#VALUE!</v>
      </c>
      <c r="EY379" t="e">
        <f>Overview!A18+"AM:!3BC"</f>
        <v>#VALUE!</v>
      </c>
      <c r="EZ379" t="e">
        <f>Overview!C18+"AM:!3BD"</f>
        <v>#VALUE!</v>
      </c>
      <c r="FA379" t="e">
        <f>Overview!D18+"AM:!3BE"</f>
        <v>#VALUE!</v>
      </c>
      <c r="FB379" t="e">
        <f>Overview!E18+"AM:!3BF"</f>
        <v>#VALUE!</v>
      </c>
      <c r="FC379" t="e">
        <f>Overview!F18+"AM:!3BG"</f>
        <v>#VALUE!</v>
      </c>
      <c r="FD379" t="e">
        <f>Overview!G18+"AM:!3BH"</f>
        <v>#VALUE!</v>
      </c>
      <c r="FE379" t="e">
        <f>Overview!H18+"AM:!3BI"</f>
        <v>#VALUE!</v>
      </c>
      <c r="FF379" t="e">
        <f>Overview!I18+"AM:!3BJ"</f>
        <v>#VALUE!</v>
      </c>
      <c r="FG379" t="e">
        <f>Overview!J18+"AM:!3BK"</f>
        <v>#VALUE!</v>
      </c>
      <c r="FH379" t="e">
        <f>Overview!K18+"AM:!3BL"</f>
        <v>#VALUE!</v>
      </c>
      <c r="FI379" t="e">
        <f>Overview!L18+"AM:!3BM"</f>
        <v>#VALUE!</v>
      </c>
      <c r="FJ379" t="e">
        <f>Overview!M18+"AM:!3BN"</f>
        <v>#VALUE!</v>
      </c>
      <c r="FK379" t="e">
        <f>Overview!N18+"AM:!3BO"</f>
        <v>#VALUE!</v>
      </c>
      <c r="FL379" t="e">
        <f>Overview!A44+"AM:!3BP"</f>
        <v>#VALUE!</v>
      </c>
      <c r="FM379" t="e">
        <f>Overview!B44+"AM:!3BQ"</f>
        <v>#VALUE!</v>
      </c>
      <c r="FN379" t="e">
        <f>Overview!A45+"AM:!3BR"</f>
        <v>#VALUE!</v>
      </c>
      <c r="FO379" t="e">
        <f>Overview!B45+"AM:!3BS"</f>
        <v>#VALUE!</v>
      </c>
      <c r="FP379" t="e">
        <f>Overview!D45+"AM:!3BT"</f>
        <v>#VALUE!</v>
      </c>
      <c r="FQ379" s="98" t="e">
        <f>Overview!E45+"AM:!3BU"</f>
        <v>#VALUE!</v>
      </c>
      <c r="FR379" t="e">
        <f>Overview!F45+"AM:!3BV"</f>
        <v>#VALUE!</v>
      </c>
      <c r="FS379" s="98" t="e">
        <f>Overview!G45+"AM:!3BW"</f>
        <v>#VALUE!</v>
      </c>
      <c r="FT379" t="e">
        <f>Overview!H45+"AM:!3BX"</f>
        <v>#VALUE!</v>
      </c>
      <c r="FU379" t="e">
        <f>Overview!A46+"AM:!3BY"</f>
        <v>#VALUE!</v>
      </c>
      <c r="FV379" t="e">
        <f>Overview!B46+"AM:!3BZ"</f>
        <v>#VALUE!</v>
      </c>
      <c r="FW379" t="e">
        <f>Overview!C46+"AM:!3B["</f>
        <v>#VALUE!</v>
      </c>
      <c r="FX379" t="e">
        <f>Overview!D46+"AM:!3B\"</f>
        <v>#VALUE!</v>
      </c>
      <c r="FY379" s="98" t="e">
        <f>Overview!E46+"AM:!3B]"</f>
        <v>#VALUE!</v>
      </c>
      <c r="FZ379" t="e">
        <f>Overview!F46+"AM:!3B^"</f>
        <v>#VALUE!</v>
      </c>
      <c r="GA379" s="98" t="e">
        <f>Overview!G46+"AM:!3B_"</f>
        <v>#VALUE!</v>
      </c>
      <c r="GB379" t="e">
        <f>Overview!H46+"AM:!3B`"</f>
        <v>#VALUE!</v>
      </c>
      <c r="GC379" t="e">
        <f>Overview!A47+"AM:!3Ba"</f>
        <v>#VALUE!</v>
      </c>
      <c r="GD379" t="e">
        <f>Overview!B47+"AM:!3Bb"</f>
        <v>#VALUE!</v>
      </c>
      <c r="GE379" t="e">
        <f>Overview!C47+"AM:!3Bc"</f>
        <v>#VALUE!</v>
      </c>
      <c r="GF379" t="e">
        <f>Overview!D47+"AM:!3Bd"</f>
        <v>#VALUE!</v>
      </c>
      <c r="GG379" t="e">
        <f>Overview!E47+"AM:!3Be"</f>
        <v>#VALUE!</v>
      </c>
      <c r="GH379" t="e">
        <f>Overview!F47+"AM:!3Bf"</f>
        <v>#VALUE!</v>
      </c>
      <c r="GI379" t="e">
        <f>Overview!G47+"AM:!3Bg"</f>
        <v>#VALUE!</v>
      </c>
      <c r="GJ379" t="e">
        <f>Overview!H47+"AM:!3Bh"</f>
        <v>#VALUE!</v>
      </c>
      <c r="GK379" t="e">
        <f>Overview!A48+"AM:!3Bi"</f>
        <v>#VALUE!</v>
      </c>
      <c r="GL379" t="e">
        <f>Overview!B48+"AM:!3Bj"</f>
        <v>#VALUE!</v>
      </c>
      <c r="GM379" t="e">
        <f>Overview!C48+"AM:!3Bk"</f>
        <v>#VALUE!</v>
      </c>
      <c r="GN379" t="e">
        <f>Overview!D48+"AM:!3Bl"</f>
        <v>#VALUE!</v>
      </c>
      <c r="GO379" t="e">
        <f>Overview!E48+"AM:!3Bm"</f>
        <v>#VALUE!</v>
      </c>
      <c r="GP379" t="e">
        <f>Overview!F48+"AM:!3Bn"</f>
        <v>#VALUE!</v>
      </c>
      <c r="GQ379" t="e">
        <f>Overview!G48+"AM:!3Bo"</f>
        <v>#VALUE!</v>
      </c>
      <c r="GR379" t="e">
        <f>Overview!H48+"AM:!3Bp"</f>
        <v>#VALUE!</v>
      </c>
      <c r="GS379" t="e">
        <f>Overview!A49+"AM:!3Bq"</f>
        <v>#VALUE!</v>
      </c>
      <c r="GT379" t="e">
        <f>Overview!B49+"AM:!3Br"</f>
        <v>#VALUE!</v>
      </c>
      <c r="GU379" t="e">
        <f>Overview!C49+"AM:!3Bs"</f>
        <v>#VALUE!</v>
      </c>
      <c r="GV379" t="e">
        <f>Overview!D49+"AM:!3Bt"</f>
        <v>#VALUE!</v>
      </c>
      <c r="GW379" t="e">
        <f>Overview!E49+"AM:!3Bu"</f>
        <v>#VALUE!</v>
      </c>
      <c r="GX379" t="e">
        <f>Overview!F49+"AM:!3Bv"</f>
        <v>#VALUE!</v>
      </c>
      <c r="GY379" t="e">
        <f>Overview!G49+"AM:!3Bw"</f>
        <v>#VALUE!</v>
      </c>
      <c r="GZ379" t="e">
        <f>Overview!H49+"AM:!3Bx"</f>
        <v>#VALUE!</v>
      </c>
      <c r="HA379" t="e">
        <f>Overview!A50+"AM:!3By"</f>
        <v>#VALUE!</v>
      </c>
      <c r="HB379" t="e">
        <f>Overview!B50+"AM:!3Bz"</f>
        <v>#VALUE!</v>
      </c>
      <c r="HC379" t="e">
        <f>Overview!C50+"AM:!3B{"</f>
        <v>#VALUE!</v>
      </c>
      <c r="HD379" t="e">
        <f>Overview!D50+"AM:!3B|"</f>
        <v>#VALUE!</v>
      </c>
      <c r="HE379" t="e">
        <f>Overview!E50+"AM:!3B}"</f>
        <v>#VALUE!</v>
      </c>
      <c r="HF379" t="e">
        <f>Overview!F50+"AM:!3B~"</f>
        <v>#VALUE!</v>
      </c>
      <c r="HG379" t="e">
        <f>Overview!G50+"AM:!3C#"</f>
        <v>#VALUE!</v>
      </c>
      <c r="HH379" t="e">
        <f>Overview!H50+"AM:!3C$"</f>
        <v>#VALUE!</v>
      </c>
      <c r="HI379" t="e">
        <f>Overview!A51+"AM:!3C%"</f>
        <v>#VALUE!</v>
      </c>
      <c r="HJ379" t="e">
        <f>Overview!B51+"AM:!3C&amp;"</f>
        <v>#VALUE!</v>
      </c>
      <c r="HK379" t="e">
        <f>Overview!C51+"AM:!3C'"</f>
        <v>#VALUE!</v>
      </c>
      <c r="HL379" t="e">
        <f>Overview!D51+"AM:!3C("</f>
        <v>#VALUE!</v>
      </c>
      <c r="HM379" t="e">
        <f>Overview!E51+"AM:!3C)"</f>
        <v>#VALUE!</v>
      </c>
      <c r="HN379" t="e">
        <f>Overview!F51+"AM:!3C."</f>
        <v>#VALUE!</v>
      </c>
      <c r="HO379" t="e">
        <f>Overview!G51+"AM:!3C/"</f>
        <v>#VALUE!</v>
      </c>
      <c r="HP379" t="e">
        <f>Overview!H51+"AM:!3C0"</f>
        <v>#VALUE!</v>
      </c>
      <c r="HQ379" t="e">
        <f>Overview!A52+"AM:!3C1"</f>
        <v>#VALUE!</v>
      </c>
      <c r="HR379" t="e">
        <f>Overview!B52+"AM:!3C2"</f>
        <v>#VALUE!</v>
      </c>
      <c r="HS379" t="e">
        <f>Overview!C52+"AM:!3C3"</f>
        <v>#VALUE!</v>
      </c>
      <c r="HT379" t="e">
        <f>Overview!D52+"AM:!3C4"</f>
        <v>#VALUE!</v>
      </c>
      <c r="HU379" t="e">
        <f>Overview!A53+"AM:!3C5"</f>
        <v>#VALUE!</v>
      </c>
      <c r="HV379" t="e">
        <f ca="1">Overview!B53+"AM:!3C6"</f>
        <v>#VALUE!</v>
      </c>
      <c r="HW379" t="e">
        <f>Overview!C53+"AM:!3C7"</f>
        <v>#VALUE!</v>
      </c>
      <c r="HX379" t="e">
        <f>Overview!D53+"AM:!3C8"</f>
        <v>#VALUE!</v>
      </c>
      <c r="HY379" t="e">
        <f>Overview!A54+"AM:!3C9"</f>
        <v>#VALUE!</v>
      </c>
      <c r="HZ379" t="e">
        <f>Overview!B54+"AM:!3C:"</f>
        <v>#VALUE!</v>
      </c>
      <c r="IA379" t="e">
        <f>Overview!C54+"AM:!3C;"</f>
        <v>#VALUE!</v>
      </c>
      <c r="IB379" t="e">
        <f>Overview!D54+"AM:!3C&lt;"</f>
        <v>#VALUE!</v>
      </c>
      <c r="IC379" t="e">
        <f>Overview!A55+"AM:!3C="</f>
        <v>#VALUE!</v>
      </c>
      <c r="ID379" t="e">
        <f>Overview!B55+"AM:!3C&gt;"</f>
        <v>#VALUE!</v>
      </c>
      <c r="IE379" t="e">
        <f>Overview!C55+"AM:!3C?"</f>
        <v>#VALUE!</v>
      </c>
      <c r="IF379" t="e">
        <f>Overview!D55+"AM:!3C@"</f>
        <v>#VALUE!</v>
      </c>
      <c r="IG379" t="e">
        <f>Overview!A56+"AM:!3CA"</f>
        <v>#VALUE!</v>
      </c>
      <c r="IH379" t="e">
        <f>Overview!B56+"AM:!3CB"</f>
        <v>#VALUE!</v>
      </c>
      <c r="II379" t="e">
        <f>Overview!C56+"AM:!3CC"</f>
        <v>#VALUE!</v>
      </c>
      <c r="IJ379" t="e">
        <f>Overview!D56+"AM:!3CD"</f>
        <v>#VALUE!</v>
      </c>
      <c r="IK379" t="e">
        <f>Overview!A57+"AM:!3CE"</f>
        <v>#VALUE!</v>
      </c>
      <c r="IL379" t="e">
        <f>Overview!B57+"AM:!3CF"</f>
        <v>#VALUE!</v>
      </c>
      <c r="IM379" t="e">
        <f>Overview!C57+"AM:!3CG"</f>
        <v>#VALUE!</v>
      </c>
      <c r="IN379" t="e">
        <f>Overview!D57+"AM:!3CH"</f>
        <v>#VALUE!</v>
      </c>
      <c r="IO379" t="e">
        <f>Overview!A58+"AM:!3CI"</f>
        <v>#VALUE!</v>
      </c>
      <c r="IP379" t="e">
        <f>Overview!B58+"AM:!3CJ"</f>
        <v>#VALUE!</v>
      </c>
      <c r="IQ379" t="e">
        <f>Overview!C58+"AM:!3CK"</f>
        <v>#VALUE!</v>
      </c>
      <c r="IR379" t="e">
        <f>Overview!D58+"AM:!3CL"</f>
        <v>#VALUE!</v>
      </c>
      <c r="IS379" t="e">
        <f>Overview!A59+"AM:!3CM"</f>
        <v>#VALUE!</v>
      </c>
      <c r="IT379" t="e">
        <f>Overview!B59+"AM:!3CN"</f>
        <v>#VALUE!</v>
      </c>
      <c r="IU379" t="e">
        <f>Overview!C59+"AM:!3CO"</f>
        <v>#VALUE!</v>
      </c>
      <c r="IV379" t="e">
        <f>Overview!D59+"AM:!3CP"</f>
        <v>#VALUE!</v>
      </c>
    </row>
    <row r="380" spans="6:256">
      <c r="F380" t="e">
        <f>Overview!A60+"AM:!3CQ"</f>
        <v>#VALUE!</v>
      </c>
      <c r="G380" t="e">
        <f>Overview!B60+"AM:!3CR"</f>
        <v>#VALUE!</v>
      </c>
      <c r="H380" t="e">
        <f>Overview!C60+"AM:!3CS"</f>
        <v>#VALUE!</v>
      </c>
      <c r="I380" t="e">
        <f>Overview!D60+"AM:!3CT"</f>
        <v>#VALUE!</v>
      </c>
      <c r="J380" t="e">
        <f>Overview!A61+"AM:!3CU"</f>
        <v>#VALUE!</v>
      </c>
      <c r="K380" t="e">
        <f>Overview!B61+"AM:!3CV"</f>
        <v>#VALUE!</v>
      </c>
      <c r="L380" t="e">
        <f>Overview!C61+"AM:!3CW"</f>
        <v>#VALUE!</v>
      </c>
      <c r="M380" t="e">
        <f>Overview!D61+"AM:!3CX"</f>
        <v>#VALUE!</v>
      </c>
      <c r="N380" t="e">
        <f>'Project Summary'!BR:BR*"AM:!3Ct"</f>
        <v>#VALUE!</v>
      </c>
      <c r="O380" t="e">
        <f>'Project Summary'!26:26-"AM:!3Cu"</f>
        <v>#VALUE!</v>
      </c>
      <c r="P380" t="e">
        <f>'Project Summary'!27:27-"AM:!3Cv"</f>
        <v>#VALUE!</v>
      </c>
      <c r="Q380" t="e">
        <f>'Project Summary'!28:28-"AM:!3Cw"</f>
        <v>#VALUE!</v>
      </c>
      <c r="R380" t="e">
        <f>'Project Summary'!29:29-"AM:!3Cx"</f>
        <v>#VALUE!</v>
      </c>
      <c r="S380" t="e">
        <f>'Project Summary'!A26+"AM:!3Cy"</f>
        <v>#VALUE!</v>
      </c>
      <c r="T380" t="e">
        <f>'Project Summary'!B26+"AM:!3Cz"</f>
        <v>#VALUE!</v>
      </c>
      <c r="U380" s="97" t="e">
        <f>'Project Summary'!C26+"AM:!3C{"</f>
        <v>#VALUE!</v>
      </c>
      <c r="V380" s="97" t="e">
        <f>'Project Summary'!D26+"AM:!3C|"</f>
        <v>#VALUE!</v>
      </c>
      <c r="W380" s="97" t="e">
        <f>'Project Summary'!E26+"AM:!3C}"</f>
        <v>#VALUE!</v>
      </c>
      <c r="X380" s="97" t="e">
        <f>'Project Summary'!F26+"AM:!3C~"</f>
        <v>#VALUE!</v>
      </c>
      <c r="Y380" s="100" t="e">
        <f>'Project Summary'!G26+"AM:!3D#"</f>
        <v>#VALUE!</v>
      </c>
      <c r="Z380" t="e">
        <f>'Project Summary'!H26+"AM:!3D$"</f>
        <v>#VALUE!</v>
      </c>
      <c r="AA380" t="e">
        <f>'Project Summary'!I26+"AM:!3D%"</f>
        <v>#VALUE!</v>
      </c>
      <c r="AB380" t="e">
        <f>'Project Summary'!J26+"AM:!3D&amp;"</f>
        <v>#VALUE!</v>
      </c>
      <c r="AC380" t="e">
        <f>'Project Summary'!K26+"AM:!3D'"</f>
        <v>#VALUE!</v>
      </c>
      <c r="AD380" s="97" t="e">
        <f>'Project Summary'!L26+"AM:!3D("</f>
        <v>#VALUE!</v>
      </c>
      <c r="AE380" s="103" t="e">
        <f>'Project Summary'!M26+"AM:!3D)"</f>
        <v>#VALUE!</v>
      </c>
      <c r="AF380" s="103" t="e">
        <f>'Project Summary'!N26+"AM:!3D."</f>
        <v>#VALUE!</v>
      </c>
      <c r="AG380" s="103" t="e">
        <f>'Project Summary'!O26+"AM:!3D/"</f>
        <v>#VALUE!</v>
      </c>
      <c r="AH380" t="e">
        <f>'Project Summary'!P26+"AM:!3D0"</f>
        <v>#VALUE!</v>
      </c>
      <c r="AI380" t="e">
        <f>'Project Summary'!Q26+"AM:!3D1"</f>
        <v>#VALUE!</v>
      </c>
      <c r="AJ380" t="e">
        <f>'Project Summary'!A27+"AM:!3D2"</f>
        <v>#VALUE!</v>
      </c>
      <c r="AK380" t="e">
        <f>'Project Summary'!B27+"AM:!3D3"</f>
        <v>#VALUE!</v>
      </c>
      <c r="AL380" s="97" t="e">
        <f>'Project Summary'!C27+"AM:!3D4"</f>
        <v>#VALUE!</v>
      </c>
      <c r="AM380" s="97" t="e">
        <f>'Project Summary'!D27+"AM:!3D5"</f>
        <v>#VALUE!</v>
      </c>
      <c r="AN380" s="97" t="e">
        <f>'Project Summary'!E27+"AM:!3D6"</f>
        <v>#VALUE!</v>
      </c>
      <c r="AO380" s="97" t="e">
        <f>'Project Summary'!F27+"AM:!3D7"</f>
        <v>#VALUE!</v>
      </c>
      <c r="AP380" s="100" t="e">
        <f>'Project Summary'!G27+"AM:!3D8"</f>
        <v>#VALUE!</v>
      </c>
      <c r="AQ380" t="e">
        <f>'Project Summary'!H27+"AM:!3D9"</f>
        <v>#VALUE!</v>
      </c>
      <c r="AR380" t="e">
        <f>'Project Summary'!I27+"AM:!3D:"</f>
        <v>#VALUE!</v>
      </c>
      <c r="AS380" t="e">
        <f>'Project Summary'!J27+"AM:!3D;"</f>
        <v>#VALUE!</v>
      </c>
      <c r="AT380" t="e">
        <f>'Project Summary'!K27+"AM:!3D&lt;"</f>
        <v>#VALUE!</v>
      </c>
      <c r="AU380" t="e">
        <f>'Project Summary'!L27+"AM:!3D="</f>
        <v>#VALUE!</v>
      </c>
      <c r="AV380" t="e">
        <f>'Project Summary'!M27+"AM:!3D&gt;"</f>
        <v>#VALUE!</v>
      </c>
      <c r="AW380" t="e">
        <f>'Project Summary'!N27+"AM:!3D?"</f>
        <v>#VALUE!</v>
      </c>
      <c r="AX380" t="e">
        <f>'Project Summary'!O27+"AM:!3D@"</f>
        <v>#VALUE!</v>
      </c>
      <c r="AY380" t="e">
        <f>'Project Summary'!P27+"AM:!3DA"</f>
        <v>#VALUE!</v>
      </c>
      <c r="AZ380" t="e">
        <f>'Project Summary'!Q27+"AM:!3DB"</f>
        <v>#VALUE!</v>
      </c>
      <c r="BA380" t="e">
        <f>'Project Summary'!A28+"AM:!3DC"</f>
        <v>#VALUE!</v>
      </c>
      <c r="BB380" t="e">
        <f>'Project Summary'!B28+"AM:!3DD"</f>
        <v>#VALUE!</v>
      </c>
      <c r="BC380" s="97" t="e">
        <f>'Project Summary'!C28+"AM:!3DE"</f>
        <v>#VALUE!</v>
      </c>
      <c r="BD380" s="97" t="e">
        <f>'Project Summary'!D28+"AM:!3DF"</f>
        <v>#VALUE!</v>
      </c>
      <c r="BE380" s="97" t="e">
        <f>'Project Summary'!E28+"AM:!3DG"</f>
        <v>#VALUE!</v>
      </c>
      <c r="BF380" s="97" t="e">
        <f>'Project Summary'!F28+"AM:!3DH"</f>
        <v>#VALUE!</v>
      </c>
      <c r="BG380" s="100" t="e">
        <f>'Project Summary'!G28+"AM:!3DI"</f>
        <v>#VALUE!</v>
      </c>
      <c r="BH380" t="e">
        <f>'Project Summary'!H28+"AM:!3DJ"</f>
        <v>#VALUE!</v>
      </c>
      <c r="BI380" t="e">
        <f>'Project Summary'!I28+"AM:!3DK"</f>
        <v>#VALUE!</v>
      </c>
      <c r="BJ380" t="e">
        <f>'Project Summary'!J28+"AM:!3DL"</f>
        <v>#VALUE!</v>
      </c>
      <c r="BK380" t="e">
        <f>'Project Summary'!K28+"AM:!3DM"</f>
        <v>#VALUE!</v>
      </c>
      <c r="BL380" t="e">
        <f ca="1">'Project Summary'!L28+"AM:!3DN"</f>
        <v>#VALUE!</v>
      </c>
      <c r="BM380" t="e">
        <f>'Project Summary'!M28+"AM:!3DO"</f>
        <v>#VALUE!</v>
      </c>
      <c r="BN380" t="e">
        <f>'Project Summary'!N28+"AM:!3DP"</f>
        <v>#VALUE!</v>
      </c>
      <c r="BO380" t="e">
        <f>'Project Summary'!O28+"AM:!3DQ"</f>
        <v>#VALUE!</v>
      </c>
      <c r="BP380" t="e">
        <f>'Project Summary'!P28+"AM:!3DR"</f>
        <v>#VALUE!</v>
      </c>
      <c r="BQ380" t="e">
        <f>'Project Summary'!Q28+"AM:!3DS"</f>
        <v>#VALUE!</v>
      </c>
      <c r="BR380" t="e">
        <f>'Project Summary'!A29+"AM:!3DT"</f>
        <v>#VALUE!</v>
      </c>
      <c r="BS380" t="e">
        <f>'Project Summary'!B29+"AM:!3DU"</f>
        <v>#VALUE!</v>
      </c>
      <c r="BT380" s="97" t="e">
        <f>'Project Summary'!C29+"AM:!3DV"</f>
        <v>#VALUE!</v>
      </c>
      <c r="BU380" s="97" t="e">
        <f>'Project Summary'!D29+"AM:!3DW"</f>
        <v>#VALUE!</v>
      </c>
      <c r="BV380" s="97" t="e">
        <f>'Project Summary'!E29+"AM:!3DX"</f>
        <v>#VALUE!</v>
      </c>
      <c r="BW380" s="97" t="e">
        <f>'Project Summary'!F29+"AM:!3DY"</f>
        <v>#VALUE!</v>
      </c>
      <c r="BX380" s="100" t="e">
        <f>'Project Summary'!G29+"AM:!3DZ"</f>
        <v>#VALUE!</v>
      </c>
      <c r="BY380" t="e">
        <f>'Project Summary'!H29+"AM:!3D["</f>
        <v>#VALUE!</v>
      </c>
      <c r="BZ380" t="e">
        <f>'Project Summary'!I29+"AM:!3D\"</f>
        <v>#VALUE!</v>
      </c>
      <c r="CA380" t="e">
        <f>'Project Summary'!J29+"AM:!3D]"</f>
        <v>#VALUE!</v>
      </c>
      <c r="CB380" t="e">
        <f>'Project Summary'!K29+"AM:!3D^"</f>
        <v>#VALUE!</v>
      </c>
      <c r="CC380" s="97" t="e">
        <f>'Project Summary'!L29+"AM:!3D_"</f>
        <v>#VALUE!</v>
      </c>
      <c r="CD380" s="103" t="e">
        <f>'Project Summary'!M29+"AM:!3D`"</f>
        <v>#VALUE!</v>
      </c>
      <c r="CE380" s="103" t="e">
        <f>'Project Summary'!N29+"AM:!3Da"</f>
        <v>#VALUE!</v>
      </c>
      <c r="CF380" s="103" t="e">
        <f>'Project Summary'!O29+"AM:!3Db"</f>
        <v>#VALUE!</v>
      </c>
      <c r="CG380" t="e">
        <f>'Project Summary'!P29+"AM:!3Dc"</f>
        <v>#VALUE!</v>
      </c>
      <c r="CH380" t="e">
        <f>'Project Summary'!Q29+"AM:!3Dd"</f>
        <v>#VALUE!</v>
      </c>
      <c r="CI380" t="e">
        <f>EVM!BS:BS*"AM:!3EJ"</f>
        <v>#VALUE!</v>
      </c>
      <c r="CJ380" t="e">
        <f>EVM!BT:BT*"AM:!3EK"</f>
        <v>#VALUE!</v>
      </c>
      <c r="CK380" t="e">
        <f>EVM!P35+"AM:!3EL"</f>
        <v>#VALUE!</v>
      </c>
      <c r="CL380" t="e">
        <f>EVM!Q35+"AM:!3EM"</f>
        <v>#VALUE!</v>
      </c>
      <c r="CM380" t="e">
        <f>EVM!R35+"AM:!3EN"</f>
        <v>#VALUE!</v>
      </c>
      <c r="CN380" t="e">
        <f>EVM!S35+"AM:!3EO"</f>
        <v>#VALUE!</v>
      </c>
      <c r="CO380" t="e">
        <f>EVM!T35+"AM:!3EP"</f>
        <v>#VALUE!</v>
      </c>
      <c r="CP380" t="e">
        <f>EVM!U35+"AM:!3EQ"</f>
        <v>#VALUE!</v>
      </c>
      <c r="CQ380" t="e">
        <f>EVM!Q36+"AM:!3ER"</f>
        <v>#VALUE!</v>
      </c>
      <c r="CR380" t="e">
        <f>EVM!R36+"AM:!3ES"</f>
        <v>#VALUE!</v>
      </c>
      <c r="CS380" t="e">
        <f>EVM!S36+"AM:!3ET"</f>
        <v>#VALUE!</v>
      </c>
      <c r="CT380" t="e">
        <f>EVM!T36+"AM:!3EU"</f>
        <v>#VALUE!</v>
      </c>
      <c r="CU380" t="e">
        <f>EVM!U36+"AM:!3EV"</f>
        <v>#VALUE!</v>
      </c>
      <c r="CV380" t="e">
        <f>EVM!V36+"AM:!3EW"</f>
        <v>#VALUE!</v>
      </c>
      <c r="CW380" t="e">
        <f>EVM!W36+"AM:!3EX"</f>
        <v>#VALUE!</v>
      </c>
      <c r="CX380" t="e">
        <f>EVM!Q37+"AM:!3EY"</f>
        <v>#VALUE!</v>
      </c>
      <c r="CY380" t="e">
        <f>EVM!R37+"AM:!3EZ"</f>
        <v>#VALUE!</v>
      </c>
      <c r="CZ380" t="e">
        <f>EVM!S37+"AM:!3E["</f>
        <v>#VALUE!</v>
      </c>
      <c r="DA380" t="e">
        <f>EVM!T37+"AM:!3E\"</f>
        <v>#VALUE!</v>
      </c>
      <c r="DB380" t="e">
        <f>EVM!U37+"AM:!3E]"</f>
        <v>#VALUE!</v>
      </c>
      <c r="DC380" t="e">
        <f>EVM!V37+"AM:!3E^"</f>
        <v>#VALUE!</v>
      </c>
      <c r="DD380" t="e">
        <f>EVM!W37+"AM:!3E_"</f>
        <v>#VALUE!</v>
      </c>
      <c r="DE380" t="e">
        <f>EVM!BU:BU*"AM:!3F6"</f>
        <v>#VALUE!</v>
      </c>
      <c r="DF380" t="e">
        <f>EVM!BV:BV*"AM:!3F7"</f>
        <v>#VALUE!</v>
      </c>
      <c r="DG380" t="e">
        <f>EVM!P33+"AM:!3F8"</f>
        <v>#VALUE!</v>
      </c>
      <c r="DH380" t="e">
        <f>EVM!Q33+"AM:!3F9"</f>
        <v>#VALUE!</v>
      </c>
      <c r="DI380" t="e">
        <f>EVM!R33+"AM:!3F:"</f>
        <v>#VALUE!</v>
      </c>
      <c r="DJ380" t="e">
        <f>EVM!S33+"AM:!3F;"</f>
        <v>#VALUE!</v>
      </c>
      <c r="DK380" t="e">
        <f>EVM!T33+"AM:!3F&lt;"</f>
        <v>#VALUE!</v>
      </c>
      <c r="DL380" t="e">
        <f>EVM!U33+"AM:!3F="</f>
        <v>#VALUE!</v>
      </c>
      <c r="DM380" t="e">
        <f>EVM!V33+"AM:!3F&gt;"</f>
        <v>#VALUE!</v>
      </c>
      <c r="DN380" t="e">
        <f>EVM!W33+"AM:!3F?"</f>
        <v>#VALUE!</v>
      </c>
      <c r="DO380" t="e">
        <f>EVM!X33+"AM:!3F@"</f>
        <v>#VALUE!</v>
      </c>
      <c r="DP380" t="e">
        <f>EVM!P34+"AM:!3FA"</f>
        <v>#VALUE!</v>
      </c>
      <c r="DQ380" t="e">
        <f>EVM!Q34+"AM:!3FB"</f>
        <v>#VALUE!</v>
      </c>
      <c r="DR380" t="e">
        <f>EVM!R34+"AM:!3FC"</f>
        <v>#VALUE!</v>
      </c>
      <c r="DS380" t="e">
        <f>EVM!S34+"AM:!3FD"</f>
        <v>#VALUE!</v>
      </c>
      <c r="DT380" t="e">
        <f>EVM!T34+"AM:!3FE"</f>
        <v>#VALUE!</v>
      </c>
      <c r="DU380" t="e">
        <f>EVM!U34+"AM:!3FF"</f>
        <v>#VALUE!</v>
      </c>
      <c r="DV380" t="e">
        <f>EVM!V34+"AM:!3FG"</f>
        <v>#VALUE!</v>
      </c>
      <c r="DW380" t="e">
        <f>EVM!W34+"AM:!3FH"</f>
        <v>#VALUE!</v>
      </c>
      <c r="DX380" t="e">
        <f>EVM!X34+"AM:!3FI"</f>
        <v>#VALUE!</v>
      </c>
      <c r="DY380" t="e">
        <f>EVM!O35+"AM:!3FJ"</f>
        <v>#VALUE!</v>
      </c>
      <c r="DZ380" t="e">
        <f>EVM!V35+"AM:!3FK"</f>
        <v>#VALUE!</v>
      </c>
      <c r="EA380" t="e">
        <f>EVM!W35+"AM:!3FL"</f>
        <v>#VALUE!</v>
      </c>
      <c r="EB380" t="e">
        <f>EVM!X35+"AM:!3FM"</f>
        <v>#VALUE!</v>
      </c>
      <c r="EC380" t="e">
        <f>EVM!O36+"AM:!3FN"</f>
        <v>#VALUE!</v>
      </c>
      <c r="ED380" t="e">
        <f>EVM!X36+"AM:!3FO"</f>
        <v>#VALUE!</v>
      </c>
      <c r="EE380" t="e">
        <f>EVM!O37+"AM:!3FP"</f>
        <v>#VALUE!</v>
      </c>
      <c r="EF380" t="e">
        <f>EVM!X37+"AM:!3FQ"</f>
        <v>#VALUE!</v>
      </c>
      <c r="EG380" t="e">
        <f>EVM!P38+"AM:!3FR"</f>
        <v>#VALUE!</v>
      </c>
      <c r="EH380" t="e">
        <f>EVM!Q38+"AM:!3FS"</f>
        <v>#VALUE!</v>
      </c>
      <c r="EI380" t="e">
        <f>EVM!R38+"AM:!3FT"</f>
        <v>#VALUE!</v>
      </c>
      <c r="EJ380" t="e">
        <f>EVM!S38+"AM:!3FU"</f>
        <v>#VALUE!</v>
      </c>
      <c r="EK380" t="e">
        <f>EVM!T38+"AM:!3FV"</f>
        <v>#VALUE!</v>
      </c>
      <c r="EL380" t="e">
        <f>EVM!U38+"AM:!3FW"</f>
        <v>#VALUE!</v>
      </c>
      <c r="EM380" t="e">
        <f>EVM!V38+"AM:!3FX"</f>
        <v>#VALUE!</v>
      </c>
      <c r="EN380" t="e">
        <f>EVM!W38+"AM:!3FY"</f>
        <v>#VALUE!</v>
      </c>
      <c r="EO380" t="e">
        <f>EVM!X38+"AM:!3FZ"</f>
        <v>#VALUE!</v>
      </c>
      <c r="EP380" t="e">
        <f>EVM!P39+"AM:!3F["</f>
        <v>#VALUE!</v>
      </c>
      <c r="EQ380" t="e">
        <f>EVM!Q39+"AM:!3F\"</f>
        <v>#VALUE!</v>
      </c>
      <c r="ER380" t="e">
        <f>EVM!R39+"AM:!3F]"</f>
        <v>#VALUE!</v>
      </c>
      <c r="ES380" t="e">
        <f>EVM!S39+"AM:!3F^"</f>
        <v>#VALUE!</v>
      </c>
      <c r="ET380" t="e">
        <f>EVM!T39+"AM:!3F_"</f>
        <v>#VALUE!</v>
      </c>
      <c r="EU380" t="e">
        <f>EVM!U39+"AM:!3F`"</f>
        <v>#VALUE!</v>
      </c>
      <c r="EV380" t="e">
        <f>EVM!V39+"AM:!3Fa"</f>
        <v>#VALUE!</v>
      </c>
      <c r="EW380" t="e">
        <f>EVM!W39+"AM:!3Fb"</f>
        <v>#VALUE!</v>
      </c>
      <c r="EX380" t="e">
        <f>EVM!X39+"AM:!3Fc"</f>
        <v>#VALUE!</v>
      </c>
      <c r="EY380" t="e">
        <f>EVM!P40+"AM:!3Fd"</f>
        <v>#VALUE!</v>
      </c>
      <c r="EZ380" t="e">
        <f>EVM!Q40+"AM:!3Fe"</f>
        <v>#VALUE!</v>
      </c>
      <c r="FA380" t="e">
        <f>EVM!R40+"AM:!3Ff"</f>
        <v>#VALUE!</v>
      </c>
      <c r="FB380" t="e">
        <f>EVM!S40+"AM:!3Fg"</f>
        <v>#VALUE!</v>
      </c>
      <c r="FC380" t="e">
        <f>EVM!T40+"AM:!3Fh"</f>
        <v>#VALUE!</v>
      </c>
      <c r="FD380" t="e">
        <f>EVM!U40+"AM:!3Fi"</f>
        <v>#VALUE!</v>
      </c>
      <c r="FE380" t="e">
        <f>EVM!V40+"AM:!3Fj"</f>
        <v>#VALUE!</v>
      </c>
      <c r="FF380" t="e">
        <f>EVM!W40+"AM:!3Fk"</f>
        <v>#VALUE!</v>
      </c>
      <c r="FG380" t="e">
        <f>EVM!X40+"AM:!3Fl"</f>
        <v>#VALUE!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28</vt:i4>
      </vt:variant>
      <vt:variant>
        <vt:lpstr>Named Ranges</vt:lpstr>
      </vt:variant>
      <vt:variant>
        <vt:i4>277</vt:i4>
      </vt:variant>
    </vt:vector>
  </HeadingPairs>
  <TitlesOfParts>
    <vt:vector size="305" baseType="lpstr">
      <vt:lpstr>Overview</vt:lpstr>
      <vt:lpstr>Master Data</vt:lpstr>
      <vt:lpstr>Opportunity Qualification</vt:lpstr>
      <vt:lpstr>Effort Estimation</vt:lpstr>
      <vt:lpstr>Effort Statistics</vt:lpstr>
      <vt:lpstr>Price Calculation</vt:lpstr>
      <vt:lpstr>Offer Qualification</vt:lpstr>
      <vt:lpstr>OpeningTemplate</vt:lpstr>
      <vt:lpstr>Actual Value</vt:lpstr>
      <vt:lpstr>Ressource Plan</vt:lpstr>
      <vt:lpstr>Milestones</vt:lpstr>
      <vt:lpstr>Risklog</vt:lpstr>
      <vt:lpstr>ChangeLog</vt:lpstr>
      <vt:lpstr>Descriptions</vt:lpstr>
      <vt:lpstr>Project Summary</vt:lpstr>
      <vt:lpstr>Project Charts</vt:lpstr>
      <vt:lpstr>Details</vt:lpstr>
      <vt:lpstr>Printable Overview</vt:lpstr>
      <vt:lpstr>Printable Customer Report</vt:lpstr>
      <vt:lpstr>OP-Summary</vt:lpstr>
      <vt:lpstr>Delivery Calculation</vt:lpstr>
      <vt:lpstr>Project Business Checklist</vt:lpstr>
      <vt:lpstr>RiskChecklist</vt:lpstr>
      <vt:lpstr>EVM</vt:lpstr>
      <vt:lpstr>Performance Risikobewertung</vt:lpstr>
      <vt:lpstr>Trimaran</vt:lpstr>
      <vt:lpstr>Technical Master Data</vt:lpstr>
      <vt:lpstr>D%$&amp;01_DevSheet</vt:lpstr>
      <vt:lpstr>AVapprovedCREffort</vt:lpstr>
      <vt:lpstr>AVForecastCompletion</vt:lpstr>
      <vt:lpstr>AVForecastEffort</vt:lpstr>
      <vt:lpstr>AVForecastExpClPersonal</vt:lpstr>
      <vt:lpstr>AVForecastExpClTravel</vt:lpstr>
      <vt:lpstr>AVForecastExpNClPersonal</vt:lpstr>
      <vt:lpstr>AVForecastExpNClTravel</vt:lpstr>
      <vt:lpstr>AVForecastPayments</vt:lpstr>
      <vt:lpstr>AVLastReportedPeriod</vt:lpstr>
      <vt:lpstr>AVLastReportedPeriodString</vt:lpstr>
      <vt:lpstr>AVReportedCompletion</vt:lpstr>
      <vt:lpstr>AVReportedEffort</vt:lpstr>
      <vt:lpstr>AVReportedExpClPersonal</vt:lpstr>
      <vt:lpstr>AVReportedExpClTravel</vt:lpstr>
      <vt:lpstr>AVReportedExpNClPersonal</vt:lpstr>
      <vt:lpstr>AVReportedExpNClTravel</vt:lpstr>
      <vt:lpstr>AVReportedPayments</vt:lpstr>
      <vt:lpstr>AVReportedPlannedCompletion</vt:lpstr>
      <vt:lpstr>AVReportedPlannedEffort</vt:lpstr>
      <vt:lpstr>AVReportedPlannedExpClPersonal</vt:lpstr>
      <vt:lpstr>AVReportedPlannedExpClTravel</vt:lpstr>
      <vt:lpstr>AVReportedRevenueAll</vt:lpstr>
      <vt:lpstr>AVSAPEffort</vt:lpstr>
      <vt:lpstr>DCBudgetEffClPersonal</vt:lpstr>
      <vt:lpstr>DCBudgetEffClTravel</vt:lpstr>
      <vt:lpstr>DCBudgetEffProjectTotal</vt:lpstr>
      <vt:lpstr>DCBudgetExpClPersonal</vt:lpstr>
      <vt:lpstr>DCBudgetExpClTravel</vt:lpstr>
      <vt:lpstr>DCBudgetExpNClPersonal</vt:lpstr>
      <vt:lpstr>DCBudgetExpProjectTotal</vt:lpstr>
      <vt:lpstr>desMilestoneStatus</vt:lpstr>
      <vt:lpstr>desNextSteps</vt:lpstr>
      <vt:lpstr>desOpenItems</vt:lpstr>
      <vt:lpstr>desQualityStatus</vt:lpstr>
      <vt:lpstr>desReachedGoals</vt:lpstr>
      <vt:lpstr>desRessourceStatus</vt:lpstr>
      <vt:lpstr>desTechnicalStatus</vt:lpstr>
      <vt:lpstr>ESActivityTypeDescription</vt:lpstr>
      <vt:lpstr>ESActivityTypeExternalPrice</vt:lpstr>
      <vt:lpstr>ESActivityTypeInternalCost</vt:lpstr>
      <vt:lpstr>ESActivityTypeTotalHours</vt:lpstr>
      <vt:lpstr>ESPSPEffort</vt:lpstr>
      <vt:lpstr>ESPSPEnd</vt:lpstr>
      <vt:lpstr>ESPSPExternalPrice</vt:lpstr>
      <vt:lpstr>ESPSPInternalCost</vt:lpstr>
      <vt:lpstr>ESPSPManualCorrected</vt:lpstr>
      <vt:lpstr>ESPSPNo</vt:lpstr>
      <vt:lpstr>ESPSPNotes</vt:lpstr>
      <vt:lpstr>ESPSPPERTEffort</vt:lpstr>
      <vt:lpstr>ESPSPStart</vt:lpstr>
      <vt:lpstr>ESPSPTandM</vt:lpstr>
      <vt:lpstr>ESPSPTitle</vt:lpstr>
      <vt:lpstr>LandingPointActualValue</vt:lpstr>
      <vt:lpstr>LandingPointAPM</vt:lpstr>
      <vt:lpstr>LandingPointChangeRequestChangeLog</vt:lpstr>
      <vt:lpstr>LandingPointChangeRequestPDChangeLog</vt:lpstr>
      <vt:lpstr>LandingPointCharts</vt:lpstr>
      <vt:lpstr>LandingPointCustomerReport</vt:lpstr>
      <vt:lpstr>LandingPointDaysPriceCalculation</vt:lpstr>
      <vt:lpstr>LandingPointDeliveryCalculation</vt:lpstr>
      <vt:lpstr>LandingPointDescription</vt:lpstr>
      <vt:lpstr>LandingPointEffortEstimation</vt:lpstr>
      <vt:lpstr>LandingPointLeadQualification</vt:lpstr>
      <vt:lpstr>LandingPointMilestones</vt:lpstr>
      <vt:lpstr>LandingPointOfferQualification</vt:lpstr>
      <vt:lpstr>LandingPointOpeningTemplate</vt:lpstr>
      <vt:lpstr>LandingPointOPSummary</vt:lpstr>
      <vt:lpstr>LandingPointOverview</vt:lpstr>
      <vt:lpstr>'Printable Customer Report'!LandingPointProjectDescription</vt:lpstr>
      <vt:lpstr>LandingPointProjectDescription</vt:lpstr>
      <vt:lpstr>LandingPointRisklog</vt:lpstr>
      <vt:lpstr>LandingPointStartPage</vt:lpstr>
      <vt:lpstr>MDAccountManager</vt:lpstr>
      <vt:lpstr>MDActivityTypeDescription</vt:lpstr>
      <vt:lpstr>MDActivityTypeExternalPricePerDay</vt:lpstr>
      <vt:lpstr>MDActivityTypeExternalPricePerHour</vt:lpstr>
      <vt:lpstr>MDActivityTypeInternalCostPerDay</vt:lpstr>
      <vt:lpstr>MDActivityTypeInternalCostPerHour</vt:lpstr>
      <vt:lpstr>MDActivityTypes</vt:lpstr>
      <vt:lpstr>MDBidManager</vt:lpstr>
      <vt:lpstr>MDContractCurrency</vt:lpstr>
      <vt:lpstr>MDContractExchangeRate</vt:lpstr>
      <vt:lpstr>MDContractType</vt:lpstr>
      <vt:lpstr>MDContractVolume</vt:lpstr>
      <vt:lpstr>MDCustomer</vt:lpstr>
      <vt:lpstr>MDCustomerContact</vt:lpstr>
      <vt:lpstr>MDCustomerProjectNo</vt:lpstr>
      <vt:lpstr>MDLeadOwner</vt:lpstr>
      <vt:lpstr>MDOpportunityID</vt:lpstr>
      <vt:lpstr>MDProjectBusinessManager</vt:lpstr>
      <vt:lpstr>MDProjectClass</vt:lpstr>
      <vt:lpstr>'Technical Master Data'!MDProjectDescription</vt:lpstr>
      <vt:lpstr>MDProjectDescription</vt:lpstr>
      <vt:lpstr>MDProjectEnd</vt:lpstr>
      <vt:lpstr>MDProjectManager</vt:lpstr>
      <vt:lpstr>MDProjectOwner</vt:lpstr>
      <vt:lpstr>MDProjectStart</vt:lpstr>
      <vt:lpstr>MDProjectTerm</vt:lpstr>
      <vt:lpstr>MDProjectType</vt:lpstr>
      <vt:lpstr>'Technical Master Data'!MDProjektname</vt:lpstr>
      <vt:lpstr>MDProjektname</vt:lpstr>
      <vt:lpstr>MDReportingDates</vt:lpstr>
      <vt:lpstr>MDReportingPeriod</vt:lpstr>
      <vt:lpstr>MDReportPeriod</vt:lpstr>
      <vt:lpstr>MDSAPNumber</vt:lpstr>
      <vt:lpstr>MDSolutionManager</vt:lpstr>
      <vt:lpstr>MDWorkhours</vt:lpstr>
      <vt:lpstr>MILastMilestoneExpected</vt:lpstr>
      <vt:lpstr>OpeningTemplateComplete</vt:lpstr>
      <vt:lpstr>OVBudgetAtCompletion</vt:lpstr>
      <vt:lpstr>OVCostVariance</vt:lpstr>
      <vt:lpstr>OVDelayAtCompletion</vt:lpstr>
      <vt:lpstr>OVEarnedValue</vt:lpstr>
      <vt:lpstr>OVEstimateAtCompletion</vt:lpstr>
      <vt:lpstr>OVPlannedValue</vt:lpstr>
      <vt:lpstr>OVRiskRatio</vt:lpstr>
      <vt:lpstr>OVScheduleVariance</vt:lpstr>
      <vt:lpstr>OVVarianceAtCompletion</vt:lpstr>
      <vt:lpstr>PCAdd1</vt:lpstr>
      <vt:lpstr>PCAdd1Title</vt:lpstr>
      <vt:lpstr>PCAdd2</vt:lpstr>
      <vt:lpstr>PCAdd2Title</vt:lpstr>
      <vt:lpstr>PCAdditionalMargin</vt:lpstr>
      <vt:lpstr>PCComponentPrice</vt:lpstr>
      <vt:lpstr>PCCostActivityType</vt:lpstr>
      <vt:lpstr>PCCostComponents</vt:lpstr>
      <vt:lpstr>PCCostOfSales</vt:lpstr>
      <vt:lpstr>PCPriceOffered</vt:lpstr>
      <vt:lpstr>PCRiskCharge</vt:lpstr>
      <vt:lpstr>PCvmOS</vt:lpstr>
      <vt:lpstr>PCWarranty</vt:lpstr>
      <vt:lpstr>'Actual Value'!Print_Area</vt:lpstr>
      <vt:lpstr>ChangeLog!Print_Area</vt:lpstr>
      <vt:lpstr>'Delivery Calculation'!Print_Area</vt:lpstr>
      <vt:lpstr>Descriptions!Print_Area</vt:lpstr>
      <vt:lpstr>Details!Print_Area</vt:lpstr>
      <vt:lpstr>'Effort Estimation'!Print_Area</vt:lpstr>
      <vt:lpstr>'Effort Statistics'!Print_Area</vt:lpstr>
      <vt:lpstr>EVM!Print_Area</vt:lpstr>
      <vt:lpstr>'Master Data'!Print_Area</vt:lpstr>
      <vt:lpstr>Milestones!Print_Area</vt:lpstr>
      <vt:lpstr>'Offer Qualification'!Print_Area</vt:lpstr>
      <vt:lpstr>OpeningTemplate!Print_Area</vt:lpstr>
      <vt:lpstr>'Opportunity Qualification'!Print_Area</vt:lpstr>
      <vt:lpstr>'OP-Summary'!Print_Area</vt:lpstr>
      <vt:lpstr>Overview!Print_Area</vt:lpstr>
      <vt:lpstr>'Price Calculation'!Print_Area</vt:lpstr>
      <vt:lpstr>'Printable Customer Report'!Print_Area</vt:lpstr>
      <vt:lpstr>'Printable Overview'!Print_Area</vt:lpstr>
      <vt:lpstr>'Project Business Checklist'!Print_Area</vt:lpstr>
      <vt:lpstr>'Project Charts'!Print_Area</vt:lpstr>
      <vt:lpstr>'Project Summary'!Print_Area</vt:lpstr>
      <vt:lpstr>'Ressource Plan'!Print_Area</vt:lpstr>
      <vt:lpstr>Risklog!Print_Area</vt:lpstr>
      <vt:lpstr>'Actual Value'!Print_Titles</vt:lpstr>
      <vt:lpstr>ChangeLog!Print_Titles</vt:lpstr>
      <vt:lpstr>'Effort Estimation'!Print_Titles</vt:lpstr>
      <vt:lpstr>Milestones!Print_Titles</vt:lpstr>
      <vt:lpstr>OpeningTemplate!Print_Titles</vt:lpstr>
      <vt:lpstr>'Printable Customer Report'!Print_Titles</vt:lpstr>
      <vt:lpstr>'Project Business Checklist'!Print_Titles</vt:lpstr>
      <vt:lpstr>'Ressource Plan'!Print_Titles</vt:lpstr>
      <vt:lpstr>Risklog!Print_Titles</vt:lpstr>
      <vt:lpstr>RatingBidSize</vt:lpstr>
      <vt:lpstr>RatingBudgetAFRed</vt:lpstr>
      <vt:lpstr>RatingBudgetAFYellow</vt:lpstr>
      <vt:lpstr>RatingCOSCHF</vt:lpstr>
      <vt:lpstr>RatingCOSEUR</vt:lpstr>
      <vt:lpstr>RatingPlannedActualRed</vt:lpstr>
      <vt:lpstr>RatingPlannedActualYellow</vt:lpstr>
      <vt:lpstr>RatingPlannedAFRed</vt:lpstr>
      <vt:lpstr>RatingPlannedAFYellow</vt:lpstr>
      <vt:lpstr>RatingTimeRed</vt:lpstr>
      <vt:lpstr>RatingTimeYellow</vt:lpstr>
      <vt:lpstr>ressourcePlanFTE</vt:lpstr>
      <vt:lpstr>risk1amount</vt:lpstr>
      <vt:lpstr>risk1description</vt:lpstr>
      <vt:lpstr>risk1id</vt:lpstr>
      <vt:lpstr>risk1severity</vt:lpstr>
      <vt:lpstr>risk1title</vt:lpstr>
      <vt:lpstr>risk1titleCust</vt:lpstr>
      <vt:lpstr>risk1wholeheader</vt:lpstr>
      <vt:lpstr>risk2amount</vt:lpstr>
      <vt:lpstr>risk2description</vt:lpstr>
      <vt:lpstr>risk2id</vt:lpstr>
      <vt:lpstr>risk2severity</vt:lpstr>
      <vt:lpstr>risk2title</vt:lpstr>
      <vt:lpstr>risk2titleCust</vt:lpstr>
      <vt:lpstr>risk2wholeheader</vt:lpstr>
      <vt:lpstr>risk3amount</vt:lpstr>
      <vt:lpstr>risk3description</vt:lpstr>
      <vt:lpstr>risk3id</vt:lpstr>
      <vt:lpstr>risk3severity</vt:lpstr>
      <vt:lpstr>risk3title</vt:lpstr>
      <vt:lpstr>risk3titleCust</vt:lpstr>
      <vt:lpstr>risk3wholeheader</vt:lpstr>
      <vt:lpstr>risk4amount</vt:lpstr>
      <vt:lpstr>risk4description</vt:lpstr>
      <vt:lpstr>risk4id</vt:lpstr>
      <vt:lpstr>risk4severity</vt:lpstr>
      <vt:lpstr>risk4title</vt:lpstr>
      <vt:lpstr>risk4titleCust</vt:lpstr>
      <vt:lpstr>risk4wholeheader</vt:lpstr>
      <vt:lpstr>risk5amount</vt:lpstr>
      <vt:lpstr>risk5description</vt:lpstr>
      <vt:lpstr>risk5id</vt:lpstr>
      <vt:lpstr>risk5severity</vt:lpstr>
      <vt:lpstr>risk5title</vt:lpstr>
      <vt:lpstr>risk5titleCust</vt:lpstr>
      <vt:lpstr>risk5wholeheader</vt:lpstr>
      <vt:lpstr>RLLossAmountMax</vt:lpstr>
      <vt:lpstr>RLLossAmountWeighted</vt:lpstr>
      <vt:lpstr>RPWorkdays</vt:lpstr>
      <vt:lpstr>RRGray</vt:lpstr>
      <vt:lpstr>RRImpact</vt:lpstr>
      <vt:lpstr>RRImpactRow</vt:lpstr>
      <vt:lpstr>RRMatrix</vt:lpstr>
      <vt:lpstr>RRProbability</vt:lpstr>
      <vt:lpstr>RRProbabilityColumn</vt:lpstr>
      <vt:lpstr>RRRed</vt:lpstr>
      <vt:lpstr>RRYellowHigh</vt:lpstr>
      <vt:lpstr>RRYellowLow</vt:lpstr>
      <vt:lpstr>TMDAllocationFix</vt:lpstr>
      <vt:lpstr>TMDAllocationTandM</vt:lpstr>
      <vt:lpstr>TMDAllocationType</vt:lpstr>
      <vt:lpstr>TMDAllocationUnclearable</vt:lpstr>
      <vt:lpstr>TMDChangeStatus</vt:lpstr>
      <vt:lpstr>TMDContractType</vt:lpstr>
      <vt:lpstr>TMDCRApproval</vt:lpstr>
      <vt:lpstr>TMDCRApproved</vt:lpstr>
      <vt:lpstr>TMDCRStatus</vt:lpstr>
      <vt:lpstr>TMDCRType</vt:lpstr>
      <vt:lpstr>TMDCurrency</vt:lpstr>
      <vt:lpstr>TMDCurrencyCHF</vt:lpstr>
      <vt:lpstr>TMDCurrencyEUR</vt:lpstr>
      <vt:lpstr>TMDCurrencyUSD</vt:lpstr>
      <vt:lpstr>TMDDecisionStatus</vt:lpstr>
      <vt:lpstr>TMDDrittleistung</vt:lpstr>
      <vt:lpstr>TMDFaktura</vt:lpstr>
      <vt:lpstr>TMDInvoiceStatus</vt:lpstr>
      <vt:lpstr>TMDInvoiceStatusInvoiced</vt:lpstr>
      <vt:lpstr>TMDLanguage</vt:lpstr>
      <vt:lpstr>TMDLocArea</vt:lpstr>
      <vt:lpstr>TMDMonthly</vt:lpstr>
      <vt:lpstr>TMDNo</vt:lpstr>
      <vt:lpstr>TMDOrderType</vt:lpstr>
      <vt:lpstr>TMDPeriodValueType</vt:lpstr>
      <vt:lpstr>TMDPeriodValueTypeForecast</vt:lpstr>
      <vt:lpstr>TMDPeriodValueTypeReported</vt:lpstr>
      <vt:lpstr>TMDPhaseChangeTimeAndMaterial</vt:lpstr>
      <vt:lpstr>TMDPhaseTimeAndMaterial</vt:lpstr>
      <vt:lpstr>TMDPortfolioElement</vt:lpstr>
      <vt:lpstr>TMDProjectClass</vt:lpstr>
      <vt:lpstr>TMDReportPeriod</vt:lpstr>
      <vt:lpstr>TMDRiskShow</vt:lpstr>
      <vt:lpstr>TMDRiskStatus</vt:lpstr>
      <vt:lpstr>TMDRiskStatusActionInWork</vt:lpstr>
      <vt:lpstr>TMDRiskStatusNotHandled</vt:lpstr>
      <vt:lpstr>TMDRiskStatusReduced</vt:lpstr>
      <vt:lpstr>TMDRiskStatusSolved</vt:lpstr>
      <vt:lpstr>TMDSAPReportLayout</vt:lpstr>
      <vt:lpstr>TMDSolutionArea</vt:lpstr>
      <vt:lpstr>TMDTechnology</vt:lpstr>
      <vt:lpstr>TMDTrafficLight</vt:lpstr>
      <vt:lpstr>TMDTwoweekly</vt:lpstr>
      <vt:lpstr>TMDVersion</vt:lpstr>
      <vt:lpstr>TMDVMCPU</vt:lpstr>
      <vt:lpstr>TMDVMDisk</vt:lpstr>
      <vt:lpstr>TMDVMInit</vt:lpstr>
      <vt:lpstr>TMDVMLinux</vt:lpstr>
      <vt:lpstr>TMDVMMemory</vt:lpstr>
      <vt:lpstr>TMDVMWin</vt:lpstr>
      <vt:lpstr>TMDWeekly</vt:lpstr>
      <vt:lpstr>TMDYes</vt:lpstr>
      <vt:lpstr>TMDYesNo</vt:lpstr>
      <vt:lpstr>TRIMARANmonthly</vt:lpstr>
      <vt:lpstr>TRIMARANweekly</vt:lpstr>
    </vt:vector>
  </TitlesOfParts>
  <Company>Trivadis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Trivadis</dc:creator>
  <cp:lastModifiedBy>Claude-Alain Glauser</cp:lastModifiedBy>
  <cp:lastPrinted>2014-02-04T08:25:36Z</cp:lastPrinted>
  <dcterms:created xsi:type="dcterms:W3CDTF">2009-04-27T08:19:56Z</dcterms:created>
  <dcterms:modified xsi:type="dcterms:W3CDTF">2014-04-01T18:32:11Z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sync_ServerID">
    <vt:lpwstr>eaa64fda-9d58-4148-b7de-df8382d85ee4</vt:lpwstr>
  </property>
  <property fmtid="{D5CDD505-2E9C-101B-9397-08002B2CF9AE}" pid="3" name="Offisync_ProviderInitializationData">
    <vt:lpwstr>https://vaps026.trivadis.com/trialog/</vt:lpwstr>
  </property>
  <property fmtid="{D5CDD505-2E9C-101B-9397-08002B2CF9AE}" pid="4" name="Offisync_UpdateToken">
    <vt:lpwstr>20</vt:lpwstr>
  </property>
  <property fmtid="{D5CDD505-2E9C-101B-9397-08002B2CF9AE}" pid="5" name="Jive_LatestUserAccountName">
    <vt:lpwstr>kac</vt:lpwstr>
  </property>
  <property fmtid="{D5CDD505-2E9C-101B-9397-08002B2CF9AE}" pid="6" name="Jive_LatestFileFullName">
    <vt:lpwstr>C:\TVD\Kunden\interne Projekte\2013\PSR\dev\PSR.xlsm</vt:lpwstr>
  </property>
  <property fmtid="{D5CDD505-2E9C-101B-9397-08002B2CF9AE}" pid="7" name="Jive_ModifiedButNotPublished">
    <vt:lpwstr>False</vt:lpwstr>
  </property>
  <property fmtid="{D5CDD505-2E9C-101B-9397-08002B2CF9AE}" pid="8" name="Offisync_VersionGuid">
    <vt:lpwstr>eb91b2af-f602-4fcf-bfa2-b49951f72673</vt:lpwstr>
  </property>
  <property fmtid="{D5CDD505-2E9C-101B-9397-08002B2CF9AE}" pid="9" name="Offisync_ProviderName">
    <vt:lpwstr>Jive</vt:lpwstr>
  </property>
  <property fmtid="{D5CDD505-2E9C-101B-9397-08002B2CF9AE}" pid="10" name="Offisync_IsFrozen">
    <vt:lpwstr>False</vt:lpwstr>
  </property>
  <property fmtid="{D5CDD505-2E9C-101B-9397-08002B2CF9AE}" pid="11" name="Offisync_IsSaved">
    <vt:lpwstr>False</vt:lpwstr>
  </property>
  <property fmtid="{D5CDD505-2E9C-101B-9397-08002B2CF9AE}" pid="12" name="Offisync_UniqueId">
    <vt:lpwstr>10792</vt:lpwstr>
  </property>
  <property fmtid="{D5CDD505-2E9C-101B-9397-08002B2CF9AE}" pid="13" name="Jive_PrevVersionNumber">
    <vt:lpwstr>19</vt:lpwstr>
  </property>
  <property fmtid="{D5CDD505-2E9C-101B-9397-08002B2CF9AE}" pid="14" name="Jive_VersionGuid">
    <vt:lpwstr>71b614f698dc429ab1e3f1564bc5a209</vt:lpwstr>
  </property>
</Properties>
</file>